
<file path=[Content_Types].xml><?xml version="1.0" encoding="utf-8"?>
<Types xmlns="http://schemas.openxmlformats.org/package/2006/content-types">
  <Override PartName="/xl/activeX/activeX4.bin" ContentType="application/vnd.ms-office.activeX"/>
  <Override PartName="/xl/ctrlProps/ctrlProp78.xml" ContentType="application/vnd.ms-excel.controlproperties+xml"/>
  <Override PartName="/xl/ctrlProps/ctrlProp232.xml" ContentType="application/vnd.ms-excel.controlproperties+xml"/>
  <Override PartName="/xl/worksheets/sheet13.xml" ContentType="application/vnd.openxmlformats-officedocument.spreadsheetml.worksheet+xml"/>
  <Override PartName="/xl/styles.xml" ContentType="application/vnd.openxmlformats-officedocument.spreadsheetml.styles+xml"/>
  <Override PartName="/xl/ctrlProps/ctrlProp67.xml" ContentType="application/vnd.ms-excel.controlproperties+xml"/>
  <Override PartName="/xl/ctrlProps/ctrlProp221.xml" ContentType="application/vnd.ms-excel.controlproperties+xml"/>
  <Override PartName="/xl/ctrlProps/ctrlProp169.xml" ContentType="application/vnd.ms-excel.controlproperties+xml"/>
  <Override PartName="/xl/activeX/activeX5.xml" ContentType="application/vnd.ms-office.activeX+xml"/>
  <Override PartName="/xl/ctrlProps/ctrlProp56.xml" ContentType="application/vnd.ms-excel.controlproperties+xml"/>
  <Override PartName="/xl/ctrlProps/ctrlProp158.xml" ContentType="application/vnd.ms-excel.controlproperties+xml"/>
  <Override PartName="/xl/ctrlProps/ctrlProp92.xml" ContentType="application/vnd.ms-excel.controlproperties+xml"/>
  <Override PartName="/xl/ctrlProps/ctrlProp147.xml" ContentType="application/vnd.ms-excel.controlproperties+xml"/>
  <Override PartName="/xl/ctrlProps/ctrlProp194.xml" ContentType="application/vnd.ms-excel.controlproperties+xml"/>
  <Override PartName="/xl/ctrlProps/ctrlProp210.xml" ContentType="application/vnd.ms-excel.controlproperties+xml"/>
  <Override PartName="/xl/ctrlProps/ctrlProp45.xml" ContentType="application/vnd.ms-excel.controlproperties+xml"/>
  <Default Extension="xml" ContentType="application/xml"/>
  <Override PartName="/xl/ctrlProps/ctrlProp81.xml" ContentType="application/vnd.ms-excel.controlproperties+xml"/>
  <Override PartName="/xl/ctrlProps/ctrlProp183.xml" ContentType="application/vnd.ms-excel.controlproperties+xml"/>
  <Override PartName="/xl/ctrlProps/ctrlProp136.xml" ContentType="application/vnd.ms-excel.controlproperties+xml"/>
  <Override PartName="/xl/ctrlProps/ctrlProp34.xml" ContentType="application/vnd.ms-excel.controlproperties+xml"/>
  <Override PartName="/xl/worksheets/sheet3.xml" ContentType="application/vnd.openxmlformats-officedocument.spreadsheetml.worksheet+xml"/>
  <Override PartName="/xl/ctrlProps/ctrlProp70.xml" ContentType="application/vnd.ms-excel.controlproperties+xml"/>
  <Override PartName="/xl/ctrlProps/ctrlProp172.xml" ContentType="application/vnd.ms-excel.controlproperties+xml"/>
  <Override PartName="/xl/ctrlProps/ctrlProp125.xml" ContentType="application/vnd.ms-excel.controlproperties+xml"/>
  <Override PartName="/xl/ctrlProps/ctrlProp23.xml" ContentType="application/vnd.ms-excel.controlproperties+xml"/>
  <Override PartName="/xl/ctrlProps/ctrlProp150.xml" ContentType="application/vnd.ms-excel.controlproperties+xml"/>
  <Override PartName="/xl/ctrlProps/ctrlProp103.xml" ContentType="application/vnd.ms-excel.controlproperties+xml"/>
  <Override PartName="/xl/ctrlProps/ctrlProp161.xml" ContentType="application/vnd.ms-excel.controlproperties+xml"/>
  <Override PartName="/xl/ctrlProps/ctrlProp114.xml" ContentType="application/vnd.ms-excel.controlproperties+xml"/>
  <Override PartName="/xl/ctrlProps/ctrlProp248.xml" ContentType="application/vnd.ms-excel.controlproperties+xml"/>
  <Override PartName="/xl/ctrlProps/ctrlProp12.xml" ContentType="application/vnd.ms-excel.controlproperties+xml"/>
  <Override PartName="/xl/ctrlProps/ctrlProp237.xml" ContentType="application/vnd.ms-excel.controlproperties+xml"/>
  <Override PartName="/xl/worksheets/sheet18.xml" ContentType="application/vnd.openxmlformats-officedocument.spreadsheetml.worksheet+xml"/>
  <Override PartName="/xl/ctrlProps/ctrlProp215.xml" ContentType="application/vnd.ms-excel.controlproperties+xml"/>
  <Override PartName="/xl/ctrlProps/ctrlProp226.xml" ContentType="application/vnd.ms-excel.controlproperties+xml"/>
  <Override PartName="/xl/ctrlProps/ctrlProp2.xml" ContentType="application/vnd.ms-excel.controlproperties+xml"/>
  <Override PartName="/xl/ctrlProps/ctrlProp97.xml" ContentType="application/vnd.ms-excel.controlproperties+xml"/>
  <Override PartName="/xl/ctrlProps/ctrlProp199.xml" ContentType="application/vnd.ms-excel.controlproperties+xml"/>
  <Override PartName="/xl/ctrlProps/ctrlProp204.xml" ContentType="application/vnd.ms-excel.controlproperties+xml"/>
  <Override PartName="/xl/activeX/activeX1.bin" ContentType="application/vnd.ms-office.activeX"/>
  <Override PartName="/xl/ctrlProps/ctrlProp240.xml" ContentType="application/vnd.ms-excel.controlproperties+xml"/>
  <Override PartName="/xl/ctrlProps/ctrlProp177.xml" ContentType="application/vnd.ms-excel.controlproperties+xml"/>
  <Override PartName="/xl/ctrlProps/ctrlProp86.xml" ContentType="application/vnd.ms-excel.controlproperties+xml"/>
  <Override PartName="/xl/ctrlProps/ctrlProp75.xml" ContentType="application/vnd.ms-excel.controlproperties+xml"/>
  <Override PartName="/xl/ctrlProps/ctrlProp188.xml" ContentType="application/vnd.ms-excel.controlproperties+xml"/>
  <Override PartName="/xl/ctrlProps/ctrlProp39.xml" ContentType="application/vnd.ms-excel.controlproperties+xml"/>
  <Override PartName="/xl/ctrlProps/ctrlProp28.xml" ContentType="application/vnd.ms-excel.controlproperties+xml"/>
  <Override PartName="/xl/worksheets/sheet8.xml" ContentType="application/vnd.openxmlformats-officedocument.spreadsheetml.worksheet+xml"/>
  <Default Extension="emf" ContentType="image/x-emf"/>
  <Override PartName="/xl/ctrlProps/ctrlProp64.xml" ContentType="application/vnd.ms-excel.controlproperties+xml"/>
  <Override PartName="/xl/ctrlProps/ctrlProp119.xml" ContentType="application/vnd.ms-excel.controlproperties+xml"/>
  <Override PartName="/xl/ctrlProps/ctrlProp166.xml" ContentType="application/vnd.ms-excel.controlproperties+xml"/>
  <Override PartName="/xl/ctrlProps/ctrlProp17.xml" ContentType="application/vnd.ms-excel.controlproperties+xml"/>
  <Override PartName="/xl/worksheets/sheet10.xml" ContentType="application/vnd.openxmlformats-officedocument.spreadsheetml.worksheet+xml"/>
  <Override PartName="/xl/activeX/activeX2.xml" ContentType="application/vnd.ms-office.activeX+xml"/>
  <Override PartName="/xl/comments5.xml" ContentType="application/vnd.openxmlformats-officedocument.spreadsheetml.comments+xml"/>
  <Override PartName="/xl/ctrlProps/ctrlProp155.xml" ContentType="application/vnd.ms-excel.controlproperties+xml"/>
  <Override PartName="/xl/ctrlProps/ctrlProp108.xml" ContentType="application/vnd.ms-excel.controlproperties+xml"/>
  <Override PartName="/xl/ctrlProps/ctrlProp53.xml" ContentType="application/vnd.ms-excel.controlproperties+xml"/>
  <Override PartName="/docProps/app.xml" ContentType="application/vnd.openxmlformats-officedocument.extended-properties+xml"/>
  <Override PartName="/xl/ctrlProps/ctrlProp144.xml" ContentType="application/vnd.ms-excel.controlproperties+xml"/>
  <Override PartName="/xl/ctrlProps/ctrlProp191.xml" ContentType="application/vnd.ms-excel.controlproperties+xml"/>
  <Override PartName="/xl/ctrlProps/ctrlProp42.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ctrlProps/ctrlProp122.xml" ContentType="application/vnd.ms-excel.controlproperties+xml"/>
  <Override PartName="/xl/ctrlProps/ctrlProp133.xml" ContentType="application/vnd.ms-excel.controlproperties+xml"/>
  <Override PartName="/xl/ctrlProps/ctrlProp180.xml" ContentType="application/vnd.ms-excel.controlproperties+xml"/>
  <Override PartName="/xl/ctrlProps/ctrlProp31.xml" ContentType="application/vnd.ms-excel.controlproperties+xml"/>
  <Override PartName="/xl/ctrlProps/ctrlProp20.xml" ContentType="application/vnd.ms-excel.controlproperties+xml"/>
  <Override PartName="/xl/ctrlProps/ctrlProp111.xml" ContentType="application/vnd.ms-excel.controlproperties+xml"/>
  <Override PartName="/xl/ctrlProps/ctrlProp245.xml" ContentType="application/vnd.ms-excel.controlproperties+xml"/>
  <Override PartName="/xl/ctrlProps/ctrlProp209.xml" ContentType="application/vnd.ms-excel.controlproperties+xml"/>
  <Override PartName="/xl/activeX/activeX6.bin" ContentType="application/vnd.ms-office.activeX"/>
  <Override PartName="/xl/ctrlProps/ctrlProp234.xml" ContentType="application/vnd.ms-excel.controlproperties+xml"/>
  <Override PartName="/xl/ctrlProps/ctrlProp100.xml" ContentType="application/vnd.ms-excel.controlproperties+xml"/>
  <Override PartName="/xl/worksheets/sheet15.xml" ContentType="application/vnd.openxmlformats-officedocument.spreadsheetml.worksheet+xml"/>
  <Override PartName="/xl/ctrlProps/ctrlProp69.xml" ContentType="application/vnd.ms-excel.controlproperties+xml"/>
  <Override PartName="/xl/ctrlProps/ctrlProp223.xml" ContentType="application/vnd.ms-excel.controlproperties+xml"/>
  <Override PartName="/xl/ctrlProps/ctrlProp58.xml" ContentType="application/vnd.ms-excel.controlproperties+xml"/>
  <Override PartName="/xl/ctrlProps/ctrlProp149.xml" ContentType="application/vnd.ms-excel.controlproperties+xml"/>
  <Override PartName="/xl/ctrlProps/ctrlProp212.xml" ContentType="application/vnd.ms-excel.controlproperties+xml"/>
  <Override PartName="/xl/ctrlProps/ctrlProp94.xml" ContentType="application/vnd.ms-excel.controlproperties+xml"/>
  <Override PartName="/xl/ctrlProps/ctrlProp196.xml" ContentType="application/vnd.ms-excel.controlproperties+xml"/>
  <Override PartName="/xl/ctrlProps/ctrlProp47.xml" ContentType="application/vnd.ms-excel.controlproperties+xml"/>
  <Override PartName="/xl/worksheets/sheet11.xml" ContentType="application/vnd.openxmlformats-officedocument.spreadsheetml.worksheet+xml"/>
  <Override PartName="/xl/comments6.xml" ContentType="application/vnd.openxmlformats-officedocument.spreadsheetml.comments+xml"/>
  <Override PartName="/xl/ctrlProps/ctrlProp65.xml" ContentType="application/vnd.ms-excel.controlproperties+xml"/>
  <Override PartName="/xl/ctrlProps/ctrlProp138.xml" ContentType="application/vnd.ms-excel.controlproperties+xml"/>
  <Override PartName="/xl/ctrlProps/ctrlProp83.xml" ContentType="application/vnd.ms-excel.controlproperties+xml"/>
  <Override PartName="/xl/ctrlProps/ctrlProp167.xml" ContentType="application/vnd.ms-excel.controlproperties+xml"/>
  <Override PartName="/xl/ctrlProps/ctrlProp185.xml" ContentType="application/vnd.ms-excel.controlproperties+xml"/>
  <Override PartName="/xl/ctrlProps/ctrlProp201.xml" ContentType="application/vnd.ms-excel.controlproperties+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activeX/activeX3.xml" ContentType="application/vnd.ms-office.activeX+xml"/>
  <Override PartName="/xl/ctrlProps/ctrlProp72.xml" ContentType="application/vnd.ms-excel.controlproperties+xml"/>
  <Override PartName="/xl/ctrlProps/ctrlProp90.xml" ContentType="application/vnd.ms-excel.controlproperties+xml"/>
  <Override PartName="/xl/ctrlProps/ctrlProp127.xml" ContentType="application/vnd.ms-excel.controlproperties+xml"/>
  <Override PartName="/xl/ctrlProps/ctrlProp192.xml" ContentType="application/vnd.ms-excel.controlproperties+xml"/>
  <Override PartName="/xl/ctrlProps/ctrlProp145.xml" ContentType="application/vnd.ms-excel.controlproperties+xml"/>
  <Override PartName="/xl/ctrlProps/ctrlProp109.xml" ContentType="application/vnd.ms-excel.controlproperties+xml"/>
  <Override PartName="/xl/ctrlProps/ctrlProp156.xml" ContentType="application/vnd.ms-excel.controlproperties+xml"/>
  <Override PartName="/xl/ctrlProps/ctrlProp174.xml" ContentType="application/vnd.ms-excel.controlproperties+xml"/>
  <Override PartName="/xl/ctrlProps/ctrlProp43.xml" ContentType="application/vnd.ms-excel.controlproperties+xml"/>
  <Override PartName="/xl/ctrlProps/ctrlProp54.xml" ContentType="application/vnd.ms-excel.controlproperties+xml"/>
  <Override PartName="/xl/ctrlProps/ctrlProp25.xml" ContentType="application/vnd.ms-excel.controlproperties+xml"/>
  <Override PartName="/xl/comments2.xml" ContentType="application/vnd.openxmlformats-officedocument.spreadsheetml.comments+xml"/>
  <Override PartName="/xl/ctrlProps/ctrlProp61.xml" ContentType="application/vnd.ms-excel.controlproperties+xml"/>
  <Override PartName="/xl/ctrlProps/ctrlProp116.xml" ContentType="application/vnd.ms-excel.controlproperties+xml"/>
  <Override PartName="/xl/ctrlProps/ctrlProp181.xml" ContentType="application/vnd.ms-excel.controlproperties+xml"/>
  <Override PartName="/xl/ctrlProps/ctrlProp134.xml" ContentType="application/vnd.ms-excel.controlproperties+xml"/>
  <Override PartName="/xl/ctrlProps/ctrlProp163.xml" ContentType="application/vnd.ms-excel.controlproperties+xml"/>
  <Override PartName="/xl/ctrlProps/ctrlProp152.xml" ContentType="application/vnd.ms-excel.controlproperties+xml"/>
  <Override PartName="/xl/ctrlProps/ctrlProp105.xml" ContentType="application/vnd.ms-excel.controlproperties+xml"/>
  <Override PartName="/xl/ctrlProps/ctrlProp50.xml" ContentType="application/vnd.ms-excel.controlproperties+xml"/>
  <Override PartName="/xl/ctrlProps/ctrlProp14.xml" ContentType="application/vnd.ms-excel.controlproperties+xml"/>
  <Override PartName="/xl/ctrlProps/ctrlProp8.xml" ContentType="application/vnd.ms-excel.controlproperties+xml"/>
  <Override PartName="/xl/ctrlProps/ctrlProp32.xml" ContentType="application/vnd.ms-excel.controlproperties+xml"/>
  <Override PartName="/xl/worksheets/sheet1.xml" ContentType="application/vnd.openxmlformats-officedocument.spreadsheetml.worksheet+xml"/>
  <Override PartName="/xl/ctrlProps/ctrlProp239.xml" ContentType="application/vnd.ms-excel.controlproperties+xml"/>
  <Override PartName="/xl/ctrlProps/ctrlProp123.xml" ContentType="application/vnd.ms-excel.controlproperties+xml"/>
  <Override PartName="/xl/ctrlProps/ctrlProp170.xml" ContentType="application/vnd.ms-excel.controlproperties+xml"/>
  <Override PartName="/xl/ctrlProps/ctrlProp141.xml" ContentType="application/vnd.ms-excel.controlproperties+xml"/>
  <Override PartName="/xl/ctrlProps/ctrlProp21.xml" ContentType="application/vnd.ms-excel.controlproperties+xml"/>
  <Override PartName="/xl/ctrlProps/ctrlProp228.xml" ContentType="application/vnd.ms-excel.controlproperties+xml"/>
  <Override PartName="/xl/ctrlProps/ctrlProp101.xml" ContentType="application/vnd.ms-excel.controlproperties+xml"/>
  <Override PartName="/xl/ctrlProps/ctrlProp112.xml" ContentType="application/vnd.ms-excel.controlproperties+xml"/>
  <Override PartName="/xl/ctrlProps/ctrlProp246.xml" ContentType="application/vnd.ms-excel.controlproperties+xml"/>
  <Override PartName="/xl/ctrlProps/ctrlProp217.xml" ContentType="application/vnd.ms-excel.controlproperties+xml"/>
  <Override PartName="/xl/ctrlProps/ctrlProp130.xml" ContentType="application/vnd.ms-excel.controlproperties+xml"/>
  <Override PartName="/xl/ctrlProps/ctrlProp10.xml" ContentType="application/vnd.ms-excel.controlproperties+xml"/>
  <Override PartName="/xl/ctrlProps/ctrlProp4.xml" ContentType="application/vnd.ms-excel.controlproperties+xml"/>
  <Override PartName="/xl/ctrlProps/ctrlProp235.xml" ContentType="application/vnd.ms-excel.controlproperties+xml"/>
  <Override PartName="/xl/ctrlProps/ctrlProp99.xml" ContentType="application/vnd.ms-excel.controlproperties+xml"/>
  <Override PartName="/xl/ctrlProps/ctrlProp206.xml" ContentType="application/vnd.ms-excel.controlproperties+xml"/>
  <Override PartName="/xl/worksheets/sheet16.xml" ContentType="application/vnd.openxmlformats-officedocument.spreadsheetml.worksheet+xml"/>
  <Override PartName="/xl/activeX/activeX3.bin" ContentType="application/vnd.ms-office.activeX"/>
  <Override PartName="/xl/ctrlProps/ctrlProp59.xml" ContentType="application/vnd.ms-excel.controlproperties+xml"/>
  <Override PartName="/xl/ctrlProps/ctrlProp213.xml" ContentType="application/vnd.ms-excel.controlproperties+xml"/>
  <Override PartName="/xl/ctrlProps/ctrlProp224.xml" ContentType="application/vnd.ms-excel.controlproperties+xml"/>
  <Override PartName="/xl/ctrlProps/ctrlProp242.xml" ContentType="application/vnd.ms-excel.controlproperties+xml"/>
  <Override PartName="/xl/ctrlProps/ctrlProp88.xml" ContentType="application/vnd.ms-excel.controlproperties+xml"/>
  <Override PartName="/xl/ctrlProps/ctrlProp77.xml" ContentType="application/vnd.ms-excel.controlproperties+xml"/>
  <Override PartName="/xl/ctrlProps/ctrlProp66.xml" ContentType="application/vnd.ms-excel.controlproperties+xml"/>
  <Override PartName="/xl/ctrlProps/ctrlProp95.xml" ContentType="application/vnd.ms-excel.controlproperties+xml"/>
  <Override PartName="/xl/ctrlProps/ctrlProp202.xml" ContentType="application/vnd.ms-excel.controlproperties+xml"/>
  <Override PartName="/xl/ctrlProps/ctrlProp197.xml" ContentType="application/vnd.ms-excel.controlproperties+xml"/>
  <Override PartName="/xl/ctrlProps/ctrlProp220.xml" ContentType="application/vnd.ms-excel.controlproperties+xml"/>
  <Override PartName="/xl/ctrlProps/ctrlProp168.xml" ContentType="application/vnd.ms-excel.controlproperties+xml"/>
  <Override PartName="/xl/ctrlProps/ctrlProp231.xml" ContentType="application/vnd.ms-excel.controlproperties+xml"/>
  <Override PartName="/xl/ctrlProps/ctrlProp179.xml" ContentType="application/vnd.ms-excel.controlproperties+xml"/>
  <Override PartName="/xl/ctrlProps/ctrlProp48.xml" ContentType="application/vnd.ms-excel.controlproperties+xml"/>
  <Override PartName="/xl/ctrlProps/ctrlProp19.xml" ContentType="application/vnd.ms-excel.controlproperties+xml"/>
  <Override PartName="/xl/worksheets/sheet6.xml" ContentType="application/vnd.openxmlformats-officedocument.spreadsheetml.worksheet+xml"/>
  <Override PartName="/xl/worksheets/sheet12.xml" ContentType="application/vnd.openxmlformats-officedocument.spreadsheetml.worksheet+xml"/>
  <Override PartName="/xl/comments7.xml" ContentType="application/vnd.openxmlformats-officedocument.spreadsheetml.comments+xml"/>
  <Override PartName="/xl/ctrlProps/ctrlProp73.xml" ContentType="application/vnd.ms-excel.controlproperties+xml"/>
  <Override PartName="/xl/ctrlProps/ctrlProp186.xml" ContentType="application/vnd.ms-excel.controlproperties+xml"/>
  <Override PartName="/xl/ctrlProps/ctrlProp128.xml" ContentType="application/vnd.ms-excel.controlproperties+xml"/>
  <Override PartName="/xl/ctrlProps/ctrlProp139.xml" ContentType="application/vnd.ms-excel.controlproperties+xml"/>
  <Override PartName="/xl/ctrlProps/ctrlProp157.xml" ContentType="application/vnd.ms-excel.controlproperties+xml"/>
  <Override PartName="/xl/ctrlProps/ctrlProp84.xml" ContentType="application/vnd.ms-excel.controlproperties+xml"/>
  <Override PartName="/xl/ctrlProps/ctrlProp175.xml" ContentType="application/vnd.ms-excel.controlproperties+xml"/>
  <Override PartName="/xl/ctrlProps/ctrlProp55.xml" ContentType="application/vnd.ms-excel.controlproperties+xml"/>
  <Override PartName="/xl/ctrlProps/ctrlProp26.xml" ContentType="application/vnd.ms-excel.controlproperties+xml"/>
  <Override PartName="/xl/ctrlProps/ctrlProp37.xml" ContentType="application/vnd.ms-excel.controlproperties+xml"/>
  <Override PartName="/xl/activeX/activeX4.xml" ContentType="application/vnd.ms-office.activeX+xml"/>
  <Override PartName="/xl/ctrlProps/ctrlProp62.xml" ContentType="application/vnd.ms-excel.controlproperties+xml"/>
  <Override PartName="/xl/ctrlProps/ctrlProp164.xml" ContentType="application/vnd.ms-excel.controlproperties+xml"/>
  <Override PartName="/xl/ctrlProps/ctrlProp91.xml" ContentType="application/vnd.ms-excel.controlproperties+xml"/>
  <Override PartName="/xl/ctrlProps/ctrlProp117.xml" ContentType="application/vnd.ms-excel.controlproperties+xml"/>
  <Override PartName="/xl/ctrlProps/ctrlProp193.xml" ContentType="application/vnd.ms-excel.controlproperties+xml"/>
  <Override PartName="/xl/ctrlProps/ctrlProp146.xml" ContentType="application/vnd.ms-excel.controlproperties+xml"/>
  <Override PartName="/xl/ctrlProps/ctrlProp44.xml" ContentType="application/vnd.ms-excel.controlproperties+xml"/>
  <Override PartName="/xl/ctrlProps/ctrlProp15.xml" ContentType="application/vnd.ms-excel.controlproperties+xml"/>
  <Override PartName="/xl/ctrlProps/ctrlProp9.xml" ContentType="application/vnd.ms-excel.controlproperties+xml"/>
  <Override PartName="/xl/worksheets/sheet2.xml" ContentType="application/vnd.openxmlformats-officedocument.spreadsheetml.worksheet+xml"/>
  <Override PartName="/xl/comments3.xml" ContentType="application/vnd.openxmlformats-officedocument.spreadsheetml.comments+xml"/>
  <Override PartName="/xl/ctrlProps/ctrlProp153.xml" ContentType="application/vnd.ms-excel.controlproperties+xml"/>
  <Override PartName="/xl/ctrlProps/ctrlProp80.xml" ContentType="application/vnd.ms-excel.controlproperties+xml"/>
  <Override PartName="/xl/ctrlProps/ctrlProp106.xml" ContentType="application/vnd.ms-excel.controlproperties+xml"/>
  <Override PartName="/xl/ctrlProps/ctrlProp171.xml" ContentType="application/vnd.ms-excel.controlproperties+xml"/>
  <Override PartName="/xl/ctrlProps/ctrlProp182.xml" ContentType="application/vnd.ms-excel.controlproperties+xml"/>
  <Override PartName="/xl/ctrlProps/ctrlProp124.xml" ContentType="application/vnd.ms-excel.controlproperties+xml"/>
  <Override PartName="/xl/ctrlProps/ctrlProp135.xml" ContentType="application/vnd.ms-excel.controlproperties+xml"/>
  <Override PartName="/xl/ctrlProps/ctrlProp51.xml" ContentType="application/vnd.ms-excel.controlproperties+xml"/>
  <Override PartName="/xl/ctrlProps/ctrlProp22.xml" ContentType="application/vnd.ms-excel.controlproperties+xml"/>
  <Override PartName="/xl/ctrlProps/ctrlProp33.xml" ContentType="application/vnd.ms-excel.controlproperties+xml"/>
  <Override PartName="/xl/ctrlProps/ctrlProp229.xml" ContentType="application/vnd.ms-excel.controlproperties+xml"/>
  <Override PartName="/xl/ctrlProps/ctrlProp160.xml" ContentType="application/vnd.ms-excel.controlproperties+xml"/>
  <Override PartName="/xl/ctrlProps/ctrlProp113.xml" ContentType="application/vnd.ms-excel.controlproperties+xml"/>
  <Override PartName="/xl/ctrlProps/ctrlProp142.xml" ContentType="application/vnd.ms-excel.controlproperties+xml"/>
  <Override PartName="/xl/ctrlProps/ctrlProp40.xml" ContentType="application/vnd.ms-excel.controlproperties+xml"/>
  <Override PartName="/xl/ctrlProps/ctrlProp5.xml" ContentType="application/vnd.ms-excel.controlproperties+xml"/>
  <Override PartName="/xl/ctrlProps/ctrlProp11.xml" ContentType="application/vnd.ms-excel.controlproperties+xml"/>
  <Override PartName="/xl/ctrlProps/ctrlProp218.xml" ContentType="application/vnd.ms-excel.controlproperties+xml"/>
  <Override PartName="/xl/ctrlProps/ctrlProp102.xml" ContentType="application/vnd.ms-excel.controlproperties+xml"/>
  <Override PartName="/xl/ctrlProps/ctrlProp236.xml" ContentType="application/vnd.ms-excel.controlproperties+xml"/>
  <Override PartName="/xl/ctrlProps/ctrlProp247.xml" ContentType="application/vnd.ms-excel.controlproperties+xml"/>
  <Override PartName="/xl/ctrlProps/ctrlProp120.xml" ContentType="application/vnd.ms-excel.controlproperties+xml"/>
  <Override PartName="/xl/ctrlProps/ctrlProp131.xml" ContentType="application/vnd.ms-excel.controlproperties+xml"/>
  <Override PartName="/xl/worksheets/sheet17.xml" ContentType="application/vnd.openxmlformats-officedocument.spreadsheetml.worksheet+xml"/>
  <Override PartName="/xl/ctrlProps/ctrlProp207.xml" ContentType="application/vnd.ms-excel.controlproperties+xml"/>
  <Override PartName="/xl/ctrlProps/ctrlProp225.xml" ContentType="application/vnd.ms-excel.controlproperties+xml"/>
  <Override PartName="/xl/ctrlProps/ctrlProp89.xml" ContentType="application/vnd.ms-excel.controlproperties+xml"/>
  <Override PartName="/xl/ctrlProps/ctrlProp243.xml" ContentType="application/vnd.ms-excel.controlproperties+xml"/>
  <Override PartName="/xl/ctrlProps/ctrlProp1.xml" ContentType="application/vnd.ms-excel.controlproperties+xml"/>
  <Override PartName="/xl/ctrlProps/ctrlProp96.xml" ContentType="application/vnd.ms-excel.controlproperties+xml"/>
  <Override PartName="/xl/ctrlProps/ctrlProp198.xml" ContentType="application/vnd.ms-excel.controlproperties+xml"/>
  <Override PartName="/xl/ctrlProps/ctrlProp214.xml" ContentType="application/vnd.ms-excel.controlproperties+xml"/>
  <Override PartName="/xl/ctrlProps/ctrlProp49.xml" ContentType="application/vnd.ms-excel.controlproperties+xml"/>
  <Override PartName="/xl/ctrlProps/ctrlProp85.xml" ContentType="application/vnd.ms-excel.controlproperties+xml"/>
  <Override PartName="/xl/ctrlProps/ctrlProp187.xml" ContentType="application/vnd.ms-excel.controlproperties+xml"/>
  <Override PartName="/xl/ctrlProps/ctrlProp203.xml" ContentType="application/vnd.ms-excel.controlproperties+xml"/>
  <Override PartName="/xl/ctrlProps/ctrlProp38.xml" ContentType="application/vnd.ms-excel.controlproperties+xml"/>
  <Override PartName="/xl/worksheets/sheet7.xml" ContentType="application/vnd.openxmlformats-officedocument.spreadsheetml.worksheet+xml"/>
  <Override PartName="/xl/vbaProject.bin" ContentType="application/vnd.ms-office.vbaProject"/>
  <Override PartName="/xl/ctrlProps/ctrlProp176.xml" ContentType="application/vnd.ms-excel.controlproperties+xml"/>
  <Override PartName="/xl/ctrlProps/ctrlProp74.xml" ContentType="application/vnd.ms-excel.controlproperties+xml"/>
  <Override PartName="/xl/ctrlProps/ctrlProp129.xml" ContentType="application/vnd.ms-excel.controlproperties+xml"/>
  <Override PartName="/xl/ctrlProps/ctrlProp27.xml" ContentType="application/vnd.ms-excel.controlproperties+xml"/>
  <Override PartName="/xl/comments4.xml" ContentType="application/vnd.openxmlformats-officedocument.spreadsheetml.comments+xml"/>
  <Override PartName="/xl/ctrlProps/ctrlProp63.xml" ContentType="application/vnd.ms-excel.controlproperties+xml"/>
  <Override PartName="/xl/ctrlProps/ctrlProp107.xml" ContentType="application/vnd.ms-excel.controlproperties+xml"/>
  <Override PartName="/xl/ctrlProps/ctrlProp165.xml" ContentType="application/vnd.ms-excel.controlproperties+xml"/>
  <Override PartName="/xl/ctrlProps/ctrlProp118.xml" ContentType="application/vnd.ms-excel.controlproperties+xml"/>
  <Override PartName="/xl/ctrlProps/ctrlProp52.xml" ContentType="application/vnd.ms-excel.controlproperties+xml"/>
  <Override PartName="/xl/ctrlProps/ctrlProp16.xml" ContentType="application/vnd.ms-excel.controlproperties+xml"/>
  <Override PartName="/xl/activeX/activeX1.xml" ContentType="application/vnd.ms-office.activeX+xml"/>
  <Override PartName="/xl/ctrlProps/ctrlProp143.xml" ContentType="application/vnd.ms-excel.controlproperties+xml"/>
  <Override PartName="/xl/ctrlProps/ctrlProp154.xml" ContentType="application/vnd.ms-excel.controlproperties+xml"/>
  <Override PartName="/xl/ctrlProps/ctrlProp190.xml" ContentType="application/vnd.ms-excel.controlproperties+xml"/>
  <Override PartName="/xl/ctrlProps/ctrlProp41.xml" ContentType="application/vnd.ms-excel.controlproperties+xml"/>
  <Override PartName="/xl/ctrlProps/ctrlProp132.xml" ContentType="application/vnd.ms-excel.controlproperties+xml"/>
  <Override PartName="/xl/ctrlProps/ctrlProp219.xml" ContentType="application/vnd.ms-excel.controlproperties+xml"/>
  <Override PartName="/xl/ctrlProps/ctrlProp30.xml" ContentType="application/vnd.ms-excel.controlproperties+xml"/>
  <Override PartName="/xl/ctrlProps/ctrlProp6.xml" ContentType="application/vnd.ms-excel.controlproperties+xml"/>
  <Override PartName="/xl/sharedStrings.xml" ContentType="application/vnd.openxmlformats-officedocument.spreadsheetml.sharedStrings+xml"/>
  <Override PartName="/xl/ctrlProps/ctrlProp208.xml" ContentType="application/vnd.ms-excel.controlproperties+xml"/>
  <Override PartName="/xl/ctrlProps/ctrlProp121.xml" ContentType="application/vnd.ms-excel.controlproperties+xml"/>
  <Override PartName="/xl/activeX/activeX5.bin" ContentType="application/vnd.ms-office.activeX"/>
  <Override PartName="/xl/ctrlProps/ctrlProp244.xml" ContentType="application/vnd.ms-excel.controlproperties+xml"/>
  <Override PartName="/xl/ctrlProps/ctrlProp110.xml" ContentType="application/vnd.ms-excel.controlproperties+xml"/>
  <Default Extension="bin" ContentType="application/vnd.openxmlformats-officedocument.spreadsheetml.printerSettings"/>
  <Override PartName="/xl/ctrlProps/ctrlProp68.xml" ContentType="application/vnd.ms-excel.controlproperties+xml"/>
  <Override PartName="/xl/ctrlProps/ctrlProp79.xml" ContentType="application/vnd.ms-excel.controlproperties+xml"/>
  <Override PartName="/xl/ctrlProps/ctrlProp233.xml" ContentType="application/vnd.ms-excel.controlproperties+xml"/>
  <Override PartName="/xl/ctrlProps/ctrlProp222.xml" ContentType="application/vnd.ms-excel.controlproperties+xml"/>
  <Override PartName="/xl/worksheets/sheet14.xml" ContentType="application/vnd.openxmlformats-officedocument.spreadsheetml.worksheet+xml"/>
  <Override PartName="/xl/ctrlProps/ctrlProp57.xml" ContentType="application/vnd.ms-excel.controlproperties+xml"/>
  <Override PartName="/xl/ctrlProps/ctrlProp159.xml" ContentType="application/vnd.ms-excel.controlproperties+xml"/>
  <Override PartName="/xl/ctrlProps/ctrlProp211.xml" ContentType="application/vnd.ms-excel.controlproperties+xml"/>
  <Override PartName="/xl/activeX/activeX6.xml" ContentType="application/vnd.ms-office.activeX+xml"/>
  <Override PartName="/xl/ctrlProps/ctrlProp148.xml" ContentType="application/vnd.ms-excel.controlproperties+xml"/>
  <Override PartName="/xl/ctrlProps/ctrlProp93.xml" ContentType="application/vnd.ms-excel.controlproperties+xml"/>
  <Override PartName="/xl/ctrlProps/ctrlProp200.xml" ContentType="application/vnd.ms-excel.controlproperties+xml"/>
  <Override PartName="/xl/ctrlProps/ctrlProp195.xml" ContentType="application/vnd.ms-excel.controlproperties+xml"/>
  <Override PartName="/xl/ctrlProps/ctrlProp46.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ctrlProps/ctrlProp71.xml" ContentType="application/vnd.ms-excel.controlproperties+xml"/>
  <Override PartName="/xl/ctrlProps/ctrlProp137.xml" ContentType="application/vnd.ms-excel.controlproperties+xml"/>
  <Override PartName="/xl/ctrlProps/ctrlProp82.xml" ContentType="application/vnd.ms-excel.controlproperties+xml"/>
  <Override PartName="/xl/ctrlProps/ctrlProp173.xml" ContentType="application/vnd.ms-excel.controlproperties+xml"/>
  <Override PartName="/xl/ctrlProps/ctrlProp184.xml" ContentType="application/vnd.ms-excel.controlproperties+xml"/>
  <Override PartName="/xl/ctrlProps/ctrlProp126.xml" ContentType="application/vnd.ms-excel.controlproperties+xml"/>
  <Override PartName="/xl/ctrlProps/ctrlProp35.xml" ContentType="application/vnd.ms-excel.controlproperties+xml"/>
  <Override PartName="/xl/ctrlProps/ctrlProp24.xml" ContentType="application/vnd.ms-excel.controlproperties+xml"/>
  <Override PartName="/xl/ctrlProps/ctrlProp60.xml" ContentType="application/vnd.ms-excel.controlproperties+xml"/>
  <Override PartName="/xl/ctrlProps/ctrlProp162.xml" ContentType="application/vnd.ms-excel.controlproperties+xml"/>
  <Override PartName="/xl/ctrlProps/ctrlProp115.xml" ContentType="application/vnd.ms-excel.controlproperties+xml"/>
  <Override PartName="/xl/ctrlProps/ctrlProp13.xml" ContentType="application/vnd.ms-excel.controlproperties+xml"/>
  <Default Extension="vml" ContentType="application/vnd.openxmlformats-officedocument.vmlDrawing"/>
  <Override PartName="/xl/comments1.xml" ContentType="application/vnd.openxmlformats-officedocument.spreadsheetml.comments+xml"/>
  <Override PartName="/xl/ctrlProps/ctrlProp238.xml" ContentType="application/vnd.ms-excel.controlproperties+xml"/>
  <Override PartName="/xl/ctrlProps/ctrlProp249.xml" ContentType="application/vnd.ms-excel.controlproperties+xml"/>
  <Override PartName="/xl/ctrlProps/ctrlProp151.xml" ContentType="application/vnd.ms-excel.controlproperties+xml"/>
  <Override PartName="/xl/ctrlProps/ctrlProp104.xml" ContentType="application/vnd.ms-excel.controlproperties+xml"/>
  <Override PartName="/xl/worksheets/sheet19.xml" ContentType="application/vnd.openxmlformats-officedocument.spreadsheetml.worksheet+xml"/>
  <Override PartName="/xl/ctrlProps/ctrlProp140.xml" ContentType="application/vnd.ms-excel.controlproperties+xml"/>
  <Override PartName="/xl/ctrlProps/ctrlProp227.xml" ContentType="application/vnd.ms-excel.controlproperties+xml"/>
  <Override PartName="/xl/ctrlProps/ctrlProp3.xml" ContentType="application/vnd.ms-excel.controlproperties+xml"/>
  <Override PartName="/xl/ctrlProps/ctrlProp98.xml" ContentType="application/vnd.ms-excel.controlproperties+xml"/>
  <Override PartName="/xl/ctrlProps/ctrlProp216.xml" ContentType="application/vnd.ms-excel.controlproperties+xml"/>
  <Override PartName="/docProps/core.xml" ContentType="application/vnd.openxmlformats-package.core-properties+xml"/>
  <Override PartName="/xl/activeX/activeX2.bin" ContentType="application/vnd.ms-office.activeX"/>
  <Override PartName="/xl/ctrlProps/ctrlProp241.xml" ContentType="application/vnd.ms-excel.controlproperties+xml"/>
  <Override PartName="/xl/ctrlProps/ctrlProp87.xml" ContentType="application/vnd.ms-excel.controlproperties+xml"/>
  <Override PartName="/xl/ctrlProps/ctrlProp189.xml" ContentType="application/vnd.ms-excel.controlproperties+xml"/>
  <Override PartName="/xl/ctrlProps/ctrlProp205.xml" ContentType="application/vnd.ms-excel.controlproperties+xml"/>
  <Override PartName="/xl/worksheets/sheet9.xml" ContentType="application/vnd.openxmlformats-officedocument.spreadsheetml.worksheet+xml"/>
  <Override PartName="/xl/theme/theme1.xml" ContentType="application/vnd.openxmlformats-officedocument.theme+xml"/>
  <Override PartName="/xl/ctrlProps/ctrlProp230.xml" ContentType="application/vnd.ms-excel.controlproperties+xml"/>
  <Override PartName="/xl/ctrlProps/ctrlProp178.xml" ContentType="application/vnd.ms-excel.controlproperties+xml"/>
  <Override PartName="/xl/ctrlProps/ctrlProp76.xml" ContentType="application/vnd.ms-excel.controlproperties+xml"/>
  <Override PartName="/xl/ctrlProps/ctrlProp2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285" yWindow="450" windowWidth="22695" windowHeight="9150" tabRatio="922"/>
  </bookViews>
  <sheets>
    <sheet name="Quote" sheetId="18" r:id="rId1"/>
    <sheet name="LearnMate7" sheetId="3" r:id="rId2"/>
    <sheet name="Jobmaster" sheetId="1" r:id="rId3"/>
    <sheet name="Robotics" sheetId="5" r:id="rId4"/>
    <sheet name="Automation &amp; Process Control" sheetId="8" r:id="rId5"/>
    <sheet name="Machining" sheetId="10" r:id="rId6"/>
    <sheet name="CIM&amp;FMS" sheetId="12" r:id="rId7"/>
    <sheet name="LearnMate7-Detailed" sheetId="4" r:id="rId8"/>
    <sheet name="Jobmaster-Detailed" sheetId="2" r:id="rId9"/>
    <sheet name="Robotics-Detailed" sheetId="6" r:id="rId10"/>
    <sheet name="Automation &amp; P. Cntrl-Deteailed" sheetId="9" r:id="rId11"/>
    <sheet name="Machining-Detailed" sheetId="11" r:id="rId12"/>
    <sheet name="CIM&amp;FMS-Detailed" sheetId="13" r:id="rId13"/>
    <sheet name="LM7 Non-ENG" sheetId="7" r:id="rId14"/>
    <sheet name="PLInter" sheetId="14" r:id="rId15"/>
    <sheet name="PN" sheetId="15" r:id="rId16"/>
    <sheet name="Bundles" sheetId="19" r:id="rId17"/>
    <sheet name="Foundation Skills" sheetId="16" r:id="rId18"/>
    <sheet name="Foundation Skills-Detailed" sheetId="17" r:id="rId19"/>
  </sheets>
  <definedNames>
    <definedName name="_xlnm._FilterDatabase" localSheetId="10" hidden="1">'Automation &amp; P. Cntrl-Deteailed'!$A$1:$T$409</definedName>
    <definedName name="_xlnm._FilterDatabase" localSheetId="4" hidden="1">'Automation &amp; Process Control'!$A$1:$M$72</definedName>
    <definedName name="_xlnm._FilterDatabase" localSheetId="12" hidden="1">'CIM&amp;FMS-Detailed'!$A$1:$S$2554</definedName>
    <definedName name="_xlnm._FilterDatabase" localSheetId="8" hidden="1">'Jobmaster-Detailed'!$A$1:$T$789</definedName>
    <definedName name="_xlnm._FilterDatabase" localSheetId="1" hidden="1">LearnMate7!$A$1:$M$18</definedName>
    <definedName name="_xlnm._FilterDatabase" localSheetId="7" hidden="1">'LearnMate7-Detailed'!$A$1:$S$108</definedName>
    <definedName name="_xlnm._FilterDatabase" localSheetId="5" hidden="1">Machining!$A$1:$M$179</definedName>
    <definedName name="_xlnm._FilterDatabase" localSheetId="11" hidden="1">'Machining-Detailed'!$A$1:$T$8</definedName>
    <definedName name="_xlnm._FilterDatabase" localSheetId="14" hidden="1">PLInter!$A$2:$D$1428</definedName>
    <definedName name="_xlnm._FilterDatabase" localSheetId="3" hidden="1">Robotics!$A$1:$M$69</definedName>
    <definedName name="_xlnm._FilterDatabase" localSheetId="9" hidden="1">'Robotics-Detailed'!$A$1:$S$108</definedName>
  </definedNames>
  <calcPr calcId="125725"/>
</workbook>
</file>

<file path=xl/calcChain.xml><?xml version="1.0" encoding="utf-8"?>
<calcChain xmlns="http://schemas.openxmlformats.org/spreadsheetml/2006/main">
  <c r="D2" i="18"/>
  <c r="W4779" i="19"/>
  <c r="S4779"/>
  <c r="Q4779"/>
  <c r="P4779"/>
  <c r="M4779"/>
  <c r="K4779"/>
  <c r="H4779"/>
  <c r="C4779"/>
  <c r="G4779"/>
  <c r="E4779"/>
  <c r="B4779"/>
  <c r="A4779"/>
  <c r="W4778"/>
  <c r="S4778"/>
  <c r="Q4778"/>
  <c r="P4778"/>
  <c r="M4778"/>
  <c r="K4778"/>
  <c r="H4778"/>
  <c r="C4778"/>
  <c r="G4778"/>
  <c r="E4778"/>
  <c r="B4778"/>
  <c r="A4778"/>
  <c r="W4777"/>
  <c r="S4777"/>
  <c r="Q4777"/>
  <c r="P4777"/>
  <c r="M4777"/>
  <c r="K4777"/>
  <c r="H4777"/>
  <c r="C4777"/>
  <c r="G4777"/>
  <c r="E4777"/>
  <c r="B4777"/>
  <c r="A4777"/>
  <c r="W4776"/>
  <c r="S4776"/>
  <c r="Q4776"/>
  <c r="P4776"/>
  <c r="M4776"/>
  <c r="K4776"/>
  <c r="H4776"/>
  <c r="C4776"/>
  <c r="G4776"/>
  <c r="E4776"/>
  <c r="B4776"/>
  <c r="A4776"/>
  <c r="W4775"/>
  <c r="S4775"/>
  <c r="Q4775"/>
  <c r="P4775"/>
  <c r="M4775"/>
  <c r="K4775"/>
  <c r="H4775"/>
  <c r="C4775"/>
  <c r="G4775"/>
  <c r="E4775"/>
  <c r="B4775"/>
  <c r="A4775"/>
  <c r="W4774"/>
  <c r="S4774"/>
  <c r="Q4774"/>
  <c r="P4774"/>
  <c r="M4774"/>
  <c r="K4774"/>
  <c r="H4774"/>
  <c r="C4774"/>
  <c r="G4774"/>
  <c r="E4774"/>
  <c r="B4774"/>
  <c r="A4774"/>
  <c r="W4773"/>
  <c r="S4773"/>
  <c r="Q4773"/>
  <c r="P4773"/>
  <c r="M4773"/>
  <c r="K4773"/>
  <c r="H4773"/>
  <c r="C4773"/>
  <c r="G4773"/>
  <c r="E4773"/>
  <c r="B4773"/>
  <c r="A4773"/>
  <c r="W4772"/>
  <c r="S4772"/>
  <c r="Q4772"/>
  <c r="P4772"/>
  <c r="M4772"/>
  <c r="K4772"/>
  <c r="H4772"/>
  <c r="C4772"/>
  <c r="G4772"/>
  <c r="E4772"/>
  <c r="B4772"/>
  <c r="A4772"/>
  <c r="W4771"/>
  <c r="S4771"/>
  <c r="Q4771"/>
  <c r="P4771"/>
  <c r="M4771"/>
  <c r="K4771"/>
  <c r="H4771"/>
  <c r="C4771"/>
  <c r="G4771"/>
  <c r="E4771"/>
  <c r="B4771"/>
  <c r="A4771"/>
  <c r="W4770"/>
  <c r="S4770"/>
  <c r="Q4770"/>
  <c r="P4770"/>
  <c r="M4770"/>
  <c r="K4770"/>
  <c r="H4770"/>
  <c r="C4770"/>
  <c r="G4770"/>
  <c r="E4770"/>
  <c r="B4770"/>
  <c r="A4770"/>
  <c r="W4769"/>
  <c r="S4769"/>
  <c r="Q4769"/>
  <c r="P4769"/>
  <c r="M4769"/>
  <c r="K4769"/>
  <c r="H4769"/>
  <c r="C4769"/>
  <c r="G4769"/>
  <c r="E4769"/>
  <c r="B4769"/>
  <c r="A4769"/>
  <c r="W4768"/>
  <c r="S4768"/>
  <c r="Q4768"/>
  <c r="P4768"/>
  <c r="M4768"/>
  <c r="K4768"/>
  <c r="H4768"/>
  <c r="C4768"/>
  <c r="G4768"/>
  <c r="E4768"/>
  <c r="B4768"/>
  <c r="A4768"/>
  <c r="W4767"/>
  <c r="S4767"/>
  <c r="Q4767"/>
  <c r="P4767"/>
  <c r="M4767"/>
  <c r="K4767"/>
  <c r="H4767"/>
  <c r="C4767"/>
  <c r="G4767"/>
  <c r="E4767"/>
  <c r="B4767"/>
  <c r="A4767"/>
  <c r="W4766"/>
  <c r="S4766"/>
  <c r="Q4766"/>
  <c r="P4766"/>
  <c r="M4766"/>
  <c r="K4766"/>
  <c r="H4766"/>
  <c r="C4766"/>
  <c r="G4766"/>
  <c r="E4766"/>
  <c r="B4766"/>
  <c r="A4766"/>
  <c r="W4765"/>
  <c r="S4765"/>
  <c r="Q4765"/>
  <c r="P4765"/>
  <c r="M4765"/>
  <c r="K4765"/>
  <c r="H4765"/>
  <c r="C4765"/>
  <c r="G4765"/>
  <c r="E4765"/>
  <c r="B4765"/>
  <c r="A4765"/>
  <c r="W4764"/>
  <c r="S4764"/>
  <c r="Q4764"/>
  <c r="P4764"/>
  <c r="M4764"/>
  <c r="K4764"/>
  <c r="H4764"/>
  <c r="C4764"/>
  <c r="G4764"/>
  <c r="E4764"/>
  <c r="B4764"/>
  <c r="A4764"/>
  <c r="W4763"/>
  <c r="S4763"/>
  <c r="Q4763"/>
  <c r="P4763"/>
  <c r="M4763"/>
  <c r="K4763"/>
  <c r="H4763"/>
  <c r="C4763"/>
  <c r="G4763"/>
  <c r="E4763"/>
  <c r="B4763"/>
  <c r="A4763"/>
  <c r="W4762"/>
  <c r="S4762"/>
  <c r="Q4762"/>
  <c r="P4762"/>
  <c r="M4762"/>
  <c r="K4762"/>
  <c r="H4762"/>
  <c r="C4762"/>
  <c r="G4762"/>
  <c r="E4762"/>
  <c r="B4762"/>
  <c r="A4762"/>
  <c r="W4761"/>
  <c r="S4761"/>
  <c r="Q4761"/>
  <c r="P4761"/>
  <c r="M4761"/>
  <c r="K4761"/>
  <c r="H4761"/>
  <c r="C4761"/>
  <c r="G4761"/>
  <c r="E4761"/>
  <c r="B4761"/>
  <c r="A4761"/>
  <c r="W4760"/>
  <c r="S4760"/>
  <c r="Q4760"/>
  <c r="P4760"/>
  <c r="M4760"/>
  <c r="K4760"/>
  <c r="H4760"/>
  <c r="C4760"/>
  <c r="G4760"/>
  <c r="E4760"/>
  <c r="B4760"/>
  <c r="A4760"/>
  <c r="W4759"/>
  <c r="S4759"/>
  <c r="Q4759"/>
  <c r="P4759"/>
  <c r="M4759"/>
  <c r="K4759"/>
  <c r="H4759"/>
  <c r="C4759"/>
  <c r="G4759"/>
  <c r="E4759"/>
  <c r="B4759"/>
  <c r="A4759"/>
  <c r="W4758"/>
  <c r="S4758"/>
  <c r="Q4758"/>
  <c r="P4758"/>
  <c r="M4758"/>
  <c r="K4758"/>
  <c r="H4758"/>
  <c r="C4758"/>
  <c r="G4758"/>
  <c r="E4758"/>
  <c r="B4758"/>
  <c r="A4758"/>
  <c r="W4757"/>
  <c r="S4757"/>
  <c r="Q4757"/>
  <c r="P4757"/>
  <c r="M4757"/>
  <c r="K4757"/>
  <c r="H4757"/>
  <c r="C4757"/>
  <c r="G4757"/>
  <c r="E4757"/>
  <c r="B4757"/>
  <c r="A4757"/>
  <c r="W4756"/>
  <c r="S4756"/>
  <c r="Q4756"/>
  <c r="P4756"/>
  <c r="M4756"/>
  <c r="K4756"/>
  <c r="H4756"/>
  <c r="C4756"/>
  <c r="G4756"/>
  <c r="E4756"/>
  <c r="B4756"/>
  <c r="A4756"/>
  <c r="W4755"/>
  <c r="S4755"/>
  <c r="Q4755"/>
  <c r="P4755"/>
  <c r="M4755"/>
  <c r="K4755"/>
  <c r="H4755"/>
  <c r="C4755"/>
  <c r="G4755"/>
  <c r="E4755"/>
  <c r="B4755"/>
  <c r="A4755"/>
  <c r="W4754"/>
  <c r="S4754"/>
  <c r="Q4754"/>
  <c r="P4754"/>
  <c r="M4754"/>
  <c r="K4754"/>
  <c r="H4754"/>
  <c r="C4754"/>
  <c r="G4754"/>
  <c r="E4754"/>
  <c r="B4754"/>
  <c r="A4754"/>
  <c r="W4753"/>
  <c r="S4753"/>
  <c r="Q4753"/>
  <c r="P4753"/>
  <c r="M4753"/>
  <c r="K4753"/>
  <c r="H4753"/>
  <c r="C4753"/>
  <c r="G4753"/>
  <c r="E4753"/>
  <c r="B4753"/>
  <c r="A4753"/>
  <c r="W4752"/>
  <c r="S4752"/>
  <c r="Q4752"/>
  <c r="P4752"/>
  <c r="M4752"/>
  <c r="K4752"/>
  <c r="H4752"/>
  <c r="C4752"/>
  <c r="G4752"/>
  <c r="E4752"/>
  <c r="B4752"/>
  <c r="A4752"/>
  <c r="W4751"/>
  <c r="S4751"/>
  <c r="Q4751"/>
  <c r="P4751"/>
  <c r="M4751"/>
  <c r="K4751"/>
  <c r="H4751"/>
  <c r="C4751"/>
  <c r="G4751"/>
  <c r="E4751"/>
  <c r="B4751"/>
  <c r="A4751"/>
  <c r="W4750"/>
  <c r="S4750"/>
  <c r="Q4750"/>
  <c r="P4750"/>
  <c r="M4750"/>
  <c r="K4750"/>
  <c r="H4750"/>
  <c r="C4750"/>
  <c r="G4750"/>
  <c r="E4750"/>
  <c r="B4750"/>
  <c r="A4750"/>
  <c r="W4749"/>
  <c r="S4749"/>
  <c r="Q4749"/>
  <c r="P4749"/>
  <c r="M4749"/>
  <c r="K4749"/>
  <c r="H4749"/>
  <c r="C4749"/>
  <c r="G4749"/>
  <c r="E4749"/>
  <c r="B4749"/>
  <c r="A4749"/>
  <c r="W4748"/>
  <c r="S4748"/>
  <c r="Q4748"/>
  <c r="P4748"/>
  <c r="M4748"/>
  <c r="K4748"/>
  <c r="H4748"/>
  <c r="C4748"/>
  <c r="G4748"/>
  <c r="E4748"/>
  <c r="B4748"/>
  <c r="A4748"/>
  <c r="W4747"/>
  <c r="S4747"/>
  <c r="Q4747"/>
  <c r="P4747"/>
  <c r="M4747"/>
  <c r="K4747"/>
  <c r="H4747"/>
  <c r="C4747"/>
  <c r="G4747"/>
  <c r="E4747"/>
  <c r="B4747"/>
  <c r="A4747"/>
  <c r="W4746"/>
  <c r="S4746"/>
  <c r="Q4746"/>
  <c r="P4746"/>
  <c r="M4746"/>
  <c r="K4746"/>
  <c r="H4746"/>
  <c r="C4746"/>
  <c r="G4746"/>
  <c r="E4746"/>
  <c r="B4746"/>
  <c r="A4746"/>
  <c r="W4745"/>
  <c r="S4745"/>
  <c r="Q4745"/>
  <c r="P4745"/>
  <c r="M4745"/>
  <c r="K4745"/>
  <c r="H4745"/>
  <c r="C4745"/>
  <c r="G4745"/>
  <c r="E4745"/>
  <c r="B4745"/>
  <c r="A4745"/>
  <c r="W4744"/>
  <c r="S4744"/>
  <c r="Q4744"/>
  <c r="P4744"/>
  <c r="M4744"/>
  <c r="K4744"/>
  <c r="H4744"/>
  <c r="C4744"/>
  <c r="G4744"/>
  <c r="E4744"/>
  <c r="B4744"/>
  <c r="A4744"/>
  <c r="W4743"/>
  <c r="S4743"/>
  <c r="Q4743"/>
  <c r="P4743"/>
  <c r="M4743"/>
  <c r="K4743"/>
  <c r="H4743"/>
  <c r="C4743"/>
  <c r="G4743"/>
  <c r="E4743"/>
  <c r="B4743"/>
  <c r="A4743"/>
  <c r="W4742"/>
  <c r="S4742"/>
  <c r="Q4742"/>
  <c r="P4742"/>
  <c r="M4742"/>
  <c r="K4742"/>
  <c r="H4742"/>
  <c r="C4742"/>
  <c r="G4742"/>
  <c r="E4742"/>
  <c r="B4742"/>
  <c r="A4742"/>
  <c r="W4741"/>
  <c r="S4741"/>
  <c r="Q4741"/>
  <c r="P4741"/>
  <c r="M4741"/>
  <c r="K4741"/>
  <c r="H4741"/>
  <c r="C4741"/>
  <c r="G4741"/>
  <c r="E4741"/>
  <c r="B4741"/>
  <c r="A4741"/>
  <c r="W4740"/>
  <c r="S4740"/>
  <c r="Q4740"/>
  <c r="P4740"/>
  <c r="M4740"/>
  <c r="K4740"/>
  <c r="H4740"/>
  <c r="C4740"/>
  <c r="G4740"/>
  <c r="E4740"/>
  <c r="B4740"/>
  <c r="A4740"/>
  <c r="W4739"/>
  <c r="S4739"/>
  <c r="Q4739"/>
  <c r="P4739"/>
  <c r="M4739"/>
  <c r="K4739"/>
  <c r="H4739"/>
  <c r="C4739"/>
  <c r="G4739"/>
  <c r="E4739"/>
  <c r="B4739"/>
  <c r="A4739"/>
  <c r="W4738"/>
  <c r="S4738"/>
  <c r="Q4738"/>
  <c r="P4738"/>
  <c r="M4738"/>
  <c r="K4738"/>
  <c r="H4738"/>
  <c r="C4738"/>
  <c r="G4738"/>
  <c r="E4738"/>
  <c r="B4738"/>
  <c r="A4738"/>
  <c r="W4737"/>
  <c r="S4737"/>
  <c r="Q4737"/>
  <c r="P4737"/>
  <c r="M4737"/>
  <c r="K4737"/>
  <c r="H4737"/>
  <c r="C4737"/>
  <c r="G4737"/>
  <c r="E4737"/>
  <c r="B4737"/>
  <c r="A4737"/>
  <c r="W4736"/>
  <c r="S4736"/>
  <c r="Q4736"/>
  <c r="P4736"/>
  <c r="M4736"/>
  <c r="K4736"/>
  <c r="H4736"/>
  <c r="C4736"/>
  <c r="G4736"/>
  <c r="E4736"/>
  <c r="B4736"/>
  <c r="A4736"/>
  <c r="W4735"/>
  <c r="S4735"/>
  <c r="Q4735"/>
  <c r="P4735"/>
  <c r="M4735"/>
  <c r="K4735"/>
  <c r="H4735"/>
  <c r="C4735"/>
  <c r="G4735"/>
  <c r="E4735"/>
  <c r="B4735"/>
  <c r="A4735"/>
  <c r="W4734"/>
  <c r="S4734"/>
  <c r="Q4734"/>
  <c r="P4734"/>
  <c r="M4734"/>
  <c r="K4734"/>
  <c r="H4734"/>
  <c r="C4734"/>
  <c r="G4734"/>
  <c r="E4734"/>
  <c r="B4734"/>
  <c r="A4734"/>
  <c r="W4733"/>
  <c r="S4733"/>
  <c r="Q4733"/>
  <c r="P4733"/>
  <c r="M4733"/>
  <c r="K4733"/>
  <c r="H4733"/>
  <c r="C4733"/>
  <c r="G4733"/>
  <c r="E4733"/>
  <c r="B4733"/>
  <c r="A4733"/>
  <c r="W4732"/>
  <c r="S4732"/>
  <c r="Q4732"/>
  <c r="P4732"/>
  <c r="M4732"/>
  <c r="K4732"/>
  <c r="H4732"/>
  <c r="C4732"/>
  <c r="G4732"/>
  <c r="E4732"/>
  <c r="B4732"/>
  <c r="A4732"/>
  <c r="W4731"/>
  <c r="S4731"/>
  <c r="Q4731"/>
  <c r="P4731"/>
  <c r="M4731"/>
  <c r="K4731"/>
  <c r="H4731"/>
  <c r="C4731"/>
  <c r="G4731"/>
  <c r="E4731"/>
  <c r="B4731"/>
  <c r="A4731"/>
  <c r="W4730"/>
  <c r="S4730"/>
  <c r="Q4730"/>
  <c r="P4730"/>
  <c r="M4730"/>
  <c r="K4730"/>
  <c r="H4730"/>
  <c r="C4730"/>
  <c r="G4730"/>
  <c r="E4730"/>
  <c r="B4730"/>
  <c r="A4730"/>
  <c r="W4729"/>
  <c r="S4729"/>
  <c r="Q4729"/>
  <c r="P4729"/>
  <c r="M4729"/>
  <c r="K4729"/>
  <c r="H4729"/>
  <c r="C4729"/>
  <c r="G4729"/>
  <c r="E4729"/>
  <c r="B4729"/>
  <c r="A4729"/>
  <c r="W4728"/>
  <c r="S4728"/>
  <c r="Q4728"/>
  <c r="P4728"/>
  <c r="M4728"/>
  <c r="K4728"/>
  <c r="H4728"/>
  <c r="C4728"/>
  <c r="G4728"/>
  <c r="E4728"/>
  <c r="B4728"/>
  <c r="A4728"/>
  <c r="W4727"/>
  <c r="S4727"/>
  <c r="Q4727"/>
  <c r="P4727"/>
  <c r="M4727"/>
  <c r="K4727"/>
  <c r="H4727"/>
  <c r="C4727"/>
  <c r="G4727"/>
  <c r="E4727"/>
  <c r="B4727"/>
  <c r="A4727"/>
  <c r="W4726"/>
  <c r="S4726"/>
  <c r="Q4726"/>
  <c r="P4726"/>
  <c r="M4726"/>
  <c r="K4726"/>
  <c r="H4726"/>
  <c r="C4726"/>
  <c r="G4726"/>
  <c r="E4726"/>
  <c r="B4726"/>
  <c r="A4726"/>
  <c r="W4725"/>
  <c r="S4725"/>
  <c r="Q4725"/>
  <c r="P4725"/>
  <c r="M4725"/>
  <c r="K4725"/>
  <c r="H4725"/>
  <c r="C4725"/>
  <c r="G4725"/>
  <c r="E4725"/>
  <c r="B4725"/>
  <c r="A4725"/>
  <c r="W4724"/>
  <c r="S4724"/>
  <c r="Q4724"/>
  <c r="P4724"/>
  <c r="M4724"/>
  <c r="K4724"/>
  <c r="H4724"/>
  <c r="C4724"/>
  <c r="G4724"/>
  <c r="E4724"/>
  <c r="B4724"/>
  <c r="A4724"/>
  <c r="W4723"/>
  <c r="S4723"/>
  <c r="Q4723"/>
  <c r="P4723"/>
  <c r="M4723"/>
  <c r="K4723"/>
  <c r="H4723"/>
  <c r="C4723"/>
  <c r="G4723"/>
  <c r="E4723"/>
  <c r="B4723"/>
  <c r="A4723"/>
  <c r="W4722"/>
  <c r="S4722"/>
  <c r="Q4722"/>
  <c r="P4722"/>
  <c r="M4722"/>
  <c r="K4722"/>
  <c r="H4722"/>
  <c r="C4722"/>
  <c r="G4722"/>
  <c r="E4722"/>
  <c r="B4722"/>
  <c r="A4722"/>
  <c r="W4721"/>
  <c r="S4721"/>
  <c r="Q4721"/>
  <c r="P4721"/>
  <c r="M4721"/>
  <c r="K4721"/>
  <c r="H4721"/>
  <c r="C4721"/>
  <c r="G4721"/>
  <c r="E4721"/>
  <c r="B4721"/>
  <c r="A4721"/>
  <c r="W4720"/>
  <c r="S4720"/>
  <c r="Q4720"/>
  <c r="P4720"/>
  <c r="M4720"/>
  <c r="K4720"/>
  <c r="H4720"/>
  <c r="C4720"/>
  <c r="G4720"/>
  <c r="E4720"/>
  <c r="B4720"/>
  <c r="A4720"/>
  <c r="W4719"/>
  <c r="S4719"/>
  <c r="Q4719"/>
  <c r="P4719"/>
  <c r="M4719"/>
  <c r="K4719"/>
  <c r="H4719"/>
  <c r="C4719"/>
  <c r="G4719"/>
  <c r="E4719"/>
  <c r="B4719"/>
  <c r="A4719"/>
  <c r="W4718"/>
  <c r="S4718"/>
  <c r="Q4718"/>
  <c r="P4718"/>
  <c r="M4718"/>
  <c r="K4718"/>
  <c r="H4718"/>
  <c r="C4718"/>
  <c r="G4718"/>
  <c r="E4718"/>
  <c r="B4718"/>
  <c r="A4718"/>
  <c r="W4717"/>
  <c r="S4717"/>
  <c r="Q4717"/>
  <c r="P4717"/>
  <c r="M4717"/>
  <c r="K4717"/>
  <c r="H4717"/>
  <c r="C4717"/>
  <c r="G4717"/>
  <c r="E4717"/>
  <c r="B4717"/>
  <c r="A4717"/>
  <c r="W4716"/>
  <c r="S4716"/>
  <c r="Q4716"/>
  <c r="P4716"/>
  <c r="M4716"/>
  <c r="K4716"/>
  <c r="H4716"/>
  <c r="C4716"/>
  <c r="G4716"/>
  <c r="E4716"/>
  <c r="B4716"/>
  <c r="A4716"/>
  <c r="W4715"/>
  <c r="S4715"/>
  <c r="Q4715"/>
  <c r="P4715"/>
  <c r="M4715"/>
  <c r="K4715"/>
  <c r="H4715"/>
  <c r="C4715"/>
  <c r="G4715"/>
  <c r="E4715"/>
  <c r="B4715"/>
  <c r="A4715"/>
  <c r="W4714"/>
  <c r="S4714"/>
  <c r="Q4714"/>
  <c r="P4714"/>
  <c r="M4714"/>
  <c r="K4714"/>
  <c r="H4714"/>
  <c r="C4714"/>
  <c r="G4714"/>
  <c r="E4714"/>
  <c r="B4714"/>
  <c r="A4714"/>
  <c r="W4713"/>
  <c r="S4713"/>
  <c r="Q4713"/>
  <c r="P4713"/>
  <c r="M4713"/>
  <c r="K4713"/>
  <c r="H4713"/>
  <c r="C4713"/>
  <c r="G4713"/>
  <c r="E4713"/>
  <c r="B4713"/>
  <c r="A4713"/>
  <c r="W4712"/>
  <c r="S4712"/>
  <c r="Q4712"/>
  <c r="P4712"/>
  <c r="M4712"/>
  <c r="K4712"/>
  <c r="H4712"/>
  <c r="C4712"/>
  <c r="G4712"/>
  <c r="E4712"/>
  <c r="B4712"/>
  <c r="A4712"/>
  <c r="W4711"/>
  <c r="S4711"/>
  <c r="Q4711"/>
  <c r="P4711"/>
  <c r="M4711"/>
  <c r="K4711"/>
  <c r="H4711"/>
  <c r="C4711"/>
  <c r="G4711"/>
  <c r="E4711"/>
  <c r="B4711"/>
  <c r="A4711"/>
  <c r="W4710"/>
  <c r="S4710"/>
  <c r="Q4710"/>
  <c r="P4710"/>
  <c r="M4710"/>
  <c r="K4710"/>
  <c r="H4710"/>
  <c r="C4710"/>
  <c r="G4710"/>
  <c r="E4710"/>
  <c r="B4710"/>
  <c r="A4710"/>
  <c r="W4709"/>
  <c r="S4709"/>
  <c r="Q4709"/>
  <c r="P4709"/>
  <c r="M4709"/>
  <c r="K4709"/>
  <c r="H4709"/>
  <c r="C4709"/>
  <c r="G4709"/>
  <c r="E4709"/>
  <c r="B4709"/>
  <c r="A4709"/>
  <c r="W4708"/>
  <c r="S4708"/>
  <c r="Q4708"/>
  <c r="P4708"/>
  <c r="M4708"/>
  <c r="K4708"/>
  <c r="H4708"/>
  <c r="C4708"/>
  <c r="G4708"/>
  <c r="E4708"/>
  <c r="B4708"/>
  <c r="A4708"/>
  <c r="W4707"/>
  <c r="S4707"/>
  <c r="Q4707"/>
  <c r="P4707"/>
  <c r="M4707"/>
  <c r="K4707"/>
  <c r="H4707"/>
  <c r="C4707"/>
  <c r="G4707"/>
  <c r="E4707"/>
  <c r="B4707"/>
  <c r="A4707"/>
  <c r="W4706"/>
  <c r="S4706"/>
  <c r="Q4706"/>
  <c r="P4706"/>
  <c r="M4706"/>
  <c r="K4706"/>
  <c r="H4706"/>
  <c r="C4706"/>
  <c r="G4706"/>
  <c r="E4706"/>
  <c r="B4706"/>
  <c r="A4706"/>
  <c r="W4705"/>
  <c r="S4705"/>
  <c r="Q4705"/>
  <c r="P4705"/>
  <c r="M4705"/>
  <c r="K4705"/>
  <c r="H4705"/>
  <c r="C4705"/>
  <c r="G4705"/>
  <c r="E4705"/>
  <c r="B4705"/>
  <c r="A4705"/>
  <c r="W4704"/>
  <c r="S4704"/>
  <c r="Q4704"/>
  <c r="P4704"/>
  <c r="M4704"/>
  <c r="K4704"/>
  <c r="H4704"/>
  <c r="C4704"/>
  <c r="G4704"/>
  <c r="E4704"/>
  <c r="B4704"/>
  <c r="A4704"/>
  <c r="W4703"/>
  <c r="S4703"/>
  <c r="Q4703"/>
  <c r="P4703"/>
  <c r="M4703"/>
  <c r="K4703"/>
  <c r="H4703"/>
  <c r="C4703"/>
  <c r="G4703"/>
  <c r="E4703"/>
  <c r="B4703"/>
  <c r="A4703"/>
  <c r="W4702"/>
  <c r="S4702"/>
  <c r="Q4702"/>
  <c r="P4702"/>
  <c r="M4702"/>
  <c r="K4702"/>
  <c r="H4702"/>
  <c r="C4702"/>
  <c r="G4702"/>
  <c r="E4702"/>
  <c r="B4702"/>
  <c r="A4702"/>
  <c r="W4701"/>
  <c r="S4701"/>
  <c r="Q4701"/>
  <c r="P4701"/>
  <c r="M4701"/>
  <c r="K4701"/>
  <c r="H4701"/>
  <c r="C4701"/>
  <c r="G4701"/>
  <c r="E4701"/>
  <c r="B4701"/>
  <c r="A4701"/>
  <c r="W4700"/>
  <c r="S4700"/>
  <c r="Q4700"/>
  <c r="P4700"/>
  <c r="M4700"/>
  <c r="K4700"/>
  <c r="H4700"/>
  <c r="C4700"/>
  <c r="G4700"/>
  <c r="E4700"/>
  <c r="B4700"/>
  <c r="A4700"/>
  <c r="W4699"/>
  <c r="S4699"/>
  <c r="Q4699"/>
  <c r="P4699"/>
  <c r="M4699"/>
  <c r="K4699"/>
  <c r="H4699"/>
  <c r="C4699"/>
  <c r="G4699"/>
  <c r="E4699"/>
  <c r="B4699"/>
  <c r="A4699"/>
  <c r="W4698"/>
  <c r="S4698"/>
  <c r="Q4698"/>
  <c r="P4698"/>
  <c r="M4698"/>
  <c r="K4698"/>
  <c r="H4698"/>
  <c r="C4698"/>
  <c r="G4698"/>
  <c r="E4698"/>
  <c r="B4698"/>
  <c r="A4698"/>
  <c r="W4697"/>
  <c r="S4697"/>
  <c r="Q4697"/>
  <c r="P4697"/>
  <c r="M4697"/>
  <c r="K4697"/>
  <c r="H4697"/>
  <c r="C4697"/>
  <c r="G4697"/>
  <c r="E4697"/>
  <c r="B4697"/>
  <c r="A4697"/>
  <c r="W4696"/>
  <c r="S4696"/>
  <c r="Q4696"/>
  <c r="P4696"/>
  <c r="M4696"/>
  <c r="K4696"/>
  <c r="H4696"/>
  <c r="C4696"/>
  <c r="G4696"/>
  <c r="E4696"/>
  <c r="B4696"/>
  <c r="A4696"/>
  <c r="W4695"/>
  <c r="S4695"/>
  <c r="Q4695"/>
  <c r="P4695"/>
  <c r="M4695"/>
  <c r="K4695"/>
  <c r="H4695"/>
  <c r="C4695"/>
  <c r="G4695"/>
  <c r="E4695"/>
  <c r="B4695"/>
  <c r="A4695"/>
  <c r="W4694"/>
  <c r="S4694"/>
  <c r="Q4694"/>
  <c r="P4694"/>
  <c r="M4694"/>
  <c r="K4694"/>
  <c r="H4694"/>
  <c r="C4694"/>
  <c r="G4694"/>
  <c r="E4694"/>
  <c r="B4694"/>
  <c r="A4694"/>
  <c r="W4693"/>
  <c r="S4693"/>
  <c r="Q4693"/>
  <c r="P4693"/>
  <c r="M4693"/>
  <c r="K4693"/>
  <c r="H4693"/>
  <c r="C4693"/>
  <c r="G4693"/>
  <c r="E4693"/>
  <c r="B4693"/>
  <c r="A4693"/>
  <c r="W4692"/>
  <c r="S4692"/>
  <c r="Q4692"/>
  <c r="P4692"/>
  <c r="M4692"/>
  <c r="K4692"/>
  <c r="H4692"/>
  <c r="C4692"/>
  <c r="G4692"/>
  <c r="E4692"/>
  <c r="B4692"/>
  <c r="A4692"/>
  <c r="W4691"/>
  <c r="S4691"/>
  <c r="Q4691"/>
  <c r="P4691"/>
  <c r="M4691"/>
  <c r="K4691"/>
  <c r="H4691"/>
  <c r="C4691"/>
  <c r="G4691"/>
  <c r="E4691"/>
  <c r="B4691"/>
  <c r="A4691"/>
  <c r="W4690"/>
  <c r="S4690"/>
  <c r="Q4690"/>
  <c r="P4690"/>
  <c r="M4690"/>
  <c r="K4690"/>
  <c r="H4690"/>
  <c r="C4690"/>
  <c r="G4690"/>
  <c r="E4690"/>
  <c r="B4690"/>
  <c r="A4690"/>
  <c r="W4689"/>
  <c r="S4689"/>
  <c r="Q4689"/>
  <c r="P4689"/>
  <c r="M4689"/>
  <c r="K4689"/>
  <c r="H4689"/>
  <c r="C4689"/>
  <c r="G4689"/>
  <c r="E4689"/>
  <c r="B4689"/>
  <c r="A4689"/>
  <c r="W4688"/>
  <c r="S4688"/>
  <c r="Q4688"/>
  <c r="P4688"/>
  <c r="M4688"/>
  <c r="K4688"/>
  <c r="H4688"/>
  <c r="C4688"/>
  <c r="G4688"/>
  <c r="E4688"/>
  <c r="B4688"/>
  <c r="A4688"/>
  <c r="W4687"/>
  <c r="S4687"/>
  <c r="Q4687"/>
  <c r="P4687"/>
  <c r="M4687"/>
  <c r="K4687"/>
  <c r="H4687"/>
  <c r="C4687"/>
  <c r="G4687"/>
  <c r="E4687"/>
  <c r="B4687"/>
  <c r="A4687"/>
  <c r="W4686"/>
  <c r="S4686"/>
  <c r="Q4686"/>
  <c r="P4686"/>
  <c r="M4686"/>
  <c r="K4686"/>
  <c r="H4686"/>
  <c r="C4686"/>
  <c r="G4686"/>
  <c r="E4686"/>
  <c r="B4686"/>
  <c r="A4686"/>
  <c r="W4685"/>
  <c r="S4685"/>
  <c r="Q4685"/>
  <c r="P4685"/>
  <c r="M4685"/>
  <c r="K4685"/>
  <c r="H4685"/>
  <c r="C4685"/>
  <c r="G4685"/>
  <c r="E4685"/>
  <c r="B4685"/>
  <c r="A4685"/>
  <c r="W4684"/>
  <c r="S4684"/>
  <c r="Q4684"/>
  <c r="P4684"/>
  <c r="M4684"/>
  <c r="K4684"/>
  <c r="H4684"/>
  <c r="C4684"/>
  <c r="G4684"/>
  <c r="E4684"/>
  <c r="B4684"/>
  <c r="A4684"/>
  <c r="W4683"/>
  <c r="S4683"/>
  <c r="Q4683"/>
  <c r="P4683"/>
  <c r="M4683"/>
  <c r="K4683"/>
  <c r="H4683"/>
  <c r="C4683"/>
  <c r="G4683"/>
  <c r="E4683"/>
  <c r="B4683"/>
  <c r="A4683"/>
  <c r="W4682"/>
  <c r="S4682"/>
  <c r="Q4682"/>
  <c r="P4682"/>
  <c r="M4682"/>
  <c r="K4682"/>
  <c r="H4682"/>
  <c r="C4682"/>
  <c r="G4682"/>
  <c r="E4682"/>
  <c r="B4682"/>
  <c r="A4682"/>
  <c r="W4681"/>
  <c r="S4681"/>
  <c r="Q4681"/>
  <c r="P4681"/>
  <c r="M4681"/>
  <c r="K4681"/>
  <c r="H4681"/>
  <c r="C4681"/>
  <c r="G4681"/>
  <c r="E4681"/>
  <c r="B4681"/>
  <c r="A4681"/>
  <c r="W4680"/>
  <c r="S4680"/>
  <c r="Q4680"/>
  <c r="P4680"/>
  <c r="M4680"/>
  <c r="K4680"/>
  <c r="H4680"/>
  <c r="C4680"/>
  <c r="G4680"/>
  <c r="E4680"/>
  <c r="B4680"/>
  <c r="A4680"/>
  <c r="W4679"/>
  <c r="S4679"/>
  <c r="Q4679"/>
  <c r="P4679"/>
  <c r="M4679"/>
  <c r="K4679"/>
  <c r="H4679"/>
  <c r="C4679"/>
  <c r="G4679"/>
  <c r="E4679"/>
  <c r="B4679"/>
  <c r="A4679"/>
  <c r="W4678"/>
  <c r="S4678"/>
  <c r="Q4678"/>
  <c r="P4678"/>
  <c r="M4678"/>
  <c r="K4678"/>
  <c r="H4678"/>
  <c r="C4678"/>
  <c r="G4678"/>
  <c r="E4678"/>
  <c r="B4678"/>
  <c r="A4678"/>
  <c r="W4677"/>
  <c r="S4677"/>
  <c r="Q4677"/>
  <c r="P4677"/>
  <c r="M4677"/>
  <c r="K4677"/>
  <c r="H4677"/>
  <c r="C4677"/>
  <c r="G4677"/>
  <c r="E4677"/>
  <c r="B4677"/>
  <c r="A4677"/>
  <c r="W4676"/>
  <c r="S4676"/>
  <c r="Q4676"/>
  <c r="P4676"/>
  <c r="M4676"/>
  <c r="K4676"/>
  <c r="H4676"/>
  <c r="C4676"/>
  <c r="G4676"/>
  <c r="E4676"/>
  <c r="B4676"/>
  <c r="A4676"/>
  <c r="W4675"/>
  <c r="S4675"/>
  <c r="Q4675"/>
  <c r="P4675"/>
  <c r="M4675"/>
  <c r="K4675"/>
  <c r="H4675"/>
  <c r="C4675"/>
  <c r="G4675"/>
  <c r="E4675"/>
  <c r="B4675"/>
  <c r="A4675"/>
  <c r="W4674"/>
  <c r="S4674"/>
  <c r="Q4674"/>
  <c r="P4674"/>
  <c r="M4674"/>
  <c r="K4674"/>
  <c r="H4674"/>
  <c r="C4674"/>
  <c r="G4674"/>
  <c r="E4674"/>
  <c r="B4674"/>
  <c r="A4674"/>
  <c r="W4673"/>
  <c r="S4673"/>
  <c r="Q4673"/>
  <c r="P4673"/>
  <c r="M4673"/>
  <c r="K4673"/>
  <c r="H4673"/>
  <c r="C4673"/>
  <c r="G4673"/>
  <c r="E4673"/>
  <c r="B4673"/>
  <c r="A4673"/>
  <c r="W4672"/>
  <c r="S4672"/>
  <c r="Q4672"/>
  <c r="P4672"/>
  <c r="M4672"/>
  <c r="K4672"/>
  <c r="H4672"/>
  <c r="C4672"/>
  <c r="G4672"/>
  <c r="E4672"/>
  <c r="B4672"/>
  <c r="A4672"/>
  <c r="W4671"/>
  <c r="S4671"/>
  <c r="Q4671"/>
  <c r="P4671"/>
  <c r="M4671"/>
  <c r="K4671"/>
  <c r="H4671"/>
  <c r="C4671"/>
  <c r="G4671"/>
  <c r="E4671"/>
  <c r="B4671"/>
  <c r="A4671"/>
  <c r="W4670"/>
  <c r="S4670"/>
  <c r="Q4670"/>
  <c r="P4670"/>
  <c r="M4670"/>
  <c r="K4670"/>
  <c r="H4670"/>
  <c r="C4670"/>
  <c r="G4670"/>
  <c r="E4670"/>
  <c r="B4670"/>
  <c r="A4670"/>
  <c r="W4669"/>
  <c r="S4669"/>
  <c r="Q4669"/>
  <c r="P4669"/>
  <c r="M4669"/>
  <c r="K4669"/>
  <c r="H4669"/>
  <c r="C4669"/>
  <c r="G4669"/>
  <c r="E4669"/>
  <c r="B4669"/>
  <c r="A4669"/>
  <c r="W4668"/>
  <c r="S4668"/>
  <c r="Q4668"/>
  <c r="P4668"/>
  <c r="M4668"/>
  <c r="K4668"/>
  <c r="H4668"/>
  <c r="C4668"/>
  <c r="G4668"/>
  <c r="E4668"/>
  <c r="B4668"/>
  <c r="A4668"/>
  <c r="W4667"/>
  <c r="S4667"/>
  <c r="Q4667"/>
  <c r="P4667"/>
  <c r="M4667"/>
  <c r="K4667"/>
  <c r="H4667"/>
  <c r="C4667"/>
  <c r="G4667"/>
  <c r="E4667"/>
  <c r="B4667"/>
  <c r="A4667"/>
  <c r="W4666"/>
  <c r="S4666"/>
  <c r="Q4666"/>
  <c r="P4666"/>
  <c r="N4666"/>
  <c r="M4666"/>
  <c r="K4666"/>
  <c r="H4666"/>
  <c r="C4666"/>
  <c r="G4666"/>
  <c r="E4666"/>
  <c r="B4666"/>
  <c r="A4666"/>
  <c r="W4665"/>
  <c r="S4665"/>
  <c r="Q4665"/>
  <c r="P4665"/>
  <c r="N4665"/>
  <c r="M4665"/>
  <c r="K4665"/>
  <c r="H4665"/>
  <c r="C4665"/>
  <c r="G4665"/>
  <c r="E4665"/>
  <c r="B4665"/>
  <c r="A4665"/>
  <c r="W4664"/>
  <c r="S4664"/>
  <c r="Q4664"/>
  <c r="P4664"/>
  <c r="M4664"/>
  <c r="K4664"/>
  <c r="H4664"/>
  <c r="C4664"/>
  <c r="G4664"/>
  <c r="E4664"/>
  <c r="B4664"/>
  <c r="A4664"/>
  <c r="W4663"/>
  <c r="S4663"/>
  <c r="Q4663"/>
  <c r="P4663"/>
  <c r="M4663"/>
  <c r="K4663"/>
  <c r="H4663"/>
  <c r="C4663"/>
  <c r="G4663"/>
  <c r="E4663"/>
  <c r="B4663"/>
  <c r="A4663"/>
  <c r="W4662"/>
  <c r="S4662"/>
  <c r="Q4662"/>
  <c r="P4662"/>
  <c r="M4662"/>
  <c r="K4662"/>
  <c r="H4662"/>
  <c r="C4662"/>
  <c r="G4662"/>
  <c r="E4662"/>
  <c r="B4662"/>
  <c r="A4662"/>
  <c r="W4661"/>
  <c r="S4661"/>
  <c r="Q4661"/>
  <c r="P4661"/>
  <c r="M4661"/>
  <c r="K4661"/>
  <c r="H4661"/>
  <c r="C4661"/>
  <c r="G4661"/>
  <c r="E4661"/>
  <c r="B4661"/>
  <c r="A4661"/>
  <c r="W4660"/>
  <c r="S4660"/>
  <c r="Q4660"/>
  <c r="P4660"/>
  <c r="M4660"/>
  <c r="K4660"/>
  <c r="H4660"/>
  <c r="C4660"/>
  <c r="G4660"/>
  <c r="E4660"/>
  <c r="B4660"/>
  <c r="A4660"/>
  <c r="W4659"/>
  <c r="S4659"/>
  <c r="Q4659"/>
  <c r="P4659"/>
  <c r="M4659"/>
  <c r="K4659"/>
  <c r="H4659"/>
  <c r="C4659"/>
  <c r="G4659"/>
  <c r="E4659"/>
  <c r="B4659"/>
  <c r="A4659"/>
  <c r="W4658"/>
  <c r="S4658"/>
  <c r="Q4658"/>
  <c r="P4658"/>
  <c r="M4658"/>
  <c r="K4658"/>
  <c r="H4658"/>
  <c r="C4658"/>
  <c r="G4658"/>
  <c r="E4658"/>
  <c r="B4658"/>
  <c r="A4658"/>
  <c r="W4657"/>
  <c r="S4657"/>
  <c r="Q4657"/>
  <c r="P4657"/>
  <c r="M4657"/>
  <c r="K4657"/>
  <c r="H4657"/>
  <c r="C4657"/>
  <c r="G4657"/>
  <c r="E4657"/>
  <c r="B4657"/>
  <c r="A4657"/>
  <c r="W4656"/>
  <c r="S4656"/>
  <c r="Q4656"/>
  <c r="P4656"/>
  <c r="M4656"/>
  <c r="K4656"/>
  <c r="H4656"/>
  <c r="C4656"/>
  <c r="G4656"/>
  <c r="E4656"/>
  <c r="B4656"/>
  <c r="A4656"/>
  <c r="W4655"/>
  <c r="S4655"/>
  <c r="Q4655"/>
  <c r="P4655"/>
  <c r="M4655"/>
  <c r="K4655"/>
  <c r="H4655"/>
  <c r="C4655"/>
  <c r="G4655"/>
  <c r="E4655"/>
  <c r="B4655"/>
  <c r="A4655"/>
  <c r="W4654"/>
  <c r="S4654"/>
  <c r="Q4654"/>
  <c r="P4654"/>
  <c r="M4654"/>
  <c r="K4654"/>
  <c r="H4654"/>
  <c r="C4654"/>
  <c r="G4654"/>
  <c r="E4654"/>
  <c r="B4654"/>
  <c r="A4654"/>
  <c r="W4653"/>
  <c r="S4653"/>
  <c r="Q4653"/>
  <c r="P4653"/>
  <c r="M4653"/>
  <c r="K4653"/>
  <c r="H4653"/>
  <c r="C4653"/>
  <c r="G4653"/>
  <c r="E4653"/>
  <c r="B4653"/>
  <c r="A4653"/>
  <c r="W4652"/>
  <c r="S4652"/>
  <c r="Q4652"/>
  <c r="P4652"/>
  <c r="M4652"/>
  <c r="K4652"/>
  <c r="H4652"/>
  <c r="C4652"/>
  <c r="G4652"/>
  <c r="E4652"/>
  <c r="B4652"/>
  <c r="A4652"/>
  <c r="W4651"/>
  <c r="S4651"/>
  <c r="R4651"/>
  <c r="Q4651"/>
  <c r="P4651"/>
  <c r="N4651"/>
  <c r="M4651"/>
  <c r="K4651"/>
  <c r="H4651"/>
  <c r="C4651"/>
  <c r="G4651"/>
  <c r="E4651"/>
  <c r="B4651"/>
  <c r="A4651"/>
  <c r="W4650"/>
  <c r="S4650"/>
  <c r="Q4650"/>
  <c r="P4650"/>
  <c r="M4650"/>
  <c r="K4650"/>
  <c r="H4650"/>
  <c r="C4650"/>
  <c r="G4650"/>
  <c r="E4650"/>
  <c r="B4650"/>
  <c r="A4650"/>
  <c r="W4649"/>
  <c r="S4649"/>
  <c r="R4649"/>
  <c r="Q4649"/>
  <c r="P4649"/>
  <c r="N4649"/>
  <c r="M4649"/>
  <c r="K4649"/>
  <c r="H4649"/>
  <c r="C4649"/>
  <c r="G4649"/>
  <c r="E4649"/>
  <c r="B4649"/>
  <c r="A4649"/>
  <c r="W4648"/>
  <c r="S4648"/>
  <c r="Q4648"/>
  <c r="P4648"/>
  <c r="M4648"/>
  <c r="K4648"/>
  <c r="H4648"/>
  <c r="C4648"/>
  <c r="G4648"/>
  <c r="E4648"/>
  <c r="B4648"/>
  <c r="A4648"/>
  <c r="W4647"/>
  <c r="S4647"/>
  <c r="Q4647"/>
  <c r="P4647"/>
  <c r="N4647"/>
  <c r="M4647"/>
  <c r="K4647"/>
  <c r="H4647"/>
  <c r="C4647"/>
  <c r="G4647"/>
  <c r="E4647"/>
  <c r="B4647"/>
  <c r="A4647"/>
  <c r="W4646"/>
  <c r="S4646"/>
  <c r="Q4646"/>
  <c r="P4646"/>
  <c r="N4646"/>
  <c r="M4646"/>
  <c r="K4646"/>
  <c r="H4646"/>
  <c r="C4646"/>
  <c r="G4646"/>
  <c r="E4646"/>
  <c r="B4646"/>
  <c r="A4646"/>
  <c r="W4645"/>
  <c r="S4645"/>
  <c r="Q4645"/>
  <c r="P4645"/>
  <c r="M4645"/>
  <c r="K4645"/>
  <c r="H4645"/>
  <c r="C4645"/>
  <c r="G4645"/>
  <c r="E4645"/>
  <c r="B4645"/>
  <c r="A4645"/>
  <c r="W4644"/>
  <c r="S4644"/>
  <c r="R4644"/>
  <c r="Q4644"/>
  <c r="P4644"/>
  <c r="N4644"/>
  <c r="M4644"/>
  <c r="K4644"/>
  <c r="H4644"/>
  <c r="C4644"/>
  <c r="G4644"/>
  <c r="E4644"/>
  <c r="B4644"/>
  <c r="A4644"/>
  <c r="W4643"/>
  <c r="S4643"/>
  <c r="Q4643"/>
  <c r="P4643"/>
  <c r="M4643"/>
  <c r="K4643"/>
  <c r="H4643"/>
  <c r="C4643"/>
  <c r="G4643"/>
  <c r="E4643"/>
  <c r="B4643"/>
  <c r="A4643"/>
  <c r="W4642"/>
  <c r="S4642"/>
  <c r="R4642"/>
  <c r="Q4642"/>
  <c r="P4642"/>
  <c r="M4642"/>
  <c r="K4642"/>
  <c r="H4642"/>
  <c r="C4642"/>
  <c r="G4642"/>
  <c r="E4642"/>
  <c r="B4642"/>
  <c r="A4642"/>
  <c r="W4641"/>
  <c r="S4641"/>
  <c r="Q4641"/>
  <c r="P4641"/>
  <c r="M4641"/>
  <c r="K4641"/>
  <c r="H4641"/>
  <c r="C4641"/>
  <c r="G4641"/>
  <c r="E4641"/>
  <c r="B4641"/>
  <c r="A4641"/>
  <c r="W4640"/>
  <c r="S4640"/>
  <c r="R4640"/>
  <c r="Q4640"/>
  <c r="P4640"/>
  <c r="M4640"/>
  <c r="K4640"/>
  <c r="H4640"/>
  <c r="C4640"/>
  <c r="G4640"/>
  <c r="E4640"/>
  <c r="B4640"/>
  <c r="A4640"/>
  <c r="W4639"/>
  <c r="S4639"/>
  <c r="Q4639"/>
  <c r="P4639"/>
  <c r="M4639"/>
  <c r="K4639"/>
  <c r="H4639"/>
  <c r="C4639"/>
  <c r="G4639"/>
  <c r="E4639"/>
  <c r="B4639"/>
  <c r="A4639"/>
  <c r="W4638"/>
  <c r="S4638"/>
  <c r="R4638"/>
  <c r="Q4638"/>
  <c r="P4638"/>
  <c r="N4638"/>
  <c r="M4638"/>
  <c r="K4638"/>
  <c r="H4638"/>
  <c r="C4638"/>
  <c r="G4638"/>
  <c r="E4638"/>
  <c r="B4638"/>
  <c r="A4638"/>
  <c r="W4637"/>
  <c r="S4637"/>
  <c r="Q4637"/>
  <c r="P4637"/>
  <c r="M4637"/>
  <c r="K4637"/>
  <c r="H4637"/>
  <c r="C4637"/>
  <c r="G4637"/>
  <c r="E4637"/>
  <c r="B4637"/>
  <c r="A4637"/>
  <c r="W4636"/>
  <c r="S4636"/>
  <c r="Q4636"/>
  <c r="P4636"/>
  <c r="M4636"/>
  <c r="K4636"/>
  <c r="H4636"/>
  <c r="C4636"/>
  <c r="G4636"/>
  <c r="E4636"/>
  <c r="B4636"/>
  <c r="A4636"/>
  <c r="W4635"/>
  <c r="S4635"/>
  <c r="Q4635"/>
  <c r="P4635"/>
  <c r="M4635"/>
  <c r="K4635"/>
  <c r="H4635"/>
  <c r="C4635"/>
  <c r="G4635"/>
  <c r="E4635"/>
  <c r="B4635"/>
  <c r="A4635"/>
  <c r="W4634"/>
  <c r="S4634"/>
  <c r="Q4634"/>
  <c r="P4634"/>
  <c r="M4634"/>
  <c r="K4634"/>
  <c r="H4634"/>
  <c r="C4634"/>
  <c r="G4634"/>
  <c r="E4634"/>
  <c r="B4634"/>
  <c r="A4634"/>
  <c r="W4633"/>
  <c r="S4633"/>
  <c r="Q4633"/>
  <c r="P4633"/>
  <c r="M4633"/>
  <c r="K4633"/>
  <c r="H4633"/>
  <c r="C4633"/>
  <c r="G4633"/>
  <c r="E4633"/>
  <c r="B4633"/>
  <c r="A4633"/>
  <c r="W4632"/>
  <c r="S4632"/>
  <c r="Q4632"/>
  <c r="P4632"/>
  <c r="M4632"/>
  <c r="K4632"/>
  <c r="H4632"/>
  <c r="C4632"/>
  <c r="G4632"/>
  <c r="E4632"/>
  <c r="B4632"/>
  <c r="A4632"/>
  <c r="W4631"/>
  <c r="S4631"/>
  <c r="Q4631"/>
  <c r="P4631"/>
  <c r="M4631"/>
  <c r="K4631"/>
  <c r="H4631"/>
  <c r="C4631"/>
  <c r="G4631"/>
  <c r="E4631"/>
  <c r="B4631"/>
  <c r="A4631"/>
  <c r="W4630"/>
  <c r="S4630"/>
  <c r="Q4630"/>
  <c r="P4630"/>
  <c r="M4630"/>
  <c r="K4630"/>
  <c r="H4630"/>
  <c r="C4630"/>
  <c r="G4630"/>
  <c r="E4630"/>
  <c r="B4630"/>
  <c r="A4630"/>
  <c r="W4629"/>
  <c r="S4629"/>
  <c r="Q4629"/>
  <c r="P4629"/>
  <c r="M4629"/>
  <c r="K4629"/>
  <c r="H4629"/>
  <c r="C4629"/>
  <c r="G4629"/>
  <c r="E4629"/>
  <c r="B4629"/>
  <c r="A4629"/>
  <c r="W4628"/>
  <c r="S4628"/>
  <c r="Q4628"/>
  <c r="P4628"/>
  <c r="M4628"/>
  <c r="K4628"/>
  <c r="H4628"/>
  <c r="C4628"/>
  <c r="G4628"/>
  <c r="E4628"/>
  <c r="B4628"/>
  <c r="A4628"/>
  <c r="W4627"/>
  <c r="S4627"/>
  <c r="Q4627"/>
  <c r="P4627"/>
  <c r="M4627"/>
  <c r="K4627"/>
  <c r="H4627"/>
  <c r="C4627"/>
  <c r="G4627"/>
  <c r="E4627"/>
  <c r="B4627"/>
  <c r="A4627"/>
  <c r="W4626"/>
  <c r="S4626"/>
  <c r="Q4626"/>
  <c r="P4626"/>
  <c r="M4626"/>
  <c r="K4626"/>
  <c r="H4626"/>
  <c r="C4626"/>
  <c r="G4626"/>
  <c r="E4626"/>
  <c r="B4626"/>
  <c r="A4626"/>
  <c r="W4625"/>
  <c r="S4625"/>
  <c r="Q4625"/>
  <c r="P4625"/>
  <c r="N4625"/>
  <c r="M4625"/>
  <c r="K4625"/>
  <c r="H4625"/>
  <c r="C4625"/>
  <c r="G4625"/>
  <c r="B4625"/>
  <c r="A4625"/>
  <c r="W4624"/>
  <c r="S4624"/>
  <c r="Q4624"/>
  <c r="P4624"/>
  <c r="N4624"/>
  <c r="M4624"/>
  <c r="K4624"/>
  <c r="H4624"/>
  <c r="C4624"/>
  <c r="G4624"/>
  <c r="B4624"/>
  <c r="A4624"/>
  <c r="W4623"/>
  <c r="S4623"/>
  <c r="Q4623"/>
  <c r="P4623"/>
  <c r="N4623"/>
  <c r="M4623"/>
  <c r="K4623"/>
  <c r="H4623"/>
  <c r="C4623"/>
  <c r="G4623"/>
  <c r="B4623"/>
  <c r="A4623"/>
  <c r="W4622"/>
  <c r="S4622"/>
  <c r="Q4622"/>
  <c r="P4622"/>
  <c r="N4622"/>
  <c r="M4622"/>
  <c r="K4622"/>
  <c r="H4622"/>
  <c r="C4622"/>
  <c r="G4622"/>
  <c r="B4622"/>
  <c r="A4622"/>
  <c r="S4621"/>
  <c r="R4621"/>
  <c r="Q4621"/>
  <c r="P4621"/>
  <c r="M4621"/>
  <c r="K4621"/>
  <c r="H4621"/>
  <c r="C4621"/>
  <c r="G4621"/>
  <c r="E4621"/>
  <c r="B4621"/>
  <c r="A4621"/>
  <c r="W4620"/>
  <c r="S4620"/>
  <c r="Q4620"/>
  <c r="P4620"/>
  <c r="N4620"/>
  <c r="M4620"/>
  <c r="K4620"/>
  <c r="H4620"/>
  <c r="C4620"/>
  <c r="G4620"/>
  <c r="E4620"/>
  <c r="B4620"/>
  <c r="A4620"/>
  <c r="W4619"/>
  <c r="S4619"/>
  <c r="Q4619"/>
  <c r="P4619"/>
  <c r="N4619"/>
  <c r="M4619"/>
  <c r="K4619"/>
  <c r="H4619"/>
  <c r="C4619"/>
  <c r="G4619"/>
  <c r="E4619"/>
  <c r="B4619"/>
  <c r="A4619"/>
  <c r="W4618"/>
  <c r="S4618"/>
  <c r="Q4618"/>
  <c r="P4618"/>
  <c r="N4618"/>
  <c r="M4618"/>
  <c r="K4618"/>
  <c r="H4618"/>
  <c r="C4618"/>
  <c r="G4618"/>
  <c r="E4618"/>
  <c r="B4618"/>
  <c r="A4618"/>
  <c r="W4617"/>
  <c r="S4617"/>
  <c r="Q4617"/>
  <c r="P4617"/>
  <c r="N4617"/>
  <c r="M4617"/>
  <c r="K4617"/>
  <c r="H4617"/>
  <c r="C4617"/>
  <c r="G4617"/>
  <c r="E4617"/>
  <c r="B4617"/>
  <c r="A4617"/>
  <c r="W4616"/>
  <c r="S4616"/>
  <c r="Q4616"/>
  <c r="P4616"/>
  <c r="N4616"/>
  <c r="M4616"/>
  <c r="K4616"/>
  <c r="H4616"/>
  <c r="C4616"/>
  <c r="G4616"/>
  <c r="E4616"/>
  <c r="B4616"/>
  <c r="A4616"/>
  <c r="W4615"/>
  <c r="S4615"/>
  <c r="Q4615"/>
  <c r="P4615"/>
  <c r="M4615"/>
  <c r="K4615"/>
  <c r="H4615"/>
  <c r="C4615"/>
  <c r="G4615"/>
  <c r="E4615"/>
  <c r="B4615"/>
  <c r="A4615"/>
  <c r="W4614"/>
  <c r="S4614"/>
  <c r="Q4614"/>
  <c r="P4614"/>
  <c r="M4614"/>
  <c r="K4614"/>
  <c r="H4614"/>
  <c r="C4614"/>
  <c r="G4614"/>
  <c r="E4614"/>
  <c r="B4614"/>
  <c r="A4614"/>
  <c r="W4613"/>
  <c r="S4613"/>
  <c r="Q4613"/>
  <c r="P4613"/>
  <c r="M4613"/>
  <c r="K4613"/>
  <c r="H4613"/>
  <c r="C4613"/>
  <c r="G4613"/>
  <c r="E4613"/>
  <c r="B4613"/>
  <c r="A4613"/>
  <c r="W4612"/>
  <c r="S4612"/>
  <c r="Q4612"/>
  <c r="P4612"/>
  <c r="M4612"/>
  <c r="K4612"/>
  <c r="H4612"/>
  <c r="C4612"/>
  <c r="G4612"/>
  <c r="E4612"/>
  <c r="B4612"/>
  <c r="A4612"/>
  <c r="W4611"/>
  <c r="S4611"/>
  <c r="Q4611"/>
  <c r="P4611"/>
  <c r="M4611"/>
  <c r="K4611"/>
  <c r="H4611"/>
  <c r="C4611"/>
  <c r="G4611"/>
  <c r="E4611"/>
  <c r="B4611"/>
  <c r="A4611"/>
  <c r="W4610"/>
  <c r="S4610"/>
  <c r="Q4610"/>
  <c r="P4610"/>
  <c r="M4610"/>
  <c r="K4610"/>
  <c r="H4610"/>
  <c r="C4610"/>
  <c r="G4610"/>
  <c r="E4610"/>
  <c r="B4610"/>
  <c r="A4610"/>
  <c r="W4609"/>
  <c r="S4609"/>
  <c r="Q4609"/>
  <c r="P4609"/>
  <c r="M4609"/>
  <c r="K4609"/>
  <c r="H4609"/>
  <c r="C4609"/>
  <c r="G4609"/>
  <c r="E4609"/>
  <c r="B4609"/>
  <c r="A4609"/>
  <c r="W4608"/>
  <c r="S4608"/>
  <c r="Q4608"/>
  <c r="P4608"/>
  <c r="M4608"/>
  <c r="K4608"/>
  <c r="H4608"/>
  <c r="C4608"/>
  <c r="G4608"/>
  <c r="E4608"/>
  <c r="B4608"/>
  <c r="A4608"/>
  <c r="W4607"/>
  <c r="S4607"/>
  <c r="Q4607"/>
  <c r="P4607"/>
  <c r="M4607"/>
  <c r="K4607"/>
  <c r="H4607"/>
  <c r="C4607"/>
  <c r="G4607"/>
  <c r="E4607"/>
  <c r="B4607"/>
  <c r="A4607"/>
  <c r="W4606"/>
  <c r="S4606"/>
  <c r="Q4606"/>
  <c r="P4606"/>
  <c r="M4606"/>
  <c r="K4606"/>
  <c r="H4606"/>
  <c r="C4606"/>
  <c r="G4606"/>
  <c r="E4606"/>
  <c r="B4606"/>
  <c r="A4606"/>
  <c r="W4605"/>
  <c r="S4605"/>
  <c r="Q4605"/>
  <c r="P4605"/>
  <c r="M4605"/>
  <c r="K4605"/>
  <c r="H4605"/>
  <c r="C4605"/>
  <c r="G4605"/>
  <c r="E4605"/>
  <c r="B4605"/>
  <c r="A4605"/>
  <c r="W4604"/>
  <c r="S4604"/>
  <c r="Q4604"/>
  <c r="P4604"/>
  <c r="M4604"/>
  <c r="K4604"/>
  <c r="H4604"/>
  <c r="C4604"/>
  <c r="G4604"/>
  <c r="E4604"/>
  <c r="B4604"/>
  <c r="A4604"/>
  <c r="W4603"/>
  <c r="S4603"/>
  <c r="Q4603"/>
  <c r="P4603"/>
  <c r="M4603"/>
  <c r="K4603"/>
  <c r="H4603"/>
  <c r="C4603"/>
  <c r="G4603"/>
  <c r="E4603"/>
  <c r="B4603"/>
  <c r="A4603"/>
  <c r="W4602"/>
  <c r="S4602"/>
  <c r="R4602"/>
  <c r="Q4602"/>
  <c r="P4602"/>
  <c r="M4602"/>
  <c r="K4602"/>
  <c r="H4602"/>
  <c r="C4602"/>
  <c r="G4602"/>
  <c r="E4602"/>
  <c r="B4602"/>
  <c r="A4602"/>
  <c r="W4601"/>
  <c r="S4601"/>
  <c r="Q4601"/>
  <c r="P4601"/>
  <c r="M4601"/>
  <c r="K4601"/>
  <c r="H4601"/>
  <c r="C4601"/>
  <c r="G4601"/>
  <c r="E4601"/>
  <c r="B4601"/>
  <c r="A4601"/>
  <c r="W4600"/>
  <c r="S4600"/>
  <c r="Q4600"/>
  <c r="P4600"/>
  <c r="M4600"/>
  <c r="K4600"/>
  <c r="H4600"/>
  <c r="C4600"/>
  <c r="G4600"/>
  <c r="E4600"/>
  <c r="B4600"/>
  <c r="A4600"/>
  <c r="W4599"/>
  <c r="S4599"/>
  <c r="Q4599"/>
  <c r="P4599"/>
  <c r="M4599"/>
  <c r="K4599"/>
  <c r="H4599"/>
  <c r="C4599"/>
  <c r="G4599"/>
  <c r="E4599"/>
  <c r="B4599"/>
  <c r="A4599"/>
  <c r="W4598"/>
  <c r="S4598"/>
  <c r="Q4598"/>
  <c r="P4598"/>
  <c r="M4598"/>
  <c r="K4598"/>
  <c r="H4598"/>
  <c r="C4598"/>
  <c r="G4598"/>
  <c r="E4598"/>
  <c r="B4598"/>
  <c r="A4598"/>
  <c r="W4597"/>
  <c r="S4597"/>
  <c r="Q4597"/>
  <c r="P4597"/>
  <c r="M4597"/>
  <c r="K4597"/>
  <c r="H4597"/>
  <c r="C4597"/>
  <c r="G4597"/>
  <c r="E4597"/>
  <c r="B4597"/>
  <c r="A4597"/>
  <c r="W4596"/>
  <c r="S4596"/>
  <c r="Q4596"/>
  <c r="P4596"/>
  <c r="M4596"/>
  <c r="K4596"/>
  <c r="H4596"/>
  <c r="C4596"/>
  <c r="G4596"/>
  <c r="E4596"/>
  <c r="B4596"/>
  <c r="A4596"/>
  <c r="W4595"/>
  <c r="S4595"/>
  <c r="Q4595"/>
  <c r="P4595"/>
  <c r="M4595"/>
  <c r="K4595"/>
  <c r="H4595"/>
  <c r="C4595"/>
  <c r="G4595"/>
  <c r="E4595"/>
  <c r="B4595"/>
  <c r="A4595"/>
  <c r="W4594"/>
  <c r="S4594"/>
  <c r="Q4594"/>
  <c r="P4594"/>
  <c r="M4594"/>
  <c r="K4594"/>
  <c r="H4594"/>
  <c r="C4594"/>
  <c r="G4594"/>
  <c r="E4594"/>
  <c r="B4594"/>
  <c r="A4594"/>
  <c r="W4593"/>
  <c r="S4593"/>
  <c r="Q4593"/>
  <c r="P4593"/>
  <c r="M4593"/>
  <c r="K4593"/>
  <c r="H4593"/>
  <c r="C4593"/>
  <c r="G4593"/>
  <c r="E4593"/>
  <c r="B4593"/>
  <c r="A4593"/>
  <c r="W4592"/>
  <c r="S4592"/>
  <c r="Q4592"/>
  <c r="P4592"/>
  <c r="M4592"/>
  <c r="K4592"/>
  <c r="H4592"/>
  <c r="C4592"/>
  <c r="G4592"/>
  <c r="E4592"/>
  <c r="B4592"/>
  <c r="A4592"/>
  <c r="W4591"/>
  <c r="S4591"/>
  <c r="R4591"/>
  <c r="Q4591"/>
  <c r="P4591"/>
  <c r="M4591"/>
  <c r="K4591"/>
  <c r="H4591"/>
  <c r="C4591"/>
  <c r="G4591"/>
  <c r="E4591"/>
  <c r="B4591"/>
  <c r="A4591"/>
  <c r="W4590"/>
  <c r="S4590"/>
  <c r="Q4590"/>
  <c r="P4590"/>
  <c r="M4590"/>
  <c r="K4590"/>
  <c r="H4590"/>
  <c r="C4590"/>
  <c r="G4590"/>
  <c r="E4590"/>
  <c r="B4590"/>
  <c r="A4590"/>
  <c r="W4589"/>
  <c r="S4589"/>
  <c r="Q4589"/>
  <c r="P4589"/>
  <c r="M4589"/>
  <c r="K4589"/>
  <c r="H4589"/>
  <c r="C4589"/>
  <c r="G4589"/>
  <c r="E4589"/>
  <c r="B4589"/>
  <c r="A4589"/>
  <c r="W4588"/>
  <c r="S4588"/>
  <c r="Q4588"/>
  <c r="P4588"/>
  <c r="M4588"/>
  <c r="K4588"/>
  <c r="H4588"/>
  <c r="C4588"/>
  <c r="G4588"/>
  <c r="E4588"/>
  <c r="B4588"/>
  <c r="A4588"/>
  <c r="W4587"/>
  <c r="S4587"/>
  <c r="Q4587"/>
  <c r="P4587"/>
  <c r="M4587"/>
  <c r="K4587"/>
  <c r="H4587"/>
  <c r="C4587"/>
  <c r="G4587"/>
  <c r="E4587"/>
  <c r="B4587"/>
  <c r="A4587"/>
  <c r="W4586"/>
  <c r="S4586"/>
  <c r="Q4586"/>
  <c r="P4586"/>
  <c r="M4586"/>
  <c r="K4586"/>
  <c r="H4586"/>
  <c r="C4586"/>
  <c r="G4586"/>
  <c r="E4586"/>
  <c r="B4586"/>
  <c r="A4586"/>
  <c r="W4585"/>
  <c r="S4585"/>
  <c r="Q4585"/>
  <c r="P4585"/>
  <c r="M4585"/>
  <c r="K4585"/>
  <c r="H4585"/>
  <c r="C4585"/>
  <c r="G4585"/>
  <c r="E4585"/>
  <c r="B4585"/>
  <c r="A4585"/>
  <c r="W4584"/>
  <c r="S4584"/>
  <c r="Q4584"/>
  <c r="P4584"/>
  <c r="M4584"/>
  <c r="K4584"/>
  <c r="H4584"/>
  <c r="C4584"/>
  <c r="G4584"/>
  <c r="E4584"/>
  <c r="B4584"/>
  <c r="A4584"/>
  <c r="W4583"/>
  <c r="S4583"/>
  <c r="Q4583"/>
  <c r="P4583"/>
  <c r="M4583"/>
  <c r="K4583"/>
  <c r="H4583"/>
  <c r="C4583"/>
  <c r="G4583"/>
  <c r="E4583"/>
  <c r="B4583"/>
  <c r="A4583"/>
  <c r="W4582"/>
  <c r="S4582"/>
  <c r="Q4582"/>
  <c r="P4582"/>
  <c r="M4582"/>
  <c r="K4582"/>
  <c r="H4582"/>
  <c r="C4582"/>
  <c r="G4582"/>
  <c r="E4582"/>
  <c r="B4582"/>
  <c r="A4582"/>
  <c r="W4581"/>
  <c r="S4581"/>
  <c r="Q4581"/>
  <c r="P4581"/>
  <c r="M4581"/>
  <c r="K4581"/>
  <c r="H4581"/>
  <c r="C4581"/>
  <c r="G4581"/>
  <c r="E4581"/>
  <c r="B4581"/>
  <c r="A4581"/>
  <c r="W4580"/>
  <c r="S4580"/>
  <c r="Q4580"/>
  <c r="P4580"/>
  <c r="M4580"/>
  <c r="K4580"/>
  <c r="H4580"/>
  <c r="C4580"/>
  <c r="G4580"/>
  <c r="E4580"/>
  <c r="B4580"/>
  <c r="A4580"/>
  <c r="W4579"/>
  <c r="S4579"/>
  <c r="Q4579"/>
  <c r="P4579"/>
  <c r="M4579"/>
  <c r="K4579"/>
  <c r="H4579"/>
  <c r="C4579"/>
  <c r="G4579"/>
  <c r="E4579"/>
  <c r="B4579"/>
  <c r="A4579"/>
  <c r="W4578"/>
  <c r="S4578"/>
  <c r="Q4578"/>
  <c r="P4578"/>
  <c r="M4578"/>
  <c r="K4578"/>
  <c r="H4578"/>
  <c r="C4578"/>
  <c r="G4578"/>
  <c r="E4578"/>
  <c r="B4578"/>
  <c r="A4578"/>
  <c r="W4577"/>
  <c r="S4577"/>
  <c r="Q4577"/>
  <c r="P4577"/>
  <c r="M4577"/>
  <c r="K4577"/>
  <c r="H4577"/>
  <c r="C4577"/>
  <c r="G4577"/>
  <c r="E4577"/>
  <c r="B4577"/>
  <c r="A4577"/>
  <c r="W4576"/>
  <c r="S4576"/>
  <c r="Q4576"/>
  <c r="P4576"/>
  <c r="M4576"/>
  <c r="K4576"/>
  <c r="H4576"/>
  <c r="C4576"/>
  <c r="G4576"/>
  <c r="E4576"/>
  <c r="B4576"/>
  <c r="A4576"/>
  <c r="W4575"/>
  <c r="S4575"/>
  <c r="Q4575"/>
  <c r="P4575"/>
  <c r="M4575"/>
  <c r="K4575"/>
  <c r="H4575"/>
  <c r="C4575"/>
  <c r="G4575"/>
  <c r="E4575"/>
  <c r="B4575"/>
  <c r="A4575"/>
  <c r="W4574"/>
  <c r="S4574"/>
  <c r="Q4574"/>
  <c r="P4574"/>
  <c r="M4574"/>
  <c r="K4574"/>
  <c r="H4574"/>
  <c r="C4574"/>
  <c r="G4574"/>
  <c r="E4574"/>
  <c r="B4574"/>
  <c r="A4574"/>
  <c r="W4573"/>
  <c r="S4573"/>
  <c r="Q4573"/>
  <c r="P4573"/>
  <c r="N4573"/>
  <c r="M4573"/>
  <c r="K4573"/>
  <c r="H4573"/>
  <c r="C4573"/>
  <c r="G4573"/>
  <c r="E4573"/>
  <c r="B4573"/>
  <c r="A4573"/>
  <c r="W4572"/>
  <c r="S4572"/>
  <c r="Q4572"/>
  <c r="P4572"/>
  <c r="N4572"/>
  <c r="M4572"/>
  <c r="K4572"/>
  <c r="H4572"/>
  <c r="C4572"/>
  <c r="G4572"/>
  <c r="E4572"/>
  <c r="B4572"/>
  <c r="A4572"/>
  <c r="S4571"/>
  <c r="Q4571"/>
  <c r="P4571"/>
  <c r="N4571"/>
  <c r="M4571"/>
  <c r="K4571"/>
  <c r="H4571"/>
  <c r="C4571"/>
  <c r="G4571"/>
  <c r="B4571"/>
  <c r="A4571"/>
  <c r="S4570"/>
  <c r="Q4570"/>
  <c r="P4570"/>
  <c r="N4570"/>
  <c r="M4570"/>
  <c r="K4570"/>
  <c r="H4570"/>
  <c r="C4570"/>
  <c r="G4570"/>
  <c r="B4570"/>
  <c r="A4570"/>
  <c r="S4569"/>
  <c r="Q4569"/>
  <c r="P4569"/>
  <c r="M4569"/>
  <c r="K4569"/>
  <c r="H4569"/>
  <c r="C4569"/>
  <c r="G4569"/>
  <c r="E4569"/>
  <c r="B4569"/>
  <c r="A4569"/>
  <c r="W4568"/>
  <c r="S4568"/>
  <c r="Q4568"/>
  <c r="P4568"/>
  <c r="M4568"/>
  <c r="K4568"/>
  <c r="H4568"/>
  <c r="C4568"/>
  <c r="G4568"/>
  <c r="E4568"/>
  <c r="B4568"/>
  <c r="A4568"/>
  <c r="W4567"/>
  <c r="S4567"/>
  <c r="Q4567"/>
  <c r="P4567"/>
  <c r="M4567"/>
  <c r="K4567"/>
  <c r="H4567"/>
  <c r="C4567"/>
  <c r="G4567"/>
  <c r="E4567"/>
  <c r="B4567"/>
  <c r="A4567"/>
  <c r="W4566"/>
  <c r="S4566"/>
  <c r="Q4566"/>
  <c r="P4566"/>
  <c r="M4566"/>
  <c r="K4566"/>
  <c r="H4566"/>
  <c r="C4566"/>
  <c r="G4566"/>
  <c r="E4566"/>
  <c r="B4566"/>
  <c r="A4566"/>
  <c r="W4565"/>
  <c r="S4565"/>
  <c r="Q4565"/>
  <c r="P4565"/>
  <c r="M4565"/>
  <c r="K4565"/>
  <c r="H4565"/>
  <c r="C4565"/>
  <c r="G4565"/>
  <c r="E4565"/>
  <c r="B4565"/>
  <c r="A4565"/>
  <c r="W4564"/>
  <c r="S4564"/>
  <c r="Q4564"/>
  <c r="P4564"/>
  <c r="M4564"/>
  <c r="K4564"/>
  <c r="H4564"/>
  <c r="C4564"/>
  <c r="G4564"/>
  <c r="E4564"/>
  <c r="B4564"/>
  <c r="A4564"/>
  <c r="W4563"/>
  <c r="S4563"/>
  <c r="Q4563"/>
  <c r="P4563"/>
  <c r="M4563"/>
  <c r="K4563"/>
  <c r="H4563"/>
  <c r="C4563"/>
  <c r="G4563"/>
  <c r="E4563"/>
  <c r="B4563"/>
  <c r="A4563"/>
  <c r="W4562"/>
  <c r="S4562"/>
  <c r="Q4562"/>
  <c r="P4562"/>
  <c r="M4562"/>
  <c r="K4562"/>
  <c r="H4562"/>
  <c r="C4562"/>
  <c r="G4562"/>
  <c r="E4562"/>
  <c r="B4562"/>
  <c r="A4562"/>
  <c r="W4561"/>
  <c r="S4561"/>
  <c r="Q4561"/>
  <c r="P4561"/>
  <c r="M4561"/>
  <c r="K4561"/>
  <c r="H4561"/>
  <c r="C4561"/>
  <c r="G4561"/>
  <c r="E4561"/>
  <c r="B4561"/>
  <c r="A4561"/>
  <c r="W4560"/>
  <c r="S4560"/>
  <c r="Q4560"/>
  <c r="P4560"/>
  <c r="M4560"/>
  <c r="K4560"/>
  <c r="H4560"/>
  <c r="C4560"/>
  <c r="G4560"/>
  <c r="E4560"/>
  <c r="B4560"/>
  <c r="A4560"/>
  <c r="W4559"/>
  <c r="S4559"/>
  <c r="Q4559"/>
  <c r="P4559"/>
  <c r="M4559"/>
  <c r="K4559"/>
  <c r="H4559"/>
  <c r="C4559"/>
  <c r="G4559"/>
  <c r="E4559"/>
  <c r="B4559"/>
  <c r="A4559"/>
  <c r="W4558"/>
  <c r="S4558"/>
  <c r="Q4558"/>
  <c r="P4558"/>
  <c r="M4558"/>
  <c r="K4558"/>
  <c r="H4558"/>
  <c r="C4558"/>
  <c r="G4558"/>
  <c r="E4558"/>
  <c r="B4558"/>
  <c r="A4558"/>
  <c r="W4557"/>
  <c r="S4557"/>
  <c r="Q4557"/>
  <c r="P4557"/>
  <c r="M4557"/>
  <c r="K4557"/>
  <c r="H4557"/>
  <c r="C4557"/>
  <c r="G4557"/>
  <c r="E4557"/>
  <c r="B4557"/>
  <c r="A4557"/>
  <c r="W4556"/>
  <c r="S4556"/>
  <c r="Q4556"/>
  <c r="P4556"/>
  <c r="M4556"/>
  <c r="K4556"/>
  <c r="H4556"/>
  <c r="C4556"/>
  <c r="G4556"/>
  <c r="E4556"/>
  <c r="B4556"/>
  <c r="A4556"/>
  <c r="W4555"/>
  <c r="S4555"/>
  <c r="Q4555"/>
  <c r="P4555"/>
  <c r="M4555"/>
  <c r="K4555"/>
  <c r="H4555"/>
  <c r="C4555"/>
  <c r="G4555"/>
  <c r="E4555"/>
  <c r="B4555"/>
  <c r="A4555"/>
  <c r="W4554"/>
  <c r="S4554"/>
  <c r="Q4554"/>
  <c r="P4554"/>
  <c r="M4554"/>
  <c r="K4554"/>
  <c r="H4554"/>
  <c r="C4554"/>
  <c r="G4554"/>
  <c r="E4554"/>
  <c r="B4554"/>
  <c r="A4554"/>
  <c r="W4553"/>
  <c r="S4553"/>
  <c r="Q4553"/>
  <c r="P4553"/>
  <c r="M4553"/>
  <c r="K4553"/>
  <c r="H4553"/>
  <c r="C4553"/>
  <c r="G4553"/>
  <c r="E4553"/>
  <c r="B4553"/>
  <c r="A4553"/>
  <c r="W4552"/>
  <c r="S4552"/>
  <c r="Q4552"/>
  <c r="P4552"/>
  <c r="M4552"/>
  <c r="K4552"/>
  <c r="H4552"/>
  <c r="C4552"/>
  <c r="G4552"/>
  <c r="E4552"/>
  <c r="B4552"/>
  <c r="A4552"/>
  <c r="W4551"/>
  <c r="S4551"/>
  <c r="Q4551"/>
  <c r="P4551"/>
  <c r="M4551"/>
  <c r="K4551"/>
  <c r="H4551"/>
  <c r="C4551"/>
  <c r="G4551"/>
  <c r="E4551"/>
  <c r="B4551"/>
  <c r="A4551"/>
  <c r="W4550"/>
  <c r="S4550"/>
  <c r="Q4550"/>
  <c r="P4550"/>
  <c r="M4550"/>
  <c r="K4550"/>
  <c r="H4550"/>
  <c r="C4550"/>
  <c r="G4550"/>
  <c r="E4550"/>
  <c r="B4550"/>
  <c r="A4550"/>
  <c r="W4549"/>
  <c r="S4549"/>
  <c r="Q4549"/>
  <c r="P4549"/>
  <c r="M4549"/>
  <c r="K4549"/>
  <c r="H4549"/>
  <c r="C4549"/>
  <c r="G4549"/>
  <c r="E4549"/>
  <c r="B4549"/>
  <c r="A4549"/>
  <c r="W4548"/>
  <c r="S4548"/>
  <c r="Q4548"/>
  <c r="P4548"/>
  <c r="M4548"/>
  <c r="K4548"/>
  <c r="H4548"/>
  <c r="C4548"/>
  <c r="G4548"/>
  <c r="E4548"/>
  <c r="B4548"/>
  <c r="A4548"/>
  <c r="W4547"/>
  <c r="S4547"/>
  <c r="Q4547"/>
  <c r="P4547"/>
  <c r="M4547"/>
  <c r="K4547"/>
  <c r="H4547"/>
  <c r="C4547"/>
  <c r="G4547"/>
  <c r="E4547"/>
  <c r="B4547"/>
  <c r="A4547"/>
  <c r="W4546"/>
  <c r="S4546"/>
  <c r="Q4546"/>
  <c r="P4546"/>
  <c r="M4546"/>
  <c r="K4546"/>
  <c r="H4546"/>
  <c r="C4546"/>
  <c r="G4546"/>
  <c r="E4546"/>
  <c r="B4546"/>
  <c r="A4546"/>
  <c r="W4545"/>
  <c r="S4545"/>
  <c r="Q4545"/>
  <c r="P4545"/>
  <c r="M4545"/>
  <c r="K4545"/>
  <c r="H4545"/>
  <c r="C4545"/>
  <c r="G4545"/>
  <c r="E4545"/>
  <c r="B4545"/>
  <c r="A4545"/>
  <c r="W4544"/>
  <c r="S4544"/>
  <c r="Q4544"/>
  <c r="P4544"/>
  <c r="M4544"/>
  <c r="K4544"/>
  <c r="H4544"/>
  <c r="C4544"/>
  <c r="G4544"/>
  <c r="E4544"/>
  <c r="B4544"/>
  <c r="A4544"/>
  <c r="W4543"/>
  <c r="S4543"/>
  <c r="Q4543"/>
  <c r="P4543"/>
  <c r="M4543"/>
  <c r="K4543"/>
  <c r="H4543"/>
  <c r="C4543"/>
  <c r="G4543"/>
  <c r="E4543"/>
  <c r="B4543"/>
  <c r="A4543"/>
  <c r="W4542"/>
  <c r="S4542"/>
  <c r="Q4542"/>
  <c r="P4542"/>
  <c r="M4542"/>
  <c r="K4542"/>
  <c r="H4542"/>
  <c r="C4542"/>
  <c r="G4542"/>
  <c r="E4542"/>
  <c r="B4542"/>
  <c r="A4542"/>
  <c r="W4541"/>
  <c r="S4541"/>
  <c r="Q4541"/>
  <c r="P4541"/>
  <c r="M4541"/>
  <c r="K4541"/>
  <c r="H4541"/>
  <c r="C4541"/>
  <c r="G4541"/>
  <c r="E4541"/>
  <c r="B4541"/>
  <c r="A4541"/>
  <c r="W4540"/>
  <c r="S4540"/>
  <c r="Q4540"/>
  <c r="P4540"/>
  <c r="M4540"/>
  <c r="K4540"/>
  <c r="H4540"/>
  <c r="C4540"/>
  <c r="G4540"/>
  <c r="E4540"/>
  <c r="B4540"/>
  <c r="A4540"/>
  <c r="W4539"/>
  <c r="S4539"/>
  <c r="Q4539"/>
  <c r="P4539"/>
  <c r="M4539"/>
  <c r="K4539"/>
  <c r="H4539"/>
  <c r="C4539"/>
  <c r="G4539"/>
  <c r="E4539"/>
  <c r="B4539"/>
  <c r="A4539"/>
  <c r="W4538"/>
  <c r="S4538"/>
  <c r="Q4538"/>
  <c r="P4538"/>
  <c r="M4538"/>
  <c r="K4538"/>
  <c r="H4538"/>
  <c r="C4538"/>
  <c r="G4538"/>
  <c r="E4538"/>
  <c r="B4538"/>
  <c r="A4538"/>
  <c r="W4537"/>
  <c r="S4537"/>
  <c r="Q4537"/>
  <c r="P4537"/>
  <c r="M4537"/>
  <c r="K4537"/>
  <c r="H4537"/>
  <c r="C4537"/>
  <c r="G4537"/>
  <c r="E4537"/>
  <c r="B4537"/>
  <c r="A4537"/>
  <c r="W4536"/>
  <c r="S4536"/>
  <c r="Q4536"/>
  <c r="P4536"/>
  <c r="M4536"/>
  <c r="K4536"/>
  <c r="H4536"/>
  <c r="C4536"/>
  <c r="G4536"/>
  <c r="E4536"/>
  <c r="B4536"/>
  <c r="A4536"/>
  <c r="W4535"/>
  <c r="S4535"/>
  <c r="Q4535"/>
  <c r="P4535"/>
  <c r="M4535"/>
  <c r="K4535"/>
  <c r="H4535"/>
  <c r="C4535"/>
  <c r="G4535"/>
  <c r="E4535"/>
  <c r="B4535"/>
  <c r="A4535"/>
  <c r="W4534"/>
  <c r="S4534"/>
  <c r="Q4534"/>
  <c r="P4534"/>
  <c r="M4534"/>
  <c r="K4534"/>
  <c r="H4534"/>
  <c r="C4534"/>
  <c r="G4534"/>
  <c r="E4534"/>
  <c r="B4534"/>
  <c r="A4534"/>
  <c r="W4533"/>
  <c r="S4533"/>
  <c r="Q4533"/>
  <c r="P4533"/>
  <c r="M4533"/>
  <c r="K4533"/>
  <c r="H4533"/>
  <c r="C4533"/>
  <c r="G4533"/>
  <c r="E4533"/>
  <c r="B4533"/>
  <c r="A4533"/>
  <c r="W4532"/>
  <c r="S4532"/>
  <c r="Q4532"/>
  <c r="P4532"/>
  <c r="M4532"/>
  <c r="K4532"/>
  <c r="H4532"/>
  <c r="C4532"/>
  <c r="G4532"/>
  <c r="E4532"/>
  <c r="B4532"/>
  <c r="A4532"/>
  <c r="W4531"/>
  <c r="S4531"/>
  <c r="Q4531"/>
  <c r="P4531"/>
  <c r="M4531"/>
  <c r="K4531"/>
  <c r="H4531"/>
  <c r="C4531"/>
  <c r="G4531"/>
  <c r="E4531"/>
  <c r="B4531"/>
  <c r="A4531"/>
  <c r="W4530"/>
  <c r="S4530"/>
  <c r="Q4530"/>
  <c r="P4530"/>
  <c r="M4530"/>
  <c r="K4530"/>
  <c r="H4530"/>
  <c r="C4530"/>
  <c r="G4530"/>
  <c r="E4530"/>
  <c r="B4530"/>
  <c r="A4530"/>
  <c r="W4529"/>
  <c r="S4529"/>
  <c r="Q4529"/>
  <c r="P4529"/>
  <c r="M4529"/>
  <c r="K4529"/>
  <c r="H4529"/>
  <c r="C4529"/>
  <c r="G4529"/>
  <c r="E4529"/>
  <c r="B4529"/>
  <c r="A4529"/>
  <c r="W4528"/>
  <c r="S4528"/>
  <c r="Q4528"/>
  <c r="P4528"/>
  <c r="M4528"/>
  <c r="K4528"/>
  <c r="H4528"/>
  <c r="C4528"/>
  <c r="G4528"/>
  <c r="E4528"/>
  <c r="B4528"/>
  <c r="A4528"/>
  <c r="W4527"/>
  <c r="S4527"/>
  <c r="Q4527"/>
  <c r="P4527"/>
  <c r="M4527"/>
  <c r="K4527"/>
  <c r="H4527"/>
  <c r="C4527"/>
  <c r="G4527"/>
  <c r="E4527"/>
  <c r="B4527"/>
  <c r="A4527"/>
  <c r="W4526"/>
  <c r="S4526"/>
  <c r="Q4526"/>
  <c r="P4526"/>
  <c r="M4526"/>
  <c r="K4526"/>
  <c r="H4526"/>
  <c r="C4526"/>
  <c r="G4526"/>
  <c r="E4526"/>
  <c r="B4526"/>
  <c r="A4526"/>
  <c r="W4525"/>
  <c r="S4525"/>
  <c r="Q4525"/>
  <c r="P4525"/>
  <c r="M4525"/>
  <c r="K4525"/>
  <c r="H4525"/>
  <c r="C4525"/>
  <c r="G4525"/>
  <c r="E4525"/>
  <c r="B4525"/>
  <c r="A4525"/>
  <c r="W4524"/>
  <c r="S4524"/>
  <c r="Q4524"/>
  <c r="P4524"/>
  <c r="M4524"/>
  <c r="K4524"/>
  <c r="H4524"/>
  <c r="C4524"/>
  <c r="G4524"/>
  <c r="E4524"/>
  <c r="B4524"/>
  <c r="A4524"/>
  <c r="W4523"/>
  <c r="S4523"/>
  <c r="Q4523"/>
  <c r="P4523"/>
  <c r="M4523"/>
  <c r="K4523"/>
  <c r="H4523"/>
  <c r="C4523"/>
  <c r="G4523"/>
  <c r="E4523"/>
  <c r="B4523"/>
  <c r="A4523"/>
  <c r="W4522"/>
  <c r="S4522"/>
  <c r="Q4522"/>
  <c r="P4522"/>
  <c r="M4522"/>
  <c r="K4522"/>
  <c r="H4522"/>
  <c r="C4522"/>
  <c r="G4522"/>
  <c r="E4522"/>
  <c r="B4522"/>
  <c r="A4522"/>
  <c r="W4521"/>
  <c r="S4521"/>
  <c r="Q4521"/>
  <c r="P4521"/>
  <c r="M4521"/>
  <c r="K4521"/>
  <c r="H4521"/>
  <c r="C4521"/>
  <c r="G4521"/>
  <c r="E4521"/>
  <c r="B4521"/>
  <c r="A4521"/>
  <c r="W4520"/>
  <c r="S4520"/>
  <c r="Q4520"/>
  <c r="P4520"/>
  <c r="M4520"/>
  <c r="K4520"/>
  <c r="H4520"/>
  <c r="C4520"/>
  <c r="G4520"/>
  <c r="E4520"/>
  <c r="B4520"/>
  <c r="A4520"/>
  <c r="W4519"/>
  <c r="S4519"/>
  <c r="Q4519"/>
  <c r="P4519"/>
  <c r="M4519"/>
  <c r="K4519"/>
  <c r="H4519"/>
  <c r="C4519"/>
  <c r="G4519"/>
  <c r="E4519"/>
  <c r="B4519"/>
  <c r="A4519"/>
  <c r="W4518"/>
  <c r="S4518"/>
  <c r="Q4518"/>
  <c r="P4518"/>
  <c r="M4518"/>
  <c r="K4518"/>
  <c r="H4518"/>
  <c r="C4518"/>
  <c r="G4518"/>
  <c r="E4518"/>
  <c r="B4518"/>
  <c r="A4518"/>
  <c r="W4517"/>
  <c r="S4517"/>
  <c r="Q4517"/>
  <c r="P4517"/>
  <c r="M4517"/>
  <c r="K4517"/>
  <c r="H4517"/>
  <c r="C4517"/>
  <c r="G4517"/>
  <c r="E4517"/>
  <c r="B4517"/>
  <c r="A4517"/>
  <c r="W4516"/>
  <c r="S4516"/>
  <c r="Q4516"/>
  <c r="P4516"/>
  <c r="M4516"/>
  <c r="K4516"/>
  <c r="H4516"/>
  <c r="C4516"/>
  <c r="G4516"/>
  <c r="E4516"/>
  <c r="B4516"/>
  <c r="A4516"/>
  <c r="W4515"/>
  <c r="S4515"/>
  <c r="Q4515"/>
  <c r="P4515"/>
  <c r="M4515"/>
  <c r="K4515"/>
  <c r="H4515"/>
  <c r="C4515"/>
  <c r="G4515"/>
  <c r="E4515"/>
  <c r="B4515"/>
  <c r="A4515"/>
  <c r="W4514"/>
  <c r="S4514"/>
  <c r="Q4514"/>
  <c r="P4514"/>
  <c r="M4514"/>
  <c r="K4514"/>
  <c r="H4514"/>
  <c r="C4514"/>
  <c r="G4514"/>
  <c r="E4514"/>
  <c r="B4514"/>
  <c r="A4514"/>
  <c r="W4513"/>
  <c r="S4513"/>
  <c r="Q4513"/>
  <c r="P4513"/>
  <c r="M4513"/>
  <c r="K4513"/>
  <c r="H4513"/>
  <c r="C4513"/>
  <c r="G4513"/>
  <c r="E4513"/>
  <c r="B4513"/>
  <c r="A4513"/>
  <c r="W4512"/>
  <c r="S4512"/>
  <c r="Q4512"/>
  <c r="P4512"/>
  <c r="M4512"/>
  <c r="K4512"/>
  <c r="H4512"/>
  <c r="C4512"/>
  <c r="G4512"/>
  <c r="E4512"/>
  <c r="B4512"/>
  <c r="A4512"/>
  <c r="W4511"/>
  <c r="S4511"/>
  <c r="Q4511"/>
  <c r="P4511"/>
  <c r="M4511"/>
  <c r="K4511"/>
  <c r="H4511"/>
  <c r="C4511"/>
  <c r="G4511"/>
  <c r="E4511"/>
  <c r="B4511"/>
  <c r="A4511"/>
  <c r="W4510"/>
  <c r="S4510"/>
  <c r="Q4510"/>
  <c r="P4510"/>
  <c r="M4510"/>
  <c r="K4510"/>
  <c r="H4510"/>
  <c r="C4510"/>
  <c r="G4510"/>
  <c r="E4510"/>
  <c r="B4510"/>
  <c r="A4510"/>
  <c r="W4509"/>
  <c r="S4509"/>
  <c r="Q4509"/>
  <c r="P4509"/>
  <c r="M4509"/>
  <c r="K4509"/>
  <c r="H4509"/>
  <c r="C4509"/>
  <c r="G4509"/>
  <c r="E4509"/>
  <c r="B4509"/>
  <c r="A4509"/>
  <c r="W4508"/>
  <c r="S4508"/>
  <c r="Q4508"/>
  <c r="P4508"/>
  <c r="M4508"/>
  <c r="K4508"/>
  <c r="H4508"/>
  <c r="C4508"/>
  <c r="G4508"/>
  <c r="E4508"/>
  <c r="B4508"/>
  <c r="A4508"/>
  <c r="W4507"/>
  <c r="S4507"/>
  <c r="Q4507"/>
  <c r="P4507"/>
  <c r="M4507"/>
  <c r="K4507"/>
  <c r="H4507"/>
  <c r="C4507"/>
  <c r="G4507"/>
  <c r="E4507"/>
  <c r="B4507"/>
  <c r="A4507"/>
  <c r="W4506"/>
  <c r="S4506"/>
  <c r="Q4506"/>
  <c r="P4506"/>
  <c r="M4506"/>
  <c r="K4506"/>
  <c r="H4506"/>
  <c r="C4506"/>
  <c r="G4506"/>
  <c r="E4506"/>
  <c r="B4506"/>
  <c r="A4506"/>
  <c r="W4505"/>
  <c r="S4505"/>
  <c r="Q4505"/>
  <c r="P4505"/>
  <c r="M4505"/>
  <c r="K4505"/>
  <c r="H4505"/>
  <c r="C4505"/>
  <c r="G4505"/>
  <c r="E4505"/>
  <c r="B4505"/>
  <c r="A4505"/>
  <c r="W4504"/>
  <c r="S4504"/>
  <c r="Q4504"/>
  <c r="P4504"/>
  <c r="M4504"/>
  <c r="K4504"/>
  <c r="H4504"/>
  <c r="C4504"/>
  <c r="G4504"/>
  <c r="E4504"/>
  <c r="B4504"/>
  <c r="A4504"/>
  <c r="W4503"/>
  <c r="S4503"/>
  <c r="Q4503"/>
  <c r="P4503"/>
  <c r="M4503"/>
  <c r="K4503"/>
  <c r="H4503"/>
  <c r="C4503"/>
  <c r="G4503"/>
  <c r="E4503"/>
  <c r="B4503"/>
  <c r="A4503"/>
  <c r="W4502"/>
  <c r="S4502"/>
  <c r="Q4502"/>
  <c r="P4502"/>
  <c r="M4502"/>
  <c r="K4502"/>
  <c r="H4502"/>
  <c r="C4502"/>
  <c r="G4502"/>
  <c r="E4502"/>
  <c r="B4502"/>
  <c r="A4502"/>
  <c r="W4501"/>
  <c r="S4501"/>
  <c r="Q4501"/>
  <c r="P4501"/>
  <c r="M4501"/>
  <c r="K4501"/>
  <c r="H4501"/>
  <c r="C4501"/>
  <c r="G4501"/>
  <c r="E4501"/>
  <c r="B4501"/>
  <c r="A4501"/>
  <c r="W4500"/>
  <c r="S4500"/>
  <c r="Q4500"/>
  <c r="P4500"/>
  <c r="M4500"/>
  <c r="K4500"/>
  <c r="H4500"/>
  <c r="C4500"/>
  <c r="G4500"/>
  <c r="E4500"/>
  <c r="B4500"/>
  <c r="A4500"/>
  <c r="W4499"/>
  <c r="S4499"/>
  <c r="Q4499"/>
  <c r="P4499"/>
  <c r="M4499"/>
  <c r="K4499"/>
  <c r="H4499"/>
  <c r="C4499"/>
  <c r="G4499"/>
  <c r="E4499"/>
  <c r="B4499"/>
  <c r="A4499"/>
  <c r="W4498"/>
  <c r="S4498"/>
  <c r="Q4498"/>
  <c r="P4498"/>
  <c r="M4498"/>
  <c r="K4498"/>
  <c r="H4498"/>
  <c r="C4498"/>
  <c r="G4498"/>
  <c r="E4498"/>
  <c r="B4498"/>
  <c r="A4498"/>
  <c r="W4497"/>
  <c r="S4497"/>
  <c r="Q4497"/>
  <c r="P4497"/>
  <c r="M4497"/>
  <c r="K4497"/>
  <c r="H4497"/>
  <c r="C4497"/>
  <c r="G4497"/>
  <c r="E4497"/>
  <c r="B4497"/>
  <c r="A4497"/>
  <c r="W4496"/>
  <c r="S4496"/>
  <c r="Q4496"/>
  <c r="P4496"/>
  <c r="M4496"/>
  <c r="K4496"/>
  <c r="H4496"/>
  <c r="C4496"/>
  <c r="G4496"/>
  <c r="E4496"/>
  <c r="B4496"/>
  <c r="A4496"/>
  <c r="W4495"/>
  <c r="S4495"/>
  <c r="Q4495"/>
  <c r="P4495"/>
  <c r="M4495"/>
  <c r="K4495"/>
  <c r="H4495"/>
  <c r="C4495"/>
  <c r="G4495"/>
  <c r="E4495"/>
  <c r="B4495"/>
  <c r="A4495"/>
  <c r="W4494"/>
  <c r="S4494"/>
  <c r="Q4494"/>
  <c r="P4494"/>
  <c r="M4494"/>
  <c r="K4494"/>
  <c r="H4494"/>
  <c r="C4494"/>
  <c r="G4494"/>
  <c r="E4494"/>
  <c r="B4494"/>
  <c r="A4494"/>
  <c r="W4493"/>
  <c r="S4493"/>
  <c r="Q4493"/>
  <c r="P4493"/>
  <c r="M4493"/>
  <c r="K4493"/>
  <c r="H4493"/>
  <c r="C4493"/>
  <c r="G4493"/>
  <c r="E4493"/>
  <c r="B4493"/>
  <c r="A4493"/>
  <c r="W4492"/>
  <c r="S4492"/>
  <c r="Q4492"/>
  <c r="P4492"/>
  <c r="M4492"/>
  <c r="K4492"/>
  <c r="H4492"/>
  <c r="C4492"/>
  <c r="G4492"/>
  <c r="E4492"/>
  <c r="B4492"/>
  <c r="A4492"/>
  <c r="W4491"/>
  <c r="S4491"/>
  <c r="Q4491"/>
  <c r="P4491"/>
  <c r="M4491"/>
  <c r="K4491"/>
  <c r="H4491"/>
  <c r="C4491"/>
  <c r="G4491"/>
  <c r="E4491"/>
  <c r="B4491"/>
  <c r="A4491"/>
  <c r="W4490"/>
  <c r="S4490"/>
  <c r="Q4490"/>
  <c r="P4490"/>
  <c r="M4490"/>
  <c r="K4490"/>
  <c r="H4490"/>
  <c r="C4490"/>
  <c r="G4490"/>
  <c r="E4490"/>
  <c r="B4490"/>
  <c r="A4490"/>
  <c r="W4489"/>
  <c r="S4489"/>
  <c r="Q4489"/>
  <c r="P4489"/>
  <c r="M4489"/>
  <c r="K4489"/>
  <c r="H4489"/>
  <c r="C4489"/>
  <c r="G4489"/>
  <c r="E4489"/>
  <c r="B4489"/>
  <c r="A4489"/>
  <c r="W4488"/>
  <c r="S4488"/>
  <c r="Q4488"/>
  <c r="P4488"/>
  <c r="M4488"/>
  <c r="K4488"/>
  <c r="H4488"/>
  <c r="C4488"/>
  <c r="G4488"/>
  <c r="E4488"/>
  <c r="B4488"/>
  <c r="A4488"/>
  <c r="W4487"/>
  <c r="S4487"/>
  <c r="Q4487"/>
  <c r="P4487"/>
  <c r="M4487"/>
  <c r="K4487"/>
  <c r="H4487"/>
  <c r="C4487"/>
  <c r="G4487"/>
  <c r="E4487"/>
  <c r="B4487"/>
  <c r="A4487"/>
  <c r="W4486"/>
  <c r="S4486"/>
  <c r="Q4486"/>
  <c r="P4486"/>
  <c r="M4486"/>
  <c r="K4486"/>
  <c r="H4486"/>
  <c r="C4486"/>
  <c r="G4486"/>
  <c r="E4486"/>
  <c r="B4486"/>
  <c r="A4486"/>
  <c r="W4485"/>
  <c r="S4485"/>
  <c r="Q4485"/>
  <c r="P4485"/>
  <c r="M4485"/>
  <c r="K4485"/>
  <c r="H4485"/>
  <c r="C4485"/>
  <c r="G4485"/>
  <c r="E4485"/>
  <c r="B4485"/>
  <c r="A4485"/>
  <c r="W4484"/>
  <c r="S4484"/>
  <c r="Q4484"/>
  <c r="P4484"/>
  <c r="M4484"/>
  <c r="K4484"/>
  <c r="H4484"/>
  <c r="C4484"/>
  <c r="G4484"/>
  <c r="E4484"/>
  <c r="B4484"/>
  <c r="A4484"/>
  <c r="W4483"/>
  <c r="S4483"/>
  <c r="Q4483"/>
  <c r="P4483"/>
  <c r="M4483"/>
  <c r="K4483"/>
  <c r="H4483"/>
  <c r="C4483"/>
  <c r="G4483"/>
  <c r="E4483"/>
  <c r="B4483"/>
  <c r="A4483"/>
  <c r="W4482"/>
  <c r="S4482"/>
  <c r="Q4482"/>
  <c r="P4482"/>
  <c r="M4482"/>
  <c r="K4482"/>
  <c r="H4482"/>
  <c r="C4482"/>
  <c r="G4482"/>
  <c r="E4482"/>
  <c r="B4482"/>
  <c r="A4482"/>
  <c r="W4481"/>
  <c r="S4481"/>
  <c r="Q4481"/>
  <c r="P4481"/>
  <c r="M4481"/>
  <c r="K4481"/>
  <c r="H4481"/>
  <c r="C4481"/>
  <c r="G4481"/>
  <c r="E4481"/>
  <c r="B4481"/>
  <c r="A4481"/>
  <c r="W4480"/>
  <c r="S4480"/>
  <c r="Q4480"/>
  <c r="P4480"/>
  <c r="M4480"/>
  <c r="K4480"/>
  <c r="H4480"/>
  <c r="C4480"/>
  <c r="G4480"/>
  <c r="E4480"/>
  <c r="B4480"/>
  <c r="A4480"/>
  <c r="W4479"/>
  <c r="S4479"/>
  <c r="Q4479"/>
  <c r="P4479"/>
  <c r="M4479"/>
  <c r="K4479"/>
  <c r="H4479"/>
  <c r="C4479"/>
  <c r="G4479"/>
  <c r="E4479"/>
  <c r="B4479"/>
  <c r="A4479"/>
  <c r="W4478"/>
  <c r="S4478"/>
  <c r="Q4478"/>
  <c r="P4478"/>
  <c r="M4478"/>
  <c r="K4478"/>
  <c r="H4478"/>
  <c r="C4478"/>
  <c r="G4478"/>
  <c r="E4478"/>
  <c r="B4478"/>
  <c r="A4478"/>
  <c r="W4477"/>
  <c r="S4477"/>
  <c r="Q4477"/>
  <c r="P4477"/>
  <c r="M4477"/>
  <c r="K4477"/>
  <c r="H4477"/>
  <c r="C4477"/>
  <c r="G4477"/>
  <c r="E4477"/>
  <c r="B4477"/>
  <c r="A4477"/>
  <c r="W4476"/>
  <c r="S4476"/>
  <c r="Q4476"/>
  <c r="P4476"/>
  <c r="M4476"/>
  <c r="K4476"/>
  <c r="H4476"/>
  <c r="C4476"/>
  <c r="G4476"/>
  <c r="E4476"/>
  <c r="B4476"/>
  <c r="A4476"/>
  <c r="W4475"/>
  <c r="S4475"/>
  <c r="Q4475"/>
  <c r="P4475"/>
  <c r="M4475"/>
  <c r="K4475"/>
  <c r="H4475"/>
  <c r="C4475"/>
  <c r="G4475"/>
  <c r="E4475"/>
  <c r="B4475"/>
  <c r="A4475"/>
  <c r="W4474"/>
  <c r="S4474"/>
  <c r="Q4474"/>
  <c r="P4474"/>
  <c r="M4474"/>
  <c r="K4474"/>
  <c r="H4474"/>
  <c r="C4474"/>
  <c r="G4474"/>
  <c r="E4474"/>
  <c r="B4474"/>
  <c r="A4474"/>
  <c r="W4473"/>
  <c r="S4473"/>
  <c r="Q4473"/>
  <c r="P4473"/>
  <c r="M4473"/>
  <c r="K4473"/>
  <c r="H4473"/>
  <c r="C4473"/>
  <c r="G4473"/>
  <c r="E4473"/>
  <c r="B4473"/>
  <c r="A4473"/>
  <c r="W4472"/>
  <c r="S4472"/>
  <c r="Q4472"/>
  <c r="P4472"/>
  <c r="M4472"/>
  <c r="K4472"/>
  <c r="H4472"/>
  <c r="C4472"/>
  <c r="G4472"/>
  <c r="E4472"/>
  <c r="B4472"/>
  <c r="A4472"/>
  <c r="W4471"/>
  <c r="S4471"/>
  <c r="Q4471"/>
  <c r="P4471"/>
  <c r="M4471"/>
  <c r="K4471"/>
  <c r="H4471"/>
  <c r="C4471"/>
  <c r="G4471"/>
  <c r="E4471"/>
  <c r="B4471"/>
  <c r="A4471"/>
  <c r="W4470"/>
  <c r="S4470"/>
  <c r="Q4470"/>
  <c r="P4470"/>
  <c r="M4470"/>
  <c r="K4470"/>
  <c r="H4470"/>
  <c r="C4470"/>
  <c r="G4470"/>
  <c r="E4470"/>
  <c r="B4470"/>
  <c r="A4470"/>
  <c r="W4469"/>
  <c r="S4469"/>
  <c r="Q4469"/>
  <c r="P4469"/>
  <c r="M4469"/>
  <c r="K4469"/>
  <c r="H4469"/>
  <c r="C4469"/>
  <c r="G4469"/>
  <c r="E4469"/>
  <c r="B4469"/>
  <c r="A4469"/>
  <c r="W4468"/>
  <c r="S4468"/>
  <c r="Q4468"/>
  <c r="P4468"/>
  <c r="M4468"/>
  <c r="K4468"/>
  <c r="H4468"/>
  <c r="C4468"/>
  <c r="G4468"/>
  <c r="E4468"/>
  <c r="B4468"/>
  <c r="A4468"/>
  <c r="W4467"/>
  <c r="S4467"/>
  <c r="Q4467"/>
  <c r="P4467"/>
  <c r="M4467"/>
  <c r="K4467"/>
  <c r="H4467"/>
  <c r="C4467"/>
  <c r="G4467"/>
  <c r="E4467"/>
  <c r="B4467"/>
  <c r="A4467"/>
  <c r="W4466"/>
  <c r="S4466"/>
  <c r="Q4466"/>
  <c r="P4466"/>
  <c r="M4466"/>
  <c r="K4466"/>
  <c r="H4466"/>
  <c r="C4466"/>
  <c r="G4466"/>
  <c r="E4466"/>
  <c r="B4466"/>
  <c r="A4466"/>
  <c r="W4465"/>
  <c r="S4465"/>
  <c r="Q4465"/>
  <c r="P4465"/>
  <c r="M4465"/>
  <c r="K4465"/>
  <c r="H4465"/>
  <c r="C4465"/>
  <c r="G4465"/>
  <c r="E4465"/>
  <c r="B4465"/>
  <c r="A4465"/>
  <c r="W4464"/>
  <c r="S4464"/>
  <c r="Q4464"/>
  <c r="P4464"/>
  <c r="M4464"/>
  <c r="K4464"/>
  <c r="H4464"/>
  <c r="C4464"/>
  <c r="G4464"/>
  <c r="E4464"/>
  <c r="B4464"/>
  <c r="A4464"/>
  <c r="W4463"/>
  <c r="S4463"/>
  <c r="Q4463"/>
  <c r="P4463"/>
  <c r="M4463"/>
  <c r="K4463"/>
  <c r="H4463"/>
  <c r="C4463"/>
  <c r="G4463"/>
  <c r="E4463"/>
  <c r="B4463"/>
  <c r="A4463"/>
  <c r="W4462"/>
  <c r="S4462"/>
  <c r="Q4462"/>
  <c r="P4462"/>
  <c r="M4462"/>
  <c r="K4462"/>
  <c r="H4462"/>
  <c r="C4462"/>
  <c r="G4462"/>
  <c r="E4462"/>
  <c r="B4462"/>
  <c r="A4462"/>
  <c r="W4461"/>
  <c r="S4461"/>
  <c r="Q4461"/>
  <c r="P4461"/>
  <c r="M4461"/>
  <c r="K4461"/>
  <c r="H4461"/>
  <c r="C4461"/>
  <c r="G4461"/>
  <c r="E4461"/>
  <c r="B4461"/>
  <c r="A4461"/>
  <c r="W4460"/>
  <c r="S4460"/>
  <c r="R4460"/>
  <c r="Q4460"/>
  <c r="P4460"/>
  <c r="M4460"/>
  <c r="K4460"/>
  <c r="H4460"/>
  <c r="C4460"/>
  <c r="G4460"/>
  <c r="E4460"/>
  <c r="B4460"/>
  <c r="A4460"/>
  <c r="W4459"/>
  <c r="S4459"/>
  <c r="Q4459"/>
  <c r="P4459"/>
  <c r="M4459"/>
  <c r="K4459"/>
  <c r="H4459"/>
  <c r="C4459"/>
  <c r="G4459"/>
  <c r="E4459"/>
  <c r="B4459"/>
  <c r="A4459"/>
  <c r="W4458"/>
  <c r="S4458"/>
  <c r="R4458"/>
  <c r="Q4458"/>
  <c r="P4458"/>
  <c r="M4458"/>
  <c r="K4458"/>
  <c r="H4458"/>
  <c r="C4458"/>
  <c r="G4458"/>
  <c r="E4458"/>
  <c r="B4458"/>
  <c r="A4458"/>
  <c r="W4457"/>
  <c r="S4457"/>
  <c r="Q4457"/>
  <c r="P4457"/>
  <c r="M4457"/>
  <c r="K4457"/>
  <c r="H4457"/>
  <c r="C4457"/>
  <c r="G4457"/>
  <c r="E4457"/>
  <c r="B4457"/>
  <c r="A4457"/>
  <c r="W4456"/>
  <c r="S4456"/>
  <c r="Q4456"/>
  <c r="P4456"/>
  <c r="M4456"/>
  <c r="K4456"/>
  <c r="H4456"/>
  <c r="C4456"/>
  <c r="G4456"/>
  <c r="E4456"/>
  <c r="B4456"/>
  <c r="A4456"/>
  <c r="W4455"/>
  <c r="S4455"/>
  <c r="Q4455"/>
  <c r="P4455"/>
  <c r="M4455"/>
  <c r="K4455"/>
  <c r="H4455"/>
  <c r="C4455"/>
  <c r="G4455"/>
  <c r="E4455"/>
  <c r="B4455"/>
  <c r="A4455"/>
  <c r="W4454"/>
  <c r="S4454"/>
  <c r="Q4454"/>
  <c r="P4454"/>
  <c r="M4454"/>
  <c r="K4454"/>
  <c r="H4454"/>
  <c r="C4454"/>
  <c r="G4454"/>
  <c r="E4454"/>
  <c r="B4454"/>
  <c r="A4454"/>
  <c r="W4453"/>
  <c r="S4453"/>
  <c r="Q4453"/>
  <c r="P4453"/>
  <c r="M4453"/>
  <c r="K4453"/>
  <c r="H4453"/>
  <c r="C4453"/>
  <c r="G4453"/>
  <c r="E4453"/>
  <c r="B4453"/>
  <c r="A4453"/>
  <c r="W4452"/>
  <c r="S4452"/>
  <c r="Q4452"/>
  <c r="P4452"/>
  <c r="M4452"/>
  <c r="K4452"/>
  <c r="H4452"/>
  <c r="C4452"/>
  <c r="G4452"/>
  <c r="E4452"/>
  <c r="B4452"/>
  <c r="A4452"/>
  <c r="W4451"/>
  <c r="S4451"/>
  <c r="Q4451"/>
  <c r="P4451"/>
  <c r="M4451"/>
  <c r="K4451"/>
  <c r="H4451"/>
  <c r="C4451"/>
  <c r="G4451"/>
  <c r="E4451"/>
  <c r="B4451"/>
  <c r="A4451"/>
  <c r="W4450"/>
  <c r="S4450"/>
  <c r="Q4450"/>
  <c r="P4450"/>
  <c r="M4450"/>
  <c r="K4450"/>
  <c r="H4450"/>
  <c r="C4450"/>
  <c r="G4450"/>
  <c r="E4450"/>
  <c r="B4450"/>
  <c r="A4450"/>
  <c r="W4449"/>
  <c r="S4449"/>
  <c r="Q4449"/>
  <c r="P4449"/>
  <c r="M4449"/>
  <c r="K4449"/>
  <c r="H4449"/>
  <c r="C4449"/>
  <c r="G4449"/>
  <c r="E4449"/>
  <c r="B4449"/>
  <c r="A4449"/>
  <c r="W4448"/>
  <c r="S4448"/>
  <c r="Q4448"/>
  <c r="P4448"/>
  <c r="M4448"/>
  <c r="K4448"/>
  <c r="H4448"/>
  <c r="C4448"/>
  <c r="G4448"/>
  <c r="E4448"/>
  <c r="B4448"/>
  <c r="A4448"/>
  <c r="W4447"/>
  <c r="S4447"/>
  <c r="Q4447"/>
  <c r="P4447"/>
  <c r="M4447"/>
  <c r="K4447"/>
  <c r="H4447"/>
  <c r="C4447"/>
  <c r="G4447"/>
  <c r="E4447"/>
  <c r="B4447"/>
  <c r="A4447"/>
  <c r="W4446"/>
  <c r="S4446"/>
  <c r="Q4446"/>
  <c r="P4446"/>
  <c r="M4446"/>
  <c r="K4446"/>
  <c r="H4446"/>
  <c r="C4446"/>
  <c r="G4446"/>
  <c r="E4446"/>
  <c r="B4446"/>
  <c r="A4446"/>
  <c r="W4445"/>
  <c r="S4445"/>
  <c r="Q4445"/>
  <c r="P4445"/>
  <c r="M4445"/>
  <c r="K4445"/>
  <c r="H4445"/>
  <c r="C4445"/>
  <c r="G4445"/>
  <c r="E4445"/>
  <c r="B4445"/>
  <c r="A4445"/>
  <c r="W4444"/>
  <c r="S4444"/>
  <c r="Q4444"/>
  <c r="P4444"/>
  <c r="M4444"/>
  <c r="K4444"/>
  <c r="H4444"/>
  <c r="C4444"/>
  <c r="G4444"/>
  <c r="E4444"/>
  <c r="B4444"/>
  <c r="A4444"/>
  <c r="W4443"/>
  <c r="S4443"/>
  <c r="R4443"/>
  <c r="Q4443"/>
  <c r="P4443"/>
  <c r="M4443"/>
  <c r="K4443"/>
  <c r="H4443"/>
  <c r="C4443"/>
  <c r="G4443"/>
  <c r="E4443"/>
  <c r="B4443"/>
  <c r="A4443"/>
  <c r="W4442"/>
  <c r="S4442"/>
  <c r="Q4442"/>
  <c r="P4442"/>
  <c r="M4442"/>
  <c r="K4442"/>
  <c r="H4442"/>
  <c r="C4442"/>
  <c r="G4442"/>
  <c r="E4442"/>
  <c r="B4442"/>
  <c r="A4442"/>
  <c r="W4441"/>
  <c r="S4441"/>
  <c r="Q4441"/>
  <c r="P4441"/>
  <c r="M4441"/>
  <c r="K4441"/>
  <c r="H4441"/>
  <c r="C4441"/>
  <c r="G4441"/>
  <c r="E4441"/>
  <c r="B4441"/>
  <c r="A4441"/>
  <c r="W4440"/>
  <c r="S4440"/>
  <c r="Q4440"/>
  <c r="P4440"/>
  <c r="M4440"/>
  <c r="K4440"/>
  <c r="H4440"/>
  <c r="C4440"/>
  <c r="G4440"/>
  <c r="E4440"/>
  <c r="B4440"/>
  <c r="A4440"/>
  <c r="W4439"/>
  <c r="S4439"/>
  <c r="Q4439"/>
  <c r="P4439"/>
  <c r="M4439"/>
  <c r="K4439"/>
  <c r="H4439"/>
  <c r="C4439"/>
  <c r="G4439"/>
  <c r="E4439"/>
  <c r="B4439"/>
  <c r="A4439"/>
  <c r="W4438"/>
  <c r="S4438"/>
  <c r="Q4438"/>
  <c r="P4438"/>
  <c r="M4438"/>
  <c r="K4438"/>
  <c r="H4438"/>
  <c r="C4438"/>
  <c r="G4438"/>
  <c r="E4438"/>
  <c r="B4438"/>
  <c r="A4438"/>
  <c r="W4437"/>
  <c r="S4437"/>
  <c r="R4437"/>
  <c r="Q4437"/>
  <c r="P4437"/>
  <c r="M4437"/>
  <c r="K4437"/>
  <c r="H4437"/>
  <c r="C4437"/>
  <c r="G4437"/>
  <c r="E4437"/>
  <c r="B4437"/>
  <c r="A4437"/>
  <c r="W4436"/>
  <c r="S4436"/>
  <c r="Q4436"/>
  <c r="P4436"/>
  <c r="M4436"/>
  <c r="K4436"/>
  <c r="H4436"/>
  <c r="C4436"/>
  <c r="G4436"/>
  <c r="E4436"/>
  <c r="B4436"/>
  <c r="A4436"/>
  <c r="W4435"/>
  <c r="S4435"/>
  <c r="R4435"/>
  <c r="Q4435"/>
  <c r="P4435"/>
  <c r="M4435"/>
  <c r="K4435"/>
  <c r="H4435"/>
  <c r="C4435"/>
  <c r="G4435"/>
  <c r="E4435"/>
  <c r="B4435"/>
  <c r="A4435"/>
  <c r="W4434"/>
  <c r="S4434"/>
  <c r="R4434"/>
  <c r="Q4434"/>
  <c r="P4434"/>
  <c r="M4434"/>
  <c r="K4434"/>
  <c r="H4434"/>
  <c r="C4434"/>
  <c r="G4434"/>
  <c r="E4434"/>
  <c r="B4434"/>
  <c r="A4434"/>
  <c r="W4433"/>
  <c r="S4433"/>
  <c r="Q4433"/>
  <c r="P4433"/>
  <c r="M4433"/>
  <c r="K4433"/>
  <c r="H4433"/>
  <c r="C4433"/>
  <c r="G4433"/>
  <c r="E4433"/>
  <c r="B4433"/>
  <c r="A4433"/>
  <c r="W4432"/>
  <c r="S4432"/>
  <c r="R4432"/>
  <c r="Q4432"/>
  <c r="P4432"/>
  <c r="M4432"/>
  <c r="K4432"/>
  <c r="H4432"/>
  <c r="C4432"/>
  <c r="G4432"/>
  <c r="E4432"/>
  <c r="B4432"/>
  <c r="A4432"/>
  <c r="W4431"/>
  <c r="S4431"/>
  <c r="Q4431"/>
  <c r="P4431"/>
  <c r="M4431"/>
  <c r="K4431"/>
  <c r="H4431"/>
  <c r="C4431"/>
  <c r="G4431"/>
  <c r="E4431"/>
  <c r="B4431"/>
  <c r="A4431"/>
  <c r="W4430"/>
  <c r="S4430"/>
  <c r="Q4430"/>
  <c r="P4430"/>
  <c r="M4430"/>
  <c r="K4430"/>
  <c r="H4430"/>
  <c r="C4430"/>
  <c r="G4430"/>
  <c r="E4430"/>
  <c r="B4430"/>
  <c r="A4430"/>
  <c r="W4429"/>
  <c r="S4429"/>
  <c r="R4429"/>
  <c r="Q4429"/>
  <c r="P4429"/>
  <c r="M4429"/>
  <c r="K4429"/>
  <c r="H4429"/>
  <c r="C4429"/>
  <c r="G4429"/>
  <c r="E4429"/>
  <c r="B4429"/>
  <c r="A4429"/>
  <c r="W4428"/>
  <c r="S4428"/>
  <c r="Q4428"/>
  <c r="P4428"/>
  <c r="N4428"/>
  <c r="M4428"/>
  <c r="K4428"/>
  <c r="H4428"/>
  <c r="C4428"/>
  <c r="G4428"/>
  <c r="E4428"/>
  <c r="B4428"/>
  <c r="A4428"/>
  <c r="W4427"/>
  <c r="S4427"/>
  <c r="Q4427"/>
  <c r="P4427"/>
  <c r="M4427"/>
  <c r="K4427"/>
  <c r="H4427"/>
  <c r="C4427"/>
  <c r="G4427"/>
  <c r="E4427"/>
  <c r="B4427"/>
  <c r="A4427"/>
  <c r="W4426"/>
  <c r="S4426"/>
  <c r="Q4426"/>
  <c r="P4426"/>
  <c r="M4426"/>
  <c r="K4426"/>
  <c r="H4426"/>
  <c r="C4426"/>
  <c r="G4426"/>
  <c r="E4426"/>
  <c r="B4426"/>
  <c r="A4426"/>
  <c r="W4425"/>
  <c r="S4425"/>
  <c r="Q4425"/>
  <c r="P4425"/>
  <c r="M4425"/>
  <c r="K4425"/>
  <c r="H4425"/>
  <c r="C4425"/>
  <c r="G4425"/>
  <c r="E4425"/>
  <c r="B4425"/>
  <c r="A4425"/>
  <c r="W4424"/>
  <c r="S4424"/>
  <c r="Q4424"/>
  <c r="P4424"/>
  <c r="M4424"/>
  <c r="K4424"/>
  <c r="H4424"/>
  <c r="C4424"/>
  <c r="G4424"/>
  <c r="E4424"/>
  <c r="B4424"/>
  <c r="A4424"/>
  <c r="W4423"/>
  <c r="S4423"/>
  <c r="Q4423"/>
  <c r="P4423"/>
  <c r="M4423"/>
  <c r="K4423"/>
  <c r="H4423"/>
  <c r="C4423"/>
  <c r="G4423"/>
  <c r="E4423"/>
  <c r="B4423"/>
  <c r="A4423"/>
  <c r="W4422"/>
  <c r="S4422"/>
  <c r="Q4422"/>
  <c r="P4422"/>
  <c r="M4422"/>
  <c r="K4422"/>
  <c r="H4422"/>
  <c r="C4422"/>
  <c r="G4422"/>
  <c r="E4422"/>
  <c r="B4422"/>
  <c r="A4422"/>
  <c r="W4421"/>
  <c r="S4421"/>
  <c r="Q4421"/>
  <c r="P4421"/>
  <c r="M4421"/>
  <c r="K4421"/>
  <c r="H4421"/>
  <c r="C4421"/>
  <c r="G4421"/>
  <c r="E4421"/>
  <c r="B4421"/>
  <c r="A4421"/>
  <c r="W4420"/>
  <c r="S4420"/>
  <c r="Q4420"/>
  <c r="P4420"/>
  <c r="M4420"/>
  <c r="K4420"/>
  <c r="H4420"/>
  <c r="C4420"/>
  <c r="G4420"/>
  <c r="E4420"/>
  <c r="B4420"/>
  <c r="A4420"/>
  <c r="W4419"/>
  <c r="S4419"/>
  <c r="Q4419"/>
  <c r="P4419"/>
  <c r="M4419"/>
  <c r="K4419"/>
  <c r="H4419"/>
  <c r="C4419"/>
  <c r="G4419"/>
  <c r="E4419"/>
  <c r="B4419"/>
  <c r="A4419"/>
  <c r="W4418"/>
  <c r="S4418"/>
  <c r="R4418"/>
  <c r="Q4418"/>
  <c r="P4418"/>
  <c r="M4418"/>
  <c r="K4418"/>
  <c r="H4418"/>
  <c r="C4418"/>
  <c r="G4418"/>
  <c r="E4418"/>
  <c r="B4418"/>
  <c r="A4418"/>
  <c r="W4417"/>
  <c r="S4417"/>
  <c r="Q4417"/>
  <c r="P4417"/>
  <c r="N4417"/>
  <c r="M4417"/>
  <c r="K4417"/>
  <c r="H4417"/>
  <c r="C4417"/>
  <c r="G4417"/>
  <c r="E4417"/>
  <c r="B4417"/>
  <c r="A4417"/>
  <c r="W4416"/>
  <c r="S4416"/>
  <c r="Q4416"/>
  <c r="P4416"/>
  <c r="M4416"/>
  <c r="K4416"/>
  <c r="H4416"/>
  <c r="C4416"/>
  <c r="G4416"/>
  <c r="E4416"/>
  <c r="B4416"/>
  <c r="A4416"/>
  <c r="W4415"/>
  <c r="S4415"/>
  <c r="Q4415"/>
  <c r="P4415"/>
  <c r="M4415"/>
  <c r="K4415"/>
  <c r="H4415"/>
  <c r="C4415"/>
  <c r="G4415"/>
  <c r="E4415"/>
  <c r="B4415"/>
  <c r="A4415"/>
  <c r="W4414"/>
  <c r="S4414"/>
  <c r="Q4414"/>
  <c r="P4414"/>
  <c r="M4414"/>
  <c r="K4414"/>
  <c r="H4414"/>
  <c r="C4414"/>
  <c r="G4414"/>
  <c r="E4414"/>
  <c r="B4414"/>
  <c r="A4414"/>
  <c r="W4413"/>
  <c r="S4413"/>
  <c r="Q4413"/>
  <c r="P4413"/>
  <c r="M4413"/>
  <c r="K4413"/>
  <c r="H4413"/>
  <c r="C4413"/>
  <c r="G4413"/>
  <c r="E4413"/>
  <c r="B4413"/>
  <c r="A4413"/>
  <c r="W4412"/>
  <c r="S4412"/>
  <c r="Q4412"/>
  <c r="P4412"/>
  <c r="M4412"/>
  <c r="K4412"/>
  <c r="H4412"/>
  <c r="C4412"/>
  <c r="G4412"/>
  <c r="E4412"/>
  <c r="B4412"/>
  <c r="A4412"/>
  <c r="W4411"/>
  <c r="S4411"/>
  <c r="R4411"/>
  <c r="Q4411"/>
  <c r="P4411"/>
  <c r="M4411"/>
  <c r="K4411"/>
  <c r="H4411"/>
  <c r="C4411"/>
  <c r="G4411"/>
  <c r="E4411"/>
  <c r="B4411"/>
  <c r="A4411"/>
  <c r="W4410"/>
  <c r="S4410"/>
  <c r="Q4410"/>
  <c r="P4410"/>
  <c r="N4410"/>
  <c r="M4410"/>
  <c r="K4410"/>
  <c r="H4410"/>
  <c r="C4410"/>
  <c r="G4410"/>
  <c r="E4410"/>
  <c r="B4410"/>
  <c r="A4410"/>
  <c r="W4409"/>
  <c r="S4409"/>
  <c r="Q4409"/>
  <c r="P4409"/>
  <c r="M4409"/>
  <c r="K4409"/>
  <c r="H4409"/>
  <c r="C4409"/>
  <c r="G4409"/>
  <c r="E4409"/>
  <c r="B4409"/>
  <c r="A4409"/>
  <c r="W4408"/>
  <c r="S4408"/>
  <c r="Q4408"/>
  <c r="P4408"/>
  <c r="M4408"/>
  <c r="K4408"/>
  <c r="H4408"/>
  <c r="C4408"/>
  <c r="G4408"/>
  <c r="E4408"/>
  <c r="B4408"/>
  <c r="A4408"/>
  <c r="W4407"/>
  <c r="S4407"/>
  <c r="R4407"/>
  <c r="Q4407"/>
  <c r="P4407"/>
  <c r="M4407"/>
  <c r="K4407"/>
  <c r="H4407"/>
  <c r="C4407"/>
  <c r="G4407"/>
  <c r="E4407"/>
  <c r="B4407"/>
  <c r="A4407"/>
  <c r="W4406"/>
  <c r="S4406"/>
  <c r="Q4406"/>
  <c r="P4406"/>
  <c r="M4406"/>
  <c r="K4406"/>
  <c r="H4406"/>
  <c r="C4406"/>
  <c r="G4406"/>
  <c r="E4406"/>
  <c r="B4406"/>
  <c r="A4406"/>
  <c r="W4405"/>
  <c r="S4405"/>
  <c r="Q4405"/>
  <c r="P4405"/>
  <c r="M4405"/>
  <c r="K4405"/>
  <c r="H4405"/>
  <c r="C4405"/>
  <c r="G4405"/>
  <c r="E4405"/>
  <c r="B4405"/>
  <c r="A4405"/>
  <c r="W4404"/>
  <c r="S4404"/>
  <c r="Q4404"/>
  <c r="P4404"/>
  <c r="M4404"/>
  <c r="K4404"/>
  <c r="H4404"/>
  <c r="C4404"/>
  <c r="G4404"/>
  <c r="E4404"/>
  <c r="B4404"/>
  <c r="A4404"/>
  <c r="W4403"/>
  <c r="S4403"/>
  <c r="Q4403"/>
  <c r="P4403"/>
  <c r="M4403"/>
  <c r="K4403"/>
  <c r="H4403"/>
  <c r="C4403"/>
  <c r="G4403"/>
  <c r="E4403"/>
  <c r="B4403"/>
  <c r="A4403"/>
  <c r="W4402"/>
  <c r="S4402"/>
  <c r="Q4402"/>
  <c r="P4402"/>
  <c r="M4402"/>
  <c r="K4402"/>
  <c r="H4402"/>
  <c r="C4402"/>
  <c r="G4402"/>
  <c r="E4402"/>
  <c r="B4402"/>
  <c r="A4402"/>
  <c r="W4401"/>
  <c r="S4401"/>
  <c r="Q4401"/>
  <c r="P4401"/>
  <c r="M4401"/>
  <c r="K4401"/>
  <c r="H4401"/>
  <c r="C4401"/>
  <c r="G4401"/>
  <c r="E4401"/>
  <c r="B4401"/>
  <c r="A4401"/>
  <c r="W4400"/>
  <c r="S4400"/>
  <c r="Q4400"/>
  <c r="P4400"/>
  <c r="M4400"/>
  <c r="K4400"/>
  <c r="H4400"/>
  <c r="C4400"/>
  <c r="G4400"/>
  <c r="E4400"/>
  <c r="B4400"/>
  <c r="A4400"/>
  <c r="W4399"/>
  <c r="S4399"/>
  <c r="Q4399"/>
  <c r="P4399"/>
  <c r="M4399"/>
  <c r="K4399"/>
  <c r="H4399"/>
  <c r="C4399"/>
  <c r="G4399"/>
  <c r="E4399"/>
  <c r="B4399"/>
  <c r="A4399"/>
  <c r="W4398"/>
  <c r="S4398"/>
  <c r="Q4398"/>
  <c r="P4398"/>
  <c r="M4398"/>
  <c r="K4398"/>
  <c r="H4398"/>
  <c r="C4398"/>
  <c r="G4398"/>
  <c r="E4398"/>
  <c r="B4398"/>
  <c r="A4398"/>
  <c r="W4397"/>
  <c r="S4397"/>
  <c r="Q4397"/>
  <c r="P4397"/>
  <c r="M4397"/>
  <c r="K4397"/>
  <c r="H4397"/>
  <c r="C4397"/>
  <c r="G4397"/>
  <c r="E4397"/>
  <c r="B4397"/>
  <c r="A4397"/>
  <c r="W4396"/>
  <c r="S4396"/>
  <c r="Q4396"/>
  <c r="P4396"/>
  <c r="M4396"/>
  <c r="K4396"/>
  <c r="H4396"/>
  <c r="C4396"/>
  <c r="G4396"/>
  <c r="E4396"/>
  <c r="B4396"/>
  <c r="A4396"/>
  <c r="W4395"/>
  <c r="S4395"/>
  <c r="R4395"/>
  <c r="Q4395"/>
  <c r="P4395"/>
  <c r="M4395"/>
  <c r="K4395"/>
  <c r="H4395"/>
  <c r="C4395"/>
  <c r="G4395"/>
  <c r="E4395"/>
  <c r="B4395"/>
  <c r="A4395"/>
  <c r="W4394"/>
  <c r="S4394"/>
  <c r="Q4394"/>
  <c r="P4394"/>
  <c r="N4394"/>
  <c r="M4394"/>
  <c r="K4394"/>
  <c r="H4394"/>
  <c r="C4394"/>
  <c r="G4394"/>
  <c r="E4394"/>
  <c r="B4394"/>
  <c r="A4394"/>
  <c r="W4393"/>
  <c r="S4393"/>
  <c r="Q4393"/>
  <c r="P4393"/>
  <c r="M4393"/>
  <c r="K4393"/>
  <c r="H4393"/>
  <c r="C4393"/>
  <c r="G4393"/>
  <c r="E4393"/>
  <c r="B4393"/>
  <c r="A4393"/>
  <c r="W4392"/>
  <c r="S4392"/>
  <c r="Q4392"/>
  <c r="P4392"/>
  <c r="M4392"/>
  <c r="K4392"/>
  <c r="H4392"/>
  <c r="C4392"/>
  <c r="G4392"/>
  <c r="E4392"/>
  <c r="B4392"/>
  <c r="A4392"/>
  <c r="W4391"/>
  <c r="S4391"/>
  <c r="Q4391"/>
  <c r="P4391"/>
  <c r="M4391"/>
  <c r="K4391"/>
  <c r="H4391"/>
  <c r="C4391"/>
  <c r="G4391"/>
  <c r="E4391"/>
  <c r="B4391"/>
  <c r="A4391"/>
  <c r="W4390"/>
  <c r="S4390"/>
  <c r="Q4390"/>
  <c r="P4390"/>
  <c r="M4390"/>
  <c r="K4390"/>
  <c r="H4390"/>
  <c r="C4390"/>
  <c r="G4390"/>
  <c r="E4390"/>
  <c r="B4390"/>
  <c r="A4390"/>
  <c r="W4389"/>
  <c r="S4389"/>
  <c r="Q4389"/>
  <c r="P4389"/>
  <c r="M4389"/>
  <c r="K4389"/>
  <c r="H4389"/>
  <c r="C4389"/>
  <c r="G4389"/>
  <c r="E4389"/>
  <c r="B4389"/>
  <c r="A4389"/>
  <c r="W4388"/>
  <c r="S4388"/>
  <c r="Q4388"/>
  <c r="P4388"/>
  <c r="M4388"/>
  <c r="K4388"/>
  <c r="H4388"/>
  <c r="C4388"/>
  <c r="G4388"/>
  <c r="E4388"/>
  <c r="B4388"/>
  <c r="A4388"/>
  <c r="W4387"/>
  <c r="S4387"/>
  <c r="Q4387"/>
  <c r="P4387"/>
  <c r="M4387"/>
  <c r="K4387"/>
  <c r="H4387"/>
  <c r="C4387"/>
  <c r="G4387"/>
  <c r="E4387"/>
  <c r="B4387"/>
  <c r="A4387"/>
  <c r="W4386"/>
  <c r="S4386"/>
  <c r="Q4386"/>
  <c r="P4386"/>
  <c r="M4386"/>
  <c r="K4386"/>
  <c r="H4386"/>
  <c r="C4386"/>
  <c r="G4386"/>
  <c r="E4386"/>
  <c r="B4386"/>
  <c r="A4386"/>
  <c r="W4385"/>
  <c r="S4385"/>
  <c r="Q4385"/>
  <c r="P4385"/>
  <c r="M4385"/>
  <c r="K4385"/>
  <c r="H4385"/>
  <c r="C4385"/>
  <c r="G4385"/>
  <c r="E4385"/>
  <c r="B4385"/>
  <c r="A4385"/>
  <c r="W4384"/>
  <c r="S4384"/>
  <c r="Q4384"/>
  <c r="P4384"/>
  <c r="M4384"/>
  <c r="K4384"/>
  <c r="H4384"/>
  <c r="C4384"/>
  <c r="G4384"/>
  <c r="E4384"/>
  <c r="B4384"/>
  <c r="A4384"/>
  <c r="W4383"/>
  <c r="S4383"/>
  <c r="R4383"/>
  <c r="Q4383"/>
  <c r="P4383"/>
  <c r="M4383"/>
  <c r="K4383"/>
  <c r="H4383"/>
  <c r="C4383"/>
  <c r="G4383"/>
  <c r="E4383"/>
  <c r="B4383"/>
  <c r="A4383"/>
  <c r="W4382"/>
  <c r="S4382"/>
  <c r="Q4382"/>
  <c r="P4382"/>
  <c r="N4382"/>
  <c r="M4382"/>
  <c r="K4382"/>
  <c r="H4382"/>
  <c r="C4382"/>
  <c r="G4382"/>
  <c r="E4382"/>
  <c r="B4382"/>
  <c r="A4382"/>
  <c r="W4381"/>
  <c r="S4381"/>
  <c r="Q4381"/>
  <c r="P4381"/>
  <c r="M4381"/>
  <c r="K4381"/>
  <c r="H4381"/>
  <c r="C4381"/>
  <c r="G4381"/>
  <c r="E4381"/>
  <c r="B4381"/>
  <c r="A4381"/>
  <c r="W4380"/>
  <c r="S4380"/>
  <c r="Q4380"/>
  <c r="P4380"/>
  <c r="M4380"/>
  <c r="K4380"/>
  <c r="H4380"/>
  <c r="C4380"/>
  <c r="G4380"/>
  <c r="E4380"/>
  <c r="B4380"/>
  <c r="A4380"/>
  <c r="W4379"/>
  <c r="S4379"/>
  <c r="Q4379"/>
  <c r="P4379"/>
  <c r="M4379"/>
  <c r="K4379"/>
  <c r="H4379"/>
  <c r="C4379"/>
  <c r="G4379"/>
  <c r="E4379"/>
  <c r="B4379"/>
  <c r="A4379"/>
  <c r="W4378"/>
  <c r="S4378"/>
  <c r="Q4378"/>
  <c r="P4378"/>
  <c r="M4378"/>
  <c r="K4378"/>
  <c r="H4378"/>
  <c r="C4378"/>
  <c r="G4378"/>
  <c r="E4378"/>
  <c r="B4378"/>
  <c r="A4378"/>
  <c r="W4377"/>
  <c r="S4377"/>
  <c r="Q4377"/>
  <c r="P4377"/>
  <c r="M4377"/>
  <c r="K4377"/>
  <c r="H4377"/>
  <c r="C4377"/>
  <c r="G4377"/>
  <c r="E4377"/>
  <c r="B4377"/>
  <c r="A4377"/>
  <c r="W4376"/>
  <c r="S4376"/>
  <c r="Q4376"/>
  <c r="P4376"/>
  <c r="M4376"/>
  <c r="K4376"/>
  <c r="H4376"/>
  <c r="C4376"/>
  <c r="G4376"/>
  <c r="E4376"/>
  <c r="B4376"/>
  <c r="A4376"/>
  <c r="W4375"/>
  <c r="S4375"/>
  <c r="R4375"/>
  <c r="Q4375"/>
  <c r="P4375"/>
  <c r="M4375"/>
  <c r="K4375"/>
  <c r="H4375"/>
  <c r="C4375"/>
  <c r="G4375"/>
  <c r="E4375"/>
  <c r="B4375"/>
  <c r="A4375"/>
  <c r="W4374"/>
  <c r="S4374"/>
  <c r="Q4374"/>
  <c r="P4374"/>
  <c r="N4374"/>
  <c r="M4374"/>
  <c r="K4374"/>
  <c r="H4374"/>
  <c r="C4374"/>
  <c r="G4374"/>
  <c r="E4374"/>
  <c r="B4374"/>
  <c r="A4374"/>
  <c r="W4373"/>
  <c r="S4373"/>
  <c r="Q4373"/>
  <c r="P4373"/>
  <c r="M4373"/>
  <c r="K4373"/>
  <c r="H4373"/>
  <c r="C4373"/>
  <c r="G4373"/>
  <c r="E4373"/>
  <c r="B4373"/>
  <c r="A4373"/>
  <c r="W4372"/>
  <c r="S4372"/>
  <c r="Q4372"/>
  <c r="P4372"/>
  <c r="M4372"/>
  <c r="K4372"/>
  <c r="H4372"/>
  <c r="C4372"/>
  <c r="G4372"/>
  <c r="E4372"/>
  <c r="B4372"/>
  <c r="A4372"/>
  <c r="W4371"/>
  <c r="S4371"/>
  <c r="R4371"/>
  <c r="Q4371"/>
  <c r="P4371"/>
  <c r="M4371"/>
  <c r="K4371"/>
  <c r="H4371"/>
  <c r="C4371"/>
  <c r="G4371"/>
  <c r="E4371"/>
  <c r="B4371"/>
  <c r="A4371"/>
  <c r="W4370"/>
  <c r="S4370"/>
  <c r="Q4370"/>
  <c r="P4370"/>
  <c r="M4370"/>
  <c r="K4370"/>
  <c r="H4370"/>
  <c r="C4370"/>
  <c r="G4370"/>
  <c r="E4370"/>
  <c r="B4370"/>
  <c r="A4370"/>
  <c r="W4369"/>
  <c r="S4369"/>
  <c r="Q4369"/>
  <c r="P4369"/>
  <c r="M4369"/>
  <c r="K4369"/>
  <c r="H4369"/>
  <c r="C4369"/>
  <c r="G4369"/>
  <c r="E4369"/>
  <c r="B4369"/>
  <c r="A4369"/>
  <c r="W4368"/>
  <c r="S4368"/>
  <c r="Q4368"/>
  <c r="P4368"/>
  <c r="M4368"/>
  <c r="K4368"/>
  <c r="H4368"/>
  <c r="C4368"/>
  <c r="G4368"/>
  <c r="E4368"/>
  <c r="B4368"/>
  <c r="A4368"/>
  <c r="W4367"/>
  <c r="S4367"/>
  <c r="Q4367"/>
  <c r="P4367"/>
  <c r="M4367"/>
  <c r="K4367"/>
  <c r="H4367"/>
  <c r="C4367"/>
  <c r="G4367"/>
  <c r="E4367"/>
  <c r="B4367"/>
  <c r="A4367"/>
  <c r="W4366"/>
  <c r="S4366"/>
  <c r="Q4366"/>
  <c r="P4366"/>
  <c r="M4366"/>
  <c r="K4366"/>
  <c r="H4366"/>
  <c r="C4366"/>
  <c r="G4366"/>
  <c r="E4366"/>
  <c r="B4366"/>
  <c r="A4366"/>
  <c r="W4365"/>
  <c r="S4365"/>
  <c r="Q4365"/>
  <c r="P4365"/>
  <c r="M4365"/>
  <c r="K4365"/>
  <c r="H4365"/>
  <c r="C4365"/>
  <c r="G4365"/>
  <c r="E4365"/>
  <c r="B4365"/>
  <c r="A4365"/>
  <c r="W4364"/>
  <c r="S4364"/>
  <c r="Q4364"/>
  <c r="P4364"/>
  <c r="M4364"/>
  <c r="K4364"/>
  <c r="H4364"/>
  <c r="C4364"/>
  <c r="G4364"/>
  <c r="E4364"/>
  <c r="B4364"/>
  <c r="A4364"/>
  <c r="W4363"/>
  <c r="S4363"/>
  <c r="Q4363"/>
  <c r="P4363"/>
  <c r="M4363"/>
  <c r="K4363"/>
  <c r="H4363"/>
  <c r="C4363"/>
  <c r="G4363"/>
  <c r="E4363"/>
  <c r="B4363"/>
  <c r="A4363"/>
  <c r="W4362"/>
  <c r="S4362"/>
  <c r="Q4362"/>
  <c r="P4362"/>
  <c r="M4362"/>
  <c r="K4362"/>
  <c r="H4362"/>
  <c r="C4362"/>
  <c r="G4362"/>
  <c r="E4362"/>
  <c r="B4362"/>
  <c r="A4362"/>
  <c r="W4361"/>
  <c r="S4361"/>
  <c r="Q4361"/>
  <c r="P4361"/>
  <c r="M4361"/>
  <c r="K4361"/>
  <c r="H4361"/>
  <c r="C4361"/>
  <c r="G4361"/>
  <c r="E4361"/>
  <c r="B4361"/>
  <c r="A4361"/>
  <c r="W4360"/>
  <c r="S4360"/>
  <c r="Q4360"/>
  <c r="P4360"/>
  <c r="M4360"/>
  <c r="K4360"/>
  <c r="H4360"/>
  <c r="C4360"/>
  <c r="G4360"/>
  <c r="E4360"/>
  <c r="B4360"/>
  <c r="A4360"/>
  <c r="W4359"/>
  <c r="S4359"/>
  <c r="Q4359"/>
  <c r="P4359"/>
  <c r="M4359"/>
  <c r="K4359"/>
  <c r="H4359"/>
  <c r="C4359"/>
  <c r="G4359"/>
  <c r="E4359"/>
  <c r="B4359"/>
  <c r="A4359"/>
  <c r="W4358"/>
  <c r="S4358"/>
  <c r="Q4358"/>
  <c r="P4358"/>
  <c r="M4358"/>
  <c r="K4358"/>
  <c r="H4358"/>
  <c r="C4358"/>
  <c r="G4358"/>
  <c r="E4358"/>
  <c r="B4358"/>
  <c r="A4358"/>
  <c r="W4357"/>
  <c r="S4357"/>
  <c r="Q4357"/>
  <c r="P4357"/>
  <c r="M4357"/>
  <c r="K4357"/>
  <c r="H4357"/>
  <c r="C4357"/>
  <c r="G4357"/>
  <c r="E4357"/>
  <c r="B4357"/>
  <c r="A4357"/>
  <c r="W4356"/>
  <c r="S4356"/>
  <c r="Q4356"/>
  <c r="P4356"/>
  <c r="M4356"/>
  <c r="K4356"/>
  <c r="H4356"/>
  <c r="C4356"/>
  <c r="G4356"/>
  <c r="E4356"/>
  <c r="B4356"/>
  <c r="A4356"/>
  <c r="W4355"/>
  <c r="S4355"/>
  <c r="Q4355"/>
  <c r="P4355"/>
  <c r="N4355"/>
  <c r="M4355"/>
  <c r="K4355"/>
  <c r="H4355"/>
  <c r="C4355"/>
  <c r="G4355"/>
  <c r="E4355"/>
  <c r="B4355"/>
  <c r="A4355"/>
  <c r="W4354"/>
  <c r="S4354"/>
  <c r="Q4354"/>
  <c r="P4354"/>
  <c r="N4354"/>
  <c r="M4354"/>
  <c r="K4354"/>
  <c r="H4354"/>
  <c r="C4354"/>
  <c r="G4354"/>
  <c r="E4354"/>
  <c r="B4354"/>
  <c r="A4354"/>
  <c r="W4353"/>
  <c r="S4353"/>
  <c r="Q4353"/>
  <c r="P4353"/>
  <c r="N4353"/>
  <c r="M4353"/>
  <c r="K4353"/>
  <c r="H4353"/>
  <c r="C4353"/>
  <c r="G4353"/>
  <c r="E4353"/>
  <c r="B4353"/>
  <c r="A4353"/>
  <c r="W4352"/>
  <c r="S4352"/>
  <c r="Q4352"/>
  <c r="P4352"/>
  <c r="N4352"/>
  <c r="M4352"/>
  <c r="K4352"/>
  <c r="H4352"/>
  <c r="C4352"/>
  <c r="G4352"/>
  <c r="E4352"/>
  <c r="B4352"/>
  <c r="A4352"/>
  <c r="W4351"/>
  <c r="S4351"/>
  <c r="Q4351"/>
  <c r="P4351"/>
  <c r="N4351"/>
  <c r="M4351"/>
  <c r="K4351"/>
  <c r="H4351"/>
  <c r="C4351"/>
  <c r="G4351"/>
  <c r="E4351"/>
  <c r="B4351"/>
  <c r="A4351"/>
  <c r="W4350"/>
  <c r="S4350"/>
  <c r="Q4350"/>
  <c r="P4350"/>
  <c r="N4350"/>
  <c r="M4350"/>
  <c r="K4350"/>
  <c r="H4350"/>
  <c r="C4350"/>
  <c r="G4350"/>
  <c r="E4350"/>
  <c r="B4350"/>
  <c r="A4350"/>
  <c r="W4349"/>
  <c r="S4349"/>
  <c r="Q4349"/>
  <c r="P4349"/>
  <c r="N4349"/>
  <c r="M4349"/>
  <c r="K4349"/>
  <c r="H4349"/>
  <c r="C4349"/>
  <c r="G4349"/>
  <c r="E4349"/>
  <c r="B4349"/>
  <c r="A4349"/>
  <c r="W4348"/>
  <c r="S4348"/>
  <c r="Q4348"/>
  <c r="P4348"/>
  <c r="M4348"/>
  <c r="K4348"/>
  <c r="H4348"/>
  <c r="C4348"/>
  <c r="G4348"/>
  <c r="E4348"/>
  <c r="B4348"/>
  <c r="A4348"/>
  <c r="W4347"/>
  <c r="S4347"/>
  <c r="Q4347"/>
  <c r="P4347"/>
  <c r="M4347"/>
  <c r="K4347"/>
  <c r="H4347"/>
  <c r="C4347"/>
  <c r="G4347"/>
  <c r="E4347"/>
  <c r="B4347"/>
  <c r="A4347"/>
  <c r="W4346"/>
  <c r="S4346"/>
  <c r="Q4346"/>
  <c r="P4346"/>
  <c r="M4346"/>
  <c r="K4346"/>
  <c r="H4346"/>
  <c r="C4346"/>
  <c r="G4346"/>
  <c r="E4346"/>
  <c r="B4346"/>
  <c r="A4346"/>
  <c r="W4345"/>
  <c r="S4345"/>
  <c r="Q4345"/>
  <c r="P4345"/>
  <c r="M4345"/>
  <c r="K4345"/>
  <c r="H4345"/>
  <c r="C4345"/>
  <c r="G4345"/>
  <c r="E4345"/>
  <c r="B4345"/>
  <c r="A4345"/>
  <c r="W4344"/>
  <c r="S4344"/>
  <c r="Q4344"/>
  <c r="P4344"/>
  <c r="N4344"/>
  <c r="M4344"/>
  <c r="K4344"/>
  <c r="H4344"/>
  <c r="C4344"/>
  <c r="G4344"/>
  <c r="E4344"/>
  <c r="B4344"/>
  <c r="A4344"/>
  <c r="W4343"/>
  <c r="S4343"/>
  <c r="Q4343"/>
  <c r="P4343"/>
  <c r="N4343"/>
  <c r="M4343"/>
  <c r="K4343"/>
  <c r="H4343"/>
  <c r="C4343"/>
  <c r="G4343"/>
  <c r="E4343"/>
  <c r="B4343"/>
  <c r="A4343"/>
  <c r="W4342"/>
  <c r="S4342"/>
  <c r="Q4342"/>
  <c r="P4342"/>
  <c r="N4342"/>
  <c r="M4342"/>
  <c r="K4342"/>
  <c r="H4342"/>
  <c r="C4342"/>
  <c r="G4342"/>
  <c r="E4342"/>
  <c r="B4342"/>
  <c r="A4342"/>
  <c r="W4341"/>
  <c r="S4341"/>
  <c r="Q4341"/>
  <c r="P4341"/>
  <c r="N4341"/>
  <c r="M4341"/>
  <c r="K4341"/>
  <c r="H4341"/>
  <c r="C4341"/>
  <c r="G4341"/>
  <c r="E4341"/>
  <c r="B4341"/>
  <c r="A4341"/>
  <c r="W4340"/>
  <c r="S4340"/>
  <c r="Q4340"/>
  <c r="P4340"/>
  <c r="N4340"/>
  <c r="M4340"/>
  <c r="K4340"/>
  <c r="H4340"/>
  <c r="C4340"/>
  <c r="G4340"/>
  <c r="E4340"/>
  <c r="B4340"/>
  <c r="A4340"/>
  <c r="W4339"/>
  <c r="S4339"/>
  <c r="Q4339"/>
  <c r="P4339"/>
  <c r="N4339"/>
  <c r="M4339"/>
  <c r="K4339"/>
  <c r="H4339"/>
  <c r="C4339"/>
  <c r="G4339"/>
  <c r="E4339"/>
  <c r="B4339"/>
  <c r="A4339"/>
  <c r="W4338"/>
  <c r="S4338"/>
  <c r="Q4338"/>
  <c r="P4338"/>
  <c r="N4338"/>
  <c r="M4338"/>
  <c r="K4338"/>
  <c r="H4338"/>
  <c r="C4338"/>
  <c r="G4338"/>
  <c r="E4338"/>
  <c r="B4338"/>
  <c r="A4338"/>
  <c r="W4337"/>
  <c r="S4337"/>
  <c r="Q4337"/>
  <c r="P4337"/>
  <c r="M4337"/>
  <c r="K4337"/>
  <c r="H4337"/>
  <c r="C4337"/>
  <c r="G4337"/>
  <c r="E4337"/>
  <c r="B4337"/>
  <c r="A4337"/>
  <c r="W4336"/>
  <c r="S4336"/>
  <c r="Q4336"/>
  <c r="P4336"/>
  <c r="N4336"/>
  <c r="M4336"/>
  <c r="K4336"/>
  <c r="H4336"/>
  <c r="C4336"/>
  <c r="G4336"/>
  <c r="E4336"/>
  <c r="B4336"/>
  <c r="A4336"/>
  <c r="W4335"/>
  <c r="S4335"/>
  <c r="Q4335"/>
  <c r="P4335"/>
  <c r="N4335"/>
  <c r="M4335"/>
  <c r="K4335"/>
  <c r="H4335"/>
  <c r="C4335"/>
  <c r="G4335"/>
  <c r="E4335"/>
  <c r="B4335"/>
  <c r="A4335"/>
  <c r="W4334"/>
  <c r="S4334"/>
  <c r="Q4334"/>
  <c r="P4334"/>
  <c r="N4334"/>
  <c r="M4334"/>
  <c r="K4334"/>
  <c r="H4334"/>
  <c r="C4334"/>
  <c r="G4334"/>
  <c r="E4334"/>
  <c r="B4334"/>
  <c r="A4334"/>
  <c r="W4333"/>
  <c r="S4333"/>
  <c r="Q4333"/>
  <c r="P4333"/>
  <c r="M4333"/>
  <c r="K4333"/>
  <c r="H4333"/>
  <c r="C4333"/>
  <c r="G4333"/>
  <c r="E4333"/>
  <c r="B4333"/>
  <c r="A4333"/>
  <c r="W4332"/>
  <c r="S4332"/>
  <c r="Q4332"/>
  <c r="P4332"/>
  <c r="N4332"/>
  <c r="M4332"/>
  <c r="K4332"/>
  <c r="H4332"/>
  <c r="C4332"/>
  <c r="G4332"/>
  <c r="E4332"/>
  <c r="B4332"/>
  <c r="A4332"/>
  <c r="W4331"/>
  <c r="S4331"/>
  <c r="Q4331"/>
  <c r="P4331"/>
  <c r="N4331"/>
  <c r="M4331"/>
  <c r="K4331"/>
  <c r="H4331"/>
  <c r="C4331"/>
  <c r="G4331"/>
  <c r="E4331"/>
  <c r="B4331"/>
  <c r="A4331"/>
  <c r="W4330"/>
  <c r="S4330"/>
  <c r="Q4330"/>
  <c r="P4330"/>
  <c r="N4330"/>
  <c r="M4330"/>
  <c r="K4330"/>
  <c r="H4330"/>
  <c r="C4330"/>
  <c r="G4330"/>
  <c r="E4330"/>
  <c r="B4330"/>
  <c r="A4330"/>
  <c r="W4329"/>
  <c r="S4329"/>
  <c r="Q4329"/>
  <c r="P4329"/>
  <c r="N4329"/>
  <c r="M4329"/>
  <c r="K4329"/>
  <c r="H4329"/>
  <c r="C4329"/>
  <c r="G4329"/>
  <c r="E4329"/>
  <c r="B4329"/>
  <c r="A4329"/>
  <c r="W4328"/>
  <c r="S4328"/>
  <c r="Q4328"/>
  <c r="P4328"/>
  <c r="M4328"/>
  <c r="K4328"/>
  <c r="H4328"/>
  <c r="C4328"/>
  <c r="G4328"/>
  <c r="E4328"/>
  <c r="B4328"/>
  <c r="A4328"/>
  <c r="W4327"/>
  <c r="S4327"/>
  <c r="Q4327"/>
  <c r="P4327"/>
  <c r="M4327"/>
  <c r="K4327"/>
  <c r="H4327"/>
  <c r="C4327"/>
  <c r="G4327"/>
  <c r="E4327"/>
  <c r="B4327"/>
  <c r="A4327"/>
  <c r="W4326"/>
  <c r="S4326"/>
  <c r="Q4326"/>
  <c r="P4326"/>
  <c r="N4326"/>
  <c r="M4326"/>
  <c r="K4326"/>
  <c r="H4326"/>
  <c r="C4326"/>
  <c r="G4326"/>
  <c r="E4326"/>
  <c r="B4326"/>
  <c r="A4326"/>
  <c r="W4325"/>
  <c r="S4325"/>
  <c r="Q4325"/>
  <c r="P4325"/>
  <c r="N4325"/>
  <c r="M4325"/>
  <c r="K4325"/>
  <c r="H4325"/>
  <c r="C4325"/>
  <c r="G4325"/>
  <c r="E4325"/>
  <c r="B4325"/>
  <c r="A4325"/>
  <c r="W4324"/>
  <c r="S4324"/>
  <c r="Q4324"/>
  <c r="P4324"/>
  <c r="M4324"/>
  <c r="K4324"/>
  <c r="H4324"/>
  <c r="C4324"/>
  <c r="G4324"/>
  <c r="E4324"/>
  <c r="B4324"/>
  <c r="A4324"/>
  <c r="W4323"/>
  <c r="S4323"/>
  <c r="Q4323"/>
  <c r="P4323"/>
  <c r="M4323"/>
  <c r="K4323"/>
  <c r="H4323"/>
  <c r="C4323"/>
  <c r="G4323"/>
  <c r="E4323"/>
  <c r="B4323"/>
  <c r="A4323"/>
  <c r="W4322"/>
  <c r="S4322"/>
  <c r="Q4322"/>
  <c r="P4322"/>
  <c r="M4322"/>
  <c r="K4322"/>
  <c r="H4322"/>
  <c r="C4322"/>
  <c r="G4322"/>
  <c r="E4322"/>
  <c r="B4322"/>
  <c r="A4322"/>
  <c r="W4321"/>
  <c r="S4321"/>
  <c r="Q4321"/>
  <c r="P4321"/>
  <c r="N4321"/>
  <c r="M4321"/>
  <c r="K4321"/>
  <c r="H4321"/>
  <c r="C4321"/>
  <c r="G4321"/>
  <c r="E4321"/>
  <c r="B4321"/>
  <c r="A4321"/>
  <c r="W4320"/>
  <c r="S4320"/>
  <c r="Q4320"/>
  <c r="P4320"/>
  <c r="N4320"/>
  <c r="M4320"/>
  <c r="K4320"/>
  <c r="H4320"/>
  <c r="C4320"/>
  <c r="G4320"/>
  <c r="E4320"/>
  <c r="B4320"/>
  <c r="A4320"/>
  <c r="W4319"/>
  <c r="S4319"/>
  <c r="Q4319"/>
  <c r="P4319"/>
  <c r="N4319"/>
  <c r="M4319"/>
  <c r="K4319"/>
  <c r="H4319"/>
  <c r="C4319"/>
  <c r="G4319"/>
  <c r="E4319"/>
  <c r="B4319"/>
  <c r="A4319"/>
  <c r="W4318"/>
  <c r="S4318"/>
  <c r="Q4318"/>
  <c r="P4318"/>
  <c r="N4318"/>
  <c r="M4318"/>
  <c r="K4318"/>
  <c r="H4318"/>
  <c r="C4318"/>
  <c r="G4318"/>
  <c r="E4318"/>
  <c r="B4318"/>
  <c r="A4318"/>
  <c r="W4317"/>
  <c r="S4317"/>
  <c r="Q4317"/>
  <c r="P4317"/>
  <c r="N4317"/>
  <c r="M4317"/>
  <c r="K4317"/>
  <c r="H4317"/>
  <c r="C4317"/>
  <c r="G4317"/>
  <c r="E4317"/>
  <c r="B4317"/>
  <c r="A4317"/>
  <c r="W4316"/>
  <c r="S4316"/>
  <c r="Q4316"/>
  <c r="P4316"/>
  <c r="N4316"/>
  <c r="M4316"/>
  <c r="K4316"/>
  <c r="H4316"/>
  <c r="C4316"/>
  <c r="G4316"/>
  <c r="E4316"/>
  <c r="B4316"/>
  <c r="A4316"/>
  <c r="W4315"/>
  <c r="S4315"/>
  <c r="Q4315"/>
  <c r="P4315"/>
  <c r="N4315"/>
  <c r="M4315"/>
  <c r="K4315"/>
  <c r="H4315"/>
  <c r="C4315"/>
  <c r="G4315"/>
  <c r="E4315"/>
  <c r="B4315"/>
  <c r="A4315"/>
  <c r="W4314"/>
  <c r="S4314"/>
  <c r="Q4314"/>
  <c r="P4314"/>
  <c r="M4314"/>
  <c r="K4314"/>
  <c r="H4314"/>
  <c r="C4314"/>
  <c r="G4314"/>
  <c r="E4314"/>
  <c r="B4314"/>
  <c r="A4314"/>
  <c r="W4313"/>
  <c r="S4313"/>
  <c r="Q4313"/>
  <c r="P4313"/>
  <c r="M4313"/>
  <c r="K4313"/>
  <c r="H4313"/>
  <c r="C4313"/>
  <c r="G4313"/>
  <c r="E4313"/>
  <c r="B4313"/>
  <c r="A4313"/>
  <c r="W4312"/>
  <c r="S4312"/>
  <c r="Q4312"/>
  <c r="P4312"/>
  <c r="N4312"/>
  <c r="M4312"/>
  <c r="K4312"/>
  <c r="H4312"/>
  <c r="C4312"/>
  <c r="G4312"/>
  <c r="E4312"/>
  <c r="B4312"/>
  <c r="A4312"/>
  <c r="W4311"/>
  <c r="S4311"/>
  <c r="Q4311"/>
  <c r="P4311"/>
  <c r="N4311"/>
  <c r="M4311"/>
  <c r="K4311"/>
  <c r="H4311"/>
  <c r="C4311"/>
  <c r="G4311"/>
  <c r="E4311"/>
  <c r="B4311"/>
  <c r="A4311"/>
  <c r="W4310"/>
  <c r="S4310"/>
  <c r="Q4310"/>
  <c r="P4310"/>
  <c r="M4310"/>
  <c r="K4310"/>
  <c r="H4310"/>
  <c r="C4310"/>
  <c r="G4310"/>
  <c r="E4310"/>
  <c r="B4310"/>
  <c r="A4310"/>
  <c r="W4309"/>
  <c r="S4309"/>
  <c r="Q4309"/>
  <c r="P4309"/>
  <c r="M4309"/>
  <c r="K4309"/>
  <c r="H4309"/>
  <c r="C4309"/>
  <c r="G4309"/>
  <c r="E4309"/>
  <c r="B4309"/>
  <c r="A4309"/>
  <c r="W4308"/>
  <c r="S4308"/>
  <c r="Q4308"/>
  <c r="P4308"/>
  <c r="M4308"/>
  <c r="K4308"/>
  <c r="H4308"/>
  <c r="C4308"/>
  <c r="G4308"/>
  <c r="E4308"/>
  <c r="B4308"/>
  <c r="A4308"/>
  <c r="W4307"/>
  <c r="S4307"/>
  <c r="Q4307"/>
  <c r="P4307"/>
  <c r="N4307"/>
  <c r="M4307"/>
  <c r="K4307"/>
  <c r="H4307"/>
  <c r="C4307"/>
  <c r="G4307"/>
  <c r="E4307"/>
  <c r="B4307"/>
  <c r="A4307"/>
  <c r="W4306"/>
  <c r="S4306"/>
  <c r="Q4306"/>
  <c r="P4306"/>
  <c r="N4306"/>
  <c r="M4306"/>
  <c r="K4306"/>
  <c r="H4306"/>
  <c r="C4306"/>
  <c r="G4306"/>
  <c r="E4306"/>
  <c r="B4306"/>
  <c r="A4306"/>
  <c r="W4305"/>
  <c r="S4305"/>
  <c r="Q4305"/>
  <c r="P4305"/>
  <c r="N4305"/>
  <c r="M4305"/>
  <c r="K4305"/>
  <c r="H4305"/>
  <c r="C4305"/>
  <c r="G4305"/>
  <c r="E4305"/>
  <c r="B4305"/>
  <c r="A4305"/>
  <c r="W4304"/>
  <c r="S4304"/>
  <c r="Q4304"/>
  <c r="P4304"/>
  <c r="N4304"/>
  <c r="M4304"/>
  <c r="K4304"/>
  <c r="H4304"/>
  <c r="C4304"/>
  <c r="G4304"/>
  <c r="E4304"/>
  <c r="B4304"/>
  <c r="A4304"/>
  <c r="W4303"/>
  <c r="S4303"/>
  <c r="Q4303"/>
  <c r="P4303"/>
  <c r="N4303"/>
  <c r="M4303"/>
  <c r="K4303"/>
  <c r="H4303"/>
  <c r="C4303"/>
  <c r="G4303"/>
  <c r="E4303"/>
  <c r="B4303"/>
  <c r="A4303"/>
  <c r="W4302"/>
  <c r="S4302"/>
  <c r="Q4302"/>
  <c r="P4302"/>
  <c r="N4302"/>
  <c r="M4302"/>
  <c r="K4302"/>
  <c r="H4302"/>
  <c r="C4302"/>
  <c r="G4302"/>
  <c r="E4302"/>
  <c r="B4302"/>
  <c r="A4302"/>
  <c r="W4301"/>
  <c r="S4301"/>
  <c r="Q4301"/>
  <c r="P4301"/>
  <c r="N4301"/>
  <c r="M4301"/>
  <c r="K4301"/>
  <c r="H4301"/>
  <c r="C4301"/>
  <c r="G4301"/>
  <c r="E4301"/>
  <c r="B4301"/>
  <c r="A4301"/>
  <c r="W4300"/>
  <c r="S4300"/>
  <c r="Q4300"/>
  <c r="P4300"/>
  <c r="M4300"/>
  <c r="K4300"/>
  <c r="H4300"/>
  <c r="C4300"/>
  <c r="G4300"/>
  <c r="E4300"/>
  <c r="B4300"/>
  <c r="A4300"/>
  <c r="W4299"/>
  <c r="S4299"/>
  <c r="Q4299"/>
  <c r="P4299"/>
  <c r="M4299"/>
  <c r="K4299"/>
  <c r="H4299"/>
  <c r="C4299"/>
  <c r="G4299"/>
  <c r="E4299"/>
  <c r="B4299"/>
  <c r="A4299"/>
  <c r="W4298"/>
  <c r="S4298"/>
  <c r="Q4298"/>
  <c r="P4298"/>
  <c r="N4298"/>
  <c r="M4298"/>
  <c r="K4298"/>
  <c r="H4298"/>
  <c r="C4298"/>
  <c r="G4298"/>
  <c r="E4298"/>
  <c r="B4298"/>
  <c r="A4298"/>
  <c r="W4297"/>
  <c r="S4297"/>
  <c r="Q4297"/>
  <c r="P4297"/>
  <c r="N4297"/>
  <c r="M4297"/>
  <c r="K4297"/>
  <c r="H4297"/>
  <c r="C4297"/>
  <c r="G4297"/>
  <c r="E4297"/>
  <c r="B4297"/>
  <c r="A4297"/>
  <c r="W4296"/>
  <c r="S4296"/>
  <c r="Q4296"/>
  <c r="P4296"/>
  <c r="M4296"/>
  <c r="K4296"/>
  <c r="H4296"/>
  <c r="C4296"/>
  <c r="G4296"/>
  <c r="E4296"/>
  <c r="B4296"/>
  <c r="A4296"/>
  <c r="W4295"/>
  <c r="S4295"/>
  <c r="Q4295"/>
  <c r="P4295"/>
  <c r="M4295"/>
  <c r="K4295"/>
  <c r="H4295"/>
  <c r="C4295"/>
  <c r="G4295"/>
  <c r="E4295"/>
  <c r="B4295"/>
  <c r="A4295"/>
  <c r="W4294"/>
  <c r="S4294"/>
  <c r="Q4294"/>
  <c r="P4294"/>
  <c r="M4294"/>
  <c r="K4294"/>
  <c r="H4294"/>
  <c r="C4294"/>
  <c r="G4294"/>
  <c r="E4294"/>
  <c r="B4294"/>
  <c r="A4294"/>
  <c r="W4293"/>
  <c r="S4293"/>
  <c r="Q4293"/>
  <c r="P4293"/>
  <c r="N4293"/>
  <c r="M4293"/>
  <c r="K4293"/>
  <c r="H4293"/>
  <c r="C4293"/>
  <c r="G4293"/>
  <c r="E4293"/>
  <c r="B4293"/>
  <c r="A4293"/>
  <c r="W4292"/>
  <c r="S4292"/>
  <c r="Q4292"/>
  <c r="P4292"/>
  <c r="N4292"/>
  <c r="M4292"/>
  <c r="K4292"/>
  <c r="H4292"/>
  <c r="C4292"/>
  <c r="G4292"/>
  <c r="E4292"/>
  <c r="B4292"/>
  <c r="A4292"/>
  <c r="W4291"/>
  <c r="S4291"/>
  <c r="Q4291"/>
  <c r="P4291"/>
  <c r="N4291"/>
  <c r="M4291"/>
  <c r="K4291"/>
  <c r="H4291"/>
  <c r="C4291"/>
  <c r="G4291"/>
  <c r="E4291"/>
  <c r="B4291"/>
  <c r="A4291"/>
  <c r="W4290"/>
  <c r="S4290"/>
  <c r="Q4290"/>
  <c r="P4290"/>
  <c r="N4290"/>
  <c r="M4290"/>
  <c r="K4290"/>
  <c r="H4290"/>
  <c r="C4290"/>
  <c r="G4290"/>
  <c r="E4290"/>
  <c r="B4290"/>
  <c r="A4290"/>
  <c r="W4289"/>
  <c r="S4289"/>
  <c r="Q4289"/>
  <c r="P4289"/>
  <c r="N4289"/>
  <c r="M4289"/>
  <c r="K4289"/>
  <c r="H4289"/>
  <c r="C4289"/>
  <c r="G4289"/>
  <c r="E4289"/>
  <c r="B4289"/>
  <c r="A4289"/>
  <c r="W4288"/>
  <c r="S4288"/>
  <c r="Q4288"/>
  <c r="P4288"/>
  <c r="N4288"/>
  <c r="M4288"/>
  <c r="K4288"/>
  <c r="H4288"/>
  <c r="C4288"/>
  <c r="G4288"/>
  <c r="E4288"/>
  <c r="B4288"/>
  <c r="A4288"/>
  <c r="W4287"/>
  <c r="S4287"/>
  <c r="Q4287"/>
  <c r="P4287"/>
  <c r="N4287"/>
  <c r="M4287"/>
  <c r="K4287"/>
  <c r="H4287"/>
  <c r="C4287"/>
  <c r="G4287"/>
  <c r="E4287"/>
  <c r="B4287"/>
  <c r="A4287"/>
  <c r="W4286"/>
  <c r="S4286"/>
  <c r="Q4286"/>
  <c r="P4286"/>
  <c r="M4286"/>
  <c r="K4286"/>
  <c r="H4286"/>
  <c r="C4286"/>
  <c r="G4286"/>
  <c r="E4286"/>
  <c r="B4286"/>
  <c r="A4286"/>
  <c r="W4285"/>
  <c r="S4285"/>
  <c r="Q4285"/>
  <c r="P4285"/>
  <c r="N4285"/>
  <c r="M4285"/>
  <c r="K4285"/>
  <c r="H4285"/>
  <c r="C4285"/>
  <c r="G4285"/>
  <c r="E4285"/>
  <c r="B4285"/>
  <c r="A4285"/>
  <c r="W4284"/>
  <c r="S4284"/>
  <c r="Q4284"/>
  <c r="P4284"/>
  <c r="N4284"/>
  <c r="M4284"/>
  <c r="K4284"/>
  <c r="H4284"/>
  <c r="C4284"/>
  <c r="G4284"/>
  <c r="E4284"/>
  <c r="B4284"/>
  <c r="A4284"/>
  <c r="W4283"/>
  <c r="S4283"/>
  <c r="Q4283"/>
  <c r="P4283"/>
  <c r="N4283"/>
  <c r="M4283"/>
  <c r="K4283"/>
  <c r="H4283"/>
  <c r="C4283"/>
  <c r="G4283"/>
  <c r="E4283"/>
  <c r="B4283"/>
  <c r="A4283"/>
  <c r="W4282"/>
  <c r="S4282"/>
  <c r="Q4282"/>
  <c r="P4282"/>
  <c r="N4282"/>
  <c r="M4282"/>
  <c r="K4282"/>
  <c r="H4282"/>
  <c r="C4282"/>
  <c r="G4282"/>
  <c r="E4282"/>
  <c r="B4282"/>
  <c r="A4282"/>
  <c r="W4281"/>
  <c r="S4281"/>
  <c r="Q4281"/>
  <c r="P4281"/>
  <c r="M4281"/>
  <c r="K4281"/>
  <c r="H4281"/>
  <c r="C4281"/>
  <c r="G4281"/>
  <c r="E4281"/>
  <c r="B4281"/>
  <c r="A4281"/>
  <c r="W4280"/>
  <c r="S4280"/>
  <c r="Q4280"/>
  <c r="P4280"/>
  <c r="N4280"/>
  <c r="M4280"/>
  <c r="K4280"/>
  <c r="H4280"/>
  <c r="C4280"/>
  <c r="G4280"/>
  <c r="E4280"/>
  <c r="B4280"/>
  <c r="A4280"/>
  <c r="W4279"/>
  <c r="S4279"/>
  <c r="Q4279"/>
  <c r="P4279"/>
  <c r="N4279"/>
  <c r="M4279"/>
  <c r="K4279"/>
  <c r="H4279"/>
  <c r="C4279"/>
  <c r="G4279"/>
  <c r="E4279"/>
  <c r="B4279"/>
  <c r="A4279"/>
  <c r="W4278"/>
  <c r="S4278"/>
  <c r="Q4278"/>
  <c r="P4278"/>
  <c r="N4278"/>
  <c r="M4278"/>
  <c r="K4278"/>
  <c r="H4278"/>
  <c r="C4278"/>
  <c r="G4278"/>
  <c r="E4278"/>
  <c r="B4278"/>
  <c r="A4278"/>
  <c r="W4277"/>
  <c r="S4277"/>
  <c r="Q4277"/>
  <c r="P4277"/>
  <c r="N4277"/>
  <c r="M4277"/>
  <c r="K4277"/>
  <c r="H4277"/>
  <c r="C4277"/>
  <c r="G4277"/>
  <c r="E4277"/>
  <c r="B4277"/>
  <c r="A4277"/>
  <c r="W4276"/>
  <c r="S4276"/>
  <c r="Q4276"/>
  <c r="P4276"/>
  <c r="N4276"/>
  <c r="M4276"/>
  <c r="K4276"/>
  <c r="H4276"/>
  <c r="C4276"/>
  <c r="G4276"/>
  <c r="E4276"/>
  <c r="B4276"/>
  <c r="A4276"/>
  <c r="W4275"/>
  <c r="S4275"/>
  <c r="Q4275"/>
  <c r="P4275"/>
  <c r="M4275"/>
  <c r="K4275"/>
  <c r="H4275"/>
  <c r="C4275"/>
  <c r="G4275"/>
  <c r="E4275"/>
  <c r="B4275"/>
  <c r="A4275"/>
  <c r="W4274"/>
  <c r="S4274"/>
  <c r="Q4274"/>
  <c r="P4274"/>
  <c r="M4274"/>
  <c r="K4274"/>
  <c r="H4274"/>
  <c r="C4274"/>
  <c r="G4274"/>
  <c r="E4274"/>
  <c r="B4274"/>
  <c r="A4274"/>
  <c r="W4273"/>
  <c r="S4273"/>
  <c r="Q4273"/>
  <c r="P4273"/>
  <c r="M4273"/>
  <c r="K4273"/>
  <c r="H4273"/>
  <c r="C4273"/>
  <c r="G4273"/>
  <c r="E4273"/>
  <c r="B4273"/>
  <c r="A4273"/>
  <c r="W4272"/>
  <c r="S4272"/>
  <c r="Q4272"/>
  <c r="P4272"/>
  <c r="M4272"/>
  <c r="K4272"/>
  <c r="H4272"/>
  <c r="C4272"/>
  <c r="G4272"/>
  <c r="E4272"/>
  <c r="B4272"/>
  <c r="A4272"/>
  <c r="W4271"/>
  <c r="S4271"/>
  <c r="Q4271"/>
  <c r="P4271"/>
  <c r="M4271"/>
  <c r="K4271"/>
  <c r="H4271"/>
  <c r="C4271"/>
  <c r="G4271"/>
  <c r="E4271"/>
  <c r="B4271"/>
  <c r="A4271"/>
  <c r="W4270"/>
  <c r="S4270"/>
  <c r="Q4270"/>
  <c r="P4270"/>
  <c r="M4270"/>
  <c r="K4270"/>
  <c r="H4270"/>
  <c r="C4270"/>
  <c r="G4270"/>
  <c r="E4270"/>
  <c r="B4270"/>
  <c r="A4270"/>
  <c r="W4269"/>
  <c r="S4269"/>
  <c r="R4269"/>
  <c r="Q4269"/>
  <c r="P4269"/>
  <c r="M4269"/>
  <c r="K4269"/>
  <c r="H4269"/>
  <c r="C4269"/>
  <c r="G4269"/>
  <c r="E4269"/>
  <c r="B4269"/>
  <c r="A4269"/>
  <c r="W4268"/>
  <c r="S4268"/>
  <c r="Q4268"/>
  <c r="P4268"/>
  <c r="N4268"/>
  <c r="M4268"/>
  <c r="K4268"/>
  <c r="H4268"/>
  <c r="C4268"/>
  <c r="G4268"/>
  <c r="E4268"/>
  <c r="B4268"/>
  <c r="A4268"/>
  <c r="W4267"/>
  <c r="S4267"/>
  <c r="Q4267"/>
  <c r="P4267"/>
  <c r="M4267"/>
  <c r="K4267"/>
  <c r="H4267"/>
  <c r="C4267"/>
  <c r="G4267"/>
  <c r="E4267"/>
  <c r="B4267"/>
  <c r="A4267"/>
  <c r="W4266"/>
  <c r="S4266"/>
  <c r="Q4266"/>
  <c r="P4266"/>
  <c r="M4266"/>
  <c r="K4266"/>
  <c r="H4266"/>
  <c r="C4266"/>
  <c r="G4266"/>
  <c r="E4266"/>
  <c r="B4266"/>
  <c r="A4266"/>
  <c r="W4265"/>
  <c r="S4265"/>
  <c r="Q4265"/>
  <c r="P4265"/>
  <c r="M4265"/>
  <c r="K4265"/>
  <c r="H4265"/>
  <c r="C4265"/>
  <c r="G4265"/>
  <c r="E4265"/>
  <c r="B4265"/>
  <c r="A4265"/>
  <c r="W4264"/>
  <c r="S4264"/>
  <c r="R4264"/>
  <c r="Q4264"/>
  <c r="P4264"/>
  <c r="M4264"/>
  <c r="K4264"/>
  <c r="H4264"/>
  <c r="C4264"/>
  <c r="G4264"/>
  <c r="E4264"/>
  <c r="B4264"/>
  <c r="A4264"/>
  <c r="W4263"/>
  <c r="S4263"/>
  <c r="Q4263"/>
  <c r="P4263"/>
  <c r="M4263"/>
  <c r="K4263"/>
  <c r="H4263"/>
  <c r="C4263"/>
  <c r="G4263"/>
  <c r="E4263"/>
  <c r="B4263"/>
  <c r="A4263"/>
  <c r="W4262"/>
  <c r="S4262"/>
  <c r="Q4262"/>
  <c r="P4262"/>
  <c r="M4262"/>
  <c r="K4262"/>
  <c r="H4262"/>
  <c r="C4262"/>
  <c r="G4262"/>
  <c r="E4262"/>
  <c r="B4262"/>
  <c r="A4262"/>
  <c r="W4261"/>
  <c r="S4261"/>
  <c r="Q4261"/>
  <c r="P4261"/>
  <c r="M4261"/>
  <c r="K4261"/>
  <c r="H4261"/>
  <c r="C4261"/>
  <c r="G4261"/>
  <c r="E4261"/>
  <c r="B4261"/>
  <c r="A4261"/>
  <c r="W4260"/>
  <c r="S4260"/>
  <c r="Q4260"/>
  <c r="P4260"/>
  <c r="M4260"/>
  <c r="K4260"/>
  <c r="H4260"/>
  <c r="C4260"/>
  <c r="G4260"/>
  <c r="E4260"/>
  <c r="B4260"/>
  <c r="A4260"/>
  <c r="W4259"/>
  <c r="S4259"/>
  <c r="Q4259"/>
  <c r="P4259"/>
  <c r="M4259"/>
  <c r="K4259"/>
  <c r="H4259"/>
  <c r="C4259"/>
  <c r="G4259"/>
  <c r="E4259"/>
  <c r="B4259"/>
  <c r="A4259"/>
  <c r="W4258"/>
  <c r="S4258"/>
  <c r="Q4258"/>
  <c r="P4258"/>
  <c r="M4258"/>
  <c r="K4258"/>
  <c r="H4258"/>
  <c r="C4258"/>
  <c r="G4258"/>
  <c r="E4258"/>
  <c r="B4258"/>
  <c r="A4258"/>
  <c r="W4257"/>
  <c r="S4257"/>
  <c r="Q4257"/>
  <c r="P4257"/>
  <c r="M4257"/>
  <c r="K4257"/>
  <c r="H4257"/>
  <c r="C4257"/>
  <c r="G4257"/>
  <c r="E4257"/>
  <c r="B4257"/>
  <c r="A4257"/>
  <c r="W4256"/>
  <c r="S4256"/>
  <c r="Q4256"/>
  <c r="P4256"/>
  <c r="M4256"/>
  <c r="K4256"/>
  <c r="H4256"/>
  <c r="C4256"/>
  <c r="G4256"/>
  <c r="E4256"/>
  <c r="B4256"/>
  <c r="A4256"/>
  <c r="W4255"/>
  <c r="S4255"/>
  <c r="Q4255"/>
  <c r="P4255"/>
  <c r="M4255"/>
  <c r="K4255"/>
  <c r="H4255"/>
  <c r="C4255"/>
  <c r="G4255"/>
  <c r="E4255"/>
  <c r="B4255"/>
  <c r="A4255"/>
  <c r="W4254"/>
  <c r="S4254"/>
  <c r="Q4254"/>
  <c r="P4254"/>
  <c r="M4254"/>
  <c r="K4254"/>
  <c r="H4254"/>
  <c r="C4254"/>
  <c r="G4254"/>
  <c r="E4254"/>
  <c r="B4254"/>
  <c r="A4254"/>
  <c r="W4253"/>
  <c r="S4253"/>
  <c r="Q4253"/>
  <c r="P4253"/>
  <c r="M4253"/>
  <c r="K4253"/>
  <c r="H4253"/>
  <c r="C4253"/>
  <c r="G4253"/>
  <c r="E4253"/>
  <c r="B4253"/>
  <c r="A4253"/>
  <c r="W4252"/>
  <c r="S4252"/>
  <c r="Q4252"/>
  <c r="P4252"/>
  <c r="M4252"/>
  <c r="K4252"/>
  <c r="H4252"/>
  <c r="C4252"/>
  <c r="G4252"/>
  <c r="E4252"/>
  <c r="B4252"/>
  <c r="A4252"/>
  <c r="W4251"/>
  <c r="S4251"/>
  <c r="Q4251"/>
  <c r="P4251"/>
  <c r="M4251"/>
  <c r="K4251"/>
  <c r="H4251"/>
  <c r="C4251"/>
  <c r="G4251"/>
  <c r="E4251"/>
  <c r="B4251"/>
  <c r="A4251"/>
  <c r="W4250"/>
  <c r="S4250"/>
  <c r="R4250"/>
  <c r="Q4250"/>
  <c r="P4250"/>
  <c r="M4250"/>
  <c r="K4250"/>
  <c r="H4250"/>
  <c r="C4250"/>
  <c r="G4250"/>
  <c r="E4250"/>
  <c r="B4250"/>
  <c r="A4250"/>
  <c r="W4249"/>
  <c r="S4249"/>
  <c r="Q4249"/>
  <c r="P4249"/>
  <c r="M4249"/>
  <c r="K4249"/>
  <c r="H4249"/>
  <c r="C4249"/>
  <c r="G4249"/>
  <c r="E4249"/>
  <c r="B4249"/>
  <c r="A4249"/>
  <c r="W4248"/>
  <c r="S4248"/>
  <c r="Q4248"/>
  <c r="P4248"/>
  <c r="M4248"/>
  <c r="K4248"/>
  <c r="H4248"/>
  <c r="C4248"/>
  <c r="G4248"/>
  <c r="E4248"/>
  <c r="B4248"/>
  <c r="A4248"/>
  <c r="W4247"/>
  <c r="S4247"/>
  <c r="Q4247"/>
  <c r="P4247"/>
  <c r="M4247"/>
  <c r="K4247"/>
  <c r="H4247"/>
  <c r="C4247"/>
  <c r="G4247"/>
  <c r="E4247"/>
  <c r="B4247"/>
  <c r="A4247"/>
  <c r="W4246"/>
  <c r="S4246"/>
  <c r="Q4246"/>
  <c r="P4246"/>
  <c r="M4246"/>
  <c r="K4246"/>
  <c r="H4246"/>
  <c r="C4246"/>
  <c r="G4246"/>
  <c r="E4246"/>
  <c r="B4246"/>
  <c r="A4246"/>
  <c r="W4245"/>
  <c r="S4245"/>
  <c r="R4245"/>
  <c r="Q4245"/>
  <c r="P4245"/>
  <c r="M4245"/>
  <c r="K4245"/>
  <c r="H4245"/>
  <c r="C4245"/>
  <c r="G4245"/>
  <c r="E4245"/>
  <c r="B4245"/>
  <c r="A4245"/>
  <c r="W4244"/>
  <c r="S4244"/>
  <c r="Q4244"/>
  <c r="P4244"/>
  <c r="M4244"/>
  <c r="K4244"/>
  <c r="H4244"/>
  <c r="C4244"/>
  <c r="G4244"/>
  <c r="E4244"/>
  <c r="B4244"/>
  <c r="A4244"/>
  <c r="W4243"/>
  <c r="S4243"/>
  <c r="Q4243"/>
  <c r="P4243"/>
  <c r="M4243"/>
  <c r="K4243"/>
  <c r="H4243"/>
  <c r="C4243"/>
  <c r="G4243"/>
  <c r="E4243"/>
  <c r="B4243"/>
  <c r="A4243"/>
  <c r="W4242"/>
  <c r="S4242"/>
  <c r="Q4242"/>
  <c r="P4242"/>
  <c r="M4242"/>
  <c r="K4242"/>
  <c r="H4242"/>
  <c r="C4242"/>
  <c r="G4242"/>
  <c r="E4242"/>
  <c r="B4242"/>
  <c r="A4242"/>
  <c r="W4241"/>
  <c r="S4241"/>
  <c r="R4241"/>
  <c r="Q4241"/>
  <c r="P4241"/>
  <c r="N4241"/>
  <c r="M4241"/>
  <c r="K4241"/>
  <c r="H4241"/>
  <c r="C4241"/>
  <c r="G4241"/>
  <c r="E4241"/>
  <c r="B4241"/>
  <c r="A4241"/>
  <c r="W4240"/>
  <c r="S4240"/>
  <c r="Q4240"/>
  <c r="P4240"/>
  <c r="N4240"/>
  <c r="M4240"/>
  <c r="K4240"/>
  <c r="H4240"/>
  <c r="C4240"/>
  <c r="G4240"/>
  <c r="E4240"/>
  <c r="B4240"/>
  <c r="A4240"/>
  <c r="W4239"/>
  <c r="S4239"/>
  <c r="Q4239"/>
  <c r="P4239"/>
  <c r="M4239"/>
  <c r="K4239"/>
  <c r="H4239"/>
  <c r="C4239"/>
  <c r="G4239"/>
  <c r="E4239"/>
  <c r="B4239"/>
  <c r="A4239"/>
  <c r="W4238"/>
  <c r="S4238"/>
  <c r="Q4238"/>
  <c r="P4238"/>
  <c r="M4238"/>
  <c r="K4238"/>
  <c r="H4238"/>
  <c r="C4238"/>
  <c r="G4238"/>
  <c r="E4238"/>
  <c r="B4238"/>
  <c r="A4238"/>
  <c r="W4237"/>
  <c r="S4237"/>
  <c r="Q4237"/>
  <c r="P4237"/>
  <c r="N4237"/>
  <c r="M4237"/>
  <c r="K4237"/>
  <c r="H4237"/>
  <c r="C4237"/>
  <c r="G4237"/>
  <c r="E4237"/>
  <c r="B4237"/>
  <c r="A4237"/>
  <c r="W4236"/>
  <c r="S4236"/>
  <c r="Q4236"/>
  <c r="P4236"/>
  <c r="M4236"/>
  <c r="K4236"/>
  <c r="H4236"/>
  <c r="C4236"/>
  <c r="G4236"/>
  <c r="E4236"/>
  <c r="B4236"/>
  <c r="A4236"/>
  <c r="W4235"/>
  <c r="S4235"/>
  <c r="Q4235"/>
  <c r="P4235"/>
  <c r="N4235"/>
  <c r="M4235"/>
  <c r="K4235"/>
  <c r="H4235"/>
  <c r="C4235"/>
  <c r="G4235"/>
  <c r="E4235"/>
  <c r="B4235"/>
  <c r="A4235"/>
  <c r="W4234"/>
  <c r="S4234"/>
  <c r="Q4234"/>
  <c r="P4234"/>
  <c r="N4234"/>
  <c r="M4234"/>
  <c r="K4234"/>
  <c r="H4234"/>
  <c r="C4234"/>
  <c r="G4234"/>
  <c r="E4234"/>
  <c r="B4234"/>
  <c r="A4234"/>
  <c r="W4233"/>
  <c r="S4233"/>
  <c r="R4233"/>
  <c r="Q4233"/>
  <c r="P4233"/>
  <c r="N4233"/>
  <c r="M4233"/>
  <c r="K4233"/>
  <c r="H4233"/>
  <c r="C4233"/>
  <c r="G4233"/>
  <c r="E4233"/>
  <c r="B4233"/>
  <c r="A4233"/>
  <c r="W4232"/>
  <c r="S4232"/>
  <c r="Q4232"/>
  <c r="P4232"/>
  <c r="M4232"/>
  <c r="K4232"/>
  <c r="H4232"/>
  <c r="C4232"/>
  <c r="G4232"/>
  <c r="E4232"/>
  <c r="B4232"/>
  <c r="A4232"/>
  <c r="W4231"/>
  <c r="S4231"/>
  <c r="Q4231"/>
  <c r="P4231"/>
  <c r="M4231"/>
  <c r="K4231"/>
  <c r="H4231"/>
  <c r="C4231"/>
  <c r="G4231"/>
  <c r="E4231"/>
  <c r="B4231"/>
  <c r="A4231"/>
  <c r="W4230"/>
  <c r="S4230"/>
  <c r="Q4230"/>
  <c r="P4230"/>
  <c r="M4230"/>
  <c r="K4230"/>
  <c r="H4230"/>
  <c r="C4230"/>
  <c r="G4230"/>
  <c r="E4230"/>
  <c r="B4230"/>
  <c r="A4230"/>
  <c r="W4229"/>
  <c r="S4229"/>
  <c r="Q4229"/>
  <c r="P4229"/>
  <c r="M4229"/>
  <c r="K4229"/>
  <c r="H4229"/>
  <c r="C4229"/>
  <c r="G4229"/>
  <c r="E4229"/>
  <c r="B4229"/>
  <c r="A4229"/>
  <c r="W4228"/>
  <c r="S4228"/>
  <c r="Q4228"/>
  <c r="P4228"/>
  <c r="M4228"/>
  <c r="K4228"/>
  <c r="H4228"/>
  <c r="C4228"/>
  <c r="G4228"/>
  <c r="E4228"/>
  <c r="B4228"/>
  <c r="A4228"/>
  <c r="W4227"/>
  <c r="S4227"/>
  <c r="Q4227"/>
  <c r="P4227"/>
  <c r="M4227"/>
  <c r="K4227"/>
  <c r="H4227"/>
  <c r="C4227"/>
  <c r="G4227"/>
  <c r="E4227"/>
  <c r="B4227"/>
  <c r="A4227"/>
  <c r="W4226"/>
  <c r="S4226"/>
  <c r="Q4226"/>
  <c r="P4226"/>
  <c r="M4226"/>
  <c r="K4226"/>
  <c r="H4226"/>
  <c r="C4226"/>
  <c r="G4226"/>
  <c r="E4226"/>
  <c r="B4226"/>
  <c r="A4226"/>
  <c r="W4225"/>
  <c r="S4225"/>
  <c r="Q4225"/>
  <c r="P4225"/>
  <c r="M4225"/>
  <c r="K4225"/>
  <c r="H4225"/>
  <c r="C4225"/>
  <c r="G4225"/>
  <c r="E4225"/>
  <c r="B4225"/>
  <c r="A4225"/>
  <c r="W4224"/>
  <c r="S4224"/>
  <c r="Q4224"/>
  <c r="P4224"/>
  <c r="M4224"/>
  <c r="K4224"/>
  <c r="H4224"/>
  <c r="C4224"/>
  <c r="G4224"/>
  <c r="E4224"/>
  <c r="B4224"/>
  <c r="A4224"/>
  <c r="W4223"/>
  <c r="S4223"/>
  <c r="Q4223"/>
  <c r="P4223"/>
  <c r="M4223"/>
  <c r="K4223"/>
  <c r="H4223"/>
  <c r="C4223"/>
  <c r="G4223"/>
  <c r="E4223"/>
  <c r="B4223"/>
  <c r="A4223"/>
  <c r="W4222"/>
  <c r="S4222"/>
  <c r="Q4222"/>
  <c r="P4222"/>
  <c r="M4222"/>
  <c r="K4222"/>
  <c r="H4222"/>
  <c r="C4222"/>
  <c r="G4222"/>
  <c r="E4222"/>
  <c r="B4222"/>
  <c r="A4222"/>
  <c r="W4221"/>
  <c r="S4221"/>
  <c r="Q4221"/>
  <c r="P4221"/>
  <c r="M4221"/>
  <c r="K4221"/>
  <c r="H4221"/>
  <c r="C4221"/>
  <c r="G4221"/>
  <c r="E4221"/>
  <c r="B4221"/>
  <c r="A4221"/>
  <c r="W4220"/>
  <c r="S4220"/>
  <c r="Q4220"/>
  <c r="P4220"/>
  <c r="M4220"/>
  <c r="K4220"/>
  <c r="H4220"/>
  <c r="C4220"/>
  <c r="G4220"/>
  <c r="E4220"/>
  <c r="B4220"/>
  <c r="A4220"/>
  <c r="W4219"/>
  <c r="S4219"/>
  <c r="Q4219"/>
  <c r="P4219"/>
  <c r="M4219"/>
  <c r="K4219"/>
  <c r="H4219"/>
  <c r="C4219"/>
  <c r="G4219"/>
  <c r="E4219"/>
  <c r="B4219"/>
  <c r="A4219"/>
  <c r="W4218"/>
  <c r="S4218"/>
  <c r="Q4218"/>
  <c r="P4218"/>
  <c r="M4218"/>
  <c r="K4218"/>
  <c r="H4218"/>
  <c r="C4218"/>
  <c r="G4218"/>
  <c r="E4218"/>
  <c r="B4218"/>
  <c r="A4218"/>
  <c r="W4217"/>
  <c r="S4217"/>
  <c r="Q4217"/>
  <c r="P4217"/>
  <c r="M4217"/>
  <c r="K4217"/>
  <c r="H4217"/>
  <c r="C4217"/>
  <c r="G4217"/>
  <c r="E4217"/>
  <c r="B4217"/>
  <c r="A4217"/>
  <c r="W4216"/>
  <c r="S4216"/>
  <c r="R4216"/>
  <c r="Q4216"/>
  <c r="P4216"/>
  <c r="N4216"/>
  <c r="M4216"/>
  <c r="K4216"/>
  <c r="H4216"/>
  <c r="C4216"/>
  <c r="G4216"/>
  <c r="E4216"/>
  <c r="B4216"/>
  <c r="A4216"/>
  <c r="W4215"/>
  <c r="S4215"/>
  <c r="Q4215"/>
  <c r="P4215"/>
  <c r="N4215"/>
  <c r="M4215"/>
  <c r="K4215"/>
  <c r="H4215"/>
  <c r="C4215"/>
  <c r="G4215"/>
  <c r="E4215"/>
  <c r="B4215"/>
  <c r="A4215"/>
  <c r="W4214"/>
  <c r="S4214"/>
  <c r="Q4214"/>
  <c r="P4214"/>
  <c r="M4214"/>
  <c r="K4214"/>
  <c r="H4214"/>
  <c r="C4214"/>
  <c r="G4214"/>
  <c r="E4214"/>
  <c r="B4214"/>
  <c r="A4214"/>
  <c r="W4213"/>
  <c r="S4213"/>
  <c r="Q4213"/>
  <c r="P4213"/>
  <c r="M4213"/>
  <c r="K4213"/>
  <c r="H4213"/>
  <c r="C4213"/>
  <c r="G4213"/>
  <c r="E4213"/>
  <c r="B4213"/>
  <c r="A4213"/>
  <c r="W4212"/>
  <c r="S4212"/>
  <c r="Q4212"/>
  <c r="P4212"/>
  <c r="M4212"/>
  <c r="K4212"/>
  <c r="H4212"/>
  <c r="C4212"/>
  <c r="G4212"/>
  <c r="E4212"/>
  <c r="B4212"/>
  <c r="A4212"/>
  <c r="W4211"/>
  <c r="S4211"/>
  <c r="Q4211"/>
  <c r="P4211"/>
  <c r="M4211"/>
  <c r="K4211"/>
  <c r="H4211"/>
  <c r="C4211"/>
  <c r="G4211"/>
  <c r="E4211"/>
  <c r="B4211"/>
  <c r="A4211"/>
  <c r="W4210"/>
  <c r="S4210"/>
  <c r="Q4210"/>
  <c r="P4210"/>
  <c r="M4210"/>
  <c r="K4210"/>
  <c r="H4210"/>
  <c r="C4210"/>
  <c r="G4210"/>
  <c r="E4210"/>
  <c r="B4210"/>
  <c r="A4210"/>
  <c r="W4209"/>
  <c r="S4209"/>
  <c r="Q4209"/>
  <c r="P4209"/>
  <c r="M4209"/>
  <c r="K4209"/>
  <c r="H4209"/>
  <c r="C4209"/>
  <c r="G4209"/>
  <c r="E4209"/>
  <c r="B4209"/>
  <c r="A4209"/>
  <c r="W4208"/>
  <c r="S4208"/>
  <c r="Q4208"/>
  <c r="P4208"/>
  <c r="M4208"/>
  <c r="K4208"/>
  <c r="H4208"/>
  <c r="C4208"/>
  <c r="G4208"/>
  <c r="E4208"/>
  <c r="B4208"/>
  <c r="A4208"/>
  <c r="W4207"/>
  <c r="S4207"/>
  <c r="Q4207"/>
  <c r="P4207"/>
  <c r="M4207"/>
  <c r="K4207"/>
  <c r="H4207"/>
  <c r="C4207"/>
  <c r="G4207"/>
  <c r="E4207"/>
  <c r="B4207"/>
  <c r="A4207"/>
  <c r="W4206"/>
  <c r="S4206"/>
  <c r="Q4206"/>
  <c r="P4206"/>
  <c r="M4206"/>
  <c r="K4206"/>
  <c r="H4206"/>
  <c r="C4206"/>
  <c r="G4206"/>
  <c r="E4206"/>
  <c r="B4206"/>
  <c r="A4206"/>
  <c r="W4205"/>
  <c r="S4205"/>
  <c r="Q4205"/>
  <c r="P4205"/>
  <c r="M4205"/>
  <c r="K4205"/>
  <c r="H4205"/>
  <c r="C4205"/>
  <c r="G4205"/>
  <c r="E4205"/>
  <c r="B4205"/>
  <c r="A4205"/>
  <c r="W4204"/>
  <c r="S4204"/>
  <c r="Q4204"/>
  <c r="P4204"/>
  <c r="M4204"/>
  <c r="K4204"/>
  <c r="H4204"/>
  <c r="C4204"/>
  <c r="G4204"/>
  <c r="E4204"/>
  <c r="B4204"/>
  <c r="A4204"/>
  <c r="W4203"/>
  <c r="S4203"/>
  <c r="Q4203"/>
  <c r="P4203"/>
  <c r="M4203"/>
  <c r="K4203"/>
  <c r="H4203"/>
  <c r="C4203"/>
  <c r="G4203"/>
  <c r="E4203"/>
  <c r="B4203"/>
  <c r="A4203"/>
  <c r="W4202"/>
  <c r="S4202"/>
  <c r="R4202"/>
  <c r="Q4202"/>
  <c r="P4202"/>
  <c r="N4202"/>
  <c r="M4202"/>
  <c r="K4202"/>
  <c r="H4202"/>
  <c r="C4202"/>
  <c r="G4202"/>
  <c r="E4202"/>
  <c r="B4202"/>
  <c r="A4202"/>
  <c r="W4201"/>
  <c r="S4201"/>
  <c r="Q4201"/>
  <c r="P4201"/>
  <c r="N4201"/>
  <c r="M4201"/>
  <c r="K4201"/>
  <c r="H4201"/>
  <c r="C4201"/>
  <c r="G4201"/>
  <c r="E4201"/>
  <c r="B4201"/>
  <c r="A4201"/>
  <c r="W4200"/>
  <c r="S4200"/>
  <c r="Q4200"/>
  <c r="P4200"/>
  <c r="M4200"/>
  <c r="K4200"/>
  <c r="H4200"/>
  <c r="C4200"/>
  <c r="G4200"/>
  <c r="E4200"/>
  <c r="B4200"/>
  <c r="A4200"/>
  <c r="W4199"/>
  <c r="S4199"/>
  <c r="Q4199"/>
  <c r="P4199"/>
  <c r="M4199"/>
  <c r="K4199"/>
  <c r="H4199"/>
  <c r="C4199"/>
  <c r="G4199"/>
  <c r="E4199"/>
  <c r="B4199"/>
  <c r="A4199"/>
  <c r="W4198"/>
  <c r="S4198"/>
  <c r="Q4198"/>
  <c r="P4198"/>
  <c r="M4198"/>
  <c r="K4198"/>
  <c r="H4198"/>
  <c r="C4198"/>
  <c r="G4198"/>
  <c r="E4198"/>
  <c r="B4198"/>
  <c r="A4198"/>
  <c r="W4197"/>
  <c r="S4197"/>
  <c r="Q4197"/>
  <c r="P4197"/>
  <c r="M4197"/>
  <c r="K4197"/>
  <c r="H4197"/>
  <c r="C4197"/>
  <c r="G4197"/>
  <c r="E4197"/>
  <c r="B4197"/>
  <c r="A4197"/>
  <c r="W4196"/>
  <c r="S4196"/>
  <c r="Q4196"/>
  <c r="P4196"/>
  <c r="M4196"/>
  <c r="K4196"/>
  <c r="H4196"/>
  <c r="C4196"/>
  <c r="G4196"/>
  <c r="E4196"/>
  <c r="B4196"/>
  <c r="A4196"/>
  <c r="W4195"/>
  <c r="S4195"/>
  <c r="Q4195"/>
  <c r="P4195"/>
  <c r="M4195"/>
  <c r="K4195"/>
  <c r="H4195"/>
  <c r="C4195"/>
  <c r="G4195"/>
  <c r="E4195"/>
  <c r="B4195"/>
  <c r="A4195"/>
  <c r="W4194"/>
  <c r="S4194"/>
  <c r="Q4194"/>
  <c r="P4194"/>
  <c r="M4194"/>
  <c r="K4194"/>
  <c r="H4194"/>
  <c r="C4194"/>
  <c r="G4194"/>
  <c r="E4194"/>
  <c r="B4194"/>
  <c r="A4194"/>
  <c r="W4193"/>
  <c r="S4193"/>
  <c r="Q4193"/>
  <c r="P4193"/>
  <c r="M4193"/>
  <c r="K4193"/>
  <c r="H4193"/>
  <c r="C4193"/>
  <c r="G4193"/>
  <c r="E4193"/>
  <c r="B4193"/>
  <c r="A4193"/>
  <c r="W4192"/>
  <c r="S4192"/>
  <c r="Q4192"/>
  <c r="P4192"/>
  <c r="M4192"/>
  <c r="K4192"/>
  <c r="H4192"/>
  <c r="C4192"/>
  <c r="G4192"/>
  <c r="E4192"/>
  <c r="B4192"/>
  <c r="A4192"/>
  <c r="W4191"/>
  <c r="S4191"/>
  <c r="Q4191"/>
  <c r="P4191"/>
  <c r="M4191"/>
  <c r="K4191"/>
  <c r="H4191"/>
  <c r="C4191"/>
  <c r="G4191"/>
  <c r="E4191"/>
  <c r="B4191"/>
  <c r="A4191"/>
  <c r="W4190"/>
  <c r="S4190"/>
  <c r="R4190"/>
  <c r="Q4190"/>
  <c r="P4190"/>
  <c r="N4190"/>
  <c r="M4190"/>
  <c r="K4190"/>
  <c r="H4190"/>
  <c r="C4190"/>
  <c r="G4190"/>
  <c r="E4190"/>
  <c r="B4190"/>
  <c r="A4190"/>
  <c r="W4189"/>
  <c r="S4189"/>
  <c r="Q4189"/>
  <c r="P4189"/>
  <c r="N4189"/>
  <c r="M4189"/>
  <c r="K4189"/>
  <c r="H4189"/>
  <c r="C4189"/>
  <c r="G4189"/>
  <c r="E4189"/>
  <c r="B4189"/>
  <c r="A4189"/>
  <c r="W4188"/>
  <c r="S4188"/>
  <c r="Q4188"/>
  <c r="P4188"/>
  <c r="M4188"/>
  <c r="K4188"/>
  <c r="H4188"/>
  <c r="C4188"/>
  <c r="G4188"/>
  <c r="E4188"/>
  <c r="B4188"/>
  <c r="A4188"/>
  <c r="W4187"/>
  <c r="S4187"/>
  <c r="Q4187"/>
  <c r="P4187"/>
  <c r="M4187"/>
  <c r="K4187"/>
  <c r="H4187"/>
  <c r="C4187"/>
  <c r="G4187"/>
  <c r="E4187"/>
  <c r="B4187"/>
  <c r="A4187"/>
  <c r="W4186"/>
  <c r="S4186"/>
  <c r="Q4186"/>
  <c r="P4186"/>
  <c r="M4186"/>
  <c r="K4186"/>
  <c r="H4186"/>
  <c r="C4186"/>
  <c r="G4186"/>
  <c r="E4186"/>
  <c r="B4186"/>
  <c r="A4186"/>
  <c r="W4185"/>
  <c r="S4185"/>
  <c r="Q4185"/>
  <c r="P4185"/>
  <c r="M4185"/>
  <c r="K4185"/>
  <c r="H4185"/>
  <c r="C4185"/>
  <c r="G4185"/>
  <c r="E4185"/>
  <c r="B4185"/>
  <c r="A4185"/>
  <c r="W4184"/>
  <c r="S4184"/>
  <c r="Q4184"/>
  <c r="P4184"/>
  <c r="M4184"/>
  <c r="K4184"/>
  <c r="H4184"/>
  <c r="C4184"/>
  <c r="G4184"/>
  <c r="E4184"/>
  <c r="B4184"/>
  <c r="A4184"/>
  <c r="W4183"/>
  <c r="S4183"/>
  <c r="Q4183"/>
  <c r="P4183"/>
  <c r="M4183"/>
  <c r="K4183"/>
  <c r="H4183"/>
  <c r="C4183"/>
  <c r="G4183"/>
  <c r="E4183"/>
  <c r="B4183"/>
  <c r="A4183"/>
  <c r="W4182"/>
  <c r="S4182"/>
  <c r="Q4182"/>
  <c r="P4182"/>
  <c r="M4182"/>
  <c r="K4182"/>
  <c r="H4182"/>
  <c r="C4182"/>
  <c r="G4182"/>
  <c r="E4182"/>
  <c r="B4182"/>
  <c r="A4182"/>
  <c r="W4181"/>
  <c r="S4181"/>
  <c r="Q4181"/>
  <c r="P4181"/>
  <c r="M4181"/>
  <c r="K4181"/>
  <c r="H4181"/>
  <c r="C4181"/>
  <c r="G4181"/>
  <c r="E4181"/>
  <c r="B4181"/>
  <c r="A4181"/>
  <c r="W4180"/>
  <c r="S4180"/>
  <c r="Q4180"/>
  <c r="P4180"/>
  <c r="M4180"/>
  <c r="K4180"/>
  <c r="H4180"/>
  <c r="C4180"/>
  <c r="G4180"/>
  <c r="E4180"/>
  <c r="B4180"/>
  <c r="A4180"/>
  <c r="W4179"/>
  <c r="S4179"/>
  <c r="Q4179"/>
  <c r="P4179"/>
  <c r="M4179"/>
  <c r="K4179"/>
  <c r="H4179"/>
  <c r="C4179"/>
  <c r="G4179"/>
  <c r="E4179"/>
  <c r="B4179"/>
  <c r="A4179"/>
  <c r="W4178"/>
  <c r="S4178"/>
  <c r="Q4178"/>
  <c r="P4178"/>
  <c r="M4178"/>
  <c r="K4178"/>
  <c r="H4178"/>
  <c r="C4178"/>
  <c r="G4178"/>
  <c r="E4178"/>
  <c r="B4178"/>
  <c r="A4178"/>
  <c r="W4177"/>
  <c r="S4177"/>
  <c r="R4177"/>
  <c r="Q4177"/>
  <c r="P4177"/>
  <c r="M4177"/>
  <c r="K4177"/>
  <c r="H4177"/>
  <c r="C4177"/>
  <c r="G4177"/>
  <c r="E4177"/>
  <c r="B4177"/>
  <c r="A4177"/>
  <c r="W4176"/>
  <c r="S4176"/>
  <c r="Q4176"/>
  <c r="P4176"/>
  <c r="M4176"/>
  <c r="K4176"/>
  <c r="H4176"/>
  <c r="C4176"/>
  <c r="G4176"/>
  <c r="E4176"/>
  <c r="B4176"/>
  <c r="A4176"/>
  <c r="W4175"/>
  <c r="S4175"/>
  <c r="Q4175"/>
  <c r="P4175"/>
  <c r="M4175"/>
  <c r="K4175"/>
  <c r="H4175"/>
  <c r="C4175"/>
  <c r="G4175"/>
  <c r="E4175"/>
  <c r="B4175"/>
  <c r="A4175"/>
  <c r="W4174"/>
  <c r="S4174"/>
  <c r="Q4174"/>
  <c r="P4174"/>
  <c r="M4174"/>
  <c r="K4174"/>
  <c r="H4174"/>
  <c r="C4174"/>
  <c r="G4174"/>
  <c r="E4174"/>
  <c r="B4174"/>
  <c r="A4174"/>
  <c r="W4173"/>
  <c r="S4173"/>
  <c r="Q4173"/>
  <c r="P4173"/>
  <c r="M4173"/>
  <c r="K4173"/>
  <c r="H4173"/>
  <c r="C4173"/>
  <c r="G4173"/>
  <c r="E4173"/>
  <c r="B4173"/>
  <c r="A4173"/>
  <c r="W4172"/>
  <c r="S4172"/>
  <c r="R4172"/>
  <c r="Q4172"/>
  <c r="P4172"/>
  <c r="M4172"/>
  <c r="K4172"/>
  <c r="H4172"/>
  <c r="C4172"/>
  <c r="G4172"/>
  <c r="E4172"/>
  <c r="B4172"/>
  <c r="A4172"/>
  <c r="W4171"/>
  <c r="S4171"/>
  <c r="Q4171"/>
  <c r="P4171"/>
  <c r="M4171"/>
  <c r="K4171"/>
  <c r="H4171"/>
  <c r="C4171"/>
  <c r="G4171"/>
  <c r="E4171"/>
  <c r="B4171"/>
  <c r="A4171"/>
  <c r="W4170"/>
  <c r="S4170"/>
  <c r="Q4170"/>
  <c r="P4170"/>
  <c r="M4170"/>
  <c r="K4170"/>
  <c r="H4170"/>
  <c r="C4170"/>
  <c r="G4170"/>
  <c r="E4170"/>
  <c r="B4170"/>
  <c r="A4170"/>
  <c r="W4169"/>
  <c r="S4169"/>
  <c r="Q4169"/>
  <c r="P4169"/>
  <c r="M4169"/>
  <c r="K4169"/>
  <c r="H4169"/>
  <c r="C4169"/>
  <c r="G4169"/>
  <c r="E4169"/>
  <c r="B4169"/>
  <c r="A4169"/>
  <c r="W4168"/>
  <c r="S4168"/>
  <c r="Q4168"/>
  <c r="P4168"/>
  <c r="M4168"/>
  <c r="K4168"/>
  <c r="H4168"/>
  <c r="C4168"/>
  <c r="G4168"/>
  <c r="E4168"/>
  <c r="B4168"/>
  <c r="A4168"/>
  <c r="W4167"/>
  <c r="S4167"/>
  <c r="R4167"/>
  <c r="Q4167"/>
  <c r="P4167"/>
  <c r="M4167"/>
  <c r="K4167"/>
  <c r="H4167"/>
  <c r="C4167"/>
  <c r="G4167"/>
  <c r="E4167"/>
  <c r="B4167"/>
  <c r="A4167"/>
  <c r="W4166"/>
  <c r="S4166"/>
  <c r="Q4166"/>
  <c r="P4166"/>
  <c r="M4166"/>
  <c r="K4166"/>
  <c r="H4166"/>
  <c r="C4166"/>
  <c r="G4166"/>
  <c r="E4166"/>
  <c r="B4166"/>
  <c r="A4166"/>
  <c r="W4165"/>
  <c r="S4165"/>
  <c r="Q4165"/>
  <c r="P4165"/>
  <c r="M4165"/>
  <c r="K4165"/>
  <c r="H4165"/>
  <c r="C4165"/>
  <c r="G4165"/>
  <c r="E4165"/>
  <c r="B4165"/>
  <c r="A4165"/>
  <c r="W4164"/>
  <c r="S4164"/>
  <c r="Q4164"/>
  <c r="P4164"/>
  <c r="M4164"/>
  <c r="K4164"/>
  <c r="H4164"/>
  <c r="C4164"/>
  <c r="G4164"/>
  <c r="E4164"/>
  <c r="B4164"/>
  <c r="A4164"/>
  <c r="W4163"/>
  <c r="S4163"/>
  <c r="Q4163"/>
  <c r="P4163"/>
  <c r="M4163"/>
  <c r="K4163"/>
  <c r="H4163"/>
  <c r="C4163"/>
  <c r="G4163"/>
  <c r="E4163"/>
  <c r="B4163"/>
  <c r="A4163"/>
  <c r="W4162"/>
  <c r="S4162"/>
  <c r="R4162"/>
  <c r="Q4162"/>
  <c r="P4162"/>
  <c r="M4162"/>
  <c r="K4162"/>
  <c r="H4162"/>
  <c r="C4162"/>
  <c r="G4162"/>
  <c r="E4162"/>
  <c r="B4162"/>
  <c r="A4162"/>
  <c r="W4161"/>
  <c r="S4161"/>
  <c r="Q4161"/>
  <c r="P4161"/>
  <c r="M4161"/>
  <c r="K4161"/>
  <c r="H4161"/>
  <c r="C4161"/>
  <c r="G4161"/>
  <c r="E4161"/>
  <c r="B4161"/>
  <c r="A4161"/>
  <c r="W4160"/>
  <c r="S4160"/>
  <c r="Q4160"/>
  <c r="P4160"/>
  <c r="M4160"/>
  <c r="K4160"/>
  <c r="H4160"/>
  <c r="C4160"/>
  <c r="G4160"/>
  <c r="E4160"/>
  <c r="B4160"/>
  <c r="A4160"/>
  <c r="W4159"/>
  <c r="S4159"/>
  <c r="Q4159"/>
  <c r="P4159"/>
  <c r="M4159"/>
  <c r="K4159"/>
  <c r="H4159"/>
  <c r="C4159"/>
  <c r="G4159"/>
  <c r="E4159"/>
  <c r="B4159"/>
  <c r="A4159"/>
  <c r="W4158"/>
  <c r="S4158"/>
  <c r="Q4158"/>
  <c r="P4158"/>
  <c r="M4158"/>
  <c r="K4158"/>
  <c r="H4158"/>
  <c r="C4158"/>
  <c r="G4158"/>
  <c r="E4158"/>
  <c r="B4158"/>
  <c r="A4158"/>
  <c r="W4157"/>
  <c r="S4157"/>
  <c r="Q4157"/>
  <c r="P4157"/>
  <c r="M4157"/>
  <c r="K4157"/>
  <c r="H4157"/>
  <c r="C4157"/>
  <c r="G4157"/>
  <c r="E4157"/>
  <c r="B4157"/>
  <c r="A4157"/>
  <c r="W4156"/>
  <c r="S4156"/>
  <c r="Q4156"/>
  <c r="P4156"/>
  <c r="M4156"/>
  <c r="K4156"/>
  <c r="H4156"/>
  <c r="C4156"/>
  <c r="G4156"/>
  <c r="E4156"/>
  <c r="B4156"/>
  <c r="A4156"/>
  <c r="W4155"/>
  <c r="S4155"/>
  <c r="Q4155"/>
  <c r="P4155"/>
  <c r="M4155"/>
  <c r="K4155"/>
  <c r="H4155"/>
  <c r="C4155"/>
  <c r="G4155"/>
  <c r="E4155"/>
  <c r="B4155"/>
  <c r="A4155"/>
  <c r="W4154"/>
  <c r="S4154"/>
  <c r="Q4154"/>
  <c r="P4154"/>
  <c r="M4154"/>
  <c r="K4154"/>
  <c r="H4154"/>
  <c r="C4154"/>
  <c r="G4154"/>
  <c r="E4154"/>
  <c r="B4154"/>
  <c r="A4154"/>
  <c r="W4153"/>
  <c r="S4153"/>
  <c r="Q4153"/>
  <c r="P4153"/>
  <c r="M4153"/>
  <c r="K4153"/>
  <c r="H4153"/>
  <c r="C4153"/>
  <c r="G4153"/>
  <c r="E4153"/>
  <c r="B4153"/>
  <c r="A4153"/>
  <c r="W4152"/>
  <c r="S4152"/>
  <c r="Q4152"/>
  <c r="P4152"/>
  <c r="M4152"/>
  <c r="K4152"/>
  <c r="H4152"/>
  <c r="C4152"/>
  <c r="G4152"/>
  <c r="E4152"/>
  <c r="B4152"/>
  <c r="A4152"/>
  <c r="W4151"/>
  <c r="S4151"/>
  <c r="Q4151"/>
  <c r="P4151"/>
  <c r="M4151"/>
  <c r="K4151"/>
  <c r="H4151"/>
  <c r="C4151"/>
  <c r="G4151"/>
  <c r="E4151"/>
  <c r="B4151"/>
  <c r="A4151"/>
  <c r="W4150"/>
  <c r="S4150"/>
  <c r="R4150"/>
  <c r="Q4150"/>
  <c r="P4150"/>
  <c r="M4150"/>
  <c r="K4150"/>
  <c r="H4150"/>
  <c r="C4150"/>
  <c r="G4150"/>
  <c r="E4150"/>
  <c r="B4150"/>
  <c r="A4150"/>
  <c r="W4149"/>
  <c r="S4149"/>
  <c r="Q4149"/>
  <c r="P4149"/>
  <c r="M4149"/>
  <c r="K4149"/>
  <c r="H4149"/>
  <c r="C4149"/>
  <c r="G4149"/>
  <c r="E4149"/>
  <c r="B4149"/>
  <c r="A4149"/>
  <c r="W4148"/>
  <c r="S4148"/>
  <c r="Q4148"/>
  <c r="P4148"/>
  <c r="M4148"/>
  <c r="K4148"/>
  <c r="H4148"/>
  <c r="C4148"/>
  <c r="G4148"/>
  <c r="E4148"/>
  <c r="B4148"/>
  <c r="A4148"/>
  <c r="W4147"/>
  <c r="S4147"/>
  <c r="Q4147"/>
  <c r="P4147"/>
  <c r="M4147"/>
  <c r="K4147"/>
  <c r="H4147"/>
  <c r="C4147"/>
  <c r="G4147"/>
  <c r="E4147"/>
  <c r="B4147"/>
  <c r="A4147"/>
  <c r="W4146"/>
  <c r="S4146"/>
  <c r="Q4146"/>
  <c r="P4146"/>
  <c r="M4146"/>
  <c r="K4146"/>
  <c r="H4146"/>
  <c r="C4146"/>
  <c r="G4146"/>
  <c r="E4146"/>
  <c r="B4146"/>
  <c r="A4146"/>
  <c r="W4145"/>
  <c r="S4145"/>
  <c r="R4145"/>
  <c r="Q4145"/>
  <c r="P4145"/>
  <c r="M4145"/>
  <c r="K4145"/>
  <c r="H4145"/>
  <c r="C4145"/>
  <c r="G4145"/>
  <c r="E4145"/>
  <c r="B4145"/>
  <c r="A4145"/>
  <c r="W4144"/>
  <c r="S4144"/>
  <c r="Q4144"/>
  <c r="P4144"/>
  <c r="M4144"/>
  <c r="K4144"/>
  <c r="H4144"/>
  <c r="C4144"/>
  <c r="G4144"/>
  <c r="E4144"/>
  <c r="B4144"/>
  <c r="A4144"/>
  <c r="W4143"/>
  <c r="S4143"/>
  <c r="Q4143"/>
  <c r="P4143"/>
  <c r="M4143"/>
  <c r="K4143"/>
  <c r="H4143"/>
  <c r="C4143"/>
  <c r="G4143"/>
  <c r="E4143"/>
  <c r="B4143"/>
  <c r="A4143"/>
  <c r="W4142"/>
  <c r="S4142"/>
  <c r="Q4142"/>
  <c r="P4142"/>
  <c r="M4142"/>
  <c r="K4142"/>
  <c r="H4142"/>
  <c r="C4142"/>
  <c r="G4142"/>
  <c r="E4142"/>
  <c r="B4142"/>
  <c r="A4142"/>
  <c r="W4141"/>
  <c r="S4141"/>
  <c r="Q4141"/>
  <c r="P4141"/>
  <c r="M4141"/>
  <c r="K4141"/>
  <c r="H4141"/>
  <c r="C4141"/>
  <c r="G4141"/>
  <c r="E4141"/>
  <c r="B4141"/>
  <c r="A4141"/>
  <c r="W4140"/>
  <c r="S4140"/>
  <c r="Q4140"/>
  <c r="P4140"/>
  <c r="M4140"/>
  <c r="K4140"/>
  <c r="H4140"/>
  <c r="C4140"/>
  <c r="G4140"/>
  <c r="E4140"/>
  <c r="B4140"/>
  <c r="A4140"/>
  <c r="W4139"/>
  <c r="S4139"/>
  <c r="Q4139"/>
  <c r="P4139"/>
  <c r="M4139"/>
  <c r="K4139"/>
  <c r="H4139"/>
  <c r="C4139"/>
  <c r="G4139"/>
  <c r="E4139"/>
  <c r="B4139"/>
  <c r="A4139"/>
  <c r="W4138"/>
  <c r="S4138"/>
  <c r="Q4138"/>
  <c r="P4138"/>
  <c r="M4138"/>
  <c r="K4138"/>
  <c r="H4138"/>
  <c r="C4138"/>
  <c r="G4138"/>
  <c r="E4138"/>
  <c r="B4138"/>
  <c r="A4138"/>
  <c r="W4137"/>
  <c r="S4137"/>
  <c r="Q4137"/>
  <c r="P4137"/>
  <c r="M4137"/>
  <c r="K4137"/>
  <c r="H4137"/>
  <c r="C4137"/>
  <c r="G4137"/>
  <c r="E4137"/>
  <c r="B4137"/>
  <c r="A4137"/>
  <c r="W4136"/>
  <c r="S4136"/>
  <c r="Q4136"/>
  <c r="P4136"/>
  <c r="M4136"/>
  <c r="K4136"/>
  <c r="H4136"/>
  <c r="C4136"/>
  <c r="G4136"/>
  <c r="E4136"/>
  <c r="B4136"/>
  <c r="A4136"/>
  <c r="W4135"/>
  <c r="S4135"/>
  <c r="Q4135"/>
  <c r="P4135"/>
  <c r="M4135"/>
  <c r="K4135"/>
  <c r="H4135"/>
  <c r="C4135"/>
  <c r="G4135"/>
  <c r="E4135"/>
  <c r="B4135"/>
  <c r="A4135"/>
  <c r="W4134"/>
  <c r="S4134"/>
  <c r="Q4134"/>
  <c r="P4134"/>
  <c r="M4134"/>
  <c r="K4134"/>
  <c r="H4134"/>
  <c r="C4134"/>
  <c r="G4134"/>
  <c r="E4134"/>
  <c r="B4134"/>
  <c r="A4134"/>
  <c r="W4133"/>
  <c r="S4133"/>
  <c r="Q4133"/>
  <c r="P4133"/>
  <c r="M4133"/>
  <c r="K4133"/>
  <c r="H4133"/>
  <c r="C4133"/>
  <c r="G4133"/>
  <c r="E4133"/>
  <c r="B4133"/>
  <c r="A4133"/>
  <c r="W4132"/>
  <c r="S4132"/>
  <c r="R4132"/>
  <c r="Q4132"/>
  <c r="P4132"/>
  <c r="M4132"/>
  <c r="K4132"/>
  <c r="H4132"/>
  <c r="C4132"/>
  <c r="G4132"/>
  <c r="E4132"/>
  <c r="B4132"/>
  <c r="A4132"/>
  <c r="W4131"/>
  <c r="S4131"/>
  <c r="Q4131"/>
  <c r="P4131"/>
  <c r="M4131"/>
  <c r="K4131"/>
  <c r="H4131"/>
  <c r="C4131"/>
  <c r="G4131"/>
  <c r="E4131"/>
  <c r="B4131"/>
  <c r="A4131"/>
  <c r="W4130"/>
  <c r="S4130"/>
  <c r="R4130"/>
  <c r="Q4130"/>
  <c r="P4130"/>
  <c r="M4130"/>
  <c r="K4130"/>
  <c r="H4130"/>
  <c r="C4130"/>
  <c r="G4130"/>
  <c r="E4130"/>
  <c r="B4130"/>
  <c r="A4130"/>
  <c r="W4129"/>
  <c r="S4129"/>
  <c r="Q4129"/>
  <c r="P4129"/>
  <c r="M4129"/>
  <c r="K4129"/>
  <c r="H4129"/>
  <c r="C4129"/>
  <c r="G4129"/>
  <c r="E4129"/>
  <c r="B4129"/>
  <c r="A4129"/>
  <c r="W4128"/>
  <c r="S4128"/>
  <c r="Q4128"/>
  <c r="P4128"/>
  <c r="M4128"/>
  <c r="K4128"/>
  <c r="H4128"/>
  <c r="C4128"/>
  <c r="G4128"/>
  <c r="E4128"/>
  <c r="B4128"/>
  <c r="A4128"/>
  <c r="W4127"/>
  <c r="S4127"/>
  <c r="Q4127"/>
  <c r="P4127"/>
  <c r="M4127"/>
  <c r="K4127"/>
  <c r="H4127"/>
  <c r="C4127"/>
  <c r="G4127"/>
  <c r="E4127"/>
  <c r="B4127"/>
  <c r="A4127"/>
  <c r="W4126"/>
  <c r="S4126"/>
  <c r="Q4126"/>
  <c r="P4126"/>
  <c r="M4126"/>
  <c r="K4126"/>
  <c r="H4126"/>
  <c r="C4126"/>
  <c r="G4126"/>
  <c r="E4126"/>
  <c r="B4126"/>
  <c r="A4126"/>
  <c r="W4125"/>
  <c r="S4125"/>
  <c r="Q4125"/>
  <c r="P4125"/>
  <c r="M4125"/>
  <c r="K4125"/>
  <c r="H4125"/>
  <c r="C4125"/>
  <c r="G4125"/>
  <c r="E4125"/>
  <c r="B4125"/>
  <c r="A4125"/>
  <c r="W4124"/>
  <c r="S4124"/>
  <c r="Q4124"/>
  <c r="P4124"/>
  <c r="M4124"/>
  <c r="K4124"/>
  <c r="H4124"/>
  <c r="C4124"/>
  <c r="G4124"/>
  <c r="E4124"/>
  <c r="B4124"/>
  <c r="A4124"/>
  <c r="W4123"/>
  <c r="S4123"/>
  <c r="R4123"/>
  <c r="Q4123"/>
  <c r="P4123"/>
  <c r="M4123"/>
  <c r="K4123"/>
  <c r="H4123"/>
  <c r="C4123"/>
  <c r="G4123"/>
  <c r="E4123"/>
  <c r="B4123"/>
  <c r="A4123"/>
  <c r="W4122"/>
  <c r="S4122"/>
  <c r="Q4122"/>
  <c r="P4122"/>
  <c r="M4122"/>
  <c r="K4122"/>
  <c r="H4122"/>
  <c r="C4122"/>
  <c r="G4122"/>
  <c r="E4122"/>
  <c r="B4122"/>
  <c r="A4122"/>
  <c r="W4121"/>
  <c r="S4121"/>
  <c r="Q4121"/>
  <c r="P4121"/>
  <c r="M4121"/>
  <c r="K4121"/>
  <c r="H4121"/>
  <c r="C4121"/>
  <c r="G4121"/>
  <c r="E4121"/>
  <c r="B4121"/>
  <c r="A4121"/>
  <c r="W4120"/>
  <c r="S4120"/>
  <c r="Q4120"/>
  <c r="P4120"/>
  <c r="M4120"/>
  <c r="K4120"/>
  <c r="H4120"/>
  <c r="C4120"/>
  <c r="G4120"/>
  <c r="E4120"/>
  <c r="B4120"/>
  <c r="A4120"/>
  <c r="W4119"/>
  <c r="S4119"/>
  <c r="Q4119"/>
  <c r="P4119"/>
  <c r="M4119"/>
  <c r="K4119"/>
  <c r="H4119"/>
  <c r="C4119"/>
  <c r="G4119"/>
  <c r="E4119"/>
  <c r="B4119"/>
  <c r="A4119"/>
  <c r="W4118"/>
  <c r="S4118"/>
  <c r="Q4118"/>
  <c r="P4118"/>
  <c r="M4118"/>
  <c r="K4118"/>
  <c r="H4118"/>
  <c r="C4118"/>
  <c r="G4118"/>
  <c r="E4118"/>
  <c r="B4118"/>
  <c r="A4118"/>
  <c r="W4117"/>
  <c r="S4117"/>
  <c r="Q4117"/>
  <c r="P4117"/>
  <c r="M4117"/>
  <c r="K4117"/>
  <c r="H4117"/>
  <c r="C4117"/>
  <c r="G4117"/>
  <c r="E4117"/>
  <c r="B4117"/>
  <c r="A4117"/>
  <c r="W4116"/>
  <c r="S4116"/>
  <c r="R4116"/>
  <c r="Q4116"/>
  <c r="P4116"/>
  <c r="M4116"/>
  <c r="K4116"/>
  <c r="H4116"/>
  <c r="C4116"/>
  <c r="G4116"/>
  <c r="E4116"/>
  <c r="B4116"/>
  <c r="A4116"/>
  <c r="W4115"/>
  <c r="S4115"/>
  <c r="Q4115"/>
  <c r="P4115"/>
  <c r="M4115"/>
  <c r="K4115"/>
  <c r="H4115"/>
  <c r="C4115"/>
  <c r="G4115"/>
  <c r="E4115"/>
  <c r="B4115"/>
  <c r="A4115"/>
  <c r="W4114"/>
  <c r="S4114"/>
  <c r="Q4114"/>
  <c r="P4114"/>
  <c r="M4114"/>
  <c r="K4114"/>
  <c r="H4114"/>
  <c r="C4114"/>
  <c r="G4114"/>
  <c r="E4114"/>
  <c r="B4114"/>
  <c r="A4114"/>
  <c r="W4113"/>
  <c r="S4113"/>
  <c r="Q4113"/>
  <c r="P4113"/>
  <c r="M4113"/>
  <c r="K4113"/>
  <c r="H4113"/>
  <c r="C4113"/>
  <c r="G4113"/>
  <c r="E4113"/>
  <c r="B4113"/>
  <c r="A4113"/>
  <c r="W4112"/>
  <c r="S4112"/>
  <c r="Q4112"/>
  <c r="P4112"/>
  <c r="M4112"/>
  <c r="K4112"/>
  <c r="H4112"/>
  <c r="C4112"/>
  <c r="G4112"/>
  <c r="E4112"/>
  <c r="B4112"/>
  <c r="A4112"/>
  <c r="W4111"/>
  <c r="S4111"/>
  <c r="Q4111"/>
  <c r="P4111"/>
  <c r="M4111"/>
  <c r="K4111"/>
  <c r="H4111"/>
  <c r="C4111"/>
  <c r="G4111"/>
  <c r="E4111"/>
  <c r="B4111"/>
  <c r="A4111"/>
  <c r="W4110"/>
  <c r="S4110"/>
  <c r="Q4110"/>
  <c r="P4110"/>
  <c r="M4110"/>
  <c r="K4110"/>
  <c r="H4110"/>
  <c r="C4110"/>
  <c r="G4110"/>
  <c r="E4110"/>
  <c r="B4110"/>
  <c r="A4110"/>
  <c r="W4109"/>
  <c r="S4109"/>
  <c r="R4109"/>
  <c r="Q4109"/>
  <c r="P4109"/>
  <c r="M4109"/>
  <c r="K4109"/>
  <c r="H4109"/>
  <c r="C4109"/>
  <c r="G4109"/>
  <c r="E4109"/>
  <c r="B4109"/>
  <c r="A4109"/>
  <c r="W4108"/>
  <c r="S4108"/>
  <c r="Q4108"/>
  <c r="P4108"/>
  <c r="M4108"/>
  <c r="K4108"/>
  <c r="H4108"/>
  <c r="C4108"/>
  <c r="G4108"/>
  <c r="E4108"/>
  <c r="B4108"/>
  <c r="A4108"/>
  <c r="W4107"/>
  <c r="S4107"/>
  <c r="Q4107"/>
  <c r="P4107"/>
  <c r="M4107"/>
  <c r="K4107"/>
  <c r="H4107"/>
  <c r="C4107"/>
  <c r="G4107"/>
  <c r="E4107"/>
  <c r="B4107"/>
  <c r="A4107"/>
  <c r="W4106"/>
  <c r="S4106"/>
  <c r="Q4106"/>
  <c r="P4106"/>
  <c r="M4106"/>
  <c r="K4106"/>
  <c r="H4106"/>
  <c r="C4106"/>
  <c r="G4106"/>
  <c r="E4106"/>
  <c r="B4106"/>
  <c r="A4106"/>
  <c r="W4105"/>
  <c r="S4105"/>
  <c r="Q4105"/>
  <c r="P4105"/>
  <c r="M4105"/>
  <c r="K4105"/>
  <c r="H4105"/>
  <c r="C4105"/>
  <c r="G4105"/>
  <c r="E4105"/>
  <c r="B4105"/>
  <c r="A4105"/>
  <c r="W4104"/>
  <c r="S4104"/>
  <c r="Q4104"/>
  <c r="P4104"/>
  <c r="M4104"/>
  <c r="K4104"/>
  <c r="H4104"/>
  <c r="C4104"/>
  <c r="G4104"/>
  <c r="E4104"/>
  <c r="B4104"/>
  <c r="A4104"/>
  <c r="W4103"/>
  <c r="S4103"/>
  <c r="Q4103"/>
  <c r="P4103"/>
  <c r="M4103"/>
  <c r="K4103"/>
  <c r="H4103"/>
  <c r="C4103"/>
  <c r="G4103"/>
  <c r="E4103"/>
  <c r="B4103"/>
  <c r="A4103"/>
  <c r="W4102"/>
  <c r="S4102"/>
  <c r="Q4102"/>
  <c r="P4102"/>
  <c r="M4102"/>
  <c r="K4102"/>
  <c r="H4102"/>
  <c r="C4102"/>
  <c r="G4102"/>
  <c r="E4102"/>
  <c r="B4102"/>
  <c r="A4102"/>
  <c r="W4101"/>
  <c r="S4101"/>
  <c r="Q4101"/>
  <c r="P4101"/>
  <c r="M4101"/>
  <c r="K4101"/>
  <c r="H4101"/>
  <c r="C4101"/>
  <c r="G4101"/>
  <c r="E4101"/>
  <c r="B4101"/>
  <c r="A4101"/>
  <c r="W4100"/>
  <c r="S4100"/>
  <c r="Q4100"/>
  <c r="P4100"/>
  <c r="M4100"/>
  <c r="K4100"/>
  <c r="H4100"/>
  <c r="C4100"/>
  <c r="G4100"/>
  <c r="E4100"/>
  <c r="B4100"/>
  <c r="A4100"/>
  <c r="W4099"/>
  <c r="S4099"/>
  <c r="Q4099"/>
  <c r="P4099"/>
  <c r="M4099"/>
  <c r="K4099"/>
  <c r="H4099"/>
  <c r="C4099"/>
  <c r="G4099"/>
  <c r="E4099"/>
  <c r="B4099"/>
  <c r="A4099"/>
  <c r="W4098"/>
  <c r="S4098"/>
  <c r="Q4098"/>
  <c r="P4098"/>
  <c r="M4098"/>
  <c r="K4098"/>
  <c r="H4098"/>
  <c r="C4098"/>
  <c r="G4098"/>
  <c r="E4098"/>
  <c r="B4098"/>
  <c r="A4098"/>
  <c r="W4097"/>
  <c r="S4097"/>
  <c r="Q4097"/>
  <c r="P4097"/>
  <c r="M4097"/>
  <c r="K4097"/>
  <c r="H4097"/>
  <c r="C4097"/>
  <c r="G4097"/>
  <c r="E4097"/>
  <c r="B4097"/>
  <c r="A4097"/>
  <c r="W4096"/>
  <c r="S4096"/>
  <c r="Q4096"/>
  <c r="P4096"/>
  <c r="M4096"/>
  <c r="K4096"/>
  <c r="H4096"/>
  <c r="C4096"/>
  <c r="G4096"/>
  <c r="E4096"/>
  <c r="B4096"/>
  <c r="A4096"/>
  <c r="W4095"/>
  <c r="S4095"/>
  <c r="Q4095"/>
  <c r="P4095"/>
  <c r="M4095"/>
  <c r="K4095"/>
  <c r="H4095"/>
  <c r="C4095"/>
  <c r="G4095"/>
  <c r="E4095"/>
  <c r="B4095"/>
  <c r="A4095"/>
  <c r="W4094"/>
  <c r="S4094"/>
  <c r="Q4094"/>
  <c r="P4094"/>
  <c r="M4094"/>
  <c r="K4094"/>
  <c r="H4094"/>
  <c r="C4094"/>
  <c r="G4094"/>
  <c r="E4094"/>
  <c r="B4094"/>
  <c r="A4094"/>
  <c r="W4093"/>
  <c r="S4093"/>
  <c r="Q4093"/>
  <c r="P4093"/>
  <c r="M4093"/>
  <c r="K4093"/>
  <c r="H4093"/>
  <c r="C4093"/>
  <c r="G4093"/>
  <c r="E4093"/>
  <c r="B4093"/>
  <c r="A4093"/>
  <c r="W4092"/>
  <c r="S4092"/>
  <c r="Q4092"/>
  <c r="P4092"/>
  <c r="M4092"/>
  <c r="K4092"/>
  <c r="H4092"/>
  <c r="C4092"/>
  <c r="G4092"/>
  <c r="E4092"/>
  <c r="B4092"/>
  <c r="A4092"/>
  <c r="W4091"/>
  <c r="S4091"/>
  <c r="Q4091"/>
  <c r="P4091"/>
  <c r="M4091"/>
  <c r="K4091"/>
  <c r="H4091"/>
  <c r="C4091"/>
  <c r="G4091"/>
  <c r="E4091"/>
  <c r="B4091"/>
  <c r="A4091"/>
  <c r="W4090"/>
  <c r="S4090"/>
  <c r="Q4090"/>
  <c r="P4090"/>
  <c r="M4090"/>
  <c r="K4090"/>
  <c r="H4090"/>
  <c r="C4090"/>
  <c r="G4090"/>
  <c r="E4090"/>
  <c r="B4090"/>
  <c r="A4090"/>
  <c r="W4089"/>
  <c r="S4089"/>
  <c r="Q4089"/>
  <c r="P4089"/>
  <c r="M4089"/>
  <c r="K4089"/>
  <c r="H4089"/>
  <c r="C4089"/>
  <c r="G4089"/>
  <c r="E4089"/>
  <c r="B4089"/>
  <c r="A4089"/>
  <c r="W4088"/>
  <c r="S4088"/>
  <c r="Q4088"/>
  <c r="P4088"/>
  <c r="M4088"/>
  <c r="K4088"/>
  <c r="H4088"/>
  <c r="C4088"/>
  <c r="G4088"/>
  <c r="E4088"/>
  <c r="B4088"/>
  <c r="A4088"/>
  <c r="W4087"/>
  <c r="S4087"/>
  <c r="Q4087"/>
  <c r="P4087"/>
  <c r="M4087"/>
  <c r="K4087"/>
  <c r="H4087"/>
  <c r="C4087"/>
  <c r="G4087"/>
  <c r="E4087"/>
  <c r="B4087"/>
  <c r="A4087"/>
  <c r="W4086"/>
  <c r="S4086"/>
  <c r="Q4086"/>
  <c r="P4086"/>
  <c r="M4086"/>
  <c r="K4086"/>
  <c r="H4086"/>
  <c r="C4086"/>
  <c r="G4086"/>
  <c r="E4086"/>
  <c r="B4086"/>
  <c r="A4086"/>
  <c r="W4085"/>
  <c r="S4085"/>
  <c r="Q4085"/>
  <c r="P4085"/>
  <c r="M4085"/>
  <c r="K4085"/>
  <c r="H4085"/>
  <c r="C4085"/>
  <c r="G4085"/>
  <c r="E4085"/>
  <c r="B4085"/>
  <c r="A4085"/>
  <c r="W4084"/>
  <c r="S4084"/>
  <c r="Q4084"/>
  <c r="P4084"/>
  <c r="M4084"/>
  <c r="K4084"/>
  <c r="H4084"/>
  <c r="C4084"/>
  <c r="G4084"/>
  <c r="E4084"/>
  <c r="B4084"/>
  <c r="A4084"/>
  <c r="W4083"/>
  <c r="S4083"/>
  <c r="Q4083"/>
  <c r="P4083"/>
  <c r="M4083"/>
  <c r="K4083"/>
  <c r="H4083"/>
  <c r="C4083"/>
  <c r="G4083"/>
  <c r="E4083"/>
  <c r="B4083"/>
  <c r="A4083"/>
  <c r="W4082"/>
  <c r="S4082"/>
  <c r="Q4082"/>
  <c r="P4082"/>
  <c r="M4082"/>
  <c r="K4082"/>
  <c r="H4082"/>
  <c r="C4082"/>
  <c r="G4082"/>
  <c r="E4082"/>
  <c r="B4082"/>
  <c r="A4082"/>
  <c r="W4081"/>
  <c r="S4081"/>
  <c r="Q4081"/>
  <c r="P4081"/>
  <c r="M4081"/>
  <c r="K4081"/>
  <c r="H4081"/>
  <c r="C4081"/>
  <c r="G4081"/>
  <c r="E4081"/>
  <c r="B4081"/>
  <c r="A4081"/>
  <c r="W4080"/>
  <c r="S4080"/>
  <c r="Q4080"/>
  <c r="P4080"/>
  <c r="M4080"/>
  <c r="K4080"/>
  <c r="H4080"/>
  <c r="C4080"/>
  <c r="G4080"/>
  <c r="E4080"/>
  <c r="B4080"/>
  <c r="A4080"/>
  <c r="W4079"/>
  <c r="S4079"/>
  <c r="Q4079"/>
  <c r="P4079"/>
  <c r="M4079"/>
  <c r="K4079"/>
  <c r="H4079"/>
  <c r="C4079"/>
  <c r="G4079"/>
  <c r="E4079"/>
  <c r="B4079"/>
  <c r="A4079"/>
  <c r="W4078"/>
  <c r="S4078"/>
  <c r="Q4078"/>
  <c r="P4078"/>
  <c r="M4078"/>
  <c r="K4078"/>
  <c r="H4078"/>
  <c r="C4078"/>
  <c r="G4078"/>
  <c r="E4078"/>
  <c r="B4078"/>
  <c r="A4078"/>
  <c r="W4077"/>
  <c r="S4077"/>
  <c r="Q4077"/>
  <c r="P4077"/>
  <c r="M4077"/>
  <c r="K4077"/>
  <c r="H4077"/>
  <c r="C4077"/>
  <c r="G4077"/>
  <c r="E4077"/>
  <c r="B4077"/>
  <c r="A4077"/>
  <c r="W4076"/>
  <c r="S4076"/>
  <c r="Q4076"/>
  <c r="P4076"/>
  <c r="M4076"/>
  <c r="K4076"/>
  <c r="H4076"/>
  <c r="C4076"/>
  <c r="G4076"/>
  <c r="E4076"/>
  <c r="B4076"/>
  <c r="A4076"/>
  <c r="W4075"/>
  <c r="S4075"/>
  <c r="Q4075"/>
  <c r="P4075"/>
  <c r="N4075"/>
  <c r="M4075"/>
  <c r="K4075"/>
  <c r="H4075"/>
  <c r="C4075"/>
  <c r="G4075"/>
  <c r="E4075"/>
  <c r="B4075"/>
  <c r="A4075"/>
  <c r="W4074"/>
  <c r="S4074"/>
  <c r="Q4074"/>
  <c r="P4074"/>
  <c r="M4074"/>
  <c r="K4074"/>
  <c r="H4074"/>
  <c r="C4074"/>
  <c r="G4074"/>
  <c r="E4074"/>
  <c r="B4074"/>
  <c r="A4074"/>
  <c r="W4073"/>
  <c r="S4073"/>
  <c r="Q4073"/>
  <c r="P4073"/>
  <c r="M4073"/>
  <c r="K4073"/>
  <c r="H4073"/>
  <c r="C4073"/>
  <c r="G4073"/>
  <c r="E4073"/>
  <c r="B4073"/>
  <c r="A4073"/>
  <c r="W4072"/>
  <c r="S4072"/>
  <c r="Q4072"/>
  <c r="P4072"/>
  <c r="M4072"/>
  <c r="K4072"/>
  <c r="H4072"/>
  <c r="C4072"/>
  <c r="G4072"/>
  <c r="E4072"/>
  <c r="B4072"/>
  <c r="A4072"/>
  <c r="W4071"/>
  <c r="S4071"/>
  <c r="Q4071"/>
  <c r="P4071"/>
  <c r="M4071"/>
  <c r="K4071"/>
  <c r="H4071"/>
  <c r="C4071"/>
  <c r="G4071"/>
  <c r="E4071"/>
  <c r="B4071"/>
  <c r="A4071"/>
  <c r="W4070"/>
  <c r="S4070"/>
  <c r="Q4070"/>
  <c r="P4070"/>
  <c r="M4070"/>
  <c r="K4070"/>
  <c r="H4070"/>
  <c r="C4070"/>
  <c r="G4070"/>
  <c r="E4070"/>
  <c r="B4070"/>
  <c r="A4070"/>
  <c r="W4069"/>
  <c r="S4069"/>
  <c r="Q4069"/>
  <c r="P4069"/>
  <c r="M4069"/>
  <c r="K4069"/>
  <c r="H4069"/>
  <c r="C4069"/>
  <c r="G4069"/>
  <c r="E4069"/>
  <c r="B4069"/>
  <c r="A4069"/>
  <c r="W4068"/>
  <c r="S4068"/>
  <c r="Q4068"/>
  <c r="P4068"/>
  <c r="N4068"/>
  <c r="M4068"/>
  <c r="K4068"/>
  <c r="H4068"/>
  <c r="C4068"/>
  <c r="G4068"/>
  <c r="E4068"/>
  <c r="B4068"/>
  <c r="A4068"/>
  <c r="W4067"/>
  <c r="S4067"/>
  <c r="Q4067"/>
  <c r="P4067"/>
  <c r="M4067"/>
  <c r="K4067"/>
  <c r="H4067"/>
  <c r="C4067"/>
  <c r="G4067"/>
  <c r="E4067"/>
  <c r="B4067"/>
  <c r="A4067"/>
  <c r="W4066"/>
  <c r="S4066"/>
  <c r="Q4066"/>
  <c r="P4066"/>
  <c r="M4066"/>
  <c r="K4066"/>
  <c r="H4066"/>
  <c r="C4066"/>
  <c r="G4066"/>
  <c r="E4066"/>
  <c r="B4066"/>
  <c r="A4066"/>
  <c r="W4065"/>
  <c r="S4065"/>
  <c r="Q4065"/>
  <c r="P4065"/>
  <c r="M4065"/>
  <c r="K4065"/>
  <c r="H4065"/>
  <c r="C4065"/>
  <c r="G4065"/>
  <c r="E4065"/>
  <c r="B4065"/>
  <c r="A4065"/>
  <c r="W4064"/>
  <c r="S4064"/>
  <c r="Q4064"/>
  <c r="P4064"/>
  <c r="M4064"/>
  <c r="K4064"/>
  <c r="H4064"/>
  <c r="C4064"/>
  <c r="G4064"/>
  <c r="E4064"/>
  <c r="B4064"/>
  <c r="A4064"/>
  <c r="W4063"/>
  <c r="S4063"/>
  <c r="Q4063"/>
  <c r="P4063"/>
  <c r="M4063"/>
  <c r="K4063"/>
  <c r="H4063"/>
  <c r="C4063"/>
  <c r="G4063"/>
  <c r="E4063"/>
  <c r="B4063"/>
  <c r="A4063"/>
  <c r="W4062"/>
  <c r="S4062"/>
  <c r="Q4062"/>
  <c r="P4062"/>
  <c r="M4062"/>
  <c r="K4062"/>
  <c r="H4062"/>
  <c r="C4062"/>
  <c r="G4062"/>
  <c r="E4062"/>
  <c r="B4062"/>
  <c r="A4062"/>
  <c r="W4061"/>
  <c r="S4061"/>
  <c r="Q4061"/>
  <c r="P4061"/>
  <c r="M4061"/>
  <c r="K4061"/>
  <c r="H4061"/>
  <c r="C4061"/>
  <c r="G4061"/>
  <c r="E4061"/>
  <c r="B4061"/>
  <c r="A4061"/>
  <c r="W4060"/>
  <c r="S4060"/>
  <c r="Q4060"/>
  <c r="P4060"/>
  <c r="M4060"/>
  <c r="K4060"/>
  <c r="H4060"/>
  <c r="C4060"/>
  <c r="G4060"/>
  <c r="E4060"/>
  <c r="B4060"/>
  <c r="A4060"/>
  <c r="W4059"/>
  <c r="S4059"/>
  <c r="Q4059"/>
  <c r="P4059"/>
  <c r="M4059"/>
  <c r="K4059"/>
  <c r="H4059"/>
  <c r="C4059"/>
  <c r="G4059"/>
  <c r="E4059"/>
  <c r="B4059"/>
  <c r="A4059"/>
  <c r="W4058"/>
  <c r="S4058"/>
  <c r="Q4058"/>
  <c r="P4058"/>
  <c r="M4058"/>
  <c r="K4058"/>
  <c r="H4058"/>
  <c r="C4058"/>
  <c r="G4058"/>
  <c r="E4058"/>
  <c r="B4058"/>
  <c r="A4058"/>
  <c r="W4057"/>
  <c r="S4057"/>
  <c r="R4057"/>
  <c r="Q4057"/>
  <c r="P4057"/>
  <c r="M4057"/>
  <c r="K4057"/>
  <c r="H4057"/>
  <c r="C4057"/>
  <c r="G4057"/>
  <c r="E4057"/>
  <c r="B4057"/>
  <c r="A4057"/>
  <c r="W4056"/>
  <c r="S4056"/>
  <c r="Q4056"/>
  <c r="P4056"/>
  <c r="M4056"/>
  <c r="K4056"/>
  <c r="H4056"/>
  <c r="C4056"/>
  <c r="G4056"/>
  <c r="E4056"/>
  <c r="B4056"/>
  <c r="A4056"/>
  <c r="W4055"/>
  <c r="S4055"/>
  <c r="R4055"/>
  <c r="Q4055"/>
  <c r="P4055"/>
  <c r="M4055"/>
  <c r="K4055"/>
  <c r="H4055"/>
  <c r="C4055"/>
  <c r="G4055"/>
  <c r="E4055"/>
  <c r="B4055"/>
  <c r="A4055"/>
  <c r="W4054"/>
  <c r="S4054"/>
  <c r="Q4054"/>
  <c r="P4054"/>
  <c r="M4054"/>
  <c r="K4054"/>
  <c r="H4054"/>
  <c r="C4054"/>
  <c r="G4054"/>
  <c r="E4054"/>
  <c r="B4054"/>
  <c r="A4054"/>
  <c r="W4053"/>
  <c r="S4053"/>
  <c r="Q4053"/>
  <c r="P4053"/>
  <c r="M4053"/>
  <c r="K4053"/>
  <c r="H4053"/>
  <c r="C4053"/>
  <c r="G4053"/>
  <c r="E4053"/>
  <c r="B4053"/>
  <c r="A4053"/>
  <c r="W4052"/>
  <c r="S4052"/>
  <c r="Q4052"/>
  <c r="P4052"/>
  <c r="M4052"/>
  <c r="K4052"/>
  <c r="H4052"/>
  <c r="C4052"/>
  <c r="G4052"/>
  <c r="E4052"/>
  <c r="B4052"/>
  <c r="A4052"/>
  <c r="W4051"/>
  <c r="S4051"/>
  <c r="Q4051"/>
  <c r="P4051"/>
  <c r="M4051"/>
  <c r="K4051"/>
  <c r="H4051"/>
  <c r="C4051"/>
  <c r="G4051"/>
  <c r="E4051"/>
  <c r="B4051"/>
  <c r="A4051"/>
  <c r="W4050"/>
  <c r="S4050"/>
  <c r="Q4050"/>
  <c r="P4050"/>
  <c r="M4050"/>
  <c r="K4050"/>
  <c r="H4050"/>
  <c r="C4050"/>
  <c r="G4050"/>
  <c r="E4050"/>
  <c r="B4050"/>
  <c r="A4050"/>
  <c r="W4049"/>
  <c r="S4049"/>
  <c r="Q4049"/>
  <c r="P4049"/>
  <c r="M4049"/>
  <c r="K4049"/>
  <c r="H4049"/>
  <c r="C4049"/>
  <c r="G4049"/>
  <c r="E4049"/>
  <c r="B4049"/>
  <c r="A4049"/>
  <c r="W4048"/>
  <c r="S4048"/>
  <c r="Q4048"/>
  <c r="P4048"/>
  <c r="M4048"/>
  <c r="K4048"/>
  <c r="H4048"/>
  <c r="C4048"/>
  <c r="G4048"/>
  <c r="E4048"/>
  <c r="B4048"/>
  <c r="A4048"/>
  <c r="W4047"/>
  <c r="S4047"/>
  <c r="Q4047"/>
  <c r="P4047"/>
  <c r="M4047"/>
  <c r="K4047"/>
  <c r="H4047"/>
  <c r="C4047"/>
  <c r="G4047"/>
  <c r="E4047"/>
  <c r="B4047"/>
  <c r="A4047"/>
  <c r="W4046"/>
  <c r="S4046"/>
  <c r="Q4046"/>
  <c r="P4046"/>
  <c r="M4046"/>
  <c r="K4046"/>
  <c r="H4046"/>
  <c r="C4046"/>
  <c r="G4046"/>
  <c r="E4046"/>
  <c r="B4046"/>
  <c r="A4046"/>
  <c r="W4045"/>
  <c r="S4045"/>
  <c r="Q4045"/>
  <c r="P4045"/>
  <c r="M4045"/>
  <c r="K4045"/>
  <c r="H4045"/>
  <c r="C4045"/>
  <c r="G4045"/>
  <c r="E4045"/>
  <c r="B4045"/>
  <c r="A4045"/>
  <c r="W4044"/>
  <c r="S4044"/>
  <c r="Q4044"/>
  <c r="P4044"/>
  <c r="M4044"/>
  <c r="K4044"/>
  <c r="H4044"/>
  <c r="C4044"/>
  <c r="G4044"/>
  <c r="E4044"/>
  <c r="B4044"/>
  <c r="A4044"/>
  <c r="W4043"/>
  <c r="S4043"/>
  <c r="Q4043"/>
  <c r="P4043"/>
  <c r="M4043"/>
  <c r="K4043"/>
  <c r="H4043"/>
  <c r="C4043"/>
  <c r="G4043"/>
  <c r="E4043"/>
  <c r="B4043"/>
  <c r="A4043"/>
  <c r="W4042"/>
  <c r="S4042"/>
  <c r="Q4042"/>
  <c r="P4042"/>
  <c r="M4042"/>
  <c r="K4042"/>
  <c r="H4042"/>
  <c r="C4042"/>
  <c r="G4042"/>
  <c r="E4042"/>
  <c r="B4042"/>
  <c r="A4042"/>
  <c r="W4041"/>
  <c r="S4041"/>
  <c r="Q4041"/>
  <c r="P4041"/>
  <c r="M4041"/>
  <c r="K4041"/>
  <c r="H4041"/>
  <c r="C4041"/>
  <c r="G4041"/>
  <c r="E4041"/>
  <c r="B4041"/>
  <c r="A4041"/>
  <c r="W4040"/>
  <c r="S4040"/>
  <c r="R4040"/>
  <c r="Q4040"/>
  <c r="P4040"/>
  <c r="M4040"/>
  <c r="K4040"/>
  <c r="H4040"/>
  <c r="C4040"/>
  <c r="G4040"/>
  <c r="E4040"/>
  <c r="B4040"/>
  <c r="A4040"/>
  <c r="W4039"/>
  <c r="S4039"/>
  <c r="Q4039"/>
  <c r="P4039"/>
  <c r="M4039"/>
  <c r="K4039"/>
  <c r="H4039"/>
  <c r="C4039"/>
  <c r="G4039"/>
  <c r="E4039"/>
  <c r="B4039"/>
  <c r="A4039"/>
  <c r="W4038"/>
  <c r="S4038"/>
  <c r="Q4038"/>
  <c r="P4038"/>
  <c r="M4038"/>
  <c r="K4038"/>
  <c r="H4038"/>
  <c r="C4038"/>
  <c r="G4038"/>
  <c r="E4038"/>
  <c r="B4038"/>
  <c r="A4038"/>
  <c r="W4037"/>
  <c r="S4037"/>
  <c r="Q4037"/>
  <c r="P4037"/>
  <c r="M4037"/>
  <c r="K4037"/>
  <c r="H4037"/>
  <c r="C4037"/>
  <c r="G4037"/>
  <c r="E4037"/>
  <c r="B4037"/>
  <c r="A4037"/>
  <c r="W4036"/>
  <c r="S4036"/>
  <c r="R4036"/>
  <c r="Q4036"/>
  <c r="P4036"/>
  <c r="M4036"/>
  <c r="K4036"/>
  <c r="H4036"/>
  <c r="C4036"/>
  <c r="G4036"/>
  <c r="E4036"/>
  <c r="B4036"/>
  <c r="A4036"/>
  <c r="W4035"/>
  <c r="S4035"/>
  <c r="Q4035"/>
  <c r="P4035"/>
  <c r="M4035"/>
  <c r="K4035"/>
  <c r="H4035"/>
  <c r="C4035"/>
  <c r="G4035"/>
  <c r="E4035"/>
  <c r="B4035"/>
  <c r="A4035"/>
  <c r="W4034"/>
  <c r="S4034"/>
  <c r="Q4034"/>
  <c r="P4034"/>
  <c r="M4034"/>
  <c r="K4034"/>
  <c r="H4034"/>
  <c r="C4034"/>
  <c r="G4034"/>
  <c r="E4034"/>
  <c r="B4034"/>
  <c r="A4034"/>
  <c r="W4033"/>
  <c r="S4033"/>
  <c r="Q4033"/>
  <c r="P4033"/>
  <c r="M4033"/>
  <c r="K4033"/>
  <c r="H4033"/>
  <c r="C4033"/>
  <c r="G4033"/>
  <c r="E4033"/>
  <c r="B4033"/>
  <c r="A4033"/>
  <c r="W4032"/>
  <c r="S4032"/>
  <c r="Q4032"/>
  <c r="P4032"/>
  <c r="M4032"/>
  <c r="K4032"/>
  <c r="H4032"/>
  <c r="C4032"/>
  <c r="G4032"/>
  <c r="E4032"/>
  <c r="B4032"/>
  <c r="A4032"/>
  <c r="W4031"/>
  <c r="S4031"/>
  <c r="Q4031"/>
  <c r="P4031"/>
  <c r="M4031"/>
  <c r="K4031"/>
  <c r="H4031"/>
  <c r="C4031"/>
  <c r="G4031"/>
  <c r="E4031"/>
  <c r="B4031"/>
  <c r="A4031"/>
  <c r="W4030"/>
  <c r="S4030"/>
  <c r="Q4030"/>
  <c r="P4030"/>
  <c r="M4030"/>
  <c r="K4030"/>
  <c r="H4030"/>
  <c r="C4030"/>
  <c r="G4030"/>
  <c r="E4030"/>
  <c r="B4030"/>
  <c r="A4030"/>
  <c r="W4029"/>
  <c r="S4029"/>
  <c r="Q4029"/>
  <c r="P4029"/>
  <c r="M4029"/>
  <c r="K4029"/>
  <c r="H4029"/>
  <c r="C4029"/>
  <c r="G4029"/>
  <c r="E4029"/>
  <c r="B4029"/>
  <c r="A4029"/>
  <c r="W4028"/>
  <c r="S4028"/>
  <c r="Q4028"/>
  <c r="P4028"/>
  <c r="M4028"/>
  <c r="K4028"/>
  <c r="H4028"/>
  <c r="C4028"/>
  <c r="G4028"/>
  <c r="E4028"/>
  <c r="B4028"/>
  <c r="A4028"/>
  <c r="W4027"/>
  <c r="S4027"/>
  <c r="Q4027"/>
  <c r="P4027"/>
  <c r="M4027"/>
  <c r="K4027"/>
  <c r="H4027"/>
  <c r="C4027"/>
  <c r="G4027"/>
  <c r="E4027"/>
  <c r="B4027"/>
  <c r="A4027"/>
  <c r="W4026"/>
  <c r="S4026"/>
  <c r="Q4026"/>
  <c r="P4026"/>
  <c r="M4026"/>
  <c r="K4026"/>
  <c r="H4026"/>
  <c r="C4026"/>
  <c r="G4026"/>
  <c r="E4026"/>
  <c r="B4026"/>
  <c r="A4026"/>
  <c r="W4025"/>
  <c r="S4025"/>
  <c r="Q4025"/>
  <c r="P4025"/>
  <c r="M4025"/>
  <c r="K4025"/>
  <c r="H4025"/>
  <c r="C4025"/>
  <c r="G4025"/>
  <c r="E4025"/>
  <c r="B4025"/>
  <c r="A4025"/>
  <c r="W4024"/>
  <c r="S4024"/>
  <c r="Q4024"/>
  <c r="P4024"/>
  <c r="M4024"/>
  <c r="K4024"/>
  <c r="H4024"/>
  <c r="C4024"/>
  <c r="G4024"/>
  <c r="E4024"/>
  <c r="B4024"/>
  <c r="A4024"/>
  <c r="W4023"/>
  <c r="S4023"/>
  <c r="Q4023"/>
  <c r="P4023"/>
  <c r="M4023"/>
  <c r="K4023"/>
  <c r="H4023"/>
  <c r="C4023"/>
  <c r="G4023"/>
  <c r="E4023"/>
  <c r="B4023"/>
  <c r="A4023"/>
  <c r="W4022"/>
  <c r="S4022"/>
  <c r="R4022"/>
  <c r="Q4022"/>
  <c r="P4022"/>
  <c r="M4022"/>
  <c r="K4022"/>
  <c r="H4022"/>
  <c r="C4022"/>
  <c r="G4022"/>
  <c r="E4022"/>
  <c r="B4022"/>
  <c r="A4022"/>
  <c r="W4021"/>
  <c r="S4021"/>
  <c r="Q4021"/>
  <c r="P4021"/>
  <c r="M4021"/>
  <c r="K4021"/>
  <c r="H4021"/>
  <c r="C4021"/>
  <c r="G4021"/>
  <c r="E4021"/>
  <c r="B4021"/>
  <c r="A4021"/>
  <c r="W4020"/>
  <c r="S4020"/>
  <c r="Q4020"/>
  <c r="P4020"/>
  <c r="M4020"/>
  <c r="K4020"/>
  <c r="H4020"/>
  <c r="C4020"/>
  <c r="G4020"/>
  <c r="E4020"/>
  <c r="B4020"/>
  <c r="A4020"/>
  <c r="W4019"/>
  <c r="S4019"/>
  <c r="Q4019"/>
  <c r="P4019"/>
  <c r="M4019"/>
  <c r="K4019"/>
  <c r="H4019"/>
  <c r="C4019"/>
  <c r="G4019"/>
  <c r="E4019"/>
  <c r="B4019"/>
  <c r="A4019"/>
  <c r="W4018"/>
  <c r="S4018"/>
  <c r="Q4018"/>
  <c r="P4018"/>
  <c r="M4018"/>
  <c r="K4018"/>
  <c r="H4018"/>
  <c r="C4018"/>
  <c r="G4018"/>
  <c r="E4018"/>
  <c r="B4018"/>
  <c r="A4018"/>
  <c r="W4017"/>
  <c r="S4017"/>
  <c r="Q4017"/>
  <c r="P4017"/>
  <c r="M4017"/>
  <c r="K4017"/>
  <c r="H4017"/>
  <c r="C4017"/>
  <c r="G4017"/>
  <c r="E4017"/>
  <c r="B4017"/>
  <c r="A4017"/>
  <c r="W4016"/>
  <c r="S4016"/>
  <c r="Q4016"/>
  <c r="P4016"/>
  <c r="M4016"/>
  <c r="K4016"/>
  <c r="H4016"/>
  <c r="C4016"/>
  <c r="G4016"/>
  <c r="E4016"/>
  <c r="B4016"/>
  <c r="A4016"/>
  <c r="W4015"/>
  <c r="S4015"/>
  <c r="Q4015"/>
  <c r="P4015"/>
  <c r="M4015"/>
  <c r="K4015"/>
  <c r="H4015"/>
  <c r="C4015"/>
  <c r="G4015"/>
  <c r="E4015"/>
  <c r="B4015"/>
  <c r="A4015"/>
  <c r="W4014"/>
  <c r="S4014"/>
  <c r="Q4014"/>
  <c r="P4014"/>
  <c r="M4014"/>
  <c r="K4014"/>
  <c r="H4014"/>
  <c r="C4014"/>
  <c r="G4014"/>
  <c r="E4014"/>
  <c r="B4014"/>
  <c r="A4014"/>
  <c r="W4013"/>
  <c r="S4013"/>
  <c r="Q4013"/>
  <c r="P4013"/>
  <c r="M4013"/>
  <c r="K4013"/>
  <c r="H4013"/>
  <c r="C4013"/>
  <c r="G4013"/>
  <c r="E4013"/>
  <c r="B4013"/>
  <c r="A4013"/>
  <c r="W4012"/>
  <c r="S4012"/>
  <c r="Q4012"/>
  <c r="P4012"/>
  <c r="M4012"/>
  <c r="K4012"/>
  <c r="H4012"/>
  <c r="C4012"/>
  <c r="G4012"/>
  <c r="E4012"/>
  <c r="B4012"/>
  <c r="A4012"/>
  <c r="W4011"/>
  <c r="S4011"/>
  <c r="Q4011"/>
  <c r="P4011"/>
  <c r="M4011"/>
  <c r="K4011"/>
  <c r="H4011"/>
  <c r="C4011"/>
  <c r="G4011"/>
  <c r="E4011"/>
  <c r="B4011"/>
  <c r="A4011"/>
  <c r="W4010"/>
  <c r="S4010"/>
  <c r="R4010"/>
  <c r="Q4010"/>
  <c r="P4010"/>
  <c r="M4010"/>
  <c r="K4010"/>
  <c r="H4010"/>
  <c r="C4010"/>
  <c r="G4010"/>
  <c r="E4010"/>
  <c r="B4010"/>
  <c r="A4010"/>
  <c r="W4009"/>
  <c r="S4009"/>
  <c r="Q4009"/>
  <c r="P4009"/>
  <c r="M4009"/>
  <c r="K4009"/>
  <c r="H4009"/>
  <c r="C4009"/>
  <c r="G4009"/>
  <c r="E4009"/>
  <c r="B4009"/>
  <c r="A4009"/>
  <c r="W4008"/>
  <c r="S4008"/>
  <c r="Q4008"/>
  <c r="P4008"/>
  <c r="M4008"/>
  <c r="K4008"/>
  <c r="H4008"/>
  <c r="C4008"/>
  <c r="G4008"/>
  <c r="E4008"/>
  <c r="B4008"/>
  <c r="A4008"/>
  <c r="W4007"/>
  <c r="S4007"/>
  <c r="Q4007"/>
  <c r="P4007"/>
  <c r="M4007"/>
  <c r="K4007"/>
  <c r="H4007"/>
  <c r="C4007"/>
  <c r="G4007"/>
  <c r="E4007"/>
  <c r="B4007"/>
  <c r="A4007"/>
  <c r="W4006"/>
  <c r="S4006"/>
  <c r="Q4006"/>
  <c r="P4006"/>
  <c r="M4006"/>
  <c r="K4006"/>
  <c r="H4006"/>
  <c r="C4006"/>
  <c r="G4006"/>
  <c r="E4006"/>
  <c r="B4006"/>
  <c r="A4006"/>
  <c r="W4005"/>
  <c r="S4005"/>
  <c r="Q4005"/>
  <c r="P4005"/>
  <c r="M4005"/>
  <c r="K4005"/>
  <c r="H4005"/>
  <c r="C4005"/>
  <c r="G4005"/>
  <c r="E4005"/>
  <c r="B4005"/>
  <c r="A4005"/>
  <c r="W4004"/>
  <c r="S4004"/>
  <c r="Q4004"/>
  <c r="P4004"/>
  <c r="M4004"/>
  <c r="K4004"/>
  <c r="H4004"/>
  <c r="C4004"/>
  <c r="G4004"/>
  <c r="E4004"/>
  <c r="B4004"/>
  <c r="A4004"/>
  <c r="W4003"/>
  <c r="S4003"/>
  <c r="Q4003"/>
  <c r="P4003"/>
  <c r="M4003"/>
  <c r="K4003"/>
  <c r="H4003"/>
  <c r="C4003"/>
  <c r="G4003"/>
  <c r="E4003"/>
  <c r="B4003"/>
  <c r="A4003"/>
  <c r="W4002"/>
  <c r="S4002"/>
  <c r="Q4002"/>
  <c r="P4002"/>
  <c r="M4002"/>
  <c r="K4002"/>
  <c r="H4002"/>
  <c r="C4002"/>
  <c r="G4002"/>
  <c r="E4002"/>
  <c r="B4002"/>
  <c r="A4002"/>
  <c r="W4001"/>
  <c r="S4001"/>
  <c r="Q4001"/>
  <c r="P4001"/>
  <c r="M4001"/>
  <c r="K4001"/>
  <c r="H4001"/>
  <c r="C4001"/>
  <c r="G4001"/>
  <c r="E4001"/>
  <c r="B4001"/>
  <c r="A4001"/>
  <c r="W4000"/>
  <c r="S4000"/>
  <c r="Q4000"/>
  <c r="P4000"/>
  <c r="M4000"/>
  <c r="K4000"/>
  <c r="H4000"/>
  <c r="C4000"/>
  <c r="G4000"/>
  <c r="E4000"/>
  <c r="B4000"/>
  <c r="A4000"/>
  <c r="W3999"/>
  <c r="S3999"/>
  <c r="Q3999"/>
  <c r="P3999"/>
  <c r="M3999"/>
  <c r="K3999"/>
  <c r="H3999"/>
  <c r="C3999"/>
  <c r="G3999"/>
  <c r="E3999"/>
  <c r="B3999"/>
  <c r="A3999"/>
  <c r="W3998"/>
  <c r="S3998"/>
  <c r="Q3998"/>
  <c r="P3998"/>
  <c r="M3998"/>
  <c r="K3998"/>
  <c r="H3998"/>
  <c r="C3998"/>
  <c r="G3998"/>
  <c r="E3998"/>
  <c r="B3998"/>
  <c r="A3998"/>
  <c r="W3997"/>
  <c r="S3997"/>
  <c r="R3997"/>
  <c r="Q3997"/>
  <c r="P3997"/>
  <c r="M3997"/>
  <c r="K3997"/>
  <c r="H3997"/>
  <c r="C3997"/>
  <c r="G3997"/>
  <c r="E3997"/>
  <c r="B3997"/>
  <c r="A3997"/>
  <c r="W3996"/>
  <c r="S3996"/>
  <c r="Q3996"/>
  <c r="P3996"/>
  <c r="M3996"/>
  <c r="K3996"/>
  <c r="H3996"/>
  <c r="C3996"/>
  <c r="G3996"/>
  <c r="E3996"/>
  <c r="B3996"/>
  <c r="A3996"/>
  <c r="W3995"/>
  <c r="S3995"/>
  <c r="R3995"/>
  <c r="Q3995"/>
  <c r="P3995"/>
  <c r="M3995"/>
  <c r="K3995"/>
  <c r="H3995"/>
  <c r="C3995"/>
  <c r="G3995"/>
  <c r="E3995"/>
  <c r="B3995"/>
  <c r="A3995"/>
  <c r="W3994"/>
  <c r="S3994"/>
  <c r="Q3994"/>
  <c r="P3994"/>
  <c r="M3994"/>
  <c r="K3994"/>
  <c r="H3994"/>
  <c r="C3994"/>
  <c r="G3994"/>
  <c r="E3994"/>
  <c r="B3994"/>
  <c r="A3994"/>
  <c r="W3993"/>
  <c r="S3993"/>
  <c r="R3993"/>
  <c r="Q3993"/>
  <c r="P3993"/>
  <c r="M3993"/>
  <c r="K3993"/>
  <c r="H3993"/>
  <c r="C3993"/>
  <c r="G3993"/>
  <c r="E3993"/>
  <c r="B3993"/>
  <c r="A3993"/>
  <c r="W3992"/>
  <c r="S3992"/>
  <c r="Q3992"/>
  <c r="P3992"/>
  <c r="M3992"/>
  <c r="K3992"/>
  <c r="H3992"/>
  <c r="C3992"/>
  <c r="G3992"/>
  <c r="E3992"/>
  <c r="B3992"/>
  <c r="A3992"/>
  <c r="W3991"/>
  <c r="S3991"/>
  <c r="Q3991"/>
  <c r="P3991"/>
  <c r="M3991"/>
  <c r="K3991"/>
  <c r="H3991"/>
  <c r="C3991"/>
  <c r="G3991"/>
  <c r="E3991"/>
  <c r="B3991"/>
  <c r="A3991"/>
  <c r="W3990"/>
  <c r="S3990"/>
  <c r="Q3990"/>
  <c r="P3990"/>
  <c r="M3990"/>
  <c r="K3990"/>
  <c r="H3990"/>
  <c r="C3990"/>
  <c r="G3990"/>
  <c r="E3990"/>
  <c r="B3990"/>
  <c r="A3990"/>
  <c r="W3989"/>
  <c r="S3989"/>
  <c r="Q3989"/>
  <c r="P3989"/>
  <c r="M3989"/>
  <c r="K3989"/>
  <c r="H3989"/>
  <c r="C3989"/>
  <c r="G3989"/>
  <c r="E3989"/>
  <c r="B3989"/>
  <c r="A3989"/>
  <c r="W3988"/>
  <c r="S3988"/>
  <c r="Q3988"/>
  <c r="P3988"/>
  <c r="M3988"/>
  <c r="K3988"/>
  <c r="H3988"/>
  <c r="C3988"/>
  <c r="G3988"/>
  <c r="E3988"/>
  <c r="B3988"/>
  <c r="A3988"/>
  <c r="W3987"/>
  <c r="S3987"/>
  <c r="Q3987"/>
  <c r="P3987"/>
  <c r="M3987"/>
  <c r="K3987"/>
  <c r="H3987"/>
  <c r="C3987"/>
  <c r="G3987"/>
  <c r="E3987"/>
  <c r="B3987"/>
  <c r="A3987"/>
  <c r="W3986"/>
  <c r="S3986"/>
  <c r="Q3986"/>
  <c r="P3986"/>
  <c r="M3986"/>
  <c r="K3986"/>
  <c r="H3986"/>
  <c r="C3986"/>
  <c r="G3986"/>
  <c r="E3986"/>
  <c r="B3986"/>
  <c r="A3986"/>
  <c r="W3985"/>
  <c r="S3985"/>
  <c r="Q3985"/>
  <c r="P3985"/>
  <c r="M3985"/>
  <c r="K3985"/>
  <c r="H3985"/>
  <c r="C3985"/>
  <c r="G3985"/>
  <c r="E3985"/>
  <c r="B3985"/>
  <c r="A3985"/>
  <c r="W3984"/>
  <c r="S3984"/>
  <c r="Q3984"/>
  <c r="P3984"/>
  <c r="M3984"/>
  <c r="K3984"/>
  <c r="H3984"/>
  <c r="C3984"/>
  <c r="G3984"/>
  <c r="E3984"/>
  <c r="B3984"/>
  <c r="A3984"/>
  <c r="W3983"/>
  <c r="S3983"/>
  <c r="Q3983"/>
  <c r="P3983"/>
  <c r="M3983"/>
  <c r="K3983"/>
  <c r="H3983"/>
  <c r="C3983"/>
  <c r="G3983"/>
  <c r="E3983"/>
  <c r="B3983"/>
  <c r="A3983"/>
  <c r="W3982"/>
  <c r="S3982"/>
  <c r="Q3982"/>
  <c r="P3982"/>
  <c r="M3982"/>
  <c r="K3982"/>
  <c r="H3982"/>
  <c r="C3982"/>
  <c r="G3982"/>
  <c r="E3982"/>
  <c r="B3982"/>
  <c r="A3982"/>
  <c r="W3981"/>
  <c r="S3981"/>
  <c r="Q3981"/>
  <c r="P3981"/>
  <c r="M3981"/>
  <c r="K3981"/>
  <c r="H3981"/>
  <c r="C3981"/>
  <c r="G3981"/>
  <c r="E3981"/>
  <c r="B3981"/>
  <c r="A3981"/>
  <c r="W3980"/>
  <c r="S3980"/>
  <c r="Q3980"/>
  <c r="P3980"/>
  <c r="M3980"/>
  <c r="K3980"/>
  <c r="H3980"/>
  <c r="C3980"/>
  <c r="G3980"/>
  <c r="E3980"/>
  <c r="B3980"/>
  <c r="A3980"/>
  <c r="W3979"/>
  <c r="S3979"/>
  <c r="Q3979"/>
  <c r="P3979"/>
  <c r="M3979"/>
  <c r="K3979"/>
  <c r="H3979"/>
  <c r="C3979"/>
  <c r="G3979"/>
  <c r="E3979"/>
  <c r="B3979"/>
  <c r="A3979"/>
  <c r="W3978"/>
  <c r="S3978"/>
  <c r="Q3978"/>
  <c r="P3978"/>
  <c r="M3978"/>
  <c r="K3978"/>
  <c r="H3978"/>
  <c r="C3978"/>
  <c r="G3978"/>
  <c r="E3978"/>
  <c r="B3978"/>
  <c r="A3978"/>
  <c r="W3977"/>
  <c r="S3977"/>
  <c r="R3977"/>
  <c r="Q3977"/>
  <c r="P3977"/>
  <c r="M3977"/>
  <c r="K3977"/>
  <c r="H3977"/>
  <c r="C3977"/>
  <c r="G3977"/>
  <c r="E3977"/>
  <c r="B3977"/>
  <c r="A3977"/>
  <c r="W3976"/>
  <c r="S3976"/>
  <c r="Q3976"/>
  <c r="P3976"/>
  <c r="M3976"/>
  <c r="K3976"/>
  <c r="H3976"/>
  <c r="C3976"/>
  <c r="G3976"/>
  <c r="E3976"/>
  <c r="B3976"/>
  <c r="A3976"/>
  <c r="W3975"/>
  <c r="S3975"/>
  <c r="R3975"/>
  <c r="Q3975"/>
  <c r="P3975"/>
  <c r="M3975"/>
  <c r="K3975"/>
  <c r="H3975"/>
  <c r="C3975"/>
  <c r="G3975"/>
  <c r="E3975"/>
  <c r="B3975"/>
  <c r="A3975"/>
  <c r="W3974"/>
  <c r="S3974"/>
  <c r="Q3974"/>
  <c r="P3974"/>
  <c r="M3974"/>
  <c r="K3974"/>
  <c r="H3974"/>
  <c r="C3974"/>
  <c r="G3974"/>
  <c r="E3974"/>
  <c r="B3974"/>
  <c r="A3974"/>
  <c r="W3973"/>
  <c r="S3973"/>
  <c r="Q3973"/>
  <c r="P3973"/>
  <c r="M3973"/>
  <c r="K3973"/>
  <c r="H3973"/>
  <c r="C3973"/>
  <c r="G3973"/>
  <c r="E3973"/>
  <c r="B3973"/>
  <c r="A3973"/>
  <c r="W3972"/>
  <c r="S3972"/>
  <c r="Q3972"/>
  <c r="P3972"/>
  <c r="M3972"/>
  <c r="K3972"/>
  <c r="H3972"/>
  <c r="C3972"/>
  <c r="G3972"/>
  <c r="E3972"/>
  <c r="B3972"/>
  <c r="A3972"/>
  <c r="W3971"/>
  <c r="S3971"/>
  <c r="Q3971"/>
  <c r="P3971"/>
  <c r="M3971"/>
  <c r="K3971"/>
  <c r="H3971"/>
  <c r="C3971"/>
  <c r="G3971"/>
  <c r="E3971"/>
  <c r="B3971"/>
  <c r="A3971"/>
  <c r="W3970"/>
  <c r="S3970"/>
  <c r="Q3970"/>
  <c r="P3970"/>
  <c r="M3970"/>
  <c r="K3970"/>
  <c r="H3970"/>
  <c r="C3970"/>
  <c r="G3970"/>
  <c r="E3970"/>
  <c r="B3970"/>
  <c r="A3970"/>
  <c r="W3969"/>
  <c r="S3969"/>
  <c r="Q3969"/>
  <c r="P3969"/>
  <c r="M3969"/>
  <c r="K3969"/>
  <c r="H3969"/>
  <c r="C3969"/>
  <c r="G3969"/>
  <c r="E3969"/>
  <c r="B3969"/>
  <c r="A3969"/>
  <c r="W3968"/>
  <c r="S3968"/>
  <c r="Q3968"/>
  <c r="P3968"/>
  <c r="M3968"/>
  <c r="K3968"/>
  <c r="H3968"/>
  <c r="C3968"/>
  <c r="G3968"/>
  <c r="E3968"/>
  <c r="B3968"/>
  <c r="A3968"/>
  <c r="W3967"/>
  <c r="S3967"/>
  <c r="Q3967"/>
  <c r="P3967"/>
  <c r="M3967"/>
  <c r="K3967"/>
  <c r="H3967"/>
  <c r="C3967"/>
  <c r="G3967"/>
  <c r="E3967"/>
  <c r="B3967"/>
  <c r="A3967"/>
  <c r="W3966"/>
  <c r="S3966"/>
  <c r="Q3966"/>
  <c r="P3966"/>
  <c r="M3966"/>
  <c r="K3966"/>
  <c r="H3966"/>
  <c r="C3966"/>
  <c r="G3966"/>
  <c r="E3966"/>
  <c r="B3966"/>
  <c r="A3966"/>
  <c r="W3965"/>
  <c r="S3965"/>
  <c r="Q3965"/>
  <c r="P3965"/>
  <c r="M3965"/>
  <c r="K3965"/>
  <c r="H3965"/>
  <c r="C3965"/>
  <c r="G3965"/>
  <c r="E3965"/>
  <c r="B3965"/>
  <c r="A3965"/>
  <c r="W3964"/>
  <c r="S3964"/>
  <c r="Q3964"/>
  <c r="P3964"/>
  <c r="M3964"/>
  <c r="K3964"/>
  <c r="H3964"/>
  <c r="C3964"/>
  <c r="G3964"/>
  <c r="E3964"/>
  <c r="B3964"/>
  <c r="A3964"/>
  <c r="W3963"/>
  <c r="S3963"/>
  <c r="Q3963"/>
  <c r="P3963"/>
  <c r="M3963"/>
  <c r="K3963"/>
  <c r="H3963"/>
  <c r="C3963"/>
  <c r="G3963"/>
  <c r="E3963"/>
  <c r="B3963"/>
  <c r="A3963"/>
  <c r="W3962"/>
  <c r="S3962"/>
  <c r="Q3962"/>
  <c r="P3962"/>
  <c r="M3962"/>
  <c r="K3962"/>
  <c r="H3962"/>
  <c r="C3962"/>
  <c r="G3962"/>
  <c r="E3962"/>
  <c r="B3962"/>
  <c r="A3962"/>
  <c r="W3961"/>
  <c r="S3961"/>
  <c r="Q3961"/>
  <c r="P3961"/>
  <c r="M3961"/>
  <c r="K3961"/>
  <c r="H3961"/>
  <c r="C3961"/>
  <c r="G3961"/>
  <c r="E3961"/>
  <c r="B3961"/>
  <c r="A3961"/>
  <c r="W3960"/>
  <c r="S3960"/>
  <c r="Q3960"/>
  <c r="P3960"/>
  <c r="M3960"/>
  <c r="K3960"/>
  <c r="H3960"/>
  <c r="C3960"/>
  <c r="G3960"/>
  <c r="E3960"/>
  <c r="B3960"/>
  <c r="A3960"/>
  <c r="W3959"/>
  <c r="S3959"/>
  <c r="R3959"/>
  <c r="Q3959"/>
  <c r="P3959"/>
  <c r="M3959"/>
  <c r="K3959"/>
  <c r="H3959"/>
  <c r="C3959"/>
  <c r="G3959"/>
  <c r="E3959"/>
  <c r="B3959"/>
  <c r="A3959"/>
  <c r="W3958"/>
  <c r="S3958"/>
  <c r="Q3958"/>
  <c r="P3958"/>
  <c r="M3958"/>
  <c r="K3958"/>
  <c r="H3958"/>
  <c r="C3958"/>
  <c r="G3958"/>
  <c r="E3958"/>
  <c r="B3958"/>
  <c r="A3958"/>
  <c r="W3957"/>
  <c r="S3957"/>
  <c r="Q3957"/>
  <c r="P3957"/>
  <c r="M3957"/>
  <c r="K3957"/>
  <c r="H3957"/>
  <c r="C3957"/>
  <c r="G3957"/>
  <c r="E3957"/>
  <c r="B3957"/>
  <c r="A3957"/>
  <c r="W3956"/>
  <c r="S3956"/>
  <c r="Q3956"/>
  <c r="P3956"/>
  <c r="M3956"/>
  <c r="K3956"/>
  <c r="H3956"/>
  <c r="C3956"/>
  <c r="G3956"/>
  <c r="E3956"/>
  <c r="B3956"/>
  <c r="A3956"/>
  <c r="W3955"/>
  <c r="S3955"/>
  <c r="Q3955"/>
  <c r="P3955"/>
  <c r="M3955"/>
  <c r="K3955"/>
  <c r="H3955"/>
  <c r="C3955"/>
  <c r="G3955"/>
  <c r="E3955"/>
  <c r="B3955"/>
  <c r="A3955"/>
  <c r="W3954"/>
  <c r="S3954"/>
  <c r="Q3954"/>
  <c r="P3954"/>
  <c r="M3954"/>
  <c r="K3954"/>
  <c r="H3954"/>
  <c r="C3954"/>
  <c r="G3954"/>
  <c r="E3954"/>
  <c r="B3954"/>
  <c r="A3954"/>
  <c r="W3953"/>
  <c r="S3953"/>
  <c r="Q3953"/>
  <c r="P3953"/>
  <c r="M3953"/>
  <c r="K3953"/>
  <c r="H3953"/>
  <c r="C3953"/>
  <c r="G3953"/>
  <c r="E3953"/>
  <c r="B3953"/>
  <c r="A3953"/>
  <c r="W3952"/>
  <c r="S3952"/>
  <c r="Q3952"/>
  <c r="P3952"/>
  <c r="M3952"/>
  <c r="K3952"/>
  <c r="H3952"/>
  <c r="C3952"/>
  <c r="G3952"/>
  <c r="E3952"/>
  <c r="B3952"/>
  <c r="A3952"/>
  <c r="W3951"/>
  <c r="S3951"/>
  <c r="Q3951"/>
  <c r="P3951"/>
  <c r="M3951"/>
  <c r="K3951"/>
  <c r="H3951"/>
  <c r="C3951"/>
  <c r="G3951"/>
  <c r="E3951"/>
  <c r="B3951"/>
  <c r="A3951"/>
  <c r="W3950"/>
  <c r="S3950"/>
  <c r="Q3950"/>
  <c r="P3950"/>
  <c r="M3950"/>
  <c r="K3950"/>
  <c r="H3950"/>
  <c r="C3950"/>
  <c r="G3950"/>
  <c r="E3950"/>
  <c r="B3950"/>
  <c r="A3950"/>
  <c r="W3949"/>
  <c r="S3949"/>
  <c r="Q3949"/>
  <c r="P3949"/>
  <c r="M3949"/>
  <c r="K3949"/>
  <c r="H3949"/>
  <c r="C3949"/>
  <c r="G3949"/>
  <c r="E3949"/>
  <c r="B3949"/>
  <c r="A3949"/>
  <c r="W3948"/>
  <c r="S3948"/>
  <c r="Q3948"/>
  <c r="P3948"/>
  <c r="M3948"/>
  <c r="K3948"/>
  <c r="H3948"/>
  <c r="C3948"/>
  <c r="G3948"/>
  <c r="E3948"/>
  <c r="B3948"/>
  <c r="A3948"/>
  <c r="W3947"/>
  <c r="S3947"/>
  <c r="Q3947"/>
  <c r="P3947"/>
  <c r="M3947"/>
  <c r="K3947"/>
  <c r="H3947"/>
  <c r="C3947"/>
  <c r="G3947"/>
  <c r="E3947"/>
  <c r="B3947"/>
  <c r="A3947"/>
  <c r="W3946"/>
  <c r="S3946"/>
  <c r="Q3946"/>
  <c r="P3946"/>
  <c r="M3946"/>
  <c r="K3946"/>
  <c r="H3946"/>
  <c r="C3946"/>
  <c r="G3946"/>
  <c r="E3946"/>
  <c r="B3946"/>
  <c r="A3946"/>
  <c r="W3945"/>
  <c r="S3945"/>
  <c r="Q3945"/>
  <c r="P3945"/>
  <c r="M3945"/>
  <c r="K3945"/>
  <c r="H3945"/>
  <c r="C3945"/>
  <c r="G3945"/>
  <c r="E3945"/>
  <c r="B3945"/>
  <c r="A3945"/>
  <c r="W3944"/>
  <c r="S3944"/>
  <c r="R3944"/>
  <c r="Q3944"/>
  <c r="P3944"/>
  <c r="M3944"/>
  <c r="K3944"/>
  <c r="H3944"/>
  <c r="C3944"/>
  <c r="G3944"/>
  <c r="E3944"/>
  <c r="B3944"/>
  <c r="A3944"/>
  <c r="W3943"/>
  <c r="S3943"/>
  <c r="Q3943"/>
  <c r="P3943"/>
  <c r="M3943"/>
  <c r="K3943"/>
  <c r="H3943"/>
  <c r="C3943"/>
  <c r="G3943"/>
  <c r="E3943"/>
  <c r="B3943"/>
  <c r="A3943"/>
  <c r="W3942"/>
  <c r="S3942"/>
  <c r="Q3942"/>
  <c r="P3942"/>
  <c r="M3942"/>
  <c r="K3942"/>
  <c r="H3942"/>
  <c r="C3942"/>
  <c r="G3942"/>
  <c r="E3942"/>
  <c r="B3942"/>
  <c r="A3942"/>
  <c r="W3941"/>
  <c r="S3941"/>
  <c r="Q3941"/>
  <c r="P3941"/>
  <c r="M3941"/>
  <c r="K3941"/>
  <c r="H3941"/>
  <c r="C3941"/>
  <c r="G3941"/>
  <c r="E3941"/>
  <c r="B3941"/>
  <c r="A3941"/>
  <c r="W3940"/>
  <c r="S3940"/>
  <c r="Q3940"/>
  <c r="P3940"/>
  <c r="M3940"/>
  <c r="K3940"/>
  <c r="H3940"/>
  <c r="C3940"/>
  <c r="G3940"/>
  <c r="E3940"/>
  <c r="B3940"/>
  <c r="A3940"/>
  <c r="W3939"/>
  <c r="S3939"/>
  <c r="Q3939"/>
  <c r="P3939"/>
  <c r="M3939"/>
  <c r="K3939"/>
  <c r="H3939"/>
  <c r="C3939"/>
  <c r="G3939"/>
  <c r="E3939"/>
  <c r="B3939"/>
  <c r="A3939"/>
  <c r="W3938"/>
  <c r="S3938"/>
  <c r="Q3938"/>
  <c r="P3938"/>
  <c r="M3938"/>
  <c r="K3938"/>
  <c r="H3938"/>
  <c r="C3938"/>
  <c r="G3938"/>
  <c r="E3938"/>
  <c r="B3938"/>
  <c r="A3938"/>
  <c r="W3937"/>
  <c r="S3937"/>
  <c r="Q3937"/>
  <c r="P3937"/>
  <c r="M3937"/>
  <c r="K3937"/>
  <c r="H3937"/>
  <c r="C3937"/>
  <c r="G3937"/>
  <c r="E3937"/>
  <c r="B3937"/>
  <c r="A3937"/>
  <c r="W3936"/>
  <c r="S3936"/>
  <c r="Q3936"/>
  <c r="P3936"/>
  <c r="M3936"/>
  <c r="K3936"/>
  <c r="H3936"/>
  <c r="C3936"/>
  <c r="G3936"/>
  <c r="E3936"/>
  <c r="B3936"/>
  <c r="A3936"/>
  <c r="W3935"/>
  <c r="S3935"/>
  <c r="Q3935"/>
  <c r="P3935"/>
  <c r="M3935"/>
  <c r="K3935"/>
  <c r="H3935"/>
  <c r="C3935"/>
  <c r="G3935"/>
  <c r="E3935"/>
  <c r="B3935"/>
  <c r="A3935"/>
  <c r="W3934"/>
  <c r="S3934"/>
  <c r="R3934"/>
  <c r="Q3934"/>
  <c r="P3934"/>
  <c r="M3934"/>
  <c r="K3934"/>
  <c r="H3934"/>
  <c r="C3934"/>
  <c r="G3934"/>
  <c r="E3934"/>
  <c r="B3934"/>
  <c r="A3934"/>
  <c r="W3933"/>
  <c r="S3933"/>
  <c r="Q3933"/>
  <c r="P3933"/>
  <c r="M3933"/>
  <c r="K3933"/>
  <c r="H3933"/>
  <c r="C3933"/>
  <c r="G3933"/>
  <c r="E3933"/>
  <c r="B3933"/>
  <c r="A3933"/>
  <c r="W3932"/>
  <c r="S3932"/>
  <c r="Q3932"/>
  <c r="P3932"/>
  <c r="M3932"/>
  <c r="K3932"/>
  <c r="H3932"/>
  <c r="C3932"/>
  <c r="G3932"/>
  <c r="E3932"/>
  <c r="B3932"/>
  <c r="A3932"/>
  <c r="W3931"/>
  <c r="S3931"/>
  <c r="Q3931"/>
  <c r="P3931"/>
  <c r="M3931"/>
  <c r="K3931"/>
  <c r="H3931"/>
  <c r="C3931"/>
  <c r="G3931"/>
  <c r="E3931"/>
  <c r="B3931"/>
  <c r="A3931"/>
  <c r="W3930"/>
  <c r="S3930"/>
  <c r="Q3930"/>
  <c r="P3930"/>
  <c r="M3930"/>
  <c r="K3930"/>
  <c r="H3930"/>
  <c r="C3930"/>
  <c r="G3930"/>
  <c r="E3930"/>
  <c r="B3930"/>
  <c r="A3930"/>
  <c r="W3929"/>
  <c r="S3929"/>
  <c r="Q3929"/>
  <c r="P3929"/>
  <c r="M3929"/>
  <c r="K3929"/>
  <c r="H3929"/>
  <c r="C3929"/>
  <c r="G3929"/>
  <c r="E3929"/>
  <c r="B3929"/>
  <c r="A3929"/>
  <c r="W3928"/>
  <c r="S3928"/>
  <c r="Q3928"/>
  <c r="P3928"/>
  <c r="M3928"/>
  <c r="K3928"/>
  <c r="H3928"/>
  <c r="C3928"/>
  <c r="G3928"/>
  <c r="E3928"/>
  <c r="B3928"/>
  <c r="A3928"/>
  <c r="W3927"/>
  <c r="S3927"/>
  <c r="Q3927"/>
  <c r="P3927"/>
  <c r="M3927"/>
  <c r="K3927"/>
  <c r="H3927"/>
  <c r="C3927"/>
  <c r="G3927"/>
  <c r="E3927"/>
  <c r="B3927"/>
  <c r="A3927"/>
  <c r="W3926"/>
  <c r="S3926"/>
  <c r="Q3926"/>
  <c r="P3926"/>
  <c r="M3926"/>
  <c r="K3926"/>
  <c r="H3926"/>
  <c r="C3926"/>
  <c r="G3926"/>
  <c r="E3926"/>
  <c r="B3926"/>
  <c r="A3926"/>
  <c r="W3925"/>
  <c r="S3925"/>
  <c r="Q3925"/>
  <c r="P3925"/>
  <c r="M3925"/>
  <c r="K3925"/>
  <c r="H3925"/>
  <c r="C3925"/>
  <c r="G3925"/>
  <c r="E3925"/>
  <c r="B3925"/>
  <c r="A3925"/>
  <c r="W3924"/>
  <c r="S3924"/>
  <c r="Q3924"/>
  <c r="P3924"/>
  <c r="M3924"/>
  <c r="K3924"/>
  <c r="H3924"/>
  <c r="C3924"/>
  <c r="G3924"/>
  <c r="E3924"/>
  <c r="B3924"/>
  <c r="A3924"/>
  <c r="W3923"/>
  <c r="S3923"/>
  <c r="Q3923"/>
  <c r="P3923"/>
  <c r="M3923"/>
  <c r="K3923"/>
  <c r="H3923"/>
  <c r="C3923"/>
  <c r="G3923"/>
  <c r="E3923"/>
  <c r="B3923"/>
  <c r="A3923"/>
  <c r="W3922"/>
  <c r="S3922"/>
  <c r="Q3922"/>
  <c r="P3922"/>
  <c r="M3922"/>
  <c r="K3922"/>
  <c r="H3922"/>
  <c r="C3922"/>
  <c r="G3922"/>
  <c r="E3922"/>
  <c r="B3922"/>
  <c r="A3922"/>
  <c r="W3921"/>
  <c r="S3921"/>
  <c r="Q3921"/>
  <c r="P3921"/>
  <c r="M3921"/>
  <c r="K3921"/>
  <c r="H3921"/>
  <c r="C3921"/>
  <c r="G3921"/>
  <c r="E3921"/>
  <c r="B3921"/>
  <c r="A3921"/>
  <c r="W3920"/>
  <c r="S3920"/>
  <c r="Q3920"/>
  <c r="P3920"/>
  <c r="M3920"/>
  <c r="K3920"/>
  <c r="H3920"/>
  <c r="C3920"/>
  <c r="G3920"/>
  <c r="E3920"/>
  <c r="B3920"/>
  <c r="A3920"/>
  <c r="W3919"/>
  <c r="S3919"/>
  <c r="Q3919"/>
  <c r="P3919"/>
  <c r="M3919"/>
  <c r="K3919"/>
  <c r="H3919"/>
  <c r="C3919"/>
  <c r="G3919"/>
  <c r="E3919"/>
  <c r="B3919"/>
  <c r="A3919"/>
  <c r="W3918"/>
  <c r="S3918"/>
  <c r="Q3918"/>
  <c r="P3918"/>
  <c r="M3918"/>
  <c r="K3918"/>
  <c r="H3918"/>
  <c r="C3918"/>
  <c r="G3918"/>
  <c r="E3918"/>
  <c r="B3918"/>
  <c r="A3918"/>
  <c r="W3917"/>
  <c r="S3917"/>
  <c r="Q3917"/>
  <c r="P3917"/>
  <c r="M3917"/>
  <c r="K3917"/>
  <c r="H3917"/>
  <c r="C3917"/>
  <c r="G3917"/>
  <c r="E3917"/>
  <c r="B3917"/>
  <c r="A3917"/>
  <c r="W3916"/>
  <c r="S3916"/>
  <c r="Q3916"/>
  <c r="P3916"/>
  <c r="M3916"/>
  <c r="K3916"/>
  <c r="H3916"/>
  <c r="C3916"/>
  <c r="G3916"/>
  <c r="E3916"/>
  <c r="B3916"/>
  <c r="A3916"/>
  <c r="W3915"/>
  <c r="S3915"/>
  <c r="Q3915"/>
  <c r="P3915"/>
  <c r="M3915"/>
  <c r="K3915"/>
  <c r="H3915"/>
  <c r="C3915"/>
  <c r="G3915"/>
  <c r="E3915"/>
  <c r="B3915"/>
  <c r="A3915"/>
  <c r="W3914"/>
  <c r="S3914"/>
  <c r="R3914"/>
  <c r="Q3914"/>
  <c r="P3914"/>
  <c r="M3914"/>
  <c r="K3914"/>
  <c r="H3914"/>
  <c r="C3914"/>
  <c r="G3914"/>
  <c r="E3914"/>
  <c r="B3914"/>
  <c r="A3914"/>
  <c r="W3913"/>
  <c r="S3913"/>
  <c r="Q3913"/>
  <c r="P3913"/>
  <c r="M3913"/>
  <c r="K3913"/>
  <c r="H3913"/>
  <c r="C3913"/>
  <c r="G3913"/>
  <c r="E3913"/>
  <c r="B3913"/>
  <c r="A3913"/>
  <c r="W3912"/>
  <c r="S3912"/>
  <c r="Q3912"/>
  <c r="P3912"/>
  <c r="M3912"/>
  <c r="K3912"/>
  <c r="H3912"/>
  <c r="C3912"/>
  <c r="G3912"/>
  <c r="E3912"/>
  <c r="B3912"/>
  <c r="A3912"/>
  <c r="W3911"/>
  <c r="S3911"/>
  <c r="Q3911"/>
  <c r="P3911"/>
  <c r="M3911"/>
  <c r="K3911"/>
  <c r="H3911"/>
  <c r="C3911"/>
  <c r="G3911"/>
  <c r="E3911"/>
  <c r="B3911"/>
  <c r="A3911"/>
  <c r="W3910"/>
  <c r="S3910"/>
  <c r="Q3910"/>
  <c r="P3910"/>
  <c r="M3910"/>
  <c r="K3910"/>
  <c r="H3910"/>
  <c r="C3910"/>
  <c r="G3910"/>
  <c r="E3910"/>
  <c r="B3910"/>
  <c r="A3910"/>
  <c r="W3909"/>
  <c r="S3909"/>
  <c r="Q3909"/>
  <c r="P3909"/>
  <c r="M3909"/>
  <c r="K3909"/>
  <c r="H3909"/>
  <c r="C3909"/>
  <c r="G3909"/>
  <c r="E3909"/>
  <c r="B3909"/>
  <c r="A3909"/>
  <c r="W3908"/>
  <c r="S3908"/>
  <c r="Q3908"/>
  <c r="P3908"/>
  <c r="M3908"/>
  <c r="K3908"/>
  <c r="H3908"/>
  <c r="C3908"/>
  <c r="G3908"/>
  <c r="E3908"/>
  <c r="B3908"/>
  <c r="A3908"/>
  <c r="W3907"/>
  <c r="S3907"/>
  <c r="Q3907"/>
  <c r="P3907"/>
  <c r="M3907"/>
  <c r="K3907"/>
  <c r="H3907"/>
  <c r="C3907"/>
  <c r="G3907"/>
  <c r="E3907"/>
  <c r="B3907"/>
  <c r="A3907"/>
  <c r="W3906"/>
  <c r="S3906"/>
  <c r="Q3906"/>
  <c r="P3906"/>
  <c r="M3906"/>
  <c r="K3906"/>
  <c r="H3906"/>
  <c r="C3906"/>
  <c r="G3906"/>
  <c r="E3906"/>
  <c r="B3906"/>
  <c r="A3906"/>
  <c r="W3905"/>
  <c r="S3905"/>
  <c r="Q3905"/>
  <c r="P3905"/>
  <c r="M3905"/>
  <c r="K3905"/>
  <c r="H3905"/>
  <c r="C3905"/>
  <c r="G3905"/>
  <c r="E3905"/>
  <c r="B3905"/>
  <c r="A3905"/>
  <c r="W3904"/>
  <c r="S3904"/>
  <c r="Q3904"/>
  <c r="P3904"/>
  <c r="M3904"/>
  <c r="K3904"/>
  <c r="H3904"/>
  <c r="C3904"/>
  <c r="G3904"/>
  <c r="E3904"/>
  <c r="B3904"/>
  <c r="A3904"/>
  <c r="W3903"/>
  <c r="S3903"/>
  <c r="Q3903"/>
  <c r="P3903"/>
  <c r="M3903"/>
  <c r="K3903"/>
  <c r="H3903"/>
  <c r="C3903"/>
  <c r="G3903"/>
  <c r="E3903"/>
  <c r="B3903"/>
  <c r="A3903"/>
  <c r="W3902"/>
  <c r="S3902"/>
  <c r="Q3902"/>
  <c r="P3902"/>
  <c r="M3902"/>
  <c r="K3902"/>
  <c r="H3902"/>
  <c r="C3902"/>
  <c r="G3902"/>
  <c r="E3902"/>
  <c r="B3902"/>
  <c r="A3902"/>
  <c r="W3901"/>
  <c r="S3901"/>
  <c r="Q3901"/>
  <c r="P3901"/>
  <c r="M3901"/>
  <c r="K3901"/>
  <c r="H3901"/>
  <c r="C3901"/>
  <c r="G3901"/>
  <c r="E3901"/>
  <c r="B3901"/>
  <c r="A3901"/>
  <c r="W3900"/>
  <c r="S3900"/>
  <c r="Q3900"/>
  <c r="P3900"/>
  <c r="M3900"/>
  <c r="K3900"/>
  <c r="H3900"/>
  <c r="C3900"/>
  <c r="G3900"/>
  <c r="E3900"/>
  <c r="B3900"/>
  <c r="A3900"/>
  <c r="W3899"/>
  <c r="S3899"/>
  <c r="Q3899"/>
  <c r="P3899"/>
  <c r="M3899"/>
  <c r="K3899"/>
  <c r="H3899"/>
  <c r="C3899"/>
  <c r="G3899"/>
  <c r="E3899"/>
  <c r="B3899"/>
  <c r="A3899"/>
  <c r="W3898"/>
  <c r="S3898"/>
  <c r="Q3898"/>
  <c r="P3898"/>
  <c r="M3898"/>
  <c r="K3898"/>
  <c r="H3898"/>
  <c r="C3898"/>
  <c r="G3898"/>
  <c r="E3898"/>
  <c r="B3898"/>
  <c r="A3898"/>
  <c r="W3897"/>
  <c r="S3897"/>
  <c r="Q3897"/>
  <c r="P3897"/>
  <c r="M3897"/>
  <c r="K3897"/>
  <c r="H3897"/>
  <c r="C3897"/>
  <c r="G3897"/>
  <c r="E3897"/>
  <c r="B3897"/>
  <c r="A3897"/>
  <c r="W3896"/>
  <c r="S3896"/>
  <c r="Q3896"/>
  <c r="P3896"/>
  <c r="M3896"/>
  <c r="K3896"/>
  <c r="H3896"/>
  <c r="C3896"/>
  <c r="G3896"/>
  <c r="E3896"/>
  <c r="B3896"/>
  <c r="A3896"/>
  <c r="W3895"/>
  <c r="S3895"/>
  <c r="Q3895"/>
  <c r="P3895"/>
  <c r="M3895"/>
  <c r="K3895"/>
  <c r="H3895"/>
  <c r="C3895"/>
  <c r="G3895"/>
  <c r="E3895"/>
  <c r="B3895"/>
  <c r="A3895"/>
  <c r="W3894"/>
  <c r="S3894"/>
  <c r="Q3894"/>
  <c r="P3894"/>
  <c r="M3894"/>
  <c r="K3894"/>
  <c r="H3894"/>
  <c r="C3894"/>
  <c r="G3894"/>
  <c r="E3894"/>
  <c r="B3894"/>
  <c r="A3894"/>
  <c r="W3893"/>
  <c r="S3893"/>
  <c r="Q3893"/>
  <c r="P3893"/>
  <c r="M3893"/>
  <c r="K3893"/>
  <c r="H3893"/>
  <c r="C3893"/>
  <c r="G3893"/>
  <c r="E3893"/>
  <c r="B3893"/>
  <c r="A3893"/>
  <c r="W3892"/>
  <c r="S3892"/>
  <c r="Q3892"/>
  <c r="P3892"/>
  <c r="M3892"/>
  <c r="K3892"/>
  <c r="H3892"/>
  <c r="C3892"/>
  <c r="G3892"/>
  <c r="E3892"/>
  <c r="B3892"/>
  <c r="A3892"/>
  <c r="W3891"/>
  <c r="S3891"/>
  <c r="Q3891"/>
  <c r="P3891"/>
  <c r="M3891"/>
  <c r="K3891"/>
  <c r="H3891"/>
  <c r="C3891"/>
  <c r="G3891"/>
  <c r="E3891"/>
  <c r="B3891"/>
  <c r="A3891"/>
  <c r="W3890"/>
  <c r="S3890"/>
  <c r="Q3890"/>
  <c r="P3890"/>
  <c r="M3890"/>
  <c r="K3890"/>
  <c r="H3890"/>
  <c r="C3890"/>
  <c r="G3890"/>
  <c r="E3890"/>
  <c r="B3890"/>
  <c r="A3890"/>
  <c r="W3889"/>
  <c r="S3889"/>
  <c r="Q3889"/>
  <c r="P3889"/>
  <c r="M3889"/>
  <c r="K3889"/>
  <c r="H3889"/>
  <c r="C3889"/>
  <c r="G3889"/>
  <c r="E3889"/>
  <c r="B3889"/>
  <c r="A3889"/>
  <c r="W3888"/>
  <c r="S3888"/>
  <c r="Q3888"/>
  <c r="P3888"/>
  <c r="M3888"/>
  <c r="K3888"/>
  <c r="H3888"/>
  <c r="C3888"/>
  <c r="G3888"/>
  <c r="E3888"/>
  <c r="B3888"/>
  <c r="A3888"/>
  <c r="W3887"/>
  <c r="S3887"/>
  <c r="Q3887"/>
  <c r="P3887"/>
  <c r="M3887"/>
  <c r="K3887"/>
  <c r="H3887"/>
  <c r="C3887"/>
  <c r="G3887"/>
  <c r="E3887"/>
  <c r="B3887"/>
  <c r="A3887"/>
  <c r="W3886"/>
  <c r="S3886"/>
  <c r="Q3886"/>
  <c r="P3886"/>
  <c r="M3886"/>
  <c r="K3886"/>
  <c r="H3886"/>
  <c r="C3886"/>
  <c r="G3886"/>
  <c r="E3886"/>
  <c r="B3886"/>
  <c r="A3886"/>
  <c r="W3885"/>
  <c r="S3885"/>
  <c r="Q3885"/>
  <c r="P3885"/>
  <c r="M3885"/>
  <c r="K3885"/>
  <c r="H3885"/>
  <c r="C3885"/>
  <c r="G3885"/>
  <c r="E3885"/>
  <c r="B3885"/>
  <c r="A3885"/>
  <c r="W3884"/>
  <c r="S3884"/>
  <c r="Q3884"/>
  <c r="P3884"/>
  <c r="M3884"/>
  <c r="K3884"/>
  <c r="H3884"/>
  <c r="C3884"/>
  <c r="G3884"/>
  <c r="E3884"/>
  <c r="B3884"/>
  <c r="A3884"/>
  <c r="W3883"/>
  <c r="S3883"/>
  <c r="Q3883"/>
  <c r="P3883"/>
  <c r="M3883"/>
  <c r="K3883"/>
  <c r="H3883"/>
  <c r="C3883"/>
  <c r="G3883"/>
  <c r="E3883"/>
  <c r="B3883"/>
  <c r="A3883"/>
  <c r="W3882"/>
  <c r="S3882"/>
  <c r="Q3882"/>
  <c r="P3882"/>
  <c r="M3882"/>
  <c r="K3882"/>
  <c r="H3882"/>
  <c r="C3882"/>
  <c r="G3882"/>
  <c r="E3882"/>
  <c r="B3882"/>
  <c r="A3882"/>
  <c r="W3881"/>
  <c r="S3881"/>
  <c r="Q3881"/>
  <c r="P3881"/>
  <c r="M3881"/>
  <c r="K3881"/>
  <c r="H3881"/>
  <c r="C3881"/>
  <c r="G3881"/>
  <c r="E3881"/>
  <c r="B3881"/>
  <c r="A3881"/>
  <c r="W3880"/>
  <c r="S3880"/>
  <c r="Q3880"/>
  <c r="P3880"/>
  <c r="M3880"/>
  <c r="K3880"/>
  <c r="H3880"/>
  <c r="C3880"/>
  <c r="G3880"/>
  <c r="E3880"/>
  <c r="B3880"/>
  <c r="A3880"/>
  <c r="W3879"/>
  <c r="S3879"/>
  <c r="Q3879"/>
  <c r="P3879"/>
  <c r="M3879"/>
  <c r="K3879"/>
  <c r="H3879"/>
  <c r="C3879"/>
  <c r="G3879"/>
  <c r="E3879"/>
  <c r="B3879"/>
  <c r="A3879"/>
  <c r="W3878"/>
  <c r="S3878"/>
  <c r="R3878"/>
  <c r="Q3878"/>
  <c r="P3878"/>
  <c r="M3878"/>
  <c r="K3878"/>
  <c r="H3878"/>
  <c r="C3878"/>
  <c r="G3878"/>
  <c r="E3878"/>
  <c r="B3878"/>
  <c r="A3878"/>
  <c r="W3877"/>
  <c r="S3877"/>
  <c r="Q3877"/>
  <c r="P3877"/>
  <c r="M3877"/>
  <c r="K3877"/>
  <c r="H3877"/>
  <c r="C3877"/>
  <c r="G3877"/>
  <c r="E3877"/>
  <c r="B3877"/>
  <c r="A3877"/>
  <c r="W3876"/>
  <c r="S3876"/>
  <c r="Q3876"/>
  <c r="P3876"/>
  <c r="M3876"/>
  <c r="K3876"/>
  <c r="H3876"/>
  <c r="C3876"/>
  <c r="G3876"/>
  <c r="E3876"/>
  <c r="B3876"/>
  <c r="A3876"/>
  <c r="W3875"/>
  <c r="S3875"/>
  <c r="R3875"/>
  <c r="Q3875"/>
  <c r="P3875"/>
  <c r="M3875"/>
  <c r="K3875"/>
  <c r="H3875"/>
  <c r="C3875"/>
  <c r="G3875"/>
  <c r="E3875"/>
  <c r="B3875"/>
  <c r="A3875"/>
  <c r="W3874"/>
  <c r="S3874"/>
  <c r="Q3874"/>
  <c r="P3874"/>
  <c r="M3874"/>
  <c r="K3874"/>
  <c r="H3874"/>
  <c r="C3874"/>
  <c r="G3874"/>
  <c r="E3874"/>
  <c r="B3874"/>
  <c r="A3874"/>
  <c r="W3873"/>
  <c r="S3873"/>
  <c r="Q3873"/>
  <c r="P3873"/>
  <c r="M3873"/>
  <c r="K3873"/>
  <c r="H3873"/>
  <c r="C3873"/>
  <c r="G3873"/>
  <c r="E3873"/>
  <c r="B3873"/>
  <c r="A3873"/>
  <c r="W3872"/>
  <c r="S3872"/>
  <c r="Q3872"/>
  <c r="P3872"/>
  <c r="M3872"/>
  <c r="K3872"/>
  <c r="H3872"/>
  <c r="C3872"/>
  <c r="G3872"/>
  <c r="E3872"/>
  <c r="B3872"/>
  <c r="A3872"/>
  <c r="W3871"/>
  <c r="S3871"/>
  <c r="Q3871"/>
  <c r="P3871"/>
  <c r="M3871"/>
  <c r="K3871"/>
  <c r="H3871"/>
  <c r="C3871"/>
  <c r="G3871"/>
  <c r="E3871"/>
  <c r="B3871"/>
  <c r="A3871"/>
  <c r="W3870"/>
  <c r="S3870"/>
  <c r="Q3870"/>
  <c r="P3870"/>
  <c r="M3870"/>
  <c r="K3870"/>
  <c r="H3870"/>
  <c r="C3870"/>
  <c r="G3870"/>
  <c r="E3870"/>
  <c r="B3870"/>
  <c r="A3870"/>
  <c r="W3869"/>
  <c r="S3869"/>
  <c r="R3869"/>
  <c r="Q3869"/>
  <c r="P3869"/>
  <c r="M3869"/>
  <c r="K3869"/>
  <c r="H3869"/>
  <c r="C3869"/>
  <c r="G3869"/>
  <c r="E3869"/>
  <c r="B3869"/>
  <c r="A3869"/>
  <c r="W3868"/>
  <c r="S3868"/>
  <c r="Q3868"/>
  <c r="P3868"/>
  <c r="M3868"/>
  <c r="K3868"/>
  <c r="H3868"/>
  <c r="C3868"/>
  <c r="G3868"/>
  <c r="E3868"/>
  <c r="B3868"/>
  <c r="A3868"/>
  <c r="W3867"/>
  <c r="S3867"/>
  <c r="Q3867"/>
  <c r="P3867"/>
  <c r="M3867"/>
  <c r="K3867"/>
  <c r="H3867"/>
  <c r="C3867"/>
  <c r="G3867"/>
  <c r="E3867"/>
  <c r="B3867"/>
  <c r="A3867"/>
  <c r="W3866"/>
  <c r="S3866"/>
  <c r="Q3866"/>
  <c r="P3866"/>
  <c r="M3866"/>
  <c r="K3866"/>
  <c r="H3866"/>
  <c r="C3866"/>
  <c r="G3866"/>
  <c r="E3866"/>
  <c r="B3866"/>
  <c r="A3866"/>
  <c r="W3865"/>
  <c r="S3865"/>
  <c r="Q3865"/>
  <c r="P3865"/>
  <c r="M3865"/>
  <c r="K3865"/>
  <c r="H3865"/>
  <c r="C3865"/>
  <c r="G3865"/>
  <c r="E3865"/>
  <c r="B3865"/>
  <c r="A3865"/>
  <c r="W3864"/>
  <c r="S3864"/>
  <c r="R3864"/>
  <c r="Q3864"/>
  <c r="P3864"/>
  <c r="M3864"/>
  <c r="K3864"/>
  <c r="H3864"/>
  <c r="C3864"/>
  <c r="G3864"/>
  <c r="E3864"/>
  <c r="B3864"/>
  <c r="A3864"/>
  <c r="W3863"/>
  <c r="S3863"/>
  <c r="Q3863"/>
  <c r="P3863"/>
  <c r="M3863"/>
  <c r="K3863"/>
  <c r="H3863"/>
  <c r="C3863"/>
  <c r="G3863"/>
  <c r="E3863"/>
  <c r="B3863"/>
  <c r="A3863"/>
  <c r="W3862"/>
  <c r="S3862"/>
  <c r="R3862"/>
  <c r="Q3862"/>
  <c r="P3862"/>
  <c r="M3862"/>
  <c r="K3862"/>
  <c r="H3862"/>
  <c r="C3862"/>
  <c r="G3862"/>
  <c r="E3862"/>
  <c r="B3862"/>
  <c r="A3862"/>
  <c r="W3861"/>
  <c r="S3861"/>
  <c r="Q3861"/>
  <c r="P3861"/>
  <c r="M3861"/>
  <c r="K3861"/>
  <c r="H3861"/>
  <c r="C3861"/>
  <c r="G3861"/>
  <c r="E3861"/>
  <c r="B3861"/>
  <c r="A3861"/>
  <c r="W3860"/>
  <c r="S3860"/>
  <c r="R3860"/>
  <c r="Q3860"/>
  <c r="P3860"/>
  <c r="M3860"/>
  <c r="K3860"/>
  <c r="H3860"/>
  <c r="C3860"/>
  <c r="G3860"/>
  <c r="E3860"/>
  <c r="B3860"/>
  <c r="A3860"/>
  <c r="W3859"/>
  <c r="S3859"/>
  <c r="Q3859"/>
  <c r="P3859"/>
  <c r="M3859"/>
  <c r="K3859"/>
  <c r="H3859"/>
  <c r="C3859"/>
  <c r="G3859"/>
  <c r="E3859"/>
  <c r="B3859"/>
  <c r="A3859"/>
  <c r="W3858"/>
  <c r="S3858"/>
  <c r="R3858"/>
  <c r="Q3858"/>
  <c r="P3858"/>
  <c r="M3858"/>
  <c r="K3858"/>
  <c r="H3858"/>
  <c r="C3858"/>
  <c r="G3858"/>
  <c r="E3858"/>
  <c r="B3858"/>
  <c r="A3858"/>
  <c r="W3857"/>
  <c r="S3857"/>
  <c r="Q3857"/>
  <c r="P3857"/>
  <c r="M3857"/>
  <c r="K3857"/>
  <c r="H3857"/>
  <c r="C3857"/>
  <c r="G3857"/>
  <c r="E3857"/>
  <c r="B3857"/>
  <c r="A3857"/>
  <c r="W3856"/>
  <c r="S3856"/>
  <c r="R3856"/>
  <c r="Q3856"/>
  <c r="P3856"/>
  <c r="M3856"/>
  <c r="K3856"/>
  <c r="H3856"/>
  <c r="C3856"/>
  <c r="G3856"/>
  <c r="E3856"/>
  <c r="B3856"/>
  <c r="A3856"/>
  <c r="W3855"/>
  <c r="S3855"/>
  <c r="R3855"/>
  <c r="Q3855"/>
  <c r="P3855"/>
  <c r="M3855"/>
  <c r="K3855"/>
  <c r="H3855"/>
  <c r="C3855"/>
  <c r="G3855"/>
  <c r="E3855"/>
  <c r="B3855"/>
  <c r="A3855"/>
  <c r="W3854"/>
  <c r="S3854"/>
  <c r="R3854"/>
  <c r="Q3854"/>
  <c r="P3854"/>
  <c r="M3854"/>
  <c r="K3854"/>
  <c r="H3854"/>
  <c r="C3854"/>
  <c r="G3854"/>
  <c r="E3854"/>
  <c r="B3854"/>
  <c r="A3854"/>
  <c r="W3853"/>
  <c r="S3853"/>
  <c r="R3853"/>
  <c r="Q3853"/>
  <c r="P3853"/>
  <c r="N3853"/>
  <c r="M3853"/>
  <c r="K3853"/>
  <c r="H3853"/>
  <c r="C3853"/>
  <c r="G3853"/>
  <c r="E3853"/>
  <c r="B3853"/>
  <c r="A3853"/>
  <c r="W3852"/>
  <c r="S3852"/>
  <c r="R3852"/>
  <c r="Q3852"/>
  <c r="P3852"/>
  <c r="M3852"/>
  <c r="K3852"/>
  <c r="H3852"/>
  <c r="C3852"/>
  <c r="G3852"/>
  <c r="E3852"/>
  <c r="B3852"/>
  <c r="A3852"/>
  <c r="W3851"/>
  <c r="S3851"/>
  <c r="R3851"/>
  <c r="Q3851"/>
  <c r="P3851"/>
  <c r="M3851"/>
  <c r="K3851"/>
  <c r="H3851"/>
  <c r="C3851"/>
  <c r="G3851"/>
  <c r="E3851"/>
  <c r="B3851"/>
  <c r="A3851"/>
  <c r="W3850"/>
  <c r="S3850"/>
  <c r="Q3850"/>
  <c r="P3850"/>
  <c r="M3850"/>
  <c r="K3850"/>
  <c r="H3850"/>
  <c r="C3850"/>
  <c r="G3850"/>
  <c r="E3850"/>
  <c r="B3850"/>
  <c r="A3850"/>
  <c r="W3849"/>
  <c r="S3849"/>
  <c r="Q3849"/>
  <c r="P3849"/>
  <c r="M3849"/>
  <c r="K3849"/>
  <c r="H3849"/>
  <c r="C3849"/>
  <c r="G3849"/>
  <c r="E3849"/>
  <c r="B3849"/>
  <c r="A3849"/>
  <c r="W3848"/>
  <c r="S3848"/>
  <c r="Q3848"/>
  <c r="P3848"/>
  <c r="M3848"/>
  <c r="K3848"/>
  <c r="H3848"/>
  <c r="C3848"/>
  <c r="G3848"/>
  <c r="E3848"/>
  <c r="B3848"/>
  <c r="A3848"/>
  <c r="W3847"/>
  <c r="S3847"/>
  <c r="Q3847"/>
  <c r="P3847"/>
  <c r="M3847"/>
  <c r="K3847"/>
  <c r="H3847"/>
  <c r="C3847"/>
  <c r="G3847"/>
  <c r="E3847"/>
  <c r="B3847"/>
  <c r="A3847"/>
  <c r="W3846"/>
  <c r="S3846"/>
  <c r="Q3846"/>
  <c r="P3846"/>
  <c r="M3846"/>
  <c r="K3846"/>
  <c r="H3846"/>
  <c r="C3846"/>
  <c r="G3846"/>
  <c r="E3846"/>
  <c r="B3846"/>
  <c r="A3846"/>
  <c r="W3845"/>
  <c r="S3845"/>
  <c r="Q3845"/>
  <c r="P3845"/>
  <c r="M3845"/>
  <c r="K3845"/>
  <c r="H3845"/>
  <c r="C3845"/>
  <c r="G3845"/>
  <c r="E3845"/>
  <c r="B3845"/>
  <c r="A3845"/>
  <c r="W3844"/>
  <c r="S3844"/>
  <c r="Q3844"/>
  <c r="P3844"/>
  <c r="M3844"/>
  <c r="K3844"/>
  <c r="H3844"/>
  <c r="C3844"/>
  <c r="G3844"/>
  <c r="E3844"/>
  <c r="B3844"/>
  <c r="A3844"/>
  <c r="W3843"/>
  <c r="S3843"/>
  <c r="Q3843"/>
  <c r="P3843"/>
  <c r="M3843"/>
  <c r="K3843"/>
  <c r="H3843"/>
  <c r="C3843"/>
  <c r="G3843"/>
  <c r="E3843"/>
  <c r="B3843"/>
  <c r="A3843"/>
  <c r="W3842"/>
  <c r="S3842"/>
  <c r="Q3842"/>
  <c r="P3842"/>
  <c r="M3842"/>
  <c r="K3842"/>
  <c r="H3842"/>
  <c r="C3842"/>
  <c r="G3842"/>
  <c r="E3842"/>
  <c r="B3842"/>
  <c r="A3842"/>
  <c r="W3841"/>
  <c r="S3841"/>
  <c r="Q3841"/>
  <c r="P3841"/>
  <c r="N3841"/>
  <c r="M3841"/>
  <c r="K3841"/>
  <c r="H3841"/>
  <c r="C3841"/>
  <c r="G3841"/>
  <c r="E3841"/>
  <c r="B3841"/>
  <c r="A3841"/>
  <c r="W3840"/>
  <c r="S3840"/>
  <c r="Q3840"/>
  <c r="P3840"/>
  <c r="M3840"/>
  <c r="K3840"/>
  <c r="H3840"/>
  <c r="C3840"/>
  <c r="G3840"/>
  <c r="E3840"/>
  <c r="B3840"/>
  <c r="A3840"/>
  <c r="W3839"/>
  <c r="S3839"/>
  <c r="Q3839"/>
  <c r="P3839"/>
  <c r="M3839"/>
  <c r="K3839"/>
  <c r="H3839"/>
  <c r="C3839"/>
  <c r="G3839"/>
  <c r="E3839"/>
  <c r="B3839"/>
  <c r="A3839"/>
  <c r="W3838"/>
  <c r="S3838"/>
  <c r="Q3838"/>
  <c r="P3838"/>
  <c r="M3838"/>
  <c r="K3838"/>
  <c r="H3838"/>
  <c r="C3838"/>
  <c r="G3838"/>
  <c r="E3838"/>
  <c r="B3838"/>
  <c r="A3838"/>
  <c r="W3837"/>
  <c r="S3837"/>
  <c r="Q3837"/>
  <c r="P3837"/>
  <c r="M3837"/>
  <c r="K3837"/>
  <c r="H3837"/>
  <c r="C3837"/>
  <c r="G3837"/>
  <c r="E3837"/>
  <c r="B3837"/>
  <c r="A3837"/>
  <c r="W3836"/>
  <c r="S3836"/>
  <c r="Q3836"/>
  <c r="P3836"/>
  <c r="M3836"/>
  <c r="K3836"/>
  <c r="H3836"/>
  <c r="C3836"/>
  <c r="G3836"/>
  <c r="E3836"/>
  <c r="B3836"/>
  <c r="A3836"/>
  <c r="W3835"/>
  <c r="S3835"/>
  <c r="Q3835"/>
  <c r="P3835"/>
  <c r="M3835"/>
  <c r="K3835"/>
  <c r="H3835"/>
  <c r="C3835"/>
  <c r="G3835"/>
  <c r="E3835"/>
  <c r="B3835"/>
  <c r="A3835"/>
  <c r="W3834"/>
  <c r="S3834"/>
  <c r="Q3834"/>
  <c r="P3834"/>
  <c r="M3834"/>
  <c r="K3834"/>
  <c r="H3834"/>
  <c r="C3834"/>
  <c r="G3834"/>
  <c r="E3834"/>
  <c r="B3834"/>
  <c r="A3834"/>
  <c r="W3833"/>
  <c r="S3833"/>
  <c r="Q3833"/>
  <c r="P3833"/>
  <c r="M3833"/>
  <c r="K3833"/>
  <c r="H3833"/>
  <c r="C3833"/>
  <c r="G3833"/>
  <c r="E3833"/>
  <c r="B3833"/>
  <c r="A3833"/>
  <c r="W3832"/>
  <c r="S3832"/>
  <c r="Q3832"/>
  <c r="P3832"/>
  <c r="M3832"/>
  <c r="K3832"/>
  <c r="H3832"/>
  <c r="C3832"/>
  <c r="G3832"/>
  <c r="E3832"/>
  <c r="B3832"/>
  <c r="A3832"/>
  <c r="W3831"/>
  <c r="S3831"/>
  <c r="Q3831"/>
  <c r="P3831"/>
  <c r="M3831"/>
  <c r="K3831"/>
  <c r="H3831"/>
  <c r="C3831"/>
  <c r="G3831"/>
  <c r="E3831"/>
  <c r="B3831"/>
  <c r="A3831"/>
  <c r="W3830"/>
  <c r="S3830"/>
  <c r="Q3830"/>
  <c r="P3830"/>
  <c r="M3830"/>
  <c r="K3830"/>
  <c r="H3830"/>
  <c r="C3830"/>
  <c r="G3830"/>
  <c r="E3830"/>
  <c r="B3830"/>
  <c r="A3830"/>
  <c r="W3829"/>
  <c r="S3829"/>
  <c r="Q3829"/>
  <c r="P3829"/>
  <c r="N3829"/>
  <c r="M3829"/>
  <c r="K3829"/>
  <c r="H3829"/>
  <c r="C3829"/>
  <c r="G3829"/>
  <c r="E3829"/>
  <c r="B3829"/>
  <c r="A3829"/>
  <c r="W3828"/>
  <c r="S3828"/>
  <c r="Q3828"/>
  <c r="P3828"/>
  <c r="M3828"/>
  <c r="K3828"/>
  <c r="H3828"/>
  <c r="C3828"/>
  <c r="G3828"/>
  <c r="E3828"/>
  <c r="B3828"/>
  <c r="A3828"/>
  <c r="W3827"/>
  <c r="S3827"/>
  <c r="Q3827"/>
  <c r="P3827"/>
  <c r="M3827"/>
  <c r="K3827"/>
  <c r="H3827"/>
  <c r="C3827"/>
  <c r="G3827"/>
  <c r="E3827"/>
  <c r="B3827"/>
  <c r="A3827"/>
  <c r="W3826"/>
  <c r="S3826"/>
  <c r="Q3826"/>
  <c r="P3826"/>
  <c r="M3826"/>
  <c r="K3826"/>
  <c r="H3826"/>
  <c r="C3826"/>
  <c r="G3826"/>
  <c r="E3826"/>
  <c r="B3826"/>
  <c r="A3826"/>
  <c r="W3825"/>
  <c r="S3825"/>
  <c r="Q3825"/>
  <c r="P3825"/>
  <c r="M3825"/>
  <c r="K3825"/>
  <c r="H3825"/>
  <c r="C3825"/>
  <c r="G3825"/>
  <c r="E3825"/>
  <c r="B3825"/>
  <c r="A3825"/>
  <c r="W3824"/>
  <c r="S3824"/>
  <c r="Q3824"/>
  <c r="P3824"/>
  <c r="M3824"/>
  <c r="K3824"/>
  <c r="H3824"/>
  <c r="C3824"/>
  <c r="G3824"/>
  <c r="E3824"/>
  <c r="B3824"/>
  <c r="A3824"/>
  <c r="W3823"/>
  <c r="S3823"/>
  <c r="Q3823"/>
  <c r="P3823"/>
  <c r="M3823"/>
  <c r="K3823"/>
  <c r="H3823"/>
  <c r="C3823"/>
  <c r="G3823"/>
  <c r="E3823"/>
  <c r="B3823"/>
  <c r="A3823"/>
  <c r="W3822"/>
  <c r="S3822"/>
  <c r="Q3822"/>
  <c r="P3822"/>
  <c r="N3822"/>
  <c r="M3822"/>
  <c r="K3822"/>
  <c r="H3822"/>
  <c r="C3822"/>
  <c r="G3822"/>
  <c r="E3822"/>
  <c r="B3822"/>
  <c r="A3822"/>
  <c r="W3821"/>
  <c r="S3821"/>
  <c r="Q3821"/>
  <c r="P3821"/>
  <c r="M3821"/>
  <c r="K3821"/>
  <c r="H3821"/>
  <c r="C3821"/>
  <c r="G3821"/>
  <c r="E3821"/>
  <c r="B3821"/>
  <c r="A3821"/>
  <c r="W3820"/>
  <c r="S3820"/>
  <c r="Q3820"/>
  <c r="P3820"/>
  <c r="M3820"/>
  <c r="K3820"/>
  <c r="H3820"/>
  <c r="C3820"/>
  <c r="G3820"/>
  <c r="E3820"/>
  <c r="B3820"/>
  <c r="A3820"/>
  <c r="W3819"/>
  <c r="S3819"/>
  <c r="Q3819"/>
  <c r="P3819"/>
  <c r="M3819"/>
  <c r="K3819"/>
  <c r="H3819"/>
  <c r="C3819"/>
  <c r="G3819"/>
  <c r="E3819"/>
  <c r="B3819"/>
  <c r="A3819"/>
  <c r="W3818"/>
  <c r="S3818"/>
  <c r="Q3818"/>
  <c r="P3818"/>
  <c r="M3818"/>
  <c r="K3818"/>
  <c r="H3818"/>
  <c r="C3818"/>
  <c r="G3818"/>
  <c r="E3818"/>
  <c r="B3818"/>
  <c r="A3818"/>
  <c r="W3817"/>
  <c r="S3817"/>
  <c r="Q3817"/>
  <c r="P3817"/>
  <c r="M3817"/>
  <c r="K3817"/>
  <c r="H3817"/>
  <c r="C3817"/>
  <c r="G3817"/>
  <c r="E3817"/>
  <c r="B3817"/>
  <c r="A3817"/>
  <c r="W3816"/>
  <c r="S3816"/>
  <c r="Q3816"/>
  <c r="P3816"/>
  <c r="M3816"/>
  <c r="K3816"/>
  <c r="H3816"/>
  <c r="C3816"/>
  <c r="G3816"/>
  <c r="E3816"/>
  <c r="B3816"/>
  <c r="A3816"/>
  <c r="W3815"/>
  <c r="S3815"/>
  <c r="Q3815"/>
  <c r="P3815"/>
  <c r="M3815"/>
  <c r="K3815"/>
  <c r="H3815"/>
  <c r="C3815"/>
  <c r="G3815"/>
  <c r="E3815"/>
  <c r="B3815"/>
  <c r="A3815"/>
  <c r="W3814"/>
  <c r="S3814"/>
  <c r="Q3814"/>
  <c r="P3814"/>
  <c r="N3814"/>
  <c r="M3814"/>
  <c r="K3814"/>
  <c r="H3814"/>
  <c r="C3814"/>
  <c r="G3814"/>
  <c r="E3814"/>
  <c r="B3814"/>
  <c r="A3814"/>
  <c r="W3813"/>
  <c r="S3813"/>
  <c r="Q3813"/>
  <c r="P3813"/>
  <c r="M3813"/>
  <c r="K3813"/>
  <c r="H3813"/>
  <c r="C3813"/>
  <c r="G3813"/>
  <c r="E3813"/>
  <c r="B3813"/>
  <c r="A3813"/>
  <c r="W3812"/>
  <c r="S3812"/>
  <c r="Q3812"/>
  <c r="P3812"/>
  <c r="M3812"/>
  <c r="K3812"/>
  <c r="H3812"/>
  <c r="C3812"/>
  <c r="G3812"/>
  <c r="E3812"/>
  <c r="B3812"/>
  <c r="A3812"/>
  <c r="W3811"/>
  <c r="S3811"/>
  <c r="Q3811"/>
  <c r="P3811"/>
  <c r="M3811"/>
  <c r="K3811"/>
  <c r="H3811"/>
  <c r="C3811"/>
  <c r="G3811"/>
  <c r="E3811"/>
  <c r="B3811"/>
  <c r="A3811"/>
  <c r="W3810"/>
  <c r="S3810"/>
  <c r="Q3810"/>
  <c r="P3810"/>
  <c r="M3810"/>
  <c r="K3810"/>
  <c r="H3810"/>
  <c r="C3810"/>
  <c r="G3810"/>
  <c r="E3810"/>
  <c r="B3810"/>
  <c r="A3810"/>
  <c r="W3809"/>
  <c r="S3809"/>
  <c r="Q3809"/>
  <c r="P3809"/>
  <c r="N3809"/>
  <c r="M3809"/>
  <c r="K3809"/>
  <c r="H3809"/>
  <c r="C3809"/>
  <c r="G3809"/>
  <c r="E3809"/>
  <c r="B3809"/>
  <c r="A3809"/>
  <c r="W3808"/>
  <c r="S3808"/>
  <c r="Q3808"/>
  <c r="P3808"/>
  <c r="M3808"/>
  <c r="K3808"/>
  <c r="H3808"/>
  <c r="C3808"/>
  <c r="G3808"/>
  <c r="E3808"/>
  <c r="B3808"/>
  <c r="A3808"/>
  <c r="W3807"/>
  <c r="S3807"/>
  <c r="Q3807"/>
  <c r="P3807"/>
  <c r="M3807"/>
  <c r="K3807"/>
  <c r="H3807"/>
  <c r="C3807"/>
  <c r="G3807"/>
  <c r="E3807"/>
  <c r="B3807"/>
  <c r="A3807"/>
  <c r="W3806"/>
  <c r="S3806"/>
  <c r="Q3806"/>
  <c r="P3806"/>
  <c r="M3806"/>
  <c r="K3806"/>
  <c r="H3806"/>
  <c r="C3806"/>
  <c r="G3806"/>
  <c r="E3806"/>
  <c r="B3806"/>
  <c r="A3806"/>
  <c r="W3805"/>
  <c r="S3805"/>
  <c r="Q3805"/>
  <c r="P3805"/>
  <c r="M3805"/>
  <c r="K3805"/>
  <c r="H3805"/>
  <c r="C3805"/>
  <c r="G3805"/>
  <c r="E3805"/>
  <c r="B3805"/>
  <c r="A3805"/>
  <c r="W3804"/>
  <c r="S3804"/>
  <c r="Q3804"/>
  <c r="P3804"/>
  <c r="N3804"/>
  <c r="M3804"/>
  <c r="K3804"/>
  <c r="H3804"/>
  <c r="C3804"/>
  <c r="G3804"/>
  <c r="E3804"/>
  <c r="B3804"/>
  <c r="A3804"/>
  <c r="W3803"/>
  <c r="S3803"/>
  <c r="Q3803"/>
  <c r="P3803"/>
  <c r="M3803"/>
  <c r="K3803"/>
  <c r="H3803"/>
  <c r="C3803"/>
  <c r="G3803"/>
  <c r="E3803"/>
  <c r="B3803"/>
  <c r="A3803"/>
  <c r="W3802"/>
  <c r="S3802"/>
  <c r="Q3802"/>
  <c r="P3802"/>
  <c r="M3802"/>
  <c r="K3802"/>
  <c r="H3802"/>
  <c r="C3802"/>
  <c r="G3802"/>
  <c r="E3802"/>
  <c r="B3802"/>
  <c r="A3802"/>
  <c r="W3801"/>
  <c r="S3801"/>
  <c r="Q3801"/>
  <c r="P3801"/>
  <c r="M3801"/>
  <c r="K3801"/>
  <c r="H3801"/>
  <c r="C3801"/>
  <c r="G3801"/>
  <c r="E3801"/>
  <c r="B3801"/>
  <c r="A3801"/>
  <c r="W3800"/>
  <c r="S3800"/>
  <c r="Q3800"/>
  <c r="P3800"/>
  <c r="M3800"/>
  <c r="K3800"/>
  <c r="H3800"/>
  <c r="C3800"/>
  <c r="G3800"/>
  <c r="E3800"/>
  <c r="B3800"/>
  <c r="A3800"/>
  <c r="W3799"/>
  <c r="S3799"/>
  <c r="Q3799"/>
  <c r="P3799"/>
  <c r="N3799"/>
  <c r="M3799"/>
  <c r="K3799"/>
  <c r="H3799"/>
  <c r="C3799"/>
  <c r="G3799"/>
  <c r="E3799"/>
  <c r="B3799"/>
  <c r="A3799"/>
  <c r="W3798"/>
  <c r="S3798"/>
  <c r="Q3798"/>
  <c r="P3798"/>
  <c r="M3798"/>
  <c r="K3798"/>
  <c r="H3798"/>
  <c r="C3798"/>
  <c r="G3798"/>
  <c r="E3798"/>
  <c r="B3798"/>
  <c r="A3798"/>
  <c r="W3797"/>
  <c r="S3797"/>
  <c r="Q3797"/>
  <c r="P3797"/>
  <c r="M3797"/>
  <c r="K3797"/>
  <c r="H3797"/>
  <c r="C3797"/>
  <c r="G3797"/>
  <c r="E3797"/>
  <c r="B3797"/>
  <c r="A3797"/>
  <c r="W3796"/>
  <c r="S3796"/>
  <c r="Q3796"/>
  <c r="P3796"/>
  <c r="M3796"/>
  <c r="K3796"/>
  <c r="H3796"/>
  <c r="C3796"/>
  <c r="G3796"/>
  <c r="E3796"/>
  <c r="B3796"/>
  <c r="A3796"/>
  <c r="W3795"/>
  <c r="S3795"/>
  <c r="Q3795"/>
  <c r="P3795"/>
  <c r="M3795"/>
  <c r="K3795"/>
  <c r="H3795"/>
  <c r="C3795"/>
  <c r="G3795"/>
  <c r="E3795"/>
  <c r="B3795"/>
  <c r="A3795"/>
  <c r="W3794"/>
  <c r="S3794"/>
  <c r="Q3794"/>
  <c r="P3794"/>
  <c r="M3794"/>
  <c r="K3794"/>
  <c r="H3794"/>
  <c r="C3794"/>
  <c r="G3794"/>
  <c r="E3794"/>
  <c r="B3794"/>
  <c r="A3794"/>
  <c r="W3793"/>
  <c r="S3793"/>
  <c r="Q3793"/>
  <c r="P3793"/>
  <c r="N3793"/>
  <c r="M3793"/>
  <c r="K3793"/>
  <c r="H3793"/>
  <c r="C3793"/>
  <c r="G3793"/>
  <c r="E3793"/>
  <c r="B3793"/>
  <c r="A3793"/>
  <c r="W3792"/>
  <c r="S3792"/>
  <c r="Q3792"/>
  <c r="P3792"/>
  <c r="M3792"/>
  <c r="K3792"/>
  <c r="H3792"/>
  <c r="C3792"/>
  <c r="G3792"/>
  <c r="E3792"/>
  <c r="B3792"/>
  <c r="A3792"/>
  <c r="W3791"/>
  <c r="S3791"/>
  <c r="Q3791"/>
  <c r="P3791"/>
  <c r="M3791"/>
  <c r="K3791"/>
  <c r="H3791"/>
  <c r="C3791"/>
  <c r="G3791"/>
  <c r="E3791"/>
  <c r="B3791"/>
  <c r="A3791"/>
  <c r="W3790"/>
  <c r="S3790"/>
  <c r="Q3790"/>
  <c r="P3790"/>
  <c r="M3790"/>
  <c r="K3790"/>
  <c r="H3790"/>
  <c r="C3790"/>
  <c r="G3790"/>
  <c r="E3790"/>
  <c r="B3790"/>
  <c r="A3790"/>
  <c r="W3789"/>
  <c r="S3789"/>
  <c r="Q3789"/>
  <c r="P3789"/>
  <c r="M3789"/>
  <c r="K3789"/>
  <c r="H3789"/>
  <c r="C3789"/>
  <c r="G3789"/>
  <c r="E3789"/>
  <c r="B3789"/>
  <c r="A3789"/>
  <c r="W3788"/>
  <c r="S3788"/>
  <c r="Q3788"/>
  <c r="P3788"/>
  <c r="N3788"/>
  <c r="M3788"/>
  <c r="K3788"/>
  <c r="H3788"/>
  <c r="C3788"/>
  <c r="G3788"/>
  <c r="E3788"/>
  <c r="B3788"/>
  <c r="A3788"/>
  <c r="W3787"/>
  <c r="S3787"/>
  <c r="Q3787"/>
  <c r="P3787"/>
  <c r="M3787"/>
  <c r="K3787"/>
  <c r="H3787"/>
  <c r="C3787"/>
  <c r="G3787"/>
  <c r="E3787"/>
  <c r="B3787"/>
  <c r="A3787"/>
  <c r="W3786"/>
  <c r="S3786"/>
  <c r="Q3786"/>
  <c r="P3786"/>
  <c r="M3786"/>
  <c r="K3786"/>
  <c r="H3786"/>
  <c r="C3786"/>
  <c r="G3786"/>
  <c r="E3786"/>
  <c r="B3786"/>
  <c r="A3786"/>
  <c r="W3785"/>
  <c r="S3785"/>
  <c r="Q3785"/>
  <c r="P3785"/>
  <c r="M3785"/>
  <c r="K3785"/>
  <c r="H3785"/>
  <c r="C3785"/>
  <c r="G3785"/>
  <c r="E3785"/>
  <c r="B3785"/>
  <c r="A3785"/>
  <c r="W3784"/>
  <c r="S3784"/>
  <c r="Q3784"/>
  <c r="P3784"/>
  <c r="M3784"/>
  <c r="K3784"/>
  <c r="H3784"/>
  <c r="C3784"/>
  <c r="G3784"/>
  <c r="E3784"/>
  <c r="B3784"/>
  <c r="A3784"/>
  <c r="W3783"/>
  <c r="S3783"/>
  <c r="Q3783"/>
  <c r="P3783"/>
  <c r="N3783"/>
  <c r="M3783"/>
  <c r="K3783"/>
  <c r="H3783"/>
  <c r="C3783"/>
  <c r="G3783"/>
  <c r="E3783"/>
  <c r="B3783"/>
  <c r="A3783"/>
  <c r="W3782"/>
  <c r="S3782"/>
  <c r="Q3782"/>
  <c r="P3782"/>
  <c r="M3782"/>
  <c r="K3782"/>
  <c r="H3782"/>
  <c r="C3782"/>
  <c r="G3782"/>
  <c r="E3782"/>
  <c r="B3782"/>
  <c r="A3782"/>
  <c r="W3781"/>
  <c r="S3781"/>
  <c r="Q3781"/>
  <c r="P3781"/>
  <c r="M3781"/>
  <c r="K3781"/>
  <c r="H3781"/>
  <c r="C3781"/>
  <c r="G3781"/>
  <c r="E3781"/>
  <c r="B3781"/>
  <c r="A3781"/>
  <c r="W3780"/>
  <c r="S3780"/>
  <c r="Q3780"/>
  <c r="P3780"/>
  <c r="M3780"/>
  <c r="K3780"/>
  <c r="H3780"/>
  <c r="C3780"/>
  <c r="G3780"/>
  <c r="E3780"/>
  <c r="B3780"/>
  <c r="A3780"/>
  <c r="W3779"/>
  <c r="S3779"/>
  <c r="Q3779"/>
  <c r="P3779"/>
  <c r="M3779"/>
  <c r="K3779"/>
  <c r="H3779"/>
  <c r="C3779"/>
  <c r="G3779"/>
  <c r="E3779"/>
  <c r="B3779"/>
  <c r="A3779"/>
  <c r="W3778"/>
  <c r="S3778"/>
  <c r="Q3778"/>
  <c r="P3778"/>
  <c r="N3778"/>
  <c r="M3778"/>
  <c r="K3778"/>
  <c r="H3778"/>
  <c r="C3778"/>
  <c r="G3778"/>
  <c r="E3778"/>
  <c r="B3778"/>
  <c r="A3778"/>
  <c r="W3777"/>
  <c r="S3777"/>
  <c r="Q3777"/>
  <c r="P3777"/>
  <c r="M3777"/>
  <c r="K3777"/>
  <c r="H3777"/>
  <c r="C3777"/>
  <c r="G3777"/>
  <c r="E3777"/>
  <c r="B3777"/>
  <c r="A3777"/>
  <c r="W3776"/>
  <c r="S3776"/>
  <c r="Q3776"/>
  <c r="P3776"/>
  <c r="M3776"/>
  <c r="K3776"/>
  <c r="H3776"/>
  <c r="C3776"/>
  <c r="G3776"/>
  <c r="E3776"/>
  <c r="B3776"/>
  <c r="A3776"/>
  <c r="W3775"/>
  <c r="S3775"/>
  <c r="Q3775"/>
  <c r="P3775"/>
  <c r="M3775"/>
  <c r="K3775"/>
  <c r="H3775"/>
  <c r="C3775"/>
  <c r="G3775"/>
  <c r="E3775"/>
  <c r="B3775"/>
  <c r="A3775"/>
  <c r="W3774"/>
  <c r="S3774"/>
  <c r="Q3774"/>
  <c r="P3774"/>
  <c r="M3774"/>
  <c r="K3774"/>
  <c r="H3774"/>
  <c r="C3774"/>
  <c r="G3774"/>
  <c r="E3774"/>
  <c r="B3774"/>
  <c r="A3774"/>
  <c r="W3773"/>
  <c r="S3773"/>
  <c r="Q3773"/>
  <c r="P3773"/>
  <c r="N3773"/>
  <c r="M3773"/>
  <c r="K3773"/>
  <c r="H3773"/>
  <c r="C3773"/>
  <c r="G3773"/>
  <c r="E3773"/>
  <c r="B3773"/>
  <c r="A3773"/>
  <c r="W3772"/>
  <c r="S3772"/>
  <c r="Q3772"/>
  <c r="P3772"/>
  <c r="M3772"/>
  <c r="K3772"/>
  <c r="H3772"/>
  <c r="C3772"/>
  <c r="G3772"/>
  <c r="E3772"/>
  <c r="B3772"/>
  <c r="A3772"/>
  <c r="W3771"/>
  <c r="S3771"/>
  <c r="Q3771"/>
  <c r="P3771"/>
  <c r="M3771"/>
  <c r="K3771"/>
  <c r="H3771"/>
  <c r="C3771"/>
  <c r="G3771"/>
  <c r="E3771"/>
  <c r="B3771"/>
  <c r="A3771"/>
  <c r="W3770"/>
  <c r="S3770"/>
  <c r="Q3770"/>
  <c r="P3770"/>
  <c r="M3770"/>
  <c r="K3770"/>
  <c r="H3770"/>
  <c r="C3770"/>
  <c r="G3770"/>
  <c r="E3770"/>
  <c r="B3770"/>
  <c r="A3770"/>
  <c r="W3769"/>
  <c r="S3769"/>
  <c r="Q3769"/>
  <c r="P3769"/>
  <c r="M3769"/>
  <c r="K3769"/>
  <c r="H3769"/>
  <c r="C3769"/>
  <c r="G3769"/>
  <c r="E3769"/>
  <c r="B3769"/>
  <c r="A3769"/>
  <c r="W3768"/>
  <c r="S3768"/>
  <c r="Q3768"/>
  <c r="P3768"/>
  <c r="N3768"/>
  <c r="M3768"/>
  <c r="K3768"/>
  <c r="H3768"/>
  <c r="C3768"/>
  <c r="G3768"/>
  <c r="E3768"/>
  <c r="B3768"/>
  <c r="A3768"/>
  <c r="W3767"/>
  <c r="S3767"/>
  <c r="Q3767"/>
  <c r="P3767"/>
  <c r="M3767"/>
  <c r="K3767"/>
  <c r="H3767"/>
  <c r="C3767"/>
  <c r="G3767"/>
  <c r="E3767"/>
  <c r="B3767"/>
  <c r="A3767"/>
  <c r="W3766"/>
  <c r="S3766"/>
  <c r="Q3766"/>
  <c r="P3766"/>
  <c r="M3766"/>
  <c r="K3766"/>
  <c r="H3766"/>
  <c r="C3766"/>
  <c r="G3766"/>
  <c r="E3766"/>
  <c r="B3766"/>
  <c r="A3766"/>
  <c r="W3765"/>
  <c r="S3765"/>
  <c r="Q3765"/>
  <c r="P3765"/>
  <c r="M3765"/>
  <c r="K3765"/>
  <c r="H3765"/>
  <c r="C3765"/>
  <c r="G3765"/>
  <c r="E3765"/>
  <c r="B3765"/>
  <c r="A3765"/>
  <c r="W3764"/>
  <c r="S3764"/>
  <c r="Q3764"/>
  <c r="P3764"/>
  <c r="M3764"/>
  <c r="K3764"/>
  <c r="H3764"/>
  <c r="C3764"/>
  <c r="G3764"/>
  <c r="E3764"/>
  <c r="B3764"/>
  <c r="A3764"/>
  <c r="W3763"/>
  <c r="S3763"/>
  <c r="Q3763"/>
  <c r="P3763"/>
  <c r="N3763"/>
  <c r="M3763"/>
  <c r="K3763"/>
  <c r="H3763"/>
  <c r="C3763"/>
  <c r="G3763"/>
  <c r="E3763"/>
  <c r="B3763"/>
  <c r="A3763"/>
  <c r="W3762"/>
  <c r="S3762"/>
  <c r="Q3762"/>
  <c r="P3762"/>
  <c r="M3762"/>
  <c r="K3762"/>
  <c r="H3762"/>
  <c r="C3762"/>
  <c r="G3762"/>
  <c r="E3762"/>
  <c r="B3762"/>
  <c r="A3762"/>
  <c r="W3761"/>
  <c r="S3761"/>
  <c r="Q3761"/>
  <c r="P3761"/>
  <c r="M3761"/>
  <c r="K3761"/>
  <c r="H3761"/>
  <c r="C3761"/>
  <c r="G3761"/>
  <c r="E3761"/>
  <c r="B3761"/>
  <c r="A3761"/>
  <c r="W3760"/>
  <c r="S3760"/>
  <c r="Q3760"/>
  <c r="P3760"/>
  <c r="M3760"/>
  <c r="K3760"/>
  <c r="H3760"/>
  <c r="C3760"/>
  <c r="G3760"/>
  <c r="E3760"/>
  <c r="B3760"/>
  <c r="A3760"/>
  <c r="W3759"/>
  <c r="S3759"/>
  <c r="Q3759"/>
  <c r="P3759"/>
  <c r="M3759"/>
  <c r="K3759"/>
  <c r="H3759"/>
  <c r="C3759"/>
  <c r="G3759"/>
  <c r="E3759"/>
  <c r="B3759"/>
  <c r="A3759"/>
  <c r="W3758"/>
  <c r="S3758"/>
  <c r="Q3758"/>
  <c r="P3758"/>
  <c r="N3758"/>
  <c r="M3758"/>
  <c r="K3758"/>
  <c r="H3758"/>
  <c r="C3758"/>
  <c r="G3758"/>
  <c r="E3758"/>
  <c r="B3758"/>
  <c r="A3758"/>
  <c r="W3757"/>
  <c r="S3757"/>
  <c r="Q3757"/>
  <c r="P3757"/>
  <c r="M3757"/>
  <c r="K3757"/>
  <c r="H3757"/>
  <c r="C3757"/>
  <c r="G3757"/>
  <c r="E3757"/>
  <c r="B3757"/>
  <c r="A3757"/>
  <c r="W3756"/>
  <c r="S3756"/>
  <c r="Q3756"/>
  <c r="P3756"/>
  <c r="M3756"/>
  <c r="K3756"/>
  <c r="H3756"/>
  <c r="C3756"/>
  <c r="G3756"/>
  <c r="E3756"/>
  <c r="B3756"/>
  <c r="A3756"/>
  <c r="W3755"/>
  <c r="S3755"/>
  <c r="Q3755"/>
  <c r="P3755"/>
  <c r="M3755"/>
  <c r="K3755"/>
  <c r="H3755"/>
  <c r="C3755"/>
  <c r="G3755"/>
  <c r="E3755"/>
  <c r="B3755"/>
  <c r="A3755"/>
  <c r="W3754"/>
  <c r="S3754"/>
  <c r="Q3754"/>
  <c r="P3754"/>
  <c r="M3754"/>
  <c r="K3754"/>
  <c r="H3754"/>
  <c r="C3754"/>
  <c r="G3754"/>
  <c r="E3754"/>
  <c r="B3754"/>
  <c r="A3754"/>
  <c r="W3753"/>
  <c r="S3753"/>
  <c r="Q3753"/>
  <c r="P3753"/>
  <c r="M3753"/>
  <c r="K3753"/>
  <c r="H3753"/>
  <c r="C3753"/>
  <c r="G3753"/>
  <c r="E3753"/>
  <c r="B3753"/>
  <c r="A3753"/>
  <c r="W3752"/>
  <c r="S3752"/>
  <c r="Q3752"/>
  <c r="P3752"/>
  <c r="M3752"/>
  <c r="K3752"/>
  <c r="H3752"/>
  <c r="C3752"/>
  <c r="G3752"/>
  <c r="E3752"/>
  <c r="B3752"/>
  <c r="A3752"/>
  <c r="W3751"/>
  <c r="S3751"/>
  <c r="Q3751"/>
  <c r="P3751"/>
  <c r="M3751"/>
  <c r="K3751"/>
  <c r="H3751"/>
  <c r="C3751"/>
  <c r="G3751"/>
  <c r="E3751"/>
  <c r="B3751"/>
  <c r="A3751"/>
  <c r="W3750"/>
  <c r="S3750"/>
  <c r="R3750"/>
  <c r="Q3750"/>
  <c r="P3750"/>
  <c r="M3750"/>
  <c r="K3750"/>
  <c r="H3750"/>
  <c r="C3750"/>
  <c r="G3750"/>
  <c r="E3750"/>
  <c r="B3750"/>
  <c r="A3750"/>
  <c r="W3749"/>
  <c r="S3749"/>
  <c r="Q3749"/>
  <c r="P3749"/>
  <c r="M3749"/>
  <c r="K3749"/>
  <c r="H3749"/>
  <c r="C3749"/>
  <c r="G3749"/>
  <c r="E3749"/>
  <c r="B3749"/>
  <c r="A3749"/>
  <c r="W3748"/>
  <c r="S3748"/>
  <c r="Q3748"/>
  <c r="P3748"/>
  <c r="M3748"/>
  <c r="K3748"/>
  <c r="H3748"/>
  <c r="C3748"/>
  <c r="G3748"/>
  <c r="E3748"/>
  <c r="B3748"/>
  <c r="A3748"/>
  <c r="W3747"/>
  <c r="S3747"/>
  <c r="R3747"/>
  <c r="Q3747"/>
  <c r="P3747"/>
  <c r="M3747"/>
  <c r="K3747"/>
  <c r="H3747"/>
  <c r="C3747"/>
  <c r="G3747"/>
  <c r="E3747"/>
  <c r="B3747"/>
  <c r="A3747"/>
  <c r="W3746"/>
  <c r="S3746"/>
  <c r="Q3746"/>
  <c r="P3746"/>
  <c r="M3746"/>
  <c r="K3746"/>
  <c r="H3746"/>
  <c r="C3746"/>
  <c r="G3746"/>
  <c r="E3746"/>
  <c r="B3746"/>
  <c r="A3746"/>
  <c r="W3745"/>
  <c r="S3745"/>
  <c r="Q3745"/>
  <c r="P3745"/>
  <c r="M3745"/>
  <c r="K3745"/>
  <c r="H3745"/>
  <c r="C3745"/>
  <c r="G3745"/>
  <c r="E3745"/>
  <c r="B3745"/>
  <c r="A3745"/>
  <c r="W3744"/>
  <c r="S3744"/>
  <c r="Q3744"/>
  <c r="P3744"/>
  <c r="M3744"/>
  <c r="K3744"/>
  <c r="H3744"/>
  <c r="C3744"/>
  <c r="G3744"/>
  <c r="E3744"/>
  <c r="B3744"/>
  <c r="A3744"/>
  <c r="W3743"/>
  <c r="S3743"/>
  <c r="R3743"/>
  <c r="Q3743"/>
  <c r="P3743"/>
  <c r="M3743"/>
  <c r="K3743"/>
  <c r="H3743"/>
  <c r="C3743"/>
  <c r="G3743"/>
  <c r="E3743"/>
  <c r="B3743"/>
  <c r="A3743"/>
  <c r="W3742"/>
  <c r="S3742"/>
  <c r="Q3742"/>
  <c r="P3742"/>
  <c r="M3742"/>
  <c r="K3742"/>
  <c r="H3742"/>
  <c r="C3742"/>
  <c r="G3742"/>
  <c r="E3742"/>
  <c r="B3742"/>
  <c r="A3742"/>
  <c r="W3741"/>
  <c r="S3741"/>
  <c r="R3741"/>
  <c r="Q3741"/>
  <c r="P3741"/>
  <c r="M3741"/>
  <c r="K3741"/>
  <c r="H3741"/>
  <c r="C3741"/>
  <c r="G3741"/>
  <c r="E3741"/>
  <c r="B3741"/>
  <c r="A3741"/>
  <c r="W3740"/>
  <c r="S3740"/>
  <c r="Q3740"/>
  <c r="P3740"/>
  <c r="M3740"/>
  <c r="K3740"/>
  <c r="H3740"/>
  <c r="C3740"/>
  <c r="G3740"/>
  <c r="E3740"/>
  <c r="B3740"/>
  <c r="A3740"/>
  <c r="W3739"/>
  <c r="S3739"/>
  <c r="Q3739"/>
  <c r="P3739"/>
  <c r="M3739"/>
  <c r="K3739"/>
  <c r="H3739"/>
  <c r="C3739"/>
  <c r="G3739"/>
  <c r="E3739"/>
  <c r="B3739"/>
  <c r="A3739"/>
  <c r="W3738"/>
  <c r="S3738"/>
  <c r="R3738"/>
  <c r="Q3738"/>
  <c r="P3738"/>
  <c r="M3738"/>
  <c r="K3738"/>
  <c r="H3738"/>
  <c r="C3738"/>
  <c r="G3738"/>
  <c r="E3738"/>
  <c r="B3738"/>
  <c r="A3738"/>
  <c r="W3737"/>
  <c r="S3737"/>
  <c r="Q3737"/>
  <c r="P3737"/>
  <c r="M3737"/>
  <c r="K3737"/>
  <c r="H3737"/>
  <c r="C3737"/>
  <c r="G3737"/>
  <c r="E3737"/>
  <c r="B3737"/>
  <c r="A3737"/>
  <c r="W3736"/>
  <c r="S3736"/>
  <c r="Q3736"/>
  <c r="P3736"/>
  <c r="M3736"/>
  <c r="K3736"/>
  <c r="H3736"/>
  <c r="C3736"/>
  <c r="G3736"/>
  <c r="E3736"/>
  <c r="B3736"/>
  <c r="A3736"/>
  <c r="W3735"/>
  <c r="S3735"/>
  <c r="R3735"/>
  <c r="Q3735"/>
  <c r="P3735"/>
  <c r="M3735"/>
  <c r="K3735"/>
  <c r="H3735"/>
  <c r="C3735"/>
  <c r="G3735"/>
  <c r="E3735"/>
  <c r="B3735"/>
  <c r="A3735"/>
  <c r="W3734"/>
  <c r="S3734"/>
  <c r="Q3734"/>
  <c r="P3734"/>
  <c r="M3734"/>
  <c r="K3734"/>
  <c r="H3734"/>
  <c r="C3734"/>
  <c r="G3734"/>
  <c r="E3734"/>
  <c r="B3734"/>
  <c r="A3734"/>
  <c r="W3733"/>
  <c r="S3733"/>
  <c r="Q3733"/>
  <c r="P3733"/>
  <c r="M3733"/>
  <c r="K3733"/>
  <c r="H3733"/>
  <c r="C3733"/>
  <c r="G3733"/>
  <c r="E3733"/>
  <c r="B3733"/>
  <c r="A3733"/>
  <c r="W3732"/>
  <c r="S3732"/>
  <c r="R3732"/>
  <c r="Q3732"/>
  <c r="P3732"/>
  <c r="M3732"/>
  <c r="K3732"/>
  <c r="H3732"/>
  <c r="C3732"/>
  <c r="G3732"/>
  <c r="E3732"/>
  <c r="B3732"/>
  <c r="A3732"/>
  <c r="W3731"/>
  <c r="S3731"/>
  <c r="R3731"/>
  <c r="Q3731"/>
  <c r="P3731"/>
  <c r="M3731"/>
  <c r="K3731"/>
  <c r="H3731"/>
  <c r="C3731"/>
  <c r="G3731"/>
  <c r="E3731"/>
  <c r="B3731"/>
  <c r="A3731"/>
  <c r="W3730"/>
  <c r="S3730"/>
  <c r="Q3730"/>
  <c r="P3730"/>
  <c r="M3730"/>
  <c r="K3730"/>
  <c r="H3730"/>
  <c r="C3730"/>
  <c r="G3730"/>
  <c r="E3730"/>
  <c r="B3730"/>
  <c r="A3730"/>
  <c r="W3729"/>
  <c r="S3729"/>
  <c r="R3729"/>
  <c r="Q3729"/>
  <c r="P3729"/>
  <c r="M3729"/>
  <c r="K3729"/>
  <c r="H3729"/>
  <c r="C3729"/>
  <c r="G3729"/>
  <c r="E3729"/>
  <c r="B3729"/>
  <c r="A3729"/>
  <c r="W3728"/>
  <c r="S3728"/>
  <c r="Q3728"/>
  <c r="P3728"/>
  <c r="M3728"/>
  <c r="K3728"/>
  <c r="H3728"/>
  <c r="C3728"/>
  <c r="G3728"/>
  <c r="E3728"/>
  <c r="B3728"/>
  <c r="A3728"/>
  <c r="W3727"/>
  <c r="S3727"/>
  <c r="Q3727"/>
  <c r="P3727"/>
  <c r="M3727"/>
  <c r="K3727"/>
  <c r="H3727"/>
  <c r="C3727"/>
  <c r="G3727"/>
  <c r="E3727"/>
  <c r="B3727"/>
  <c r="A3727"/>
  <c r="W3726"/>
  <c r="S3726"/>
  <c r="R3726"/>
  <c r="Q3726"/>
  <c r="P3726"/>
  <c r="M3726"/>
  <c r="K3726"/>
  <c r="H3726"/>
  <c r="C3726"/>
  <c r="G3726"/>
  <c r="E3726"/>
  <c r="B3726"/>
  <c r="A3726"/>
  <c r="W3725"/>
  <c r="S3725"/>
  <c r="Q3725"/>
  <c r="P3725"/>
  <c r="M3725"/>
  <c r="K3725"/>
  <c r="H3725"/>
  <c r="C3725"/>
  <c r="G3725"/>
  <c r="E3725"/>
  <c r="B3725"/>
  <c r="A3725"/>
  <c r="W3724"/>
  <c r="S3724"/>
  <c r="Q3724"/>
  <c r="P3724"/>
  <c r="M3724"/>
  <c r="K3724"/>
  <c r="H3724"/>
  <c r="C3724"/>
  <c r="G3724"/>
  <c r="E3724"/>
  <c r="B3724"/>
  <c r="A3724"/>
  <c r="W3723"/>
  <c r="S3723"/>
  <c r="Q3723"/>
  <c r="P3723"/>
  <c r="M3723"/>
  <c r="K3723"/>
  <c r="H3723"/>
  <c r="C3723"/>
  <c r="G3723"/>
  <c r="E3723"/>
  <c r="B3723"/>
  <c r="A3723"/>
  <c r="W3722"/>
  <c r="S3722"/>
  <c r="Q3722"/>
  <c r="P3722"/>
  <c r="M3722"/>
  <c r="K3722"/>
  <c r="H3722"/>
  <c r="C3722"/>
  <c r="G3722"/>
  <c r="E3722"/>
  <c r="B3722"/>
  <c r="A3722"/>
  <c r="W3721"/>
  <c r="S3721"/>
  <c r="Q3721"/>
  <c r="P3721"/>
  <c r="M3721"/>
  <c r="K3721"/>
  <c r="H3721"/>
  <c r="C3721"/>
  <c r="G3721"/>
  <c r="E3721"/>
  <c r="B3721"/>
  <c r="A3721"/>
  <c r="W3720"/>
  <c r="S3720"/>
  <c r="Q3720"/>
  <c r="P3720"/>
  <c r="M3720"/>
  <c r="K3720"/>
  <c r="H3720"/>
  <c r="C3720"/>
  <c r="G3720"/>
  <c r="E3720"/>
  <c r="B3720"/>
  <c r="A3720"/>
  <c r="W3719"/>
  <c r="S3719"/>
  <c r="Q3719"/>
  <c r="P3719"/>
  <c r="M3719"/>
  <c r="K3719"/>
  <c r="H3719"/>
  <c r="C3719"/>
  <c r="G3719"/>
  <c r="E3719"/>
  <c r="B3719"/>
  <c r="A3719"/>
  <c r="W3718"/>
  <c r="S3718"/>
  <c r="Q3718"/>
  <c r="P3718"/>
  <c r="M3718"/>
  <c r="K3718"/>
  <c r="H3718"/>
  <c r="C3718"/>
  <c r="G3718"/>
  <c r="E3718"/>
  <c r="B3718"/>
  <c r="A3718"/>
  <c r="W3717"/>
  <c r="S3717"/>
  <c r="Q3717"/>
  <c r="P3717"/>
  <c r="M3717"/>
  <c r="K3717"/>
  <c r="H3717"/>
  <c r="C3717"/>
  <c r="G3717"/>
  <c r="E3717"/>
  <c r="B3717"/>
  <c r="A3717"/>
  <c r="W3716"/>
  <c r="S3716"/>
  <c r="Q3716"/>
  <c r="P3716"/>
  <c r="M3716"/>
  <c r="K3716"/>
  <c r="H3716"/>
  <c r="C3716"/>
  <c r="G3716"/>
  <c r="E3716"/>
  <c r="B3716"/>
  <c r="A3716"/>
  <c r="W3715"/>
  <c r="S3715"/>
  <c r="Q3715"/>
  <c r="P3715"/>
  <c r="M3715"/>
  <c r="K3715"/>
  <c r="H3715"/>
  <c r="C3715"/>
  <c r="G3715"/>
  <c r="E3715"/>
  <c r="B3715"/>
  <c r="A3715"/>
  <c r="W3714"/>
  <c r="S3714"/>
  <c r="Q3714"/>
  <c r="P3714"/>
  <c r="M3714"/>
  <c r="K3714"/>
  <c r="H3714"/>
  <c r="C3714"/>
  <c r="G3714"/>
  <c r="E3714"/>
  <c r="B3714"/>
  <c r="A3714"/>
  <c r="W3713"/>
  <c r="S3713"/>
  <c r="Q3713"/>
  <c r="P3713"/>
  <c r="M3713"/>
  <c r="K3713"/>
  <c r="H3713"/>
  <c r="C3713"/>
  <c r="G3713"/>
  <c r="E3713"/>
  <c r="B3713"/>
  <c r="A3713"/>
  <c r="W3712"/>
  <c r="S3712"/>
  <c r="Q3712"/>
  <c r="P3712"/>
  <c r="M3712"/>
  <c r="K3712"/>
  <c r="H3712"/>
  <c r="C3712"/>
  <c r="G3712"/>
  <c r="E3712"/>
  <c r="B3712"/>
  <c r="A3712"/>
  <c r="W3711"/>
  <c r="S3711"/>
  <c r="R3711"/>
  <c r="Q3711"/>
  <c r="P3711"/>
  <c r="M3711"/>
  <c r="K3711"/>
  <c r="H3711"/>
  <c r="C3711"/>
  <c r="G3711"/>
  <c r="E3711"/>
  <c r="B3711"/>
  <c r="A3711"/>
  <c r="W3710"/>
  <c r="S3710"/>
  <c r="Q3710"/>
  <c r="P3710"/>
  <c r="M3710"/>
  <c r="K3710"/>
  <c r="H3710"/>
  <c r="C3710"/>
  <c r="G3710"/>
  <c r="E3710"/>
  <c r="B3710"/>
  <c r="A3710"/>
  <c r="W3709"/>
  <c r="S3709"/>
  <c r="Q3709"/>
  <c r="P3709"/>
  <c r="M3709"/>
  <c r="K3709"/>
  <c r="H3709"/>
  <c r="C3709"/>
  <c r="G3709"/>
  <c r="E3709"/>
  <c r="B3709"/>
  <c r="A3709"/>
  <c r="W3708"/>
  <c r="S3708"/>
  <c r="Q3708"/>
  <c r="P3708"/>
  <c r="M3708"/>
  <c r="K3708"/>
  <c r="H3708"/>
  <c r="C3708"/>
  <c r="G3708"/>
  <c r="E3708"/>
  <c r="B3708"/>
  <c r="A3708"/>
  <c r="W3707"/>
  <c r="S3707"/>
  <c r="Q3707"/>
  <c r="P3707"/>
  <c r="M3707"/>
  <c r="K3707"/>
  <c r="H3707"/>
  <c r="C3707"/>
  <c r="G3707"/>
  <c r="E3707"/>
  <c r="B3707"/>
  <c r="A3707"/>
  <c r="W3706"/>
  <c r="S3706"/>
  <c r="Q3706"/>
  <c r="P3706"/>
  <c r="M3706"/>
  <c r="K3706"/>
  <c r="H3706"/>
  <c r="C3706"/>
  <c r="G3706"/>
  <c r="E3706"/>
  <c r="B3706"/>
  <c r="A3706"/>
  <c r="W3705"/>
  <c r="S3705"/>
  <c r="Q3705"/>
  <c r="P3705"/>
  <c r="M3705"/>
  <c r="K3705"/>
  <c r="H3705"/>
  <c r="C3705"/>
  <c r="G3705"/>
  <c r="E3705"/>
  <c r="B3705"/>
  <c r="A3705"/>
  <c r="W3704"/>
  <c r="S3704"/>
  <c r="Q3704"/>
  <c r="P3704"/>
  <c r="M3704"/>
  <c r="K3704"/>
  <c r="H3704"/>
  <c r="C3704"/>
  <c r="G3704"/>
  <c r="E3704"/>
  <c r="B3704"/>
  <c r="A3704"/>
  <c r="W3703"/>
  <c r="S3703"/>
  <c r="R3703"/>
  <c r="Q3703"/>
  <c r="P3703"/>
  <c r="M3703"/>
  <c r="K3703"/>
  <c r="H3703"/>
  <c r="C3703"/>
  <c r="G3703"/>
  <c r="E3703"/>
  <c r="B3703"/>
  <c r="A3703"/>
  <c r="W3702"/>
  <c r="S3702"/>
  <c r="Q3702"/>
  <c r="P3702"/>
  <c r="M3702"/>
  <c r="K3702"/>
  <c r="H3702"/>
  <c r="C3702"/>
  <c r="G3702"/>
  <c r="E3702"/>
  <c r="B3702"/>
  <c r="A3702"/>
  <c r="W3701"/>
  <c r="S3701"/>
  <c r="Q3701"/>
  <c r="P3701"/>
  <c r="N3701"/>
  <c r="M3701"/>
  <c r="K3701"/>
  <c r="H3701"/>
  <c r="C3701"/>
  <c r="G3701"/>
  <c r="E3701"/>
  <c r="B3701"/>
  <c r="A3701"/>
  <c r="W3700"/>
  <c r="S3700"/>
  <c r="Q3700"/>
  <c r="P3700"/>
  <c r="M3700"/>
  <c r="K3700"/>
  <c r="H3700"/>
  <c r="C3700"/>
  <c r="G3700"/>
  <c r="E3700"/>
  <c r="B3700"/>
  <c r="A3700"/>
  <c r="W3699"/>
  <c r="S3699"/>
  <c r="Q3699"/>
  <c r="P3699"/>
  <c r="M3699"/>
  <c r="K3699"/>
  <c r="H3699"/>
  <c r="C3699"/>
  <c r="G3699"/>
  <c r="E3699"/>
  <c r="B3699"/>
  <c r="A3699"/>
  <c r="W3698"/>
  <c r="S3698"/>
  <c r="Q3698"/>
  <c r="P3698"/>
  <c r="M3698"/>
  <c r="K3698"/>
  <c r="H3698"/>
  <c r="C3698"/>
  <c r="G3698"/>
  <c r="E3698"/>
  <c r="B3698"/>
  <c r="A3698"/>
  <c r="W3697"/>
  <c r="S3697"/>
  <c r="Q3697"/>
  <c r="P3697"/>
  <c r="M3697"/>
  <c r="K3697"/>
  <c r="H3697"/>
  <c r="C3697"/>
  <c r="G3697"/>
  <c r="E3697"/>
  <c r="B3697"/>
  <c r="A3697"/>
  <c r="W3696"/>
  <c r="S3696"/>
  <c r="R3696"/>
  <c r="Q3696"/>
  <c r="P3696"/>
  <c r="M3696"/>
  <c r="K3696"/>
  <c r="H3696"/>
  <c r="C3696"/>
  <c r="G3696"/>
  <c r="E3696"/>
  <c r="B3696"/>
  <c r="A3696"/>
  <c r="W3695"/>
  <c r="S3695"/>
  <c r="Q3695"/>
  <c r="P3695"/>
  <c r="M3695"/>
  <c r="K3695"/>
  <c r="H3695"/>
  <c r="C3695"/>
  <c r="G3695"/>
  <c r="E3695"/>
  <c r="B3695"/>
  <c r="A3695"/>
  <c r="W3694"/>
  <c r="S3694"/>
  <c r="Q3694"/>
  <c r="P3694"/>
  <c r="N3694"/>
  <c r="M3694"/>
  <c r="K3694"/>
  <c r="H3694"/>
  <c r="C3694"/>
  <c r="G3694"/>
  <c r="E3694"/>
  <c r="B3694"/>
  <c r="A3694"/>
  <c r="W3693"/>
  <c r="S3693"/>
  <c r="Q3693"/>
  <c r="P3693"/>
  <c r="N3693"/>
  <c r="M3693"/>
  <c r="K3693"/>
  <c r="H3693"/>
  <c r="C3693"/>
  <c r="G3693"/>
  <c r="E3693"/>
  <c r="B3693"/>
  <c r="A3693"/>
  <c r="W3692"/>
  <c r="S3692"/>
  <c r="Q3692"/>
  <c r="P3692"/>
  <c r="M3692"/>
  <c r="K3692"/>
  <c r="H3692"/>
  <c r="C3692"/>
  <c r="G3692"/>
  <c r="E3692"/>
  <c r="B3692"/>
  <c r="A3692"/>
  <c r="W3691"/>
  <c r="S3691"/>
  <c r="R3691"/>
  <c r="Q3691"/>
  <c r="P3691"/>
  <c r="M3691"/>
  <c r="K3691"/>
  <c r="H3691"/>
  <c r="C3691"/>
  <c r="G3691"/>
  <c r="E3691"/>
  <c r="B3691"/>
  <c r="A3691"/>
  <c r="W3690"/>
  <c r="S3690"/>
  <c r="Q3690"/>
  <c r="P3690"/>
  <c r="M3690"/>
  <c r="K3690"/>
  <c r="H3690"/>
  <c r="C3690"/>
  <c r="G3690"/>
  <c r="E3690"/>
  <c r="B3690"/>
  <c r="A3690"/>
  <c r="W3689"/>
  <c r="S3689"/>
  <c r="Q3689"/>
  <c r="P3689"/>
  <c r="M3689"/>
  <c r="K3689"/>
  <c r="H3689"/>
  <c r="C3689"/>
  <c r="G3689"/>
  <c r="E3689"/>
  <c r="B3689"/>
  <c r="A3689"/>
  <c r="W3688"/>
  <c r="S3688"/>
  <c r="Q3688"/>
  <c r="P3688"/>
  <c r="M3688"/>
  <c r="K3688"/>
  <c r="H3688"/>
  <c r="C3688"/>
  <c r="G3688"/>
  <c r="E3688"/>
  <c r="B3688"/>
  <c r="A3688"/>
  <c r="W3687"/>
  <c r="S3687"/>
  <c r="Q3687"/>
  <c r="P3687"/>
  <c r="M3687"/>
  <c r="K3687"/>
  <c r="H3687"/>
  <c r="C3687"/>
  <c r="G3687"/>
  <c r="E3687"/>
  <c r="B3687"/>
  <c r="A3687"/>
  <c r="W3686"/>
  <c r="S3686"/>
  <c r="Q3686"/>
  <c r="P3686"/>
  <c r="M3686"/>
  <c r="K3686"/>
  <c r="H3686"/>
  <c r="C3686"/>
  <c r="G3686"/>
  <c r="E3686"/>
  <c r="B3686"/>
  <c r="A3686"/>
  <c r="W3685"/>
  <c r="S3685"/>
  <c r="Q3685"/>
  <c r="P3685"/>
  <c r="M3685"/>
  <c r="K3685"/>
  <c r="H3685"/>
  <c r="C3685"/>
  <c r="G3685"/>
  <c r="E3685"/>
  <c r="B3685"/>
  <c r="A3685"/>
  <c r="W3684"/>
  <c r="S3684"/>
  <c r="Q3684"/>
  <c r="P3684"/>
  <c r="M3684"/>
  <c r="K3684"/>
  <c r="H3684"/>
  <c r="C3684"/>
  <c r="G3684"/>
  <c r="E3684"/>
  <c r="B3684"/>
  <c r="A3684"/>
  <c r="W3683"/>
  <c r="S3683"/>
  <c r="R3683"/>
  <c r="Q3683"/>
  <c r="P3683"/>
  <c r="M3683"/>
  <c r="K3683"/>
  <c r="H3683"/>
  <c r="C3683"/>
  <c r="G3683"/>
  <c r="E3683"/>
  <c r="B3683"/>
  <c r="A3683"/>
  <c r="W3682"/>
  <c r="S3682"/>
  <c r="Q3682"/>
  <c r="P3682"/>
  <c r="M3682"/>
  <c r="K3682"/>
  <c r="H3682"/>
  <c r="C3682"/>
  <c r="G3682"/>
  <c r="E3682"/>
  <c r="B3682"/>
  <c r="A3682"/>
  <c r="W3681"/>
  <c r="S3681"/>
  <c r="Q3681"/>
  <c r="P3681"/>
  <c r="M3681"/>
  <c r="K3681"/>
  <c r="H3681"/>
  <c r="C3681"/>
  <c r="G3681"/>
  <c r="E3681"/>
  <c r="B3681"/>
  <c r="A3681"/>
  <c r="W3680"/>
  <c r="S3680"/>
  <c r="Q3680"/>
  <c r="P3680"/>
  <c r="M3680"/>
  <c r="K3680"/>
  <c r="H3680"/>
  <c r="C3680"/>
  <c r="G3680"/>
  <c r="E3680"/>
  <c r="B3680"/>
  <c r="A3680"/>
  <c r="W3679"/>
  <c r="S3679"/>
  <c r="Q3679"/>
  <c r="P3679"/>
  <c r="M3679"/>
  <c r="K3679"/>
  <c r="H3679"/>
  <c r="C3679"/>
  <c r="G3679"/>
  <c r="E3679"/>
  <c r="B3679"/>
  <c r="A3679"/>
  <c r="W3678"/>
  <c r="S3678"/>
  <c r="Q3678"/>
  <c r="P3678"/>
  <c r="M3678"/>
  <c r="K3678"/>
  <c r="H3678"/>
  <c r="C3678"/>
  <c r="G3678"/>
  <c r="E3678"/>
  <c r="B3678"/>
  <c r="A3678"/>
  <c r="W3677"/>
  <c r="S3677"/>
  <c r="Q3677"/>
  <c r="P3677"/>
  <c r="M3677"/>
  <c r="K3677"/>
  <c r="H3677"/>
  <c r="C3677"/>
  <c r="G3677"/>
  <c r="E3677"/>
  <c r="B3677"/>
  <c r="A3677"/>
  <c r="W3676"/>
  <c r="S3676"/>
  <c r="Q3676"/>
  <c r="P3676"/>
  <c r="M3676"/>
  <c r="K3676"/>
  <c r="H3676"/>
  <c r="C3676"/>
  <c r="G3676"/>
  <c r="E3676"/>
  <c r="B3676"/>
  <c r="A3676"/>
  <c r="W3675"/>
  <c r="S3675"/>
  <c r="Q3675"/>
  <c r="P3675"/>
  <c r="M3675"/>
  <c r="K3675"/>
  <c r="H3675"/>
  <c r="C3675"/>
  <c r="G3675"/>
  <c r="E3675"/>
  <c r="B3675"/>
  <c r="A3675"/>
  <c r="W3674"/>
  <c r="S3674"/>
  <c r="Q3674"/>
  <c r="P3674"/>
  <c r="M3674"/>
  <c r="K3674"/>
  <c r="H3674"/>
  <c r="C3674"/>
  <c r="G3674"/>
  <c r="E3674"/>
  <c r="B3674"/>
  <c r="A3674"/>
  <c r="W3673"/>
  <c r="S3673"/>
  <c r="Q3673"/>
  <c r="P3673"/>
  <c r="M3673"/>
  <c r="K3673"/>
  <c r="H3673"/>
  <c r="C3673"/>
  <c r="G3673"/>
  <c r="E3673"/>
  <c r="B3673"/>
  <c r="A3673"/>
  <c r="W3672"/>
  <c r="S3672"/>
  <c r="R3672"/>
  <c r="Q3672"/>
  <c r="P3672"/>
  <c r="M3672"/>
  <c r="K3672"/>
  <c r="H3672"/>
  <c r="C3672"/>
  <c r="G3672"/>
  <c r="E3672"/>
  <c r="B3672"/>
  <c r="A3672"/>
  <c r="W3671"/>
  <c r="S3671"/>
  <c r="Q3671"/>
  <c r="P3671"/>
  <c r="M3671"/>
  <c r="K3671"/>
  <c r="H3671"/>
  <c r="C3671"/>
  <c r="G3671"/>
  <c r="E3671"/>
  <c r="B3671"/>
  <c r="A3671"/>
  <c r="W3670"/>
  <c r="S3670"/>
  <c r="Q3670"/>
  <c r="P3670"/>
  <c r="M3670"/>
  <c r="K3670"/>
  <c r="H3670"/>
  <c r="C3670"/>
  <c r="G3670"/>
  <c r="E3670"/>
  <c r="B3670"/>
  <c r="A3670"/>
  <c r="W3669"/>
  <c r="S3669"/>
  <c r="Q3669"/>
  <c r="P3669"/>
  <c r="M3669"/>
  <c r="K3669"/>
  <c r="H3669"/>
  <c r="C3669"/>
  <c r="G3669"/>
  <c r="E3669"/>
  <c r="B3669"/>
  <c r="A3669"/>
  <c r="W3668"/>
  <c r="S3668"/>
  <c r="Q3668"/>
  <c r="P3668"/>
  <c r="M3668"/>
  <c r="K3668"/>
  <c r="H3668"/>
  <c r="C3668"/>
  <c r="G3668"/>
  <c r="E3668"/>
  <c r="B3668"/>
  <c r="A3668"/>
  <c r="W3667"/>
  <c r="S3667"/>
  <c r="Q3667"/>
  <c r="P3667"/>
  <c r="M3667"/>
  <c r="K3667"/>
  <c r="H3667"/>
  <c r="C3667"/>
  <c r="G3667"/>
  <c r="E3667"/>
  <c r="B3667"/>
  <c r="A3667"/>
  <c r="W3666"/>
  <c r="S3666"/>
  <c r="Q3666"/>
  <c r="P3666"/>
  <c r="M3666"/>
  <c r="K3666"/>
  <c r="H3666"/>
  <c r="C3666"/>
  <c r="G3666"/>
  <c r="E3666"/>
  <c r="B3666"/>
  <c r="A3666"/>
  <c r="W3665"/>
  <c r="S3665"/>
  <c r="Q3665"/>
  <c r="P3665"/>
  <c r="M3665"/>
  <c r="K3665"/>
  <c r="H3665"/>
  <c r="C3665"/>
  <c r="G3665"/>
  <c r="E3665"/>
  <c r="B3665"/>
  <c r="A3665"/>
  <c r="W3664"/>
  <c r="S3664"/>
  <c r="Q3664"/>
  <c r="P3664"/>
  <c r="M3664"/>
  <c r="K3664"/>
  <c r="H3664"/>
  <c r="C3664"/>
  <c r="G3664"/>
  <c r="E3664"/>
  <c r="B3664"/>
  <c r="A3664"/>
  <c r="W3663"/>
  <c r="S3663"/>
  <c r="Q3663"/>
  <c r="P3663"/>
  <c r="M3663"/>
  <c r="K3663"/>
  <c r="H3663"/>
  <c r="C3663"/>
  <c r="G3663"/>
  <c r="E3663"/>
  <c r="B3663"/>
  <c r="A3663"/>
  <c r="W3662"/>
  <c r="S3662"/>
  <c r="Q3662"/>
  <c r="P3662"/>
  <c r="M3662"/>
  <c r="K3662"/>
  <c r="H3662"/>
  <c r="C3662"/>
  <c r="G3662"/>
  <c r="E3662"/>
  <c r="B3662"/>
  <c r="A3662"/>
  <c r="W3661"/>
  <c r="S3661"/>
  <c r="Q3661"/>
  <c r="P3661"/>
  <c r="M3661"/>
  <c r="K3661"/>
  <c r="H3661"/>
  <c r="C3661"/>
  <c r="G3661"/>
  <c r="E3661"/>
  <c r="B3661"/>
  <c r="A3661"/>
  <c r="W3660"/>
  <c r="S3660"/>
  <c r="Q3660"/>
  <c r="P3660"/>
  <c r="M3660"/>
  <c r="K3660"/>
  <c r="H3660"/>
  <c r="C3660"/>
  <c r="G3660"/>
  <c r="E3660"/>
  <c r="B3660"/>
  <c r="A3660"/>
  <c r="W3659"/>
  <c r="S3659"/>
  <c r="Q3659"/>
  <c r="P3659"/>
  <c r="M3659"/>
  <c r="K3659"/>
  <c r="H3659"/>
  <c r="C3659"/>
  <c r="G3659"/>
  <c r="E3659"/>
  <c r="B3659"/>
  <c r="A3659"/>
  <c r="W3658"/>
  <c r="S3658"/>
  <c r="Q3658"/>
  <c r="P3658"/>
  <c r="M3658"/>
  <c r="K3658"/>
  <c r="H3658"/>
  <c r="C3658"/>
  <c r="G3658"/>
  <c r="E3658"/>
  <c r="B3658"/>
  <c r="A3658"/>
  <c r="W3657"/>
  <c r="S3657"/>
  <c r="Q3657"/>
  <c r="P3657"/>
  <c r="M3657"/>
  <c r="K3657"/>
  <c r="H3657"/>
  <c r="C3657"/>
  <c r="G3657"/>
  <c r="E3657"/>
  <c r="B3657"/>
  <c r="A3657"/>
  <c r="W3656"/>
  <c r="S3656"/>
  <c r="R3656"/>
  <c r="Q3656"/>
  <c r="P3656"/>
  <c r="M3656"/>
  <c r="K3656"/>
  <c r="H3656"/>
  <c r="C3656"/>
  <c r="G3656"/>
  <c r="E3656"/>
  <c r="B3656"/>
  <c r="A3656"/>
  <c r="W3655"/>
  <c r="S3655"/>
  <c r="Q3655"/>
  <c r="P3655"/>
  <c r="M3655"/>
  <c r="K3655"/>
  <c r="H3655"/>
  <c r="C3655"/>
  <c r="G3655"/>
  <c r="E3655"/>
  <c r="B3655"/>
  <c r="A3655"/>
  <c r="W3654"/>
  <c r="S3654"/>
  <c r="Q3654"/>
  <c r="P3654"/>
  <c r="M3654"/>
  <c r="K3654"/>
  <c r="H3654"/>
  <c r="C3654"/>
  <c r="G3654"/>
  <c r="E3654"/>
  <c r="B3654"/>
  <c r="A3654"/>
  <c r="W3653"/>
  <c r="S3653"/>
  <c r="Q3653"/>
  <c r="P3653"/>
  <c r="M3653"/>
  <c r="K3653"/>
  <c r="H3653"/>
  <c r="C3653"/>
  <c r="G3653"/>
  <c r="E3653"/>
  <c r="B3653"/>
  <c r="A3653"/>
  <c r="W3652"/>
  <c r="S3652"/>
  <c r="Q3652"/>
  <c r="P3652"/>
  <c r="M3652"/>
  <c r="K3652"/>
  <c r="H3652"/>
  <c r="C3652"/>
  <c r="G3652"/>
  <c r="E3652"/>
  <c r="B3652"/>
  <c r="A3652"/>
  <c r="W3651"/>
  <c r="S3651"/>
  <c r="Q3651"/>
  <c r="P3651"/>
  <c r="M3651"/>
  <c r="K3651"/>
  <c r="H3651"/>
  <c r="C3651"/>
  <c r="G3651"/>
  <c r="E3651"/>
  <c r="B3651"/>
  <c r="A3651"/>
  <c r="W3650"/>
  <c r="S3650"/>
  <c r="Q3650"/>
  <c r="P3650"/>
  <c r="M3650"/>
  <c r="K3650"/>
  <c r="H3650"/>
  <c r="C3650"/>
  <c r="G3650"/>
  <c r="E3650"/>
  <c r="B3650"/>
  <c r="A3650"/>
  <c r="W3649"/>
  <c r="S3649"/>
  <c r="Q3649"/>
  <c r="P3649"/>
  <c r="M3649"/>
  <c r="K3649"/>
  <c r="H3649"/>
  <c r="C3649"/>
  <c r="G3649"/>
  <c r="E3649"/>
  <c r="B3649"/>
  <c r="A3649"/>
  <c r="W3648"/>
  <c r="S3648"/>
  <c r="Q3648"/>
  <c r="P3648"/>
  <c r="M3648"/>
  <c r="K3648"/>
  <c r="H3648"/>
  <c r="C3648"/>
  <c r="G3648"/>
  <c r="E3648"/>
  <c r="B3648"/>
  <c r="A3648"/>
  <c r="W3647"/>
  <c r="S3647"/>
  <c r="Q3647"/>
  <c r="P3647"/>
  <c r="M3647"/>
  <c r="K3647"/>
  <c r="H3647"/>
  <c r="C3647"/>
  <c r="G3647"/>
  <c r="E3647"/>
  <c r="B3647"/>
  <c r="A3647"/>
  <c r="W3646"/>
  <c r="S3646"/>
  <c r="Q3646"/>
  <c r="P3646"/>
  <c r="M3646"/>
  <c r="K3646"/>
  <c r="H3646"/>
  <c r="C3646"/>
  <c r="G3646"/>
  <c r="E3646"/>
  <c r="B3646"/>
  <c r="A3646"/>
  <c r="W3645"/>
  <c r="S3645"/>
  <c r="Q3645"/>
  <c r="P3645"/>
  <c r="M3645"/>
  <c r="K3645"/>
  <c r="H3645"/>
  <c r="C3645"/>
  <c r="G3645"/>
  <c r="E3645"/>
  <c r="B3645"/>
  <c r="A3645"/>
  <c r="W3644"/>
  <c r="S3644"/>
  <c r="Q3644"/>
  <c r="P3644"/>
  <c r="M3644"/>
  <c r="K3644"/>
  <c r="H3644"/>
  <c r="C3644"/>
  <c r="G3644"/>
  <c r="E3644"/>
  <c r="B3644"/>
  <c r="A3644"/>
  <c r="W3643"/>
  <c r="S3643"/>
  <c r="R3643"/>
  <c r="Q3643"/>
  <c r="P3643"/>
  <c r="M3643"/>
  <c r="K3643"/>
  <c r="H3643"/>
  <c r="C3643"/>
  <c r="G3643"/>
  <c r="E3643"/>
  <c r="B3643"/>
  <c r="A3643"/>
  <c r="W3642"/>
  <c r="S3642"/>
  <c r="Q3642"/>
  <c r="P3642"/>
  <c r="M3642"/>
  <c r="K3642"/>
  <c r="H3642"/>
  <c r="C3642"/>
  <c r="G3642"/>
  <c r="E3642"/>
  <c r="B3642"/>
  <c r="A3642"/>
  <c r="W3641"/>
  <c r="S3641"/>
  <c r="Q3641"/>
  <c r="P3641"/>
  <c r="M3641"/>
  <c r="K3641"/>
  <c r="H3641"/>
  <c r="C3641"/>
  <c r="G3641"/>
  <c r="E3641"/>
  <c r="B3641"/>
  <c r="A3641"/>
  <c r="W3640"/>
  <c r="S3640"/>
  <c r="Q3640"/>
  <c r="P3640"/>
  <c r="M3640"/>
  <c r="K3640"/>
  <c r="H3640"/>
  <c r="C3640"/>
  <c r="G3640"/>
  <c r="E3640"/>
  <c r="B3640"/>
  <c r="A3640"/>
  <c r="W3639"/>
  <c r="S3639"/>
  <c r="Q3639"/>
  <c r="P3639"/>
  <c r="M3639"/>
  <c r="K3639"/>
  <c r="H3639"/>
  <c r="C3639"/>
  <c r="G3639"/>
  <c r="E3639"/>
  <c r="B3639"/>
  <c r="A3639"/>
  <c r="W3638"/>
  <c r="S3638"/>
  <c r="Q3638"/>
  <c r="P3638"/>
  <c r="M3638"/>
  <c r="K3638"/>
  <c r="H3638"/>
  <c r="C3638"/>
  <c r="G3638"/>
  <c r="E3638"/>
  <c r="B3638"/>
  <c r="A3638"/>
  <c r="W3637"/>
  <c r="S3637"/>
  <c r="Q3637"/>
  <c r="P3637"/>
  <c r="M3637"/>
  <c r="K3637"/>
  <c r="H3637"/>
  <c r="C3637"/>
  <c r="G3637"/>
  <c r="E3637"/>
  <c r="B3637"/>
  <c r="A3637"/>
  <c r="W3636"/>
  <c r="S3636"/>
  <c r="Q3636"/>
  <c r="P3636"/>
  <c r="M3636"/>
  <c r="K3636"/>
  <c r="H3636"/>
  <c r="C3636"/>
  <c r="G3636"/>
  <c r="E3636"/>
  <c r="B3636"/>
  <c r="A3636"/>
  <c r="W3635"/>
  <c r="S3635"/>
  <c r="Q3635"/>
  <c r="P3635"/>
  <c r="M3635"/>
  <c r="K3635"/>
  <c r="H3635"/>
  <c r="C3635"/>
  <c r="G3635"/>
  <c r="E3635"/>
  <c r="B3635"/>
  <c r="A3635"/>
  <c r="W3634"/>
  <c r="S3634"/>
  <c r="Q3634"/>
  <c r="P3634"/>
  <c r="M3634"/>
  <c r="K3634"/>
  <c r="H3634"/>
  <c r="C3634"/>
  <c r="G3634"/>
  <c r="E3634"/>
  <c r="B3634"/>
  <c r="A3634"/>
  <c r="W3633"/>
  <c r="S3633"/>
  <c r="Q3633"/>
  <c r="P3633"/>
  <c r="M3633"/>
  <c r="K3633"/>
  <c r="H3633"/>
  <c r="C3633"/>
  <c r="G3633"/>
  <c r="E3633"/>
  <c r="B3633"/>
  <c r="A3633"/>
  <c r="W3632"/>
  <c r="S3632"/>
  <c r="Q3632"/>
  <c r="P3632"/>
  <c r="M3632"/>
  <c r="K3632"/>
  <c r="H3632"/>
  <c r="C3632"/>
  <c r="G3632"/>
  <c r="E3632"/>
  <c r="B3632"/>
  <c r="A3632"/>
  <c r="W3631"/>
  <c r="S3631"/>
  <c r="Q3631"/>
  <c r="P3631"/>
  <c r="M3631"/>
  <c r="K3631"/>
  <c r="H3631"/>
  <c r="C3631"/>
  <c r="G3631"/>
  <c r="E3631"/>
  <c r="B3631"/>
  <c r="A3631"/>
  <c r="W3630"/>
  <c r="S3630"/>
  <c r="Q3630"/>
  <c r="P3630"/>
  <c r="M3630"/>
  <c r="K3630"/>
  <c r="H3630"/>
  <c r="C3630"/>
  <c r="G3630"/>
  <c r="E3630"/>
  <c r="B3630"/>
  <c r="A3630"/>
  <c r="W3629"/>
  <c r="S3629"/>
  <c r="Q3629"/>
  <c r="P3629"/>
  <c r="M3629"/>
  <c r="K3629"/>
  <c r="H3629"/>
  <c r="C3629"/>
  <c r="G3629"/>
  <c r="E3629"/>
  <c r="B3629"/>
  <c r="A3629"/>
  <c r="W3628"/>
  <c r="S3628"/>
  <c r="Q3628"/>
  <c r="P3628"/>
  <c r="M3628"/>
  <c r="K3628"/>
  <c r="H3628"/>
  <c r="C3628"/>
  <c r="G3628"/>
  <c r="E3628"/>
  <c r="B3628"/>
  <c r="A3628"/>
  <c r="W3627"/>
  <c r="S3627"/>
  <c r="R3627"/>
  <c r="Q3627"/>
  <c r="P3627"/>
  <c r="M3627"/>
  <c r="K3627"/>
  <c r="H3627"/>
  <c r="C3627"/>
  <c r="G3627"/>
  <c r="E3627"/>
  <c r="B3627"/>
  <c r="A3627"/>
  <c r="W3626"/>
  <c r="S3626"/>
  <c r="Q3626"/>
  <c r="P3626"/>
  <c r="M3626"/>
  <c r="K3626"/>
  <c r="H3626"/>
  <c r="C3626"/>
  <c r="G3626"/>
  <c r="E3626"/>
  <c r="B3626"/>
  <c r="A3626"/>
  <c r="W3625"/>
  <c r="S3625"/>
  <c r="Q3625"/>
  <c r="P3625"/>
  <c r="M3625"/>
  <c r="K3625"/>
  <c r="H3625"/>
  <c r="C3625"/>
  <c r="G3625"/>
  <c r="E3625"/>
  <c r="B3625"/>
  <c r="A3625"/>
  <c r="W3624"/>
  <c r="S3624"/>
  <c r="Q3624"/>
  <c r="P3624"/>
  <c r="M3624"/>
  <c r="K3624"/>
  <c r="H3624"/>
  <c r="C3624"/>
  <c r="G3624"/>
  <c r="E3624"/>
  <c r="B3624"/>
  <c r="A3624"/>
  <c r="W3623"/>
  <c r="S3623"/>
  <c r="Q3623"/>
  <c r="P3623"/>
  <c r="M3623"/>
  <c r="K3623"/>
  <c r="H3623"/>
  <c r="C3623"/>
  <c r="G3623"/>
  <c r="E3623"/>
  <c r="B3623"/>
  <c r="A3623"/>
  <c r="W3622"/>
  <c r="S3622"/>
  <c r="Q3622"/>
  <c r="P3622"/>
  <c r="M3622"/>
  <c r="K3622"/>
  <c r="H3622"/>
  <c r="C3622"/>
  <c r="G3622"/>
  <c r="E3622"/>
  <c r="B3622"/>
  <c r="A3622"/>
  <c r="W3621"/>
  <c r="S3621"/>
  <c r="Q3621"/>
  <c r="P3621"/>
  <c r="M3621"/>
  <c r="K3621"/>
  <c r="H3621"/>
  <c r="C3621"/>
  <c r="G3621"/>
  <c r="E3621"/>
  <c r="B3621"/>
  <c r="A3621"/>
  <c r="W3620"/>
  <c r="S3620"/>
  <c r="Q3620"/>
  <c r="P3620"/>
  <c r="M3620"/>
  <c r="K3620"/>
  <c r="H3620"/>
  <c r="C3620"/>
  <c r="G3620"/>
  <c r="E3620"/>
  <c r="B3620"/>
  <c r="A3620"/>
  <c r="W3619"/>
  <c r="S3619"/>
  <c r="Q3619"/>
  <c r="P3619"/>
  <c r="M3619"/>
  <c r="K3619"/>
  <c r="H3619"/>
  <c r="C3619"/>
  <c r="G3619"/>
  <c r="E3619"/>
  <c r="B3619"/>
  <c r="A3619"/>
  <c r="W3618"/>
  <c r="S3618"/>
  <c r="Q3618"/>
  <c r="P3618"/>
  <c r="M3618"/>
  <c r="K3618"/>
  <c r="H3618"/>
  <c r="C3618"/>
  <c r="G3618"/>
  <c r="E3618"/>
  <c r="B3618"/>
  <c r="A3618"/>
  <c r="W3617"/>
  <c r="S3617"/>
  <c r="Q3617"/>
  <c r="P3617"/>
  <c r="M3617"/>
  <c r="K3617"/>
  <c r="H3617"/>
  <c r="C3617"/>
  <c r="G3617"/>
  <c r="E3617"/>
  <c r="B3617"/>
  <c r="A3617"/>
  <c r="W3616"/>
  <c r="S3616"/>
  <c r="Q3616"/>
  <c r="P3616"/>
  <c r="M3616"/>
  <c r="K3616"/>
  <c r="H3616"/>
  <c r="C3616"/>
  <c r="G3616"/>
  <c r="E3616"/>
  <c r="B3616"/>
  <c r="A3616"/>
  <c r="W3615"/>
  <c r="S3615"/>
  <c r="Q3615"/>
  <c r="P3615"/>
  <c r="M3615"/>
  <c r="K3615"/>
  <c r="H3615"/>
  <c r="C3615"/>
  <c r="G3615"/>
  <c r="E3615"/>
  <c r="B3615"/>
  <c r="A3615"/>
  <c r="W3614"/>
  <c r="S3614"/>
  <c r="Q3614"/>
  <c r="P3614"/>
  <c r="M3614"/>
  <c r="K3614"/>
  <c r="H3614"/>
  <c r="C3614"/>
  <c r="G3614"/>
  <c r="E3614"/>
  <c r="B3614"/>
  <c r="A3614"/>
  <c r="W3613"/>
  <c r="S3613"/>
  <c r="Q3613"/>
  <c r="P3613"/>
  <c r="M3613"/>
  <c r="K3613"/>
  <c r="H3613"/>
  <c r="C3613"/>
  <c r="G3613"/>
  <c r="E3613"/>
  <c r="B3613"/>
  <c r="A3613"/>
  <c r="W3612"/>
  <c r="S3612"/>
  <c r="Q3612"/>
  <c r="P3612"/>
  <c r="M3612"/>
  <c r="K3612"/>
  <c r="H3612"/>
  <c r="C3612"/>
  <c r="G3612"/>
  <c r="E3612"/>
  <c r="B3612"/>
  <c r="A3612"/>
  <c r="W3611"/>
  <c r="S3611"/>
  <c r="Q3611"/>
  <c r="P3611"/>
  <c r="M3611"/>
  <c r="K3611"/>
  <c r="H3611"/>
  <c r="C3611"/>
  <c r="G3611"/>
  <c r="E3611"/>
  <c r="B3611"/>
  <c r="A3611"/>
  <c r="W3610"/>
  <c r="S3610"/>
  <c r="R3610"/>
  <c r="Q3610"/>
  <c r="P3610"/>
  <c r="M3610"/>
  <c r="K3610"/>
  <c r="H3610"/>
  <c r="C3610"/>
  <c r="G3610"/>
  <c r="E3610"/>
  <c r="B3610"/>
  <c r="A3610"/>
  <c r="W3609"/>
  <c r="S3609"/>
  <c r="Q3609"/>
  <c r="P3609"/>
  <c r="M3609"/>
  <c r="K3609"/>
  <c r="H3609"/>
  <c r="C3609"/>
  <c r="G3609"/>
  <c r="E3609"/>
  <c r="B3609"/>
  <c r="A3609"/>
  <c r="W3608"/>
  <c r="S3608"/>
  <c r="Q3608"/>
  <c r="P3608"/>
  <c r="M3608"/>
  <c r="K3608"/>
  <c r="H3608"/>
  <c r="C3608"/>
  <c r="G3608"/>
  <c r="E3608"/>
  <c r="B3608"/>
  <c r="A3608"/>
  <c r="W3607"/>
  <c r="S3607"/>
  <c r="Q3607"/>
  <c r="P3607"/>
  <c r="M3607"/>
  <c r="K3607"/>
  <c r="H3607"/>
  <c r="C3607"/>
  <c r="G3607"/>
  <c r="E3607"/>
  <c r="B3607"/>
  <c r="A3607"/>
  <c r="W3606"/>
  <c r="S3606"/>
  <c r="Q3606"/>
  <c r="P3606"/>
  <c r="M3606"/>
  <c r="K3606"/>
  <c r="H3606"/>
  <c r="C3606"/>
  <c r="G3606"/>
  <c r="E3606"/>
  <c r="B3606"/>
  <c r="A3606"/>
  <c r="W3605"/>
  <c r="S3605"/>
  <c r="Q3605"/>
  <c r="P3605"/>
  <c r="M3605"/>
  <c r="K3605"/>
  <c r="H3605"/>
  <c r="C3605"/>
  <c r="G3605"/>
  <c r="E3605"/>
  <c r="B3605"/>
  <c r="A3605"/>
  <c r="W3604"/>
  <c r="S3604"/>
  <c r="Q3604"/>
  <c r="P3604"/>
  <c r="M3604"/>
  <c r="K3604"/>
  <c r="H3604"/>
  <c r="C3604"/>
  <c r="G3604"/>
  <c r="E3604"/>
  <c r="B3604"/>
  <c r="A3604"/>
  <c r="W3603"/>
  <c r="S3603"/>
  <c r="Q3603"/>
  <c r="P3603"/>
  <c r="M3603"/>
  <c r="K3603"/>
  <c r="H3603"/>
  <c r="C3603"/>
  <c r="G3603"/>
  <c r="E3603"/>
  <c r="B3603"/>
  <c r="A3603"/>
  <c r="W3602"/>
  <c r="S3602"/>
  <c r="Q3602"/>
  <c r="P3602"/>
  <c r="M3602"/>
  <c r="K3602"/>
  <c r="H3602"/>
  <c r="C3602"/>
  <c r="G3602"/>
  <c r="E3602"/>
  <c r="B3602"/>
  <c r="A3602"/>
  <c r="W3601"/>
  <c r="S3601"/>
  <c r="Q3601"/>
  <c r="P3601"/>
  <c r="M3601"/>
  <c r="K3601"/>
  <c r="H3601"/>
  <c r="C3601"/>
  <c r="G3601"/>
  <c r="E3601"/>
  <c r="B3601"/>
  <c r="A3601"/>
  <c r="W3600"/>
  <c r="S3600"/>
  <c r="Q3600"/>
  <c r="P3600"/>
  <c r="M3600"/>
  <c r="K3600"/>
  <c r="H3600"/>
  <c r="C3600"/>
  <c r="G3600"/>
  <c r="E3600"/>
  <c r="B3600"/>
  <c r="A3600"/>
  <c r="W3599"/>
  <c r="S3599"/>
  <c r="Q3599"/>
  <c r="P3599"/>
  <c r="M3599"/>
  <c r="K3599"/>
  <c r="H3599"/>
  <c r="C3599"/>
  <c r="G3599"/>
  <c r="E3599"/>
  <c r="B3599"/>
  <c r="A3599"/>
  <c r="W3598"/>
  <c r="S3598"/>
  <c r="R3598"/>
  <c r="Q3598"/>
  <c r="P3598"/>
  <c r="M3598"/>
  <c r="K3598"/>
  <c r="H3598"/>
  <c r="C3598"/>
  <c r="G3598"/>
  <c r="E3598"/>
  <c r="B3598"/>
  <c r="A3598"/>
  <c r="W3597"/>
  <c r="S3597"/>
  <c r="Q3597"/>
  <c r="P3597"/>
  <c r="M3597"/>
  <c r="K3597"/>
  <c r="H3597"/>
  <c r="C3597"/>
  <c r="G3597"/>
  <c r="E3597"/>
  <c r="B3597"/>
  <c r="A3597"/>
  <c r="W3596"/>
  <c r="S3596"/>
  <c r="Q3596"/>
  <c r="P3596"/>
  <c r="M3596"/>
  <c r="K3596"/>
  <c r="H3596"/>
  <c r="C3596"/>
  <c r="G3596"/>
  <c r="E3596"/>
  <c r="B3596"/>
  <c r="A3596"/>
  <c r="W3595"/>
  <c r="S3595"/>
  <c r="Q3595"/>
  <c r="P3595"/>
  <c r="M3595"/>
  <c r="K3595"/>
  <c r="H3595"/>
  <c r="C3595"/>
  <c r="G3595"/>
  <c r="E3595"/>
  <c r="B3595"/>
  <c r="A3595"/>
  <c r="W3594"/>
  <c r="S3594"/>
  <c r="Q3594"/>
  <c r="P3594"/>
  <c r="M3594"/>
  <c r="K3594"/>
  <c r="H3594"/>
  <c r="C3594"/>
  <c r="G3594"/>
  <c r="E3594"/>
  <c r="B3594"/>
  <c r="A3594"/>
  <c r="W3593"/>
  <c r="S3593"/>
  <c r="Q3593"/>
  <c r="P3593"/>
  <c r="M3593"/>
  <c r="K3593"/>
  <c r="H3593"/>
  <c r="C3593"/>
  <c r="G3593"/>
  <c r="E3593"/>
  <c r="B3593"/>
  <c r="A3593"/>
  <c r="W3592"/>
  <c r="S3592"/>
  <c r="Q3592"/>
  <c r="P3592"/>
  <c r="M3592"/>
  <c r="K3592"/>
  <c r="H3592"/>
  <c r="C3592"/>
  <c r="G3592"/>
  <c r="E3592"/>
  <c r="B3592"/>
  <c r="A3592"/>
  <c r="W3591"/>
  <c r="S3591"/>
  <c r="Q3591"/>
  <c r="P3591"/>
  <c r="M3591"/>
  <c r="K3591"/>
  <c r="H3591"/>
  <c r="C3591"/>
  <c r="G3591"/>
  <c r="E3591"/>
  <c r="B3591"/>
  <c r="A3591"/>
  <c r="W3590"/>
  <c r="S3590"/>
  <c r="Q3590"/>
  <c r="P3590"/>
  <c r="M3590"/>
  <c r="K3590"/>
  <c r="H3590"/>
  <c r="C3590"/>
  <c r="G3590"/>
  <c r="E3590"/>
  <c r="B3590"/>
  <c r="A3590"/>
  <c r="W3589"/>
  <c r="S3589"/>
  <c r="Q3589"/>
  <c r="P3589"/>
  <c r="M3589"/>
  <c r="K3589"/>
  <c r="H3589"/>
  <c r="C3589"/>
  <c r="G3589"/>
  <c r="E3589"/>
  <c r="B3589"/>
  <c r="A3589"/>
  <c r="W3588"/>
  <c r="S3588"/>
  <c r="Q3588"/>
  <c r="P3588"/>
  <c r="M3588"/>
  <c r="K3588"/>
  <c r="H3588"/>
  <c r="C3588"/>
  <c r="G3588"/>
  <c r="E3588"/>
  <c r="B3588"/>
  <c r="A3588"/>
  <c r="W3587"/>
  <c r="S3587"/>
  <c r="Q3587"/>
  <c r="P3587"/>
  <c r="M3587"/>
  <c r="K3587"/>
  <c r="H3587"/>
  <c r="C3587"/>
  <c r="G3587"/>
  <c r="E3587"/>
  <c r="B3587"/>
  <c r="A3587"/>
  <c r="W3586"/>
  <c r="S3586"/>
  <c r="Q3586"/>
  <c r="P3586"/>
  <c r="M3586"/>
  <c r="K3586"/>
  <c r="H3586"/>
  <c r="C3586"/>
  <c r="G3586"/>
  <c r="E3586"/>
  <c r="B3586"/>
  <c r="A3586"/>
  <c r="W3585"/>
  <c r="S3585"/>
  <c r="Q3585"/>
  <c r="P3585"/>
  <c r="M3585"/>
  <c r="K3585"/>
  <c r="H3585"/>
  <c r="C3585"/>
  <c r="G3585"/>
  <c r="E3585"/>
  <c r="B3585"/>
  <c r="A3585"/>
  <c r="W3584"/>
  <c r="S3584"/>
  <c r="Q3584"/>
  <c r="P3584"/>
  <c r="M3584"/>
  <c r="K3584"/>
  <c r="H3584"/>
  <c r="C3584"/>
  <c r="G3584"/>
  <c r="E3584"/>
  <c r="B3584"/>
  <c r="A3584"/>
  <c r="W3583"/>
  <c r="S3583"/>
  <c r="R3583"/>
  <c r="Q3583"/>
  <c r="P3583"/>
  <c r="M3583"/>
  <c r="K3583"/>
  <c r="H3583"/>
  <c r="C3583"/>
  <c r="G3583"/>
  <c r="E3583"/>
  <c r="B3583"/>
  <c r="A3583"/>
  <c r="W3582"/>
  <c r="S3582"/>
  <c r="Q3582"/>
  <c r="P3582"/>
  <c r="M3582"/>
  <c r="K3582"/>
  <c r="H3582"/>
  <c r="C3582"/>
  <c r="G3582"/>
  <c r="E3582"/>
  <c r="B3582"/>
  <c r="A3582"/>
  <c r="W3581"/>
  <c r="S3581"/>
  <c r="Q3581"/>
  <c r="P3581"/>
  <c r="M3581"/>
  <c r="K3581"/>
  <c r="H3581"/>
  <c r="C3581"/>
  <c r="G3581"/>
  <c r="E3581"/>
  <c r="B3581"/>
  <c r="A3581"/>
  <c r="W3580"/>
  <c r="S3580"/>
  <c r="Q3580"/>
  <c r="P3580"/>
  <c r="M3580"/>
  <c r="K3580"/>
  <c r="H3580"/>
  <c r="C3580"/>
  <c r="G3580"/>
  <c r="E3580"/>
  <c r="B3580"/>
  <c r="A3580"/>
  <c r="W3579"/>
  <c r="S3579"/>
  <c r="Q3579"/>
  <c r="P3579"/>
  <c r="M3579"/>
  <c r="K3579"/>
  <c r="H3579"/>
  <c r="C3579"/>
  <c r="G3579"/>
  <c r="E3579"/>
  <c r="B3579"/>
  <c r="A3579"/>
  <c r="W3578"/>
  <c r="S3578"/>
  <c r="Q3578"/>
  <c r="P3578"/>
  <c r="M3578"/>
  <c r="K3578"/>
  <c r="H3578"/>
  <c r="C3578"/>
  <c r="G3578"/>
  <c r="E3578"/>
  <c r="B3578"/>
  <c r="A3578"/>
  <c r="W3577"/>
  <c r="S3577"/>
  <c r="Q3577"/>
  <c r="P3577"/>
  <c r="M3577"/>
  <c r="K3577"/>
  <c r="H3577"/>
  <c r="C3577"/>
  <c r="G3577"/>
  <c r="E3577"/>
  <c r="B3577"/>
  <c r="A3577"/>
  <c r="W3576"/>
  <c r="S3576"/>
  <c r="Q3576"/>
  <c r="P3576"/>
  <c r="M3576"/>
  <c r="K3576"/>
  <c r="H3576"/>
  <c r="C3576"/>
  <c r="G3576"/>
  <c r="E3576"/>
  <c r="B3576"/>
  <c r="A3576"/>
  <c r="W3575"/>
  <c r="S3575"/>
  <c r="Q3575"/>
  <c r="P3575"/>
  <c r="M3575"/>
  <c r="K3575"/>
  <c r="H3575"/>
  <c r="C3575"/>
  <c r="G3575"/>
  <c r="E3575"/>
  <c r="B3575"/>
  <c r="A3575"/>
  <c r="W3574"/>
  <c r="S3574"/>
  <c r="Q3574"/>
  <c r="P3574"/>
  <c r="M3574"/>
  <c r="K3574"/>
  <c r="H3574"/>
  <c r="C3574"/>
  <c r="G3574"/>
  <c r="E3574"/>
  <c r="B3574"/>
  <c r="A3574"/>
  <c r="W3573"/>
  <c r="S3573"/>
  <c r="Q3573"/>
  <c r="P3573"/>
  <c r="M3573"/>
  <c r="K3573"/>
  <c r="H3573"/>
  <c r="C3573"/>
  <c r="G3573"/>
  <c r="E3573"/>
  <c r="B3573"/>
  <c r="A3573"/>
  <c r="W3572"/>
  <c r="S3572"/>
  <c r="Q3572"/>
  <c r="P3572"/>
  <c r="M3572"/>
  <c r="K3572"/>
  <c r="H3572"/>
  <c r="C3572"/>
  <c r="G3572"/>
  <c r="E3572"/>
  <c r="B3572"/>
  <c r="A3572"/>
  <c r="W3571"/>
  <c r="S3571"/>
  <c r="Q3571"/>
  <c r="P3571"/>
  <c r="M3571"/>
  <c r="K3571"/>
  <c r="H3571"/>
  <c r="C3571"/>
  <c r="G3571"/>
  <c r="E3571"/>
  <c r="B3571"/>
  <c r="A3571"/>
  <c r="W3570"/>
  <c r="S3570"/>
  <c r="R3570"/>
  <c r="Q3570"/>
  <c r="P3570"/>
  <c r="M3570"/>
  <c r="K3570"/>
  <c r="H3570"/>
  <c r="C3570"/>
  <c r="G3570"/>
  <c r="E3570"/>
  <c r="B3570"/>
  <c r="A3570"/>
  <c r="W3569"/>
  <c r="S3569"/>
  <c r="Q3569"/>
  <c r="P3569"/>
  <c r="M3569"/>
  <c r="K3569"/>
  <c r="H3569"/>
  <c r="C3569"/>
  <c r="G3569"/>
  <c r="E3569"/>
  <c r="B3569"/>
  <c r="A3569"/>
  <c r="W3568"/>
  <c r="S3568"/>
  <c r="Q3568"/>
  <c r="P3568"/>
  <c r="M3568"/>
  <c r="K3568"/>
  <c r="H3568"/>
  <c r="C3568"/>
  <c r="G3568"/>
  <c r="E3568"/>
  <c r="B3568"/>
  <c r="A3568"/>
  <c r="W3567"/>
  <c r="S3567"/>
  <c r="Q3567"/>
  <c r="P3567"/>
  <c r="M3567"/>
  <c r="K3567"/>
  <c r="H3567"/>
  <c r="C3567"/>
  <c r="G3567"/>
  <c r="E3567"/>
  <c r="B3567"/>
  <c r="A3567"/>
  <c r="W3566"/>
  <c r="S3566"/>
  <c r="Q3566"/>
  <c r="P3566"/>
  <c r="M3566"/>
  <c r="K3566"/>
  <c r="H3566"/>
  <c r="C3566"/>
  <c r="G3566"/>
  <c r="E3566"/>
  <c r="B3566"/>
  <c r="A3566"/>
  <c r="W3565"/>
  <c r="S3565"/>
  <c r="Q3565"/>
  <c r="P3565"/>
  <c r="M3565"/>
  <c r="K3565"/>
  <c r="H3565"/>
  <c r="C3565"/>
  <c r="G3565"/>
  <c r="E3565"/>
  <c r="B3565"/>
  <c r="A3565"/>
  <c r="W3564"/>
  <c r="S3564"/>
  <c r="Q3564"/>
  <c r="P3564"/>
  <c r="M3564"/>
  <c r="K3564"/>
  <c r="H3564"/>
  <c r="C3564"/>
  <c r="G3564"/>
  <c r="E3564"/>
  <c r="B3564"/>
  <c r="A3564"/>
  <c r="W3563"/>
  <c r="S3563"/>
  <c r="Q3563"/>
  <c r="P3563"/>
  <c r="M3563"/>
  <c r="K3563"/>
  <c r="H3563"/>
  <c r="C3563"/>
  <c r="G3563"/>
  <c r="E3563"/>
  <c r="B3563"/>
  <c r="A3563"/>
  <c r="W3562"/>
  <c r="S3562"/>
  <c r="Q3562"/>
  <c r="P3562"/>
  <c r="M3562"/>
  <c r="K3562"/>
  <c r="H3562"/>
  <c r="C3562"/>
  <c r="G3562"/>
  <c r="E3562"/>
  <c r="B3562"/>
  <c r="A3562"/>
  <c r="W3561"/>
  <c r="S3561"/>
  <c r="Q3561"/>
  <c r="P3561"/>
  <c r="M3561"/>
  <c r="K3561"/>
  <c r="H3561"/>
  <c r="C3561"/>
  <c r="G3561"/>
  <c r="E3561"/>
  <c r="B3561"/>
  <c r="A3561"/>
  <c r="W3560"/>
  <c r="S3560"/>
  <c r="Q3560"/>
  <c r="P3560"/>
  <c r="M3560"/>
  <c r="K3560"/>
  <c r="H3560"/>
  <c r="C3560"/>
  <c r="G3560"/>
  <c r="E3560"/>
  <c r="B3560"/>
  <c r="A3560"/>
  <c r="W3559"/>
  <c r="S3559"/>
  <c r="Q3559"/>
  <c r="P3559"/>
  <c r="M3559"/>
  <c r="K3559"/>
  <c r="H3559"/>
  <c r="C3559"/>
  <c r="G3559"/>
  <c r="E3559"/>
  <c r="B3559"/>
  <c r="A3559"/>
  <c r="W3558"/>
  <c r="S3558"/>
  <c r="Q3558"/>
  <c r="P3558"/>
  <c r="M3558"/>
  <c r="K3558"/>
  <c r="H3558"/>
  <c r="C3558"/>
  <c r="G3558"/>
  <c r="E3558"/>
  <c r="B3558"/>
  <c r="A3558"/>
  <c r="W3557"/>
  <c r="S3557"/>
  <c r="Q3557"/>
  <c r="P3557"/>
  <c r="N3557"/>
  <c r="M3557"/>
  <c r="K3557"/>
  <c r="H3557"/>
  <c r="C3557"/>
  <c r="G3557"/>
  <c r="E3557"/>
  <c r="B3557"/>
  <c r="A3557"/>
  <c r="W3556"/>
  <c r="S3556"/>
  <c r="Q3556"/>
  <c r="P3556"/>
  <c r="M3556"/>
  <c r="K3556"/>
  <c r="H3556"/>
  <c r="C3556"/>
  <c r="G3556"/>
  <c r="E3556"/>
  <c r="B3556"/>
  <c r="A3556"/>
  <c r="W3555"/>
  <c r="S3555"/>
  <c r="Q3555"/>
  <c r="P3555"/>
  <c r="M3555"/>
  <c r="K3555"/>
  <c r="H3555"/>
  <c r="C3555"/>
  <c r="G3555"/>
  <c r="E3555"/>
  <c r="B3555"/>
  <c r="A3555"/>
  <c r="W3554"/>
  <c r="S3554"/>
  <c r="Q3554"/>
  <c r="P3554"/>
  <c r="M3554"/>
  <c r="K3554"/>
  <c r="H3554"/>
  <c r="C3554"/>
  <c r="G3554"/>
  <c r="E3554"/>
  <c r="B3554"/>
  <c r="A3554"/>
  <c r="W3553"/>
  <c r="S3553"/>
  <c r="Q3553"/>
  <c r="P3553"/>
  <c r="M3553"/>
  <c r="K3553"/>
  <c r="H3553"/>
  <c r="C3553"/>
  <c r="G3553"/>
  <c r="E3553"/>
  <c r="B3553"/>
  <c r="A3553"/>
  <c r="W3552"/>
  <c r="S3552"/>
  <c r="Q3552"/>
  <c r="P3552"/>
  <c r="N3552"/>
  <c r="M3552"/>
  <c r="K3552"/>
  <c r="H3552"/>
  <c r="C3552"/>
  <c r="G3552"/>
  <c r="E3552"/>
  <c r="B3552"/>
  <c r="A3552"/>
  <c r="W3551"/>
  <c r="S3551"/>
  <c r="Q3551"/>
  <c r="P3551"/>
  <c r="N3551"/>
  <c r="M3551"/>
  <c r="K3551"/>
  <c r="H3551"/>
  <c r="C3551"/>
  <c r="G3551"/>
  <c r="E3551"/>
  <c r="B3551"/>
  <c r="A3551"/>
  <c r="W3550"/>
  <c r="S3550"/>
  <c r="Q3550"/>
  <c r="P3550"/>
  <c r="M3550"/>
  <c r="K3550"/>
  <c r="H3550"/>
  <c r="C3550"/>
  <c r="G3550"/>
  <c r="E3550"/>
  <c r="B3550"/>
  <c r="A3550"/>
  <c r="W3549"/>
  <c r="S3549"/>
  <c r="Q3549"/>
  <c r="P3549"/>
  <c r="M3549"/>
  <c r="K3549"/>
  <c r="H3549"/>
  <c r="C3549"/>
  <c r="G3549"/>
  <c r="E3549"/>
  <c r="B3549"/>
  <c r="A3549"/>
  <c r="W3548"/>
  <c r="S3548"/>
  <c r="Q3548"/>
  <c r="P3548"/>
  <c r="M3548"/>
  <c r="K3548"/>
  <c r="H3548"/>
  <c r="C3548"/>
  <c r="G3548"/>
  <c r="E3548"/>
  <c r="B3548"/>
  <c r="A3548"/>
  <c r="W3547"/>
  <c r="S3547"/>
  <c r="Q3547"/>
  <c r="P3547"/>
  <c r="M3547"/>
  <c r="K3547"/>
  <c r="H3547"/>
  <c r="C3547"/>
  <c r="G3547"/>
  <c r="E3547"/>
  <c r="B3547"/>
  <c r="A3547"/>
  <c r="W3546"/>
  <c r="S3546"/>
  <c r="R3546"/>
  <c r="Q3546"/>
  <c r="P3546"/>
  <c r="M3546"/>
  <c r="K3546"/>
  <c r="H3546"/>
  <c r="C3546"/>
  <c r="G3546"/>
  <c r="E3546"/>
  <c r="B3546"/>
  <c r="A3546"/>
  <c r="W3545"/>
  <c r="S3545"/>
  <c r="Q3545"/>
  <c r="P3545"/>
  <c r="M3545"/>
  <c r="K3545"/>
  <c r="H3545"/>
  <c r="C3545"/>
  <c r="G3545"/>
  <c r="E3545"/>
  <c r="B3545"/>
  <c r="A3545"/>
  <c r="W3544"/>
  <c r="S3544"/>
  <c r="Q3544"/>
  <c r="P3544"/>
  <c r="M3544"/>
  <c r="K3544"/>
  <c r="H3544"/>
  <c r="C3544"/>
  <c r="G3544"/>
  <c r="E3544"/>
  <c r="B3544"/>
  <c r="A3544"/>
  <c r="W3543"/>
  <c r="S3543"/>
  <c r="Q3543"/>
  <c r="P3543"/>
  <c r="M3543"/>
  <c r="K3543"/>
  <c r="H3543"/>
  <c r="C3543"/>
  <c r="G3543"/>
  <c r="E3543"/>
  <c r="B3543"/>
  <c r="A3543"/>
  <c r="W3542"/>
  <c r="S3542"/>
  <c r="Q3542"/>
  <c r="P3542"/>
  <c r="M3542"/>
  <c r="K3542"/>
  <c r="H3542"/>
  <c r="C3542"/>
  <c r="G3542"/>
  <c r="E3542"/>
  <c r="B3542"/>
  <c r="A3542"/>
  <c r="W3541"/>
  <c r="S3541"/>
  <c r="Q3541"/>
  <c r="P3541"/>
  <c r="M3541"/>
  <c r="K3541"/>
  <c r="H3541"/>
  <c r="C3541"/>
  <c r="G3541"/>
  <c r="E3541"/>
  <c r="B3541"/>
  <c r="A3541"/>
  <c r="W3540"/>
  <c r="S3540"/>
  <c r="Q3540"/>
  <c r="P3540"/>
  <c r="M3540"/>
  <c r="K3540"/>
  <c r="H3540"/>
  <c r="C3540"/>
  <c r="G3540"/>
  <c r="E3540"/>
  <c r="B3540"/>
  <c r="A3540"/>
  <c r="W3539"/>
  <c r="S3539"/>
  <c r="Q3539"/>
  <c r="P3539"/>
  <c r="M3539"/>
  <c r="K3539"/>
  <c r="H3539"/>
  <c r="C3539"/>
  <c r="G3539"/>
  <c r="E3539"/>
  <c r="B3539"/>
  <c r="A3539"/>
  <c r="W3538"/>
  <c r="S3538"/>
  <c r="Q3538"/>
  <c r="P3538"/>
  <c r="M3538"/>
  <c r="K3538"/>
  <c r="H3538"/>
  <c r="C3538"/>
  <c r="G3538"/>
  <c r="E3538"/>
  <c r="B3538"/>
  <c r="A3538"/>
  <c r="W3537"/>
  <c r="S3537"/>
  <c r="Q3537"/>
  <c r="P3537"/>
  <c r="M3537"/>
  <c r="K3537"/>
  <c r="H3537"/>
  <c r="C3537"/>
  <c r="G3537"/>
  <c r="E3537"/>
  <c r="B3537"/>
  <c r="A3537"/>
  <c r="W3536"/>
  <c r="S3536"/>
  <c r="Q3536"/>
  <c r="P3536"/>
  <c r="M3536"/>
  <c r="K3536"/>
  <c r="H3536"/>
  <c r="C3536"/>
  <c r="G3536"/>
  <c r="E3536"/>
  <c r="B3536"/>
  <c r="A3536"/>
  <c r="W3535"/>
  <c r="S3535"/>
  <c r="Q3535"/>
  <c r="P3535"/>
  <c r="M3535"/>
  <c r="K3535"/>
  <c r="H3535"/>
  <c r="C3535"/>
  <c r="G3535"/>
  <c r="E3535"/>
  <c r="B3535"/>
  <c r="A3535"/>
  <c r="W3534"/>
  <c r="S3534"/>
  <c r="Q3534"/>
  <c r="P3534"/>
  <c r="N3534"/>
  <c r="M3534"/>
  <c r="K3534"/>
  <c r="H3534"/>
  <c r="C3534"/>
  <c r="G3534"/>
  <c r="E3534"/>
  <c r="B3534"/>
  <c r="A3534"/>
  <c r="W3533"/>
  <c r="S3533"/>
  <c r="Q3533"/>
  <c r="P3533"/>
  <c r="N3533"/>
  <c r="M3533"/>
  <c r="K3533"/>
  <c r="H3533"/>
  <c r="C3533"/>
  <c r="G3533"/>
  <c r="E3533"/>
  <c r="B3533"/>
  <c r="A3533"/>
  <c r="W3532"/>
  <c r="S3532"/>
  <c r="Q3532"/>
  <c r="P3532"/>
  <c r="N3532"/>
  <c r="M3532"/>
  <c r="K3532"/>
  <c r="H3532"/>
  <c r="C3532"/>
  <c r="G3532"/>
  <c r="E3532"/>
  <c r="B3532"/>
  <c r="A3532"/>
  <c r="W3531"/>
  <c r="S3531"/>
  <c r="Q3531"/>
  <c r="P3531"/>
  <c r="N3531"/>
  <c r="M3531"/>
  <c r="K3531"/>
  <c r="H3531"/>
  <c r="C3531"/>
  <c r="G3531"/>
  <c r="E3531"/>
  <c r="B3531"/>
  <c r="A3531"/>
  <c r="W3530"/>
  <c r="S3530"/>
  <c r="Q3530"/>
  <c r="P3530"/>
  <c r="M3530"/>
  <c r="K3530"/>
  <c r="H3530"/>
  <c r="C3530"/>
  <c r="G3530"/>
  <c r="E3530"/>
  <c r="B3530"/>
  <c r="A3530"/>
  <c r="W3529"/>
  <c r="S3529"/>
  <c r="Q3529"/>
  <c r="P3529"/>
  <c r="M3529"/>
  <c r="K3529"/>
  <c r="H3529"/>
  <c r="C3529"/>
  <c r="G3529"/>
  <c r="E3529"/>
  <c r="B3529"/>
  <c r="A3529"/>
  <c r="W3528"/>
  <c r="S3528"/>
  <c r="Q3528"/>
  <c r="P3528"/>
  <c r="M3528"/>
  <c r="K3528"/>
  <c r="H3528"/>
  <c r="C3528"/>
  <c r="G3528"/>
  <c r="E3528"/>
  <c r="B3528"/>
  <c r="A3528"/>
  <c r="W3527"/>
  <c r="S3527"/>
  <c r="Q3527"/>
  <c r="P3527"/>
  <c r="M3527"/>
  <c r="K3527"/>
  <c r="H3527"/>
  <c r="C3527"/>
  <c r="G3527"/>
  <c r="E3527"/>
  <c r="B3527"/>
  <c r="A3527"/>
  <c r="W3526"/>
  <c r="S3526"/>
  <c r="Q3526"/>
  <c r="P3526"/>
  <c r="M3526"/>
  <c r="K3526"/>
  <c r="H3526"/>
  <c r="C3526"/>
  <c r="G3526"/>
  <c r="E3526"/>
  <c r="B3526"/>
  <c r="A3526"/>
  <c r="W3525"/>
  <c r="S3525"/>
  <c r="Q3525"/>
  <c r="P3525"/>
  <c r="M3525"/>
  <c r="K3525"/>
  <c r="H3525"/>
  <c r="C3525"/>
  <c r="G3525"/>
  <c r="E3525"/>
  <c r="B3525"/>
  <c r="A3525"/>
  <c r="W3524"/>
  <c r="S3524"/>
  <c r="Q3524"/>
  <c r="P3524"/>
  <c r="M3524"/>
  <c r="K3524"/>
  <c r="H3524"/>
  <c r="C3524"/>
  <c r="G3524"/>
  <c r="E3524"/>
  <c r="B3524"/>
  <c r="A3524"/>
  <c r="W3523"/>
  <c r="S3523"/>
  <c r="Q3523"/>
  <c r="P3523"/>
  <c r="M3523"/>
  <c r="K3523"/>
  <c r="H3523"/>
  <c r="C3523"/>
  <c r="G3523"/>
  <c r="E3523"/>
  <c r="B3523"/>
  <c r="A3523"/>
  <c r="W3522"/>
  <c r="S3522"/>
  <c r="Q3522"/>
  <c r="P3522"/>
  <c r="M3522"/>
  <c r="K3522"/>
  <c r="H3522"/>
  <c r="C3522"/>
  <c r="G3522"/>
  <c r="E3522"/>
  <c r="B3522"/>
  <c r="A3522"/>
  <c r="W3521"/>
  <c r="S3521"/>
  <c r="Q3521"/>
  <c r="P3521"/>
  <c r="M3521"/>
  <c r="K3521"/>
  <c r="H3521"/>
  <c r="C3521"/>
  <c r="G3521"/>
  <c r="E3521"/>
  <c r="B3521"/>
  <c r="A3521"/>
  <c r="W3520"/>
  <c r="S3520"/>
  <c r="Q3520"/>
  <c r="P3520"/>
  <c r="M3520"/>
  <c r="K3520"/>
  <c r="H3520"/>
  <c r="C3520"/>
  <c r="G3520"/>
  <c r="E3520"/>
  <c r="B3520"/>
  <c r="A3520"/>
  <c r="W3519"/>
  <c r="S3519"/>
  <c r="R3519"/>
  <c r="Q3519"/>
  <c r="P3519"/>
  <c r="M3519"/>
  <c r="K3519"/>
  <c r="H3519"/>
  <c r="C3519"/>
  <c r="G3519"/>
  <c r="E3519"/>
  <c r="B3519"/>
  <c r="A3519"/>
  <c r="W3518"/>
  <c r="S3518"/>
  <c r="Q3518"/>
  <c r="P3518"/>
  <c r="M3518"/>
  <c r="K3518"/>
  <c r="H3518"/>
  <c r="C3518"/>
  <c r="G3518"/>
  <c r="E3518"/>
  <c r="B3518"/>
  <c r="A3518"/>
  <c r="W3517"/>
  <c r="S3517"/>
  <c r="Q3517"/>
  <c r="P3517"/>
  <c r="M3517"/>
  <c r="K3517"/>
  <c r="H3517"/>
  <c r="C3517"/>
  <c r="G3517"/>
  <c r="E3517"/>
  <c r="B3517"/>
  <c r="A3517"/>
  <c r="W3516"/>
  <c r="S3516"/>
  <c r="Q3516"/>
  <c r="P3516"/>
  <c r="M3516"/>
  <c r="K3516"/>
  <c r="H3516"/>
  <c r="C3516"/>
  <c r="G3516"/>
  <c r="E3516"/>
  <c r="B3516"/>
  <c r="A3516"/>
  <c r="W3515"/>
  <c r="S3515"/>
  <c r="Q3515"/>
  <c r="P3515"/>
  <c r="M3515"/>
  <c r="K3515"/>
  <c r="H3515"/>
  <c r="C3515"/>
  <c r="G3515"/>
  <c r="E3515"/>
  <c r="B3515"/>
  <c r="A3515"/>
  <c r="W3514"/>
  <c r="S3514"/>
  <c r="Q3514"/>
  <c r="P3514"/>
  <c r="M3514"/>
  <c r="K3514"/>
  <c r="H3514"/>
  <c r="C3514"/>
  <c r="G3514"/>
  <c r="E3514"/>
  <c r="B3514"/>
  <c r="A3514"/>
  <c r="W3513"/>
  <c r="S3513"/>
  <c r="Q3513"/>
  <c r="P3513"/>
  <c r="M3513"/>
  <c r="K3513"/>
  <c r="H3513"/>
  <c r="C3513"/>
  <c r="G3513"/>
  <c r="E3513"/>
  <c r="B3513"/>
  <c r="A3513"/>
  <c r="W3512"/>
  <c r="S3512"/>
  <c r="Q3512"/>
  <c r="P3512"/>
  <c r="M3512"/>
  <c r="K3512"/>
  <c r="H3512"/>
  <c r="C3512"/>
  <c r="G3512"/>
  <c r="E3512"/>
  <c r="B3512"/>
  <c r="A3512"/>
  <c r="W3511"/>
  <c r="S3511"/>
  <c r="Q3511"/>
  <c r="P3511"/>
  <c r="M3511"/>
  <c r="K3511"/>
  <c r="H3511"/>
  <c r="C3511"/>
  <c r="G3511"/>
  <c r="E3511"/>
  <c r="B3511"/>
  <c r="A3511"/>
  <c r="W3510"/>
  <c r="S3510"/>
  <c r="Q3510"/>
  <c r="P3510"/>
  <c r="M3510"/>
  <c r="K3510"/>
  <c r="H3510"/>
  <c r="C3510"/>
  <c r="G3510"/>
  <c r="E3510"/>
  <c r="B3510"/>
  <c r="A3510"/>
  <c r="W3509"/>
  <c r="S3509"/>
  <c r="Q3509"/>
  <c r="P3509"/>
  <c r="M3509"/>
  <c r="K3509"/>
  <c r="H3509"/>
  <c r="C3509"/>
  <c r="G3509"/>
  <c r="E3509"/>
  <c r="B3509"/>
  <c r="A3509"/>
  <c r="W3508"/>
  <c r="S3508"/>
  <c r="Q3508"/>
  <c r="P3508"/>
  <c r="M3508"/>
  <c r="K3508"/>
  <c r="H3508"/>
  <c r="C3508"/>
  <c r="G3508"/>
  <c r="E3508"/>
  <c r="B3508"/>
  <c r="A3508"/>
  <c r="W3507"/>
  <c r="S3507"/>
  <c r="Q3507"/>
  <c r="P3507"/>
  <c r="M3507"/>
  <c r="K3507"/>
  <c r="H3507"/>
  <c r="C3507"/>
  <c r="G3507"/>
  <c r="E3507"/>
  <c r="B3507"/>
  <c r="A3507"/>
  <c r="W3506"/>
  <c r="S3506"/>
  <c r="Q3506"/>
  <c r="P3506"/>
  <c r="N3506"/>
  <c r="M3506"/>
  <c r="K3506"/>
  <c r="H3506"/>
  <c r="C3506"/>
  <c r="G3506"/>
  <c r="E3506"/>
  <c r="B3506"/>
  <c r="A3506"/>
  <c r="W3505"/>
  <c r="S3505"/>
  <c r="Q3505"/>
  <c r="P3505"/>
  <c r="M3505"/>
  <c r="K3505"/>
  <c r="H3505"/>
  <c r="C3505"/>
  <c r="G3505"/>
  <c r="E3505"/>
  <c r="B3505"/>
  <c r="A3505"/>
  <c r="W3504"/>
  <c r="S3504"/>
  <c r="Q3504"/>
  <c r="P3504"/>
  <c r="M3504"/>
  <c r="K3504"/>
  <c r="H3504"/>
  <c r="C3504"/>
  <c r="G3504"/>
  <c r="E3504"/>
  <c r="B3504"/>
  <c r="A3504"/>
  <c r="W3503"/>
  <c r="S3503"/>
  <c r="Q3503"/>
  <c r="P3503"/>
  <c r="M3503"/>
  <c r="K3503"/>
  <c r="H3503"/>
  <c r="C3503"/>
  <c r="G3503"/>
  <c r="E3503"/>
  <c r="B3503"/>
  <c r="A3503"/>
  <c r="W3502"/>
  <c r="S3502"/>
  <c r="Q3502"/>
  <c r="P3502"/>
  <c r="M3502"/>
  <c r="K3502"/>
  <c r="H3502"/>
  <c r="C3502"/>
  <c r="G3502"/>
  <c r="E3502"/>
  <c r="B3502"/>
  <c r="A3502"/>
  <c r="W3501"/>
  <c r="S3501"/>
  <c r="Q3501"/>
  <c r="P3501"/>
  <c r="N3501"/>
  <c r="M3501"/>
  <c r="K3501"/>
  <c r="H3501"/>
  <c r="C3501"/>
  <c r="G3501"/>
  <c r="E3501"/>
  <c r="B3501"/>
  <c r="A3501"/>
  <c r="W3500"/>
  <c r="S3500"/>
  <c r="Q3500"/>
  <c r="P3500"/>
  <c r="N3500"/>
  <c r="M3500"/>
  <c r="K3500"/>
  <c r="H3500"/>
  <c r="C3500"/>
  <c r="G3500"/>
  <c r="E3500"/>
  <c r="B3500"/>
  <c r="A3500"/>
  <c r="W3499"/>
  <c r="S3499"/>
  <c r="Q3499"/>
  <c r="P3499"/>
  <c r="M3499"/>
  <c r="K3499"/>
  <c r="H3499"/>
  <c r="C3499"/>
  <c r="G3499"/>
  <c r="E3499"/>
  <c r="B3499"/>
  <c r="A3499"/>
  <c r="W3498"/>
  <c r="S3498"/>
  <c r="Q3498"/>
  <c r="P3498"/>
  <c r="M3498"/>
  <c r="K3498"/>
  <c r="H3498"/>
  <c r="C3498"/>
  <c r="G3498"/>
  <c r="E3498"/>
  <c r="B3498"/>
  <c r="A3498"/>
  <c r="W3497"/>
  <c r="S3497"/>
  <c r="Q3497"/>
  <c r="P3497"/>
  <c r="M3497"/>
  <c r="K3497"/>
  <c r="H3497"/>
  <c r="C3497"/>
  <c r="G3497"/>
  <c r="E3497"/>
  <c r="B3497"/>
  <c r="A3497"/>
  <c r="W3496"/>
  <c r="S3496"/>
  <c r="Q3496"/>
  <c r="P3496"/>
  <c r="M3496"/>
  <c r="K3496"/>
  <c r="H3496"/>
  <c r="C3496"/>
  <c r="G3496"/>
  <c r="E3496"/>
  <c r="B3496"/>
  <c r="A3496"/>
  <c r="W3495"/>
  <c r="S3495"/>
  <c r="Q3495"/>
  <c r="P3495"/>
  <c r="M3495"/>
  <c r="K3495"/>
  <c r="H3495"/>
  <c r="C3495"/>
  <c r="G3495"/>
  <c r="E3495"/>
  <c r="B3495"/>
  <c r="A3495"/>
  <c r="W3494"/>
  <c r="S3494"/>
  <c r="Q3494"/>
  <c r="P3494"/>
  <c r="M3494"/>
  <c r="K3494"/>
  <c r="H3494"/>
  <c r="C3494"/>
  <c r="G3494"/>
  <c r="E3494"/>
  <c r="B3494"/>
  <c r="A3494"/>
  <c r="W3493"/>
  <c r="S3493"/>
  <c r="Q3493"/>
  <c r="P3493"/>
  <c r="M3493"/>
  <c r="K3493"/>
  <c r="H3493"/>
  <c r="C3493"/>
  <c r="G3493"/>
  <c r="E3493"/>
  <c r="B3493"/>
  <c r="A3493"/>
  <c r="W3492"/>
  <c r="S3492"/>
  <c r="Q3492"/>
  <c r="P3492"/>
  <c r="M3492"/>
  <c r="K3492"/>
  <c r="H3492"/>
  <c r="C3492"/>
  <c r="G3492"/>
  <c r="E3492"/>
  <c r="B3492"/>
  <c r="A3492"/>
  <c r="W3491"/>
  <c r="S3491"/>
  <c r="Q3491"/>
  <c r="P3491"/>
  <c r="N3491"/>
  <c r="M3491"/>
  <c r="K3491"/>
  <c r="H3491"/>
  <c r="C3491"/>
  <c r="G3491"/>
  <c r="E3491"/>
  <c r="B3491"/>
  <c r="A3491"/>
  <c r="W3490"/>
  <c r="S3490"/>
  <c r="Q3490"/>
  <c r="P3490"/>
  <c r="N3490"/>
  <c r="M3490"/>
  <c r="K3490"/>
  <c r="H3490"/>
  <c r="C3490"/>
  <c r="G3490"/>
  <c r="E3490"/>
  <c r="B3490"/>
  <c r="A3490"/>
  <c r="W3489"/>
  <c r="S3489"/>
  <c r="Q3489"/>
  <c r="P3489"/>
  <c r="N3489"/>
  <c r="M3489"/>
  <c r="K3489"/>
  <c r="H3489"/>
  <c r="C3489"/>
  <c r="G3489"/>
  <c r="E3489"/>
  <c r="B3489"/>
  <c r="A3489"/>
  <c r="W3488"/>
  <c r="S3488"/>
  <c r="Q3488"/>
  <c r="P3488"/>
  <c r="N3488"/>
  <c r="M3488"/>
  <c r="K3488"/>
  <c r="H3488"/>
  <c r="C3488"/>
  <c r="G3488"/>
  <c r="E3488"/>
  <c r="B3488"/>
  <c r="A3488"/>
  <c r="W3487"/>
  <c r="S3487"/>
  <c r="Q3487"/>
  <c r="P3487"/>
  <c r="M3487"/>
  <c r="K3487"/>
  <c r="H3487"/>
  <c r="C3487"/>
  <c r="G3487"/>
  <c r="E3487"/>
  <c r="B3487"/>
  <c r="A3487"/>
  <c r="W3486"/>
  <c r="S3486"/>
  <c r="Q3486"/>
  <c r="P3486"/>
  <c r="M3486"/>
  <c r="K3486"/>
  <c r="H3486"/>
  <c r="C3486"/>
  <c r="G3486"/>
  <c r="E3486"/>
  <c r="B3486"/>
  <c r="A3486"/>
  <c r="W3485"/>
  <c r="S3485"/>
  <c r="Q3485"/>
  <c r="P3485"/>
  <c r="M3485"/>
  <c r="K3485"/>
  <c r="H3485"/>
  <c r="C3485"/>
  <c r="G3485"/>
  <c r="E3485"/>
  <c r="B3485"/>
  <c r="A3485"/>
  <c r="W3484"/>
  <c r="S3484"/>
  <c r="Q3484"/>
  <c r="P3484"/>
  <c r="M3484"/>
  <c r="K3484"/>
  <c r="H3484"/>
  <c r="C3484"/>
  <c r="G3484"/>
  <c r="E3484"/>
  <c r="B3484"/>
  <c r="A3484"/>
  <c r="W3483"/>
  <c r="S3483"/>
  <c r="Q3483"/>
  <c r="P3483"/>
  <c r="M3483"/>
  <c r="K3483"/>
  <c r="H3483"/>
  <c r="C3483"/>
  <c r="G3483"/>
  <c r="E3483"/>
  <c r="B3483"/>
  <c r="A3483"/>
  <c r="W3482"/>
  <c r="S3482"/>
  <c r="Q3482"/>
  <c r="P3482"/>
  <c r="M3482"/>
  <c r="K3482"/>
  <c r="H3482"/>
  <c r="C3482"/>
  <c r="G3482"/>
  <c r="E3482"/>
  <c r="B3482"/>
  <c r="A3482"/>
  <c r="W3481"/>
  <c r="S3481"/>
  <c r="Q3481"/>
  <c r="P3481"/>
  <c r="M3481"/>
  <c r="K3481"/>
  <c r="H3481"/>
  <c r="C3481"/>
  <c r="G3481"/>
  <c r="E3481"/>
  <c r="B3481"/>
  <c r="A3481"/>
  <c r="W3480"/>
  <c r="S3480"/>
  <c r="Q3480"/>
  <c r="P3480"/>
  <c r="M3480"/>
  <c r="K3480"/>
  <c r="H3480"/>
  <c r="C3480"/>
  <c r="G3480"/>
  <c r="E3480"/>
  <c r="B3480"/>
  <c r="A3480"/>
  <c r="W3479"/>
  <c r="S3479"/>
  <c r="Q3479"/>
  <c r="P3479"/>
  <c r="M3479"/>
  <c r="K3479"/>
  <c r="H3479"/>
  <c r="C3479"/>
  <c r="G3479"/>
  <c r="E3479"/>
  <c r="B3479"/>
  <c r="A3479"/>
  <c r="W3478"/>
  <c r="S3478"/>
  <c r="Q3478"/>
  <c r="P3478"/>
  <c r="M3478"/>
  <c r="K3478"/>
  <c r="H3478"/>
  <c r="C3478"/>
  <c r="G3478"/>
  <c r="E3478"/>
  <c r="B3478"/>
  <c r="A3478"/>
  <c r="W3477"/>
  <c r="S3477"/>
  <c r="Q3477"/>
  <c r="P3477"/>
  <c r="M3477"/>
  <c r="K3477"/>
  <c r="H3477"/>
  <c r="C3477"/>
  <c r="G3477"/>
  <c r="E3477"/>
  <c r="B3477"/>
  <c r="A3477"/>
  <c r="W3476"/>
  <c r="S3476"/>
  <c r="R3476"/>
  <c r="Q3476"/>
  <c r="P3476"/>
  <c r="M3476"/>
  <c r="K3476"/>
  <c r="H3476"/>
  <c r="C3476"/>
  <c r="G3476"/>
  <c r="E3476"/>
  <c r="B3476"/>
  <c r="A3476"/>
  <c r="W3475"/>
  <c r="S3475"/>
  <c r="Q3475"/>
  <c r="P3475"/>
  <c r="M3475"/>
  <c r="K3475"/>
  <c r="H3475"/>
  <c r="C3475"/>
  <c r="G3475"/>
  <c r="E3475"/>
  <c r="B3475"/>
  <c r="A3475"/>
  <c r="W3474"/>
  <c r="S3474"/>
  <c r="Q3474"/>
  <c r="P3474"/>
  <c r="M3474"/>
  <c r="K3474"/>
  <c r="H3474"/>
  <c r="C3474"/>
  <c r="G3474"/>
  <c r="E3474"/>
  <c r="B3474"/>
  <c r="A3474"/>
  <c r="W3473"/>
  <c r="S3473"/>
  <c r="Q3473"/>
  <c r="P3473"/>
  <c r="M3473"/>
  <c r="K3473"/>
  <c r="H3473"/>
  <c r="C3473"/>
  <c r="G3473"/>
  <c r="E3473"/>
  <c r="B3473"/>
  <c r="A3473"/>
  <c r="W3472"/>
  <c r="S3472"/>
  <c r="Q3472"/>
  <c r="P3472"/>
  <c r="M3472"/>
  <c r="K3472"/>
  <c r="H3472"/>
  <c r="C3472"/>
  <c r="G3472"/>
  <c r="E3472"/>
  <c r="B3472"/>
  <c r="A3472"/>
  <c r="W3471"/>
  <c r="S3471"/>
  <c r="Q3471"/>
  <c r="P3471"/>
  <c r="M3471"/>
  <c r="K3471"/>
  <c r="H3471"/>
  <c r="C3471"/>
  <c r="G3471"/>
  <c r="E3471"/>
  <c r="B3471"/>
  <c r="A3471"/>
  <c r="W3470"/>
  <c r="S3470"/>
  <c r="Q3470"/>
  <c r="P3470"/>
  <c r="M3470"/>
  <c r="K3470"/>
  <c r="H3470"/>
  <c r="C3470"/>
  <c r="G3470"/>
  <c r="E3470"/>
  <c r="B3470"/>
  <c r="A3470"/>
  <c r="W3469"/>
  <c r="S3469"/>
  <c r="Q3469"/>
  <c r="P3469"/>
  <c r="M3469"/>
  <c r="K3469"/>
  <c r="H3469"/>
  <c r="C3469"/>
  <c r="G3469"/>
  <c r="E3469"/>
  <c r="B3469"/>
  <c r="A3469"/>
  <c r="W3468"/>
  <c r="S3468"/>
  <c r="Q3468"/>
  <c r="P3468"/>
  <c r="M3468"/>
  <c r="K3468"/>
  <c r="H3468"/>
  <c r="C3468"/>
  <c r="G3468"/>
  <c r="E3468"/>
  <c r="B3468"/>
  <c r="A3468"/>
  <c r="W3467"/>
  <c r="S3467"/>
  <c r="Q3467"/>
  <c r="P3467"/>
  <c r="M3467"/>
  <c r="K3467"/>
  <c r="H3467"/>
  <c r="C3467"/>
  <c r="G3467"/>
  <c r="E3467"/>
  <c r="B3467"/>
  <c r="A3467"/>
  <c r="W3466"/>
  <c r="S3466"/>
  <c r="Q3466"/>
  <c r="P3466"/>
  <c r="M3466"/>
  <c r="K3466"/>
  <c r="H3466"/>
  <c r="C3466"/>
  <c r="G3466"/>
  <c r="E3466"/>
  <c r="B3466"/>
  <c r="A3466"/>
  <c r="W3465"/>
  <c r="S3465"/>
  <c r="Q3465"/>
  <c r="P3465"/>
  <c r="M3465"/>
  <c r="K3465"/>
  <c r="H3465"/>
  <c r="C3465"/>
  <c r="G3465"/>
  <c r="E3465"/>
  <c r="B3465"/>
  <c r="A3465"/>
  <c r="W3464"/>
  <c r="S3464"/>
  <c r="Q3464"/>
  <c r="P3464"/>
  <c r="M3464"/>
  <c r="K3464"/>
  <c r="H3464"/>
  <c r="C3464"/>
  <c r="G3464"/>
  <c r="E3464"/>
  <c r="B3464"/>
  <c r="A3464"/>
  <c r="W3463"/>
  <c r="S3463"/>
  <c r="Q3463"/>
  <c r="P3463"/>
  <c r="M3463"/>
  <c r="K3463"/>
  <c r="H3463"/>
  <c r="C3463"/>
  <c r="G3463"/>
  <c r="E3463"/>
  <c r="B3463"/>
  <c r="A3463"/>
  <c r="W3462"/>
  <c r="S3462"/>
  <c r="Q3462"/>
  <c r="P3462"/>
  <c r="M3462"/>
  <c r="K3462"/>
  <c r="H3462"/>
  <c r="C3462"/>
  <c r="G3462"/>
  <c r="E3462"/>
  <c r="B3462"/>
  <c r="A3462"/>
  <c r="W3461"/>
  <c r="S3461"/>
  <c r="Q3461"/>
  <c r="P3461"/>
  <c r="M3461"/>
  <c r="K3461"/>
  <c r="H3461"/>
  <c r="C3461"/>
  <c r="G3461"/>
  <c r="E3461"/>
  <c r="B3461"/>
  <c r="A3461"/>
  <c r="W3460"/>
  <c r="S3460"/>
  <c r="Q3460"/>
  <c r="P3460"/>
  <c r="M3460"/>
  <c r="K3460"/>
  <c r="H3460"/>
  <c r="C3460"/>
  <c r="G3460"/>
  <c r="E3460"/>
  <c r="B3460"/>
  <c r="A3460"/>
  <c r="W3459"/>
  <c r="S3459"/>
  <c r="Q3459"/>
  <c r="P3459"/>
  <c r="M3459"/>
  <c r="K3459"/>
  <c r="H3459"/>
  <c r="C3459"/>
  <c r="G3459"/>
  <c r="E3459"/>
  <c r="B3459"/>
  <c r="A3459"/>
  <c r="W3458"/>
  <c r="S3458"/>
  <c r="Q3458"/>
  <c r="P3458"/>
  <c r="M3458"/>
  <c r="K3458"/>
  <c r="H3458"/>
  <c r="C3458"/>
  <c r="G3458"/>
  <c r="E3458"/>
  <c r="B3458"/>
  <c r="A3458"/>
  <c r="W3457"/>
  <c r="S3457"/>
  <c r="Q3457"/>
  <c r="P3457"/>
  <c r="M3457"/>
  <c r="K3457"/>
  <c r="H3457"/>
  <c r="C3457"/>
  <c r="G3457"/>
  <c r="E3457"/>
  <c r="B3457"/>
  <c r="A3457"/>
  <c r="W3456"/>
  <c r="S3456"/>
  <c r="Q3456"/>
  <c r="P3456"/>
  <c r="M3456"/>
  <c r="K3456"/>
  <c r="H3456"/>
  <c r="C3456"/>
  <c r="G3456"/>
  <c r="E3456"/>
  <c r="B3456"/>
  <c r="A3456"/>
  <c r="W3455"/>
  <c r="S3455"/>
  <c r="Q3455"/>
  <c r="P3455"/>
  <c r="M3455"/>
  <c r="K3455"/>
  <c r="H3455"/>
  <c r="C3455"/>
  <c r="G3455"/>
  <c r="E3455"/>
  <c r="B3455"/>
  <c r="A3455"/>
  <c r="W3454"/>
  <c r="S3454"/>
  <c r="Q3454"/>
  <c r="P3454"/>
  <c r="M3454"/>
  <c r="K3454"/>
  <c r="H3454"/>
  <c r="C3454"/>
  <c r="G3454"/>
  <c r="E3454"/>
  <c r="B3454"/>
  <c r="A3454"/>
  <c r="W3453"/>
  <c r="S3453"/>
  <c r="Q3453"/>
  <c r="P3453"/>
  <c r="M3453"/>
  <c r="K3453"/>
  <c r="H3453"/>
  <c r="C3453"/>
  <c r="G3453"/>
  <c r="E3453"/>
  <c r="B3453"/>
  <c r="A3453"/>
  <c r="W3452"/>
  <c r="S3452"/>
  <c r="Q3452"/>
  <c r="P3452"/>
  <c r="N3452"/>
  <c r="M3452"/>
  <c r="K3452"/>
  <c r="H3452"/>
  <c r="C3452"/>
  <c r="G3452"/>
  <c r="E3452"/>
  <c r="B3452"/>
  <c r="A3452"/>
  <c r="W3451"/>
  <c r="S3451"/>
  <c r="Q3451"/>
  <c r="P3451"/>
  <c r="N3451"/>
  <c r="M3451"/>
  <c r="K3451"/>
  <c r="H3451"/>
  <c r="C3451"/>
  <c r="G3451"/>
  <c r="E3451"/>
  <c r="B3451"/>
  <c r="A3451"/>
  <c r="W3450"/>
  <c r="S3450"/>
  <c r="Q3450"/>
  <c r="P3450"/>
  <c r="M3450"/>
  <c r="K3450"/>
  <c r="H3450"/>
  <c r="C3450"/>
  <c r="G3450"/>
  <c r="E3450"/>
  <c r="B3450"/>
  <c r="A3450"/>
  <c r="W3449"/>
  <c r="S3449"/>
  <c r="Q3449"/>
  <c r="P3449"/>
  <c r="M3449"/>
  <c r="K3449"/>
  <c r="H3449"/>
  <c r="C3449"/>
  <c r="G3449"/>
  <c r="E3449"/>
  <c r="B3449"/>
  <c r="A3449"/>
  <c r="W3448"/>
  <c r="S3448"/>
  <c r="Q3448"/>
  <c r="P3448"/>
  <c r="M3448"/>
  <c r="K3448"/>
  <c r="H3448"/>
  <c r="C3448"/>
  <c r="G3448"/>
  <c r="E3448"/>
  <c r="B3448"/>
  <c r="A3448"/>
  <c r="W3447"/>
  <c r="S3447"/>
  <c r="Q3447"/>
  <c r="P3447"/>
  <c r="M3447"/>
  <c r="K3447"/>
  <c r="H3447"/>
  <c r="C3447"/>
  <c r="G3447"/>
  <c r="E3447"/>
  <c r="B3447"/>
  <c r="A3447"/>
  <c r="W3446"/>
  <c r="S3446"/>
  <c r="Q3446"/>
  <c r="P3446"/>
  <c r="M3446"/>
  <c r="K3446"/>
  <c r="H3446"/>
  <c r="C3446"/>
  <c r="G3446"/>
  <c r="E3446"/>
  <c r="B3446"/>
  <c r="A3446"/>
  <c r="W3445"/>
  <c r="S3445"/>
  <c r="Q3445"/>
  <c r="P3445"/>
  <c r="N3445"/>
  <c r="M3445"/>
  <c r="K3445"/>
  <c r="H3445"/>
  <c r="C3445"/>
  <c r="G3445"/>
  <c r="E3445"/>
  <c r="B3445"/>
  <c r="A3445"/>
  <c r="W3444"/>
  <c r="S3444"/>
  <c r="Q3444"/>
  <c r="P3444"/>
  <c r="M3444"/>
  <c r="K3444"/>
  <c r="H3444"/>
  <c r="C3444"/>
  <c r="G3444"/>
  <c r="E3444"/>
  <c r="B3444"/>
  <c r="A3444"/>
  <c r="W3443"/>
  <c r="S3443"/>
  <c r="Q3443"/>
  <c r="P3443"/>
  <c r="M3443"/>
  <c r="K3443"/>
  <c r="H3443"/>
  <c r="C3443"/>
  <c r="G3443"/>
  <c r="E3443"/>
  <c r="B3443"/>
  <c r="A3443"/>
  <c r="W3442"/>
  <c r="S3442"/>
  <c r="Q3442"/>
  <c r="P3442"/>
  <c r="M3442"/>
  <c r="K3442"/>
  <c r="H3442"/>
  <c r="C3442"/>
  <c r="G3442"/>
  <c r="E3442"/>
  <c r="B3442"/>
  <c r="A3442"/>
  <c r="W3441"/>
  <c r="S3441"/>
  <c r="Q3441"/>
  <c r="P3441"/>
  <c r="M3441"/>
  <c r="K3441"/>
  <c r="H3441"/>
  <c r="C3441"/>
  <c r="G3441"/>
  <c r="E3441"/>
  <c r="B3441"/>
  <c r="A3441"/>
  <c r="W3440"/>
  <c r="S3440"/>
  <c r="Q3440"/>
  <c r="P3440"/>
  <c r="M3440"/>
  <c r="K3440"/>
  <c r="H3440"/>
  <c r="C3440"/>
  <c r="G3440"/>
  <c r="E3440"/>
  <c r="B3440"/>
  <c r="A3440"/>
  <c r="W3439"/>
  <c r="S3439"/>
  <c r="Q3439"/>
  <c r="P3439"/>
  <c r="M3439"/>
  <c r="K3439"/>
  <c r="H3439"/>
  <c r="C3439"/>
  <c r="G3439"/>
  <c r="E3439"/>
  <c r="B3439"/>
  <c r="A3439"/>
  <c r="W3438"/>
  <c r="S3438"/>
  <c r="Q3438"/>
  <c r="P3438"/>
  <c r="M3438"/>
  <c r="K3438"/>
  <c r="H3438"/>
  <c r="C3438"/>
  <c r="G3438"/>
  <c r="E3438"/>
  <c r="B3438"/>
  <c r="A3438"/>
  <c r="W3437"/>
  <c r="S3437"/>
  <c r="R3437"/>
  <c r="Q3437"/>
  <c r="P3437"/>
  <c r="M3437"/>
  <c r="K3437"/>
  <c r="H3437"/>
  <c r="C3437"/>
  <c r="G3437"/>
  <c r="E3437"/>
  <c r="B3437"/>
  <c r="A3437"/>
  <c r="W3436"/>
  <c r="S3436"/>
  <c r="Q3436"/>
  <c r="P3436"/>
  <c r="M3436"/>
  <c r="K3436"/>
  <c r="H3436"/>
  <c r="C3436"/>
  <c r="G3436"/>
  <c r="E3436"/>
  <c r="B3436"/>
  <c r="A3436"/>
  <c r="W3435"/>
  <c r="S3435"/>
  <c r="Q3435"/>
  <c r="P3435"/>
  <c r="M3435"/>
  <c r="K3435"/>
  <c r="H3435"/>
  <c r="C3435"/>
  <c r="G3435"/>
  <c r="E3435"/>
  <c r="B3435"/>
  <c r="A3435"/>
  <c r="W3434"/>
  <c r="S3434"/>
  <c r="Q3434"/>
  <c r="P3434"/>
  <c r="M3434"/>
  <c r="K3434"/>
  <c r="H3434"/>
  <c r="C3434"/>
  <c r="G3434"/>
  <c r="E3434"/>
  <c r="B3434"/>
  <c r="A3434"/>
  <c r="W3433"/>
  <c r="S3433"/>
  <c r="Q3433"/>
  <c r="P3433"/>
  <c r="M3433"/>
  <c r="K3433"/>
  <c r="H3433"/>
  <c r="C3433"/>
  <c r="G3433"/>
  <c r="E3433"/>
  <c r="B3433"/>
  <c r="A3433"/>
  <c r="W3432"/>
  <c r="S3432"/>
  <c r="Q3432"/>
  <c r="P3432"/>
  <c r="M3432"/>
  <c r="K3432"/>
  <c r="H3432"/>
  <c r="C3432"/>
  <c r="G3432"/>
  <c r="E3432"/>
  <c r="B3432"/>
  <c r="A3432"/>
  <c r="W3431"/>
  <c r="S3431"/>
  <c r="Q3431"/>
  <c r="P3431"/>
  <c r="M3431"/>
  <c r="K3431"/>
  <c r="H3431"/>
  <c r="C3431"/>
  <c r="G3431"/>
  <c r="E3431"/>
  <c r="B3431"/>
  <c r="A3431"/>
  <c r="W3430"/>
  <c r="S3430"/>
  <c r="Q3430"/>
  <c r="P3430"/>
  <c r="M3430"/>
  <c r="K3430"/>
  <c r="H3430"/>
  <c r="C3430"/>
  <c r="G3430"/>
  <c r="E3430"/>
  <c r="B3430"/>
  <c r="A3430"/>
  <c r="W3429"/>
  <c r="S3429"/>
  <c r="Q3429"/>
  <c r="P3429"/>
  <c r="N3429"/>
  <c r="M3429"/>
  <c r="K3429"/>
  <c r="H3429"/>
  <c r="C3429"/>
  <c r="G3429"/>
  <c r="E3429"/>
  <c r="B3429"/>
  <c r="A3429"/>
  <c r="W3428"/>
  <c r="S3428"/>
  <c r="Q3428"/>
  <c r="P3428"/>
  <c r="N3428"/>
  <c r="M3428"/>
  <c r="K3428"/>
  <c r="H3428"/>
  <c r="C3428"/>
  <c r="G3428"/>
  <c r="E3428"/>
  <c r="B3428"/>
  <c r="A3428"/>
  <c r="W3427"/>
  <c r="S3427"/>
  <c r="Q3427"/>
  <c r="P3427"/>
  <c r="N3427"/>
  <c r="M3427"/>
  <c r="K3427"/>
  <c r="H3427"/>
  <c r="C3427"/>
  <c r="G3427"/>
  <c r="E3427"/>
  <c r="B3427"/>
  <c r="A3427"/>
  <c r="W3426"/>
  <c r="S3426"/>
  <c r="Q3426"/>
  <c r="P3426"/>
  <c r="N3426"/>
  <c r="M3426"/>
  <c r="K3426"/>
  <c r="H3426"/>
  <c r="C3426"/>
  <c r="G3426"/>
  <c r="E3426"/>
  <c r="B3426"/>
  <c r="A3426"/>
  <c r="W3425"/>
  <c r="S3425"/>
  <c r="Q3425"/>
  <c r="P3425"/>
  <c r="M3425"/>
  <c r="K3425"/>
  <c r="H3425"/>
  <c r="C3425"/>
  <c r="G3425"/>
  <c r="E3425"/>
  <c r="B3425"/>
  <c r="A3425"/>
  <c r="W3424"/>
  <c r="S3424"/>
  <c r="Q3424"/>
  <c r="P3424"/>
  <c r="M3424"/>
  <c r="K3424"/>
  <c r="H3424"/>
  <c r="C3424"/>
  <c r="G3424"/>
  <c r="E3424"/>
  <c r="B3424"/>
  <c r="A3424"/>
  <c r="W3423"/>
  <c r="S3423"/>
  <c r="Q3423"/>
  <c r="P3423"/>
  <c r="M3423"/>
  <c r="K3423"/>
  <c r="H3423"/>
  <c r="C3423"/>
  <c r="G3423"/>
  <c r="E3423"/>
  <c r="B3423"/>
  <c r="A3423"/>
  <c r="W3422"/>
  <c r="S3422"/>
  <c r="Q3422"/>
  <c r="P3422"/>
  <c r="M3422"/>
  <c r="K3422"/>
  <c r="H3422"/>
  <c r="C3422"/>
  <c r="G3422"/>
  <c r="E3422"/>
  <c r="B3422"/>
  <c r="A3422"/>
  <c r="W3421"/>
  <c r="S3421"/>
  <c r="Q3421"/>
  <c r="P3421"/>
  <c r="M3421"/>
  <c r="K3421"/>
  <c r="H3421"/>
  <c r="C3421"/>
  <c r="G3421"/>
  <c r="E3421"/>
  <c r="B3421"/>
  <c r="A3421"/>
  <c r="W3420"/>
  <c r="S3420"/>
  <c r="Q3420"/>
  <c r="P3420"/>
  <c r="M3420"/>
  <c r="K3420"/>
  <c r="H3420"/>
  <c r="C3420"/>
  <c r="G3420"/>
  <c r="E3420"/>
  <c r="B3420"/>
  <c r="A3420"/>
  <c r="W3419"/>
  <c r="S3419"/>
  <c r="Q3419"/>
  <c r="P3419"/>
  <c r="M3419"/>
  <c r="K3419"/>
  <c r="H3419"/>
  <c r="C3419"/>
  <c r="G3419"/>
  <c r="E3419"/>
  <c r="B3419"/>
  <c r="A3419"/>
  <c r="W3418"/>
  <c r="S3418"/>
  <c r="Q3418"/>
  <c r="P3418"/>
  <c r="M3418"/>
  <c r="K3418"/>
  <c r="H3418"/>
  <c r="C3418"/>
  <c r="G3418"/>
  <c r="E3418"/>
  <c r="B3418"/>
  <c r="A3418"/>
  <c r="W3417"/>
  <c r="S3417"/>
  <c r="Q3417"/>
  <c r="P3417"/>
  <c r="M3417"/>
  <c r="K3417"/>
  <c r="H3417"/>
  <c r="C3417"/>
  <c r="G3417"/>
  <c r="E3417"/>
  <c r="B3417"/>
  <c r="A3417"/>
  <c r="W3416"/>
  <c r="S3416"/>
  <c r="Q3416"/>
  <c r="P3416"/>
  <c r="M3416"/>
  <c r="K3416"/>
  <c r="H3416"/>
  <c r="C3416"/>
  <c r="G3416"/>
  <c r="E3416"/>
  <c r="B3416"/>
  <c r="A3416"/>
  <c r="W3415"/>
  <c r="S3415"/>
  <c r="Q3415"/>
  <c r="P3415"/>
  <c r="M3415"/>
  <c r="K3415"/>
  <c r="H3415"/>
  <c r="C3415"/>
  <c r="G3415"/>
  <c r="E3415"/>
  <c r="B3415"/>
  <c r="A3415"/>
  <c r="W3414"/>
  <c r="S3414"/>
  <c r="Q3414"/>
  <c r="P3414"/>
  <c r="M3414"/>
  <c r="K3414"/>
  <c r="H3414"/>
  <c r="C3414"/>
  <c r="G3414"/>
  <c r="E3414"/>
  <c r="B3414"/>
  <c r="A3414"/>
  <c r="W3413"/>
  <c r="S3413"/>
  <c r="Q3413"/>
  <c r="P3413"/>
  <c r="N3413"/>
  <c r="M3413"/>
  <c r="K3413"/>
  <c r="H3413"/>
  <c r="C3413"/>
  <c r="G3413"/>
  <c r="E3413"/>
  <c r="B3413"/>
  <c r="A3413"/>
  <c r="W3412"/>
  <c r="S3412"/>
  <c r="Q3412"/>
  <c r="P3412"/>
  <c r="N3412"/>
  <c r="M3412"/>
  <c r="K3412"/>
  <c r="H3412"/>
  <c r="C3412"/>
  <c r="G3412"/>
  <c r="E3412"/>
  <c r="B3412"/>
  <c r="A3412"/>
  <c r="W3411"/>
  <c r="S3411"/>
  <c r="Q3411"/>
  <c r="P3411"/>
  <c r="M3411"/>
  <c r="K3411"/>
  <c r="H3411"/>
  <c r="C3411"/>
  <c r="G3411"/>
  <c r="E3411"/>
  <c r="B3411"/>
  <c r="A3411"/>
  <c r="W3410"/>
  <c r="S3410"/>
  <c r="Q3410"/>
  <c r="P3410"/>
  <c r="M3410"/>
  <c r="K3410"/>
  <c r="H3410"/>
  <c r="C3410"/>
  <c r="G3410"/>
  <c r="E3410"/>
  <c r="B3410"/>
  <c r="A3410"/>
  <c r="W3409"/>
  <c r="S3409"/>
  <c r="Q3409"/>
  <c r="P3409"/>
  <c r="N3409"/>
  <c r="M3409"/>
  <c r="K3409"/>
  <c r="H3409"/>
  <c r="C3409"/>
  <c r="G3409"/>
  <c r="E3409"/>
  <c r="B3409"/>
  <c r="A3409"/>
  <c r="W3408"/>
  <c r="S3408"/>
  <c r="Q3408"/>
  <c r="P3408"/>
  <c r="M3408"/>
  <c r="K3408"/>
  <c r="H3408"/>
  <c r="C3408"/>
  <c r="G3408"/>
  <c r="E3408"/>
  <c r="B3408"/>
  <c r="A3408"/>
  <c r="W3407"/>
  <c r="S3407"/>
  <c r="Q3407"/>
  <c r="P3407"/>
  <c r="N3407"/>
  <c r="M3407"/>
  <c r="K3407"/>
  <c r="H3407"/>
  <c r="C3407"/>
  <c r="G3407"/>
  <c r="E3407"/>
  <c r="B3407"/>
  <c r="A3407"/>
  <c r="W3406"/>
  <c r="S3406"/>
  <c r="Q3406"/>
  <c r="P3406"/>
  <c r="N3406"/>
  <c r="M3406"/>
  <c r="K3406"/>
  <c r="H3406"/>
  <c r="C3406"/>
  <c r="G3406"/>
  <c r="E3406"/>
  <c r="B3406"/>
  <c r="A3406"/>
  <c r="W3405"/>
  <c r="S3405"/>
  <c r="Q3405"/>
  <c r="P3405"/>
  <c r="N3405"/>
  <c r="M3405"/>
  <c r="K3405"/>
  <c r="H3405"/>
  <c r="C3405"/>
  <c r="G3405"/>
  <c r="E3405"/>
  <c r="B3405"/>
  <c r="A3405"/>
  <c r="W3404"/>
  <c r="S3404"/>
  <c r="Q3404"/>
  <c r="P3404"/>
  <c r="N3404"/>
  <c r="M3404"/>
  <c r="K3404"/>
  <c r="H3404"/>
  <c r="C3404"/>
  <c r="G3404"/>
  <c r="E3404"/>
  <c r="B3404"/>
  <c r="A3404"/>
  <c r="W3403"/>
  <c r="S3403"/>
  <c r="Q3403"/>
  <c r="P3403"/>
  <c r="M3403"/>
  <c r="K3403"/>
  <c r="H3403"/>
  <c r="C3403"/>
  <c r="G3403"/>
  <c r="E3403"/>
  <c r="B3403"/>
  <c r="A3403"/>
  <c r="W3402"/>
  <c r="S3402"/>
  <c r="Q3402"/>
  <c r="P3402"/>
  <c r="M3402"/>
  <c r="K3402"/>
  <c r="H3402"/>
  <c r="C3402"/>
  <c r="G3402"/>
  <c r="E3402"/>
  <c r="B3402"/>
  <c r="A3402"/>
  <c r="W3401"/>
  <c r="S3401"/>
  <c r="Q3401"/>
  <c r="P3401"/>
  <c r="M3401"/>
  <c r="K3401"/>
  <c r="H3401"/>
  <c r="C3401"/>
  <c r="G3401"/>
  <c r="E3401"/>
  <c r="B3401"/>
  <c r="A3401"/>
  <c r="W3400"/>
  <c r="S3400"/>
  <c r="Q3400"/>
  <c r="P3400"/>
  <c r="M3400"/>
  <c r="K3400"/>
  <c r="H3400"/>
  <c r="C3400"/>
  <c r="G3400"/>
  <c r="E3400"/>
  <c r="B3400"/>
  <c r="A3400"/>
  <c r="W3399"/>
  <c r="S3399"/>
  <c r="Q3399"/>
  <c r="P3399"/>
  <c r="M3399"/>
  <c r="K3399"/>
  <c r="H3399"/>
  <c r="C3399"/>
  <c r="G3399"/>
  <c r="E3399"/>
  <c r="B3399"/>
  <c r="A3399"/>
  <c r="W3398"/>
  <c r="S3398"/>
  <c r="Q3398"/>
  <c r="P3398"/>
  <c r="M3398"/>
  <c r="K3398"/>
  <c r="H3398"/>
  <c r="C3398"/>
  <c r="G3398"/>
  <c r="E3398"/>
  <c r="B3398"/>
  <c r="A3398"/>
  <c r="W3397"/>
  <c r="S3397"/>
  <c r="Q3397"/>
  <c r="P3397"/>
  <c r="M3397"/>
  <c r="K3397"/>
  <c r="H3397"/>
  <c r="C3397"/>
  <c r="G3397"/>
  <c r="E3397"/>
  <c r="B3397"/>
  <c r="A3397"/>
  <c r="W3396"/>
  <c r="S3396"/>
  <c r="Q3396"/>
  <c r="P3396"/>
  <c r="M3396"/>
  <c r="K3396"/>
  <c r="H3396"/>
  <c r="C3396"/>
  <c r="G3396"/>
  <c r="E3396"/>
  <c r="B3396"/>
  <c r="A3396"/>
  <c r="W3395"/>
  <c r="S3395"/>
  <c r="Q3395"/>
  <c r="P3395"/>
  <c r="M3395"/>
  <c r="K3395"/>
  <c r="H3395"/>
  <c r="C3395"/>
  <c r="G3395"/>
  <c r="E3395"/>
  <c r="B3395"/>
  <c r="A3395"/>
  <c r="W3394"/>
  <c r="S3394"/>
  <c r="Q3394"/>
  <c r="P3394"/>
  <c r="M3394"/>
  <c r="K3394"/>
  <c r="H3394"/>
  <c r="C3394"/>
  <c r="G3394"/>
  <c r="E3394"/>
  <c r="B3394"/>
  <c r="A3394"/>
  <c r="W3393"/>
  <c r="S3393"/>
  <c r="Q3393"/>
  <c r="P3393"/>
  <c r="M3393"/>
  <c r="K3393"/>
  <c r="H3393"/>
  <c r="C3393"/>
  <c r="G3393"/>
  <c r="E3393"/>
  <c r="B3393"/>
  <c r="A3393"/>
  <c r="W3392"/>
  <c r="S3392"/>
  <c r="Q3392"/>
  <c r="P3392"/>
  <c r="M3392"/>
  <c r="K3392"/>
  <c r="H3392"/>
  <c r="C3392"/>
  <c r="G3392"/>
  <c r="E3392"/>
  <c r="B3392"/>
  <c r="A3392"/>
  <c r="W3391"/>
  <c r="S3391"/>
  <c r="Q3391"/>
  <c r="P3391"/>
  <c r="M3391"/>
  <c r="K3391"/>
  <c r="H3391"/>
  <c r="C3391"/>
  <c r="G3391"/>
  <c r="E3391"/>
  <c r="B3391"/>
  <c r="A3391"/>
  <c r="W3390"/>
  <c r="S3390"/>
  <c r="Q3390"/>
  <c r="P3390"/>
  <c r="M3390"/>
  <c r="K3390"/>
  <c r="H3390"/>
  <c r="C3390"/>
  <c r="G3390"/>
  <c r="E3390"/>
  <c r="B3390"/>
  <c r="A3390"/>
  <c r="W3389"/>
  <c r="S3389"/>
  <c r="R3389"/>
  <c r="Q3389"/>
  <c r="P3389"/>
  <c r="M3389"/>
  <c r="K3389"/>
  <c r="H3389"/>
  <c r="C3389"/>
  <c r="G3389"/>
  <c r="E3389"/>
  <c r="B3389"/>
  <c r="A3389"/>
  <c r="W3388"/>
  <c r="S3388"/>
  <c r="Q3388"/>
  <c r="P3388"/>
  <c r="M3388"/>
  <c r="K3388"/>
  <c r="H3388"/>
  <c r="C3388"/>
  <c r="G3388"/>
  <c r="E3388"/>
  <c r="B3388"/>
  <c r="A3388"/>
  <c r="W3387"/>
  <c r="S3387"/>
  <c r="Q3387"/>
  <c r="P3387"/>
  <c r="M3387"/>
  <c r="K3387"/>
  <c r="H3387"/>
  <c r="C3387"/>
  <c r="G3387"/>
  <c r="E3387"/>
  <c r="B3387"/>
  <c r="A3387"/>
  <c r="W3386"/>
  <c r="S3386"/>
  <c r="Q3386"/>
  <c r="P3386"/>
  <c r="M3386"/>
  <c r="K3386"/>
  <c r="H3386"/>
  <c r="C3386"/>
  <c r="G3386"/>
  <c r="E3386"/>
  <c r="B3386"/>
  <c r="A3386"/>
  <c r="W3385"/>
  <c r="S3385"/>
  <c r="Q3385"/>
  <c r="P3385"/>
  <c r="M3385"/>
  <c r="K3385"/>
  <c r="H3385"/>
  <c r="C3385"/>
  <c r="G3385"/>
  <c r="E3385"/>
  <c r="B3385"/>
  <c r="A3385"/>
  <c r="W3384"/>
  <c r="S3384"/>
  <c r="Q3384"/>
  <c r="P3384"/>
  <c r="M3384"/>
  <c r="K3384"/>
  <c r="H3384"/>
  <c r="C3384"/>
  <c r="G3384"/>
  <c r="E3384"/>
  <c r="B3384"/>
  <c r="A3384"/>
  <c r="W3383"/>
  <c r="S3383"/>
  <c r="Q3383"/>
  <c r="P3383"/>
  <c r="M3383"/>
  <c r="K3383"/>
  <c r="H3383"/>
  <c r="C3383"/>
  <c r="G3383"/>
  <c r="E3383"/>
  <c r="B3383"/>
  <c r="A3383"/>
  <c r="W3382"/>
  <c r="S3382"/>
  <c r="Q3382"/>
  <c r="P3382"/>
  <c r="M3382"/>
  <c r="K3382"/>
  <c r="H3382"/>
  <c r="C3382"/>
  <c r="G3382"/>
  <c r="E3382"/>
  <c r="B3382"/>
  <c r="A3382"/>
  <c r="W3381"/>
  <c r="S3381"/>
  <c r="Q3381"/>
  <c r="P3381"/>
  <c r="M3381"/>
  <c r="K3381"/>
  <c r="H3381"/>
  <c r="C3381"/>
  <c r="G3381"/>
  <c r="E3381"/>
  <c r="B3381"/>
  <c r="A3381"/>
  <c r="W3380"/>
  <c r="S3380"/>
  <c r="Q3380"/>
  <c r="P3380"/>
  <c r="N3380"/>
  <c r="M3380"/>
  <c r="K3380"/>
  <c r="H3380"/>
  <c r="C3380"/>
  <c r="G3380"/>
  <c r="E3380"/>
  <c r="B3380"/>
  <c r="A3380"/>
  <c r="W3379"/>
  <c r="S3379"/>
  <c r="Q3379"/>
  <c r="P3379"/>
  <c r="N3379"/>
  <c r="M3379"/>
  <c r="K3379"/>
  <c r="H3379"/>
  <c r="C3379"/>
  <c r="G3379"/>
  <c r="E3379"/>
  <c r="B3379"/>
  <c r="A3379"/>
  <c r="W3378"/>
  <c r="S3378"/>
  <c r="Q3378"/>
  <c r="P3378"/>
  <c r="N3378"/>
  <c r="M3378"/>
  <c r="K3378"/>
  <c r="H3378"/>
  <c r="C3378"/>
  <c r="G3378"/>
  <c r="E3378"/>
  <c r="B3378"/>
  <c r="A3378"/>
  <c r="W3377"/>
  <c r="S3377"/>
  <c r="Q3377"/>
  <c r="P3377"/>
  <c r="M3377"/>
  <c r="K3377"/>
  <c r="H3377"/>
  <c r="C3377"/>
  <c r="G3377"/>
  <c r="E3377"/>
  <c r="B3377"/>
  <c r="A3377"/>
  <c r="W3376"/>
  <c r="S3376"/>
  <c r="Q3376"/>
  <c r="P3376"/>
  <c r="M3376"/>
  <c r="K3376"/>
  <c r="H3376"/>
  <c r="C3376"/>
  <c r="G3376"/>
  <c r="E3376"/>
  <c r="B3376"/>
  <c r="A3376"/>
  <c r="W3375"/>
  <c r="S3375"/>
  <c r="Q3375"/>
  <c r="P3375"/>
  <c r="M3375"/>
  <c r="K3375"/>
  <c r="H3375"/>
  <c r="C3375"/>
  <c r="G3375"/>
  <c r="E3375"/>
  <c r="B3375"/>
  <c r="A3375"/>
  <c r="W3374"/>
  <c r="S3374"/>
  <c r="Q3374"/>
  <c r="P3374"/>
  <c r="N3374"/>
  <c r="M3374"/>
  <c r="K3374"/>
  <c r="H3374"/>
  <c r="C3374"/>
  <c r="G3374"/>
  <c r="E3374"/>
  <c r="B3374"/>
  <c r="A3374"/>
  <c r="W3373"/>
  <c r="S3373"/>
  <c r="Q3373"/>
  <c r="P3373"/>
  <c r="N3373"/>
  <c r="M3373"/>
  <c r="K3373"/>
  <c r="H3373"/>
  <c r="C3373"/>
  <c r="G3373"/>
  <c r="E3373"/>
  <c r="B3373"/>
  <c r="A3373"/>
  <c r="W3372"/>
  <c r="S3372"/>
  <c r="Q3372"/>
  <c r="P3372"/>
  <c r="N3372"/>
  <c r="M3372"/>
  <c r="K3372"/>
  <c r="H3372"/>
  <c r="C3372"/>
  <c r="G3372"/>
  <c r="E3372"/>
  <c r="B3372"/>
  <c r="A3372"/>
  <c r="W3371"/>
  <c r="S3371"/>
  <c r="Q3371"/>
  <c r="P3371"/>
  <c r="M3371"/>
  <c r="K3371"/>
  <c r="H3371"/>
  <c r="C3371"/>
  <c r="G3371"/>
  <c r="E3371"/>
  <c r="B3371"/>
  <c r="A3371"/>
  <c r="W3370"/>
  <c r="S3370"/>
  <c r="Q3370"/>
  <c r="P3370"/>
  <c r="M3370"/>
  <c r="K3370"/>
  <c r="H3370"/>
  <c r="C3370"/>
  <c r="G3370"/>
  <c r="E3370"/>
  <c r="B3370"/>
  <c r="A3370"/>
  <c r="W3369"/>
  <c r="S3369"/>
  <c r="Q3369"/>
  <c r="P3369"/>
  <c r="M3369"/>
  <c r="K3369"/>
  <c r="H3369"/>
  <c r="C3369"/>
  <c r="G3369"/>
  <c r="E3369"/>
  <c r="B3369"/>
  <c r="A3369"/>
  <c r="W3368"/>
  <c r="S3368"/>
  <c r="Q3368"/>
  <c r="P3368"/>
  <c r="M3368"/>
  <c r="K3368"/>
  <c r="H3368"/>
  <c r="C3368"/>
  <c r="G3368"/>
  <c r="E3368"/>
  <c r="B3368"/>
  <c r="A3368"/>
  <c r="W3367"/>
  <c r="S3367"/>
  <c r="Q3367"/>
  <c r="P3367"/>
  <c r="M3367"/>
  <c r="K3367"/>
  <c r="H3367"/>
  <c r="C3367"/>
  <c r="G3367"/>
  <c r="E3367"/>
  <c r="B3367"/>
  <c r="A3367"/>
  <c r="W3366"/>
  <c r="S3366"/>
  <c r="Q3366"/>
  <c r="P3366"/>
  <c r="N3366"/>
  <c r="M3366"/>
  <c r="K3366"/>
  <c r="H3366"/>
  <c r="C3366"/>
  <c r="G3366"/>
  <c r="E3366"/>
  <c r="B3366"/>
  <c r="A3366"/>
  <c r="W3365"/>
  <c r="S3365"/>
  <c r="Q3365"/>
  <c r="P3365"/>
  <c r="M3365"/>
  <c r="K3365"/>
  <c r="H3365"/>
  <c r="C3365"/>
  <c r="G3365"/>
  <c r="E3365"/>
  <c r="B3365"/>
  <c r="A3365"/>
  <c r="W3364"/>
  <c r="S3364"/>
  <c r="Q3364"/>
  <c r="P3364"/>
  <c r="M3364"/>
  <c r="K3364"/>
  <c r="H3364"/>
  <c r="C3364"/>
  <c r="G3364"/>
  <c r="E3364"/>
  <c r="B3364"/>
  <c r="A3364"/>
  <c r="W3363"/>
  <c r="S3363"/>
  <c r="Q3363"/>
  <c r="P3363"/>
  <c r="M3363"/>
  <c r="K3363"/>
  <c r="H3363"/>
  <c r="C3363"/>
  <c r="G3363"/>
  <c r="E3363"/>
  <c r="B3363"/>
  <c r="A3363"/>
  <c r="W3362"/>
  <c r="S3362"/>
  <c r="Q3362"/>
  <c r="P3362"/>
  <c r="M3362"/>
  <c r="K3362"/>
  <c r="H3362"/>
  <c r="C3362"/>
  <c r="G3362"/>
  <c r="E3362"/>
  <c r="B3362"/>
  <c r="A3362"/>
  <c r="W3361"/>
  <c r="S3361"/>
  <c r="Q3361"/>
  <c r="P3361"/>
  <c r="M3361"/>
  <c r="K3361"/>
  <c r="H3361"/>
  <c r="C3361"/>
  <c r="G3361"/>
  <c r="E3361"/>
  <c r="B3361"/>
  <c r="A3361"/>
  <c r="W3360"/>
  <c r="S3360"/>
  <c r="R3360"/>
  <c r="Q3360"/>
  <c r="P3360"/>
  <c r="M3360"/>
  <c r="K3360"/>
  <c r="H3360"/>
  <c r="C3360"/>
  <c r="G3360"/>
  <c r="E3360"/>
  <c r="B3360"/>
  <c r="A3360"/>
  <c r="W3359"/>
  <c r="S3359"/>
  <c r="Q3359"/>
  <c r="P3359"/>
  <c r="M3359"/>
  <c r="K3359"/>
  <c r="H3359"/>
  <c r="C3359"/>
  <c r="G3359"/>
  <c r="E3359"/>
  <c r="B3359"/>
  <c r="A3359"/>
  <c r="W3358"/>
  <c r="S3358"/>
  <c r="Q3358"/>
  <c r="P3358"/>
  <c r="M3358"/>
  <c r="K3358"/>
  <c r="H3358"/>
  <c r="C3358"/>
  <c r="G3358"/>
  <c r="E3358"/>
  <c r="B3358"/>
  <c r="A3358"/>
  <c r="W3357"/>
  <c r="S3357"/>
  <c r="Q3357"/>
  <c r="P3357"/>
  <c r="M3357"/>
  <c r="K3357"/>
  <c r="H3357"/>
  <c r="C3357"/>
  <c r="G3357"/>
  <c r="E3357"/>
  <c r="B3357"/>
  <c r="A3357"/>
  <c r="W3356"/>
  <c r="S3356"/>
  <c r="Q3356"/>
  <c r="P3356"/>
  <c r="M3356"/>
  <c r="K3356"/>
  <c r="H3356"/>
  <c r="C3356"/>
  <c r="G3356"/>
  <c r="E3356"/>
  <c r="B3356"/>
  <c r="A3356"/>
  <c r="W3355"/>
  <c r="S3355"/>
  <c r="Q3355"/>
  <c r="P3355"/>
  <c r="M3355"/>
  <c r="K3355"/>
  <c r="H3355"/>
  <c r="C3355"/>
  <c r="G3355"/>
  <c r="E3355"/>
  <c r="B3355"/>
  <c r="A3355"/>
  <c r="W3354"/>
  <c r="S3354"/>
  <c r="Q3354"/>
  <c r="P3354"/>
  <c r="M3354"/>
  <c r="K3354"/>
  <c r="H3354"/>
  <c r="C3354"/>
  <c r="G3354"/>
  <c r="E3354"/>
  <c r="B3354"/>
  <c r="A3354"/>
  <c r="W3353"/>
  <c r="S3353"/>
  <c r="Q3353"/>
  <c r="P3353"/>
  <c r="M3353"/>
  <c r="K3353"/>
  <c r="H3353"/>
  <c r="C3353"/>
  <c r="G3353"/>
  <c r="E3353"/>
  <c r="B3353"/>
  <c r="A3353"/>
  <c r="W3352"/>
  <c r="S3352"/>
  <c r="Q3352"/>
  <c r="P3352"/>
  <c r="M3352"/>
  <c r="K3352"/>
  <c r="H3352"/>
  <c r="C3352"/>
  <c r="G3352"/>
  <c r="E3352"/>
  <c r="B3352"/>
  <c r="A3352"/>
  <c r="W3351"/>
  <c r="S3351"/>
  <c r="Q3351"/>
  <c r="P3351"/>
  <c r="M3351"/>
  <c r="K3351"/>
  <c r="H3351"/>
  <c r="C3351"/>
  <c r="G3351"/>
  <c r="E3351"/>
  <c r="B3351"/>
  <c r="A3351"/>
  <c r="W3350"/>
  <c r="S3350"/>
  <c r="Q3350"/>
  <c r="P3350"/>
  <c r="M3350"/>
  <c r="K3350"/>
  <c r="H3350"/>
  <c r="C3350"/>
  <c r="G3350"/>
  <c r="E3350"/>
  <c r="B3350"/>
  <c r="A3350"/>
  <c r="W3349"/>
  <c r="S3349"/>
  <c r="Q3349"/>
  <c r="P3349"/>
  <c r="M3349"/>
  <c r="K3349"/>
  <c r="H3349"/>
  <c r="C3349"/>
  <c r="G3349"/>
  <c r="E3349"/>
  <c r="B3349"/>
  <c r="A3349"/>
  <c r="W3348"/>
  <c r="S3348"/>
  <c r="Q3348"/>
  <c r="P3348"/>
  <c r="M3348"/>
  <c r="K3348"/>
  <c r="H3348"/>
  <c r="C3348"/>
  <c r="G3348"/>
  <c r="E3348"/>
  <c r="B3348"/>
  <c r="A3348"/>
  <c r="W3347"/>
  <c r="S3347"/>
  <c r="Q3347"/>
  <c r="P3347"/>
  <c r="M3347"/>
  <c r="K3347"/>
  <c r="H3347"/>
  <c r="C3347"/>
  <c r="G3347"/>
  <c r="E3347"/>
  <c r="B3347"/>
  <c r="A3347"/>
  <c r="W3346"/>
  <c r="S3346"/>
  <c r="Q3346"/>
  <c r="P3346"/>
  <c r="M3346"/>
  <c r="K3346"/>
  <c r="H3346"/>
  <c r="C3346"/>
  <c r="G3346"/>
  <c r="E3346"/>
  <c r="B3346"/>
  <c r="A3346"/>
  <c r="W3345"/>
  <c r="S3345"/>
  <c r="Q3345"/>
  <c r="P3345"/>
  <c r="M3345"/>
  <c r="K3345"/>
  <c r="H3345"/>
  <c r="C3345"/>
  <c r="G3345"/>
  <c r="E3345"/>
  <c r="B3345"/>
  <c r="A3345"/>
  <c r="W3344"/>
  <c r="S3344"/>
  <c r="Q3344"/>
  <c r="P3344"/>
  <c r="M3344"/>
  <c r="K3344"/>
  <c r="H3344"/>
  <c r="C3344"/>
  <c r="G3344"/>
  <c r="E3344"/>
  <c r="B3344"/>
  <c r="A3344"/>
  <c r="W3343"/>
  <c r="S3343"/>
  <c r="Q3343"/>
  <c r="P3343"/>
  <c r="M3343"/>
  <c r="K3343"/>
  <c r="H3343"/>
  <c r="C3343"/>
  <c r="G3343"/>
  <c r="E3343"/>
  <c r="B3343"/>
  <c r="A3343"/>
  <c r="W3342"/>
  <c r="S3342"/>
  <c r="Q3342"/>
  <c r="P3342"/>
  <c r="M3342"/>
  <c r="K3342"/>
  <c r="H3342"/>
  <c r="C3342"/>
  <c r="G3342"/>
  <c r="E3342"/>
  <c r="B3342"/>
  <c r="A3342"/>
  <c r="W3341"/>
  <c r="S3341"/>
  <c r="Q3341"/>
  <c r="P3341"/>
  <c r="M3341"/>
  <c r="K3341"/>
  <c r="H3341"/>
  <c r="C3341"/>
  <c r="G3341"/>
  <c r="E3341"/>
  <c r="B3341"/>
  <c r="A3341"/>
  <c r="W3340"/>
  <c r="S3340"/>
  <c r="Q3340"/>
  <c r="P3340"/>
  <c r="M3340"/>
  <c r="K3340"/>
  <c r="H3340"/>
  <c r="C3340"/>
  <c r="G3340"/>
  <c r="E3340"/>
  <c r="B3340"/>
  <c r="A3340"/>
  <c r="W3339"/>
  <c r="S3339"/>
  <c r="Q3339"/>
  <c r="P3339"/>
  <c r="M3339"/>
  <c r="K3339"/>
  <c r="H3339"/>
  <c r="C3339"/>
  <c r="G3339"/>
  <c r="E3339"/>
  <c r="B3339"/>
  <c r="A3339"/>
  <c r="W3338"/>
  <c r="S3338"/>
  <c r="Q3338"/>
  <c r="P3338"/>
  <c r="M3338"/>
  <c r="K3338"/>
  <c r="H3338"/>
  <c r="C3338"/>
  <c r="G3338"/>
  <c r="E3338"/>
  <c r="B3338"/>
  <c r="A3338"/>
  <c r="W3337"/>
  <c r="S3337"/>
  <c r="Q3337"/>
  <c r="P3337"/>
  <c r="M3337"/>
  <c r="K3337"/>
  <c r="H3337"/>
  <c r="C3337"/>
  <c r="G3337"/>
  <c r="E3337"/>
  <c r="B3337"/>
  <c r="A3337"/>
  <c r="W3336"/>
  <c r="S3336"/>
  <c r="Q3336"/>
  <c r="P3336"/>
  <c r="M3336"/>
  <c r="K3336"/>
  <c r="H3336"/>
  <c r="C3336"/>
  <c r="G3336"/>
  <c r="E3336"/>
  <c r="B3336"/>
  <c r="A3336"/>
  <c r="W3335"/>
  <c r="S3335"/>
  <c r="Q3335"/>
  <c r="P3335"/>
  <c r="M3335"/>
  <c r="K3335"/>
  <c r="H3335"/>
  <c r="C3335"/>
  <c r="G3335"/>
  <c r="E3335"/>
  <c r="B3335"/>
  <c r="A3335"/>
  <c r="W3334"/>
  <c r="S3334"/>
  <c r="Q3334"/>
  <c r="P3334"/>
  <c r="M3334"/>
  <c r="K3334"/>
  <c r="H3334"/>
  <c r="C3334"/>
  <c r="G3334"/>
  <c r="E3334"/>
  <c r="B3334"/>
  <c r="A3334"/>
  <c r="W3333"/>
  <c r="S3333"/>
  <c r="Q3333"/>
  <c r="P3333"/>
  <c r="M3333"/>
  <c r="K3333"/>
  <c r="H3333"/>
  <c r="C3333"/>
  <c r="G3333"/>
  <c r="E3333"/>
  <c r="B3333"/>
  <c r="A3333"/>
  <c r="W3332"/>
  <c r="S3332"/>
  <c r="Q3332"/>
  <c r="P3332"/>
  <c r="M3332"/>
  <c r="K3332"/>
  <c r="H3332"/>
  <c r="C3332"/>
  <c r="G3332"/>
  <c r="E3332"/>
  <c r="B3332"/>
  <c r="A3332"/>
  <c r="W3331"/>
  <c r="S3331"/>
  <c r="Q3331"/>
  <c r="P3331"/>
  <c r="M3331"/>
  <c r="K3331"/>
  <c r="H3331"/>
  <c r="C3331"/>
  <c r="G3331"/>
  <c r="E3331"/>
  <c r="B3331"/>
  <c r="A3331"/>
  <c r="W3330"/>
  <c r="S3330"/>
  <c r="Q3330"/>
  <c r="P3330"/>
  <c r="M3330"/>
  <c r="K3330"/>
  <c r="H3330"/>
  <c r="C3330"/>
  <c r="G3330"/>
  <c r="E3330"/>
  <c r="B3330"/>
  <c r="A3330"/>
  <c r="W3329"/>
  <c r="S3329"/>
  <c r="Q3329"/>
  <c r="P3329"/>
  <c r="M3329"/>
  <c r="K3329"/>
  <c r="H3329"/>
  <c r="C3329"/>
  <c r="G3329"/>
  <c r="E3329"/>
  <c r="B3329"/>
  <c r="A3329"/>
  <c r="W3328"/>
  <c r="S3328"/>
  <c r="R3328"/>
  <c r="Q3328"/>
  <c r="P3328"/>
  <c r="M3328"/>
  <c r="K3328"/>
  <c r="H3328"/>
  <c r="C3328"/>
  <c r="G3328"/>
  <c r="E3328"/>
  <c r="B3328"/>
  <c r="A3328"/>
  <c r="W3327"/>
  <c r="S3327"/>
  <c r="Q3327"/>
  <c r="P3327"/>
  <c r="M3327"/>
  <c r="K3327"/>
  <c r="H3327"/>
  <c r="C3327"/>
  <c r="G3327"/>
  <c r="E3327"/>
  <c r="B3327"/>
  <c r="A3327"/>
  <c r="W3326"/>
  <c r="S3326"/>
  <c r="Q3326"/>
  <c r="P3326"/>
  <c r="M3326"/>
  <c r="K3326"/>
  <c r="H3326"/>
  <c r="C3326"/>
  <c r="G3326"/>
  <c r="E3326"/>
  <c r="B3326"/>
  <c r="A3326"/>
  <c r="W3325"/>
  <c r="S3325"/>
  <c r="Q3325"/>
  <c r="P3325"/>
  <c r="M3325"/>
  <c r="K3325"/>
  <c r="H3325"/>
  <c r="C3325"/>
  <c r="G3325"/>
  <c r="E3325"/>
  <c r="B3325"/>
  <c r="A3325"/>
  <c r="W3324"/>
  <c r="S3324"/>
  <c r="Q3324"/>
  <c r="P3324"/>
  <c r="M3324"/>
  <c r="K3324"/>
  <c r="H3324"/>
  <c r="C3324"/>
  <c r="G3324"/>
  <c r="E3324"/>
  <c r="B3324"/>
  <c r="A3324"/>
  <c r="W3323"/>
  <c r="S3323"/>
  <c r="Q3323"/>
  <c r="P3323"/>
  <c r="M3323"/>
  <c r="K3323"/>
  <c r="H3323"/>
  <c r="C3323"/>
  <c r="G3323"/>
  <c r="E3323"/>
  <c r="B3323"/>
  <c r="A3323"/>
  <c r="W3322"/>
  <c r="S3322"/>
  <c r="Q3322"/>
  <c r="P3322"/>
  <c r="M3322"/>
  <c r="K3322"/>
  <c r="H3322"/>
  <c r="C3322"/>
  <c r="G3322"/>
  <c r="E3322"/>
  <c r="B3322"/>
  <c r="A3322"/>
  <c r="W3321"/>
  <c r="S3321"/>
  <c r="Q3321"/>
  <c r="P3321"/>
  <c r="M3321"/>
  <c r="K3321"/>
  <c r="H3321"/>
  <c r="C3321"/>
  <c r="G3321"/>
  <c r="E3321"/>
  <c r="B3321"/>
  <c r="A3321"/>
  <c r="W3320"/>
  <c r="S3320"/>
  <c r="Q3320"/>
  <c r="P3320"/>
  <c r="M3320"/>
  <c r="K3320"/>
  <c r="H3320"/>
  <c r="C3320"/>
  <c r="G3320"/>
  <c r="E3320"/>
  <c r="B3320"/>
  <c r="A3320"/>
  <c r="W3319"/>
  <c r="S3319"/>
  <c r="Q3319"/>
  <c r="P3319"/>
  <c r="M3319"/>
  <c r="K3319"/>
  <c r="H3319"/>
  <c r="C3319"/>
  <c r="G3319"/>
  <c r="E3319"/>
  <c r="B3319"/>
  <c r="A3319"/>
  <c r="W3318"/>
  <c r="S3318"/>
  <c r="Q3318"/>
  <c r="P3318"/>
  <c r="M3318"/>
  <c r="K3318"/>
  <c r="H3318"/>
  <c r="C3318"/>
  <c r="G3318"/>
  <c r="E3318"/>
  <c r="B3318"/>
  <c r="A3318"/>
  <c r="W3317"/>
  <c r="S3317"/>
  <c r="R3317"/>
  <c r="Q3317"/>
  <c r="P3317"/>
  <c r="M3317"/>
  <c r="K3317"/>
  <c r="H3317"/>
  <c r="C3317"/>
  <c r="G3317"/>
  <c r="E3317"/>
  <c r="B3317"/>
  <c r="A3317"/>
  <c r="W3316"/>
  <c r="S3316"/>
  <c r="Q3316"/>
  <c r="P3316"/>
  <c r="M3316"/>
  <c r="K3316"/>
  <c r="H3316"/>
  <c r="C3316"/>
  <c r="G3316"/>
  <c r="E3316"/>
  <c r="B3316"/>
  <c r="A3316"/>
  <c r="W3315"/>
  <c r="S3315"/>
  <c r="Q3315"/>
  <c r="P3315"/>
  <c r="M3315"/>
  <c r="K3315"/>
  <c r="H3315"/>
  <c r="C3315"/>
  <c r="G3315"/>
  <c r="E3315"/>
  <c r="B3315"/>
  <c r="A3315"/>
  <c r="W3314"/>
  <c r="S3314"/>
  <c r="Q3314"/>
  <c r="P3314"/>
  <c r="M3314"/>
  <c r="K3314"/>
  <c r="H3314"/>
  <c r="C3314"/>
  <c r="G3314"/>
  <c r="E3314"/>
  <c r="B3314"/>
  <c r="A3314"/>
  <c r="W3313"/>
  <c r="S3313"/>
  <c r="Q3313"/>
  <c r="P3313"/>
  <c r="M3313"/>
  <c r="K3313"/>
  <c r="H3313"/>
  <c r="C3313"/>
  <c r="G3313"/>
  <c r="E3313"/>
  <c r="B3313"/>
  <c r="A3313"/>
  <c r="W3312"/>
  <c r="S3312"/>
  <c r="Q3312"/>
  <c r="P3312"/>
  <c r="M3312"/>
  <c r="K3312"/>
  <c r="H3312"/>
  <c r="C3312"/>
  <c r="G3312"/>
  <c r="E3312"/>
  <c r="B3312"/>
  <c r="A3312"/>
  <c r="W3311"/>
  <c r="S3311"/>
  <c r="Q3311"/>
  <c r="P3311"/>
  <c r="M3311"/>
  <c r="K3311"/>
  <c r="H3311"/>
  <c r="C3311"/>
  <c r="G3311"/>
  <c r="E3311"/>
  <c r="B3311"/>
  <c r="A3311"/>
  <c r="W3310"/>
  <c r="S3310"/>
  <c r="Q3310"/>
  <c r="P3310"/>
  <c r="M3310"/>
  <c r="K3310"/>
  <c r="H3310"/>
  <c r="C3310"/>
  <c r="G3310"/>
  <c r="E3310"/>
  <c r="B3310"/>
  <c r="A3310"/>
  <c r="W3309"/>
  <c r="S3309"/>
  <c r="Q3309"/>
  <c r="P3309"/>
  <c r="M3309"/>
  <c r="K3309"/>
  <c r="H3309"/>
  <c r="C3309"/>
  <c r="G3309"/>
  <c r="E3309"/>
  <c r="B3309"/>
  <c r="A3309"/>
  <c r="W3308"/>
  <c r="S3308"/>
  <c r="Q3308"/>
  <c r="P3308"/>
  <c r="M3308"/>
  <c r="K3308"/>
  <c r="H3308"/>
  <c r="C3308"/>
  <c r="G3308"/>
  <c r="E3308"/>
  <c r="B3308"/>
  <c r="A3308"/>
  <c r="W3307"/>
  <c r="S3307"/>
  <c r="Q3307"/>
  <c r="P3307"/>
  <c r="M3307"/>
  <c r="K3307"/>
  <c r="H3307"/>
  <c r="C3307"/>
  <c r="G3307"/>
  <c r="E3307"/>
  <c r="B3307"/>
  <c r="A3307"/>
  <c r="W3306"/>
  <c r="S3306"/>
  <c r="Q3306"/>
  <c r="P3306"/>
  <c r="M3306"/>
  <c r="K3306"/>
  <c r="H3306"/>
  <c r="C3306"/>
  <c r="G3306"/>
  <c r="E3306"/>
  <c r="B3306"/>
  <c r="A3306"/>
  <c r="W3305"/>
  <c r="S3305"/>
  <c r="R3305"/>
  <c r="Q3305"/>
  <c r="P3305"/>
  <c r="M3305"/>
  <c r="K3305"/>
  <c r="H3305"/>
  <c r="C3305"/>
  <c r="G3305"/>
  <c r="E3305"/>
  <c r="B3305"/>
  <c r="A3305"/>
  <c r="W3304"/>
  <c r="S3304"/>
  <c r="Q3304"/>
  <c r="P3304"/>
  <c r="M3304"/>
  <c r="K3304"/>
  <c r="H3304"/>
  <c r="C3304"/>
  <c r="G3304"/>
  <c r="E3304"/>
  <c r="B3304"/>
  <c r="A3304"/>
  <c r="W3303"/>
  <c r="S3303"/>
  <c r="Q3303"/>
  <c r="P3303"/>
  <c r="M3303"/>
  <c r="K3303"/>
  <c r="H3303"/>
  <c r="C3303"/>
  <c r="G3303"/>
  <c r="E3303"/>
  <c r="B3303"/>
  <c r="A3303"/>
  <c r="W3302"/>
  <c r="S3302"/>
  <c r="Q3302"/>
  <c r="P3302"/>
  <c r="M3302"/>
  <c r="K3302"/>
  <c r="H3302"/>
  <c r="C3302"/>
  <c r="G3302"/>
  <c r="E3302"/>
  <c r="B3302"/>
  <c r="A3302"/>
  <c r="W3301"/>
  <c r="S3301"/>
  <c r="Q3301"/>
  <c r="P3301"/>
  <c r="M3301"/>
  <c r="K3301"/>
  <c r="H3301"/>
  <c r="C3301"/>
  <c r="G3301"/>
  <c r="E3301"/>
  <c r="B3301"/>
  <c r="A3301"/>
  <c r="W3300"/>
  <c r="S3300"/>
  <c r="Q3300"/>
  <c r="P3300"/>
  <c r="M3300"/>
  <c r="K3300"/>
  <c r="H3300"/>
  <c r="C3300"/>
  <c r="G3300"/>
  <c r="E3300"/>
  <c r="B3300"/>
  <c r="A3300"/>
  <c r="W3299"/>
  <c r="S3299"/>
  <c r="Q3299"/>
  <c r="P3299"/>
  <c r="M3299"/>
  <c r="K3299"/>
  <c r="H3299"/>
  <c r="C3299"/>
  <c r="G3299"/>
  <c r="E3299"/>
  <c r="B3299"/>
  <c r="A3299"/>
  <c r="W3298"/>
  <c r="S3298"/>
  <c r="Q3298"/>
  <c r="P3298"/>
  <c r="M3298"/>
  <c r="K3298"/>
  <c r="H3298"/>
  <c r="C3298"/>
  <c r="G3298"/>
  <c r="E3298"/>
  <c r="B3298"/>
  <c r="A3298"/>
  <c r="W3297"/>
  <c r="S3297"/>
  <c r="Q3297"/>
  <c r="P3297"/>
  <c r="M3297"/>
  <c r="K3297"/>
  <c r="H3297"/>
  <c r="C3297"/>
  <c r="G3297"/>
  <c r="E3297"/>
  <c r="B3297"/>
  <c r="A3297"/>
  <c r="W3296"/>
  <c r="S3296"/>
  <c r="Q3296"/>
  <c r="P3296"/>
  <c r="M3296"/>
  <c r="K3296"/>
  <c r="H3296"/>
  <c r="C3296"/>
  <c r="G3296"/>
  <c r="E3296"/>
  <c r="B3296"/>
  <c r="A3296"/>
  <c r="W3295"/>
  <c r="S3295"/>
  <c r="Q3295"/>
  <c r="P3295"/>
  <c r="M3295"/>
  <c r="K3295"/>
  <c r="H3295"/>
  <c r="C3295"/>
  <c r="G3295"/>
  <c r="E3295"/>
  <c r="B3295"/>
  <c r="A3295"/>
  <c r="W3294"/>
  <c r="S3294"/>
  <c r="Q3294"/>
  <c r="P3294"/>
  <c r="M3294"/>
  <c r="K3294"/>
  <c r="H3294"/>
  <c r="C3294"/>
  <c r="G3294"/>
  <c r="E3294"/>
  <c r="B3294"/>
  <c r="A3294"/>
  <c r="W3293"/>
  <c r="S3293"/>
  <c r="Q3293"/>
  <c r="P3293"/>
  <c r="M3293"/>
  <c r="K3293"/>
  <c r="H3293"/>
  <c r="C3293"/>
  <c r="G3293"/>
  <c r="E3293"/>
  <c r="B3293"/>
  <c r="A3293"/>
  <c r="W3292"/>
  <c r="S3292"/>
  <c r="Q3292"/>
  <c r="P3292"/>
  <c r="M3292"/>
  <c r="K3292"/>
  <c r="H3292"/>
  <c r="C3292"/>
  <c r="G3292"/>
  <c r="E3292"/>
  <c r="B3292"/>
  <c r="A3292"/>
  <c r="W3291"/>
  <c r="S3291"/>
  <c r="Q3291"/>
  <c r="P3291"/>
  <c r="M3291"/>
  <c r="K3291"/>
  <c r="H3291"/>
  <c r="C3291"/>
  <c r="G3291"/>
  <c r="E3291"/>
  <c r="B3291"/>
  <c r="A3291"/>
  <c r="W3290"/>
  <c r="S3290"/>
  <c r="R3290"/>
  <c r="Q3290"/>
  <c r="P3290"/>
  <c r="M3290"/>
  <c r="K3290"/>
  <c r="H3290"/>
  <c r="C3290"/>
  <c r="G3290"/>
  <c r="E3290"/>
  <c r="B3290"/>
  <c r="A3290"/>
  <c r="W3289"/>
  <c r="S3289"/>
  <c r="Q3289"/>
  <c r="P3289"/>
  <c r="M3289"/>
  <c r="K3289"/>
  <c r="H3289"/>
  <c r="C3289"/>
  <c r="G3289"/>
  <c r="E3289"/>
  <c r="B3289"/>
  <c r="A3289"/>
  <c r="W3288"/>
  <c r="S3288"/>
  <c r="Q3288"/>
  <c r="P3288"/>
  <c r="M3288"/>
  <c r="K3288"/>
  <c r="H3288"/>
  <c r="C3288"/>
  <c r="G3288"/>
  <c r="E3288"/>
  <c r="B3288"/>
  <c r="A3288"/>
  <c r="W3287"/>
  <c r="S3287"/>
  <c r="Q3287"/>
  <c r="P3287"/>
  <c r="M3287"/>
  <c r="K3287"/>
  <c r="H3287"/>
  <c r="C3287"/>
  <c r="G3287"/>
  <c r="E3287"/>
  <c r="B3287"/>
  <c r="A3287"/>
  <c r="W3286"/>
  <c r="S3286"/>
  <c r="Q3286"/>
  <c r="P3286"/>
  <c r="M3286"/>
  <c r="K3286"/>
  <c r="H3286"/>
  <c r="C3286"/>
  <c r="G3286"/>
  <c r="E3286"/>
  <c r="B3286"/>
  <c r="A3286"/>
  <c r="W3285"/>
  <c r="S3285"/>
  <c r="Q3285"/>
  <c r="P3285"/>
  <c r="M3285"/>
  <c r="K3285"/>
  <c r="H3285"/>
  <c r="C3285"/>
  <c r="G3285"/>
  <c r="E3285"/>
  <c r="B3285"/>
  <c r="A3285"/>
  <c r="W3284"/>
  <c r="S3284"/>
  <c r="Q3284"/>
  <c r="P3284"/>
  <c r="M3284"/>
  <c r="K3284"/>
  <c r="H3284"/>
  <c r="C3284"/>
  <c r="G3284"/>
  <c r="E3284"/>
  <c r="B3284"/>
  <c r="A3284"/>
  <c r="W3283"/>
  <c r="S3283"/>
  <c r="Q3283"/>
  <c r="P3283"/>
  <c r="M3283"/>
  <c r="K3283"/>
  <c r="H3283"/>
  <c r="C3283"/>
  <c r="G3283"/>
  <c r="E3283"/>
  <c r="B3283"/>
  <c r="A3283"/>
  <c r="W3282"/>
  <c r="S3282"/>
  <c r="Q3282"/>
  <c r="P3282"/>
  <c r="M3282"/>
  <c r="K3282"/>
  <c r="H3282"/>
  <c r="C3282"/>
  <c r="G3282"/>
  <c r="E3282"/>
  <c r="B3282"/>
  <c r="A3282"/>
  <c r="W3281"/>
  <c r="S3281"/>
  <c r="Q3281"/>
  <c r="P3281"/>
  <c r="M3281"/>
  <c r="K3281"/>
  <c r="H3281"/>
  <c r="C3281"/>
  <c r="G3281"/>
  <c r="E3281"/>
  <c r="B3281"/>
  <c r="A3281"/>
  <c r="W3280"/>
  <c r="S3280"/>
  <c r="Q3280"/>
  <c r="P3280"/>
  <c r="M3280"/>
  <c r="K3280"/>
  <c r="H3280"/>
  <c r="C3280"/>
  <c r="G3280"/>
  <c r="E3280"/>
  <c r="B3280"/>
  <c r="A3280"/>
  <c r="W3279"/>
  <c r="S3279"/>
  <c r="Q3279"/>
  <c r="P3279"/>
  <c r="M3279"/>
  <c r="K3279"/>
  <c r="H3279"/>
  <c r="C3279"/>
  <c r="G3279"/>
  <c r="E3279"/>
  <c r="B3279"/>
  <c r="A3279"/>
  <c r="W3278"/>
  <c r="S3278"/>
  <c r="Q3278"/>
  <c r="P3278"/>
  <c r="M3278"/>
  <c r="K3278"/>
  <c r="H3278"/>
  <c r="C3278"/>
  <c r="G3278"/>
  <c r="E3278"/>
  <c r="B3278"/>
  <c r="A3278"/>
  <c r="W3277"/>
  <c r="S3277"/>
  <c r="Q3277"/>
  <c r="P3277"/>
  <c r="M3277"/>
  <c r="K3277"/>
  <c r="H3277"/>
  <c r="C3277"/>
  <c r="G3277"/>
  <c r="E3277"/>
  <c r="B3277"/>
  <c r="A3277"/>
  <c r="W3276"/>
  <c r="S3276"/>
  <c r="Q3276"/>
  <c r="P3276"/>
  <c r="M3276"/>
  <c r="K3276"/>
  <c r="H3276"/>
  <c r="C3276"/>
  <c r="G3276"/>
  <c r="E3276"/>
  <c r="B3276"/>
  <c r="A3276"/>
  <c r="W3275"/>
  <c r="S3275"/>
  <c r="Q3275"/>
  <c r="P3275"/>
  <c r="M3275"/>
  <c r="K3275"/>
  <c r="H3275"/>
  <c r="C3275"/>
  <c r="G3275"/>
  <c r="E3275"/>
  <c r="B3275"/>
  <c r="A3275"/>
  <c r="W3274"/>
  <c r="S3274"/>
  <c r="Q3274"/>
  <c r="P3274"/>
  <c r="M3274"/>
  <c r="K3274"/>
  <c r="H3274"/>
  <c r="C3274"/>
  <c r="G3274"/>
  <c r="E3274"/>
  <c r="B3274"/>
  <c r="A3274"/>
  <c r="W3273"/>
  <c r="S3273"/>
  <c r="Q3273"/>
  <c r="P3273"/>
  <c r="M3273"/>
  <c r="K3273"/>
  <c r="H3273"/>
  <c r="C3273"/>
  <c r="G3273"/>
  <c r="E3273"/>
  <c r="B3273"/>
  <c r="A3273"/>
  <c r="W3272"/>
  <c r="S3272"/>
  <c r="Q3272"/>
  <c r="P3272"/>
  <c r="M3272"/>
  <c r="K3272"/>
  <c r="H3272"/>
  <c r="C3272"/>
  <c r="G3272"/>
  <c r="E3272"/>
  <c r="B3272"/>
  <c r="A3272"/>
  <c r="W3271"/>
  <c r="S3271"/>
  <c r="Q3271"/>
  <c r="P3271"/>
  <c r="M3271"/>
  <c r="K3271"/>
  <c r="H3271"/>
  <c r="C3271"/>
  <c r="G3271"/>
  <c r="E3271"/>
  <c r="B3271"/>
  <c r="A3271"/>
  <c r="W3270"/>
  <c r="S3270"/>
  <c r="Q3270"/>
  <c r="P3270"/>
  <c r="M3270"/>
  <c r="K3270"/>
  <c r="H3270"/>
  <c r="C3270"/>
  <c r="G3270"/>
  <c r="E3270"/>
  <c r="B3270"/>
  <c r="A3270"/>
  <c r="W3269"/>
  <c r="S3269"/>
  <c r="Q3269"/>
  <c r="P3269"/>
  <c r="M3269"/>
  <c r="K3269"/>
  <c r="H3269"/>
  <c r="C3269"/>
  <c r="G3269"/>
  <c r="E3269"/>
  <c r="B3269"/>
  <c r="A3269"/>
  <c r="W3268"/>
  <c r="S3268"/>
  <c r="Q3268"/>
  <c r="P3268"/>
  <c r="M3268"/>
  <c r="K3268"/>
  <c r="H3268"/>
  <c r="C3268"/>
  <c r="G3268"/>
  <c r="E3268"/>
  <c r="B3268"/>
  <c r="A3268"/>
  <c r="W3267"/>
  <c r="S3267"/>
  <c r="R3267"/>
  <c r="Q3267"/>
  <c r="P3267"/>
  <c r="M3267"/>
  <c r="K3267"/>
  <c r="H3267"/>
  <c r="C3267"/>
  <c r="G3267"/>
  <c r="E3267"/>
  <c r="B3267"/>
  <c r="A3267"/>
  <c r="W3266"/>
  <c r="S3266"/>
  <c r="Q3266"/>
  <c r="P3266"/>
  <c r="M3266"/>
  <c r="K3266"/>
  <c r="H3266"/>
  <c r="C3266"/>
  <c r="G3266"/>
  <c r="E3266"/>
  <c r="B3266"/>
  <c r="A3266"/>
  <c r="W3265"/>
  <c r="S3265"/>
  <c r="Q3265"/>
  <c r="P3265"/>
  <c r="M3265"/>
  <c r="K3265"/>
  <c r="H3265"/>
  <c r="C3265"/>
  <c r="G3265"/>
  <c r="E3265"/>
  <c r="B3265"/>
  <c r="A3265"/>
  <c r="W3264"/>
  <c r="S3264"/>
  <c r="Q3264"/>
  <c r="P3264"/>
  <c r="M3264"/>
  <c r="K3264"/>
  <c r="H3264"/>
  <c r="C3264"/>
  <c r="G3264"/>
  <c r="E3264"/>
  <c r="B3264"/>
  <c r="A3264"/>
  <c r="W3263"/>
  <c r="S3263"/>
  <c r="Q3263"/>
  <c r="P3263"/>
  <c r="M3263"/>
  <c r="K3263"/>
  <c r="H3263"/>
  <c r="C3263"/>
  <c r="G3263"/>
  <c r="E3263"/>
  <c r="B3263"/>
  <c r="A3263"/>
  <c r="W3262"/>
  <c r="S3262"/>
  <c r="Q3262"/>
  <c r="P3262"/>
  <c r="M3262"/>
  <c r="K3262"/>
  <c r="H3262"/>
  <c r="C3262"/>
  <c r="G3262"/>
  <c r="E3262"/>
  <c r="B3262"/>
  <c r="A3262"/>
  <c r="W3261"/>
  <c r="S3261"/>
  <c r="Q3261"/>
  <c r="P3261"/>
  <c r="M3261"/>
  <c r="K3261"/>
  <c r="H3261"/>
  <c r="C3261"/>
  <c r="G3261"/>
  <c r="E3261"/>
  <c r="B3261"/>
  <c r="A3261"/>
  <c r="W3260"/>
  <c r="S3260"/>
  <c r="Q3260"/>
  <c r="P3260"/>
  <c r="M3260"/>
  <c r="K3260"/>
  <c r="H3260"/>
  <c r="C3260"/>
  <c r="G3260"/>
  <c r="E3260"/>
  <c r="B3260"/>
  <c r="A3260"/>
  <c r="W3259"/>
  <c r="S3259"/>
  <c r="Q3259"/>
  <c r="P3259"/>
  <c r="M3259"/>
  <c r="K3259"/>
  <c r="H3259"/>
  <c r="C3259"/>
  <c r="G3259"/>
  <c r="E3259"/>
  <c r="B3259"/>
  <c r="A3259"/>
  <c r="W3258"/>
  <c r="S3258"/>
  <c r="Q3258"/>
  <c r="P3258"/>
  <c r="M3258"/>
  <c r="K3258"/>
  <c r="H3258"/>
  <c r="C3258"/>
  <c r="G3258"/>
  <c r="E3258"/>
  <c r="B3258"/>
  <c r="A3258"/>
  <c r="W3257"/>
  <c r="S3257"/>
  <c r="Q3257"/>
  <c r="P3257"/>
  <c r="M3257"/>
  <c r="K3257"/>
  <c r="H3257"/>
  <c r="C3257"/>
  <c r="G3257"/>
  <c r="E3257"/>
  <c r="B3257"/>
  <c r="A3257"/>
  <c r="W3256"/>
  <c r="S3256"/>
  <c r="Q3256"/>
  <c r="P3256"/>
  <c r="M3256"/>
  <c r="K3256"/>
  <c r="H3256"/>
  <c r="C3256"/>
  <c r="G3256"/>
  <c r="E3256"/>
  <c r="B3256"/>
  <c r="A3256"/>
  <c r="W3255"/>
  <c r="S3255"/>
  <c r="Q3255"/>
  <c r="P3255"/>
  <c r="M3255"/>
  <c r="K3255"/>
  <c r="H3255"/>
  <c r="C3255"/>
  <c r="G3255"/>
  <c r="E3255"/>
  <c r="B3255"/>
  <c r="A3255"/>
  <c r="W3254"/>
  <c r="S3254"/>
  <c r="Q3254"/>
  <c r="P3254"/>
  <c r="M3254"/>
  <c r="K3254"/>
  <c r="H3254"/>
  <c r="C3254"/>
  <c r="G3254"/>
  <c r="E3254"/>
  <c r="B3254"/>
  <c r="A3254"/>
  <c r="W3253"/>
  <c r="S3253"/>
  <c r="Q3253"/>
  <c r="P3253"/>
  <c r="N3253"/>
  <c r="M3253"/>
  <c r="K3253"/>
  <c r="H3253"/>
  <c r="C3253"/>
  <c r="G3253"/>
  <c r="E3253"/>
  <c r="B3253"/>
  <c r="A3253"/>
  <c r="W3252"/>
  <c r="S3252"/>
  <c r="Q3252"/>
  <c r="P3252"/>
  <c r="M3252"/>
  <c r="K3252"/>
  <c r="H3252"/>
  <c r="C3252"/>
  <c r="G3252"/>
  <c r="E3252"/>
  <c r="B3252"/>
  <c r="A3252"/>
  <c r="W3251"/>
  <c r="S3251"/>
  <c r="Q3251"/>
  <c r="P3251"/>
  <c r="M3251"/>
  <c r="K3251"/>
  <c r="H3251"/>
  <c r="C3251"/>
  <c r="G3251"/>
  <c r="E3251"/>
  <c r="B3251"/>
  <c r="A3251"/>
  <c r="W3250"/>
  <c r="S3250"/>
  <c r="Q3250"/>
  <c r="P3250"/>
  <c r="M3250"/>
  <c r="K3250"/>
  <c r="H3250"/>
  <c r="C3250"/>
  <c r="G3250"/>
  <c r="E3250"/>
  <c r="B3250"/>
  <c r="A3250"/>
  <c r="W3249"/>
  <c r="S3249"/>
  <c r="Q3249"/>
  <c r="P3249"/>
  <c r="M3249"/>
  <c r="K3249"/>
  <c r="H3249"/>
  <c r="C3249"/>
  <c r="G3249"/>
  <c r="E3249"/>
  <c r="B3249"/>
  <c r="A3249"/>
  <c r="W3248"/>
  <c r="S3248"/>
  <c r="Q3248"/>
  <c r="P3248"/>
  <c r="M3248"/>
  <c r="K3248"/>
  <c r="H3248"/>
  <c r="C3248"/>
  <c r="G3248"/>
  <c r="E3248"/>
  <c r="B3248"/>
  <c r="A3248"/>
  <c r="W3247"/>
  <c r="S3247"/>
  <c r="R3247"/>
  <c r="Q3247"/>
  <c r="P3247"/>
  <c r="M3247"/>
  <c r="K3247"/>
  <c r="H3247"/>
  <c r="C3247"/>
  <c r="G3247"/>
  <c r="E3247"/>
  <c r="B3247"/>
  <c r="A3247"/>
  <c r="W3246"/>
  <c r="S3246"/>
  <c r="Q3246"/>
  <c r="P3246"/>
  <c r="M3246"/>
  <c r="K3246"/>
  <c r="H3246"/>
  <c r="C3246"/>
  <c r="G3246"/>
  <c r="E3246"/>
  <c r="B3246"/>
  <c r="A3246"/>
  <c r="W3245"/>
  <c r="S3245"/>
  <c r="Q3245"/>
  <c r="P3245"/>
  <c r="M3245"/>
  <c r="K3245"/>
  <c r="H3245"/>
  <c r="C3245"/>
  <c r="G3245"/>
  <c r="E3245"/>
  <c r="B3245"/>
  <c r="A3245"/>
  <c r="W3244"/>
  <c r="S3244"/>
  <c r="Q3244"/>
  <c r="P3244"/>
  <c r="M3244"/>
  <c r="K3244"/>
  <c r="H3244"/>
  <c r="C3244"/>
  <c r="G3244"/>
  <c r="E3244"/>
  <c r="B3244"/>
  <c r="A3244"/>
  <c r="W3243"/>
  <c r="S3243"/>
  <c r="Q3243"/>
  <c r="P3243"/>
  <c r="M3243"/>
  <c r="K3243"/>
  <c r="H3243"/>
  <c r="C3243"/>
  <c r="G3243"/>
  <c r="E3243"/>
  <c r="B3243"/>
  <c r="A3243"/>
  <c r="W3242"/>
  <c r="S3242"/>
  <c r="Q3242"/>
  <c r="P3242"/>
  <c r="M3242"/>
  <c r="K3242"/>
  <c r="H3242"/>
  <c r="C3242"/>
  <c r="G3242"/>
  <c r="E3242"/>
  <c r="B3242"/>
  <c r="A3242"/>
  <c r="W3241"/>
  <c r="S3241"/>
  <c r="Q3241"/>
  <c r="P3241"/>
  <c r="M3241"/>
  <c r="K3241"/>
  <c r="H3241"/>
  <c r="C3241"/>
  <c r="G3241"/>
  <c r="E3241"/>
  <c r="B3241"/>
  <c r="A3241"/>
  <c r="W3240"/>
  <c r="S3240"/>
  <c r="Q3240"/>
  <c r="P3240"/>
  <c r="M3240"/>
  <c r="K3240"/>
  <c r="H3240"/>
  <c r="C3240"/>
  <c r="G3240"/>
  <c r="E3240"/>
  <c r="B3240"/>
  <c r="A3240"/>
  <c r="W3239"/>
  <c r="S3239"/>
  <c r="Q3239"/>
  <c r="P3239"/>
  <c r="M3239"/>
  <c r="K3239"/>
  <c r="H3239"/>
  <c r="C3239"/>
  <c r="G3239"/>
  <c r="E3239"/>
  <c r="B3239"/>
  <c r="A3239"/>
  <c r="W3238"/>
  <c r="S3238"/>
  <c r="Q3238"/>
  <c r="P3238"/>
  <c r="M3238"/>
  <c r="K3238"/>
  <c r="H3238"/>
  <c r="C3238"/>
  <c r="G3238"/>
  <c r="E3238"/>
  <c r="B3238"/>
  <c r="A3238"/>
  <c r="W3237"/>
  <c r="S3237"/>
  <c r="Q3237"/>
  <c r="P3237"/>
  <c r="M3237"/>
  <c r="K3237"/>
  <c r="H3237"/>
  <c r="C3237"/>
  <c r="G3237"/>
  <c r="E3237"/>
  <c r="B3237"/>
  <c r="A3237"/>
  <c r="W3236"/>
  <c r="S3236"/>
  <c r="Q3236"/>
  <c r="P3236"/>
  <c r="M3236"/>
  <c r="K3236"/>
  <c r="H3236"/>
  <c r="C3236"/>
  <c r="G3236"/>
  <c r="E3236"/>
  <c r="B3236"/>
  <c r="A3236"/>
  <c r="W3235"/>
  <c r="S3235"/>
  <c r="Q3235"/>
  <c r="P3235"/>
  <c r="M3235"/>
  <c r="K3235"/>
  <c r="H3235"/>
  <c r="C3235"/>
  <c r="G3235"/>
  <c r="E3235"/>
  <c r="B3235"/>
  <c r="A3235"/>
  <c r="W3234"/>
  <c r="S3234"/>
  <c r="Q3234"/>
  <c r="P3234"/>
  <c r="M3234"/>
  <c r="K3234"/>
  <c r="H3234"/>
  <c r="C3234"/>
  <c r="G3234"/>
  <c r="E3234"/>
  <c r="B3234"/>
  <c r="A3234"/>
  <c r="W3233"/>
  <c r="S3233"/>
  <c r="Q3233"/>
  <c r="P3233"/>
  <c r="M3233"/>
  <c r="K3233"/>
  <c r="H3233"/>
  <c r="C3233"/>
  <c r="G3233"/>
  <c r="E3233"/>
  <c r="B3233"/>
  <c r="A3233"/>
  <c r="W3232"/>
  <c r="S3232"/>
  <c r="R3232"/>
  <c r="Q3232"/>
  <c r="P3232"/>
  <c r="M3232"/>
  <c r="K3232"/>
  <c r="H3232"/>
  <c r="C3232"/>
  <c r="G3232"/>
  <c r="E3232"/>
  <c r="B3232"/>
  <c r="A3232"/>
  <c r="W3231"/>
  <c r="S3231"/>
  <c r="Q3231"/>
  <c r="P3231"/>
  <c r="M3231"/>
  <c r="K3231"/>
  <c r="H3231"/>
  <c r="C3231"/>
  <c r="G3231"/>
  <c r="E3231"/>
  <c r="B3231"/>
  <c r="A3231"/>
  <c r="W3230"/>
  <c r="S3230"/>
  <c r="Q3230"/>
  <c r="P3230"/>
  <c r="M3230"/>
  <c r="K3230"/>
  <c r="H3230"/>
  <c r="C3230"/>
  <c r="G3230"/>
  <c r="E3230"/>
  <c r="B3230"/>
  <c r="A3230"/>
  <c r="W3229"/>
  <c r="S3229"/>
  <c r="Q3229"/>
  <c r="P3229"/>
  <c r="M3229"/>
  <c r="K3229"/>
  <c r="H3229"/>
  <c r="C3229"/>
  <c r="G3229"/>
  <c r="E3229"/>
  <c r="B3229"/>
  <c r="A3229"/>
  <c r="W3228"/>
  <c r="S3228"/>
  <c r="Q3228"/>
  <c r="P3228"/>
  <c r="M3228"/>
  <c r="K3228"/>
  <c r="H3228"/>
  <c r="C3228"/>
  <c r="G3228"/>
  <c r="E3228"/>
  <c r="B3228"/>
  <c r="A3228"/>
  <c r="W3227"/>
  <c r="S3227"/>
  <c r="Q3227"/>
  <c r="P3227"/>
  <c r="M3227"/>
  <c r="K3227"/>
  <c r="H3227"/>
  <c r="C3227"/>
  <c r="G3227"/>
  <c r="E3227"/>
  <c r="B3227"/>
  <c r="A3227"/>
  <c r="W3226"/>
  <c r="S3226"/>
  <c r="Q3226"/>
  <c r="P3226"/>
  <c r="M3226"/>
  <c r="K3226"/>
  <c r="H3226"/>
  <c r="C3226"/>
  <c r="G3226"/>
  <c r="E3226"/>
  <c r="B3226"/>
  <c r="A3226"/>
  <c r="W3225"/>
  <c r="S3225"/>
  <c r="Q3225"/>
  <c r="P3225"/>
  <c r="M3225"/>
  <c r="K3225"/>
  <c r="H3225"/>
  <c r="C3225"/>
  <c r="G3225"/>
  <c r="E3225"/>
  <c r="B3225"/>
  <c r="A3225"/>
  <c r="W3224"/>
  <c r="S3224"/>
  <c r="Q3224"/>
  <c r="P3224"/>
  <c r="M3224"/>
  <c r="K3224"/>
  <c r="H3224"/>
  <c r="C3224"/>
  <c r="G3224"/>
  <c r="E3224"/>
  <c r="B3224"/>
  <c r="A3224"/>
  <c r="W3223"/>
  <c r="S3223"/>
  <c r="Q3223"/>
  <c r="P3223"/>
  <c r="M3223"/>
  <c r="K3223"/>
  <c r="H3223"/>
  <c r="C3223"/>
  <c r="G3223"/>
  <c r="E3223"/>
  <c r="B3223"/>
  <c r="A3223"/>
  <c r="W3222"/>
  <c r="S3222"/>
  <c r="Q3222"/>
  <c r="P3222"/>
  <c r="M3222"/>
  <c r="K3222"/>
  <c r="H3222"/>
  <c r="C3222"/>
  <c r="G3222"/>
  <c r="E3222"/>
  <c r="B3222"/>
  <c r="A3222"/>
  <c r="W3221"/>
  <c r="S3221"/>
  <c r="Q3221"/>
  <c r="P3221"/>
  <c r="M3221"/>
  <c r="K3221"/>
  <c r="H3221"/>
  <c r="C3221"/>
  <c r="G3221"/>
  <c r="E3221"/>
  <c r="B3221"/>
  <c r="A3221"/>
  <c r="W3220"/>
  <c r="S3220"/>
  <c r="Q3220"/>
  <c r="P3220"/>
  <c r="M3220"/>
  <c r="K3220"/>
  <c r="H3220"/>
  <c r="C3220"/>
  <c r="G3220"/>
  <c r="E3220"/>
  <c r="B3220"/>
  <c r="A3220"/>
  <c r="W3219"/>
  <c r="S3219"/>
  <c r="R3219"/>
  <c r="Q3219"/>
  <c r="P3219"/>
  <c r="M3219"/>
  <c r="K3219"/>
  <c r="H3219"/>
  <c r="C3219"/>
  <c r="G3219"/>
  <c r="E3219"/>
  <c r="B3219"/>
  <c r="A3219"/>
  <c r="W3218"/>
  <c r="S3218"/>
  <c r="Q3218"/>
  <c r="P3218"/>
  <c r="M3218"/>
  <c r="K3218"/>
  <c r="H3218"/>
  <c r="C3218"/>
  <c r="G3218"/>
  <c r="E3218"/>
  <c r="B3218"/>
  <c r="A3218"/>
  <c r="W3217"/>
  <c r="S3217"/>
  <c r="Q3217"/>
  <c r="P3217"/>
  <c r="M3217"/>
  <c r="K3217"/>
  <c r="H3217"/>
  <c r="C3217"/>
  <c r="G3217"/>
  <c r="E3217"/>
  <c r="B3217"/>
  <c r="A3217"/>
  <c r="W3216"/>
  <c r="S3216"/>
  <c r="Q3216"/>
  <c r="P3216"/>
  <c r="M3216"/>
  <c r="K3216"/>
  <c r="H3216"/>
  <c r="C3216"/>
  <c r="G3216"/>
  <c r="E3216"/>
  <c r="B3216"/>
  <c r="A3216"/>
  <c r="W3215"/>
  <c r="S3215"/>
  <c r="Q3215"/>
  <c r="P3215"/>
  <c r="M3215"/>
  <c r="K3215"/>
  <c r="H3215"/>
  <c r="C3215"/>
  <c r="G3215"/>
  <c r="E3215"/>
  <c r="B3215"/>
  <c r="A3215"/>
  <c r="W3214"/>
  <c r="S3214"/>
  <c r="Q3214"/>
  <c r="P3214"/>
  <c r="M3214"/>
  <c r="K3214"/>
  <c r="H3214"/>
  <c r="C3214"/>
  <c r="G3214"/>
  <c r="E3214"/>
  <c r="B3214"/>
  <c r="A3214"/>
  <c r="W3213"/>
  <c r="S3213"/>
  <c r="Q3213"/>
  <c r="P3213"/>
  <c r="M3213"/>
  <c r="K3213"/>
  <c r="H3213"/>
  <c r="C3213"/>
  <c r="G3213"/>
  <c r="E3213"/>
  <c r="B3213"/>
  <c r="A3213"/>
  <c r="W3212"/>
  <c r="S3212"/>
  <c r="Q3212"/>
  <c r="P3212"/>
  <c r="M3212"/>
  <c r="K3212"/>
  <c r="H3212"/>
  <c r="C3212"/>
  <c r="G3212"/>
  <c r="E3212"/>
  <c r="B3212"/>
  <c r="A3212"/>
  <c r="W3211"/>
  <c r="S3211"/>
  <c r="Q3211"/>
  <c r="P3211"/>
  <c r="M3211"/>
  <c r="K3211"/>
  <c r="H3211"/>
  <c r="C3211"/>
  <c r="G3211"/>
  <c r="E3211"/>
  <c r="B3211"/>
  <c r="A3211"/>
  <c r="W3210"/>
  <c r="S3210"/>
  <c r="Q3210"/>
  <c r="P3210"/>
  <c r="M3210"/>
  <c r="K3210"/>
  <c r="H3210"/>
  <c r="C3210"/>
  <c r="G3210"/>
  <c r="E3210"/>
  <c r="B3210"/>
  <c r="A3210"/>
  <c r="W3209"/>
  <c r="S3209"/>
  <c r="Q3209"/>
  <c r="P3209"/>
  <c r="M3209"/>
  <c r="K3209"/>
  <c r="H3209"/>
  <c r="C3209"/>
  <c r="G3209"/>
  <c r="E3209"/>
  <c r="B3209"/>
  <c r="A3209"/>
  <c r="W3208"/>
  <c r="S3208"/>
  <c r="Q3208"/>
  <c r="P3208"/>
  <c r="M3208"/>
  <c r="K3208"/>
  <c r="H3208"/>
  <c r="C3208"/>
  <c r="G3208"/>
  <c r="E3208"/>
  <c r="B3208"/>
  <c r="A3208"/>
  <c r="W3207"/>
  <c r="S3207"/>
  <c r="Q3207"/>
  <c r="P3207"/>
  <c r="M3207"/>
  <c r="K3207"/>
  <c r="H3207"/>
  <c r="C3207"/>
  <c r="G3207"/>
  <c r="E3207"/>
  <c r="B3207"/>
  <c r="A3207"/>
  <c r="W3206"/>
  <c r="S3206"/>
  <c r="R3206"/>
  <c r="Q3206"/>
  <c r="P3206"/>
  <c r="M3206"/>
  <c r="K3206"/>
  <c r="H3206"/>
  <c r="C3206"/>
  <c r="G3206"/>
  <c r="E3206"/>
  <c r="B3206"/>
  <c r="A3206"/>
  <c r="W3205"/>
  <c r="S3205"/>
  <c r="Q3205"/>
  <c r="P3205"/>
  <c r="M3205"/>
  <c r="K3205"/>
  <c r="H3205"/>
  <c r="C3205"/>
  <c r="G3205"/>
  <c r="E3205"/>
  <c r="B3205"/>
  <c r="A3205"/>
  <c r="W3204"/>
  <c r="S3204"/>
  <c r="Q3204"/>
  <c r="P3204"/>
  <c r="M3204"/>
  <c r="K3204"/>
  <c r="H3204"/>
  <c r="C3204"/>
  <c r="G3204"/>
  <c r="E3204"/>
  <c r="B3204"/>
  <c r="A3204"/>
  <c r="W3203"/>
  <c r="S3203"/>
  <c r="Q3203"/>
  <c r="P3203"/>
  <c r="M3203"/>
  <c r="K3203"/>
  <c r="H3203"/>
  <c r="C3203"/>
  <c r="G3203"/>
  <c r="E3203"/>
  <c r="B3203"/>
  <c r="A3203"/>
  <c r="W3202"/>
  <c r="S3202"/>
  <c r="Q3202"/>
  <c r="P3202"/>
  <c r="M3202"/>
  <c r="K3202"/>
  <c r="H3202"/>
  <c r="C3202"/>
  <c r="G3202"/>
  <c r="E3202"/>
  <c r="B3202"/>
  <c r="A3202"/>
  <c r="W3201"/>
  <c r="S3201"/>
  <c r="Q3201"/>
  <c r="P3201"/>
  <c r="M3201"/>
  <c r="K3201"/>
  <c r="H3201"/>
  <c r="C3201"/>
  <c r="G3201"/>
  <c r="E3201"/>
  <c r="B3201"/>
  <c r="A3201"/>
  <c r="W3200"/>
  <c r="S3200"/>
  <c r="Q3200"/>
  <c r="P3200"/>
  <c r="M3200"/>
  <c r="K3200"/>
  <c r="H3200"/>
  <c r="C3200"/>
  <c r="G3200"/>
  <c r="E3200"/>
  <c r="B3200"/>
  <c r="A3200"/>
  <c r="W3199"/>
  <c r="S3199"/>
  <c r="Q3199"/>
  <c r="P3199"/>
  <c r="M3199"/>
  <c r="K3199"/>
  <c r="H3199"/>
  <c r="C3199"/>
  <c r="G3199"/>
  <c r="E3199"/>
  <c r="B3199"/>
  <c r="A3199"/>
  <c r="W3198"/>
  <c r="S3198"/>
  <c r="Q3198"/>
  <c r="P3198"/>
  <c r="M3198"/>
  <c r="K3198"/>
  <c r="H3198"/>
  <c r="C3198"/>
  <c r="G3198"/>
  <c r="E3198"/>
  <c r="B3198"/>
  <c r="A3198"/>
  <c r="W3197"/>
  <c r="S3197"/>
  <c r="Q3197"/>
  <c r="P3197"/>
  <c r="M3197"/>
  <c r="K3197"/>
  <c r="H3197"/>
  <c r="C3197"/>
  <c r="G3197"/>
  <c r="E3197"/>
  <c r="B3197"/>
  <c r="A3197"/>
  <c r="W3196"/>
  <c r="S3196"/>
  <c r="Q3196"/>
  <c r="P3196"/>
  <c r="M3196"/>
  <c r="K3196"/>
  <c r="H3196"/>
  <c r="C3196"/>
  <c r="G3196"/>
  <c r="E3196"/>
  <c r="B3196"/>
  <c r="A3196"/>
  <c r="W3195"/>
  <c r="S3195"/>
  <c r="Q3195"/>
  <c r="P3195"/>
  <c r="M3195"/>
  <c r="K3195"/>
  <c r="H3195"/>
  <c r="C3195"/>
  <c r="G3195"/>
  <c r="E3195"/>
  <c r="B3195"/>
  <c r="A3195"/>
  <c r="W3194"/>
  <c r="S3194"/>
  <c r="Q3194"/>
  <c r="P3194"/>
  <c r="M3194"/>
  <c r="K3194"/>
  <c r="H3194"/>
  <c r="C3194"/>
  <c r="G3194"/>
  <c r="E3194"/>
  <c r="B3194"/>
  <c r="A3194"/>
  <c r="W3193"/>
  <c r="S3193"/>
  <c r="R3193"/>
  <c r="Q3193"/>
  <c r="P3193"/>
  <c r="M3193"/>
  <c r="K3193"/>
  <c r="H3193"/>
  <c r="C3193"/>
  <c r="G3193"/>
  <c r="E3193"/>
  <c r="B3193"/>
  <c r="A3193"/>
  <c r="W3192"/>
  <c r="S3192"/>
  <c r="Q3192"/>
  <c r="P3192"/>
  <c r="M3192"/>
  <c r="K3192"/>
  <c r="H3192"/>
  <c r="C3192"/>
  <c r="G3192"/>
  <c r="E3192"/>
  <c r="B3192"/>
  <c r="A3192"/>
  <c r="W3191"/>
  <c r="S3191"/>
  <c r="Q3191"/>
  <c r="P3191"/>
  <c r="M3191"/>
  <c r="K3191"/>
  <c r="H3191"/>
  <c r="C3191"/>
  <c r="G3191"/>
  <c r="E3191"/>
  <c r="B3191"/>
  <c r="A3191"/>
  <c r="W3190"/>
  <c r="S3190"/>
  <c r="Q3190"/>
  <c r="P3190"/>
  <c r="M3190"/>
  <c r="K3190"/>
  <c r="H3190"/>
  <c r="C3190"/>
  <c r="G3190"/>
  <c r="E3190"/>
  <c r="B3190"/>
  <c r="A3190"/>
  <c r="W3189"/>
  <c r="S3189"/>
  <c r="Q3189"/>
  <c r="P3189"/>
  <c r="M3189"/>
  <c r="K3189"/>
  <c r="H3189"/>
  <c r="C3189"/>
  <c r="G3189"/>
  <c r="E3189"/>
  <c r="B3189"/>
  <c r="A3189"/>
  <c r="W3188"/>
  <c r="S3188"/>
  <c r="Q3188"/>
  <c r="P3188"/>
  <c r="M3188"/>
  <c r="K3188"/>
  <c r="H3188"/>
  <c r="C3188"/>
  <c r="G3188"/>
  <c r="E3188"/>
  <c r="B3188"/>
  <c r="A3188"/>
  <c r="W3187"/>
  <c r="S3187"/>
  <c r="Q3187"/>
  <c r="P3187"/>
  <c r="M3187"/>
  <c r="K3187"/>
  <c r="H3187"/>
  <c r="C3187"/>
  <c r="G3187"/>
  <c r="E3187"/>
  <c r="B3187"/>
  <c r="A3187"/>
  <c r="W3186"/>
  <c r="S3186"/>
  <c r="Q3186"/>
  <c r="P3186"/>
  <c r="M3186"/>
  <c r="K3186"/>
  <c r="H3186"/>
  <c r="C3186"/>
  <c r="G3186"/>
  <c r="E3186"/>
  <c r="B3186"/>
  <c r="A3186"/>
  <c r="W3185"/>
  <c r="S3185"/>
  <c r="Q3185"/>
  <c r="P3185"/>
  <c r="M3185"/>
  <c r="K3185"/>
  <c r="H3185"/>
  <c r="C3185"/>
  <c r="G3185"/>
  <c r="E3185"/>
  <c r="B3185"/>
  <c r="A3185"/>
  <c r="W3184"/>
  <c r="S3184"/>
  <c r="Q3184"/>
  <c r="P3184"/>
  <c r="M3184"/>
  <c r="K3184"/>
  <c r="H3184"/>
  <c r="C3184"/>
  <c r="G3184"/>
  <c r="E3184"/>
  <c r="B3184"/>
  <c r="A3184"/>
  <c r="W3183"/>
  <c r="S3183"/>
  <c r="Q3183"/>
  <c r="P3183"/>
  <c r="M3183"/>
  <c r="K3183"/>
  <c r="H3183"/>
  <c r="C3183"/>
  <c r="G3183"/>
  <c r="E3183"/>
  <c r="B3183"/>
  <c r="A3183"/>
  <c r="W3182"/>
  <c r="S3182"/>
  <c r="R3182"/>
  <c r="Q3182"/>
  <c r="P3182"/>
  <c r="M3182"/>
  <c r="K3182"/>
  <c r="H3182"/>
  <c r="C3182"/>
  <c r="G3182"/>
  <c r="E3182"/>
  <c r="B3182"/>
  <c r="A3182"/>
  <c r="W3181"/>
  <c r="S3181"/>
  <c r="Q3181"/>
  <c r="P3181"/>
  <c r="M3181"/>
  <c r="K3181"/>
  <c r="H3181"/>
  <c r="C3181"/>
  <c r="G3181"/>
  <c r="E3181"/>
  <c r="B3181"/>
  <c r="A3181"/>
  <c r="W3180"/>
  <c r="S3180"/>
  <c r="Q3180"/>
  <c r="P3180"/>
  <c r="M3180"/>
  <c r="K3180"/>
  <c r="H3180"/>
  <c r="C3180"/>
  <c r="G3180"/>
  <c r="E3180"/>
  <c r="B3180"/>
  <c r="A3180"/>
  <c r="W3179"/>
  <c r="S3179"/>
  <c r="Q3179"/>
  <c r="P3179"/>
  <c r="M3179"/>
  <c r="K3179"/>
  <c r="H3179"/>
  <c r="C3179"/>
  <c r="G3179"/>
  <c r="E3179"/>
  <c r="B3179"/>
  <c r="A3179"/>
  <c r="W3178"/>
  <c r="S3178"/>
  <c r="Q3178"/>
  <c r="P3178"/>
  <c r="M3178"/>
  <c r="K3178"/>
  <c r="H3178"/>
  <c r="C3178"/>
  <c r="G3178"/>
  <c r="E3178"/>
  <c r="B3178"/>
  <c r="A3178"/>
  <c r="W3177"/>
  <c r="S3177"/>
  <c r="Q3177"/>
  <c r="P3177"/>
  <c r="M3177"/>
  <c r="K3177"/>
  <c r="H3177"/>
  <c r="C3177"/>
  <c r="G3177"/>
  <c r="E3177"/>
  <c r="B3177"/>
  <c r="A3177"/>
  <c r="W3176"/>
  <c r="S3176"/>
  <c r="Q3176"/>
  <c r="P3176"/>
  <c r="M3176"/>
  <c r="K3176"/>
  <c r="H3176"/>
  <c r="C3176"/>
  <c r="G3176"/>
  <c r="E3176"/>
  <c r="B3176"/>
  <c r="A3176"/>
  <c r="W3175"/>
  <c r="S3175"/>
  <c r="Q3175"/>
  <c r="P3175"/>
  <c r="M3175"/>
  <c r="K3175"/>
  <c r="H3175"/>
  <c r="C3175"/>
  <c r="G3175"/>
  <c r="E3175"/>
  <c r="B3175"/>
  <c r="A3175"/>
  <c r="W3174"/>
  <c r="S3174"/>
  <c r="Q3174"/>
  <c r="P3174"/>
  <c r="M3174"/>
  <c r="K3174"/>
  <c r="H3174"/>
  <c r="C3174"/>
  <c r="G3174"/>
  <c r="E3174"/>
  <c r="B3174"/>
  <c r="A3174"/>
  <c r="W3173"/>
  <c r="S3173"/>
  <c r="Q3173"/>
  <c r="P3173"/>
  <c r="M3173"/>
  <c r="K3173"/>
  <c r="H3173"/>
  <c r="C3173"/>
  <c r="G3173"/>
  <c r="E3173"/>
  <c r="B3173"/>
  <c r="A3173"/>
  <c r="W3172"/>
  <c r="S3172"/>
  <c r="Q3172"/>
  <c r="P3172"/>
  <c r="M3172"/>
  <c r="K3172"/>
  <c r="H3172"/>
  <c r="C3172"/>
  <c r="G3172"/>
  <c r="E3172"/>
  <c r="B3172"/>
  <c r="A3172"/>
  <c r="W3171"/>
  <c r="S3171"/>
  <c r="Q3171"/>
  <c r="P3171"/>
  <c r="M3171"/>
  <c r="K3171"/>
  <c r="H3171"/>
  <c r="C3171"/>
  <c r="G3171"/>
  <c r="E3171"/>
  <c r="B3171"/>
  <c r="A3171"/>
  <c r="W3170"/>
  <c r="S3170"/>
  <c r="Q3170"/>
  <c r="P3170"/>
  <c r="M3170"/>
  <c r="K3170"/>
  <c r="H3170"/>
  <c r="C3170"/>
  <c r="G3170"/>
  <c r="E3170"/>
  <c r="B3170"/>
  <c r="A3170"/>
  <c r="W3169"/>
  <c r="S3169"/>
  <c r="Q3169"/>
  <c r="P3169"/>
  <c r="M3169"/>
  <c r="K3169"/>
  <c r="H3169"/>
  <c r="C3169"/>
  <c r="G3169"/>
  <c r="E3169"/>
  <c r="B3169"/>
  <c r="A3169"/>
  <c r="W3168"/>
  <c r="S3168"/>
  <c r="Q3168"/>
  <c r="P3168"/>
  <c r="N3168"/>
  <c r="M3168"/>
  <c r="K3168"/>
  <c r="H3168"/>
  <c r="C3168"/>
  <c r="G3168"/>
  <c r="E3168"/>
  <c r="B3168"/>
  <c r="A3168"/>
  <c r="W3167"/>
  <c r="S3167"/>
  <c r="Q3167"/>
  <c r="P3167"/>
  <c r="M3167"/>
  <c r="K3167"/>
  <c r="H3167"/>
  <c r="C3167"/>
  <c r="G3167"/>
  <c r="E3167"/>
  <c r="B3167"/>
  <c r="A3167"/>
  <c r="W3166"/>
  <c r="S3166"/>
  <c r="Q3166"/>
  <c r="P3166"/>
  <c r="M3166"/>
  <c r="K3166"/>
  <c r="H3166"/>
  <c r="C3166"/>
  <c r="G3166"/>
  <c r="E3166"/>
  <c r="B3166"/>
  <c r="A3166"/>
  <c r="W3165"/>
  <c r="S3165"/>
  <c r="Q3165"/>
  <c r="P3165"/>
  <c r="M3165"/>
  <c r="K3165"/>
  <c r="H3165"/>
  <c r="C3165"/>
  <c r="G3165"/>
  <c r="E3165"/>
  <c r="B3165"/>
  <c r="A3165"/>
  <c r="W3164"/>
  <c r="S3164"/>
  <c r="Q3164"/>
  <c r="P3164"/>
  <c r="M3164"/>
  <c r="K3164"/>
  <c r="H3164"/>
  <c r="C3164"/>
  <c r="G3164"/>
  <c r="E3164"/>
  <c r="B3164"/>
  <c r="A3164"/>
  <c r="W3163"/>
  <c r="S3163"/>
  <c r="Q3163"/>
  <c r="P3163"/>
  <c r="M3163"/>
  <c r="K3163"/>
  <c r="H3163"/>
  <c r="C3163"/>
  <c r="G3163"/>
  <c r="E3163"/>
  <c r="B3163"/>
  <c r="A3163"/>
  <c r="W3162"/>
  <c r="S3162"/>
  <c r="Q3162"/>
  <c r="P3162"/>
  <c r="M3162"/>
  <c r="K3162"/>
  <c r="H3162"/>
  <c r="C3162"/>
  <c r="G3162"/>
  <c r="E3162"/>
  <c r="B3162"/>
  <c r="A3162"/>
  <c r="W3161"/>
  <c r="S3161"/>
  <c r="Q3161"/>
  <c r="P3161"/>
  <c r="M3161"/>
  <c r="K3161"/>
  <c r="H3161"/>
  <c r="C3161"/>
  <c r="G3161"/>
  <c r="E3161"/>
  <c r="B3161"/>
  <c r="A3161"/>
  <c r="W3160"/>
  <c r="S3160"/>
  <c r="Q3160"/>
  <c r="P3160"/>
  <c r="M3160"/>
  <c r="K3160"/>
  <c r="H3160"/>
  <c r="C3160"/>
  <c r="G3160"/>
  <c r="E3160"/>
  <c r="B3160"/>
  <c r="A3160"/>
  <c r="W3159"/>
  <c r="S3159"/>
  <c r="Q3159"/>
  <c r="P3159"/>
  <c r="M3159"/>
  <c r="K3159"/>
  <c r="H3159"/>
  <c r="C3159"/>
  <c r="G3159"/>
  <c r="E3159"/>
  <c r="B3159"/>
  <c r="A3159"/>
  <c r="W3158"/>
  <c r="S3158"/>
  <c r="Q3158"/>
  <c r="P3158"/>
  <c r="M3158"/>
  <c r="K3158"/>
  <c r="H3158"/>
  <c r="C3158"/>
  <c r="G3158"/>
  <c r="E3158"/>
  <c r="B3158"/>
  <c r="A3158"/>
  <c r="W3157"/>
  <c r="S3157"/>
  <c r="R3157"/>
  <c r="Q3157"/>
  <c r="P3157"/>
  <c r="M3157"/>
  <c r="K3157"/>
  <c r="H3157"/>
  <c r="C3157"/>
  <c r="G3157"/>
  <c r="E3157"/>
  <c r="B3157"/>
  <c r="A3157"/>
  <c r="W3156"/>
  <c r="S3156"/>
  <c r="Q3156"/>
  <c r="P3156"/>
  <c r="M3156"/>
  <c r="K3156"/>
  <c r="H3156"/>
  <c r="C3156"/>
  <c r="G3156"/>
  <c r="E3156"/>
  <c r="B3156"/>
  <c r="A3156"/>
  <c r="W3155"/>
  <c r="S3155"/>
  <c r="Q3155"/>
  <c r="P3155"/>
  <c r="M3155"/>
  <c r="K3155"/>
  <c r="H3155"/>
  <c r="C3155"/>
  <c r="G3155"/>
  <c r="E3155"/>
  <c r="B3155"/>
  <c r="A3155"/>
  <c r="W3154"/>
  <c r="S3154"/>
  <c r="Q3154"/>
  <c r="P3154"/>
  <c r="M3154"/>
  <c r="K3154"/>
  <c r="H3154"/>
  <c r="C3154"/>
  <c r="G3154"/>
  <c r="E3154"/>
  <c r="B3154"/>
  <c r="A3154"/>
  <c r="W3153"/>
  <c r="S3153"/>
  <c r="Q3153"/>
  <c r="P3153"/>
  <c r="M3153"/>
  <c r="K3153"/>
  <c r="H3153"/>
  <c r="C3153"/>
  <c r="G3153"/>
  <c r="E3153"/>
  <c r="B3153"/>
  <c r="A3153"/>
  <c r="W3152"/>
  <c r="S3152"/>
  <c r="Q3152"/>
  <c r="P3152"/>
  <c r="M3152"/>
  <c r="K3152"/>
  <c r="H3152"/>
  <c r="C3152"/>
  <c r="G3152"/>
  <c r="E3152"/>
  <c r="B3152"/>
  <c r="A3152"/>
  <c r="W3151"/>
  <c r="S3151"/>
  <c r="Q3151"/>
  <c r="P3151"/>
  <c r="M3151"/>
  <c r="K3151"/>
  <c r="H3151"/>
  <c r="C3151"/>
  <c r="G3151"/>
  <c r="E3151"/>
  <c r="B3151"/>
  <c r="A3151"/>
  <c r="W3150"/>
  <c r="S3150"/>
  <c r="Q3150"/>
  <c r="P3150"/>
  <c r="M3150"/>
  <c r="K3150"/>
  <c r="H3150"/>
  <c r="C3150"/>
  <c r="G3150"/>
  <c r="E3150"/>
  <c r="B3150"/>
  <c r="A3150"/>
  <c r="W3149"/>
  <c r="S3149"/>
  <c r="Q3149"/>
  <c r="P3149"/>
  <c r="M3149"/>
  <c r="K3149"/>
  <c r="H3149"/>
  <c r="C3149"/>
  <c r="G3149"/>
  <c r="E3149"/>
  <c r="B3149"/>
  <c r="A3149"/>
  <c r="W3148"/>
  <c r="S3148"/>
  <c r="Q3148"/>
  <c r="P3148"/>
  <c r="M3148"/>
  <c r="K3148"/>
  <c r="H3148"/>
  <c r="C3148"/>
  <c r="G3148"/>
  <c r="E3148"/>
  <c r="B3148"/>
  <c r="A3148"/>
  <c r="W3147"/>
  <c r="S3147"/>
  <c r="Q3147"/>
  <c r="P3147"/>
  <c r="M3147"/>
  <c r="K3147"/>
  <c r="H3147"/>
  <c r="C3147"/>
  <c r="G3147"/>
  <c r="E3147"/>
  <c r="B3147"/>
  <c r="A3147"/>
  <c r="W3146"/>
  <c r="S3146"/>
  <c r="Q3146"/>
  <c r="P3146"/>
  <c r="M3146"/>
  <c r="K3146"/>
  <c r="H3146"/>
  <c r="C3146"/>
  <c r="G3146"/>
  <c r="E3146"/>
  <c r="B3146"/>
  <c r="A3146"/>
  <c r="W3145"/>
  <c r="S3145"/>
  <c r="Q3145"/>
  <c r="P3145"/>
  <c r="M3145"/>
  <c r="K3145"/>
  <c r="H3145"/>
  <c r="C3145"/>
  <c r="G3145"/>
  <c r="E3145"/>
  <c r="B3145"/>
  <c r="A3145"/>
  <c r="W3144"/>
  <c r="S3144"/>
  <c r="Q3144"/>
  <c r="P3144"/>
  <c r="M3144"/>
  <c r="K3144"/>
  <c r="H3144"/>
  <c r="C3144"/>
  <c r="G3144"/>
  <c r="E3144"/>
  <c r="B3144"/>
  <c r="A3144"/>
  <c r="W3143"/>
  <c r="S3143"/>
  <c r="Q3143"/>
  <c r="P3143"/>
  <c r="M3143"/>
  <c r="K3143"/>
  <c r="H3143"/>
  <c r="C3143"/>
  <c r="G3143"/>
  <c r="E3143"/>
  <c r="B3143"/>
  <c r="A3143"/>
  <c r="W3142"/>
  <c r="S3142"/>
  <c r="Q3142"/>
  <c r="P3142"/>
  <c r="N3142"/>
  <c r="M3142"/>
  <c r="K3142"/>
  <c r="H3142"/>
  <c r="C3142"/>
  <c r="G3142"/>
  <c r="E3142"/>
  <c r="B3142"/>
  <c r="A3142"/>
  <c r="W3141"/>
  <c r="S3141"/>
  <c r="Q3141"/>
  <c r="P3141"/>
  <c r="N3141"/>
  <c r="M3141"/>
  <c r="K3141"/>
  <c r="H3141"/>
  <c r="C3141"/>
  <c r="G3141"/>
  <c r="E3141"/>
  <c r="B3141"/>
  <c r="A3141"/>
  <c r="W3140"/>
  <c r="S3140"/>
  <c r="Q3140"/>
  <c r="P3140"/>
  <c r="N3140"/>
  <c r="M3140"/>
  <c r="K3140"/>
  <c r="H3140"/>
  <c r="C3140"/>
  <c r="G3140"/>
  <c r="E3140"/>
  <c r="B3140"/>
  <c r="A3140"/>
  <c r="W3139"/>
  <c r="S3139"/>
  <c r="Q3139"/>
  <c r="P3139"/>
  <c r="N3139"/>
  <c r="M3139"/>
  <c r="K3139"/>
  <c r="H3139"/>
  <c r="C3139"/>
  <c r="G3139"/>
  <c r="E3139"/>
  <c r="B3139"/>
  <c r="A3139"/>
  <c r="W3138"/>
  <c r="S3138"/>
  <c r="Q3138"/>
  <c r="P3138"/>
  <c r="M3138"/>
  <c r="K3138"/>
  <c r="H3138"/>
  <c r="C3138"/>
  <c r="G3138"/>
  <c r="E3138"/>
  <c r="B3138"/>
  <c r="A3138"/>
  <c r="W3137"/>
  <c r="S3137"/>
  <c r="Q3137"/>
  <c r="P3137"/>
  <c r="M3137"/>
  <c r="K3137"/>
  <c r="H3137"/>
  <c r="C3137"/>
  <c r="G3137"/>
  <c r="E3137"/>
  <c r="B3137"/>
  <c r="A3137"/>
  <c r="W3136"/>
  <c r="S3136"/>
  <c r="Q3136"/>
  <c r="P3136"/>
  <c r="M3136"/>
  <c r="K3136"/>
  <c r="H3136"/>
  <c r="C3136"/>
  <c r="G3136"/>
  <c r="E3136"/>
  <c r="B3136"/>
  <c r="A3136"/>
  <c r="W3135"/>
  <c r="S3135"/>
  <c r="Q3135"/>
  <c r="P3135"/>
  <c r="M3135"/>
  <c r="K3135"/>
  <c r="H3135"/>
  <c r="C3135"/>
  <c r="G3135"/>
  <c r="E3135"/>
  <c r="B3135"/>
  <c r="A3135"/>
  <c r="W3134"/>
  <c r="S3134"/>
  <c r="Q3134"/>
  <c r="P3134"/>
  <c r="M3134"/>
  <c r="K3134"/>
  <c r="H3134"/>
  <c r="C3134"/>
  <c r="G3134"/>
  <c r="E3134"/>
  <c r="B3134"/>
  <c r="A3134"/>
  <c r="W3133"/>
  <c r="S3133"/>
  <c r="Q3133"/>
  <c r="P3133"/>
  <c r="M3133"/>
  <c r="K3133"/>
  <c r="H3133"/>
  <c r="C3133"/>
  <c r="G3133"/>
  <c r="E3133"/>
  <c r="B3133"/>
  <c r="A3133"/>
  <c r="W3132"/>
  <c r="S3132"/>
  <c r="Q3132"/>
  <c r="P3132"/>
  <c r="M3132"/>
  <c r="K3132"/>
  <c r="H3132"/>
  <c r="C3132"/>
  <c r="G3132"/>
  <c r="E3132"/>
  <c r="B3132"/>
  <c r="A3132"/>
  <c r="W3131"/>
  <c r="S3131"/>
  <c r="Q3131"/>
  <c r="P3131"/>
  <c r="M3131"/>
  <c r="K3131"/>
  <c r="H3131"/>
  <c r="C3131"/>
  <c r="G3131"/>
  <c r="E3131"/>
  <c r="B3131"/>
  <c r="A3131"/>
  <c r="W3130"/>
  <c r="S3130"/>
  <c r="Q3130"/>
  <c r="P3130"/>
  <c r="M3130"/>
  <c r="K3130"/>
  <c r="H3130"/>
  <c r="C3130"/>
  <c r="G3130"/>
  <c r="E3130"/>
  <c r="B3130"/>
  <c r="A3130"/>
  <c r="W3129"/>
  <c r="S3129"/>
  <c r="Q3129"/>
  <c r="P3129"/>
  <c r="M3129"/>
  <c r="K3129"/>
  <c r="H3129"/>
  <c r="C3129"/>
  <c r="G3129"/>
  <c r="E3129"/>
  <c r="B3129"/>
  <c r="A3129"/>
  <c r="W3128"/>
  <c r="S3128"/>
  <c r="Q3128"/>
  <c r="P3128"/>
  <c r="M3128"/>
  <c r="K3128"/>
  <c r="H3128"/>
  <c r="C3128"/>
  <c r="G3128"/>
  <c r="E3128"/>
  <c r="B3128"/>
  <c r="A3128"/>
  <c r="W3127"/>
  <c r="S3127"/>
  <c r="R3127"/>
  <c r="Q3127"/>
  <c r="P3127"/>
  <c r="M3127"/>
  <c r="K3127"/>
  <c r="H3127"/>
  <c r="C3127"/>
  <c r="G3127"/>
  <c r="E3127"/>
  <c r="B3127"/>
  <c r="A3127"/>
  <c r="W3126"/>
  <c r="S3126"/>
  <c r="Q3126"/>
  <c r="P3126"/>
  <c r="M3126"/>
  <c r="K3126"/>
  <c r="H3126"/>
  <c r="C3126"/>
  <c r="G3126"/>
  <c r="E3126"/>
  <c r="B3126"/>
  <c r="A3126"/>
  <c r="W3125"/>
  <c r="S3125"/>
  <c r="Q3125"/>
  <c r="P3125"/>
  <c r="M3125"/>
  <c r="K3125"/>
  <c r="H3125"/>
  <c r="C3125"/>
  <c r="G3125"/>
  <c r="E3125"/>
  <c r="B3125"/>
  <c r="A3125"/>
  <c r="W3124"/>
  <c r="S3124"/>
  <c r="Q3124"/>
  <c r="P3124"/>
  <c r="M3124"/>
  <c r="K3124"/>
  <c r="H3124"/>
  <c r="C3124"/>
  <c r="G3124"/>
  <c r="E3124"/>
  <c r="B3124"/>
  <c r="A3124"/>
  <c r="W3123"/>
  <c r="S3123"/>
  <c r="Q3123"/>
  <c r="P3123"/>
  <c r="M3123"/>
  <c r="K3123"/>
  <c r="H3123"/>
  <c r="C3123"/>
  <c r="G3123"/>
  <c r="E3123"/>
  <c r="B3123"/>
  <c r="A3123"/>
  <c r="W3122"/>
  <c r="S3122"/>
  <c r="Q3122"/>
  <c r="P3122"/>
  <c r="M3122"/>
  <c r="K3122"/>
  <c r="H3122"/>
  <c r="C3122"/>
  <c r="G3122"/>
  <c r="E3122"/>
  <c r="B3122"/>
  <c r="A3122"/>
  <c r="W3121"/>
  <c r="S3121"/>
  <c r="Q3121"/>
  <c r="P3121"/>
  <c r="M3121"/>
  <c r="K3121"/>
  <c r="H3121"/>
  <c r="C3121"/>
  <c r="G3121"/>
  <c r="E3121"/>
  <c r="B3121"/>
  <c r="A3121"/>
  <c r="W3120"/>
  <c r="S3120"/>
  <c r="Q3120"/>
  <c r="P3120"/>
  <c r="M3120"/>
  <c r="K3120"/>
  <c r="H3120"/>
  <c r="C3120"/>
  <c r="G3120"/>
  <c r="E3120"/>
  <c r="B3120"/>
  <c r="A3120"/>
  <c r="W3119"/>
  <c r="S3119"/>
  <c r="Q3119"/>
  <c r="P3119"/>
  <c r="M3119"/>
  <c r="K3119"/>
  <c r="H3119"/>
  <c r="C3119"/>
  <c r="G3119"/>
  <c r="E3119"/>
  <c r="B3119"/>
  <c r="A3119"/>
  <c r="W3118"/>
  <c r="S3118"/>
  <c r="Q3118"/>
  <c r="P3118"/>
  <c r="M3118"/>
  <c r="K3118"/>
  <c r="H3118"/>
  <c r="C3118"/>
  <c r="G3118"/>
  <c r="E3118"/>
  <c r="B3118"/>
  <c r="A3118"/>
  <c r="W3117"/>
  <c r="S3117"/>
  <c r="Q3117"/>
  <c r="P3117"/>
  <c r="M3117"/>
  <c r="K3117"/>
  <c r="H3117"/>
  <c r="C3117"/>
  <c r="G3117"/>
  <c r="E3117"/>
  <c r="B3117"/>
  <c r="A3117"/>
  <c r="W3116"/>
  <c r="S3116"/>
  <c r="Q3116"/>
  <c r="P3116"/>
  <c r="M3116"/>
  <c r="K3116"/>
  <c r="H3116"/>
  <c r="C3116"/>
  <c r="G3116"/>
  <c r="E3116"/>
  <c r="B3116"/>
  <c r="A3116"/>
  <c r="W3115"/>
  <c r="S3115"/>
  <c r="Q3115"/>
  <c r="P3115"/>
  <c r="M3115"/>
  <c r="K3115"/>
  <c r="H3115"/>
  <c r="C3115"/>
  <c r="G3115"/>
  <c r="E3115"/>
  <c r="B3115"/>
  <c r="A3115"/>
  <c r="W3114"/>
  <c r="S3114"/>
  <c r="Q3114"/>
  <c r="P3114"/>
  <c r="M3114"/>
  <c r="K3114"/>
  <c r="H3114"/>
  <c r="C3114"/>
  <c r="G3114"/>
  <c r="E3114"/>
  <c r="B3114"/>
  <c r="A3114"/>
  <c r="W3113"/>
  <c r="S3113"/>
  <c r="Q3113"/>
  <c r="P3113"/>
  <c r="M3113"/>
  <c r="K3113"/>
  <c r="H3113"/>
  <c r="C3113"/>
  <c r="G3113"/>
  <c r="E3113"/>
  <c r="B3113"/>
  <c r="A3113"/>
  <c r="W3112"/>
  <c r="S3112"/>
  <c r="Q3112"/>
  <c r="P3112"/>
  <c r="M3112"/>
  <c r="K3112"/>
  <c r="H3112"/>
  <c r="C3112"/>
  <c r="G3112"/>
  <c r="E3112"/>
  <c r="B3112"/>
  <c r="A3112"/>
  <c r="W3111"/>
  <c r="S3111"/>
  <c r="Q3111"/>
  <c r="P3111"/>
  <c r="N3111"/>
  <c r="M3111"/>
  <c r="K3111"/>
  <c r="H3111"/>
  <c r="C3111"/>
  <c r="G3111"/>
  <c r="E3111"/>
  <c r="B3111"/>
  <c r="A3111"/>
  <c r="W3110"/>
  <c r="S3110"/>
  <c r="Q3110"/>
  <c r="P3110"/>
  <c r="M3110"/>
  <c r="K3110"/>
  <c r="H3110"/>
  <c r="C3110"/>
  <c r="G3110"/>
  <c r="E3110"/>
  <c r="B3110"/>
  <c r="A3110"/>
  <c r="W3109"/>
  <c r="S3109"/>
  <c r="Q3109"/>
  <c r="P3109"/>
  <c r="M3109"/>
  <c r="K3109"/>
  <c r="H3109"/>
  <c r="C3109"/>
  <c r="G3109"/>
  <c r="E3109"/>
  <c r="B3109"/>
  <c r="A3109"/>
  <c r="W3108"/>
  <c r="S3108"/>
  <c r="Q3108"/>
  <c r="P3108"/>
  <c r="M3108"/>
  <c r="K3108"/>
  <c r="H3108"/>
  <c r="C3108"/>
  <c r="G3108"/>
  <c r="E3108"/>
  <c r="B3108"/>
  <c r="A3108"/>
  <c r="W3107"/>
  <c r="S3107"/>
  <c r="Q3107"/>
  <c r="P3107"/>
  <c r="N3107"/>
  <c r="M3107"/>
  <c r="K3107"/>
  <c r="H3107"/>
  <c r="C3107"/>
  <c r="G3107"/>
  <c r="E3107"/>
  <c r="B3107"/>
  <c r="A3107"/>
  <c r="W3106"/>
  <c r="S3106"/>
  <c r="Q3106"/>
  <c r="P3106"/>
  <c r="N3106"/>
  <c r="M3106"/>
  <c r="K3106"/>
  <c r="H3106"/>
  <c r="C3106"/>
  <c r="G3106"/>
  <c r="E3106"/>
  <c r="B3106"/>
  <c r="A3106"/>
  <c r="W3105"/>
  <c r="S3105"/>
  <c r="Q3105"/>
  <c r="P3105"/>
  <c r="M3105"/>
  <c r="K3105"/>
  <c r="H3105"/>
  <c r="C3105"/>
  <c r="G3105"/>
  <c r="E3105"/>
  <c r="B3105"/>
  <c r="A3105"/>
  <c r="W3104"/>
  <c r="S3104"/>
  <c r="Q3104"/>
  <c r="P3104"/>
  <c r="M3104"/>
  <c r="K3104"/>
  <c r="H3104"/>
  <c r="C3104"/>
  <c r="G3104"/>
  <c r="E3104"/>
  <c r="B3104"/>
  <c r="A3104"/>
  <c r="W3103"/>
  <c r="S3103"/>
  <c r="Q3103"/>
  <c r="P3103"/>
  <c r="M3103"/>
  <c r="K3103"/>
  <c r="H3103"/>
  <c r="C3103"/>
  <c r="G3103"/>
  <c r="E3103"/>
  <c r="B3103"/>
  <c r="A3103"/>
  <c r="W3102"/>
  <c r="S3102"/>
  <c r="Q3102"/>
  <c r="P3102"/>
  <c r="M3102"/>
  <c r="K3102"/>
  <c r="H3102"/>
  <c r="C3102"/>
  <c r="G3102"/>
  <c r="E3102"/>
  <c r="B3102"/>
  <c r="A3102"/>
  <c r="W3101"/>
  <c r="S3101"/>
  <c r="Q3101"/>
  <c r="P3101"/>
  <c r="M3101"/>
  <c r="K3101"/>
  <c r="H3101"/>
  <c r="C3101"/>
  <c r="G3101"/>
  <c r="E3101"/>
  <c r="B3101"/>
  <c r="A3101"/>
  <c r="W3100"/>
  <c r="S3100"/>
  <c r="Q3100"/>
  <c r="P3100"/>
  <c r="M3100"/>
  <c r="K3100"/>
  <c r="H3100"/>
  <c r="C3100"/>
  <c r="G3100"/>
  <c r="E3100"/>
  <c r="B3100"/>
  <c r="A3100"/>
  <c r="W3099"/>
  <c r="S3099"/>
  <c r="Q3099"/>
  <c r="P3099"/>
  <c r="M3099"/>
  <c r="K3099"/>
  <c r="H3099"/>
  <c r="C3099"/>
  <c r="G3099"/>
  <c r="E3099"/>
  <c r="B3099"/>
  <c r="A3099"/>
  <c r="W3098"/>
  <c r="S3098"/>
  <c r="Q3098"/>
  <c r="P3098"/>
  <c r="M3098"/>
  <c r="K3098"/>
  <c r="H3098"/>
  <c r="C3098"/>
  <c r="G3098"/>
  <c r="E3098"/>
  <c r="B3098"/>
  <c r="A3098"/>
  <c r="W3097"/>
  <c r="S3097"/>
  <c r="Q3097"/>
  <c r="P3097"/>
  <c r="M3097"/>
  <c r="K3097"/>
  <c r="H3097"/>
  <c r="C3097"/>
  <c r="G3097"/>
  <c r="E3097"/>
  <c r="B3097"/>
  <c r="A3097"/>
  <c r="W3096"/>
  <c r="S3096"/>
  <c r="Q3096"/>
  <c r="P3096"/>
  <c r="N3096"/>
  <c r="M3096"/>
  <c r="K3096"/>
  <c r="H3096"/>
  <c r="C3096"/>
  <c r="G3096"/>
  <c r="E3096"/>
  <c r="B3096"/>
  <c r="A3096"/>
  <c r="W3095"/>
  <c r="S3095"/>
  <c r="Q3095"/>
  <c r="P3095"/>
  <c r="N3095"/>
  <c r="M3095"/>
  <c r="K3095"/>
  <c r="H3095"/>
  <c r="C3095"/>
  <c r="G3095"/>
  <c r="E3095"/>
  <c r="B3095"/>
  <c r="A3095"/>
  <c r="W3094"/>
  <c r="S3094"/>
  <c r="Q3094"/>
  <c r="P3094"/>
  <c r="N3094"/>
  <c r="M3094"/>
  <c r="K3094"/>
  <c r="H3094"/>
  <c r="C3094"/>
  <c r="G3094"/>
  <c r="E3094"/>
  <c r="B3094"/>
  <c r="A3094"/>
  <c r="W3093"/>
  <c r="S3093"/>
  <c r="Q3093"/>
  <c r="P3093"/>
  <c r="N3093"/>
  <c r="M3093"/>
  <c r="K3093"/>
  <c r="H3093"/>
  <c r="C3093"/>
  <c r="G3093"/>
  <c r="E3093"/>
  <c r="B3093"/>
  <c r="A3093"/>
  <c r="W3092"/>
  <c r="S3092"/>
  <c r="Q3092"/>
  <c r="P3092"/>
  <c r="M3092"/>
  <c r="K3092"/>
  <c r="H3092"/>
  <c r="C3092"/>
  <c r="G3092"/>
  <c r="E3092"/>
  <c r="B3092"/>
  <c r="A3092"/>
  <c r="W3091"/>
  <c r="S3091"/>
  <c r="Q3091"/>
  <c r="P3091"/>
  <c r="M3091"/>
  <c r="K3091"/>
  <c r="H3091"/>
  <c r="C3091"/>
  <c r="G3091"/>
  <c r="E3091"/>
  <c r="B3091"/>
  <c r="A3091"/>
  <c r="W3090"/>
  <c r="S3090"/>
  <c r="Q3090"/>
  <c r="P3090"/>
  <c r="M3090"/>
  <c r="K3090"/>
  <c r="H3090"/>
  <c r="C3090"/>
  <c r="G3090"/>
  <c r="E3090"/>
  <c r="B3090"/>
  <c r="A3090"/>
  <c r="W3089"/>
  <c r="S3089"/>
  <c r="Q3089"/>
  <c r="P3089"/>
  <c r="M3089"/>
  <c r="K3089"/>
  <c r="H3089"/>
  <c r="C3089"/>
  <c r="G3089"/>
  <c r="E3089"/>
  <c r="B3089"/>
  <c r="A3089"/>
  <c r="W3088"/>
  <c r="S3088"/>
  <c r="Q3088"/>
  <c r="P3088"/>
  <c r="M3088"/>
  <c r="K3088"/>
  <c r="H3088"/>
  <c r="C3088"/>
  <c r="G3088"/>
  <c r="E3088"/>
  <c r="B3088"/>
  <c r="A3088"/>
  <c r="W3087"/>
  <c r="S3087"/>
  <c r="Q3087"/>
  <c r="P3087"/>
  <c r="M3087"/>
  <c r="K3087"/>
  <c r="H3087"/>
  <c r="C3087"/>
  <c r="G3087"/>
  <c r="E3087"/>
  <c r="B3087"/>
  <c r="A3087"/>
  <c r="W3086"/>
  <c r="S3086"/>
  <c r="Q3086"/>
  <c r="P3086"/>
  <c r="M3086"/>
  <c r="K3086"/>
  <c r="H3086"/>
  <c r="C3086"/>
  <c r="G3086"/>
  <c r="E3086"/>
  <c r="B3086"/>
  <c r="A3086"/>
  <c r="W3085"/>
  <c r="S3085"/>
  <c r="Q3085"/>
  <c r="P3085"/>
  <c r="M3085"/>
  <c r="K3085"/>
  <c r="H3085"/>
  <c r="C3085"/>
  <c r="G3085"/>
  <c r="E3085"/>
  <c r="B3085"/>
  <c r="A3085"/>
  <c r="W3084"/>
  <c r="S3084"/>
  <c r="Q3084"/>
  <c r="P3084"/>
  <c r="M3084"/>
  <c r="K3084"/>
  <c r="H3084"/>
  <c r="C3084"/>
  <c r="G3084"/>
  <c r="E3084"/>
  <c r="B3084"/>
  <c r="A3084"/>
  <c r="W3083"/>
  <c r="S3083"/>
  <c r="Q3083"/>
  <c r="P3083"/>
  <c r="M3083"/>
  <c r="K3083"/>
  <c r="H3083"/>
  <c r="C3083"/>
  <c r="G3083"/>
  <c r="E3083"/>
  <c r="B3083"/>
  <c r="A3083"/>
  <c r="W3082"/>
  <c r="S3082"/>
  <c r="Q3082"/>
  <c r="P3082"/>
  <c r="M3082"/>
  <c r="K3082"/>
  <c r="H3082"/>
  <c r="C3082"/>
  <c r="G3082"/>
  <c r="E3082"/>
  <c r="B3082"/>
  <c r="A3082"/>
  <c r="W3081"/>
  <c r="S3081"/>
  <c r="R3081"/>
  <c r="Q3081"/>
  <c r="P3081"/>
  <c r="M3081"/>
  <c r="K3081"/>
  <c r="H3081"/>
  <c r="C3081"/>
  <c r="G3081"/>
  <c r="E3081"/>
  <c r="B3081"/>
  <c r="A3081"/>
  <c r="W3080"/>
  <c r="S3080"/>
  <c r="Q3080"/>
  <c r="P3080"/>
  <c r="M3080"/>
  <c r="K3080"/>
  <c r="H3080"/>
  <c r="C3080"/>
  <c r="G3080"/>
  <c r="E3080"/>
  <c r="B3080"/>
  <c r="A3080"/>
  <c r="W3079"/>
  <c r="S3079"/>
  <c r="Q3079"/>
  <c r="P3079"/>
  <c r="M3079"/>
  <c r="K3079"/>
  <c r="H3079"/>
  <c r="C3079"/>
  <c r="G3079"/>
  <c r="E3079"/>
  <c r="B3079"/>
  <c r="A3079"/>
  <c r="W3078"/>
  <c r="S3078"/>
  <c r="Q3078"/>
  <c r="P3078"/>
  <c r="M3078"/>
  <c r="K3078"/>
  <c r="H3078"/>
  <c r="C3078"/>
  <c r="G3078"/>
  <c r="E3078"/>
  <c r="B3078"/>
  <c r="A3078"/>
  <c r="W3077"/>
  <c r="S3077"/>
  <c r="Q3077"/>
  <c r="P3077"/>
  <c r="M3077"/>
  <c r="K3077"/>
  <c r="H3077"/>
  <c r="C3077"/>
  <c r="G3077"/>
  <c r="E3077"/>
  <c r="B3077"/>
  <c r="A3077"/>
  <c r="W3076"/>
  <c r="S3076"/>
  <c r="Q3076"/>
  <c r="P3076"/>
  <c r="M3076"/>
  <c r="K3076"/>
  <c r="H3076"/>
  <c r="C3076"/>
  <c r="G3076"/>
  <c r="E3076"/>
  <c r="B3076"/>
  <c r="A3076"/>
  <c r="W3075"/>
  <c r="S3075"/>
  <c r="Q3075"/>
  <c r="P3075"/>
  <c r="M3075"/>
  <c r="K3075"/>
  <c r="H3075"/>
  <c r="C3075"/>
  <c r="G3075"/>
  <c r="E3075"/>
  <c r="B3075"/>
  <c r="A3075"/>
  <c r="W3074"/>
  <c r="S3074"/>
  <c r="Q3074"/>
  <c r="P3074"/>
  <c r="M3074"/>
  <c r="K3074"/>
  <c r="H3074"/>
  <c r="C3074"/>
  <c r="G3074"/>
  <c r="E3074"/>
  <c r="B3074"/>
  <c r="A3074"/>
  <c r="W3073"/>
  <c r="S3073"/>
  <c r="Q3073"/>
  <c r="P3073"/>
  <c r="M3073"/>
  <c r="K3073"/>
  <c r="H3073"/>
  <c r="C3073"/>
  <c r="G3073"/>
  <c r="E3073"/>
  <c r="B3073"/>
  <c r="A3073"/>
  <c r="W3072"/>
  <c r="S3072"/>
  <c r="Q3072"/>
  <c r="P3072"/>
  <c r="M3072"/>
  <c r="K3072"/>
  <c r="H3072"/>
  <c r="C3072"/>
  <c r="G3072"/>
  <c r="E3072"/>
  <c r="B3072"/>
  <c r="A3072"/>
  <c r="W3071"/>
  <c r="S3071"/>
  <c r="Q3071"/>
  <c r="P3071"/>
  <c r="M3071"/>
  <c r="K3071"/>
  <c r="H3071"/>
  <c r="C3071"/>
  <c r="G3071"/>
  <c r="E3071"/>
  <c r="B3071"/>
  <c r="A3071"/>
  <c r="W3070"/>
  <c r="S3070"/>
  <c r="Q3070"/>
  <c r="P3070"/>
  <c r="M3070"/>
  <c r="K3070"/>
  <c r="H3070"/>
  <c r="C3070"/>
  <c r="G3070"/>
  <c r="E3070"/>
  <c r="B3070"/>
  <c r="A3070"/>
  <c r="W3069"/>
  <c r="S3069"/>
  <c r="Q3069"/>
  <c r="P3069"/>
  <c r="M3069"/>
  <c r="K3069"/>
  <c r="H3069"/>
  <c r="C3069"/>
  <c r="G3069"/>
  <c r="E3069"/>
  <c r="B3069"/>
  <c r="A3069"/>
  <c r="W3068"/>
  <c r="S3068"/>
  <c r="Q3068"/>
  <c r="P3068"/>
  <c r="M3068"/>
  <c r="K3068"/>
  <c r="H3068"/>
  <c r="C3068"/>
  <c r="G3068"/>
  <c r="E3068"/>
  <c r="B3068"/>
  <c r="A3068"/>
  <c r="W3067"/>
  <c r="S3067"/>
  <c r="R3067"/>
  <c r="Q3067"/>
  <c r="P3067"/>
  <c r="M3067"/>
  <c r="K3067"/>
  <c r="H3067"/>
  <c r="C3067"/>
  <c r="G3067"/>
  <c r="E3067"/>
  <c r="B3067"/>
  <c r="A3067"/>
  <c r="W3066"/>
  <c r="S3066"/>
  <c r="Q3066"/>
  <c r="P3066"/>
  <c r="M3066"/>
  <c r="K3066"/>
  <c r="H3066"/>
  <c r="C3066"/>
  <c r="G3066"/>
  <c r="E3066"/>
  <c r="B3066"/>
  <c r="A3066"/>
  <c r="W3065"/>
  <c r="S3065"/>
  <c r="Q3065"/>
  <c r="P3065"/>
  <c r="M3065"/>
  <c r="K3065"/>
  <c r="H3065"/>
  <c r="C3065"/>
  <c r="G3065"/>
  <c r="E3065"/>
  <c r="B3065"/>
  <c r="A3065"/>
  <c r="W3064"/>
  <c r="S3064"/>
  <c r="Q3064"/>
  <c r="P3064"/>
  <c r="M3064"/>
  <c r="K3064"/>
  <c r="H3064"/>
  <c r="C3064"/>
  <c r="G3064"/>
  <c r="E3064"/>
  <c r="B3064"/>
  <c r="A3064"/>
  <c r="W3063"/>
  <c r="S3063"/>
  <c r="Q3063"/>
  <c r="P3063"/>
  <c r="M3063"/>
  <c r="K3063"/>
  <c r="H3063"/>
  <c r="C3063"/>
  <c r="G3063"/>
  <c r="E3063"/>
  <c r="B3063"/>
  <c r="A3063"/>
  <c r="W3062"/>
  <c r="S3062"/>
  <c r="Q3062"/>
  <c r="P3062"/>
  <c r="M3062"/>
  <c r="K3062"/>
  <c r="H3062"/>
  <c r="C3062"/>
  <c r="G3062"/>
  <c r="E3062"/>
  <c r="B3062"/>
  <c r="A3062"/>
  <c r="W3061"/>
  <c r="S3061"/>
  <c r="Q3061"/>
  <c r="P3061"/>
  <c r="M3061"/>
  <c r="K3061"/>
  <c r="H3061"/>
  <c r="C3061"/>
  <c r="G3061"/>
  <c r="E3061"/>
  <c r="B3061"/>
  <c r="A3061"/>
  <c r="W3060"/>
  <c r="S3060"/>
  <c r="Q3060"/>
  <c r="P3060"/>
  <c r="M3060"/>
  <c r="K3060"/>
  <c r="H3060"/>
  <c r="C3060"/>
  <c r="G3060"/>
  <c r="E3060"/>
  <c r="B3060"/>
  <c r="A3060"/>
  <c r="W3059"/>
  <c r="S3059"/>
  <c r="Q3059"/>
  <c r="P3059"/>
  <c r="M3059"/>
  <c r="K3059"/>
  <c r="H3059"/>
  <c r="C3059"/>
  <c r="G3059"/>
  <c r="E3059"/>
  <c r="B3059"/>
  <c r="A3059"/>
  <c r="W3058"/>
  <c r="S3058"/>
  <c r="Q3058"/>
  <c r="P3058"/>
  <c r="M3058"/>
  <c r="K3058"/>
  <c r="H3058"/>
  <c r="C3058"/>
  <c r="G3058"/>
  <c r="E3058"/>
  <c r="B3058"/>
  <c r="A3058"/>
  <c r="W3057"/>
  <c r="S3057"/>
  <c r="Q3057"/>
  <c r="P3057"/>
  <c r="M3057"/>
  <c r="K3057"/>
  <c r="H3057"/>
  <c r="C3057"/>
  <c r="G3057"/>
  <c r="E3057"/>
  <c r="B3057"/>
  <c r="A3057"/>
  <c r="W3056"/>
  <c r="S3056"/>
  <c r="Q3056"/>
  <c r="P3056"/>
  <c r="M3056"/>
  <c r="K3056"/>
  <c r="H3056"/>
  <c r="C3056"/>
  <c r="G3056"/>
  <c r="E3056"/>
  <c r="B3056"/>
  <c r="A3056"/>
  <c r="W3055"/>
  <c r="S3055"/>
  <c r="Q3055"/>
  <c r="P3055"/>
  <c r="M3055"/>
  <c r="K3055"/>
  <c r="H3055"/>
  <c r="C3055"/>
  <c r="G3055"/>
  <c r="E3055"/>
  <c r="B3055"/>
  <c r="A3055"/>
  <c r="W3054"/>
  <c r="S3054"/>
  <c r="Q3054"/>
  <c r="P3054"/>
  <c r="M3054"/>
  <c r="K3054"/>
  <c r="H3054"/>
  <c r="C3054"/>
  <c r="G3054"/>
  <c r="E3054"/>
  <c r="B3054"/>
  <c r="A3054"/>
  <c r="W3053"/>
  <c r="S3053"/>
  <c r="Q3053"/>
  <c r="P3053"/>
  <c r="M3053"/>
  <c r="K3053"/>
  <c r="H3053"/>
  <c r="C3053"/>
  <c r="G3053"/>
  <c r="E3053"/>
  <c r="B3053"/>
  <c r="A3053"/>
  <c r="W3052"/>
  <c r="S3052"/>
  <c r="Q3052"/>
  <c r="P3052"/>
  <c r="M3052"/>
  <c r="K3052"/>
  <c r="H3052"/>
  <c r="C3052"/>
  <c r="G3052"/>
  <c r="E3052"/>
  <c r="B3052"/>
  <c r="A3052"/>
  <c r="W3051"/>
  <c r="S3051"/>
  <c r="Q3051"/>
  <c r="P3051"/>
  <c r="M3051"/>
  <c r="K3051"/>
  <c r="H3051"/>
  <c r="C3051"/>
  <c r="G3051"/>
  <c r="E3051"/>
  <c r="B3051"/>
  <c r="A3051"/>
  <c r="W3050"/>
  <c r="S3050"/>
  <c r="Q3050"/>
  <c r="P3050"/>
  <c r="M3050"/>
  <c r="K3050"/>
  <c r="H3050"/>
  <c r="C3050"/>
  <c r="G3050"/>
  <c r="E3050"/>
  <c r="B3050"/>
  <c r="A3050"/>
  <c r="W3049"/>
  <c r="S3049"/>
  <c r="Q3049"/>
  <c r="P3049"/>
  <c r="M3049"/>
  <c r="K3049"/>
  <c r="H3049"/>
  <c r="C3049"/>
  <c r="G3049"/>
  <c r="E3049"/>
  <c r="B3049"/>
  <c r="A3049"/>
  <c r="W3048"/>
  <c r="S3048"/>
  <c r="Q3048"/>
  <c r="P3048"/>
  <c r="M3048"/>
  <c r="K3048"/>
  <c r="H3048"/>
  <c r="C3048"/>
  <c r="G3048"/>
  <c r="E3048"/>
  <c r="B3048"/>
  <c r="A3048"/>
  <c r="W3047"/>
  <c r="S3047"/>
  <c r="Q3047"/>
  <c r="P3047"/>
  <c r="M3047"/>
  <c r="K3047"/>
  <c r="H3047"/>
  <c r="C3047"/>
  <c r="G3047"/>
  <c r="E3047"/>
  <c r="B3047"/>
  <c r="A3047"/>
  <c r="W3046"/>
  <c r="S3046"/>
  <c r="Q3046"/>
  <c r="P3046"/>
  <c r="M3046"/>
  <c r="K3046"/>
  <c r="H3046"/>
  <c r="C3046"/>
  <c r="G3046"/>
  <c r="E3046"/>
  <c r="B3046"/>
  <c r="A3046"/>
  <c r="W3045"/>
  <c r="S3045"/>
  <c r="Q3045"/>
  <c r="P3045"/>
  <c r="M3045"/>
  <c r="K3045"/>
  <c r="H3045"/>
  <c r="C3045"/>
  <c r="G3045"/>
  <c r="E3045"/>
  <c r="B3045"/>
  <c r="A3045"/>
  <c r="W3044"/>
  <c r="S3044"/>
  <c r="Q3044"/>
  <c r="P3044"/>
  <c r="M3044"/>
  <c r="K3044"/>
  <c r="H3044"/>
  <c r="C3044"/>
  <c r="G3044"/>
  <c r="E3044"/>
  <c r="B3044"/>
  <c r="A3044"/>
  <c r="W3043"/>
  <c r="S3043"/>
  <c r="Q3043"/>
  <c r="P3043"/>
  <c r="N3043"/>
  <c r="M3043"/>
  <c r="K3043"/>
  <c r="H3043"/>
  <c r="C3043"/>
  <c r="G3043"/>
  <c r="E3043"/>
  <c r="B3043"/>
  <c r="A3043"/>
  <c r="W3042"/>
  <c r="S3042"/>
  <c r="Q3042"/>
  <c r="P3042"/>
  <c r="M3042"/>
  <c r="K3042"/>
  <c r="H3042"/>
  <c r="C3042"/>
  <c r="G3042"/>
  <c r="E3042"/>
  <c r="B3042"/>
  <c r="A3042"/>
  <c r="W3041"/>
  <c r="S3041"/>
  <c r="Q3041"/>
  <c r="P3041"/>
  <c r="M3041"/>
  <c r="K3041"/>
  <c r="H3041"/>
  <c r="C3041"/>
  <c r="G3041"/>
  <c r="E3041"/>
  <c r="B3041"/>
  <c r="A3041"/>
  <c r="W3040"/>
  <c r="S3040"/>
  <c r="Q3040"/>
  <c r="P3040"/>
  <c r="M3040"/>
  <c r="K3040"/>
  <c r="H3040"/>
  <c r="C3040"/>
  <c r="G3040"/>
  <c r="E3040"/>
  <c r="B3040"/>
  <c r="A3040"/>
  <c r="W3039"/>
  <c r="S3039"/>
  <c r="R3039"/>
  <c r="Q3039"/>
  <c r="P3039"/>
  <c r="M3039"/>
  <c r="K3039"/>
  <c r="H3039"/>
  <c r="C3039"/>
  <c r="G3039"/>
  <c r="E3039"/>
  <c r="B3039"/>
  <c r="A3039"/>
  <c r="W3038"/>
  <c r="S3038"/>
  <c r="Q3038"/>
  <c r="P3038"/>
  <c r="M3038"/>
  <c r="K3038"/>
  <c r="H3038"/>
  <c r="C3038"/>
  <c r="G3038"/>
  <c r="E3038"/>
  <c r="B3038"/>
  <c r="A3038"/>
  <c r="W3037"/>
  <c r="S3037"/>
  <c r="Q3037"/>
  <c r="P3037"/>
  <c r="M3037"/>
  <c r="K3037"/>
  <c r="H3037"/>
  <c r="C3037"/>
  <c r="G3037"/>
  <c r="E3037"/>
  <c r="B3037"/>
  <c r="A3037"/>
  <c r="W3036"/>
  <c r="S3036"/>
  <c r="Q3036"/>
  <c r="P3036"/>
  <c r="M3036"/>
  <c r="K3036"/>
  <c r="H3036"/>
  <c r="C3036"/>
  <c r="G3036"/>
  <c r="E3036"/>
  <c r="B3036"/>
  <c r="A3036"/>
  <c r="W3035"/>
  <c r="S3035"/>
  <c r="Q3035"/>
  <c r="P3035"/>
  <c r="M3035"/>
  <c r="K3035"/>
  <c r="H3035"/>
  <c r="C3035"/>
  <c r="G3035"/>
  <c r="E3035"/>
  <c r="B3035"/>
  <c r="A3035"/>
  <c r="W3034"/>
  <c r="S3034"/>
  <c r="Q3034"/>
  <c r="P3034"/>
  <c r="M3034"/>
  <c r="K3034"/>
  <c r="H3034"/>
  <c r="C3034"/>
  <c r="G3034"/>
  <c r="E3034"/>
  <c r="B3034"/>
  <c r="A3034"/>
  <c r="W3033"/>
  <c r="S3033"/>
  <c r="Q3033"/>
  <c r="P3033"/>
  <c r="M3033"/>
  <c r="K3033"/>
  <c r="H3033"/>
  <c r="C3033"/>
  <c r="G3033"/>
  <c r="E3033"/>
  <c r="B3033"/>
  <c r="A3033"/>
  <c r="W3032"/>
  <c r="S3032"/>
  <c r="Q3032"/>
  <c r="P3032"/>
  <c r="M3032"/>
  <c r="K3032"/>
  <c r="H3032"/>
  <c r="C3032"/>
  <c r="G3032"/>
  <c r="E3032"/>
  <c r="B3032"/>
  <c r="A3032"/>
  <c r="W3031"/>
  <c r="S3031"/>
  <c r="Q3031"/>
  <c r="P3031"/>
  <c r="M3031"/>
  <c r="K3031"/>
  <c r="H3031"/>
  <c r="C3031"/>
  <c r="G3031"/>
  <c r="E3031"/>
  <c r="B3031"/>
  <c r="A3031"/>
  <c r="W3030"/>
  <c r="S3030"/>
  <c r="Q3030"/>
  <c r="P3030"/>
  <c r="M3030"/>
  <c r="K3030"/>
  <c r="H3030"/>
  <c r="C3030"/>
  <c r="G3030"/>
  <c r="E3030"/>
  <c r="B3030"/>
  <c r="A3030"/>
  <c r="W3029"/>
  <c r="S3029"/>
  <c r="Q3029"/>
  <c r="P3029"/>
  <c r="M3029"/>
  <c r="K3029"/>
  <c r="H3029"/>
  <c r="C3029"/>
  <c r="G3029"/>
  <c r="E3029"/>
  <c r="B3029"/>
  <c r="A3029"/>
  <c r="W3028"/>
  <c r="S3028"/>
  <c r="Q3028"/>
  <c r="P3028"/>
  <c r="M3028"/>
  <c r="K3028"/>
  <c r="H3028"/>
  <c r="C3028"/>
  <c r="G3028"/>
  <c r="E3028"/>
  <c r="B3028"/>
  <c r="A3028"/>
  <c r="W3027"/>
  <c r="S3027"/>
  <c r="Q3027"/>
  <c r="P3027"/>
  <c r="M3027"/>
  <c r="K3027"/>
  <c r="H3027"/>
  <c r="C3027"/>
  <c r="G3027"/>
  <c r="E3027"/>
  <c r="B3027"/>
  <c r="A3027"/>
  <c r="W3026"/>
  <c r="S3026"/>
  <c r="Q3026"/>
  <c r="P3026"/>
  <c r="M3026"/>
  <c r="K3026"/>
  <c r="H3026"/>
  <c r="C3026"/>
  <c r="G3026"/>
  <c r="E3026"/>
  <c r="B3026"/>
  <c r="A3026"/>
  <c r="W3025"/>
  <c r="S3025"/>
  <c r="R3025"/>
  <c r="Q3025"/>
  <c r="P3025"/>
  <c r="M3025"/>
  <c r="K3025"/>
  <c r="H3025"/>
  <c r="C3025"/>
  <c r="G3025"/>
  <c r="E3025"/>
  <c r="B3025"/>
  <c r="A3025"/>
  <c r="W3024"/>
  <c r="S3024"/>
  <c r="Q3024"/>
  <c r="P3024"/>
  <c r="M3024"/>
  <c r="K3024"/>
  <c r="H3024"/>
  <c r="C3024"/>
  <c r="G3024"/>
  <c r="E3024"/>
  <c r="B3024"/>
  <c r="A3024"/>
  <c r="W3023"/>
  <c r="S3023"/>
  <c r="Q3023"/>
  <c r="P3023"/>
  <c r="M3023"/>
  <c r="K3023"/>
  <c r="H3023"/>
  <c r="C3023"/>
  <c r="G3023"/>
  <c r="E3023"/>
  <c r="B3023"/>
  <c r="A3023"/>
  <c r="W3022"/>
  <c r="S3022"/>
  <c r="Q3022"/>
  <c r="P3022"/>
  <c r="M3022"/>
  <c r="K3022"/>
  <c r="H3022"/>
  <c r="C3022"/>
  <c r="G3022"/>
  <c r="E3022"/>
  <c r="B3022"/>
  <c r="A3022"/>
  <c r="W3021"/>
  <c r="S3021"/>
  <c r="Q3021"/>
  <c r="P3021"/>
  <c r="M3021"/>
  <c r="K3021"/>
  <c r="H3021"/>
  <c r="C3021"/>
  <c r="G3021"/>
  <c r="E3021"/>
  <c r="B3021"/>
  <c r="A3021"/>
  <c r="W3020"/>
  <c r="S3020"/>
  <c r="Q3020"/>
  <c r="P3020"/>
  <c r="M3020"/>
  <c r="K3020"/>
  <c r="H3020"/>
  <c r="C3020"/>
  <c r="G3020"/>
  <c r="E3020"/>
  <c r="B3020"/>
  <c r="A3020"/>
  <c r="W3019"/>
  <c r="S3019"/>
  <c r="Q3019"/>
  <c r="P3019"/>
  <c r="M3019"/>
  <c r="K3019"/>
  <c r="H3019"/>
  <c r="C3019"/>
  <c r="G3019"/>
  <c r="E3019"/>
  <c r="B3019"/>
  <c r="A3019"/>
  <c r="W3018"/>
  <c r="S3018"/>
  <c r="Q3018"/>
  <c r="P3018"/>
  <c r="M3018"/>
  <c r="K3018"/>
  <c r="H3018"/>
  <c r="C3018"/>
  <c r="G3018"/>
  <c r="E3018"/>
  <c r="B3018"/>
  <c r="A3018"/>
  <c r="W3017"/>
  <c r="S3017"/>
  <c r="Q3017"/>
  <c r="P3017"/>
  <c r="M3017"/>
  <c r="K3017"/>
  <c r="H3017"/>
  <c r="C3017"/>
  <c r="G3017"/>
  <c r="E3017"/>
  <c r="B3017"/>
  <c r="A3017"/>
  <c r="W3016"/>
  <c r="S3016"/>
  <c r="Q3016"/>
  <c r="P3016"/>
  <c r="M3016"/>
  <c r="K3016"/>
  <c r="H3016"/>
  <c r="C3016"/>
  <c r="G3016"/>
  <c r="E3016"/>
  <c r="B3016"/>
  <c r="A3016"/>
  <c r="W3015"/>
  <c r="S3015"/>
  <c r="Q3015"/>
  <c r="P3015"/>
  <c r="M3015"/>
  <c r="K3015"/>
  <c r="H3015"/>
  <c r="C3015"/>
  <c r="G3015"/>
  <c r="E3015"/>
  <c r="B3015"/>
  <c r="A3015"/>
  <c r="W3014"/>
  <c r="S3014"/>
  <c r="Q3014"/>
  <c r="P3014"/>
  <c r="M3014"/>
  <c r="K3014"/>
  <c r="H3014"/>
  <c r="C3014"/>
  <c r="G3014"/>
  <c r="E3014"/>
  <c r="B3014"/>
  <c r="A3014"/>
  <c r="W3013"/>
  <c r="S3013"/>
  <c r="Q3013"/>
  <c r="P3013"/>
  <c r="M3013"/>
  <c r="K3013"/>
  <c r="H3013"/>
  <c r="C3013"/>
  <c r="G3013"/>
  <c r="E3013"/>
  <c r="B3013"/>
  <c r="A3013"/>
  <c r="W3012"/>
  <c r="S3012"/>
  <c r="Q3012"/>
  <c r="P3012"/>
  <c r="M3012"/>
  <c r="K3012"/>
  <c r="H3012"/>
  <c r="C3012"/>
  <c r="G3012"/>
  <c r="E3012"/>
  <c r="B3012"/>
  <c r="A3012"/>
  <c r="W3011"/>
  <c r="S3011"/>
  <c r="Q3011"/>
  <c r="P3011"/>
  <c r="M3011"/>
  <c r="K3011"/>
  <c r="H3011"/>
  <c r="C3011"/>
  <c r="G3011"/>
  <c r="E3011"/>
  <c r="B3011"/>
  <c r="A3011"/>
  <c r="W3010"/>
  <c r="S3010"/>
  <c r="Q3010"/>
  <c r="P3010"/>
  <c r="M3010"/>
  <c r="K3010"/>
  <c r="H3010"/>
  <c r="C3010"/>
  <c r="G3010"/>
  <c r="E3010"/>
  <c r="B3010"/>
  <c r="A3010"/>
  <c r="W3009"/>
  <c r="S3009"/>
  <c r="Q3009"/>
  <c r="P3009"/>
  <c r="M3009"/>
  <c r="K3009"/>
  <c r="H3009"/>
  <c r="C3009"/>
  <c r="G3009"/>
  <c r="E3009"/>
  <c r="B3009"/>
  <c r="A3009"/>
  <c r="W3008"/>
  <c r="S3008"/>
  <c r="Q3008"/>
  <c r="P3008"/>
  <c r="M3008"/>
  <c r="K3008"/>
  <c r="H3008"/>
  <c r="C3008"/>
  <c r="G3008"/>
  <c r="E3008"/>
  <c r="B3008"/>
  <c r="A3008"/>
  <c r="W3007"/>
  <c r="S3007"/>
  <c r="Q3007"/>
  <c r="P3007"/>
  <c r="N3007"/>
  <c r="M3007"/>
  <c r="K3007"/>
  <c r="H3007"/>
  <c r="C3007"/>
  <c r="G3007"/>
  <c r="E3007"/>
  <c r="B3007"/>
  <c r="A3007"/>
  <c r="W3006"/>
  <c r="S3006"/>
  <c r="Q3006"/>
  <c r="P3006"/>
  <c r="N3006"/>
  <c r="M3006"/>
  <c r="K3006"/>
  <c r="H3006"/>
  <c r="C3006"/>
  <c r="G3006"/>
  <c r="E3006"/>
  <c r="B3006"/>
  <c r="A3006"/>
  <c r="W3005"/>
  <c r="S3005"/>
  <c r="Q3005"/>
  <c r="P3005"/>
  <c r="M3005"/>
  <c r="K3005"/>
  <c r="H3005"/>
  <c r="C3005"/>
  <c r="G3005"/>
  <c r="E3005"/>
  <c r="B3005"/>
  <c r="A3005"/>
  <c r="W3004"/>
  <c r="S3004"/>
  <c r="Q3004"/>
  <c r="P3004"/>
  <c r="M3004"/>
  <c r="K3004"/>
  <c r="H3004"/>
  <c r="C3004"/>
  <c r="G3004"/>
  <c r="E3004"/>
  <c r="B3004"/>
  <c r="A3004"/>
  <c r="W3003"/>
  <c r="S3003"/>
  <c r="Q3003"/>
  <c r="P3003"/>
  <c r="M3003"/>
  <c r="K3003"/>
  <c r="H3003"/>
  <c r="C3003"/>
  <c r="G3003"/>
  <c r="E3003"/>
  <c r="B3003"/>
  <c r="A3003"/>
  <c r="W3002"/>
  <c r="S3002"/>
  <c r="Q3002"/>
  <c r="P3002"/>
  <c r="M3002"/>
  <c r="K3002"/>
  <c r="H3002"/>
  <c r="C3002"/>
  <c r="G3002"/>
  <c r="E3002"/>
  <c r="B3002"/>
  <c r="A3002"/>
  <c r="W3001"/>
  <c r="S3001"/>
  <c r="Q3001"/>
  <c r="P3001"/>
  <c r="M3001"/>
  <c r="K3001"/>
  <c r="H3001"/>
  <c r="C3001"/>
  <c r="G3001"/>
  <c r="E3001"/>
  <c r="B3001"/>
  <c r="A3001"/>
  <c r="W3000"/>
  <c r="S3000"/>
  <c r="Q3000"/>
  <c r="P3000"/>
  <c r="N3000"/>
  <c r="M3000"/>
  <c r="K3000"/>
  <c r="H3000"/>
  <c r="C3000"/>
  <c r="G3000"/>
  <c r="E3000"/>
  <c r="B3000"/>
  <c r="A3000"/>
  <c r="W2999"/>
  <c r="S2999"/>
  <c r="Q2999"/>
  <c r="P2999"/>
  <c r="M2999"/>
  <c r="K2999"/>
  <c r="H2999"/>
  <c r="C2999"/>
  <c r="G2999"/>
  <c r="E2999"/>
  <c r="B2999"/>
  <c r="A2999"/>
  <c r="W2998"/>
  <c r="S2998"/>
  <c r="Q2998"/>
  <c r="P2998"/>
  <c r="M2998"/>
  <c r="K2998"/>
  <c r="H2998"/>
  <c r="C2998"/>
  <c r="G2998"/>
  <c r="E2998"/>
  <c r="B2998"/>
  <c r="A2998"/>
  <c r="W2997"/>
  <c r="S2997"/>
  <c r="Q2997"/>
  <c r="P2997"/>
  <c r="M2997"/>
  <c r="K2997"/>
  <c r="H2997"/>
  <c r="C2997"/>
  <c r="G2997"/>
  <c r="E2997"/>
  <c r="B2997"/>
  <c r="A2997"/>
  <c r="W2996"/>
  <c r="S2996"/>
  <c r="Q2996"/>
  <c r="P2996"/>
  <c r="M2996"/>
  <c r="K2996"/>
  <c r="H2996"/>
  <c r="C2996"/>
  <c r="G2996"/>
  <c r="E2996"/>
  <c r="B2996"/>
  <c r="A2996"/>
  <c r="W2995"/>
  <c r="S2995"/>
  <c r="Q2995"/>
  <c r="P2995"/>
  <c r="M2995"/>
  <c r="K2995"/>
  <c r="H2995"/>
  <c r="C2995"/>
  <c r="G2995"/>
  <c r="E2995"/>
  <c r="B2995"/>
  <c r="A2995"/>
  <c r="W2994"/>
  <c r="S2994"/>
  <c r="Q2994"/>
  <c r="P2994"/>
  <c r="M2994"/>
  <c r="K2994"/>
  <c r="H2994"/>
  <c r="C2994"/>
  <c r="G2994"/>
  <c r="E2994"/>
  <c r="B2994"/>
  <c r="A2994"/>
  <c r="W2993"/>
  <c r="S2993"/>
  <c r="Q2993"/>
  <c r="P2993"/>
  <c r="M2993"/>
  <c r="K2993"/>
  <c r="H2993"/>
  <c r="C2993"/>
  <c r="G2993"/>
  <c r="E2993"/>
  <c r="B2993"/>
  <c r="A2993"/>
  <c r="W2992"/>
  <c r="S2992"/>
  <c r="R2992"/>
  <c r="Q2992"/>
  <c r="P2992"/>
  <c r="M2992"/>
  <c r="K2992"/>
  <c r="H2992"/>
  <c r="C2992"/>
  <c r="G2992"/>
  <c r="E2992"/>
  <c r="B2992"/>
  <c r="A2992"/>
  <c r="W2991"/>
  <c r="S2991"/>
  <c r="Q2991"/>
  <c r="P2991"/>
  <c r="M2991"/>
  <c r="K2991"/>
  <c r="H2991"/>
  <c r="C2991"/>
  <c r="G2991"/>
  <c r="E2991"/>
  <c r="B2991"/>
  <c r="A2991"/>
  <c r="W2990"/>
  <c r="S2990"/>
  <c r="Q2990"/>
  <c r="P2990"/>
  <c r="M2990"/>
  <c r="K2990"/>
  <c r="H2990"/>
  <c r="C2990"/>
  <c r="G2990"/>
  <c r="E2990"/>
  <c r="B2990"/>
  <c r="A2990"/>
  <c r="W2989"/>
  <c r="S2989"/>
  <c r="Q2989"/>
  <c r="P2989"/>
  <c r="M2989"/>
  <c r="K2989"/>
  <c r="H2989"/>
  <c r="C2989"/>
  <c r="G2989"/>
  <c r="E2989"/>
  <c r="B2989"/>
  <c r="A2989"/>
  <c r="W2988"/>
  <c r="S2988"/>
  <c r="Q2988"/>
  <c r="P2988"/>
  <c r="M2988"/>
  <c r="K2988"/>
  <c r="H2988"/>
  <c r="C2988"/>
  <c r="G2988"/>
  <c r="E2988"/>
  <c r="B2988"/>
  <c r="A2988"/>
  <c r="W2987"/>
  <c r="S2987"/>
  <c r="Q2987"/>
  <c r="P2987"/>
  <c r="M2987"/>
  <c r="K2987"/>
  <c r="H2987"/>
  <c r="C2987"/>
  <c r="G2987"/>
  <c r="E2987"/>
  <c r="B2987"/>
  <c r="A2987"/>
  <c r="W2986"/>
  <c r="S2986"/>
  <c r="Q2986"/>
  <c r="P2986"/>
  <c r="M2986"/>
  <c r="K2986"/>
  <c r="H2986"/>
  <c r="C2986"/>
  <c r="G2986"/>
  <c r="E2986"/>
  <c r="B2986"/>
  <c r="A2986"/>
  <c r="W2985"/>
  <c r="S2985"/>
  <c r="Q2985"/>
  <c r="P2985"/>
  <c r="M2985"/>
  <c r="K2985"/>
  <c r="H2985"/>
  <c r="C2985"/>
  <c r="G2985"/>
  <c r="E2985"/>
  <c r="B2985"/>
  <c r="A2985"/>
  <c r="W2984"/>
  <c r="S2984"/>
  <c r="Q2984"/>
  <c r="P2984"/>
  <c r="M2984"/>
  <c r="K2984"/>
  <c r="H2984"/>
  <c r="C2984"/>
  <c r="G2984"/>
  <c r="E2984"/>
  <c r="B2984"/>
  <c r="A2984"/>
  <c r="W2983"/>
  <c r="S2983"/>
  <c r="Q2983"/>
  <c r="P2983"/>
  <c r="M2983"/>
  <c r="K2983"/>
  <c r="H2983"/>
  <c r="C2983"/>
  <c r="G2983"/>
  <c r="E2983"/>
  <c r="B2983"/>
  <c r="A2983"/>
  <c r="W2982"/>
  <c r="S2982"/>
  <c r="Q2982"/>
  <c r="P2982"/>
  <c r="N2982"/>
  <c r="M2982"/>
  <c r="K2982"/>
  <c r="H2982"/>
  <c r="C2982"/>
  <c r="G2982"/>
  <c r="E2982"/>
  <c r="B2982"/>
  <c r="A2982"/>
  <c r="W2981"/>
  <c r="S2981"/>
  <c r="Q2981"/>
  <c r="P2981"/>
  <c r="N2981"/>
  <c r="M2981"/>
  <c r="K2981"/>
  <c r="H2981"/>
  <c r="C2981"/>
  <c r="G2981"/>
  <c r="E2981"/>
  <c r="B2981"/>
  <c r="A2981"/>
  <c r="W2980"/>
  <c r="S2980"/>
  <c r="Q2980"/>
  <c r="P2980"/>
  <c r="N2980"/>
  <c r="M2980"/>
  <c r="K2980"/>
  <c r="H2980"/>
  <c r="C2980"/>
  <c r="G2980"/>
  <c r="E2980"/>
  <c r="B2980"/>
  <c r="A2980"/>
  <c r="W2979"/>
  <c r="S2979"/>
  <c r="Q2979"/>
  <c r="P2979"/>
  <c r="N2979"/>
  <c r="M2979"/>
  <c r="K2979"/>
  <c r="H2979"/>
  <c r="C2979"/>
  <c r="G2979"/>
  <c r="E2979"/>
  <c r="B2979"/>
  <c r="A2979"/>
  <c r="W2978"/>
  <c r="S2978"/>
  <c r="Q2978"/>
  <c r="P2978"/>
  <c r="M2978"/>
  <c r="K2978"/>
  <c r="H2978"/>
  <c r="C2978"/>
  <c r="G2978"/>
  <c r="E2978"/>
  <c r="B2978"/>
  <c r="A2978"/>
  <c r="W2977"/>
  <c r="S2977"/>
  <c r="Q2977"/>
  <c r="P2977"/>
  <c r="M2977"/>
  <c r="K2977"/>
  <c r="H2977"/>
  <c r="C2977"/>
  <c r="G2977"/>
  <c r="E2977"/>
  <c r="B2977"/>
  <c r="A2977"/>
  <c r="W2976"/>
  <c r="S2976"/>
  <c r="Q2976"/>
  <c r="P2976"/>
  <c r="M2976"/>
  <c r="K2976"/>
  <c r="H2976"/>
  <c r="C2976"/>
  <c r="G2976"/>
  <c r="E2976"/>
  <c r="B2976"/>
  <c r="A2976"/>
  <c r="W2975"/>
  <c r="S2975"/>
  <c r="Q2975"/>
  <c r="P2975"/>
  <c r="M2975"/>
  <c r="K2975"/>
  <c r="H2975"/>
  <c r="C2975"/>
  <c r="G2975"/>
  <c r="E2975"/>
  <c r="B2975"/>
  <c r="A2975"/>
  <c r="W2974"/>
  <c r="S2974"/>
  <c r="Q2974"/>
  <c r="P2974"/>
  <c r="M2974"/>
  <c r="K2974"/>
  <c r="H2974"/>
  <c r="C2974"/>
  <c r="G2974"/>
  <c r="E2974"/>
  <c r="B2974"/>
  <c r="A2974"/>
  <c r="W2973"/>
  <c r="S2973"/>
  <c r="Q2973"/>
  <c r="P2973"/>
  <c r="M2973"/>
  <c r="K2973"/>
  <c r="H2973"/>
  <c r="C2973"/>
  <c r="G2973"/>
  <c r="E2973"/>
  <c r="B2973"/>
  <c r="A2973"/>
  <c r="W2972"/>
  <c r="S2972"/>
  <c r="Q2972"/>
  <c r="P2972"/>
  <c r="M2972"/>
  <c r="K2972"/>
  <c r="H2972"/>
  <c r="C2972"/>
  <c r="G2972"/>
  <c r="E2972"/>
  <c r="B2972"/>
  <c r="A2972"/>
  <c r="W2971"/>
  <c r="S2971"/>
  <c r="Q2971"/>
  <c r="P2971"/>
  <c r="M2971"/>
  <c r="K2971"/>
  <c r="H2971"/>
  <c r="C2971"/>
  <c r="G2971"/>
  <c r="E2971"/>
  <c r="B2971"/>
  <c r="A2971"/>
  <c r="W2970"/>
  <c r="S2970"/>
  <c r="Q2970"/>
  <c r="P2970"/>
  <c r="M2970"/>
  <c r="K2970"/>
  <c r="H2970"/>
  <c r="C2970"/>
  <c r="G2970"/>
  <c r="E2970"/>
  <c r="B2970"/>
  <c r="A2970"/>
  <c r="W2969"/>
  <c r="S2969"/>
  <c r="Q2969"/>
  <c r="P2969"/>
  <c r="M2969"/>
  <c r="K2969"/>
  <c r="H2969"/>
  <c r="C2969"/>
  <c r="G2969"/>
  <c r="E2969"/>
  <c r="B2969"/>
  <c r="A2969"/>
  <c r="W2968"/>
  <c r="S2968"/>
  <c r="Q2968"/>
  <c r="P2968"/>
  <c r="M2968"/>
  <c r="K2968"/>
  <c r="H2968"/>
  <c r="C2968"/>
  <c r="G2968"/>
  <c r="E2968"/>
  <c r="B2968"/>
  <c r="A2968"/>
  <c r="W2967"/>
  <c r="S2967"/>
  <c r="Q2967"/>
  <c r="P2967"/>
  <c r="M2967"/>
  <c r="K2967"/>
  <c r="H2967"/>
  <c r="C2967"/>
  <c r="G2967"/>
  <c r="E2967"/>
  <c r="B2967"/>
  <c r="A2967"/>
  <c r="W2966"/>
  <c r="S2966"/>
  <c r="Q2966"/>
  <c r="P2966"/>
  <c r="N2966"/>
  <c r="M2966"/>
  <c r="K2966"/>
  <c r="H2966"/>
  <c r="C2966"/>
  <c r="G2966"/>
  <c r="E2966"/>
  <c r="B2966"/>
  <c r="A2966"/>
  <c r="W2965"/>
  <c r="S2965"/>
  <c r="Q2965"/>
  <c r="P2965"/>
  <c r="N2965"/>
  <c r="M2965"/>
  <c r="K2965"/>
  <c r="H2965"/>
  <c r="C2965"/>
  <c r="G2965"/>
  <c r="E2965"/>
  <c r="B2965"/>
  <c r="A2965"/>
  <c r="W2964"/>
  <c r="S2964"/>
  <c r="Q2964"/>
  <c r="P2964"/>
  <c r="M2964"/>
  <c r="K2964"/>
  <c r="H2964"/>
  <c r="C2964"/>
  <c r="G2964"/>
  <c r="E2964"/>
  <c r="B2964"/>
  <c r="A2964"/>
  <c r="W2963"/>
  <c r="S2963"/>
  <c r="Q2963"/>
  <c r="P2963"/>
  <c r="N2963"/>
  <c r="M2963"/>
  <c r="K2963"/>
  <c r="H2963"/>
  <c r="C2963"/>
  <c r="G2963"/>
  <c r="E2963"/>
  <c r="B2963"/>
  <c r="A2963"/>
  <c r="W2962"/>
  <c r="S2962"/>
  <c r="Q2962"/>
  <c r="P2962"/>
  <c r="N2962"/>
  <c r="M2962"/>
  <c r="K2962"/>
  <c r="H2962"/>
  <c r="C2962"/>
  <c r="G2962"/>
  <c r="E2962"/>
  <c r="B2962"/>
  <c r="A2962"/>
  <c r="W2961"/>
  <c r="S2961"/>
  <c r="Q2961"/>
  <c r="P2961"/>
  <c r="N2961"/>
  <c r="M2961"/>
  <c r="K2961"/>
  <c r="H2961"/>
  <c r="C2961"/>
  <c r="G2961"/>
  <c r="E2961"/>
  <c r="B2961"/>
  <c r="A2961"/>
  <c r="W2960"/>
  <c r="S2960"/>
  <c r="Q2960"/>
  <c r="P2960"/>
  <c r="N2960"/>
  <c r="M2960"/>
  <c r="K2960"/>
  <c r="H2960"/>
  <c r="C2960"/>
  <c r="G2960"/>
  <c r="E2960"/>
  <c r="B2960"/>
  <c r="A2960"/>
  <c r="W2959"/>
  <c r="S2959"/>
  <c r="Q2959"/>
  <c r="P2959"/>
  <c r="N2959"/>
  <c r="M2959"/>
  <c r="K2959"/>
  <c r="H2959"/>
  <c r="C2959"/>
  <c r="G2959"/>
  <c r="E2959"/>
  <c r="B2959"/>
  <c r="A2959"/>
  <c r="W2958"/>
  <c r="S2958"/>
  <c r="Q2958"/>
  <c r="P2958"/>
  <c r="N2958"/>
  <c r="M2958"/>
  <c r="K2958"/>
  <c r="H2958"/>
  <c r="C2958"/>
  <c r="G2958"/>
  <c r="E2958"/>
  <c r="B2958"/>
  <c r="A2958"/>
  <c r="W2957"/>
  <c r="S2957"/>
  <c r="Q2957"/>
  <c r="P2957"/>
  <c r="N2957"/>
  <c r="M2957"/>
  <c r="K2957"/>
  <c r="H2957"/>
  <c r="C2957"/>
  <c r="G2957"/>
  <c r="E2957"/>
  <c r="B2957"/>
  <c r="A2957"/>
  <c r="W2956"/>
  <c r="S2956"/>
  <c r="Q2956"/>
  <c r="P2956"/>
  <c r="M2956"/>
  <c r="K2956"/>
  <c r="H2956"/>
  <c r="C2956"/>
  <c r="G2956"/>
  <c r="E2956"/>
  <c r="B2956"/>
  <c r="A2956"/>
  <c r="W2955"/>
  <c r="S2955"/>
  <c r="Q2955"/>
  <c r="P2955"/>
  <c r="M2955"/>
  <c r="K2955"/>
  <c r="H2955"/>
  <c r="C2955"/>
  <c r="G2955"/>
  <c r="E2955"/>
  <c r="B2955"/>
  <c r="A2955"/>
  <c r="W2954"/>
  <c r="S2954"/>
  <c r="Q2954"/>
  <c r="P2954"/>
  <c r="M2954"/>
  <c r="K2954"/>
  <c r="H2954"/>
  <c r="C2954"/>
  <c r="G2954"/>
  <c r="E2954"/>
  <c r="B2954"/>
  <c r="A2954"/>
  <c r="W2953"/>
  <c r="S2953"/>
  <c r="Q2953"/>
  <c r="P2953"/>
  <c r="M2953"/>
  <c r="K2953"/>
  <c r="H2953"/>
  <c r="C2953"/>
  <c r="G2953"/>
  <c r="E2953"/>
  <c r="B2953"/>
  <c r="A2953"/>
  <c r="W2952"/>
  <c r="S2952"/>
  <c r="Q2952"/>
  <c r="P2952"/>
  <c r="M2952"/>
  <c r="K2952"/>
  <c r="H2952"/>
  <c r="C2952"/>
  <c r="G2952"/>
  <c r="E2952"/>
  <c r="B2952"/>
  <c r="A2952"/>
  <c r="W2951"/>
  <c r="S2951"/>
  <c r="Q2951"/>
  <c r="P2951"/>
  <c r="M2951"/>
  <c r="K2951"/>
  <c r="H2951"/>
  <c r="C2951"/>
  <c r="G2951"/>
  <c r="E2951"/>
  <c r="B2951"/>
  <c r="A2951"/>
  <c r="W2950"/>
  <c r="S2950"/>
  <c r="Q2950"/>
  <c r="P2950"/>
  <c r="M2950"/>
  <c r="K2950"/>
  <c r="H2950"/>
  <c r="C2950"/>
  <c r="G2950"/>
  <c r="E2950"/>
  <c r="B2950"/>
  <c r="A2950"/>
  <c r="W2949"/>
  <c r="S2949"/>
  <c r="Q2949"/>
  <c r="P2949"/>
  <c r="M2949"/>
  <c r="K2949"/>
  <c r="H2949"/>
  <c r="C2949"/>
  <c r="G2949"/>
  <c r="E2949"/>
  <c r="B2949"/>
  <c r="A2949"/>
  <c r="W2948"/>
  <c r="S2948"/>
  <c r="Q2948"/>
  <c r="P2948"/>
  <c r="M2948"/>
  <c r="K2948"/>
  <c r="H2948"/>
  <c r="C2948"/>
  <c r="G2948"/>
  <c r="E2948"/>
  <c r="B2948"/>
  <c r="A2948"/>
  <c r="W2947"/>
  <c r="S2947"/>
  <c r="Q2947"/>
  <c r="P2947"/>
  <c r="M2947"/>
  <c r="K2947"/>
  <c r="H2947"/>
  <c r="C2947"/>
  <c r="G2947"/>
  <c r="E2947"/>
  <c r="B2947"/>
  <c r="A2947"/>
  <c r="W2946"/>
  <c r="S2946"/>
  <c r="Q2946"/>
  <c r="P2946"/>
  <c r="M2946"/>
  <c r="K2946"/>
  <c r="H2946"/>
  <c r="C2946"/>
  <c r="G2946"/>
  <c r="E2946"/>
  <c r="B2946"/>
  <c r="A2946"/>
  <c r="W2945"/>
  <c r="S2945"/>
  <c r="Q2945"/>
  <c r="P2945"/>
  <c r="M2945"/>
  <c r="K2945"/>
  <c r="H2945"/>
  <c r="C2945"/>
  <c r="G2945"/>
  <c r="E2945"/>
  <c r="B2945"/>
  <c r="A2945"/>
  <c r="W2944"/>
  <c r="S2944"/>
  <c r="Q2944"/>
  <c r="P2944"/>
  <c r="M2944"/>
  <c r="K2944"/>
  <c r="H2944"/>
  <c r="C2944"/>
  <c r="G2944"/>
  <c r="E2944"/>
  <c r="B2944"/>
  <c r="A2944"/>
  <c r="W2943"/>
  <c r="S2943"/>
  <c r="Q2943"/>
  <c r="P2943"/>
  <c r="M2943"/>
  <c r="K2943"/>
  <c r="H2943"/>
  <c r="C2943"/>
  <c r="G2943"/>
  <c r="E2943"/>
  <c r="B2943"/>
  <c r="A2943"/>
  <c r="W2942"/>
  <c r="S2942"/>
  <c r="R2942"/>
  <c r="Q2942"/>
  <c r="P2942"/>
  <c r="M2942"/>
  <c r="K2942"/>
  <c r="H2942"/>
  <c r="C2942"/>
  <c r="G2942"/>
  <c r="E2942"/>
  <c r="B2942"/>
  <c r="A2942"/>
  <c r="W2941"/>
  <c r="S2941"/>
  <c r="Q2941"/>
  <c r="P2941"/>
  <c r="M2941"/>
  <c r="K2941"/>
  <c r="H2941"/>
  <c r="C2941"/>
  <c r="G2941"/>
  <c r="E2941"/>
  <c r="B2941"/>
  <c r="A2941"/>
  <c r="W2940"/>
  <c r="S2940"/>
  <c r="Q2940"/>
  <c r="P2940"/>
  <c r="M2940"/>
  <c r="K2940"/>
  <c r="H2940"/>
  <c r="C2940"/>
  <c r="G2940"/>
  <c r="E2940"/>
  <c r="B2940"/>
  <c r="A2940"/>
  <c r="W2939"/>
  <c r="S2939"/>
  <c r="Q2939"/>
  <c r="P2939"/>
  <c r="M2939"/>
  <c r="K2939"/>
  <c r="H2939"/>
  <c r="C2939"/>
  <c r="G2939"/>
  <c r="E2939"/>
  <c r="B2939"/>
  <c r="A2939"/>
  <c r="W2938"/>
  <c r="S2938"/>
  <c r="Q2938"/>
  <c r="P2938"/>
  <c r="M2938"/>
  <c r="K2938"/>
  <c r="H2938"/>
  <c r="C2938"/>
  <c r="G2938"/>
  <c r="E2938"/>
  <c r="B2938"/>
  <c r="A2938"/>
  <c r="W2937"/>
  <c r="S2937"/>
  <c r="Q2937"/>
  <c r="P2937"/>
  <c r="M2937"/>
  <c r="K2937"/>
  <c r="H2937"/>
  <c r="C2937"/>
  <c r="G2937"/>
  <c r="E2937"/>
  <c r="B2937"/>
  <c r="A2937"/>
  <c r="W2936"/>
  <c r="S2936"/>
  <c r="Q2936"/>
  <c r="P2936"/>
  <c r="M2936"/>
  <c r="K2936"/>
  <c r="H2936"/>
  <c r="C2936"/>
  <c r="G2936"/>
  <c r="E2936"/>
  <c r="B2936"/>
  <c r="A2936"/>
  <c r="W2935"/>
  <c r="S2935"/>
  <c r="Q2935"/>
  <c r="P2935"/>
  <c r="N2935"/>
  <c r="M2935"/>
  <c r="K2935"/>
  <c r="H2935"/>
  <c r="C2935"/>
  <c r="G2935"/>
  <c r="E2935"/>
  <c r="B2935"/>
  <c r="A2935"/>
  <c r="W2934"/>
  <c r="S2934"/>
  <c r="Q2934"/>
  <c r="P2934"/>
  <c r="M2934"/>
  <c r="K2934"/>
  <c r="H2934"/>
  <c r="C2934"/>
  <c r="G2934"/>
  <c r="E2934"/>
  <c r="B2934"/>
  <c r="A2934"/>
  <c r="W2933"/>
  <c r="S2933"/>
  <c r="Q2933"/>
  <c r="P2933"/>
  <c r="M2933"/>
  <c r="K2933"/>
  <c r="H2933"/>
  <c r="C2933"/>
  <c r="G2933"/>
  <c r="E2933"/>
  <c r="B2933"/>
  <c r="A2933"/>
  <c r="W2932"/>
  <c r="S2932"/>
  <c r="Q2932"/>
  <c r="P2932"/>
  <c r="M2932"/>
  <c r="K2932"/>
  <c r="H2932"/>
  <c r="C2932"/>
  <c r="G2932"/>
  <c r="E2932"/>
  <c r="B2932"/>
  <c r="A2932"/>
  <c r="W2931"/>
  <c r="S2931"/>
  <c r="Q2931"/>
  <c r="P2931"/>
  <c r="M2931"/>
  <c r="K2931"/>
  <c r="H2931"/>
  <c r="C2931"/>
  <c r="G2931"/>
  <c r="E2931"/>
  <c r="B2931"/>
  <c r="A2931"/>
  <c r="W2930"/>
  <c r="S2930"/>
  <c r="Q2930"/>
  <c r="P2930"/>
  <c r="N2930"/>
  <c r="M2930"/>
  <c r="K2930"/>
  <c r="H2930"/>
  <c r="C2930"/>
  <c r="G2930"/>
  <c r="E2930"/>
  <c r="B2930"/>
  <c r="A2930"/>
  <c r="W2929"/>
  <c r="S2929"/>
  <c r="Q2929"/>
  <c r="P2929"/>
  <c r="N2929"/>
  <c r="M2929"/>
  <c r="K2929"/>
  <c r="H2929"/>
  <c r="C2929"/>
  <c r="G2929"/>
  <c r="E2929"/>
  <c r="B2929"/>
  <c r="A2929"/>
  <c r="W2928"/>
  <c r="S2928"/>
  <c r="Q2928"/>
  <c r="P2928"/>
  <c r="N2928"/>
  <c r="M2928"/>
  <c r="K2928"/>
  <c r="H2928"/>
  <c r="C2928"/>
  <c r="G2928"/>
  <c r="E2928"/>
  <c r="B2928"/>
  <c r="A2928"/>
  <c r="W2927"/>
  <c r="S2927"/>
  <c r="Q2927"/>
  <c r="P2927"/>
  <c r="N2927"/>
  <c r="M2927"/>
  <c r="K2927"/>
  <c r="H2927"/>
  <c r="C2927"/>
  <c r="G2927"/>
  <c r="E2927"/>
  <c r="B2927"/>
  <c r="A2927"/>
  <c r="W2926"/>
  <c r="S2926"/>
  <c r="Q2926"/>
  <c r="P2926"/>
  <c r="N2926"/>
  <c r="M2926"/>
  <c r="K2926"/>
  <c r="H2926"/>
  <c r="C2926"/>
  <c r="G2926"/>
  <c r="E2926"/>
  <c r="B2926"/>
  <c r="A2926"/>
  <c r="W2925"/>
  <c r="S2925"/>
  <c r="Q2925"/>
  <c r="P2925"/>
  <c r="N2925"/>
  <c r="M2925"/>
  <c r="K2925"/>
  <c r="H2925"/>
  <c r="C2925"/>
  <c r="G2925"/>
  <c r="E2925"/>
  <c r="B2925"/>
  <c r="A2925"/>
  <c r="W2924"/>
  <c r="S2924"/>
  <c r="Q2924"/>
  <c r="P2924"/>
  <c r="N2924"/>
  <c r="M2924"/>
  <c r="K2924"/>
  <c r="H2924"/>
  <c r="C2924"/>
  <c r="G2924"/>
  <c r="E2924"/>
  <c r="B2924"/>
  <c r="A2924"/>
  <c r="W2923"/>
  <c r="S2923"/>
  <c r="Q2923"/>
  <c r="P2923"/>
  <c r="N2923"/>
  <c r="M2923"/>
  <c r="K2923"/>
  <c r="H2923"/>
  <c r="C2923"/>
  <c r="G2923"/>
  <c r="E2923"/>
  <c r="B2923"/>
  <c r="A2923"/>
  <c r="W2922"/>
  <c r="S2922"/>
  <c r="Q2922"/>
  <c r="P2922"/>
  <c r="N2922"/>
  <c r="M2922"/>
  <c r="K2922"/>
  <c r="H2922"/>
  <c r="C2922"/>
  <c r="G2922"/>
  <c r="E2922"/>
  <c r="B2922"/>
  <c r="A2922"/>
  <c r="W2921"/>
  <c r="S2921"/>
  <c r="Q2921"/>
  <c r="P2921"/>
  <c r="M2921"/>
  <c r="K2921"/>
  <c r="H2921"/>
  <c r="C2921"/>
  <c r="G2921"/>
  <c r="E2921"/>
  <c r="B2921"/>
  <c r="A2921"/>
  <c r="W2920"/>
  <c r="S2920"/>
  <c r="Q2920"/>
  <c r="P2920"/>
  <c r="M2920"/>
  <c r="K2920"/>
  <c r="H2920"/>
  <c r="C2920"/>
  <c r="G2920"/>
  <c r="E2920"/>
  <c r="B2920"/>
  <c r="A2920"/>
  <c r="W2919"/>
  <c r="S2919"/>
  <c r="Q2919"/>
  <c r="P2919"/>
  <c r="M2919"/>
  <c r="K2919"/>
  <c r="H2919"/>
  <c r="C2919"/>
  <c r="G2919"/>
  <c r="E2919"/>
  <c r="B2919"/>
  <c r="A2919"/>
  <c r="W2918"/>
  <c r="S2918"/>
  <c r="Q2918"/>
  <c r="P2918"/>
  <c r="M2918"/>
  <c r="K2918"/>
  <c r="H2918"/>
  <c r="C2918"/>
  <c r="G2918"/>
  <c r="E2918"/>
  <c r="B2918"/>
  <c r="A2918"/>
  <c r="W2917"/>
  <c r="S2917"/>
  <c r="Q2917"/>
  <c r="P2917"/>
  <c r="M2917"/>
  <c r="K2917"/>
  <c r="H2917"/>
  <c r="C2917"/>
  <c r="G2917"/>
  <c r="E2917"/>
  <c r="B2917"/>
  <c r="A2917"/>
  <c r="W2916"/>
  <c r="S2916"/>
  <c r="Q2916"/>
  <c r="P2916"/>
  <c r="N2916"/>
  <c r="M2916"/>
  <c r="K2916"/>
  <c r="H2916"/>
  <c r="C2916"/>
  <c r="G2916"/>
  <c r="E2916"/>
  <c r="B2916"/>
  <c r="A2916"/>
  <c r="W2915"/>
  <c r="S2915"/>
  <c r="Q2915"/>
  <c r="P2915"/>
  <c r="M2915"/>
  <c r="K2915"/>
  <c r="H2915"/>
  <c r="C2915"/>
  <c r="G2915"/>
  <c r="E2915"/>
  <c r="B2915"/>
  <c r="A2915"/>
  <c r="W2914"/>
  <c r="S2914"/>
  <c r="Q2914"/>
  <c r="P2914"/>
  <c r="M2914"/>
  <c r="K2914"/>
  <c r="H2914"/>
  <c r="C2914"/>
  <c r="G2914"/>
  <c r="E2914"/>
  <c r="B2914"/>
  <c r="A2914"/>
  <c r="W2913"/>
  <c r="S2913"/>
  <c r="Q2913"/>
  <c r="P2913"/>
  <c r="M2913"/>
  <c r="K2913"/>
  <c r="H2913"/>
  <c r="C2913"/>
  <c r="G2913"/>
  <c r="E2913"/>
  <c r="B2913"/>
  <c r="A2913"/>
  <c r="W2912"/>
  <c r="S2912"/>
  <c r="Q2912"/>
  <c r="P2912"/>
  <c r="M2912"/>
  <c r="K2912"/>
  <c r="H2912"/>
  <c r="C2912"/>
  <c r="G2912"/>
  <c r="E2912"/>
  <c r="B2912"/>
  <c r="A2912"/>
  <c r="W2911"/>
  <c r="S2911"/>
  <c r="Q2911"/>
  <c r="P2911"/>
  <c r="M2911"/>
  <c r="K2911"/>
  <c r="H2911"/>
  <c r="C2911"/>
  <c r="G2911"/>
  <c r="E2911"/>
  <c r="B2911"/>
  <c r="A2911"/>
  <c r="W2910"/>
  <c r="S2910"/>
  <c r="Q2910"/>
  <c r="P2910"/>
  <c r="M2910"/>
  <c r="K2910"/>
  <c r="H2910"/>
  <c r="C2910"/>
  <c r="G2910"/>
  <c r="E2910"/>
  <c r="B2910"/>
  <c r="A2910"/>
  <c r="W2909"/>
  <c r="S2909"/>
  <c r="Q2909"/>
  <c r="P2909"/>
  <c r="M2909"/>
  <c r="K2909"/>
  <c r="H2909"/>
  <c r="C2909"/>
  <c r="G2909"/>
  <c r="E2909"/>
  <c r="B2909"/>
  <c r="A2909"/>
  <c r="W2908"/>
  <c r="S2908"/>
  <c r="Q2908"/>
  <c r="P2908"/>
  <c r="M2908"/>
  <c r="K2908"/>
  <c r="H2908"/>
  <c r="C2908"/>
  <c r="G2908"/>
  <c r="E2908"/>
  <c r="B2908"/>
  <c r="A2908"/>
  <c r="W2907"/>
  <c r="S2907"/>
  <c r="R2907"/>
  <c r="Q2907"/>
  <c r="P2907"/>
  <c r="M2907"/>
  <c r="K2907"/>
  <c r="H2907"/>
  <c r="C2907"/>
  <c r="G2907"/>
  <c r="E2907"/>
  <c r="B2907"/>
  <c r="A2907"/>
  <c r="W2906"/>
  <c r="S2906"/>
  <c r="Q2906"/>
  <c r="P2906"/>
  <c r="M2906"/>
  <c r="K2906"/>
  <c r="H2906"/>
  <c r="C2906"/>
  <c r="G2906"/>
  <c r="E2906"/>
  <c r="B2906"/>
  <c r="A2906"/>
  <c r="W2905"/>
  <c r="S2905"/>
  <c r="Q2905"/>
  <c r="P2905"/>
  <c r="M2905"/>
  <c r="K2905"/>
  <c r="H2905"/>
  <c r="C2905"/>
  <c r="G2905"/>
  <c r="E2905"/>
  <c r="B2905"/>
  <c r="A2905"/>
  <c r="W2904"/>
  <c r="S2904"/>
  <c r="Q2904"/>
  <c r="P2904"/>
  <c r="M2904"/>
  <c r="K2904"/>
  <c r="H2904"/>
  <c r="C2904"/>
  <c r="G2904"/>
  <c r="E2904"/>
  <c r="B2904"/>
  <c r="A2904"/>
  <c r="W2903"/>
  <c r="S2903"/>
  <c r="Q2903"/>
  <c r="P2903"/>
  <c r="M2903"/>
  <c r="K2903"/>
  <c r="H2903"/>
  <c r="C2903"/>
  <c r="G2903"/>
  <c r="E2903"/>
  <c r="B2903"/>
  <c r="A2903"/>
  <c r="W2902"/>
  <c r="S2902"/>
  <c r="Q2902"/>
  <c r="P2902"/>
  <c r="M2902"/>
  <c r="K2902"/>
  <c r="H2902"/>
  <c r="C2902"/>
  <c r="G2902"/>
  <c r="E2902"/>
  <c r="B2902"/>
  <c r="A2902"/>
  <c r="W2901"/>
  <c r="S2901"/>
  <c r="Q2901"/>
  <c r="P2901"/>
  <c r="M2901"/>
  <c r="K2901"/>
  <c r="H2901"/>
  <c r="C2901"/>
  <c r="G2901"/>
  <c r="E2901"/>
  <c r="B2901"/>
  <c r="A2901"/>
  <c r="W2900"/>
  <c r="S2900"/>
  <c r="Q2900"/>
  <c r="P2900"/>
  <c r="M2900"/>
  <c r="K2900"/>
  <c r="H2900"/>
  <c r="C2900"/>
  <c r="G2900"/>
  <c r="E2900"/>
  <c r="B2900"/>
  <c r="A2900"/>
  <c r="W2899"/>
  <c r="S2899"/>
  <c r="Q2899"/>
  <c r="P2899"/>
  <c r="M2899"/>
  <c r="K2899"/>
  <c r="H2899"/>
  <c r="C2899"/>
  <c r="G2899"/>
  <c r="E2899"/>
  <c r="B2899"/>
  <c r="A2899"/>
  <c r="W2898"/>
  <c r="S2898"/>
  <c r="Q2898"/>
  <c r="P2898"/>
  <c r="M2898"/>
  <c r="K2898"/>
  <c r="H2898"/>
  <c r="C2898"/>
  <c r="G2898"/>
  <c r="E2898"/>
  <c r="B2898"/>
  <c r="A2898"/>
  <c r="W2897"/>
  <c r="S2897"/>
  <c r="Q2897"/>
  <c r="P2897"/>
  <c r="M2897"/>
  <c r="K2897"/>
  <c r="H2897"/>
  <c r="C2897"/>
  <c r="G2897"/>
  <c r="E2897"/>
  <c r="B2897"/>
  <c r="A2897"/>
  <c r="W2896"/>
  <c r="S2896"/>
  <c r="Q2896"/>
  <c r="P2896"/>
  <c r="M2896"/>
  <c r="K2896"/>
  <c r="H2896"/>
  <c r="C2896"/>
  <c r="G2896"/>
  <c r="E2896"/>
  <c r="B2896"/>
  <c r="A2896"/>
  <c r="W2895"/>
  <c r="S2895"/>
  <c r="Q2895"/>
  <c r="P2895"/>
  <c r="M2895"/>
  <c r="K2895"/>
  <c r="H2895"/>
  <c r="C2895"/>
  <c r="G2895"/>
  <c r="E2895"/>
  <c r="B2895"/>
  <c r="A2895"/>
  <c r="W2894"/>
  <c r="S2894"/>
  <c r="Q2894"/>
  <c r="P2894"/>
  <c r="M2894"/>
  <c r="K2894"/>
  <c r="H2894"/>
  <c r="C2894"/>
  <c r="G2894"/>
  <c r="E2894"/>
  <c r="B2894"/>
  <c r="A2894"/>
  <c r="W2893"/>
  <c r="S2893"/>
  <c r="Q2893"/>
  <c r="P2893"/>
  <c r="M2893"/>
  <c r="K2893"/>
  <c r="H2893"/>
  <c r="C2893"/>
  <c r="G2893"/>
  <c r="E2893"/>
  <c r="B2893"/>
  <c r="A2893"/>
  <c r="W2892"/>
  <c r="S2892"/>
  <c r="Q2892"/>
  <c r="P2892"/>
  <c r="M2892"/>
  <c r="K2892"/>
  <c r="H2892"/>
  <c r="C2892"/>
  <c r="G2892"/>
  <c r="E2892"/>
  <c r="B2892"/>
  <c r="A2892"/>
  <c r="W2891"/>
  <c r="S2891"/>
  <c r="Q2891"/>
  <c r="P2891"/>
  <c r="M2891"/>
  <c r="K2891"/>
  <c r="H2891"/>
  <c r="C2891"/>
  <c r="G2891"/>
  <c r="E2891"/>
  <c r="B2891"/>
  <c r="A2891"/>
  <c r="W2890"/>
  <c r="S2890"/>
  <c r="Q2890"/>
  <c r="P2890"/>
  <c r="M2890"/>
  <c r="K2890"/>
  <c r="H2890"/>
  <c r="C2890"/>
  <c r="G2890"/>
  <c r="E2890"/>
  <c r="B2890"/>
  <c r="A2890"/>
  <c r="W2889"/>
  <c r="S2889"/>
  <c r="Q2889"/>
  <c r="P2889"/>
  <c r="M2889"/>
  <c r="K2889"/>
  <c r="H2889"/>
  <c r="C2889"/>
  <c r="G2889"/>
  <c r="E2889"/>
  <c r="B2889"/>
  <c r="A2889"/>
  <c r="W2888"/>
  <c r="S2888"/>
  <c r="Q2888"/>
  <c r="P2888"/>
  <c r="M2888"/>
  <c r="K2888"/>
  <c r="H2888"/>
  <c r="C2888"/>
  <c r="G2888"/>
  <c r="E2888"/>
  <c r="B2888"/>
  <c r="A2888"/>
  <c r="W2887"/>
  <c r="S2887"/>
  <c r="Q2887"/>
  <c r="P2887"/>
  <c r="M2887"/>
  <c r="K2887"/>
  <c r="H2887"/>
  <c r="C2887"/>
  <c r="G2887"/>
  <c r="E2887"/>
  <c r="B2887"/>
  <c r="A2887"/>
  <c r="W2886"/>
  <c r="S2886"/>
  <c r="Q2886"/>
  <c r="P2886"/>
  <c r="M2886"/>
  <c r="K2886"/>
  <c r="H2886"/>
  <c r="C2886"/>
  <c r="G2886"/>
  <c r="E2886"/>
  <c r="B2886"/>
  <c r="A2886"/>
  <c r="W2885"/>
  <c r="S2885"/>
  <c r="Q2885"/>
  <c r="P2885"/>
  <c r="M2885"/>
  <c r="K2885"/>
  <c r="H2885"/>
  <c r="C2885"/>
  <c r="G2885"/>
  <c r="E2885"/>
  <c r="B2885"/>
  <c r="A2885"/>
  <c r="W2884"/>
  <c r="S2884"/>
  <c r="Q2884"/>
  <c r="P2884"/>
  <c r="M2884"/>
  <c r="K2884"/>
  <c r="H2884"/>
  <c r="C2884"/>
  <c r="G2884"/>
  <c r="E2884"/>
  <c r="B2884"/>
  <c r="A2884"/>
  <c r="W2883"/>
  <c r="S2883"/>
  <c r="Q2883"/>
  <c r="P2883"/>
  <c r="M2883"/>
  <c r="K2883"/>
  <c r="H2883"/>
  <c r="C2883"/>
  <c r="G2883"/>
  <c r="E2883"/>
  <c r="B2883"/>
  <c r="A2883"/>
  <c r="W2882"/>
  <c r="S2882"/>
  <c r="Q2882"/>
  <c r="P2882"/>
  <c r="M2882"/>
  <c r="K2882"/>
  <c r="H2882"/>
  <c r="C2882"/>
  <c r="G2882"/>
  <c r="E2882"/>
  <c r="B2882"/>
  <c r="A2882"/>
  <c r="W2881"/>
  <c r="S2881"/>
  <c r="Q2881"/>
  <c r="P2881"/>
  <c r="M2881"/>
  <c r="K2881"/>
  <c r="H2881"/>
  <c r="C2881"/>
  <c r="G2881"/>
  <c r="E2881"/>
  <c r="B2881"/>
  <c r="A2881"/>
  <c r="W2880"/>
  <c r="S2880"/>
  <c r="Q2880"/>
  <c r="P2880"/>
  <c r="M2880"/>
  <c r="K2880"/>
  <c r="H2880"/>
  <c r="C2880"/>
  <c r="G2880"/>
  <c r="E2880"/>
  <c r="B2880"/>
  <c r="A2880"/>
  <c r="W2879"/>
  <c r="S2879"/>
  <c r="Q2879"/>
  <c r="P2879"/>
  <c r="M2879"/>
  <c r="K2879"/>
  <c r="H2879"/>
  <c r="C2879"/>
  <c r="G2879"/>
  <c r="E2879"/>
  <c r="B2879"/>
  <c r="A2879"/>
  <c r="W2878"/>
  <c r="S2878"/>
  <c r="Q2878"/>
  <c r="P2878"/>
  <c r="M2878"/>
  <c r="K2878"/>
  <c r="H2878"/>
  <c r="C2878"/>
  <c r="G2878"/>
  <c r="E2878"/>
  <c r="B2878"/>
  <c r="A2878"/>
  <c r="W2877"/>
  <c r="S2877"/>
  <c r="Q2877"/>
  <c r="P2877"/>
  <c r="M2877"/>
  <c r="K2877"/>
  <c r="H2877"/>
  <c r="C2877"/>
  <c r="G2877"/>
  <c r="E2877"/>
  <c r="B2877"/>
  <c r="A2877"/>
  <c r="W2876"/>
  <c r="S2876"/>
  <c r="Q2876"/>
  <c r="P2876"/>
  <c r="M2876"/>
  <c r="K2876"/>
  <c r="H2876"/>
  <c r="C2876"/>
  <c r="G2876"/>
  <c r="E2876"/>
  <c r="B2876"/>
  <c r="A2876"/>
  <c r="W2875"/>
  <c r="S2875"/>
  <c r="Q2875"/>
  <c r="P2875"/>
  <c r="M2875"/>
  <c r="K2875"/>
  <c r="H2875"/>
  <c r="C2875"/>
  <c r="G2875"/>
  <c r="E2875"/>
  <c r="B2875"/>
  <c r="A2875"/>
  <c r="W2874"/>
  <c r="S2874"/>
  <c r="Q2874"/>
  <c r="P2874"/>
  <c r="M2874"/>
  <c r="K2874"/>
  <c r="H2874"/>
  <c r="C2874"/>
  <c r="G2874"/>
  <c r="E2874"/>
  <c r="B2874"/>
  <c r="A2874"/>
  <c r="W2873"/>
  <c r="S2873"/>
  <c r="R2873"/>
  <c r="Q2873"/>
  <c r="P2873"/>
  <c r="M2873"/>
  <c r="K2873"/>
  <c r="H2873"/>
  <c r="C2873"/>
  <c r="G2873"/>
  <c r="E2873"/>
  <c r="B2873"/>
  <c r="A2873"/>
  <c r="W2872"/>
  <c r="S2872"/>
  <c r="Q2872"/>
  <c r="P2872"/>
  <c r="M2872"/>
  <c r="K2872"/>
  <c r="H2872"/>
  <c r="C2872"/>
  <c r="G2872"/>
  <c r="E2872"/>
  <c r="B2872"/>
  <c r="A2872"/>
  <c r="W2871"/>
  <c r="S2871"/>
  <c r="Q2871"/>
  <c r="P2871"/>
  <c r="M2871"/>
  <c r="K2871"/>
  <c r="H2871"/>
  <c r="C2871"/>
  <c r="G2871"/>
  <c r="E2871"/>
  <c r="B2871"/>
  <c r="A2871"/>
  <c r="W2870"/>
  <c r="S2870"/>
  <c r="Q2870"/>
  <c r="P2870"/>
  <c r="M2870"/>
  <c r="K2870"/>
  <c r="H2870"/>
  <c r="C2870"/>
  <c r="G2870"/>
  <c r="E2870"/>
  <c r="B2870"/>
  <c r="A2870"/>
  <c r="W2869"/>
  <c r="S2869"/>
  <c r="Q2869"/>
  <c r="P2869"/>
  <c r="M2869"/>
  <c r="K2869"/>
  <c r="H2869"/>
  <c r="C2869"/>
  <c r="G2869"/>
  <c r="E2869"/>
  <c r="B2869"/>
  <c r="A2869"/>
  <c r="W2868"/>
  <c r="S2868"/>
  <c r="Q2868"/>
  <c r="P2868"/>
  <c r="M2868"/>
  <c r="K2868"/>
  <c r="H2868"/>
  <c r="C2868"/>
  <c r="G2868"/>
  <c r="E2868"/>
  <c r="B2868"/>
  <c r="A2868"/>
  <c r="W2867"/>
  <c r="S2867"/>
  <c r="Q2867"/>
  <c r="P2867"/>
  <c r="M2867"/>
  <c r="K2867"/>
  <c r="H2867"/>
  <c r="C2867"/>
  <c r="G2867"/>
  <c r="E2867"/>
  <c r="B2867"/>
  <c r="A2867"/>
  <c r="W2866"/>
  <c r="S2866"/>
  <c r="Q2866"/>
  <c r="P2866"/>
  <c r="M2866"/>
  <c r="K2866"/>
  <c r="H2866"/>
  <c r="C2866"/>
  <c r="G2866"/>
  <c r="E2866"/>
  <c r="B2866"/>
  <c r="A2866"/>
  <c r="W2865"/>
  <c r="S2865"/>
  <c r="Q2865"/>
  <c r="P2865"/>
  <c r="M2865"/>
  <c r="K2865"/>
  <c r="H2865"/>
  <c r="C2865"/>
  <c r="G2865"/>
  <c r="E2865"/>
  <c r="B2865"/>
  <c r="A2865"/>
  <c r="W2864"/>
  <c r="S2864"/>
  <c r="Q2864"/>
  <c r="P2864"/>
  <c r="M2864"/>
  <c r="K2864"/>
  <c r="H2864"/>
  <c r="C2864"/>
  <c r="G2864"/>
  <c r="E2864"/>
  <c r="B2864"/>
  <c r="A2864"/>
  <c r="W2863"/>
  <c r="S2863"/>
  <c r="Q2863"/>
  <c r="P2863"/>
  <c r="M2863"/>
  <c r="K2863"/>
  <c r="H2863"/>
  <c r="C2863"/>
  <c r="G2863"/>
  <c r="E2863"/>
  <c r="B2863"/>
  <c r="A2863"/>
  <c r="W2862"/>
  <c r="S2862"/>
  <c r="Q2862"/>
  <c r="P2862"/>
  <c r="M2862"/>
  <c r="K2862"/>
  <c r="H2862"/>
  <c r="C2862"/>
  <c r="G2862"/>
  <c r="E2862"/>
  <c r="B2862"/>
  <c r="A2862"/>
  <c r="W2861"/>
  <c r="S2861"/>
  <c r="Q2861"/>
  <c r="P2861"/>
  <c r="M2861"/>
  <c r="K2861"/>
  <c r="H2861"/>
  <c r="C2861"/>
  <c r="G2861"/>
  <c r="E2861"/>
  <c r="B2861"/>
  <c r="A2861"/>
  <c r="W2860"/>
  <c r="S2860"/>
  <c r="R2860"/>
  <c r="Q2860"/>
  <c r="P2860"/>
  <c r="M2860"/>
  <c r="K2860"/>
  <c r="H2860"/>
  <c r="C2860"/>
  <c r="G2860"/>
  <c r="E2860"/>
  <c r="B2860"/>
  <c r="A2860"/>
  <c r="W2859"/>
  <c r="S2859"/>
  <c r="Q2859"/>
  <c r="P2859"/>
  <c r="M2859"/>
  <c r="K2859"/>
  <c r="H2859"/>
  <c r="C2859"/>
  <c r="G2859"/>
  <c r="E2859"/>
  <c r="B2859"/>
  <c r="A2859"/>
  <c r="W2858"/>
  <c r="S2858"/>
  <c r="Q2858"/>
  <c r="P2858"/>
  <c r="M2858"/>
  <c r="K2858"/>
  <c r="H2858"/>
  <c r="C2858"/>
  <c r="G2858"/>
  <c r="E2858"/>
  <c r="B2858"/>
  <c r="A2858"/>
  <c r="W2857"/>
  <c r="S2857"/>
  <c r="Q2857"/>
  <c r="P2857"/>
  <c r="M2857"/>
  <c r="K2857"/>
  <c r="H2857"/>
  <c r="C2857"/>
  <c r="G2857"/>
  <c r="E2857"/>
  <c r="B2857"/>
  <c r="A2857"/>
  <c r="W2856"/>
  <c r="S2856"/>
  <c r="Q2856"/>
  <c r="P2856"/>
  <c r="M2856"/>
  <c r="K2856"/>
  <c r="H2856"/>
  <c r="C2856"/>
  <c r="G2856"/>
  <c r="E2856"/>
  <c r="B2856"/>
  <c r="A2856"/>
  <c r="W2855"/>
  <c r="S2855"/>
  <c r="Q2855"/>
  <c r="P2855"/>
  <c r="M2855"/>
  <c r="K2855"/>
  <c r="H2855"/>
  <c r="C2855"/>
  <c r="G2855"/>
  <c r="E2855"/>
  <c r="B2855"/>
  <c r="A2855"/>
  <c r="W2854"/>
  <c r="S2854"/>
  <c r="Q2854"/>
  <c r="P2854"/>
  <c r="M2854"/>
  <c r="K2854"/>
  <c r="H2854"/>
  <c r="C2854"/>
  <c r="G2854"/>
  <c r="E2854"/>
  <c r="B2854"/>
  <c r="A2854"/>
  <c r="W2853"/>
  <c r="S2853"/>
  <c r="Q2853"/>
  <c r="P2853"/>
  <c r="M2853"/>
  <c r="K2853"/>
  <c r="H2853"/>
  <c r="C2853"/>
  <c r="G2853"/>
  <c r="E2853"/>
  <c r="B2853"/>
  <c r="A2853"/>
  <c r="W2852"/>
  <c r="S2852"/>
  <c r="Q2852"/>
  <c r="P2852"/>
  <c r="M2852"/>
  <c r="K2852"/>
  <c r="H2852"/>
  <c r="C2852"/>
  <c r="G2852"/>
  <c r="E2852"/>
  <c r="B2852"/>
  <c r="A2852"/>
  <c r="W2851"/>
  <c r="S2851"/>
  <c r="Q2851"/>
  <c r="P2851"/>
  <c r="M2851"/>
  <c r="K2851"/>
  <c r="H2851"/>
  <c r="C2851"/>
  <c r="G2851"/>
  <c r="E2851"/>
  <c r="B2851"/>
  <c r="A2851"/>
  <c r="W2850"/>
  <c r="S2850"/>
  <c r="Q2850"/>
  <c r="P2850"/>
  <c r="M2850"/>
  <c r="K2850"/>
  <c r="H2850"/>
  <c r="C2850"/>
  <c r="G2850"/>
  <c r="E2850"/>
  <c r="B2850"/>
  <c r="A2850"/>
  <c r="W2849"/>
  <c r="S2849"/>
  <c r="Q2849"/>
  <c r="P2849"/>
  <c r="M2849"/>
  <c r="K2849"/>
  <c r="H2849"/>
  <c r="C2849"/>
  <c r="G2849"/>
  <c r="E2849"/>
  <c r="B2849"/>
  <c r="A2849"/>
  <c r="W2848"/>
  <c r="S2848"/>
  <c r="Q2848"/>
  <c r="P2848"/>
  <c r="M2848"/>
  <c r="K2848"/>
  <c r="H2848"/>
  <c r="C2848"/>
  <c r="G2848"/>
  <c r="E2848"/>
  <c r="B2848"/>
  <c r="A2848"/>
  <c r="W2847"/>
  <c r="S2847"/>
  <c r="Q2847"/>
  <c r="P2847"/>
  <c r="M2847"/>
  <c r="K2847"/>
  <c r="H2847"/>
  <c r="C2847"/>
  <c r="G2847"/>
  <c r="E2847"/>
  <c r="B2847"/>
  <c r="A2847"/>
  <c r="W2846"/>
  <c r="S2846"/>
  <c r="Q2846"/>
  <c r="P2846"/>
  <c r="M2846"/>
  <c r="K2846"/>
  <c r="H2846"/>
  <c r="C2846"/>
  <c r="G2846"/>
  <c r="E2846"/>
  <c r="B2846"/>
  <c r="A2846"/>
  <c r="W2845"/>
  <c r="S2845"/>
  <c r="Q2845"/>
  <c r="P2845"/>
  <c r="M2845"/>
  <c r="K2845"/>
  <c r="H2845"/>
  <c r="C2845"/>
  <c r="G2845"/>
  <c r="E2845"/>
  <c r="B2845"/>
  <c r="A2845"/>
  <c r="W2844"/>
  <c r="S2844"/>
  <c r="Q2844"/>
  <c r="P2844"/>
  <c r="M2844"/>
  <c r="K2844"/>
  <c r="H2844"/>
  <c r="C2844"/>
  <c r="G2844"/>
  <c r="E2844"/>
  <c r="B2844"/>
  <c r="A2844"/>
  <c r="W2843"/>
  <c r="S2843"/>
  <c r="Q2843"/>
  <c r="P2843"/>
  <c r="M2843"/>
  <c r="K2843"/>
  <c r="H2843"/>
  <c r="C2843"/>
  <c r="G2843"/>
  <c r="E2843"/>
  <c r="B2843"/>
  <c r="A2843"/>
  <c r="W2842"/>
  <c r="S2842"/>
  <c r="Q2842"/>
  <c r="P2842"/>
  <c r="M2842"/>
  <c r="K2842"/>
  <c r="H2842"/>
  <c r="C2842"/>
  <c r="G2842"/>
  <c r="E2842"/>
  <c r="B2842"/>
  <c r="A2842"/>
  <c r="W2841"/>
  <c r="S2841"/>
  <c r="Q2841"/>
  <c r="P2841"/>
  <c r="M2841"/>
  <c r="K2841"/>
  <c r="H2841"/>
  <c r="C2841"/>
  <c r="G2841"/>
  <c r="E2841"/>
  <c r="B2841"/>
  <c r="A2841"/>
  <c r="W2840"/>
  <c r="S2840"/>
  <c r="Q2840"/>
  <c r="P2840"/>
  <c r="M2840"/>
  <c r="K2840"/>
  <c r="H2840"/>
  <c r="C2840"/>
  <c r="G2840"/>
  <c r="E2840"/>
  <c r="B2840"/>
  <c r="A2840"/>
  <c r="W2839"/>
  <c r="S2839"/>
  <c r="Q2839"/>
  <c r="P2839"/>
  <c r="M2839"/>
  <c r="K2839"/>
  <c r="H2839"/>
  <c r="C2839"/>
  <c r="G2839"/>
  <c r="E2839"/>
  <c r="B2839"/>
  <c r="A2839"/>
  <c r="W2838"/>
  <c r="S2838"/>
  <c r="R2838"/>
  <c r="Q2838"/>
  <c r="P2838"/>
  <c r="M2838"/>
  <c r="K2838"/>
  <c r="H2838"/>
  <c r="C2838"/>
  <c r="G2838"/>
  <c r="E2838"/>
  <c r="B2838"/>
  <c r="A2838"/>
  <c r="W2837"/>
  <c r="S2837"/>
  <c r="Q2837"/>
  <c r="P2837"/>
  <c r="M2837"/>
  <c r="K2837"/>
  <c r="H2837"/>
  <c r="C2837"/>
  <c r="G2837"/>
  <c r="E2837"/>
  <c r="B2837"/>
  <c r="A2837"/>
  <c r="W2836"/>
  <c r="S2836"/>
  <c r="Q2836"/>
  <c r="P2836"/>
  <c r="M2836"/>
  <c r="K2836"/>
  <c r="H2836"/>
  <c r="C2836"/>
  <c r="G2836"/>
  <c r="E2836"/>
  <c r="B2836"/>
  <c r="A2836"/>
  <c r="W2835"/>
  <c r="S2835"/>
  <c r="Q2835"/>
  <c r="P2835"/>
  <c r="M2835"/>
  <c r="K2835"/>
  <c r="H2835"/>
  <c r="C2835"/>
  <c r="G2835"/>
  <c r="E2835"/>
  <c r="B2835"/>
  <c r="A2835"/>
  <c r="W2834"/>
  <c r="S2834"/>
  <c r="Q2834"/>
  <c r="P2834"/>
  <c r="M2834"/>
  <c r="K2834"/>
  <c r="H2834"/>
  <c r="C2834"/>
  <c r="G2834"/>
  <c r="E2834"/>
  <c r="B2834"/>
  <c r="A2834"/>
  <c r="W2833"/>
  <c r="S2833"/>
  <c r="Q2833"/>
  <c r="P2833"/>
  <c r="M2833"/>
  <c r="K2833"/>
  <c r="H2833"/>
  <c r="C2833"/>
  <c r="G2833"/>
  <c r="E2833"/>
  <c r="B2833"/>
  <c r="A2833"/>
  <c r="W2832"/>
  <c r="S2832"/>
  <c r="Q2832"/>
  <c r="P2832"/>
  <c r="M2832"/>
  <c r="K2832"/>
  <c r="H2832"/>
  <c r="C2832"/>
  <c r="G2832"/>
  <c r="E2832"/>
  <c r="B2832"/>
  <c r="A2832"/>
  <c r="W2831"/>
  <c r="S2831"/>
  <c r="Q2831"/>
  <c r="P2831"/>
  <c r="M2831"/>
  <c r="K2831"/>
  <c r="H2831"/>
  <c r="C2831"/>
  <c r="G2831"/>
  <c r="E2831"/>
  <c r="B2831"/>
  <c r="A2831"/>
  <c r="W2830"/>
  <c r="S2830"/>
  <c r="Q2830"/>
  <c r="P2830"/>
  <c r="M2830"/>
  <c r="K2830"/>
  <c r="H2830"/>
  <c r="C2830"/>
  <c r="G2830"/>
  <c r="E2830"/>
  <c r="B2830"/>
  <c r="A2830"/>
  <c r="W2829"/>
  <c r="S2829"/>
  <c r="R2829"/>
  <c r="Q2829"/>
  <c r="P2829"/>
  <c r="M2829"/>
  <c r="K2829"/>
  <c r="H2829"/>
  <c r="C2829"/>
  <c r="G2829"/>
  <c r="E2829"/>
  <c r="B2829"/>
  <c r="A2829"/>
  <c r="W2828"/>
  <c r="S2828"/>
  <c r="Q2828"/>
  <c r="P2828"/>
  <c r="M2828"/>
  <c r="K2828"/>
  <c r="H2828"/>
  <c r="C2828"/>
  <c r="G2828"/>
  <c r="E2828"/>
  <c r="B2828"/>
  <c r="A2828"/>
  <c r="W2827"/>
  <c r="S2827"/>
  <c r="Q2827"/>
  <c r="P2827"/>
  <c r="M2827"/>
  <c r="K2827"/>
  <c r="H2827"/>
  <c r="C2827"/>
  <c r="G2827"/>
  <c r="E2827"/>
  <c r="B2827"/>
  <c r="A2827"/>
  <c r="W2826"/>
  <c r="S2826"/>
  <c r="Q2826"/>
  <c r="P2826"/>
  <c r="M2826"/>
  <c r="K2826"/>
  <c r="H2826"/>
  <c r="C2826"/>
  <c r="G2826"/>
  <c r="E2826"/>
  <c r="B2826"/>
  <c r="A2826"/>
  <c r="W2825"/>
  <c r="S2825"/>
  <c r="Q2825"/>
  <c r="P2825"/>
  <c r="M2825"/>
  <c r="K2825"/>
  <c r="H2825"/>
  <c r="C2825"/>
  <c r="G2825"/>
  <c r="E2825"/>
  <c r="B2825"/>
  <c r="A2825"/>
  <c r="W2824"/>
  <c r="S2824"/>
  <c r="Q2824"/>
  <c r="P2824"/>
  <c r="M2824"/>
  <c r="K2824"/>
  <c r="H2824"/>
  <c r="C2824"/>
  <c r="G2824"/>
  <c r="E2824"/>
  <c r="B2824"/>
  <c r="A2824"/>
  <c r="W2823"/>
  <c r="S2823"/>
  <c r="Q2823"/>
  <c r="P2823"/>
  <c r="M2823"/>
  <c r="K2823"/>
  <c r="H2823"/>
  <c r="C2823"/>
  <c r="G2823"/>
  <c r="E2823"/>
  <c r="B2823"/>
  <c r="A2823"/>
  <c r="W2822"/>
  <c r="S2822"/>
  <c r="Q2822"/>
  <c r="P2822"/>
  <c r="M2822"/>
  <c r="K2822"/>
  <c r="H2822"/>
  <c r="C2822"/>
  <c r="G2822"/>
  <c r="E2822"/>
  <c r="B2822"/>
  <c r="A2822"/>
  <c r="W2821"/>
  <c r="S2821"/>
  <c r="Q2821"/>
  <c r="P2821"/>
  <c r="M2821"/>
  <c r="K2821"/>
  <c r="H2821"/>
  <c r="C2821"/>
  <c r="G2821"/>
  <c r="E2821"/>
  <c r="B2821"/>
  <c r="A2821"/>
  <c r="W2820"/>
  <c r="S2820"/>
  <c r="Q2820"/>
  <c r="P2820"/>
  <c r="M2820"/>
  <c r="K2820"/>
  <c r="H2820"/>
  <c r="C2820"/>
  <c r="G2820"/>
  <c r="E2820"/>
  <c r="B2820"/>
  <c r="A2820"/>
  <c r="W2819"/>
  <c r="S2819"/>
  <c r="Q2819"/>
  <c r="P2819"/>
  <c r="M2819"/>
  <c r="K2819"/>
  <c r="H2819"/>
  <c r="C2819"/>
  <c r="G2819"/>
  <c r="E2819"/>
  <c r="B2819"/>
  <c r="A2819"/>
  <c r="W2818"/>
  <c r="S2818"/>
  <c r="Q2818"/>
  <c r="P2818"/>
  <c r="M2818"/>
  <c r="K2818"/>
  <c r="H2818"/>
  <c r="C2818"/>
  <c r="G2818"/>
  <c r="E2818"/>
  <c r="B2818"/>
  <c r="A2818"/>
  <c r="W2817"/>
  <c r="S2817"/>
  <c r="Q2817"/>
  <c r="P2817"/>
  <c r="M2817"/>
  <c r="K2817"/>
  <c r="H2817"/>
  <c r="C2817"/>
  <c r="G2817"/>
  <c r="E2817"/>
  <c r="B2817"/>
  <c r="A2817"/>
  <c r="W2816"/>
  <c r="S2816"/>
  <c r="Q2816"/>
  <c r="P2816"/>
  <c r="M2816"/>
  <c r="K2816"/>
  <c r="H2816"/>
  <c r="C2816"/>
  <c r="G2816"/>
  <c r="E2816"/>
  <c r="B2816"/>
  <c r="A2816"/>
  <c r="W2815"/>
  <c r="S2815"/>
  <c r="Q2815"/>
  <c r="P2815"/>
  <c r="M2815"/>
  <c r="K2815"/>
  <c r="H2815"/>
  <c r="C2815"/>
  <c r="G2815"/>
  <c r="E2815"/>
  <c r="B2815"/>
  <c r="A2815"/>
  <c r="W2814"/>
  <c r="S2814"/>
  <c r="Q2814"/>
  <c r="P2814"/>
  <c r="M2814"/>
  <c r="K2814"/>
  <c r="H2814"/>
  <c r="C2814"/>
  <c r="G2814"/>
  <c r="E2814"/>
  <c r="B2814"/>
  <c r="A2814"/>
  <c r="W2813"/>
  <c r="S2813"/>
  <c r="Q2813"/>
  <c r="P2813"/>
  <c r="M2813"/>
  <c r="K2813"/>
  <c r="H2813"/>
  <c r="C2813"/>
  <c r="G2813"/>
  <c r="E2813"/>
  <c r="B2813"/>
  <c r="A2813"/>
  <c r="W2812"/>
  <c r="S2812"/>
  <c r="R2812"/>
  <c r="Q2812"/>
  <c r="P2812"/>
  <c r="M2812"/>
  <c r="K2812"/>
  <c r="H2812"/>
  <c r="C2812"/>
  <c r="G2812"/>
  <c r="E2812"/>
  <c r="B2812"/>
  <c r="A2812"/>
  <c r="W2811"/>
  <c r="S2811"/>
  <c r="Q2811"/>
  <c r="P2811"/>
  <c r="M2811"/>
  <c r="K2811"/>
  <c r="H2811"/>
  <c r="C2811"/>
  <c r="G2811"/>
  <c r="E2811"/>
  <c r="B2811"/>
  <c r="A2811"/>
  <c r="W2810"/>
  <c r="S2810"/>
  <c r="Q2810"/>
  <c r="P2810"/>
  <c r="M2810"/>
  <c r="K2810"/>
  <c r="H2810"/>
  <c r="C2810"/>
  <c r="G2810"/>
  <c r="E2810"/>
  <c r="B2810"/>
  <c r="A2810"/>
  <c r="W2809"/>
  <c r="S2809"/>
  <c r="Q2809"/>
  <c r="P2809"/>
  <c r="M2809"/>
  <c r="K2809"/>
  <c r="H2809"/>
  <c r="C2809"/>
  <c r="G2809"/>
  <c r="E2809"/>
  <c r="B2809"/>
  <c r="A2809"/>
  <c r="W2808"/>
  <c r="S2808"/>
  <c r="Q2808"/>
  <c r="P2808"/>
  <c r="M2808"/>
  <c r="K2808"/>
  <c r="H2808"/>
  <c r="C2808"/>
  <c r="G2808"/>
  <c r="E2808"/>
  <c r="B2808"/>
  <c r="A2808"/>
  <c r="W2807"/>
  <c r="S2807"/>
  <c r="Q2807"/>
  <c r="P2807"/>
  <c r="M2807"/>
  <c r="K2807"/>
  <c r="H2807"/>
  <c r="C2807"/>
  <c r="G2807"/>
  <c r="E2807"/>
  <c r="B2807"/>
  <c r="A2807"/>
  <c r="W2806"/>
  <c r="S2806"/>
  <c r="Q2806"/>
  <c r="P2806"/>
  <c r="M2806"/>
  <c r="K2806"/>
  <c r="H2806"/>
  <c r="C2806"/>
  <c r="G2806"/>
  <c r="E2806"/>
  <c r="B2806"/>
  <c r="A2806"/>
  <c r="W2805"/>
  <c r="S2805"/>
  <c r="Q2805"/>
  <c r="P2805"/>
  <c r="M2805"/>
  <c r="K2805"/>
  <c r="H2805"/>
  <c r="C2805"/>
  <c r="G2805"/>
  <c r="E2805"/>
  <c r="B2805"/>
  <c r="A2805"/>
  <c r="W2804"/>
  <c r="S2804"/>
  <c r="Q2804"/>
  <c r="P2804"/>
  <c r="M2804"/>
  <c r="K2804"/>
  <c r="H2804"/>
  <c r="C2804"/>
  <c r="G2804"/>
  <c r="E2804"/>
  <c r="B2804"/>
  <c r="A2804"/>
  <c r="W2803"/>
  <c r="S2803"/>
  <c r="Q2803"/>
  <c r="P2803"/>
  <c r="M2803"/>
  <c r="K2803"/>
  <c r="H2803"/>
  <c r="C2803"/>
  <c r="G2803"/>
  <c r="E2803"/>
  <c r="B2803"/>
  <c r="A2803"/>
  <c r="W2802"/>
  <c r="S2802"/>
  <c r="Q2802"/>
  <c r="P2802"/>
  <c r="M2802"/>
  <c r="K2802"/>
  <c r="H2802"/>
  <c r="C2802"/>
  <c r="G2802"/>
  <c r="E2802"/>
  <c r="B2802"/>
  <c r="A2802"/>
  <c r="W2801"/>
  <c r="S2801"/>
  <c r="Q2801"/>
  <c r="P2801"/>
  <c r="M2801"/>
  <c r="K2801"/>
  <c r="H2801"/>
  <c r="C2801"/>
  <c r="G2801"/>
  <c r="E2801"/>
  <c r="B2801"/>
  <c r="A2801"/>
  <c r="W2800"/>
  <c r="S2800"/>
  <c r="Q2800"/>
  <c r="P2800"/>
  <c r="M2800"/>
  <c r="K2800"/>
  <c r="H2800"/>
  <c r="C2800"/>
  <c r="G2800"/>
  <c r="E2800"/>
  <c r="B2800"/>
  <c r="A2800"/>
  <c r="W2799"/>
  <c r="S2799"/>
  <c r="Q2799"/>
  <c r="P2799"/>
  <c r="M2799"/>
  <c r="K2799"/>
  <c r="H2799"/>
  <c r="C2799"/>
  <c r="G2799"/>
  <c r="E2799"/>
  <c r="B2799"/>
  <c r="A2799"/>
  <c r="W2798"/>
  <c r="S2798"/>
  <c r="Q2798"/>
  <c r="P2798"/>
  <c r="M2798"/>
  <c r="K2798"/>
  <c r="H2798"/>
  <c r="C2798"/>
  <c r="G2798"/>
  <c r="E2798"/>
  <c r="B2798"/>
  <c r="A2798"/>
  <c r="W2797"/>
  <c r="S2797"/>
  <c r="Q2797"/>
  <c r="P2797"/>
  <c r="M2797"/>
  <c r="K2797"/>
  <c r="H2797"/>
  <c r="C2797"/>
  <c r="G2797"/>
  <c r="E2797"/>
  <c r="B2797"/>
  <c r="A2797"/>
  <c r="W2796"/>
  <c r="S2796"/>
  <c r="Q2796"/>
  <c r="P2796"/>
  <c r="M2796"/>
  <c r="K2796"/>
  <c r="H2796"/>
  <c r="C2796"/>
  <c r="G2796"/>
  <c r="E2796"/>
  <c r="B2796"/>
  <c r="A2796"/>
  <c r="W2795"/>
  <c r="S2795"/>
  <c r="Q2795"/>
  <c r="P2795"/>
  <c r="M2795"/>
  <c r="K2795"/>
  <c r="H2795"/>
  <c r="C2795"/>
  <c r="G2795"/>
  <c r="E2795"/>
  <c r="B2795"/>
  <c r="A2795"/>
  <c r="W2794"/>
  <c r="S2794"/>
  <c r="Q2794"/>
  <c r="P2794"/>
  <c r="M2794"/>
  <c r="K2794"/>
  <c r="H2794"/>
  <c r="C2794"/>
  <c r="G2794"/>
  <c r="E2794"/>
  <c r="B2794"/>
  <c r="A2794"/>
  <c r="W2793"/>
  <c r="S2793"/>
  <c r="R2793"/>
  <c r="Q2793"/>
  <c r="P2793"/>
  <c r="M2793"/>
  <c r="K2793"/>
  <c r="H2793"/>
  <c r="C2793"/>
  <c r="G2793"/>
  <c r="E2793"/>
  <c r="B2793"/>
  <c r="A2793"/>
  <c r="W2792"/>
  <c r="S2792"/>
  <c r="Q2792"/>
  <c r="P2792"/>
  <c r="M2792"/>
  <c r="K2792"/>
  <c r="H2792"/>
  <c r="C2792"/>
  <c r="G2792"/>
  <c r="E2792"/>
  <c r="B2792"/>
  <c r="A2792"/>
  <c r="W2791"/>
  <c r="S2791"/>
  <c r="Q2791"/>
  <c r="P2791"/>
  <c r="M2791"/>
  <c r="K2791"/>
  <c r="H2791"/>
  <c r="C2791"/>
  <c r="G2791"/>
  <c r="E2791"/>
  <c r="B2791"/>
  <c r="A2791"/>
  <c r="W2790"/>
  <c r="S2790"/>
  <c r="Q2790"/>
  <c r="P2790"/>
  <c r="M2790"/>
  <c r="K2790"/>
  <c r="H2790"/>
  <c r="C2790"/>
  <c r="G2790"/>
  <c r="E2790"/>
  <c r="B2790"/>
  <c r="A2790"/>
  <c r="W2789"/>
  <c r="S2789"/>
  <c r="Q2789"/>
  <c r="P2789"/>
  <c r="M2789"/>
  <c r="K2789"/>
  <c r="H2789"/>
  <c r="C2789"/>
  <c r="G2789"/>
  <c r="E2789"/>
  <c r="B2789"/>
  <c r="A2789"/>
  <c r="W2788"/>
  <c r="S2788"/>
  <c r="Q2788"/>
  <c r="P2788"/>
  <c r="M2788"/>
  <c r="K2788"/>
  <c r="H2788"/>
  <c r="C2788"/>
  <c r="G2788"/>
  <c r="E2788"/>
  <c r="B2788"/>
  <c r="A2788"/>
  <c r="W2787"/>
  <c r="S2787"/>
  <c r="Q2787"/>
  <c r="P2787"/>
  <c r="M2787"/>
  <c r="K2787"/>
  <c r="H2787"/>
  <c r="C2787"/>
  <c r="G2787"/>
  <c r="E2787"/>
  <c r="B2787"/>
  <c r="A2787"/>
  <c r="W2786"/>
  <c r="S2786"/>
  <c r="Q2786"/>
  <c r="P2786"/>
  <c r="M2786"/>
  <c r="K2786"/>
  <c r="H2786"/>
  <c r="C2786"/>
  <c r="G2786"/>
  <c r="E2786"/>
  <c r="B2786"/>
  <c r="A2786"/>
  <c r="W2785"/>
  <c r="S2785"/>
  <c r="Q2785"/>
  <c r="P2785"/>
  <c r="M2785"/>
  <c r="K2785"/>
  <c r="H2785"/>
  <c r="C2785"/>
  <c r="G2785"/>
  <c r="E2785"/>
  <c r="B2785"/>
  <c r="A2785"/>
  <c r="W2784"/>
  <c r="S2784"/>
  <c r="Q2784"/>
  <c r="P2784"/>
  <c r="M2784"/>
  <c r="K2784"/>
  <c r="H2784"/>
  <c r="C2784"/>
  <c r="G2784"/>
  <c r="E2784"/>
  <c r="B2784"/>
  <c r="A2784"/>
  <c r="W2783"/>
  <c r="S2783"/>
  <c r="Q2783"/>
  <c r="P2783"/>
  <c r="M2783"/>
  <c r="K2783"/>
  <c r="H2783"/>
  <c r="C2783"/>
  <c r="G2783"/>
  <c r="E2783"/>
  <c r="B2783"/>
  <c r="A2783"/>
  <c r="W2782"/>
  <c r="S2782"/>
  <c r="Q2782"/>
  <c r="P2782"/>
  <c r="M2782"/>
  <c r="K2782"/>
  <c r="H2782"/>
  <c r="C2782"/>
  <c r="G2782"/>
  <c r="E2782"/>
  <c r="B2782"/>
  <c r="A2782"/>
  <c r="W2781"/>
  <c r="S2781"/>
  <c r="Q2781"/>
  <c r="P2781"/>
  <c r="M2781"/>
  <c r="K2781"/>
  <c r="H2781"/>
  <c r="C2781"/>
  <c r="G2781"/>
  <c r="E2781"/>
  <c r="B2781"/>
  <c r="A2781"/>
  <c r="W2780"/>
  <c r="S2780"/>
  <c r="Q2780"/>
  <c r="P2780"/>
  <c r="M2780"/>
  <c r="K2780"/>
  <c r="H2780"/>
  <c r="C2780"/>
  <c r="G2780"/>
  <c r="E2780"/>
  <c r="B2780"/>
  <c r="A2780"/>
  <c r="W2779"/>
  <c r="S2779"/>
  <c r="Q2779"/>
  <c r="P2779"/>
  <c r="M2779"/>
  <c r="K2779"/>
  <c r="H2779"/>
  <c r="C2779"/>
  <c r="G2779"/>
  <c r="E2779"/>
  <c r="B2779"/>
  <c r="A2779"/>
  <c r="W2778"/>
  <c r="S2778"/>
  <c r="Q2778"/>
  <c r="P2778"/>
  <c r="M2778"/>
  <c r="K2778"/>
  <c r="H2778"/>
  <c r="C2778"/>
  <c r="G2778"/>
  <c r="E2778"/>
  <c r="B2778"/>
  <c r="A2778"/>
  <c r="W2777"/>
  <c r="S2777"/>
  <c r="Q2777"/>
  <c r="P2777"/>
  <c r="M2777"/>
  <c r="K2777"/>
  <c r="H2777"/>
  <c r="C2777"/>
  <c r="G2777"/>
  <c r="E2777"/>
  <c r="B2777"/>
  <c r="A2777"/>
  <c r="W2776"/>
  <c r="S2776"/>
  <c r="Q2776"/>
  <c r="P2776"/>
  <c r="M2776"/>
  <c r="K2776"/>
  <c r="H2776"/>
  <c r="C2776"/>
  <c r="G2776"/>
  <c r="E2776"/>
  <c r="B2776"/>
  <c r="A2776"/>
  <c r="W2775"/>
  <c r="S2775"/>
  <c r="Q2775"/>
  <c r="P2775"/>
  <c r="M2775"/>
  <c r="K2775"/>
  <c r="H2775"/>
  <c r="C2775"/>
  <c r="G2775"/>
  <c r="E2775"/>
  <c r="B2775"/>
  <c r="A2775"/>
  <c r="W2774"/>
  <c r="S2774"/>
  <c r="Q2774"/>
  <c r="P2774"/>
  <c r="M2774"/>
  <c r="K2774"/>
  <c r="H2774"/>
  <c r="C2774"/>
  <c r="G2774"/>
  <c r="E2774"/>
  <c r="B2774"/>
  <c r="A2774"/>
  <c r="W2773"/>
  <c r="S2773"/>
  <c r="Q2773"/>
  <c r="P2773"/>
  <c r="M2773"/>
  <c r="K2773"/>
  <c r="H2773"/>
  <c r="C2773"/>
  <c r="G2773"/>
  <c r="E2773"/>
  <c r="B2773"/>
  <c r="A2773"/>
  <c r="W2772"/>
  <c r="S2772"/>
  <c r="Q2772"/>
  <c r="P2772"/>
  <c r="M2772"/>
  <c r="K2772"/>
  <c r="H2772"/>
  <c r="C2772"/>
  <c r="G2772"/>
  <c r="E2772"/>
  <c r="B2772"/>
  <c r="A2772"/>
  <c r="W2771"/>
  <c r="S2771"/>
  <c r="Q2771"/>
  <c r="P2771"/>
  <c r="M2771"/>
  <c r="K2771"/>
  <c r="H2771"/>
  <c r="C2771"/>
  <c r="G2771"/>
  <c r="E2771"/>
  <c r="B2771"/>
  <c r="A2771"/>
  <c r="W2770"/>
  <c r="S2770"/>
  <c r="Q2770"/>
  <c r="P2770"/>
  <c r="M2770"/>
  <c r="K2770"/>
  <c r="H2770"/>
  <c r="C2770"/>
  <c r="G2770"/>
  <c r="E2770"/>
  <c r="B2770"/>
  <c r="A2770"/>
  <c r="W2769"/>
  <c r="S2769"/>
  <c r="Q2769"/>
  <c r="P2769"/>
  <c r="M2769"/>
  <c r="K2769"/>
  <c r="H2769"/>
  <c r="C2769"/>
  <c r="G2769"/>
  <c r="E2769"/>
  <c r="B2769"/>
  <c r="A2769"/>
  <c r="W2768"/>
  <c r="S2768"/>
  <c r="Q2768"/>
  <c r="P2768"/>
  <c r="M2768"/>
  <c r="K2768"/>
  <c r="H2768"/>
  <c r="C2768"/>
  <c r="G2768"/>
  <c r="E2768"/>
  <c r="B2768"/>
  <c r="A2768"/>
  <c r="W2767"/>
  <c r="S2767"/>
  <c r="Q2767"/>
  <c r="P2767"/>
  <c r="M2767"/>
  <c r="K2767"/>
  <c r="H2767"/>
  <c r="C2767"/>
  <c r="G2767"/>
  <c r="E2767"/>
  <c r="B2767"/>
  <c r="A2767"/>
  <c r="W2766"/>
  <c r="S2766"/>
  <c r="Q2766"/>
  <c r="P2766"/>
  <c r="M2766"/>
  <c r="K2766"/>
  <c r="H2766"/>
  <c r="C2766"/>
  <c r="G2766"/>
  <c r="E2766"/>
  <c r="B2766"/>
  <c r="A2766"/>
  <c r="W2765"/>
  <c r="S2765"/>
  <c r="Q2765"/>
  <c r="P2765"/>
  <c r="M2765"/>
  <c r="K2765"/>
  <c r="H2765"/>
  <c r="C2765"/>
  <c r="G2765"/>
  <c r="E2765"/>
  <c r="B2765"/>
  <c r="A2765"/>
  <c r="W2764"/>
  <c r="S2764"/>
  <c r="Q2764"/>
  <c r="P2764"/>
  <c r="M2764"/>
  <c r="K2764"/>
  <c r="H2764"/>
  <c r="C2764"/>
  <c r="G2764"/>
  <c r="E2764"/>
  <c r="B2764"/>
  <c r="A2764"/>
  <c r="W2763"/>
  <c r="S2763"/>
  <c r="Q2763"/>
  <c r="P2763"/>
  <c r="M2763"/>
  <c r="K2763"/>
  <c r="H2763"/>
  <c r="C2763"/>
  <c r="G2763"/>
  <c r="E2763"/>
  <c r="B2763"/>
  <c r="A2763"/>
  <c r="W2762"/>
  <c r="S2762"/>
  <c r="R2762"/>
  <c r="Q2762"/>
  <c r="P2762"/>
  <c r="M2762"/>
  <c r="K2762"/>
  <c r="H2762"/>
  <c r="C2762"/>
  <c r="G2762"/>
  <c r="E2762"/>
  <c r="B2762"/>
  <c r="A2762"/>
  <c r="W2761"/>
  <c r="S2761"/>
  <c r="Q2761"/>
  <c r="P2761"/>
  <c r="M2761"/>
  <c r="K2761"/>
  <c r="H2761"/>
  <c r="C2761"/>
  <c r="G2761"/>
  <c r="E2761"/>
  <c r="B2761"/>
  <c r="A2761"/>
  <c r="W2760"/>
  <c r="S2760"/>
  <c r="Q2760"/>
  <c r="P2760"/>
  <c r="M2760"/>
  <c r="K2760"/>
  <c r="H2760"/>
  <c r="C2760"/>
  <c r="G2760"/>
  <c r="E2760"/>
  <c r="B2760"/>
  <c r="A2760"/>
  <c r="W2759"/>
  <c r="S2759"/>
  <c r="Q2759"/>
  <c r="P2759"/>
  <c r="M2759"/>
  <c r="K2759"/>
  <c r="H2759"/>
  <c r="C2759"/>
  <c r="G2759"/>
  <c r="E2759"/>
  <c r="B2759"/>
  <c r="A2759"/>
  <c r="W2758"/>
  <c r="S2758"/>
  <c r="Q2758"/>
  <c r="P2758"/>
  <c r="M2758"/>
  <c r="K2758"/>
  <c r="H2758"/>
  <c r="C2758"/>
  <c r="G2758"/>
  <c r="E2758"/>
  <c r="B2758"/>
  <c r="A2758"/>
  <c r="W2757"/>
  <c r="S2757"/>
  <c r="Q2757"/>
  <c r="P2757"/>
  <c r="M2757"/>
  <c r="K2757"/>
  <c r="H2757"/>
  <c r="C2757"/>
  <c r="G2757"/>
  <c r="E2757"/>
  <c r="B2757"/>
  <c r="A2757"/>
  <c r="W2756"/>
  <c r="S2756"/>
  <c r="Q2756"/>
  <c r="P2756"/>
  <c r="M2756"/>
  <c r="K2756"/>
  <c r="H2756"/>
  <c r="C2756"/>
  <c r="G2756"/>
  <c r="E2756"/>
  <c r="B2756"/>
  <c r="A2756"/>
  <c r="W2755"/>
  <c r="S2755"/>
  <c r="Q2755"/>
  <c r="P2755"/>
  <c r="M2755"/>
  <c r="K2755"/>
  <c r="H2755"/>
  <c r="C2755"/>
  <c r="G2755"/>
  <c r="E2755"/>
  <c r="B2755"/>
  <c r="A2755"/>
  <c r="W2754"/>
  <c r="S2754"/>
  <c r="Q2754"/>
  <c r="P2754"/>
  <c r="M2754"/>
  <c r="K2754"/>
  <c r="H2754"/>
  <c r="C2754"/>
  <c r="G2754"/>
  <c r="E2754"/>
  <c r="B2754"/>
  <c r="A2754"/>
  <c r="W2753"/>
  <c r="S2753"/>
  <c r="Q2753"/>
  <c r="P2753"/>
  <c r="M2753"/>
  <c r="K2753"/>
  <c r="H2753"/>
  <c r="C2753"/>
  <c r="G2753"/>
  <c r="E2753"/>
  <c r="B2753"/>
  <c r="A2753"/>
  <c r="W2752"/>
  <c r="S2752"/>
  <c r="Q2752"/>
  <c r="P2752"/>
  <c r="M2752"/>
  <c r="K2752"/>
  <c r="H2752"/>
  <c r="C2752"/>
  <c r="G2752"/>
  <c r="E2752"/>
  <c r="B2752"/>
  <c r="A2752"/>
  <c r="W2751"/>
  <c r="S2751"/>
  <c r="Q2751"/>
  <c r="P2751"/>
  <c r="M2751"/>
  <c r="K2751"/>
  <c r="H2751"/>
  <c r="C2751"/>
  <c r="G2751"/>
  <c r="E2751"/>
  <c r="B2751"/>
  <c r="A2751"/>
  <c r="W2750"/>
  <c r="S2750"/>
  <c r="Q2750"/>
  <c r="P2750"/>
  <c r="M2750"/>
  <c r="K2750"/>
  <c r="H2750"/>
  <c r="C2750"/>
  <c r="G2750"/>
  <c r="E2750"/>
  <c r="B2750"/>
  <c r="A2750"/>
  <c r="W2749"/>
  <c r="S2749"/>
  <c r="Q2749"/>
  <c r="P2749"/>
  <c r="M2749"/>
  <c r="K2749"/>
  <c r="H2749"/>
  <c r="C2749"/>
  <c r="G2749"/>
  <c r="E2749"/>
  <c r="B2749"/>
  <c r="A2749"/>
  <c r="W2748"/>
  <c r="S2748"/>
  <c r="Q2748"/>
  <c r="P2748"/>
  <c r="N2748"/>
  <c r="M2748"/>
  <c r="K2748"/>
  <c r="H2748"/>
  <c r="C2748"/>
  <c r="G2748"/>
  <c r="E2748"/>
  <c r="B2748"/>
  <c r="A2748"/>
  <c r="W2747"/>
  <c r="S2747"/>
  <c r="Q2747"/>
  <c r="P2747"/>
  <c r="M2747"/>
  <c r="K2747"/>
  <c r="H2747"/>
  <c r="C2747"/>
  <c r="G2747"/>
  <c r="E2747"/>
  <c r="B2747"/>
  <c r="A2747"/>
  <c r="W2746"/>
  <c r="S2746"/>
  <c r="Q2746"/>
  <c r="P2746"/>
  <c r="M2746"/>
  <c r="K2746"/>
  <c r="H2746"/>
  <c r="C2746"/>
  <c r="G2746"/>
  <c r="E2746"/>
  <c r="B2746"/>
  <c r="A2746"/>
  <c r="W2745"/>
  <c r="S2745"/>
  <c r="Q2745"/>
  <c r="P2745"/>
  <c r="M2745"/>
  <c r="K2745"/>
  <c r="H2745"/>
  <c r="C2745"/>
  <c r="G2745"/>
  <c r="E2745"/>
  <c r="B2745"/>
  <c r="A2745"/>
  <c r="W2744"/>
  <c r="S2744"/>
  <c r="Q2744"/>
  <c r="P2744"/>
  <c r="M2744"/>
  <c r="K2744"/>
  <c r="H2744"/>
  <c r="C2744"/>
  <c r="G2744"/>
  <c r="E2744"/>
  <c r="B2744"/>
  <c r="A2744"/>
  <c r="W2743"/>
  <c r="S2743"/>
  <c r="Q2743"/>
  <c r="P2743"/>
  <c r="M2743"/>
  <c r="K2743"/>
  <c r="H2743"/>
  <c r="C2743"/>
  <c r="G2743"/>
  <c r="E2743"/>
  <c r="B2743"/>
  <c r="A2743"/>
  <c r="W2742"/>
  <c r="S2742"/>
  <c r="Q2742"/>
  <c r="P2742"/>
  <c r="M2742"/>
  <c r="K2742"/>
  <c r="H2742"/>
  <c r="C2742"/>
  <c r="G2742"/>
  <c r="E2742"/>
  <c r="B2742"/>
  <c r="A2742"/>
  <c r="W2741"/>
  <c r="S2741"/>
  <c r="Q2741"/>
  <c r="P2741"/>
  <c r="M2741"/>
  <c r="K2741"/>
  <c r="H2741"/>
  <c r="C2741"/>
  <c r="G2741"/>
  <c r="E2741"/>
  <c r="B2741"/>
  <c r="A2741"/>
  <c r="W2740"/>
  <c r="S2740"/>
  <c r="R2740"/>
  <c r="Q2740"/>
  <c r="P2740"/>
  <c r="M2740"/>
  <c r="K2740"/>
  <c r="H2740"/>
  <c r="C2740"/>
  <c r="G2740"/>
  <c r="E2740"/>
  <c r="B2740"/>
  <c r="A2740"/>
  <c r="W2739"/>
  <c r="S2739"/>
  <c r="Q2739"/>
  <c r="P2739"/>
  <c r="M2739"/>
  <c r="K2739"/>
  <c r="H2739"/>
  <c r="C2739"/>
  <c r="G2739"/>
  <c r="E2739"/>
  <c r="B2739"/>
  <c r="A2739"/>
  <c r="W2738"/>
  <c r="S2738"/>
  <c r="Q2738"/>
  <c r="P2738"/>
  <c r="M2738"/>
  <c r="K2738"/>
  <c r="H2738"/>
  <c r="C2738"/>
  <c r="G2738"/>
  <c r="E2738"/>
  <c r="B2738"/>
  <c r="A2738"/>
  <c r="W2737"/>
  <c r="S2737"/>
  <c r="Q2737"/>
  <c r="P2737"/>
  <c r="M2737"/>
  <c r="K2737"/>
  <c r="H2737"/>
  <c r="C2737"/>
  <c r="G2737"/>
  <c r="E2737"/>
  <c r="B2737"/>
  <c r="A2737"/>
  <c r="W2736"/>
  <c r="S2736"/>
  <c r="Q2736"/>
  <c r="P2736"/>
  <c r="M2736"/>
  <c r="K2736"/>
  <c r="H2736"/>
  <c r="C2736"/>
  <c r="G2736"/>
  <c r="E2736"/>
  <c r="B2736"/>
  <c r="A2736"/>
  <c r="W2735"/>
  <c r="S2735"/>
  <c r="Q2735"/>
  <c r="P2735"/>
  <c r="M2735"/>
  <c r="K2735"/>
  <c r="H2735"/>
  <c r="C2735"/>
  <c r="G2735"/>
  <c r="E2735"/>
  <c r="B2735"/>
  <c r="A2735"/>
  <c r="W2734"/>
  <c r="S2734"/>
  <c r="Q2734"/>
  <c r="P2734"/>
  <c r="M2734"/>
  <c r="K2734"/>
  <c r="H2734"/>
  <c r="C2734"/>
  <c r="G2734"/>
  <c r="E2734"/>
  <c r="B2734"/>
  <c r="A2734"/>
  <c r="W2733"/>
  <c r="S2733"/>
  <c r="Q2733"/>
  <c r="P2733"/>
  <c r="M2733"/>
  <c r="K2733"/>
  <c r="H2733"/>
  <c r="C2733"/>
  <c r="G2733"/>
  <c r="E2733"/>
  <c r="B2733"/>
  <c r="A2733"/>
  <c r="W2732"/>
  <c r="S2732"/>
  <c r="Q2732"/>
  <c r="P2732"/>
  <c r="M2732"/>
  <c r="K2732"/>
  <c r="H2732"/>
  <c r="C2732"/>
  <c r="G2732"/>
  <c r="E2732"/>
  <c r="B2732"/>
  <c r="A2732"/>
  <c r="W2731"/>
  <c r="S2731"/>
  <c r="Q2731"/>
  <c r="P2731"/>
  <c r="M2731"/>
  <c r="K2731"/>
  <c r="H2731"/>
  <c r="C2731"/>
  <c r="G2731"/>
  <c r="E2731"/>
  <c r="B2731"/>
  <c r="A2731"/>
  <c r="W2730"/>
  <c r="S2730"/>
  <c r="Q2730"/>
  <c r="P2730"/>
  <c r="M2730"/>
  <c r="K2730"/>
  <c r="H2730"/>
  <c r="C2730"/>
  <c r="G2730"/>
  <c r="E2730"/>
  <c r="B2730"/>
  <c r="A2730"/>
  <c r="W2729"/>
  <c r="S2729"/>
  <c r="Q2729"/>
  <c r="P2729"/>
  <c r="M2729"/>
  <c r="K2729"/>
  <c r="H2729"/>
  <c r="C2729"/>
  <c r="G2729"/>
  <c r="E2729"/>
  <c r="B2729"/>
  <c r="A2729"/>
  <c r="W2728"/>
  <c r="S2728"/>
  <c r="Q2728"/>
  <c r="P2728"/>
  <c r="N2728"/>
  <c r="M2728"/>
  <c r="K2728"/>
  <c r="H2728"/>
  <c r="C2728"/>
  <c r="G2728"/>
  <c r="E2728"/>
  <c r="B2728"/>
  <c r="A2728"/>
  <c r="W2727"/>
  <c r="S2727"/>
  <c r="Q2727"/>
  <c r="P2727"/>
  <c r="N2727"/>
  <c r="M2727"/>
  <c r="K2727"/>
  <c r="H2727"/>
  <c r="C2727"/>
  <c r="G2727"/>
  <c r="E2727"/>
  <c r="B2727"/>
  <c r="A2727"/>
  <c r="W2726"/>
  <c r="S2726"/>
  <c r="Q2726"/>
  <c r="P2726"/>
  <c r="N2726"/>
  <c r="M2726"/>
  <c r="K2726"/>
  <c r="H2726"/>
  <c r="C2726"/>
  <c r="G2726"/>
  <c r="E2726"/>
  <c r="B2726"/>
  <c r="A2726"/>
  <c r="W2725"/>
  <c r="S2725"/>
  <c r="Q2725"/>
  <c r="P2725"/>
  <c r="M2725"/>
  <c r="K2725"/>
  <c r="H2725"/>
  <c r="C2725"/>
  <c r="G2725"/>
  <c r="E2725"/>
  <c r="B2725"/>
  <c r="A2725"/>
  <c r="W2724"/>
  <c r="S2724"/>
  <c r="Q2724"/>
  <c r="P2724"/>
  <c r="N2724"/>
  <c r="M2724"/>
  <c r="K2724"/>
  <c r="H2724"/>
  <c r="C2724"/>
  <c r="G2724"/>
  <c r="E2724"/>
  <c r="B2724"/>
  <c r="A2724"/>
  <c r="W2723"/>
  <c r="S2723"/>
  <c r="Q2723"/>
  <c r="P2723"/>
  <c r="N2723"/>
  <c r="M2723"/>
  <c r="K2723"/>
  <c r="H2723"/>
  <c r="C2723"/>
  <c r="G2723"/>
  <c r="E2723"/>
  <c r="B2723"/>
  <c r="A2723"/>
  <c r="W2722"/>
  <c r="S2722"/>
  <c r="Q2722"/>
  <c r="P2722"/>
  <c r="M2722"/>
  <c r="K2722"/>
  <c r="H2722"/>
  <c r="C2722"/>
  <c r="G2722"/>
  <c r="E2722"/>
  <c r="B2722"/>
  <c r="A2722"/>
  <c r="W2721"/>
  <c r="S2721"/>
  <c r="Q2721"/>
  <c r="P2721"/>
  <c r="M2721"/>
  <c r="K2721"/>
  <c r="H2721"/>
  <c r="C2721"/>
  <c r="G2721"/>
  <c r="E2721"/>
  <c r="B2721"/>
  <c r="A2721"/>
  <c r="W2720"/>
  <c r="S2720"/>
  <c r="Q2720"/>
  <c r="P2720"/>
  <c r="M2720"/>
  <c r="K2720"/>
  <c r="H2720"/>
  <c r="C2720"/>
  <c r="G2720"/>
  <c r="E2720"/>
  <c r="B2720"/>
  <c r="A2720"/>
  <c r="W2719"/>
  <c r="S2719"/>
  <c r="Q2719"/>
  <c r="P2719"/>
  <c r="M2719"/>
  <c r="K2719"/>
  <c r="H2719"/>
  <c r="C2719"/>
  <c r="G2719"/>
  <c r="E2719"/>
  <c r="B2719"/>
  <c r="A2719"/>
  <c r="W2718"/>
  <c r="S2718"/>
  <c r="Q2718"/>
  <c r="P2718"/>
  <c r="N2718"/>
  <c r="M2718"/>
  <c r="K2718"/>
  <c r="H2718"/>
  <c r="C2718"/>
  <c r="G2718"/>
  <c r="E2718"/>
  <c r="B2718"/>
  <c r="A2718"/>
  <c r="W2717"/>
  <c r="S2717"/>
  <c r="Q2717"/>
  <c r="P2717"/>
  <c r="M2717"/>
  <c r="K2717"/>
  <c r="H2717"/>
  <c r="C2717"/>
  <c r="G2717"/>
  <c r="E2717"/>
  <c r="B2717"/>
  <c r="A2717"/>
  <c r="W2716"/>
  <c r="S2716"/>
  <c r="Q2716"/>
  <c r="P2716"/>
  <c r="M2716"/>
  <c r="K2716"/>
  <c r="H2716"/>
  <c r="C2716"/>
  <c r="G2716"/>
  <c r="E2716"/>
  <c r="B2716"/>
  <c r="A2716"/>
  <c r="W2715"/>
  <c r="S2715"/>
  <c r="Q2715"/>
  <c r="P2715"/>
  <c r="M2715"/>
  <c r="K2715"/>
  <c r="H2715"/>
  <c r="C2715"/>
  <c r="G2715"/>
  <c r="E2715"/>
  <c r="B2715"/>
  <c r="A2715"/>
  <c r="W2714"/>
  <c r="S2714"/>
  <c r="Q2714"/>
  <c r="P2714"/>
  <c r="M2714"/>
  <c r="K2714"/>
  <c r="H2714"/>
  <c r="C2714"/>
  <c r="G2714"/>
  <c r="E2714"/>
  <c r="B2714"/>
  <c r="A2714"/>
  <c r="W2713"/>
  <c r="S2713"/>
  <c r="Q2713"/>
  <c r="P2713"/>
  <c r="M2713"/>
  <c r="K2713"/>
  <c r="H2713"/>
  <c r="C2713"/>
  <c r="G2713"/>
  <c r="E2713"/>
  <c r="B2713"/>
  <c r="A2713"/>
  <c r="W2712"/>
  <c r="S2712"/>
  <c r="Q2712"/>
  <c r="P2712"/>
  <c r="M2712"/>
  <c r="K2712"/>
  <c r="H2712"/>
  <c r="C2712"/>
  <c r="G2712"/>
  <c r="E2712"/>
  <c r="B2712"/>
  <c r="A2712"/>
  <c r="W2711"/>
  <c r="S2711"/>
  <c r="Q2711"/>
  <c r="P2711"/>
  <c r="M2711"/>
  <c r="K2711"/>
  <c r="H2711"/>
  <c r="C2711"/>
  <c r="G2711"/>
  <c r="E2711"/>
  <c r="B2711"/>
  <c r="A2711"/>
  <c r="W2710"/>
  <c r="S2710"/>
  <c r="Q2710"/>
  <c r="P2710"/>
  <c r="M2710"/>
  <c r="K2710"/>
  <c r="H2710"/>
  <c r="C2710"/>
  <c r="G2710"/>
  <c r="E2710"/>
  <c r="B2710"/>
  <c r="A2710"/>
  <c r="W2709"/>
  <c r="S2709"/>
  <c r="Q2709"/>
  <c r="P2709"/>
  <c r="N2709"/>
  <c r="M2709"/>
  <c r="K2709"/>
  <c r="H2709"/>
  <c r="C2709"/>
  <c r="G2709"/>
  <c r="E2709"/>
  <c r="B2709"/>
  <c r="A2709"/>
  <c r="W2708"/>
  <c r="S2708"/>
  <c r="Q2708"/>
  <c r="P2708"/>
  <c r="N2708"/>
  <c r="M2708"/>
  <c r="K2708"/>
  <c r="H2708"/>
  <c r="C2708"/>
  <c r="G2708"/>
  <c r="E2708"/>
  <c r="B2708"/>
  <c r="A2708"/>
  <c r="W2707"/>
  <c r="S2707"/>
  <c r="Q2707"/>
  <c r="P2707"/>
  <c r="M2707"/>
  <c r="K2707"/>
  <c r="H2707"/>
  <c r="C2707"/>
  <c r="G2707"/>
  <c r="E2707"/>
  <c r="B2707"/>
  <c r="A2707"/>
  <c r="W2706"/>
  <c r="S2706"/>
  <c r="Q2706"/>
  <c r="P2706"/>
  <c r="N2706"/>
  <c r="M2706"/>
  <c r="K2706"/>
  <c r="H2706"/>
  <c r="C2706"/>
  <c r="G2706"/>
  <c r="E2706"/>
  <c r="B2706"/>
  <c r="A2706"/>
  <c r="W2705"/>
  <c r="S2705"/>
  <c r="Q2705"/>
  <c r="P2705"/>
  <c r="N2705"/>
  <c r="M2705"/>
  <c r="K2705"/>
  <c r="H2705"/>
  <c r="C2705"/>
  <c r="G2705"/>
  <c r="E2705"/>
  <c r="B2705"/>
  <c r="A2705"/>
  <c r="W2704"/>
  <c r="S2704"/>
  <c r="Q2704"/>
  <c r="P2704"/>
  <c r="N2704"/>
  <c r="M2704"/>
  <c r="K2704"/>
  <c r="H2704"/>
  <c r="C2704"/>
  <c r="G2704"/>
  <c r="E2704"/>
  <c r="B2704"/>
  <c r="A2704"/>
  <c r="W2703"/>
  <c r="S2703"/>
  <c r="Q2703"/>
  <c r="P2703"/>
  <c r="N2703"/>
  <c r="M2703"/>
  <c r="K2703"/>
  <c r="H2703"/>
  <c r="C2703"/>
  <c r="G2703"/>
  <c r="E2703"/>
  <c r="B2703"/>
  <c r="A2703"/>
  <c r="W2702"/>
  <c r="S2702"/>
  <c r="Q2702"/>
  <c r="P2702"/>
  <c r="N2702"/>
  <c r="M2702"/>
  <c r="K2702"/>
  <c r="H2702"/>
  <c r="C2702"/>
  <c r="G2702"/>
  <c r="E2702"/>
  <c r="B2702"/>
  <c r="A2702"/>
  <c r="W2701"/>
  <c r="S2701"/>
  <c r="Q2701"/>
  <c r="P2701"/>
  <c r="N2701"/>
  <c r="M2701"/>
  <c r="K2701"/>
  <c r="H2701"/>
  <c r="C2701"/>
  <c r="G2701"/>
  <c r="E2701"/>
  <c r="B2701"/>
  <c r="A2701"/>
  <c r="W2700"/>
  <c r="S2700"/>
  <c r="Q2700"/>
  <c r="P2700"/>
  <c r="N2700"/>
  <c r="M2700"/>
  <c r="K2700"/>
  <c r="H2700"/>
  <c r="C2700"/>
  <c r="G2700"/>
  <c r="E2700"/>
  <c r="B2700"/>
  <c r="A2700"/>
  <c r="W2699"/>
  <c r="S2699"/>
  <c r="Q2699"/>
  <c r="P2699"/>
  <c r="M2699"/>
  <c r="K2699"/>
  <c r="H2699"/>
  <c r="C2699"/>
  <c r="G2699"/>
  <c r="E2699"/>
  <c r="B2699"/>
  <c r="A2699"/>
  <c r="W2698"/>
  <c r="S2698"/>
  <c r="Q2698"/>
  <c r="P2698"/>
  <c r="M2698"/>
  <c r="K2698"/>
  <c r="H2698"/>
  <c r="C2698"/>
  <c r="G2698"/>
  <c r="E2698"/>
  <c r="B2698"/>
  <c r="A2698"/>
  <c r="W2697"/>
  <c r="S2697"/>
  <c r="Q2697"/>
  <c r="P2697"/>
  <c r="M2697"/>
  <c r="K2697"/>
  <c r="H2697"/>
  <c r="C2697"/>
  <c r="G2697"/>
  <c r="E2697"/>
  <c r="B2697"/>
  <c r="A2697"/>
  <c r="W2696"/>
  <c r="S2696"/>
  <c r="Q2696"/>
  <c r="P2696"/>
  <c r="M2696"/>
  <c r="K2696"/>
  <c r="H2696"/>
  <c r="C2696"/>
  <c r="G2696"/>
  <c r="E2696"/>
  <c r="B2696"/>
  <c r="A2696"/>
  <c r="W2695"/>
  <c r="S2695"/>
  <c r="Q2695"/>
  <c r="P2695"/>
  <c r="M2695"/>
  <c r="K2695"/>
  <c r="H2695"/>
  <c r="C2695"/>
  <c r="G2695"/>
  <c r="E2695"/>
  <c r="B2695"/>
  <c r="A2695"/>
  <c r="W2694"/>
  <c r="S2694"/>
  <c r="Q2694"/>
  <c r="P2694"/>
  <c r="M2694"/>
  <c r="K2694"/>
  <c r="H2694"/>
  <c r="C2694"/>
  <c r="G2694"/>
  <c r="E2694"/>
  <c r="B2694"/>
  <c r="A2694"/>
  <c r="W2693"/>
  <c r="S2693"/>
  <c r="Q2693"/>
  <c r="P2693"/>
  <c r="M2693"/>
  <c r="K2693"/>
  <c r="H2693"/>
  <c r="C2693"/>
  <c r="G2693"/>
  <c r="E2693"/>
  <c r="B2693"/>
  <c r="A2693"/>
  <c r="W2692"/>
  <c r="S2692"/>
  <c r="Q2692"/>
  <c r="P2692"/>
  <c r="M2692"/>
  <c r="K2692"/>
  <c r="H2692"/>
  <c r="C2692"/>
  <c r="G2692"/>
  <c r="E2692"/>
  <c r="B2692"/>
  <c r="A2692"/>
  <c r="W2691"/>
  <c r="S2691"/>
  <c r="Q2691"/>
  <c r="P2691"/>
  <c r="M2691"/>
  <c r="K2691"/>
  <c r="H2691"/>
  <c r="C2691"/>
  <c r="G2691"/>
  <c r="E2691"/>
  <c r="B2691"/>
  <c r="A2691"/>
  <c r="W2690"/>
  <c r="S2690"/>
  <c r="Q2690"/>
  <c r="P2690"/>
  <c r="M2690"/>
  <c r="K2690"/>
  <c r="H2690"/>
  <c r="C2690"/>
  <c r="G2690"/>
  <c r="E2690"/>
  <c r="B2690"/>
  <c r="A2690"/>
  <c r="W2689"/>
  <c r="S2689"/>
  <c r="Q2689"/>
  <c r="P2689"/>
  <c r="M2689"/>
  <c r="K2689"/>
  <c r="H2689"/>
  <c r="C2689"/>
  <c r="G2689"/>
  <c r="E2689"/>
  <c r="B2689"/>
  <c r="A2689"/>
  <c r="W2688"/>
  <c r="S2688"/>
  <c r="R2688"/>
  <c r="Q2688"/>
  <c r="P2688"/>
  <c r="M2688"/>
  <c r="K2688"/>
  <c r="H2688"/>
  <c r="C2688"/>
  <c r="G2688"/>
  <c r="E2688"/>
  <c r="B2688"/>
  <c r="A2688"/>
  <c r="W2687"/>
  <c r="S2687"/>
  <c r="Q2687"/>
  <c r="P2687"/>
  <c r="M2687"/>
  <c r="K2687"/>
  <c r="H2687"/>
  <c r="C2687"/>
  <c r="G2687"/>
  <c r="E2687"/>
  <c r="B2687"/>
  <c r="A2687"/>
  <c r="W2686"/>
  <c r="S2686"/>
  <c r="Q2686"/>
  <c r="P2686"/>
  <c r="M2686"/>
  <c r="K2686"/>
  <c r="H2686"/>
  <c r="C2686"/>
  <c r="G2686"/>
  <c r="E2686"/>
  <c r="B2686"/>
  <c r="A2686"/>
  <c r="W2685"/>
  <c r="S2685"/>
  <c r="Q2685"/>
  <c r="P2685"/>
  <c r="M2685"/>
  <c r="K2685"/>
  <c r="H2685"/>
  <c r="C2685"/>
  <c r="G2685"/>
  <c r="E2685"/>
  <c r="B2685"/>
  <c r="A2685"/>
  <c r="W2684"/>
  <c r="S2684"/>
  <c r="Q2684"/>
  <c r="P2684"/>
  <c r="M2684"/>
  <c r="K2684"/>
  <c r="H2684"/>
  <c r="C2684"/>
  <c r="G2684"/>
  <c r="E2684"/>
  <c r="B2684"/>
  <c r="A2684"/>
  <c r="W2683"/>
  <c r="S2683"/>
  <c r="Q2683"/>
  <c r="P2683"/>
  <c r="M2683"/>
  <c r="K2683"/>
  <c r="H2683"/>
  <c r="C2683"/>
  <c r="G2683"/>
  <c r="E2683"/>
  <c r="B2683"/>
  <c r="A2683"/>
  <c r="W2682"/>
  <c r="S2682"/>
  <c r="Q2682"/>
  <c r="P2682"/>
  <c r="M2682"/>
  <c r="K2682"/>
  <c r="H2682"/>
  <c r="C2682"/>
  <c r="G2682"/>
  <c r="E2682"/>
  <c r="B2682"/>
  <c r="A2682"/>
  <c r="W2681"/>
  <c r="S2681"/>
  <c r="Q2681"/>
  <c r="P2681"/>
  <c r="M2681"/>
  <c r="K2681"/>
  <c r="H2681"/>
  <c r="C2681"/>
  <c r="G2681"/>
  <c r="E2681"/>
  <c r="B2681"/>
  <c r="A2681"/>
  <c r="W2680"/>
  <c r="S2680"/>
  <c r="Q2680"/>
  <c r="P2680"/>
  <c r="M2680"/>
  <c r="K2680"/>
  <c r="H2680"/>
  <c r="C2680"/>
  <c r="G2680"/>
  <c r="E2680"/>
  <c r="B2680"/>
  <c r="A2680"/>
  <c r="W2679"/>
  <c r="S2679"/>
  <c r="Q2679"/>
  <c r="P2679"/>
  <c r="M2679"/>
  <c r="K2679"/>
  <c r="H2679"/>
  <c r="C2679"/>
  <c r="G2679"/>
  <c r="E2679"/>
  <c r="B2679"/>
  <c r="A2679"/>
  <c r="W2678"/>
  <c r="S2678"/>
  <c r="Q2678"/>
  <c r="P2678"/>
  <c r="M2678"/>
  <c r="K2678"/>
  <c r="H2678"/>
  <c r="C2678"/>
  <c r="G2678"/>
  <c r="E2678"/>
  <c r="B2678"/>
  <c r="A2678"/>
  <c r="W2677"/>
  <c r="S2677"/>
  <c r="Q2677"/>
  <c r="P2677"/>
  <c r="M2677"/>
  <c r="K2677"/>
  <c r="H2677"/>
  <c r="C2677"/>
  <c r="G2677"/>
  <c r="E2677"/>
  <c r="B2677"/>
  <c r="A2677"/>
  <c r="W2676"/>
  <c r="S2676"/>
  <c r="Q2676"/>
  <c r="P2676"/>
  <c r="M2676"/>
  <c r="K2676"/>
  <c r="H2676"/>
  <c r="C2676"/>
  <c r="G2676"/>
  <c r="E2676"/>
  <c r="B2676"/>
  <c r="A2676"/>
  <c r="W2675"/>
  <c r="S2675"/>
  <c r="Q2675"/>
  <c r="P2675"/>
  <c r="N2675"/>
  <c r="M2675"/>
  <c r="K2675"/>
  <c r="H2675"/>
  <c r="C2675"/>
  <c r="G2675"/>
  <c r="E2675"/>
  <c r="B2675"/>
  <c r="A2675"/>
  <c r="W2674"/>
  <c r="S2674"/>
  <c r="Q2674"/>
  <c r="P2674"/>
  <c r="M2674"/>
  <c r="K2674"/>
  <c r="H2674"/>
  <c r="C2674"/>
  <c r="G2674"/>
  <c r="E2674"/>
  <c r="B2674"/>
  <c r="A2674"/>
  <c r="W2673"/>
  <c r="S2673"/>
  <c r="Q2673"/>
  <c r="P2673"/>
  <c r="N2673"/>
  <c r="M2673"/>
  <c r="K2673"/>
  <c r="H2673"/>
  <c r="C2673"/>
  <c r="G2673"/>
  <c r="E2673"/>
  <c r="B2673"/>
  <c r="A2673"/>
  <c r="W2672"/>
  <c r="S2672"/>
  <c r="Q2672"/>
  <c r="P2672"/>
  <c r="N2672"/>
  <c r="M2672"/>
  <c r="K2672"/>
  <c r="H2672"/>
  <c r="C2672"/>
  <c r="G2672"/>
  <c r="E2672"/>
  <c r="B2672"/>
  <c r="A2672"/>
  <c r="W2671"/>
  <c r="S2671"/>
  <c r="Q2671"/>
  <c r="P2671"/>
  <c r="N2671"/>
  <c r="M2671"/>
  <c r="K2671"/>
  <c r="H2671"/>
  <c r="C2671"/>
  <c r="G2671"/>
  <c r="E2671"/>
  <c r="B2671"/>
  <c r="A2671"/>
  <c r="W2670"/>
  <c r="S2670"/>
  <c r="Q2670"/>
  <c r="P2670"/>
  <c r="N2670"/>
  <c r="M2670"/>
  <c r="K2670"/>
  <c r="H2670"/>
  <c r="C2670"/>
  <c r="G2670"/>
  <c r="E2670"/>
  <c r="B2670"/>
  <c r="A2670"/>
  <c r="W2669"/>
  <c r="S2669"/>
  <c r="Q2669"/>
  <c r="P2669"/>
  <c r="N2669"/>
  <c r="M2669"/>
  <c r="K2669"/>
  <c r="H2669"/>
  <c r="C2669"/>
  <c r="G2669"/>
  <c r="E2669"/>
  <c r="B2669"/>
  <c r="A2669"/>
  <c r="W2668"/>
  <c r="S2668"/>
  <c r="Q2668"/>
  <c r="P2668"/>
  <c r="N2668"/>
  <c r="M2668"/>
  <c r="K2668"/>
  <c r="H2668"/>
  <c r="C2668"/>
  <c r="G2668"/>
  <c r="E2668"/>
  <c r="B2668"/>
  <c r="A2668"/>
  <c r="W2667"/>
  <c r="S2667"/>
  <c r="Q2667"/>
  <c r="P2667"/>
  <c r="N2667"/>
  <c r="M2667"/>
  <c r="K2667"/>
  <c r="H2667"/>
  <c r="C2667"/>
  <c r="G2667"/>
  <c r="E2667"/>
  <c r="B2667"/>
  <c r="A2667"/>
  <c r="W2666"/>
  <c r="S2666"/>
  <c r="Q2666"/>
  <c r="P2666"/>
  <c r="M2666"/>
  <c r="K2666"/>
  <c r="H2666"/>
  <c r="C2666"/>
  <c r="G2666"/>
  <c r="E2666"/>
  <c r="B2666"/>
  <c r="A2666"/>
  <c r="W2665"/>
  <c r="S2665"/>
  <c r="Q2665"/>
  <c r="P2665"/>
  <c r="M2665"/>
  <c r="K2665"/>
  <c r="H2665"/>
  <c r="C2665"/>
  <c r="G2665"/>
  <c r="E2665"/>
  <c r="B2665"/>
  <c r="A2665"/>
  <c r="W2664"/>
  <c r="S2664"/>
  <c r="Q2664"/>
  <c r="P2664"/>
  <c r="M2664"/>
  <c r="K2664"/>
  <c r="H2664"/>
  <c r="C2664"/>
  <c r="G2664"/>
  <c r="E2664"/>
  <c r="B2664"/>
  <c r="A2664"/>
  <c r="W2663"/>
  <c r="S2663"/>
  <c r="Q2663"/>
  <c r="P2663"/>
  <c r="M2663"/>
  <c r="K2663"/>
  <c r="H2663"/>
  <c r="C2663"/>
  <c r="G2663"/>
  <c r="E2663"/>
  <c r="B2663"/>
  <c r="A2663"/>
  <c r="W2662"/>
  <c r="S2662"/>
  <c r="Q2662"/>
  <c r="P2662"/>
  <c r="M2662"/>
  <c r="K2662"/>
  <c r="H2662"/>
  <c r="C2662"/>
  <c r="G2662"/>
  <c r="E2662"/>
  <c r="B2662"/>
  <c r="A2662"/>
  <c r="W2661"/>
  <c r="S2661"/>
  <c r="Q2661"/>
  <c r="P2661"/>
  <c r="M2661"/>
  <c r="K2661"/>
  <c r="H2661"/>
  <c r="C2661"/>
  <c r="G2661"/>
  <c r="E2661"/>
  <c r="B2661"/>
  <c r="A2661"/>
  <c r="W2660"/>
  <c r="S2660"/>
  <c r="Q2660"/>
  <c r="P2660"/>
  <c r="M2660"/>
  <c r="K2660"/>
  <c r="H2660"/>
  <c r="C2660"/>
  <c r="G2660"/>
  <c r="E2660"/>
  <c r="B2660"/>
  <c r="A2660"/>
  <c r="W2659"/>
  <c r="S2659"/>
  <c r="Q2659"/>
  <c r="P2659"/>
  <c r="M2659"/>
  <c r="K2659"/>
  <c r="H2659"/>
  <c r="C2659"/>
  <c r="G2659"/>
  <c r="E2659"/>
  <c r="B2659"/>
  <c r="A2659"/>
  <c r="W2658"/>
  <c r="S2658"/>
  <c r="Q2658"/>
  <c r="P2658"/>
  <c r="M2658"/>
  <c r="K2658"/>
  <c r="H2658"/>
  <c r="C2658"/>
  <c r="G2658"/>
  <c r="E2658"/>
  <c r="B2658"/>
  <c r="A2658"/>
  <c r="W2657"/>
  <c r="S2657"/>
  <c r="Q2657"/>
  <c r="P2657"/>
  <c r="M2657"/>
  <c r="K2657"/>
  <c r="H2657"/>
  <c r="C2657"/>
  <c r="G2657"/>
  <c r="E2657"/>
  <c r="B2657"/>
  <c r="A2657"/>
  <c r="W2656"/>
  <c r="S2656"/>
  <c r="R2656"/>
  <c r="Q2656"/>
  <c r="P2656"/>
  <c r="M2656"/>
  <c r="K2656"/>
  <c r="H2656"/>
  <c r="C2656"/>
  <c r="G2656"/>
  <c r="E2656"/>
  <c r="B2656"/>
  <c r="A2656"/>
  <c r="W2655"/>
  <c r="S2655"/>
  <c r="Q2655"/>
  <c r="P2655"/>
  <c r="M2655"/>
  <c r="K2655"/>
  <c r="H2655"/>
  <c r="C2655"/>
  <c r="G2655"/>
  <c r="E2655"/>
  <c r="B2655"/>
  <c r="A2655"/>
  <c r="W2654"/>
  <c r="S2654"/>
  <c r="Q2654"/>
  <c r="P2654"/>
  <c r="M2654"/>
  <c r="K2654"/>
  <c r="H2654"/>
  <c r="C2654"/>
  <c r="G2654"/>
  <c r="E2654"/>
  <c r="B2654"/>
  <c r="A2654"/>
  <c r="W2653"/>
  <c r="S2653"/>
  <c r="Q2653"/>
  <c r="P2653"/>
  <c r="M2653"/>
  <c r="K2653"/>
  <c r="H2653"/>
  <c r="C2653"/>
  <c r="G2653"/>
  <c r="E2653"/>
  <c r="B2653"/>
  <c r="A2653"/>
  <c r="W2652"/>
  <c r="S2652"/>
  <c r="Q2652"/>
  <c r="P2652"/>
  <c r="M2652"/>
  <c r="K2652"/>
  <c r="H2652"/>
  <c r="C2652"/>
  <c r="G2652"/>
  <c r="E2652"/>
  <c r="B2652"/>
  <c r="A2652"/>
  <c r="W2651"/>
  <c r="S2651"/>
  <c r="Q2651"/>
  <c r="P2651"/>
  <c r="M2651"/>
  <c r="K2651"/>
  <c r="H2651"/>
  <c r="C2651"/>
  <c r="G2651"/>
  <c r="E2651"/>
  <c r="B2651"/>
  <c r="A2651"/>
  <c r="W2650"/>
  <c r="S2650"/>
  <c r="Q2650"/>
  <c r="P2650"/>
  <c r="M2650"/>
  <c r="K2650"/>
  <c r="H2650"/>
  <c r="C2650"/>
  <c r="G2650"/>
  <c r="E2650"/>
  <c r="B2650"/>
  <c r="A2650"/>
  <c r="W2649"/>
  <c r="S2649"/>
  <c r="Q2649"/>
  <c r="P2649"/>
  <c r="M2649"/>
  <c r="K2649"/>
  <c r="H2649"/>
  <c r="C2649"/>
  <c r="G2649"/>
  <c r="E2649"/>
  <c r="B2649"/>
  <c r="A2649"/>
  <c r="W2648"/>
  <c r="S2648"/>
  <c r="Q2648"/>
  <c r="P2648"/>
  <c r="M2648"/>
  <c r="K2648"/>
  <c r="H2648"/>
  <c r="C2648"/>
  <c r="G2648"/>
  <c r="E2648"/>
  <c r="B2648"/>
  <c r="A2648"/>
  <c r="W2647"/>
  <c r="S2647"/>
  <c r="Q2647"/>
  <c r="P2647"/>
  <c r="M2647"/>
  <c r="K2647"/>
  <c r="H2647"/>
  <c r="C2647"/>
  <c r="G2647"/>
  <c r="E2647"/>
  <c r="B2647"/>
  <c r="A2647"/>
  <c r="W2646"/>
  <c r="S2646"/>
  <c r="Q2646"/>
  <c r="P2646"/>
  <c r="M2646"/>
  <c r="K2646"/>
  <c r="H2646"/>
  <c r="C2646"/>
  <c r="G2646"/>
  <c r="E2646"/>
  <c r="B2646"/>
  <c r="A2646"/>
  <c r="W2645"/>
  <c r="S2645"/>
  <c r="Q2645"/>
  <c r="P2645"/>
  <c r="M2645"/>
  <c r="K2645"/>
  <c r="H2645"/>
  <c r="C2645"/>
  <c r="G2645"/>
  <c r="E2645"/>
  <c r="B2645"/>
  <c r="A2645"/>
  <c r="W2644"/>
  <c r="S2644"/>
  <c r="Q2644"/>
  <c r="P2644"/>
  <c r="M2644"/>
  <c r="K2644"/>
  <c r="H2644"/>
  <c r="C2644"/>
  <c r="G2644"/>
  <c r="E2644"/>
  <c r="B2644"/>
  <c r="A2644"/>
  <c r="W2643"/>
  <c r="S2643"/>
  <c r="Q2643"/>
  <c r="P2643"/>
  <c r="M2643"/>
  <c r="K2643"/>
  <c r="H2643"/>
  <c r="C2643"/>
  <c r="G2643"/>
  <c r="E2643"/>
  <c r="B2643"/>
  <c r="A2643"/>
  <c r="W2642"/>
  <c r="S2642"/>
  <c r="Q2642"/>
  <c r="P2642"/>
  <c r="M2642"/>
  <c r="K2642"/>
  <c r="H2642"/>
  <c r="C2642"/>
  <c r="G2642"/>
  <c r="E2642"/>
  <c r="B2642"/>
  <c r="A2642"/>
  <c r="W2641"/>
  <c r="S2641"/>
  <c r="Q2641"/>
  <c r="P2641"/>
  <c r="M2641"/>
  <c r="K2641"/>
  <c r="H2641"/>
  <c r="C2641"/>
  <c r="G2641"/>
  <c r="E2641"/>
  <c r="B2641"/>
  <c r="A2641"/>
  <c r="W2640"/>
  <c r="S2640"/>
  <c r="Q2640"/>
  <c r="P2640"/>
  <c r="M2640"/>
  <c r="K2640"/>
  <c r="H2640"/>
  <c r="C2640"/>
  <c r="G2640"/>
  <c r="E2640"/>
  <c r="B2640"/>
  <c r="A2640"/>
  <c r="W2639"/>
  <c r="S2639"/>
  <c r="Q2639"/>
  <c r="P2639"/>
  <c r="M2639"/>
  <c r="K2639"/>
  <c r="H2639"/>
  <c r="C2639"/>
  <c r="G2639"/>
  <c r="E2639"/>
  <c r="B2639"/>
  <c r="A2639"/>
  <c r="W2638"/>
  <c r="S2638"/>
  <c r="Q2638"/>
  <c r="P2638"/>
  <c r="M2638"/>
  <c r="K2638"/>
  <c r="H2638"/>
  <c r="C2638"/>
  <c r="G2638"/>
  <c r="E2638"/>
  <c r="B2638"/>
  <c r="A2638"/>
  <c r="W2637"/>
  <c r="S2637"/>
  <c r="Q2637"/>
  <c r="P2637"/>
  <c r="M2637"/>
  <c r="K2637"/>
  <c r="H2637"/>
  <c r="C2637"/>
  <c r="G2637"/>
  <c r="E2637"/>
  <c r="B2637"/>
  <c r="A2637"/>
  <c r="W2636"/>
  <c r="S2636"/>
  <c r="Q2636"/>
  <c r="P2636"/>
  <c r="M2636"/>
  <c r="K2636"/>
  <c r="H2636"/>
  <c r="C2636"/>
  <c r="G2636"/>
  <c r="E2636"/>
  <c r="B2636"/>
  <c r="A2636"/>
  <c r="W2635"/>
  <c r="S2635"/>
  <c r="Q2635"/>
  <c r="P2635"/>
  <c r="M2635"/>
  <c r="K2635"/>
  <c r="H2635"/>
  <c r="C2635"/>
  <c r="G2635"/>
  <c r="E2635"/>
  <c r="B2635"/>
  <c r="A2635"/>
  <c r="W2634"/>
  <c r="S2634"/>
  <c r="Q2634"/>
  <c r="P2634"/>
  <c r="M2634"/>
  <c r="K2634"/>
  <c r="H2634"/>
  <c r="C2634"/>
  <c r="G2634"/>
  <c r="E2634"/>
  <c r="B2634"/>
  <c r="A2634"/>
  <c r="W2633"/>
  <c r="S2633"/>
  <c r="Q2633"/>
  <c r="P2633"/>
  <c r="M2633"/>
  <c r="K2633"/>
  <c r="H2633"/>
  <c r="C2633"/>
  <c r="G2633"/>
  <c r="E2633"/>
  <c r="B2633"/>
  <c r="A2633"/>
  <c r="W2632"/>
  <c r="S2632"/>
  <c r="Q2632"/>
  <c r="P2632"/>
  <c r="M2632"/>
  <c r="K2632"/>
  <c r="H2632"/>
  <c r="C2632"/>
  <c r="G2632"/>
  <c r="E2632"/>
  <c r="B2632"/>
  <c r="A2632"/>
  <c r="W2631"/>
  <c r="S2631"/>
  <c r="Q2631"/>
  <c r="P2631"/>
  <c r="M2631"/>
  <c r="K2631"/>
  <c r="H2631"/>
  <c r="C2631"/>
  <c r="G2631"/>
  <c r="E2631"/>
  <c r="B2631"/>
  <c r="A2631"/>
  <c r="W2630"/>
  <c r="S2630"/>
  <c r="Q2630"/>
  <c r="P2630"/>
  <c r="M2630"/>
  <c r="K2630"/>
  <c r="H2630"/>
  <c r="C2630"/>
  <c r="G2630"/>
  <c r="E2630"/>
  <c r="B2630"/>
  <c r="A2630"/>
  <c r="W2629"/>
  <c r="S2629"/>
  <c r="Q2629"/>
  <c r="P2629"/>
  <c r="M2629"/>
  <c r="K2629"/>
  <c r="H2629"/>
  <c r="C2629"/>
  <c r="G2629"/>
  <c r="E2629"/>
  <c r="B2629"/>
  <c r="A2629"/>
  <c r="W2628"/>
  <c r="S2628"/>
  <c r="Q2628"/>
  <c r="P2628"/>
  <c r="M2628"/>
  <c r="K2628"/>
  <c r="H2628"/>
  <c r="C2628"/>
  <c r="G2628"/>
  <c r="E2628"/>
  <c r="B2628"/>
  <c r="A2628"/>
  <c r="W2627"/>
  <c r="S2627"/>
  <c r="Q2627"/>
  <c r="P2627"/>
  <c r="M2627"/>
  <c r="K2627"/>
  <c r="H2627"/>
  <c r="C2627"/>
  <c r="G2627"/>
  <c r="E2627"/>
  <c r="B2627"/>
  <c r="A2627"/>
  <c r="W2626"/>
  <c r="S2626"/>
  <c r="R2626"/>
  <c r="Q2626"/>
  <c r="P2626"/>
  <c r="M2626"/>
  <c r="K2626"/>
  <c r="H2626"/>
  <c r="C2626"/>
  <c r="G2626"/>
  <c r="E2626"/>
  <c r="B2626"/>
  <c r="A2626"/>
  <c r="W2625"/>
  <c r="S2625"/>
  <c r="Q2625"/>
  <c r="P2625"/>
  <c r="M2625"/>
  <c r="K2625"/>
  <c r="H2625"/>
  <c r="C2625"/>
  <c r="G2625"/>
  <c r="E2625"/>
  <c r="B2625"/>
  <c r="A2625"/>
  <c r="W2624"/>
  <c r="S2624"/>
  <c r="Q2624"/>
  <c r="P2624"/>
  <c r="M2624"/>
  <c r="K2624"/>
  <c r="H2624"/>
  <c r="C2624"/>
  <c r="G2624"/>
  <c r="E2624"/>
  <c r="B2624"/>
  <c r="A2624"/>
  <c r="W2623"/>
  <c r="S2623"/>
  <c r="Q2623"/>
  <c r="P2623"/>
  <c r="M2623"/>
  <c r="K2623"/>
  <c r="H2623"/>
  <c r="C2623"/>
  <c r="G2623"/>
  <c r="E2623"/>
  <c r="B2623"/>
  <c r="A2623"/>
  <c r="W2622"/>
  <c r="S2622"/>
  <c r="Q2622"/>
  <c r="P2622"/>
  <c r="M2622"/>
  <c r="K2622"/>
  <c r="H2622"/>
  <c r="C2622"/>
  <c r="G2622"/>
  <c r="E2622"/>
  <c r="B2622"/>
  <c r="A2622"/>
  <c r="W2621"/>
  <c r="S2621"/>
  <c r="Q2621"/>
  <c r="P2621"/>
  <c r="M2621"/>
  <c r="K2621"/>
  <c r="H2621"/>
  <c r="C2621"/>
  <c r="G2621"/>
  <c r="E2621"/>
  <c r="B2621"/>
  <c r="A2621"/>
  <c r="W2620"/>
  <c r="S2620"/>
  <c r="Q2620"/>
  <c r="P2620"/>
  <c r="M2620"/>
  <c r="K2620"/>
  <c r="H2620"/>
  <c r="C2620"/>
  <c r="G2620"/>
  <c r="E2620"/>
  <c r="B2620"/>
  <c r="A2620"/>
  <c r="W2619"/>
  <c r="S2619"/>
  <c r="Q2619"/>
  <c r="P2619"/>
  <c r="M2619"/>
  <c r="K2619"/>
  <c r="H2619"/>
  <c r="C2619"/>
  <c r="G2619"/>
  <c r="E2619"/>
  <c r="B2619"/>
  <c r="A2619"/>
  <c r="W2618"/>
  <c r="S2618"/>
  <c r="Q2618"/>
  <c r="P2618"/>
  <c r="M2618"/>
  <c r="K2618"/>
  <c r="H2618"/>
  <c r="C2618"/>
  <c r="G2618"/>
  <c r="E2618"/>
  <c r="B2618"/>
  <c r="A2618"/>
  <c r="W2617"/>
  <c r="S2617"/>
  <c r="R2617"/>
  <c r="Q2617"/>
  <c r="P2617"/>
  <c r="M2617"/>
  <c r="K2617"/>
  <c r="H2617"/>
  <c r="C2617"/>
  <c r="G2617"/>
  <c r="E2617"/>
  <c r="B2617"/>
  <c r="A2617"/>
  <c r="W2616"/>
  <c r="S2616"/>
  <c r="Q2616"/>
  <c r="P2616"/>
  <c r="M2616"/>
  <c r="K2616"/>
  <c r="H2616"/>
  <c r="C2616"/>
  <c r="G2616"/>
  <c r="E2616"/>
  <c r="B2616"/>
  <c r="A2616"/>
  <c r="W2615"/>
  <c r="S2615"/>
  <c r="Q2615"/>
  <c r="P2615"/>
  <c r="M2615"/>
  <c r="K2615"/>
  <c r="H2615"/>
  <c r="C2615"/>
  <c r="G2615"/>
  <c r="E2615"/>
  <c r="B2615"/>
  <c r="A2615"/>
  <c r="W2614"/>
  <c r="S2614"/>
  <c r="Q2614"/>
  <c r="P2614"/>
  <c r="M2614"/>
  <c r="K2614"/>
  <c r="H2614"/>
  <c r="C2614"/>
  <c r="G2614"/>
  <c r="E2614"/>
  <c r="B2614"/>
  <c r="A2614"/>
  <c r="W2613"/>
  <c r="S2613"/>
  <c r="Q2613"/>
  <c r="P2613"/>
  <c r="M2613"/>
  <c r="K2613"/>
  <c r="H2613"/>
  <c r="C2613"/>
  <c r="G2613"/>
  <c r="E2613"/>
  <c r="B2613"/>
  <c r="A2613"/>
  <c r="W2612"/>
  <c r="S2612"/>
  <c r="R2612"/>
  <c r="Q2612"/>
  <c r="P2612"/>
  <c r="M2612"/>
  <c r="K2612"/>
  <c r="H2612"/>
  <c r="C2612"/>
  <c r="G2612"/>
  <c r="E2612"/>
  <c r="B2612"/>
  <c r="A2612"/>
  <c r="W2611"/>
  <c r="S2611"/>
  <c r="Q2611"/>
  <c r="P2611"/>
  <c r="M2611"/>
  <c r="K2611"/>
  <c r="H2611"/>
  <c r="C2611"/>
  <c r="G2611"/>
  <c r="E2611"/>
  <c r="B2611"/>
  <c r="A2611"/>
  <c r="W2610"/>
  <c r="S2610"/>
  <c r="Q2610"/>
  <c r="P2610"/>
  <c r="M2610"/>
  <c r="K2610"/>
  <c r="H2610"/>
  <c r="C2610"/>
  <c r="G2610"/>
  <c r="E2610"/>
  <c r="B2610"/>
  <c r="A2610"/>
  <c r="W2609"/>
  <c r="S2609"/>
  <c r="Q2609"/>
  <c r="P2609"/>
  <c r="M2609"/>
  <c r="K2609"/>
  <c r="H2609"/>
  <c r="C2609"/>
  <c r="G2609"/>
  <c r="E2609"/>
  <c r="B2609"/>
  <c r="A2609"/>
  <c r="W2608"/>
  <c r="S2608"/>
  <c r="Q2608"/>
  <c r="P2608"/>
  <c r="M2608"/>
  <c r="K2608"/>
  <c r="H2608"/>
  <c r="C2608"/>
  <c r="G2608"/>
  <c r="E2608"/>
  <c r="B2608"/>
  <c r="A2608"/>
  <c r="W2607"/>
  <c r="S2607"/>
  <c r="Q2607"/>
  <c r="P2607"/>
  <c r="M2607"/>
  <c r="K2607"/>
  <c r="H2607"/>
  <c r="C2607"/>
  <c r="G2607"/>
  <c r="E2607"/>
  <c r="B2607"/>
  <c r="A2607"/>
  <c r="W2606"/>
  <c r="S2606"/>
  <c r="Q2606"/>
  <c r="P2606"/>
  <c r="M2606"/>
  <c r="K2606"/>
  <c r="H2606"/>
  <c r="C2606"/>
  <c r="G2606"/>
  <c r="E2606"/>
  <c r="B2606"/>
  <c r="A2606"/>
  <c r="W2605"/>
  <c r="S2605"/>
  <c r="Q2605"/>
  <c r="P2605"/>
  <c r="M2605"/>
  <c r="K2605"/>
  <c r="H2605"/>
  <c r="C2605"/>
  <c r="G2605"/>
  <c r="E2605"/>
  <c r="B2605"/>
  <c r="A2605"/>
  <c r="W2604"/>
  <c r="S2604"/>
  <c r="Q2604"/>
  <c r="P2604"/>
  <c r="M2604"/>
  <c r="K2604"/>
  <c r="H2604"/>
  <c r="C2604"/>
  <c r="G2604"/>
  <c r="E2604"/>
  <c r="B2604"/>
  <c r="A2604"/>
  <c r="W2603"/>
  <c r="S2603"/>
  <c r="Q2603"/>
  <c r="P2603"/>
  <c r="M2603"/>
  <c r="K2603"/>
  <c r="H2603"/>
  <c r="C2603"/>
  <c r="G2603"/>
  <c r="E2603"/>
  <c r="B2603"/>
  <c r="A2603"/>
  <c r="W2602"/>
  <c r="S2602"/>
  <c r="Q2602"/>
  <c r="P2602"/>
  <c r="M2602"/>
  <c r="K2602"/>
  <c r="H2602"/>
  <c r="C2602"/>
  <c r="G2602"/>
  <c r="E2602"/>
  <c r="B2602"/>
  <c r="A2602"/>
  <c r="W2601"/>
  <c r="S2601"/>
  <c r="Q2601"/>
  <c r="P2601"/>
  <c r="M2601"/>
  <c r="K2601"/>
  <c r="H2601"/>
  <c r="C2601"/>
  <c r="G2601"/>
  <c r="E2601"/>
  <c r="B2601"/>
  <c r="A2601"/>
  <c r="W2600"/>
  <c r="S2600"/>
  <c r="Q2600"/>
  <c r="P2600"/>
  <c r="M2600"/>
  <c r="K2600"/>
  <c r="H2600"/>
  <c r="C2600"/>
  <c r="G2600"/>
  <c r="E2600"/>
  <c r="B2600"/>
  <c r="A2600"/>
  <c r="W2599"/>
  <c r="S2599"/>
  <c r="Q2599"/>
  <c r="P2599"/>
  <c r="M2599"/>
  <c r="K2599"/>
  <c r="H2599"/>
  <c r="C2599"/>
  <c r="G2599"/>
  <c r="E2599"/>
  <c r="B2599"/>
  <c r="A2599"/>
  <c r="W2598"/>
  <c r="S2598"/>
  <c r="Q2598"/>
  <c r="P2598"/>
  <c r="M2598"/>
  <c r="K2598"/>
  <c r="H2598"/>
  <c r="C2598"/>
  <c r="G2598"/>
  <c r="E2598"/>
  <c r="B2598"/>
  <c r="A2598"/>
  <c r="W2597"/>
  <c r="S2597"/>
  <c r="Q2597"/>
  <c r="P2597"/>
  <c r="M2597"/>
  <c r="K2597"/>
  <c r="H2597"/>
  <c r="C2597"/>
  <c r="G2597"/>
  <c r="E2597"/>
  <c r="B2597"/>
  <c r="A2597"/>
  <c r="W2596"/>
  <c r="S2596"/>
  <c r="Q2596"/>
  <c r="P2596"/>
  <c r="M2596"/>
  <c r="K2596"/>
  <c r="H2596"/>
  <c r="C2596"/>
  <c r="G2596"/>
  <c r="E2596"/>
  <c r="B2596"/>
  <c r="A2596"/>
  <c r="W2595"/>
  <c r="S2595"/>
  <c r="Q2595"/>
  <c r="P2595"/>
  <c r="M2595"/>
  <c r="K2595"/>
  <c r="H2595"/>
  <c r="C2595"/>
  <c r="G2595"/>
  <c r="E2595"/>
  <c r="B2595"/>
  <c r="A2595"/>
  <c r="W2594"/>
  <c r="S2594"/>
  <c r="Q2594"/>
  <c r="P2594"/>
  <c r="M2594"/>
  <c r="K2594"/>
  <c r="H2594"/>
  <c r="C2594"/>
  <c r="G2594"/>
  <c r="E2594"/>
  <c r="B2594"/>
  <c r="A2594"/>
  <c r="W2593"/>
  <c r="S2593"/>
  <c r="Q2593"/>
  <c r="P2593"/>
  <c r="M2593"/>
  <c r="K2593"/>
  <c r="H2593"/>
  <c r="C2593"/>
  <c r="G2593"/>
  <c r="E2593"/>
  <c r="B2593"/>
  <c r="A2593"/>
  <c r="W2592"/>
  <c r="S2592"/>
  <c r="Q2592"/>
  <c r="P2592"/>
  <c r="M2592"/>
  <c r="K2592"/>
  <c r="H2592"/>
  <c r="C2592"/>
  <c r="G2592"/>
  <c r="E2592"/>
  <c r="B2592"/>
  <c r="A2592"/>
  <c r="W2591"/>
  <c r="S2591"/>
  <c r="Q2591"/>
  <c r="P2591"/>
  <c r="M2591"/>
  <c r="K2591"/>
  <c r="H2591"/>
  <c r="C2591"/>
  <c r="G2591"/>
  <c r="E2591"/>
  <c r="B2591"/>
  <c r="A2591"/>
  <c r="W2590"/>
  <c r="S2590"/>
  <c r="Q2590"/>
  <c r="P2590"/>
  <c r="M2590"/>
  <c r="K2590"/>
  <c r="H2590"/>
  <c r="C2590"/>
  <c r="G2590"/>
  <c r="E2590"/>
  <c r="B2590"/>
  <c r="A2590"/>
  <c r="W2589"/>
  <c r="S2589"/>
  <c r="Q2589"/>
  <c r="P2589"/>
  <c r="M2589"/>
  <c r="K2589"/>
  <c r="H2589"/>
  <c r="C2589"/>
  <c r="G2589"/>
  <c r="E2589"/>
  <c r="B2589"/>
  <c r="A2589"/>
  <c r="W2588"/>
  <c r="S2588"/>
  <c r="Q2588"/>
  <c r="P2588"/>
  <c r="M2588"/>
  <c r="K2588"/>
  <c r="H2588"/>
  <c r="C2588"/>
  <c r="G2588"/>
  <c r="E2588"/>
  <c r="B2588"/>
  <c r="A2588"/>
  <c r="W2587"/>
  <c r="S2587"/>
  <c r="Q2587"/>
  <c r="P2587"/>
  <c r="M2587"/>
  <c r="K2587"/>
  <c r="H2587"/>
  <c r="C2587"/>
  <c r="G2587"/>
  <c r="E2587"/>
  <c r="B2587"/>
  <c r="A2587"/>
  <c r="W2586"/>
  <c r="S2586"/>
  <c r="Q2586"/>
  <c r="P2586"/>
  <c r="M2586"/>
  <c r="K2586"/>
  <c r="H2586"/>
  <c r="C2586"/>
  <c r="G2586"/>
  <c r="E2586"/>
  <c r="B2586"/>
  <c r="A2586"/>
  <c r="W2585"/>
  <c r="S2585"/>
  <c r="Q2585"/>
  <c r="P2585"/>
  <c r="M2585"/>
  <c r="K2585"/>
  <c r="H2585"/>
  <c r="C2585"/>
  <c r="G2585"/>
  <c r="E2585"/>
  <c r="B2585"/>
  <c r="A2585"/>
  <c r="W2584"/>
  <c r="S2584"/>
  <c r="Q2584"/>
  <c r="P2584"/>
  <c r="M2584"/>
  <c r="K2584"/>
  <c r="H2584"/>
  <c r="C2584"/>
  <c r="G2584"/>
  <c r="E2584"/>
  <c r="B2584"/>
  <c r="A2584"/>
  <c r="W2583"/>
  <c r="S2583"/>
  <c r="Q2583"/>
  <c r="P2583"/>
  <c r="M2583"/>
  <c r="K2583"/>
  <c r="H2583"/>
  <c r="C2583"/>
  <c r="G2583"/>
  <c r="E2583"/>
  <c r="B2583"/>
  <c r="A2583"/>
  <c r="W2582"/>
  <c r="S2582"/>
  <c r="Q2582"/>
  <c r="P2582"/>
  <c r="M2582"/>
  <c r="K2582"/>
  <c r="H2582"/>
  <c r="C2582"/>
  <c r="G2582"/>
  <c r="E2582"/>
  <c r="B2582"/>
  <c r="A2582"/>
  <c r="W2581"/>
  <c r="S2581"/>
  <c r="Q2581"/>
  <c r="P2581"/>
  <c r="M2581"/>
  <c r="K2581"/>
  <c r="H2581"/>
  <c r="C2581"/>
  <c r="G2581"/>
  <c r="E2581"/>
  <c r="B2581"/>
  <c r="A2581"/>
  <c r="W2580"/>
  <c r="S2580"/>
  <c r="Q2580"/>
  <c r="P2580"/>
  <c r="M2580"/>
  <c r="K2580"/>
  <c r="H2580"/>
  <c r="C2580"/>
  <c r="G2580"/>
  <c r="E2580"/>
  <c r="B2580"/>
  <c r="A2580"/>
  <c r="W2579"/>
  <c r="S2579"/>
  <c r="Q2579"/>
  <c r="P2579"/>
  <c r="M2579"/>
  <c r="K2579"/>
  <c r="H2579"/>
  <c r="C2579"/>
  <c r="G2579"/>
  <c r="E2579"/>
  <c r="B2579"/>
  <c r="A2579"/>
  <c r="W2578"/>
  <c r="S2578"/>
  <c r="Q2578"/>
  <c r="P2578"/>
  <c r="M2578"/>
  <c r="K2578"/>
  <c r="H2578"/>
  <c r="C2578"/>
  <c r="G2578"/>
  <c r="E2578"/>
  <c r="B2578"/>
  <c r="A2578"/>
  <c r="W2577"/>
  <c r="S2577"/>
  <c r="Q2577"/>
  <c r="P2577"/>
  <c r="M2577"/>
  <c r="K2577"/>
  <c r="H2577"/>
  <c r="C2577"/>
  <c r="G2577"/>
  <c r="E2577"/>
  <c r="B2577"/>
  <c r="A2577"/>
  <c r="W2576"/>
  <c r="S2576"/>
  <c r="Q2576"/>
  <c r="P2576"/>
  <c r="M2576"/>
  <c r="K2576"/>
  <c r="H2576"/>
  <c r="C2576"/>
  <c r="G2576"/>
  <c r="E2576"/>
  <c r="B2576"/>
  <c r="A2576"/>
  <c r="W2575"/>
  <c r="S2575"/>
  <c r="Q2575"/>
  <c r="P2575"/>
  <c r="M2575"/>
  <c r="K2575"/>
  <c r="H2575"/>
  <c r="C2575"/>
  <c r="G2575"/>
  <c r="E2575"/>
  <c r="B2575"/>
  <c r="A2575"/>
  <c r="W2574"/>
  <c r="S2574"/>
  <c r="Q2574"/>
  <c r="P2574"/>
  <c r="M2574"/>
  <c r="K2574"/>
  <c r="H2574"/>
  <c r="C2574"/>
  <c r="G2574"/>
  <c r="E2574"/>
  <c r="B2574"/>
  <c r="A2574"/>
  <c r="W2573"/>
  <c r="S2573"/>
  <c r="Q2573"/>
  <c r="P2573"/>
  <c r="M2573"/>
  <c r="K2573"/>
  <c r="H2573"/>
  <c r="C2573"/>
  <c r="G2573"/>
  <c r="E2573"/>
  <c r="B2573"/>
  <c r="A2573"/>
  <c r="W2572"/>
  <c r="S2572"/>
  <c r="Q2572"/>
  <c r="P2572"/>
  <c r="M2572"/>
  <c r="K2572"/>
  <c r="H2572"/>
  <c r="C2572"/>
  <c r="G2572"/>
  <c r="E2572"/>
  <c r="B2572"/>
  <c r="A2572"/>
  <c r="W2571"/>
  <c r="S2571"/>
  <c r="Q2571"/>
  <c r="P2571"/>
  <c r="M2571"/>
  <c r="K2571"/>
  <c r="H2571"/>
  <c r="C2571"/>
  <c r="G2571"/>
  <c r="E2571"/>
  <c r="B2571"/>
  <c r="A2571"/>
  <c r="W2570"/>
  <c r="S2570"/>
  <c r="Q2570"/>
  <c r="P2570"/>
  <c r="M2570"/>
  <c r="K2570"/>
  <c r="H2570"/>
  <c r="C2570"/>
  <c r="G2570"/>
  <c r="E2570"/>
  <c r="B2570"/>
  <c r="A2570"/>
  <c r="W2569"/>
  <c r="S2569"/>
  <c r="Q2569"/>
  <c r="P2569"/>
  <c r="M2569"/>
  <c r="K2569"/>
  <c r="H2569"/>
  <c r="C2569"/>
  <c r="G2569"/>
  <c r="E2569"/>
  <c r="B2569"/>
  <c r="A2569"/>
  <c r="W2568"/>
  <c r="S2568"/>
  <c r="Q2568"/>
  <c r="P2568"/>
  <c r="M2568"/>
  <c r="K2568"/>
  <c r="H2568"/>
  <c r="C2568"/>
  <c r="G2568"/>
  <c r="E2568"/>
  <c r="B2568"/>
  <c r="A2568"/>
  <c r="W2567"/>
  <c r="S2567"/>
  <c r="Q2567"/>
  <c r="P2567"/>
  <c r="M2567"/>
  <c r="K2567"/>
  <c r="H2567"/>
  <c r="C2567"/>
  <c r="G2567"/>
  <c r="E2567"/>
  <c r="B2567"/>
  <c r="A2567"/>
  <c r="W2566"/>
  <c r="S2566"/>
  <c r="Q2566"/>
  <c r="P2566"/>
  <c r="M2566"/>
  <c r="K2566"/>
  <c r="H2566"/>
  <c r="C2566"/>
  <c r="G2566"/>
  <c r="E2566"/>
  <c r="B2566"/>
  <c r="A2566"/>
  <c r="W2565"/>
  <c r="S2565"/>
  <c r="Q2565"/>
  <c r="P2565"/>
  <c r="M2565"/>
  <c r="K2565"/>
  <c r="H2565"/>
  <c r="C2565"/>
  <c r="G2565"/>
  <c r="E2565"/>
  <c r="B2565"/>
  <c r="A2565"/>
  <c r="W2564"/>
  <c r="S2564"/>
  <c r="Q2564"/>
  <c r="P2564"/>
  <c r="M2564"/>
  <c r="K2564"/>
  <c r="H2564"/>
  <c r="C2564"/>
  <c r="G2564"/>
  <c r="E2564"/>
  <c r="B2564"/>
  <c r="A2564"/>
  <c r="W2563"/>
  <c r="S2563"/>
  <c r="Q2563"/>
  <c r="P2563"/>
  <c r="M2563"/>
  <c r="K2563"/>
  <c r="H2563"/>
  <c r="C2563"/>
  <c r="G2563"/>
  <c r="E2563"/>
  <c r="B2563"/>
  <c r="A2563"/>
  <c r="W2562"/>
  <c r="S2562"/>
  <c r="Q2562"/>
  <c r="P2562"/>
  <c r="M2562"/>
  <c r="K2562"/>
  <c r="H2562"/>
  <c r="C2562"/>
  <c r="G2562"/>
  <c r="E2562"/>
  <c r="B2562"/>
  <c r="A2562"/>
  <c r="W2561"/>
  <c r="S2561"/>
  <c r="Q2561"/>
  <c r="P2561"/>
  <c r="M2561"/>
  <c r="K2561"/>
  <c r="H2561"/>
  <c r="C2561"/>
  <c r="G2561"/>
  <c r="E2561"/>
  <c r="B2561"/>
  <c r="A2561"/>
  <c r="W2560"/>
  <c r="S2560"/>
  <c r="Q2560"/>
  <c r="P2560"/>
  <c r="M2560"/>
  <c r="K2560"/>
  <c r="H2560"/>
  <c r="C2560"/>
  <c r="G2560"/>
  <c r="E2560"/>
  <c r="B2560"/>
  <c r="A2560"/>
  <c r="W2559"/>
  <c r="S2559"/>
  <c r="Q2559"/>
  <c r="P2559"/>
  <c r="M2559"/>
  <c r="K2559"/>
  <c r="H2559"/>
  <c r="C2559"/>
  <c r="G2559"/>
  <c r="E2559"/>
  <c r="B2559"/>
  <c r="A2559"/>
  <c r="W2558"/>
  <c r="S2558"/>
  <c r="Q2558"/>
  <c r="P2558"/>
  <c r="M2558"/>
  <c r="K2558"/>
  <c r="H2558"/>
  <c r="C2558"/>
  <c r="G2558"/>
  <c r="E2558"/>
  <c r="B2558"/>
  <c r="A2558"/>
  <c r="W2557"/>
  <c r="S2557"/>
  <c r="Q2557"/>
  <c r="P2557"/>
  <c r="M2557"/>
  <c r="K2557"/>
  <c r="H2557"/>
  <c r="C2557"/>
  <c r="G2557"/>
  <c r="E2557"/>
  <c r="B2557"/>
  <c r="A2557"/>
  <c r="W2556"/>
  <c r="S2556"/>
  <c r="Q2556"/>
  <c r="P2556"/>
  <c r="M2556"/>
  <c r="K2556"/>
  <c r="H2556"/>
  <c r="C2556"/>
  <c r="G2556"/>
  <c r="E2556"/>
  <c r="B2556"/>
  <c r="A2556"/>
  <c r="W2555"/>
  <c r="S2555"/>
  <c r="Q2555"/>
  <c r="P2555"/>
  <c r="M2555"/>
  <c r="K2555"/>
  <c r="H2555"/>
  <c r="C2555"/>
  <c r="G2555"/>
  <c r="E2555"/>
  <c r="B2555"/>
  <c r="A2555"/>
  <c r="W2554"/>
  <c r="S2554"/>
  <c r="Q2554"/>
  <c r="P2554"/>
  <c r="M2554"/>
  <c r="K2554"/>
  <c r="H2554"/>
  <c r="C2554"/>
  <c r="G2554"/>
  <c r="E2554"/>
  <c r="B2554"/>
  <c r="A2554"/>
  <c r="W2553"/>
  <c r="S2553"/>
  <c r="Q2553"/>
  <c r="P2553"/>
  <c r="M2553"/>
  <c r="K2553"/>
  <c r="H2553"/>
  <c r="C2553"/>
  <c r="G2553"/>
  <c r="E2553"/>
  <c r="B2553"/>
  <c r="A2553"/>
  <c r="W2552"/>
  <c r="S2552"/>
  <c r="Q2552"/>
  <c r="P2552"/>
  <c r="M2552"/>
  <c r="K2552"/>
  <c r="H2552"/>
  <c r="C2552"/>
  <c r="G2552"/>
  <c r="E2552"/>
  <c r="B2552"/>
  <c r="A2552"/>
  <c r="W2551"/>
  <c r="S2551"/>
  <c r="Q2551"/>
  <c r="P2551"/>
  <c r="M2551"/>
  <c r="K2551"/>
  <c r="H2551"/>
  <c r="C2551"/>
  <c r="G2551"/>
  <c r="E2551"/>
  <c r="B2551"/>
  <c r="A2551"/>
  <c r="W2550"/>
  <c r="S2550"/>
  <c r="Q2550"/>
  <c r="P2550"/>
  <c r="M2550"/>
  <c r="K2550"/>
  <c r="H2550"/>
  <c r="C2550"/>
  <c r="G2550"/>
  <c r="E2550"/>
  <c r="B2550"/>
  <c r="A2550"/>
  <c r="W2549"/>
  <c r="S2549"/>
  <c r="Q2549"/>
  <c r="P2549"/>
  <c r="M2549"/>
  <c r="K2549"/>
  <c r="H2549"/>
  <c r="C2549"/>
  <c r="G2549"/>
  <c r="E2549"/>
  <c r="B2549"/>
  <c r="A2549"/>
  <c r="W2548"/>
  <c r="S2548"/>
  <c r="Q2548"/>
  <c r="P2548"/>
  <c r="M2548"/>
  <c r="K2548"/>
  <c r="H2548"/>
  <c r="C2548"/>
  <c r="G2548"/>
  <c r="E2548"/>
  <c r="B2548"/>
  <c r="A2548"/>
  <c r="W2547"/>
  <c r="S2547"/>
  <c r="Q2547"/>
  <c r="P2547"/>
  <c r="M2547"/>
  <c r="K2547"/>
  <c r="H2547"/>
  <c r="C2547"/>
  <c r="G2547"/>
  <c r="E2547"/>
  <c r="B2547"/>
  <c r="A2547"/>
  <c r="W2546"/>
  <c r="S2546"/>
  <c r="Q2546"/>
  <c r="P2546"/>
  <c r="M2546"/>
  <c r="K2546"/>
  <c r="H2546"/>
  <c r="C2546"/>
  <c r="G2546"/>
  <c r="E2546"/>
  <c r="B2546"/>
  <c r="A2546"/>
  <c r="W2545"/>
  <c r="S2545"/>
  <c r="Q2545"/>
  <c r="P2545"/>
  <c r="M2545"/>
  <c r="K2545"/>
  <c r="H2545"/>
  <c r="C2545"/>
  <c r="G2545"/>
  <c r="E2545"/>
  <c r="B2545"/>
  <c r="A2545"/>
  <c r="W2544"/>
  <c r="S2544"/>
  <c r="Q2544"/>
  <c r="P2544"/>
  <c r="M2544"/>
  <c r="K2544"/>
  <c r="H2544"/>
  <c r="C2544"/>
  <c r="G2544"/>
  <c r="E2544"/>
  <c r="B2544"/>
  <c r="A2544"/>
  <c r="W2543"/>
  <c r="S2543"/>
  <c r="Q2543"/>
  <c r="P2543"/>
  <c r="M2543"/>
  <c r="K2543"/>
  <c r="H2543"/>
  <c r="C2543"/>
  <c r="G2543"/>
  <c r="E2543"/>
  <c r="B2543"/>
  <c r="A2543"/>
  <c r="W2542"/>
  <c r="S2542"/>
  <c r="Q2542"/>
  <c r="P2542"/>
  <c r="M2542"/>
  <c r="K2542"/>
  <c r="H2542"/>
  <c r="C2542"/>
  <c r="G2542"/>
  <c r="E2542"/>
  <c r="B2542"/>
  <c r="A2542"/>
  <c r="W2541"/>
  <c r="S2541"/>
  <c r="Q2541"/>
  <c r="P2541"/>
  <c r="M2541"/>
  <c r="K2541"/>
  <c r="H2541"/>
  <c r="C2541"/>
  <c r="G2541"/>
  <c r="E2541"/>
  <c r="B2541"/>
  <c r="A2541"/>
  <c r="W2540"/>
  <c r="S2540"/>
  <c r="Q2540"/>
  <c r="P2540"/>
  <c r="M2540"/>
  <c r="K2540"/>
  <c r="H2540"/>
  <c r="C2540"/>
  <c r="G2540"/>
  <c r="E2540"/>
  <c r="B2540"/>
  <c r="A2540"/>
  <c r="W2539"/>
  <c r="S2539"/>
  <c r="Q2539"/>
  <c r="P2539"/>
  <c r="M2539"/>
  <c r="K2539"/>
  <c r="H2539"/>
  <c r="C2539"/>
  <c r="G2539"/>
  <c r="E2539"/>
  <c r="B2539"/>
  <c r="A2539"/>
  <c r="W2538"/>
  <c r="S2538"/>
  <c r="Q2538"/>
  <c r="P2538"/>
  <c r="M2538"/>
  <c r="K2538"/>
  <c r="H2538"/>
  <c r="C2538"/>
  <c r="G2538"/>
  <c r="E2538"/>
  <c r="B2538"/>
  <c r="A2538"/>
  <c r="W2537"/>
  <c r="S2537"/>
  <c r="Q2537"/>
  <c r="P2537"/>
  <c r="M2537"/>
  <c r="K2537"/>
  <c r="H2537"/>
  <c r="C2537"/>
  <c r="G2537"/>
  <c r="E2537"/>
  <c r="B2537"/>
  <c r="A2537"/>
  <c r="W2536"/>
  <c r="S2536"/>
  <c r="Q2536"/>
  <c r="P2536"/>
  <c r="N2536"/>
  <c r="M2536"/>
  <c r="K2536"/>
  <c r="H2536"/>
  <c r="C2536"/>
  <c r="G2536"/>
  <c r="E2536"/>
  <c r="B2536"/>
  <c r="A2536"/>
  <c r="W2535"/>
  <c r="S2535"/>
  <c r="Q2535"/>
  <c r="P2535"/>
  <c r="M2535"/>
  <c r="K2535"/>
  <c r="H2535"/>
  <c r="C2535"/>
  <c r="G2535"/>
  <c r="E2535"/>
  <c r="B2535"/>
  <c r="A2535"/>
  <c r="W2534"/>
  <c r="S2534"/>
  <c r="Q2534"/>
  <c r="P2534"/>
  <c r="M2534"/>
  <c r="K2534"/>
  <c r="H2534"/>
  <c r="C2534"/>
  <c r="G2534"/>
  <c r="E2534"/>
  <c r="B2534"/>
  <c r="A2534"/>
  <c r="W2533"/>
  <c r="S2533"/>
  <c r="Q2533"/>
  <c r="P2533"/>
  <c r="M2533"/>
  <c r="K2533"/>
  <c r="H2533"/>
  <c r="C2533"/>
  <c r="G2533"/>
  <c r="E2533"/>
  <c r="B2533"/>
  <c r="A2533"/>
  <c r="W2532"/>
  <c r="S2532"/>
  <c r="Q2532"/>
  <c r="P2532"/>
  <c r="M2532"/>
  <c r="K2532"/>
  <c r="H2532"/>
  <c r="C2532"/>
  <c r="G2532"/>
  <c r="E2532"/>
  <c r="B2532"/>
  <c r="A2532"/>
  <c r="W2531"/>
  <c r="S2531"/>
  <c r="Q2531"/>
  <c r="P2531"/>
  <c r="N2531"/>
  <c r="M2531"/>
  <c r="K2531"/>
  <c r="H2531"/>
  <c r="C2531"/>
  <c r="G2531"/>
  <c r="E2531"/>
  <c r="B2531"/>
  <c r="A2531"/>
  <c r="W2530"/>
  <c r="S2530"/>
  <c r="Q2530"/>
  <c r="P2530"/>
  <c r="M2530"/>
  <c r="K2530"/>
  <c r="H2530"/>
  <c r="C2530"/>
  <c r="G2530"/>
  <c r="E2530"/>
  <c r="B2530"/>
  <c r="A2530"/>
  <c r="W2529"/>
  <c r="S2529"/>
  <c r="Q2529"/>
  <c r="P2529"/>
  <c r="M2529"/>
  <c r="K2529"/>
  <c r="H2529"/>
  <c r="C2529"/>
  <c r="G2529"/>
  <c r="E2529"/>
  <c r="B2529"/>
  <c r="A2529"/>
  <c r="W2528"/>
  <c r="S2528"/>
  <c r="Q2528"/>
  <c r="P2528"/>
  <c r="M2528"/>
  <c r="K2528"/>
  <c r="H2528"/>
  <c r="C2528"/>
  <c r="G2528"/>
  <c r="E2528"/>
  <c r="B2528"/>
  <c r="A2528"/>
  <c r="W2527"/>
  <c r="S2527"/>
  <c r="Q2527"/>
  <c r="P2527"/>
  <c r="M2527"/>
  <c r="K2527"/>
  <c r="H2527"/>
  <c r="C2527"/>
  <c r="G2527"/>
  <c r="E2527"/>
  <c r="B2527"/>
  <c r="A2527"/>
  <c r="W2526"/>
  <c r="S2526"/>
  <c r="Q2526"/>
  <c r="P2526"/>
  <c r="N2526"/>
  <c r="M2526"/>
  <c r="K2526"/>
  <c r="H2526"/>
  <c r="C2526"/>
  <c r="G2526"/>
  <c r="E2526"/>
  <c r="B2526"/>
  <c r="A2526"/>
  <c r="W2525"/>
  <c r="S2525"/>
  <c r="Q2525"/>
  <c r="P2525"/>
  <c r="M2525"/>
  <c r="K2525"/>
  <c r="H2525"/>
  <c r="C2525"/>
  <c r="G2525"/>
  <c r="E2525"/>
  <c r="B2525"/>
  <c r="A2525"/>
  <c r="W2524"/>
  <c r="S2524"/>
  <c r="R2524"/>
  <c r="Q2524"/>
  <c r="P2524"/>
  <c r="M2524"/>
  <c r="K2524"/>
  <c r="H2524"/>
  <c r="C2524"/>
  <c r="G2524"/>
  <c r="E2524"/>
  <c r="B2524"/>
  <c r="A2524"/>
  <c r="W2523"/>
  <c r="S2523"/>
  <c r="Q2523"/>
  <c r="P2523"/>
  <c r="M2523"/>
  <c r="K2523"/>
  <c r="H2523"/>
  <c r="C2523"/>
  <c r="G2523"/>
  <c r="E2523"/>
  <c r="B2523"/>
  <c r="A2523"/>
  <c r="W2522"/>
  <c r="S2522"/>
  <c r="R2522"/>
  <c r="Q2522"/>
  <c r="P2522"/>
  <c r="M2522"/>
  <c r="K2522"/>
  <c r="H2522"/>
  <c r="C2522"/>
  <c r="G2522"/>
  <c r="E2522"/>
  <c r="B2522"/>
  <c r="A2522"/>
  <c r="W2521"/>
  <c r="S2521"/>
  <c r="Q2521"/>
  <c r="P2521"/>
  <c r="M2521"/>
  <c r="K2521"/>
  <c r="H2521"/>
  <c r="C2521"/>
  <c r="G2521"/>
  <c r="E2521"/>
  <c r="B2521"/>
  <c r="A2521"/>
  <c r="W2520"/>
  <c r="S2520"/>
  <c r="R2520"/>
  <c r="Q2520"/>
  <c r="P2520"/>
  <c r="M2520"/>
  <c r="K2520"/>
  <c r="H2520"/>
  <c r="C2520"/>
  <c r="G2520"/>
  <c r="E2520"/>
  <c r="B2520"/>
  <c r="A2520"/>
  <c r="W2519"/>
  <c r="S2519"/>
  <c r="Q2519"/>
  <c r="P2519"/>
  <c r="M2519"/>
  <c r="K2519"/>
  <c r="H2519"/>
  <c r="C2519"/>
  <c r="G2519"/>
  <c r="E2519"/>
  <c r="B2519"/>
  <c r="A2519"/>
  <c r="W2518"/>
  <c r="S2518"/>
  <c r="R2518"/>
  <c r="Q2518"/>
  <c r="P2518"/>
  <c r="M2518"/>
  <c r="K2518"/>
  <c r="H2518"/>
  <c r="C2518"/>
  <c r="G2518"/>
  <c r="E2518"/>
  <c r="B2518"/>
  <c r="A2518"/>
  <c r="W2517"/>
  <c r="S2517"/>
  <c r="Q2517"/>
  <c r="P2517"/>
  <c r="M2517"/>
  <c r="K2517"/>
  <c r="H2517"/>
  <c r="C2517"/>
  <c r="G2517"/>
  <c r="E2517"/>
  <c r="B2517"/>
  <c r="A2517"/>
  <c r="W2516"/>
  <c r="S2516"/>
  <c r="R2516"/>
  <c r="Q2516"/>
  <c r="P2516"/>
  <c r="M2516"/>
  <c r="K2516"/>
  <c r="H2516"/>
  <c r="C2516"/>
  <c r="G2516"/>
  <c r="E2516"/>
  <c r="B2516"/>
  <c r="A2516"/>
  <c r="W2515"/>
  <c r="S2515"/>
  <c r="Q2515"/>
  <c r="P2515"/>
  <c r="M2515"/>
  <c r="K2515"/>
  <c r="H2515"/>
  <c r="C2515"/>
  <c r="G2515"/>
  <c r="E2515"/>
  <c r="B2515"/>
  <c r="A2515"/>
  <c r="W2514"/>
  <c r="S2514"/>
  <c r="R2514"/>
  <c r="Q2514"/>
  <c r="P2514"/>
  <c r="M2514"/>
  <c r="K2514"/>
  <c r="H2514"/>
  <c r="C2514"/>
  <c r="G2514"/>
  <c r="E2514"/>
  <c r="B2514"/>
  <c r="A2514"/>
  <c r="W2513"/>
  <c r="S2513"/>
  <c r="Q2513"/>
  <c r="P2513"/>
  <c r="M2513"/>
  <c r="K2513"/>
  <c r="H2513"/>
  <c r="C2513"/>
  <c r="G2513"/>
  <c r="E2513"/>
  <c r="B2513"/>
  <c r="A2513"/>
  <c r="W2512"/>
  <c r="S2512"/>
  <c r="R2512"/>
  <c r="Q2512"/>
  <c r="P2512"/>
  <c r="M2512"/>
  <c r="K2512"/>
  <c r="H2512"/>
  <c r="C2512"/>
  <c r="G2512"/>
  <c r="E2512"/>
  <c r="B2512"/>
  <c r="A2512"/>
  <c r="W2511"/>
  <c r="S2511"/>
  <c r="Q2511"/>
  <c r="P2511"/>
  <c r="M2511"/>
  <c r="K2511"/>
  <c r="H2511"/>
  <c r="C2511"/>
  <c r="G2511"/>
  <c r="E2511"/>
  <c r="B2511"/>
  <c r="A2511"/>
  <c r="W2510"/>
  <c r="S2510"/>
  <c r="R2510"/>
  <c r="Q2510"/>
  <c r="P2510"/>
  <c r="M2510"/>
  <c r="K2510"/>
  <c r="H2510"/>
  <c r="C2510"/>
  <c r="G2510"/>
  <c r="E2510"/>
  <c r="B2510"/>
  <c r="A2510"/>
  <c r="W2509"/>
  <c r="S2509"/>
  <c r="Q2509"/>
  <c r="P2509"/>
  <c r="M2509"/>
  <c r="K2509"/>
  <c r="H2509"/>
  <c r="C2509"/>
  <c r="G2509"/>
  <c r="E2509"/>
  <c r="B2509"/>
  <c r="A2509"/>
  <c r="W2508"/>
  <c r="S2508"/>
  <c r="R2508"/>
  <c r="Q2508"/>
  <c r="P2508"/>
  <c r="M2508"/>
  <c r="K2508"/>
  <c r="H2508"/>
  <c r="C2508"/>
  <c r="G2508"/>
  <c r="E2508"/>
  <c r="B2508"/>
  <c r="A2508"/>
  <c r="W2507"/>
  <c r="S2507"/>
  <c r="Q2507"/>
  <c r="P2507"/>
  <c r="M2507"/>
  <c r="K2507"/>
  <c r="H2507"/>
  <c r="C2507"/>
  <c r="G2507"/>
  <c r="E2507"/>
  <c r="B2507"/>
  <c r="A2507"/>
  <c r="W2506"/>
  <c r="S2506"/>
  <c r="R2506"/>
  <c r="Q2506"/>
  <c r="P2506"/>
  <c r="M2506"/>
  <c r="K2506"/>
  <c r="H2506"/>
  <c r="C2506"/>
  <c r="G2506"/>
  <c r="E2506"/>
  <c r="B2506"/>
  <c r="A2506"/>
  <c r="W2505"/>
  <c r="S2505"/>
  <c r="Q2505"/>
  <c r="P2505"/>
  <c r="M2505"/>
  <c r="K2505"/>
  <c r="H2505"/>
  <c r="C2505"/>
  <c r="G2505"/>
  <c r="E2505"/>
  <c r="B2505"/>
  <c r="A2505"/>
  <c r="W2504"/>
  <c r="S2504"/>
  <c r="R2504"/>
  <c r="Q2504"/>
  <c r="P2504"/>
  <c r="M2504"/>
  <c r="K2504"/>
  <c r="H2504"/>
  <c r="C2504"/>
  <c r="G2504"/>
  <c r="E2504"/>
  <c r="B2504"/>
  <c r="A2504"/>
  <c r="W2503"/>
  <c r="S2503"/>
  <c r="Q2503"/>
  <c r="P2503"/>
  <c r="M2503"/>
  <c r="K2503"/>
  <c r="H2503"/>
  <c r="C2503"/>
  <c r="G2503"/>
  <c r="E2503"/>
  <c r="B2503"/>
  <c r="A2503"/>
  <c r="W2502"/>
  <c r="S2502"/>
  <c r="R2502"/>
  <c r="Q2502"/>
  <c r="P2502"/>
  <c r="M2502"/>
  <c r="K2502"/>
  <c r="H2502"/>
  <c r="C2502"/>
  <c r="G2502"/>
  <c r="E2502"/>
  <c r="B2502"/>
  <c r="A2502"/>
  <c r="W2501"/>
  <c r="S2501"/>
  <c r="Q2501"/>
  <c r="P2501"/>
  <c r="M2501"/>
  <c r="K2501"/>
  <c r="H2501"/>
  <c r="C2501"/>
  <c r="G2501"/>
  <c r="E2501"/>
  <c r="B2501"/>
  <c r="A2501"/>
  <c r="W2500"/>
  <c r="S2500"/>
  <c r="R2500"/>
  <c r="Q2500"/>
  <c r="P2500"/>
  <c r="M2500"/>
  <c r="K2500"/>
  <c r="H2500"/>
  <c r="C2500"/>
  <c r="G2500"/>
  <c r="E2500"/>
  <c r="B2500"/>
  <c r="A2500"/>
  <c r="W2499"/>
  <c r="S2499"/>
  <c r="Q2499"/>
  <c r="P2499"/>
  <c r="M2499"/>
  <c r="K2499"/>
  <c r="H2499"/>
  <c r="C2499"/>
  <c r="G2499"/>
  <c r="E2499"/>
  <c r="B2499"/>
  <c r="A2499"/>
  <c r="W2498"/>
  <c r="S2498"/>
  <c r="R2498"/>
  <c r="Q2498"/>
  <c r="P2498"/>
  <c r="M2498"/>
  <c r="K2498"/>
  <c r="H2498"/>
  <c r="C2498"/>
  <c r="G2498"/>
  <c r="E2498"/>
  <c r="B2498"/>
  <c r="A2498"/>
  <c r="W2497"/>
  <c r="S2497"/>
  <c r="Q2497"/>
  <c r="P2497"/>
  <c r="M2497"/>
  <c r="K2497"/>
  <c r="H2497"/>
  <c r="C2497"/>
  <c r="G2497"/>
  <c r="E2497"/>
  <c r="B2497"/>
  <c r="A2497"/>
  <c r="W2496"/>
  <c r="S2496"/>
  <c r="R2496"/>
  <c r="Q2496"/>
  <c r="P2496"/>
  <c r="M2496"/>
  <c r="K2496"/>
  <c r="H2496"/>
  <c r="C2496"/>
  <c r="G2496"/>
  <c r="E2496"/>
  <c r="B2496"/>
  <c r="A2496"/>
  <c r="W2495"/>
  <c r="S2495"/>
  <c r="Q2495"/>
  <c r="P2495"/>
  <c r="M2495"/>
  <c r="K2495"/>
  <c r="H2495"/>
  <c r="C2495"/>
  <c r="G2495"/>
  <c r="E2495"/>
  <c r="B2495"/>
  <c r="A2495"/>
  <c r="W2494"/>
  <c r="S2494"/>
  <c r="R2494"/>
  <c r="Q2494"/>
  <c r="P2494"/>
  <c r="M2494"/>
  <c r="K2494"/>
  <c r="H2494"/>
  <c r="C2494"/>
  <c r="G2494"/>
  <c r="E2494"/>
  <c r="B2494"/>
  <c r="A2494"/>
  <c r="W2493"/>
  <c r="S2493"/>
  <c r="Q2493"/>
  <c r="P2493"/>
  <c r="M2493"/>
  <c r="K2493"/>
  <c r="H2493"/>
  <c r="C2493"/>
  <c r="G2493"/>
  <c r="E2493"/>
  <c r="B2493"/>
  <c r="A2493"/>
  <c r="W2492"/>
  <c r="S2492"/>
  <c r="R2492"/>
  <c r="Q2492"/>
  <c r="P2492"/>
  <c r="M2492"/>
  <c r="K2492"/>
  <c r="H2492"/>
  <c r="C2492"/>
  <c r="G2492"/>
  <c r="E2492"/>
  <c r="B2492"/>
  <c r="A2492"/>
  <c r="W2491"/>
  <c r="S2491"/>
  <c r="Q2491"/>
  <c r="P2491"/>
  <c r="M2491"/>
  <c r="K2491"/>
  <c r="H2491"/>
  <c r="C2491"/>
  <c r="G2491"/>
  <c r="E2491"/>
  <c r="B2491"/>
  <c r="A2491"/>
  <c r="W2490"/>
  <c r="S2490"/>
  <c r="R2490"/>
  <c r="Q2490"/>
  <c r="P2490"/>
  <c r="M2490"/>
  <c r="K2490"/>
  <c r="H2490"/>
  <c r="C2490"/>
  <c r="G2490"/>
  <c r="E2490"/>
  <c r="B2490"/>
  <c r="A2490"/>
  <c r="W2489"/>
  <c r="S2489"/>
  <c r="Q2489"/>
  <c r="P2489"/>
  <c r="M2489"/>
  <c r="K2489"/>
  <c r="H2489"/>
  <c r="C2489"/>
  <c r="G2489"/>
  <c r="E2489"/>
  <c r="B2489"/>
  <c r="A2489"/>
  <c r="W2488"/>
  <c r="S2488"/>
  <c r="R2488"/>
  <c r="Q2488"/>
  <c r="P2488"/>
  <c r="M2488"/>
  <c r="K2488"/>
  <c r="H2488"/>
  <c r="C2488"/>
  <c r="G2488"/>
  <c r="E2488"/>
  <c r="B2488"/>
  <c r="A2488"/>
  <c r="W2487"/>
  <c r="S2487"/>
  <c r="Q2487"/>
  <c r="P2487"/>
  <c r="M2487"/>
  <c r="K2487"/>
  <c r="H2487"/>
  <c r="C2487"/>
  <c r="G2487"/>
  <c r="E2487"/>
  <c r="B2487"/>
  <c r="A2487"/>
  <c r="W2486"/>
  <c r="S2486"/>
  <c r="R2486"/>
  <c r="Q2486"/>
  <c r="P2486"/>
  <c r="M2486"/>
  <c r="K2486"/>
  <c r="H2486"/>
  <c r="C2486"/>
  <c r="G2486"/>
  <c r="E2486"/>
  <c r="B2486"/>
  <c r="A2486"/>
  <c r="W2485"/>
  <c r="S2485"/>
  <c r="Q2485"/>
  <c r="P2485"/>
  <c r="M2485"/>
  <c r="K2485"/>
  <c r="H2485"/>
  <c r="C2485"/>
  <c r="G2485"/>
  <c r="E2485"/>
  <c r="B2485"/>
  <c r="A2485"/>
  <c r="W2484"/>
  <c r="S2484"/>
  <c r="R2484"/>
  <c r="Q2484"/>
  <c r="P2484"/>
  <c r="M2484"/>
  <c r="K2484"/>
  <c r="H2484"/>
  <c r="C2484"/>
  <c r="G2484"/>
  <c r="E2484"/>
  <c r="B2484"/>
  <c r="A2484"/>
  <c r="W2483"/>
  <c r="S2483"/>
  <c r="Q2483"/>
  <c r="P2483"/>
  <c r="M2483"/>
  <c r="K2483"/>
  <c r="H2483"/>
  <c r="C2483"/>
  <c r="G2483"/>
  <c r="E2483"/>
  <c r="B2483"/>
  <c r="A2483"/>
  <c r="W2482"/>
  <c r="S2482"/>
  <c r="R2482"/>
  <c r="Q2482"/>
  <c r="P2482"/>
  <c r="M2482"/>
  <c r="K2482"/>
  <c r="H2482"/>
  <c r="C2482"/>
  <c r="G2482"/>
  <c r="E2482"/>
  <c r="B2482"/>
  <c r="A2482"/>
  <c r="W2481"/>
  <c r="S2481"/>
  <c r="Q2481"/>
  <c r="P2481"/>
  <c r="M2481"/>
  <c r="K2481"/>
  <c r="H2481"/>
  <c r="C2481"/>
  <c r="G2481"/>
  <c r="E2481"/>
  <c r="B2481"/>
  <c r="A2481"/>
  <c r="W2480"/>
  <c r="S2480"/>
  <c r="R2480"/>
  <c r="Q2480"/>
  <c r="P2480"/>
  <c r="M2480"/>
  <c r="K2480"/>
  <c r="H2480"/>
  <c r="C2480"/>
  <c r="G2480"/>
  <c r="E2480"/>
  <c r="B2480"/>
  <c r="A2480"/>
  <c r="W2479"/>
  <c r="S2479"/>
  <c r="Q2479"/>
  <c r="P2479"/>
  <c r="M2479"/>
  <c r="K2479"/>
  <c r="H2479"/>
  <c r="C2479"/>
  <c r="G2479"/>
  <c r="E2479"/>
  <c r="B2479"/>
  <c r="A2479"/>
  <c r="W2478"/>
  <c r="S2478"/>
  <c r="R2478"/>
  <c r="Q2478"/>
  <c r="P2478"/>
  <c r="M2478"/>
  <c r="K2478"/>
  <c r="H2478"/>
  <c r="C2478"/>
  <c r="G2478"/>
  <c r="E2478"/>
  <c r="B2478"/>
  <c r="A2478"/>
  <c r="W2477"/>
  <c r="S2477"/>
  <c r="Q2477"/>
  <c r="P2477"/>
  <c r="M2477"/>
  <c r="K2477"/>
  <c r="H2477"/>
  <c r="C2477"/>
  <c r="G2477"/>
  <c r="E2477"/>
  <c r="B2477"/>
  <c r="A2477"/>
  <c r="W2476"/>
  <c r="S2476"/>
  <c r="R2476"/>
  <c r="Q2476"/>
  <c r="P2476"/>
  <c r="M2476"/>
  <c r="K2476"/>
  <c r="H2476"/>
  <c r="C2476"/>
  <c r="G2476"/>
  <c r="E2476"/>
  <c r="B2476"/>
  <c r="A2476"/>
  <c r="W2475"/>
  <c r="S2475"/>
  <c r="Q2475"/>
  <c r="P2475"/>
  <c r="M2475"/>
  <c r="K2475"/>
  <c r="H2475"/>
  <c r="C2475"/>
  <c r="G2475"/>
  <c r="E2475"/>
  <c r="B2475"/>
  <c r="A2475"/>
  <c r="W2474"/>
  <c r="S2474"/>
  <c r="R2474"/>
  <c r="Q2474"/>
  <c r="P2474"/>
  <c r="M2474"/>
  <c r="K2474"/>
  <c r="H2474"/>
  <c r="C2474"/>
  <c r="G2474"/>
  <c r="E2474"/>
  <c r="B2474"/>
  <c r="A2474"/>
  <c r="W2473"/>
  <c r="S2473"/>
  <c r="Q2473"/>
  <c r="P2473"/>
  <c r="M2473"/>
  <c r="K2473"/>
  <c r="H2473"/>
  <c r="C2473"/>
  <c r="G2473"/>
  <c r="E2473"/>
  <c r="B2473"/>
  <c r="A2473"/>
  <c r="W2472"/>
  <c r="S2472"/>
  <c r="R2472"/>
  <c r="Q2472"/>
  <c r="P2472"/>
  <c r="M2472"/>
  <c r="K2472"/>
  <c r="H2472"/>
  <c r="C2472"/>
  <c r="G2472"/>
  <c r="E2472"/>
  <c r="B2472"/>
  <c r="A2472"/>
  <c r="W2471"/>
  <c r="S2471"/>
  <c r="Q2471"/>
  <c r="P2471"/>
  <c r="M2471"/>
  <c r="K2471"/>
  <c r="H2471"/>
  <c r="C2471"/>
  <c r="G2471"/>
  <c r="E2471"/>
  <c r="B2471"/>
  <c r="A2471"/>
  <c r="W2470"/>
  <c r="S2470"/>
  <c r="R2470"/>
  <c r="Q2470"/>
  <c r="P2470"/>
  <c r="M2470"/>
  <c r="K2470"/>
  <c r="H2470"/>
  <c r="C2470"/>
  <c r="G2470"/>
  <c r="E2470"/>
  <c r="B2470"/>
  <c r="A2470"/>
  <c r="W2469"/>
  <c r="S2469"/>
  <c r="Q2469"/>
  <c r="P2469"/>
  <c r="M2469"/>
  <c r="K2469"/>
  <c r="H2469"/>
  <c r="C2469"/>
  <c r="G2469"/>
  <c r="E2469"/>
  <c r="B2469"/>
  <c r="A2469"/>
  <c r="W2468"/>
  <c r="S2468"/>
  <c r="R2468"/>
  <c r="Q2468"/>
  <c r="P2468"/>
  <c r="M2468"/>
  <c r="K2468"/>
  <c r="H2468"/>
  <c r="C2468"/>
  <c r="G2468"/>
  <c r="E2468"/>
  <c r="B2468"/>
  <c r="A2468"/>
  <c r="W2467"/>
  <c r="S2467"/>
  <c r="Q2467"/>
  <c r="P2467"/>
  <c r="M2467"/>
  <c r="K2467"/>
  <c r="H2467"/>
  <c r="C2467"/>
  <c r="G2467"/>
  <c r="E2467"/>
  <c r="B2467"/>
  <c r="A2467"/>
  <c r="W2466"/>
  <c r="S2466"/>
  <c r="R2466"/>
  <c r="Q2466"/>
  <c r="P2466"/>
  <c r="M2466"/>
  <c r="K2466"/>
  <c r="H2466"/>
  <c r="C2466"/>
  <c r="G2466"/>
  <c r="E2466"/>
  <c r="B2466"/>
  <c r="A2466"/>
  <c r="W2465"/>
  <c r="S2465"/>
  <c r="Q2465"/>
  <c r="P2465"/>
  <c r="M2465"/>
  <c r="K2465"/>
  <c r="H2465"/>
  <c r="C2465"/>
  <c r="G2465"/>
  <c r="E2465"/>
  <c r="B2465"/>
  <c r="A2465"/>
  <c r="W2464"/>
  <c r="S2464"/>
  <c r="R2464"/>
  <c r="Q2464"/>
  <c r="P2464"/>
  <c r="M2464"/>
  <c r="K2464"/>
  <c r="H2464"/>
  <c r="C2464"/>
  <c r="G2464"/>
  <c r="E2464"/>
  <c r="B2464"/>
  <c r="A2464"/>
  <c r="W2463"/>
  <c r="S2463"/>
  <c r="Q2463"/>
  <c r="P2463"/>
  <c r="M2463"/>
  <c r="K2463"/>
  <c r="H2463"/>
  <c r="C2463"/>
  <c r="G2463"/>
  <c r="E2463"/>
  <c r="B2463"/>
  <c r="A2463"/>
  <c r="W2462"/>
  <c r="S2462"/>
  <c r="R2462"/>
  <c r="Q2462"/>
  <c r="P2462"/>
  <c r="M2462"/>
  <c r="K2462"/>
  <c r="H2462"/>
  <c r="C2462"/>
  <c r="G2462"/>
  <c r="E2462"/>
  <c r="B2462"/>
  <c r="A2462"/>
  <c r="W2461"/>
  <c r="S2461"/>
  <c r="Q2461"/>
  <c r="P2461"/>
  <c r="M2461"/>
  <c r="K2461"/>
  <c r="H2461"/>
  <c r="C2461"/>
  <c r="G2461"/>
  <c r="E2461"/>
  <c r="B2461"/>
  <c r="A2461"/>
  <c r="W2460"/>
  <c r="S2460"/>
  <c r="R2460"/>
  <c r="Q2460"/>
  <c r="P2460"/>
  <c r="M2460"/>
  <c r="K2460"/>
  <c r="H2460"/>
  <c r="C2460"/>
  <c r="G2460"/>
  <c r="E2460"/>
  <c r="B2460"/>
  <c r="A2460"/>
  <c r="W2459"/>
  <c r="S2459"/>
  <c r="Q2459"/>
  <c r="P2459"/>
  <c r="M2459"/>
  <c r="K2459"/>
  <c r="H2459"/>
  <c r="C2459"/>
  <c r="G2459"/>
  <c r="E2459"/>
  <c r="B2459"/>
  <c r="A2459"/>
  <c r="W2458"/>
  <c r="S2458"/>
  <c r="R2458"/>
  <c r="Q2458"/>
  <c r="P2458"/>
  <c r="M2458"/>
  <c r="K2458"/>
  <c r="H2458"/>
  <c r="C2458"/>
  <c r="G2458"/>
  <c r="E2458"/>
  <c r="B2458"/>
  <c r="A2458"/>
  <c r="W2457"/>
  <c r="S2457"/>
  <c r="Q2457"/>
  <c r="P2457"/>
  <c r="M2457"/>
  <c r="K2457"/>
  <c r="H2457"/>
  <c r="C2457"/>
  <c r="G2457"/>
  <c r="E2457"/>
  <c r="B2457"/>
  <c r="A2457"/>
  <c r="W2456"/>
  <c r="S2456"/>
  <c r="R2456"/>
  <c r="Q2456"/>
  <c r="P2456"/>
  <c r="M2456"/>
  <c r="K2456"/>
  <c r="H2456"/>
  <c r="C2456"/>
  <c r="G2456"/>
  <c r="E2456"/>
  <c r="B2456"/>
  <c r="A2456"/>
  <c r="W2455"/>
  <c r="S2455"/>
  <c r="Q2455"/>
  <c r="P2455"/>
  <c r="M2455"/>
  <c r="K2455"/>
  <c r="H2455"/>
  <c r="C2455"/>
  <c r="G2455"/>
  <c r="E2455"/>
  <c r="B2455"/>
  <c r="A2455"/>
  <c r="W2454"/>
  <c r="S2454"/>
  <c r="R2454"/>
  <c r="Q2454"/>
  <c r="P2454"/>
  <c r="M2454"/>
  <c r="K2454"/>
  <c r="H2454"/>
  <c r="C2454"/>
  <c r="G2454"/>
  <c r="E2454"/>
  <c r="B2454"/>
  <c r="A2454"/>
  <c r="W2453"/>
  <c r="S2453"/>
  <c r="Q2453"/>
  <c r="P2453"/>
  <c r="M2453"/>
  <c r="K2453"/>
  <c r="H2453"/>
  <c r="C2453"/>
  <c r="G2453"/>
  <c r="E2453"/>
  <c r="B2453"/>
  <c r="A2453"/>
  <c r="W2452"/>
  <c r="S2452"/>
  <c r="R2452"/>
  <c r="Q2452"/>
  <c r="P2452"/>
  <c r="M2452"/>
  <c r="K2452"/>
  <c r="H2452"/>
  <c r="C2452"/>
  <c r="G2452"/>
  <c r="E2452"/>
  <c r="B2452"/>
  <c r="A2452"/>
  <c r="W2451"/>
  <c r="S2451"/>
  <c r="Q2451"/>
  <c r="P2451"/>
  <c r="M2451"/>
  <c r="K2451"/>
  <c r="H2451"/>
  <c r="C2451"/>
  <c r="G2451"/>
  <c r="E2451"/>
  <c r="B2451"/>
  <c r="A2451"/>
  <c r="W2450"/>
  <c r="S2450"/>
  <c r="R2450"/>
  <c r="Q2450"/>
  <c r="P2450"/>
  <c r="M2450"/>
  <c r="K2450"/>
  <c r="H2450"/>
  <c r="C2450"/>
  <c r="G2450"/>
  <c r="E2450"/>
  <c r="B2450"/>
  <c r="A2450"/>
  <c r="W2449"/>
  <c r="S2449"/>
  <c r="Q2449"/>
  <c r="P2449"/>
  <c r="M2449"/>
  <c r="K2449"/>
  <c r="H2449"/>
  <c r="C2449"/>
  <c r="G2449"/>
  <c r="E2449"/>
  <c r="B2449"/>
  <c r="A2449"/>
  <c r="W2448"/>
  <c r="S2448"/>
  <c r="R2448"/>
  <c r="Q2448"/>
  <c r="P2448"/>
  <c r="M2448"/>
  <c r="K2448"/>
  <c r="H2448"/>
  <c r="C2448"/>
  <c r="G2448"/>
  <c r="E2448"/>
  <c r="B2448"/>
  <c r="A2448"/>
  <c r="W2447"/>
  <c r="S2447"/>
  <c r="Q2447"/>
  <c r="P2447"/>
  <c r="M2447"/>
  <c r="K2447"/>
  <c r="H2447"/>
  <c r="C2447"/>
  <c r="G2447"/>
  <c r="E2447"/>
  <c r="B2447"/>
  <c r="A2447"/>
  <c r="W2446"/>
  <c r="S2446"/>
  <c r="R2446"/>
  <c r="Q2446"/>
  <c r="P2446"/>
  <c r="M2446"/>
  <c r="K2446"/>
  <c r="H2446"/>
  <c r="C2446"/>
  <c r="G2446"/>
  <c r="E2446"/>
  <c r="B2446"/>
  <c r="A2446"/>
  <c r="W2445"/>
  <c r="S2445"/>
  <c r="Q2445"/>
  <c r="P2445"/>
  <c r="M2445"/>
  <c r="K2445"/>
  <c r="H2445"/>
  <c r="C2445"/>
  <c r="G2445"/>
  <c r="E2445"/>
  <c r="B2445"/>
  <c r="A2445"/>
  <c r="W2444"/>
  <c r="S2444"/>
  <c r="R2444"/>
  <c r="Q2444"/>
  <c r="P2444"/>
  <c r="M2444"/>
  <c r="K2444"/>
  <c r="H2444"/>
  <c r="C2444"/>
  <c r="G2444"/>
  <c r="E2444"/>
  <c r="B2444"/>
  <c r="A2444"/>
  <c r="W2443"/>
  <c r="S2443"/>
  <c r="Q2443"/>
  <c r="P2443"/>
  <c r="M2443"/>
  <c r="K2443"/>
  <c r="H2443"/>
  <c r="C2443"/>
  <c r="G2443"/>
  <c r="E2443"/>
  <c r="B2443"/>
  <c r="A2443"/>
  <c r="W2442"/>
  <c r="S2442"/>
  <c r="R2442"/>
  <c r="Q2442"/>
  <c r="P2442"/>
  <c r="M2442"/>
  <c r="K2442"/>
  <c r="H2442"/>
  <c r="C2442"/>
  <c r="G2442"/>
  <c r="E2442"/>
  <c r="B2442"/>
  <c r="A2442"/>
  <c r="W2441"/>
  <c r="S2441"/>
  <c r="Q2441"/>
  <c r="P2441"/>
  <c r="M2441"/>
  <c r="K2441"/>
  <c r="H2441"/>
  <c r="C2441"/>
  <c r="G2441"/>
  <c r="E2441"/>
  <c r="B2441"/>
  <c r="A2441"/>
  <c r="W2440"/>
  <c r="S2440"/>
  <c r="R2440"/>
  <c r="Q2440"/>
  <c r="P2440"/>
  <c r="M2440"/>
  <c r="K2440"/>
  <c r="H2440"/>
  <c r="C2440"/>
  <c r="G2440"/>
  <c r="E2440"/>
  <c r="B2440"/>
  <c r="A2440"/>
  <c r="W2439"/>
  <c r="S2439"/>
  <c r="Q2439"/>
  <c r="P2439"/>
  <c r="M2439"/>
  <c r="K2439"/>
  <c r="H2439"/>
  <c r="C2439"/>
  <c r="G2439"/>
  <c r="E2439"/>
  <c r="B2439"/>
  <c r="A2439"/>
  <c r="W2438"/>
  <c r="S2438"/>
  <c r="R2438"/>
  <c r="Q2438"/>
  <c r="P2438"/>
  <c r="M2438"/>
  <c r="K2438"/>
  <c r="H2438"/>
  <c r="C2438"/>
  <c r="G2438"/>
  <c r="E2438"/>
  <c r="B2438"/>
  <c r="A2438"/>
  <c r="W2437"/>
  <c r="S2437"/>
  <c r="Q2437"/>
  <c r="P2437"/>
  <c r="M2437"/>
  <c r="K2437"/>
  <c r="H2437"/>
  <c r="C2437"/>
  <c r="G2437"/>
  <c r="E2437"/>
  <c r="B2437"/>
  <c r="A2437"/>
  <c r="W2436"/>
  <c r="S2436"/>
  <c r="R2436"/>
  <c r="Q2436"/>
  <c r="P2436"/>
  <c r="M2436"/>
  <c r="K2436"/>
  <c r="H2436"/>
  <c r="C2436"/>
  <c r="G2436"/>
  <c r="E2436"/>
  <c r="B2436"/>
  <c r="A2436"/>
  <c r="W2435"/>
  <c r="S2435"/>
  <c r="Q2435"/>
  <c r="P2435"/>
  <c r="M2435"/>
  <c r="K2435"/>
  <c r="H2435"/>
  <c r="C2435"/>
  <c r="G2435"/>
  <c r="E2435"/>
  <c r="B2435"/>
  <c r="A2435"/>
  <c r="W2434"/>
  <c r="S2434"/>
  <c r="R2434"/>
  <c r="Q2434"/>
  <c r="P2434"/>
  <c r="M2434"/>
  <c r="K2434"/>
  <c r="H2434"/>
  <c r="C2434"/>
  <c r="G2434"/>
  <c r="E2434"/>
  <c r="B2434"/>
  <c r="A2434"/>
  <c r="W2433"/>
  <c r="S2433"/>
  <c r="Q2433"/>
  <c r="P2433"/>
  <c r="M2433"/>
  <c r="K2433"/>
  <c r="H2433"/>
  <c r="C2433"/>
  <c r="G2433"/>
  <c r="E2433"/>
  <c r="B2433"/>
  <c r="A2433"/>
  <c r="W2432"/>
  <c r="S2432"/>
  <c r="R2432"/>
  <c r="Q2432"/>
  <c r="P2432"/>
  <c r="M2432"/>
  <c r="K2432"/>
  <c r="H2432"/>
  <c r="C2432"/>
  <c r="G2432"/>
  <c r="E2432"/>
  <c r="B2432"/>
  <c r="A2432"/>
  <c r="W2431"/>
  <c r="S2431"/>
  <c r="Q2431"/>
  <c r="P2431"/>
  <c r="M2431"/>
  <c r="K2431"/>
  <c r="H2431"/>
  <c r="C2431"/>
  <c r="G2431"/>
  <c r="E2431"/>
  <c r="B2431"/>
  <c r="A2431"/>
  <c r="W2430"/>
  <c r="S2430"/>
  <c r="R2430"/>
  <c r="Q2430"/>
  <c r="P2430"/>
  <c r="M2430"/>
  <c r="K2430"/>
  <c r="H2430"/>
  <c r="C2430"/>
  <c r="G2430"/>
  <c r="E2430"/>
  <c r="B2430"/>
  <c r="A2430"/>
  <c r="W2429"/>
  <c r="S2429"/>
  <c r="Q2429"/>
  <c r="P2429"/>
  <c r="M2429"/>
  <c r="K2429"/>
  <c r="H2429"/>
  <c r="C2429"/>
  <c r="G2429"/>
  <c r="E2429"/>
  <c r="B2429"/>
  <c r="A2429"/>
  <c r="W2428"/>
  <c r="S2428"/>
  <c r="R2428"/>
  <c r="Q2428"/>
  <c r="P2428"/>
  <c r="M2428"/>
  <c r="K2428"/>
  <c r="H2428"/>
  <c r="C2428"/>
  <c r="G2428"/>
  <c r="E2428"/>
  <c r="B2428"/>
  <c r="A2428"/>
  <c r="W2427"/>
  <c r="S2427"/>
  <c r="Q2427"/>
  <c r="P2427"/>
  <c r="M2427"/>
  <c r="K2427"/>
  <c r="H2427"/>
  <c r="C2427"/>
  <c r="G2427"/>
  <c r="E2427"/>
  <c r="B2427"/>
  <c r="A2427"/>
  <c r="W2426"/>
  <c r="S2426"/>
  <c r="R2426"/>
  <c r="Q2426"/>
  <c r="P2426"/>
  <c r="M2426"/>
  <c r="K2426"/>
  <c r="H2426"/>
  <c r="C2426"/>
  <c r="G2426"/>
  <c r="E2426"/>
  <c r="B2426"/>
  <c r="A2426"/>
  <c r="W2425"/>
  <c r="S2425"/>
  <c r="Q2425"/>
  <c r="P2425"/>
  <c r="M2425"/>
  <c r="K2425"/>
  <c r="H2425"/>
  <c r="C2425"/>
  <c r="G2425"/>
  <c r="E2425"/>
  <c r="B2425"/>
  <c r="A2425"/>
  <c r="W2424"/>
  <c r="S2424"/>
  <c r="R2424"/>
  <c r="Q2424"/>
  <c r="P2424"/>
  <c r="M2424"/>
  <c r="K2424"/>
  <c r="H2424"/>
  <c r="C2424"/>
  <c r="G2424"/>
  <c r="E2424"/>
  <c r="B2424"/>
  <c r="A2424"/>
  <c r="W2423"/>
  <c r="S2423"/>
  <c r="Q2423"/>
  <c r="P2423"/>
  <c r="M2423"/>
  <c r="K2423"/>
  <c r="H2423"/>
  <c r="C2423"/>
  <c r="G2423"/>
  <c r="E2423"/>
  <c r="B2423"/>
  <c r="A2423"/>
  <c r="W2422"/>
  <c r="S2422"/>
  <c r="R2422"/>
  <c r="Q2422"/>
  <c r="P2422"/>
  <c r="N2422"/>
  <c r="M2422"/>
  <c r="K2422"/>
  <c r="H2422"/>
  <c r="C2422"/>
  <c r="G2422"/>
  <c r="E2422"/>
  <c r="B2422"/>
  <c r="A2422"/>
  <c r="W2421"/>
  <c r="S2421"/>
  <c r="R2421"/>
  <c r="Q2421"/>
  <c r="P2421"/>
  <c r="N2421"/>
  <c r="M2421"/>
  <c r="K2421"/>
  <c r="H2421"/>
  <c r="C2421"/>
  <c r="G2421"/>
  <c r="E2421"/>
  <c r="B2421"/>
  <c r="A2421"/>
  <c r="W2420"/>
  <c r="S2420"/>
  <c r="R2420"/>
  <c r="Q2420"/>
  <c r="P2420"/>
  <c r="N2420"/>
  <c r="M2420"/>
  <c r="K2420"/>
  <c r="H2420"/>
  <c r="C2420"/>
  <c r="G2420"/>
  <c r="E2420"/>
  <c r="B2420"/>
  <c r="A2420"/>
  <c r="W2419"/>
  <c r="S2419"/>
  <c r="R2419"/>
  <c r="Q2419"/>
  <c r="P2419"/>
  <c r="N2419"/>
  <c r="M2419"/>
  <c r="K2419"/>
  <c r="H2419"/>
  <c r="C2419"/>
  <c r="G2419"/>
  <c r="E2419"/>
  <c r="B2419"/>
  <c r="A2419"/>
  <c r="W2418"/>
  <c r="S2418"/>
  <c r="R2418"/>
  <c r="Q2418"/>
  <c r="P2418"/>
  <c r="N2418"/>
  <c r="M2418"/>
  <c r="K2418"/>
  <c r="H2418"/>
  <c r="C2418"/>
  <c r="G2418"/>
  <c r="E2418"/>
  <c r="B2418"/>
  <c r="A2418"/>
  <c r="W2417"/>
  <c r="S2417"/>
  <c r="Q2417"/>
  <c r="P2417"/>
  <c r="N2417"/>
  <c r="M2417"/>
  <c r="K2417"/>
  <c r="H2417"/>
  <c r="C2417"/>
  <c r="G2417"/>
  <c r="E2417"/>
  <c r="B2417"/>
  <c r="A2417"/>
  <c r="W2416"/>
  <c r="S2416"/>
  <c r="R2416"/>
  <c r="Q2416"/>
  <c r="P2416"/>
  <c r="M2416"/>
  <c r="K2416"/>
  <c r="H2416"/>
  <c r="C2416"/>
  <c r="G2416"/>
  <c r="E2416"/>
  <c r="B2416"/>
  <c r="A2416"/>
  <c r="W2415"/>
  <c r="S2415"/>
  <c r="Q2415"/>
  <c r="P2415"/>
  <c r="M2415"/>
  <c r="K2415"/>
  <c r="H2415"/>
  <c r="C2415"/>
  <c r="G2415"/>
  <c r="E2415"/>
  <c r="B2415"/>
  <c r="A2415"/>
  <c r="W2414"/>
  <c r="S2414"/>
  <c r="R2414"/>
  <c r="Q2414"/>
  <c r="P2414"/>
  <c r="M2414"/>
  <c r="K2414"/>
  <c r="H2414"/>
  <c r="C2414"/>
  <c r="G2414"/>
  <c r="E2414"/>
  <c r="B2414"/>
  <c r="A2414"/>
  <c r="W2413"/>
  <c r="S2413"/>
  <c r="Q2413"/>
  <c r="P2413"/>
  <c r="M2413"/>
  <c r="K2413"/>
  <c r="H2413"/>
  <c r="C2413"/>
  <c r="G2413"/>
  <c r="E2413"/>
  <c r="B2413"/>
  <c r="A2413"/>
  <c r="W2412"/>
  <c r="S2412"/>
  <c r="R2412"/>
  <c r="Q2412"/>
  <c r="P2412"/>
  <c r="M2412"/>
  <c r="K2412"/>
  <c r="H2412"/>
  <c r="C2412"/>
  <c r="G2412"/>
  <c r="E2412"/>
  <c r="B2412"/>
  <c r="A2412"/>
  <c r="W2411"/>
  <c r="S2411"/>
  <c r="Q2411"/>
  <c r="P2411"/>
  <c r="M2411"/>
  <c r="K2411"/>
  <c r="H2411"/>
  <c r="C2411"/>
  <c r="G2411"/>
  <c r="E2411"/>
  <c r="B2411"/>
  <c r="A2411"/>
  <c r="W2410"/>
  <c r="S2410"/>
  <c r="R2410"/>
  <c r="Q2410"/>
  <c r="P2410"/>
  <c r="M2410"/>
  <c r="K2410"/>
  <c r="H2410"/>
  <c r="C2410"/>
  <c r="G2410"/>
  <c r="E2410"/>
  <c r="B2410"/>
  <c r="A2410"/>
  <c r="W2409"/>
  <c r="S2409"/>
  <c r="Q2409"/>
  <c r="P2409"/>
  <c r="M2409"/>
  <c r="K2409"/>
  <c r="H2409"/>
  <c r="C2409"/>
  <c r="G2409"/>
  <c r="E2409"/>
  <c r="B2409"/>
  <c r="A2409"/>
  <c r="W2408"/>
  <c r="S2408"/>
  <c r="R2408"/>
  <c r="Q2408"/>
  <c r="P2408"/>
  <c r="M2408"/>
  <c r="K2408"/>
  <c r="H2408"/>
  <c r="C2408"/>
  <c r="G2408"/>
  <c r="E2408"/>
  <c r="B2408"/>
  <c r="A2408"/>
  <c r="W2407"/>
  <c r="S2407"/>
  <c r="Q2407"/>
  <c r="P2407"/>
  <c r="M2407"/>
  <c r="K2407"/>
  <c r="H2407"/>
  <c r="C2407"/>
  <c r="G2407"/>
  <c r="E2407"/>
  <c r="B2407"/>
  <c r="A2407"/>
  <c r="W2406"/>
  <c r="S2406"/>
  <c r="Q2406"/>
  <c r="P2406"/>
  <c r="M2406"/>
  <c r="K2406"/>
  <c r="H2406"/>
  <c r="C2406"/>
  <c r="G2406"/>
  <c r="E2406"/>
  <c r="B2406"/>
  <c r="A2406"/>
  <c r="W2405"/>
  <c r="S2405"/>
  <c r="Q2405"/>
  <c r="P2405"/>
  <c r="M2405"/>
  <c r="K2405"/>
  <c r="H2405"/>
  <c r="C2405"/>
  <c r="G2405"/>
  <c r="E2405"/>
  <c r="B2405"/>
  <c r="A2405"/>
  <c r="W2404"/>
  <c r="S2404"/>
  <c r="Q2404"/>
  <c r="P2404"/>
  <c r="M2404"/>
  <c r="K2404"/>
  <c r="H2404"/>
  <c r="C2404"/>
  <c r="G2404"/>
  <c r="E2404"/>
  <c r="B2404"/>
  <c r="A2404"/>
  <c r="W2403"/>
  <c r="S2403"/>
  <c r="Q2403"/>
  <c r="P2403"/>
  <c r="M2403"/>
  <c r="K2403"/>
  <c r="H2403"/>
  <c r="C2403"/>
  <c r="G2403"/>
  <c r="E2403"/>
  <c r="B2403"/>
  <c r="A2403"/>
  <c r="W2402"/>
  <c r="S2402"/>
  <c r="Q2402"/>
  <c r="P2402"/>
  <c r="M2402"/>
  <c r="K2402"/>
  <c r="H2402"/>
  <c r="C2402"/>
  <c r="G2402"/>
  <c r="E2402"/>
  <c r="B2402"/>
  <c r="A2402"/>
  <c r="W2401"/>
  <c r="S2401"/>
  <c r="Q2401"/>
  <c r="P2401"/>
  <c r="M2401"/>
  <c r="K2401"/>
  <c r="H2401"/>
  <c r="C2401"/>
  <c r="G2401"/>
  <c r="E2401"/>
  <c r="B2401"/>
  <c r="A2401"/>
  <c r="W2400"/>
  <c r="S2400"/>
  <c r="Q2400"/>
  <c r="P2400"/>
  <c r="M2400"/>
  <c r="K2400"/>
  <c r="H2400"/>
  <c r="C2400"/>
  <c r="G2400"/>
  <c r="E2400"/>
  <c r="B2400"/>
  <c r="A2400"/>
  <c r="W2399"/>
  <c r="S2399"/>
  <c r="Q2399"/>
  <c r="P2399"/>
  <c r="M2399"/>
  <c r="K2399"/>
  <c r="H2399"/>
  <c r="C2399"/>
  <c r="G2399"/>
  <c r="E2399"/>
  <c r="B2399"/>
  <c r="A2399"/>
  <c r="W2398"/>
  <c r="S2398"/>
  <c r="Q2398"/>
  <c r="P2398"/>
  <c r="M2398"/>
  <c r="K2398"/>
  <c r="H2398"/>
  <c r="C2398"/>
  <c r="G2398"/>
  <c r="E2398"/>
  <c r="B2398"/>
  <c r="A2398"/>
  <c r="W2397"/>
  <c r="S2397"/>
  <c r="Q2397"/>
  <c r="P2397"/>
  <c r="M2397"/>
  <c r="K2397"/>
  <c r="H2397"/>
  <c r="C2397"/>
  <c r="G2397"/>
  <c r="E2397"/>
  <c r="B2397"/>
  <c r="A2397"/>
  <c r="W2396"/>
  <c r="S2396"/>
  <c r="Q2396"/>
  <c r="P2396"/>
  <c r="M2396"/>
  <c r="K2396"/>
  <c r="H2396"/>
  <c r="C2396"/>
  <c r="G2396"/>
  <c r="E2396"/>
  <c r="B2396"/>
  <c r="A2396"/>
  <c r="W2395"/>
  <c r="S2395"/>
  <c r="Q2395"/>
  <c r="P2395"/>
  <c r="M2395"/>
  <c r="K2395"/>
  <c r="H2395"/>
  <c r="C2395"/>
  <c r="G2395"/>
  <c r="E2395"/>
  <c r="B2395"/>
  <c r="A2395"/>
  <c r="W2394"/>
  <c r="S2394"/>
  <c r="R2394"/>
  <c r="Q2394"/>
  <c r="P2394"/>
  <c r="M2394"/>
  <c r="K2394"/>
  <c r="H2394"/>
  <c r="C2394"/>
  <c r="G2394"/>
  <c r="E2394"/>
  <c r="B2394"/>
  <c r="A2394"/>
  <c r="W2393"/>
  <c r="S2393"/>
  <c r="Q2393"/>
  <c r="P2393"/>
  <c r="M2393"/>
  <c r="K2393"/>
  <c r="H2393"/>
  <c r="C2393"/>
  <c r="G2393"/>
  <c r="E2393"/>
  <c r="B2393"/>
  <c r="A2393"/>
  <c r="W2392"/>
  <c r="S2392"/>
  <c r="Q2392"/>
  <c r="P2392"/>
  <c r="M2392"/>
  <c r="K2392"/>
  <c r="H2392"/>
  <c r="C2392"/>
  <c r="G2392"/>
  <c r="E2392"/>
  <c r="B2392"/>
  <c r="A2392"/>
  <c r="W2391"/>
  <c r="S2391"/>
  <c r="Q2391"/>
  <c r="P2391"/>
  <c r="M2391"/>
  <c r="K2391"/>
  <c r="H2391"/>
  <c r="C2391"/>
  <c r="G2391"/>
  <c r="E2391"/>
  <c r="B2391"/>
  <c r="A2391"/>
  <c r="W2390"/>
  <c r="S2390"/>
  <c r="Q2390"/>
  <c r="P2390"/>
  <c r="M2390"/>
  <c r="K2390"/>
  <c r="H2390"/>
  <c r="C2390"/>
  <c r="G2390"/>
  <c r="E2390"/>
  <c r="B2390"/>
  <c r="A2390"/>
  <c r="W2389"/>
  <c r="S2389"/>
  <c r="Q2389"/>
  <c r="P2389"/>
  <c r="M2389"/>
  <c r="K2389"/>
  <c r="H2389"/>
  <c r="C2389"/>
  <c r="G2389"/>
  <c r="E2389"/>
  <c r="B2389"/>
  <c r="A2389"/>
  <c r="W2388"/>
  <c r="S2388"/>
  <c r="Q2388"/>
  <c r="P2388"/>
  <c r="M2388"/>
  <c r="K2388"/>
  <c r="H2388"/>
  <c r="C2388"/>
  <c r="G2388"/>
  <c r="E2388"/>
  <c r="B2388"/>
  <c r="A2388"/>
  <c r="W2387"/>
  <c r="S2387"/>
  <c r="Q2387"/>
  <c r="P2387"/>
  <c r="M2387"/>
  <c r="K2387"/>
  <c r="H2387"/>
  <c r="C2387"/>
  <c r="G2387"/>
  <c r="E2387"/>
  <c r="B2387"/>
  <c r="A2387"/>
  <c r="W2386"/>
  <c r="S2386"/>
  <c r="Q2386"/>
  <c r="P2386"/>
  <c r="M2386"/>
  <c r="K2386"/>
  <c r="H2386"/>
  <c r="C2386"/>
  <c r="G2386"/>
  <c r="E2386"/>
  <c r="B2386"/>
  <c r="A2386"/>
  <c r="W2385"/>
  <c r="S2385"/>
  <c r="Q2385"/>
  <c r="P2385"/>
  <c r="M2385"/>
  <c r="K2385"/>
  <c r="H2385"/>
  <c r="C2385"/>
  <c r="G2385"/>
  <c r="E2385"/>
  <c r="B2385"/>
  <c r="A2385"/>
  <c r="W2384"/>
  <c r="S2384"/>
  <c r="Q2384"/>
  <c r="P2384"/>
  <c r="M2384"/>
  <c r="K2384"/>
  <c r="H2384"/>
  <c r="C2384"/>
  <c r="G2384"/>
  <c r="E2384"/>
  <c r="B2384"/>
  <c r="A2384"/>
  <c r="W2383"/>
  <c r="S2383"/>
  <c r="Q2383"/>
  <c r="P2383"/>
  <c r="M2383"/>
  <c r="K2383"/>
  <c r="H2383"/>
  <c r="C2383"/>
  <c r="G2383"/>
  <c r="E2383"/>
  <c r="B2383"/>
  <c r="A2383"/>
  <c r="W2382"/>
  <c r="S2382"/>
  <c r="Q2382"/>
  <c r="P2382"/>
  <c r="M2382"/>
  <c r="K2382"/>
  <c r="H2382"/>
  <c r="C2382"/>
  <c r="G2382"/>
  <c r="E2382"/>
  <c r="B2382"/>
  <c r="A2382"/>
  <c r="W2381"/>
  <c r="S2381"/>
  <c r="Q2381"/>
  <c r="P2381"/>
  <c r="M2381"/>
  <c r="K2381"/>
  <c r="H2381"/>
  <c r="C2381"/>
  <c r="G2381"/>
  <c r="E2381"/>
  <c r="B2381"/>
  <c r="A2381"/>
  <c r="W2380"/>
  <c r="S2380"/>
  <c r="Q2380"/>
  <c r="P2380"/>
  <c r="N2380"/>
  <c r="M2380"/>
  <c r="K2380"/>
  <c r="H2380"/>
  <c r="C2380"/>
  <c r="G2380"/>
  <c r="E2380"/>
  <c r="B2380"/>
  <c r="A2380"/>
  <c r="W2379"/>
  <c r="S2379"/>
  <c r="Q2379"/>
  <c r="P2379"/>
  <c r="M2379"/>
  <c r="K2379"/>
  <c r="H2379"/>
  <c r="C2379"/>
  <c r="G2379"/>
  <c r="E2379"/>
  <c r="B2379"/>
  <c r="A2379"/>
  <c r="W2378"/>
  <c r="S2378"/>
  <c r="Q2378"/>
  <c r="P2378"/>
  <c r="M2378"/>
  <c r="K2378"/>
  <c r="H2378"/>
  <c r="C2378"/>
  <c r="G2378"/>
  <c r="E2378"/>
  <c r="B2378"/>
  <c r="A2378"/>
  <c r="W2377"/>
  <c r="S2377"/>
  <c r="Q2377"/>
  <c r="P2377"/>
  <c r="M2377"/>
  <c r="K2377"/>
  <c r="H2377"/>
  <c r="C2377"/>
  <c r="G2377"/>
  <c r="E2377"/>
  <c r="B2377"/>
  <c r="A2377"/>
  <c r="W2376"/>
  <c r="S2376"/>
  <c r="Q2376"/>
  <c r="P2376"/>
  <c r="M2376"/>
  <c r="K2376"/>
  <c r="H2376"/>
  <c r="C2376"/>
  <c r="G2376"/>
  <c r="E2376"/>
  <c r="B2376"/>
  <c r="A2376"/>
  <c r="W2375"/>
  <c r="S2375"/>
  <c r="Q2375"/>
  <c r="P2375"/>
  <c r="M2375"/>
  <c r="K2375"/>
  <c r="H2375"/>
  <c r="C2375"/>
  <c r="G2375"/>
  <c r="E2375"/>
  <c r="B2375"/>
  <c r="A2375"/>
  <c r="W2374"/>
  <c r="S2374"/>
  <c r="Q2374"/>
  <c r="P2374"/>
  <c r="M2374"/>
  <c r="K2374"/>
  <c r="H2374"/>
  <c r="C2374"/>
  <c r="G2374"/>
  <c r="E2374"/>
  <c r="B2374"/>
  <c r="A2374"/>
  <c r="W2373"/>
  <c r="S2373"/>
  <c r="Q2373"/>
  <c r="P2373"/>
  <c r="M2373"/>
  <c r="K2373"/>
  <c r="H2373"/>
  <c r="C2373"/>
  <c r="G2373"/>
  <c r="E2373"/>
  <c r="B2373"/>
  <c r="A2373"/>
  <c r="W2372"/>
  <c r="S2372"/>
  <c r="Q2372"/>
  <c r="P2372"/>
  <c r="M2372"/>
  <c r="K2372"/>
  <c r="H2372"/>
  <c r="C2372"/>
  <c r="G2372"/>
  <c r="E2372"/>
  <c r="B2372"/>
  <c r="A2372"/>
  <c r="W2371"/>
  <c r="S2371"/>
  <c r="Q2371"/>
  <c r="P2371"/>
  <c r="M2371"/>
  <c r="K2371"/>
  <c r="H2371"/>
  <c r="C2371"/>
  <c r="G2371"/>
  <c r="E2371"/>
  <c r="B2371"/>
  <c r="A2371"/>
  <c r="W2370"/>
  <c r="S2370"/>
  <c r="Q2370"/>
  <c r="P2370"/>
  <c r="N2370"/>
  <c r="M2370"/>
  <c r="K2370"/>
  <c r="H2370"/>
  <c r="C2370"/>
  <c r="G2370"/>
  <c r="E2370"/>
  <c r="B2370"/>
  <c r="A2370"/>
  <c r="W2369"/>
  <c r="S2369"/>
  <c r="Q2369"/>
  <c r="P2369"/>
  <c r="M2369"/>
  <c r="K2369"/>
  <c r="H2369"/>
  <c r="C2369"/>
  <c r="G2369"/>
  <c r="E2369"/>
  <c r="B2369"/>
  <c r="A2369"/>
  <c r="W2368"/>
  <c r="S2368"/>
  <c r="Q2368"/>
  <c r="P2368"/>
  <c r="M2368"/>
  <c r="K2368"/>
  <c r="H2368"/>
  <c r="C2368"/>
  <c r="G2368"/>
  <c r="E2368"/>
  <c r="B2368"/>
  <c r="A2368"/>
  <c r="W2367"/>
  <c r="S2367"/>
  <c r="Q2367"/>
  <c r="P2367"/>
  <c r="M2367"/>
  <c r="K2367"/>
  <c r="H2367"/>
  <c r="C2367"/>
  <c r="G2367"/>
  <c r="E2367"/>
  <c r="B2367"/>
  <c r="A2367"/>
  <c r="W2366"/>
  <c r="S2366"/>
  <c r="Q2366"/>
  <c r="P2366"/>
  <c r="M2366"/>
  <c r="K2366"/>
  <c r="H2366"/>
  <c r="C2366"/>
  <c r="G2366"/>
  <c r="E2366"/>
  <c r="B2366"/>
  <c r="A2366"/>
  <c r="W2365"/>
  <c r="S2365"/>
  <c r="Q2365"/>
  <c r="P2365"/>
  <c r="M2365"/>
  <c r="K2365"/>
  <c r="H2365"/>
  <c r="C2365"/>
  <c r="G2365"/>
  <c r="E2365"/>
  <c r="B2365"/>
  <c r="A2365"/>
  <c r="W2364"/>
  <c r="S2364"/>
  <c r="Q2364"/>
  <c r="P2364"/>
  <c r="M2364"/>
  <c r="K2364"/>
  <c r="H2364"/>
  <c r="C2364"/>
  <c r="G2364"/>
  <c r="E2364"/>
  <c r="B2364"/>
  <c r="A2364"/>
  <c r="W2363"/>
  <c r="S2363"/>
  <c r="Q2363"/>
  <c r="P2363"/>
  <c r="M2363"/>
  <c r="K2363"/>
  <c r="H2363"/>
  <c r="C2363"/>
  <c r="G2363"/>
  <c r="E2363"/>
  <c r="B2363"/>
  <c r="A2363"/>
  <c r="W2362"/>
  <c r="S2362"/>
  <c r="Q2362"/>
  <c r="P2362"/>
  <c r="M2362"/>
  <c r="K2362"/>
  <c r="H2362"/>
  <c r="C2362"/>
  <c r="G2362"/>
  <c r="E2362"/>
  <c r="B2362"/>
  <c r="A2362"/>
  <c r="W2361"/>
  <c r="S2361"/>
  <c r="Q2361"/>
  <c r="P2361"/>
  <c r="M2361"/>
  <c r="K2361"/>
  <c r="H2361"/>
  <c r="C2361"/>
  <c r="G2361"/>
  <c r="E2361"/>
  <c r="B2361"/>
  <c r="A2361"/>
  <c r="W2360"/>
  <c r="S2360"/>
  <c r="Q2360"/>
  <c r="P2360"/>
  <c r="M2360"/>
  <c r="K2360"/>
  <c r="H2360"/>
  <c r="C2360"/>
  <c r="G2360"/>
  <c r="E2360"/>
  <c r="B2360"/>
  <c r="A2360"/>
  <c r="W2359"/>
  <c r="S2359"/>
  <c r="Q2359"/>
  <c r="P2359"/>
  <c r="M2359"/>
  <c r="K2359"/>
  <c r="H2359"/>
  <c r="C2359"/>
  <c r="G2359"/>
  <c r="E2359"/>
  <c r="B2359"/>
  <c r="A2359"/>
  <c r="W2358"/>
  <c r="S2358"/>
  <c r="Q2358"/>
  <c r="P2358"/>
  <c r="M2358"/>
  <c r="K2358"/>
  <c r="H2358"/>
  <c r="C2358"/>
  <c r="G2358"/>
  <c r="E2358"/>
  <c r="B2358"/>
  <c r="A2358"/>
  <c r="W2357"/>
  <c r="S2357"/>
  <c r="Q2357"/>
  <c r="P2357"/>
  <c r="M2357"/>
  <c r="K2357"/>
  <c r="H2357"/>
  <c r="C2357"/>
  <c r="G2357"/>
  <c r="E2357"/>
  <c r="B2357"/>
  <c r="A2357"/>
  <c r="W2356"/>
  <c r="S2356"/>
  <c r="Q2356"/>
  <c r="P2356"/>
  <c r="M2356"/>
  <c r="K2356"/>
  <c r="H2356"/>
  <c r="C2356"/>
  <c r="G2356"/>
  <c r="E2356"/>
  <c r="B2356"/>
  <c r="A2356"/>
  <c r="W2355"/>
  <c r="S2355"/>
  <c r="Q2355"/>
  <c r="P2355"/>
  <c r="M2355"/>
  <c r="K2355"/>
  <c r="H2355"/>
  <c r="C2355"/>
  <c r="G2355"/>
  <c r="E2355"/>
  <c r="B2355"/>
  <c r="A2355"/>
  <c r="W2354"/>
  <c r="S2354"/>
  <c r="Q2354"/>
  <c r="P2354"/>
  <c r="M2354"/>
  <c r="K2354"/>
  <c r="H2354"/>
  <c r="C2354"/>
  <c r="G2354"/>
  <c r="E2354"/>
  <c r="B2354"/>
  <c r="A2354"/>
  <c r="W2353"/>
  <c r="S2353"/>
  <c r="Q2353"/>
  <c r="P2353"/>
  <c r="M2353"/>
  <c r="K2353"/>
  <c r="H2353"/>
  <c r="C2353"/>
  <c r="G2353"/>
  <c r="E2353"/>
  <c r="B2353"/>
  <c r="A2353"/>
  <c r="W2352"/>
  <c r="S2352"/>
  <c r="Q2352"/>
  <c r="P2352"/>
  <c r="M2352"/>
  <c r="K2352"/>
  <c r="H2352"/>
  <c r="C2352"/>
  <c r="G2352"/>
  <c r="E2352"/>
  <c r="B2352"/>
  <c r="A2352"/>
  <c r="W2351"/>
  <c r="S2351"/>
  <c r="Q2351"/>
  <c r="P2351"/>
  <c r="M2351"/>
  <c r="K2351"/>
  <c r="H2351"/>
  <c r="C2351"/>
  <c r="G2351"/>
  <c r="E2351"/>
  <c r="B2351"/>
  <c r="A2351"/>
  <c r="W2350"/>
  <c r="S2350"/>
  <c r="Q2350"/>
  <c r="P2350"/>
  <c r="M2350"/>
  <c r="K2350"/>
  <c r="H2350"/>
  <c r="C2350"/>
  <c r="G2350"/>
  <c r="E2350"/>
  <c r="B2350"/>
  <c r="A2350"/>
  <c r="W2349"/>
  <c r="S2349"/>
  <c r="Q2349"/>
  <c r="P2349"/>
  <c r="M2349"/>
  <c r="K2349"/>
  <c r="H2349"/>
  <c r="C2349"/>
  <c r="G2349"/>
  <c r="E2349"/>
  <c r="B2349"/>
  <c r="A2349"/>
  <c r="W2348"/>
  <c r="S2348"/>
  <c r="Q2348"/>
  <c r="P2348"/>
  <c r="M2348"/>
  <c r="K2348"/>
  <c r="H2348"/>
  <c r="C2348"/>
  <c r="G2348"/>
  <c r="E2348"/>
  <c r="B2348"/>
  <c r="A2348"/>
  <c r="W2347"/>
  <c r="S2347"/>
  <c r="Q2347"/>
  <c r="P2347"/>
  <c r="M2347"/>
  <c r="K2347"/>
  <c r="H2347"/>
  <c r="C2347"/>
  <c r="G2347"/>
  <c r="E2347"/>
  <c r="B2347"/>
  <c r="A2347"/>
  <c r="W2346"/>
  <c r="S2346"/>
  <c r="Q2346"/>
  <c r="P2346"/>
  <c r="M2346"/>
  <c r="K2346"/>
  <c r="H2346"/>
  <c r="C2346"/>
  <c r="G2346"/>
  <c r="E2346"/>
  <c r="B2346"/>
  <c r="A2346"/>
  <c r="W2345"/>
  <c r="S2345"/>
  <c r="Q2345"/>
  <c r="P2345"/>
  <c r="M2345"/>
  <c r="K2345"/>
  <c r="H2345"/>
  <c r="C2345"/>
  <c r="G2345"/>
  <c r="E2345"/>
  <c r="B2345"/>
  <c r="A2345"/>
  <c r="W2344"/>
  <c r="S2344"/>
  <c r="R2344"/>
  <c r="Q2344"/>
  <c r="P2344"/>
  <c r="M2344"/>
  <c r="K2344"/>
  <c r="H2344"/>
  <c r="C2344"/>
  <c r="G2344"/>
  <c r="E2344"/>
  <c r="B2344"/>
  <c r="A2344"/>
  <c r="W2343"/>
  <c r="S2343"/>
  <c r="Q2343"/>
  <c r="P2343"/>
  <c r="M2343"/>
  <c r="K2343"/>
  <c r="H2343"/>
  <c r="C2343"/>
  <c r="G2343"/>
  <c r="E2343"/>
  <c r="B2343"/>
  <c r="A2343"/>
  <c r="W2342"/>
  <c r="S2342"/>
  <c r="Q2342"/>
  <c r="P2342"/>
  <c r="M2342"/>
  <c r="K2342"/>
  <c r="H2342"/>
  <c r="C2342"/>
  <c r="G2342"/>
  <c r="E2342"/>
  <c r="B2342"/>
  <c r="A2342"/>
  <c r="W2341"/>
  <c r="S2341"/>
  <c r="Q2341"/>
  <c r="P2341"/>
  <c r="M2341"/>
  <c r="K2341"/>
  <c r="H2341"/>
  <c r="C2341"/>
  <c r="G2341"/>
  <c r="E2341"/>
  <c r="B2341"/>
  <c r="A2341"/>
  <c r="W2340"/>
  <c r="S2340"/>
  <c r="Q2340"/>
  <c r="P2340"/>
  <c r="M2340"/>
  <c r="K2340"/>
  <c r="H2340"/>
  <c r="C2340"/>
  <c r="G2340"/>
  <c r="E2340"/>
  <c r="B2340"/>
  <c r="A2340"/>
  <c r="W2339"/>
  <c r="S2339"/>
  <c r="Q2339"/>
  <c r="P2339"/>
  <c r="M2339"/>
  <c r="K2339"/>
  <c r="H2339"/>
  <c r="C2339"/>
  <c r="G2339"/>
  <c r="E2339"/>
  <c r="B2339"/>
  <c r="A2339"/>
  <c r="W2338"/>
  <c r="S2338"/>
  <c r="Q2338"/>
  <c r="P2338"/>
  <c r="M2338"/>
  <c r="K2338"/>
  <c r="H2338"/>
  <c r="C2338"/>
  <c r="G2338"/>
  <c r="E2338"/>
  <c r="B2338"/>
  <c r="A2338"/>
  <c r="W2337"/>
  <c r="S2337"/>
  <c r="R2337"/>
  <c r="Q2337"/>
  <c r="P2337"/>
  <c r="M2337"/>
  <c r="K2337"/>
  <c r="H2337"/>
  <c r="C2337"/>
  <c r="G2337"/>
  <c r="E2337"/>
  <c r="B2337"/>
  <c r="A2337"/>
  <c r="W2336"/>
  <c r="S2336"/>
  <c r="Q2336"/>
  <c r="P2336"/>
  <c r="M2336"/>
  <c r="K2336"/>
  <c r="H2336"/>
  <c r="C2336"/>
  <c r="G2336"/>
  <c r="E2336"/>
  <c r="B2336"/>
  <c r="A2336"/>
  <c r="W2335"/>
  <c r="S2335"/>
  <c r="Q2335"/>
  <c r="P2335"/>
  <c r="M2335"/>
  <c r="K2335"/>
  <c r="H2335"/>
  <c r="C2335"/>
  <c r="G2335"/>
  <c r="E2335"/>
  <c r="B2335"/>
  <c r="A2335"/>
  <c r="W2334"/>
  <c r="S2334"/>
  <c r="Q2334"/>
  <c r="P2334"/>
  <c r="M2334"/>
  <c r="K2334"/>
  <c r="H2334"/>
  <c r="C2334"/>
  <c r="G2334"/>
  <c r="E2334"/>
  <c r="B2334"/>
  <c r="A2334"/>
  <c r="W2333"/>
  <c r="S2333"/>
  <c r="Q2333"/>
  <c r="P2333"/>
  <c r="M2333"/>
  <c r="K2333"/>
  <c r="H2333"/>
  <c r="C2333"/>
  <c r="G2333"/>
  <c r="E2333"/>
  <c r="B2333"/>
  <c r="A2333"/>
  <c r="W2332"/>
  <c r="S2332"/>
  <c r="Q2332"/>
  <c r="P2332"/>
  <c r="M2332"/>
  <c r="K2332"/>
  <c r="H2332"/>
  <c r="C2332"/>
  <c r="G2332"/>
  <c r="E2332"/>
  <c r="B2332"/>
  <c r="A2332"/>
  <c r="W2331"/>
  <c r="S2331"/>
  <c r="R2331"/>
  <c r="Q2331"/>
  <c r="P2331"/>
  <c r="M2331"/>
  <c r="K2331"/>
  <c r="H2331"/>
  <c r="C2331"/>
  <c r="G2331"/>
  <c r="E2331"/>
  <c r="B2331"/>
  <c r="A2331"/>
  <c r="W2330"/>
  <c r="S2330"/>
  <c r="Q2330"/>
  <c r="P2330"/>
  <c r="M2330"/>
  <c r="K2330"/>
  <c r="H2330"/>
  <c r="C2330"/>
  <c r="G2330"/>
  <c r="E2330"/>
  <c r="B2330"/>
  <c r="A2330"/>
  <c r="W2329"/>
  <c r="S2329"/>
  <c r="Q2329"/>
  <c r="P2329"/>
  <c r="M2329"/>
  <c r="K2329"/>
  <c r="H2329"/>
  <c r="C2329"/>
  <c r="G2329"/>
  <c r="E2329"/>
  <c r="B2329"/>
  <c r="A2329"/>
  <c r="W2328"/>
  <c r="S2328"/>
  <c r="Q2328"/>
  <c r="P2328"/>
  <c r="M2328"/>
  <c r="K2328"/>
  <c r="H2328"/>
  <c r="C2328"/>
  <c r="G2328"/>
  <c r="E2328"/>
  <c r="B2328"/>
  <c r="A2328"/>
  <c r="W2327"/>
  <c r="S2327"/>
  <c r="Q2327"/>
  <c r="P2327"/>
  <c r="M2327"/>
  <c r="K2327"/>
  <c r="H2327"/>
  <c r="C2327"/>
  <c r="G2327"/>
  <c r="E2327"/>
  <c r="B2327"/>
  <c r="A2327"/>
  <c r="W2326"/>
  <c r="S2326"/>
  <c r="Q2326"/>
  <c r="P2326"/>
  <c r="N2326"/>
  <c r="M2326"/>
  <c r="K2326"/>
  <c r="H2326"/>
  <c r="C2326"/>
  <c r="G2326"/>
  <c r="E2326"/>
  <c r="B2326"/>
  <c r="A2326"/>
  <c r="W2325"/>
  <c r="S2325"/>
  <c r="Q2325"/>
  <c r="P2325"/>
  <c r="M2325"/>
  <c r="K2325"/>
  <c r="H2325"/>
  <c r="C2325"/>
  <c r="G2325"/>
  <c r="E2325"/>
  <c r="B2325"/>
  <c r="A2325"/>
  <c r="W2324"/>
  <c r="S2324"/>
  <c r="Q2324"/>
  <c r="P2324"/>
  <c r="M2324"/>
  <c r="K2324"/>
  <c r="H2324"/>
  <c r="C2324"/>
  <c r="G2324"/>
  <c r="E2324"/>
  <c r="B2324"/>
  <c r="A2324"/>
  <c r="W2323"/>
  <c r="S2323"/>
  <c r="Q2323"/>
  <c r="P2323"/>
  <c r="M2323"/>
  <c r="K2323"/>
  <c r="H2323"/>
  <c r="C2323"/>
  <c r="G2323"/>
  <c r="E2323"/>
  <c r="B2323"/>
  <c r="A2323"/>
  <c r="W2322"/>
  <c r="S2322"/>
  <c r="Q2322"/>
  <c r="P2322"/>
  <c r="M2322"/>
  <c r="K2322"/>
  <c r="H2322"/>
  <c r="C2322"/>
  <c r="G2322"/>
  <c r="E2322"/>
  <c r="B2322"/>
  <c r="A2322"/>
  <c r="W2321"/>
  <c r="S2321"/>
  <c r="R2321"/>
  <c r="Q2321"/>
  <c r="P2321"/>
  <c r="M2321"/>
  <c r="K2321"/>
  <c r="H2321"/>
  <c r="C2321"/>
  <c r="G2321"/>
  <c r="E2321"/>
  <c r="B2321"/>
  <c r="A2321"/>
  <c r="W2320"/>
  <c r="S2320"/>
  <c r="Q2320"/>
  <c r="P2320"/>
  <c r="M2320"/>
  <c r="K2320"/>
  <c r="H2320"/>
  <c r="C2320"/>
  <c r="G2320"/>
  <c r="E2320"/>
  <c r="B2320"/>
  <c r="A2320"/>
  <c r="W2319"/>
  <c r="S2319"/>
  <c r="Q2319"/>
  <c r="P2319"/>
  <c r="M2319"/>
  <c r="K2319"/>
  <c r="H2319"/>
  <c r="C2319"/>
  <c r="G2319"/>
  <c r="E2319"/>
  <c r="B2319"/>
  <c r="A2319"/>
  <c r="W2318"/>
  <c r="S2318"/>
  <c r="Q2318"/>
  <c r="P2318"/>
  <c r="N2318"/>
  <c r="M2318"/>
  <c r="K2318"/>
  <c r="H2318"/>
  <c r="C2318"/>
  <c r="G2318"/>
  <c r="E2318"/>
  <c r="B2318"/>
  <c r="A2318"/>
  <c r="W2317"/>
  <c r="S2317"/>
  <c r="Q2317"/>
  <c r="P2317"/>
  <c r="M2317"/>
  <c r="K2317"/>
  <c r="H2317"/>
  <c r="C2317"/>
  <c r="G2317"/>
  <c r="E2317"/>
  <c r="B2317"/>
  <c r="A2317"/>
  <c r="W2316"/>
  <c r="S2316"/>
  <c r="Q2316"/>
  <c r="P2316"/>
  <c r="M2316"/>
  <c r="K2316"/>
  <c r="H2316"/>
  <c r="C2316"/>
  <c r="G2316"/>
  <c r="E2316"/>
  <c r="B2316"/>
  <c r="A2316"/>
  <c r="W2315"/>
  <c r="S2315"/>
  <c r="R2315"/>
  <c r="Q2315"/>
  <c r="P2315"/>
  <c r="M2315"/>
  <c r="K2315"/>
  <c r="H2315"/>
  <c r="C2315"/>
  <c r="G2315"/>
  <c r="E2315"/>
  <c r="B2315"/>
  <c r="A2315"/>
  <c r="W2314"/>
  <c r="S2314"/>
  <c r="R2314"/>
  <c r="Q2314"/>
  <c r="P2314"/>
  <c r="M2314"/>
  <c r="K2314"/>
  <c r="H2314"/>
  <c r="C2314"/>
  <c r="G2314"/>
  <c r="E2314"/>
  <c r="B2314"/>
  <c r="A2314"/>
  <c r="W2313"/>
  <c r="S2313"/>
  <c r="R2313"/>
  <c r="Q2313"/>
  <c r="P2313"/>
  <c r="M2313"/>
  <c r="K2313"/>
  <c r="H2313"/>
  <c r="C2313"/>
  <c r="G2313"/>
  <c r="E2313"/>
  <c r="B2313"/>
  <c r="A2313"/>
  <c r="W2312"/>
  <c r="S2312"/>
  <c r="Q2312"/>
  <c r="P2312"/>
  <c r="M2312"/>
  <c r="K2312"/>
  <c r="H2312"/>
  <c r="C2312"/>
  <c r="G2312"/>
  <c r="E2312"/>
  <c r="B2312"/>
  <c r="A2312"/>
  <c r="W2311"/>
  <c r="S2311"/>
  <c r="Q2311"/>
  <c r="P2311"/>
  <c r="M2311"/>
  <c r="K2311"/>
  <c r="H2311"/>
  <c r="C2311"/>
  <c r="G2311"/>
  <c r="E2311"/>
  <c r="B2311"/>
  <c r="A2311"/>
  <c r="W2310"/>
  <c r="S2310"/>
  <c r="Q2310"/>
  <c r="P2310"/>
  <c r="N2310"/>
  <c r="M2310"/>
  <c r="K2310"/>
  <c r="H2310"/>
  <c r="C2310"/>
  <c r="G2310"/>
  <c r="E2310"/>
  <c r="B2310"/>
  <c r="A2310"/>
  <c r="W2309"/>
  <c r="S2309"/>
  <c r="R2309"/>
  <c r="Q2309"/>
  <c r="P2309"/>
  <c r="M2309"/>
  <c r="K2309"/>
  <c r="H2309"/>
  <c r="C2309"/>
  <c r="G2309"/>
  <c r="E2309"/>
  <c r="B2309"/>
  <c r="A2309"/>
  <c r="W2308"/>
  <c r="S2308"/>
  <c r="R2308"/>
  <c r="Q2308"/>
  <c r="P2308"/>
  <c r="M2308"/>
  <c r="K2308"/>
  <c r="H2308"/>
  <c r="C2308"/>
  <c r="G2308"/>
  <c r="E2308"/>
  <c r="B2308"/>
  <c r="A2308"/>
  <c r="W2307"/>
  <c r="S2307"/>
  <c r="Q2307"/>
  <c r="P2307"/>
  <c r="M2307"/>
  <c r="K2307"/>
  <c r="H2307"/>
  <c r="C2307"/>
  <c r="G2307"/>
  <c r="E2307"/>
  <c r="B2307"/>
  <c r="A2307"/>
  <c r="W2306"/>
  <c r="S2306"/>
  <c r="Q2306"/>
  <c r="P2306"/>
  <c r="M2306"/>
  <c r="K2306"/>
  <c r="H2306"/>
  <c r="C2306"/>
  <c r="G2306"/>
  <c r="E2306"/>
  <c r="B2306"/>
  <c r="A2306"/>
  <c r="W2305"/>
  <c r="S2305"/>
  <c r="Q2305"/>
  <c r="P2305"/>
  <c r="N2305"/>
  <c r="M2305"/>
  <c r="K2305"/>
  <c r="H2305"/>
  <c r="C2305"/>
  <c r="G2305"/>
  <c r="E2305"/>
  <c r="B2305"/>
  <c r="A2305"/>
  <c r="W2304"/>
  <c r="S2304"/>
  <c r="Q2304"/>
  <c r="P2304"/>
  <c r="M2304"/>
  <c r="K2304"/>
  <c r="H2304"/>
  <c r="C2304"/>
  <c r="G2304"/>
  <c r="E2304"/>
  <c r="B2304"/>
  <c r="A2304"/>
  <c r="W2303"/>
  <c r="S2303"/>
  <c r="R2303"/>
  <c r="Q2303"/>
  <c r="P2303"/>
  <c r="M2303"/>
  <c r="K2303"/>
  <c r="H2303"/>
  <c r="C2303"/>
  <c r="G2303"/>
  <c r="E2303"/>
  <c r="B2303"/>
  <c r="A2303"/>
  <c r="W2302"/>
  <c r="S2302"/>
  <c r="Q2302"/>
  <c r="P2302"/>
  <c r="M2302"/>
  <c r="K2302"/>
  <c r="H2302"/>
  <c r="C2302"/>
  <c r="G2302"/>
  <c r="E2302"/>
  <c r="B2302"/>
  <c r="A2302"/>
  <c r="W2301"/>
  <c r="S2301"/>
  <c r="Q2301"/>
  <c r="P2301"/>
  <c r="M2301"/>
  <c r="K2301"/>
  <c r="H2301"/>
  <c r="C2301"/>
  <c r="G2301"/>
  <c r="E2301"/>
  <c r="B2301"/>
  <c r="A2301"/>
  <c r="W2300"/>
  <c r="S2300"/>
  <c r="Q2300"/>
  <c r="P2300"/>
  <c r="N2300"/>
  <c r="M2300"/>
  <c r="K2300"/>
  <c r="H2300"/>
  <c r="C2300"/>
  <c r="G2300"/>
  <c r="E2300"/>
  <c r="B2300"/>
  <c r="A2300"/>
  <c r="W2299"/>
  <c r="S2299"/>
  <c r="R2299"/>
  <c r="Q2299"/>
  <c r="P2299"/>
  <c r="M2299"/>
  <c r="K2299"/>
  <c r="H2299"/>
  <c r="C2299"/>
  <c r="G2299"/>
  <c r="E2299"/>
  <c r="B2299"/>
  <c r="A2299"/>
  <c r="W2298"/>
  <c r="S2298"/>
  <c r="Q2298"/>
  <c r="P2298"/>
  <c r="M2298"/>
  <c r="K2298"/>
  <c r="H2298"/>
  <c r="C2298"/>
  <c r="G2298"/>
  <c r="E2298"/>
  <c r="B2298"/>
  <c r="A2298"/>
  <c r="W2297"/>
  <c r="S2297"/>
  <c r="Q2297"/>
  <c r="P2297"/>
  <c r="M2297"/>
  <c r="K2297"/>
  <c r="H2297"/>
  <c r="C2297"/>
  <c r="G2297"/>
  <c r="E2297"/>
  <c r="B2297"/>
  <c r="A2297"/>
  <c r="W2296"/>
  <c r="S2296"/>
  <c r="Q2296"/>
  <c r="P2296"/>
  <c r="M2296"/>
  <c r="K2296"/>
  <c r="H2296"/>
  <c r="C2296"/>
  <c r="G2296"/>
  <c r="E2296"/>
  <c r="B2296"/>
  <c r="A2296"/>
  <c r="W2295"/>
  <c r="S2295"/>
  <c r="R2295"/>
  <c r="Q2295"/>
  <c r="P2295"/>
  <c r="M2295"/>
  <c r="K2295"/>
  <c r="H2295"/>
  <c r="C2295"/>
  <c r="G2295"/>
  <c r="E2295"/>
  <c r="B2295"/>
  <c r="A2295"/>
  <c r="W2294"/>
  <c r="S2294"/>
  <c r="Q2294"/>
  <c r="P2294"/>
  <c r="M2294"/>
  <c r="K2294"/>
  <c r="H2294"/>
  <c r="C2294"/>
  <c r="G2294"/>
  <c r="E2294"/>
  <c r="B2294"/>
  <c r="A2294"/>
  <c r="W2293"/>
  <c r="S2293"/>
  <c r="R2293"/>
  <c r="Q2293"/>
  <c r="P2293"/>
  <c r="M2293"/>
  <c r="K2293"/>
  <c r="H2293"/>
  <c r="C2293"/>
  <c r="G2293"/>
  <c r="E2293"/>
  <c r="B2293"/>
  <c r="A2293"/>
  <c r="W2292"/>
  <c r="S2292"/>
  <c r="Q2292"/>
  <c r="P2292"/>
  <c r="M2292"/>
  <c r="K2292"/>
  <c r="H2292"/>
  <c r="C2292"/>
  <c r="G2292"/>
  <c r="E2292"/>
  <c r="B2292"/>
  <c r="A2292"/>
  <c r="W2291"/>
  <c r="S2291"/>
  <c r="Q2291"/>
  <c r="P2291"/>
  <c r="M2291"/>
  <c r="K2291"/>
  <c r="H2291"/>
  <c r="C2291"/>
  <c r="G2291"/>
  <c r="E2291"/>
  <c r="B2291"/>
  <c r="A2291"/>
  <c r="W2290"/>
  <c r="S2290"/>
  <c r="Q2290"/>
  <c r="P2290"/>
  <c r="M2290"/>
  <c r="K2290"/>
  <c r="H2290"/>
  <c r="C2290"/>
  <c r="G2290"/>
  <c r="E2290"/>
  <c r="B2290"/>
  <c r="A2290"/>
  <c r="W2289"/>
  <c r="S2289"/>
  <c r="R2289"/>
  <c r="Q2289"/>
  <c r="P2289"/>
  <c r="M2289"/>
  <c r="K2289"/>
  <c r="H2289"/>
  <c r="C2289"/>
  <c r="G2289"/>
  <c r="E2289"/>
  <c r="B2289"/>
  <c r="A2289"/>
  <c r="W2288"/>
  <c r="S2288"/>
  <c r="Q2288"/>
  <c r="P2288"/>
  <c r="M2288"/>
  <c r="K2288"/>
  <c r="H2288"/>
  <c r="C2288"/>
  <c r="G2288"/>
  <c r="E2288"/>
  <c r="B2288"/>
  <c r="A2288"/>
  <c r="W2287"/>
  <c r="S2287"/>
  <c r="Q2287"/>
  <c r="P2287"/>
  <c r="M2287"/>
  <c r="K2287"/>
  <c r="H2287"/>
  <c r="C2287"/>
  <c r="G2287"/>
  <c r="E2287"/>
  <c r="B2287"/>
  <c r="A2287"/>
  <c r="W2286"/>
  <c r="S2286"/>
  <c r="Q2286"/>
  <c r="P2286"/>
  <c r="M2286"/>
  <c r="K2286"/>
  <c r="H2286"/>
  <c r="C2286"/>
  <c r="G2286"/>
  <c r="E2286"/>
  <c r="B2286"/>
  <c r="A2286"/>
  <c r="W2285"/>
  <c r="S2285"/>
  <c r="Q2285"/>
  <c r="P2285"/>
  <c r="M2285"/>
  <c r="K2285"/>
  <c r="H2285"/>
  <c r="C2285"/>
  <c r="G2285"/>
  <c r="E2285"/>
  <c r="B2285"/>
  <c r="A2285"/>
  <c r="W2284"/>
  <c r="S2284"/>
  <c r="R2284"/>
  <c r="Q2284"/>
  <c r="P2284"/>
  <c r="M2284"/>
  <c r="K2284"/>
  <c r="H2284"/>
  <c r="C2284"/>
  <c r="G2284"/>
  <c r="E2284"/>
  <c r="B2284"/>
  <c r="A2284"/>
  <c r="W2283"/>
  <c r="S2283"/>
  <c r="Q2283"/>
  <c r="P2283"/>
  <c r="M2283"/>
  <c r="K2283"/>
  <c r="H2283"/>
  <c r="C2283"/>
  <c r="G2283"/>
  <c r="E2283"/>
  <c r="B2283"/>
  <c r="A2283"/>
  <c r="W2282"/>
  <c r="S2282"/>
  <c r="Q2282"/>
  <c r="P2282"/>
  <c r="M2282"/>
  <c r="K2282"/>
  <c r="H2282"/>
  <c r="C2282"/>
  <c r="G2282"/>
  <c r="E2282"/>
  <c r="B2282"/>
  <c r="A2282"/>
  <c r="W2281"/>
  <c r="S2281"/>
  <c r="Q2281"/>
  <c r="P2281"/>
  <c r="M2281"/>
  <c r="K2281"/>
  <c r="H2281"/>
  <c r="C2281"/>
  <c r="G2281"/>
  <c r="E2281"/>
  <c r="B2281"/>
  <c r="A2281"/>
  <c r="W2280"/>
  <c r="S2280"/>
  <c r="Q2280"/>
  <c r="P2280"/>
  <c r="M2280"/>
  <c r="K2280"/>
  <c r="H2280"/>
  <c r="C2280"/>
  <c r="G2280"/>
  <c r="E2280"/>
  <c r="B2280"/>
  <c r="A2280"/>
  <c r="W2279"/>
  <c r="S2279"/>
  <c r="Q2279"/>
  <c r="P2279"/>
  <c r="M2279"/>
  <c r="K2279"/>
  <c r="H2279"/>
  <c r="C2279"/>
  <c r="G2279"/>
  <c r="E2279"/>
  <c r="B2279"/>
  <c r="A2279"/>
  <c r="W2278"/>
  <c r="S2278"/>
  <c r="R2278"/>
  <c r="Q2278"/>
  <c r="P2278"/>
  <c r="M2278"/>
  <c r="K2278"/>
  <c r="H2278"/>
  <c r="C2278"/>
  <c r="G2278"/>
  <c r="E2278"/>
  <c r="B2278"/>
  <c r="A2278"/>
  <c r="W2277"/>
  <c r="S2277"/>
  <c r="Q2277"/>
  <c r="P2277"/>
  <c r="M2277"/>
  <c r="K2277"/>
  <c r="H2277"/>
  <c r="C2277"/>
  <c r="G2277"/>
  <c r="E2277"/>
  <c r="B2277"/>
  <c r="A2277"/>
  <c r="W2276"/>
  <c r="S2276"/>
  <c r="Q2276"/>
  <c r="P2276"/>
  <c r="M2276"/>
  <c r="K2276"/>
  <c r="H2276"/>
  <c r="C2276"/>
  <c r="G2276"/>
  <c r="E2276"/>
  <c r="B2276"/>
  <c r="A2276"/>
  <c r="W2275"/>
  <c r="S2275"/>
  <c r="Q2275"/>
  <c r="P2275"/>
  <c r="M2275"/>
  <c r="K2275"/>
  <c r="H2275"/>
  <c r="C2275"/>
  <c r="G2275"/>
  <c r="E2275"/>
  <c r="B2275"/>
  <c r="A2275"/>
  <c r="W2274"/>
  <c r="S2274"/>
  <c r="Q2274"/>
  <c r="P2274"/>
  <c r="M2274"/>
  <c r="K2274"/>
  <c r="H2274"/>
  <c r="C2274"/>
  <c r="G2274"/>
  <c r="E2274"/>
  <c r="B2274"/>
  <c r="A2274"/>
  <c r="W2273"/>
  <c r="S2273"/>
  <c r="Q2273"/>
  <c r="P2273"/>
  <c r="M2273"/>
  <c r="K2273"/>
  <c r="H2273"/>
  <c r="C2273"/>
  <c r="G2273"/>
  <c r="E2273"/>
  <c r="B2273"/>
  <c r="A2273"/>
  <c r="W2272"/>
  <c r="S2272"/>
  <c r="R2272"/>
  <c r="Q2272"/>
  <c r="P2272"/>
  <c r="M2272"/>
  <c r="K2272"/>
  <c r="H2272"/>
  <c r="C2272"/>
  <c r="G2272"/>
  <c r="E2272"/>
  <c r="B2272"/>
  <c r="A2272"/>
  <c r="W2271"/>
  <c r="S2271"/>
  <c r="Q2271"/>
  <c r="P2271"/>
  <c r="M2271"/>
  <c r="K2271"/>
  <c r="H2271"/>
  <c r="C2271"/>
  <c r="G2271"/>
  <c r="E2271"/>
  <c r="B2271"/>
  <c r="A2271"/>
  <c r="W2270"/>
  <c r="S2270"/>
  <c r="Q2270"/>
  <c r="P2270"/>
  <c r="M2270"/>
  <c r="K2270"/>
  <c r="H2270"/>
  <c r="C2270"/>
  <c r="G2270"/>
  <c r="E2270"/>
  <c r="B2270"/>
  <c r="A2270"/>
  <c r="W2269"/>
  <c r="S2269"/>
  <c r="Q2269"/>
  <c r="P2269"/>
  <c r="N2269"/>
  <c r="M2269"/>
  <c r="K2269"/>
  <c r="H2269"/>
  <c r="C2269"/>
  <c r="G2269"/>
  <c r="E2269"/>
  <c r="B2269"/>
  <c r="A2269"/>
  <c r="W2268"/>
  <c r="S2268"/>
  <c r="Q2268"/>
  <c r="P2268"/>
  <c r="M2268"/>
  <c r="K2268"/>
  <c r="H2268"/>
  <c r="C2268"/>
  <c r="G2268"/>
  <c r="E2268"/>
  <c r="B2268"/>
  <c r="A2268"/>
  <c r="W2267"/>
  <c r="S2267"/>
  <c r="Q2267"/>
  <c r="P2267"/>
  <c r="M2267"/>
  <c r="K2267"/>
  <c r="H2267"/>
  <c r="C2267"/>
  <c r="G2267"/>
  <c r="E2267"/>
  <c r="B2267"/>
  <c r="A2267"/>
  <c r="W2266"/>
  <c r="S2266"/>
  <c r="Q2266"/>
  <c r="P2266"/>
  <c r="N2266"/>
  <c r="M2266"/>
  <c r="K2266"/>
  <c r="H2266"/>
  <c r="C2266"/>
  <c r="G2266"/>
  <c r="E2266"/>
  <c r="B2266"/>
  <c r="A2266"/>
  <c r="W2265"/>
  <c r="S2265"/>
  <c r="Q2265"/>
  <c r="P2265"/>
  <c r="N2265"/>
  <c r="M2265"/>
  <c r="K2265"/>
  <c r="H2265"/>
  <c r="C2265"/>
  <c r="G2265"/>
  <c r="E2265"/>
  <c r="B2265"/>
  <c r="A2265"/>
  <c r="W2264"/>
  <c r="S2264"/>
  <c r="Q2264"/>
  <c r="P2264"/>
  <c r="N2264"/>
  <c r="M2264"/>
  <c r="K2264"/>
  <c r="H2264"/>
  <c r="C2264"/>
  <c r="G2264"/>
  <c r="E2264"/>
  <c r="B2264"/>
  <c r="A2264"/>
  <c r="W2263"/>
  <c r="S2263"/>
  <c r="Q2263"/>
  <c r="P2263"/>
  <c r="M2263"/>
  <c r="K2263"/>
  <c r="H2263"/>
  <c r="C2263"/>
  <c r="G2263"/>
  <c r="E2263"/>
  <c r="B2263"/>
  <c r="A2263"/>
  <c r="W2262"/>
  <c r="S2262"/>
  <c r="Q2262"/>
  <c r="P2262"/>
  <c r="M2262"/>
  <c r="K2262"/>
  <c r="H2262"/>
  <c r="C2262"/>
  <c r="G2262"/>
  <c r="E2262"/>
  <c r="B2262"/>
  <c r="A2262"/>
  <c r="W2261"/>
  <c r="S2261"/>
  <c r="Q2261"/>
  <c r="P2261"/>
  <c r="M2261"/>
  <c r="K2261"/>
  <c r="H2261"/>
  <c r="C2261"/>
  <c r="G2261"/>
  <c r="E2261"/>
  <c r="B2261"/>
  <c r="A2261"/>
  <c r="W2260"/>
  <c r="S2260"/>
  <c r="Q2260"/>
  <c r="P2260"/>
  <c r="M2260"/>
  <c r="K2260"/>
  <c r="H2260"/>
  <c r="C2260"/>
  <c r="G2260"/>
  <c r="E2260"/>
  <c r="B2260"/>
  <c r="A2260"/>
  <c r="W2259"/>
  <c r="S2259"/>
  <c r="Q2259"/>
  <c r="P2259"/>
  <c r="M2259"/>
  <c r="K2259"/>
  <c r="H2259"/>
  <c r="C2259"/>
  <c r="G2259"/>
  <c r="E2259"/>
  <c r="B2259"/>
  <c r="A2259"/>
  <c r="W2258"/>
  <c r="S2258"/>
  <c r="Q2258"/>
  <c r="P2258"/>
  <c r="M2258"/>
  <c r="K2258"/>
  <c r="H2258"/>
  <c r="C2258"/>
  <c r="G2258"/>
  <c r="E2258"/>
  <c r="B2258"/>
  <c r="A2258"/>
  <c r="W2257"/>
  <c r="S2257"/>
  <c r="Q2257"/>
  <c r="P2257"/>
  <c r="M2257"/>
  <c r="K2257"/>
  <c r="H2257"/>
  <c r="C2257"/>
  <c r="G2257"/>
  <c r="E2257"/>
  <c r="B2257"/>
  <c r="A2257"/>
  <c r="W2256"/>
  <c r="S2256"/>
  <c r="Q2256"/>
  <c r="P2256"/>
  <c r="M2256"/>
  <c r="K2256"/>
  <c r="H2256"/>
  <c r="C2256"/>
  <c r="G2256"/>
  <c r="E2256"/>
  <c r="B2256"/>
  <c r="A2256"/>
  <c r="W2255"/>
  <c r="S2255"/>
  <c r="Q2255"/>
  <c r="P2255"/>
  <c r="M2255"/>
  <c r="K2255"/>
  <c r="H2255"/>
  <c r="C2255"/>
  <c r="G2255"/>
  <c r="E2255"/>
  <c r="B2255"/>
  <c r="A2255"/>
  <c r="W2254"/>
  <c r="S2254"/>
  <c r="Q2254"/>
  <c r="P2254"/>
  <c r="M2254"/>
  <c r="K2254"/>
  <c r="H2254"/>
  <c r="C2254"/>
  <c r="G2254"/>
  <c r="E2254"/>
  <c r="B2254"/>
  <c r="A2254"/>
  <c r="W2253"/>
  <c r="S2253"/>
  <c r="Q2253"/>
  <c r="P2253"/>
  <c r="M2253"/>
  <c r="K2253"/>
  <c r="H2253"/>
  <c r="C2253"/>
  <c r="G2253"/>
  <c r="E2253"/>
  <c r="B2253"/>
  <c r="A2253"/>
  <c r="W2252"/>
  <c r="S2252"/>
  <c r="Q2252"/>
  <c r="P2252"/>
  <c r="M2252"/>
  <c r="K2252"/>
  <c r="H2252"/>
  <c r="C2252"/>
  <c r="G2252"/>
  <c r="E2252"/>
  <c r="B2252"/>
  <c r="A2252"/>
  <c r="W2251"/>
  <c r="S2251"/>
  <c r="R2251"/>
  <c r="Q2251"/>
  <c r="P2251"/>
  <c r="M2251"/>
  <c r="K2251"/>
  <c r="H2251"/>
  <c r="C2251"/>
  <c r="G2251"/>
  <c r="E2251"/>
  <c r="B2251"/>
  <c r="A2251"/>
  <c r="W2250"/>
  <c r="S2250"/>
  <c r="Q2250"/>
  <c r="P2250"/>
  <c r="M2250"/>
  <c r="K2250"/>
  <c r="H2250"/>
  <c r="C2250"/>
  <c r="G2250"/>
  <c r="E2250"/>
  <c r="B2250"/>
  <c r="A2250"/>
  <c r="W2249"/>
  <c r="S2249"/>
  <c r="Q2249"/>
  <c r="P2249"/>
  <c r="M2249"/>
  <c r="K2249"/>
  <c r="H2249"/>
  <c r="C2249"/>
  <c r="G2249"/>
  <c r="E2249"/>
  <c r="B2249"/>
  <c r="A2249"/>
  <c r="W2248"/>
  <c r="S2248"/>
  <c r="Q2248"/>
  <c r="P2248"/>
  <c r="M2248"/>
  <c r="K2248"/>
  <c r="H2248"/>
  <c r="C2248"/>
  <c r="G2248"/>
  <c r="E2248"/>
  <c r="B2248"/>
  <c r="A2248"/>
  <c r="W2247"/>
  <c r="S2247"/>
  <c r="Q2247"/>
  <c r="P2247"/>
  <c r="M2247"/>
  <c r="K2247"/>
  <c r="H2247"/>
  <c r="C2247"/>
  <c r="G2247"/>
  <c r="E2247"/>
  <c r="B2247"/>
  <c r="A2247"/>
  <c r="W2246"/>
  <c r="S2246"/>
  <c r="Q2246"/>
  <c r="P2246"/>
  <c r="M2246"/>
  <c r="K2246"/>
  <c r="H2246"/>
  <c r="C2246"/>
  <c r="G2246"/>
  <c r="E2246"/>
  <c r="B2246"/>
  <c r="A2246"/>
  <c r="W2245"/>
  <c r="S2245"/>
  <c r="Q2245"/>
  <c r="P2245"/>
  <c r="M2245"/>
  <c r="K2245"/>
  <c r="H2245"/>
  <c r="C2245"/>
  <c r="G2245"/>
  <c r="E2245"/>
  <c r="B2245"/>
  <c r="A2245"/>
  <c r="W2244"/>
  <c r="S2244"/>
  <c r="Q2244"/>
  <c r="P2244"/>
  <c r="M2244"/>
  <c r="K2244"/>
  <c r="H2244"/>
  <c r="C2244"/>
  <c r="G2244"/>
  <c r="E2244"/>
  <c r="B2244"/>
  <c r="A2244"/>
  <c r="W2243"/>
  <c r="S2243"/>
  <c r="Q2243"/>
  <c r="P2243"/>
  <c r="M2243"/>
  <c r="K2243"/>
  <c r="H2243"/>
  <c r="C2243"/>
  <c r="G2243"/>
  <c r="E2243"/>
  <c r="B2243"/>
  <c r="A2243"/>
  <c r="W2242"/>
  <c r="S2242"/>
  <c r="Q2242"/>
  <c r="P2242"/>
  <c r="M2242"/>
  <c r="K2242"/>
  <c r="H2242"/>
  <c r="C2242"/>
  <c r="G2242"/>
  <c r="E2242"/>
  <c r="B2242"/>
  <c r="A2242"/>
  <c r="W2241"/>
  <c r="S2241"/>
  <c r="R2241"/>
  <c r="Q2241"/>
  <c r="P2241"/>
  <c r="M2241"/>
  <c r="K2241"/>
  <c r="H2241"/>
  <c r="C2241"/>
  <c r="G2241"/>
  <c r="E2241"/>
  <c r="B2241"/>
  <c r="A2241"/>
  <c r="W2240"/>
  <c r="S2240"/>
  <c r="Q2240"/>
  <c r="P2240"/>
  <c r="M2240"/>
  <c r="K2240"/>
  <c r="H2240"/>
  <c r="C2240"/>
  <c r="G2240"/>
  <c r="E2240"/>
  <c r="B2240"/>
  <c r="A2240"/>
  <c r="W2239"/>
  <c r="S2239"/>
  <c r="Q2239"/>
  <c r="P2239"/>
  <c r="M2239"/>
  <c r="K2239"/>
  <c r="H2239"/>
  <c r="C2239"/>
  <c r="G2239"/>
  <c r="E2239"/>
  <c r="B2239"/>
  <c r="A2239"/>
  <c r="W2238"/>
  <c r="S2238"/>
  <c r="Q2238"/>
  <c r="P2238"/>
  <c r="M2238"/>
  <c r="K2238"/>
  <c r="H2238"/>
  <c r="C2238"/>
  <c r="G2238"/>
  <c r="E2238"/>
  <c r="B2238"/>
  <c r="A2238"/>
  <c r="W2237"/>
  <c r="S2237"/>
  <c r="Q2237"/>
  <c r="P2237"/>
  <c r="M2237"/>
  <c r="K2237"/>
  <c r="H2237"/>
  <c r="C2237"/>
  <c r="G2237"/>
  <c r="E2237"/>
  <c r="B2237"/>
  <c r="A2237"/>
  <c r="W2236"/>
  <c r="S2236"/>
  <c r="Q2236"/>
  <c r="P2236"/>
  <c r="M2236"/>
  <c r="K2236"/>
  <c r="H2236"/>
  <c r="C2236"/>
  <c r="G2236"/>
  <c r="E2236"/>
  <c r="B2236"/>
  <c r="A2236"/>
  <c r="W2235"/>
  <c r="S2235"/>
  <c r="Q2235"/>
  <c r="P2235"/>
  <c r="M2235"/>
  <c r="K2235"/>
  <c r="H2235"/>
  <c r="C2235"/>
  <c r="G2235"/>
  <c r="E2235"/>
  <c r="B2235"/>
  <c r="A2235"/>
  <c r="W2234"/>
  <c r="S2234"/>
  <c r="Q2234"/>
  <c r="P2234"/>
  <c r="M2234"/>
  <c r="K2234"/>
  <c r="H2234"/>
  <c r="C2234"/>
  <c r="G2234"/>
  <c r="E2234"/>
  <c r="B2234"/>
  <c r="A2234"/>
  <c r="W2233"/>
  <c r="S2233"/>
  <c r="Q2233"/>
  <c r="P2233"/>
  <c r="M2233"/>
  <c r="K2233"/>
  <c r="H2233"/>
  <c r="C2233"/>
  <c r="G2233"/>
  <c r="E2233"/>
  <c r="B2233"/>
  <c r="A2233"/>
  <c r="W2232"/>
  <c r="S2232"/>
  <c r="Q2232"/>
  <c r="P2232"/>
  <c r="M2232"/>
  <c r="K2232"/>
  <c r="H2232"/>
  <c r="C2232"/>
  <c r="G2232"/>
  <c r="E2232"/>
  <c r="B2232"/>
  <c r="A2232"/>
  <c r="W2231"/>
  <c r="S2231"/>
  <c r="Q2231"/>
  <c r="P2231"/>
  <c r="M2231"/>
  <c r="K2231"/>
  <c r="H2231"/>
  <c r="C2231"/>
  <c r="G2231"/>
  <c r="E2231"/>
  <c r="B2231"/>
  <c r="A2231"/>
  <c r="W2230"/>
  <c r="S2230"/>
  <c r="R2230"/>
  <c r="Q2230"/>
  <c r="P2230"/>
  <c r="M2230"/>
  <c r="K2230"/>
  <c r="H2230"/>
  <c r="C2230"/>
  <c r="G2230"/>
  <c r="E2230"/>
  <c r="B2230"/>
  <c r="A2230"/>
  <c r="W2229"/>
  <c r="S2229"/>
  <c r="Q2229"/>
  <c r="P2229"/>
  <c r="M2229"/>
  <c r="K2229"/>
  <c r="H2229"/>
  <c r="C2229"/>
  <c r="G2229"/>
  <c r="E2229"/>
  <c r="B2229"/>
  <c r="A2229"/>
  <c r="W2228"/>
  <c r="S2228"/>
  <c r="Q2228"/>
  <c r="P2228"/>
  <c r="M2228"/>
  <c r="K2228"/>
  <c r="H2228"/>
  <c r="C2228"/>
  <c r="G2228"/>
  <c r="E2228"/>
  <c r="B2228"/>
  <c r="A2228"/>
  <c r="W2227"/>
  <c r="S2227"/>
  <c r="Q2227"/>
  <c r="P2227"/>
  <c r="M2227"/>
  <c r="K2227"/>
  <c r="H2227"/>
  <c r="C2227"/>
  <c r="G2227"/>
  <c r="E2227"/>
  <c r="B2227"/>
  <c r="A2227"/>
  <c r="W2226"/>
  <c r="S2226"/>
  <c r="Q2226"/>
  <c r="P2226"/>
  <c r="M2226"/>
  <c r="K2226"/>
  <c r="H2226"/>
  <c r="C2226"/>
  <c r="G2226"/>
  <c r="E2226"/>
  <c r="B2226"/>
  <c r="A2226"/>
  <c r="W2225"/>
  <c r="S2225"/>
  <c r="Q2225"/>
  <c r="P2225"/>
  <c r="M2225"/>
  <c r="K2225"/>
  <c r="H2225"/>
  <c r="C2225"/>
  <c r="G2225"/>
  <c r="E2225"/>
  <c r="B2225"/>
  <c r="A2225"/>
  <c r="W2224"/>
  <c r="S2224"/>
  <c r="Q2224"/>
  <c r="P2224"/>
  <c r="M2224"/>
  <c r="K2224"/>
  <c r="H2224"/>
  <c r="C2224"/>
  <c r="G2224"/>
  <c r="E2224"/>
  <c r="B2224"/>
  <c r="A2224"/>
  <c r="W2223"/>
  <c r="S2223"/>
  <c r="Q2223"/>
  <c r="P2223"/>
  <c r="M2223"/>
  <c r="K2223"/>
  <c r="H2223"/>
  <c r="C2223"/>
  <c r="G2223"/>
  <c r="E2223"/>
  <c r="B2223"/>
  <c r="A2223"/>
  <c r="W2222"/>
  <c r="S2222"/>
  <c r="Q2222"/>
  <c r="P2222"/>
  <c r="M2222"/>
  <c r="K2222"/>
  <c r="H2222"/>
  <c r="C2222"/>
  <c r="G2222"/>
  <c r="E2222"/>
  <c r="B2222"/>
  <c r="A2222"/>
  <c r="W2221"/>
  <c r="S2221"/>
  <c r="Q2221"/>
  <c r="P2221"/>
  <c r="M2221"/>
  <c r="K2221"/>
  <c r="H2221"/>
  <c r="C2221"/>
  <c r="G2221"/>
  <c r="E2221"/>
  <c r="B2221"/>
  <c r="A2221"/>
  <c r="W2220"/>
  <c r="S2220"/>
  <c r="Q2220"/>
  <c r="P2220"/>
  <c r="M2220"/>
  <c r="K2220"/>
  <c r="H2220"/>
  <c r="C2220"/>
  <c r="G2220"/>
  <c r="E2220"/>
  <c r="B2220"/>
  <c r="A2220"/>
  <c r="W2219"/>
  <c r="S2219"/>
  <c r="Q2219"/>
  <c r="P2219"/>
  <c r="M2219"/>
  <c r="K2219"/>
  <c r="H2219"/>
  <c r="C2219"/>
  <c r="G2219"/>
  <c r="E2219"/>
  <c r="B2219"/>
  <c r="A2219"/>
  <c r="W2218"/>
  <c r="S2218"/>
  <c r="Q2218"/>
  <c r="P2218"/>
  <c r="M2218"/>
  <c r="K2218"/>
  <c r="H2218"/>
  <c r="C2218"/>
  <c r="G2218"/>
  <c r="E2218"/>
  <c r="B2218"/>
  <c r="A2218"/>
  <c r="W2217"/>
  <c r="S2217"/>
  <c r="Q2217"/>
  <c r="P2217"/>
  <c r="M2217"/>
  <c r="K2217"/>
  <c r="H2217"/>
  <c r="C2217"/>
  <c r="G2217"/>
  <c r="E2217"/>
  <c r="B2217"/>
  <c r="A2217"/>
  <c r="W2216"/>
  <c r="S2216"/>
  <c r="Q2216"/>
  <c r="P2216"/>
  <c r="M2216"/>
  <c r="K2216"/>
  <c r="H2216"/>
  <c r="C2216"/>
  <c r="G2216"/>
  <c r="E2216"/>
  <c r="B2216"/>
  <c r="A2216"/>
  <c r="W2215"/>
  <c r="S2215"/>
  <c r="R2215"/>
  <c r="Q2215"/>
  <c r="P2215"/>
  <c r="M2215"/>
  <c r="K2215"/>
  <c r="H2215"/>
  <c r="C2215"/>
  <c r="G2215"/>
  <c r="E2215"/>
  <c r="B2215"/>
  <c r="A2215"/>
  <c r="W2214"/>
  <c r="S2214"/>
  <c r="Q2214"/>
  <c r="P2214"/>
  <c r="M2214"/>
  <c r="K2214"/>
  <c r="H2214"/>
  <c r="C2214"/>
  <c r="G2214"/>
  <c r="E2214"/>
  <c r="B2214"/>
  <c r="A2214"/>
  <c r="W2213"/>
  <c r="S2213"/>
  <c r="Q2213"/>
  <c r="P2213"/>
  <c r="M2213"/>
  <c r="K2213"/>
  <c r="H2213"/>
  <c r="C2213"/>
  <c r="G2213"/>
  <c r="E2213"/>
  <c r="B2213"/>
  <c r="A2213"/>
  <c r="W2212"/>
  <c r="S2212"/>
  <c r="Q2212"/>
  <c r="P2212"/>
  <c r="M2212"/>
  <c r="K2212"/>
  <c r="H2212"/>
  <c r="C2212"/>
  <c r="G2212"/>
  <c r="E2212"/>
  <c r="B2212"/>
  <c r="A2212"/>
  <c r="W2211"/>
  <c r="S2211"/>
  <c r="Q2211"/>
  <c r="P2211"/>
  <c r="M2211"/>
  <c r="K2211"/>
  <c r="H2211"/>
  <c r="C2211"/>
  <c r="G2211"/>
  <c r="E2211"/>
  <c r="B2211"/>
  <c r="A2211"/>
  <c r="W2210"/>
  <c r="S2210"/>
  <c r="R2210"/>
  <c r="Q2210"/>
  <c r="P2210"/>
  <c r="M2210"/>
  <c r="K2210"/>
  <c r="H2210"/>
  <c r="C2210"/>
  <c r="G2210"/>
  <c r="E2210"/>
  <c r="B2210"/>
  <c r="A2210"/>
  <c r="W2209"/>
  <c r="S2209"/>
  <c r="Q2209"/>
  <c r="P2209"/>
  <c r="M2209"/>
  <c r="K2209"/>
  <c r="H2209"/>
  <c r="C2209"/>
  <c r="G2209"/>
  <c r="E2209"/>
  <c r="B2209"/>
  <c r="A2209"/>
  <c r="W2208"/>
  <c r="S2208"/>
  <c r="Q2208"/>
  <c r="P2208"/>
  <c r="M2208"/>
  <c r="K2208"/>
  <c r="H2208"/>
  <c r="C2208"/>
  <c r="G2208"/>
  <c r="E2208"/>
  <c r="B2208"/>
  <c r="A2208"/>
  <c r="W2207"/>
  <c r="S2207"/>
  <c r="Q2207"/>
  <c r="P2207"/>
  <c r="M2207"/>
  <c r="K2207"/>
  <c r="H2207"/>
  <c r="C2207"/>
  <c r="G2207"/>
  <c r="E2207"/>
  <c r="B2207"/>
  <c r="A2207"/>
  <c r="W2206"/>
  <c r="S2206"/>
  <c r="Q2206"/>
  <c r="P2206"/>
  <c r="M2206"/>
  <c r="K2206"/>
  <c r="H2206"/>
  <c r="C2206"/>
  <c r="G2206"/>
  <c r="E2206"/>
  <c r="B2206"/>
  <c r="A2206"/>
  <c r="W2205"/>
  <c r="S2205"/>
  <c r="Q2205"/>
  <c r="P2205"/>
  <c r="M2205"/>
  <c r="K2205"/>
  <c r="H2205"/>
  <c r="C2205"/>
  <c r="G2205"/>
  <c r="E2205"/>
  <c r="B2205"/>
  <c r="A2205"/>
  <c r="W2204"/>
  <c r="S2204"/>
  <c r="Q2204"/>
  <c r="P2204"/>
  <c r="M2204"/>
  <c r="K2204"/>
  <c r="H2204"/>
  <c r="C2204"/>
  <c r="G2204"/>
  <c r="E2204"/>
  <c r="B2204"/>
  <c r="A2204"/>
  <c r="W2203"/>
  <c r="S2203"/>
  <c r="Q2203"/>
  <c r="P2203"/>
  <c r="M2203"/>
  <c r="K2203"/>
  <c r="H2203"/>
  <c r="C2203"/>
  <c r="G2203"/>
  <c r="E2203"/>
  <c r="B2203"/>
  <c r="A2203"/>
  <c r="W2202"/>
  <c r="S2202"/>
  <c r="Q2202"/>
  <c r="P2202"/>
  <c r="M2202"/>
  <c r="K2202"/>
  <c r="H2202"/>
  <c r="C2202"/>
  <c r="G2202"/>
  <c r="E2202"/>
  <c r="B2202"/>
  <c r="A2202"/>
  <c r="W2201"/>
  <c r="S2201"/>
  <c r="Q2201"/>
  <c r="P2201"/>
  <c r="M2201"/>
  <c r="K2201"/>
  <c r="H2201"/>
  <c r="C2201"/>
  <c r="G2201"/>
  <c r="E2201"/>
  <c r="B2201"/>
  <c r="A2201"/>
  <c r="W2200"/>
  <c r="S2200"/>
  <c r="Q2200"/>
  <c r="P2200"/>
  <c r="M2200"/>
  <c r="K2200"/>
  <c r="H2200"/>
  <c r="C2200"/>
  <c r="G2200"/>
  <c r="E2200"/>
  <c r="B2200"/>
  <c r="A2200"/>
  <c r="W2199"/>
  <c r="S2199"/>
  <c r="Q2199"/>
  <c r="P2199"/>
  <c r="M2199"/>
  <c r="K2199"/>
  <c r="H2199"/>
  <c r="C2199"/>
  <c r="G2199"/>
  <c r="E2199"/>
  <c r="B2199"/>
  <c r="A2199"/>
  <c r="W2198"/>
  <c r="S2198"/>
  <c r="Q2198"/>
  <c r="P2198"/>
  <c r="M2198"/>
  <c r="K2198"/>
  <c r="H2198"/>
  <c r="C2198"/>
  <c r="G2198"/>
  <c r="E2198"/>
  <c r="B2198"/>
  <c r="A2198"/>
  <c r="W2197"/>
  <c r="S2197"/>
  <c r="Q2197"/>
  <c r="P2197"/>
  <c r="M2197"/>
  <c r="K2197"/>
  <c r="H2197"/>
  <c r="C2197"/>
  <c r="G2197"/>
  <c r="E2197"/>
  <c r="B2197"/>
  <c r="A2197"/>
  <c r="W2196"/>
  <c r="S2196"/>
  <c r="Q2196"/>
  <c r="P2196"/>
  <c r="M2196"/>
  <c r="K2196"/>
  <c r="H2196"/>
  <c r="C2196"/>
  <c r="G2196"/>
  <c r="E2196"/>
  <c r="B2196"/>
  <c r="A2196"/>
  <c r="W2195"/>
  <c r="S2195"/>
  <c r="Q2195"/>
  <c r="P2195"/>
  <c r="M2195"/>
  <c r="K2195"/>
  <c r="H2195"/>
  <c r="C2195"/>
  <c r="G2195"/>
  <c r="E2195"/>
  <c r="B2195"/>
  <c r="A2195"/>
  <c r="W2194"/>
  <c r="S2194"/>
  <c r="Q2194"/>
  <c r="P2194"/>
  <c r="M2194"/>
  <c r="K2194"/>
  <c r="H2194"/>
  <c r="C2194"/>
  <c r="G2194"/>
  <c r="E2194"/>
  <c r="B2194"/>
  <c r="A2194"/>
  <c r="W2193"/>
  <c r="S2193"/>
  <c r="Q2193"/>
  <c r="P2193"/>
  <c r="M2193"/>
  <c r="K2193"/>
  <c r="H2193"/>
  <c r="C2193"/>
  <c r="G2193"/>
  <c r="E2193"/>
  <c r="B2193"/>
  <c r="A2193"/>
  <c r="W2192"/>
  <c r="S2192"/>
  <c r="Q2192"/>
  <c r="P2192"/>
  <c r="M2192"/>
  <c r="K2192"/>
  <c r="H2192"/>
  <c r="C2192"/>
  <c r="G2192"/>
  <c r="E2192"/>
  <c r="B2192"/>
  <c r="A2192"/>
  <c r="W2191"/>
  <c r="S2191"/>
  <c r="Q2191"/>
  <c r="P2191"/>
  <c r="M2191"/>
  <c r="K2191"/>
  <c r="H2191"/>
  <c r="C2191"/>
  <c r="G2191"/>
  <c r="E2191"/>
  <c r="B2191"/>
  <c r="A2191"/>
  <c r="W2190"/>
  <c r="S2190"/>
  <c r="Q2190"/>
  <c r="P2190"/>
  <c r="M2190"/>
  <c r="K2190"/>
  <c r="H2190"/>
  <c r="C2190"/>
  <c r="G2190"/>
  <c r="E2190"/>
  <c r="B2190"/>
  <c r="A2190"/>
  <c r="W2189"/>
  <c r="S2189"/>
  <c r="Q2189"/>
  <c r="P2189"/>
  <c r="M2189"/>
  <c r="K2189"/>
  <c r="H2189"/>
  <c r="C2189"/>
  <c r="G2189"/>
  <c r="E2189"/>
  <c r="B2189"/>
  <c r="A2189"/>
  <c r="W2188"/>
  <c r="S2188"/>
  <c r="Q2188"/>
  <c r="P2188"/>
  <c r="M2188"/>
  <c r="K2188"/>
  <c r="H2188"/>
  <c r="C2188"/>
  <c r="G2188"/>
  <c r="E2188"/>
  <c r="B2188"/>
  <c r="A2188"/>
  <c r="W2187"/>
  <c r="S2187"/>
  <c r="Q2187"/>
  <c r="P2187"/>
  <c r="M2187"/>
  <c r="K2187"/>
  <c r="H2187"/>
  <c r="C2187"/>
  <c r="G2187"/>
  <c r="E2187"/>
  <c r="B2187"/>
  <c r="A2187"/>
  <c r="W2186"/>
  <c r="S2186"/>
  <c r="Q2186"/>
  <c r="P2186"/>
  <c r="M2186"/>
  <c r="K2186"/>
  <c r="H2186"/>
  <c r="C2186"/>
  <c r="G2186"/>
  <c r="E2186"/>
  <c r="B2186"/>
  <c r="A2186"/>
  <c r="W2185"/>
  <c r="S2185"/>
  <c r="Q2185"/>
  <c r="P2185"/>
  <c r="M2185"/>
  <c r="K2185"/>
  <c r="H2185"/>
  <c r="C2185"/>
  <c r="G2185"/>
  <c r="E2185"/>
  <c r="B2185"/>
  <c r="A2185"/>
  <c r="W2184"/>
  <c r="S2184"/>
  <c r="Q2184"/>
  <c r="P2184"/>
  <c r="M2184"/>
  <c r="K2184"/>
  <c r="H2184"/>
  <c r="C2184"/>
  <c r="G2184"/>
  <c r="E2184"/>
  <c r="B2184"/>
  <c r="A2184"/>
  <c r="W2183"/>
  <c r="S2183"/>
  <c r="Q2183"/>
  <c r="P2183"/>
  <c r="M2183"/>
  <c r="K2183"/>
  <c r="H2183"/>
  <c r="C2183"/>
  <c r="G2183"/>
  <c r="E2183"/>
  <c r="B2183"/>
  <c r="A2183"/>
  <c r="W2182"/>
  <c r="S2182"/>
  <c r="Q2182"/>
  <c r="P2182"/>
  <c r="M2182"/>
  <c r="K2182"/>
  <c r="H2182"/>
  <c r="C2182"/>
  <c r="G2182"/>
  <c r="E2182"/>
  <c r="B2182"/>
  <c r="A2182"/>
  <c r="W2181"/>
  <c r="S2181"/>
  <c r="Q2181"/>
  <c r="P2181"/>
  <c r="M2181"/>
  <c r="K2181"/>
  <c r="H2181"/>
  <c r="C2181"/>
  <c r="G2181"/>
  <c r="E2181"/>
  <c r="B2181"/>
  <c r="A2181"/>
  <c r="W2180"/>
  <c r="S2180"/>
  <c r="Q2180"/>
  <c r="P2180"/>
  <c r="M2180"/>
  <c r="K2180"/>
  <c r="H2180"/>
  <c r="C2180"/>
  <c r="G2180"/>
  <c r="E2180"/>
  <c r="B2180"/>
  <c r="A2180"/>
  <c r="W2179"/>
  <c r="S2179"/>
  <c r="Q2179"/>
  <c r="P2179"/>
  <c r="M2179"/>
  <c r="K2179"/>
  <c r="H2179"/>
  <c r="C2179"/>
  <c r="G2179"/>
  <c r="E2179"/>
  <c r="B2179"/>
  <c r="A2179"/>
  <c r="W2178"/>
  <c r="S2178"/>
  <c r="Q2178"/>
  <c r="P2178"/>
  <c r="M2178"/>
  <c r="K2178"/>
  <c r="H2178"/>
  <c r="C2178"/>
  <c r="G2178"/>
  <c r="E2178"/>
  <c r="B2178"/>
  <c r="A2178"/>
  <c r="W2177"/>
  <c r="S2177"/>
  <c r="Q2177"/>
  <c r="P2177"/>
  <c r="M2177"/>
  <c r="K2177"/>
  <c r="H2177"/>
  <c r="C2177"/>
  <c r="G2177"/>
  <c r="E2177"/>
  <c r="B2177"/>
  <c r="A2177"/>
  <c r="W2176"/>
  <c r="S2176"/>
  <c r="Q2176"/>
  <c r="P2176"/>
  <c r="M2176"/>
  <c r="K2176"/>
  <c r="H2176"/>
  <c r="C2176"/>
  <c r="G2176"/>
  <c r="E2176"/>
  <c r="B2176"/>
  <c r="A2176"/>
  <c r="W2175"/>
  <c r="S2175"/>
  <c r="Q2175"/>
  <c r="P2175"/>
  <c r="M2175"/>
  <c r="K2175"/>
  <c r="H2175"/>
  <c r="C2175"/>
  <c r="G2175"/>
  <c r="E2175"/>
  <c r="B2175"/>
  <c r="A2175"/>
  <c r="W2174"/>
  <c r="S2174"/>
  <c r="Q2174"/>
  <c r="P2174"/>
  <c r="M2174"/>
  <c r="K2174"/>
  <c r="H2174"/>
  <c r="C2174"/>
  <c r="G2174"/>
  <c r="E2174"/>
  <c r="B2174"/>
  <c r="A2174"/>
  <c r="W2173"/>
  <c r="S2173"/>
  <c r="Q2173"/>
  <c r="P2173"/>
  <c r="M2173"/>
  <c r="K2173"/>
  <c r="H2173"/>
  <c r="C2173"/>
  <c r="G2173"/>
  <c r="E2173"/>
  <c r="B2173"/>
  <c r="A2173"/>
  <c r="W2172"/>
  <c r="S2172"/>
  <c r="Q2172"/>
  <c r="P2172"/>
  <c r="M2172"/>
  <c r="K2172"/>
  <c r="H2172"/>
  <c r="C2172"/>
  <c r="G2172"/>
  <c r="E2172"/>
  <c r="B2172"/>
  <c r="A2172"/>
  <c r="W2171"/>
  <c r="S2171"/>
  <c r="Q2171"/>
  <c r="P2171"/>
  <c r="M2171"/>
  <c r="K2171"/>
  <c r="H2171"/>
  <c r="C2171"/>
  <c r="G2171"/>
  <c r="E2171"/>
  <c r="B2171"/>
  <c r="A2171"/>
  <c r="W2170"/>
  <c r="S2170"/>
  <c r="Q2170"/>
  <c r="P2170"/>
  <c r="M2170"/>
  <c r="K2170"/>
  <c r="H2170"/>
  <c r="C2170"/>
  <c r="G2170"/>
  <c r="E2170"/>
  <c r="B2170"/>
  <c r="A2170"/>
  <c r="W2169"/>
  <c r="S2169"/>
  <c r="Q2169"/>
  <c r="P2169"/>
  <c r="M2169"/>
  <c r="K2169"/>
  <c r="H2169"/>
  <c r="C2169"/>
  <c r="G2169"/>
  <c r="E2169"/>
  <c r="B2169"/>
  <c r="A2169"/>
  <c r="W2168"/>
  <c r="S2168"/>
  <c r="R2168"/>
  <c r="Q2168"/>
  <c r="P2168"/>
  <c r="M2168"/>
  <c r="K2168"/>
  <c r="H2168"/>
  <c r="C2168"/>
  <c r="G2168"/>
  <c r="E2168"/>
  <c r="B2168"/>
  <c r="A2168"/>
  <c r="W2167"/>
  <c r="S2167"/>
  <c r="Q2167"/>
  <c r="P2167"/>
  <c r="M2167"/>
  <c r="K2167"/>
  <c r="H2167"/>
  <c r="C2167"/>
  <c r="G2167"/>
  <c r="E2167"/>
  <c r="B2167"/>
  <c r="A2167"/>
  <c r="W2166"/>
  <c r="S2166"/>
  <c r="R2166"/>
  <c r="Q2166"/>
  <c r="P2166"/>
  <c r="M2166"/>
  <c r="K2166"/>
  <c r="H2166"/>
  <c r="C2166"/>
  <c r="G2166"/>
  <c r="E2166"/>
  <c r="B2166"/>
  <c r="A2166"/>
  <c r="W2165"/>
  <c r="S2165"/>
  <c r="Q2165"/>
  <c r="P2165"/>
  <c r="M2165"/>
  <c r="K2165"/>
  <c r="H2165"/>
  <c r="C2165"/>
  <c r="G2165"/>
  <c r="E2165"/>
  <c r="B2165"/>
  <c r="A2165"/>
  <c r="W2164"/>
  <c r="S2164"/>
  <c r="Q2164"/>
  <c r="P2164"/>
  <c r="M2164"/>
  <c r="K2164"/>
  <c r="H2164"/>
  <c r="C2164"/>
  <c r="G2164"/>
  <c r="E2164"/>
  <c r="B2164"/>
  <c r="A2164"/>
  <c r="W2163"/>
  <c r="S2163"/>
  <c r="Q2163"/>
  <c r="P2163"/>
  <c r="M2163"/>
  <c r="K2163"/>
  <c r="H2163"/>
  <c r="C2163"/>
  <c r="G2163"/>
  <c r="E2163"/>
  <c r="B2163"/>
  <c r="A2163"/>
  <c r="W2162"/>
  <c r="S2162"/>
  <c r="R2162"/>
  <c r="Q2162"/>
  <c r="P2162"/>
  <c r="M2162"/>
  <c r="K2162"/>
  <c r="H2162"/>
  <c r="C2162"/>
  <c r="G2162"/>
  <c r="E2162"/>
  <c r="B2162"/>
  <c r="A2162"/>
  <c r="W2161"/>
  <c r="S2161"/>
  <c r="Q2161"/>
  <c r="P2161"/>
  <c r="M2161"/>
  <c r="K2161"/>
  <c r="H2161"/>
  <c r="C2161"/>
  <c r="G2161"/>
  <c r="E2161"/>
  <c r="B2161"/>
  <c r="A2161"/>
  <c r="W2160"/>
  <c r="S2160"/>
  <c r="Q2160"/>
  <c r="P2160"/>
  <c r="M2160"/>
  <c r="K2160"/>
  <c r="H2160"/>
  <c r="C2160"/>
  <c r="G2160"/>
  <c r="E2160"/>
  <c r="B2160"/>
  <c r="A2160"/>
  <c r="W2159"/>
  <c r="S2159"/>
  <c r="Q2159"/>
  <c r="P2159"/>
  <c r="M2159"/>
  <c r="K2159"/>
  <c r="H2159"/>
  <c r="C2159"/>
  <c r="G2159"/>
  <c r="E2159"/>
  <c r="B2159"/>
  <c r="A2159"/>
  <c r="W2158"/>
  <c r="S2158"/>
  <c r="Q2158"/>
  <c r="P2158"/>
  <c r="M2158"/>
  <c r="K2158"/>
  <c r="H2158"/>
  <c r="C2158"/>
  <c r="G2158"/>
  <c r="E2158"/>
  <c r="B2158"/>
  <c r="A2158"/>
  <c r="W2157"/>
  <c r="S2157"/>
  <c r="Q2157"/>
  <c r="P2157"/>
  <c r="M2157"/>
  <c r="K2157"/>
  <c r="H2157"/>
  <c r="C2157"/>
  <c r="G2157"/>
  <c r="E2157"/>
  <c r="B2157"/>
  <c r="A2157"/>
  <c r="W2156"/>
  <c r="S2156"/>
  <c r="Q2156"/>
  <c r="P2156"/>
  <c r="M2156"/>
  <c r="K2156"/>
  <c r="H2156"/>
  <c r="C2156"/>
  <c r="G2156"/>
  <c r="E2156"/>
  <c r="B2156"/>
  <c r="A2156"/>
  <c r="W2155"/>
  <c r="S2155"/>
  <c r="Q2155"/>
  <c r="P2155"/>
  <c r="M2155"/>
  <c r="K2155"/>
  <c r="H2155"/>
  <c r="C2155"/>
  <c r="G2155"/>
  <c r="E2155"/>
  <c r="B2155"/>
  <c r="A2155"/>
  <c r="W2154"/>
  <c r="S2154"/>
  <c r="Q2154"/>
  <c r="P2154"/>
  <c r="N2154"/>
  <c r="M2154"/>
  <c r="K2154"/>
  <c r="H2154"/>
  <c r="C2154"/>
  <c r="G2154"/>
  <c r="E2154"/>
  <c r="B2154"/>
  <c r="A2154"/>
  <c r="W2153"/>
  <c r="S2153"/>
  <c r="Q2153"/>
  <c r="P2153"/>
  <c r="M2153"/>
  <c r="K2153"/>
  <c r="H2153"/>
  <c r="C2153"/>
  <c r="G2153"/>
  <c r="E2153"/>
  <c r="B2153"/>
  <c r="A2153"/>
  <c r="W2152"/>
  <c r="S2152"/>
  <c r="Q2152"/>
  <c r="P2152"/>
  <c r="M2152"/>
  <c r="K2152"/>
  <c r="H2152"/>
  <c r="C2152"/>
  <c r="G2152"/>
  <c r="E2152"/>
  <c r="B2152"/>
  <c r="A2152"/>
  <c r="W2151"/>
  <c r="S2151"/>
  <c r="Q2151"/>
  <c r="P2151"/>
  <c r="N2151"/>
  <c r="M2151"/>
  <c r="K2151"/>
  <c r="H2151"/>
  <c r="C2151"/>
  <c r="G2151"/>
  <c r="E2151"/>
  <c r="B2151"/>
  <c r="A2151"/>
  <c r="W2150"/>
  <c r="S2150"/>
  <c r="Q2150"/>
  <c r="P2150"/>
  <c r="M2150"/>
  <c r="K2150"/>
  <c r="H2150"/>
  <c r="C2150"/>
  <c r="G2150"/>
  <c r="E2150"/>
  <c r="B2150"/>
  <c r="A2150"/>
  <c r="W2149"/>
  <c r="S2149"/>
  <c r="Q2149"/>
  <c r="P2149"/>
  <c r="M2149"/>
  <c r="K2149"/>
  <c r="H2149"/>
  <c r="C2149"/>
  <c r="G2149"/>
  <c r="E2149"/>
  <c r="B2149"/>
  <c r="A2149"/>
  <c r="W2148"/>
  <c r="S2148"/>
  <c r="Q2148"/>
  <c r="P2148"/>
  <c r="N2148"/>
  <c r="M2148"/>
  <c r="K2148"/>
  <c r="H2148"/>
  <c r="C2148"/>
  <c r="G2148"/>
  <c r="E2148"/>
  <c r="B2148"/>
  <c r="A2148"/>
  <c r="W2147"/>
  <c r="S2147"/>
  <c r="Q2147"/>
  <c r="P2147"/>
  <c r="M2147"/>
  <c r="K2147"/>
  <c r="H2147"/>
  <c r="C2147"/>
  <c r="G2147"/>
  <c r="E2147"/>
  <c r="B2147"/>
  <c r="A2147"/>
  <c r="W2146"/>
  <c r="S2146"/>
  <c r="Q2146"/>
  <c r="P2146"/>
  <c r="M2146"/>
  <c r="K2146"/>
  <c r="H2146"/>
  <c r="C2146"/>
  <c r="G2146"/>
  <c r="E2146"/>
  <c r="B2146"/>
  <c r="A2146"/>
  <c r="W2145"/>
  <c r="S2145"/>
  <c r="Q2145"/>
  <c r="P2145"/>
  <c r="M2145"/>
  <c r="K2145"/>
  <c r="H2145"/>
  <c r="C2145"/>
  <c r="G2145"/>
  <c r="E2145"/>
  <c r="B2145"/>
  <c r="A2145"/>
  <c r="W2144"/>
  <c r="S2144"/>
  <c r="Q2144"/>
  <c r="P2144"/>
  <c r="N2144"/>
  <c r="M2144"/>
  <c r="K2144"/>
  <c r="H2144"/>
  <c r="C2144"/>
  <c r="G2144"/>
  <c r="E2144"/>
  <c r="B2144"/>
  <c r="A2144"/>
  <c r="W2143"/>
  <c r="S2143"/>
  <c r="Q2143"/>
  <c r="P2143"/>
  <c r="M2143"/>
  <c r="K2143"/>
  <c r="H2143"/>
  <c r="C2143"/>
  <c r="G2143"/>
  <c r="E2143"/>
  <c r="B2143"/>
  <c r="A2143"/>
  <c r="W2142"/>
  <c r="S2142"/>
  <c r="Q2142"/>
  <c r="P2142"/>
  <c r="M2142"/>
  <c r="K2142"/>
  <c r="H2142"/>
  <c r="C2142"/>
  <c r="G2142"/>
  <c r="E2142"/>
  <c r="B2142"/>
  <c r="A2142"/>
  <c r="W2141"/>
  <c r="S2141"/>
  <c r="Q2141"/>
  <c r="P2141"/>
  <c r="M2141"/>
  <c r="K2141"/>
  <c r="H2141"/>
  <c r="C2141"/>
  <c r="G2141"/>
  <c r="E2141"/>
  <c r="B2141"/>
  <c r="A2141"/>
  <c r="W2140"/>
  <c r="S2140"/>
  <c r="Q2140"/>
  <c r="P2140"/>
  <c r="M2140"/>
  <c r="K2140"/>
  <c r="H2140"/>
  <c r="C2140"/>
  <c r="G2140"/>
  <c r="E2140"/>
  <c r="B2140"/>
  <c r="A2140"/>
  <c r="W2139"/>
  <c r="S2139"/>
  <c r="Q2139"/>
  <c r="P2139"/>
  <c r="M2139"/>
  <c r="K2139"/>
  <c r="H2139"/>
  <c r="C2139"/>
  <c r="G2139"/>
  <c r="E2139"/>
  <c r="B2139"/>
  <c r="A2139"/>
  <c r="W2138"/>
  <c r="S2138"/>
  <c r="Q2138"/>
  <c r="P2138"/>
  <c r="M2138"/>
  <c r="K2138"/>
  <c r="H2138"/>
  <c r="C2138"/>
  <c r="G2138"/>
  <c r="E2138"/>
  <c r="B2138"/>
  <c r="A2138"/>
  <c r="W2137"/>
  <c r="S2137"/>
  <c r="Q2137"/>
  <c r="P2137"/>
  <c r="M2137"/>
  <c r="K2137"/>
  <c r="H2137"/>
  <c r="C2137"/>
  <c r="G2137"/>
  <c r="E2137"/>
  <c r="B2137"/>
  <c r="A2137"/>
  <c r="W2136"/>
  <c r="S2136"/>
  <c r="Q2136"/>
  <c r="P2136"/>
  <c r="M2136"/>
  <c r="K2136"/>
  <c r="H2136"/>
  <c r="C2136"/>
  <c r="G2136"/>
  <c r="E2136"/>
  <c r="B2136"/>
  <c r="A2136"/>
  <c r="W2135"/>
  <c r="S2135"/>
  <c r="Q2135"/>
  <c r="P2135"/>
  <c r="N2135"/>
  <c r="M2135"/>
  <c r="K2135"/>
  <c r="H2135"/>
  <c r="C2135"/>
  <c r="G2135"/>
  <c r="E2135"/>
  <c r="B2135"/>
  <c r="A2135"/>
  <c r="W2134"/>
  <c r="S2134"/>
  <c r="Q2134"/>
  <c r="P2134"/>
  <c r="M2134"/>
  <c r="K2134"/>
  <c r="H2134"/>
  <c r="C2134"/>
  <c r="G2134"/>
  <c r="E2134"/>
  <c r="B2134"/>
  <c r="A2134"/>
  <c r="W2133"/>
  <c r="S2133"/>
  <c r="Q2133"/>
  <c r="P2133"/>
  <c r="M2133"/>
  <c r="K2133"/>
  <c r="H2133"/>
  <c r="C2133"/>
  <c r="G2133"/>
  <c r="E2133"/>
  <c r="B2133"/>
  <c r="A2133"/>
  <c r="W2132"/>
  <c r="S2132"/>
  <c r="Q2132"/>
  <c r="P2132"/>
  <c r="M2132"/>
  <c r="K2132"/>
  <c r="H2132"/>
  <c r="C2132"/>
  <c r="G2132"/>
  <c r="E2132"/>
  <c r="B2132"/>
  <c r="A2132"/>
  <c r="W2131"/>
  <c r="S2131"/>
  <c r="Q2131"/>
  <c r="P2131"/>
  <c r="M2131"/>
  <c r="K2131"/>
  <c r="H2131"/>
  <c r="C2131"/>
  <c r="G2131"/>
  <c r="E2131"/>
  <c r="B2131"/>
  <c r="A2131"/>
  <c r="W2130"/>
  <c r="S2130"/>
  <c r="Q2130"/>
  <c r="P2130"/>
  <c r="N2130"/>
  <c r="M2130"/>
  <c r="K2130"/>
  <c r="H2130"/>
  <c r="C2130"/>
  <c r="G2130"/>
  <c r="E2130"/>
  <c r="B2130"/>
  <c r="A2130"/>
  <c r="W2129"/>
  <c r="S2129"/>
  <c r="Q2129"/>
  <c r="P2129"/>
  <c r="M2129"/>
  <c r="K2129"/>
  <c r="H2129"/>
  <c r="C2129"/>
  <c r="G2129"/>
  <c r="E2129"/>
  <c r="B2129"/>
  <c r="A2129"/>
  <c r="W2128"/>
  <c r="S2128"/>
  <c r="Q2128"/>
  <c r="P2128"/>
  <c r="M2128"/>
  <c r="K2128"/>
  <c r="H2128"/>
  <c r="C2128"/>
  <c r="G2128"/>
  <c r="E2128"/>
  <c r="B2128"/>
  <c r="A2128"/>
  <c r="W2127"/>
  <c r="S2127"/>
  <c r="Q2127"/>
  <c r="P2127"/>
  <c r="M2127"/>
  <c r="K2127"/>
  <c r="H2127"/>
  <c r="C2127"/>
  <c r="G2127"/>
  <c r="E2127"/>
  <c r="B2127"/>
  <c r="A2127"/>
  <c r="W2126"/>
  <c r="S2126"/>
  <c r="Q2126"/>
  <c r="P2126"/>
  <c r="M2126"/>
  <c r="K2126"/>
  <c r="H2126"/>
  <c r="C2126"/>
  <c r="G2126"/>
  <c r="E2126"/>
  <c r="B2126"/>
  <c r="A2126"/>
  <c r="W2125"/>
  <c r="S2125"/>
  <c r="Q2125"/>
  <c r="P2125"/>
  <c r="N2125"/>
  <c r="M2125"/>
  <c r="K2125"/>
  <c r="H2125"/>
  <c r="C2125"/>
  <c r="G2125"/>
  <c r="E2125"/>
  <c r="B2125"/>
  <c r="A2125"/>
  <c r="W2124"/>
  <c r="S2124"/>
  <c r="R2124"/>
  <c r="Q2124"/>
  <c r="P2124"/>
  <c r="M2124"/>
  <c r="K2124"/>
  <c r="H2124"/>
  <c r="C2124"/>
  <c r="G2124"/>
  <c r="E2124"/>
  <c r="B2124"/>
  <c r="A2124"/>
  <c r="W2123"/>
  <c r="S2123"/>
  <c r="Q2123"/>
  <c r="P2123"/>
  <c r="M2123"/>
  <c r="K2123"/>
  <c r="H2123"/>
  <c r="C2123"/>
  <c r="G2123"/>
  <c r="E2123"/>
  <c r="B2123"/>
  <c r="A2123"/>
  <c r="W2122"/>
  <c r="S2122"/>
  <c r="Q2122"/>
  <c r="P2122"/>
  <c r="N2122"/>
  <c r="M2122"/>
  <c r="K2122"/>
  <c r="H2122"/>
  <c r="C2122"/>
  <c r="G2122"/>
  <c r="E2122"/>
  <c r="B2122"/>
  <c r="A2122"/>
  <c r="W2121"/>
  <c r="S2121"/>
  <c r="Q2121"/>
  <c r="P2121"/>
  <c r="M2121"/>
  <c r="K2121"/>
  <c r="H2121"/>
  <c r="C2121"/>
  <c r="G2121"/>
  <c r="E2121"/>
  <c r="B2121"/>
  <c r="A2121"/>
  <c r="W2120"/>
  <c r="S2120"/>
  <c r="Q2120"/>
  <c r="P2120"/>
  <c r="N2120"/>
  <c r="M2120"/>
  <c r="K2120"/>
  <c r="H2120"/>
  <c r="C2120"/>
  <c r="G2120"/>
  <c r="E2120"/>
  <c r="B2120"/>
  <c r="A2120"/>
  <c r="W2119"/>
  <c r="S2119"/>
  <c r="R2119"/>
  <c r="Q2119"/>
  <c r="P2119"/>
  <c r="M2119"/>
  <c r="K2119"/>
  <c r="H2119"/>
  <c r="C2119"/>
  <c r="G2119"/>
  <c r="E2119"/>
  <c r="B2119"/>
  <c r="A2119"/>
  <c r="W2118"/>
  <c r="S2118"/>
  <c r="Q2118"/>
  <c r="P2118"/>
  <c r="M2118"/>
  <c r="K2118"/>
  <c r="H2118"/>
  <c r="C2118"/>
  <c r="G2118"/>
  <c r="E2118"/>
  <c r="B2118"/>
  <c r="A2118"/>
  <c r="W2117"/>
  <c r="S2117"/>
  <c r="Q2117"/>
  <c r="P2117"/>
  <c r="M2117"/>
  <c r="K2117"/>
  <c r="H2117"/>
  <c r="C2117"/>
  <c r="G2117"/>
  <c r="E2117"/>
  <c r="B2117"/>
  <c r="A2117"/>
  <c r="W2116"/>
  <c r="S2116"/>
  <c r="Q2116"/>
  <c r="P2116"/>
  <c r="M2116"/>
  <c r="K2116"/>
  <c r="H2116"/>
  <c r="C2116"/>
  <c r="G2116"/>
  <c r="E2116"/>
  <c r="B2116"/>
  <c r="A2116"/>
  <c r="W2115"/>
  <c r="S2115"/>
  <c r="Q2115"/>
  <c r="P2115"/>
  <c r="N2115"/>
  <c r="M2115"/>
  <c r="K2115"/>
  <c r="H2115"/>
  <c r="C2115"/>
  <c r="G2115"/>
  <c r="E2115"/>
  <c r="B2115"/>
  <c r="A2115"/>
  <c r="W2114"/>
  <c r="S2114"/>
  <c r="R2114"/>
  <c r="Q2114"/>
  <c r="P2114"/>
  <c r="M2114"/>
  <c r="K2114"/>
  <c r="H2114"/>
  <c r="C2114"/>
  <c r="G2114"/>
  <c r="E2114"/>
  <c r="B2114"/>
  <c r="A2114"/>
  <c r="W2113"/>
  <c r="S2113"/>
  <c r="Q2113"/>
  <c r="P2113"/>
  <c r="N2113"/>
  <c r="M2113"/>
  <c r="K2113"/>
  <c r="H2113"/>
  <c r="C2113"/>
  <c r="G2113"/>
  <c r="E2113"/>
  <c r="B2113"/>
  <c r="A2113"/>
  <c r="W2112"/>
  <c r="S2112"/>
  <c r="Q2112"/>
  <c r="P2112"/>
  <c r="M2112"/>
  <c r="K2112"/>
  <c r="H2112"/>
  <c r="C2112"/>
  <c r="G2112"/>
  <c r="E2112"/>
  <c r="B2112"/>
  <c r="A2112"/>
  <c r="W2111"/>
  <c r="S2111"/>
  <c r="Q2111"/>
  <c r="P2111"/>
  <c r="M2111"/>
  <c r="K2111"/>
  <c r="H2111"/>
  <c r="C2111"/>
  <c r="G2111"/>
  <c r="E2111"/>
  <c r="B2111"/>
  <c r="A2111"/>
  <c r="W2110"/>
  <c r="S2110"/>
  <c r="Q2110"/>
  <c r="P2110"/>
  <c r="M2110"/>
  <c r="K2110"/>
  <c r="H2110"/>
  <c r="C2110"/>
  <c r="G2110"/>
  <c r="E2110"/>
  <c r="B2110"/>
  <c r="A2110"/>
  <c r="W2109"/>
  <c r="S2109"/>
  <c r="Q2109"/>
  <c r="P2109"/>
  <c r="M2109"/>
  <c r="K2109"/>
  <c r="H2109"/>
  <c r="C2109"/>
  <c r="G2109"/>
  <c r="E2109"/>
  <c r="B2109"/>
  <c r="A2109"/>
  <c r="W2108"/>
  <c r="S2108"/>
  <c r="Q2108"/>
  <c r="P2108"/>
  <c r="M2108"/>
  <c r="K2108"/>
  <c r="H2108"/>
  <c r="C2108"/>
  <c r="G2108"/>
  <c r="E2108"/>
  <c r="B2108"/>
  <c r="A2108"/>
  <c r="W2107"/>
  <c r="S2107"/>
  <c r="Q2107"/>
  <c r="P2107"/>
  <c r="N2107"/>
  <c r="M2107"/>
  <c r="K2107"/>
  <c r="H2107"/>
  <c r="C2107"/>
  <c r="G2107"/>
  <c r="E2107"/>
  <c r="B2107"/>
  <c r="A2107"/>
  <c r="W2106"/>
  <c r="S2106"/>
  <c r="Q2106"/>
  <c r="P2106"/>
  <c r="M2106"/>
  <c r="K2106"/>
  <c r="H2106"/>
  <c r="C2106"/>
  <c r="G2106"/>
  <c r="E2106"/>
  <c r="B2106"/>
  <c r="A2106"/>
  <c r="W2105"/>
  <c r="S2105"/>
  <c r="Q2105"/>
  <c r="P2105"/>
  <c r="M2105"/>
  <c r="K2105"/>
  <c r="H2105"/>
  <c r="C2105"/>
  <c r="G2105"/>
  <c r="E2105"/>
  <c r="B2105"/>
  <c r="A2105"/>
  <c r="W2104"/>
  <c r="S2104"/>
  <c r="Q2104"/>
  <c r="P2104"/>
  <c r="N2104"/>
  <c r="M2104"/>
  <c r="K2104"/>
  <c r="H2104"/>
  <c r="C2104"/>
  <c r="G2104"/>
  <c r="E2104"/>
  <c r="B2104"/>
  <c r="A2104"/>
  <c r="W2103"/>
  <c r="S2103"/>
  <c r="Q2103"/>
  <c r="P2103"/>
  <c r="M2103"/>
  <c r="K2103"/>
  <c r="H2103"/>
  <c r="C2103"/>
  <c r="G2103"/>
  <c r="E2103"/>
  <c r="B2103"/>
  <c r="A2103"/>
  <c r="W2102"/>
  <c r="S2102"/>
  <c r="Q2102"/>
  <c r="P2102"/>
  <c r="M2102"/>
  <c r="K2102"/>
  <c r="H2102"/>
  <c r="C2102"/>
  <c r="G2102"/>
  <c r="E2102"/>
  <c r="B2102"/>
  <c r="A2102"/>
  <c r="W2101"/>
  <c r="S2101"/>
  <c r="Q2101"/>
  <c r="P2101"/>
  <c r="N2101"/>
  <c r="M2101"/>
  <c r="K2101"/>
  <c r="H2101"/>
  <c r="C2101"/>
  <c r="G2101"/>
  <c r="E2101"/>
  <c r="B2101"/>
  <c r="A2101"/>
  <c r="W2100"/>
  <c r="S2100"/>
  <c r="Q2100"/>
  <c r="P2100"/>
  <c r="M2100"/>
  <c r="K2100"/>
  <c r="H2100"/>
  <c r="C2100"/>
  <c r="G2100"/>
  <c r="E2100"/>
  <c r="B2100"/>
  <c r="A2100"/>
  <c r="W2099"/>
  <c r="S2099"/>
  <c r="Q2099"/>
  <c r="P2099"/>
  <c r="M2099"/>
  <c r="K2099"/>
  <c r="H2099"/>
  <c r="C2099"/>
  <c r="G2099"/>
  <c r="E2099"/>
  <c r="B2099"/>
  <c r="A2099"/>
  <c r="W2098"/>
  <c r="S2098"/>
  <c r="Q2098"/>
  <c r="P2098"/>
  <c r="M2098"/>
  <c r="K2098"/>
  <c r="H2098"/>
  <c r="C2098"/>
  <c r="G2098"/>
  <c r="E2098"/>
  <c r="B2098"/>
  <c r="A2098"/>
  <c r="W2097"/>
  <c r="S2097"/>
  <c r="Q2097"/>
  <c r="P2097"/>
  <c r="N2097"/>
  <c r="M2097"/>
  <c r="K2097"/>
  <c r="H2097"/>
  <c r="C2097"/>
  <c r="G2097"/>
  <c r="E2097"/>
  <c r="B2097"/>
  <c r="A2097"/>
  <c r="W2096"/>
  <c r="S2096"/>
  <c r="Q2096"/>
  <c r="P2096"/>
  <c r="M2096"/>
  <c r="K2096"/>
  <c r="H2096"/>
  <c r="C2096"/>
  <c r="G2096"/>
  <c r="E2096"/>
  <c r="B2096"/>
  <c r="A2096"/>
  <c r="W2095"/>
  <c r="S2095"/>
  <c r="Q2095"/>
  <c r="P2095"/>
  <c r="M2095"/>
  <c r="K2095"/>
  <c r="H2095"/>
  <c r="C2095"/>
  <c r="G2095"/>
  <c r="E2095"/>
  <c r="B2095"/>
  <c r="A2095"/>
  <c r="W2094"/>
  <c r="S2094"/>
  <c r="Q2094"/>
  <c r="P2094"/>
  <c r="M2094"/>
  <c r="K2094"/>
  <c r="H2094"/>
  <c r="C2094"/>
  <c r="G2094"/>
  <c r="E2094"/>
  <c r="B2094"/>
  <c r="A2094"/>
  <c r="W2093"/>
  <c r="S2093"/>
  <c r="Q2093"/>
  <c r="P2093"/>
  <c r="M2093"/>
  <c r="K2093"/>
  <c r="H2093"/>
  <c r="C2093"/>
  <c r="G2093"/>
  <c r="E2093"/>
  <c r="B2093"/>
  <c r="A2093"/>
  <c r="W2092"/>
  <c r="S2092"/>
  <c r="Q2092"/>
  <c r="P2092"/>
  <c r="M2092"/>
  <c r="K2092"/>
  <c r="H2092"/>
  <c r="C2092"/>
  <c r="G2092"/>
  <c r="E2092"/>
  <c r="B2092"/>
  <c r="A2092"/>
  <c r="W2091"/>
  <c r="S2091"/>
  <c r="Q2091"/>
  <c r="P2091"/>
  <c r="M2091"/>
  <c r="K2091"/>
  <c r="H2091"/>
  <c r="C2091"/>
  <c r="G2091"/>
  <c r="E2091"/>
  <c r="B2091"/>
  <c r="A2091"/>
  <c r="W2090"/>
  <c r="S2090"/>
  <c r="Q2090"/>
  <c r="P2090"/>
  <c r="M2090"/>
  <c r="K2090"/>
  <c r="H2090"/>
  <c r="C2090"/>
  <c r="G2090"/>
  <c r="E2090"/>
  <c r="B2090"/>
  <c r="A2090"/>
  <c r="W2089"/>
  <c r="S2089"/>
  <c r="Q2089"/>
  <c r="P2089"/>
  <c r="M2089"/>
  <c r="K2089"/>
  <c r="H2089"/>
  <c r="C2089"/>
  <c r="G2089"/>
  <c r="E2089"/>
  <c r="B2089"/>
  <c r="A2089"/>
  <c r="W2088"/>
  <c r="S2088"/>
  <c r="Q2088"/>
  <c r="P2088"/>
  <c r="N2088"/>
  <c r="M2088"/>
  <c r="K2088"/>
  <c r="H2088"/>
  <c r="C2088"/>
  <c r="G2088"/>
  <c r="E2088"/>
  <c r="B2088"/>
  <c r="A2088"/>
  <c r="W2087"/>
  <c r="S2087"/>
  <c r="Q2087"/>
  <c r="P2087"/>
  <c r="M2087"/>
  <c r="K2087"/>
  <c r="H2087"/>
  <c r="C2087"/>
  <c r="G2087"/>
  <c r="E2087"/>
  <c r="B2087"/>
  <c r="A2087"/>
  <c r="W2086"/>
  <c r="S2086"/>
  <c r="Q2086"/>
  <c r="P2086"/>
  <c r="M2086"/>
  <c r="K2086"/>
  <c r="H2086"/>
  <c r="C2086"/>
  <c r="G2086"/>
  <c r="E2086"/>
  <c r="B2086"/>
  <c r="A2086"/>
  <c r="W2085"/>
  <c r="S2085"/>
  <c r="Q2085"/>
  <c r="P2085"/>
  <c r="M2085"/>
  <c r="K2085"/>
  <c r="H2085"/>
  <c r="C2085"/>
  <c r="G2085"/>
  <c r="E2085"/>
  <c r="B2085"/>
  <c r="A2085"/>
  <c r="W2084"/>
  <c r="S2084"/>
  <c r="Q2084"/>
  <c r="P2084"/>
  <c r="M2084"/>
  <c r="K2084"/>
  <c r="H2084"/>
  <c r="C2084"/>
  <c r="G2084"/>
  <c r="E2084"/>
  <c r="B2084"/>
  <c r="A2084"/>
  <c r="W2083"/>
  <c r="S2083"/>
  <c r="Q2083"/>
  <c r="P2083"/>
  <c r="N2083"/>
  <c r="M2083"/>
  <c r="K2083"/>
  <c r="H2083"/>
  <c r="C2083"/>
  <c r="G2083"/>
  <c r="E2083"/>
  <c r="B2083"/>
  <c r="A2083"/>
  <c r="W2082"/>
  <c r="S2082"/>
  <c r="Q2082"/>
  <c r="P2082"/>
  <c r="M2082"/>
  <c r="K2082"/>
  <c r="H2082"/>
  <c r="C2082"/>
  <c r="G2082"/>
  <c r="E2082"/>
  <c r="B2082"/>
  <c r="A2082"/>
  <c r="W2081"/>
  <c r="S2081"/>
  <c r="Q2081"/>
  <c r="P2081"/>
  <c r="M2081"/>
  <c r="K2081"/>
  <c r="H2081"/>
  <c r="C2081"/>
  <c r="G2081"/>
  <c r="E2081"/>
  <c r="B2081"/>
  <c r="A2081"/>
  <c r="W2080"/>
  <c r="S2080"/>
  <c r="Q2080"/>
  <c r="P2080"/>
  <c r="M2080"/>
  <c r="K2080"/>
  <c r="H2080"/>
  <c r="C2080"/>
  <c r="G2080"/>
  <c r="E2080"/>
  <c r="B2080"/>
  <c r="A2080"/>
  <c r="W2079"/>
  <c r="S2079"/>
  <c r="Q2079"/>
  <c r="P2079"/>
  <c r="M2079"/>
  <c r="K2079"/>
  <c r="H2079"/>
  <c r="C2079"/>
  <c r="G2079"/>
  <c r="E2079"/>
  <c r="B2079"/>
  <c r="A2079"/>
  <c r="W2078"/>
  <c r="S2078"/>
  <c r="Q2078"/>
  <c r="P2078"/>
  <c r="M2078"/>
  <c r="K2078"/>
  <c r="H2078"/>
  <c r="C2078"/>
  <c r="G2078"/>
  <c r="E2078"/>
  <c r="B2078"/>
  <c r="A2078"/>
  <c r="W2077"/>
  <c r="S2077"/>
  <c r="R2077"/>
  <c r="Q2077"/>
  <c r="P2077"/>
  <c r="M2077"/>
  <c r="K2077"/>
  <c r="H2077"/>
  <c r="C2077"/>
  <c r="G2077"/>
  <c r="E2077"/>
  <c r="B2077"/>
  <c r="A2077"/>
  <c r="W2076"/>
  <c r="S2076"/>
  <c r="Q2076"/>
  <c r="P2076"/>
  <c r="M2076"/>
  <c r="K2076"/>
  <c r="H2076"/>
  <c r="C2076"/>
  <c r="G2076"/>
  <c r="E2076"/>
  <c r="B2076"/>
  <c r="A2076"/>
  <c r="W2075"/>
  <c r="S2075"/>
  <c r="Q2075"/>
  <c r="P2075"/>
  <c r="M2075"/>
  <c r="K2075"/>
  <c r="H2075"/>
  <c r="C2075"/>
  <c r="G2075"/>
  <c r="E2075"/>
  <c r="B2075"/>
  <c r="A2075"/>
  <c r="W2074"/>
  <c r="S2074"/>
  <c r="Q2074"/>
  <c r="P2074"/>
  <c r="M2074"/>
  <c r="K2074"/>
  <c r="H2074"/>
  <c r="C2074"/>
  <c r="G2074"/>
  <c r="E2074"/>
  <c r="B2074"/>
  <c r="A2074"/>
  <c r="W2073"/>
  <c r="S2073"/>
  <c r="Q2073"/>
  <c r="P2073"/>
  <c r="N2073"/>
  <c r="M2073"/>
  <c r="K2073"/>
  <c r="H2073"/>
  <c r="C2073"/>
  <c r="G2073"/>
  <c r="E2073"/>
  <c r="B2073"/>
  <c r="A2073"/>
  <c r="W2072"/>
  <c r="S2072"/>
  <c r="R2072"/>
  <c r="Q2072"/>
  <c r="P2072"/>
  <c r="M2072"/>
  <c r="K2072"/>
  <c r="H2072"/>
  <c r="C2072"/>
  <c r="G2072"/>
  <c r="E2072"/>
  <c r="B2072"/>
  <c r="A2072"/>
  <c r="W2071"/>
  <c r="S2071"/>
  <c r="Q2071"/>
  <c r="P2071"/>
  <c r="M2071"/>
  <c r="K2071"/>
  <c r="H2071"/>
  <c r="C2071"/>
  <c r="G2071"/>
  <c r="E2071"/>
  <c r="B2071"/>
  <c r="A2071"/>
  <c r="W2070"/>
  <c r="S2070"/>
  <c r="Q2070"/>
  <c r="P2070"/>
  <c r="M2070"/>
  <c r="K2070"/>
  <c r="H2070"/>
  <c r="C2070"/>
  <c r="G2070"/>
  <c r="E2070"/>
  <c r="B2070"/>
  <c r="A2070"/>
  <c r="W2069"/>
  <c r="S2069"/>
  <c r="Q2069"/>
  <c r="P2069"/>
  <c r="M2069"/>
  <c r="K2069"/>
  <c r="H2069"/>
  <c r="C2069"/>
  <c r="G2069"/>
  <c r="E2069"/>
  <c r="B2069"/>
  <c r="A2069"/>
  <c r="W2068"/>
  <c r="S2068"/>
  <c r="Q2068"/>
  <c r="P2068"/>
  <c r="N2068"/>
  <c r="M2068"/>
  <c r="K2068"/>
  <c r="H2068"/>
  <c r="C2068"/>
  <c r="G2068"/>
  <c r="E2068"/>
  <c r="B2068"/>
  <c r="A2068"/>
  <c r="W2067"/>
  <c r="S2067"/>
  <c r="R2067"/>
  <c r="Q2067"/>
  <c r="P2067"/>
  <c r="M2067"/>
  <c r="K2067"/>
  <c r="H2067"/>
  <c r="C2067"/>
  <c r="G2067"/>
  <c r="E2067"/>
  <c r="B2067"/>
  <c r="A2067"/>
  <c r="W2066"/>
  <c r="S2066"/>
  <c r="Q2066"/>
  <c r="P2066"/>
  <c r="M2066"/>
  <c r="K2066"/>
  <c r="H2066"/>
  <c r="C2066"/>
  <c r="G2066"/>
  <c r="E2066"/>
  <c r="B2066"/>
  <c r="A2066"/>
  <c r="W2065"/>
  <c r="S2065"/>
  <c r="Q2065"/>
  <c r="P2065"/>
  <c r="M2065"/>
  <c r="K2065"/>
  <c r="H2065"/>
  <c r="C2065"/>
  <c r="G2065"/>
  <c r="E2065"/>
  <c r="B2065"/>
  <c r="A2065"/>
  <c r="W2064"/>
  <c r="S2064"/>
  <c r="Q2064"/>
  <c r="P2064"/>
  <c r="M2064"/>
  <c r="K2064"/>
  <c r="H2064"/>
  <c r="C2064"/>
  <c r="G2064"/>
  <c r="E2064"/>
  <c r="B2064"/>
  <c r="A2064"/>
  <c r="W2063"/>
  <c r="S2063"/>
  <c r="Q2063"/>
  <c r="P2063"/>
  <c r="N2063"/>
  <c r="M2063"/>
  <c r="K2063"/>
  <c r="H2063"/>
  <c r="C2063"/>
  <c r="G2063"/>
  <c r="E2063"/>
  <c r="B2063"/>
  <c r="A2063"/>
  <c r="W2062"/>
  <c r="S2062"/>
  <c r="R2062"/>
  <c r="Q2062"/>
  <c r="P2062"/>
  <c r="M2062"/>
  <c r="K2062"/>
  <c r="H2062"/>
  <c r="C2062"/>
  <c r="G2062"/>
  <c r="E2062"/>
  <c r="B2062"/>
  <c r="A2062"/>
  <c r="W2061"/>
  <c r="S2061"/>
  <c r="Q2061"/>
  <c r="P2061"/>
  <c r="M2061"/>
  <c r="K2061"/>
  <c r="H2061"/>
  <c r="C2061"/>
  <c r="G2061"/>
  <c r="E2061"/>
  <c r="B2061"/>
  <c r="A2061"/>
  <c r="W2060"/>
  <c r="S2060"/>
  <c r="Q2060"/>
  <c r="P2060"/>
  <c r="M2060"/>
  <c r="K2060"/>
  <c r="H2060"/>
  <c r="C2060"/>
  <c r="G2060"/>
  <c r="E2060"/>
  <c r="B2060"/>
  <c r="A2060"/>
  <c r="W2059"/>
  <c r="S2059"/>
  <c r="Q2059"/>
  <c r="P2059"/>
  <c r="M2059"/>
  <c r="K2059"/>
  <c r="H2059"/>
  <c r="C2059"/>
  <c r="G2059"/>
  <c r="E2059"/>
  <c r="B2059"/>
  <c r="A2059"/>
  <c r="W2058"/>
  <c r="S2058"/>
  <c r="Q2058"/>
  <c r="P2058"/>
  <c r="M2058"/>
  <c r="K2058"/>
  <c r="H2058"/>
  <c r="C2058"/>
  <c r="G2058"/>
  <c r="E2058"/>
  <c r="B2058"/>
  <c r="A2058"/>
  <c r="W2057"/>
  <c r="S2057"/>
  <c r="R2057"/>
  <c r="Q2057"/>
  <c r="P2057"/>
  <c r="M2057"/>
  <c r="K2057"/>
  <c r="H2057"/>
  <c r="C2057"/>
  <c r="G2057"/>
  <c r="E2057"/>
  <c r="B2057"/>
  <c r="A2057"/>
  <c r="W2056"/>
  <c r="S2056"/>
  <c r="R2056"/>
  <c r="Q2056"/>
  <c r="P2056"/>
  <c r="M2056"/>
  <c r="K2056"/>
  <c r="H2056"/>
  <c r="C2056"/>
  <c r="G2056"/>
  <c r="E2056"/>
  <c r="B2056"/>
  <c r="A2056"/>
  <c r="W2055"/>
  <c r="S2055"/>
  <c r="Q2055"/>
  <c r="P2055"/>
  <c r="M2055"/>
  <c r="K2055"/>
  <c r="H2055"/>
  <c r="C2055"/>
  <c r="G2055"/>
  <c r="E2055"/>
  <c r="B2055"/>
  <c r="A2055"/>
  <c r="W2054"/>
  <c r="S2054"/>
  <c r="Q2054"/>
  <c r="P2054"/>
  <c r="M2054"/>
  <c r="K2054"/>
  <c r="H2054"/>
  <c r="C2054"/>
  <c r="G2054"/>
  <c r="E2054"/>
  <c r="B2054"/>
  <c r="A2054"/>
  <c r="W2053"/>
  <c r="S2053"/>
  <c r="Q2053"/>
  <c r="P2053"/>
  <c r="M2053"/>
  <c r="K2053"/>
  <c r="H2053"/>
  <c r="C2053"/>
  <c r="G2053"/>
  <c r="E2053"/>
  <c r="B2053"/>
  <c r="A2053"/>
  <c r="W2052"/>
  <c r="S2052"/>
  <c r="Q2052"/>
  <c r="P2052"/>
  <c r="M2052"/>
  <c r="K2052"/>
  <c r="H2052"/>
  <c r="C2052"/>
  <c r="G2052"/>
  <c r="E2052"/>
  <c r="B2052"/>
  <c r="A2052"/>
  <c r="W2051"/>
  <c r="S2051"/>
  <c r="Q2051"/>
  <c r="P2051"/>
  <c r="M2051"/>
  <c r="K2051"/>
  <c r="H2051"/>
  <c r="C2051"/>
  <c r="G2051"/>
  <c r="E2051"/>
  <c r="B2051"/>
  <c r="A2051"/>
  <c r="W2050"/>
  <c r="S2050"/>
  <c r="Q2050"/>
  <c r="P2050"/>
  <c r="M2050"/>
  <c r="K2050"/>
  <c r="H2050"/>
  <c r="C2050"/>
  <c r="G2050"/>
  <c r="E2050"/>
  <c r="B2050"/>
  <c r="A2050"/>
  <c r="W2049"/>
  <c r="S2049"/>
  <c r="Q2049"/>
  <c r="P2049"/>
  <c r="M2049"/>
  <c r="K2049"/>
  <c r="H2049"/>
  <c r="C2049"/>
  <c r="G2049"/>
  <c r="E2049"/>
  <c r="B2049"/>
  <c r="A2049"/>
  <c r="W2048"/>
  <c r="S2048"/>
  <c r="Q2048"/>
  <c r="P2048"/>
  <c r="M2048"/>
  <c r="K2048"/>
  <c r="H2048"/>
  <c r="C2048"/>
  <c r="G2048"/>
  <c r="E2048"/>
  <c r="B2048"/>
  <c r="A2048"/>
  <c r="W2047"/>
  <c r="S2047"/>
  <c r="Q2047"/>
  <c r="P2047"/>
  <c r="M2047"/>
  <c r="K2047"/>
  <c r="H2047"/>
  <c r="C2047"/>
  <c r="G2047"/>
  <c r="E2047"/>
  <c r="B2047"/>
  <c r="A2047"/>
  <c r="W2046"/>
  <c r="S2046"/>
  <c r="Q2046"/>
  <c r="P2046"/>
  <c r="M2046"/>
  <c r="K2046"/>
  <c r="H2046"/>
  <c r="C2046"/>
  <c r="G2046"/>
  <c r="E2046"/>
  <c r="B2046"/>
  <c r="A2046"/>
  <c r="W2045"/>
  <c r="S2045"/>
  <c r="Q2045"/>
  <c r="P2045"/>
  <c r="M2045"/>
  <c r="K2045"/>
  <c r="H2045"/>
  <c r="C2045"/>
  <c r="G2045"/>
  <c r="E2045"/>
  <c r="B2045"/>
  <c r="A2045"/>
  <c r="W2044"/>
  <c r="S2044"/>
  <c r="Q2044"/>
  <c r="P2044"/>
  <c r="M2044"/>
  <c r="K2044"/>
  <c r="H2044"/>
  <c r="C2044"/>
  <c r="G2044"/>
  <c r="E2044"/>
  <c r="B2044"/>
  <c r="A2044"/>
  <c r="W2043"/>
  <c r="S2043"/>
  <c r="Q2043"/>
  <c r="P2043"/>
  <c r="M2043"/>
  <c r="K2043"/>
  <c r="H2043"/>
  <c r="C2043"/>
  <c r="G2043"/>
  <c r="E2043"/>
  <c r="B2043"/>
  <c r="A2043"/>
  <c r="W2042"/>
  <c r="S2042"/>
  <c r="Q2042"/>
  <c r="P2042"/>
  <c r="M2042"/>
  <c r="K2042"/>
  <c r="H2042"/>
  <c r="C2042"/>
  <c r="G2042"/>
  <c r="E2042"/>
  <c r="B2042"/>
  <c r="A2042"/>
  <c r="W2041"/>
  <c r="S2041"/>
  <c r="Q2041"/>
  <c r="P2041"/>
  <c r="M2041"/>
  <c r="K2041"/>
  <c r="H2041"/>
  <c r="C2041"/>
  <c r="G2041"/>
  <c r="E2041"/>
  <c r="B2041"/>
  <c r="A2041"/>
  <c r="W2040"/>
  <c r="S2040"/>
  <c r="Q2040"/>
  <c r="P2040"/>
  <c r="M2040"/>
  <c r="K2040"/>
  <c r="H2040"/>
  <c r="C2040"/>
  <c r="G2040"/>
  <c r="E2040"/>
  <c r="B2040"/>
  <c r="A2040"/>
  <c r="W2039"/>
  <c r="S2039"/>
  <c r="Q2039"/>
  <c r="P2039"/>
  <c r="M2039"/>
  <c r="K2039"/>
  <c r="H2039"/>
  <c r="C2039"/>
  <c r="G2039"/>
  <c r="E2039"/>
  <c r="B2039"/>
  <c r="A2039"/>
  <c r="W2038"/>
  <c r="S2038"/>
  <c r="Q2038"/>
  <c r="P2038"/>
  <c r="M2038"/>
  <c r="K2038"/>
  <c r="H2038"/>
  <c r="C2038"/>
  <c r="G2038"/>
  <c r="E2038"/>
  <c r="B2038"/>
  <c r="A2038"/>
  <c r="W2037"/>
  <c r="S2037"/>
  <c r="Q2037"/>
  <c r="P2037"/>
  <c r="M2037"/>
  <c r="K2037"/>
  <c r="H2037"/>
  <c r="C2037"/>
  <c r="G2037"/>
  <c r="E2037"/>
  <c r="B2037"/>
  <c r="A2037"/>
  <c r="W2036"/>
  <c r="S2036"/>
  <c r="Q2036"/>
  <c r="P2036"/>
  <c r="M2036"/>
  <c r="K2036"/>
  <c r="H2036"/>
  <c r="C2036"/>
  <c r="G2036"/>
  <c r="E2036"/>
  <c r="B2036"/>
  <c r="A2036"/>
  <c r="W2035"/>
  <c r="S2035"/>
  <c r="Q2035"/>
  <c r="P2035"/>
  <c r="M2035"/>
  <c r="K2035"/>
  <c r="H2035"/>
  <c r="C2035"/>
  <c r="G2035"/>
  <c r="E2035"/>
  <c r="B2035"/>
  <c r="A2035"/>
  <c r="W2034"/>
  <c r="S2034"/>
  <c r="Q2034"/>
  <c r="P2034"/>
  <c r="M2034"/>
  <c r="K2034"/>
  <c r="H2034"/>
  <c r="C2034"/>
  <c r="G2034"/>
  <c r="E2034"/>
  <c r="B2034"/>
  <c r="A2034"/>
  <c r="W2033"/>
  <c r="S2033"/>
  <c r="Q2033"/>
  <c r="P2033"/>
  <c r="M2033"/>
  <c r="K2033"/>
  <c r="H2033"/>
  <c r="C2033"/>
  <c r="G2033"/>
  <c r="E2033"/>
  <c r="B2033"/>
  <c r="A2033"/>
  <c r="W2032"/>
  <c r="S2032"/>
  <c r="Q2032"/>
  <c r="P2032"/>
  <c r="M2032"/>
  <c r="K2032"/>
  <c r="H2032"/>
  <c r="C2032"/>
  <c r="G2032"/>
  <c r="E2032"/>
  <c r="B2032"/>
  <c r="A2032"/>
  <c r="W2031"/>
  <c r="S2031"/>
  <c r="Q2031"/>
  <c r="P2031"/>
  <c r="M2031"/>
  <c r="K2031"/>
  <c r="H2031"/>
  <c r="C2031"/>
  <c r="G2031"/>
  <c r="E2031"/>
  <c r="B2031"/>
  <c r="A2031"/>
  <c r="W2030"/>
  <c r="S2030"/>
  <c r="Q2030"/>
  <c r="P2030"/>
  <c r="M2030"/>
  <c r="K2030"/>
  <c r="H2030"/>
  <c r="C2030"/>
  <c r="G2030"/>
  <c r="E2030"/>
  <c r="B2030"/>
  <c r="A2030"/>
  <c r="W2029"/>
  <c r="S2029"/>
  <c r="Q2029"/>
  <c r="P2029"/>
  <c r="M2029"/>
  <c r="K2029"/>
  <c r="H2029"/>
  <c r="C2029"/>
  <c r="G2029"/>
  <c r="E2029"/>
  <c r="B2029"/>
  <c r="A2029"/>
  <c r="W2028"/>
  <c r="S2028"/>
  <c r="Q2028"/>
  <c r="P2028"/>
  <c r="M2028"/>
  <c r="K2028"/>
  <c r="H2028"/>
  <c r="C2028"/>
  <c r="G2028"/>
  <c r="E2028"/>
  <c r="B2028"/>
  <c r="A2028"/>
  <c r="W2027"/>
  <c r="S2027"/>
  <c r="Q2027"/>
  <c r="P2027"/>
  <c r="M2027"/>
  <c r="K2027"/>
  <c r="H2027"/>
  <c r="C2027"/>
  <c r="G2027"/>
  <c r="E2027"/>
  <c r="B2027"/>
  <c r="A2027"/>
  <c r="W2026"/>
  <c r="S2026"/>
  <c r="Q2026"/>
  <c r="P2026"/>
  <c r="M2026"/>
  <c r="K2026"/>
  <c r="H2026"/>
  <c r="C2026"/>
  <c r="G2026"/>
  <c r="E2026"/>
  <c r="B2026"/>
  <c r="A2026"/>
  <c r="W2025"/>
  <c r="S2025"/>
  <c r="Q2025"/>
  <c r="P2025"/>
  <c r="M2025"/>
  <c r="K2025"/>
  <c r="H2025"/>
  <c r="C2025"/>
  <c r="G2025"/>
  <c r="E2025"/>
  <c r="B2025"/>
  <c r="A2025"/>
  <c r="W2024"/>
  <c r="S2024"/>
  <c r="Q2024"/>
  <c r="P2024"/>
  <c r="M2024"/>
  <c r="K2024"/>
  <c r="H2024"/>
  <c r="C2024"/>
  <c r="G2024"/>
  <c r="E2024"/>
  <c r="B2024"/>
  <c r="A2024"/>
  <c r="W2023"/>
  <c r="S2023"/>
  <c r="Q2023"/>
  <c r="P2023"/>
  <c r="M2023"/>
  <c r="K2023"/>
  <c r="H2023"/>
  <c r="C2023"/>
  <c r="G2023"/>
  <c r="E2023"/>
  <c r="B2023"/>
  <c r="A2023"/>
  <c r="W2022"/>
  <c r="S2022"/>
  <c r="Q2022"/>
  <c r="P2022"/>
  <c r="M2022"/>
  <c r="K2022"/>
  <c r="H2022"/>
  <c r="C2022"/>
  <c r="G2022"/>
  <c r="E2022"/>
  <c r="B2022"/>
  <c r="A2022"/>
  <c r="W2021"/>
  <c r="S2021"/>
  <c r="Q2021"/>
  <c r="P2021"/>
  <c r="M2021"/>
  <c r="K2021"/>
  <c r="H2021"/>
  <c r="C2021"/>
  <c r="G2021"/>
  <c r="E2021"/>
  <c r="B2021"/>
  <c r="A2021"/>
  <c r="W2020"/>
  <c r="S2020"/>
  <c r="Q2020"/>
  <c r="P2020"/>
  <c r="M2020"/>
  <c r="K2020"/>
  <c r="H2020"/>
  <c r="C2020"/>
  <c r="G2020"/>
  <c r="E2020"/>
  <c r="B2020"/>
  <c r="A2020"/>
  <c r="W2019"/>
  <c r="S2019"/>
  <c r="Q2019"/>
  <c r="P2019"/>
  <c r="M2019"/>
  <c r="K2019"/>
  <c r="H2019"/>
  <c r="C2019"/>
  <c r="G2019"/>
  <c r="E2019"/>
  <c r="B2019"/>
  <c r="A2019"/>
  <c r="W2018"/>
  <c r="S2018"/>
  <c r="Q2018"/>
  <c r="P2018"/>
  <c r="M2018"/>
  <c r="K2018"/>
  <c r="H2018"/>
  <c r="C2018"/>
  <c r="G2018"/>
  <c r="E2018"/>
  <c r="B2018"/>
  <c r="A2018"/>
  <c r="W2017"/>
  <c r="S2017"/>
  <c r="Q2017"/>
  <c r="P2017"/>
  <c r="M2017"/>
  <c r="K2017"/>
  <c r="H2017"/>
  <c r="C2017"/>
  <c r="G2017"/>
  <c r="E2017"/>
  <c r="B2017"/>
  <c r="A2017"/>
  <c r="W2016"/>
  <c r="S2016"/>
  <c r="Q2016"/>
  <c r="P2016"/>
  <c r="M2016"/>
  <c r="K2016"/>
  <c r="H2016"/>
  <c r="C2016"/>
  <c r="G2016"/>
  <c r="E2016"/>
  <c r="B2016"/>
  <c r="A2016"/>
  <c r="W2015"/>
  <c r="S2015"/>
  <c r="Q2015"/>
  <c r="P2015"/>
  <c r="M2015"/>
  <c r="K2015"/>
  <c r="H2015"/>
  <c r="C2015"/>
  <c r="G2015"/>
  <c r="E2015"/>
  <c r="B2015"/>
  <c r="A2015"/>
  <c r="W2014"/>
  <c r="S2014"/>
  <c r="Q2014"/>
  <c r="P2014"/>
  <c r="M2014"/>
  <c r="K2014"/>
  <c r="H2014"/>
  <c r="C2014"/>
  <c r="G2014"/>
  <c r="E2014"/>
  <c r="B2014"/>
  <c r="A2014"/>
  <c r="W2013"/>
  <c r="S2013"/>
  <c r="Q2013"/>
  <c r="P2013"/>
  <c r="M2013"/>
  <c r="K2013"/>
  <c r="H2013"/>
  <c r="C2013"/>
  <c r="G2013"/>
  <c r="E2013"/>
  <c r="B2013"/>
  <c r="A2013"/>
  <c r="W2012"/>
  <c r="S2012"/>
  <c r="Q2012"/>
  <c r="P2012"/>
  <c r="M2012"/>
  <c r="K2012"/>
  <c r="H2012"/>
  <c r="C2012"/>
  <c r="G2012"/>
  <c r="E2012"/>
  <c r="B2012"/>
  <c r="A2012"/>
  <c r="W2011"/>
  <c r="S2011"/>
  <c r="Q2011"/>
  <c r="P2011"/>
  <c r="M2011"/>
  <c r="K2011"/>
  <c r="H2011"/>
  <c r="C2011"/>
  <c r="G2011"/>
  <c r="E2011"/>
  <c r="B2011"/>
  <c r="A2011"/>
  <c r="W2010"/>
  <c r="S2010"/>
  <c r="Q2010"/>
  <c r="P2010"/>
  <c r="M2010"/>
  <c r="K2010"/>
  <c r="H2010"/>
  <c r="C2010"/>
  <c r="G2010"/>
  <c r="E2010"/>
  <c r="B2010"/>
  <c r="A2010"/>
  <c r="W2009"/>
  <c r="S2009"/>
  <c r="Q2009"/>
  <c r="P2009"/>
  <c r="M2009"/>
  <c r="K2009"/>
  <c r="H2009"/>
  <c r="C2009"/>
  <c r="G2009"/>
  <c r="E2009"/>
  <c r="B2009"/>
  <c r="A2009"/>
  <c r="W2008"/>
  <c r="S2008"/>
  <c r="Q2008"/>
  <c r="P2008"/>
  <c r="M2008"/>
  <c r="K2008"/>
  <c r="H2008"/>
  <c r="C2008"/>
  <c r="G2008"/>
  <c r="E2008"/>
  <c r="B2008"/>
  <c r="A2008"/>
  <c r="W2007"/>
  <c r="S2007"/>
  <c r="Q2007"/>
  <c r="P2007"/>
  <c r="M2007"/>
  <c r="K2007"/>
  <c r="H2007"/>
  <c r="C2007"/>
  <c r="G2007"/>
  <c r="E2007"/>
  <c r="B2007"/>
  <c r="A2007"/>
  <c r="W2006"/>
  <c r="S2006"/>
  <c r="Q2006"/>
  <c r="P2006"/>
  <c r="M2006"/>
  <c r="K2006"/>
  <c r="H2006"/>
  <c r="C2006"/>
  <c r="G2006"/>
  <c r="E2006"/>
  <c r="B2006"/>
  <c r="A2006"/>
  <c r="W2005"/>
  <c r="S2005"/>
  <c r="Q2005"/>
  <c r="P2005"/>
  <c r="M2005"/>
  <c r="K2005"/>
  <c r="H2005"/>
  <c r="C2005"/>
  <c r="G2005"/>
  <c r="E2005"/>
  <c r="B2005"/>
  <c r="A2005"/>
  <c r="W2004"/>
  <c r="S2004"/>
  <c r="Q2004"/>
  <c r="P2004"/>
  <c r="M2004"/>
  <c r="K2004"/>
  <c r="H2004"/>
  <c r="C2004"/>
  <c r="G2004"/>
  <c r="E2004"/>
  <c r="B2004"/>
  <c r="A2004"/>
  <c r="W2003"/>
  <c r="S2003"/>
  <c r="Q2003"/>
  <c r="P2003"/>
  <c r="M2003"/>
  <c r="K2003"/>
  <c r="H2003"/>
  <c r="C2003"/>
  <c r="G2003"/>
  <c r="E2003"/>
  <c r="B2003"/>
  <c r="A2003"/>
  <c r="W2002"/>
  <c r="S2002"/>
  <c r="Q2002"/>
  <c r="P2002"/>
  <c r="M2002"/>
  <c r="K2002"/>
  <c r="H2002"/>
  <c r="C2002"/>
  <c r="G2002"/>
  <c r="E2002"/>
  <c r="B2002"/>
  <c r="A2002"/>
  <c r="W2001"/>
  <c r="S2001"/>
  <c r="Q2001"/>
  <c r="P2001"/>
  <c r="M2001"/>
  <c r="K2001"/>
  <c r="H2001"/>
  <c r="C2001"/>
  <c r="G2001"/>
  <c r="E2001"/>
  <c r="B2001"/>
  <c r="A2001"/>
  <c r="W2000"/>
  <c r="S2000"/>
  <c r="Q2000"/>
  <c r="P2000"/>
  <c r="M2000"/>
  <c r="K2000"/>
  <c r="H2000"/>
  <c r="C2000"/>
  <c r="G2000"/>
  <c r="E2000"/>
  <c r="B2000"/>
  <c r="A2000"/>
  <c r="W1999"/>
  <c r="S1999"/>
  <c r="Q1999"/>
  <c r="P1999"/>
  <c r="M1999"/>
  <c r="K1999"/>
  <c r="H1999"/>
  <c r="C1999"/>
  <c r="G1999"/>
  <c r="E1999"/>
  <c r="B1999"/>
  <c r="A1999"/>
  <c r="W1998"/>
  <c r="S1998"/>
  <c r="Q1998"/>
  <c r="P1998"/>
  <c r="M1998"/>
  <c r="K1998"/>
  <c r="H1998"/>
  <c r="C1998"/>
  <c r="G1998"/>
  <c r="E1998"/>
  <c r="B1998"/>
  <c r="A1998"/>
  <c r="W1997"/>
  <c r="S1997"/>
  <c r="Q1997"/>
  <c r="P1997"/>
  <c r="M1997"/>
  <c r="K1997"/>
  <c r="H1997"/>
  <c r="C1997"/>
  <c r="G1997"/>
  <c r="E1997"/>
  <c r="B1997"/>
  <c r="A1997"/>
  <c r="W1996"/>
  <c r="S1996"/>
  <c r="Q1996"/>
  <c r="P1996"/>
  <c r="M1996"/>
  <c r="K1996"/>
  <c r="H1996"/>
  <c r="C1996"/>
  <c r="G1996"/>
  <c r="E1996"/>
  <c r="B1996"/>
  <c r="A1996"/>
  <c r="W1995"/>
  <c r="S1995"/>
  <c r="R1995"/>
  <c r="Q1995"/>
  <c r="P1995"/>
  <c r="M1995"/>
  <c r="K1995"/>
  <c r="H1995"/>
  <c r="C1995"/>
  <c r="G1995"/>
  <c r="E1995"/>
  <c r="B1995"/>
  <c r="A1995"/>
  <c r="W1994"/>
  <c r="S1994"/>
  <c r="Q1994"/>
  <c r="P1994"/>
  <c r="M1994"/>
  <c r="K1994"/>
  <c r="H1994"/>
  <c r="C1994"/>
  <c r="G1994"/>
  <c r="E1994"/>
  <c r="B1994"/>
  <c r="A1994"/>
  <c r="W1993"/>
  <c r="S1993"/>
  <c r="Q1993"/>
  <c r="P1993"/>
  <c r="M1993"/>
  <c r="K1993"/>
  <c r="H1993"/>
  <c r="C1993"/>
  <c r="G1993"/>
  <c r="E1993"/>
  <c r="B1993"/>
  <c r="A1993"/>
  <c r="W1992"/>
  <c r="S1992"/>
  <c r="Q1992"/>
  <c r="P1992"/>
  <c r="M1992"/>
  <c r="K1992"/>
  <c r="H1992"/>
  <c r="C1992"/>
  <c r="G1992"/>
  <c r="E1992"/>
  <c r="B1992"/>
  <c r="A1992"/>
  <c r="W1991"/>
  <c r="S1991"/>
  <c r="Q1991"/>
  <c r="P1991"/>
  <c r="M1991"/>
  <c r="K1991"/>
  <c r="H1991"/>
  <c r="C1991"/>
  <c r="G1991"/>
  <c r="E1991"/>
  <c r="B1991"/>
  <c r="A1991"/>
  <c r="W1990"/>
  <c r="S1990"/>
  <c r="Q1990"/>
  <c r="P1990"/>
  <c r="M1990"/>
  <c r="K1990"/>
  <c r="H1990"/>
  <c r="C1990"/>
  <c r="G1990"/>
  <c r="E1990"/>
  <c r="B1990"/>
  <c r="A1990"/>
  <c r="W1989"/>
  <c r="S1989"/>
  <c r="Q1989"/>
  <c r="P1989"/>
  <c r="M1989"/>
  <c r="K1989"/>
  <c r="H1989"/>
  <c r="C1989"/>
  <c r="G1989"/>
  <c r="E1989"/>
  <c r="B1989"/>
  <c r="A1989"/>
  <c r="W1988"/>
  <c r="S1988"/>
  <c r="Q1988"/>
  <c r="P1988"/>
  <c r="M1988"/>
  <c r="K1988"/>
  <c r="H1988"/>
  <c r="C1988"/>
  <c r="G1988"/>
  <c r="E1988"/>
  <c r="B1988"/>
  <c r="A1988"/>
  <c r="W1987"/>
  <c r="S1987"/>
  <c r="Q1987"/>
  <c r="P1987"/>
  <c r="M1987"/>
  <c r="K1987"/>
  <c r="H1987"/>
  <c r="C1987"/>
  <c r="G1987"/>
  <c r="E1987"/>
  <c r="B1987"/>
  <c r="A1987"/>
  <c r="W1986"/>
  <c r="S1986"/>
  <c r="Q1986"/>
  <c r="P1986"/>
  <c r="N1986"/>
  <c r="M1986"/>
  <c r="K1986"/>
  <c r="H1986"/>
  <c r="C1986"/>
  <c r="G1986"/>
  <c r="E1986"/>
  <c r="B1986"/>
  <c r="A1986"/>
  <c r="W1985"/>
  <c r="S1985"/>
  <c r="Q1985"/>
  <c r="P1985"/>
  <c r="M1985"/>
  <c r="K1985"/>
  <c r="H1985"/>
  <c r="C1985"/>
  <c r="G1985"/>
  <c r="E1985"/>
  <c r="B1985"/>
  <c r="A1985"/>
  <c r="W1984"/>
  <c r="S1984"/>
  <c r="Q1984"/>
  <c r="P1984"/>
  <c r="M1984"/>
  <c r="K1984"/>
  <c r="H1984"/>
  <c r="C1984"/>
  <c r="G1984"/>
  <c r="E1984"/>
  <c r="B1984"/>
  <c r="A1984"/>
  <c r="W1983"/>
  <c r="S1983"/>
  <c r="Q1983"/>
  <c r="P1983"/>
  <c r="M1983"/>
  <c r="K1983"/>
  <c r="H1983"/>
  <c r="C1983"/>
  <c r="G1983"/>
  <c r="E1983"/>
  <c r="B1983"/>
  <c r="A1983"/>
  <c r="W1982"/>
  <c r="S1982"/>
  <c r="Q1982"/>
  <c r="P1982"/>
  <c r="M1982"/>
  <c r="K1982"/>
  <c r="H1982"/>
  <c r="C1982"/>
  <c r="G1982"/>
  <c r="E1982"/>
  <c r="B1982"/>
  <c r="A1982"/>
  <c r="W1981"/>
  <c r="S1981"/>
  <c r="Q1981"/>
  <c r="P1981"/>
  <c r="M1981"/>
  <c r="K1981"/>
  <c r="H1981"/>
  <c r="C1981"/>
  <c r="G1981"/>
  <c r="E1981"/>
  <c r="B1981"/>
  <c r="A1981"/>
  <c r="W1980"/>
  <c r="S1980"/>
  <c r="Q1980"/>
  <c r="P1980"/>
  <c r="M1980"/>
  <c r="K1980"/>
  <c r="H1980"/>
  <c r="C1980"/>
  <c r="G1980"/>
  <c r="E1980"/>
  <c r="B1980"/>
  <c r="A1980"/>
  <c r="W1979"/>
  <c r="S1979"/>
  <c r="Q1979"/>
  <c r="P1979"/>
  <c r="M1979"/>
  <c r="K1979"/>
  <c r="H1979"/>
  <c r="C1979"/>
  <c r="G1979"/>
  <c r="E1979"/>
  <c r="B1979"/>
  <c r="A1979"/>
  <c r="W1978"/>
  <c r="S1978"/>
  <c r="Q1978"/>
  <c r="P1978"/>
  <c r="M1978"/>
  <c r="K1978"/>
  <c r="H1978"/>
  <c r="C1978"/>
  <c r="G1978"/>
  <c r="E1978"/>
  <c r="B1978"/>
  <c r="A1978"/>
  <c r="W1977"/>
  <c r="S1977"/>
  <c r="Q1977"/>
  <c r="P1977"/>
  <c r="M1977"/>
  <c r="K1977"/>
  <c r="H1977"/>
  <c r="C1977"/>
  <c r="G1977"/>
  <c r="E1977"/>
  <c r="B1977"/>
  <c r="A1977"/>
  <c r="W1976"/>
  <c r="S1976"/>
  <c r="Q1976"/>
  <c r="P1976"/>
  <c r="M1976"/>
  <c r="K1976"/>
  <c r="H1976"/>
  <c r="C1976"/>
  <c r="G1976"/>
  <c r="E1976"/>
  <c r="B1976"/>
  <c r="A1976"/>
  <c r="W1975"/>
  <c r="S1975"/>
  <c r="Q1975"/>
  <c r="P1975"/>
  <c r="M1975"/>
  <c r="K1975"/>
  <c r="H1975"/>
  <c r="C1975"/>
  <c r="G1975"/>
  <c r="E1975"/>
  <c r="B1975"/>
  <c r="A1975"/>
  <c r="W1974"/>
  <c r="S1974"/>
  <c r="Q1974"/>
  <c r="P1974"/>
  <c r="M1974"/>
  <c r="K1974"/>
  <c r="H1974"/>
  <c r="C1974"/>
  <c r="G1974"/>
  <c r="E1974"/>
  <c r="B1974"/>
  <c r="A1974"/>
  <c r="W1973"/>
  <c r="S1973"/>
  <c r="Q1973"/>
  <c r="P1973"/>
  <c r="M1973"/>
  <c r="K1973"/>
  <c r="H1973"/>
  <c r="C1973"/>
  <c r="G1973"/>
  <c r="E1973"/>
  <c r="B1973"/>
  <c r="A1973"/>
  <c r="W1972"/>
  <c r="S1972"/>
  <c r="Q1972"/>
  <c r="P1972"/>
  <c r="M1972"/>
  <c r="K1972"/>
  <c r="H1972"/>
  <c r="C1972"/>
  <c r="G1972"/>
  <c r="E1972"/>
  <c r="B1972"/>
  <c r="A1972"/>
  <c r="W1971"/>
  <c r="S1971"/>
  <c r="Q1971"/>
  <c r="P1971"/>
  <c r="M1971"/>
  <c r="K1971"/>
  <c r="H1971"/>
  <c r="C1971"/>
  <c r="G1971"/>
  <c r="E1971"/>
  <c r="B1971"/>
  <c r="A1971"/>
  <c r="W1970"/>
  <c r="S1970"/>
  <c r="Q1970"/>
  <c r="P1970"/>
  <c r="M1970"/>
  <c r="K1970"/>
  <c r="H1970"/>
  <c r="C1970"/>
  <c r="G1970"/>
  <c r="E1970"/>
  <c r="B1970"/>
  <c r="A1970"/>
  <c r="W1969"/>
  <c r="S1969"/>
  <c r="Q1969"/>
  <c r="P1969"/>
  <c r="M1969"/>
  <c r="K1969"/>
  <c r="H1969"/>
  <c r="C1969"/>
  <c r="G1969"/>
  <c r="E1969"/>
  <c r="B1969"/>
  <c r="A1969"/>
  <c r="W1968"/>
  <c r="S1968"/>
  <c r="Q1968"/>
  <c r="P1968"/>
  <c r="M1968"/>
  <c r="K1968"/>
  <c r="H1968"/>
  <c r="C1968"/>
  <c r="G1968"/>
  <c r="E1968"/>
  <c r="B1968"/>
  <c r="A1968"/>
  <c r="W1967"/>
  <c r="S1967"/>
  <c r="Q1967"/>
  <c r="P1967"/>
  <c r="M1967"/>
  <c r="K1967"/>
  <c r="H1967"/>
  <c r="C1967"/>
  <c r="G1967"/>
  <c r="E1967"/>
  <c r="B1967"/>
  <c r="A1967"/>
  <c r="W1966"/>
  <c r="S1966"/>
  <c r="Q1966"/>
  <c r="P1966"/>
  <c r="M1966"/>
  <c r="K1966"/>
  <c r="H1966"/>
  <c r="C1966"/>
  <c r="G1966"/>
  <c r="E1966"/>
  <c r="B1966"/>
  <c r="A1966"/>
  <c r="W1965"/>
  <c r="S1965"/>
  <c r="Q1965"/>
  <c r="P1965"/>
  <c r="M1965"/>
  <c r="K1965"/>
  <c r="H1965"/>
  <c r="C1965"/>
  <c r="G1965"/>
  <c r="E1965"/>
  <c r="B1965"/>
  <c r="A1965"/>
  <c r="W1964"/>
  <c r="S1964"/>
  <c r="Q1964"/>
  <c r="P1964"/>
  <c r="M1964"/>
  <c r="K1964"/>
  <c r="H1964"/>
  <c r="C1964"/>
  <c r="G1964"/>
  <c r="E1964"/>
  <c r="B1964"/>
  <c r="A1964"/>
  <c r="W1963"/>
  <c r="S1963"/>
  <c r="Q1963"/>
  <c r="P1963"/>
  <c r="M1963"/>
  <c r="K1963"/>
  <c r="H1963"/>
  <c r="C1963"/>
  <c r="G1963"/>
  <c r="E1963"/>
  <c r="B1963"/>
  <c r="A1963"/>
  <c r="W1962"/>
  <c r="S1962"/>
  <c r="Q1962"/>
  <c r="P1962"/>
  <c r="M1962"/>
  <c r="K1962"/>
  <c r="H1962"/>
  <c r="C1962"/>
  <c r="G1962"/>
  <c r="E1962"/>
  <c r="B1962"/>
  <c r="A1962"/>
  <c r="W1961"/>
  <c r="S1961"/>
  <c r="Q1961"/>
  <c r="P1961"/>
  <c r="M1961"/>
  <c r="K1961"/>
  <c r="H1961"/>
  <c r="C1961"/>
  <c r="G1961"/>
  <c r="E1961"/>
  <c r="B1961"/>
  <c r="A1961"/>
  <c r="W1960"/>
  <c r="S1960"/>
  <c r="Q1960"/>
  <c r="P1960"/>
  <c r="M1960"/>
  <c r="K1960"/>
  <c r="H1960"/>
  <c r="C1960"/>
  <c r="G1960"/>
  <c r="E1960"/>
  <c r="B1960"/>
  <c r="A1960"/>
  <c r="W1959"/>
  <c r="S1959"/>
  <c r="Q1959"/>
  <c r="P1959"/>
  <c r="M1959"/>
  <c r="K1959"/>
  <c r="H1959"/>
  <c r="C1959"/>
  <c r="G1959"/>
  <c r="E1959"/>
  <c r="B1959"/>
  <c r="A1959"/>
  <c r="W1958"/>
  <c r="S1958"/>
  <c r="Q1958"/>
  <c r="P1958"/>
  <c r="M1958"/>
  <c r="K1958"/>
  <c r="H1958"/>
  <c r="C1958"/>
  <c r="G1958"/>
  <c r="E1958"/>
  <c r="B1958"/>
  <c r="A1958"/>
  <c r="W1957"/>
  <c r="S1957"/>
  <c r="R1957"/>
  <c r="Q1957"/>
  <c r="P1957"/>
  <c r="M1957"/>
  <c r="K1957"/>
  <c r="H1957"/>
  <c r="C1957"/>
  <c r="G1957"/>
  <c r="E1957"/>
  <c r="B1957"/>
  <c r="A1957"/>
  <c r="W1956"/>
  <c r="S1956"/>
  <c r="Q1956"/>
  <c r="P1956"/>
  <c r="M1956"/>
  <c r="K1956"/>
  <c r="H1956"/>
  <c r="C1956"/>
  <c r="G1956"/>
  <c r="E1956"/>
  <c r="B1956"/>
  <c r="A1956"/>
  <c r="W1955"/>
  <c r="S1955"/>
  <c r="R1955"/>
  <c r="Q1955"/>
  <c r="P1955"/>
  <c r="M1955"/>
  <c r="K1955"/>
  <c r="H1955"/>
  <c r="C1955"/>
  <c r="G1955"/>
  <c r="E1955"/>
  <c r="B1955"/>
  <c r="A1955"/>
  <c r="W1954"/>
  <c r="S1954"/>
  <c r="Q1954"/>
  <c r="P1954"/>
  <c r="M1954"/>
  <c r="K1954"/>
  <c r="H1954"/>
  <c r="C1954"/>
  <c r="G1954"/>
  <c r="E1954"/>
  <c r="B1954"/>
  <c r="A1954"/>
  <c r="W1953"/>
  <c r="S1953"/>
  <c r="Q1953"/>
  <c r="P1953"/>
  <c r="M1953"/>
  <c r="K1953"/>
  <c r="H1953"/>
  <c r="C1953"/>
  <c r="G1953"/>
  <c r="E1953"/>
  <c r="B1953"/>
  <c r="A1953"/>
  <c r="W1952"/>
  <c r="S1952"/>
  <c r="Q1952"/>
  <c r="P1952"/>
  <c r="M1952"/>
  <c r="K1952"/>
  <c r="H1952"/>
  <c r="C1952"/>
  <c r="G1952"/>
  <c r="E1952"/>
  <c r="B1952"/>
  <c r="A1952"/>
  <c r="W1951"/>
  <c r="S1951"/>
  <c r="Q1951"/>
  <c r="P1951"/>
  <c r="M1951"/>
  <c r="K1951"/>
  <c r="H1951"/>
  <c r="C1951"/>
  <c r="G1951"/>
  <c r="E1951"/>
  <c r="B1951"/>
  <c r="A1951"/>
  <c r="W1950"/>
  <c r="S1950"/>
  <c r="Q1950"/>
  <c r="P1950"/>
  <c r="M1950"/>
  <c r="K1950"/>
  <c r="H1950"/>
  <c r="C1950"/>
  <c r="G1950"/>
  <c r="E1950"/>
  <c r="B1950"/>
  <c r="A1950"/>
  <c r="W1949"/>
  <c r="S1949"/>
  <c r="Q1949"/>
  <c r="P1949"/>
  <c r="M1949"/>
  <c r="K1949"/>
  <c r="H1949"/>
  <c r="C1949"/>
  <c r="G1949"/>
  <c r="E1949"/>
  <c r="B1949"/>
  <c r="A1949"/>
  <c r="W1948"/>
  <c r="S1948"/>
  <c r="Q1948"/>
  <c r="P1948"/>
  <c r="M1948"/>
  <c r="K1948"/>
  <c r="H1948"/>
  <c r="C1948"/>
  <c r="G1948"/>
  <c r="E1948"/>
  <c r="B1948"/>
  <c r="A1948"/>
  <c r="W1947"/>
  <c r="S1947"/>
  <c r="Q1947"/>
  <c r="P1947"/>
  <c r="M1947"/>
  <c r="K1947"/>
  <c r="H1947"/>
  <c r="C1947"/>
  <c r="G1947"/>
  <c r="E1947"/>
  <c r="B1947"/>
  <c r="A1947"/>
  <c r="W1946"/>
  <c r="S1946"/>
  <c r="Q1946"/>
  <c r="P1946"/>
  <c r="M1946"/>
  <c r="K1946"/>
  <c r="H1946"/>
  <c r="C1946"/>
  <c r="G1946"/>
  <c r="E1946"/>
  <c r="B1946"/>
  <c r="A1946"/>
  <c r="W1945"/>
  <c r="S1945"/>
  <c r="Q1945"/>
  <c r="P1945"/>
  <c r="M1945"/>
  <c r="K1945"/>
  <c r="H1945"/>
  <c r="C1945"/>
  <c r="G1945"/>
  <c r="E1945"/>
  <c r="B1945"/>
  <c r="A1945"/>
  <c r="W1944"/>
  <c r="S1944"/>
  <c r="Q1944"/>
  <c r="P1944"/>
  <c r="M1944"/>
  <c r="K1944"/>
  <c r="H1944"/>
  <c r="C1944"/>
  <c r="G1944"/>
  <c r="E1944"/>
  <c r="B1944"/>
  <c r="A1944"/>
  <c r="W1943"/>
  <c r="S1943"/>
  <c r="Q1943"/>
  <c r="P1943"/>
  <c r="M1943"/>
  <c r="K1943"/>
  <c r="H1943"/>
  <c r="C1943"/>
  <c r="G1943"/>
  <c r="E1943"/>
  <c r="B1943"/>
  <c r="A1943"/>
  <c r="W1942"/>
  <c r="S1942"/>
  <c r="Q1942"/>
  <c r="P1942"/>
  <c r="M1942"/>
  <c r="K1942"/>
  <c r="H1942"/>
  <c r="C1942"/>
  <c r="G1942"/>
  <c r="E1942"/>
  <c r="B1942"/>
  <c r="A1942"/>
  <c r="W1941"/>
  <c r="S1941"/>
  <c r="Q1941"/>
  <c r="P1941"/>
  <c r="M1941"/>
  <c r="K1941"/>
  <c r="H1941"/>
  <c r="C1941"/>
  <c r="G1941"/>
  <c r="E1941"/>
  <c r="B1941"/>
  <c r="A1941"/>
  <c r="W1940"/>
  <c r="S1940"/>
  <c r="Q1940"/>
  <c r="P1940"/>
  <c r="M1940"/>
  <c r="K1940"/>
  <c r="H1940"/>
  <c r="C1940"/>
  <c r="G1940"/>
  <c r="E1940"/>
  <c r="B1940"/>
  <c r="A1940"/>
  <c r="W1939"/>
  <c r="S1939"/>
  <c r="Q1939"/>
  <c r="P1939"/>
  <c r="M1939"/>
  <c r="K1939"/>
  <c r="H1939"/>
  <c r="C1939"/>
  <c r="G1939"/>
  <c r="E1939"/>
  <c r="B1939"/>
  <c r="A1939"/>
  <c r="W1938"/>
  <c r="S1938"/>
  <c r="Q1938"/>
  <c r="P1938"/>
  <c r="M1938"/>
  <c r="K1938"/>
  <c r="H1938"/>
  <c r="C1938"/>
  <c r="G1938"/>
  <c r="E1938"/>
  <c r="B1938"/>
  <c r="A1938"/>
  <c r="W1937"/>
  <c r="S1937"/>
  <c r="Q1937"/>
  <c r="P1937"/>
  <c r="M1937"/>
  <c r="K1937"/>
  <c r="H1937"/>
  <c r="C1937"/>
  <c r="G1937"/>
  <c r="E1937"/>
  <c r="B1937"/>
  <c r="A1937"/>
  <c r="W1936"/>
  <c r="S1936"/>
  <c r="Q1936"/>
  <c r="P1936"/>
  <c r="M1936"/>
  <c r="K1936"/>
  <c r="H1936"/>
  <c r="C1936"/>
  <c r="G1936"/>
  <c r="E1936"/>
  <c r="B1936"/>
  <c r="A1936"/>
  <c r="W1935"/>
  <c r="S1935"/>
  <c r="Q1935"/>
  <c r="P1935"/>
  <c r="M1935"/>
  <c r="K1935"/>
  <c r="H1935"/>
  <c r="C1935"/>
  <c r="G1935"/>
  <c r="E1935"/>
  <c r="B1935"/>
  <c r="A1935"/>
  <c r="W1934"/>
  <c r="S1934"/>
  <c r="Q1934"/>
  <c r="P1934"/>
  <c r="M1934"/>
  <c r="K1934"/>
  <c r="H1934"/>
  <c r="C1934"/>
  <c r="G1934"/>
  <c r="E1934"/>
  <c r="B1934"/>
  <c r="A1934"/>
  <c r="W1933"/>
  <c r="S1933"/>
  <c r="Q1933"/>
  <c r="P1933"/>
  <c r="M1933"/>
  <c r="K1933"/>
  <c r="H1933"/>
  <c r="C1933"/>
  <c r="G1933"/>
  <c r="E1933"/>
  <c r="B1933"/>
  <c r="A1933"/>
  <c r="W1932"/>
  <c r="S1932"/>
  <c r="Q1932"/>
  <c r="P1932"/>
  <c r="M1932"/>
  <c r="K1932"/>
  <c r="H1932"/>
  <c r="C1932"/>
  <c r="G1932"/>
  <c r="E1932"/>
  <c r="B1932"/>
  <c r="A1932"/>
  <c r="W1931"/>
  <c r="S1931"/>
  <c r="Q1931"/>
  <c r="P1931"/>
  <c r="M1931"/>
  <c r="K1931"/>
  <c r="H1931"/>
  <c r="C1931"/>
  <c r="G1931"/>
  <c r="E1931"/>
  <c r="B1931"/>
  <c r="A1931"/>
  <c r="W1930"/>
  <c r="S1930"/>
  <c r="Q1930"/>
  <c r="P1930"/>
  <c r="M1930"/>
  <c r="K1930"/>
  <c r="H1930"/>
  <c r="C1930"/>
  <c r="G1930"/>
  <c r="E1930"/>
  <c r="B1930"/>
  <c r="A1930"/>
  <c r="W1929"/>
  <c r="S1929"/>
  <c r="Q1929"/>
  <c r="P1929"/>
  <c r="M1929"/>
  <c r="K1929"/>
  <c r="H1929"/>
  <c r="C1929"/>
  <c r="G1929"/>
  <c r="E1929"/>
  <c r="B1929"/>
  <c r="A1929"/>
  <c r="W1928"/>
  <c r="S1928"/>
  <c r="Q1928"/>
  <c r="P1928"/>
  <c r="M1928"/>
  <c r="K1928"/>
  <c r="H1928"/>
  <c r="C1928"/>
  <c r="G1928"/>
  <c r="E1928"/>
  <c r="B1928"/>
  <c r="A1928"/>
  <c r="W1927"/>
  <c r="S1927"/>
  <c r="Q1927"/>
  <c r="P1927"/>
  <c r="M1927"/>
  <c r="K1927"/>
  <c r="H1927"/>
  <c r="C1927"/>
  <c r="G1927"/>
  <c r="E1927"/>
  <c r="B1927"/>
  <c r="A1927"/>
  <c r="W1926"/>
  <c r="S1926"/>
  <c r="Q1926"/>
  <c r="P1926"/>
  <c r="M1926"/>
  <c r="K1926"/>
  <c r="H1926"/>
  <c r="C1926"/>
  <c r="G1926"/>
  <c r="E1926"/>
  <c r="B1926"/>
  <c r="A1926"/>
  <c r="W1925"/>
  <c r="S1925"/>
  <c r="Q1925"/>
  <c r="P1925"/>
  <c r="M1925"/>
  <c r="K1925"/>
  <c r="H1925"/>
  <c r="C1925"/>
  <c r="G1925"/>
  <c r="E1925"/>
  <c r="B1925"/>
  <c r="A1925"/>
  <c r="W1924"/>
  <c r="S1924"/>
  <c r="Q1924"/>
  <c r="P1924"/>
  <c r="M1924"/>
  <c r="K1924"/>
  <c r="H1924"/>
  <c r="C1924"/>
  <c r="G1924"/>
  <c r="E1924"/>
  <c r="B1924"/>
  <c r="A1924"/>
  <c r="W1923"/>
  <c r="S1923"/>
  <c r="Q1923"/>
  <c r="P1923"/>
  <c r="M1923"/>
  <c r="K1923"/>
  <c r="H1923"/>
  <c r="C1923"/>
  <c r="G1923"/>
  <c r="E1923"/>
  <c r="B1923"/>
  <c r="A1923"/>
  <c r="W1922"/>
  <c r="S1922"/>
  <c r="Q1922"/>
  <c r="P1922"/>
  <c r="M1922"/>
  <c r="K1922"/>
  <c r="H1922"/>
  <c r="C1922"/>
  <c r="G1922"/>
  <c r="E1922"/>
  <c r="B1922"/>
  <c r="A1922"/>
  <c r="W1921"/>
  <c r="S1921"/>
  <c r="Q1921"/>
  <c r="P1921"/>
  <c r="M1921"/>
  <c r="K1921"/>
  <c r="H1921"/>
  <c r="C1921"/>
  <c r="G1921"/>
  <c r="E1921"/>
  <c r="B1921"/>
  <c r="A1921"/>
  <c r="W1920"/>
  <c r="S1920"/>
  <c r="Q1920"/>
  <c r="P1920"/>
  <c r="M1920"/>
  <c r="K1920"/>
  <c r="H1920"/>
  <c r="C1920"/>
  <c r="G1920"/>
  <c r="E1920"/>
  <c r="B1920"/>
  <c r="A1920"/>
  <c r="W1919"/>
  <c r="S1919"/>
  <c r="Q1919"/>
  <c r="P1919"/>
  <c r="M1919"/>
  <c r="K1919"/>
  <c r="H1919"/>
  <c r="C1919"/>
  <c r="G1919"/>
  <c r="E1919"/>
  <c r="B1919"/>
  <c r="A1919"/>
  <c r="W1918"/>
  <c r="S1918"/>
  <c r="Q1918"/>
  <c r="P1918"/>
  <c r="M1918"/>
  <c r="K1918"/>
  <c r="H1918"/>
  <c r="C1918"/>
  <c r="G1918"/>
  <c r="E1918"/>
  <c r="B1918"/>
  <c r="A1918"/>
  <c r="W1917"/>
  <c r="S1917"/>
  <c r="Q1917"/>
  <c r="P1917"/>
  <c r="M1917"/>
  <c r="K1917"/>
  <c r="H1917"/>
  <c r="C1917"/>
  <c r="G1917"/>
  <c r="E1917"/>
  <c r="B1917"/>
  <c r="A1917"/>
  <c r="W1916"/>
  <c r="S1916"/>
  <c r="Q1916"/>
  <c r="P1916"/>
  <c r="M1916"/>
  <c r="K1916"/>
  <c r="H1916"/>
  <c r="C1916"/>
  <c r="G1916"/>
  <c r="E1916"/>
  <c r="B1916"/>
  <c r="A1916"/>
  <c r="W1915"/>
  <c r="S1915"/>
  <c r="Q1915"/>
  <c r="P1915"/>
  <c r="M1915"/>
  <c r="K1915"/>
  <c r="H1915"/>
  <c r="C1915"/>
  <c r="G1915"/>
  <c r="E1915"/>
  <c r="B1915"/>
  <c r="A1915"/>
  <c r="W1914"/>
  <c r="S1914"/>
  <c r="Q1914"/>
  <c r="P1914"/>
  <c r="M1914"/>
  <c r="K1914"/>
  <c r="H1914"/>
  <c r="C1914"/>
  <c r="G1914"/>
  <c r="E1914"/>
  <c r="B1914"/>
  <c r="A1914"/>
  <c r="W1913"/>
  <c r="S1913"/>
  <c r="Q1913"/>
  <c r="P1913"/>
  <c r="M1913"/>
  <c r="K1913"/>
  <c r="H1913"/>
  <c r="C1913"/>
  <c r="G1913"/>
  <c r="E1913"/>
  <c r="B1913"/>
  <c r="A1913"/>
  <c r="W1912"/>
  <c r="S1912"/>
  <c r="Q1912"/>
  <c r="P1912"/>
  <c r="M1912"/>
  <c r="K1912"/>
  <c r="H1912"/>
  <c r="C1912"/>
  <c r="G1912"/>
  <c r="E1912"/>
  <c r="B1912"/>
  <c r="A1912"/>
  <c r="W1911"/>
  <c r="S1911"/>
  <c r="Q1911"/>
  <c r="P1911"/>
  <c r="M1911"/>
  <c r="K1911"/>
  <c r="H1911"/>
  <c r="C1911"/>
  <c r="G1911"/>
  <c r="E1911"/>
  <c r="B1911"/>
  <c r="A1911"/>
  <c r="W1910"/>
  <c r="S1910"/>
  <c r="Q1910"/>
  <c r="P1910"/>
  <c r="M1910"/>
  <c r="K1910"/>
  <c r="H1910"/>
  <c r="C1910"/>
  <c r="G1910"/>
  <c r="E1910"/>
  <c r="B1910"/>
  <c r="A1910"/>
  <c r="W1909"/>
  <c r="S1909"/>
  <c r="Q1909"/>
  <c r="P1909"/>
  <c r="M1909"/>
  <c r="K1909"/>
  <c r="H1909"/>
  <c r="C1909"/>
  <c r="G1909"/>
  <c r="E1909"/>
  <c r="B1909"/>
  <c r="A1909"/>
  <c r="W1908"/>
  <c r="S1908"/>
  <c r="Q1908"/>
  <c r="P1908"/>
  <c r="N1908"/>
  <c r="M1908"/>
  <c r="K1908"/>
  <c r="H1908"/>
  <c r="C1908"/>
  <c r="G1908"/>
  <c r="E1908"/>
  <c r="B1908"/>
  <c r="A1908"/>
  <c r="W1907"/>
  <c r="S1907"/>
  <c r="Q1907"/>
  <c r="P1907"/>
  <c r="M1907"/>
  <c r="K1907"/>
  <c r="H1907"/>
  <c r="C1907"/>
  <c r="G1907"/>
  <c r="E1907"/>
  <c r="B1907"/>
  <c r="A1907"/>
  <c r="W1906"/>
  <c r="S1906"/>
  <c r="Q1906"/>
  <c r="P1906"/>
  <c r="M1906"/>
  <c r="K1906"/>
  <c r="H1906"/>
  <c r="C1906"/>
  <c r="G1906"/>
  <c r="E1906"/>
  <c r="B1906"/>
  <c r="A1906"/>
  <c r="W1905"/>
  <c r="S1905"/>
  <c r="Q1905"/>
  <c r="P1905"/>
  <c r="M1905"/>
  <c r="K1905"/>
  <c r="H1905"/>
  <c r="C1905"/>
  <c r="G1905"/>
  <c r="E1905"/>
  <c r="B1905"/>
  <c r="A1905"/>
  <c r="W1904"/>
  <c r="S1904"/>
  <c r="Q1904"/>
  <c r="P1904"/>
  <c r="N1904"/>
  <c r="M1904"/>
  <c r="K1904"/>
  <c r="H1904"/>
  <c r="C1904"/>
  <c r="G1904"/>
  <c r="E1904"/>
  <c r="B1904"/>
  <c r="A1904"/>
  <c r="W1903"/>
  <c r="S1903"/>
  <c r="Q1903"/>
  <c r="P1903"/>
  <c r="M1903"/>
  <c r="K1903"/>
  <c r="H1903"/>
  <c r="C1903"/>
  <c r="G1903"/>
  <c r="E1903"/>
  <c r="B1903"/>
  <c r="A1903"/>
  <c r="W1902"/>
  <c r="S1902"/>
  <c r="Q1902"/>
  <c r="P1902"/>
  <c r="N1902"/>
  <c r="M1902"/>
  <c r="K1902"/>
  <c r="H1902"/>
  <c r="C1902"/>
  <c r="G1902"/>
  <c r="E1902"/>
  <c r="B1902"/>
  <c r="A1902"/>
  <c r="W1901"/>
  <c r="S1901"/>
  <c r="Q1901"/>
  <c r="P1901"/>
  <c r="M1901"/>
  <c r="K1901"/>
  <c r="H1901"/>
  <c r="C1901"/>
  <c r="G1901"/>
  <c r="E1901"/>
  <c r="B1901"/>
  <c r="A1901"/>
  <c r="W1900"/>
  <c r="S1900"/>
  <c r="Q1900"/>
  <c r="P1900"/>
  <c r="N1900"/>
  <c r="M1900"/>
  <c r="K1900"/>
  <c r="H1900"/>
  <c r="C1900"/>
  <c r="G1900"/>
  <c r="E1900"/>
  <c r="B1900"/>
  <c r="A1900"/>
  <c r="W1899"/>
  <c r="S1899"/>
  <c r="Q1899"/>
  <c r="P1899"/>
  <c r="M1899"/>
  <c r="K1899"/>
  <c r="H1899"/>
  <c r="C1899"/>
  <c r="G1899"/>
  <c r="E1899"/>
  <c r="B1899"/>
  <c r="A1899"/>
  <c r="W1898"/>
  <c r="S1898"/>
  <c r="Q1898"/>
  <c r="P1898"/>
  <c r="M1898"/>
  <c r="K1898"/>
  <c r="H1898"/>
  <c r="C1898"/>
  <c r="G1898"/>
  <c r="E1898"/>
  <c r="B1898"/>
  <c r="A1898"/>
  <c r="W1897"/>
  <c r="S1897"/>
  <c r="Q1897"/>
  <c r="P1897"/>
  <c r="N1897"/>
  <c r="M1897"/>
  <c r="K1897"/>
  <c r="H1897"/>
  <c r="C1897"/>
  <c r="G1897"/>
  <c r="E1897"/>
  <c r="B1897"/>
  <c r="A1897"/>
  <c r="W1896"/>
  <c r="S1896"/>
  <c r="Q1896"/>
  <c r="P1896"/>
  <c r="M1896"/>
  <c r="K1896"/>
  <c r="H1896"/>
  <c r="C1896"/>
  <c r="G1896"/>
  <c r="E1896"/>
  <c r="B1896"/>
  <c r="A1896"/>
  <c r="W1895"/>
  <c r="S1895"/>
  <c r="Q1895"/>
  <c r="P1895"/>
  <c r="M1895"/>
  <c r="K1895"/>
  <c r="H1895"/>
  <c r="C1895"/>
  <c r="G1895"/>
  <c r="E1895"/>
  <c r="B1895"/>
  <c r="A1895"/>
  <c r="W1894"/>
  <c r="S1894"/>
  <c r="Q1894"/>
  <c r="P1894"/>
  <c r="M1894"/>
  <c r="K1894"/>
  <c r="H1894"/>
  <c r="C1894"/>
  <c r="G1894"/>
  <c r="E1894"/>
  <c r="B1894"/>
  <c r="A1894"/>
  <c r="W1893"/>
  <c r="S1893"/>
  <c r="Q1893"/>
  <c r="P1893"/>
  <c r="M1893"/>
  <c r="K1893"/>
  <c r="H1893"/>
  <c r="C1893"/>
  <c r="G1893"/>
  <c r="E1893"/>
  <c r="B1893"/>
  <c r="A1893"/>
  <c r="W1892"/>
  <c r="S1892"/>
  <c r="Q1892"/>
  <c r="P1892"/>
  <c r="M1892"/>
  <c r="K1892"/>
  <c r="H1892"/>
  <c r="C1892"/>
  <c r="G1892"/>
  <c r="E1892"/>
  <c r="B1892"/>
  <c r="A1892"/>
  <c r="W1891"/>
  <c r="S1891"/>
  <c r="Q1891"/>
  <c r="P1891"/>
  <c r="N1891"/>
  <c r="M1891"/>
  <c r="K1891"/>
  <c r="H1891"/>
  <c r="C1891"/>
  <c r="G1891"/>
  <c r="E1891"/>
  <c r="B1891"/>
  <c r="A1891"/>
  <c r="W1890"/>
  <c r="S1890"/>
  <c r="Q1890"/>
  <c r="P1890"/>
  <c r="M1890"/>
  <c r="K1890"/>
  <c r="H1890"/>
  <c r="C1890"/>
  <c r="G1890"/>
  <c r="E1890"/>
  <c r="B1890"/>
  <c r="A1890"/>
  <c r="W1889"/>
  <c r="S1889"/>
  <c r="Q1889"/>
  <c r="P1889"/>
  <c r="M1889"/>
  <c r="K1889"/>
  <c r="H1889"/>
  <c r="C1889"/>
  <c r="G1889"/>
  <c r="E1889"/>
  <c r="B1889"/>
  <c r="A1889"/>
  <c r="W1888"/>
  <c r="S1888"/>
  <c r="Q1888"/>
  <c r="P1888"/>
  <c r="N1888"/>
  <c r="M1888"/>
  <c r="K1888"/>
  <c r="H1888"/>
  <c r="C1888"/>
  <c r="G1888"/>
  <c r="E1888"/>
  <c r="B1888"/>
  <c r="A1888"/>
  <c r="W1887"/>
  <c r="S1887"/>
  <c r="Q1887"/>
  <c r="P1887"/>
  <c r="M1887"/>
  <c r="K1887"/>
  <c r="H1887"/>
  <c r="C1887"/>
  <c r="G1887"/>
  <c r="E1887"/>
  <c r="B1887"/>
  <c r="A1887"/>
  <c r="W1886"/>
  <c r="S1886"/>
  <c r="Q1886"/>
  <c r="P1886"/>
  <c r="M1886"/>
  <c r="K1886"/>
  <c r="H1886"/>
  <c r="C1886"/>
  <c r="G1886"/>
  <c r="E1886"/>
  <c r="B1886"/>
  <c r="A1886"/>
  <c r="W1885"/>
  <c r="S1885"/>
  <c r="Q1885"/>
  <c r="P1885"/>
  <c r="M1885"/>
  <c r="K1885"/>
  <c r="H1885"/>
  <c r="C1885"/>
  <c r="G1885"/>
  <c r="E1885"/>
  <c r="B1885"/>
  <c r="A1885"/>
  <c r="W1884"/>
  <c r="S1884"/>
  <c r="Q1884"/>
  <c r="P1884"/>
  <c r="N1884"/>
  <c r="M1884"/>
  <c r="K1884"/>
  <c r="H1884"/>
  <c r="C1884"/>
  <c r="G1884"/>
  <c r="E1884"/>
  <c r="B1884"/>
  <c r="A1884"/>
  <c r="W1883"/>
  <c r="S1883"/>
  <c r="Q1883"/>
  <c r="P1883"/>
  <c r="M1883"/>
  <c r="K1883"/>
  <c r="H1883"/>
  <c r="C1883"/>
  <c r="G1883"/>
  <c r="E1883"/>
  <c r="B1883"/>
  <c r="A1883"/>
  <c r="W1882"/>
  <c r="S1882"/>
  <c r="Q1882"/>
  <c r="P1882"/>
  <c r="M1882"/>
  <c r="K1882"/>
  <c r="H1882"/>
  <c r="C1882"/>
  <c r="G1882"/>
  <c r="E1882"/>
  <c r="B1882"/>
  <c r="A1882"/>
  <c r="W1881"/>
  <c r="S1881"/>
  <c r="Q1881"/>
  <c r="P1881"/>
  <c r="M1881"/>
  <c r="K1881"/>
  <c r="H1881"/>
  <c r="C1881"/>
  <c r="G1881"/>
  <c r="E1881"/>
  <c r="B1881"/>
  <c r="A1881"/>
  <c r="W1880"/>
  <c r="S1880"/>
  <c r="Q1880"/>
  <c r="P1880"/>
  <c r="N1880"/>
  <c r="M1880"/>
  <c r="K1880"/>
  <c r="H1880"/>
  <c r="C1880"/>
  <c r="G1880"/>
  <c r="E1880"/>
  <c r="B1880"/>
  <c r="A1880"/>
  <c r="W1879"/>
  <c r="S1879"/>
  <c r="Q1879"/>
  <c r="P1879"/>
  <c r="N1879"/>
  <c r="M1879"/>
  <c r="K1879"/>
  <c r="H1879"/>
  <c r="C1879"/>
  <c r="G1879"/>
  <c r="E1879"/>
  <c r="B1879"/>
  <c r="A1879"/>
  <c r="W1878"/>
  <c r="S1878"/>
  <c r="Q1878"/>
  <c r="P1878"/>
  <c r="M1878"/>
  <c r="K1878"/>
  <c r="H1878"/>
  <c r="C1878"/>
  <c r="G1878"/>
  <c r="E1878"/>
  <c r="B1878"/>
  <c r="A1878"/>
  <c r="W1877"/>
  <c r="S1877"/>
  <c r="Q1877"/>
  <c r="P1877"/>
  <c r="M1877"/>
  <c r="K1877"/>
  <c r="H1877"/>
  <c r="C1877"/>
  <c r="G1877"/>
  <c r="E1877"/>
  <c r="B1877"/>
  <c r="A1877"/>
  <c r="W1876"/>
  <c r="S1876"/>
  <c r="Q1876"/>
  <c r="P1876"/>
  <c r="M1876"/>
  <c r="K1876"/>
  <c r="H1876"/>
  <c r="C1876"/>
  <c r="G1876"/>
  <c r="E1876"/>
  <c r="B1876"/>
  <c r="A1876"/>
  <c r="W1875"/>
  <c r="S1875"/>
  <c r="Q1875"/>
  <c r="P1875"/>
  <c r="M1875"/>
  <c r="K1875"/>
  <c r="H1875"/>
  <c r="C1875"/>
  <c r="G1875"/>
  <c r="E1875"/>
  <c r="B1875"/>
  <c r="A1875"/>
  <c r="W1874"/>
  <c r="S1874"/>
  <c r="Q1874"/>
  <c r="P1874"/>
  <c r="M1874"/>
  <c r="K1874"/>
  <c r="H1874"/>
  <c r="C1874"/>
  <c r="G1874"/>
  <c r="E1874"/>
  <c r="B1874"/>
  <c r="A1874"/>
  <c r="W1873"/>
  <c r="S1873"/>
  <c r="Q1873"/>
  <c r="P1873"/>
  <c r="N1873"/>
  <c r="M1873"/>
  <c r="K1873"/>
  <c r="H1873"/>
  <c r="C1873"/>
  <c r="G1873"/>
  <c r="E1873"/>
  <c r="B1873"/>
  <c r="A1873"/>
  <c r="W1872"/>
  <c r="S1872"/>
  <c r="Q1872"/>
  <c r="P1872"/>
  <c r="M1872"/>
  <c r="K1872"/>
  <c r="H1872"/>
  <c r="C1872"/>
  <c r="G1872"/>
  <c r="E1872"/>
  <c r="B1872"/>
  <c r="A1872"/>
  <c r="W1871"/>
  <c r="S1871"/>
  <c r="Q1871"/>
  <c r="P1871"/>
  <c r="N1871"/>
  <c r="M1871"/>
  <c r="K1871"/>
  <c r="H1871"/>
  <c r="C1871"/>
  <c r="G1871"/>
  <c r="E1871"/>
  <c r="B1871"/>
  <c r="A1871"/>
  <c r="W1870"/>
  <c r="S1870"/>
  <c r="Q1870"/>
  <c r="P1870"/>
  <c r="M1870"/>
  <c r="K1870"/>
  <c r="H1870"/>
  <c r="C1870"/>
  <c r="G1870"/>
  <c r="E1870"/>
  <c r="B1870"/>
  <c r="A1870"/>
  <c r="W1869"/>
  <c r="S1869"/>
  <c r="Q1869"/>
  <c r="P1869"/>
  <c r="M1869"/>
  <c r="K1869"/>
  <c r="H1869"/>
  <c r="C1869"/>
  <c r="G1869"/>
  <c r="E1869"/>
  <c r="B1869"/>
  <c r="A1869"/>
  <c r="W1868"/>
  <c r="S1868"/>
  <c r="Q1868"/>
  <c r="P1868"/>
  <c r="M1868"/>
  <c r="K1868"/>
  <c r="H1868"/>
  <c r="C1868"/>
  <c r="G1868"/>
  <c r="E1868"/>
  <c r="B1868"/>
  <c r="A1868"/>
  <c r="W1867"/>
  <c r="S1867"/>
  <c r="Q1867"/>
  <c r="P1867"/>
  <c r="M1867"/>
  <c r="K1867"/>
  <c r="H1867"/>
  <c r="C1867"/>
  <c r="G1867"/>
  <c r="E1867"/>
  <c r="B1867"/>
  <c r="A1867"/>
  <c r="W1866"/>
  <c r="S1866"/>
  <c r="Q1866"/>
  <c r="P1866"/>
  <c r="M1866"/>
  <c r="K1866"/>
  <c r="H1866"/>
  <c r="C1866"/>
  <c r="G1866"/>
  <c r="E1866"/>
  <c r="B1866"/>
  <c r="A1866"/>
  <c r="W1865"/>
  <c r="S1865"/>
  <c r="Q1865"/>
  <c r="P1865"/>
  <c r="M1865"/>
  <c r="K1865"/>
  <c r="H1865"/>
  <c r="C1865"/>
  <c r="G1865"/>
  <c r="E1865"/>
  <c r="B1865"/>
  <c r="A1865"/>
  <c r="W1864"/>
  <c r="S1864"/>
  <c r="Q1864"/>
  <c r="P1864"/>
  <c r="M1864"/>
  <c r="K1864"/>
  <c r="H1864"/>
  <c r="C1864"/>
  <c r="G1864"/>
  <c r="E1864"/>
  <c r="B1864"/>
  <c r="A1864"/>
  <c r="W1863"/>
  <c r="S1863"/>
  <c r="Q1863"/>
  <c r="P1863"/>
  <c r="M1863"/>
  <c r="K1863"/>
  <c r="H1863"/>
  <c r="C1863"/>
  <c r="G1863"/>
  <c r="E1863"/>
  <c r="B1863"/>
  <c r="A1863"/>
  <c r="W1862"/>
  <c r="S1862"/>
  <c r="Q1862"/>
  <c r="P1862"/>
  <c r="M1862"/>
  <c r="K1862"/>
  <c r="H1862"/>
  <c r="C1862"/>
  <c r="G1862"/>
  <c r="E1862"/>
  <c r="B1862"/>
  <c r="A1862"/>
  <c r="W1861"/>
  <c r="S1861"/>
  <c r="Q1861"/>
  <c r="P1861"/>
  <c r="N1861"/>
  <c r="M1861"/>
  <c r="K1861"/>
  <c r="H1861"/>
  <c r="C1861"/>
  <c r="G1861"/>
  <c r="E1861"/>
  <c r="B1861"/>
  <c r="A1861"/>
  <c r="W1860"/>
  <c r="S1860"/>
  <c r="Q1860"/>
  <c r="P1860"/>
  <c r="M1860"/>
  <c r="K1860"/>
  <c r="H1860"/>
  <c r="C1860"/>
  <c r="G1860"/>
  <c r="E1860"/>
  <c r="B1860"/>
  <c r="A1860"/>
  <c r="W1859"/>
  <c r="S1859"/>
  <c r="Q1859"/>
  <c r="P1859"/>
  <c r="M1859"/>
  <c r="K1859"/>
  <c r="H1859"/>
  <c r="C1859"/>
  <c r="G1859"/>
  <c r="E1859"/>
  <c r="B1859"/>
  <c r="A1859"/>
  <c r="W1858"/>
  <c r="S1858"/>
  <c r="Q1858"/>
  <c r="P1858"/>
  <c r="N1858"/>
  <c r="M1858"/>
  <c r="K1858"/>
  <c r="H1858"/>
  <c r="C1858"/>
  <c r="G1858"/>
  <c r="E1858"/>
  <c r="B1858"/>
  <c r="A1858"/>
  <c r="W1857"/>
  <c r="S1857"/>
  <c r="Q1857"/>
  <c r="P1857"/>
  <c r="M1857"/>
  <c r="K1857"/>
  <c r="H1857"/>
  <c r="C1857"/>
  <c r="G1857"/>
  <c r="E1857"/>
  <c r="B1857"/>
  <c r="A1857"/>
  <c r="W1856"/>
  <c r="S1856"/>
  <c r="Q1856"/>
  <c r="P1856"/>
  <c r="M1856"/>
  <c r="K1856"/>
  <c r="H1856"/>
  <c r="C1856"/>
  <c r="G1856"/>
  <c r="E1856"/>
  <c r="B1856"/>
  <c r="A1856"/>
  <c r="W1855"/>
  <c r="S1855"/>
  <c r="Q1855"/>
  <c r="P1855"/>
  <c r="M1855"/>
  <c r="K1855"/>
  <c r="H1855"/>
  <c r="C1855"/>
  <c r="G1855"/>
  <c r="E1855"/>
  <c r="B1855"/>
  <c r="A1855"/>
  <c r="W1854"/>
  <c r="S1854"/>
  <c r="Q1854"/>
  <c r="P1854"/>
  <c r="M1854"/>
  <c r="K1854"/>
  <c r="H1854"/>
  <c r="C1854"/>
  <c r="G1854"/>
  <c r="E1854"/>
  <c r="B1854"/>
  <c r="A1854"/>
  <c r="W1853"/>
  <c r="S1853"/>
  <c r="Q1853"/>
  <c r="P1853"/>
  <c r="M1853"/>
  <c r="K1853"/>
  <c r="H1853"/>
  <c r="C1853"/>
  <c r="G1853"/>
  <c r="E1853"/>
  <c r="B1853"/>
  <c r="A1853"/>
  <c r="W1852"/>
  <c r="S1852"/>
  <c r="Q1852"/>
  <c r="P1852"/>
  <c r="M1852"/>
  <c r="K1852"/>
  <c r="H1852"/>
  <c r="C1852"/>
  <c r="G1852"/>
  <c r="E1852"/>
  <c r="B1852"/>
  <c r="A1852"/>
  <c r="W1851"/>
  <c r="S1851"/>
  <c r="Q1851"/>
  <c r="P1851"/>
  <c r="M1851"/>
  <c r="K1851"/>
  <c r="H1851"/>
  <c r="C1851"/>
  <c r="G1851"/>
  <c r="E1851"/>
  <c r="B1851"/>
  <c r="A1851"/>
  <c r="W1850"/>
  <c r="S1850"/>
  <c r="Q1850"/>
  <c r="P1850"/>
  <c r="M1850"/>
  <c r="K1850"/>
  <c r="H1850"/>
  <c r="C1850"/>
  <c r="G1850"/>
  <c r="E1850"/>
  <c r="B1850"/>
  <c r="A1850"/>
  <c r="W1849"/>
  <c r="S1849"/>
  <c r="Q1849"/>
  <c r="P1849"/>
  <c r="M1849"/>
  <c r="K1849"/>
  <c r="H1849"/>
  <c r="C1849"/>
  <c r="G1849"/>
  <c r="E1849"/>
  <c r="B1849"/>
  <c r="A1849"/>
  <c r="W1848"/>
  <c r="S1848"/>
  <c r="Q1848"/>
  <c r="P1848"/>
  <c r="M1848"/>
  <c r="K1848"/>
  <c r="H1848"/>
  <c r="C1848"/>
  <c r="G1848"/>
  <c r="E1848"/>
  <c r="B1848"/>
  <c r="A1848"/>
  <c r="W1847"/>
  <c r="S1847"/>
  <c r="Q1847"/>
  <c r="P1847"/>
  <c r="M1847"/>
  <c r="K1847"/>
  <c r="H1847"/>
  <c r="C1847"/>
  <c r="G1847"/>
  <c r="E1847"/>
  <c r="B1847"/>
  <c r="A1847"/>
  <c r="W1846"/>
  <c r="S1846"/>
  <c r="Q1846"/>
  <c r="P1846"/>
  <c r="M1846"/>
  <c r="K1846"/>
  <c r="H1846"/>
  <c r="C1846"/>
  <c r="G1846"/>
  <c r="E1846"/>
  <c r="B1846"/>
  <c r="A1846"/>
  <c r="W1845"/>
  <c r="S1845"/>
  <c r="Q1845"/>
  <c r="P1845"/>
  <c r="M1845"/>
  <c r="K1845"/>
  <c r="H1845"/>
  <c r="C1845"/>
  <c r="G1845"/>
  <c r="E1845"/>
  <c r="B1845"/>
  <c r="A1845"/>
  <c r="W1844"/>
  <c r="S1844"/>
  <c r="Q1844"/>
  <c r="P1844"/>
  <c r="M1844"/>
  <c r="K1844"/>
  <c r="H1844"/>
  <c r="C1844"/>
  <c r="G1844"/>
  <c r="E1844"/>
  <c r="B1844"/>
  <c r="A1844"/>
  <c r="W1843"/>
  <c r="S1843"/>
  <c r="Q1843"/>
  <c r="P1843"/>
  <c r="M1843"/>
  <c r="K1843"/>
  <c r="H1843"/>
  <c r="C1843"/>
  <c r="G1843"/>
  <c r="E1843"/>
  <c r="B1843"/>
  <c r="A1843"/>
  <c r="W1842"/>
  <c r="S1842"/>
  <c r="Q1842"/>
  <c r="P1842"/>
  <c r="M1842"/>
  <c r="K1842"/>
  <c r="H1842"/>
  <c r="C1842"/>
  <c r="G1842"/>
  <c r="E1842"/>
  <c r="B1842"/>
  <c r="A1842"/>
  <c r="W1841"/>
  <c r="S1841"/>
  <c r="Q1841"/>
  <c r="P1841"/>
  <c r="N1841"/>
  <c r="M1841"/>
  <c r="K1841"/>
  <c r="H1841"/>
  <c r="C1841"/>
  <c r="G1841"/>
  <c r="E1841"/>
  <c r="B1841"/>
  <c r="A1841"/>
  <c r="W1840"/>
  <c r="S1840"/>
  <c r="Q1840"/>
  <c r="P1840"/>
  <c r="M1840"/>
  <c r="K1840"/>
  <c r="H1840"/>
  <c r="C1840"/>
  <c r="G1840"/>
  <c r="E1840"/>
  <c r="B1840"/>
  <c r="A1840"/>
  <c r="W1839"/>
  <c r="S1839"/>
  <c r="Q1839"/>
  <c r="P1839"/>
  <c r="M1839"/>
  <c r="K1839"/>
  <c r="H1839"/>
  <c r="C1839"/>
  <c r="G1839"/>
  <c r="E1839"/>
  <c r="B1839"/>
  <c r="A1839"/>
  <c r="W1838"/>
  <c r="S1838"/>
  <c r="Q1838"/>
  <c r="P1838"/>
  <c r="N1838"/>
  <c r="M1838"/>
  <c r="K1838"/>
  <c r="H1838"/>
  <c r="C1838"/>
  <c r="G1838"/>
  <c r="E1838"/>
  <c r="B1838"/>
  <c r="A1838"/>
  <c r="W1837"/>
  <c r="S1837"/>
  <c r="Q1837"/>
  <c r="P1837"/>
  <c r="M1837"/>
  <c r="K1837"/>
  <c r="H1837"/>
  <c r="C1837"/>
  <c r="G1837"/>
  <c r="E1837"/>
  <c r="B1837"/>
  <c r="A1837"/>
  <c r="W1836"/>
  <c r="S1836"/>
  <c r="Q1836"/>
  <c r="P1836"/>
  <c r="M1836"/>
  <c r="K1836"/>
  <c r="H1836"/>
  <c r="C1836"/>
  <c r="G1836"/>
  <c r="E1836"/>
  <c r="B1836"/>
  <c r="A1836"/>
  <c r="W1835"/>
  <c r="S1835"/>
  <c r="Q1835"/>
  <c r="P1835"/>
  <c r="N1835"/>
  <c r="M1835"/>
  <c r="K1835"/>
  <c r="H1835"/>
  <c r="C1835"/>
  <c r="G1835"/>
  <c r="E1835"/>
  <c r="B1835"/>
  <c r="A1835"/>
  <c r="W1834"/>
  <c r="S1834"/>
  <c r="Q1834"/>
  <c r="P1834"/>
  <c r="M1834"/>
  <c r="K1834"/>
  <c r="H1834"/>
  <c r="C1834"/>
  <c r="G1834"/>
  <c r="E1834"/>
  <c r="B1834"/>
  <c r="A1834"/>
  <c r="W1833"/>
  <c r="S1833"/>
  <c r="Q1833"/>
  <c r="P1833"/>
  <c r="M1833"/>
  <c r="K1833"/>
  <c r="H1833"/>
  <c r="C1833"/>
  <c r="G1833"/>
  <c r="E1833"/>
  <c r="B1833"/>
  <c r="A1833"/>
  <c r="W1832"/>
  <c r="S1832"/>
  <c r="Q1832"/>
  <c r="P1832"/>
  <c r="M1832"/>
  <c r="K1832"/>
  <c r="H1832"/>
  <c r="C1832"/>
  <c r="G1832"/>
  <c r="E1832"/>
  <c r="B1832"/>
  <c r="A1832"/>
  <c r="W1831"/>
  <c r="S1831"/>
  <c r="Q1831"/>
  <c r="P1831"/>
  <c r="M1831"/>
  <c r="K1831"/>
  <c r="H1831"/>
  <c r="C1831"/>
  <c r="G1831"/>
  <c r="E1831"/>
  <c r="B1831"/>
  <c r="A1831"/>
  <c r="W1830"/>
  <c r="S1830"/>
  <c r="Q1830"/>
  <c r="P1830"/>
  <c r="M1830"/>
  <c r="K1830"/>
  <c r="H1830"/>
  <c r="C1830"/>
  <c r="G1830"/>
  <c r="E1830"/>
  <c r="B1830"/>
  <c r="A1830"/>
  <c r="W1829"/>
  <c r="S1829"/>
  <c r="Q1829"/>
  <c r="P1829"/>
  <c r="N1829"/>
  <c r="M1829"/>
  <c r="K1829"/>
  <c r="H1829"/>
  <c r="C1829"/>
  <c r="G1829"/>
  <c r="E1829"/>
  <c r="B1829"/>
  <c r="A1829"/>
  <c r="W1828"/>
  <c r="S1828"/>
  <c r="Q1828"/>
  <c r="P1828"/>
  <c r="M1828"/>
  <c r="K1828"/>
  <c r="H1828"/>
  <c r="C1828"/>
  <c r="G1828"/>
  <c r="E1828"/>
  <c r="B1828"/>
  <c r="A1828"/>
  <c r="W1827"/>
  <c r="S1827"/>
  <c r="Q1827"/>
  <c r="P1827"/>
  <c r="M1827"/>
  <c r="K1827"/>
  <c r="H1827"/>
  <c r="C1827"/>
  <c r="G1827"/>
  <c r="E1827"/>
  <c r="B1827"/>
  <c r="A1827"/>
  <c r="W1826"/>
  <c r="S1826"/>
  <c r="Q1826"/>
  <c r="P1826"/>
  <c r="M1826"/>
  <c r="K1826"/>
  <c r="H1826"/>
  <c r="C1826"/>
  <c r="G1826"/>
  <c r="E1826"/>
  <c r="B1826"/>
  <c r="A1826"/>
  <c r="W1825"/>
  <c r="S1825"/>
  <c r="Q1825"/>
  <c r="P1825"/>
  <c r="N1825"/>
  <c r="M1825"/>
  <c r="K1825"/>
  <c r="H1825"/>
  <c r="C1825"/>
  <c r="G1825"/>
  <c r="E1825"/>
  <c r="B1825"/>
  <c r="A1825"/>
  <c r="W1824"/>
  <c r="S1824"/>
  <c r="Q1824"/>
  <c r="P1824"/>
  <c r="M1824"/>
  <c r="K1824"/>
  <c r="H1824"/>
  <c r="C1824"/>
  <c r="G1824"/>
  <c r="E1824"/>
  <c r="B1824"/>
  <c r="A1824"/>
  <c r="W1823"/>
  <c r="S1823"/>
  <c r="Q1823"/>
  <c r="P1823"/>
  <c r="M1823"/>
  <c r="K1823"/>
  <c r="H1823"/>
  <c r="C1823"/>
  <c r="G1823"/>
  <c r="E1823"/>
  <c r="B1823"/>
  <c r="A1823"/>
  <c r="W1822"/>
  <c r="S1822"/>
  <c r="Q1822"/>
  <c r="P1822"/>
  <c r="M1822"/>
  <c r="K1822"/>
  <c r="H1822"/>
  <c r="C1822"/>
  <c r="G1822"/>
  <c r="E1822"/>
  <c r="B1822"/>
  <c r="A1822"/>
  <c r="W1821"/>
  <c r="S1821"/>
  <c r="Q1821"/>
  <c r="P1821"/>
  <c r="M1821"/>
  <c r="K1821"/>
  <c r="H1821"/>
  <c r="C1821"/>
  <c r="G1821"/>
  <c r="E1821"/>
  <c r="B1821"/>
  <c r="A1821"/>
  <c r="W1820"/>
  <c r="S1820"/>
  <c r="Q1820"/>
  <c r="P1820"/>
  <c r="M1820"/>
  <c r="K1820"/>
  <c r="H1820"/>
  <c r="C1820"/>
  <c r="G1820"/>
  <c r="E1820"/>
  <c r="B1820"/>
  <c r="A1820"/>
  <c r="W1819"/>
  <c r="S1819"/>
  <c r="Q1819"/>
  <c r="P1819"/>
  <c r="M1819"/>
  <c r="K1819"/>
  <c r="H1819"/>
  <c r="C1819"/>
  <c r="G1819"/>
  <c r="E1819"/>
  <c r="B1819"/>
  <c r="A1819"/>
  <c r="W1818"/>
  <c r="S1818"/>
  <c r="Q1818"/>
  <c r="P1818"/>
  <c r="M1818"/>
  <c r="K1818"/>
  <c r="H1818"/>
  <c r="C1818"/>
  <c r="G1818"/>
  <c r="E1818"/>
  <c r="B1818"/>
  <c r="A1818"/>
  <c r="W1817"/>
  <c r="S1817"/>
  <c r="Q1817"/>
  <c r="P1817"/>
  <c r="M1817"/>
  <c r="K1817"/>
  <c r="H1817"/>
  <c r="C1817"/>
  <c r="G1817"/>
  <c r="E1817"/>
  <c r="B1817"/>
  <c r="A1817"/>
  <c r="W1816"/>
  <c r="S1816"/>
  <c r="Q1816"/>
  <c r="P1816"/>
  <c r="M1816"/>
  <c r="K1816"/>
  <c r="H1816"/>
  <c r="C1816"/>
  <c r="G1816"/>
  <c r="E1816"/>
  <c r="B1816"/>
  <c r="A1816"/>
  <c r="W1815"/>
  <c r="S1815"/>
  <c r="Q1815"/>
  <c r="P1815"/>
  <c r="M1815"/>
  <c r="K1815"/>
  <c r="H1815"/>
  <c r="C1815"/>
  <c r="G1815"/>
  <c r="E1815"/>
  <c r="B1815"/>
  <c r="A1815"/>
  <c r="W1814"/>
  <c r="S1814"/>
  <c r="Q1814"/>
  <c r="P1814"/>
  <c r="N1814"/>
  <c r="M1814"/>
  <c r="K1814"/>
  <c r="H1814"/>
  <c r="C1814"/>
  <c r="G1814"/>
  <c r="E1814"/>
  <c r="B1814"/>
  <c r="A1814"/>
  <c r="W1813"/>
  <c r="S1813"/>
  <c r="Q1813"/>
  <c r="P1813"/>
  <c r="M1813"/>
  <c r="K1813"/>
  <c r="H1813"/>
  <c r="C1813"/>
  <c r="G1813"/>
  <c r="E1813"/>
  <c r="B1813"/>
  <c r="A1813"/>
  <c r="W1812"/>
  <c r="S1812"/>
  <c r="Q1812"/>
  <c r="P1812"/>
  <c r="M1812"/>
  <c r="K1812"/>
  <c r="H1812"/>
  <c r="C1812"/>
  <c r="G1812"/>
  <c r="E1812"/>
  <c r="B1812"/>
  <c r="A1812"/>
  <c r="W1811"/>
  <c r="S1811"/>
  <c r="Q1811"/>
  <c r="P1811"/>
  <c r="M1811"/>
  <c r="K1811"/>
  <c r="H1811"/>
  <c r="C1811"/>
  <c r="G1811"/>
  <c r="E1811"/>
  <c r="B1811"/>
  <c r="A1811"/>
  <c r="W1810"/>
  <c r="S1810"/>
  <c r="Q1810"/>
  <c r="P1810"/>
  <c r="M1810"/>
  <c r="K1810"/>
  <c r="H1810"/>
  <c r="C1810"/>
  <c r="G1810"/>
  <c r="E1810"/>
  <c r="B1810"/>
  <c r="A1810"/>
  <c r="W1809"/>
  <c r="S1809"/>
  <c r="Q1809"/>
  <c r="P1809"/>
  <c r="M1809"/>
  <c r="K1809"/>
  <c r="H1809"/>
  <c r="C1809"/>
  <c r="G1809"/>
  <c r="E1809"/>
  <c r="B1809"/>
  <c r="A1809"/>
  <c r="W1808"/>
  <c r="S1808"/>
  <c r="Q1808"/>
  <c r="P1808"/>
  <c r="M1808"/>
  <c r="K1808"/>
  <c r="H1808"/>
  <c r="C1808"/>
  <c r="G1808"/>
  <c r="E1808"/>
  <c r="B1808"/>
  <c r="A1808"/>
  <c r="W1807"/>
  <c r="S1807"/>
  <c r="Q1807"/>
  <c r="P1807"/>
  <c r="M1807"/>
  <c r="K1807"/>
  <c r="H1807"/>
  <c r="C1807"/>
  <c r="G1807"/>
  <c r="E1807"/>
  <c r="B1807"/>
  <c r="A1807"/>
  <c r="W1806"/>
  <c r="S1806"/>
  <c r="Q1806"/>
  <c r="P1806"/>
  <c r="M1806"/>
  <c r="K1806"/>
  <c r="H1806"/>
  <c r="C1806"/>
  <c r="G1806"/>
  <c r="E1806"/>
  <c r="B1806"/>
  <c r="A1806"/>
  <c r="W1805"/>
  <c r="S1805"/>
  <c r="Q1805"/>
  <c r="P1805"/>
  <c r="M1805"/>
  <c r="K1805"/>
  <c r="H1805"/>
  <c r="C1805"/>
  <c r="G1805"/>
  <c r="E1805"/>
  <c r="B1805"/>
  <c r="A1805"/>
  <c r="W1804"/>
  <c r="S1804"/>
  <c r="Q1804"/>
  <c r="P1804"/>
  <c r="M1804"/>
  <c r="K1804"/>
  <c r="H1804"/>
  <c r="C1804"/>
  <c r="G1804"/>
  <c r="E1804"/>
  <c r="B1804"/>
  <c r="A1804"/>
  <c r="W1803"/>
  <c r="S1803"/>
  <c r="Q1803"/>
  <c r="P1803"/>
  <c r="M1803"/>
  <c r="K1803"/>
  <c r="H1803"/>
  <c r="C1803"/>
  <c r="G1803"/>
  <c r="E1803"/>
  <c r="B1803"/>
  <c r="A1803"/>
  <c r="W1802"/>
  <c r="S1802"/>
  <c r="Q1802"/>
  <c r="P1802"/>
  <c r="N1802"/>
  <c r="M1802"/>
  <c r="K1802"/>
  <c r="H1802"/>
  <c r="C1802"/>
  <c r="G1802"/>
  <c r="E1802"/>
  <c r="B1802"/>
  <c r="A1802"/>
  <c r="W1801"/>
  <c r="S1801"/>
  <c r="Q1801"/>
  <c r="P1801"/>
  <c r="M1801"/>
  <c r="K1801"/>
  <c r="H1801"/>
  <c r="C1801"/>
  <c r="G1801"/>
  <c r="E1801"/>
  <c r="B1801"/>
  <c r="A1801"/>
  <c r="W1800"/>
  <c r="S1800"/>
  <c r="Q1800"/>
  <c r="P1800"/>
  <c r="M1800"/>
  <c r="K1800"/>
  <c r="H1800"/>
  <c r="C1800"/>
  <c r="G1800"/>
  <c r="E1800"/>
  <c r="B1800"/>
  <c r="A1800"/>
  <c r="W1799"/>
  <c r="S1799"/>
  <c r="Q1799"/>
  <c r="P1799"/>
  <c r="N1799"/>
  <c r="M1799"/>
  <c r="K1799"/>
  <c r="H1799"/>
  <c r="C1799"/>
  <c r="G1799"/>
  <c r="E1799"/>
  <c r="B1799"/>
  <c r="A1799"/>
  <c r="W1798"/>
  <c r="S1798"/>
  <c r="Q1798"/>
  <c r="P1798"/>
  <c r="M1798"/>
  <c r="K1798"/>
  <c r="H1798"/>
  <c r="C1798"/>
  <c r="G1798"/>
  <c r="E1798"/>
  <c r="B1798"/>
  <c r="A1798"/>
  <c r="W1797"/>
  <c r="S1797"/>
  <c r="Q1797"/>
  <c r="P1797"/>
  <c r="M1797"/>
  <c r="K1797"/>
  <c r="H1797"/>
  <c r="C1797"/>
  <c r="G1797"/>
  <c r="E1797"/>
  <c r="B1797"/>
  <c r="A1797"/>
  <c r="W1796"/>
  <c r="S1796"/>
  <c r="Q1796"/>
  <c r="P1796"/>
  <c r="M1796"/>
  <c r="K1796"/>
  <c r="H1796"/>
  <c r="C1796"/>
  <c r="G1796"/>
  <c r="E1796"/>
  <c r="B1796"/>
  <c r="A1796"/>
  <c r="W1795"/>
  <c r="S1795"/>
  <c r="Q1795"/>
  <c r="P1795"/>
  <c r="M1795"/>
  <c r="K1795"/>
  <c r="H1795"/>
  <c r="C1795"/>
  <c r="G1795"/>
  <c r="E1795"/>
  <c r="B1795"/>
  <c r="A1795"/>
  <c r="W1794"/>
  <c r="S1794"/>
  <c r="Q1794"/>
  <c r="P1794"/>
  <c r="M1794"/>
  <c r="K1794"/>
  <c r="H1794"/>
  <c r="C1794"/>
  <c r="G1794"/>
  <c r="E1794"/>
  <c r="B1794"/>
  <c r="A1794"/>
  <c r="W1793"/>
  <c r="S1793"/>
  <c r="Q1793"/>
  <c r="P1793"/>
  <c r="M1793"/>
  <c r="K1793"/>
  <c r="H1793"/>
  <c r="C1793"/>
  <c r="G1793"/>
  <c r="E1793"/>
  <c r="B1793"/>
  <c r="A1793"/>
  <c r="W1792"/>
  <c r="S1792"/>
  <c r="Q1792"/>
  <c r="P1792"/>
  <c r="M1792"/>
  <c r="K1792"/>
  <c r="H1792"/>
  <c r="C1792"/>
  <c r="G1792"/>
  <c r="E1792"/>
  <c r="B1792"/>
  <c r="A1792"/>
  <c r="W1791"/>
  <c r="S1791"/>
  <c r="Q1791"/>
  <c r="P1791"/>
  <c r="M1791"/>
  <c r="K1791"/>
  <c r="H1791"/>
  <c r="C1791"/>
  <c r="G1791"/>
  <c r="E1791"/>
  <c r="B1791"/>
  <c r="A1791"/>
  <c r="W1790"/>
  <c r="S1790"/>
  <c r="Q1790"/>
  <c r="P1790"/>
  <c r="M1790"/>
  <c r="K1790"/>
  <c r="H1790"/>
  <c r="C1790"/>
  <c r="G1790"/>
  <c r="E1790"/>
  <c r="B1790"/>
  <c r="A1790"/>
  <c r="W1789"/>
  <c r="S1789"/>
  <c r="Q1789"/>
  <c r="P1789"/>
  <c r="M1789"/>
  <c r="K1789"/>
  <c r="H1789"/>
  <c r="C1789"/>
  <c r="G1789"/>
  <c r="E1789"/>
  <c r="B1789"/>
  <c r="A1789"/>
  <c r="W1788"/>
  <c r="S1788"/>
  <c r="Q1788"/>
  <c r="P1788"/>
  <c r="M1788"/>
  <c r="K1788"/>
  <c r="H1788"/>
  <c r="C1788"/>
  <c r="G1788"/>
  <c r="E1788"/>
  <c r="B1788"/>
  <c r="A1788"/>
  <c r="W1787"/>
  <c r="S1787"/>
  <c r="Q1787"/>
  <c r="P1787"/>
  <c r="M1787"/>
  <c r="K1787"/>
  <c r="H1787"/>
  <c r="C1787"/>
  <c r="G1787"/>
  <c r="E1787"/>
  <c r="B1787"/>
  <c r="A1787"/>
  <c r="W1786"/>
  <c r="S1786"/>
  <c r="Q1786"/>
  <c r="P1786"/>
  <c r="M1786"/>
  <c r="K1786"/>
  <c r="H1786"/>
  <c r="C1786"/>
  <c r="G1786"/>
  <c r="E1786"/>
  <c r="B1786"/>
  <c r="A1786"/>
  <c r="W1785"/>
  <c r="S1785"/>
  <c r="Q1785"/>
  <c r="P1785"/>
  <c r="M1785"/>
  <c r="K1785"/>
  <c r="H1785"/>
  <c r="C1785"/>
  <c r="G1785"/>
  <c r="E1785"/>
  <c r="B1785"/>
  <c r="A1785"/>
  <c r="W1784"/>
  <c r="S1784"/>
  <c r="Q1784"/>
  <c r="P1784"/>
  <c r="M1784"/>
  <c r="K1784"/>
  <c r="H1784"/>
  <c r="C1784"/>
  <c r="G1784"/>
  <c r="E1784"/>
  <c r="B1784"/>
  <c r="A1784"/>
  <c r="W1783"/>
  <c r="S1783"/>
  <c r="Q1783"/>
  <c r="P1783"/>
  <c r="M1783"/>
  <c r="K1783"/>
  <c r="H1783"/>
  <c r="C1783"/>
  <c r="G1783"/>
  <c r="E1783"/>
  <c r="B1783"/>
  <c r="A1783"/>
  <c r="W1782"/>
  <c r="S1782"/>
  <c r="Q1782"/>
  <c r="P1782"/>
  <c r="M1782"/>
  <c r="K1782"/>
  <c r="H1782"/>
  <c r="C1782"/>
  <c r="G1782"/>
  <c r="E1782"/>
  <c r="B1782"/>
  <c r="A1782"/>
  <c r="W1781"/>
  <c r="S1781"/>
  <c r="Q1781"/>
  <c r="P1781"/>
  <c r="M1781"/>
  <c r="K1781"/>
  <c r="H1781"/>
  <c r="C1781"/>
  <c r="G1781"/>
  <c r="E1781"/>
  <c r="B1781"/>
  <c r="A1781"/>
  <c r="W1780"/>
  <c r="S1780"/>
  <c r="Q1780"/>
  <c r="P1780"/>
  <c r="M1780"/>
  <c r="K1780"/>
  <c r="H1780"/>
  <c r="C1780"/>
  <c r="G1780"/>
  <c r="E1780"/>
  <c r="B1780"/>
  <c r="A1780"/>
  <c r="W1779"/>
  <c r="S1779"/>
  <c r="Q1779"/>
  <c r="P1779"/>
  <c r="M1779"/>
  <c r="K1779"/>
  <c r="H1779"/>
  <c r="C1779"/>
  <c r="G1779"/>
  <c r="E1779"/>
  <c r="B1779"/>
  <c r="A1779"/>
  <c r="W1778"/>
  <c r="S1778"/>
  <c r="Q1778"/>
  <c r="P1778"/>
  <c r="M1778"/>
  <c r="K1778"/>
  <c r="H1778"/>
  <c r="C1778"/>
  <c r="G1778"/>
  <c r="E1778"/>
  <c r="B1778"/>
  <c r="A1778"/>
  <c r="W1777"/>
  <c r="S1777"/>
  <c r="Q1777"/>
  <c r="P1777"/>
  <c r="M1777"/>
  <c r="K1777"/>
  <c r="H1777"/>
  <c r="C1777"/>
  <c r="G1777"/>
  <c r="E1777"/>
  <c r="B1777"/>
  <c r="A1777"/>
  <c r="W1776"/>
  <c r="S1776"/>
  <c r="Q1776"/>
  <c r="P1776"/>
  <c r="M1776"/>
  <c r="K1776"/>
  <c r="H1776"/>
  <c r="C1776"/>
  <c r="G1776"/>
  <c r="E1776"/>
  <c r="B1776"/>
  <c r="A1776"/>
  <c r="W1775"/>
  <c r="S1775"/>
  <c r="Q1775"/>
  <c r="P1775"/>
  <c r="M1775"/>
  <c r="K1775"/>
  <c r="H1775"/>
  <c r="C1775"/>
  <c r="G1775"/>
  <c r="E1775"/>
  <c r="B1775"/>
  <c r="A1775"/>
  <c r="W1774"/>
  <c r="S1774"/>
  <c r="Q1774"/>
  <c r="P1774"/>
  <c r="M1774"/>
  <c r="K1774"/>
  <c r="H1774"/>
  <c r="C1774"/>
  <c r="G1774"/>
  <c r="E1774"/>
  <c r="B1774"/>
  <c r="A1774"/>
  <c r="W1773"/>
  <c r="S1773"/>
  <c r="Q1773"/>
  <c r="P1773"/>
  <c r="M1773"/>
  <c r="K1773"/>
  <c r="H1773"/>
  <c r="C1773"/>
  <c r="G1773"/>
  <c r="E1773"/>
  <c r="B1773"/>
  <c r="A1773"/>
  <c r="W1772"/>
  <c r="S1772"/>
  <c r="R1772"/>
  <c r="Q1772"/>
  <c r="P1772"/>
  <c r="M1772"/>
  <c r="K1772"/>
  <c r="H1772"/>
  <c r="C1772"/>
  <c r="G1772"/>
  <c r="E1772"/>
  <c r="B1772"/>
  <c r="A1772"/>
  <c r="W1771"/>
  <c r="S1771"/>
  <c r="Q1771"/>
  <c r="P1771"/>
  <c r="M1771"/>
  <c r="K1771"/>
  <c r="H1771"/>
  <c r="C1771"/>
  <c r="G1771"/>
  <c r="E1771"/>
  <c r="B1771"/>
  <c r="A1771"/>
  <c r="W1770"/>
  <c r="S1770"/>
  <c r="Q1770"/>
  <c r="P1770"/>
  <c r="M1770"/>
  <c r="K1770"/>
  <c r="H1770"/>
  <c r="C1770"/>
  <c r="G1770"/>
  <c r="E1770"/>
  <c r="B1770"/>
  <c r="A1770"/>
  <c r="W1769"/>
  <c r="S1769"/>
  <c r="Q1769"/>
  <c r="P1769"/>
  <c r="M1769"/>
  <c r="K1769"/>
  <c r="H1769"/>
  <c r="C1769"/>
  <c r="G1769"/>
  <c r="E1769"/>
  <c r="B1769"/>
  <c r="A1769"/>
  <c r="W1768"/>
  <c r="S1768"/>
  <c r="Q1768"/>
  <c r="P1768"/>
  <c r="M1768"/>
  <c r="K1768"/>
  <c r="H1768"/>
  <c r="C1768"/>
  <c r="G1768"/>
  <c r="E1768"/>
  <c r="B1768"/>
  <c r="A1768"/>
  <c r="W1767"/>
  <c r="S1767"/>
  <c r="R1767"/>
  <c r="Q1767"/>
  <c r="P1767"/>
  <c r="M1767"/>
  <c r="K1767"/>
  <c r="H1767"/>
  <c r="C1767"/>
  <c r="G1767"/>
  <c r="E1767"/>
  <c r="B1767"/>
  <c r="A1767"/>
  <c r="W1766"/>
  <c r="S1766"/>
  <c r="Q1766"/>
  <c r="P1766"/>
  <c r="M1766"/>
  <c r="K1766"/>
  <c r="H1766"/>
  <c r="C1766"/>
  <c r="G1766"/>
  <c r="E1766"/>
  <c r="B1766"/>
  <c r="A1766"/>
  <c r="W1765"/>
  <c r="S1765"/>
  <c r="Q1765"/>
  <c r="P1765"/>
  <c r="M1765"/>
  <c r="K1765"/>
  <c r="H1765"/>
  <c r="C1765"/>
  <c r="G1765"/>
  <c r="E1765"/>
  <c r="B1765"/>
  <c r="A1765"/>
  <c r="W1764"/>
  <c r="S1764"/>
  <c r="Q1764"/>
  <c r="P1764"/>
  <c r="M1764"/>
  <c r="K1764"/>
  <c r="H1764"/>
  <c r="C1764"/>
  <c r="G1764"/>
  <c r="E1764"/>
  <c r="B1764"/>
  <c r="A1764"/>
  <c r="W1763"/>
  <c r="S1763"/>
  <c r="Q1763"/>
  <c r="P1763"/>
  <c r="M1763"/>
  <c r="K1763"/>
  <c r="H1763"/>
  <c r="C1763"/>
  <c r="G1763"/>
  <c r="E1763"/>
  <c r="B1763"/>
  <c r="A1763"/>
  <c r="W1762"/>
  <c r="S1762"/>
  <c r="Q1762"/>
  <c r="P1762"/>
  <c r="M1762"/>
  <c r="K1762"/>
  <c r="H1762"/>
  <c r="C1762"/>
  <c r="G1762"/>
  <c r="E1762"/>
  <c r="B1762"/>
  <c r="A1762"/>
  <c r="W1761"/>
  <c r="S1761"/>
  <c r="Q1761"/>
  <c r="P1761"/>
  <c r="M1761"/>
  <c r="K1761"/>
  <c r="H1761"/>
  <c r="C1761"/>
  <c r="G1761"/>
  <c r="E1761"/>
  <c r="B1761"/>
  <c r="A1761"/>
  <c r="W1760"/>
  <c r="S1760"/>
  <c r="Q1760"/>
  <c r="P1760"/>
  <c r="M1760"/>
  <c r="K1760"/>
  <c r="H1760"/>
  <c r="C1760"/>
  <c r="G1760"/>
  <c r="E1760"/>
  <c r="B1760"/>
  <c r="A1760"/>
  <c r="W1759"/>
  <c r="S1759"/>
  <c r="Q1759"/>
  <c r="P1759"/>
  <c r="M1759"/>
  <c r="K1759"/>
  <c r="H1759"/>
  <c r="C1759"/>
  <c r="G1759"/>
  <c r="E1759"/>
  <c r="B1759"/>
  <c r="A1759"/>
  <c r="W1758"/>
  <c r="S1758"/>
  <c r="Q1758"/>
  <c r="P1758"/>
  <c r="M1758"/>
  <c r="K1758"/>
  <c r="H1758"/>
  <c r="C1758"/>
  <c r="G1758"/>
  <c r="E1758"/>
  <c r="B1758"/>
  <c r="A1758"/>
  <c r="W1757"/>
  <c r="S1757"/>
  <c r="Q1757"/>
  <c r="P1757"/>
  <c r="M1757"/>
  <c r="K1757"/>
  <c r="H1757"/>
  <c r="C1757"/>
  <c r="G1757"/>
  <c r="E1757"/>
  <c r="B1757"/>
  <c r="A1757"/>
  <c r="W1756"/>
  <c r="S1756"/>
  <c r="Q1756"/>
  <c r="P1756"/>
  <c r="M1756"/>
  <c r="K1756"/>
  <c r="H1756"/>
  <c r="C1756"/>
  <c r="G1756"/>
  <c r="E1756"/>
  <c r="B1756"/>
  <c r="A1756"/>
  <c r="W1755"/>
  <c r="S1755"/>
  <c r="Q1755"/>
  <c r="P1755"/>
  <c r="M1755"/>
  <c r="K1755"/>
  <c r="H1755"/>
  <c r="C1755"/>
  <c r="G1755"/>
  <c r="E1755"/>
  <c r="B1755"/>
  <c r="A1755"/>
  <c r="W1754"/>
  <c r="S1754"/>
  <c r="Q1754"/>
  <c r="P1754"/>
  <c r="M1754"/>
  <c r="K1754"/>
  <c r="H1754"/>
  <c r="C1754"/>
  <c r="G1754"/>
  <c r="E1754"/>
  <c r="B1754"/>
  <c r="A1754"/>
  <c r="W1753"/>
  <c r="S1753"/>
  <c r="Q1753"/>
  <c r="P1753"/>
  <c r="M1753"/>
  <c r="K1753"/>
  <c r="H1753"/>
  <c r="C1753"/>
  <c r="G1753"/>
  <c r="E1753"/>
  <c r="B1753"/>
  <c r="A1753"/>
  <c r="W1752"/>
  <c r="S1752"/>
  <c r="Q1752"/>
  <c r="P1752"/>
  <c r="M1752"/>
  <c r="K1752"/>
  <c r="H1752"/>
  <c r="C1752"/>
  <c r="G1752"/>
  <c r="E1752"/>
  <c r="B1752"/>
  <c r="A1752"/>
  <c r="W1751"/>
  <c r="S1751"/>
  <c r="Q1751"/>
  <c r="P1751"/>
  <c r="M1751"/>
  <c r="K1751"/>
  <c r="H1751"/>
  <c r="C1751"/>
  <c r="G1751"/>
  <c r="E1751"/>
  <c r="B1751"/>
  <c r="A1751"/>
  <c r="W1750"/>
  <c r="S1750"/>
  <c r="Q1750"/>
  <c r="P1750"/>
  <c r="M1750"/>
  <c r="K1750"/>
  <c r="H1750"/>
  <c r="C1750"/>
  <c r="G1750"/>
  <c r="E1750"/>
  <c r="B1750"/>
  <c r="A1750"/>
  <c r="W1749"/>
  <c r="S1749"/>
  <c r="Q1749"/>
  <c r="P1749"/>
  <c r="M1749"/>
  <c r="K1749"/>
  <c r="H1749"/>
  <c r="C1749"/>
  <c r="G1749"/>
  <c r="E1749"/>
  <c r="B1749"/>
  <c r="A1749"/>
  <c r="W1748"/>
  <c r="S1748"/>
  <c r="Q1748"/>
  <c r="P1748"/>
  <c r="M1748"/>
  <c r="K1748"/>
  <c r="H1748"/>
  <c r="C1748"/>
  <c r="G1748"/>
  <c r="E1748"/>
  <c r="B1748"/>
  <c r="A1748"/>
  <c r="W1747"/>
  <c r="S1747"/>
  <c r="Q1747"/>
  <c r="P1747"/>
  <c r="M1747"/>
  <c r="K1747"/>
  <c r="H1747"/>
  <c r="C1747"/>
  <c r="G1747"/>
  <c r="E1747"/>
  <c r="B1747"/>
  <c r="A1747"/>
  <c r="W1746"/>
  <c r="S1746"/>
  <c r="Q1746"/>
  <c r="P1746"/>
  <c r="M1746"/>
  <c r="K1746"/>
  <c r="H1746"/>
  <c r="C1746"/>
  <c r="G1746"/>
  <c r="E1746"/>
  <c r="B1746"/>
  <c r="A1746"/>
  <c r="W1745"/>
  <c r="S1745"/>
  <c r="Q1745"/>
  <c r="P1745"/>
  <c r="M1745"/>
  <c r="K1745"/>
  <c r="H1745"/>
  <c r="C1745"/>
  <c r="G1745"/>
  <c r="E1745"/>
  <c r="B1745"/>
  <c r="A1745"/>
  <c r="W1744"/>
  <c r="S1744"/>
  <c r="Q1744"/>
  <c r="P1744"/>
  <c r="M1744"/>
  <c r="K1744"/>
  <c r="H1744"/>
  <c r="C1744"/>
  <c r="G1744"/>
  <c r="E1744"/>
  <c r="B1744"/>
  <c r="A1744"/>
  <c r="W1743"/>
  <c r="S1743"/>
  <c r="Q1743"/>
  <c r="P1743"/>
  <c r="M1743"/>
  <c r="K1743"/>
  <c r="H1743"/>
  <c r="C1743"/>
  <c r="G1743"/>
  <c r="E1743"/>
  <c r="B1743"/>
  <c r="A1743"/>
  <c r="W1742"/>
  <c r="S1742"/>
  <c r="Q1742"/>
  <c r="P1742"/>
  <c r="M1742"/>
  <c r="K1742"/>
  <c r="H1742"/>
  <c r="C1742"/>
  <c r="G1742"/>
  <c r="E1742"/>
  <c r="B1742"/>
  <c r="A1742"/>
  <c r="W1741"/>
  <c r="S1741"/>
  <c r="Q1741"/>
  <c r="P1741"/>
  <c r="M1741"/>
  <c r="K1741"/>
  <c r="H1741"/>
  <c r="C1741"/>
  <c r="G1741"/>
  <c r="E1741"/>
  <c r="B1741"/>
  <c r="A1741"/>
  <c r="W1740"/>
  <c r="S1740"/>
  <c r="Q1740"/>
  <c r="P1740"/>
  <c r="M1740"/>
  <c r="K1740"/>
  <c r="H1740"/>
  <c r="C1740"/>
  <c r="G1740"/>
  <c r="E1740"/>
  <c r="B1740"/>
  <c r="A1740"/>
  <c r="W1739"/>
  <c r="S1739"/>
  <c r="Q1739"/>
  <c r="P1739"/>
  <c r="M1739"/>
  <c r="K1739"/>
  <c r="H1739"/>
  <c r="C1739"/>
  <c r="G1739"/>
  <c r="E1739"/>
  <c r="B1739"/>
  <c r="A1739"/>
  <c r="W1738"/>
  <c r="S1738"/>
  <c r="Q1738"/>
  <c r="P1738"/>
  <c r="M1738"/>
  <c r="K1738"/>
  <c r="H1738"/>
  <c r="C1738"/>
  <c r="G1738"/>
  <c r="E1738"/>
  <c r="B1738"/>
  <c r="A1738"/>
  <c r="W1737"/>
  <c r="S1737"/>
  <c r="Q1737"/>
  <c r="P1737"/>
  <c r="M1737"/>
  <c r="K1737"/>
  <c r="H1737"/>
  <c r="C1737"/>
  <c r="G1737"/>
  <c r="E1737"/>
  <c r="B1737"/>
  <c r="A1737"/>
  <c r="W1736"/>
  <c r="S1736"/>
  <c r="Q1736"/>
  <c r="P1736"/>
  <c r="M1736"/>
  <c r="K1736"/>
  <c r="H1736"/>
  <c r="C1736"/>
  <c r="G1736"/>
  <c r="E1736"/>
  <c r="B1736"/>
  <c r="A1736"/>
  <c r="W1735"/>
  <c r="S1735"/>
  <c r="Q1735"/>
  <c r="P1735"/>
  <c r="M1735"/>
  <c r="K1735"/>
  <c r="H1735"/>
  <c r="C1735"/>
  <c r="G1735"/>
  <c r="E1735"/>
  <c r="B1735"/>
  <c r="A1735"/>
  <c r="W1734"/>
  <c r="S1734"/>
  <c r="Q1734"/>
  <c r="P1734"/>
  <c r="M1734"/>
  <c r="K1734"/>
  <c r="H1734"/>
  <c r="C1734"/>
  <c r="G1734"/>
  <c r="E1734"/>
  <c r="B1734"/>
  <c r="A1734"/>
  <c r="W1733"/>
  <c r="S1733"/>
  <c r="Q1733"/>
  <c r="P1733"/>
  <c r="M1733"/>
  <c r="K1733"/>
  <c r="H1733"/>
  <c r="C1733"/>
  <c r="G1733"/>
  <c r="E1733"/>
  <c r="B1733"/>
  <c r="A1733"/>
  <c r="W1732"/>
  <c r="S1732"/>
  <c r="Q1732"/>
  <c r="P1732"/>
  <c r="M1732"/>
  <c r="K1732"/>
  <c r="H1732"/>
  <c r="C1732"/>
  <c r="G1732"/>
  <c r="E1732"/>
  <c r="B1732"/>
  <c r="A1732"/>
  <c r="W1731"/>
  <c r="S1731"/>
  <c r="Q1731"/>
  <c r="P1731"/>
  <c r="M1731"/>
  <c r="K1731"/>
  <c r="H1731"/>
  <c r="C1731"/>
  <c r="G1731"/>
  <c r="E1731"/>
  <c r="B1731"/>
  <c r="A1731"/>
  <c r="W1730"/>
  <c r="S1730"/>
  <c r="Q1730"/>
  <c r="P1730"/>
  <c r="M1730"/>
  <c r="K1730"/>
  <c r="H1730"/>
  <c r="C1730"/>
  <c r="G1730"/>
  <c r="E1730"/>
  <c r="B1730"/>
  <c r="A1730"/>
  <c r="W1729"/>
  <c r="S1729"/>
  <c r="Q1729"/>
  <c r="P1729"/>
  <c r="M1729"/>
  <c r="K1729"/>
  <c r="H1729"/>
  <c r="C1729"/>
  <c r="G1729"/>
  <c r="E1729"/>
  <c r="B1729"/>
  <c r="A1729"/>
  <c r="W1728"/>
  <c r="S1728"/>
  <c r="Q1728"/>
  <c r="P1728"/>
  <c r="M1728"/>
  <c r="K1728"/>
  <c r="H1728"/>
  <c r="C1728"/>
  <c r="G1728"/>
  <c r="E1728"/>
  <c r="B1728"/>
  <c r="A1728"/>
  <c r="W1727"/>
  <c r="S1727"/>
  <c r="Q1727"/>
  <c r="P1727"/>
  <c r="M1727"/>
  <c r="K1727"/>
  <c r="H1727"/>
  <c r="C1727"/>
  <c r="G1727"/>
  <c r="E1727"/>
  <c r="B1727"/>
  <c r="A1727"/>
  <c r="W1726"/>
  <c r="S1726"/>
  <c r="Q1726"/>
  <c r="P1726"/>
  <c r="M1726"/>
  <c r="K1726"/>
  <c r="H1726"/>
  <c r="C1726"/>
  <c r="G1726"/>
  <c r="E1726"/>
  <c r="B1726"/>
  <c r="A1726"/>
  <c r="W1725"/>
  <c r="S1725"/>
  <c r="Q1725"/>
  <c r="P1725"/>
  <c r="M1725"/>
  <c r="K1725"/>
  <c r="H1725"/>
  <c r="C1725"/>
  <c r="G1725"/>
  <c r="E1725"/>
  <c r="B1725"/>
  <c r="A1725"/>
  <c r="W1724"/>
  <c r="S1724"/>
  <c r="Q1724"/>
  <c r="P1724"/>
  <c r="M1724"/>
  <c r="K1724"/>
  <c r="H1724"/>
  <c r="C1724"/>
  <c r="G1724"/>
  <c r="E1724"/>
  <c r="B1724"/>
  <c r="A1724"/>
  <c r="W1723"/>
  <c r="S1723"/>
  <c r="Q1723"/>
  <c r="P1723"/>
  <c r="M1723"/>
  <c r="K1723"/>
  <c r="H1723"/>
  <c r="C1723"/>
  <c r="G1723"/>
  <c r="E1723"/>
  <c r="B1723"/>
  <c r="A1723"/>
  <c r="W1722"/>
  <c r="S1722"/>
  <c r="Q1722"/>
  <c r="P1722"/>
  <c r="M1722"/>
  <c r="K1722"/>
  <c r="H1722"/>
  <c r="C1722"/>
  <c r="G1722"/>
  <c r="E1722"/>
  <c r="B1722"/>
  <c r="A1722"/>
  <c r="W1721"/>
  <c r="S1721"/>
  <c r="Q1721"/>
  <c r="P1721"/>
  <c r="M1721"/>
  <c r="K1721"/>
  <c r="H1721"/>
  <c r="C1721"/>
  <c r="G1721"/>
  <c r="E1721"/>
  <c r="B1721"/>
  <c r="A1721"/>
  <c r="W1720"/>
  <c r="S1720"/>
  <c r="Q1720"/>
  <c r="P1720"/>
  <c r="M1720"/>
  <c r="K1720"/>
  <c r="H1720"/>
  <c r="C1720"/>
  <c r="G1720"/>
  <c r="E1720"/>
  <c r="B1720"/>
  <c r="A1720"/>
  <c r="W1719"/>
  <c r="S1719"/>
  <c r="Q1719"/>
  <c r="P1719"/>
  <c r="M1719"/>
  <c r="K1719"/>
  <c r="H1719"/>
  <c r="C1719"/>
  <c r="G1719"/>
  <c r="E1719"/>
  <c r="B1719"/>
  <c r="A1719"/>
  <c r="W1718"/>
  <c r="S1718"/>
  <c r="Q1718"/>
  <c r="P1718"/>
  <c r="M1718"/>
  <c r="K1718"/>
  <c r="H1718"/>
  <c r="C1718"/>
  <c r="G1718"/>
  <c r="E1718"/>
  <c r="B1718"/>
  <c r="A1718"/>
  <c r="W1717"/>
  <c r="S1717"/>
  <c r="Q1717"/>
  <c r="P1717"/>
  <c r="M1717"/>
  <c r="K1717"/>
  <c r="H1717"/>
  <c r="C1717"/>
  <c r="G1717"/>
  <c r="E1717"/>
  <c r="B1717"/>
  <c r="A1717"/>
  <c r="W1716"/>
  <c r="S1716"/>
  <c r="Q1716"/>
  <c r="P1716"/>
  <c r="M1716"/>
  <c r="K1716"/>
  <c r="H1716"/>
  <c r="C1716"/>
  <c r="G1716"/>
  <c r="E1716"/>
  <c r="B1716"/>
  <c r="A1716"/>
  <c r="W1715"/>
  <c r="S1715"/>
  <c r="Q1715"/>
  <c r="P1715"/>
  <c r="M1715"/>
  <c r="K1715"/>
  <c r="H1715"/>
  <c r="C1715"/>
  <c r="G1715"/>
  <c r="E1715"/>
  <c r="B1715"/>
  <c r="A1715"/>
  <c r="W1714"/>
  <c r="S1714"/>
  <c r="R1714"/>
  <c r="Q1714"/>
  <c r="P1714"/>
  <c r="M1714"/>
  <c r="K1714"/>
  <c r="H1714"/>
  <c r="C1714"/>
  <c r="G1714"/>
  <c r="E1714"/>
  <c r="B1714"/>
  <c r="A1714"/>
  <c r="W1713"/>
  <c r="S1713"/>
  <c r="Q1713"/>
  <c r="P1713"/>
  <c r="M1713"/>
  <c r="K1713"/>
  <c r="H1713"/>
  <c r="C1713"/>
  <c r="G1713"/>
  <c r="E1713"/>
  <c r="B1713"/>
  <c r="A1713"/>
  <c r="W1712"/>
  <c r="S1712"/>
  <c r="Q1712"/>
  <c r="P1712"/>
  <c r="M1712"/>
  <c r="K1712"/>
  <c r="H1712"/>
  <c r="C1712"/>
  <c r="G1712"/>
  <c r="E1712"/>
  <c r="B1712"/>
  <c r="A1712"/>
  <c r="W1711"/>
  <c r="S1711"/>
  <c r="Q1711"/>
  <c r="P1711"/>
  <c r="M1711"/>
  <c r="K1711"/>
  <c r="H1711"/>
  <c r="C1711"/>
  <c r="G1711"/>
  <c r="E1711"/>
  <c r="B1711"/>
  <c r="A1711"/>
  <c r="W1710"/>
  <c r="S1710"/>
  <c r="Q1710"/>
  <c r="P1710"/>
  <c r="M1710"/>
  <c r="K1710"/>
  <c r="H1710"/>
  <c r="C1710"/>
  <c r="G1710"/>
  <c r="E1710"/>
  <c r="B1710"/>
  <c r="A1710"/>
  <c r="W1709"/>
  <c r="S1709"/>
  <c r="Q1709"/>
  <c r="P1709"/>
  <c r="M1709"/>
  <c r="K1709"/>
  <c r="H1709"/>
  <c r="C1709"/>
  <c r="G1709"/>
  <c r="E1709"/>
  <c r="B1709"/>
  <c r="A1709"/>
  <c r="W1708"/>
  <c r="S1708"/>
  <c r="Q1708"/>
  <c r="P1708"/>
  <c r="M1708"/>
  <c r="K1708"/>
  <c r="H1708"/>
  <c r="C1708"/>
  <c r="G1708"/>
  <c r="E1708"/>
  <c r="B1708"/>
  <c r="A1708"/>
  <c r="W1707"/>
  <c r="S1707"/>
  <c r="Q1707"/>
  <c r="P1707"/>
  <c r="M1707"/>
  <c r="K1707"/>
  <c r="H1707"/>
  <c r="C1707"/>
  <c r="G1707"/>
  <c r="E1707"/>
  <c r="B1707"/>
  <c r="A1707"/>
  <c r="W1706"/>
  <c r="S1706"/>
  <c r="Q1706"/>
  <c r="P1706"/>
  <c r="M1706"/>
  <c r="K1706"/>
  <c r="H1706"/>
  <c r="C1706"/>
  <c r="G1706"/>
  <c r="E1706"/>
  <c r="B1706"/>
  <c r="A1706"/>
  <c r="W1705"/>
  <c r="S1705"/>
  <c r="Q1705"/>
  <c r="P1705"/>
  <c r="M1705"/>
  <c r="K1705"/>
  <c r="H1705"/>
  <c r="C1705"/>
  <c r="G1705"/>
  <c r="E1705"/>
  <c r="B1705"/>
  <c r="A1705"/>
  <c r="W1704"/>
  <c r="S1704"/>
  <c r="Q1704"/>
  <c r="P1704"/>
  <c r="M1704"/>
  <c r="K1704"/>
  <c r="H1704"/>
  <c r="C1704"/>
  <c r="G1704"/>
  <c r="E1704"/>
  <c r="B1704"/>
  <c r="A1704"/>
  <c r="W1703"/>
  <c r="S1703"/>
  <c r="Q1703"/>
  <c r="P1703"/>
  <c r="M1703"/>
  <c r="K1703"/>
  <c r="H1703"/>
  <c r="C1703"/>
  <c r="G1703"/>
  <c r="E1703"/>
  <c r="B1703"/>
  <c r="A1703"/>
  <c r="W1702"/>
  <c r="S1702"/>
  <c r="Q1702"/>
  <c r="P1702"/>
  <c r="M1702"/>
  <c r="K1702"/>
  <c r="H1702"/>
  <c r="C1702"/>
  <c r="G1702"/>
  <c r="E1702"/>
  <c r="B1702"/>
  <c r="A1702"/>
  <c r="W1701"/>
  <c r="S1701"/>
  <c r="Q1701"/>
  <c r="P1701"/>
  <c r="M1701"/>
  <c r="K1701"/>
  <c r="H1701"/>
  <c r="C1701"/>
  <c r="G1701"/>
  <c r="E1701"/>
  <c r="B1701"/>
  <c r="A1701"/>
  <c r="W1700"/>
  <c r="S1700"/>
  <c r="Q1700"/>
  <c r="P1700"/>
  <c r="M1700"/>
  <c r="K1700"/>
  <c r="H1700"/>
  <c r="C1700"/>
  <c r="G1700"/>
  <c r="E1700"/>
  <c r="B1700"/>
  <c r="A1700"/>
  <c r="W1699"/>
  <c r="S1699"/>
  <c r="Q1699"/>
  <c r="P1699"/>
  <c r="M1699"/>
  <c r="K1699"/>
  <c r="H1699"/>
  <c r="C1699"/>
  <c r="G1699"/>
  <c r="E1699"/>
  <c r="B1699"/>
  <c r="A1699"/>
  <c r="W1698"/>
  <c r="S1698"/>
  <c r="Q1698"/>
  <c r="P1698"/>
  <c r="M1698"/>
  <c r="K1698"/>
  <c r="H1698"/>
  <c r="C1698"/>
  <c r="G1698"/>
  <c r="E1698"/>
  <c r="B1698"/>
  <c r="A1698"/>
  <c r="W1697"/>
  <c r="S1697"/>
  <c r="Q1697"/>
  <c r="P1697"/>
  <c r="M1697"/>
  <c r="K1697"/>
  <c r="H1697"/>
  <c r="C1697"/>
  <c r="G1697"/>
  <c r="E1697"/>
  <c r="B1697"/>
  <c r="A1697"/>
  <c r="W1696"/>
  <c r="S1696"/>
  <c r="Q1696"/>
  <c r="P1696"/>
  <c r="M1696"/>
  <c r="K1696"/>
  <c r="H1696"/>
  <c r="C1696"/>
  <c r="G1696"/>
  <c r="E1696"/>
  <c r="B1696"/>
  <c r="A1696"/>
  <c r="W1695"/>
  <c r="S1695"/>
  <c r="Q1695"/>
  <c r="P1695"/>
  <c r="M1695"/>
  <c r="K1695"/>
  <c r="H1695"/>
  <c r="C1695"/>
  <c r="G1695"/>
  <c r="E1695"/>
  <c r="B1695"/>
  <c r="A1695"/>
  <c r="W1694"/>
  <c r="S1694"/>
  <c r="Q1694"/>
  <c r="P1694"/>
  <c r="M1694"/>
  <c r="K1694"/>
  <c r="H1694"/>
  <c r="C1694"/>
  <c r="G1694"/>
  <c r="E1694"/>
  <c r="B1694"/>
  <c r="A1694"/>
  <c r="W1693"/>
  <c r="S1693"/>
  <c r="Q1693"/>
  <c r="P1693"/>
  <c r="M1693"/>
  <c r="K1693"/>
  <c r="H1693"/>
  <c r="C1693"/>
  <c r="G1693"/>
  <c r="E1693"/>
  <c r="B1693"/>
  <c r="A1693"/>
  <c r="W1692"/>
  <c r="S1692"/>
  <c r="Q1692"/>
  <c r="P1692"/>
  <c r="M1692"/>
  <c r="K1692"/>
  <c r="H1692"/>
  <c r="C1692"/>
  <c r="G1692"/>
  <c r="E1692"/>
  <c r="B1692"/>
  <c r="A1692"/>
  <c r="W1691"/>
  <c r="S1691"/>
  <c r="Q1691"/>
  <c r="P1691"/>
  <c r="M1691"/>
  <c r="K1691"/>
  <c r="H1691"/>
  <c r="C1691"/>
  <c r="G1691"/>
  <c r="E1691"/>
  <c r="B1691"/>
  <c r="A1691"/>
  <c r="W1690"/>
  <c r="S1690"/>
  <c r="Q1690"/>
  <c r="P1690"/>
  <c r="M1690"/>
  <c r="K1690"/>
  <c r="H1690"/>
  <c r="C1690"/>
  <c r="G1690"/>
  <c r="E1690"/>
  <c r="B1690"/>
  <c r="A1690"/>
  <c r="W1689"/>
  <c r="S1689"/>
  <c r="Q1689"/>
  <c r="P1689"/>
  <c r="M1689"/>
  <c r="K1689"/>
  <c r="H1689"/>
  <c r="C1689"/>
  <c r="G1689"/>
  <c r="E1689"/>
  <c r="B1689"/>
  <c r="A1689"/>
  <c r="W1688"/>
  <c r="S1688"/>
  <c r="Q1688"/>
  <c r="P1688"/>
  <c r="M1688"/>
  <c r="K1688"/>
  <c r="H1688"/>
  <c r="C1688"/>
  <c r="G1688"/>
  <c r="E1688"/>
  <c r="B1688"/>
  <c r="A1688"/>
  <c r="W1687"/>
  <c r="S1687"/>
  <c r="Q1687"/>
  <c r="P1687"/>
  <c r="N1687"/>
  <c r="M1687"/>
  <c r="K1687"/>
  <c r="H1687"/>
  <c r="C1687"/>
  <c r="G1687"/>
  <c r="E1687"/>
  <c r="B1687"/>
  <c r="A1687"/>
  <c r="W1686"/>
  <c r="S1686"/>
  <c r="Q1686"/>
  <c r="P1686"/>
  <c r="M1686"/>
  <c r="K1686"/>
  <c r="H1686"/>
  <c r="C1686"/>
  <c r="G1686"/>
  <c r="E1686"/>
  <c r="B1686"/>
  <c r="A1686"/>
  <c r="W1685"/>
  <c r="S1685"/>
  <c r="Q1685"/>
  <c r="P1685"/>
  <c r="M1685"/>
  <c r="K1685"/>
  <c r="H1685"/>
  <c r="C1685"/>
  <c r="G1685"/>
  <c r="E1685"/>
  <c r="B1685"/>
  <c r="A1685"/>
  <c r="W1684"/>
  <c r="S1684"/>
  <c r="Q1684"/>
  <c r="P1684"/>
  <c r="M1684"/>
  <c r="K1684"/>
  <c r="H1684"/>
  <c r="C1684"/>
  <c r="G1684"/>
  <c r="E1684"/>
  <c r="B1684"/>
  <c r="A1684"/>
  <c r="W1683"/>
  <c r="S1683"/>
  <c r="Q1683"/>
  <c r="P1683"/>
  <c r="M1683"/>
  <c r="K1683"/>
  <c r="H1683"/>
  <c r="C1683"/>
  <c r="G1683"/>
  <c r="E1683"/>
  <c r="B1683"/>
  <c r="A1683"/>
  <c r="W1682"/>
  <c r="S1682"/>
  <c r="Q1682"/>
  <c r="P1682"/>
  <c r="M1682"/>
  <c r="K1682"/>
  <c r="H1682"/>
  <c r="C1682"/>
  <c r="G1682"/>
  <c r="E1682"/>
  <c r="B1682"/>
  <c r="A1682"/>
  <c r="W1681"/>
  <c r="S1681"/>
  <c r="Q1681"/>
  <c r="P1681"/>
  <c r="M1681"/>
  <c r="K1681"/>
  <c r="H1681"/>
  <c r="C1681"/>
  <c r="G1681"/>
  <c r="E1681"/>
  <c r="B1681"/>
  <c r="A1681"/>
  <c r="W1680"/>
  <c r="S1680"/>
  <c r="Q1680"/>
  <c r="P1680"/>
  <c r="M1680"/>
  <c r="K1680"/>
  <c r="H1680"/>
  <c r="C1680"/>
  <c r="G1680"/>
  <c r="E1680"/>
  <c r="B1680"/>
  <c r="A1680"/>
  <c r="W1679"/>
  <c r="S1679"/>
  <c r="Q1679"/>
  <c r="P1679"/>
  <c r="M1679"/>
  <c r="K1679"/>
  <c r="H1679"/>
  <c r="C1679"/>
  <c r="G1679"/>
  <c r="E1679"/>
  <c r="B1679"/>
  <c r="A1679"/>
  <c r="W1678"/>
  <c r="S1678"/>
  <c r="Q1678"/>
  <c r="P1678"/>
  <c r="M1678"/>
  <c r="K1678"/>
  <c r="H1678"/>
  <c r="C1678"/>
  <c r="G1678"/>
  <c r="E1678"/>
  <c r="B1678"/>
  <c r="A1678"/>
  <c r="W1677"/>
  <c r="S1677"/>
  <c r="Q1677"/>
  <c r="P1677"/>
  <c r="M1677"/>
  <c r="K1677"/>
  <c r="H1677"/>
  <c r="C1677"/>
  <c r="G1677"/>
  <c r="E1677"/>
  <c r="B1677"/>
  <c r="A1677"/>
  <c r="W1676"/>
  <c r="S1676"/>
  <c r="Q1676"/>
  <c r="P1676"/>
  <c r="M1676"/>
  <c r="K1676"/>
  <c r="H1676"/>
  <c r="C1676"/>
  <c r="G1676"/>
  <c r="E1676"/>
  <c r="B1676"/>
  <c r="A1676"/>
  <c r="W1675"/>
  <c r="S1675"/>
  <c r="Q1675"/>
  <c r="P1675"/>
  <c r="M1675"/>
  <c r="K1675"/>
  <c r="H1675"/>
  <c r="C1675"/>
  <c r="G1675"/>
  <c r="E1675"/>
  <c r="B1675"/>
  <c r="A1675"/>
  <c r="W1674"/>
  <c r="S1674"/>
  <c r="R1674"/>
  <c r="Q1674"/>
  <c r="P1674"/>
  <c r="M1674"/>
  <c r="K1674"/>
  <c r="H1674"/>
  <c r="C1674"/>
  <c r="G1674"/>
  <c r="E1674"/>
  <c r="B1674"/>
  <c r="A1674"/>
  <c r="W1673"/>
  <c r="S1673"/>
  <c r="Q1673"/>
  <c r="P1673"/>
  <c r="N1673"/>
  <c r="M1673"/>
  <c r="K1673"/>
  <c r="H1673"/>
  <c r="C1673"/>
  <c r="G1673"/>
  <c r="E1673"/>
  <c r="B1673"/>
  <c r="A1673"/>
  <c r="W1672"/>
  <c r="S1672"/>
  <c r="Q1672"/>
  <c r="P1672"/>
  <c r="M1672"/>
  <c r="K1672"/>
  <c r="H1672"/>
  <c r="C1672"/>
  <c r="G1672"/>
  <c r="E1672"/>
  <c r="B1672"/>
  <c r="A1672"/>
  <c r="W1671"/>
  <c r="S1671"/>
  <c r="Q1671"/>
  <c r="P1671"/>
  <c r="M1671"/>
  <c r="K1671"/>
  <c r="H1671"/>
  <c r="C1671"/>
  <c r="G1671"/>
  <c r="E1671"/>
  <c r="B1671"/>
  <c r="A1671"/>
  <c r="W1670"/>
  <c r="S1670"/>
  <c r="Q1670"/>
  <c r="P1670"/>
  <c r="M1670"/>
  <c r="K1670"/>
  <c r="H1670"/>
  <c r="C1670"/>
  <c r="G1670"/>
  <c r="E1670"/>
  <c r="B1670"/>
  <c r="A1670"/>
  <c r="W1669"/>
  <c r="S1669"/>
  <c r="R1669"/>
  <c r="Q1669"/>
  <c r="P1669"/>
  <c r="M1669"/>
  <c r="K1669"/>
  <c r="H1669"/>
  <c r="C1669"/>
  <c r="G1669"/>
  <c r="E1669"/>
  <c r="B1669"/>
  <c r="A1669"/>
  <c r="W1668"/>
  <c r="S1668"/>
  <c r="Q1668"/>
  <c r="P1668"/>
  <c r="M1668"/>
  <c r="K1668"/>
  <c r="H1668"/>
  <c r="C1668"/>
  <c r="G1668"/>
  <c r="E1668"/>
  <c r="B1668"/>
  <c r="A1668"/>
  <c r="W1667"/>
  <c r="S1667"/>
  <c r="Q1667"/>
  <c r="P1667"/>
  <c r="M1667"/>
  <c r="K1667"/>
  <c r="H1667"/>
  <c r="C1667"/>
  <c r="G1667"/>
  <c r="E1667"/>
  <c r="B1667"/>
  <c r="A1667"/>
  <c r="W1666"/>
  <c r="S1666"/>
  <c r="Q1666"/>
  <c r="P1666"/>
  <c r="M1666"/>
  <c r="K1666"/>
  <c r="H1666"/>
  <c r="C1666"/>
  <c r="G1666"/>
  <c r="E1666"/>
  <c r="B1666"/>
  <c r="A1666"/>
  <c r="W1665"/>
  <c r="S1665"/>
  <c r="Q1665"/>
  <c r="P1665"/>
  <c r="M1665"/>
  <c r="K1665"/>
  <c r="H1665"/>
  <c r="C1665"/>
  <c r="G1665"/>
  <c r="E1665"/>
  <c r="B1665"/>
  <c r="A1665"/>
  <c r="W1664"/>
  <c r="S1664"/>
  <c r="R1664"/>
  <c r="Q1664"/>
  <c r="P1664"/>
  <c r="M1664"/>
  <c r="K1664"/>
  <c r="H1664"/>
  <c r="C1664"/>
  <c r="G1664"/>
  <c r="E1664"/>
  <c r="B1664"/>
  <c r="A1664"/>
  <c r="W1663"/>
  <c r="S1663"/>
  <c r="Q1663"/>
  <c r="P1663"/>
  <c r="M1663"/>
  <c r="K1663"/>
  <c r="H1663"/>
  <c r="C1663"/>
  <c r="G1663"/>
  <c r="E1663"/>
  <c r="B1663"/>
  <c r="A1663"/>
  <c r="W1662"/>
  <c r="S1662"/>
  <c r="Q1662"/>
  <c r="P1662"/>
  <c r="N1662"/>
  <c r="M1662"/>
  <c r="K1662"/>
  <c r="H1662"/>
  <c r="C1662"/>
  <c r="G1662"/>
  <c r="E1662"/>
  <c r="B1662"/>
  <c r="A1662"/>
  <c r="W1661"/>
  <c r="S1661"/>
  <c r="Q1661"/>
  <c r="P1661"/>
  <c r="M1661"/>
  <c r="K1661"/>
  <c r="H1661"/>
  <c r="C1661"/>
  <c r="G1661"/>
  <c r="E1661"/>
  <c r="B1661"/>
  <c r="A1661"/>
  <c r="W1660"/>
  <c r="S1660"/>
  <c r="Q1660"/>
  <c r="P1660"/>
  <c r="M1660"/>
  <c r="K1660"/>
  <c r="H1660"/>
  <c r="C1660"/>
  <c r="G1660"/>
  <c r="E1660"/>
  <c r="B1660"/>
  <c r="A1660"/>
  <c r="W1659"/>
  <c r="S1659"/>
  <c r="Q1659"/>
  <c r="P1659"/>
  <c r="M1659"/>
  <c r="K1659"/>
  <c r="H1659"/>
  <c r="C1659"/>
  <c r="G1659"/>
  <c r="E1659"/>
  <c r="B1659"/>
  <c r="A1659"/>
  <c r="W1658"/>
  <c r="S1658"/>
  <c r="Q1658"/>
  <c r="P1658"/>
  <c r="M1658"/>
  <c r="K1658"/>
  <c r="H1658"/>
  <c r="C1658"/>
  <c r="G1658"/>
  <c r="E1658"/>
  <c r="B1658"/>
  <c r="A1658"/>
  <c r="W1657"/>
  <c r="S1657"/>
  <c r="Q1657"/>
  <c r="P1657"/>
  <c r="M1657"/>
  <c r="K1657"/>
  <c r="H1657"/>
  <c r="C1657"/>
  <c r="G1657"/>
  <c r="E1657"/>
  <c r="B1657"/>
  <c r="A1657"/>
  <c r="W1656"/>
  <c r="S1656"/>
  <c r="Q1656"/>
  <c r="P1656"/>
  <c r="M1656"/>
  <c r="K1656"/>
  <c r="H1656"/>
  <c r="C1656"/>
  <c r="G1656"/>
  <c r="E1656"/>
  <c r="B1656"/>
  <c r="A1656"/>
  <c r="W1655"/>
  <c r="S1655"/>
  <c r="Q1655"/>
  <c r="P1655"/>
  <c r="N1655"/>
  <c r="M1655"/>
  <c r="K1655"/>
  <c r="H1655"/>
  <c r="C1655"/>
  <c r="G1655"/>
  <c r="E1655"/>
  <c r="B1655"/>
  <c r="A1655"/>
  <c r="W1654"/>
  <c r="S1654"/>
  <c r="Q1654"/>
  <c r="P1654"/>
  <c r="M1654"/>
  <c r="K1654"/>
  <c r="H1654"/>
  <c r="C1654"/>
  <c r="G1654"/>
  <c r="E1654"/>
  <c r="B1654"/>
  <c r="A1654"/>
  <c r="W1653"/>
  <c r="S1653"/>
  <c r="Q1653"/>
  <c r="P1653"/>
  <c r="M1653"/>
  <c r="K1653"/>
  <c r="H1653"/>
  <c r="C1653"/>
  <c r="G1653"/>
  <c r="E1653"/>
  <c r="B1653"/>
  <c r="A1653"/>
  <c r="W1652"/>
  <c r="S1652"/>
  <c r="Q1652"/>
  <c r="P1652"/>
  <c r="M1652"/>
  <c r="K1652"/>
  <c r="H1652"/>
  <c r="C1652"/>
  <c r="G1652"/>
  <c r="E1652"/>
  <c r="B1652"/>
  <c r="A1652"/>
  <c r="W1651"/>
  <c r="S1651"/>
  <c r="Q1651"/>
  <c r="P1651"/>
  <c r="M1651"/>
  <c r="K1651"/>
  <c r="H1651"/>
  <c r="C1651"/>
  <c r="G1651"/>
  <c r="E1651"/>
  <c r="B1651"/>
  <c r="A1651"/>
  <c r="W1650"/>
  <c r="S1650"/>
  <c r="Q1650"/>
  <c r="P1650"/>
  <c r="M1650"/>
  <c r="K1650"/>
  <c r="H1650"/>
  <c r="C1650"/>
  <c r="G1650"/>
  <c r="E1650"/>
  <c r="B1650"/>
  <c r="A1650"/>
  <c r="W1649"/>
  <c r="S1649"/>
  <c r="Q1649"/>
  <c r="P1649"/>
  <c r="M1649"/>
  <c r="K1649"/>
  <c r="H1649"/>
  <c r="C1649"/>
  <c r="G1649"/>
  <c r="E1649"/>
  <c r="B1649"/>
  <c r="A1649"/>
  <c r="W1648"/>
  <c r="S1648"/>
  <c r="Q1648"/>
  <c r="P1648"/>
  <c r="M1648"/>
  <c r="K1648"/>
  <c r="H1648"/>
  <c r="C1648"/>
  <c r="G1648"/>
  <c r="E1648"/>
  <c r="B1648"/>
  <c r="A1648"/>
  <c r="W1647"/>
  <c r="S1647"/>
  <c r="Q1647"/>
  <c r="P1647"/>
  <c r="N1647"/>
  <c r="M1647"/>
  <c r="K1647"/>
  <c r="H1647"/>
  <c r="C1647"/>
  <c r="G1647"/>
  <c r="E1647"/>
  <c r="B1647"/>
  <c r="A1647"/>
  <c r="W1646"/>
  <c r="S1646"/>
  <c r="Q1646"/>
  <c r="P1646"/>
  <c r="M1646"/>
  <c r="K1646"/>
  <c r="H1646"/>
  <c r="C1646"/>
  <c r="G1646"/>
  <c r="E1646"/>
  <c r="B1646"/>
  <c r="A1646"/>
  <c r="W1645"/>
  <c r="S1645"/>
  <c r="Q1645"/>
  <c r="P1645"/>
  <c r="M1645"/>
  <c r="K1645"/>
  <c r="H1645"/>
  <c r="C1645"/>
  <c r="G1645"/>
  <c r="E1645"/>
  <c r="B1645"/>
  <c r="A1645"/>
  <c r="W1644"/>
  <c r="S1644"/>
  <c r="Q1644"/>
  <c r="P1644"/>
  <c r="M1644"/>
  <c r="K1644"/>
  <c r="H1644"/>
  <c r="C1644"/>
  <c r="G1644"/>
  <c r="E1644"/>
  <c r="B1644"/>
  <c r="A1644"/>
  <c r="W1643"/>
  <c r="S1643"/>
  <c r="Q1643"/>
  <c r="P1643"/>
  <c r="M1643"/>
  <c r="K1643"/>
  <c r="H1643"/>
  <c r="C1643"/>
  <c r="G1643"/>
  <c r="E1643"/>
  <c r="B1643"/>
  <c r="A1643"/>
  <c r="W1642"/>
  <c r="S1642"/>
  <c r="Q1642"/>
  <c r="P1642"/>
  <c r="M1642"/>
  <c r="K1642"/>
  <c r="H1642"/>
  <c r="C1642"/>
  <c r="G1642"/>
  <c r="E1642"/>
  <c r="B1642"/>
  <c r="A1642"/>
  <c r="W1641"/>
  <c r="S1641"/>
  <c r="Q1641"/>
  <c r="P1641"/>
  <c r="M1641"/>
  <c r="K1641"/>
  <c r="H1641"/>
  <c r="C1641"/>
  <c r="G1641"/>
  <c r="E1641"/>
  <c r="B1641"/>
  <c r="A1641"/>
  <c r="W1640"/>
  <c r="S1640"/>
  <c r="Q1640"/>
  <c r="P1640"/>
  <c r="M1640"/>
  <c r="K1640"/>
  <c r="H1640"/>
  <c r="C1640"/>
  <c r="G1640"/>
  <c r="E1640"/>
  <c r="B1640"/>
  <c r="A1640"/>
  <c r="W1639"/>
  <c r="S1639"/>
  <c r="Q1639"/>
  <c r="P1639"/>
  <c r="M1639"/>
  <c r="K1639"/>
  <c r="H1639"/>
  <c r="C1639"/>
  <c r="G1639"/>
  <c r="E1639"/>
  <c r="B1639"/>
  <c r="A1639"/>
  <c r="W1638"/>
  <c r="S1638"/>
  <c r="Q1638"/>
  <c r="P1638"/>
  <c r="M1638"/>
  <c r="K1638"/>
  <c r="H1638"/>
  <c r="C1638"/>
  <c r="G1638"/>
  <c r="E1638"/>
  <c r="B1638"/>
  <c r="A1638"/>
  <c r="W1637"/>
  <c r="S1637"/>
  <c r="Q1637"/>
  <c r="P1637"/>
  <c r="M1637"/>
  <c r="K1637"/>
  <c r="H1637"/>
  <c r="C1637"/>
  <c r="G1637"/>
  <c r="E1637"/>
  <c r="B1637"/>
  <c r="A1637"/>
  <c r="W1636"/>
  <c r="S1636"/>
  <c r="Q1636"/>
  <c r="P1636"/>
  <c r="M1636"/>
  <c r="K1636"/>
  <c r="H1636"/>
  <c r="C1636"/>
  <c r="G1636"/>
  <c r="E1636"/>
  <c r="B1636"/>
  <c r="A1636"/>
  <c r="W1635"/>
  <c r="S1635"/>
  <c r="Q1635"/>
  <c r="P1635"/>
  <c r="M1635"/>
  <c r="K1635"/>
  <c r="H1635"/>
  <c r="C1635"/>
  <c r="G1635"/>
  <c r="E1635"/>
  <c r="B1635"/>
  <c r="A1635"/>
  <c r="W1634"/>
  <c r="S1634"/>
  <c r="Q1634"/>
  <c r="P1634"/>
  <c r="M1634"/>
  <c r="K1634"/>
  <c r="H1634"/>
  <c r="C1634"/>
  <c r="G1634"/>
  <c r="E1634"/>
  <c r="B1634"/>
  <c r="A1634"/>
  <c r="W1633"/>
  <c r="S1633"/>
  <c r="Q1633"/>
  <c r="P1633"/>
  <c r="N1633"/>
  <c r="M1633"/>
  <c r="K1633"/>
  <c r="H1633"/>
  <c r="C1633"/>
  <c r="G1633"/>
  <c r="E1633"/>
  <c r="B1633"/>
  <c r="A1633"/>
  <c r="W1632"/>
  <c r="S1632"/>
  <c r="Q1632"/>
  <c r="P1632"/>
  <c r="M1632"/>
  <c r="K1632"/>
  <c r="H1632"/>
  <c r="C1632"/>
  <c r="G1632"/>
  <c r="E1632"/>
  <c r="B1632"/>
  <c r="A1632"/>
  <c r="W1631"/>
  <c r="S1631"/>
  <c r="Q1631"/>
  <c r="P1631"/>
  <c r="M1631"/>
  <c r="K1631"/>
  <c r="H1631"/>
  <c r="C1631"/>
  <c r="G1631"/>
  <c r="E1631"/>
  <c r="B1631"/>
  <c r="A1631"/>
  <c r="W1630"/>
  <c r="S1630"/>
  <c r="Q1630"/>
  <c r="P1630"/>
  <c r="M1630"/>
  <c r="K1630"/>
  <c r="H1630"/>
  <c r="C1630"/>
  <c r="G1630"/>
  <c r="E1630"/>
  <c r="B1630"/>
  <c r="A1630"/>
  <c r="W1629"/>
  <c r="S1629"/>
  <c r="Q1629"/>
  <c r="P1629"/>
  <c r="M1629"/>
  <c r="K1629"/>
  <c r="H1629"/>
  <c r="C1629"/>
  <c r="G1629"/>
  <c r="E1629"/>
  <c r="B1629"/>
  <c r="A1629"/>
  <c r="W1628"/>
  <c r="S1628"/>
  <c r="Q1628"/>
  <c r="P1628"/>
  <c r="M1628"/>
  <c r="K1628"/>
  <c r="H1628"/>
  <c r="C1628"/>
  <c r="G1628"/>
  <c r="E1628"/>
  <c r="B1628"/>
  <c r="A1628"/>
  <c r="W1627"/>
  <c r="S1627"/>
  <c r="Q1627"/>
  <c r="P1627"/>
  <c r="M1627"/>
  <c r="K1627"/>
  <c r="H1627"/>
  <c r="C1627"/>
  <c r="G1627"/>
  <c r="E1627"/>
  <c r="B1627"/>
  <c r="A1627"/>
  <c r="W1626"/>
  <c r="S1626"/>
  <c r="Q1626"/>
  <c r="P1626"/>
  <c r="M1626"/>
  <c r="K1626"/>
  <c r="H1626"/>
  <c r="C1626"/>
  <c r="G1626"/>
  <c r="E1626"/>
  <c r="B1626"/>
  <c r="A1626"/>
  <c r="W1625"/>
  <c r="S1625"/>
  <c r="Q1625"/>
  <c r="P1625"/>
  <c r="M1625"/>
  <c r="K1625"/>
  <c r="H1625"/>
  <c r="C1625"/>
  <c r="G1625"/>
  <c r="E1625"/>
  <c r="B1625"/>
  <c r="A1625"/>
  <c r="W1624"/>
  <c r="S1624"/>
  <c r="Q1624"/>
  <c r="P1624"/>
  <c r="M1624"/>
  <c r="K1624"/>
  <c r="H1624"/>
  <c r="C1624"/>
  <c r="G1624"/>
  <c r="E1624"/>
  <c r="B1624"/>
  <c r="A1624"/>
  <c r="W1623"/>
  <c r="S1623"/>
  <c r="Q1623"/>
  <c r="P1623"/>
  <c r="M1623"/>
  <c r="K1623"/>
  <c r="H1623"/>
  <c r="C1623"/>
  <c r="G1623"/>
  <c r="E1623"/>
  <c r="B1623"/>
  <c r="A1623"/>
  <c r="W1622"/>
  <c r="S1622"/>
  <c r="Q1622"/>
  <c r="P1622"/>
  <c r="M1622"/>
  <c r="K1622"/>
  <c r="H1622"/>
  <c r="C1622"/>
  <c r="G1622"/>
  <c r="E1622"/>
  <c r="B1622"/>
  <c r="A1622"/>
  <c r="W1621"/>
  <c r="S1621"/>
  <c r="Q1621"/>
  <c r="P1621"/>
  <c r="M1621"/>
  <c r="K1621"/>
  <c r="H1621"/>
  <c r="C1621"/>
  <c r="G1621"/>
  <c r="E1621"/>
  <c r="B1621"/>
  <c r="A1621"/>
  <c r="W1620"/>
  <c r="S1620"/>
  <c r="Q1620"/>
  <c r="P1620"/>
  <c r="M1620"/>
  <c r="K1620"/>
  <c r="H1620"/>
  <c r="C1620"/>
  <c r="G1620"/>
  <c r="E1620"/>
  <c r="B1620"/>
  <c r="A1620"/>
  <c r="W1619"/>
  <c r="S1619"/>
  <c r="Q1619"/>
  <c r="P1619"/>
  <c r="M1619"/>
  <c r="K1619"/>
  <c r="H1619"/>
  <c r="C1619"/>
  <c r="G1619"/>
  <c r="E1619"/>
  <c r="B1619"/>
  <c r="A1619"/>
  <c r="W1618"/>
  <c r="S1618"/>
  <c r="Q1618"/>
  <c r="P1618"/>
  <c r="M1618"/>
  <c r="K1618"/>
  <c r="H1618"/>
  <c r="C1618"/>
  <c r="G1618"/>
  <c r="E1618"/>
  <c r="B1618"/>
  <c r="A1618"/>
  <c r="W1617"/>
  <c r="S1617"/>
  <c r="Q1617"/>
  <c r="P1617"/>
  <c r="M1617"/>
  <c r="K1617"/>
  <c r="H1617"/>
  <c r="C1617"/>
  <c r="G1617"/>
  <c r="E1617"/>
  <c r="B1617"/>
  <c r="A1617"/>
  <c r="W1616"/>
  <c r="S1616"/>
  <c r="Q1616"/>
  <c r="P1616"/>
  <c r="N1616"/>
  <c r="M1616"/>
  <c r="K1616"/>
  <c r="H1616"/>
  <c r="C1616"/>
  <c r="G1616"/>
  <c r="E1616"/>
  <c r="B1616"/>
  <c r="A1616"/>
  <c r="W1615"/>
  <c r="S1615"/>
  <c r="Q1615"/>
  <c r="P1615"/>
  <c r="N1615"/>
  <c r="M1615"/>
  <c r="K1615"/>
  <c r="H1615"/>
  <c r="C1615"/>
  <c r="G1615"/>
  <c r="E1615"/>
  <c r="B1615"/>
  <c r="A1615"/>
  <c r="W1614"/>
  <c r="S1614"/>
  <c r="Q1614"/>
  <c r="P1614"/>
  <c r="N1614"/>
  <c r="M1614"/>
  <c r="K1614"/>
  <c r="H1614"/>
  <c r="C1614"/>
  <c r="G1614"/>
  <c r="E1614"/>
  <c r="B1614"/>
  <c r="A1614"/>
  <c r="W1613"/>
  <c r="S1613"/>
  <c r="Q1613"/>
  <c r="P1613"/>
  <c r="M1613"/>
  <c r="K1613"/>
  <c r="H1613"/>
  <c r="C1613"/>
  <c r="G1613"/>
  <c r="E1613"/>
  <c r="B1613"/>
  <c r="A1613"/>
  <c r="W1612"/>
  <c r="S1612"/>
  <c r="Q1612"/>
  <c r="P1612"/>
  <c r="M1612"/>
  <c r="K1612"/>
  <c r="H1612"/>
  <c r="C1612"/>
  <c r="G1612"/>
  <c r="E1612"/>
  <c r="B1612"/>
  <c r="A1612"/>
  <c r="W1611"/>
  <c r="S1611"/>
  <c r="Q1611"/>
  <c r="P1611"/>
  <c r="M1611"/>
  <c r="K1611"/>
  <c r="H1611"/>
  <c r="C1611"/>
  <c r="G1611"/>
  <c r="E1611"/>
  <c r="B1611"/>
  <c r="A1611"/>
  <c r="W1610"/>
  <c r="S1610"/>
  <c r="Q1610"/>
  <c r="P1610"/>
  <c r="M1610"/>
  <c r="K1610"/>
  <c r="H1610"/>
  <c r="C1610"/>
  <c r="G1610"/>
  <c r="E1610"/>
  <c r="B1610"/>
  <c r="A1610"/>
  <c r="W1609"/>
  <c r="S1609"/>
  <c r="Q1609"/>
  <c r="P1609"/>
  <c r="M1609"/>
  <c r="K1609"/>
  <c r="H1609"/>
  <c r="C1609"/>
  <c r="G1609"/>
  <c r="E1609"/>
  <c r="B1609"/>
  <c r="A1609"/>
  <c r="W1608"/>
  <c r="S1608"/>
  <c r="Q1608"/>
  <c r="P1608"/>
  <c r="M1608"/>
  <c r="K1608"/>
  <c r="H1608"/>
  <c r="C1608"/>
  <c r="G1608"/>
  <c r="E1608"/>
  <c r="B1608"/>
  <c r="A1608"/>
  <c r="W1607"/>
  <c r="S1607"/>
  <c r="Q1607"/>
  <c r="P1607"/>
  <c r="M1607"/>
  <c r="K1607"/>
  <c r="H1607"/>
  <c r="C1607"/>
  <c r="G1607"/>
  <c r="E1607"/>
  <c r="B1607"/>
  <c r="A1607"/>
  <c r="W1606"/>
  <c r="S1606"/>
  <c r="Q1606"/>
  <c r="P1606"/>
  <c r="M1606"/>
  <c r="K1606"/>
  <c r="H1606"/>
  <c r="C1606"/>
  <c r="G1606"/>
  <c r="E1606"/>
  <c r="B1606"/>
  <c r="A1606"/>
  <c r="W1605"/>
  <c r="S1605"/>
  <c r="Q1605"/>
  <c r="P1605"/>
  <c r="M1605"/>
  <c r="K1605"/>
  <c r="H1605"/>
  <c r="C1605"/>
  <c r="G1605"/>
  <c r="E1605"/>
  <c r="B1605"/>
  <c r="A1605"/>
  <c r="W1604"/>
  <c r="S1604"/>
  <c r="Q1604"/>
  <c r="P1604"/>
  <c r="M1604"/>
  <c r="K1604"/>
  <c r="H1604"/>
  <c r="C1604"/>
  <c r="G1604"/>
  <c r="E1604"/>
  <c r="B1604"/>
  <c r="A1604"/>
  <c r="W1603"/>
  <c r="S1603"/>
  <c r="Q1603"/>
  <c r="P1603"/>
  <c r="M1603"/>
  <c r="K1603"/>
  <c r="H1603"/>
  <c r="C1603"/>
  <c r="G1603"/>
  <c r="E1603"/>
  <c r="B1603"/>
  <c r="A1603"/>
  <c r="W1602"/>
  <c r="S1602"/>
  <c r="Q1602"/>
  <c r="P1602"/>
  <c r="M1602"/>
  <c r="K1602"/>
  <c r="H1602"/>
  <c r="C1602"/>
  <c r="G1602"/>
  <c r="E1602"/>
  <c r="B1602"/>
  <c r="A1602"/>
  <c r="W1601"/>
  <c r="S1601"/>
  <c r="Q1601"/>
  <c r="P1601"/>
  <c r="M1601"/>
  <c r="K1601"/>
  <c r="H1601"/>
  <c r="C1601"/>
  <c r="G1601"/>
  <c r="E1601"/>
  <c r="B1601"/>
  <c r="A1601"/>
  <c r="W1600"/>
  <c r="S1600"/>
  <c r="Q1600"/>
  <c r="P1600"/>
  <c r="M1600"/>
  <c r="K1600"/>
  <c r="H1600"/>
  <c r="C1600"/>
  <c r="G1600"/>
  <c r="E1600"/>
  <c r="B1600"/>
  <c r="A1600"/>
  <c r="W1599"/>
  <c r="S1599"/>
  <c r="Q1599"/>
  <c r="P1599"/>
  <c r="M1599"/>
  <c r="K1599"/>
  <c r="H1599"/>
  <c r="C1599"/>
  <c r="G1599"/>
  <c r="E1599"/>
  <c r="B1599"/>
  <c r="A1599"/>
  <c r="W1598"/>
  <c r="S1598"/>
  <c r="Q1598"/>
  <c r="P1598"/>
  <c r="M1598"/>
  <c r="K1598"/>
  <c r="H1598"/>
  <c r="C1598"/>
  <c r="G1598"/>
  <c r="E1598"/>
  <c r="B1598"/>
  <c r="A1598"/>
  <c r="W1597"/>
  <c r="S1597"/>
  <c r="Q1597"/>
  <c r="P1597"/>
  <c r="M1597"/>
  <c r="K1597"/>
  <c r="H1597"/>
  <c r="C1597"/>
  <c r="G1597"/>
  <c r="E1597"/>
  <c r="B1597"/>
  <c r="A1597"/>
  <c r="W1596"/>
  <c r="S1596"/>
  <c r="Q1596"/>
  <c r="P1596"/>
  <c r="M1596"/>
  <c r="K1596"/>
  <c r="H1596"/>
  <c r="C1596"/>
  <c r="G1596"/>
  <c r="E1596"/>
  <c r="B1596"/>
  <c r="A1596"/>
  <c r="W1595"/>
  <c r="S1595"/>
  <c r="Q1595"/>
  <c r="P1595"/>
  <c r="M1595"/>
  <c r="K1595"/>
  <c r="H1595"/>
  <c r="C1595"/>
  <c r="G1595"/>
  <c r="E1595"/>
  <c r="B1595"/>
  <c r="A1595"/>
  <c r="W1594"/>
  <c r="S1594"/>
  <c r="Q1594"/>
  <c r="P1594"/>
  <c r="M1594"/>
  <c r="K1594"/>
  <c r="H1594"/>
  <c r="C1594"/>
  <c r="G1594"/>
  <c r="E1594"/>
  <c r="B1594"/>
  <c r="A1594"/>
  <c r="W1593"/>
  <c r="S1593"/>
  <c r="Q1593"/>
  <c r="P1593"/>
  <c r="M1593"/>
  <c r="K1593"/>
  <c r="H1593"/>
  <c r="C1593"/>
  <c r="G1593"/>
  <c r="E1593"/>
  <c r="B1593"/>
  <c r="A1593"/>
  <c r="W1592"/>
  <c r="S1592"/>
  <c r="R1592"/>
  <c r="Q1592"/>
  <c r="P1592"/>
  <c r="N1592"/>
  <c r="M1592"/>
  <c r="K1592"/>
  <c r="H1592"/>
  <c r="C1592"/>
  <c r="G1592"/>
  <c r="E1592"/>
  <c r="B1592"/>
  <c r="A1592"/>
  <c r="W1591"/>
  <c r="S1591"/>
  <c r="Q1591"/>
  <c r="P1591"/>
  <c r="M1591"/>
  <c r="K1591"/>
  <c r="H1591"/>
  <c r="C1591"/>
  <c r="G1591"/>
  <c r="E1591"/>
  <c r="B1591"/>
  <c r="A1591"/>
  <c r="W1590"/>
  <c r="S1590"/>
  <c r="Q1590"/>
  <c r="P1590"/>
  <c r="M1590"/>
  <c r="K1590"/>
  <c r="H1590"/>
  <c r="C1590"/>
  <c r="G1590"/>
  <c r="E1590"/>
  <c r="B1590"/>
  <c r="A1590"/>
  <c r="W1589"/>
  <c r="S1589"/>
  <c r="Q1589"/>
  <c r="P1589"/>
  <c r="M1589"/>
  <c r="K1589"/>
  <c r="H1589"/>
  <c r="C1589"/>
  <c r="G1589"/>
  <c r="E1589"/>
  <c r="B1589"/>
  <c r="A1589"/>
  <c r="W1588"/>
  <c r="S1588"/>
  <c r="Q1588"/>
  <c r="P1588"/>
  <c r="M1588"/>
  <c r="K1588"/>
  <c r="H1588"/>
  <c r="C1588"/>
  <c r="G1588"/>
  <c r="E1588"/>
  <c r="B1588"/>
  <c r="A1588"/>
  <c r="W1587"/>
  <c r="S1587"/>
  <c r="Q1587"/>
  <c r="P1587"/>
  <c r="M1587"/>
  <c r="K1587"/>
  <c r="H1587"/>
  <c r="C1587"/>
  <c r="G1587"/>
  <c r="E1587"/>
  <c r="B1587"/>
  <c r="A1587"/>
  <c r="W1586"/>
  <c r="S1586"/>
  <c r="Q1586"/>
  <c r="P1586"/>
  <c r="M1586"/>
  <c r="K1586"/>
  <c r="H1586"/>
  <c r="C1586"/>
  <c r="G1586"/>
  <c r="E1586"/>
  <c r="B1586"/>
  <c r="A1586"/>
  <c r="W1585"/>
  <c r="S1585"/>
  <c r="Q1585"/>
  <c r="P1585"/>
  <c r="M1585"/>
  <c r="K1585"/>
  <c r="H1585"/>
  <c r="C1585"/>
  <c r="G1585"/>
  <c r="E1585"/>
  <c r="B1585"/>
  <c r="A1585"/>
  <c r="W1584"/>
  <c r="S1584"/>
  <c r="Q1584"/>
  <c r="P1584"/>
  <c r="M1584"/>
  <c r="K1584"/>
  <c r="H1584"/>
  <c r="C1584"/>
  <c r="G1584"/>
  <c r="E1584"/>
  <c r="B1584"/>
  <c r="A1584"/>
  <c r="W1583"/>
  <c r="S1583"/>
  <c r="Q1583"/>
  <c r="P1583"/>
  <c r="M1583"/>
  <c r="K1583"/>
  <c r="H1583"/>
  <c r="C1583"/>
  <c r="G1583"/>
  <c r="E1583"/>
  <c r="B1583"/>
  <c r="A1583"/>
  <c r="W1582"/>
  <c r="S1582"/>
  <c r="R1582"/>
  <c r="Q1582"/>
  <c r="P1582"/>
  <c r="M1582"/>
  <c r="K1582"/>
  <c r="H1582"/>
  <c r="C1582"/>
  <c r="G1582"/>
  <c r="E1582"/>
  <c r="B1582"/>
  <c r="A1582"/>
  <c r="W1581"/>
  <c r="S1581"/>
  <c r="Q1581"/>
  <c r="P1581"/>
  <c r="M1581"/>
  <c r="K1581"/>
  <c r="H1581"/>
  <c r="C1581"/>
  <c r="G1581"/>
  <c r="E1581"/>
  <c r="B1581"/>
  <c r="A1581"/>
  <c r="W1580"/>
  <c r="S1580"/>
  <c r="Q1580"/>
  <c r="P1580"/>
  <c r="M1580"/>
  <c r="K1580"/>
  <c r="H1580"/>
  <c r="C1580"/>
  <c r="G1580"/>
  <c r="E1580"/>
  <c r="B1580"/>
  <c r="A1580"/>
  <c r="W1579"/>
  <c r="S1579"/>
  <c r="Q1579"/>
  <c r="P1579"/>
  <c r="M1579"/>
  <c r="K1579"/>
  <c r="H1579"/>
  <c r="C1579"/>
  <c r="G1579"/>
  <c r="E1579"/>
  <c r="B1579"/>
  <c r="A1579"/>
  <c r="W1578"/>
  <c r="S1578"/>
  <c r="Q1578"/>
  <c r="P1578"/>
  <c r="M1578"/>
  <c r="K1578"/>
  <c r="H1578"/>
  <c r="C1578"/>
  <c r="G1578"/>
  <c r="E1578"/>
  <c r="B1578"/>
  <c r="A1578"/>
  <c r="W1577"/>
  <c r="S1577"/>
  <c r="Q1577"/>
  <c r="P1577"/>
  <c r="M1577"/>
  <c r="K1577"/>
  <c r="H1577"/>
  <c r="C1577"/>
  <c r="G1577"/>
  <c r="E1577"/>
  <c r="B1577"/>
  <c r="A1577"/>
  <c r="W1576"/>
  <c r="S1576"/>
  <c r="Q1576"/>
  <c r="P1576"/>
  <c r="M1576"/>
  <c r="K1576"/>
  <c r="H1576"/>
  <c r="C1576"/>
  <c r="G1576"/>
  <c r="E1576"/>
  <c r="B1576"/>
  <c r="A1576"/>
  <c r="W1575"/>
  <c r="S1575"/>
  <c r="Q1575"/>
  <c r="P1575"/>
  <c r="M1575"/>
  <c r="K1575"/>
  <c r="H1575"/>
  <c r="C1575"/>
  <c r="G1575"/>
  <c r="E1575"/>
  <c r="B1575"/>
  <c r="A1575"/>
  <c r="W1574"/>
  <c r="S1574"/>
  <c r="Q1574"/>
  <c r="P1574"/>
  <c r="M1574"/>
  <c r="K1574"/>
  <c r="H1574"/>
  <c r="C1574"/>
  <c r="G1574"/>
  <c r="E1574"/>
  <c r="B1574"/>
  <c r="A1574"/>
  <c r="W1573"/>
  <c r="S1573"/>
  <c r="Q1573"/>
  <c r="P1573"/>
  <c r="M1573"/>
  <c r="K1573"/>
  <c r="H1573"/>
  <c r="C1573"/>
  <c r="G1573"/>
  <c r="E1573"/>
  <c r="B1573"/>
  <c r="A1573"/>
  <c r="W1572"/>
  <c r="S1572"/>
  <c r="Q1572"/>
  <c r="P1572"/>
  <c r="M1572"/>
  <c r="K1572"/>
  <c r="H1572"/>
  <c r="C1572"/>
  <c r="G1572"/>
  <c r="E1572"/>
  <c r="B1572"/>
  <c r="A1572"/>
  <c r="W1571"/>
  <c r="S1571"/>
  <c r="R1571"/>
  <c r="Q1571"/>
  <c r="P1571"/>
  <c r="M1571"/>
  <c r="K1571"/>
  <c r="H1571"/>
  <c r="C1571"/>
  <c r="G1571"/>
  <c r="E1571"/>
  <c r="B1571"/>
  <c r="A1571"/>
  <c r="W1570"/>
  <c r="S1570"/>
  <c r="Q1570"/>
  <c r="P1570"/>
  <c r="M1570"/>
  <c r="K1570"/>
  <c r="H1570"/>
  <c r="C1570"/>
  <c r="G1570"/>
  <c r="E1570"/>
  <c r="B1570"/>
  <c r="A1570"/>
  <c r="W1569"/>
  <c r="S1569"/>
  <c r="Q1569"/>
  <c r="P1569"/>
  <c r="M1569"/>
  <c r="K1569"/>
  <c r="H1569"/>
  <c r="C1569"/>
  <c r="G1569"/>
  <c r="E1569"/>
  <c r="B1569"/>
  <c r="A1569"/>
  <c r="W1568"/>
  <c r="S1568"/>
  <c r="Q1568"/>
  <c r="P1568"/>
  <c r="M1568"/>
  <c r="K1568"/>
  <c r="H1568"/>
  <c r="C1568"/>
  <c r="G1568"/>
  <c r="E1568"/>
  <c r="B1568"/>
  <c r="A1568"/>
  <c r="W1567"/>
  <c r="S1567"/>
  <c r="Q1567"/>
  <c r="P1567"/>
  <c r="M1567"/>
  <c r="K1567"/>
  <c r="H1567"/>
  <c r="C1567"/>
  <c r="G1567"/>
  <c r="E1567"/>
  <c r="B1567"/>
  <c r="A1567"/>
  <c r="W1566"/>
  <c r="S1566"/>
  <c r="Q1566"/>
  <c r="P1566"/>
  <c r="M1566"/>
  <c r="K1566"/>
  <c r="H1566"/>
  <c r="C1566"/>
  <c r="G1566"/>
  <c r="E1566"/>
  <c r="B1566"/>
  <c r="A1566"/>
  <c r="W1565"/>
  <c r="S1565"/>
  <c r="Q1565"/>
  <c r="P1565"/>
  <c r="M1565"/>
  <c r="K1565"/>
  <c r="H1565"/>
  <c r="C1565"/>
  <c r="G1565"/>
  <c r="E1565"/>
  <c r="B1565"/>
  <c r="A1565"/>
  <c r="W1564"/>
  <c r="S1564"/>
  <c r="Q1564"/>
  <c r="P1564"/>
  <c r="M1564"/>
  <c r="K1564"/>
  <c r="H1564"/>
  <c r="C1564"/>
  <c r="G1564"/>
  <c r="E1564"/>
  <c r="B1564"/>
  <c r="A1564"/>
  <c r="W1563"/>
  <c r="S1563"/>
  <c r="Q1563"/>
  <c r="P1563"/>
  <c r="M1563"/>
  <c r="K1563"/>
  <c r="H1563"/>
  <c r="C1563"/>
  <c r="G1563"/>
  <c r="E1563"/>
  <c r="B1563"/>
  <c r="A1563"/>
  <c r="W1562"/>
  <c r="S1562"/>
  <c r="Q1562"/>
  <c r="P1562"/>
  <c r="N1562"/>
  <c r="M1562"/>
  <c r="K1562"/>
  <c r="H1562"/>
  <c r="C1562"/>
  <c r="G1562"/>
  <c r="E1562"/>
  <c r="B1562"/>
  <c r="A1562"/>
  <c r="W1561"/>
  <c r="S1561"/>
  <c r="Q1561"/>
  <c r="P1561"/>
  <c r="M1561"/>
  <c r="K1561"/>
  <c r="H1561"/>
  <c r="C1561"/>
  <c r="G1561"/>
  <c r="E1561"/>
  <c r="B1561"/>
  <c r="A1561"/>
  <c r="W1560"/>
  <c r="S1560"/>
  <c r="Q1560"/>
  <c r="P1560"/>
  <c r="N1560"/>
  <c r="M1560"/>
  <c r="K1560"/>
  <c r="H1560"/>
  <c r="C1560"/>
  <c r="G1560"/>
  <c r="E1560"/>
  <c r="B1560"/>
  <c r="A1560"/>
  <c r="W1559"/>
  <c r="S1559"/>
  <c r="Q1559"/>
  <c r="P1559"/>
  <c r="M1559"/>
  <c r="K1559"/>
  <c r="H1559"/>
  <c r="C1559"/>
  <c r="G1559"/>
  <c r="E1559"/>
  <c r="B1559"/>
  <c r="A1559"/>
  <c r="W1558"/>
  <c r="S1558"/>
  <c r="Q1558"/>
  <c r="P1558"/>
  <c r="M1558"/>
  <c r="K1558"/>
  <c r="H1558"/>
  <c r="C1558"/>
  <c r="G1558"/>
  <c r="E1558"/>
  <c r="B1558"/>
  <c r="A1558"/>
  <c r="W1557"/>
  <c r="S1557"/>
  <c r="Q1557"/>
  <c r="P1557"/>
  <c r="M1557"/>
  <c r="K1557"/>
  <c r="H1557"/>
  <c r="C1557"/>
  <c r="G1557"/>
  <c r="E1557"/>
  <c r="B1557"/>
  <c r="A1557"/>
  <c r="W1556"/>
  <c r="S1556"/>
  <c r="Q1556"/>
  <c r="P1556"/>
  <c r="M1556"/>
  <c r="K1556"/>
  <c r="H1556"/>
  <c r="C1556"/>
  <c r="G1556"/>
  <c r="E1556"/>
  <c r="B1556"/>
  <c r="A1556"/>
  <c r="W1555"/>
  <c r="S1555"/>
  <c r="Q1555"/>
  <c r="P1555"/>
  <c r="M1555"/>
  <c r="K1555"/>
  <c r="H1555"/>
  <c r="C1555"/>
  <c r="G1555"/>
  <c r="E1555"/>
  <c r="B1555"/>
  <c r="A1555"/>
  <c r="W1554"/>
  <c r="S1554"/>
  <c r="Q1554"/>
  <c r="P1554"/>
  <c r="M1554"/>
  <c r="K1554"/>
  <c r="H1554"/>
  <c r="C1554"/>
  <c r="G1554"/>
  <c r="E1554"/>
  <c r="B1554"/>
  <c r="A1554"/>
  <c r="W1553"/>
  <c r="S1553"/>
  <c r="Q1553"/>
  <c r="P1553"/>
  <c r="N1553"/>
  <c r="M1553"/>
  <c r="K1553"/>
  <c r="H1553"/>
  <c r="C1553"/>
  <c r="G1553"/>
  <c r="E1553"/>
  <c r="B1553"/>
  <c r="A1553"/>
  <c r="W1552"/>
  <c r="S1552"/>
  <c r="Q1552"/>
  <c r="P1552"/>
  <c r="M1552"/>
  <c r="K1552"/>
  <c r="H1552"/>
  <c r="C1552"/>
  <c r="G1552"/>
  <c r="E1552"/>
  <c r="B1552"/>
  <c r="A1552"/>
  <c r="W1551"/>
  <c r="S1551"/>
  <c r="Q1551"/>
  <c r="P1551"/>
  <c r="M1551"/>
  <c r="K1551"/>
  <c r="H1551"/>
  <c r="C1551"/>
  <c r="G1551"/>
  <c r="E1551"/>
  <c r="B1551"/>
  <c r="A1551"/>
  <c r="W1550"/>
  <c r="S1550"/>
  <c r="Q1550"/>
  <c r="P1550"/>
  <c r="N1550"/>
  <c r="M1550"/>
  <c r="K1550"/>
  <c r="H1550"/>
  <c r="C1550"/>
  <c r="G1550"/>
  <c r="E1550"/>
  <c r="B1550"/>
  <c r="A1550"/>
  <c r="W1549"/>
  <c r="S1549"/>
  <c r="R1549"/>
  <c r="Q1549"/>
  <c r="P1549"/>
  <c r="M1549"/>
  <c r="K1549"/>
  <c r="H1549"/>
  <c r="C1549"/>
  <c r="G1549"/>
  <c r="E1549"/>
  <c r="B1549"/>
  <c r="A1549"/>
  <c r="W1548"/>
  <c r="S1548"/>
  <c r="Q1548"/>
  <c r="P1548"/>
  <c r="M1548"/>
  <c r="K1548"/>
  <c r="H1548"/>
  <c r="C1548"/>
  <c r="G1548"/>
  <c r="E1548"/>
  <c r="B1548"/>
  <c r="A1548"/>
  <c r="W1547"/>
  <c r="S1547"/>
  <c r="Q1547"/>
  <c r="P1547"/>
  <c r="M1547"/>
  <c r="K1547"/>
  <c r="H1547"/>
  <c r="C1547"/>
  <c r="G1547"/>
  <c r="E1547"/>
  <c r="B1547"/>
  <c r="A1547"/>
  <c r="W1546"/>
  <c r="S1546"/>
  <c r="Q1546"/>
  <c r="P1546"/>
  <c r="M1546"/>
  <c r="K1546"/>
  <c r="H1546"/>
  <c r="C1546"/>
  <c r="G1546"/>
  <c r="E1546"/>
  <c r="B1546"/>
  <c r="A1546"/>
  <c r="W1545"/>
  <c r="S1545"/>
  <c r="Q1545"/>
  <c r="P1545"/>
  <c r="M1545"/>
  <c r="K1545"/>
  <c r="H1545"/>
  <c r="C1545"/>
  <c r="G1545"/>
  <c r="E1545"/>
  <c r="B1545"/>
  <c r="A1545"/>
  <c r="W1544"/>
  <c r="S1544"/>
  <c r="Q1544"/>
  <c r="P1544"/>
  <c r="M1544"/>
  <c r="K1544"/>
  <c r="H1544"/>
  <c r="C1544"/>
  <c r="G1544"/>
  <c r="E1544"/>
  <c r="B1544"/>
  <c r="A1544"/>
  <c r="W1543"/>
  <c r="S1543"/>
  <c r="Q1543"/>
  <c r="P1543"/>
  <c r="M1543"/>
  <c r="K1543"/>
  <c r="H1543"/>
  <c r="C1543"/>
  <c r="G1543"/>
  <c r="E1543"/>
  <c r="B1543"/>
  <c r="A1543"/>
  <c r="W1542"/>
  <c r="S1542"/>
  <c r="Q1542"/>
  <c r="P1542"/>
  <c r="M1542"/>
  <c r="K1542"/>
  <c r="H1542"/>
  <c r="C1542"/>
  <c r="G1542"/>
  <c r="E1542"/>
  <c r="B1542"/>
  <c r="A1542"/>
  <c r="W1541"/>
  <c r="S1541"/>
  <c r="Q1541"/>
  <c r="P1541"/>
  <c r="M1541"/>
  <c r="K1541"/>
  <c r="H1541"/>
  <c r="C1541"/>
  <c r="G1541"/>
  <c r="E1541"/>
  <c r="B1541"/>
  <c r="A1541"/>
  <c r="W1540"/>
  <c r="S1540"/>
  <c r="Q1540"/>
  <c r="P1540"/>
  <c r="N1540"/>
  <c r="M1540"/>
  <c r="K1540"/>
  <c r="H1540"/>
  <c r="C1540"/>
  <c r="G1540"/>
  <c r="E1540"/>
  <c r="B1540"/>
  <c r="A1540"/>
  <c r="W1539"/>
  <c r="S1539"/>
  <c r="Q1539"/>
  <c r="P1539"/>
  <c r="M1539"/>
  <c r="K1539"/>
  <c r="H1539"/>
  <c r="C1539"/>
  <c r="G1539"/>
  <c r="E1539"/>
  <c r="B1539"/>
  <c r="A1539"/>
  <c r="W1538"/>
  <c r="S1538"/>
  <c r="Q1538"/>
  <c r="P1538"/>
  <c r="N1538"/>
  <c r="M1538"/>
  <c r="K1538"/>
  <c r="H1538"/>
  <c r="C1538"/>
  <c r="G1538"/>
  <c r="E1538"/>
  <c r="B1538"/>
  <c r="A1538"/>
  <c r="W1537"/>
  <c r="S1537"/>
  <c r="Q1537"/>
  <c r="P1537"/>
  <c r="M1537"/>
  <c r="K1537"/>
  <c r="H1537"/>
  <c r="C1537"/>
  <c r="G1537"/>
  <c r="E1537"/>
  <c r="B1537"/>
  <c r="A1537"/>
  <c r="W1536"/>
  <c r="S1536"/>
  <c r="Q1536"/>
  <c r="P1536"/>
  <c r="M1536"/>
  <c r="K1536"/>
  <c r="H1536"/>
  <c r="C1536"/>
  <c r="G1536"/>
  <c r="E1536"/>
  <c r="B1536"/>
  <c r="A1536"/>
  <c r="W1535"/>
  <c r="S1535"/>
  <c r="Q1535"/>
  <c r="P1535"/>
  <c r="M1535"/>
  <c r="K1535"/>
  <c r="H1535"/>
  <c r="C1535"/>
  <c r="G1535"/>
  <c r="E1535"/>
  <c r="B1535"/>
  <c r="A1535"/>
  <c r="W1534"/>
  <c r="S1534"/>
  <c r="Q1534"/>
  <c r="P1534"/>
  <c r="M1534"/>
  <c r="K1534"/>
  <c r="H1534"/>
  <c r="C1534"/>
  <c r="G1534"/>
  <c r="E1534"/>
  <c r="B1534"/>
  <c r="A1534"/>
  <c r="W1533"/>
  <c r="S1533"/>
  <c r="Q1533"/>
  <c r="P1533"/>
  <c r="M1533"/>
  <c r="K1533"/>
  <c r="H1533"/>
  <c r="C1533"/>
  <c r="G1533"/>
  <c r="E1533"/>
  <c r="B1533"/>
  <c r="A1533"/>
  <c r="W1532"/>
  <c r="S1532"/>
  <c r="Q1532"/>
  <c r="P1532"/>
  <c r="M1532"/>
  <c r="K1532"/>
  <c r="H1532"/>
  <c r="C1532"/>
  <c r="G1532"/>
  <c r="E1532"/>
  <c r="B1532"/>
  <c r="A1532"/>
  <c r="W1531"/>
  <c r="S1531"/>
  <c r="Q1531"/>
  <c r="P1531"/>
  <c r="N1531"/>
  <c r="M1531"/>
  <c r="K1531"/>
  <c r="H1531"/>
  <c r="C1531"/>
  <c r="G1531"/>
  <c r="E1531"/>
  <c r="B1531"/>
  <c r="A1531"/>
  <c r="W1530"/>
  <c r="S1530"/>
  <c r="Q1530"/>
  <c r="P1530"/>
  <c r="M1530"/>
  <c r="K1530"/>
  <c r="H1530"/>
  <c r="C1530"/>
  <c r="G1530"/>
  <c r="E1530"/>
  <c r="B1530"/>
  <c r="A1530"/>
  <c r="W1529"/>
  <c r="S1529"/>
  <c r="Q1529"/>
  <c r="P1529"/>
  <c r="M1529"/>
  <c r="K1529"/>
  <c r="H1529"/>
  <c r="C1529"/>
  <c r="G1529"/>
  <c r="E1529"/>
  <c r="B1529"/>
  <c r="A1529"/>
  <c r="W1528"/>
  <c r="S1528"/>
  <c r="Q1528"/>
  <c r="P1528"/>
  <c r="N1528"/>
  <c r="M1528"/>
  <c r="K1528"/>
  <c r="H1528"/>
  <c r="C1528"/>
  <c r="G1528"/>
  <c r="E1528"/>
  <c r="B1528"/>
  <c r="A1528"/>
  <c r="W1527"/>
  <c r="S1527"/>
  <c r="R1527"/>
  <c r="Q1527"/>
  <c r="P1527"/>
  <c r="M1527"/>
  <c r="K1527"/>
  <c r="H1527"/>
  <c r="C1527"/>
  <c r="G1527"/>
  <c r="E1527"/>
  <c r="B1527"/>
  <c r="A1527"/>
  <c r="W1526"/>
  <c r="S1526"/>
  <c r="Q1526"/>
  <c r="P1526"/>
  <c r="M1526"/>
  <c r="K1526"/>
  <c r="H1526"/>
  <c r="C1526"/>
  <c r="G1526"/>
  <c r="E1526"/>
  <c r="B1526"/>
  <c r="A1526"/>
  <c r="W1525"/>
  <c r="S1525"/>
  <c r="Q1525"/>
  <c r="P1525"/>
  <c r="M1525"/>
  <c r="K1525"/>
  <c r="H1525"/>
  <c r="C1525"/>
  <c r="G1525"/>
  <c r="E1525"/>
  <c r="B1525"/>
  <c r="A1525"/>
  <c r="W1524"/>
  <c r="S1524"/>
  <c r="Q1524"/>
  <c r="P1524"/>
  <c r="M1524"/>
  <c r="K1524"/>
  <c r="H1524"/>
  <c r="C1524"/>
  <c r="G1524"/>
  <c r="E1524"/>
  <c r="B1524"/>
  <c r="A1524"/>
  <c r="W1523"/>
  <c r="S1523"/>
  <c r="Q1523"/>
  <c r="P1523"/>
  <c r="M1523"/>
  <c r="K1523"/>
  <c r="H1523"/>
  <c r="C1523"/>
  <c r="G1523"/>
  <c r="E1523"/>
  <c r="B1523"/>
  <c r="A1523"/>
  <c r="W1522"/>
  <c r="S1522"/>
  <c r="Q1522"/>
  <c r="P1522"/>
  <c r="M1522"/>
  <c r="K1522"/>
  <c r="H1522"/>
  <c r="C1522"/>
  <c r="G1522"/>
  <c r="E1522"/>
  <c r="B1522"/>
  <c r="A1522"/>
  <c r="W1521"/>
  <c r="S1521"/>
  <c r="Q1521"/>
  <c r="P1521"/>
  <c r="M1521"/>
  <c r="K1521"/>
  <c r="H1521"/>
  <c r="C1521"/>
  <c r="G1521"/>
  <c r="E1521"/>
  <c r="B1521"/>
  <c r="A1521"/>
  <c r="W1520"/>
  <c r="S1520"/>
  <c r="Q1520"/>
  <c r="P1520"/>
  <c r="M1520"/>
  <c r="K1520"/>
  <c r="H1520"/>
  <c r="C1520"/>
  <c r="G1520"/>
  <c r="E1520"/>
  <c r="B1520"/>
  <c r="A1520"/>
  <c r="W1519"/>
  <c r="S1519"/>
  <c r="Q1519"/>
  <c r="P1519"/>
  <c r="M1519"/>
  <c r="K1519"/>
  <c r="H1519"/>
  <c r="C1519"/>
  <c r="G1519"/>
  <c r="E1519"/>
  <c r="B1519"/>
  <c r="A1519"/>
  <c r="W1518"/>
  <c r="S1518"/>
  <c r="Q1518"/>
  <c r="P1518"/>
  <c r="M1518"/>
  <c r="K1518"/>
  <c r="H1518"/>
  <c r="C1518"/>
  <c r="G1518"/>
  <c r="E1518"/>
  <c r="B1518"/>
  <c r="A1518"/>
  <c r="W1517"/>
  <c r="S1517"/>
  <c r="Q1517"/>
  <c r="P1517"/>
  <c r="M1517"/>
  <c r="K1517"/>
  <c r="H1517"/>
  <c r="C1517"/>
  <c r="G1517"/>
  <c r="E1517"/>
  <c r="B1517"/>
  <c r="A1517"/>
  <c r="W1516"/>
  <c r="S1516"/>
  <c r="Q1516"/>
  <c r="P1516"/>
  <c r="M1516"/>
  <c r="K1516"/>
  <c r="H1516"/>
  <c r="C1516"/>
  <c r="G1516"/>
  <c r="E1516"/>
  <c r="B1516"/>
  <c r="A1516"/>
  <c r="W1515"/>
  <c r="S1515"/>
  <c r="Q1515"/>
  <c r="P1515"/>
  <c r="M1515"/>
  <c r="K1515"/>
  <c r="H1515"/>
  <c r="C1515"/>
  <c r="G1515"/>
  <c r="E1515"/>
  <c r="B1515"/>
  <c r="A1515"/>
  <c r="W1514"/>
  <c r="S1514"/>
  <c r="Q1514"/>
  <c r="P1514"/>
  <c r="M1514"/>
  <c r="K1514"/>
  <c r="H1514"/>
  <c r="C1514"/>
  <c r="G1514"/>
  <c r="E1514"/>
  <c r="B1514"/>
  <c r="A1514"/>
  <c r="W1513"/>
  <c r="S1513"/>
  <c r="Q1513"/>
  <c r="P1513"/>
  <c r="M1513"/>
  <c r="K1513"/>
  <c r="H1513"/>
  <c r="C1513"/>
  <c r="G1513"/>
  <c r="E1513"/>
  <c r="B1513"/>
  <c r="A1513"/>
  <c r="W1512"/>
  <c r="S1512"/>
  <c r="Q1512"/>
  <c r="P1512"/>
  <c r="M1512"/>
  <c r="K1512"/>
  <c r="H1512"/>
  <c r="C1512"/>
  <c r="G1512"/>
  <c r="E1512"/>
  <c r="B1512"/>
  <c r="A1512"/>
  <c r="W1511"/>
  <c r="S1511"/>
  <c r="Q1511"/>
  <c r="P1511"/>
  <c r="M1511"/>
  <c r="K1511"/>
  <c r="H1511"/>
  <c r="C1511"/>
  <c r="G1511"/>
  <c r="E1511"/>
  <c r="B1511"/>
  <c r="A1511"/>
  <c r="W1510"/>
  <c r="S1510"/>
  <c r="Q1510"/>
  <c r="P1510"/>
  <c r="M1510"/>
  <c r="K1510"/>
  <c r="H1510"/>
  <c r="C1510"/>
  <c r="G1510"/>
  <c r="E1510"/>
  <c r="B1510"/>
  <c r="A1510"/>
  <c r="W1509"/>
  <c r="S1509"/>
  <c r="Q1509"/>
  <c r="P1509"/>
  <c r="M1509"/>
  <c r="K1509"/>
  <c r="H1509"/>
  <c r="C1509"/>
  <c r="G1509"/>
  <c r="E1509"/>
  <c r="B1509"/>
  <c r="A1509"/>
  <c r="W1508"/>
  <c r="S1508"/>
  <c r="Q1508"/>
  <c r="P1508"/>
  <c r="M1508"/>
  <c r="K1508"/>
  <c r="H1508"/>
  <c r="C1508"/>
  <c r="G1508"/>
  <c r="E1508"/>
  <c r="B1508"/>
  <c r="A1508"/>
  <c r="W1507"/>
  <c r="S1507"/>
  <c r="Q1507"/>
  <c r="P1507"/>
  <c r="M1507"/>
  <c r="K1507"/>
  <c r="H1507"/>
  <c r="C1507"/>
  <c r="G1507"/>
  <c r="E1507"/>
  <c r="B1507"/>
  <c r="A1507"/>
  <c r="W1506"/>
  <c r="S1506"/>
  <c r="Q1506"/>
  <c r="P1506"/>
  <c r="M1506"/>
  <c r="K1506"/>
  <c r="H1506"/>
  <c r="C1506"/>
  <c r="G1506"/>
  <c r="E1506"/>
  <c r="B1506"/>
  <c r="A1506"/>
  <c r="W1505"/>
  <c r="S1505"/>
  <c r="Q1505"/>
  <c r="P1505"/>
  <c r="M1505"/>
  <c r="K1505"/>
  <c r="H1505"/>
  <c r="C1505"/>
  <c r="G1505"/>
  <c r="E1505"/>
  <c r="B1505"/>
  <c r="A1505"/>
  <c r="W1504"/>
  <c r="S1504"/>
  <c r="Q1504"/>
  <c r="P1504"/>
  <c r="M1504"/>
  <c r="K1504"/>
  <c r="H1504"/>
  <c r="C1504"/>
  <c r="G1504"/>
  <c r="E1504"/>
  <c r="B1504"/>
  <c r="A1504"/>
  <c r="W1503"/>
  <c r="S1503"/>
  <c r="Q1503"/>
  <c r="P1503"/>
  <c r="M1503"/>
  <c r="K1503"/>
  <c r="H1503"/>
  <c r="C1503"/>
  <c r="G1503"/>
  <c r="E1503"/>
  <c r="B1503"/>
  <c r="A1503"/>
  <c r="W1502"/>
  <c r="S1502"/>
  <c r="Q1502"/>
  <c r="P1502"/>
  <c r="M1502"/>
  <c r="K1502"/>
  <c r="H1502"/>
  <c r="C1502"/>
  <c r="G1502"/>
  <c r="E1502"/>
  <c r="B1502"/>
  <c r="A1502"/>
  <c r="W1501"/>
  <c r="S1501"/>
  <c r="Q1501"/>
  <c r="P1501"/>
  <c r="M1501"/>
  <c r="K1501"/>
  <c r="H1501"/>
  <c r="C1501"/>
  <c r="G1501"/>
  <c r="E1501"/>
  <c r="B1501"/>
  <c r="A1501"/>
  <c r="W1500"/>
  <c r="S1500"/>
  <c r="Q1500"/>
  <c r="P1500"/>
  <c r="M1500"/>
  <c r="K1500"/>
  <c r="H1500"/>
  <c r="C1500"/>
  <c r="G1500"/>
  <c r="E1500"/>
  <c r="B1500"/>
  <c r="A1500"/>
  <c r="W1499"/>
  <c r="S1499"/>
  <c r="Q1499"/>
  <c r="P1499"/>
  <c r="M1499"/>
  <c r="K1499"/>
  <c r="H1499"/>
  <c r="C1499"/>
  <c r="G1499"/>
  <c r="E1499"/>
  <c r="B1499"/>
  <c r="A1499"/>
  <c r="W1498"/>
  <c r="S1498"/>
  <c r="Q1498"/>
  <c r="P1498"/>
  <c r="M1498"/>
  <c r="K1498"/>
  <c r="H1498"/>
  <c r="C1498"/>
  <c r="G1498"/>
  <c r="E1498"/>
  <c r="B1498"/>
  <c r="A1498"/>
  <c r="W1497"/>
  <c r="S1497"/>
  <c r="Q1497"/>
  <c r="P1497"/>
  <c r="M1497"/>
  <c r="K1497"/>
  <c r="H1497"/>
  <c r="C1497"/>
  <c r="G1497"/>
  <c r="E1497"/>
  <c r="B1497"/>
  <c r="A1497"/>
  <c r="W1496"/>
  <c r="S1496"/>
  <c r="Q1496"/>
  <c r="P1496"/>
  <c r="M1496"/>
  <c r="K1496"/>
  <c r="H1496"/>
  <c r="C1496"/>
  <c r="G1496"/>
  <c r="E1496"/>
  <c r="B1496"/>
  <c r="A1496"/>
  <c r="W1495"/>
  <c r="S1495"/>
  <c r="Q1495"/>
  <c r="P1495"/>
  <c r="M1495"/>
  <c r="K1495"/>
  <c r="H1495"/>
  <c r="C1495"/>
  <c r="G1495"/>
  <c r="E1495"/>
  <c r="B1495"/>
  <c r="A1495"/>
  <c r="W1494"/>
  <c r="S1494"/>
  <c r="Q1494"/>
  <c r="P1494"/>
  <c r="M1494"/>
  <c r="K1494"/>
  <c r="H1494"/>
  <c r="C1494"/>
  <c r="G1494"/>
  <c r="E1494"/>
  <c r="B1494"/>
  <c r="A1494"/>
  <c r="W1493"/>
  <c r="S1493"/>
  <c r="Q1493"/>
  <c r="P1493"/>
  <c r="M1493"/>
  <c r="K1493"/>
  <c r="H1493"/>
  <c r="C1493"/>
  <c r="G1493"/>
  <c r="E1493"/>
  <c r="B1493"/>
  <c r="A1493"/>
  <c r="W1492"/>
  <c r="S1492"/>
  <c r="Q1492"/>
  <c r="P1492"/>
  <c r="M1492"/>
  <c r="K1492"/>
  <c r="H1492"/>
  <c r="C1492"/>
  <c r="G1492"/>
  <c r="E1492"/>
  <c r="B1492"/>
  <c r="A1492"/>
  <c r="W1491"/>
  <c r="S1491"/>
  <c r="Q1491"/>
  <c r="P1491"/>
  <c r="M1491"/>
  <c r="K1491"/>
  <c r="H1491"/>
  <c r="C1491"/>
  <c r="G1491"/>
  <c r="E1491"/>
  <c r="B1491"/>
  <c r="A1491"/>
  <c r="W1490"/>
  <c r="S1490"/>
  <c r="Q1490"/>
  <c r="P1490"/>
  <c r="M1490"/>
  <c r="K1490"/>
  <c r="H1490"/>
  <c r="C1490"/>
  <c r="G1490"/>
  <c r="E1490"/>
  <c r="B1490"/>
  <c r="A1490"/>
  <c r="W1489"/>
  <c r="S1489"/>
  <c r="Q1489"/>
  <c r="P1489"/>
  <c r="M1489"/>
  <c r="K1489"/>
  <c r="H1489"/>
  <c r="C1489"/>
  <c r="G1489"/>
  <c r="E1489"/>
  <c r="B1489"/>
  <c r="A1489"/>
  <c r="W1488"/>
  <c r="S1488"/>
  <c r="Q1488"/>
  <c r="P1488"/>
  <c r="M1488"/>
  <c r="K1488"/>
  <c r="H1488"/>
  <c r="C1488"/>
  <c r="G1488"/>
  <c r="E1488"/>
  <c r="B1488"/>
  <c r="A1488"/>
  <c r="W1487"/>
  <c r="S1487"/>
  <c r="Q1487"/>
  <c r="P1487"/>
  <c r="M1487"/>
  <c r="K1487"/>
  <c r="H1487"/>
  <c r="C1487"/>
  <c r="G1487"/>
  <c r="E1487"/>
  <c r="B1487"/>
  <c r="A1487"/>
  <c r="W1486"/>
  <c r="S1486"/>
  <c r="Q1486"/>
  <c r="P1486"/>
  <c r="M1486"/>
  <c r="K1486"/>
  <c r="H1486"/>
  <c r="C1486"/>
  <c r="G1486"/>
  <c r="E1486"/>
  <c r="B1486"/>
  <c r="A1486"/>
  <c r="W1485"/>
  <c r="S1485"/>
  <c r="Q1485"/>
  <c r="P1485"/>
  <c r="M1485"/>
  <c r="K1485"/>
  <c r="H1485"/>
  <c r="C1485"/>
  <c r="G1485"/>
  <c r="E1485"/>
  <c r="B1485"/>
  <c r="A1485"/>
  <c r="W1484"/>
  <c r="S1484"/>
  <c r="Q1484"/>
  <c r="P1484"/>
  <c r="M1484"/>
  <c r="K1484"/>
  <c r="H1484"/>
  <c r="C1484"/>
  <c r="G1484"/>
  <c r="E1484"/>
  <c r="B1484"/>
  <c r="A1484"/>
  <c r="W1483"/>
  <c r="S1483"/>
  <c r="Q1483"/>
  <c r="P1483"/>
  <c r="M1483"/>
  <c r="K1483"/>
  <c r="H1483"/>
  <c r="C1483"/>
  <c r="G1483"/>
  <c r="E1483"/>
  <c r="B1483"/>
  <c r="A1483"/>
  <c r="W1482"/>
  <c r="S1482"/>
  <c r="R1482"/>
  <c r="Q1482"/>
  <c r="P1482"/>
  <c r="M1482"/>
  <c r="K1482"/>
  <c r="H1482"/>
  <c r="C1482"/>
  <c r="G1482"/>
  <c r="E1482"/>
  <c r="B1482"/>
  <c r="A1482"/>
  <c r="W1481"/>
  <c r="S1481"/>
  <c r="R1481"/>
  <c r="Q1481"/>
  <c r="P1481"/>
  <c r="M1481"/>
  <c r="K1481"/>
  <c r="H1481"/>
  <c r="C1481"/>
  <c r="G1481"/>
  <c r="E1481"/>
  <c r="B1481"/>
  <c r="A1481"/>
  <c r="W1480"/>
  <c r="S1480"/>
  <c r="Q1480"/>
  <c r="P1480"/>
  <c r="M1480"/>
  <c r="K1480"/>
  <c r="H1480"/>
  <c r="C1480"/>
  <c r="G1480"/>
  <c r="E1480"/>
  <c r="B1480"/>
  <c r="A1480"/>
  <c r="W1479"/>
  <c r="S1479"/>
  <c r="R1479"/>
  <c r="Q1479"/>
  <c r="P1479"/>
  <c r="N1479"/>
  <c r="M1479"/>
  <c r="K1479"/>
  <c r="H1479"/>
  <c r="C1479"/>
  <c r="G1479"/>
  <c r="E1479"/>
  <c r="B1479"/>
  <c r="A1479"/>
  <c r="W1478"/>
  <c r="S1478"/>
  <c r="R1478"/>
  <c r="Q1478"/>
  <c r="P1478"/>
  <c r="M1478"/>
  <c r="K1478"/>
  <c r="H1478"/>
  <c r="C1478"/>
  <c r="G1478"/>
  <c r="E1478"/>
  <c r="B1478"/>
  <c r="A1478"/>
  <c r="W1477"/>
  <c r="S1477"/>
  <c r="Q1477"/>
  <c r="P1477"/>
  <c r="M1477"/>
  <c r="K1477"/>
  <c r="H1477"/>
  <c r="C1477"/>
  <c r="G1477"/>
  <c r="E1477"/>
  <c r="B1477"/>
  <c r="A1477"/>
  <c r="W1476"/>
  <c r="S1476"/>
  <c r="Q1476"/>
  <c r="P1476"/>
  <c r="M1476"/>
  <c r="K1476"/>
  <c r="H1476"/>
  <c r="C1476"/>
  <c r="G1476"/>
  <c r="E1476"/>
  <c r="B1476"/>
  <c r="A1476"/>
  <c r="W1475"/>
  <c r="S1475"/>
  <c r="Q1475"/>
  <c r="P1475"/>
  <c r="M1475"/>
  <c r="K1475"/>
  <c r="H1475"/>
  <c r="C1475"/>
  <c r="G1475"/>
  <c r="E1475"/>
  <c r="B1475"/>
  <c r="A1475"/>
  <c r="W1474"/>
  <c r="S1474"/>
  <c r="Q1474"/>
  <c r="P1474"/>
  <c r="M1474"/>
  <c r="K1474"/>
  <c r="H1474"/>
  <c r="C1474"/>
  <c r="G1474"/>
  <c r="E1474"/>
  <c r="B1474"/>
  <c r="A1474"/>
  <c r="W1473"/>
  <c r="S1473"/>
  <c r="Q1473"/>
  <c r="P1473"/>
  <c r="M1473"/>
  <c r="K1473"/>
  <c r="H1473"/>
  <c r="C1473"/>
  <c r="G1473"/>
  <c r="E1473"/>
  <c r="B1473"/>
  <c r="A1473"/>
  <c r="W1472"/>
  <c r="S1472"/>
  <c r="Q1472"/>
  <c r="P1472"/>
  <c r="M1472"/>
  <c r="K1472"/>
  <c r="H1472"/>
  <c r="C1472"/>
  <c r="G1472"/>
  <c r="E1472"/>
  <c r="B1472"/>
  <c r="A1472"/>
  <c r="W1471"/>
  <c r="S1471"/>
  <c r="Q1471"/>
  <c r="P1471"/>
  <c r="M1471"/>
  <c r="K1471"/>
  <c r="H1471"/>
  <c r="C1471"/>
  <c r="G1471"/>
  <c r="E1471"/>
  <c r="B1471"/>
  <c r="A1471"/>
  <c r="W1470"/>
  <c r="S1470"/>
  <c r="Q1470"/>
  <c r="P1470"/>
  <c r="M1470"/>
  <c r="K1470"/>
  <c r="H1470"/>
  <c r="C1470"/>
  <c r="G1470"/>
  <c r="E1470"/>
  <c r="B1470"/>
  <c r="A1470"/>
  <c r="W1469"/>
  <c r="S1469"/>
  <c r="Q1469"/>
  <c r="P1469"/>
  <c r="M1469"/>
  <c r="K1469"/>
  <c r="H1469"/>
  <c r="C1469"/>
  <c r="G1469"/>
  <c r="E1469"/>
  <c r="B1469"/>
  <c r="A1469"/>
  <c r="W1468"/>
  <c r="S1468"/>
  <c r="Q1468"/>
  <c r="P1468"/>
  <c r="M1468"/>
  <c r="K1468"/>
  <c r="H1468"/>
  <c r="C1468"/>
  <c r="G1468"/>
  <c r="E1468"/>
  <c r="B1468"/>
  <c r="A1468"/>
  <c r="W1467"/>
  <c r="S1467"/>
  <c r="Q1467"/>
  <c r="P1467"/>
  <c r="M1467"/>
  <c r="K1467"/>
  <c r="H1467"/>
  <c r="C1467"/>
  <c r="G1467"/>
  <c r="E1467"/>
  <c r="B1467"/>
  <c r="A1467"/>
  <c r="W1466"/>
  <c r="S1466"/>
  <c r="Q1466"/>
  <c r="P1466"/>
  <c r="M1466"/>
  <c r="K1466"/>
  <c r="H1466"/>
  <c r="C1466"/>
  <c r="G1466"/>
  <c r="E1466"/>
  <c r="B1466"/>
  <c r="A1466"/>
  <c r="W1465"/>
  <c r="S1465"/>
  <c r="Q1465"/>
  <c r="P1465"/>
  <c r="M1465"/>
  <c r="K1465"/>
  <c r="H1465"/>
  <c r="C1465"/>
  <c r="G1465"/>
  <c r="E1465"/>
  <c r="B1465"/>
  <c r="A1465"/>
  <c r="W1464"/>
  <c r="S1464"/>
  <c r="Q1464"/>
  <c r="P1464"/>
  <c r="M1464"/>
  <c r="K1464"/>
  <c r="H1464"/>
  <c r="C1464"/>
  <c r="G1464"/>
  <c r="E1464"/>
  <c r="B1464"/>
  <c r="A1464"/>
  <c r="W1463"/>
  <c r="S1463"/>
  <c r="Q1463"/>
  <c r="P1463"/>
  <c r="M1463"/>
  <c r="K1463"/>
  <c r="H1463"/>
  <c r="C1463"/>
  <c r="G1463"/>
  <c r="E1463"/>
  <c r="B1463"/>
  <c r="A1463"/>
  <c r="W1462"/>
  <c r="S1462"/>
  <c r="Q1462"/>
  <c r="P1462"/>
  <c r="M1462"/>
  <c r="K1462"/>
  <c r="H1462"/>
  <c r="C1462"/>
  <c r="G1462"/>
  <c r="E1462"/>
  <c r="B1462"/>
  <c r="A1462"/>
  <c r="W1461"/>
  <c r="S1461"/>
  <c r="Q1461"/>
  <c r="P1461"/>
  <c r="M1461"/>
  <c r="K1461"/>
  <c r="H1461"/>
  <c r="C1461"/>
  <c r="G1461"/>
  <c r="E1461"/>
  <c r="B1461"/>
  <c r="A1461"/>
  <c r="W1460"/>
  <c r="S1460"/>
  <c r="Q1460"/>
  <c r="P1460"/>
  <c r="M1460"/>
  <c r="K1460"/>
  <c r="H1460"/>
  <c r="C1460"/>
  <c r="G1460"/>
  <c r="E1460"/>
  <c r="B1460"/>
  <c r="A1460"/>
  <c r="W1459"/>
  <c r="S1459"/>
  <c r="Q1459"/>
  <c r="P1459"/>
  <c r="M1459"/>
  <c r="K1459"/>
  <c r="H1459"/>
  <c r="C1459"/>
  <c r="G1459"/>
  <c r="E1459"/>
  <c r="B1459"/>
  <c r="A1459"/>
  <c r="W1458"/>
  <c r="S1458"/>
  <c r="Q1458"/>
  <c r="P1458"/>
  <c r="M1458"/>
  <c r="K1458"/>
  <c r="H1458"/>
  <c r="C1458"/>
  <c r="G1458"/>
  <c r="E1458"/>
  <c r="B1458"/>
  <c r="A1458"/>
  <c r="W1457"/>
  <c r="S1457"/>
  <c r="Q1457"/>
  <c r="P1457"/>
  <c r="M1457"/>
  <c r="K1457"/>
  <c r="H1457"/>
  <c r="C1457"/>
  <c r="G1457"/>
  <c r="E1457"/>
  <c r="B1457"/>
  <c r="A1457"/>
  <c r="W1456"/>
  <c r="S1456"/>
  <c r="Q1456"/>
  <c r="P1456"/>
  <c r="M1456"/>
  <c r="K1456"/>
  <c r="H1456"/>
  <c r="C1456"/>
  <c r="G1456"/>
  <c r="E1456"/>
  <c r="B1456"/>
  <c r="A1456"/>
  <c r="W1455"/>
  <c r="S1455"/>
  <c r="Q1455"/>
  <c r="P1455"/>
  <c r="M1455"/>
  <c r="K1455"/>
  <c r="H1455"/>
  <c r="C1455"/>
  <c r="G1455"/>
  <c r="E1455"/>
  <c r="B1455"/>
  <c r="A1455"/>
  <c r="W1454"/>
  <c r="S1454"/>
  <c r="Q1454"/>
  <c r="P1454"/>
  <c r="M1454"/>
  <c r="K1454"/>
  <c r="H1454"/>
  <c r="C1454"/>
  <c r="G1454"/>
  <c r="E1454"/>
  <c r="B1454"/>
  <c r="A1454"/>
  <c r="W1453"/>
  <c r="S1453"/>
  <c r="Q1453"/>
  <c r="P1453"/>
  <c r="M1453"/>
  <c r="K1453"/>
  <c r="H1453"/>
  <c r="C1453"/>
  <c r="G1453"/>
  <c r="E1453"/>
  <c r="B1453"/>
  <c r="A1453"/>
  <c r="W1452"/>
  <c r="S1452"/>
  <c r="Q1452"/>
  <c r="P1452"/>
  <c r="M1452"/>
  <c r="K1452"/>
  <c r="H1452"/>
  <c r="C1452"/>
  <c r="G1452"/>
  <c r="E1452"/>
  <c r="B1452"/>
  <c r="A1452"/>
  <c r="W1451"/>
  <c r="S1451"/>
  <c r="Q1451"/>
  <c r="P1451"/>
  <c r="M1451"/>
  <c r="K1451"/>
  <c r="H1451"/>
  <c r="C1451"/>
  <c r="G1451"/>
  <c r="E1451"/>
  <c r="B1451"/>
  <c r="A1451"/>
  <c r="W1450"/>
  <c r="S1450"/>
  <c r="R1450"/>
  <c r="Q1450"/>
  <c r="P1450"/>
  <c r="M1450"/>
  <c r="K1450"/>
  <c r="H1450"/>
  <c r="C1450"/>
  <c r="G1450"/>
  <c r="E1450"/>
  <c r="B1450"/>
  <c r="A1450"/>
  <c r="W1449"/>
  <c r="S1449"/>
  <c r="Q1449"/>
  <c r="P1449"/>
  <c r="M1449"/>
  <c r="K1449"/>
  <c r="H1449"/>
  <c r="C1449"/>
  <c r="G1449"/>
  <c r="E1449"/>
  <c r="B1449"/>
  <c r="A1449"/>
  <c r="W1448"/>
  <c r="S1448"/>
  <c r="Q1448"/>
  <c r="P1448"/>
  <c r="M1448"/>
  <c r="K1448"/>
  <c r="H1448"/>
  <c r="C1448"/>
  <c r="G1448"/>
  <c r="E1448"/>
  <c r="B1448"/>
  <c r="A1448"/>
  <c r="W1447"/>
  <c r="S1447"/>
  <c r="Q1447"/>
  <c r="P1447"/>
  <c r="M1447"/>
  <c r="K1447"/>
  <c r="H1447"/>
  <c r="C1447"/>
  <c r="G1447"/>
  <c r="E1447"/>
  <c r="B1447"/>
  <c r="A1447"/>
  <c r="W1446"/>
  <c r="S1446"/>
  <c r="Q1446"/>
  <c r="P1446"/>
  <c r="M1446"/>
  <c r="K1446"/>
  <c r="H1446"/>
  <c r="C1446"/>
  <c r="G1446"/>
  <c r="E1446"/>
  <c r="B1446"/>
  <c r="A1446"/>
  <c r="W1445"/>
  <c r="S1445"/>
  <c r="Q1445"/>
  <c r="P1445"/>
  <c r="M1445"/>
  <c r="K1445"/>
  <c r="H1445"/>
  <c r="C1445"/>
  <c r="G1445"/>
  <c r="E1445"/>
  <c r="B1445"/>
  <c r="A1445"/>
  <c r="W1444"/>
  <c r="S1444"/>
  <c r="R1444"/>
  <c r="Q1444"/>
  <c r="P1444"/>
  <c r="M1444"/>
  <c r="K1444"/>
  <c r="H1444"/>
  <c r="C1444"/>
  <c r="G1444"/>
  <c r="E1444"/>
  <c r="B1444"/>
  <c r="A1444"/>
  <c r="W1443"/>
  <c r="S1443"/>
  <c r="R1443"/>
  <c r="Q1443"/>
  <c r="P1443"/>
  <c r="M1443"/>
  <c r="K1443"/>
  <c r="H1443"/>
  <c r="C1443"/>
  <c r="G1443"/>
  <c r="E1443"/>
  <c r="B1443"/>
  <c r="A1443"/>
  <c r="W1442"/>
  <c r="S1442"/>
  <c r="R1442"/>
  <c r="Q1442"/>
  <c r="P1442"/>
  <c r="M1442"/>
  <c r="K1442"/>
  <c r="H1442"/>
  <c r="C1442"/>
  <c r="G1442"/>
  <c r="E1442"/>
  <c r="B1442"/>
  <c r="A1442"/>
  <c r="W1441"/>
  <c r="S1441"/>
  <c r="R1441"/>
  <c r="Q1441"/>
  <c r="P1441"/>
  <c r="M1441"/>
  <c r="K1441"/>
  <c r="H1441"/>
  <c r="C1441"/>
  <c r="G1441"/>
  <c r="E1441"/>
  <c r="B1441"/>
  <c r="A1441"/>
  <c r="W1440"/>
  <c r="S1440"/>
  <c r="R1440"/>
  <c r="Q1440"/>
  <c r="P1440"/>
  <c r="M1440"/>
  <c r="K1440"/>
  <c r="H1440"/>
  <c r="C1440"/>
  <c r="G1440"/>
  <c r="E1440"/>
  <c r="B1440"/>
  <c r="A1440"/>
  <c r="W1439"/>
  <c r="S1439"/>
  <c r="R1439"/>
  <c r="Q1439"/>
  <c r="P1439"/>
  <c r="M1439"/>
  <c r="K1439"/>
  <c r="H1439"/>
  <c r="C1439"/>
  <c r="G1439"/>
  <c r="E1439"/>
  <c r="B1439"/>
  <c r="A1439"/>
  <c r="W1438"/>
  <c r="S1438"/>
  <c r="R1438"/>
  <c r="Q1438"/>
  <c r="P1438"/>
  <c r="M1438"/>
  <c r="K1438"/>
  <c r="H1438"/>
  <c r="C1438"/>
  <c r="G1438"/>
  <c r="E1438"/>
  <c r="B1438"/>
  <c r="A1438"/>
  <c r="W1437"/>
  <c r="S1437"/>
  <c r="R1437"/>
  <c r="Q1437"/>
  <c r="P1437"/>
  <c r="M1437"/>
  <c r="K1437"/>
  <c r="H1437"/>
  <c r="C1437"/>
  <c r="G1437"/>
  <c r="E1437"/>
  <c r="B1437"/>
  <c r="A1437"/>
  <c r="W1436"/>
  <c r="S1436"/>
  <c r="R1436"/>
  <c r="Q1436"/>
  <c r="P1436"/>
  <c r="M1436"/>
  <c r="K1436"/>
  <c r="H1436"/>
  <c r="C1436"/>
  <c r="G1436"/>
  <c r="E1436"/>
  <c r="B1436"/>
  <c r="A1436"/>
  <c r="W1435"/>
  <c r="S1435"/>
  <c r="R1435"/>
  <c r="Q1435"/>
  <c r="P1435"/>
  <c r="M1435"/>
  <c r="K1435"/>
  <c r="H1435"/>
  <c r="C1435"/>
  <c r="G1435"/>
  <c r="E1435"/>
  <c r="B1435"/>
  <c r="A1435"/>
  <c r="W1434"/>
  <c r="S1434"/>
  <c r="R1434"/>
  <c r="Q1434"/>
  <c r="P1434"/>
  <c r="M1434"/>
  <c r="K1434"/>
  <c r="H1434"/>
  <c r="C1434"/>
  <c r="G1434"/>
  <c r="E1434"/>
  <c r="B1434"/>
  <c r="A1434"/>
  <c r="W1433"/>
  <c r="S1433"/>
  <c r="R1433"/>
  <c r="Q1433"/>
  <c r="P1433"/>
  <c r="M1433"/>
  <c r="K1433"/>
  <c r="H1433"/>
  <c r="C1433"/>
  <c r="G1433"/>
  <c r="E1433"/>
  <c r="B1433"/>
  <c r="A1433"/>
  <c r="W1432"/>
  <c r="S1432"/>
  <c r="Q1432"/>
  <c r="P1432"/>
  <c r="M1432"/>
  <c r="K1432"/>
  <c r="H1432"/>
  <c r="C1432"/>
  <c r="G1432"/>
  <c r="E1432"/>
  <c r="B1432"/>
  <c r="A1432"/>
  <c r="W1431"/>
  <c r="S1431"/>
  <c r="Q1431"/>
  <c r="P1431"/>
  <c r="M1431"/>
  <c r="K1431"/>
  <c r="H1431"/>
  <c r="C1431"/>
  <c r="G1431"/>
  <c r="E1431"/>
  <c r="B1431"/>
  <c r="A1431"/>
  <c r="W1430"/>
  <c r="S1430"/>
  <c r="Q1430"/>
  <c r="P1430"/>
  <c r="M1430"/>
  <c r="K1430"/>
  <c r="H1430"/>
  <c r="C1430"/>
  <c r="G1430"/>
  <c r="E1430"/>
  <c r="B1430"/>
  <c r="A1430"/>
  <c r="W1429"/>
  <c r="S1429"/>
  <c r="Q1429"/>
  <c r="P1429"/>
  <c r="M1429"/>
  <c r="K1429"/>
  <c r="H1429"/>
  <c r="C1429"/>
  <c r="G1429"/>
  <c r="E1429"/>
  <c r="B1429"/>
  <c r="A1429"/>
  <c r="W1428"/>
  <c r="S1428"/>
  <c r="Q1428"/>
  <c r="P1428"/>
  <c r="M1428"/>
  <c r="K1428"/>
  <c r="H1428"/>
  <c r="C1428"/>
  <c r="G1428"/>
  <c r="E1428"/>
  <c r="B1428"/>
  <c r="A1428"/>
  <c r="W1427"/>
  <c r="S1427"/>
  <c r="Q1427"/>
  <c r="P1427"/>
  <c r="M1427"/>
  <c r="K1427"/>
  <c r="H1427"/>
  <c r="C1427"/>
  <c r="G1427"/>
  <c r="E1427"/>
  <c r="B1427"/>
  <c r="A1427"/>
  <c r="W1426"/>
  <c r="S1426"/>
  <c r="Q1426"/>
  <c r="P1426"/>
  <c r="M1426"/>
  <c r="K1426"/>
  <c r="H1426"/>
  <c r="C1426"/>
  <c r="G1426"/>
  <c r="E1426"/>
  <c r="B1426"/>
  <c r="A1426"/>
  <c r="W1425"/>
  <c r="S1425"/>
  <c r="Q1425"/>
  <c r="P1425"/>
  <c r="M1425"/>
  <c r="K1425"/>
  <c r="H1425"/>
  <c r="C1425"/>
  <c r="G1425"/>
  <c r="E1425"/>
  <c r="B1425"/>
  <c r="A1425"/>
  <c r="W1424"/>
  <c r="S1424"/>
  <c r="Q1424"/>
  <c r="P1424"/>
  <c r="M1424"/>
  <c r="K1424"/>
  <c r="H1424"/>
  <c r="C1424"/>
  <c r="G1424"/>
  <c r="E1424"/>
  <c r="B1424"/>
  <c r="A1424"/>
  <c r="W1423"/>
  <c r="S1423"/>
  <c r="Q1423"/>
  <c r="P1423"/>
  <c r="M1423"/>
  <c r="K1423"/>
  <c r="H1423"/>
  <c r="C1423"/>
  <c r="G1423"/>
  <c r="E1423"/>
  <c r="B1423"/>
  <c r="A1423"/>
  <c r="W1422"/>
  <c r="S1422"/>
  <c r="Q1422"/>
  <c r="P1422"/>
  <c r="M1422"/>
  <c r="K1422"/>
  <c r="H1422"/>
  <c r="C1422"/>
  <c r="G1422"/>
  <c r="E1422"/>
  <c r="B1422"/>
  <c r="A1422"/>
  <c r="W1421"/>
  <c r="S1421"/>
  <c r="Q1421"/>
  <c r="P1421"/>
  <c r="M1421"/>
  <c r="K1421"/>
  <c r="H1421"/>
  <c r="C1421"/>
  <c r="G1421"/>
  <c r="E1421"/>
  <c r="B1421"/>
  <c r="A1421"/>
  <c r="W1420"/>
  <c r="S1420"/>
  <c r="Q1420"/>
  <c r="P1420"/>
  <c r="M1420"/>
  <c r="K1420"/>
  <c r="H1420"/>
  <c r="C1420"/>
  <c r="G1420"/>
  <c r="E1420"/>
  <c r="B1420"/>
  <c r="A1420"/>
  <c r="W1419"/>
  <c r="S1419"/>
  <c r="Q1419"/>
  <c r="P1419"/>
  <c r="M1419"/>
  <c r="K1419"/>
  <c r="H1419"/>
  <c r="C1419"/>
  <c r="G1419"/>
  <c r="E1419"/>
  <c r="B1419"/>
  <c r="A1419"/>
  <c r="W1418"/>
  <c r="S1418"/>
  <c r="Q1418"/>
  <c r="P1418"/>
  <c r="M1418"/>
  <c r="K1418"/>
  <c r="H1418"/>
  <c r="C1418"/>
  <c r="G1418"/>
  <c r="E1418"/>
  <c r="B1418"/>
  <c r="A1418"/>
  <c r="W1417"/>
  <c r="S1417"/>
  <c r="Q1417"/>
  <c r="P1417"/>
  <c r="M1417"/>
  <c r="K1417"/>
  <c r="H1417"/>
  <c r="C1417"/>
  <c r="G1417"/>
  <c r="E1417"/>
  <c r="B1417"/>
  <c r="A1417"/>
  <c r="W1416"/>
  <c r="S1416"/>
  <c r="Q1416"/>
  <c r="P1416"/>
  <c r="M1416"/>
  <c r="K1416"/>
  <c r="H1416"/>
  <c r="C1416"/>
  <c r="G1416"/>
  <c r="E1416"/>
  <c r="B1416"/>
  <c r="A1416"/>
  <c r="W1415"/>
  <c r="S1415"/>
  <c r="Q1415"/>
  <c r="P1415"/>
  <c r="M1415"/>
  <c r="K1415"/>
  <c r="H1415"/>
  <c r="C1415"/>
  <c r="G1415"/>
  <c r="E1415"/>
  <c r="B1415"/>
  <c r="A1415"/>
  <c r="W1414"/>
  <c r="S1414"/>
  <c r="Q1414"/>
  <c r="P1414"/>
  <c r="M1414"/>
  <c r="K1414"/>
  <c r="H1414"/>
  <c r="C1414"/>
  <c r="G1414"/>
  <c r="E1414"/>
  <c r="B1414"/>
  <c r="A1414"/>
  <c r="W1413"/>
  <c r="S1413"/>
  <c r="Q1413"/>
  <c r="P1413"/>
  <c r="M1413"/>
  <c r="K1413"/>
  <c r="H1413"/>
  <c r="C1413"/>
  <c r="G1413"/>
  <c r="E1413"/>
  <c r="B1413"/>
  <c r="A1413"/>
  <c r="W1412"/>
  <c r="S1412"/>
  <c r="Q1412"/>
  <c r="P1412"/>
  <c r="M1412"/>
  <c r="K1412"/>
  <c r="H1412"/>
  <c r="C1412"/>
  <c r="G1412"/>
  <c r="E1412"/>
  <c r="B1412"/>
  <c r="A1412"/>
  <c r="W1411"/>
  <c r="S1411"/>
  <c r="Q1411"/>
  <c r="P1411"/>
  <c r="M1411"/>
  <c r="K1411"/>
  <c r="H1411"/>
  <c r="C1411"/>
  <c r="G1411"/>
  <c r="E1411"/>
  <c r="B1411"/>
  <c r="A1411"/>
  <c r="W1410"/>
  <c r="S1410"/>
  <c r="Q1410"/>
  <c r="P1410"/>
  <c r="M1410"/>
  <c r="K1410"/>
  <c r="H1410"/>
  <c r="C1410"/>
  <c r="G1410"/>
  <c r="E1410"/>
  <c r="B1410"/>
  <c r="A1410"/>
  <c r="W1409"/>
  <c r="S1409"/>
  <c r="Q1409"/>
  <c r="P1409"/>
  <c r="M1409"/>
  <c r="K1409"/>
  <c r="H1409"/>
  <c r="C1409"/>
  <c r="G1409"/>
  <c r="E1409"/>
  <c r="B1409"/>
  <c r="A1409"/>
  <c r="W1408"/>
  <c r="S1408"/>
  <c r="Q1408"/>
  <c r="P1408"/>
  <c r="M1408"/>
  <c r="K1408"/>
  <c r="H1408"/>
  <c r="C1408"/>
  <c r="G1408"/>
  <c r="E1408"/>
  <c r="B1408"/>
  <c r="A1408"/>
  <c r="W1407"/>
  <c r="S1407"/>
  <c r="Q1407"/>
  <c r="P1407"/>
  <c r="M1407"/>
  <c r="K1407"/>
  <c r="H1407"/>
  <c r="C1407"/>
  <c r="G1407"/>
  <c r="E1407"/>
  <c r="B1407"/>
  <c r="A1407"/>
  <c r="W1406"/>
  <c r="S1406"/>
  <c r="Q1406"/>
  <c r="P1406"/>
  <c r="M1406"/>
  <c r="K1406"/>
  <c r="H1406"/>
  <c r="C1406"/>
  <c r="G1406"/>
  <c r="E1406"/>
  <c r="B1406"/>
  <c r="A1406"/>
  <c r="W1405"/>
  <c r="S1405"/>
  <c r="Q1405"/>
  <c r="P1405"/>
  <c r="M1405"/>
  <c r="K1405"/>
  <c r="H1405"/>
  <c r="C1405"/>
  <c r="G1405"/>
  <c r="E1405"/>
  <c r="B1405"/>
  <c r="A1405"/>
  <c r="W1404"/>
  <c r="S1404"/>
  <c r="Q1404"/>
  <c r="P1404"/>
  <c r="M1404"/>
  <c r="K1404"/>
  <c r="H1404"/>
  <c r="C1404"/>
  <c r="G1404"/>
  <c r="E1404"/>
  <c r="B1404"/>
  <c r="A1404"/>
  <c r="W1403"/>
  <c r="S1403"/>
  <c r="Q1403"/>
  <c r="P1403"/>
  <c r="M1403"/>
  <c r="K1403"/>
  <c r="H1403"/>
  <c r="C1403"/>
  <c r="G1403"/>
  <c r="E1403"/>
  <c r="B1403"/>
  <c r="A1403"/>
  <c r="W1402"/>
  <c r="S1402"/>
  <c r="Q1402"/>
  <c r="P1402"/>
  <c r="M1402"/>
  <c r="K1402"/>
  <c r="H1402"/>
  <c r="C1402"/>
  <c r="G1402"/>
  <c r="E1402"/>
  <c r="B1402"/>
  <c r="A1402"/>
  <c r="W1401"/>
  <c r="S1401"/>
  <c r="Q1401"/>
  <c r="P1401"/>
  <c r="M1401"/>
  <c r="K1401"/>
  <c r="H1401"/>
  <c r="C1401"/>
  <c r="G1401"/>
  <c r="E1401"/>
  <c r="B1401"/>
  <c r="A1401"/>
  <c r="W1400"/>
  <c r="S1400"/>
  <c r="Q1400"/>
  <c r="P1400"/>
  <c r="M1400"/>
  <c r="K1400"/>
  <c r="H1400"/>
  <c r="C1400"/>
  <c r="G1400"/>
  <c r="E1400"/>
  <c r="B1400"/>
  <c r="A1400"/>
  <c r="W1399"/>
  <c r="S1399"/>
  <c r="Q1399"/>
  <c r="P1399"/>
  <c r="M1399"/>
  <c r="K1399"/>
  <c r="H1399"/>
  <c r="C1399"/>
  <c r="G1399"/>
  <c r="E1399"/>
  <c r="B1399"/>
  <c r="A1399"/>
  <c r="W1398"/>
  <c r="S1398"/>
  <c r="Q1398"/>
  <c r="P1398"/>
  <c r="M1398"/>
  <c r="K1398"/>
  <c r="H1398"/>
  <c r="C1398"/>
  <c r="G1398"/>
  <c r="E1398"/>
  <c r="B1398"/>
  <c r="A1398"/>
  <c r="W1397"/>
  <c r="S1397"/>
  <c r="Q1397"/>
  <c r="P1397"/>
  <c r="M1397"/>
  <c r="K1397"/>
  <c r="H1397"/>
  <c r="C1397"/>
  <c r="G1397"/>
  <c r="E1397"/>
  <c r="B1397"/>
  <c r="A1397"/>
  <c r="W1396"/>
  <c r="S1396"/>
  <c r="Q1396"/>
  <c r="P1396"/>
  <c r="M1396"/>
  <c r="K1396"/>
  <c r="H1396"/>
  <c r="C1396"/>
  <c r="G1396"/>
  <c r="E1396"/>
  <c r="B1396"/>
  <c r="A1396"/>
  <c r="W1395"/>
  <c r="S1395"/>
  <c r="Q1395"/>
  <c r="P1395"/>
  <c r="M1395"/>
  <c r="K1395"/>
  <c r="H1395"/>
  <c r="C1395"/>
  <c r="G1395"/>
  <c r="E1395"/>
  <c r="B1395"/>
  <c r="A1395"/>
  <c r="W1394"/>
  <c r="S1394"/>
  <c r="Q1394"/>
  <c r="P1394"/>
  <c r="M1394"/>
  <c r="K1394"/>
  <c r="H1394"/>
  <c r="C1394"/>
  <c r="G1394"/>
  <c r="E1394"/>
  <c r="B1394"/>
  <c r="A1394"/>
  <c r="W1393"/>
  <c r="S1393"/>
  <c r="Q1393"/>
  <c r="P1393"/>
  <c r="M1393"/>
  <c r="K1393"/>
  <c r="H1393"/>
  <c r="C1393"/>
  <c r="G1393"/>
  <c r="E1393"/>
  <c r="B1393"/>
  <c r="A1393"/>
  <c r="W1392"/>
  <c r="S1392"/>
  <c r="Q1392"/>
  <c r="P1392"/>
  <c r="M1392"/>
  <c r="K1392"/>
  <c r="H1392"/>
  <c r="C1392"/>
  <c r="G1392"/>
  <c r="E1392"/>
  <c r="B1392"/>
  <c r="A1392"/>
  <c r="W1391"/>
  <c r="S1391"/>
  <c r="Q1391"/>
  <c r="P1391"/>
  <c r="M1391"/>
  <c r="K1391"/>
  <c r="H1391"/>
  <c r="C1391"/>
  <c r="G1391"/>
  <c r="E1391"/>
  <c r="B1391"/>
  <c r="A1391"/>
  <c r="W1390"/>
  <c r="S1390"/>
  <c r="Q1390"/>
  <c r="P1390"/>
  <c r="M1390"/>
  <c r="K1390"/>
  <c r="H1390"/>
  <c r="C1390"/>
  <c r="G1390"/>
  <c r="E1390"/>
  <c r="B1390"/>
  <c r="A1390"/>
  <c r="W1389"/>
  <c r="S1389"/>
  <c r="Q1389"/>
  <c r="P1389"/>
  <c r="M1389"/>
  <c r="K1389"/>
  <c r="H1389"/>
  <c r="C1389"/>
  <c r="G1389"/>
  <c r="E1389"/>
  <c r="B1389"/>
  <c r="A1389"/>
  <c r="W1388"/>
  <c r="S1388"/>
  <c r="Q1388"/>
  <c r="P1388"/>
  <c r="M1388"/>
  <c r="K1388"/>
  <c r="H1388"/>
  <c r="C1388"/>
  <c r="G1388"/>
  <c r="E1388"/>
  <c r="B1388"/>
  <c r="A1388"/>
  <c r="W1387"/>
  <c r="S1387"/>
  <c r="Q1387"/>
  <c r="P1387"/>
  <c r="M1387"/>
  <c r="K1387"/>
  <c r="H1387"/>
  <c r="C1387"/>
  <c r="G1387"/>
  <c r="E1387"/>
  <c r="B1387"/>
  <c r="A1387"/>
  <c r="W1386"/>
  <c r="S1386"/>
  <c r="Q1386"/>
  <c r="P1386"/>
  <c r="M1386"/>
  <c r="K1386"/>
  <c r="H1386"/>
  <c r="C1386"/>
  <c r="G1386"/>
  <c r="E1386"/>
  <c r="B1386"/>
  <c r="A1386"/>
  <c r="W1385"/>
  <c r="S1385"/>
  <c r="Q1385"/>
  <c r="P1385"/>
  <c r="M1385"/>
  <c r="K1385"/>
  <c r="H1385"/>
  <c r="C1385"/>
  <c r="G1385"/>
  <c r="E1385"/>
  <c r="B1385"/>
  <c r="A1385"/>
  <c r="W1384"/>
  <c r="S1384"/>
  <c r="Q1384"/>
  <c r="P1384"/>
  <c r="M1384"/>
  <c r="K1384"/>
  <c r="H1384"/>
  <c r="C1384"/>
  <c r="G1384"/>
  <c r="E1384"/>
  <c r="B1384"/>
  <c r="A1384"/>
  <c r="W1383"/>
  <c r="S1383"/>
  <c r="Q1383"/>
  <c r="P1383"/>
  <c r="M1383"/>
  <c r="K1383"/>
  <c r="H1383"/>
  <c r="C1383"/>
  <c r="G1383"/>
  <c r="E1383"/>
  <c r="B1383"/>
  <c r="A1383"/>
  <c r="W1382"/>
  <c r="S1382"/>
  <c r="Q1382"/>
  <c r="P1382"/>
  <c r="M1382"/>
  <c r="K1382"/>
  <c r="H1382"/>
  <c r="C1382"/>
  <c r="G1382"/>
  <c r="E1382"/>
  <c r="B1382"/>
  <c r="A1382"/>
  <c r="W1381"/>
  <c r="S1381"/>
  <c r="Q1381"/>
  <c r="P1381"/>
  <c r="M1381"/>
  <c r="K1381"/>
  <c r="H1381"/>
  <c r="C1381"/>
  <c r="G1381"/>
  <c r="E1381"/>
  <c r="B1381"/>
  <c r="A1381"/>
  <c r="W1380"/>
  <c r="S1380"/>
  <c r="Q1380"/>
  <c r="P1380"/>
  <c r="M1380"/>
  <c r="K1380"/>
  <c r="H1380"/>
  <c r="C1380"/>
  <c r="G1380"/>
  <c r="E1380"/>
  <c r="B1380"/>
  <c r="A1380"/>
  <c r="W1379"/>
  <c r="S1379"/>
  <c r="Q1379"/>
  <c r="P1379"/>
  <c r="M1379"/>
  <c r="K1379"/>
  <c r="H1379"/>
  <c r="C1379"/>
  <c r="G1379"/>
  <c r="E1379"/>
  <c r="B1379"/>
  <c r="A1379"/>
  <c r="W1378"/>
  <c r="S1378"/>
  <c r="Q1378"/>
  <c r="P1378"/>
  <c r="M1378"/>
  <c r="K1378"/>
  <c r="H1378"/>
  <c r="C1378"/>
  <c r="G1378"/>
  <c r="E1378"/>
  <c r="B1378"/>
  <c r="A1378"/>
  <c r="W1377"/>
  <c r="S1377"/>
  <c r="Q1377"/>
  <c r="P1377"/>
  <c r="M1377"/>
  <c r="K1377"/>
  <c r="H1377"/>
  <c r="C1377"/>
  <c r="G1377"/>
  <c r="E1377"/>
  <c r="B1377"/>
  <c r="A1377"/>
  <c r="W1376"/>
  <c r="S1376"/>
  <c r="Q1376"/>
  <c r="P1376"/>
  <c r="M1376"/>
  <c r="K1376"/>
  <c r="H1376"/>
  <c r="C1376"/>
  <c r="G1376"/>
  <c r="E1376"/>
  <c r="B1376"/>
  <c r="A1376"/>
  <c r="W1375"/>
  <c r="S1375"/>
  <c r="Q1375"/>
  <c r="P1375"/>
  <c r="M1375"/>
  <c r="K1375"/>
  <c r="H1375"/>
  <c r="C1375"/>
  <c r="G1375"/>
  <c r="E1375"/>
  <c r="B1375"/>
  <c r="A1375"/>
  <c r="W1374"/>
  <c r="S1374"/>
  <c r="Q1374"/>
  <c r="P1374"/>
  <c r="M1374"/>
  <c r="K1374"/>
  <c r="H1374"/>
  <c r="C1374"/>
  <c r="G1374"/>
  <c r="E1374"/>
  <c r="B1374"/>
  <c r="A1374"/>
  <c r="W1373"/>
  <c r="S1373"/>
  <c r="Q1373"/>
  <c r="P1373"/>
  <c r="M1373"/>
  <c r="K1373"/>
  <c r="H1373"/>
  <c r="C1373"/>
  <c r="G1373"/>
  <c r="E1373"/>
  <c r="B1373"/>
  <c r="A1373"/>
  <c r="W1372"/>
  <c r="S1372"/>
  <c r="Q1372"/>
  <c r="P1372"/>
  <c r="M1372"/>
  <c r="K1372"/>
  <c r="H1372"/>
  <c r="C1372"/>
  <c r="G1372"/>
  <c r="E1372"/>
  <c r="B1372"/>
  <c r="A1372"/>
  <c r="W1371"/>
  <c r="S1371"/>
  <c r="Q1371"/>
  <c r="P1371"/>
  <c r="M1371"/>
  <c r="K1371"/>
  <c r="H1371"/>
  <c r="C1371"/>
  <c r="G1371"/>
  <c r="E1371"/>
  <c r="B1371"/>
  <c r="A1371"/>
  <c r="W1370"/>
  <c r="S1370"/>
  <c r="Q1370"/>
  <c r="P1370"/>
  <c r="M1370"/>
  <c r="K1370"/>
  <c r="H1370"/>
  <c r="C1370"/>
  <c r="G1370"/>
  <c r="E1370"/>
  <c r="B1370"/>
  <c r="A1370"/>
  <c r="W1369"/>
  <c r="S1369"/>
  <c r="Q1369"/>
  <c r="P1369"/>
  <c r="M1369"/>
  <c r="K1369"/>
  <c r="H1369"/>
  <c r="C1369"/>
  <c r="G1369"/>
  <c r="E1369"/>
  <c r="B1369"/>
  <c r="A1369"/>
  <c r="W1368"/>
  <c r="S1368"/>
  <c r="Q1368"/>
  <c r="P1368"/>
  <c r="M1368"/>
  <c r="K1368"/>
  <c r="H1368"/>
  <c r="C1368"/>
  <c r="G1368"/>
  <c r="E1368"/>
  <c r="B1368"/>
  <c r="A1368"/>
  <c r="W1367"/>
  <c r="S1367"/>
  <c r="Q1367"/>
  <c r="P1367"/>
  <c r="M1367"/>
  <c r="K1367"/>
  <c r="H1367"/>
  <c r="C1367"/>
  <c r="G1367"/>
  <c r="E1367"/>
  <c r="B1367"/>
  <c r="A1367"/>
  <c r="W1366"/>
  <c r="S1366"/>
  <c r="Q1366"/>
  <c r="P1366"/>
  <c r="M1366"/>
  <c r="K1366"/>
  <c r="H1366"/>
  <c r="C1366"/>
  <c r="G1366"/>
  <c r="E1366"/>
  <c r="B1366"/>
  <c r="A1366"/>
  <c r="W1365"/>
  <c r="S1365"/>
  <c r="Q1365"/>
  <c r="P1365"/>
  <c r="M1365"/>
  <c r="K1365"/>
  <c r="H1365"/>
  <c r="C1365"/>
  <c r="G1365"/>
  <c r="E1365"/>
  <c r="B1365"/>
  <c r="A1365"/>
  <c r="W1364"/>
  <c r="S1364"/>
  <c r="Q1364"/>
  <c r="P1364"/>
  <c r="M1364"/>
  <c r="K1364"/>
  <c r="H1364"/>
  <c r="C1364"/>
  <c r="G1364"/>
  <c r="E1364"/>
  <c r="B1364"/>
  <c r="A1364"/>
  <c r="W1363"/>
  <c r="S1363"/>
  <c r="Q1363"/>
  <c r="P1363"/>
  <c r="M1363"/>
  <c r="K1363"/>
  <c r="H1363"/>
  <c r="C1363"/>
  <c r="G1363"/>
  <c r="E1363"/>
  <c r="B1363"/>
  <c r="A1363"/>
  <c r="W1362"/>
  <c r="S1362"/>
  <c r="Q1362"/>
  <c r="P1362"/>
  <c r="M1362"/>
  <c r="K1362"/>
  <c r="H1362"/>
  <c r="C1362"/>
  <c r="G1362"/>
  <c r="E1362"/>
  <c r="B1362"/>
  <c r="A1362"/>
  <c r="W1361"/>
  <c r="S1361"/>
  <c r="Q1361"/>
  <c r="P1361"/>
  <c r="M1361"/>
  <c r="K1361"/>
  <c r="H1361"/>
  <c r="C1361"/>
  <c r="G1361"/>
  <c r="E1361"/>
  <c r="B1361"/>
  <c r="A1361"/>
  <c r="W1360"/>
  <c r="S1360"/>
  <c r="Q1360"/>
  <c r="P1360"/>
  <c r="M1360"/>
  <c r="K1360"/>
  <c r="H1360"/>
  <c r="C1360"/>
  <c r="G1360"/>
  <c r="E1360"/>
  <c r="B1360"/>
  <c r="A1360"/>
  <c r="W1359"/>
  <c r="S1359"/>
  <c r="Q1359"/>
  <c r="P1359"/>
  <c r="M1359"/>
  <c r="K1359"/>
  <c r="H1359"/>
  <c r="C1359"/>
  <c r="G1359"/>
  <c r="E1359"/>
  <c r="B1359"/>
  <c r="A1359"/>
  <c r="W1358"/>
  <c r="S1358"/>
  <c r="Q1358"/>
  <c r="P1358"/>
  <c r="M1358"/>
  <c r="K1358"/>
  <c r="H1358"/>
  <c r="C1358"/>
  <c r="G1358"/>
  <c r="E1358"/>
  <c r="B1358"/>
  <c r="A1358"/>
  <c r="W1357"/>
  <c r="S1357"/>
  <c r="Q1357"/>
  <c r="P1357"/>
  <c r="M1357"/>
  <c r="K1357"/>
  <c r="H1357"/>
  <c r="C1357"/>
  <c r="G1357"/>
  <c r="E1357"/>
  <c r="B1357"/>
  <c r="A1357"/>
  <c r="W1356"/>
  <c r="S1356"/>
  <c r="Q1356"/>
  <c r="P1356"/>
  <c r="M1356"/>
  <c r="K1356"/>
  <c r="H1356"/>
  <c r="C1356"/>
  <c r="G1356"/>
  <c r="E1356"/>
  <c r="B1356"/>
  <c r="A1356"/>
  <c r="W1355"/>
  <c r="S1355"/>
  <c r="Q1355"/>
  <c r="P1355"/>
  <c r="M1355"/>
  <c r="K1355"/>
  <c r="H1355"/>
  <c r="C1355"/>
  <c r="G1355"/>
  <c r="E1355"/>
  <c r="B1355"/>
  <c r="A1355"/>
  <c r="W1354"/>
  <c r="S1354"/>
  <c r="Q1354"/>
  <c r="P1354"/>
  <c r="M1354"/>
  <c r="K1354"/>
  <c r="H1354"/>
  <c r="C1354"/>
  <c r="G1354"/>
  <c r="E1354"/>
  <c r="B1354"/>
  <c r="A1354"/>
  <c r="W1353"/>
  <c r="S1353"/>
  <c r="Q1353"/>
  <c r="P1353"/>
  <c r="M1353"/>
  <c r="K1353"/>
  <c r="H1353"/>
  <c r="C1353"/>
  <c r="G1353"/>
  <c r="E1353"/>
  <c r="B1353"/>
  <c r="A1353"/>
  <c r="W1352"/>
  <c r="S1352"/>
  <c r="Q1352"/>
  <c r="P1352"/>
  <c r="M1352"/>
  <c r="K1352"/>
  <c r="H1352"/>
  <c r="C1352"/>
  <c r="G1352"/>
  <c r="E1352"/>
  <c r="B1352"/>
  <c r="A1352"/>
  <c r="W1351"/>
  <c r="S1351"/>
  <c r="Q1351"/>
  <c r="P1351"/>
  <c r="M1351"/>
  <c r="K1351"/>
  <c r="H1351"/>
  <c r="C1351"/>
  <c r="G1351"/>
  <c r="E1351"/>
  <c r="B1351"/>
  <c r="A1351"/>
  <c r="W1350"/>
  <c r="S1350"/>
  <c r="Q1350"/>
  <c r="P1350"/>
  <c r="M1350"/>
  <c r="K1350"/>
  <c r="H1350"/>
  <c r="C1350"/>
  <c r="G1350"/>
  <c r="E1350"/>
  <c r="B1350"/>
  <c r="A1350"/>
  <c r="W1349"/>
  <c r="S1349"/>
  <c r="Q1349"/>
  <c r="P1349"/>
  <c r="M1349"/>
  <c r="K1349"/>
  <c r="H1349"/>
  <c r="C1349"/>
  <c r="G1349"/>
  <c r="E1349"/>
  <c r="B1349"/>
  <c r="A1349"/>
  <c r="W1348"/>
  <c r="S1348"/>
  <c r="Q1348"/>
  <c r="P1348"/>
  <c r="M1348"/>
  <c r="K1348"/>
  <c r="H1348"/>
  <c r="C1348"/>
  <c r="G1348"/>
  <c r="E1348"/>
  <c r="B1348"/>
  <c r="A1348"/>
  <c r="W1347"/>
  <c r="S1347"/>
  <c r="Q1347"/>
  <c r="P1347"/>
  <c r="M1347"/>
  <c r="K1347"/>
  <c r="H1347"/>
  <c r="C1347"/>
  <c r="G1347"/>
  <c r="E1347"/>
  <c r="B1347"/>
  <c r="A1347"/>
  <c r="W1346"/>
  <c r="S1346"/>
  <c r="Q1346"/>
  <c r="P1346"/>
  <c r="M1346"/>
  <c r="K1346"/>
  <c r="H1346"/>
  <c r="C1346"/>
  <c r="G1346"/>
  <c r="E1346"/>
  <c r="B1346"/>
  <c r="A1346"/>
  <c r="W1345"/>
  <c r="S1345"/>
  <c r="Q1345"/>
  <c r="P1345"/>
  <c r="M1345"/>
  <c r="K1345"/>
  <c r="H1345"/>
  <c r="C1345"/>
  <c r="G1345"/>
  <c r="E1345"/>
  <c r="B1345"/>
  <c r="A1345"/>
  <c r="W1344"/>
  <c r="S1344"/>
  <c r="Q1344"/>
  <c r="P1344"/>
  <c r="M1344"/>
  <c r="K1344"/>
  <c r="H1344"/>
  <c r="C1344"/>
  <c r="G1344"/>
  <c r="E1344"/>
  <c r="B1344"/>
  <c r="A1344"/>
  <c r="W1343"/>
  <c r="S1343"/>
  <c r="Q1343"/>
  <c r="P1343"/>
  <c r="M1343"/>
  <c r="K1343"/>
  <c r="H1343"/>
  <c r="C1343"/>
  <c r="G1343"/>
  <c r="E1343"/>
  <c r="B1343"/>
  <c r="A1343"/>
  <c r="W1342"/>
  <c r="S1342"/>
  <c r="R1342"/>
  <c r="Q1342"/>
  <c r="P1342"/>
  <c r="M1342"/>
  <c r="K1342"/>
  <c r="H1342"/>
  <c r="C1342"/>
  <c r="G1342"/>
  <c r="E1342"/>
  <c r="B1342"/>
  <c r="A1342"/>
  <c r="W1341"/>
  <c r="S1341"/>
  <c r="Q1341"/>
  <c r="P1341"/>
  <c r="M1341"/>
  <c r="K1341"/>
  <c r="H1341"/>
  <c r="C1341"/>
  <c r="G1341"/>
  <c r="E1341"/>
  <c r="B1341"/>
  <c r="A1341"/>
  <c r="W1340"/>
  <c r="S1340"/>
  <c r="Q1340"/>
  <c r="P1340"/>
  <c r="M1340"/>
  <c r="K1340"/>
  <c r="H1340"/>
  <c r="C1340"/>
  <c r="G1340"/>
  <c r="E1340"/>
  <c r="B1340"/>
  <c r="A1340"/>
  <c r="W1339"/>
  <c r="S1339"/>
  <c r="Q1339"/>
  <c r="P1339"/>
  <c r="M1339"/>
  <c r="K1339"/>
  <c r="H1339"/>
  <c r="C1339"/>
  <c r="G1339"/>
  <c r="E1339"/>
  <c r="B1339"/>
  <c r="A1339"/>
  <c r="W1338"/>
  <c r="S1338"/>
  <c r="Q1338"/>
  <c r="P1338"/>
  <c r="M1338"/>
  <c r="K1338"/>
  <c r="H1338"/>
  <c r="C1338"/>
  <c r="G1338"/>
  <c r="E1338"/>
  <c r="B1338"/>
  <c r="A1338"/>
  <c r="W1337"/>
  <c r="S1337"/>
  <c r="Q1337"/>
  <c r="P1337"/>
  <c r="M1337"/>
  <c r="K1337"/>
  <c r="H1337"/>
  <c r="C1337"/>
  <c r="G1337"/>
  <c r="E1337"/>
  <c r="B1337"/>
  <c r="A1337"/>
  <c r="W1336"/>
  <c r="S1336"/>
  <c r="Q1336"/>
  <c r="P1336"/>
  <c r="M1336"/>
  <c r="K1336"/>
  <c r="H1336"/>
  <c r="C1336"/>
  <c r="G1336"/>
  <c r="E1336"/>
  <c r="B1336"/>
  <c r="A1336"/>
  <c r="W1335"/>
  <c r="S1335"/>
  <c r="Q1335"/>
  <c r="P1335"/>
  <c r="M1335"/>
  <c r="K1335"/>
  <c r="H1335"/>
  <c r="C1335"/>
  <c r="G1335"/>
  <c r="E1335"/>
  <c r="B1335"/>
  <c r="A1335"/>
  <c r="W1334"/>
  <c r="S1334"/>
  <c r="Q1334"/>
  <c r="P1334"/>
  <c r="M1334"/>
  <c r="K1334"/>
  <c r="H1334"/>
  <c r="C1334"/>
  <c r="G1334"/>
  <c r="E1334"/>
  <c r="B1334"/>
  <c r="A1334"/>
  <c r="W1333"/>
  <c r="S1333"/>
  <c r="Q1333"/>
  <c r="P1333"/>
  <c r="M1333"/>
  <c r="K1333"/>
  <c r="H1333"/>
  <c r="C1333"/>
  <c r="G1333"/>
  <c r="E1333"/>
  <c r="B1333"/>
  <c r="A1333"/>
  <c r="W1332"/>
  <c r="S1332"/>
  <c r="Q1332"/>
  <c r="P1332"/>
  <c r="M1332"/>
  <c r="K1332"/>
  <c r="H1332"/>
  <c r="C1332"/>
  <c r="G1332"/>
  <c r="E1332"/>
  <c r="B1332"/>
  <c r="A1332"/>
  <c r="W1331"/>
  <c r="S1331"/>
  <c r="Q1331"/>
  <c r="P1331"/>
  <c r="M1331"/>
  <c r="K1331"/>
  <c r="H1331"/>
  <c r="C1331"/>
  <c r="G1331"/>
  <c r="E1331"/>
  <c r="B1331"/>
  <c r="A1331"/>
  <c r="W1330"/>
  <c r="S1330"/>
  <c r="Q1330"/>
  <c r="P1330"/>
  <c r="M1330"/>
  <c r="K1330"/>
  <c r="H1330"/>
  <c r="C1330"/>
  <c r="G1330"/>
  <c r="E1330"/>
  <c r="B1330"/>
  <c r="A1330"/>
  <c r="W1329"/>
  <c r="S1329"/>
  <c r="Q1329"/>
  <c r="P1329"/>
  <c r="M1329"/>
  <c r="K1329"/>
  <c r="H1329"/>
  <c r="C1329"/>
  <c r="G1329"/>
  <c r="E1329"/>
  <c r="B1329"/>
  <c r="A1329"/>
  <c r="W1328"/>
  <c r="S1328"/>
  <c r="Q1328"/>
  <c r="P1328"/>
  <c r="M1328"/>
  <c r="K1328"/>
  <c r="H1328"/>
  <c r="C1328"/>
  <c r="G1328"/>
  <c r="E1328"/>
  <c r="B1328"/>
  <c r="A1328"/>
  <c r="W1327"/>
  <c r="S1327"/>
  <c r="Q1327"/>
  <c r="P1327"/>
  <c r="M1327"/>
  <c r="K1327"/>
  <c r="H1327"/>
  <c r="C1327"/>
  <c r="G1327"/>
  <c r="E1327"/>
  <c r="B1327"/>
  <c r="A1327"/>
  <c r="W1326"/>
  <c r="S1326"/>
  <c r="Q1326"/>
  <c r="P1326"/>
  <c r="M1326"/>
  <c r="K1326"/>
  <c r="H1326"/>
  <c r="C1326"/>
  <c r="G1326"/>
  <c r="E1326"/>
  <c r="B1326"/>
  <c r="A1326"/>
  <c r="W1325"/>
  <c r="S1325"/>
  <c r="Q1325"/>
  <c r="P1325"/>
  <c r="M1325"/>
  <c r="K1325"/>
  <c r="H1325"/>
  <c r="C1325"/>
  <c r="G1325"/>
  <c r="E1325"/>
  <c r="B1325"/>
  <c r="A1325"/>
  <c r="W1324"/>
  <c r="S1324"/>
  <c r="Q1324"/>
  <c r="P1324"/>
  <c r="M1324"/>
  <c r="K1324"/>
  <c r="H1324"/>
  <c r="C1324"/>
  <c r="G1324"/>
  <c r="E1324"/>
  <c r="B1324"/>
  <c r="A1324"/>
  <c r="W1323"/>
  <c r="S1323"/>
  <c r="Q1323"/>
  <c r="P1323"/>
  <c r="M1323"/>
  <c r="K1323"/>
  <c r="H1323"/>
  <c r="C1323"/>
  <c r="G1323"/>
  <c r="E1323"/>
  <c r="B1323"/>
  <c r="A1323"/>
  <c r="W1322"/>
  <c r="S1322"/>
  <c r="Q1322"/>
  <c r="P1322"/>
  <c r="M1322"/>
  <c r="K1322"/>
  <c r="H1322"/>
  <c r="C1322"/>
  <c r="G1322"/>
  <c r="E1322"/>
  <c r="B1322"/>
  <c r="A1322"/>
  <c r="W1321"/>
  <c r="S1321"/>
  <c r="Q1321"/>
  <c r="P1321"/>
  <c r="N1321"/>
  <c r="M1321"/>
  <c r="K1321"/>
  <c r="H1321"/>
  <c r="C1321"/>
  <c r="G1321"/>
  <c r="E1321"/>
  <c r="B1321"/>
  <c r="A1321"/>
  <c r="W1320"/>
  <c r="S1320"/>
  <c r="Q1320"/>
  <c r="P1320"/>
  <c r="N1320"/>
  <c r="M1320"/>
  <c r="K1320"/>
  <c r="H1320"/>
  <c r="C1320"/>
  <c r="G1320"/>
  <c r="E1320"/>
  <c r="B1320"/>
  <c r="A1320"/>
  <c r="W1319"/>
  <c r="S1319"/>
  <c r="Q1319"/>
  <c r="P1319"/>
  <c r="M1319"/>
  <c r="K1319"/>
  <c r="H1319"/>
  <c r="C1319"/>
  <c r="G1319"/>
  <c r="E1319"/>
  <c r="B1319"/>
  <c r="A1319"/>
  <c r="W1318"/>
  <c r="S1318"/>
  <c r="Q1318"/>
  <c r="P1318"/>
  <c r="M1318"/>
  <c r="K1318"/>
  <c r="H1318"/>
  <c r="C1318"/>
  <c r="G1318"/>
  <c r="E1318"/>
  <c r="B1318"/>
  <c r="A1318"/>
  <c r="W1317"/>
  <c r="S1317"/>
  <c r="Q1317"/>
  <c r="P1317"/>
  <c r="M1317"/>
  <c r="K1317"/>
  <c r="H1317"/>
  <c r="C1317"/>
  <c r="G1317"/>
  <c r="E1317"/>
  <c r="B1317"/>
  <c r="A1317"/>
  <c r="W1316"/>
  <c r="S1316"/>
  <c r="Q1316"/>
  <c r="P1316"/>
  <c r="M1316"/>
  <c r="K1316"/>
  <c r="H1316"/>
  <c r="C1316"/>
  <c r="G1316"/>
  <c r="E1316"/>
  <c r="B1316"/>
  <c r="A1316"/>
  <c r="W1315"/>
  <c r="S1315"/>
  <c r="Q1315"/>
  <c r="P1315"/>
  <c r="M1315"/>
  <c r="K1315"/>
  <c r="H1315"/>
  <c r="C1315"/>
  <c r="G1315"/>
  <c r="E1315"/>
  <c r="B1315"/>
  <c r="A1315"/>
  <c r="W1314"/>
  <c r="S1314"/>
  <c r="Q1314"/>
  <c r="P1314"/>
  <c r="M1314"/>
  <c r="K1314"/>
  <c r="H1314"/>
  <c r="C1314"/>
  <c r="G1314"/>
  <c r="E1314"/>
  <c r="B1314"/>
  <c r="A1314"/>
  <c r="W1313"/>
  <c r="S1313"/>
  <c r="Q1313"/>
  <c r="P1313"/>
  <c r="M1313"/>
  <c r="K1313"/>
  <c r="H1313"/>
  <c r="C1313"/>
  <c r="G1313"/>
  <c r="E1313"/>
  <c r="B1313"/>
  <c r="A1313"/>
  <c r="W1312"/>
  <c r="S1312"/>
  <c r="Q1312"/>
  <c r="P1312"/>
  <c r="M1312"/>
  <c r="K1312"/>
  <c r="H1312"/>
  <c r="C1312"/>
  <c r="G1312"/>
  <c r="E1312"/>
  <c r="B1312"/>
  <c r="A1312"/>
  <c r="W1311"/>
  <c r="S1311"/>
  <c r="Q1311"/>
  <c r="P1311"/>
  <c r="M1311"/>
  <c r="K1311"/>
  <c r="H1311"/>
  <c r="C1311"/>
  <c r="G1311"/>
  <c r="E1311"/>
  <c r="B1311"/>
  <c r="A1311"/>
  <c r="W1310"/>
  <c r="S1310"/>
  <c r="Q1310"/>
  <c r="P1310"/>
  <c r="M1310"/>
  <c r="K1310"/>
  <c r="H1310"/>
  <c r="C1310"/>
  <c r="G1310"/>
  <c r="E1310"/>
  <c r="B1310"/>
  <c r="A1310"/>
  <c r="W1309"/>
  <c r="S1309"/>
  <c r="Q1309"/>
  <c r="P1309"/>
  <c r="N1309"/>
  <c r="M1309"/>
  <c r="K1309"/>
  <c r="H1309"/>
  <c r="C1309"/>
  <c r="G1309"/>
  <c r="E1309"/>
  <c r="B1309"/>
  <c r="A1309"/>
  <c r="W1308"/>
  <c r="S1308"/>
  <c r="Q1308"/>
  <c r="P1308"/>
  <c r="M1308"/>
  <c r="K1308"/>
  <c r="H1308"/>
  <c r="C1308"/>
  <c r="G1308"/>
  <c r="E1308"/>
  <c r="B1308"/>
  <c r="A1308"/>
  <c r="W1307"/>
  <c r="S1307"/>
  <c r="Q1307"/>
  <c r="P1307"/>
  <c r="N1307"/>
  <c r="M1307"/>
  <c r="K1307"/>
  <c r="H1307"/>
  <c r="C1307"/>
  <c r="G1307"/>
  <c r="E1307"/>
  <c r="B1307"/>
  <c r="A1307"/>
  <c r="W1306"/>
  <c r="S1306"/>
  <c r="Q1306"/>
  <c r="P1306"/>
  <c r="N1306"/>
  <c r="M1306"/>
  <c r="K1306"/>
  <c r="H1306"/>
  <c r="C1306"/>
  <c r="G1306"/>
  <c r="E1306"/>
  <c r="B1306"/>
  <c r="A1306"/>
  <c r="W1305"/>
  <c r="S1305"/>
  <c r="Q1305"/>
  <c r="P1305"/>
  <c r="M1305"/>
  <c r="K1305"/>
  <c r="H1305"/>
  <c r="C1305"/>
  <c r="G1305"/>
  <c r="E1305"/>
  <c r="B1305"/>
  <c r="A1305"/>
  <c r="W1304"/>
  <c r="S1304"/>
  <c r="Q1304"/>
  <c r="P1304"/>
  <c r="M1304"/>
  <c r="K1304"/>
  <c r="H1304"/>
  <c r="C1304"/>
  <c r="G1304"/>
  <c r="E1304"/>
  <c r="B1304"/>
  <c r="A1304"/>
  <c r="W1303"/>
  <c r="S1303"/>
  <c r="Q1303"/>
  <c r="P1303"/>
  <c r="M1303"/>
  <c r="K1303"/>
  <c r="H1303"/>
  <c r="C1303"/>
  <c r="G1303"/>
  <c r="E1303"/>
  <c r="B1303"/>
  <c r="A1303"/>
  <c r="W1302"/>
  <c r="S1302"/>
  <c r="Q1302"/>
  <c r="P1302"/>
  <c r="M1302"/>
  <c r="K1302"/>
  <c r="H1302"/>
  <c r="C1302"/>
  <c r="G1302"/>
  <c r="E1302"/>
  <c r="B1302"/>
  <c r="A1302"/>
  <c r="W1301"/>
  <c r="S1301"/>
  <c r="Q1301"/>
  <c r="P1301"/>
  <c r="N1301"/>
  <c r="M1301"/>
  <c r="K1301"/>
  <c r="H1301"/>
  <c r="C1301"/>
  <c r="G1301"/>
  <c r="E1301"/>
  <c r="B1301"/>
  <c r="A1301"/>
  <c r="W1300"/>
  <c r="S1300"/>
  <c r="Q1300"/>
  <c r="P1300"/>
  <c r="M1300"/>
  <c r="K1300"/>
  <c r="H1300"/>
  <c r="C1300"/>
  <c r="G1300"/>
  <c r="E1300"/>
  <c r="B1300"/>
  <c r="A1300"/>
  <c r="W1299"/>
  <c r="S1299"/>
  <c r="Q1299"/>
  <c r="P1299"/>
  <c r="M1299"/>
  <c r="K1299"/>
  <c r="H1299"/>
  <c r="C1299"/>
  <c r="G1299"/>
  <c r="E1299"/>
  <c r="B1299"/>
  <c r="A1299"/>
  <c r="W1298"/>
  <c r="S1298"/>
  <c r="Q1298"/>
  <c r="P1298"/>
  <c r="M1298"/>
  <c r="K1298"/>
  <c r="H1298"/>
  <c r="C1298"/>
  <c r="G1298"/>
  <c r="E1298"/>
  <c r="B1298"/>
  <c r="A1298"/>
  <c r="W1297"/>
  <c r="S1297"/>
  <c r="Q1297"/>
  <c r="P1297"/>
  <c r="M1297"/>
  <c r="K1297"/>
  <c r="H1297"/>
  <c r="C1297"/>
  <c r="G1297"/>
  <c r="E1297"/>
  <c r="B1297"/>
  <c r="A1297"/>
  <c r="W1296"/>
  <c r="S1296"/>
  <c r="Q1296"/>
  <c r="P1296"/>
  <c r="M1296"/>
  <c r="K1296"/>
  <c r="H1296"/>
  <c r="C1296"/>
  <c r="G1296"/>
  <c r="E1296"/>
  <c r="B1296"/>
  <c r="A1296"/>
  <c r="W1295"/>
  <c r="S1295"/>
  <c r="R1295"/>
  <c r="Q1295"/>
  <c r="P1295"/>
  <c r="M1295"/>
  <c r="K1295"/>
  <c r="H1295"/>
  <c r="C1295"/>
  <c r="G1295"/>
  <c r="E1295"/>
  <c r="B1295"/>
  <c r="A1295"/>
  <c r="W1294"/>
  <c r="S1294"/>
  <c r="Q1294"/>
  <c r="P1294"/>
  <c r="M1294"/>
  <c r="K1294"/>
  <c r="H1294"/>
  <c r="C1294"/>
  <c r="G1294"/>
  <c r="E1294"/>
  <c r="B1294"/>
  <c r="A1294"/>
  <c r="W1293"/>
  <c r="S1293"/>
  <c r="Q1293"/>
  <c r="P1293"/>
  <c r="M1293"/>
  <c r="K1293"/>
  <c r="H1293"/>
  <c r="C1293"/>
  <c r="G1293"/>
  <c r="E1293"/>
  <c r="B1293"/>
  <c r="A1293"/>
  <c r="W1292"/>
  <c r="S1292"/>
  <c r="Q1292"/>
  <c r="P1292"/>
  <c r="M1292"/>
  <c r="K1292"/>
  <c r="H1292"/>
  <c r="C1292"/>
  <c r="G1292"/>
  <c r="E1292"/>
  <c r="B1292"/>
  <c r="A1292"/>
  <c r="W1291"/>
  <c r="S1291"/>
  <c r="Q1291"/>
  <c r="P1291"/>
  <c r="M1291"/>
  <c r="K1291"/>
  <c r="H1291"/>
  <c r="C1291"/>
  <c r="G1291"/>
  <c r="E1291"/>
  <c r="B1291"/>
  <c r="A1291"/>
  <c r="W1290"/>
  <c r="S1290"/>
  <c r="Q1290"/>
  <c r="P1290"/>
  <c r="M1290"/>
  <c r="K1290"/>
  <c r="H1290"/>
  <c r="C1290"/>
  <c r="G1290"/>
  <c r="E1290"/>
  <c r="B1290"/>
  <c r="A1290"/>
  <c r="W1289"/>
  <c r="S1289"/>
  <c r="Q1289"/>
  <c r="P1289"/>
  <c r="M1289"/>
  <c r="K1289"/>
  <c r="H1289"/>
  <c r="C1289"/>
  <c r="G1289"/>
  <c r="E1289"/>
  <c r="B1289"/>
  <c r="A1289"/>
  <c r="W1288"/>
  <c r="S1288"/>
  <c r="Q1288"/>
  <c r="P1288"/>
  <c r="M1288"/>
  <c r="K1288"/>
  <c r="H1288"/>
  <c r="C1288"/>
  <c r="G1288"/>
  <c r="E1288"/>
  <c r="B1288"/>
  <c r="A1288"/>
  <c r="W1287"/>
  <c r="S1287"/>
  <c r="Q1287"/>
  <c r="P1287"/>
  <c r="M1287"/>
  <c r="K1287"/>
  <c r="H1287"/>
  <c r="C1287"/>
  <c r="G1287"/>
  <c r="E1287"/>
  <c r="B1287"/>
  <c r="A1287"/>
  <c r="W1286"/>
  <c r="S1286"/>
  <c r="Q1286"/>
  <c r="P1286"/>
  <c r="M1286"/>
  <c r="K1286"/>
  <c r="H1286"/>
  <c r="C1286"/>
  <c r="G1286"/>
  <c r="E1286"/>
  <c r="B1286"/>
  <c r="A1286"/>
  <c r="W1285"/>
  <c r="S1285"/>
  <c r="Q1285"/>
  <c r="P1285"/>
  <c r="M1285"/>
  <c r="K1285"/>
  <c r="H1285"/>
  <c r="C1285"/>
  <c r="G1285"/>
  <c r="E1285"/>
  <c r="B1285"/>
  <c r="A1285"/>
  <c r="W1284"/>
  <c r="S1284"/>
  <c r="Q1284"/>
  <c r="P1284"/>
  <c r="M1284"/>
  <c r="K1284"/>
  <c r="H1284"/>
  <c r="C1284"/>
  <c r="G1284"/>
  <c r="E1284"/>
  <c r="B1284"/>
  <c r="A1284"/>
  <c r="W1283"/>
  <c r="S1283"/>
  <c r="Q1283"/>
  <c r="P1283"/>
  <c r="M1283"/>
  <c r="K1283"/>
  <c r="H1283"/>
  <c r="C1283"/>
  <c r="G1283"/>
  <c r="E1283"/>
  <c r="B1283"/>
  <c r="A1283"/>
  <c r="W1282"/>
  <c r="S1282"/>
  <c r="Q1282"/>
  <c r="P1282"/>
  <c r="M1282"/>
  <c r="K1282"/>
  <c r="H1282"/>
  <c r="C1282"/>
  <c r="G1282"/>
  <c r="E1282"/>
  <c r="B1282"/>
  <c r="A1282"/>
  <c r="W1281"/>
  <c r="S1281"/>
  <c r="Q1281"/>
  <c r="P1281"/>
  <c r="M1281"/>
  <c r="K1281"/>
  <c r="H1281"/>
  <c r="C1281"/>
  <c r="G1281"/>
  <c r="E1281"/>
  <c r="B1281"/>
  <c r="A1281"/>
  <c r="W1280"/>
  <c r="S1280"/>
  <c r="Q1280"/>
  <c r="P1280"/>
  <c r="M1280"/>
  <c r="K1280"/>
  <c r="H1280"/>
  <c r="C1280"/>
  <c r="G1280"/>
  <c r="E1280"/>
  <c r="B1280"/>
  <c r="A1280"/>
  <c r="W1279"/>
  <c r="S1279"/>
  <c r="Q1279"/>
  <c r="P1279"/>
  <c r="M1279"/>
  <c r="K1279"/>
  <c r="H1279"/>
  <c r="C1279"/>
  <c r="G1279"/>
  <c r="E1279"/>
  <c r="B1279"/>
  <c r="A1279"/>
  <c r="W1278"/>
  <c r="S1278"/>
  <c r="Q1278"/>
  <c r="P1278"/>
  <c r="M1278"/>
  <c r="K1278"/>
  <c r="H1278"/>
  <c r="C1278"/>
  <c r="G1278"/>
  <c r="E1278"/>
  <c r="B1278"/>
  <c r="A1278"/>
  <c r="W1277"/>
  <c r="S1277"/>
  <c r="Q1277"/>
  <c r="P1277"/>
  <c r="M1277"/>
  <c r="K1277"/>
  <c r="H1277"/>
  <c r="C1277"/>
  <c r="G1277"/>
  <c r="E1277"/>
  <c r="B1277"/>
  <c r="A1277"/>
  <c r="W1276"/>
  <c r="S1276"/>
  <c r="Q1276"/>
  <c r="P1276"/>
  <c r="M1276"/>
  <c r="K1276"/>
  <c r="H1276"/>
  <c r="C1276"/>
  <c r="G1276"/>
  <c r="E1276"/>
  <c r="B1276"/>
  <c r="A1276"/>
  <c r="W1275"/>
  <c r="S1275"/>
  <c r="Q1275"/>
  <c r="P1275"/>
  <c r="M1275"/>
  <c r="K1275"/>
  <c r="H1275"/>
  <c r="C1275"/>
  <c r="G1275"/>
  <c r="E1275"/>
  <c r="B1275"/>
  <c r="A1275"/>
  <c r="W1274"/>
  <c r="S1274"/>
  <c r="Q1274"/>
  <c r="P1274"/>
  <c r="M1274"/>
  <c r="K1274"/>
  <c r="H1274"/>
  <c r="C1274"/>
  <c r="G1274"/>
  <c r="E1274"/>
  <c r="B1274"/>
  <c r="A1274"/>
  <c r="W1273"/>
  <c r="S1273"/>
  <c r="Q1273"/>
  <c r="P1273"/>
  <c r="M1273"/>
  <c r="K1273"/>
  <c r="H1273"/>
  <c r="C1273"/>
  <c r="G1273"/>
  <c r="E1273"/>
  <c r="B1273"/>
  <c r="A1273"/>
  <c r="W1272"/>
  <c r="S1272"/>
  <c r="Q1272"/>
  <c r="P1272"/>
  <c r="M1272"/>
  <c r="K1272"/>
  <c r="H1272"/>
  <c r="C1272"/>
  <c r="G1272"/>
  <c r="E1272"/>
  <c r="B1272"/>
  <c r="A1272"/>
  <c r="W1271"/>
  <c r="S1271"/>
  <c r="Q1271"/>
  <c r="P1271"/>
  <c r="M1271"/>
  <c r="K1271"/>
  <c r="H1271"/>
  <c r="C1271"/>
  <c r="G1271"/>
  <c r="E1271"/>
  <c r="B1271"/>
  <c r="A1271"/>
  <c r="W1270"/>
  <c r="S1270"/>
  <c r="Q1270"/>
  <c r="P1270"/>
  <c r="M1270"/>
  <c r="K1270"/>
  <c r="H1270"/>
  <c r="C1270"/>
  <c r="G1270"/>
  <c r="E1270"/>
  <c r="B1270"/>
  <c r="A1270"/>
  <c r="W1269"/>
  <c r="S1269"/>
  <c r="Q1269"/>
  <c r="P1269"/>
  <c r="M1269"/>
  <c r="K1269"/>
  <c r="H1269"/>
  <c r="C1269"/>
  <c r="G1269"/>
  <c r="E1269"/>
  <c r="B1269"/>
  <c r="A1269"/>
  <c r="W1268"/>
  <c r="S1268"/>
  <c r="Q1268"/>
  <c r="P1268"/>
  <c r="M1268"/>
  <c r="K1268"/>
  <c r="H1268"/>
  <c r="C1268"/>
  <c r="G1268"/>
  <c r="E1268"/>
  <c r="B1268"/>
  <c r="A1268"/>
  <c r="W1267"/>
  <c r="S1267"/>
  <c r="Q1267"/>
  <c r="P1267"/>
  <c r="M1267"/>
  <c r="K1267"/>
  <c r="H1267"/>
  <c r="C1267"/>
  <c r="G1267"/>
  <c r="E1267"/>
  <c r="B1267"/>
  <c r="A1267"/>
  <c r="W1266"/>
  <c r="S1266"/>
  <c r="Q1266"/>
  <c r="P1266"/>
  <c r="M1266"/>
  <c r="K1266"/>
  <c r="H1266"/>
  <c r="C1266"/>
  <c r="G1266"/>
  <c r="E1266"/>
  <c r="B1266"/>
  <c r="A1266"/>
  <c r="W1265"/>
  <c r="S1265"/>
  <c r="Q1265"/>
  <c r="P1265"/>
  <c r="M1265"/>
  <c r="K1265"/>
  <c r="H1265"/>
  <c r="C1265"/>
  <c r="G1265"/>
  <c r="E1265"/>
  <c r="B1265"/>
  <c r="A1265"/>
  <c r="W1264"/>
  <c r="S1264"/>
  <c r="Q1264"/>
  <c r="P1264"/>
  <c r="M1264"/>
  <c r="K1264"/>
  <c r="H1264"/>
  <c r="C1264"/>
  <c r="G1264"/>
  <c r="E1264"/>
  <c r="B1264"/>
  <c r="A1264"/>
  <c r="W1263"/>
  <c r="S1263"/>
  <c r="Q1263"/>
  <c r="P1263"/>
  <c r="M1263"/>
  <c r="K1263"/>
  <c r="H1263"/>
  <c r="C1263"/>
  <c r="G1263"/>
  <c r="E1263"/>
  <c r="B1263"/>
  <c r="A1263"/>
  <c r="W1262"/>
  <c r="S1262"/>
  <c r="Q1262"/>
  <c r="P1262"/>
  <c r="M1262"/>
  <c r="K1262"/>
  <c r="H1262"/>
  <c r="C1262"/>
  <c r="G1262"/>
  <c r="E1262"/>
  <c r="B1262"/>
  <c r="A1262"/>
  <c r="W1261"/>
  <c r="S1261"/>
  <c r="Q1261"/>
  <c r="P1261"/>
  <c r="M1261"/>
  <c r="K1261"/>
  <c r="H1261"/>
  <c r="C1261"/>
  <c r="G1261"/>
  <c r="E1261"/>
  <c r="B1261"/>
  <c r="A1261"/>
  <c r="W1260"/>
  <c r="S1260"/>
  <c r="Q1260"/>
  <c r="P1260"/>
  <c r="M1260"/>
  <c r="K1260"/>
  <c r="H1260"/>
  <c r="C1260"/>
  <c r="G1260"/>
  <c r="E1260"/>
  <c r="B1260"/>
  <c r="A1260"/>
  <c r="W1259"/>
  <c r="S1259"/>
  <c r="Q1259"/>
  <c r="P1259"/>
  <c r="M1259"/>
  <c r="K1259"/>
  <c r="H1259"/>
  <c r="C1259"/>
  <c r="G1259"/>
  <c r="E1259"/>
  <c r="B1259"/>
  <c r="A1259"/>
  <c r="W1258"/>
  <c r="S1258"/>
  <c r="Q1258"/>
  <c r="P1258"/>
  <c r="M1258"/>
  <c r="K1258"/>
  <c r="H1258"/>
  <c r="C1258"/>
  <c r="G1258"/>
  <c r="E1258"/>
  <c r="B1258"/>
  <c r="A1258"/>
  <c r="W1257"/>
  <c r="S1257"/>
  <c r="Q1257"/>
  <c r="P1257"/>
  <c r="M1257"/>
  <c r="K1257"/>
  <c r="H1257"/>
  <c r="C1257"/>
  <c r="G1257"/>
  <c r="E1257"/>
  <c r="B1257"/>
  <c r="A1257"/>
  <c r="W1256"/>
  <c r="S1256"/>
  <c r="Q1256"/>
  <c r="P1256"/>
  <c r="M1256"/>
  <c r="K1256"/>
  <c r="H1256"/>
  <c r="C1256"/>
  <c r="G1256"/>
  <c r="E1256"/>
  <c r="B1256"/>
  <c r="A1256"/>
  <c r="W1255"/>
  <c r="S1255"/>
  <c r="Q1255"/>
  <c r="P1255"/>
  <c r="M1255"/>
  <c r="K1255"/>
  <c r="H1255"/>
  <c r="C1255"/>
  <c r="G1255"/>
  <c r="E1255"/>
  <c r="B1255"/>
  <c r="A1255"/>
  <c r="W1254"/>
  <c r="S1254"/>
  <c r="Q1254"/>
  <c r="P1254"/>
  <c r="M1254"/>
  <c r="K1254"/>
  <c r="H1254"/>
  <c r="C1254"/>
  <c r="G1254"/>
  <c r="E1254"/>
  <c r="B1254"/>
  <c r="A1254"/>
  <c r="W1253"/>
  <c r="S1253"/>
  <c r="Q1253"/>
  <c r="P1253"/>
  <c r="M1253"/>
  <c r="K1253"/>
  <c r="H1253"/>
  <c r="C1253"/>
  <c r="G1253"/>
  <c r="E1253"/>
  <c r="B1253"/>
  <c r="A1253"/>
  <c r="W1252"/>
  <c r="S1252"/>
  <c r="Q1252"/>
  <c r="P1252"/>
  <c r="M1252"/>
  <c r="K1252"/>
  <c r="H1252"/>
  <c r="C1252"/>
  <c r="G1252"/>
  <c r="E1252"/>
  <c r="B1252"/>
  <c r="A1252"/>
  <c r="W1251"/>
  <c r="S1251"/>
  <c r="Q1251"/>
  <c r="P1251"/>
  <c r="M1251"/>
  <c r="K1251"/>
  <c r="H1251"/>
  <c r="C1251"/>
  <c r="G1251"/>
  <c r="E1251"/>
  <c r="B1251"/>
  <c r="A1251"/>
  <c r="W1250"/>
  <c r="S1250"/>
  <c r="Q1250"/>
  <c r="P1250"/>
  <c r="M1250"/>
  <c r="K1250"/>
  <c r="H1250"/>
  <c r="C1250"/>
  <c r="G1250"/>
  <c r="E1250"/>
  <c r="B1250"/>
  <c r="A1250"/>
  <c r="W1249"/>
  <c r="S1249"/>
  <c r="Q1249"/>
  <c r="P1249"/>
  <c r="M1249"/>
  <c r="K1249"/>
  <c r="H1249"/>
  <c r="C1249"/>
  <c r="G1249"/>
  <c r="E1249"/>
  <c r="B1249"/>
  <c r="A1249"/>
  <c r="W1248"/>
  <c r="S1248"/>
  <c r="Q1248"/>
  <c r="P1248"/>
  <c r="M1248"/>
  <c r="K1248"/>
  <c r="H1248"/>
  <c r="C1248"/>
  <c r="G1248"/>
  <c r="E1248"/>
  <c r="B1248"/>
  <c r="A1248"/>
  <c r="W1247"/>
  <c r="S1247"/>
  <c r="Q1247"/>
  <c r="P1247"/>
  <c r="M1247"/>
  <c r="K1247"/>
  <c r="H1247"/>
  <c r="C1247"/>
  <c r="G1247"/>
  <c r="E1247"/>
  <c r="B1247"/>
  <c r="A1247"/>
  <c r="W1246"/>
  <c r="S1246"/>
  <c r="Q1246"/>
  <c r="P1246"/>
  <c r="M1246"/>
  <c r="K1246"/>
  <c r="H1246"/>
  <c r="C1246"/>
  <c r="G1246"/>
  <c r="E1246"/>
  <c r="B1246"/>
  <c r="A1246"/>
  <c r="W1245"/>
  <c r="S1245"/>
  <c r="Q1245"/>
  <c r="P1245"/>
  <c r="M1245"/>
  <c r="K1245"/>
  <c r="H1245"/>
  <c r="C1245"/>
  <c r="G1245"/>
  <c r="E1245"/>
  <c r="B1245"/>
  <c r="A1245"/>
  <c r="W1244"/>
  <c r="S1244"/>
  <c r="Q1244"/>
  <c r="P1244"/>
  <c r="M1244"/>
  <c r="K1244"/>
  <c r="H1244"/>
  <c r="C1244"/>
  <c r="G1244"/>
  <c r="E1244"/>
  <c r="B1244"/>
  <c r="A1244"/>
  <c r="W1243"/>
  <c r="S1243"/>
  <c r="Q1243"/>
  <c r="P1243"/>
  <c r="M1243"/>
  <c r="K1243"/>
  <c r="H1243"/>
  <c r="C1243"/>
  <c r="G1243"/>
  <c r="E1243"/>
  <c r="B1243"/>
  <c r="A1243"/>
  <c r="W1242"/>
  <c r="S1242"/>
  <c r="Q1242"/>
  <c r="P1242"/>
  <c r="M1242"/>
  <c r="K1242"/>
  <c r="H1242"/>
  <c r="C1242"/>
  <c r="G1242"/>
  <c r="E1242"/>
  <c r="B1242"/>
  <c r="A1242"/>
  <c r="W1241"/>
  <c r="S1241"/>
  <c r="Q1241"/>
  <c r="P1241"/>
  <c r="M1241"/>
  <c r="K1241"/>
  <c r="H1241"/>
  <c r="C1241"/>
  <c r="G1241"/>
  <c r="E1241"/>
  <c r="B1241"/>
  <c r="A1241"/>
  <c r="W1240"/>
  <c r="S1240"/>
  <c r="Q1240"/>
  <c r="P1240"/>
  <c r="M1240"/>
  <c r="K1240"/>
  <c r="H1240"/>
  <c r="C1240"/>
  <c r="G1240"/>
  <c r="E1240"/>
  <c r="B1240"/>
  <c r="A1240"/>
  <c r="W1239"/>
  <c r="S1239"/>
  <c r="Q1239"/>
  <c r="P1239"/>
  <c r="M1239"/>
  <c r="K1239"/>
  <c r="H1239"/>
  <c r="C1239"/>
  <c r="G1239"/>
  <c r="E1239"/>
  <c r="B1239"/>
  <c r="A1239"/>
  <c r="W1238"/>
  <c r="S1238"/>
  <c r="Q1238"/>
  <c r="P1238"/>
  <c r="M1238"/>
  <c r="K1238"/>
  <c r="H1238"/>
  <c r="C1238"/>
  <c r="G1238"/>
  <c r="E1238"/>
  <c r="B1238"/>
  <c r="A1238"/>
  <c r="W1237"/>
  <c r="S1237"/>
  <c r="Q1237"/>
  <c r="P1237"/>
  <c r="M1237"/>
  <c r="K1237"/>
  <c r="H1237"/>
  <c r="C1237"/>
  <c r="G1237"/>
  <c r="E1237"/>
  <c r="B1237"/>
  <c r="A1237"/>
  <c r="W1236"/>
  <c r="S1236"/>
  <c r="Q1236"/>
  <c r="P1236"/>
  <c r="M1236"/>
  <c r="K1236"/>
  <c r="H1236"/>
  <c r="C1236"/>
  <c r="G1236"/>
  <c r="E1236"/>
  <c r="B1236"/>
  <c r="A1236"/>
  <c r="W1235"/>
  <c r="S1235"/>
  <c r="Q1235"/>
  <c r="P1235"/>
  <c r="M1235"/>
  <c r="K1235"/>
  <c r="H1235"/>
  <c r="C1235"/>
  <c r="G1235"/>
  <c r="E1235"/>
  <c r="B1235"/>
  <c r="A1235"/>
  <c r="W1234"/>
  <c r="S1234"/>
  <c r="Q1234"/>
  <c r="P1234"/>
  <c r="M1234"/>
  <c r="K1234"/>
  <c r="H1234"/>
  <c r="C1234"/>
  <c r="G1234"/>
  <c r="E1234"/>
  <c r="B1234"/>
  <c r="A1234"/>
  <c r="W1233"/>
  <c r="S1233"/>
  <c r="Q1233"/>
  <c r="P1233"/>
  <c r="M1233"/>
  <c r="K1233"/>
  <c r="H1233"/>
  <c r="C1233"/>
  <c r="G1233"/>
  <c r="E1233"/>
  <c r="B1233"/>
  <c r="A1233"/>
  <c r="W1232"/>
  <c r="S1232"/>
  <c r="Q1232"/>
  <c r="P1232"/>
  <c r="M1232"/>
  <c r="K1232"/>
  <c r="H1232"/>
  <c r="C1232"/>
  <c r="G1232"/>
  <c r="E1232"/>
  <c r="B1232"/>
  <c r="A1232"/>
  <c r="W1231"/>
  <c r="S1231"/>
  <c r="Q1231"/>
  <c r="P1231"/>
  <c r="M1231"/>
  <c r="K1231"/>
  <c r="H1231"/>
  <c r="C1231"/>
  <c r="G1231"/>
  <c r="E1231"/>
  <c r="B1231"/>
  <c r="A1231"/>
  <c r="W1230"/>
  <c r="S1230"/>
  <c r="Q1230"/>
  <c r="P1230"/>
  <c r="M1230"/>
  <c r="K1230"/>
  <c r="H1230"/>
  <c r="C1230"/>
  <c r="G1230"/>
  <c r="E1230"/>
  <c r="B1230"/>
  <c r="A1230"/>
  <c r="W1229"/>
  <c r="S1229"/>
  <c r="Q1229"/>
  <c r="P1229"/>
  <c r="N1229"/>
  <c r="M1229"/>
  <c r="K1229"/>
  <c r="H1229"/>
  <c r="C1229"/>
  <c r="G1229"/>
  <c r="E1229"/>
  <c r="B1229"/>
  <c r="A1229"/>
  <c r="W1228"/>
  <c r="S1228"/>
  <c r="Q1228"/>
  <c r="P1228"/>
  <c r="M1228"/>
  <c r="K1228"/>
  <c r="H1228"/>
  <c r="C1228"/>
  <c r="G1228"/>
  <c r="E1228"/>
  <c r="B1228"/>
  <c r="A1228"/>
  <c r="W1227"/>
  <c r="S1227"/>
  <c r="Q1227"/>
  <c r="P1227"/>
  <c r="M1227"/>
  <c r="K1227"/>
  <c r="H1227"/>
  <c r="C1227"/>
  <c r="G1227"/>
  <c r="E1227"/>
  <c r="B1227"/>
  <c r="A1227"/>
  <c r="W1226"/>
  <c r="S1226"/>
  <c r="Q1226"/>
  <c r="P1226"/>
  <c r="M1226"/>
  <c r="K1226"/>
  <c r="H1226"/>
  <c r="C1226"/>
  <c r="G1226"/>
  <c r="E1226"/>
  <c r="B1226"/>
  <c r="A1226"/>
  <c r="W1225"/>
  <c r="S1225"/>
  <c r="Q1225"/>
  <c r="P1225"/>
  <c r="M1225"/>
  <c r="K1225"/>
  <c r="H1225"/>
  <c r="C1225"/>
  <c r="G1225"/>
  <c r="E1225"/>
  <c r="B1225"/>
  <c r="A1225"/>
  <c r="W1224"/>
  <c r="S1224"/>
  <c r="Q1224"/>
  <c r="P1224"/>
  <c r="M1224"/>
  <c r="K1224"/>
  <c r="H1224"/>
  <c r="C1224"/>
  <c r="G1224"/>
  <c r="E1224"/>
  <c r="B1224"/>
  <c r="A1224"/>
  <c r="W1223"/>
  <c r="S1223"/>
  <c r="Q1223"/>
  <c r="P1223"/>
  <c r="M1223"/>
  <c r="K1223"/>
  <c r="H1223"/>
  <c r="C1223"/>
  <c r="G1223"/>
  <c r="E1223"/>
  <c r="B1223"/>
  <c r="A1223"/>
  <c r="W1222"/>
  <c r="S1222"/>
  <c r="Q1222"/>
  <c r="P1222"/>
  <c r="M1222"/>
  <c r="K1222"/>
  <c r="H1222"/>
  <c r="C1222"/>
  <c r="G1222"/>
  <c r="E1222"/>
  <c r="B1222"/>
  <c r="A1222"/>
  <c r="W1221"/>
  <c r="S1221"/>
  <c r="Q1221"/>
  <c r="P1221"/>
  <c r="M1221"/>
  <c r="K1221"/>
  <c r="H1221"/>
  <c r="C1221"/>
  <c r="G1221"/>
  <c r="E1221"/>
  <c r="B1221"/>
  <c r="A1221"/>
  <c r="W1220"/>
  <c r="S1220"/>
  <c r="Q1220"/>
  <c r="P1220"/>
  <c r="M1220"/>
  <c r="K1220"/>
  <c r="H1220"/>
  <c r="C1220"/>
  <c r="G1220"/>
  <c r="E1220"/>
  <c r="B1220"/>
  <c r="A1220"/>
  <c r="W1219"/>
  <c r="S1219"/>
  <c r="Q1219"/>
  <c r="P1219"/>
  <c r="M1219"/>
  <c r="K1219"/>
  <c r="H1219"/>
  <c r="C1219"/>
  <c r="G1219"/>
  <c r="E1219"/>
  <c r="B1219"/>
  <c r="A1219"/>
  <c r="W1218"/>
  <c r="S1218"/>
  <c r="Q1218"/>
  <c r="P1218"/>
  <c r="M1218"/>
  <c r="K1218"/>
  <c r="H1218"/>
  <c r="C1218"/>
  <c r="G1218"/>
  <c r="E1218"/>
  <c r="B1218"/>
  <c r="A1218"/>
  <c r="W1217"/>
  <c r="S1217"/>
  <c r="Q1217"/>
  <c r="P1217"/>
  <c r="M1217"/>
  <c r="K1217"/>
  <c r="H1217"/>
  <c r="C1217"/>
  <c r="G1217"/>
  <c r="E1217"/>
  <c r="B1217"/>
  <c r="A1217"/>
  <c r="W1216"/>
  <c r="S1216"/>
  <c r="Q1216"/>
  <c r="P1216"/>
  <c r="M1216"/>
  <c r="K1216"/>
  <c r="H1216"/>
  <c r="C1216"/>
  <c r="G1216"/>
  <c r="E1216"/>
  <c r="B1216"/>
  <c r="A1216"/>
  <c r="W1215"/>
  <c r="S1215"/>
  <c r="Q1215"/>
  <c r="P1215"/>
  <c r="M1215"/>
  <c r="K1215"/>
  <c r="H1215"/>
  <c r="C1215"/>
  <c r="G1215"/>
  <c r="E1215"/>
  <c r="B1215"/>
  <c r="A1215"/>
  <c r="W1214"/>
  <c r="S1214"/>
  <c r="Q1214"/>
  <c r="P1214"/>
  <c r="M1214"/>
  <c r="K1214"/>
  <c r="H1214"/>
  <c r="C1214"/>
  <c r="G1214"/>
  <c r="E1214"/>
  <c r="B1214"/>
  <c r="A1214"/>
  <c r="W1213"/>
  <c r="S1213"/>
  <c r="Q1213"/>
  <c r="P1213"/>
  <c r="M1213"/>
  <c r="K1213"/>
  <c r="H1213"/>
  <c r="C1213"/>
  <c r="G1213"/>
  <c r="E1213"/>
  <c r="B1213"/>
  <c r="A1213"/>
  <c r="W1212"/>
  <c r="S1212"/>
  <c r="Q1212"/>
  <c r="P1212"/>
  <c r="M1212"/>
  <c r="K1212"/>
  <c r="H1212"/>
  <c r="C1212"/>
  <c r="G1212"/>
  <c r="E1212"/>
  <c r="B1212"/>
  <c r="A1212"/>
  <c r="W1211"/>
  <c r="S1211"/>
  <c r="Q1211"/>
  <c r="P1211"/>
  <c r="M1211"/>
  <c r="K1211"/>
  <c r="H1211"/>
  <c r="C1211"/>
  <c r="G1211"/>
  <c r="E1211"/>
  <c r="B1211"/>
  <c r="A1211"/>
  <c r="W1210"/>
  <c r="S1210"/>
  <c r="Q1210"/>
  <c r="P1210"/>
  <c r="M1210"/>
  <c r="K1210"/>
  <c r="H1210"/>
  <c r="C1210"/>
  <c r="G1210"/>
  <c r="E1210"/>
  <c r="B1210"/>
  <c r="A1210"/>
  <c r="W1209"/>
  <c r="S1209"/>
  <c r="Q1209"/>
  <c r="P1209"/>
  <c r="M1209"/>
  <c r="K1209"/>
  <c r="H1209"/>
  <c r="C1209"/>
  <c r="G1209"/>
  <c r="E1209"/>
  <c r="B1209"/>
  <c r="A1209"/>
  <c r="W1208"/>
  <c r="S1208"/>
  <c r="Q1208"/>
  <c r="P1208"/>
  <c r="M1208"/>
  <c r="K1208"/>
  <c r="H1208"/>
  <c r="C1208"/>
  <c r="G1208"/>
  <c r="E1208"/>
  <c r="B1208"/>
  <c r="A1208"/>
  <c r="W1207"/>
  <c r="S1207"/>
  <c r="Q1207"/>
  <c r="P1207"/>
  <c r="M1207"/>
  <c r="K1207"/>
  <c r="H1207"/>
  <c r="C1207"/>
  <c r="G1207"/>
  <c r="E1207"/>
  <c r="B1207"/>
  <c r="A1207"/>
  <c r="W1206"/>
  <c r="S1206"/>
  <c r="Q1206"/>
  <c r="P1206"/>
  <c r="M1206"/>
  <c r="K1206"/>
  <c r="H1206"/>
  <c r="C1206"/>
  <c r="G1206"/>
  <c r="E1206"/>
  <c r="B1206"/>
  <c r="A1206"/>
  <c r="W1205"/>
  <c r="S1205"/>
  <c r="Q1205"/>
  <c r="P1205"/>
  <c r="M1205"/>
  <c r="K1205"/>
  <c r="H1205"/>
  <c r="C1205"/>
  <c r="G1205"/>
  <c r="E1205"/>
  <c r="B1205"/>
  <c r="A1205"/>
  <c r="W1204"/>
  <c r="S1204"/>
  <c r="Q1204"/>
  <c r="P1204"/>
  <c r="M1204"/>
  <c r="K1204"/>
  <c r="H1204"/>
  <c r="C1204"/>
  <c r="G1204"/>
  <c r="E1204"/>
  <c r="B1204"/>
  <c r="A1204"/>
  <c r="W1203"/>
  <c r="S1203"/>
  <c r="Q1203"/>
  <c r="P1203"/>
  <c r="M1203"/>
  <c r="K1203"/>
  <c r="H1203"/>
  <c r="C1203"/>
  <c r="G1203"/>
  <c r="E1203"/>
  <c r="B1203"/>
  <c r="A1203"/>
  <c r="W1202"/>
  <c r="S1202"/>
  <c r="Q1202"/>
  <c r="P1202"/>
  <c r="M1202"/>
  <c r="K1202"/>
  <c r="H1202"/>
  <c r="C1202"/>
  <c r="G1202"/>
  <c r="E1202"/>
  <c r="B1202"/>
  <c r="A1202"/>
  <c r="W1201"/>
  <c r="S1201"/>
  <c r="Q1201"/>
  <c r="P1201"/>
  <c r="M1201"/>
  <c r="K1201"/>
  <c r="H1201"/>
  <c r="C1201"/>
  <c r="G1201"/>
  <c r="E1201"/>
  <c r="B1201"/>
  <c r="A1201"/>
  <c r="W1200"/>
  <c r="S1200"/>
  <c r="Q1200"/>
  <c r="P1200"/>
  <c r="M1200"/>
  <c r="K1200"/>
  <c r="H1200"/>
  <c r="C1200"/>
  <c r="G1200"/>
  <c r="E1200"/>
  <c r="B1200"/>
  <c r="A1200"/>
  <c r="W1199"/>
  <c r="S1199"/>
  <c r="Q1199"/>
  <c r="P1199"/>
  <c r="M1199"/>
  <c r="K1199"/>
  <c r="H1199"/>
  <c r="C1199"/>
  <c r="G1199"/>
  <c r="E1199"/>
  <c r="B1199"/>
  <c r="A1199"/>
  <c r="W1198"/>
  <c r="S1198"/>
  <c r="Q1198"/>
  <c r="P1198"/>
  <c r="M1198"/>
  <c r="K1198"/>
  <c r="H1198"/>
  <c r="C1198"/>
  <c r="G1198"/>
  <c r="E1198"/>
  <c r="B1198"/>
  <c r="A1198"/>
  <c r="W1197"/>
  <c r="S1197"/>
  <c r="Q1197"/>
  <c r="P1197"/>
  <c r="M1197"/>
  <c r="K1197"/>
  <c r="H1197"/>
  <c r="C1197"/>
  <c r="G1197"/>
  <c r="E1197"/>
  <c r="B1197"/>
  <c r="A1197"/>
  <c r="W1196"/>
  <c r="S1196"/>
  <c r="Q1196"/>
  <c r="P1196"/>
  <c r="M1196"/>
  <c r="K1196"/>
  <c r="H1196"/>
  <c r="C1196"/>
  <c r="G1196"/>
  <c r="E1196"/>
  <c r="B1196"/>
  <c r="A1196"/>
  <c r="W1195"/>
  <c r="S1195"/>
  <c r="Q1195"/>
  <c r="P1195"/>
  <c r="M1195"/>
  <c r="K1195"/>
  <c r="H1195"/>
  <c r="C1195"/>
  <c r="G1195"/>
  <c r="E1195"/>
  <c r="B1195"/>
  <c r="A1195"/>
  <c r="W1194"/>
  <c r="S1194"/>
  <c r="Q1194"/>
  <c r="P1194"/>
  <c r="M1194"/>
  <c r="K1194"/>
  <c r="H1194"/>
  <c r="C1194"/>
  <c r="G1194"/>
  <c r="E1194"/>
  <c r="B1194"/>
  <c r="A1194"/>
  <c r="W1193"/>
  <c r="S1193"/>
  <c r="Q1193"/>
  <c r="P1193"/>
  <c r="M1193"/>
  <c r="K1193"/>
  <c r="H1193"/>
  <c r="C1193"/>
  <c r="G1193"/>
  <c r="E1193"/>
  <c r="B1193"/>
  <c r="A1193"/>
  <c r="W1192"/>
  <c r="S1192"/>
  <c r="Q1192"/>
  <c r="P1192"/>
  <c r="M1192"/>
  <c r="K1192"/>
  <c r="H1192"/>
  <c r="C1192"/>
  <c r="G1192"/>
  <c r="E1192"/>
  <c r="B1192"/>
  <c r="A1192"/>
  <c r="W1191"/>
  <c r="S1191"/>
  <c r="Q1191"/>
  <c r="P1191"/>
  <c r="M1191"/>
  <c r="K1191"/>
  <c r="H1191"/>
  <c r="C1191"/>
  <c r="G1191"/>
  <c r="E1191"/>
  <c r="B1191"/>
  <c r="A1191"/>
  <c r="W1190"/>
  <c r="S1190"/>
  <c r="Q1190"/>
  <c r="P1190"/>
  <c r="M1190"/>
  <c r="K1190"/>
  <c r="H1190"/>
  <c r="C1190"/>
  <c r="G1190"/>
  <c r="E1190"/>
  <c r="B1190"/>
  <c r="A1190"/>
  <c r="W1189"/>
  <c r="S1189"/>
  <c r="Q1189"/>
  <c r="P1189"/>
  <c r="M1189"/>
  <c r="K1189"/>
  <c r="H1189"/>
  <c r="C1189"/>
  <c r="G1189"/>
  <c r="E1189"/>
  <c r="B1189"/>
  <c r="A1189"/>
  <c r="W1188"/>
  <c r="S1188"/>
  <c r="Q1188"/>
  <c r="P1188"/>
  <c r="M1188"/>
  <c r="K1188"/>
  <c r="H1188"/>
  <c r="C1188"/>
  <c r="G1188"/>
  <c r="E1188"/>
  <c r="B1188"/>
  <c r="A1188"/>
  <c r="W1187"/>
  <c r="S1187"/>
  <c r="Q1187"/>
  <c r="P1187"/>
  <c r="M1187"/>
  <c r="K1187"/>
  <c r="H1187"/>
  <c r="C1187"/>
  <c r="G1187"/>
  <c r="E1187"/>
  <c r="B1187"/>
  <c r="A1187"/>
  <c r="W1186"/>
  <c r="S1186"/>
  <c r="Q1186"/>
  <c r="P1186"/>
  <c r="M1186"/>
  <c r="K1186"/>
  <c r="H1186"/>
  <c r="C1186"/>
  <c r="G1186"/>
  <c r="E1186"/>
  <c r="B1186"/>
  <c r="A1186"/>
  <c r="W1185"/>
  <c r="S1185"/>
  <c r="Q1185"/>
  <c r="P1185"/>
  <c r="M1185"/>
  <c r="K1185"/>
  <c r="H1185"/>
  <c r="C1185"/>
  <c r="G1185"/>
  <c r="E1185"/>
  <c r="B1185"/>
  <c r="A1185"/>
  <c r="W1184"/>
  <c r="S1184"/>
  <c r="Q1184"/>
  <c r="P1184"/>
  <c r="M1184"/>
  <c r="K1184"/>
  <c r="H1184"/>
  <c r="C1184"/>
  <c r="G1184"/>
  <c r="E1184"/>
  <c r="B1184"/>
  <c r="A1184"/>
  <c r="W1183"/>
  <c r="S1183"/>
  <c r="Q1183"/>
  <c r="P1183"/>
  <c r="M1183"/>
  <c r="K1183"/>
  <c r="H1183"/>
  <c r="C1183"/>
  <c r="G1183"/>
  <c r="E1183"/>
  <c r="B1183"/>
  <c r="A1183"/>
  <c r="W1182"/>
  <c r="S1182"/>
  <c r="Q1182"/>
  <c r="P1182"/>
  <c r="M1182"/>
  <c r="K1182"/>
  <c r="H1182"/>
  <c r="C1182"/>
  <c r="G1182"/>
  <c r="E1182"/>
  <c r="B1182"/>
  <c r="A1182"/>
  <c r="W1181"/>
  <c r="S1181"/>
  <c r="Q1181"/>
  <c r="P1181"/>
  <c r="M1181"/>
  <c r="K1181"/>
  <c r="H1181"/>
  <c r="C1181"/>
  <c r="G1181"/>
  <c r="E1181"/>
  <c r="B1181"/>
  <c r="A1181"/>
  <c r="W1180"/>
  <c r="S1180"/>
  <c r="Q1180"/>
  <c r="P1180"/>
  <c r="M1180"/>
  <c r="K1180"/>
  <c r="H1180"/>
  <c r="C1180"/>
  <c r="G1180"/>
  <c r="E1180"/>
  <c r="B1180"/>
  <c r="A1180"/>
  <c r="W1179"/>
  <c r="S1179"/>
  <c r="Q1179"/>
  <c r="P1179"/>
  <c r="M1179"/>
  <c r="K1179"/>
  <c r="H1179"/>
  <c r="C1179"/>
  <c r="G1179"/>
  <c r="E1179"/>
  <c r="B1179"/>
  <c r="A1179"/>
  <c r="W1178"/>
  <c r="S1178"/>
  <c r="Q1178"/>
  <c r="P1178"/>
  <c r="M1178"/>
  <c r="K1178"/>
  <c r="H1178"/>
  <c r="C1178"/>
  <c r="G1178"/>
  <c r="E1178"/>
  <c r="B1178"/>
  <c r="A1178"/>
  <c r="W1177"/>
  <c r="S1177"/>
  <c r="Q1177"/>
  <c r="P1177"/>
  <c r="M1177"/>
  <c r="K1177"/>
  <c r="H1177"/>
  <c r="C1177"/>
  <c r="G1177"/>
  <c r="E1177"/>
  <c r="B1177"/>
  <c r="A1177"/>
  <c r="W1176"/>
  <c r="S1176"/>
  <c r="Q1176"/>
  <c r="P1176"/>
  <c r="M1176"/>
  <c r="K1176"/>
  <c r="H1176"/>
  <c r="C1176"/>
  <c r="G1176"/>
  <c r="E1176"/>
  <c r="B1176"/>
  <c r="A1176"/>
  <c r="W1175"/>
  <c r="S1175"/>
  <c r="Q1175"/>
  <c r="P1175"/>
  <c r="M1175"/>
  <c r="K1175"/>
  <c r="H1175"/>
  <c r="C1175"/>
  <c r="G1175"/>
  <c r="E1175"/>
  <c r="B1175"/>
  <c r="A1175"/>
  <c r="W1174"/>
  <c r="S1174"/>
  <c r="Q1174"/>
  <c r="P1174"/>
  <c r="M1174"/>
  <c r="K1174"/>
  <c r="H1174"/>
  <c r="C1174"/>
  <c r="G1174"/>
  <c r="E1174"/>
  <c r="B1174"/>
  <c r="A1174"/>
  <c r="W1173"/>
  <c r="S1173"/>
  <c r="Q1173"/>
  <c r="P1173"/>
  <c r="M1173"/>
  <c r="K1173"/>
  <c r="H1173"/>
  <c r="C1173"/>
  <c r="G1173"/>
  <c r="E1173"/>
  <c r="B1173"/>
  <c r="A1173"/>
  <c r="W1172"/>
  <c r="S1172"/>
  <c r="Q1172"/>
  <c r="P1172"/>
  <c r="M1172"/>
  <c r="K1172"/>
  <c r="H1172"/>
  <c r="C1172"/>
  <c r="G1172"/>
  <c r="E1172"/>
  <c r="B1172"/>
  <c r="A1172"/>
  <c r="W1171"/>
  <c r="S1171"/>
  <c r="Q1171"/>
  <c r="P1171"/>
  <c r="N1171"/>
  <c r="M1171"/>
  <c r="K1171"/>
  <c r="H1171"/>
  <c r="C1171"/>
  <c r="G1171"/>
  <c r="E1171"/>
  <c r="B1171"/>
  <c r="A1171"/>
  <c r="W1170"/>
  <c r="S1170"/>
  <c r="Q1170"/>
  <c r="P1170"/>
  <c r="M1170"/>
  <c r="K1170"/>
  <c r="H1170"/>
  <c r="C1170"/>
  <c r="G1170"/>
  <c r="E1170"/>
  <c r="B1170"/>
  <c r="A1170"/>
  <c r="W1169"/>
  <c r="S1169"/>
  <c r="Q1169"/>
  <c r="P1169"/>
  <c r="N1169"/>
  <c r="M1169"/>
  <c r="K1169"/>
  <c r="H1169"/>
  <c r="C1169"/>
  <c r="G1169"/>
  <c r="E1169"/>
  <c r="B1169"/>
  <c r="A1169"/>
  <c r="W1168"/>
  <c r="S1168"/>
  <c r="Q1168"/>
  <c r="P1168"/>
  <c r="M1168"/>
  <c r="K1168"/>
  <c r="H1168"/>
  <c r="C1168"/>
  <c r="G1168"/>
  <c r="E1168"/>
  <c r="B1168"/>
  <c r="A1168"/>
  <c r="W1167"/>
  <c r="S1167"/>
  <c r="Q1167"/>
  <c r="P1167"/>
  <c r="N1167"/>
  <c r="M1167"/>
  <c r="K1167"/>
  <c r="H1167"/>
  <c r="C1167"/>
  <c r="G1167"/>
  <c r="E1167"/>
  <c r="B1167"/>
  <c r="A1167"/>
  <c r="W1166"/>
  <c r="S1166"/>
  <c r="Q1166"/>
  <c r="P1166"/>
  <c r="N1166"/>
  <c r="M1166"/>
  <c r="K1166"/>
  <c r="H1166"/>
  <c r="C1166"/>
  <c r="G1166"/>
  <c r="E1166"/>
  <c r="B1166"/>
  <c r="A1166"/>
  <c r="W1165"/>
  <c r="S1165"/>
  <c r="Q1165"/>
  <c r="P1165"/>
  <c r="M1165"/>
  <c r="K1165"/>
  <c r="H1165"/>
  <c r="C1165"/>
  <c r="G1165"/>
  <c r="E1165"/>
  <c r="B1165"/>
  <c r="A1165"/>
  <c r="W1164"/>
  <c r="S1164"/>
  <c r="Q1164"/>
  <c r="P1164"/>
  <c r="M1164"/>
  <c r="K1164"/>
  <c r="H1164"/>
  <c r="C1164"/>
  <c r="G1164"/>
  <c r="E1164"/>
  <c r="B1164"/>
  <c r="A1164"/>
  <c r="W1163"/>
  <c r="S1163"/>
  <c r="Q1163"/>
  <c r="P1163"/>
  <c r="M1163"/>
  <c r="K1163"/>
  <c r="H1163"/>
  <c r="C1163"/>
  <c r="G1163"/>
  <c r="E1163"/>
  <c r="B1163"/>
  <c r="A1163"/>
  <c r="W1162"/>
  <c r="S1162"/>
  <c r="Q1162"/>
  <c r="P1162"/>
  <c r="M1162"/>
  <c r="K1162"/>
  <c r="H1162"/>
  <c r="C1162"/>
  <c r="G1162"/>
  <c r="E1162"/>
  <c r="B1162"/>
  <c r="A1162"/>
  <c r="W1161"/>
  <c r="S1161"/>
  <c r="Q1161"/>
  <c r="P1161"/>
  <c r="M1161"/>
  <c r="K1161"/>
  <c r="H1161"/>
  <c r="C1161"/>
  <c r="G1161"/>
  <c r="E1161"/>
  <c r="B1161"/>
  <c r="A1161"/>
  <c r="W1160"/>
  <c r="S1160"/>
  <c r="Q1160"/>
  <c r="P1160"/>
  <c r="M1160"/>
  <c r="K1160"/>
  <c r="H1160"/>
  <c r="C1160"/>
  <c r="G1160"/>
  <c r="E1160"/>
  <c r="B1160"/>
  <c r="A1160"/>
  <c r="W1159"/>
  <c r="S1159"/>
  <c r="Q1159"/>
  <c r="P1159"/>
  <c r="M1159"/>
  <c r="K1159"/>
  <c r="H1159"/>
  <c r="C1159"/>
  <c r="G1159"/>
  <c r="E1159"/>
  <c r="B1159"/>
  <c r="A1159"/>
  <c r="W1158"/>
  <c r="S1158"/>
  <c r="Q1158"/>
  <c r="P1158"/>
  <c r="M1158"/>
  <c r="K1158"/>
  <c r="H1158"/>
  <c r="C1158"/>
  <c r="G1158"/>
  <c r="E1158"/>
  <c r="B1158"/>
  <c r="A1158"/>
  <c r="W1157"/>
  <c r="S1157"/>
  <c r="Q1157"/>
  <c r="P1157"/>
  <c r="M1157"/>
  <c r="K1157"/>
  <c r="H1157"/>
  <c r="C1157"/>
  <c r="G1157"/>
  <c r="E1157"/>
  <c r="B1157"/>
  <c r="A1157"/>
  <c r="W1156"/>
  <c r="S1156"/>
  <c r="Q1156"/>
  <c r="P1156"/>
  <c r="M1156"/>
  <c r="K1156"/>
  <c r="H1156"/>
  <c r="C1156"/>
  <c r="G1156"/>
  <c r="E1156"/>
  <c r="B1156"/>
  <c r="A1156"/>
  <c r="W1155"/>
  <c r="S1155"/>
  <c r="Q1155"/>
  <c r="P1155"/>
  <c r="M1155"/>
  <c r="K1155"/>
  <c r="H1155"/>
  <c r="C1155"/>
  <c r="G1155"/>
  <c r="E1155"/>
  <c r="B1155"/>
  <c r="A1155"/>
  <c r="W1154"/>
  <c r="S1154"/>
  <c r="Q1154"/>
  <c r="P1154"/>
  <c r="N1154"/>
  <c r="M1154"/>
  <c r="K1154"/>
  <c r="H1154"/>
  <c r="C1154"/>
  <c r="G1154"/>
  <c r="E1154"/>
  <c r="B1154"/>
  <c r="A1154"/>
  <c r="W1153"/>
  <c r="S1153"/>
  <c r="Q1153"/>
  <c r="P1153"/>
  <c r="N1153"/>
  <c r="M1153"/>
  <c r="K1153"/>
  <c r="H1153"/>
  <c r="C1153"/>
  <c r="G1153"/>
  <c r="E1153"/>
  <c r="B1153"/>
  <c r="A1153"/>
  <c r="W1152"/>
  <c r="S1152"/>
  <c r="Q1152"/>
  <c r="P1152"/>
  <c r="N1152"/>
  <c r="M1152"/>
  <c r="K1152"/>
  <c r="H1152"/>
  <c r="C1152"/>
  <c r="G1152"/>
  <c r="E1152"/>
  <c r="B1152"/>
  <c r="A1152"/>
  <c r="W1151"/>
  <c r="S1151"/>
  <c r="Q1151"/>
  <c r="P1151"/>
  <c r="M1151"/>
  <c r="K1151"/>
  <c r="H1151"/>
  <c r="C1151"/>
  <c r="G1151"/>
  <c r="E1151"/>
  <c r="B1151"/>
  <c r="A1151"/>
  <c r="W1150"/>
  <c r="S1150"/>
  <c r="Q1150"/>
  <c r="P1150"/>
  <c r="M1150"/>
  <c r="K1150"/>
  <c r="H1150"/>
  <c r="C1150"/>
  <c r="G1150"/>
  <c r="E1150"/>
  <c r="B1150"/>
  <c r="A1150"/>
  <c r="W1149"/>
  <c r="S1149"/>
  <c r="Q1149"/>
  <c r="P1149"/>
  <c r="N1149"/>
  <c r="M1149"/>
  <c r="K1149"/>
  <c r="H1149"/>
  <c r="C1149"/>
  <c r="G1149"/>
  <c r="E1149"/>
  <c r="B1149"/>
  <c r="A1149"/>
  <c r="W1148"/>
  <c r="S1148"/>
  <c r="Q1148"/>
  <c r="P1148"/>
  <c r="M1148"/>
  <c r="K1148"/>
  <c r="H1148"/>
  <c r="C1148"/>
  <c r="G1148"/>
  <c r="E1148"/>
  <c r="B1148"/>
  <c r="A1148"/>
  <c r="W1147"/>
  <c r="S1147"/>
  <c r="Q1147"/>
  <c r="P1147"/>
  <c r="N1147"/>
  <c r="M1147"/>
  <c r="K1147"/>
  <c r="H1147"/>
  <c r="C1147"/>
  <c r="G1147"/>
  <c r="E1147"/>
  <c r="B1147"/>
  <c r="A1147"/>
  <c r="W1146"/>
  <c r="S1146"/>
  <c r="Q1146"/>
  <c r="P1146"/>
  <c r="N1146"/>
  <c r="M1146"/>
  <c r="K1146"/>
  <c r="H1146"/>
  <c r="C1146"/>
  <c r="G1146"/>
  <c r="E1146"/>
  <c r="B1146"/>
  <c r="A1146"/>
  <c r="W1145"/>
  <c r="S1145"/>
  <c r="Q1145"/>
  <c r="P1145"/>
  <c r="M1145"/>
  <c r="K1145"/>
  <c r="H1145"/>
  <c r="C1145"/>
  <c r="G1145"/>
  <c r="E1145"/>
  <c r="B1145"/>
  <c r="A1145"/>
  <c r="W1144"/>
  <c r="S1144"/>
  <c r="Q1144"/>
  <c r="P1144"/>
  <c r="M1144"/>
  <c r="K1144"/>
  <c r="H1144"/>
  <c r="C1144"/>
  <c r="G1144"/>
  <c r="E1144"/>
  <c r="B1144"/>
  <c r="A1144"/>
  <c r="W1143"/>
  <c r="S1143"/>
  <c r="Q1143"/>
  <c r="P1143"/>
  <c r="M1143"/>
  <c r="K1143"/>
  <c r="H1143"/>
  <c r="C1143"/>
  <c r="G1143"/>
  <c r="E1143"/>
  <c r="B1143"/>
  <c r="A1143"/>
  <c r="W1142"/>
  <c r="S1142"/>
  <c r="Q1142"/>
  <c r="P1142"/>
  <c r="M1142"/>
  <c r="K1142"/>
  <c r="H1142"/>
  <c r="C1142"/>
  <c r="G1142"/>
  <c r="E1142"/>
  <c r="B1142"/>
  <c r="A1142"/>
  <c r="W1141"/>
  <c r="S1141"/>
  <c r="Q1141"/>
  <c r="P1141"/>
  <c r="M1141"/>
  <c r="K1141"/>
  <c r="H1141"/>
  <c r="C1141"/>
  <c r="G1141"/>
  <c r="E1141"/>
  <c r="B1141"/>
  <c r="A1141"/>
  <c r="W1140"/>
  <c r="S1140"/>
  <c r="Q1140"/>
  <c r="P1140"/>
  <c r="M1140"/>
  <c r="K1140"/>
  <c r="H1140"/>
  <c r="C1140"/>
  <c r="G1140"/>
  <c r="E1140"/>
  <c r="B1140"/>
  <c r="A1140"/>
  <c r="W1139"/>
  <c r="S1139"/>
  <c r="Q1139"/>
  <c r="P1139"/>
  <c r="M1139"/>
  <c r="K1139"/>
  <c r="H1139"/>
  <c r="C1139"/>
  <c r="G1139"/>
  <c r="E1139"/>
  <c r="B1139"/>
  <c r="A1139"/>
  <c r="W1138"/>
  <c r="S1138"/>
  <c r="Q1138"/>
  <c r="P1138"/>
  <c r="M1138"/>
  <c r="K1138"/>
  <c r="H1138"/>
  <c r="C1138"/>
  <c r="G1138"/>
  <c r="E1138"/>
  <c r="B1138"/>
  <c r="A1138"/>
  <c r="W1137"/>
  <c r="S1137"/>
  <c r="Q1137"/>
  <c r="P1137"/>
  <c r="M1137"/>
  <c r="K1137"/>
  <c r="H1137"/>
  <c r="C1137"/>
  <c r="G1137"/>
  <c r="E1137"/>
  <c r="B1137"/>
  <c r="A1137"/>
  <c r="W1136"/>
  <c r="S1136"/>
  <c r="Q1136"/>
  <c r="P1136"/>
  <c r="M1136"/>
  <c r="K1136"/>
  <c r="H1136"/>
  <c r="C1136"/>
  <c r="G1136"/>
  <c r="E1136"/>
  <c r="B1136"/>
  <c r="A1136"/>
  <c r="W1135"/>
  <c r="S1135"/>
  <c r="Q1135"/>
  <c r="P1135"/>
  <c r="M1135"/>
  <c r="K1135"/>
  <c r="H1135"/>
  <c r="C1135"/>
  <c r="G1135"/>
  <c r="E1135"/>
  <c r="B1135"/>
  <c r="A1135"/>
  <c r="W1134"/>
  <c r="S1134"/>
  <c r="Q1134"/>
  <c r="P1134"/>
  <c r="M1134"/>
  <c r="K1134"/>
  <c r="H1134"/>
  <c r="C1134"/>
  <c r="G1134"/>
  <c r="E1134"/>
  <c r="B1134"/>
  <c r="A1134"/>
  <c r="W1133"/>
  <c r="S1133"/>
  <c r="Q1133"/>
  <c r="P1133"/>
  <c r="M1133"/>
  <c r="K1133"/>
  <c r="H1133"/>
  <c r="C1133"/>
  <c r="G1133"/>
  <c r="E1133"/>
  <c r="B1133"/>
  <c r="A1133"/>
  <c r="W1132"/>
  <c r="S1132"/>
  <c r="Q1132"/>
  <c r="P1132"/>
  <c r="M1132"/>
  <c r="K1132"/>
  <c r="H1132"/>
  <c r="C1132"/>
  <c r="G1132"/>
  <c r="E1132"/>
  <c r="B1132"/>
  <c r="A1132"/>
  <c r="W1131"/>
  <c r="S1131"/>
  <c r="Q1131"/>
  <c r="P1131"/>
  <c r="M1131"/>
  <c r="K1131"/>
  <c r="H1131"/>
  <c r="C1131"/>
  <c r="G1131"/>
  <c r="E1131"/>
  <c r="B1131"/>
  <c r="A1131"/>
  <c r="W1130"/>
  <c r="S1130"/>
  <c r="Q1130"/>
  <c r="P1130"/>
  <c r="M1130"/>
  <c r="K1130"/>
  <c r="H1130"/>
  <c r="C1130"/>
  <c r="G1130"/>
  <c r="E1130"/>
  <c r="B1130"/>
  <c r="A1130"/>
  <c r="W1129"/>
  <c r="S1129"/>
  <c r="Q1129"/>
  <c r="P1129"/>
  <c r="M1129"/>
  <c r="K1129"/>
  <c r="H1129"/>
  <c r="C1129"/>
  <c r="G1129"/>
  <c r="E1129"/>
  <c r="B1129"/>
  <c r="A1129"/>
  <c r="W1128"/>
  <c r="S1128"/>
  <c r="Q1128"/>
  <c r="P1128"/>
  <c r="M1128"/>
  <c r="K1128"/>
  <c r="H1128"/>
  <c r="C1128"/>
  <c r="G1128"/>
  <c r="E1128"/>
  <c r="B1128"/>
  <c r="A1128"/>
  <c r="W1127"/>
  <c r="S1127"/>
  <c r="Q1127"/>
  <c r="P1127"/>
  <c r="M1127"/>
  <c r="K1127"/>
  <c r="H1127"/>
  <c r="C1127"/>
  <c r="G1127"/>
  <c r="E1127"/>
  <c r="B1127"/>
  <c r="A1127"/>
  <c r="W1126"/>
  <c r="S1126"/>
  <c r="Q1126"/>
  <c r="P1126"/>
  <c r="M1126"/>
  <c r="K1126"/>
  <c r="H1126"/>
  <c r="C1126"/>
  <c r="G1126"/>
  <c r="E1126"/>
  <c r="B1126"/>
  <c r="A1126"/>
  <c r="W1125"/>
  <c r="S1125"/>
  <c r="Q1125"/>
  <c r="P1125"/>
  <c r="M1125"/>
  <c r="K1125"/>
  <c r="H1125"/>
  <c r="C1125"/>
  <c r="G1125"/>
  <c r="E1125"/>
  <c r="B1125"/>
  <c r="A1125"/>
  <c r="W1124"/>
  <c r="S1124"/>
  <c r="Q1124"/>
  <c r="P1124"/>
  <c r="M1124"/>
  <c r="K1124"/>
  <c r="H1124"/>
  <c r="C1124"/>
  <c r="G1124"/>
  <c r="E1124"/>
  <c r="B1124"/>
  <c r="A1124"/>
  <c r="W1123"/>
  <c r="S1123"/>
  <c r="Q1123"/>
  <c r="P1123"/>
  <c r="M1123"/>
  <c r="K1123"/>
  <c r="H1123"/>
  <c r="C1123"/>
  <c r="G1123"/>
  <c r="E1123"/>
  <c r="B1123"/>
  <c r="A1123"/>
  <c r="W1122"/>
  <c r="S1122"/>
  <c r="Q1122"/>
  <c r="P1122"/>
  <c r="M1122"/>
  <c r="K1122"/>
  <c r="H1122"/>
  <c r="C1122"/>
  <c r="G1122"/>
  <c r="E1122"/>
  <c r="B1122"/>
  <c r="A1122"/>
  <c r="W1121"/>
  <c r="S1121"/>
  <c r="Q1121"/>
  <c r="P1121"/>
  <c r="M1121"/>
  <c r="K1121"/>
  <c r="H1121"/>
  <c r="C1121"/>
  <c r="G1121"/>
  <c r="E1121"/>
  <c r="B1121"/>
  <c r="A1121"/>
  <c r="W1120"/>
  <c r="S1120"/>
  <c r="Q1120"/>
  <c r="P1120"/>
  <c r="M1120"/>
  <c r="K1120"/>
  <c r="H1120"/>
  <c r="C1120"/>
  <c r="G1120"/>
  <c r="E1120"/>
  <c r="B1120"/>
  <c r="A1120"/>
  <c r="W1119"/>
  <c r="S1119"/>
  <c r="Q1119"/>
  <c r="P1119"/>
  <c r="M1119"/>
  <c r="K1119"/>
  <c r="H1119"/>
  <c r="C1119"/>
  <c r="G1119"/>
  <c r="E1119"/>
  <c r="B1119"/>
  <c r="A1119"/>
  <c r="W1118"/>
  <c r="S1118"/>
  <c r="Q1118"/>
  <c r="P1118"/>
  <c r="M1118"/>
  <c r="K1118"/>
  <c r="H1118"/>
  <c r="C1118"/>
  <c r="G1118"/>
  <c r="E1118"/>
  <c r="B1118"/>
  <c r="A1118"/>
  <c r="W1117"/>
  <c r="S1117"/>
  <c r="Q1117"/>
  <c r="P1117"/>
  <c r="M1117"/>
  <c r="K1117"/>
  <c r="H1117"/>
  <c r="C1117"/>
  <c r="G1117"/>
  <c r="E1117"/>
  <c r="B1117"/>
  <c r="A1117"/>
  <c r="W1116"/>
  <c r="S1116"/>
  <c r="R1116"/>
  <c r="Q1116"/>
  <c r="P1116"/>
  <c r="M1116"/>
  <c r="K1116"/>
  <c r="H1116"/>
  <c r="C1116"/>
  <c r="G1116"/>
  <c r="E1116"/>
  <c r="B1116"/>
  <c r="A1116"/>
  <c r="W1115"/>
  <c r="S1115"/>
  <c r="Q1115"/>
  <c r="P1115"/>
  <c r="M1115"/>
  <c r="K1115"/>
  <c r="H1115"/>
  <c r="C1115"/>
  <c r="G1115"/>
  <c r="E1115"/>
  <c r="B1115"/>
  <c r="A1115"/>
  <c r="W1114"/>
  <c r="S1114"/>
  <c r="Q1114"/>
  <c r="P1114"/>
  <c r="M1114"/>
  <c r="K1114"/>
  <c r="H1114"/>
  <c r="C1114"/>
  <c r="G1114"/>
  <c r="E1114"/>
  <c r="B1114"/>
  <c r="A1114"/>
  <c r="W1113"/>
  <c r="S1113"/>
  <c r="Q1113"/>
  <c r="P1113"/>
  <c r="M1113"/>
  <c r="K1113"/>
  <c r="H1113"/>
  <c r="C1113"/>
  <c r="G1113"/>
  <c r="E1113"/>
  <c r="B1113"/>
  <c r="A1113"/>
  <c r="W1112"/>
  <c r="S1112"/>
  <c r="Q1112"/>
  <c r="P1112"/>
  <c r="M1112"/>
  <c r="K1112"/>
  <c r="H1112"/>
  <c r="C1112"/>
  <c r="G1112"/>
  <c r="E1112"/>
  <c r="B1112"/>
  <c r="A1112"/>
  <c r="W1111"/>
  <c r="S1111"/>
  <c r="Q1111"/>
  <c r="P1111"/>
  <c r="M1111"/>
  <c r="K1111"/>
  <c r="H1111"/>
  <c r="C1111"/>
  <c r="G1111"/>
  <c r="E1111"/>
  <c r="B1111"/>
  <c r="A1111"/>
  <c r="W1110"/>
  <c r="S1110"/>
  <c r="Q1110"/>
  <c r="P1110"/>
  <c r="M1110"/>
  <c r="K1110"/>
  <c r="H1110"/>
  <c r="C1110"/>
  <c r="G1110"/>
  <c r="E1110"/>
  <c r="B1110"/>
  <c r="A1110"/>
  <c r="W1109"/>
  <c r="S1109"/>
  <c r="Q1109"/>
  <c r="P1109"/>
  <c r="M1109"/>
  <c r="K1109"/>
  <c r="H1109"/>
  <c r="C1109"/>
  <c r="G1109"/>
  <c r="E1109"/>
  <c r="B1109"/>
  <c r="A1109"/>
  <c r="W1108"/>
  <c r="S1108"/>
  <c r="Q1108"/>
  <c r="P1108"/>
  <c r="M1108"/>
  <c r="K1108"/>
  <c r="H1108"/>
  <c r="C1108"/>
  <c r="G1108"/>
  <c r="E1108"/>
  <c r="B1108"/>
  <c r="A1108"/>
  <c r="W1107"/>
  <c r="S1107"/>
  <c r="Q1107"/>
  <c r="P1107"/>
  <c r="M1107"/>
  <c r="K1107"/>
  <c r="H1107"/>
  <c r="C1107"/>
  <c r="G1107"/>
  <c r="E1107"/>
  <c r="B1107"/>
  <c r="A1107"/>
  <c r="W1106"/>
  <c r="S1106"/>
  <c r="Q1106"/>
  <c r="P1106"/>
  <c r="M1106"/>
  <c r="K1106"/>
  <c r="H1106"/>
  <c r="C1106"/>
  <c r="G1106"/>
  <c r="E1106"/>
  <c r="B1106"/>
  <c r="A1106"/>
  <c r="W1105"/>
  <c r="S1105"/>
  <c r="Q1105"/>
  <c r="P1105"/>
  <c r="M1105"/>
  <c r="K1105"/>
  <c r="H1105"/>
  <c r="C1105"/>
  <c r="G1105"/>
  <c r="E1105"/>
  <c r="B1105"/>
  <c r="A1105"/>
  <c r="W1104"/>
  <c r="S1104"/>
  <c r="Q1104"/>
  <c r="P1104"/>
  <c r="M1104"/>
  <c r="K1104"/>
  <c r="H1104"/>
  <c r="C1104"/>
  <c r="G1104"/>
  <c r="E1104"/>
  <c r="B1104"/>
  <c r="A1104"/>
  <c r="W1103"/>
  <c r="S1103"/>
  <c r="Q1103"/>
  <c r="P1103"/>
  <c r="M1103"/>
  <c r="K1103"/>
  <c r="H1103"/>
  <c r="C1103"/>
  <c r="G1103"/>
  <c r="E1103"/>
  <c r="B1103"/>
  <c r="A1103"/>
  <c r="W1102"/>
  <c r="S1102"/>
  <c r="Q1102"/>
  <c r="P1102"/>
  <c r="M1102"/>
  <c r="K1102"/>
  <c r="H1102"/>
  <c r="C1102"/>
  <c r="G1102"/>
  <c r="E1102"/>
  <c r="B1102"/>
  <c r="A1102"/>
  <c r="W1101"/>
  <c r="S1101"/>
  <c r="Q1101"/>
  <c r="P1101"/>
  <c r="M1101"/>
  <c r="K1101"/>
  <c r="H1101"/>
  <c r="C1101"/>
  <c r="G1101"/>
  <c r="E1101"/>
  <c r="B1101"/>
  <c r="A1101"/>
  <c r="W1100"/>
  <c r="S1100"/>
  <c r="Q1100"/>
  <c r="P1100"/>
  <c r="M1100"/>
  <c r="K1100"/>
  <c r="H1100"/>
  <c r="C1100"/>
  <c r="G1100"/>
  <c r="E1100"/>
  <c r="B1100"/>
  <c r="A1100"/>
  <c r="W1099"/>
  <c r="S1099"/>
  <c r="Q1099"/>
  <c r="P1099"/>
  <c r="M1099"/>
  <c r="K1099"/>
  <c r="H1099"/>
  <c r="C1099"/>
  <c r="G1099"/>
  <c r="E1099"/>
  <c r="B1099"/>
  <c r="A1099"/>
  <c r="W1098"/>
  <c r="S1098"/>
  <c r="Q1098"/>
  <c r="P1098"/>
  <c r="M1098"/>
  <c r="K1098"/>
  <c r="H1098"/>
  <c r="C1098"/>
  <c r="G1098"/>
  <c r="E1098"/>
  <c r="B1098"/>
  <c r="A1098"/>
  <c r="W1097"/>
  <c r="S1097"/>
  <c r="Q1097"/>
  <c r="P1097"/>
  <c r="M1097"/>
  <c r="K1097"/>
  <c r="H1097"/>
  <c r="C1097"/>
  <c r="G1097"/>
  <c r="E1097"/>
  <c r="B1097"/>
  <c r="A1097"/>
  <c r="W1096"/>
  <c r="S1096"/>
  <c r="Q1096"/>
  <c r="P1096"/>
  <c r="M1096"/>
  <c r="K1096"/>
  <c r="H1096"/>
  <c r="C1096"/>
  <c r="G1096"/>
  <c r="E1096"/>
  <c r="B1096"/>
  <c r="A1096"/>
  <c r="W1095"/>
  <c r="S1095"/>
  <c r="Q1095"/>
  <c r="P1095"/>
  <c r="N1095"/>
  <c r="M1095"/>
  <c r="K1095"/>
  <c r="H1095"/>
  <c r="C1095"/>
  <c r="G1095"/>
  <c r="E1095"/>
  <c r="B1095"/>
  <c r="A1095"/>
  <c r="W1094"/>
  <c r="S1094"/>
  <c r="Q1094"/>
  <c r="P1094"/>
  <c r="N1094"/>
  <c r="M1094"/>
  <c r="K1094"/>
  <c r="H1094"/>
  <c r="C1094"/>
  <c r="G1094"/>
  <c r="E1094"/>
  <c r="B1094"/>
  <c r="A1094"/>
  <c r="W1093"/>
  <c r="S1093"/>
  <c r="Q1093"/>
  <c r="P1093"/>
  <c r="N1093"/>
  <c r="M1093"/>
  <c r="K1093"/>
  <c r="H1093"/>
  <c r="C1093"/>
  <c r="G1093"/>
  <c r="E1093"/>
  <c r="B1093"/>
  <c r="A1093"/>
  <c r="W1092"/>
  <c r="S1092"/>
  <c r="Q1092"/>
  <c r="P1092"/>
  <c r="N1092"/>
  <c r="M1092"/>
  <c r="K1092"/>
  <c r="H1092"/>
  <c r="C1092"/>
  <c r="G1092"/>
  <c r="E1092"/>
  <c r="B1092"/>
  <c r="A1092"/>
  <c r="W1091"/>
  <c r="S1091"/>
  <c r="Q1091"/>
  <c r="P1091"/>
  <c r="M1091"/>
  <c r="K1091"/>
  <c r="H1091"/>
  <c r="C1091"/>
  <c r="G1091"/>
  <c r="E1091"/>
  <c r="B1091"/>
  <c r="A1091"/>
  <c r="W1090"/>
  <c r="S1090"/>
  <c r="Q1090"/>
  <c r="P1090"/>
  <c r="M1090"/>
  <c r="K1090"/>
  <c r="H1090"/>
  <c r="C1090"/>
  <c r="G1090"/>
  <c r="E1090"/>
  <c r="B1090"/>
  <c r="A1090"/>
  <c r="W1089"/>
  <c r="S1089"/>
  <c r="Q1089"/>
  <c r="P1089"/>
  <c r="N1089"/>
  <c r="M1089"/>
  <c r="K1089"/>
  <c r="H1089"/>
  <c r="C1089"/>
  <c r="G1089"/>
  <c r="E1089"/>
  <c r="B1089"/>
  <c r="A1089"/>
  <c r="W1088"/>
  <c r="S1088"/>
  <c r="Q1088"/>
  <c r="P1088"/>
  <c r="M1088"/>
  <c r="K1088"/>
  <c r="H1088"/>
  <c r="C1088"/>
  <c r="G1088"/>
  <c r="E1088"/>
  <c r="B1088"/>
  <c r="A1088"/>
  <c r="W1087"/>
  <c r="S1087"/>
  <c r="Q1087"/>
  <c r="P1087"/>
  <c r="N1087"/>
  <c r="M1087"/>
  <c r="K1087"/>
  <c r="H1087"/>
  <c r="C1087"/>
  <c r="G1087"/>
  <c r="E1087"/>
  <c r="B1087"/>
  <c r="A1087"/>
  <c r="W1086"/>
  <c r="S1086"/>
  <c r="Q1086"/>
  <c r="P1086"/>
  <c r="M1086"/>
  <c r="K1086"/>
  <c r="H1086"/>
  <c r="C1086"/>
  <c r="G1086"/>
  <c r="E1086"/>
  <c r="B1086"/>
  <c r="A1086"/>
  <c r="W1085"/>
  <c r="S1085"/>
  <c r="Q1085"/>
  <c r="P1085"/>
  <c r="M1085"/>
  <c r="K1085"/>
  <c r="H1085"/>
  <c r="C1085"/>
  <c r="G1085"/>
  <c r="E1085"/>
  <c r="B1085"/>
  <c r="A1085"/>
  <c r="W1084"/>
  <c r="S1084"/>
  <c r="Q1084"/>
  <c r="P1084"/>
  <c r="M1084"/>
  <c r="K1084"/>
  <c r="H1084"/>
  <c r="C1084"/>
  <c r="G1084"/>
  <c r="E1084"/>
  <c r="B1084"/>
  <c r="A1084"/>
  <c r="W1083"/>
  <c r="S1083"/>
  <c r="Q1083"/>
  <c r="P1083"/>
  <c r="M1083"/>
  <c r="K1083"/>
  <c r="H1083"/>
  <c r="C1083"/>
  <c r="G1083"/>
  <c r="E1083"/>
  <c r="B1083"/>
  <c r="A1083"/>
  <c r="W1082"/>
  <c r="S1082"/>
  <c r="Q1082"/>
  <c r="P1082"/>
  <c r="M1082"/>
  <c r="K1082"/>
  <c r="H1082"/>
  <c r="C1082"/>
  <c r="G1082"/>
  <c r="E1082"/>
  <c r="B1082"/>
  <c r="A1082"/>
  <c r="W1081"/>
  <c r="S1081"/>
  <c r="Q1081"/>
  <c r="P1081"/>
  <c r="M1081"/>
  <c r="K1081"/>
  <c r="H1081"/>
  <c r="C1081"/>
  <c r="G1081"/>
  <c r="E1081"/>
  <c r="B1081"/>
  <c r="A1081"/>
  <c r="W1080"/>
  <c r="S1080"/>
  <c r="Q1080"/>
  <c r="P1080"/>
  <c r="M1080"/>
  <c r="K1080"/>
  <c r="H1080"/>
  <c r="C1080"/>
  <c r="G1080"/>
  <c r="E1080"/>
  <c r="B1080"/>
  <c r="A1080"/>
  <c r="W1079"/>
  <c r="S1079"/>
  <c r="Q1079"/>
  <c r="P1079"/>
  <c r="M1079"/>
  <c r="K1079"/>
  <c r="H1079"/>
  <c r="C1079"/>
  <c r="G1079"/>
  <c r="E1079"/>
  <c r="B1079"/>
  <c r="A1079"/>
  <c r="W1078"/>
  <c r="S1078"/>
  <c r="Q1078"/>
  <c r="P1078"/>
  <c r="M1078"/>
  <c r="K1078"/>
  <c r="H1078"/>
  <c r="C1078"/>
  <c r="G1078"/>
  <c r="E1078"/>
  <c r="B1078"/>
  <c r="A1078"/>
  <c r="W1077"/>
  <c r="S1077"/>
  <c r="Q1077"/>
  <c r="P1077"/>
  <c r="M1077"/>
  <c r="K1077"/>
  <c r="H1077"/>
  <c r="C1077"/>
  <c r="G1077"/>
  <c r="E1077"/>
  <c r="B1077"/>
  <c r="A1077"/>
  <c r="W1076"/>
  <c r="S1076"/>
  <c r="Q1076"/>
  <c r="P1076"/>
  <c r="M1076"/>
  <c r="K1076"/>
  <c r="H1076"/>
  <c r="C1076"/>
  <c r="G1076"/>
  <c r="E1076"/>
  <c r="B1076"/>
  <c r="A1076"/>
  <c r="W1075"/>
  <c r="S1075"/>
  <c r="Q1075"/>
  <c r="P1075"/>
  <c r="M1075"/>
  <c r="K1075"/>
  <c r="H1075"/>
  <c r="C1075"/>
  <c r="G1075"/>
  <c r="E1075"/>
  <c r="B1075"/>
  <c r="A1075"/>
  <c r="W1074"/>
  <c r="S1074"/>
  <c r="Q1074"/>
  <c r="P1074"/>
  <c r="M1074"/>
  <c r="K1074"/>
  <c r="H1074"/>
  <c r="C1074"/>
  <c r="G1074"/>
  <c r="E1074"/>
  <c r="B1074"/>
  <c r="A1074"/>
  <c r="W1073"/>
  <c r="S1073"/>
  <c r="Q1073"/>
  <c r="P1073"/>
  <c r="M1073"/>
  <c r="K1073"/>
  <c r="H1073"/>
  <c r="C1073"/>
  <c r="G1073"/>
  <c r="E1073"/>
  <c r="B1073"/>
  <c r="A1073"/>
  <c r="W1072"/>
  <c r="S1072"/>
  <c r="Q1072"/>
  <c r="P1072"/>
  <c r="M1072"/>
  <c r="K1072"/>
  <c r="H1072"/>
  <c r="C1072"/>
  <c r="G1072"/>
  <c r="E1072"/>
  <c r="B1072"/>
  <c r="A1072"/>
  <c r="W1071"/>
  <c r="S1071"/>
  <c r="Q1071"/>
  <c r="P1071"/>
  <c r="M1071"/>
  <c r="K1071"/>
  <c r="H1071"/>
  <c r="C1071"/>
  <c r="G1071"/>
  <c r="E1071"/>
  <c r="B1071"/>
  <c r="A1071"/>
  <c r="W1070"/>
  <c r="S1070"/>
  <c r="Q1070"/>
  <c r="P1070"/>
  <c r="M1070"/>
  <c r="K1070"/>
  <c r="H1070"/>
  <c r="C1070"/>
  <c r="G1070"/>
  <c r="E1070"/>
  <c r="B1070"/>
  <c r="A1070"/>
  <c r="W1069"/>
  <c r="S1069"/>
  <c r="Q1069"/>
  <c r="P1069"/>
  <c r="M1069"/>
  <c r="K1069"/>
  <c r="H1069"/>
  <c r="C1069"/>
  <c r="G1069"/>
  <c r="E1069"/>
  <c r="B1069"/>
  <c r="A1069"/>
  <c r="W1068"/>
  <c r="S1068"/>
  <c r="Q1068"/>
  <c r="P1068"/>
  <c r="M1068"/>
  <c r="K1068"/>
  <c r="H1068"/>
  <c r="C1068"/>
  <c r="G1068"/>
  <c r="E1068"/>
  <c r="B1068"/>
  <c r="A1068"/>
  <c r="W1067"/>
  <c r="S1067"/>
  <c r="Q1067"/>
  <c r="P1067"/>
  <c r="M1067"/>
  <c r="K1067"/>
  <c r="H1067"/>
  <c r="C1067"/>
  <c r="G1067"/>
  <c r="E1067"/>
  <c r="B1067"/>
  <c r="A1067"/>
  <c r="W1066"/>
  <c r="S1066"/>
  <c r="Q1066"/>
  <c r="P1066"/>
  <c r="M1066"/>
  <c r="K1066"/>
  <c r="H1066"/>
  <c r="C1066"/>
  <c r="G1066"/>
  <c r="E1066"/>
  <c r="B1066"/>
  <c r="A1066"/>
  <c r="W1065"/>
  <c r="S1065"/>
  <c r="Q1065"/>
  <c r="P1065"/>
  <c r="M1065"/>
  <c r="K1065"/>
  <c r="H1065"/>
  <c r="C1065"/>
  <c r="G1065"/>
  <c r="E1065"/>
  <c r="B1065"/>
  <c r="A1065"/>
  <c r="W1064"/>
  <c r="S1064"/>
  <c r="Q1064"/>
  <c r="P1064"/>
  <c r="M1064"/>
  <c r="K1064"/>
  <c r="H1064"/>
  <c r="C1064"/>
  <c r="G1064"/>
  <c r="E1064"/>
  <c r="B1064"/>
  <c r="A1064"/>
  <c r="W1063"/>
  <c r="S1063"/>
  <c r="Q1063"/>
  <c r="P1063"/>
  <c r="M1063"/>
  <c r="K1063"/>
  <c r="H1063"/>
  <c r="C1063"/>
  <c r="G1063"/>
  <c r="E1063"/>
  <c r="B1063"/>
  <c r="A1063"/>
  <c r="W1062"/>
  <c r="S1062"/>
  <c r="Q1062"/>
  <c r="P1062"/>
  <c r="M1062"/>
  <c r="K1062"/>
  <c r="H1062"/>
  <c r="C1062"/>
  <c r="G1062"/>
  <c r="E1062"/>
  <c r="B1062"/>
  <c r="A1062"/>
  <c r="W1061"/>
  <c r="S1061"/>
  <c r="Q1061"/>
  <c r="P1061"/>
  <c r="M1061"/>
  <c r="K1061"/>
  <c r="H1061"/>
  <c r="C1061"/>
  <c r="G1061"/>
  <c r="E1061"/>
  <c r="B1061"/>
  <c r="A1061"/>
  <c r="W1060"/>
  <c r="S1060"/>
  <c r="Q1060"/>
  <c r="P1060"/>
  <c r="M1060"/>
  <c r="K1060"/>
  <c r="H1060"/>
  <c r="C1060"/>
  <c r="G1060"/>
  <c r="E1060"/>
  <c r="B1060"/>
  <c r="A1060"/>
  <c r="W1059"/>
  <c r="S1059"/>
  <c r="Q1059"/>
  <c r="P1059"/>
  <c r="M1059"/>
  <c r="K1059"/>
  <c r="H1059"/>
  <c r="C1059"/>
  <c r="G1059"/>
  <c r="E1059"/>
  <c r="B1059"/>
  <c r="A1059"/>
  <c r="W1058"/>
  <c r="S1058"/>
  <c r="Q1058"/>
  <c r="P1058"/>
  <c r="M1058"/>
  <c r="K1058"/>
  <c r="H1058"/>
  <c r="C1058"/>
  <c r="G1058"/>
  <c r="E1058"/>
  <c r="B1058"/>
  <c r="A1058"/>
  <c r="W1057"/>
  <c r="S1057"/>
  <c r="Q1057"/>
  <c r="P1057"/>
  <c r="M1057"/>
  <c r="K1057"/>
  <c r="H1057"/>
  <c r="C1057"/>
  <c r="G1057"/>
  <c r="E1057"/>
  <c r="B1057"/>
  <c r="A1057"/>
  <c r="W1056"/>
  <c r="S1056"/>
  <c r="Q1056"/>
  <c r="P1056"/>
  <c r="M1056"/>
  <c r="K1056"/>
  <c r="H1056"/>
  <c r="C1056"/>
  <c r="G1056"/>
  <c r="E1056"/>
  <c r="B1056"/>
  <c r="A1056"/>
  <c r="W1055"/>
  <c r="S1055"/>
  <c r="Q1055"/>
  <c r="P1055"/>
  <c r="M1055"/>
  <c r="K1055"/>
  <c r="H1055"/>
  <c r="C1055"/>
  <c r="G1055"/>
  <c r="E1055"/>
  <c r="B1055"/>
  <c r="A1055"/>
  <c r="W1054"/>
  <c r="S1054"/>
  <c r="Q1054"/>
  <c r="P1054"/>
  <c r="M1054"/>
  <c r="K1054"/>
  <c r="H1054"/>
  <c r="C1054"/>
  <c r="G1054"/>
  <c r="E1054"/>
  <c r="B1054"/>
  <c r="A1054"/>
  <c r="W1053"/>
  <c r="S1053"/>
  <c r="Q1053"/>
  <c r="P1053"/>
  <c r="M1053"/>
  <c r="K1053"/>
  <c r="H1053"/>
  <c r="C1053"/>
  <c r="G1053"/>
  <c r="E1053"/>
  <c r="B1053"/>
  <c r="A1053"/>
  <c r="W1052"/>
  <c r="S1052"/>
  <c r="Q1052"/>
  <c r="P1052"/>
  <c r="M1052"/>
  <c r="K1052"/>
  <c r="H1052"/>
  <c r="C1052"/>
  <c r="G1052"/>
  <c r="E1052"/>
  <c r="B1052"/>
  <c r="A1052"/>
  <c r="W1051"/>
  <c r="S1051"/>
  <c r="Q1051"/>
  <c r="P1051"/>
  <c r="M1051"/>
  <c r="K1051"/>
  <c r="H1051"/>
  <c r="C1051"/>
  <c r="G1051"/>
  <c r="E1051"/>
  <c r="B1051"/>
  <c r="A1051"/>
  <c r="W1050"/>
  <c r="S1050"/>
  <c r="Q1050"/>
  <c r="P1050"/>
  <c r="M1050"/>
  <c r="K1050"/>
  <c r="H1050"/>
  <c r="C1050"/>
  <c r="G1050"/>
  <c r="E1050"/>
  <c r="B1050"/>
  <c r="A1050"/>
  <c r="W1049"/>
  <c r="S1049"/>
  <c r="Q1049"/>
  <c r="P1049"/>
  <c r="M1049"/>
  <c r="K1049"/>
  <c r="H1049"/>
  <c r="C1049"/>
  <c r="G1049"/>
  <c r="E1049"/>
  <c r="B1049"/>
  <c r="A1049"/>
  <c r="W1048"/>
  <c r="S1048"/>
  <c r="Q1048"/>
  <c r="P1048"/>
  <c r="M1048"/>
  <c r="K1048"/>
  <c r="H1048"/>
  <c r="C1048"/>
  <c r="G1048"/>
  <c r="E1048"/>
  <c r="B1048"/>
  <c r="A1048"/>
  <c r="W1047"/>
  <c r="S1047"/>
  <c r="Q1047"/>
  <c r="P1047"/>
  <c r="M1047"/>
  <c r="K1047"/>
  <c r="H1047"/>
  <c r="C1047"/>
  <c r="G1047"/>
  <c r="E1047"/>
  <c r="B1047"/>
  <c r="A1047"/>
  <c r="W1046"/>
  <c r="S1046"/>
  <c r="Q1046"/>
  <c r="P1046"/>
  <c r="M1046"/>
  <c r="K1046"/>
  <c r="H1046"/>
  <c r="C1046"/>
  <c r="G1046"/>
  <c r="E1046"/>
  <c r="B1046"/>
  <c r="A1046"/>
  <c r="W1045"/>
  <c r="S1045"/>
  <c r="Q1045"/>
  <c r="P1045"/>
  <c r="M1045"/>
  <c r="K1045"/>
  <c r="H1045"/>
  <c r="C1045"/>
  <c r="G1045"/>
  <c r="E1045"/>
  <c r="B1045"/>
  <c r="A1045"/>
  <c r="W1044"/>
  <c r="S1044"/>
  <c r="Q1044"/>
  <c r="P1044"/>
  <c r="M1044"/>
  <c r="K1044"/>
  <c r="H1044"/>
  <c r="C1044"/>
  <c r="G1044"/>
  <c r="E1044"/>
  <c r="B1044"/>
  <c r="A1044"/>
  <c r="W1043"/>
  <c r="S1043"/>
  <c r="Q1043"/>
  <c r="P1043"/>
  <c r="M1043"/>
  <c r="K1043"/>
  <c r="H1043"/>
  <c r="C1043"/>
  <c r="G1043"/>
  <c r="E1043"/>
  <c r="B1043"/>
  <c r="A1043"/>
  <c r="W1042"/>
  <c r="S1042"/>
  <c r="Q1042"/>
  <c r="P1042"/>
  <c r="M1042"/>
  <c r="K1042"/>
  <c r="H1042"/>
  <c r="C1042"/>
  <c r="G1042"/>
  <c r="E1042"/>
  <c r="B1042"/>
  <c r="A1042"/>
  <c r="W1041"/>
  <c r="S1041"/>
  <c r="Q1041"/>
  <c r="P1041"/>
  <c r="M1041"/>
  <c r="K1041"/>
  <c r="H1041"/>
  <c r="C1041"/>
  <c r="G1041"/>
  <c r="E1041"/>
  <c r="B1041"/>
  <c r="A1041"/>
  <c r="W1040"/>
  <c r="S1040"/>
  <c r="Q1040"/>
  <c r="P1040"/>
  <c r="M1040"/>
  <c r="K1040"/>
  <c r="H1040"/>
  <c r="C1040"/>
  <c r="G1040"/>
  <c r="E1040"/>
  <c r="B1040"/>
  <c r="A1040"/>
  <c r="W1039"/>
  <c r="S1039"/>
  <c r="Q1039"/>
  <c r="P1039"/>
  <c r="M1039"/>
  <c r="K1039"/>
  <c r="H1039"/>
  <c r="C1039"/>
  <c r="G1039"/>
  <c r="E1039"/>
  <c r="B1039"/>
  <c r="A1039"/>
  <c r="W1038"/>
  <c r="S1038"/>
  <c r="Q1038"/>
  <c r="P1038"/>
  <c r="M1038"/>
  <c r="K1038"/>
  <c r="H1038"/>
  <c r="C1038"/>
  <c r="G1038"/>
  <c r="E1038"/>
  <c r="B1038"/>
  <c r="A1038"/>
  <c r="W1037"/>
  <c r="S1037"/>
  <c r="Q1037"/>
  <c r="P1037"/>
  <c r="M1037"/>
  <c r="K1037"/>
  <c r="H1037"/>
  <c r="C1037"/>
  <c r="G1037"/>
  <c r="E1037"/>
  <c r="B1037"/>
  <c r="A1037"/>
  <c r="W1036"/>
  <c r="S1036"/>
  <c r="Q1036"/>
  <c r="P1036"/>
  <c r="M1036"/>
  <c r="K1036"/>
  <c r="H1036"/>
  <c r="C1036"/>
  <c r="G1036"/>
  <c r="E1036"/>
  <c r="B1036"/>
  <c r="A1036"/>
  <c r="W1035"/>
  <c r="S1035"/>
  <c r="Q1035"/>
  <c r="P1035"/>
  <c r="M1035"/>
  <c r="K1035"/>
  <c r="H1035"/>
  <c r="C1035"/>
  <c r="G1035"/>
  <c r="E1035"/>
  <c r="B1035"/>
  <c r="A1035"/>
  <c r="W1034"/>
  <c r="S1034"/>
  <c r="Q1034"/>
  <c r="P1034"/>
  <c r="M1034"/>
  <c r="K1034"/>
  <c r="H1034"/>
  <c r="C1034"/>
  <c r="G1034"/>
  <c r="E1034"/>
  <c r="B1034"/>
  <c r="A1034"/>
  <c r="W1033"/>
  <c r="S1033"/>
  <c r="Q1033"/>
  <c r="P1033"/>
  <c r="M1033"/>
  <c r="K1033"/>
  <c r="H1033"/>
  <c r="C1033"/>
  <c r="G1033"/>
  <c r="E1033"/>
  <c r="B1033"/>
  <c r="A1033"/>
  <c r="W1032"/>
  <c r="S1032"/>
  <c r="Q1032"/>
  <c r="P1032"/>
  <c r="M1032"/>
  <c r="K1032"/>
  <c r="H1032"/>
  <c r="C1032"/>
  <c r="G1032"/>
  <c r="E1032"/>
  <c r="B1032"/>
  <c r="A1032"/>
  <c r="W1031"/>
  <c r="S1031"/>
  <c r="Q1031"/>
  <c r="P1031"/>
  <c r="M1031"/>
  <c r="K1031"/>
  <c r="H1031"/>
  <c r="C1031"/>
  <c r="G1031"/>
  <c r="E1031"/>
  <c r="B1031"/>
  <c r="A1031"/>
  <c r="W1030"/>
  <c r="S1030"/>
  <c r="Q1030"/>
  <c r="P1030"/>
  <c r="M1030"/>
  <c r="K1030"/>
  <c r="H1030"/>
  <c r="C1030"/>
  <c r="G1030"/>
  <c r="E1030"/>
  <c r="B1030"/>
  <c r="A1030"/>
  <c r="W1029"/>
  <c r="S1029"/>
  <c r="Q1029"/>
  <c r="P1029"/>
  <c r="M1029"/>
  <c r="K1029"/>
  <c r="H1029"/>
  <c r="C1029"/>
  <c r="G1029"/>
  <c r="E1029"/>
  <c r="B1029"/>
  <c r="A1029"/>
  <c r="W1028"/>
  <c r="S1028"/>
  <c r="Q1028"/>
  <c r="P1028"/>
  <c r="M1028"/>
  <c r="K1028"/>
  <c r="H1028"/>
  <c r="C1028"/>
  <c r="G1028"/>
  <c r="E1028"/>
  <c r="B1028"/>
  <c r="A1028"/>
  <c r="W1027"/>
  <c r="S1027"/>
  <c r="Q1027"/>
  <c r="P1027"/>
  <c r="M1027"/>
  <c r="K1027"/>
  <c r="H1027"/>
  <c r="C1027"/>
  <c r="G1027"/>
  <c r="E1027"/>
  <c r="B1027"/>
  <c r="A1027"/>
  <c r="W1026"/>
  <c r="S1026"/>
  <c r="Q1026"/>
  <c r="P1026"/>
  <c r="M1026"/>
  <c r="K1026"/>
  <c r="H1026"/>
  <c r="C1026"/>
  <c r="G1026"/>
  <c r="E1026"/>
  <c r="B1026"/>
  <c r="A1026"/>
  <c r="W1025"/>
  <c r="S1025"/>
  <c r="Q1025"/>
  <c r="P1025"/>
  <c r="M1025"/>
  <c r="K1025"/>
  <c r="H1025"/>
  <c r="C1025"/>
  <c r="G1025"/>
  <c r="E1025"/>
  <c r="B1025"/>
  <c r="A1025"/>
  <c r="W1024"/>
  <c r="S1024"/>
  <c r="Q1024"/>
  <c r="P1024"/>
  <c r="M1024"/>
  <c r="K1024"/>
  <c r="H1024"/>
  <c r="C1024"/>
  <c r="G1024"/>
  <c r="E1024"/>
  <c r="B1024"/>
  <c r="A1024"/>
  <c r="W1023"/>
  <c r="S1023"/>
  <c r="Q1023"/>
  <c r="P1023"/>
  <c r="M1023"/>
  <c r="K1023"/>
  <c r="H1023"/>
  <c r="C1023"/>
  <c r="G1023"/>
  <c r="E1023"/>
  <c r="B1023"/>
  <c r="A1023"/>
  <c r="W1022"/>
  <c r="S1022"/>
  <c r="Q1022"/>
  <c r="P1022"/>
  <c r="M1022"/>
  <c r="K1022"/>
  <c r="H1022"/>
  <c r="C1022"/>
  <c r="G1022"/>
  <c r="E1022"/>
  <c r="B1022"/>
  <c r="A1022"/>
  <c r="W1021"/>
  <c r="S1021"/>
  <c r="Q1021"/>
  <c r="P1021"/>
  <c r="M1021"/>
  <c r="K1021"/>
  <c r="H1021"/>
  <c r="C1021"/>
  <c r="G1021"/>
  <c r="E1021"/>
  <c r="B1021"/>
  <c r="A1021"/>
  <c r="W1020"/>
  <c r="S1020"/>
  <c r="Q1020"/>
  <c r="P1020"/>
  <c r="M1020"/>
  <c r="K1020"/>
  <c r="H1020"/>
  <c r="C1020"/>
  <c r="G1020"/>
  <c r="E1020"/>
  <c r="B1020"/>
  <c r="A1020"/>
  <c r="W1019"/>
  <c r="S1019"/>
  <c r="Q1019"/>
  <c r="P1019"/>
  <c r="M1019"/>
  <c r="K1019"/>
  <c r="H1019"/>
  <c r="C1019"/>
  <c r="G1019"/>
  <c r="E1019"/>
  <c r="B1019"/>
  <c r="A1019"/>
  <c r="W1018"/>
  <c r="S1018"/>
  <c r="Q1018"/>
  <c r="P1018"/>
  <c r="M1018"/>
  <c r="K1018"/>
  <c r="H1018"/>
  <c r="C1018"/>
  <c r="G1018"/>
  <c r="E1018"/>
  <c r="B1018"/>
  <c r="A1018"/>
  <c r="W1017"/>
  <c r="S1017"/>
  <c r="Q1017"/>
  <c r="P1017"/>
  <c r="M1017"/>
  <c r="K1017"/>
  <c r="H1017"/>
  <c r="C1017"/>
  <c r="G1017"/>
  <c r="E1017"/>
  <c r="B1017"/>
  <c r="A1017"/>
  <c r="W1016"/>
  <c r="S1016"/>
  <c r="Q1016"/>
  <c r="P1016"/>
  <c r="M1016"/>
  <c r="K1016"/>
  <c r="H1016"/>
  <c r="C1016"/>
  <c r="G1016"/>
  <c r="E1016"/>
  <c r="B1016"/>
  <c r="A1016"/>
  <c r="W1015"/>
  <c r="S1015"/>
  <c r="Q1015"/>
  <c r="P1015"/>
  <c r="M1015"/>
  <c r="K1015"/>
  <c r="H1015"/>
  <c r="C1015"/>
  <c r="G1015"/>
  <c r="E1015"/>
  <c r="B1015"/>
  <c r="A1015"/>
  <c r="W1014"/>
  <c r="S1014"/>
  <c r="Q1014"/>
  <c r="P1014"/>
  <c r="M1014"/>
  <c r="K1014"/>
  <c r="H1014"/>
  <c r="C1014"/>
  <c r="G1014"/>
  <c r="E1014"/>
  <c r="B1014"/>
  <c r="A1014"/>
  <c r="W1013"/>
  <c r="S1013"/>
  <c r="R1013"/>
  <c r="Q1013"/>
  <c r="P1013"/>
  <c r="M1013"/>
  <c r="K1013"/>
  <c r="H1013"/>
  <c r="C1013"/>
  <c r="G1013"/>
  <c r="E1013"/>
  <c r="B1013"/>
  <c r="A1013"/>
  <c r="W1012"/>
  <c r="S1012"/>
  <c r="Q1012"/>
  <c r="P1012"/>
  <c r="M1012"/>
  <c r="K1012"/>
  <c r="H1012"/>
  <c r="C1012"/>
  <c r="G1012"/>
  <c r="E1012"/>
  <c r="B1012"/>
  <c r="A1012"/>
  <c r="W1011"/>
  <c r="S1011"/>
  <c r="Q1011"/>
  <c r="P1011"/>
  <c r="M1011"/>
  <c r="K1011"/>
  <c r="H1011"/>
  <c r="C1011"/>
  <c r="G1011"/>
  <c r="E1011"/>
  <c r="B1011"/>
  <c r="A1011"/>
  <c r="W1010"/>
  <c r="S1010"/>
  <c r="Q1010"/>
  <c r="P1010"/>
  <c r="M1010"/>
  <c r="K1010"/>
  <c r="H1010"/>
  <c r="C1010"/>
  <c r="G1010"/>
  <c r="E1010"/>
  <c r="B1010"/>
  <c r="A1010"/>
  <c r="W1009"/>
  <c r="S1009"/>
  <c r="Q1009"/>
  <c r="P1009"/>
  <c r="M1009"/>
  <c r="K1009"/>
  <c r="H1009"/>
  <c r="C1009"/>
  <c r="G1009"/>
  <c r="E1009"/>
  <c r="B1009"/>
  <c r="A1009"/>
  <c r="W1008"/>
  <c r="S1008"/>
  <c r="Q1008"/>
  <c r="P1008"/>
  <c r="M1008"/>
  <c r="K1008"/>
  <c r="H1008"/>
  <c r="C1008"/>
  <c r="G1008"/>
  <c r="E1008"/>
  <c r="B1008"/>
  <c r="A1008"/>
  <c r="W1007"/>
  <c r="S1007"/>
  <c r="Q1007"/>
  <c r="P1007"/>
  <c r="M1007"/>
  <c r="K1007"/>
  <c r="H1007"/>
  <c r="C1007"/>
  <c r="G1007"/>
  <c r="E1007"/>
  <c r="B1007"/>
  <c r="A1007"/>
  <c r="W1006"/>
  <c r="S1006"/>
  <c r="Q1006"/>
  <c r="P1006"/>
  <c r="M1006"/>
  <c r="K1006"/>
  <c r="H1006"/>
  <c r="C1006"/>
  <c r="G1006"/>
  <c r="E1006"/>
  <c r="B1006"/>
  <c r="A1006"/>
  <c r="W1005"/>
  <c r="S1005"/>
  <c r="Q1005"/>
  <c r="P1005"/>
  <c r="M1005"/>
  <c r="K1005"/>
  <c r="H1005"/>
  <c r="C1005"/>
  <c r="G1005"/>
  <c r="E1005"/>
  <c r="B1005"/>
  <c r="A1005"/>
  <c r="W1004"/>
  <c r="S1004"/>
  <c r="Q1004"/>
  <c r="P1004"/>
  <c r="M1004"/>
  <c r="K1004"/>
  <c r="H1004"/>
  <c r="C1004"/>
  <c r="G1004"/>
  <c r="E1004"/>
  <c r="B1004"/>
  <c r="A1004"/>
  <c r="W1003"/>
  <c r="S1003"/>
  <c r="Q1003"/>
  <c r="P1003"/>
  <c r="M1003"/>
  <c r="K1003"/>
  <c r="H1003"/>
  <c r="C1003"/>
  <c r="G1003"/>
  <c r="E1003"/>
  <c r="B1003"/>
  <c r="A1003"/>
  <c r="W1002"/>
  <c r="S1002"/>
  <c r="Q1002"/>
  <c r="P1002"/>
  <c r="M1002"/>
  <c r="K1002"/>
  <c r="H1002"/>
  <c r="C1002"/>
  <c r="G1002"/>
  <c r="E1002"/>
  <c r="B1002"/>
  <c r="A1002"/>
  <c r="W1001"/>
  <c r="S1001"/>
  <c r="Q1001"/>
  <c r="P1001"/>
  <c r="M1001"/>
  <c r="K1001"/>
  <c r="H1001"/>
  <c r="C1001"/>
  <c r="G1001"/>
  <c r="E1001"/>
  <c r="B1001"/>
  <c r="A1001"/>
  <c r="W1000"/>
  <c r="S1000"/>
  <c r="Q1000"/>
  <c r="P1000"/>
  <c r="M1000"/>
  <c r="K1000"/>
  <c r="H1000"/>
  <c r="C1000"/>
  <c r="G1000"/>
  <c r="E1000"/>
  <c r="B1000"/>
  <c r="A1000"/>
  <c r="W999"/>
  <c r="S999"/>
  <c r="Q999"/>
  <c r="P999"/>
  <c r="M999"/>
  <c r="K999"/>
  <c r="H999"/>
  <c r="C999"/>
  <c r="G999"/>
  <c r="E999"/>
  <c r="B999"/>
  <c r="A999"/>
  <c r="W998"/>
  <c r="S998"/>
  <c r="Q998"/>
  <c r="P998"/>
  <c r="M998"/>
  <c r="K998"/>
  <c r="H998"/>
  <c r="C998"/>
  <c r="G998"/>
  <c r="E998"/>
  <c r="B998"/>
  <c r="A998"/>
  <c r="W997"/>
  <c r="S997"/>
  <c r="Q997"/>
  <c r="P997"/>
  <c r="M997"/>
  <c r="K997"/>
  <c r="H997"/>
  <c r="C997"/>
  <c r="G997"/>
  <c r="E997"/>
  <c r="B997"/>
  <c r="A997"/>
  <c r="W996"/>
  <c r="S996"/>
  <c r="Q996"/>
  <c r="P996"/>
  <c r="M996"/>
  <c r="K996"/>
  <c r="H996"/>
  <c r="C996"/>
  <c r="G996"/>
  <c r="E996"/>
  <c r="B996"/>
  <c r="A996"/>
  <c r="W995"/>
  <c r="S995"/>
  <c r="Q995"/>
  <c r="P995"/>
  <c r="M995"/>
  <c r="K995"/>
  <c r="H995"/>
  <c r="C995"/>
  <c r="G995"/>
  <c r="E995"/>
  <c r="B995"/>
  <c r="A995"/>
  <c r="W994"/>
  <c r="S994"/>
  <c r="Q994"/>
  <c r="P994"/>
  <c r="M994"/>
  <c r="K994"/>
  <c r="H994"/>
  <c r="C994"/>
  <c r="G994"/>
  <c r="E994"/>
  <c r="B994"/>
  <c r="A994"/>
  <c r="W993"/>
  <c r="S993"/>
  <c r="Q993"/>
  <c r="P993"/>
  <c r="M993"/>
  <c r="K993"/>
  <c r="H993"/>
  <c r="C993"/>
  <c r="G993"/>
  <c r="E993"/>
  <c r="B993"/>
  <c r="A993"/>
  <c r="W992"/>
  <c r="S992"/>
  <c r="Q992"/>
  <c r="P992"/>
  <c r="M992"/>
  <c r="K992"/>
  <c r="H992"/>
  <c r="C992"/>
  <c r="G992"/>
  <c r="E992"/>
  <c r="B992"/>
  <c r="A992"/>
  <c r="W991"/>
  <c r="S991"/>
  <c r="Q991"/>
  <c r="P991"/>
  <c r="M991"/>
  <c r="K991"/>
  <c r="H991"/>
  <c r="C991"/>
  <c r="G991"/>
  <c r="E991"/>
  <c r="B991"/>
  <c r="A991"/>
  <c r="W990"/>
  <c r="S990"/>
  <c r="Q990"/>
  <c r="P990"/>
  <c r="M990"/>
  <c r="K990"/>
  <c r="H990"/>
  <c r="C990"/>
  <c r="G990"/>
  <c r="E990"/>
  <c r="B990"/>
  <c r="A990"/>
  <c r="W989"/>
  <c r="S989"/>
  <c r="Q989"/>
  <c r="P989"/>
  <c r="M989"/>
  <c r="K989"/>
  <c r="H989"/>
  <c r="C989"/>
  <c r="G989"/>
  <c r="E989"/>
  <c r="B989"/>
  <c r="A989"/>
  <c r="W988"/>
  <c r="S988"/>
  <c r="Q988"/>
  <c r="P988"/>
  <c r="M988"/>
  <c r="K988"/>
  <c r="H988"/>
  <c r="C988"/>
  <c r="G988"/>
  <c r="E988"/>
  <c r="B988"/>
  <c r="A988"/>
  <c r="W987"/>
  <c r="S987"/>
  <c r="Q987"/>
  <c r="P987"/>
  <c r="M987"/>
  <c r="K987"/>
  <c r="H987"/>
  <c r="C987"/>
  <c r="G987"/>
  <c r="E987"/>
  <c r="B987"/>
  <c r="A987"/>
  <c r="W986"/>
  <c r="S986"/>
  <c r="Q986"/>
  <c r="P986"/>
  <c r="M986"/>
  <c r="K986"/>
  <c r="H986"/>
  <c r="C986"/>
  <c r="G986"/>
  <c r="E986"/>
  <c r="B986"/>
  <c r="A986"/>
  <c r="W985"/>
  <c r="S985"/>
  <c r="Q985"/>
  <c r="P985"/>
  <c r="M985"/>
  <c r="K985"/>
  <c r="H985"/>
  <c r="C985"/>
  <c r="G985"/>
  <c r="E985"/>
  <c r="B985"/>
  <c r="A985"/>
  <c r="W984"/>
  <c r="S984"/>
  <c r="Q984"/>
  <c r="P984"/>
  <c r="M984"/>
  <c r="K984"/>
  <c r="H984"/>
  <c r="C984"/>
  <c r="G984"/>
  <c r="E984"/>
  <c r="B984"/>
  <c r="A984"/>
  <c r="W983"/>
  <c r="S983"/>
  <c r="Q983"/>
  <c r="P983"/>
  <c r="M983"/>
  <c r="K983"/>
  <c r="H983"/>
  <c r="C983"/>
  <c r="G983"/>
  <c r="E983"/>
  <c r="B983"/>
  <c r="A983"/>
  <c r="W982"/>
  <c r="S982"/>
  <c r="Q982"/>
  <c r="P982"/>
  <c r="M982"/>
  <c r="K982"/>
  <c r="H982"/>
  <c r="C982"/>
  <c r="G982"/>
  <c r="E982"/>
  <c r="B982"/>
  <c r="A982"/>
  <c r="W981"/>
  <c r="S981"/>
  <c r="Q981"/>
  <c r="P981"/>
  <c r="M981"/>
  <c r="K981"/>
  <c r="H981"/>
  <c r="C981"/>
  <c r="G981"/>
  <c r="E981"/>
  <c r="B981"/>
  <c r="A981"/>
  <c r="W980"/>
  <c r="S980"/>
  <c r="Q980"/>
  <c r="P980"/>
  <c r="M980"/>
  <c r="K980"/>
  <c r="H980"/>
  <c r="C980"/>
  <c r="G980"/>
  <c r="E980"/>
  <c r="B980"/>
  <c r="A980"/>
  <c r="W979"/>
  <c r="S979"/>
  <c r="Q979"/>
  <c r="P979"/>
  <c r="M979"/>
  <c r="K979"/>
  <c r="H979"/>
  <c r="C979"/>
  <c r="G979"/>
  <c r="E979"/>
  <c r="B979"/>
  <c r="A979"/>
  <c r="W978"/>
  <c r="S978"/>
  <c r="Q978"/>
  <c r="P978"/>
  <c r="M978"/>
  <c r="K978"/>
  <c r="H978"/>
  <c r="C978"/>
  <c r="G978"/>
  <c r="E978"/>
  <c r="B978"/>
  <c r="A978"/>
  <c r="W977"/>
  <c r="S977"/>
  <c r="Q977"/>
  <c r="P977"/>
  <c r="M977"/>
  <c r="K977"/>
  <c r="H977"/>
  <c r="C977"/>
  <c r="G977"/>
  <c r="E977"/>
  <c r="B977"/>
  <c r="A977"/>
  <c r="W976"/>
  <c r="S976"/>
  <c r="Q976"/>
  <c r="P976"/>
  <c r="M976"/>
  <c r="K976"/>
  <c r="H976"/>
  <c r="C976"/>
  <c r="G976"/>
  <c r="E976"/>
  <c r="B976"/>
  <c r="A976"/>
  <c r="W975"/>
  <c r="S975"/>
  <c r="Q975"/>
  <c r="P975"/>
  <c r="M975"/>
  <c r="K975"/>
  <c r="H975"/>
  <c r="C975"/>
  <c r="G975"/>
  <c r="E975"/>
  <c r="B975"/>
  <c r="A975"/>
  <c r="W974"/>
  <c r="S974"/>
  <c r="Q974"/>
  <c r="P974"/>
  <c r="M974"/>
  <c r="K974"/>
  <c r="H974"/>
  <c r="C974"/>
  <c r="G974"/>
  <c r="E974"/>
  <c r="B974"/>
  <c r="A974"/>
  <c r="W973"/>
  <c r="S973"/>
  <c r="Q973"/>
  <c r="P973"/>
  <c r="M973"/>
  <c r="K973"/>
  <c r="H973"/>
  <c r="C973"/>
  <c r="G973"/>
  <c r="E973"/>
  <c r="B973"/>
  <c r="A973"/>
  <c r="W972"/>
  <c r="S972"/>
  <c r="Q972"/>
  <c r="P972"/>
  <c r="M972"/>
  <c r="K972"/>
  <c r="H972"/>
  <c r="C972"/>
  <c r="G972"/>
  <c r="E972"/>
  <c r="B972"/>
  <c r="A972"/>
  <c r="W971"/>
  <c r="S971"/>
  <c r="Q971"/>
  <c r="P971"/>
  <c r="M971"/>
  <c r="K971"/>
  <c r="H971"/>
  <c r="C971"/>
  <c r="G971"/>
  <c r="E971"/>
  <c r="B971"/>
  <c r="A971"/>
  <c r="W970"/>
  <c r="S970"/>
  <c r="Q970"/>
  <c r="P970"/>
  <c r="M970"/>
  <c r="K970"/>
  <c r="H970"/>
  <c r="C970"/>
  <c r="G970"/>
  <c r="E970"/>
  <c r="B970"/>
  <c r="A970"/>
  <c r="W969"/>
  <c r="S969"/>
  <c r="Q969"/>
  <c r="P969"/>
  <c r="M969"/>
  <c r="K969"/>
  <c r="H969"/>
  <c r="C969"/>
  <c r="G969"/>
  <c r="E969"/>
  <c r="B969"/>
  <c r="A969"/>
  <c r="W968"/>
  <c r="S968"/>
  <c r="Q968"/>
  <c r="P968"/>
  <c r="M968"/>
  <c r="K968"/>
  <c r="H968"/>
  <c r="C968"/>
  <c r="G968"/>
  <c r="E968"/>
  <c r="B968"/>
  <c r="A968"/>
  <c r="W967"/>
  <c r="S967"/>
  <c r="Q967"/>
  <c r="P967"/>
  <c r="M967"/>
  <c r="K967"/>
  <c r="H967"/>
  <c r="C967"/>
  <c r="G967"/>
  <c r="E967"/>
  <c r="B967"/>
  <c r="A967"/>
  <c r="W966"/>
  <c r="S966"/>
  <c r="Q966"/>
  <c r="P966"/>
  <c r="M966"/>
  <c r="K966"/>
  <c r="H966"/>
  <c r="C966"/>
  <c r="G966"/>
  <c r="E966"/>
  <c r="B966"/>
  <c r="A966"/>
  <c r="W965"/>
  <c r="S965"/>
  <c r="Q965"/>
  <c r="P965"/>
  <c r="M965"/>
  <c r="K965"/>
  <c r="H965"/>
  <c r="C965"/>
  <c r="G965"/>
  <c r="E965"/>
  <c r="B965"/>
  <c r="A965"/>
  <c r="W964"/>
  <c r="S964"/>
  <c r="Q964"/>
  <c r="P964"/>
  <c r="M964"/>
  <c r="K964"/>
  <c r="H964"/>
  <c r="C964"/>
  <c r="G964"/>
  <c r="E964"/>
  <c r="B964"/>
  <c r="A964"/>
  <c r="W963"/>
  <c r="S963"/>
  <c r="Q963"/>
  <c r="P963"/>
  <c r="M963"/>
  <c r="K963"/>
  <c r="H963"/>
  <c r="C963"/>
  <c r="G963"/>
  <c r="E963"/>
  <c r="B963"/>
  <c r="A963"/>
  <c r="W962"/>
  <c r="S962"/>
  <c r="Q962"/>
  <c r="P962"/>
  <c r="M962"/>
  <c r="K962"/>
  <c r="H962"/>
  <c r="C962"/>
  <c r="G962"/>
  <c r="E962"/>
  <c r="B962"/>
  <c r="A962"/>
  <c r="W961"/>
  <c r="S961"/>
  <c r="Q961"/>
  <c r="P961"/>
  <c r="M961"/>
  <c r="K961"/>
  <c r="H961"/>
  <c r="C961"/>
  <c r="G961"/>
  <c r="E961"/>
  <c r="B961"/>
  <c r="A961"/>
  <c r="W960"/>
  <c r="S960"/>
  <c r="Q960"/>
  <c r="P960"/>
  <c r="M960"/>
  <c r="K960"/>
  <c r="H960"/>
  <c r="C960"/>
  <c r="G960"/>
  <c r="E960"/>
  <c r="B960"/>
  <c r="A960"/>
  <c r="W959"/>
  <c r="S959"/>
  <c r="Q959"/>
  <c r="P959"/>
  <c r="M959"/>
  <c r="K959"/>
  <c r="H959"/>
  <c r="C959"/>
  <c r="G959"/>
  <c r="E959"/>
  <c r="B959"/>
  <c r="A959"/>
  <c r="W958"/>
  <c r="S958"/>
  <c r="Q958"/>
  <c r="P958"/>
  <c r="M958"/>
  <c r="K958"/>
  <c r="H958"/>
  <c r="C958"/>
  <c r="G958"/>
  <c r="E958"/>
  <c r="B958"/>
  <c r="A958"/>
  <c r="W957"/>
  <c r="S957"/>
  <c r="Q957"/>
  <c r="P957"/>
  <c r="M957"/>
  <c r="K957"/>
  <c r="H957"/>
  <c r="C957"/>
  <c r="G957"/>
  <c r="E957"/>
  <c r="B957"/>
  <c r="A957"/>
  <c r="W956"/>
  <c r="S956"/>
  <c r="Q956"/>
  <c r="P956"/>
  <c r="M956"/>
  <c r="K956"/>
  <c r="H956"/>
  <c r="C956"/>
  <c r="G956"/>
  <c r="E956"/>
  <c r="B956"/>
  <c r="A956"/>
  <c r="W955"/>
  <c r="S955"/>
  <c r="Q955"/>
  <c r="P955"/>
  <c r="M955"/>
  <c r="K955"/>
  <c r="H955"/>
  <c r="C955"/>
  <c r="G955"/>
  <c r="E955"/>
  <c r="B955"/>
  <c r="A955"/>
  <c r="W954"/>
  <c r="S954"/>
  <c r="Q954"/>
  <c r="P954"/>
  <c r="M954"/>
  <c r="K954"/>
  <c r="H954"/>
  <c r="C954"/>
  <c r="G954"/>
  <c r="E954"/>
  <c r="B954"/>
  <c r="A954"/>
  <c r="W953"/>
  <c r="S953"/>
  <c r="Q953"/>
  <c r="P953"/>
  <c r="M953"/>
  <c r="K953"/>
  <c r="H953"/>
  <c r="C953"/>
  <c r="G953"/>
  <c r="E953"/>
  <c r="B953"/>
  <c r="A953"/>
  <c r="W952"/>
  <c r="S952"/>
  <c r="Q952"/>
  <c r="P952"/>
  <c r="M952"/>
  <c r="K952"/>
  <c r="H952"/>
  <c r="C952"/>
  <c r="G952"/>
  <c r="E952"/>
  <c r="B952"/>
  <c r="A952"/>
  <c r="W951"/>
  <c r="S951"/>
  <c r="Q951"/>
  <c r="P951"/>
  <c r="M951"/>
  <c r="K951"/>
  <c r="H951"/>
  <c r="C951"/>
  <c r="G951"/>
  <c r="E951"/>
  <c r="B951"/>
  <c r="A951"/>
  <c r="W950"/>
  <c r="S950"/>
  <c r="Q950"/>
  <c r="P950"/>
  <c r="M950"/>
  <c r="K950"/>
  <c r="H950"/>
  <c r="C950"/>
  <c r="G950"/>
  <c r="E950"/>
  <c r="B950"/>
  <c r="A950"/>
  <c r="W949"/>
  <c r="S949"/>
  <c r="Q949"/>
  <c r="P949"/>
  <c r="M949"/>
  <c r="K949"/>
  <c r="H949"/>
  <c r="C949"/>
  <c r="G949"/>
  <c r="E949"/>
  <c r="B949"/>
  <c r="A949"/>
  <c r="W948"/>
  <c r="S948"/>
  <c r="Q948"/>
  <c r="P948"/>
  <c r="M948"/>
  <c r="K948"/>
  <c r="H948"/>
  <c r="C948"/>
  <c r="G948"/>
  <c r="E948"/>
  <c r="B948"/>
  <c r="A948"/>
  <c r="W947"/>
  <c r="S947"/>
  <c r="Q947"/>
  <c r="P947"/>
  <c r="N947"/>
  <c r="M947"/>
  <c r="K947"/>
  <c r="H947"/>
  <c r="C947"/>
  <c r="G947"/>
  <c r="E947"/>
  <c r="B947"/>
  <c r="A947"/>
  <c r="W946"/>
  <c r="S946"/>
  <c r="Q946"/>
  <c r="P946"/>
  <c r="M946"/>
  <c r="K946"/>
  <c r="H946"/>
  <c r="C946"/>
  <c r="G946"/>
  <c r="E946"/>
  <c r="B946"/>
  <c r="A946"/>
  <c r="W945"/>
  <c r="S945"/>
  <c r="Q945"/>
  <c r="P945"/>
  <c r="N945"/>
  <c r="M945"/>
  <c r="K945"/>
  <c r="H945"/>
  <c r="C945"/>
  <c r="G945"/>
  <c r="E945"/>
  <c r="B945"/>
  <c r="A945"/>
  <c r="W944"/>
  <c r="S944"/>
  <c r="Q944"/>
  <c r="P944"/>
  <c r="N944"/>
  <c r="M944"/>
  <c r="K944"/>
  <c r="H944"/>
  <c r="C944"/>
  <c r="G944"/>
  <c r="E944"/>
  <c r="B944"/>
  <c r="A944"/>
  <c r="W943"/>
  <c r="S943"/>
  <c r="Q943"/>
  <c r="P943"/>
  <c r="M943"/>
  <c r="K943"/>
  <c r="H943"/>
  <c r="C943"/>
  <c r="G943"/>
  <c r="E943"/>
  <c r="B943"/>
  <c r="A943"/>
  <c r="W942"/>
  <c r="S942"/>
  <c r="Q942"/>
  <c r="P942"/>
  <c r="N942"/>
  <c r="M942"/>
  <c r="K942"/>
  <c r="H942"/>
  <c r="C942"/>
  <c r="G942"/>
  <c r="E942"/>
  <c r="B942"/>
  <c r="A942"/>
  <c r="W941"/>
  <c r="S941"/>
  <c r="Q941"/>
  <c r="P941"/>
  <c r="M941"/>
  <c r="K941"/>
  <c r="H941"/>
  <c r="C941"/>
  <c r="G941"/>
  <c r="E941"/>
  <c r="B941"/>
  <c r="A941"/>
  <c r="W940"/>
  <c r="S940"/>
  <c r="Q940"/>
  <c r="P940"/>
  <c r="M940"/>
  <c r="K940"/>
  <c r="H940"/>
  <c r="C940"/>
  <c r="G940"/>
  <c r="E940"/>
  <c r="B940"/>
  <c r="A940"/>
  <c r="W939"/>
  <c r="S939"/>
  <c r="Q939"/>
  <c r="P939"/>
  <c r="M939"/>
  <c r="K939"/>
  <c r="H939"/>
  <c r="C939"/>
  <c r="G939"/>
  <c r="E939"/>
  <c r="B939"/>
  <c r="A939"/>
  <c r="W938"/>
  <c r="S938"/>
  <c r="Q938"/>
  <c r="P938"/>
  <c r="M938"/>
  <c r="K938"/>
  <c r="H938"/>
  <c r="C938"/>
  <c r="G938"/>
  <c r="E938"/>
  <c r="B938"/>
  <c r="A938"/>
  <c r="W937"/>
  <c r="S937"/>
  <c r="Q937"/>
  <c r="P937"/>
  <c r="M937"/>
  <c r="K937"/>
  <c r="H937"/>
  <c r="C937"/>
  <c r="G937"/>
  <c r="E937"/>
  <c r="B937"/>
  <c r="A937"/>
  <c r="W936"/>
  <c r="S936"/>
  <c r="Q936"/>
  <c r="P936"/>
  <c r="M936"/>
  <c r="K936"/>
  <c r="H936"/>
  <c r="C936"/>
  <c r="G936"/>
  <c r="E936"/>
  <c r="B936"/>
  <c r="A936"/>
  <c r="W935"/>
  <c r="S935"/>
  <c r="Q935"/>
  <c r="P935"/>
  <c r="M935"/>
  <c r="K935"/>
  <c r="H935"/>
  <c r="C935"/>
  <c r="G935"/>
  <c r="E935"/>
  <c r="B935"/>
  <c r="A935"/>
  <c r="W934"/>
  <c r="S934"/>
  <c r="Q934"/>
  <c r="P934"/>
  <c r="M934"/>
  <c r="K934"/>
  <c r="H934"/>
  <c r="C934"/>
  <c r="G934"/>
  <c r="E934"/>
  <c r="B934"/>
  <c r="A934"/>
  <c r="W933"/>
  <c r="S933"/>
  <c r="Q933"/>
  <c r="P933"/>
  <c r="M933"/>
  <c r="K933"/>
  <c r="H933"/>
  <c r="C933"/>
  <c r="G933"/>
  <c r="E933"/>
  <c r="B933"/>
  <c r="A933"/>
  <c r="W932"/>
  <c r="S932"/>
  <c r="Q932"/>
  <c r="P932"/>
  <c r="N932"/>
  <c r="M932"/>
  <c r="K932"/>
  <c r="H932"/>
  <c r="C932"/>
  <c r="G932"/>
  <c r="E932"/>
  <c r="B932"/>
  <c r="A932"/>
  <c r="W931"/>
  <c r="S931"/>
  <c r="Q931"/>
  <c r="P931"/>
  <c r="M931"/>
  <c r="K931"/>
  <c r="H931"/>
  <c r="C931"/>
  <c r="G931"/>
  <c r="E931"/>
  <c r="B931"/>
  <c r="A931"/>
  <c r="W930"/>
  <c r="S930"/>
  <c r="Q930"/>
  <c r="P930"/>
  <c r="M930"/>
  <c r="K930"/>
  <c r="H930"/>
  <c r="C930"/>
  <c r="G930"/>
  <c r="E930"/>
  <c r="B930"/>
  <c r="A930"/>
  <c r="W929"/>
  <c r="S929"/>
  <c r="Q929"/>
  <c r="P929"/>
  <c r="M929"/>
  <c r="K929"/>
  <c r="H929"/>
  <c r="C929"/>
  <c r="G929"/>
  <c r="E929"/>
  <c r="B929"/>
  <c r="A929"/>
  <c r="W928"/>
  <c r="S928"/>
  <c r="Q928"/>
  <c r="P928"/>
  <c r="M928"/>
  <c r="K928"/>
  <c r="H928"/>
  <c r="C928"/>
  <c r="G928"/>
  <c r="E928"/>
  <c r="B928"/>
  <c r="A928"/>
  <c r="W927"/>
  <c r="S927"/>
  <c r="Q927"/>
  <c r="P927"/>
  <c r="N927"/>
  <c r="M927"/>
  <c r="K927"/>
  <c r="H927"/>
  <c r="C927"/>
  <c r="G927"/>
  <c r="E927"/>
  <c r="B927"/>
  <c r="A927"/>
  <c r="W926"/>
  <c r="S926"/>
  <c r="Q926"/>
  <c r="P926"/>
  <c r="M926"/>
  <c r="K926"/>
  <c r="H926"/>
  <c r="C926"/>
  <c r="G926"/>
  <c r="E926"/>
  <c r="B926"/>
  <c r="A926"/>
  <c r="W925"/>
  <c r="S925"/>
  <c r="Q925"/>
  <c r="P925"/>
  <c r="M925"/>
  <c r="K925"/>
  <c r="H925"/>
  <c r="C925"/>
  <c r="G925"/>
  <c r="E925"/>
  <c r="B925"/>
  <c r="A925"/>
  <c r="W924"/>
  <c r="S924"/>
  <c r="Q924"/>
  <c r="P924"/>
  <c r="M924"/>
  <c r="K924"/>
  <c r="H924"/>
  <c r="C924"/>
  <c r="G924"/>
  <c r="E924"/>
  <c r="B924"/>
  <c r="A924"/>
  <c r="W923"/>
  <c r="S923"/>
  <c r="Q923"/>
  <c r="P923"/>
  <c r="M923"/>
  <c r="K923"/>
  <c r="H923"/>
  <c r="C923"/>
  <c r="G923"/>
  <c r="E923"/>
  <c r="B923"/>
  <c r="A923"/>
  <c r="W922"/>
  <c r="S922"/>
  <c r="Q922"/>
  <c r="P922"/>
  <c r="M922"/>
  <c r="K922"/>
  <c r="H922"/>
  <c r="C922"/>
  <c r="G922"/>
  <c r="E922"/>
  <c r="B922"/>
  <c r="A922"/>
  <c r="W921"/>
  <c r="S921"/>
  <c r="Q921"/>
  <c r="P921"/>
  <c r="M921"/>
  <c r="K921"/>
  <c r="H921"/>
  <c r="C921"/>
  <c r="G921"/>
  <c r="E921"/>
  <c r="B921"/>
  <c r="A921"/>
  <c r="W920"/>
  <c r="S920"/>
  <c r="Q920"/>
  <c r="P920"/>
  <c r="M920"/>
  <c r="K920"/>
  <c r="H920"/>
  <c r="C920"/>
  <c r="G920"/>
  <c r="E920"/>
  <c r="B920"/>
  <c r="A920"/>
  <c r="W919"/>
  <c r="S919"/>
  <c r="Q919"/>
  <c r="P919"/>
  <c r="M919"/>
  <c r="K919"/>
  <c r="H919"/>
  <c r="C919"/>
  <c r="G919"/>
  <c r="E919"/>
  <c r="B919"/>
  <c r="A919"/>
  <c r="W918"/>
  <c r="S918"/>
  <c r="Q918"/>
  <c r="P918"/>
  <c r="M918"/>
  <c r="K918"/>
  <c r="H918"/>
  <c r="C918"/>
  <c r="G918"/>
  <c r="E918"/>
  <c r="B918"/>
  <c r="A918"/>
  <c r="W917"/>
  <c r="S917"/>
  <c r="Q917"/>
  <c r="P917"/>
  <c r="M917"/>
  <c r="K917"/>
  <c r="H917"/>
  <c r="C917"/>
  <c r="G917"/>
  <c r="E917"/>
  <c r="B917"/>
  <c r="A917"/>
  <c r="W916"/>
  <c r="S916"/>
  <c r="Q916"/>
  <c r="P916"/>
  <c r="M916"/>
  <c r="K916"/>
  <c r="H916"/>
  <c r="C916"/>
  <c r="G916"/>
  <c r="E916"/>
  <c r="B916"/>
  <c r="A916"/>
  <c r="W915"/>
  <c r="S915"/>
  <c r="R915"/>
  <c r="Q915"/>
  <c r="P915"/>
  <c r="M915"/>
  <c r="K915"/>
  <c r="H915"/>
  <c r="C915"/>
  <c r="G915"/>
  <c r="E915"/>
  <c r="B915"/>
  <c r="A915"/>
  <c r="W914"/>
  <c r="S914"/>
  <c r="Q914"/>
  <c r="P914"/>
  <c r="M914"/>
  <c r="K914"/>
  <c r="H914"/>
  <c r="C914"/>
  <c r="G914"/>
  <c r="E914"/>
  <c r="B914"/>
  <c r="A914"/>
  <c r="W913"/>
  <c r="S913"/>
  <c r="Q913"/>
  <c r="P913"/>
  <c r="M913"/>
  <c r="K913"/>
  <c r="H913"/>
  <c r="C913"/>
  <c r="G913"/>
  <c r="E913"/>
  <c r="B913"/>
  <c r="A913"/>
  <c r="W912"/>
  <c r="S912"/>
  <c r="Q912"/>
  <c r="P912"/>
  <c r="M912"/>
  <c r="K912"/>
  <c r="H912"/>
  <c r="C912"/>
  <c r="G912"/>
  <c r="E912"/>
  <c r="B912"/>
  <c r="A912"/>
  <c r="W911"/>
  <c r="S911"/>
  <c r="Q911"/>
  <c r="P911"/>
  <c r="M911"/>
  <c r="K911"/>
  <c r="H911"/>
  <c r="C911"/>
  <c r="G911"/>
  <c r="E911"/>
  <c r="B911"/>
  <c r="A911"/>
  <c r="W910"/>
  <c r="S910"/>
  <c r="Q910"/>
  <c r="P910"/>
  <c r="M910"/>
  <c r="K910"/>
  <c r="H910"/>
  <c r="C910"/>
  <c r="G910"/>
  <c r="E910"/>
  <c r="B910"/>
  <c r="A910"/>
  <c r="W909"/>
  <c r="S909"/>
  <c r="Q909"/>
  <c r="P909"/>
  <c r="M909"/>
  <c r="K909"/>
  <c r="H909"/>
  <c r="C909"/>
  <c r="G909"/>
  <c r="E909"/>
  <c r="B909"/>
  <c r="A909"/>
  <c r="W908"/>
  <c r="S908"/>
  <c r="Q908"/>
  <c r="P908"/>
  <c r="M908"/>
  <c r="K908"/>
  <c r="H908"/>
  <c r="C908"/>
  <c r="G908"/>
  <c r="E908"/>
  <c r="B908"/>
  <c r="A908"/>
  <c r="W907"/>
  <c r="S907"/>
  <c r="Q907"/>
  <c r="P907"/>
  <c r="M907"/>
  <c r="K907"/>
  <c r="H907"/>
  <c r="C907"/>
  <c r="G907"/>
  <c r="E907"/>
  <c r="B907"/>
  <c r="A907"/>
  <c r="W906"/>
  <c r="S906"/>
  <c r="Q906"/>
  <c r="P906"/>
  <c r="M906"/>
  <c r="K906"/>
  <c r="H906"/>
  <c r="C906"/>
  <c r="G906"/>
  <c r="E906"/>
  <c r="B906"/>
  <c r="A906"/>
  <c r="W905"/>
  <c r="S905"/>
  <c r="Q905"/>
  <c r="P905"/>
  <c r="M905"/>
  <c r="K905"/>
  <c r="H905"/>
  <c r="C905"/>
  <c r="G905"/>
  <c r="E905"/>
  <c r="B905"/>
  <c r="A905"/>
  <c r="W904"/>
  <c r="S904"/>
  <c r="Q904"/>
  <c r="P904"/>
  <c r="M904"/>
  <c r="K904"/>
  <c r="H904"/>
  <c r="C904"/>
  <c r="G904"/>
  <c r="E904"/>
  <c r="B904"/>
  <c r="A904"/>
  <c r="W903"/>
  <c r="S903"/>
  <c r="Q903"/>
  <c r="P903"/>
  <c r="M903"/>
  <c r="K903"/>
  <c r="H903"/>
  <c r="C903"/>
  <c r="G903"/>
  <c r="E903"/>
  <c r="B903"/>
  <c r="A903"/>
  <c r="W902"/>
  <c r="S902"/>
  <c r="Q902"/>
  <c r="P902"/>
  <c r="M902"/>
  <c r="K902"/>
  <c r="H902"/>
  <c r="C902"/>
  <c r="G902"/>
  <c r="E902"/>
  <c r="B902"/>
  <c r="A902"/>
  <c r="W901"/>
  <c r="S901"/>
  <c r="Q901"/>
  <c r="P901"/>
  <c r="M901"/>
  <c r="K901"/>
  <c r="H901"/>
  <c r="C901"/>
  <c r="G901"/>
  <c r="E901"/>
  <c r="B901"/>
  <c r="A901"/>
  <c r="W900"/>
  <c r="S900"/>
  <c r="Q900"/>
  <c r="P900"/>
  <c r="M900"/>
  <c r="K900"/>
  <c r="H900"/>
  <c r="C900"/>
  <c r="G900"/>
  <c r="E900"/>
  <c r="B900"/>
  <c r="A900"/>
  <c r="W899"/>
  <c r="S899"/>
  <c r="Q899"/>
  <c r="P899"/>
  <c r="M899"/>
  <c r="K899"/>
  <c r="H899"/>
  <c r="C899"/>
  <c r="G899"/>
  <c r="E899"/>
  <c r="B899"/>
  <c r="A899"/>
  <c r="W898"/>
  <c r="S898"/>
  <c r="Q898"/>
  <c r="P898"/>
  <c r="M898"/>
  <c r="K898"/>
  <c r="H898"/>
  <c r="C898"/>
  <c r="G898"/>
  <c r="E898"/>
  <c r="B898"/>
  <c r="A898"/>
  <c r="W897"/>
  <c r="S897"/>
  <c r="Q897"/>
  <c r="P897"/>
  <c r="M897"/>
  <c r="K897"/>
  <c r="H897"/>
  <c r="C897"/>
  <c r="G897"/>
  <c r="E897"/>
  <c r="B897"/>
  <c r="A897"/>
  <c r="W896"/>
  <c r="S896"/>
  <c r="Q896"/>
  <c r="P896"/>
  <c r="M896"/>
  <c r="K896"/>
  <c r="H896"/>
  <c r="C896"/>
  <c r="G896"/>
  <c r="E896"/>
  <c r="B896"/>
  <c r="A896"/>
  <c r="W895"/>
  <c r="S895"/>
  <c r="Q895"/>
  <c r="P895"/>
  <c r="M895"/>
  <c r="K895"/>
  <c r="H895"/>
  <c r="C895"/>
  <c r="G895"/>
  <c r="E895"/>
  <c r="B895"/>
  <c r="A895"/>
  <c r="W894"/>
  <c r="S894"/>
  <c r="Q894"/>
  <c r="P894"/>
  <c r="M894"/>
  <c r="K894"/>
  <c r="H894"/>
  <c r="C894"/>
  <c r="G894"/>
  <c r="E894"/>
  <c r="B894"/>
  <c r="A894"/>
  <c r="W893"/>
  <c r="S893"/>
  <c r="Q893"/>
  <c r="P893"/>
  <c r="M893"/>
  <c r="K893"/>
  <c r="H893"/>
  <c r="C893"/>
  <c r="G893"/>
  <c r="E893"/>
  <c r="B893"/>
  <c r="A893"/>
  <c r="W892"/>
  <c r="S892"/>
  <c r="Q892"/>
  <c r="P892"/>
  <c r="M892"/>
  <c r="K892"/>
  <c r="H892"/>
  <c r="C892"/>
  <c r="G892"/>
  <c r="E892"/>
  <c r="B892"/>
  <c r="A892"/>
  <c r="W891"/>
  <c r="S891"/>
  <c r="Q891"/>
  <c r="P891"/>
  <c r="M891"/>
  <c r="K891"/>
  <c r="H891"/>
  <c r="C891"/>
  <c r="G891"/>
  <c r="E891"/>
  <c r="B891"/>
  <c r="A891"/>
  <c r="W890"/>
  <c r="S890"/>
  <c r="Q890"/>
  <c r="P890"/>
  <c r="M890"/>
  <c r="K890"/>
  <c r="H890"/>
  <c r="C890"/>
  <c r="G890"/>
  <c r="E890"/>
  <c r="B890"/>
  <c r="A890"/>
  <c r="W889"/>
  <c r="S889"/>
  <c r="Q889"/>
  <c r="P889"/>
  <c r="M889"/>
  <c r="K889"/>
  <c r="H889"/>
  <c r="C889"/>
  <c r="G889"/>
  <c r="E889"/>
  <c r="B889"/>
  <c r="A889"/>
  <c r="W888"/>
  <c r="S888"/>
  <c r="Q888"/>
  <c r="P888"/>
  <c r="M888"/>
  <c r="K888"/>
  <c r="H888"/>
  <c r="C888"/>
  <c r="G888"/>
  <c r="E888"/>
  <c r="B888"/>
  <c r="A888"/>
  <c r="W887"/>
  <c r="S887"/>
  <c r="Q887"/>
  <c r="P887"/>
  <c r="M887"/>
  <c r="K887"/>
  <c r="H887"/>
  <c r="C887"/>
  <c r="G887"/>
  <c r="E887"/>
  <c r="B887"/>
  <c r="A887"/>
  <c r="W886"/>
  <c r="S886"/>
  <c r="Q886"/>
  <c r="P886"/>
  <c r="M886"/>
  <c r="K886"/>
  <c r="H886"/>
  <c r="C886"/>
  <c r="G886"/>
  <c r="E886"/>
  <c r="B886"/>
  <c r="A886"/>
  <c r="W885"/>
  <c r="S885"/>
  <c r="Q885"/>
  <c r="P885"/>
  <c r="M885"/>
  <c r="K885"/>
  <c r="H885"/>
  <c r="C885"/>
  <c r="G885"/>
  <c r="E885"/>
  <c r="B885"/>
  <c r="A885"/>
  <c r="W884"/>
  <c r="S884"/>
  <c r="Q884"/>
  <c r="P884"/>
  <c r="M884"/>
  <c r="K884"/>
  <c r="H884"/>
  <c r="C884"/>
  <c r="G884"/>
  <c r="E884"/>
  <c r="B884"/>
  <c r="A884"/>
  <c r="W883"/>
  <c r="S883"/>
  <c r="Q883"/>
  <c r="P883"/>
  <c r="M883"/>
  <c r="K883"/>
  <c r="H883"/>
  <c r="C883"/>
  <c r="G883"/>
  <c r="E883"/>
  <c r="B883"/>
  <c r="A883"/>
  <c r="W882"/>
  <c r="S882"/>
  <c r="Q882"/>
  <c r="P882"/>
  <c r="M882"/>
  <c r="K882"/>
  <c r="H882"/>
  <c r="C882"/>
  <c r="G882"/>
  <c r="E882"/>
  <c r="B882"/>
  <c r="A882"/>
  <c r="W881"/>
  <c r="S881"/>
  <c r="Q881"/>
  <c r="P881"/>
  <c r="M881"/>
  <c r="K881"/>
  <c r="H881"/>
  <c r="C881"/>
  <c r="G881"/>
  <c r="E881"/>
  <c r="B881"/>
  <c r="A881"/>
  <c r="W880"/>
  <c r="S880"/>
  <c r="Q880"/>
  <c r="P880"/>
  <c r="M880"/>
  <c r="K880"/>
  <c r="H880"/>
  <c r="C880"/>
  <c r="G880"/>
  <c r="E880"/>
  <c r="B880"/>
  <c r="A880"/>
  <c r="W879"/>
  <c r="S879"/>
  <c r="Q879"/>
  <c r="P879"/>
  <c r="M879"/>
  <c r="K879"/>
  <c r="H879"/>
  <c r="C879"/>
  <c r="G879"/>
  <c r="E879"/>
  <c r="B879"/>
  <c r="A879"/>
  <c r="W878"/>
  <c r="S878"/>
  <c r="Q878"/>
  <c r="P878"/>
  <c r="M878"/>
  <c r="K878"/>
  <c r="H878"/>
  <c r="C878"/>
  <c r="G878"/>
  <c r="E878"/>
  <c r="B878"/>
  <c r="A878"/>
  <c r="W877"/>
  <c r="S877"/>
  <c r="Q877"/>
  <c r="P877"/>
  <c r="M877"/>
  <c r="K877"/>
  <c r="H877"/>
  <c r="C877"/>
  <c r="G877"/>
  <c r="E877"/>
  <c r="B877"/>
  <c r="A877"/>
  <c r="W876"/>
  <c r="S876"/>
  <c r="Q876"/>
  <c r="P876"/>
  <c r="M876"/>
  <c r="K876"/>
  <c r="H876"/>
  <c r="C876"/>
  <c r="G876"/>
  <c r="E876"/>
  <c r="B876"/>
  <c r="A876"/>
  <c r="W875"/>
  <c r="S875"/>
  <c r="R875"/>
  <c r="Q875"/>
  <c r="P875"/>
  <c r="M875"/>
  <c r="K875"/>
  <c r="H875"/>
  <c r="C875"/>
  <c r="G875"/>
  <c r="E875"/>
  <c r="B875"/>
  <c r="A875"/>
  <c r="W874"/>
  <c r="S874"/>
  <c r="R874"/>
  <c r="Q874"/>
  <c r="P874"/>
  <c r="M874"/>
  <c r="K874"/>
  <c r="H874"/>
  <c r="C874"/>
  <c r="G874"/>
  <c r="E874"/>
  <c r="B874"/>
  <c r="A874"/>
  <c r="W873"/>
  <c r="S873"/>
  <c r="Q873"/>
  <c r="P873"/>
  <c r="M873"/>
  <c r="K873"/>
  <c r="H873"/>
  <c r="C873"/>
  <c r="G873"/>
  <c r="E873"/>
  <c r="B873"/>
  <c r="A873"/>
  <c r="W872"/>
  <c r="S872"/>
  <c r="Q872"/>
  <c r="P872"/>
  <c r="M872"/>
  <c r="K872"/>
  <c r="H872"/>
  <c r="C872"/>
  <c r="G872"/>
  <c r="E872"/>
  <c r="B872"/>
  <c r="A872"/>
  <c r="W871"/>
  <c r="S871"/>
  <c r="Q871"/>
  <c r="P871"/>
  <c r="M871"/>
  <c r="K871"/>
  <c r="H871"/>
  <c r="C871"/>
  <c r="G871"/>
  <c r="E871"/>
  <c r="B871"/>
  <c r="A871"/>
  <c r="W870"/>
  <c r="S870"/>
  <c r="Q870"/>
  <c r="P870"/>
  <c r="M870"/>
  <c r="K870"/>
  <c r="H870"/>
  <c r="C870"/>
  <c r="G870"/>
  <c r="E870"/>
  <c r="B870"/>
  <c r="A870"/>
  <c r="W869"/>
  <c r="S869"/>
  <c r="Q869"/>
  <c r="P869"/>
  <c r="M869"/>
  <c r="K869"/>
  <c r="H869"/>
  <c r="C869"/>
  <c r="G869"/>
  <c r="E869"/>
  <c r="B869"/>
  <c r="A869"/>
  <c r="W868"/>
  <c r="S868"/>
  <c r="R868"/>
  <c r="Q868"/>
  <c r="P868"/>
  <c r="M868"/>
  <c r="K868"/>
  <c r="H868"/>
  <c r="C868"/>
  <c r="G868"/>
  <c r="E868"/>
  <c r="B868"/>
  <c r="A868"/>
  <c r="W867"/>
  <c r="S867"/>
  <c r="Q867"/>
  <c r="P867"/>
  <c r="M867"/>
  <c r="K867"/>
  <c r="H867"/>
  <c r="C867"/>
  <c r="G867"/>
  <c r="E867"/>
  <c r="B867"/>
  <c r="A867"/>
  <c r="W866"/>
  <c r="S866"/>
  <c r="Q866"/>
  <c r="P866"/>
  <c r="M866"/>
  <c r="K866"/>
  <c r="H866"/>
  <c r="C866"/>
  <c r="G866"/>
  <c r="E866"/>
  <c r="B866"/>
  <c r="A866"/>
  <c r="W865"/>
  <c r="S865"/>
  <c r="Q865"/>
  <c r="P865"/>
  <c r="M865"/>
  <c r="K865"/>
  <c r="H865"/>
  <c r="C865"/>
  <c r="G865"/>
  <c r="E865"/>
  <c r="B865"/>
  <c r="A865"/>
  <c r="W864"/>
  <c r="S864"/>
  <c r="Q864"/>
  <c r="P864"/>
  <c r="M864"/>
  <c r="K864"/>
  <c r="H864"/>
  <c r="C864"/>
  <c r="G864"/>
  <c r="E864"/>
  <c r="B864"/>
  <c r="A864"/>
  <c r="W863"/>
  <c r="S863"/>
  <c r="Q863"/>
  <c r="P863"/>
  <c r="M863"/>
  <c r="K863"/>
  <c r="H863"/>
  <c r="C863"/>
  <c r="G863"/>
  <c r="E863"/>
  <c r="B863"/>
  <c r="A863"/>
  <c r="W862"/>
  <c r="S862"/>
  <c r="Q862"/>
  <c r="P862"/>
  <c r="M862"/>
  <c r="K862"/>
  <c r="H862"/>
  <c r="C862"/>
  <c r="G862"/>
  <c r="E862"/>
  <c r="B862"/>
  <c r="A862"/>
  <c r="W861"/>
  <c r="S861"/>
  <c r="Q861"/>
  <c r="P861"/>
  <c r="M861"/>
  <c r="K861"/>
  <c r="H861"/>
  <c r="C861"/>
  <c r="G861"/>
  <c r="E861"/>
  <c r="B861"/>
  <c r="A861"/>
  <c r="W860"/>
  <c r="S860"/>
  <c r="Q860"/>
  <c r="P860"/>
  <c r="M860"/>
  <c r="K860"/>
  <c r="H860"/>
  <c r="C860"/>
  <c r="G860"/>
  <c r="E860"/>
  <c r="B860"/>
  <c r="A860"/>
  <c r="W859"/>
  <c r="S859"/>
  <c r="Q859"/>
  <c r="P859"/>
  <c r="M859"/>
  <c r="K859"/>
  <c r="H859"/>
  <c r="C859"/>
  <c r="G859"/>
  <c r="E859"/>
  <c r="B859"/>
  <c r="A859"/>
  <c r="W858"/>
  <c r="S858"/>
  <c r="Q858"/>
  <c r="P858"/>
  <c r="M858"/>
  <c r="K858"/>
  <c r="H858"/>
  <c r="C858"/>
  <c r="G858"/>
  <c r="E858"/>
  <c r="B858"/>
  <c r="A858"/>
  <c r="W857"/>
  <c r="S857"/>
  <c r="Q857"/>
  <c r="P857"/>
  <c r="M857"/>
  <c r="K857"/>
  <c r="H857"/>
  <c r="C857"/>
  <c r="G857"/>
  <c r="E857"/>
  <c r="B857"/>
  <c r="A857"/>
  <c r="W856"/>
  <c r="S856"/>
  <c r="Q856"/>
  <c r="P856"/>
  <c r="M856"/>
  <c r="K856"/>
  <c r="H856"/>
  <c r="C856"/>
  <c r="G856"/>
  <c r="E856"/>
  <c r="B856"/>
  <c r="A856"/>
  <c r="W855"/>
  <c r="S855"/>
  <c r="Q855"/>
  <c r="P855"/>
  <c r="M855"/>
  <c r="K855"/>
  <c r="H855"/>
  <c r="C855"/>
  <c r="G855"/>
  <c r="E855"/>
  <c r="B855"/>
  <c r="A855"/>
  <c r="W854"/>
  <c r="S854"/>
  <c r="Q854"/>
  <c r="P854"/>
  <c r="M854"/>
  <c r="K854"/>
  <c r="H854"/>
  <c r="C854"/>
  <c r="G854"/>
  <c r="E854"/>
  <c r="B854"/>
  <c r="A854"/>
  <c r="W853"/>
  <c r="S853"/>
  <c r="Q853"/>
  <c r="P853"/>
  <c r="M853"/>
  <c r="K853"/>
  <c r="H853"/>
  <c r="C853"/>
  <c r="G853"/>
  <c r="E853"/>
  <c r="B853"/>
  <c r="A853"/>
  <c r="W852"/>
  <c r="S852"/>
  <c r="Q852"/>
  <c r="P852"/>
  <c r="M852"/>
  <c r="K852"/>
  <c r="H852"/>
  <c r="C852"/>
  <c r="G852"/>
  <c r="E852"/>
  <c r="B852"/>
  <c r="A852"/>
  <c r="W851"/>
  <c r="S851"/>
  <c r="Q851"/>
  <c r="P851"/>
  <c r="M851"/>
  <c r="K851"/>
  <c r="H851"/>
  <c r="C851"/>
  <c r="G851"/>
  <c r="E851"/>
  <c r="B851"/>
  <c r="A851"/>
  <c r="W850"/>
  <c r="S850"/>
  <c r="Q850"/>
  <c r="P850"/>
  <c r="M850"/>
  <c r="K850"/>
  <c r="H850"/>
  <c r="C850"/>
  <c r="G850"/>
  <c r="E850"/>
  <c r="B850"/>
  <c r="A850"/>
  <c r="W849"/>
  <c r="S849"/>
  <c r="Q849"/>
  <c r="P849"/>
  <c r="M849"/>
  <c r="K849"/>
  <c r="H849"/>
  <c r="C849"/>
  <c r="G849"/>
  <c r="E849"/>
  <c r="B849"/>
  <c r="A849"/>
  <c r="W848"/>
  <c r="S848"/>
  <c r="Q848"/>
  <c r="P848"/>
  <c r="M848"/>
  <c r="K848"/>
  <c r="H848"/>
  <c r="C848"/>
  <c r="G848"/>
  <c r="E848"/>
  <c r="B848"/>
  <c r="A848"/>
  <c r="W847"/>
  <c r="S847"/>
  <c r="Q847"/>
  <c r="P847"/>
  <c r="M847"/>
  <c r="K847"/>
  <c r="H847"/>
  <c r="C847"/>
  <c r="G847"/>
  <c r="E847"/>
  <c r="B847"/>
  <c r="A847"/>
  <c r="W846"/>
  <c r="S846"/>
  <c r="Q846"/>
  <c r="P846"/>
  <c r="M846"/>
  <c r="K846"/>
  <c r="H846"/>
  <c r="C846"/>
  <c r="G846"/>
  <c r="E846"/>
  <c r="B846"/>
  <c r="A846"/>
  <c r="W845"/>
  <c r="S845"/>
  <c r="Q845"/>
  <c r="P845"/>
  <c r="M845"/>
  <c r="K845"/>
  <c r="H845"/>
  <c r="C845"/>
  <c r="G845"/>
  <c r="E845"/>
  <c r="B845"/>
  <c r="A845"/>
  <c r="W844"/>
  <c r="S844"/>
  <c r="Q844"/>
  <c r="P844"/>
  <c r="M844"/>
  <c r="K844"/>
  <c r="H844"/>
  <c r="C844"/>
  <c r="G844"/>
  <c r="E844"/>
  <c r="B844"/>
  <c r="A844"/>
  <c r="W843"/>
  <c r="S843"/>
  <c r="Q843"/>
  <c r="P843"/>
  <c r="M843"/>
  <c r="K843"/>
  <c r="H843"/>
  <c r="C843"/>
  <c r="G843"/>
  <c r="E843"/>
  <c r="B843"/>
  <c r="A843"/>
  <c r="W842"/>
  <c r="S842"/>
  <c r="Q842"/>
  <c r="P842"/>
  <c r="M842"/>
  <c r="K842"/>
  <c r="H842"/>
  <c r="C842"/>
  <c r="G842"/>
  <c r="E842"/>
  <c r="B842"/>
  <c r="A842"/>
  <c r="W841"/>
  <c r="S841"/>
  <c r="Q841"/>
  <c r="P841"/>
  <c r="M841"/>
  <c r="K841"/>
  <c r="H841"/>
  <c r="C841"/>
  <c r="G841"/>
  <c r="E841"/>
  <c r="B841"/>
  <c r="A841"/>
  <c r="W840"/>
  <c r="S840"/>
  <c r="Q840"/>
  <c r="P840"/>
  <c r="M840"/>
  <c r="K840"/>
  <c r="H840"/>
  <c r="C840"/>
  <c r="G840"/>
  <c r="E840"/>
  <c r="B840"/>
  <c r="A840"/>
  <c r="W839"/>
  <c r="S839"/>
  <c r="Q839"/>
  <c r="P839"/>
  <c r="M839"/>
  <c r="K839"/>
  <c r="H839"/>
  <c r="C839"/>
  <c r="G839"/>
  <c r="E839"/>
  <c r="B839"/>
  <c r="A839"/>
  <c r="W838"/>
  <c r="S838"/>
  <c r="Q838"/>
  <c r="P838"/>
  <c r="M838"/>
  <c r="K838"/>
  <c r="H838"/>
  <c r="C838"/>
  <c r="G838"/>
  <c r="E838"/>
  <c r="B838"/>
  <c r="A838"/>
  <c r="W837"/>
  <c r="S837"/>
  <c r="Q837"/>
  <c r="P837"/>
  <c r="M837"/>
  <c r="K837"/>
  <c r="H837"/>
  <c r="C837"/>
  <c r="G837"/>
  <c r="E837"/>
  <c r="B837"/>
  <c r="A837"/>
  <c r="W836"/>
  <c r="S836"/>
  <c r="Q836"/>
  <c r="P836"/>
  <c r="M836"/>
  <c r="K836"/>
  <c r="H836"/>
  <c r="C836"/>
  <c r="G836"/>
  <c r="E836"/>
  <c r="B836"/>
  <c r="A836"/>
  <c r="W835"/>
  <c r="S835"/>
  <c r="Q835"/>
  <c r="P835"/>
  <c r="M835"/>
  <c r="K835"/>
  <c r="H835"/>
  <c r="C835"/>
  <c r="G835"/>
  <c r="E835"/>
  <c r="B835"/>
  <c r="A835"/>
  <c r="W834"/>
  <c r="S834"/>
  <c r="Q834"/>
  <c r="P834"/>
  <c r="M834"/>
  <c r="K834"/>
  <c r="H834"/>
  <c r="C834"/>
  <c r="G834"/>
  <c r="E834"/>
  <c r="B834"/>
  <c r="A834"/>
  <c r="W833"/>
  <c r="S833"/>
  <c r="Q833"/>
  <c r="P833"/>
  <c r="M833"/>
  <c r="K833"/>
  <c r="H833"/>
  <c r="C833"/>
  <c r="G833"/>
  <c r="E833"/>
  <c r="B833"/>
  <c r="A833"/>
  <c r="W832"/>
  <c r="S832"/>
  <c r="Q832"/>
  <c r="P832"/>
  <c r="M832"/>
  <c r="K832"/>
  <c r="H832"/>
  <c r="C832"/>
  <c r="G832"/>
  <c r="E832"/>
  <c r="B832"/>
  <c r="A832"/>
  <c r="W831"/>
  <c r="S831"/>
  <c r="Q831"/>
  <c r="P831"/>
  <c r="M831"/>
  <c r="K831"/>
  <c r="H831"/>
  <c r="C831"/>
  <c r="G831"/>
  <c r="E831"/>
  <c r="B831"/>
  <c r="A831"/>
  <c r="W830"/>
  <c r="S830"/>
  <c r="Q830"/>
  <c r="P830"/>
  <c r="M830"/>
  <c r="K830"/>
  <c r="H830"/>
  <c r="C830"/>
  <c r="G830"/>
  <c r="E830"/>
  <c r="B830"/>
  <c r="A830"/>
  <c r="W829"/>
  <c r="S829"/>
  <c r="R829"/>
  <c r="Q829"/>
  <c r="P829"/>
  <c r="M829"/>
  <c r="K829"/>
  <c r="H829"/>
  <c r="C829"/>
  <c r="G829"/>
  <c r="E829"/>
  <c r="B829"/>
  <c r="A829"/>
  <c r="W828"/>
  <c r="S828"/>
  <c r="Q828"/>
  <c r="P828"/>
  <c r="M828"/>
  <c r="K828"/>
  <c r="H828"/>
  <c r="C828"/>
  <c r="G828"/>
  <c r="E828"/>
  <c r="B828"/>
  <c r="A828"/>
  <c r="W827"/>
  <c r="S827"/>
  <c r="Q827"/>
  <c r="P827"/>
  <c r="M827"/>
  <c r="K827"/>
  <c r="H827"/>
  <c r="C827"/>
  <c r="G827"/>
  <c r="E827"/>
  <c r="B827"/>
  <c r="A827"/>
  <c r="W826"/>
  <c r="S826"/>
  <c r="Q826"/>
  <c r="P826"/>
  <c r="M826"/>
  <c r="K826"/>
  <c r="H826"/>
  <c r="C826"/>
  <c r="G826"/>
  <c r="E826"/>
  <c r="B826"/>
  <c r="A826"/>
  <c r="W825"/>
  <c r="S825"/>
  <c r="Q825"/>
  <c r="P825"/>
  <c r="M825"/>
  <c r="K825"/>
  <c r="H825"/>
  <c r="C825"/>
  <c r="G825"/>
  <c r="E825"/>
  <c r="B825"/>
  <c r="A825"/>
  <c r="W824"/>
  <c r="S824"/>
  <c r="Q824"/>
  <c r="P824"/>
  <c r="M824"/>
  <c r="K824"/>
  <c r="H824"/>
  <c r="C824"/>
  <c r="G824"/>
  <c r="E824"/>
  <c r="B824"/>
  <c r="A824"/>
  <c r="W823"/>
  <c r="S823"/>
  <c r="Q823"/>
  <c r="P823"/>
  <c r="M823"/>
  <c r="K823"/>
  <c r="H823"/>
  <c r="C823"/>
  <c r="G823"/>
  <c r="E823"/>
  <c r="B823"/>
  <c r="A823"/>
  <c r="W822"/>
  <c r="S822"/>
  <c r="Q822"/>
  <c r="P822"/>
  <c r="M822"/>
  <c r="K822"/>
  <c r="H822"/>
  <c r="C822"/>
  <c r="G822"/>
  <c r="E822"/>
  <c r="B822"/>
  <c r="A822"/>
  <c r="W821"/>
  <c r="S821"/>
  <c r="Q821"/>
  <c r="P821"/>
  <c r="M821"/>
  <c r="K821"/>
  <c r="H821"/>
  <c r="C821"/>
  <c r="G821"/>
  <c r="E821"/>
  <c r="B821"/>
  <c r="A821"/>
  <c r="W820"/>
  <c r="S820"/>
  <c r="Q820"/>
  <c r="P820"/>
  <c r="M820"/>
  <c r="K820"/>
  <c r="H820"/>
  <c r="C820"/>
  <c r="G820"/>
  <c r="E820"/>
  <c r="B820"/>
  <c r="A820"/>
  <c r="W819"/>
  <c r="S819"/>
  <c r="Q819"/>
  <c r="P819"/>
  <c r="M819"/>
  <c r="K819"/>
  <c r="H819"/>
  <c r="C819"/>
  <c r="G819"/>
  <c r="E819"/>
  <c r="B819"/>
  <c r="A819"/>
  <c r="W818"/>
  <c r="S818"/>
  <c r="Q818"/>
  <c r="P818"/>
  <c r="M818"/>
  <c r="K818"/>
  <c r="H818"/>
  <c r="C818"/>
  <c r="G818"/>
  <c r="E818"/>
  <c r="B818"/>
  <c r="A818"/>
  <c r="W817"/>
  <c r="S817"/>
  <c r="Q817"/>
  <c r="P817"/>
  <c r="M817"/>
  <c r="K817"/>
  <c r="H817"/>
  <c r="C817"/>
  <c r="G817"/>
  <c r="E817"/>
  <c r="B817"/>
  <c r="A817"/>
  <c r="W816"/>
  <c r="S816"/>
  <c r="Q816"/>
  <c r="P816"/>
  <c r="M816"/>
  <c r="K816"/>
  <c r="H816"/>
  <c r="C816"/>
  <c r="G816"/>
  <c r="E816"/>
  <c r="B816"/>
  <c r="A816"/>
  <c r="W815"/>
  <c r="S815"/>
  <c r="R815"/>
  <c r="Q815"/>
  <c r="P815"/>
  <c r="M815"/>
  <c r="K815"/>
  <c r="H815"/>
  <c r="C815"/>
  <c r="G815"/>
  <c r="E815"/>
  <c r="B815"/>
  <c r="A815"/>
  <c r="W814"/>
  <c r="S814"/>
  <c r="Q814"/>
  <c r="P814"/>
  <c r="M814"/>
  <c r="K814"/>
  <c r="H814"/>
  <c r="C814"/>
  <c r="G814"/>
  <c r="E814"/>
  <c r="B814"/>
  <c r="A814"/>
  <c r="W813"/>
  <c r="S813"/>
  <c r="Q813"/>
  <c r="P813"/>
  <c r="M813"/>
  <c r="K813"/>
  <c r="H813"/>
  <c r="C813"/>
  <c r="G813"/>
  <c r="E813"/>
  <c r="B813"/>
  <c r="A813"/>
  <c r="W812"/>
  <c r="S812"/>
  <c r="Q812"/>
  <c r="P812"/>
  <c r="M812"/>
  <c r="K812"/>
  <c r="H812"/>
  <c r="C812"/>
  <c r="G812"/>
  <c r="E812"/>
  <c r="B812"/>
  <c r="A812"/>
  <c r="W811"/>
  <c r="S811"/>
  <c r="Q811"/>
  <c r="P811"/>
  <c r="M811"/>
  <c r="K811"/>
  <c r="H811"/>
  <c r="C811"/>
  <c r="G811"/>
  <c r="E811"/>
  <c r="B811"/>
  <c r="A811"/>
  <c r="W810"/>
  <c r="S810"/>
  <c r="Q810"/>
  <c r="P810"/>
  <c r="M810"/>
  <c r="K810"/>
  <c r="H810"/>
  <c r="C810"/>
  <c r="G810"/>
  <c r="E810"/>
  <c r="B810"/>
  <c r="A810"/>
  <c r="W809"/>
  <c r="S809"/>
  <c r="Q809"/>
  <c r="P809"/>
  <c r="M809"/>
  <c r="K809"/>
  <c r="H809"/>
  <c r="C809"/>
  <c r="G809"/>
  <c r="E809"/>
  <c r="B809"/>
  <c r="A809"/>
  <c r="W808"/>
  <c r="S808"/>
  <c r="Q808"/>
  <c r="P808"/>
  <c r="M808"/>
  <c r="K808"/>
  <c r="H808"/>
  <c r="C808"/>
  <c r="G808"/>
  <c r="E808"/>
  <c r="B808"/>
  <c r="A808"/>
  <c r="W807"/>
  <c r="S807"/>
  <c r="Q807"/>
  <c r="P807"/>
  <c r="M807"/>
  <c r="K807"/>
  <c r="H807"/>
  <c r="C807"/>
  <c r="G807"/>
  <c r="E807"/>
  <c r="B807"/>
  <c r="A807"/>
  <c r="W806"/>
  <c r="S806"/>
  <c r="Q806"/>
  <c r="P806"/>
  <c r="M806"/>
  <c r="K806"/>
  <c r="H806"/>
  <c r="C806"/>
  <c r="G806"/>
  <c r="E806"/>
  <c r="B806"/>
  <c r="A806"/>
  <c r="W805"/>
  <c r="S805"/>
  <c r="Q805"/>
  <c r="P805"/>
  <c r="M805"/>
  <c r="K805"/>
  <c r="H805"/>
  <c r="C805"/>
  <c r="G805"/>
  <c r="E805"/>
  <c r="B805"/>
  <c r="A805"/>
  <c r="W804"/>
  <c r="S804"/>
  <c r="Q804"/>
  <c r="P804"/>
  <c r="M804"/>
  <c r="K804"/>
  <c r="H804"/>
  <c r="C804"/>
  <c r="G804"/>
  <c r="E804"/>
  <c r="B804"/>
  <c r="A804"/>
  <c r="W803"/>
  <c r="S803"/>
  <c r="Q803"/>
  <c r="P803"/>
  <c r="M803"/>
  <c r="K803"/>
  <c r="H803"/>
  <c r="C803"/>
  <c r="G803"/>
  <c r="E803"/>
  <c r="B803"/>
  <c r="A803"/>
  <c r="W802"/>
  <c r="S802"/>
  <c r="Q802"/>
  <c r="P802"/>
  <c r="M802"/>
  <c r="K802"/>
  <c r="H802"/>
  <c r="C802"/>
  <c r="G802"/>
  <c r="E802"/>
  <c r="B802"/>
  <c r="A802"/>
  <c r="W801"/>
  <c r="S801"/>
  <c r="Q801"/>
  <c r="P801"/>
  <c r="M801"/>
  <c r="K801"/>
  <c r="H801"/>
  <c r="C801"/>
  <c r="G801"/>
  <c r="E801"/>
  <c r="B801"/>
  <c r="A801"/>
  <c r="W800"/>
  <c r="S800"/>
  <c r="Q800"/>
  <c r="P800"/>
  <c r="M800"/>
  <c r="K800"/>
  <c r="H800"/>
  <c r="C800"/>
  <c r="G800"/>
  <c r="E800"/>
  <c r="B800"/>
  <c r="A800"/>
  <c r="W799"/>
  <c r="S799"/>
  <c r="Q799"/>
  <c r="P799"/>
  <c r="M799"/>
  <c r="K799"/>
  <c r="H799"/>
  <c r="C799"/>
  <c r="G799"/>
  <c r="E799"/>
  <c r="B799"/>
  <c r="A799"/>
  <c r="W798"/>
  <c r="S798"/>
  <c r="Q798"/>
  <c r="P798"/>
  <c r="M798"/>
  <c r="K798"/>
  <c r="H798"/>
  <c r="C798"/>
  <c r="G798"/>
  <c r="E798"/>
  <c r="B798"/>
  <c r="A798"/>
  <c r="W797"/>
  <c r="S797"/>
  <c r="Q797"/>
  <c r="P797"/>
  <c r="M797"/>
  <c r="K797"/>
  <c r="H797"/>
  <c r="C797"/>
  <c r="G797"/>
  <c r="E797"/>
  <c r="B797"/>
  <c r="A797"/>
  <c r="W796"/>
  <c r="S796"/>
  <c r="R796"/>
  <c r="Q796"/>
  <c r="P796"/>
  <c r="M796"/>
  <c r="K796"/>
  <c r="H796"/>
  <c r="C796"/>
  <c r="G796"/>
  <c r="E796"/>
  <c r="B796"/>
  <c r="A796"/>
  <c r="W795"/>
  <c r="S795"/>
  <c r="Q795"/>
  <c r="P795"/>
  <c r="M795"/>
  <c r="K795"/>
  <c r="H795"/>
  <c r="C795"/>
  <c r="G795"/>
  <c r="E795"/>
  <c r="B795"/>
  <c r="A795"/>
  <c r="W794"/>
  <c r="S794"/>
  <c r="Q794"/>
  <c r="P794"/>
  <c r="M794"/>
  <c r="K794"/>
  <c r="H794"/>
  <c r="C794"/>
  <c r="G794"/>
  <c r="E794"/>
  <c r="B794"/>
  <c r="A794"/>
  <c r="W793"/>
  <c r="S793"/>
  <c r="Q793"/>
  <c r="P793"/>
  <c r="M793"/>
  <c r="K793"/>
  <c r="H793"/>
  <c r="C793"/>
  <c r="G793"/>
  <c r="E793"/>
  <c r="B793"/>
  <c r="A793"/>
  <c r="W792"/>
  <c r="S792"/>
  <c r="Q792"/>
  <c r="P792"/>
  <c r="M792"/>
  <c r="K792"/>
  <c r="H792"/>
  <c r="C792"/>
  <c r="G792"/>
  <c r="E792"/>
  <c r="B792"/>
  <c r="A792"/>
  <c r="W791"/>
  <c r="S791"/>
  <c r="Q791"/>
  <c r="P791"/>
  <c r="M791"/>
  <c r="K791"/>
  <c r="H791"/>
  <c r="C791"/>
  <c r="G791"/>
  <c r="E791"/>
  <c r="B791"/>
  <c r="A791"/>
  <c r="W790"/>
  <c r="S790"/>
  <c r="Q790"/>
  <c r="P790"/>
  <c r="M790"/>
  <c r="K790"/>
  <c r="H790"/>
  <c r="C790"/>
  <c r="G790"/>
  <c r="E790"/>
  <c r="B790"/>
  <c r="A790"/>
  <c r="W789"/>
  <c r="S789"/>
  <c r="Q789"/>
  <c r="P789"/>
  <c r="M789"/>
  <c r="K789"/>
  <c r="H789"/>
  <c r="C789"/>
  <c r="G789"/>
  <c r="E789"/>
  <c r="B789"/>
  <c r="A789"/>
  <c r="W788"/>
  <c r="S788"/>
  <c r="Q788"/>
  <c r="P788"/>
  <c r="M788"/>
  <c r="K788"/>
  <c r="H788"/>
  <c r="C788"/>
  <c r="G788"/>
  <c r="E788"/>
  <c r="B788"/>
  <c r="A788"/>
  <c r="W787"/>
  <c r="S787"/>
  <c r="Q787"/>
  <c r="P787"/>
  <c r="M787"/>
  <c r="K787"/>
  <c r="H787"/>
  <c r="C787"/>
  <c r="G787"/>
  <c r="E787"/>
  <c r="B787"/>
  <c r="A787"/>
  <c r="W786"/>
  <c r="S786"/>
  <c r="R786"/>
  <c r="Q786"/>
  <c r="P786"/>
  <c r="M786"/>
  <c r="K786"/>
  <c r="H786"/>
  <c r="C786"/>
  <c r="G786"/>
  <c r="E786"/>
  <c r="B786"/>
  <c r="A786"/>
  <c r="W785"/>
  <c r="S785"/>
  <c r="Q785"/>
  <c r="P785"/>
  <c r="M785"/>
  <c r="K785"/>
  <c r="H785"/>
  <c r="C785"/>
  <c r="G785"/>
  <c r="E785"/>
  <c r="B785"/>
  <c r="A785"/>
  <c r="W784"/>
  <c r="S784"/>
  <c r="Q784"/>
  <c r="P784"/>
  <c r="M784"/>
  <c r="K784"/>
  <c r="H784"/>
  <c r="C784"/>
  <c r="G784"/>
  <c r="E784"/>
  <c r="B784"/>
  <c r="A784"/>
  <c r="W783"/>
  <c r="S783"/>
  <c r="Q783"/>
  <c r="P783"/>
  <c r="M783"/>
  <c r="K783"/>
  <c r="H783"/>
  <c r="C783"/>
  <c r="G783"/>
  <c r="E783"/>
  <c r="B783"/>
  <c r="A783"/>
  <c r="W782"/>
  <c r="S782"/>
  <c r="Q782"/>
  <c r="P782"/>
  <c r="M782"/>
  <c r="K782"/>
  <c r="H782"/>
  <c r="C782"/>
  <c r="G782"/>
  <c r="E782"/>
  <c r="B782"/>
  <c r="A782"/>
  <c r="W781"/>
  <c r="S781"/>
  <c r="Q781"/>
  <c r="P781"/>
  <c r="M781"/>
  <c r="K781"/>
  <c r="H781"/>
  <c r="C781"/>
  <c r="G781"/>
  <c r="E781"/>
  <c r="B781"/>
  <c r="A781"/>
  <c r="W780"/>
  <c r="S780"/>
  <c r="Q780"/>
  <c r="P780"/>
  <c r="M780"/>
  <c r="K780"/>
  <c r="H780"/>
  <c r="C780"/>
  <c r="G780"/>
  <c r="E780"/>
  <c r="B780"/>
  <c r="A780"/>
  <c r="W779"/>
  <c r="S779"/>
  <c r="Q779"/>
  <c r="P779"/>
  <c r="M779"/>
  <c r="K779"/>
  <c r="H779"/>
  <c r="C779"/>
  <c r="G779"/>
  <c r="E779"/>
  <c r="B779"/>
  <c r="A779"/>
  <c r="W778"/>
  <c r="S778"/>
  <c r="Q778"/>
  <c r="P778"/>
  <c r="M778"/>
  <c r="K778"/>
  <c r="H778"/>
  <c r="C778"/>
  <c r="G778"/>
  <c r="E778"/>
  <c r="B778"/>
  <c r="A778"/>
  <c r="W777"/>
  <c r="S777"/>
  <c r="Q777"/>
  <c r="P777"/>
  <c r="M777"/>
  <c r="K777"/>
  <c r="H777"/>
  <c r="C777"/>
  <c r="G777"/>
  <c r="E777"/>
  <c r="B777"/>
  <c r="A777"/>
  <c r="W776"/>
  <c r="S776"/>
  <c r="Q776"/>
  <c r="P776"/>
  <c r="M776"/>
  <c r="K776"/>
  <c r="H776"/>
  <c r="C776"/>
  <c r="G776"/>
  <c r="E776"/>
  <c r="B776"/>
  <c r="A776"/>
  <c r="W775"/>
  <c r="S775"/>
  <c r="Q775"/>
  <c r="P775"/>
  <c r="M775"/>
  <c r="K775"/>
  <c r="H775"/>
  <c r="C775"/>
  <c r="G775"/>
  <c r="E775"/>
  <c r="B775"/>
  <c r="A775"/>
  <c r="W774"/>
  <c r="S774"/>
  <c r="Q774"/>
  <c r="P774"/>
  <c r="M774"/>
  <c r="K774"/>
  <c r="H774"/>
  <c r="C774"/>
  <c r="G774"/>
  <c r="E774"/>
  <c r="B774"/>
  <c r="A774"/>
  <c r="W773"/>
  <c r="S773"/>
  <c r="Q773"/>
  <c r="P773"/>
  <c r="M773"/>
  <c r="K773"/>
  <c r="H773"/>
  <c r="C773"/>
  <c r="G773"/>
  <c r="E773"/>
  <c r="B773"/>
  <c r="A773"/>
  <c r="W772"/>
  <c r="S772"/>
  <c r="Q772"/>
  <c r="P772"/>
  <c r="M772"/>
  <c r="K772"/>
  <c r="H772"/>
  <c r="C772"/>
  <c r="G772"/>
  <c r="E772"/>
  <c r="B772"/>
  <c r="A772"/>
  <c r="W771"/>
  <c r="S771"/>
  <c r="Q771"/>
  <c r="P771"/>
  <c r="M771"/>
  <c r="K771"/>
  <c r="H771"/>
  <c r="C771"/>
  <c r="G771"/>
  <c r="E771"/>
  <c r="B771"/>
  <c r="A771"/>
  <c r="W770"/>
  <c r="S770"/>
  <c r="Q770"/>
  <c r="P770"/>
  <c r="M770"/>
  <c r="K770"/>
  <c r="H770"/>
  <c r="C770"/>
  <c r="G770"/>
  <c r="E770"/>
  <c r="B770"/>
  <c r="A770"/>
  <c r="W769"/>
  <c r="S769"/>
  <c r="Q769"/>
  <c r="P769"/>
  <c r="M769"/>
  <c r="K769"/>
  <c r="H769"/>
  <c r="C769"/>
  <c r="G769"/>
  <c r="E769"/>
  <c r="B769"/>
  <c r="A769"/>
  <c r="W768"/>
  <c r="S768"/>
  <c r="Q768"/>
  <c r="P768"/>
  <c r="M768"/>
  <c r="K768"/>
  <c r="H768"/>
  <c r="C768"/>
  <c r="G768"/>
  <c r="E768"/>
  <c r="B768"/>
  <c r="A768"/>
  <c r="W767"/>
  <c r="S767"/>
  <c r="R767"/>
  <c r="Q767"/>
  <c r="P767"/>
  <c r="M767"/>
  <c r="K767"/>
  <c r="H767"/>
  <c r="C767"/>
  <c r="G767"/>
  <c r="E767"/>
  <c r="B767"/>
  <c r="A767"/>
  <c r="W766"/>
  <c r="S766"/>
  <c r="Q766"/>
  <c r="P766"/>
  <c r="M766"/>
  <c r="K766"/>
  <c r="H766"/>
  <c r="C766"/>
  <c r="G766"/>
  <c r="E766"/>
  <c r="B766"/>
  <c r="A766"/>
  <c r="W765"/>
  <c r="S765"/>
  <c r="Q765"/>
  <c r="P765"/>
  <c r="M765"/>
  <c r="K765"/>
  <c r="H765"/>
  <c r="C765"/>
  <c r="G765"/>
  <c r="E765"/>
  <c r="B765"/>
  <c r="A765"/>
  <c r="W764"/>
  <c r="S764"/>
  <c r="Q764"/>
  <c r="P764"/>
  <c r="M764"/>
  <c r="K764"/>
  <c r="H764"/>
  <c r="C764"/>
  <c r="G764"/>
  <c r="E764"/>
  <c r="B764"/>
  <c r="A764"/>
  <c r="W763"/>
  <c r="S763"/>
  <c r="Q763"/>
  <c r="P763"/>
  <c r="M763"/>
  <c r="K763"/>
  <c r="H763"/>
  <c r="C763"/>
  <c r="G763"/>
  <c r="E763"/>
  <c r="B763"/>
  <c r="A763"/>
  <c r="W762"/>
  <c r="S762"/>
  <c r="Q762"/>
  <c r="P762"/>
  <c r="M762"/>
  <c r="K762"/>
  <c r="H762"/>
  <c r="C762"/>
  <c r="G762"/>
  <c r="E762"/>
  <c r="B762"/>
  <c r="A762"/>
  <c r="W761"/>
  <c r="S761"/>
  <c r="Q761"/>
  <c r="P761"/>
  <c r="M761"/>
  <c r="K761"/>
  <c r="H761"/>
  <c r="C761"/>
  <c r="G761"/>
  <c r="E761"/>
  <c r="B761"/>
  <c r="A761"/>
  <c r="W760"/>
  <c r="S760"/>
  <c r="Q760"/>
  <c r="P760"/>
  <c r="M760"/>
  <c r="K760"/>
  <c r="H760"/>
  <c r="C760"/>
  <c r="G760"/>
  <c r="E760"/>
  <c r="B760"/>
  <c r="A760"/>
  <c r="W759"/>
  <c r="S759"/>
  <c r="Q759"/>
  <c r="P759"/>
  <c r="M759"/>
  <c r="K759"/>
  <c r="H759"/>
  <c r="C759"/>
  <c r="G759"/>
  <c r="E759"/>
  <c r="B759"/>
  <c r="A759"/>
  <c r="W758"/>
  <c r="S758"/>
  <c r="Q758"/>
  <c r="P758"/>
  <c r="M758"/>
  <c r="K758"/>
  <c r="H758"/>
  <c r="C758"/>
  <c r="G758"/>
  <c r="E758"/>
  <c r="B758"/>
  <c r="A758"/>
  <c r="W757"/>
  <c r="S757"/>
  <c r="Q757"/>
  <c r="P757"/>
  <c r="M757"/>
  <c r="K757"/>
  <c r="H757"/>
  <c r="C757"/>
  <c r="G757"/>
  <c r="E757"/>
  <c r="B757"/>
  <c r="A757"/>
  <c r="W756"/>
  <c r="S756"/>
  <c r="Q756"/>
  <c r="P756"/>
  <c r="M756"/>
  <c r="K756"/>
  <c r="H756"/>
  <c r="C756"/>
  <c r="G756"/>
  <c r="E756"/>
  <c r="B756"/>
  <c r="A756"/>
  <c r="W755"/>
  <c r="S755"/>
  <c r="Q755"/>
  <c r="P755"/>
  <c r="M755"/>
  <c r="K755"/>
  <c r="H755"/>
  <c r="C755"/>
  <c r="G755"/>
  <c r="E755"/>
  <c r="B755"/>
  <c r="A755"/>
  <c r="W754"/>
  <c r="S754"/>
  <c r="Q754"/>
  <c r="P754"/>
  <c r="M754"/>
  <c r="K754"/>
  <c r="H754"/>
  <c r="C754"/>
  <c r="G754"/>
  <c r="E754"/>
  <c r="B754"/>
  <c r="A754"/>
  <c r="W753"/>
  <c r="S753"/>
  <c r="R753"/>
  <c r="Q753"/>
  <c r="P753"/>
  <c r="M753"/>
  <c r="K753"/>
  <c r="H753"/>
  <c r="C753"/>
  <c r="G753"/>
  <c r="E753"/>
  <c r="B753"/>
  <c r="A753"/>
  <c r="W752"/>
  <c r="S752"/>
  <c r="Q752"/>
  <c r="P752"/>
  <c r="M752"/>
  <c r="K752"/>
  <c r="H752"/>
  <c r="C752"/>
  <c r="G752"/>
  <c r="E752"/>
  <c r="B752"/>
  <c r="A752"/>
  <c r="W751"/>
  <c r="S751"/>
  <c r="Q751"/>
  <c r="P751"/>
  <c r="M751"/>
  <c r="K751"/>
  <c r="H751"/>
  <c r="C751"/>
  <c r="G751"/>
  <c r="E751"/>
  <c r="B751"/>
  <c r="A751"/>
  <c r="W750"/>
  <c r="S750"/>
  <c r="Q750"/>
  <c r="P750"/>
  <c r="M750"/>
  <c r="K750"/>
  <c r="H750"/>
  <c r="C750"/>
  <c r="G750"/>
  <c r="E750"/>
  <c r="B750"/>
  <c r="A750"/>
  <c r="W749"/>
  <c r="S749"/>
  <c r="Q749"/>
  <c r="P749"/>
  <c r="M749"/>
  <c r="K749"/>
  <c r="H749"/>
  <c r="C749"/>
  <c r="G749"/>
  <c r="E749"/>
  <c r="B749"/>
  <c r="A749"/>
  <c r="W748"/>
  <c r="S748"/>
  <c r="Q748"/>
  <c r="P748"/>
  <c r="M748"/>
  <c r="K748"/>
  <c r="H748"/>
  <c r="C748"/>
  <c r="G748"/>
  <c r="E748"/>
  <c r="B748"/>
  <c r="A748"/>
  <c r="W747"/>
  <c r="S747"/>
  <c r="Q747"/>
  <c r="P747"/>
  <c r="M747"/>
  <c r="K747"/>
  <c r="H747"/>
  <c r="C747"/>
  <c r="G747"/>
  <c r="E747"/>
  <c r="B747"/>
  <c r="A747"/>
  <c r="W746"/>
  <c r="S746"/>
  <c r="Q746"/>
  <c r="P746"/>
  <c r="M746"/>
  <c r="K746"/>
  <c r="H746"/>
  <c r="C746"/>
  <c r="G746"/>
  <c r="E746"/>
  <c r="B746"/>
  <c r="A746"/>
  <c r="W745"/>
  <c r="S745"/>
  <c r="Q745"/>
  <c r="P745"/>
  <c r="M745"/>
  <c r="K745"/>
  <c r="H745"/>
  <c r="C745"/>
  <c r="G745"/>
  <c r="E745"/>
  <c r="B745"/>
  <c r="A745"/>
  <c r="W744"/>
  <c r="S744"/>
  <c r="Q744"/>
  <c r="P744"/>
  <c r="M744"/>
  <c r="K744"/>
  <c r="H744"/>
  <c r="C744"/>
  <c r="G744"/>
  <c r="E744"/>
  <c r="B744"/>
  <c r="A744"/>
  <c r="W743"/>
  <c r="S743"/>
  <c r="Q743"/>
  <c r="P743"/>
  <c r="M743"/>
  <c r="K743"/>
  <c r="H743"/>
  <c r="C743"/>
  <c r="G743"/>
  <c r="E743"/>
  <c r="B743"/>
  <c r="A743"/>
  <c r="W742"/>
  <c r="S742"/>
  <c r="Q742"/>
  <c r="P742"/>
  <c r="M742"/>
  <c r="K742"/>
  <c r="H742"/>
  <c r="C742"/>
  <c r="G742"/>
  <c r="E742"/>
  <c r="B742"/>
  <c r="A742"/>
  <c r="W741"/>
  <c r="S741"/>
  <c r="Q741"/>
  <c r="P741"/>
  <c r="M741"/>
  <c r="K741"/>
  <c r="H741"/>
  <c r="C741"/>
  <c r="G741"/>
  <c r="E741"/>
  <c r="B741"/>
  <c r="A741"/>
  <c r="W740"/>
  <c r="S740"/>
  <c r="R740"/>
  <c r="Q740"/>
  <c r="P740"/>
  <c r="M740"/>
  <c r="K740"/>
  <c r="H740"/>
  <c r="C740"/>
  <c r="G740"/>
  <c r="E740"/>
  <c r="B740"/>
  <c r="A740"/>
  <c r="W739"/>
  <c r="S739"/>
  <c r="Q739"/>
  <c r="P739"/>
  <c r="M739"/>
  <c r="K739"/>
  <c r="H739"/>
  <c r="C739"/>
  <c r="G739"/>
  <c r="E739"/>
  <c r="B739"/>
  <c r="A739"/>
  <c r="W738"/>
  <c r="S738"/>
  <c r="Q738"/>
  <c r="P738"/>
  <c r="M738"/>
  <c r="K738"/>
  <c r="H738"/>
  <c r="C738"/>
  <c r="G738"/>
  <c r="E738"/>
  <c r="B738"/>
  <c r="A738"/>
  <c r="W737"/>
  <c r="S737"/>
  <c r="Q737"/>
  <c r="P737"/>
  <c r="M737"/>
  <c r="K737"/>
  <c r="H737"/>
  <c r="C737"/>
  <c r="G737"/>
  <c r="E737"/>
  <c r="B737"/>
  <c r="A737"/>
  <c r="W736"/>
  <c r="S736"/>
  <c r="Q736"/>
  <c r="P736"/>
  <c r="M736"/>
  <c r="K736"/>
  <c r="H736"/>
  <c r="C736"/>
  <c r="G736"/>
  <c r="E736"/>
  <c r="B736"/>
  <c r="A736"/>
  <c r="W735"/>
  <c r="S735"/>
  <c r="Q735"/>
  <c r="P735"/>
  <c r="M735"/>
  <c r="K735"/>
  <c r="H735"/>
  <c r="C735"/>
  <c r="G735"/>
  <c r="E735"/>
  <c r="B735"/>
  <c r="A735"/>
  <c r="W734"/>
  <c r="S734"/>
  <c r="Q734"/>
  <c r="P734"/>
  <c r="M734"/>
  <c r="K734"/>
  <c r="H734"/>
  <c r="C734"/>
  <c r="G734"/>
  <c r="E734"/>
  <c r="B734"/>
  <c r="A734"/>
  <c r="W733"/>
  <c r="S733"/>
  <c r="Q733"/>
  <c r="P733"/>
  <c r="M733"/>
  <c r="K733"/>
  <c r="H733"/>
  <c r="C733"/>
  <c r="G733"/>
  <c r="E733"/>
  <c r="B733"/>
  <c r="A733"/>
  <c r="W732"/>
  <c r="S732"/>
  <c r="R732"/>
  <c r="Q732"/>
  <c r="P732"/>
  <c r="M732"/>
  <c r="K732"/>
  <c r="H732"/>
  <c r="C732"/>
  <c r="G732"/>
  <c r="E732"/>
  <c r="B732"/>
  <c r="A732"/>
  <c r="W731"/>
  <c r="S731"/>
  <c r="Q731"/>
  <c r="P731"/>
  <c r="M731"/>
  <c r="K731"/>
  <c r="H731"/>
  <c r="C731"/>
  <c r="G731"/>
  <c r="E731"/>
  <c r="B731"/>
  <c r="A731"/>
  <c r="W730"/>
  <c r="S730"/>
  <c r="Q730"/>
  <c r="P730"/>
  <c r="M730"/>
  <c r="K730"/>
  <c r="H730"/>
  <c r="C730"/>
  <c r="G730"/>
  <c r="E730"/>
  <c r="B730"/>
  <c r="A730"/>
  <c r="W729"/>
  <c r="S729"/>
  <c r="Q729"/>
  <c r="P729"/>
  <c r="M729"/>
  <c r="K729"/>
  <c r="H729"/>
  <c r="C729"/>
  <c r="G729"/>
  <c r="E729"/>
  <c r="B729"/>
  <c r="A729"/>
  <c r="W728"/>
  <c r="S728"/>
  <c r="Q728"/>
  <c r="P728"/>
  <c r="M728"/>
  <c r="K728"/>
  <c r="H728"/>
  <c r="C728"/>
  <c r="G728"/>
  <c r="E728"/>
  <c r="B728"/>
  <c r="A728"/>
  <c r="W727"/>
  <c r="S727"/>
  <c r="Q727"/>
  <c r="P727"/>
  <c r="M727"/>
  <c r="K727"/>
  <c r="H727"/>
  <c r="C727"/>
  <c r="G727"/>
  <c r="E727"/>
  <c r="B727"/>
  <c r="A727"/>
  <c r="W726"/>
  <c r="S726"/>
  <c r="Q726"/>
  <c r="P726"/>
  <c r="M726"/>
  <c r="K726"/>
  <c r="H726"/>
  <c r="C726"/>
  <c r="G726"/>
  <c r="E726"/>
  <c r="B726"/>
  <c r="A726"/>
  <c r="W725"/>
  <c r="S725"/>
  <c r="Q725"/>
  <c r="P725"/>
  <c r="M725"/>
  <c r="K725"/>
  <c r="H725"/>
  <c r="C725"/>
  <c r="G725"/>
  <c r="E725"/>
  <c r="B725"/>
  <c r="A725"/>
  <c r="W724"/>
  <c r="S724"/>
  <c r="Q724"/>
  <c r="P724"/>
  <c r="M724"/>
  <c r="K724"/>
  <c r="H724"/>
  <c r="C724"/>
  <c r="G724"/>
  <c r="E724"/>
  <c r="B724"/>
  <c r="A724"/>
  <c r="W723"/>
  <c r="S723"/>
  <c r="Q723"/>
  <c r="P723"/>
  <c r="M723"/>
  <c r="K723"/>
  <c r="H723"/>
  <c r="C723"/>
  <c r="G723"/>
  <c r="E723"/>
  <c r="B723"/>
  <c r="A723"/>
  <c r="W722"/>
  <c r="S722"/>
  <c r="Q722"/>
  <c r="P722"/>
  <c r="M722"/>
  <c r="K722"/>
  <c r="H722"/>
  <c r="C722"/>
  <c r="G722"/>
  <c r="E722"/>
  <c r="B722"/>
  <c r="A722"/>
  <c r="W721"/>
  <c r="S721"/>
  <c r="Q721"/>
  <c r="P721"/>
  <c r="M721"/>
  <c r="K721"/>
  <c r="H721"/>
  <c r="C721"/>
  <c r="G721"/>
  <c r="E721"/>
  <c r="B721"/>
  <c r="A721"/>
  <c r="W720"/>
  <c r="S720"/>
  <c r="Q720"/>
  <c r="P720"/>
  <c r="M720"/>
  <c r="K720"/>
  <c r="H720"/>
  <c r="C720"/>
  <c r="G720"/>
  <c r="E720"/>
  <c r="B720"/>
  <c r="A720"/>
  <c r="W719"/>
  <c r="S719"/>
  <c r="Q719"/>
  <c r="P719"/>
  <c r="M719"/>
  <c r="K719"/>
  <c r="H719"/>
  <c r="C719"/>
  <c r="G719"/>
  <c r="E719"/>
  <c r="B719"/>
  <c r="A719"/>
  <c r="W718"/>
  <c r="S718"/>
  <c r="Q718"/>
  <c r="P718"/>
  <c r="M718"/>
  <c r="K718"/>
  <c r="H718"/>
  <c r="C718"/>
  <c r="G718"/>
  <c r="E718"/>
  <c r="B718"/>
  <c r="A718"/>
  <c r="W717"/>
  <c r="S717"/>
  <c r="Q717"/>
  <c r="P717"/>
  <c r="M717"/>
  <c r="K717"/>
  <c r="H717"/>
  <c r="C717"/>
  <c r="G717"/>
  <c r="E717"/>
  <c r="B717"/>
  <c r="A717"/>
  <c r="W716"/>
  <c r="S716"/>
  <c r="Q716"/>
  <c r="P716"/>
  <c r="M716"/>
  <c r="K716"/>
  <c r="H716"/>
  <c r="C716"/>
  <c r="G716"/>
  <c r="E716"/>
  <c r="B716"/>
  <c r="A716"/>
  <c r="W715"/>
  <c r="S715"/>
  <c r="R715"/>
  <c r="Q715"/>
  <c r="P715"/>
  <c r="M715"/>
  <c r="K715"/>
  <c r="H715"/>
  <c r="C715"/>
  <c r="G715"/>
  <c r="E715"/>
  <c r="B715"/>
  <c r="A715"/>
  <c r="W714"/>
  <c r="S714"/>
  <c r="Q714"/>
  <c r="P714"/>
  <c r="M714"/>
  <c r="K714"/>
  <c r="H714"/>
  <c r="C714"/>
  <c r="G714"/>
  <c r="E714"/>
  <c r="B714"/>
  <c r="A714"/>
  <c r="W713"/>
  <c r="S713"/>
  <c r="Q713"/>
  <c r="P713"/>
  <c r="M713"/>
  <c r="K713"/>
  <c r="H713"/>
  <c r="C713"/>
  <c r="G713"/>
  <c r="E713"/>
  <c r="B713"/>
  <c r="A713"/>
  <c r="W712"/>
  <c r="S712"/>
  <c r="Q712"/>
  <c r="P712"/>
  <c r="M712"/>
  <c r="K712"/>
  <c r="H712"/>
  <c r="C712"/>
  <c r="G712"/>
  <c r="E712"/>
  <c r="B712"/>
  <c r="A712"/>
  <c r="W711"/>
  <c r="S711"/>
  <c r="Q711"/>
  <c r="P711"/>
  <c r="M711"/>
  <c r="K711"/>
  <c r="H711"/>
  <c r="C711"/>
  <c r="G711"/>
  <c r="E711"/>
  <c r="B711"/>
  <c r="A711"/>
  <c r="W710"/>
  <c r="S710"/>
  <c r="Q710"/>
  <c r="P710"/>
  <c r="M710"/>
  <c r="K710"/>
  <c r="H710"/>
  <c r="C710"/>
  <c r="G710"/>
  <c r="E710"/>
  <c r="B710"/>
  <c r="A710"/>
  <c r="W709"/>
  <c r="S709"/>
  <c r="Q709"/>
  <c r="P709"/>
  <c r="M709"/>
  <c r="K709"/>
  <c r="H709"/>
  <c r="C709"/>
  <c r="G709"/>
  <c r="E709"/>
  <c r="B709"/>
  <c r="A709"/>
  <c r="W708"/>
  <c r="S708"/>
  <c r="Q708"/>
  <c r="P708"/>
  <c r="M708"/>
  <c r="K708"/>
  <c r="H708"/>
  <c r="C708"/>
  <c r="G708"/>
  <c r="E708"/>
  <c r="B708"/>
  <c r="A708"/>
  <c r="W707"/>
  <c r="S707"/>
  <c r="Q707"/>
  <c r="P707"/>
  <c r="M707"/>
  <c r="K707"/>
  <c r="H707"/>
  <c r="C707"/>
  <c r="G707"/>
  <c r="E707"/>
  <c r="B707"/>
  <c r="A707"/>
  <c r="W706"/>
  <c r="S706"/>
  <c r="Q706"/>
  <c r="P706"/>
  <c r="M706"/>
  <c r="K706"/>
  <c r="H706"/>
  <c r="C706"/>
  <c r="G706"/>
  <c r="E706"/>
  <c r="B706"/>
  <c r="A706"/>
  <c r="W705"/>
  <c r="S705"/>
  <c r="Q705"/>
  <c r="P705"/>
  <c r="M705"/>
  <c r="K705"/>
  <c r="H705"/>
  <c r="C705"/>
  <c r="G705"/>
  <c r="E705"/>
  <c r="B705"/>
  <c r="A705"/>
  <c r="W704"/>
  <c r="S704"/>
  <c r="Q704"/>
  <c r="P704"/>
  <c r="M704"/>
  <c r="K704"/>
  <c r="H704"/>
  <c r="C704"/>
  <c r="G704"/>
  <c r="E704"/>
  <c r="B704"/>
  <c r="A704"/>
  <c r="W703"/>
  <c r="S703"/>
  <c r="Q703"/>
  <c r="P703"/>
  <c r="M703"/>
  <c r="K703"/>
  <c r="H703"/>
  <c r="C703"/>
  <c r="G703"/>
  <c r="E703"/>
  <c r="B703"/>
  <c r="A703"/>
  <c r="W702"/>
  <c r="S702"/>
  <c r="Q702"/>
  <c r="P702"/>
  <c r="M702"/>
  <c r="K702"/>
  <c r="H702"/>
  <c r="C702"/>
  <c r="G702"/>
  <c r="E702"/>
  <c r="B702"/>
  <c r="A702"/>
  <c r="W701"/>
  <c r="S701"/>
  <c r="R701"/>
  <c r="Q701"/>
  <c r="P701"/>
  <c r="M701"/>
  <c r="K701"/>
  <c r="H701"/>
  <c r="C701"/>
  <c r="G701"/>
  <c r="E701"/>
  <c r="B701"/>
  <c r="A701"/>
  <c r="W700"/>
  <c r="S700"/>
  <c r="Q700"/>
  <c r="P700"/>
  <c r="M700"/>
  <c r="K700"/>
  <c r="H700"/>
  <c r="C700"/>
  <c r="G700"/>
  <c r="E700"/>
  <c r="B700"/>
  <c r="A700"/>
  <c r="W699"/>
  <c r="S699"/>
  <c r="Q699"/>
  <c r="P699"/>
  <c r="M699"/>
  <c r="K699"/>
  <c r="H699"/>
  <c r="C699"/>
  <c r="G699"/>
  <c r="E699"/>
  <c r="B699"/>
  <c r="A699"/>
  <c r="W698"/>
  <c r="S698"/>
  <c r="Q698"/>
  <c r="P698"/>
  <c r="M698"/>
  <c r="K698"/>
  <c r="H698"/>
  <c r="C698"/>
  <c r="G698"/>
  <c r="E698"/>
  <c r="B698"/>
  <c r="A698"/>
  <c r="W697"/>
  <c r="S697"/>
  <c r="Q697"/>
  <c r="P697"/>
  <c r="M697"/>
  <c r="K697"/>
  <c r="H697"/>
  <c r="C697"/>
  <c r="G697"/>
  <c r="E697"/>
  <c r="B697"/>
  <c r="A697"/>
  <c r="W696"/>
  <c r="S696"/>
  <c r="Q696"/>
  <c r="P696"/>
  <c r="M696"/>
  <c r="K696"/>
  <c r="H696"/>
  <c r="C696"/>
  <c r="G696"/>
  <c r="E696"/>
  <c r="B696"/>
  <c r="A696"/>
  <c r="W695"/>
  <c r="S695"/>
  <c r="Q695"/>
  <c r="P695"/>
  <c r="M695"/>
  <c r="K695"/>
  <c r="H695"/>
  <c r="C695"/>
  <c r="G695"/>
  <c r="E695"/>
  <c r="B695"/>
  <c r="A695"/>
  <c r="W694"/>
  <c r="S694"/>
  <c r="Q694"/>
  <c r="P694"/>
  <c r="M694"/>
  <c r="K694"/>
  <c r="H694"/>
  <c r="C694"/>
  <c r="G694"/>
  <c r="E694"/>
  <c r="B694"/>
  <c r="A694"/>
  <c r="W693"/>
  <c r="S693"/>
  <c r="Q693"/>
  <c r="P693"/>
  <c r="M693"/>
  <c r="K693"/>
  <c r="H693"/>
  <c r="C693"/>
  <c r="G693"/>
  <c r="E693"/>
  <c r="B693"/>
  <c r="A693"/>
  <c r="W692"/>
  <c r="S692"/>
  <c r="Q692"/>
  <c r="P692"/>
  <c r="M692"/>
  <c r="K692"/>
  <c r="H692"/>
  <c r="C692"/>
  <c r="G692"/>
  <c r="E692"/>
  <c r="B692"/>
  <c r="A692"/>
  <c r="W691"/>
  <c r="S691"/>
  <c r="Q691"/>
  <c r="P691"/>
  <c r="M691"/>
  <c r="K691"/>
  <c r="H691"/>
  <c r="C691"/>
  <c r="G691"/>
  <c r="E691"/>
  <c r="B691"/>
  <c r="A691"/>
  <c r="W690"/>
  <c r="S690"/>
  <c r="Q690"/>
  <c r="P690"/>
  <c r="M690"/>
  <c r="K690"/>
  <c r="H690"/>
  <c r="C690"/>
  <c r="G690"/>
  <c r="E690"/>
  <c r="B690"/>
  <c r="A690"/>
  <c r="W689"/>
  <c r="S689"/>
  <c r="Q689"/>
  <c r="P689"/>
  <c r="M689"/>
  <c r="K689"/>
  <c r="H689"/>
  <c r="C689"/>
  <c r="G689"/>
  <c r="E689"/>
  <c r="B689"/>
  <c r="A689"/>
  <c r="W688"/>
  <c r="S688"/>
  <c r="R688"/>
  <c r="Q688"/>
  <c r="P688"/>
  <c r="M688"/>
  <c r="K688"/>
  <c r="H688"/>
  <c r="C688"/>
  <c r="G688"/>
  <c r="E688"/>
  <c r="B688"/>
  <c r="A688"/>
  <c r="W687"/>
  <c r="S687"/>
  <c r="Q687"/>
  <c r="P687"/>
  <c r="M687"/>
  <c r="K687"/>
  <c r="H687"/>
  <c r="C687"/>
  <c r="G687"/>
  <c r="E687"/>
  <c r="B687"/>
  <c r="A687"/>
  <c r="W686"/>
  <c r="S686"/>
  <c r="Q686"/>
  <c r="P686"/>
  <c r="M686"/>
  <c r="K686"/>
  <c r="H686"/>
  <c r="C686"/>
  <c r="G686"/>
  <c r="E686"/>
  <c r="B686"/>
  <c r="A686"/>
  <c r="W685"/>
  <c r="S685"/>
  <c r="Q685"/>
  <c r="P685"/>
  <c r="M685"/>
  <c r="K685"/>
  <c r="H685"/>
  <c r="C685"/>
  <c r="G685"/>
  <c r="E685"/>
  <c r="B685"/>
  <c r="A685"/>
  <c r="W684"/>
  <c r="S684"/>
  <c r="Q684"/>
  <c r="P684"/>
  <c r="M684"/>
  <c r="K684"/>
  <c r="H684"/>
  <c r="C684"/>
  <c r="G684"/>
  <c r="E684"/>
  <c r="B684"/>
  <c r="A684"/>
  <c r="W683"/>
  <c r="S683"/>
  <c r="Q683"/>
  <c r="P683"/>
  <c r="M683"/>
  <c r="K683"/>
  <c r="H683"/>
  <c r="C683"/>
  <c r="G683"/>
  <c r="E683"/>
  <c r="B683"/>
  <c r="A683"/>
  <c r="W682"/>
  <c r="S682"/>
  <c r="Q682"/>
  <c r="P682"/>
  <c r="M682"/>
  <c r="K682"/>
  <c r="H682"/>
  <c r="C682"/>
  <c r="G682"/>
  <c r="E682"/>
  <c r="B682"/>
  <c r="A682"/>
  <c r="W681"/>
  <c r="S681"/>
  <c r="Q681"/>
  <c r="P681"/>
  <c r="M681"/>
  <c r="K681"/>
  <c r="H681"/>
  <c r="C681"/>
  <c r="G681"/>
  <c r="E681"/>
  <c r="B681"/>
  <c r="A681"/>
  <c r="W680"/>
  <c r="S680"/>
  <c r="Q680"/>
  <c r="P680"/>
  <c r="M680"/>
  <c r="K680"/>
  <c r="H680"/>
  <c r="C680"/>
  <c r="G680"/>
  <c r="E680"/>
  <c r="B680"/>
  <c r="A680"/>
  <c r="W679"/>
  <c r="S679"/>
  <c r="Q679"/>
  <c r="P679"/>
  <c r="M679"/>
  <c r="K679"/>
  <c r="H679"/>
  <c r="C679"/>
  <c r="G679"/>
  <c r="E679"/>
  <c r="B679"/>
  <c r="A679"/>
  <c r="W678"/>
  <c r="S678"/>
  <c r="Q678"/>
  <c r="P678"/>
  <c r="M678"/>
  <c r="K678"/>
  <c r="H678"/>
  <c r="C678"/>
  <c r="G678"/>
  <c r="E678"/>
  <c r="B678"/>
  <c r="A678"/>
  <c r="W677"/>
  <c r="S677"/>
  <c r="Q677"/>
  <c r="P677"/>
  <c r="M677"/>
  <c r="K677"/>
  <c r="H677"/>
  <c r="C677"/>
  <c r="G677"/>
  <c r="E677"/>
  <c r="B677"/>
  <c r="A677"/>
  <c r="W676"/>
  <c r="S676"/>
  <c r="R676"/>
  <c r="Q676"/>
  <c r="P676"/>
  <c r="M676"/>
  <c r="K676"/>
  <c r="H676"/>
  <c r="C676"/>
  <c r="G676"/>
  <c r="E676"/>
  <c r="B676"/>
  <c r="A676"/>
  <c r="W675"/>
  <c r="S675"/>
  <c r="Q675"/>
  <c r="P675"/>
  <c r="M675"/>
  <c r="K675"/>
  <c r="H675"/>
  <c r="C675"/>
  <c r="G675"/>
  <c r="E675"/>
  <c r="B675"/>
  <c r="A675"/>
  <c r="W674"/>
  <c r="S674"/>
  <c r="Q674"/>
  <c r="P674"/>
  <c r="M674"/>
  <c r="K674"/>
  <c r="H674"/>
  <c r="C674"/>
  <c r="G674"/>
  <c r="E674"/>
  <c r="B674"/>
  <c r="A674"/>
  <c r="W673"/>
  <c r="S673"/>
  <c r="Q673"/>
  <c r="P673"/>
  <c r="M673"/>
  <c r="K673"/>
  <c r="H673"/>
  <c r="C673"/>
  <c r="G673"/>
  <c r="E673"/>
  <c r="B673"/>
  <c r="A673"/>
  <c r="W672"/>
  <c r="S672"/>
  <c r="Q672"/>
  <c r="P672"/>
  <c r="M672"/>
  <c r="K672"/>
  <c r="H672"/>
  <c r="C672"/>
  <c r="G672"/>
  <c r="E672"/>
  <c r="B672"/>
  <c r="A672"/>
  <c r="W671"/>
  <c r="S671"/>
  <c r="Q671"/>
  <c r="P671"/>
  <c r="M671"/>
  <c r="K671"/>
  <c r="H671"/>
  <c r="C671"/>
  <c r="G671"/>
  <c r="E671"/>
  <c r="B671"/>
  <c r="A671"/>
  <c r="W670"/>
  <c r="S670"/>
  <c r="Q670"/>
  <c r="P670"/>
  <c r="M670"/>
  <c r="K670"/>
  <c r="H670"/>
  <c r="C670"/>
  <c r="G670"/>
  <c r="E670"/>
  <c r="B670"/>
  <c r="A670"/>
  <c r="W669"/>
  <c r="S669"/>
  <c r="Q669"/>
  <c r="P669"/>
  <c r="M669"/>
  <c r="K669"/>
  <c r="H669"/>
  <c r="C669"/>
  <c r="G669"/>
  <c r="E669"/>
  <c r="B669"/>
  <c r="A669"/>
  <c r="W668"/>
  <c r="S668"/>
  <c r="Q668"/>
  <c r="P668"/>
  <c r="M668"/>
  <c r="K668"/>
  <c r="H668"/>
  <c r="C668"/>
  <c r="G668"/>
  <c r="E668"/>
  <c r="B668"/>
  <c r="A668"/>
  <c r="W667"/>
  <c r="S667"/>
  <c r="Q667"/>
  <c r="P667"/>
  <c r="M667"/>
  <c r="K667"/>
  <c r="H667"/>
  <c r="C667"/>
  <c r="G667"/>
  <c r="E667"/>
  <c r="B667"/>
  <c r="A667"/>
  <c r="W666"/>
  <c r="S666"/>
  <c r="Q666"/>
  <c r="P666"/>
  <c r="M666"/>
  <c r="K666"/>
  <c r="H666"/>
  <c r="C666"/>
  <c r="G666"/>
  <c r="E666"/>
  <c r="B666"/>
  <c r="A666"/>
  <c r="W665"/>
  <c r="S665"/>
  <c r="R665"/>
  <c r="Q665"/>
  <c r="P665"/>
  <c r="M665"/>
  <c r="K665"/>
  <c r="H665"/>
  <c r="C665"/>
  <c r="G665"/>
  <c r="E665"/>
  <c r="B665"/>
  <c r="A665"/>
  <c r="W664"/>
  <c r="S664"/>
  <c r="Q664"/>
  <c r="P664"/>
  <c r="M664"/>
  <c r="K664"/>
  <c r="H664"/>
  <c r="C664"/>
  <c r="G664"/>
  <c r="E664"/>
  <c r="B664"/>
  <c r="A664"/>
  <c r="W663"/>
  <c r="S663"/>
  <c r="Q663"/>
  <c r="P663"/>
  <c r="M663"/>
  <c r="K663"/>
  <c r="H663"/>
  <c r="C663"/>
  <c r="G663"/>
  <c r="E663"/>
  <c r="B663"/>
  <c r="A663"/>
  <c r="W662"/>
  <c r="S662"/>
  <c r="Q662"/>
  <c r="P662"/>
  <c r="M662"/>
  <c r="K662"/>
  <c r="H662"/>
  <c r="C662"/>
  <c r="G662"/>
  <c r="E662"/>
  <c r="B662"/>
  <c r="A662"/>
  <c r="W661"/>
  <c r="S661"/>
  <c r="Q661"/>
  <c r="P661"/>
  <c r="M661"/>
  <c r="K661"/>
  <c r="H661"/>
  <c r="C661"/>
  <c r="G661"/>
  <c r="E661"/>
  <c r="B661"/>
  <c r="A661"/>
  <c r="W660"/>
  <c r="S660"/>
  <c r="Q660"/>
  <c r="P660"/>
  <c r="M660"/>
  <c r="K660"/>
  <c r="H660"/>
  <c r="C660"/>
  <c r="G660"/>
  <c r="E660"/>
  <c r="B660"/>
  <c r="A660"/>
  <c r="W659"/>
  <c r="S659"/>
  <c r="Q659"/>
  <c r="P659"/>
  <c r="M659"/>
  <c r="K659"/>
  <c r="H659"/>
  <c r="C659"/>
  <c r="G659"/>
  <c r="E659"/>
  <c r="B659"/>
  <c r="A659"/>
  <c r="W658"/>
  <c r="S658"/>
  <c r="Q658"/>
  <c r="P658"/>
  <c r="M658"/>
  <c r="K658"/>
  <c r="H658"/>
  <c r="C658"/>
  <c r="G658"/>
  <c r="E658"/>
  <c r="B658"/>
  <c r="A658"/>
  <c r="W657"/>
  <c r="S657"/>
  <c r="Q657"/>
  <c r="P657"/>
  <c r="M657"/>
  <c r="K657"/>
  <c r="H657"/>
  <c r="C657"/>
  <c r="G657"/>
  <c r="E657"/>
  <c r="B657"/>
  <c r="A657"/>
  <c r="W656"/>
  <c r="S656"/>
  <c r="Q656"/>
  <c r="P656"/>
  <c r="M656"/>
  <c r="K656"/>
  <c r="H656"/>
  <c r="C656"/>
  <c r="G656"/>
  <c r="E656"/>
  <c r="B656"/>
  <c r="A656"/>
  <c r="W655"/>
  <c r="S655"/>
  <c r="Q655"/>
  <c r="P655"/>
  <c r="M655"/>
  <c r="K655"/>
  <c r="H655"/>
  <c r="C655"/>
  <c r="G655"/>
  <c r="E655"/>
  <c r="B655"/>
  <c r="A655"/>
  <c r="W654"/>
  <c r="S654"/>
  <c r="Q654"/>
  <c r="P654"/>
  <c r="M654"/>
  <c r="K654"/>
  <c r="H654"/>
  <c r="C654"/>
  <c r="G654"/>
  <c r="E654"/>
  <c r="B654"/>
  <c r="A654"/>
  <c r="W653"/>
  <c r="S653"/>
  <c r="Q653"/>
  <c r="P653"/>
  <c r="M653"/>
  <c r="K653"/>
  <c r="H653"/>
  <c r="C653"/>
  <c r="G653"/>
  <c r="E653"/>
  <c r="B653"/>
  <c r="A653"/>
  <c r="W652"/>
  <c r="S652"/>
  <c r="Q652"/>
  <c r="P652"/>
  <c r="M652"/>
  <c r="K652"/>
  <c r="H652"/>
  <c r="C652"/>
  <c r="G652"/>
  <c r="E652"/>
  <c r="B652"/>
  <c r="A652"/>
  <c r="W651"/>
  <c r="S651"/>
  <c r="R651"/>
  <c r="Q651"/>
  <c r="P651"/>
  <c r="M651"/>
  <c r="K651"/>
  <c r="H651"/>
  <c r="C651"/>
  <c r="G651"/>
  <c r="E651"/>
  <c r="B651"/>
  <c r="A651"/>
  <c r="W650"/>
  <c r="S650"/>
  <c r="Q650"/>
  <c r="P650"/>
  <c r="M650"/>
  <c r="K650"/>
  <c r="H650"/>
  <c r="C650"/>
  <c r="G650"/>
  <c r="E650"/>
  <c r="B650"/>
  <c r="A650"/>
  <c r="W649"/>
  <c r="S649"/>
  <c r="Q649"/>
  <c r="P649"/>
  <c r="M649"/>
  <c r="K649"/>
  <c r="H649"/>
  <c r="C649"/>
  <c r="G649"/>
  <c r="E649"/>
  <c r="B649"/>
  <c r="A649"/>
  <c r="W648"/>
  <c r="S648"/>
  <c r="Q648"/>
  <c r="P648"/>
  <c r="M648"/>
  <c r="K648"/>
  <c r="H648"/>
  <c r="C648"/>
  <c r="G648"/>
  <c r="E648"/>
  <c r="B648"/>
  <c r="A648"/>
  <c r="W647"/>
  <c r="S647"/>
  <c r="Q647"/>
  <c r="P647"/>
  <c r="M647"/>
  <c r="K647"/>
  <c r="H647"/>
  <c r="C647"/>
  <c r="G647"/>
  <c r="E647"/>
  <c r="B647"/>
  <c r="A647"/>
  <c r="W646"/>
  <c r="S646"/>
  <c r="Q646"/>
  <c r="P646"/>
  <c r="M646"/>
  <c r="K646"/>
  <c r="H646"/>
  <c r="C646"/>
  <c r="G646"/>
  <c r="E646"/>
  <c r="B646"/>
  <c r="A646"/>
  <c r="W645"/>
  <c r="S645"/>
  <c r="Q645"/>
  <c r="P645"/>
  <c r="M645"/>
  <c r="K645"/>
  <c r="H645"/>
  <c r="C645"/>
  <c r="G645"/>
  <c r="E645"/>
  <c r="B645"/>
  <c r="A645"/>
  <c r="W644"/>
  <c r="S644"/>
  <c r="Q644"/>
  <c r="P644"/>
  <c r="M644"/>
  <c r="K644"/>
  <c r="H644"/>
  <c r="C644"/>
  <c r="G644"/>
  <c r="E644"/>
  <c r="B644"/>
  <c r="A644"/>
  <c r="W643"/>
  <c r="S643"/>
  <c r="Q643"/>
  <c r="P643"/>
  <c r="M643"/>
  <c r="K643"/>
  <c r="H643"/>
  <c r="C643"/>
  <c r="G643"/>
  <c r="E643"/>
  <c r="B643"/>
  <c r="A643"/>
  <c r="W642"/>
  <c r="S642"/>
  <c r="Q642"/>
  <c r="P642"/>
  <c r="M642"/>
  <c r="K642"/>
  <c r="H642"/>
  <c r="C642"/>
  <c r="G642"/>
  <c r="E642"/>
  <c r="B642"/>
  <c r="A642"/>
  <c r="W641"/>
  <c r="S641"/>
  <c r="Q641"/>
  <c r="P641"/>
  <c r="M641"/>
  <c r="K641"/>
  <c r="H641"/>
  <c r="C641"/>
  <c r="G641"/>
  <c r="E641"/>
  <c r="B641"/>
  <c r="A641"/>
  <c r="W640"/>
  <c r="S640"/>
  <c r="Q640"/>
  <c r="P640"/>
  <c r="M640"/>
  <c r="K640"/>
  <c r="H640"/>
  <c r="C640"/>
  <c r="G640"/>
  <c r="E640"/>
  <c r="B640"/>
  <c r="A640"/>
  <c r="W639"/>
  <c r="S639"/>
  <c r="Q639"/>
  <c r="P639"/>
  <c r="M639"/>
  <c r="K639"/>
  <c r="H639"/>
  <c r="C639"/>
  <c r="G639"/>
  <c r="E639"/>
  <c r="B639"/>
  <c r="A639"/>
  <c r="W638"/>
  <c r="S638"/>
  <c r="R638"/>
  <c r="Q638"/>
  <c r="P638"/>
  <c r="M638"/>
  <c r="K638"/>
  <c r="H638"/>
  <c r="C638"/>
  <c r="G638"/>
  <c r="E638"/>
  <c r="B638"/>
  <c r="A638"/>
  <c r="W637"/>
  <c r="S637"/>
  <c r="Q637"/>
  <c r="P637"/>
  <c r="M637"/>
  <c r="K637"/>
  <c r="H637"/>
  <c r="C637"/>
  <c r="G637"/>
  <c r="E637"/>
  <c r="B637"/>
  <c r="A637"/>
  <c r="W636"/>
  <c r="S636"/>
  <c r="Q636"/>
  <c r="P636"/>
  <c r="M636"/>
  <c r="K636"/>
  <c r="H636"/>
  <c r="C636"/>
  <c r="G636"/>
  <c r="E636"/>
  <c r="B636"/>
  <c r="A636"/>
  <c r="W635"/>
  <c r="S635"/>
  <c r="Q635"/>
  <c r="P635"/>
  <c r="M635"/>
  <c r="K635"/>
  <c r="H635"/>
  <c r="C635"/>
  <c r="G635"/>
  <c r="E635"/>
  <c r="B635"/>
  <c r="A635"/>
  <c r="W634"/>
  <c r="S634"/>
  <c r="Q634"/>
  <c r="P634"/>
  <c r="M634"/>
  <c r="K634"/>
  <c r="H634"/>
  <c r="C634"/>
  <c r="G634"/>
  <c r="E634"/>
  <c r="B634"/>
  <c r="A634"/>
  <c r="W633"/>
  <c r="S633"/>
  <c r="Q633"/>
  <c r="P633"/>
  <c r="M633"/>
  <c r="K633"/>
  <c r="H633"/>
  <c r="C633"/>
  <c r="G633"/>
  <c r="E633"/>
  <c r="B633"/>
  <c r="A633"/>
  <c r="W632"/>
  <c r="S632"/>
  <c r="Q632"/>
  <c r="P632"/>
  <c r="M632"/>
  <c r="K632"/>
  <c r="H632"/>
  <c r="C632"/>
  <c r="G632"/>
  <c r="E632"/>
  <c r="B632"/>
  <c r="A632"/>
  <c r="W631"/>
  <c r="S631"/>
  <c r="Q631"/>
  <c r="P631"/>
  <c r="M631"/>
  <c r="K631"/>
  <c r="H631"/>
  <c r="C631"/>
  <c r="G631"/>
  <c r="E631"/>
  <c r="B631"/>
  <c r="A631"/>
  <c r="W630"/>
  <c r="S630"/>
  <c r="Q630"/>
  <c r="P630"/>
  <c r="M630"/>
  <c r="K630"/>
  <c r="H630"/>
  <c r="C630"/>
  <c r="G630"/>
  <c r="E630"/>
  <c r="B630"/>
  <c r="A630"/>
  <c r="W629"/>
  <c r="S629"/>
  <c r="Q629"/>
  <c r="P629"/>
  <c r="M629"/>
  <c r="K629"/>
  <c r="H629"/>
  <c r="C629"/>
  <c r="G629"/>
  <c r="E629"/>
  <c r="B629"/>
  <c r="A629"/>
  <c r="W628"/>
  <c r="S628"/>
  <c r="Q628"/>
  <c r="P628"/>
  <c r="M628"/>
  <c r="K628"/>
  <c r="H628"/>
  <c r="C628"/>
  <c r="G628"/>
  <c r="E628"/>
  <c r="B628"/>
  <c r="A628"/>
  <c r="W627"/>
  <c r="S627"/>
  <c r="Q627"/>
  <c r="P627"/>
  <c r="M627"/>
  <c r="K627"/>
  <c r="H627"/>
  <c r="C627"/>
  <c r="G627"/>
  <c r="E627"/>
  <c r="B627"/>
  <c r="A627"/>
  <c r="W626"/>
  <c r="S626"/>
  <c r="Q626"/>
  <c r="P626"/>
  <c r="M626"/>
  <c r="K626"/>
  <c r="H626"/>
  <c r="C626"/>
  <c r="G626"/>
  <c r="E626"/>
  <c r="B626"/>
  <c r="A626"/>
  <c r="W625"/>
  <c r="S625"/>
  <c r="Q625"/>
  <c r="P625"/>
  <c r="M625"/>
  <c r="K625"/>
  <c r="H625"/>
  <c r="C625"/>
  <c r="G625"/>
  <c r="E625"/>
  <c r="B625"/>
  <c r="A625"/>
  <c r="W624"/>
  <c r="S624"/>
  <c r="Q624"/>
  <c r="P624"/>
  <c r="M624"/>
  <c r="K624"/>
  <c r="H624"/>
  <c r="C624"/>
  <c r="G624"/>
  <c r="E624"/>
  <c r="B624"/>
  <c r="A624"/>
  <c r="W623"/>
  <c r="S623"/>
  <c r="Q623"/>
  <c r="P623"/>
  <c r="M623"/>
  <c r="K623"/>
  <c r="H623"/>
  <c r="C623"/>
  <c r="G623"/>
  <c r="E623"/>
  <c r="B623"/>
  <c r="A623"/>
  <c r="W622"/>
  <c r="S622"/>
  <c r="Q622"/>
  <c r="P622"/>
  <c r="M622"/>
  <c r="K622"/>
  <c r="H622"/>
  <c r="C622"/>
  <c r="G622"/>
  <c r="E622"/>
  <c r="B622"/>
  <c r="A622"/>
  <c r="W621"/>
  <c r="S621"/>
  <c r="Q621"/>
  <c r="P621"/>
  <c r="M621"/>
  <c r="K621"/>
  <c r="H621"/>
  <c r="C621"/>
  <c r="G621"/>
  <c r="E621"/>
  <c r="B621"/>
  <c r="A621"/>
  <c r="W620"/>
  <c r="S620"/>
  <c r="Q620"/>
  <c r="P620"/>
  <c r="M620"/>
  <c r="K620"/>
  <c r="H620"/>
  <c r="C620"/>
  <c r="G620"/>
  <c r="E620"/>
  <c r="B620"/>
  <c r="A620"/>
  <c r="W619"/>
  <c r="S619"/>
  <c r="Q619"/>
  <c r="P619"/>
  <c r="M619"/>
  <c r="K619"/>
  <c r="H619"/>
  <c r="C619"/>
  <c r="G619"/>
  <c r="E619"/>
  <c r="B619"/>
  <c r="A619"/>
  <c r="W618"/>
  <c r="S618"/>
  <c r="Q618"/>
  <c r="P618"/>
  <c r="M618"/>
  <c r="K618"/>
  <c r="H618"/>
  <c r="C618"/>
  <c r="G618"/>
  <c r="E618"/>
  <c r="B618"/>
  <c r="A618"/>
  <c r="W617"/>
  <c r="S617"/>
  <c r="Q617"/>
  <c r="P617"/>
  <c r="M617"/>
  <c r="K617"/>
  <c r="H617"/>
  <c r="C617"/>
  <c r="G617"/>
  <c r="E617"/>
  <c r="B617"/>
  <c r="A617"/>
  <c r="W616"/>
  <c r="S616"/>
  <c r="Q616"/>
  <c r="P616"/>
  <c r="M616"/>
  <c r="K616"/>
  <c r="H616"/>
  <c r="C616"/>
  <c r="G616"/>
  <c r="E616"/>
  <c r="B616"/>
  <c r="A616"/>
  <c r="W615"/>
  <c r="S615"/>
  <c r="Q615"/>
  <c r="P615"/>
  <c r="M615"/>
  <c r="K615"/>
  <c r="H615"/>
  <c r="C615"/>
  <c r="G615"/>
  <c r="E615"/>
  <c r="B615"/>
  <c r="A615"/>
  <c r="W614"/>
  <c r="S614"/>
  <c r="Q614"/>
  <c r="P614"/>
  <c r="M614"/>
  <c r="K614"/>
  <c r="H614"/>
  <c r="C614"/>
  <c r="G614"/>
  <c r="E614"/>
  <c r="B614"/>
  <c r="A614"/>
  <c r="W613"/>
  <c r="S613"/>
  <c r="Q613"/>
  <c r="P613"/>
  <c r="M613"/>
  <c r="K613"/>
  <c r="H613"/>
  <c r="C613"/>
  <c r="G613"/>
  <c r="E613"/>
  <c r="B613"/>
  <c r="A613"/>
  <c r="W612"/>
  <c r="S612"/>
  <c r="Q612"/>
  <c r="P612"/>
  <c r="M612"/>
  <c r="K612"/>
  <c r="H612"/>
  <c r="C612"/>
  <c r="G612"/>
  <c r="E612"/>
  <c r="B612"/>
  <c r="A612"/>
  <c r="W611"/>
  <c r="S611"/>
  <c r="Q611"/>
  <c r="P611"/>
  <c r="M611"/>
  <c r="K611"/>
  <c r="H611"/>
  <c r="C611"/>
  <c r="G611"/>
  <c r="E611"/>
  <c r="B611"/>
  <c r="A611"/>
  <c r="W610"/>
  <c r="S610"/>
  <c r="Q610"/>
  <c r="P610"/>
  <c r="M610"/>
  <c r="K610"/>
  <c r="H610"/>
  <c r="C610"/>
  <c r="G610"/>
  <c r="E610"/>
  <c r="B610"/>
  <c r="A610"/>
  <c r="W609"/>
  <c r="S609"/>
  <c r="Q609"/>
  <c r="P609"/>
  <c r="M609"/>
  <c r="K609"/>
  <c r="H609"/>
  <c r="C609"/>
  <c r="G609"/>
  <c r="E609"/>
  <c r="B609"/>
  <c r="A609"/>
  <c r="W608"/>
  <c r="S608"/>
  <c r="Q608"/>
  <c r="P608"/>
  <c r="M608"/>
  <c r="K608"/>
  <c r="H608"/>
  <c r="C608"/>
  <c r="G608"/>
  <c r="E608"/>
  <c r="B608"/>
  <c r="A608"/>
  <c r="W607"/>
  <c r="S607"/>
  <c r="Q607"/>
  <c r="P607"/>
  <c r="M607"/>
  <c r="K607"/>
  <c r="H607"/>
  <c r="C607"/>
  <c r="G607"/>
  <c r="E607"/>
  <c r="B607"/>
  <c r="A607"/>
  <c r="W606"/>
  <c r="S606"/>
  <c r="Q606"/>
  <c r="P606"/>
  <c r="M606"/>
  <c r="K606"/>
  <c r="H606"/>
  <c r="C606"/>
  <c r="G606"/>
  <c r="E606"/>
  <c r="B606"/>
  <c r="A606"/>
  <c r="W605"/>
  <c r="S605"/>
  <c r="Q605"/>
  <c r="P605"/>
  <c r="M605"/>
  <c r="K605"/>
  <c r="H605"/>
  <c r="C605"/>
  <c r="G605"/>
  <c r="E605"/>
  <c r="B605"/>
  <c r="A605"/>
  <c r="W604"/>
  <c r="S604"/>
  <c r="Q604"/>
  <c r="P604"/>
  <c r="M604"/>
  <c r="K604"/>
  <c r="H604"/>
  <c r="C604"/>
  <c r="G604"/>
  <c r="E604"/>
  <c r="B604"/>
  <c r="A604"/>
  <c r="W603"/>
  <c r="S603"/>
  <c r="Q603"/>
  <c r="P603"/>
  <c r="M603"/>
  <c r="K603"/>
  <c r="H603"/>
  <c r="C603"/>
  <c r="G603"/>
  <c r="E603"/>
  <c r="B603"/>
  <c r="A603"/>
  <c r="W602"/>
  <c r="S602"/>
  <c r="Q602"/>
  <c r="P602"/>
  <c r="M602"/>
  <c r="K602"/>
  <c r="H602"/>
  <c r="C602"/>
  <c r="G602"/>
  <c r="E602"/>
  <c r="B602"/>
  <c r="A602"/>
  <c r="W601"/>
  <c r="S601"/>
  <c r="Q601"/>
  <c r="P601"/>
  <c r="M601"/>
  <c r="K601"/>
  <c r="H601"/>
  <c r="C601"/>
  <c r="G601"/>
  <c r="E601"/>
  <c r="B601"/>
  <c r="A601"/>
  <c r="W600"/>
  <c r="S600"/>
  <c r="Q600"/>
  <c r="P600"/>
  <c r="M600"/>
  <c r="K600"/>
  <c r="H600"/>
  <c r="C600"/>
  <c r="G600"/>
  <c r="E600"/>
  <c r="B600"/>
  <c r="A600"/>
  <c r="W599"/>
  <c r="S599"/>
  <c r="Q599"/>
  <c r="P599"/>
  <c r="M599"/>
  <c r="K599"/>
  <c r="H599"/>
  <c r="C599"/>
  <c r="G599"/>
  <c r="E599"/>
  <c r="B599"/>
  <c r="A599"/>
  <c r="W598"/>
  <c r="S598"/>
  <c r="Q598"/>
  <c r="P598"/>
  <c r="M598"/>
  <c r="K598"/>
  <c r="H598"/>
  <c r="C598"/>
  <c r="G598"/>
  <c r="E598"/>
  <c r="B598"/>
  <c r="A598"/>
  <c r="W597"/>
  <c r="S597"/>
  <c r="Q597"/>
  <c r="P597"/>
  <c r="M597"/>
  <c r="K597"/>
  <c r="H597"/>
  <c r="C597"/>
  <c r="G597"/>
  <c r="E597"/>
  <c r="B597"/>
  <c r="A597"/>
  <c r="W596"/>
  <c r="S596"/>
  <c r="Q596"/>
  <c r="P596"/>
  <c r="M596"/>
  <c r="K596"/>
  <c r="H596"/>
  <c r="C596"/>
  <c r="G596"/>
  <c r="E596"/>
  <c r="B596"/>
  <c r="A596"/>
  <c r="W595"/>
  <c r="S595"/>
  <c r="Q595"/>
  <c r="P595"/>
  <c r="M595"/>
  <c r="K595"/>
  <c r="H595"/>
  <c r="C595"/>
  <c r="G595"/>
  <c r="E595"/>
  <c r="B595"/>
  <c r="A595"/>
  <c r="W594"/>
  <c r="S594"/>
  <c r="Q594"/>
  <c r="P594"/>
  <c r="M594"/>
  <c r="K594"/>
  <c r="H594"/>
  <c r="C594"/>
  <c r="G594"/>
  <c r="E594"/>
  <c r="B594"/>
  <c r="A594"/>
  <c r="W593"/>
  <c r="S593"/>
  <c r="Q593"/>
  <c r="P593"/>
  <c r="M593"/>
  <c r="K593"/>
  <c r="H593"/>
  <c r="C593"/>
  <c r="G593"/>
  <c r="E593"/>
  <c r="B593"/>
  <c r="A593"/>
  <c r="W592"/>
  <c r="S592"/>
  <c r="Q592"/>
  <c r="P592"/>
  <c r="M592"/>
  <c r="K592"/>
  <c r="H592"/>
  <c r="C592"/>
  <c r="G592"/>
  <c r="E592"/>
  <c r="B592"/>
  <c r="A592"/>
  <c r="W591"/>
  <c r="S591"/>
  <c r="Q591"/>
  <c r="P591"/>
  <c r="M591"/>
  <c r="K591"/>
  <c r="H591"/>
  <c r="C591"/>
  <c r="G591"/>
  <c r="E591"/>
  <c r="B591"/>
  <c r="A591"/>
  <c r="W590"/>
  <c r="S590"/>
  <c r="Q590"/>
  <c r="P590"/>
  <c r="M590"/>
  <c r="K590"/>
  <c r="H590"/>
  <c r="C590"/>
  <c r="G590"/>
  <c r="E590"/>
  <c r="B590"/>
  <c r="A590"/>
  <c r="W589"/>
  <c r="S589"/>
  <c r="Q589"/>
  <c r="P589"/>
  <c r="M589"/>
  <c r="K589"/>
  <c r="H589"/>
  <c r="C589"/>
  <c r="G589"/>
  <c r="E589"/>
  <c r="B589"/>
  <c r="A589"/>
  <c r="W588"/>
  <c r="S588"/>
  <c r="Q588"/>
  <c r="P588"/>
  <c r="M588"/>
  <c r="K588"/>
  <c r="H588"/>
  <c r="C588"/>
  <c r="G588"/>
  <c r="E588"/>
  <c r="B588"/>
  <c r="A588"/>
  <c r="W587"/>
  <c r="S587"/>
  <c r="Q587"/>
  <c r="P587"/>
  <c r="M587"/>
  <c r="K587"/>
  <c r="H587"/>
  <c r="C587"/>
  <c r="G587"/>
  <c r="E587"/>
  <c r="B587"/>
  <c r="A587"/>
  <c r="W586"/>
  <c r="S586"/>
  <c r="Q586"/>
  <c r="P586"/>
  <c r="M586"/>
  <c r="K586"/>
  <c r="H586"/>
  <c r="C586"/>
  <c r="G586"/>
  <c r="E586"/>
  <c r="B586"/>
  <c r="A586"/>
  <c r="W585"/>
  <c r="S585"/>
  <c r="Q585"/>
  <c r="P585"/>
  <c r="M585"/>
  <c r="K585"/>
  <c r="H585"/>
  <c r="C585"/>
  <c r="G585"/>
  <c r="E585"/>
  <c r="B585"/>
  <c r="A585"/>
  <c r="W584"/>
  <c r="S584"/>
  <c r="Q584"/>
  <c r="P584"/>
  <c r="M584"/>
  <c r="K584"/>
  <c r="H584"/>
  <c r="C584"/>
  <c r="G584"/>
  <c r="E584"/>
  <c r="B584"/>
  <c r="A584"/>
  <c r="W583"/>
  <c r="S583"/>
  <c r="Q583"/>
  <c r="P583"/>
  <c r="M583"/>
  <c r="K583"/>
  <c r="H583"/>
  <c r="C583"/>
  <c r="G583"/>
  <c r="E583"/>
  <c r="B583"/>
  <c r="A583"/>
  <c r="W582"/>
  <c r="S582"/>
  <c r="Q582"/>
  <c r="P582"/>
  <c r="M582"/>
  <c r="K582"/>
  <c r="H582"/>
  <c r="C582"/>
  <c r="G582"/>
  <c r="E582"/>
  <c r="B582"/>
  <c r="A582"/>
  <c r="W581"/>
  <c r="S581"/>
  <c r="Q581"/>
  <c r="P581"/>
  <c r="M581"/>
  <c r="K581"/>
  <c r="H581"/>
  <c r="C581"/>
  <c r="G581"/>
  <c r="E581"/>
  <c r="B581"/>
  <c r="A581"/>
  <c r="W580"/>
  <c r="S580"/>
  <c r="Q580"/>
  <c r="P580"/>
  <c r="M580"/>
  <c r="K580"/>
  <c r="H580"/>
  <c r="C580"/>
  <c r="G580"/>
  <c r="E580"/>
  <c r="B580"/>
  <c r="A580"/>
  <c r="W579"/>
  <c r="S579"/>
  <c r="Q579"/>
  <c r="P579"/>
  <c r="M579"/>
  <c r="K579"/>
  <c r="H579"/>
  <c r="C579"/>
  <c r="G579"/>
  <c r="E579"/>
  <c r="B579"/>
  <c r="A579"/>
  <c r="W578"/>
  <c r="S578"/>
  <c r="Q578"/>
  <c r="P578"/>
  <c r="M578"/>
  <c r="K578"/>
  <c r="H578"/>
  <c r="C578"/>
  <c r="G578"/>
  <c r="E578"/>
  <c r="B578"/>
  <c r="A578"/>
  <c r="W577"/>
  <c r="S577"/>
  <c r="Q577"/>
  <c r="P577"/>
  <c r="M577"/>
  <c r="K577"/>
  <c r="H577"/>
  <c r="C577"/>
  <c r="G577"/>
  <c r="E577"/>
  <c r="B577"/>
  <c r="A577"/>
  <c r="W576"/>
  <c r="S576"/>
  <c r="Q576"/>
  <c r="P576"/>
  <c r="M576"/>
  <c r="K576"/>
  <c r="H576"/>
  <c r="C576"/>
  <c r="G576"/>
  <c r="E576"/>
  <c r="B576"/>
  <c r="A576"/>
  <c r="W575"/>
  <c r="S575"/>
  <c r="Q575"/>
  <c r="P575"/>
  <c r="M575"/>
  <c r="K575"/>
  <c r="H575"/>
  <c r="C575"/>
  <c r="G575"/>
  <c r="E575"/>
  <c r="B575"/>
  <c r="A575"/>
  <c r="W574"/>
  <c r="S574"/>
  <c r="Q574"/>
  <c r="P574"/>
  <c r="M574"/>
  <c r="K574"/>
  <c r="H574"/>
  <c r="C574"/>
  <c r="G574"/>
  <c r="E574"/>
  <c r="B574"/>
  <c r="A574"/>
  <c r="W573"/>
  <c r="S573"/>
  <c r="Q573"/>
  <c r="P573"/>
  <c r="M573"/>
  <c r="K573"/>
  <c r="H573"/>
  <c r="C573"/>
  <c r="G573"/>
  <c r="E573"/>
  <c r="B573"/>
  <c r="A573"/>
  <c r="W572"/>
  <c r="S572"/>
  <c r="Q572"/>
  <c r="P572"/>
  <c r="M572"/>
  <c r="K572"/>
  <c r="H572"/>
  <c r="C572"/>
  <c r="G572"/>
  <c r="E572"/>
  <c r="B572"/>
  <c r="A572"/>
  <c r="W571"/>
  <c r="S571"/>
  <c r="Q571"/>
  <c r="P571"/>
  <c r="M571"/>
  <c r="K571"/>
  <c r="H571"/>
  <c r="C571"/>
  <c r="G571"/>
  <c r="E571"/>
  <c r="B571"/>
  <c r="A571"/>
  <c r="W570"/>
  <c r="S570"/>
  <c r="Q570"/>
  <c r="P570"/>
  <c r="M570"/>
  <c r="K570"/>
  <c r="H570"/>
  <c r="C570"/>
  <c r="G570"/>
  <c r="E570"/>
  <c r="B570"/>
  <c r="A570"/>
  <c r="W569"/>
  <c r="S569"/>
  <c r="Q569"/>
  <c r="P569"/>
  <c r="M569"/>
  <c r="K569"/>
  <c r="H569"/>
  <c r="C569"/>
  <c r="G569"/>
  <c r="E569"/>
  <c r="B569"/>
  <c r="A569"/>
  <c r="W568"/>
  <c r="S568"/>
  <c r="Q568"/>
  <c r="P568"/>
  <c r="M568"/>
  <c r="K568"/>
  <c r="H568"/>
  <c r="C568"/>
  <c r="G568"/>
  <c r="E568"/>
  <c r="B568"/>
  <c r="A568"/>
  <c r="W567"/>
  <c r="S567"/>
  <c r="Q567"/>
  <c r="P567"/>
  <c r="M567"/>
  <c r="K567"/>
  <c r="H567"/>
  <c r="C567"/>
  <c r="G567"/>
  <c r="E567"/>
  <c r="B567"/>
  <c r="A567"/>
  <c r="W566"/>
  <c r="S566"/>
  <c r="Q566"/>
  <c r="P566"/>
  <c r="M566"/>
  <c r="K566"/>
  <c r="H566"/>
  <c r="C566"/>
  <c r="G566"/>
  <c r="E566"/>
  <c r="B566"/>
  <c r="A566"/>
  <c r="W565"/>
  <c r="S565"/>
  <c r="Q565"/>
  <c r="P565"/>
  <c r="M565"/>
  <c r="K565"/>
  <c r="H565"/>
  <c r="C565"/>
  <c r="G565"/>
  <c r="E565"/>
  <c r="B565"/>
  <c r="A565"/>
  <c r="W564"/>
  <c r="S564"/>
  <c r="Q564"/>
  <c r="P564"/>
  <c r="M564"/>
  <c r="K564"/>
  <c r="H564"/>
  <c r="C564"/>
  <c r="G564"/>
  <c r="E564"/>
  <c r="B564"/>
  <c r="A564"/>
  <c r="W563"/>
  <c r="S563"/>
  <c r="Q563"/>
  <c r="P563"/>
  <c r="M563"/>
  <c r="K563"/>
  <c r="H563"/>
  <c r="C563"/>
  <c r="G563"/>
  <c r="E563"/>
  <c r="B563"/>
  <c r="A563"/>
  <c r="W562"/>
  <c r="S562"/>
  <c r="Q562"/>
  <c r="P562"/>
  <c r="M562"/>
  <c r="K562"/>
  <c r="H562"/>
  <c r="C562"/>
  <c r="G562"/>
  <c r="E562"/>
  <c r="B562"/>
  <c r="A562"/>
  <c r="W561"/>
  <c r="S561"/>
  <c r="Q561"/>
  <c r="P561"/>
  <c r="M561"/>
  <c r="K561"/>
  <c r="H561"/>
  <c r="C561"/>
  <c r="G561"/>
  <c r="E561"/>
  <c r="B561"/>
  <c r="A561"/>
  <c r="W560"/>
  <c r="S560"/>
  <c r="Q560"/>
  <c r="P560"/>
  <c r="M560"/>
  <c r="K560"/>
  <c r="H560"/>
  <c r="C560"/>
  <c r="G560"/>
  <c r="E560"/>
  <c r="B560"/>
  <c r="A560"/>
  <c r="W559"/>
  <c r="S559"/>
  <c r="Q559"/>
  <c r="P559"/>
  <c r="M559"/>
  <c r="K559"/>
  <c r="H559"/>
  <c r="C559"/>
  <c r="G559"/>
  <c r="E559"/>
  <c r="B559"/>
  <c r="A559"/>
  <c r="W558"/>
  <c r="S558"/>
  <c r="Q558"/>
  <c r="P558"/>
  <c r="M558"/>
  <c r="K558"/>
  <c r="H558"/>
  <c r="C558"/>
  <c r="G558"/>
  <c r="E558"/>
  <c r="B558"/>
  <c r="A558"/>
  <c r="W557"/>
  <c r="S557"/>
  <c r="Q557"/>
  <c r="P557"/>
  <c r="M557"/>
  <c r="K557"/>
  <c r="H557"/>
  <c r="C557"/>
  <c r="G557"/>
  <c r="E557"/>
  <c r="B557"/>
  <c r="A557"/>
  <c r="W556"/>
  <c r="S556"/>
  <c r="Q556"/>
  <c r="P556"/>
  <c r="M556"/>
  <c r="K556"/>
  <c r="H556"/>
  <c r="C556"/>
  <c r="G556"/>
  <c r="E556"/>
  <c r="B556"/>
  <c r="A556"/>
  <c r="W555"/>
  <c r="S555"/>
  <c r="Q555"/>
  <c r="P555"/>
  <c r="M555"/>
  <c r="K555"/>
  <c r="H555"/>
  <c r="C555"/>
  <c r="G555"/>
  <c r="E555"/>
  <c r="B555"/>
  <c r="A555"/>
  <c r="W554"/>
  <c r="S554"/>
  <c r="Q554"/>
  <c r="P554"/>
  <c r="M554"/>
  <c r="K554"/>
  <c r="H554"/>
  <c r="C554"/>
  <c r="G554"/>
  <c r="E554"/>
  <c r="B554"/>
  <c r="A554"/>
  <c r="W553"/>
  <c r="S553"/>
  <c r="Q553"/>
  <c r="P553"/>
  <c r="M553"/>
  <c r="K553"/>
  <c r="H553"/>
  <c r="C553"/>
  <c r="G553"/>
  <c r="E553"/>
  <c r="B553"/>
  <c r="A553"/>
  <c r="W552"/>
  <c r="S552"/>
  <c r="Q552"/>
  <c r="P552"/>
  <c r="M552"/>
  <c r="K552"/>
  <c r="H552"/>
  <c r="C552"/>
  <c r="G552"/>
  <c r="E552"/>
  <c r="B552"/>
  <c r="A552"/>
  <c r="W551"/>
  <c r="S551"/>
  <c r="Q551"/>
  <c r="P551"/>
  <c r="M551"/>
  <c r="K551"/>
  <c r="H551"/>
  <c r="C551"/>
  <c r="G551"/>
  <c r="E551"/>
  <c r="B551"/>
  <c r="A551"/>
  <c r="W550"/>
  <c r="S550"/>
  <c r="Q550"/>
  <c r="P550"/>
  <c r="M550"/>
  <c r="K550"/>
  <c r="H550"/>
  <c r="C550"/>
  <c r="G550"/>
  <c r="E550"/>
  <c r="B550"/>
  <c r="A550"/>
  <c r="W549"/>
  <c r="S549"/>
  <c r="Q549"/>
  <c r="P549"/>
  <c r="M549"/>
  <c r="K549"/>
  <c r="H549"/>
  <c r="C549"/>
  <c r="G549"/>
  <c r="E549"/>
  <c r="B549"/>
  <c r="A549"/>
  <c r="W548"/>
  <c r="S548"/>
  <c r="Q548"/>
  <c r="P548"/>
  <c r="M548"/>
  <c r="K548"/>
  <c r="H548"/>
  <c r="C548"/>
  <c r="G548"/>
  <c r="E548"/>
  <c r="B548"/>
  <c r="A548"/>
  <c r="W547"/>
  <c r="S547"/>
  <c r="Q547"/>
  <c r="P547"/>
  <c r="M547"/>
  <c r="K547"/>
  <c r="H547"/>
  <c r="C547"/>
  <c r="G547"/>
  <c r="E547"/>
  <c r="B547"/>
  <c r="A547"/>
  <c r="W546"/>
  <c r="S546"/>
  <c r="Q546"/>
  <c r="P546"/>
  <c r="M546"/>
  <c r="K546"/>
  <c r="H546"/>
  <c r="C546"/>
  <c r="G546"/>
  <c r="E546"/>
  <c r="B546"/>
  <c r="A546"/>
  <c r="W545"/>
  <c r="S545"/>
  <c r="Q545"/>
  <c r="P545"/>
  <c r="M545"/>
  <c r="K545"/>
  <c r="H545"/>
  <c r="C545"/>
  <c r="G545"/>
  <c r="E545"/>
  <c r="B545"/>
  <c r="A545"/>
  <c r="W544"/>
  <c r="S544"/>
  <c r="Q544"/>
  <c r="P544"/>
  <c r="M544"/>
  <c r="K544"/>
  <c r="H544"/>
  <c r="C544"/>
  <c r="G544"/>
  <c r="E544"/>
  <c r="B544"/>
  <c r="A544"/>
  <c r="W543"/>
  <c r="S543"/>
  <c r="Q543"/>
  <c r="P543"/>
  <c r="M543"/>
  <c r="K543"/>
  <c r="H543"/>
  <c r="C543"/>
  <c r="G543"/>
  <c r="E543"/>
  <c r="B543"/>
  <c r="A543"/>
  <c r="W542"/>
  <c r="S542"/>
  <c r="Q542"/>
  <c r="P542"/>
  <c r="M542"/>
  <c r="K542"/>
  <c r="H542"/>
  <c r="C542"/>
  <c r="G542"/>
  <c r="E542"/>
  <c r="B542"/>
  <c r="A542"/>
  <c r="W541"/>
  <c r="S541"/>
  <c r="Q541"/>
  <c r="P541"/>
  <c r="M541"/>
  <c r="K541"/>
  <c r="H541"/>
  <c r="C541"/>
  <c r="G541"/>
  <c r="E541"/>
  <c r="B541"/>
  <c r="A541"/>
  <c r="W540"/>
  <c r="S540"/>
  <c r="Q540"/>
  <c r="P540"/>
  <c r="M540"/>
  <c r="K540"/>
  <c r="H540"/>
  <c r="C540"/>
  <c r="G540"/>
  <c r="E540"/>
  <c r="B540"/>
  <c r="A540"/>
  <c r="W539"/>
  <c r="S539"/>
  <c r="Q539"/>
  <c r="P539"/>
  <c r="M539"/>
  <c r="K539"/>
  <c r="H539"/>
  <c r="C539"/>
  <c r="G539"/>
  <c r="E539"/>
  <c r="B539"/>
  <c r="A539"/>
  <c r="W538"/>
  <c r="S538"/>
  <c r="Q538"/>
  <c r="P538"/>
  <c r="M538"/>
  <c r="K538"/>
  <c r="H538"/>
  <c r="C538"/>
  <c r="G538"/>
  <c r="E538"/>
  <c r="B538"/>
  <c r="A538"/>
  <c r="W537"/>
  <c r="S537"/>
  <c r="Q537"/>
  <c r="P537"/>
  <c r="M537"/>
  <c r="K537"/>
  <c r="H537"/>
  <c r="C537"/>
  <c r="G537"/>
  <c r="E537"/>
  <c r="B537"/>
  <c r="A537"/>
  <c r="W536"/>
  <c r="S536"/>
  <c r="Q536"/>
  <c r="P536"/>
  <c r="M536"/>
  <c r="K536"/>
  <c r="H536"/>
  <c r="C536"/>
  <c r="G536"/>
  <c r="E536"/>
  <c r="B536"/>
  <c r="A536"/>
  <c r="W535"/>
  <c r="S535"/>
  <c r="Q535"/>
  <c r="P535"/>
  <c r="M535"/>
  <c r="K535"/>
  <c r="H535"/>
  <c r="C535"/>
  <c r="G535"/>
  <c r="E535"/>
  <c r="B535"/>
  <c r="A535"/>
  <c r="W534"/>
  <c r="S534"/>
  <c r="Q534"/>
  <c r="P534"/>
  <c r="M534"/>
  <c r="K534"/>
  <c r="H534"/>
  <c r="C534"/>
  <c r="G534"/>
  <c r="E534"/>
  <c r="B534"/>
  <c r="A534"/>
  <c r="W533"/>
  <c r="S533"/>
  <c r="Q533"/>
  <c r="P533"/>
  <c r="M533"/>
  <c r="K533"/>
  <c r="H533"/>
  <c r="C533"/>
  <c r="G533"/>
  <c r="E533"/>
  <c r="B533"/>
  <c r="A533"/>
  <c r="W532"/>
  <c r="S532"/>
  <c r="Q532"/>
  <c r="P532"/>
  <c r="M532"/>
  <c r="K532"/>
  <c r="H532"/>
  <c r="C532"/>
  <c r="G532"/>
  <c r="E532"/>
  <c r="B532"/>
  <c r="A532"/>
  <c r="W531"/>
  <c r="S531"/>
  <c r="Q531"/>
  <c r="P531"/>
  <c r="M531"/>
  <c r="K531"/>
  <c r="H531"/>
  <c r="C531"/>
  <c r="G531"/>
  <c r="E531"/>
  <c r="B531"/>
  <c r="A531"/>
  <c r="W530"/>
  <c r="S530"/>
  <c r="Q530"/>
  <c r="P530"/>
  <c r="M530"/>
  <c r="K530"/>
  <c r="H530"/>
  <c r="C530"/>
  <c r="G530"/>
  <c r="E530"/>
  <c r="B530"/>
  <c r="A530"/>
  <c r="W529"/>
  <c r="S529"/>
  <c r="Q529"/>
  <c r="P529"/>
  <c r="M529"/>
  <c r="K529"/>
  <c r="H529"/>
  <c r="C529"/>
  <c r="G529"/>
  <c r="E529"/>
  <c r="B529"/>
  <c r="A529"/>
  <c r="W528"/>
  <c r="S528"/>
  <c r="Q528"/>
  <c r="P528"/>
  <c r="M528"/>
  <c r="K528"/>
  <c r="H528"/>
  <c r="C528"/>
  <c r="G528"/>
  <c r="E528"/>
  <c r="B528"/>
  <c r="A528"/>
  <c r="W527"/>
  <c r="S527"/>
  <c r="Q527"/>
  <c r="P527"/>
  <c r="M527"/>
  <c r="K527"/>
  <c r="H527"/>
  <c r="C527"/>
  <c r="G527"/>
  <c r="E527"/>
  <c r="B527"/>
  <c r="A527"/>
  <c r="W526"/>
  <c r="S526"/>
  <c r="R526"/>
  <c r="Q526"/>
  <c r="P526"/>
  <c r="M526"/>
  <c r="K526"/>
  <c r="H526"/>
  <c r="C526"/>
  <c r="G526"/>
  <c r="E526"/>
  <c r="B526"/>
  <c r="A526"/>
  <c r="W525"/>
  <c r="S525"/>
  <c r="Q525"/>
  <c r="P525"/>
  <c r="M525"/>
  <c r="K525"/>
  <c r="H525"/>
  <c r="C525"/>
  <c r="G525"/>
  <c r="E525"/>
  <c r="B525"/>
  <c r="A525"/>
  <c r="W524"/>
  <c r="S524"/>
  <c r="R524"/>
  <c r="Q524"/>
  <c r="P524"/>
  <c r="M524"/>
  <c r="K524"/>
  <c r="H524"/>
  <c r="C524"/>
  <c r="G524"/>
  <c r="E524"/>
  <c r="B524"/>
  <c r="A524"/>
  <c r="W523"/>
  <c r="S523"/>
  <c r="Q523"/>
  <c r="P523"/>
  <c r="M523"/>
  <c r="K523"/>
  <c r="H523"/>
  <c r="C523"/>
  <c r="G523"/>
  <c r="E523"/>
  <c r="B523"/>
  <c r="A523"/>
  <c r="W522"/>
  <c r="S522"/>
  <c r="Q522"/>
  <c r="P522"/>
  <c r="M522"/>
  <c r="K522"/>
  <c r="H522"/>
  <c r="C522"/>
  <c r="G522"/>
  <c r="E522"/>
  <c r="B522"/>
  <c r="A522"/>
  <c r="W521"/>
  <c r="S521"/>
  <c r="Q521"/>
  <c r="P521"/>
  <c r="M521"/>
  <c r="K521"/>
  <c r="H521"/>
  <c r="C521"/>
  <c r="G521"/>
  <c r="E521"/>
  <c r="B521"/>
  <c r="A521"/>
  <c r="W520"/>
  <c r="S520"/>
  <c r="Q520"/>
  <c r="P520"/>
  <c r="M520"/>
  <c r="K520"/>
  <c r="H520"/>
  <c r="C520"/>
  <c r="G520"/>
  <c r="E520"/>
  <c r="B520"/>
  <c r="A520"/>
  <c r="W519"/>
  <c r="S519"/>
  <c r="Q519"/>
  <c r="P519"/>
  <c r="M519"/>
  <c r="K519"/>
  <c r="H519"/>
  <c r="C519"/>
  <c r="G519"/>
  <c r="E519"/>
  <c r="B519"/>
  <c r="A519"/>
  <c r="W518"/>
  <c r="S518"/>
  <c r="Q518"/>
  <c r="P518"/>
  <c r="M518"/>
  <c r="K518"/>
  <c r="H518"/>
  <c r="C518"/>
  <c r="G518"/>
  <c r="E518"/>
  <c r="B518"/>
  <c r="A518"/>
  <c r="W517"/>
  <c r="S517"/>
  <c r="Q517"/>
  <c r="P517"/>
  <c r="M517"/>
  <c r="K517"/>
  <c r="H517"/>
  <c r="C517"/>
  <c r="G517"/>
  <c r="E517"/>
  <c r="B517"/>
  <c r="A517"/>
  <c r="W516"/>
  <c r="S516"/>
  <c r="Q516"/>
  <c r="P516"/>
  <c r="M516"/>
  <c r="K516"/>
  <c r="H516"/>
  <c r="C516"/>
  <c r="G516"/>
  <c r="E516"/>
  <c r="B516"/>
  <c r="A516"/>
  <c r="W515"/>
  <c r="S515"/>
  <c r="Q515"/>
  <c r="P515"/>
  <c r="M515"/>
  <c r="K515"/>
  <c r="H515"/>
  <c r="C515"/>
  <c r="G515"/>
  <c r="E515"/>
  <c r="B515"/>
  <c r="A515"/>
  <c r="W514"/>
  <c r="S514"/>
  <c r="Q514"/>
  <c r="P514"/>
  <c r="M514"/>
  <c r="K514"/>
  <c r="H514"/>
  <c r="C514"/>
  <c r="G514"/>
  <c r="E514"/>
  <c r="B514"/>
  <c r="A514"/>
  <c r="W513"/>
  <c r="S513"/>
  <c r="R513"/>
  <c r="Q513"/>
  <c r="P513"/>
  <c r="M513"/>
  <c r="K513"/>
  <c r="H513"/>
  <c r="C513"/>
  <c r="G513"/>
  <c r="E513"/>
  <c r="B513"/>
  <c r="A513"/>
  <c r="W512"/>
  <c r="S512"/>
  <c r="Q512"/>
  <c r="P512"/>
  <c r="M512"/>
  <c r="K512"/>
  <c r="H512"/>
  <c r="C512"/>
  <c r="G512"/>
  <c r="E512"/>
  <c r="B512"/>
  <c r="A512"/>
  <c r="W511"/>
  <c r="S511"/>
  <c r="Q511"/>
  <c r="P511"/>
  <c r="M511"/>
  <c r="K511"/>
  <c r="H511"/>
  <c r="C511"/>
  <c r="G511"/>
  <c r="E511"/>
  <c r="B511"/>
  <c r="A511"/>
  <c r="W510"/>
  <c r="S510"/>
  <c r="Q510"/>
  <c r="P510"/>
  <c r="M510"/>
  <c r="K510"/>
  <c r="H510"/>
  <c r="C510"/>
  <c r="G510"/>
  <c r="E510"/>
  <c r="B510"/>
  <c r="A510"/>
  <c r="W509"/>
  <c r="S509"/>
  <c r="Q509"/>
  <c r="P509"/>
  <c r="M509"/>
  <c r="K509"/>
  <c r="H509"/>
  <c r="C509"/>
  <c r="G509"/>
  <c r="E509"/>
  <c r="B509"/>
  <c r="A509"/>
  <c r="W508"/>
  <c r="S508"/>
  <c r="Q508"/>
  <c r="P508"/>
  <c r="M508"/>
  <c r="K508"/>
  <c r="H508"/>
  <c r="C508"/>
  <c r="G508"/>
  <c r="E508"/>
  <c r="B508"/>
  <c r="A508"/>
  <c r="W507"/>
  <c r="S507"/>
  <c r="Q507"/>
  <c r="P507"/>
  <c r="M507"/>
  <c r="K507"/>
  <c r="H507"/>
  <c r="C507"/>
  <c r="G507"/>
  <c r="E507"/>
  <c r="B507"/>
  <c r="A507"/>
  <c r="W506"/>
  <c r="S506"/>
  <c r="R506"/>
  <c r="Q506"/>
  <c r="P506"/>
  <c r="M506"/>
  <c r="K506"/>
  <c r="H506"/>
  <c r="C506"/>
  <c r="G506"/>
  <c r="E506"/>
  <c r="B506"/>
  <c r="A506"/>
  <c r="W505"/>
  <c r="S505"/>
  <c r="Q505"/>
  <c r="P505"/>
  <c r="M505"/>
  <c r="K505"/>
  <c r="H505"/>
  <c r="C505"/>
  <c r="G505"/>
  <c r="E505"/>
  <c r="B505"/>
  <c r="A505"/>
  <c r="W504"/>
  <c r="S504"/>
  <c r="Q504"/>
  <c r="P504"/>
  <c r="M504"/>
  <c r="K504"/>
  <c r="H504"/>
  <c r="C504"/>
  <c r="G504"/>
  <c r="E504"/>
  <c r="B504"/>
  <c r="A504"/>
  <c r="W503"/>
  <c r="S503"/>
  <c r="Q503"/>
  <c r="P503"/>
  <c r="M503"/>
  <c r="K503"/>
  <c r="H503"/>
  <c r="C503"/>
  <c r="G503"/>
  <c r="E503"/>
  <c r="B503"/>
  <c r="A503"/>
  <c r="W502"/>
  <c r="S502"/>
  <c r="Q502"/>
  <c r="P502"/>
  <c r="M502"/>
  <c r="K502"/>
  <c r="H502"/>
  <c r="C502"/>
  <c r="G502"/>
  <c r="E502"/>
  <c r="B502"/>
  <c r="A502"/>
  <c r="W501"/>
  <c r="S501"/>
  <c r="Q501"/>
  <c r="P501"/>
  <c r="M501"/>
  <c r="K501"/>
  <c r="H501"/>
  <c r="C501"/>
  <c r="G501"/>
  <c r="E501"/>
  <c r="B501"/>
  <c r="A501"/>
  <c r="W500"/>
  <c r="S500"/>
  <c r="Q500"/>
  <c r="P500"/>
  <c r="M500"/>
  <c r="K500"/>
  <c r="H500"/>
  <c r="C500"/>
  <c r="G500"/>
  <c r="E500"/>
  <c r="B500"/>
  <c r="A500"/>
  <c r="W499"/>
  <c r="S499"/>
  <c r="Q499"/>
  <c r="P499"/>
  <c r="M499"/>
  <c r="K499"/>
  <c r="H499"/>
  <c r="C499"/>
  <c r="G499"/>
  <c r="E499"/>
  <c r="B499"/>
  <c r="A499"/>
  <c r="W498"/>
  <c r="S498"/>
  <c r="Q498"/>
  <c r="P498"/>
  <c r="M498"/>
  <c r="K498"/>
  <c r="H498"/>
  <c r="C498"/>
  <c r="G498"/>
  <c r="E498"/>
  <c r="B498"/>
  <c r="A498"/>
  <c r="W497"/>
  <c r="S497"/>
  <c r="Q497"/>
  <c r="P497"/>
  <c r="M497"/>
  <c r="K497"/>
  <c r="H497"/>
  <c r="C497"/>
  <c r="G497"/>
  <c r="E497"/>
  <c r="B497"/>
  <c r="A497"/>
  <c r="W496"/>
  <c r="S496"/>
  <c r="Q496"/>
  <c r="P496"/>
  <c r="M496"/>
  <c r="K496"/>
  <c r="H496"/>
  <c r="C496"/>
  <c r="G496"/>
  <c r="E496"/>
  <c r="B496"/>
  <c r="A496"/>
  <c r="W495"/>
  <c r="S495"/>
  <c r="Q495"/>
  <c r="P495"/>
  <c r="M495"/>
  <c r="K495"/>
  <c r="H495"/>
  <c r="C495"/>
  <c r="G495"/>
  <c r="E495"/>
  <c r="B495"/>
  <c r="A495"/>
  <c r="W494"/>
  <c r="S494"/>
  <c r="R494"/>
  <c r="Q494"/>
  <c r="P494"/>
  <c r="M494"/>
  <c r="K494"/>
  <c r="H494"/>
  <c r="C494"/>
  <c r="G494"/>
  <c r="E494"/>
  <c r="B494"/>
  <c r="A494"/>
  <c r="W493"/>
  <c r="S493"/>
  <c r="Q493"/>
  <c r="P493"/>
  <c r="M493"/>
  <c r="K493"/>
  <c r="H493"/>
  <c r="C493"/>
  <c r="G493"/>
  <c r="E493"/>
  <c r="B493"/>
  <c r="A493"/>
  <c r="W492"/>
  <c r="S492"/>
  <c r="Q492"/>
  <c r="P492"/>
  <c r="M492"/>
  <c r="K492"/>
  <c r="H492"/>
  <c r="C492"/>
  <c r="G492"/>
  <c r="E492"/>
  <c r="B492"/>
  <c r="A492"/>
  <c r="W491"/>
  <c r="S491"/>
  <c r="Q491"/>
  <c r="P491"/>
  <c r="M491"/>
  <c r="K491"/>
  <c r="H491"/>
  <c r="C491"/>
  <c r="G491"/>
  <c r="E491"/>
  <c r="B491"/>
  <c r="A491"/>
  <c r="W490"/>
  <c r="S490"/>
  <c r="Q490"/>
  <c r="P490"/>
  <c r="M490"/>
  <c r="K490"/>
  <c r="H490"/>
  <c r="C490"/>
  <c r="G490"/>
  <c r="E490"/>
  <c r="B490"/>
  <c r="A490"/>
  <c r="W489"/>
  <c r="S489"/>
  <c r="Q489"/>
  <c r="P489"/>
  <c r="M489"/>
  <c r="K489"/>
  <c r="H489"/>
  <c r="C489"/>
  <c r="G489"/>
  <c r="E489"/>
  <c r="B489"/>
  <c r="A489"/>
  <c r="W488"/>
  <c r="S488"/>
  <c r="Q488"/>
  <c r="P488"/>
  <c r="M488"/>
  <c r="K488"/>
  <c r="H488"/>
  <c r="C488"/>
  <c r="G488"/>
  <c r="E488"/>
  <c r="B488"/>
  <c r="A488"/>
  <c r="W487"/>
  <c r="S487"/>
  <c r="R487"/>
  <c r="Q487"/>
  <c r="P487"/>
  <c r="M487"/>
  <c r="K487"/>
  <c r="H487"/>
  <c r="C487"/>
  <c r="G487"/>
  <c r="E487"/>
  <c r="B487"/>
  <c r="A487"/>
  <c r="W486"/>
  <c r="S486"/>
  <c r="Q486"/>
  <c r="P486"/>
  <c r="M486"/>
  <c r="K486"/>
  <c r="H486"/>
  <c r="C486"/>
  <c r="G486"/>
  <c r="E486"/>
  <c r="B486"/>
  <c r="A486"/>
  <c r="W485"/>
  <c r="S485"/>
  <c r="Q485"/>
  <c r="P485"/>
  <c r="M485"/>
  <c r="K485"/>
  <c r="H485"/>
  <c r="C485"/>
  <c r="G485"/>
  <c r="E485"/>
  <c r="B485"/>
  <c r="A485"/>
  <c r="W484"/>
  <c r="S484"/>
  <c r="Q484"/>
  <c r="P484"/>
  <c r="M484"/>
  <c r="K484"/>
  <c r="H484"/>
  <c r="C484"/>
  <c r="G484"/>
  <c r="E484"/>
  <c r="B484"/>
  <c r="A484"/>
  <c r="W483"/>
  <c r="S483"/>
  <c r="Q483"/>
  <c r="P483"/>
  <c r="M483"/>
  <c r="K483"/>
  <c r="H483"/>
  <c r="C483"/>
  <c r="G483"/>
  <c r="E483"/>
  <c r="B483"/>
  <c r="A483"/>
  <c r="W482"/>
  <c r="S482"/>
  <c r="Q482"/>
  <c r="P482"/>
  <c r="M482"/>
  <c r="K482"/>
  <c r="H482"/>
  <c r="C482"/>
  <c r="G482"/>
  <c r="E482"/>
  <c r="B482"/>
  <c r="A482"/>
  <c r="W481"/>
  <c r="S481"/>
  <c r="Q481"/>
  <c r="P481"/>
  <c r="M481"/>
  <c r="K481"/>
  <c r="H481"/>
  <c r="C481"/>
  <c r="G481"/>
  <c r="E481"/>
  <c r="B481"/>
  <c r="A481"/>
  <c r="W480"/>
  <c r="S480"/>
  <c r="Q480"/>
  <c r="P480"/>
  <c r="M480"/>
  <c r="K480"/>
  <c r="H480"/>
  <c r="C480"/>
  <c r="G480"/>
  <c r="E480"/>
  <c r="B480"/>
  <c r="A480"/>
  <c r="W479"/>
  <c r="S479"/>
  <c r="Q479"/>
  <c r="P479"/>
  <c r="M479"/>
  <c r="K479"/>
  <c r="H479"/>
  <c r="C479"/>
  <c r="G479"/>
  <c r="E479"/>
  <c r="B479"/>
  <c r="A479"/>
  <c r="W478"/>
  <c r="S478"/>
  <c r="Q478"/>
  <c r="P478"/>
  <c r="M478"/>
  <c r="K478"/>
  <c r="H478"/>
  <c r="C478"/>
  <c r="G478"/>
  <c r="E478"/>
  <c r="B478"/>
  <c r="A478"/>
  <c r="W477"/>
  <c r="S477"/>
  <c r="Q477"/>
  <c r="P477"/>
  <c r="M477"/>
  <c r="K477"/>
  <c r="H477"/>
  <c r="C477"/>
  <c r="G477"/>
  <c r="E477"/>
  <c r="B477"/>
  <c r="A477"/>
  <c r="W476"/>
  <c r="S476"/>
  <c r="R476"/>
  <c r="Q476"/>
  <c r="P476"/>
  <c r="M476"/>
  <c r="K476"/>
  <c r="H476"/>
  <c r="C476"/>
  <c r="G476"/>
  <c r="E476"/>
  <c r="B476"/>
  <c r="A476"/>
  <c r="W475"/>
  <c r="S475"/>
  <c r="Q475"/>
  <c r="P475"/>
  <c r="M475"/>
  <c r="K475"/>
  <c r="H475"/>
  <c r="C475"/>
  <c r="G475"/>
  <c r="E475"/>
  <c r="B475"/>
  <c r="A475"/>
  <c r="W474"/>
  <c r="S474"/>
  <c r="Q474"/>
  <c r="P474"/>
  <c r="M474"/>
  <c r="K474"/>
  <c r="H474"/>
  <c r="C474"/>
  <c r="G474"/>
  <c r="E474"/>
  <c r="B474"/>
  <c r="A474"/>
  <c r="W473"/>
  <c r="S473"/>
  <c r="Q473"/>
  <c r="P473"/>
  <c r="M473"/>
  <c r="K473"/>
  <c r="H473"/>
  <c r="C473"/>
  <c r="G473"/>
  <c r="E473"/>
  <c r="B473"/>
  <c r="A473"/>
  <c r="W472"/>
  <c r="S472"/>
  <c r="Q472"/>
  <c r="P472"/>
  <c r="M472"/>
  <c r="K472"/>
  <c r="H472"/>
  <c r="C472"/>
  <c r="G472"/>
  <c r="E472"/>
  <c r="B472"/>
  <c r="A472"/>
  <c r="W471"/>
  <c r="S471"/>
  <c r="Q471"/>
  <c r="P471"/>
  <c r="M471"/>
  <c r="K471"/>
  <c r="H471"/>
  <c r="C471"/>
  <c r="G471"/>
  <c r="E471"/>
  <c r="B471"/>
  <c r="A471"/>
  <c r="W470"/>
  <c r="S470"/>
  <c r="Q470"/>
  <c r="P470"/>
  <c r="M470"/>
  <c r="K470"/>
  <c r="H470"/>
  <c r="C470"/>
  <c r="G470"/>
  <c r="E470"/>
  <c r="B470"/>
  <c r="A470"/>
  <c r="W469"/>
  <c r="S469"/>
  <c r="R469"/>
  <c r="Q469"/>
  <c r="P469"/>
  <c r="M469"/>
  <c r="K469"/>
  <c r="H469"/>
  <c r="C469"/>
  <c r="G469"/>
  <c r="E469"/>
  <c r="B469"/>
  <c r="A469"/>
  <c r="W468"/>
  <c r="S468"/>
  <c r="Q468"/>
  <c r="P468"/>
  <c r="M468"/>
  <c r="K468"/>
  <c r="H468"/>
  <c r="C468"/>
  <c r="G468"/>
  <c r="E468"/>
  <c r="B468"/>
  <c r="A468"/>
  <c r="W467"/>
  <c r="S467"/>
  <c r="Q467"/>
  <c r="P467"/>
  <c r="M467"/>
  <c r="K467"/>
  <c r="H467"/>
  <c r="C467"/>
  <c r="G467"/>
  <c r="E467"/>
  <c r="B467"/>
  <c r="A467"/>
  <c r="W466"/>
  <c r="S466"/>
  <c r="Q466"/>
  <c r="P466"/>
  <c r="M466"/>
  <c r="K466"/>
  <c r="H466"/>
  <c r="C466"/>
  <c r="G466"/>
  <c r="E466"/>
  <c r="B466"/>
  <c r="A466"/>
  <c r="W465"/>
  <c r="S465"/>
  <c r="Q465"/>
  <c r="P465"/>
  <c r="M465"/>
  <c r="K465"/>
  <c r="H465"/>
  <c r="C465"/>
  <c r="G465"/>
  <c r="E465"/>
  <c r="B465"/>
  <c r="A465"/>
  <c r="W464"/>
  <c r="S464"/>
  <c r="Q464"/>
  <c r="P464"/>
  <c r="M464"/>
  <c r="K464"/>
  <c r="H464"/>
  <c r="C464"/>
  <c r="G464"/>
  <c r="E464"/>
  <c r="B464"/>
  <c r="A464"/>
  <c r="W463"/>
  <c r="S463"/>
  <c r="Q463"/>
  <c r="P463"/>
  <c r="M463"/>
  <c r="K463"/>
  <c r="H463"/>
  <c r="C463"/>
  <c r="G463"/>
  <c r="E463"/>
  <c r="B463"/>
  <c r="A463"/>
  <c r="W462"/>
  <c r="S462"/>
  <c r="Q462"/>
  <c r="P462"/>
  <c r="M462"/>
  <c r="K462"/>
  <c r="H462"/>
  <c r="C462"/>
  <c r="G462"/>
  <c r="E462"/>
  <c r="B462"/>
  <c r="A462"/>
  <c r="W461"/>
  <c r="S461"/>
  <c r="Q461"/>
  <c r="P461"/>
  <c r="M461"/>
  <c r="K461"/>
  <c r="H461"/>
  <c r="C461"/>
  <c r="G461"/>
  <c r="E461"/>
  <c r="B461"/>
  <c r="A461"/>
  <c r="W460"/>
  <c r="S460"/>
  <c r="Q460"/>
  <c r="P460"/>
  <c r="M460"/>
  <c r="K460"/>
  <c r="H460"/>
  <c r="C460"/>
  <c r="G460"/>
  <c r="E460"/>
  <c r="B460"/>
  <c r="A460"/>
  <c r="W459"/>
  <c r="S459"/>
  <c r="Q459"/>
  <c r="P459"/>
  <c r="M459"/>
  <c r="K459"/>
  <c r="H459"/>
  <c r="C459"/>
  <c r="G459"/>
  <c r="E459"/>
  <c r="B459"/>
  <c r="A459"/>
  <c r="W458"/>
  <c r="S458"/>
  <c r="Q458"/>
  <c r="P458"/>
  <c r="M458"/>
  <c r="K458"/>
  <c r="H458"/>
  <c r="C458"/>
  <c r="G458"/>
  <c r="E458"/>
  <c r="B458"/>
  <c r="A458"/>
  <c r="W457"/>
  <c r="S457"/>
  <c r="R457"/>
  <c r="Q457"/>
  <c r="P457"/>
  <c r="M457"/>
  <c r="K457"/>
  <c r="H457"/>
  <c r="C457"/>
  <c r="G457"/>
  <c r="E457"/>
  <c r="B457"/>
  <c r="A457"/>
  <c r="W456"/>
  <c r="S456"/>
  <c r="Q456"/>
  <c r="P456"/>
  <c r="M456"/>
  <c r="K456"/>
  <c r="H456"/>
  <c r="C456"/>
  <c r="G456"/>
  <c r="E456"/>
  <c r="B456"/>
  <c r="A456"/>
  <c r="W455"/>
  <c r="S455"/>
  <c r="Q455"/>
  <c r="P455"/>
  <c r="M455"/>
  <c r="K455"/>
  <c r="H455"/>
  <c r="C455"/>
  <c r="G455"/>
  <c r="E455"/>
  <c r="B455"/>
  <c r="A455"/>
  <c r="W454"/>
  <c r="S454"/>
  <c r="Q454"/>
  <c r="P454"/>
  <c r="M454"/>
  <c r="K454"/>
  <c r="H454"/>
  <c r="C454"/>
  <c r="G454"/>
  <c r="E454"/>
  <c r="B454"/>
  <c r="A454"/>
  <c r="W453"/>
  <c r="S453"/>
  <c r="Q453"/>
  <c r="P453"/>
  <c r="M453"/>
  <c r="K453"/>
  <c r="H453"/>
  <c r="C453"/>
  <c r="G453"/>
  <c r="E453"/>
  <c r="B453"/>
  <c r="A453"/>
  <c r="W452"/>
  <c r="S452"/>
  <c r="Q452"/>
  <c r="P452"/>
  <c r="M452"/>
  <c r="K452"/>
  <c r="H452"/>
  <c r="C452"/>
  <c r="G452"/>
  <c r="E452"/>
  <c r="B452"/>
  <c r="A452"/>
  <c r="W451"/>
  <c r="S451"/>
  <c r="Q451"/>
  <c r="P451"/>
  <c r="M451"/>
  <c r="K451"/>
  <c r="H451"/>
  <c r="C451"/>
  <c r="G451"/>
  <c r="E451"/>
  <c r="B451"/>
  <c r="A451"/>
  <c r="W450"/>
  <c r="S450"/>
  <c r="R450"/>
  <c r="Q450"/>
  <c r="P450"/>
  <c r="M450"/>
  <c r="K450"/>
  <c r="H450"/>
  <c r="C450"/>
  <c r="G450"/>
  <c r="E450"/>
  <c r="B450"/>
  <c r="A450"/>
  <c r="W449"/>
  <c r="S449"/>
  <c r="Q449"/>
  <c r="P449"/>
  <c r="M449"/>
  <c r="K449"/>
  <c r="H449"/>
  <c r="C449"/>
  <c r="G449"/>
  <c r="E449"/>
  <c r="B449"/>
  <c r="A449"/>
  <c r="W448"/>
  <c r="S448"/>
  <c r="Q448"/>
  <c r="P448"/>
  <c r="M448"/>
  <c r="K448"/>
  <c r="H448"/>
  <c r="C448"/>
  <c r="G448"/>
  <c r="E448"/>
  <c r="B448"/>
  <c r="A448"/>
  <c r="W447"/>
  <c r="S447"/>
  <c r="Q447"/>
  <c r="P447"/>
  <c r="M447"/>
  <c r="K447"/>
  <c r="H447"/>
  <c r="C447"/>
  <c r="G447"/>
  <c r="E447"/>
  <c r="B447"/>
  <c r="A447"/>
  <c r="W446"/>
  <c r="S446"/>
  <c r="Q446"/>
  <c r="P446"/>
  <c r="M446"/>
  <c r="K446"/>
  <c r="H446"/>
  <c r="C446"/>
  <c r="G446"/>
  <c r="E446"/>
  <c r="B446"/>
  <c r="A446"/>
  <c r="W445"/>
  <c r="S445"/>
  <c r="Q445"/>
  <c r="P445"/>
  <c r="M445"/>
  <c r="K445"/>
  <c r="H445"/>
  <c r="C445"/>
  <c r="G445"/>
  <c r="E445"/>
  <c r="B445"/>
  <c r="A445"/>
  <c r="W444"/>
  <c r="S444"/>
  <c r="Q444"/>
  <c r="P444"/>
  <c r="M444"/>
  <c r="K444"/>
  <c r="H444"/>
  <c r="C444"/>
  <c r="G444"/>
  <c r="E444"/>
  <c r="B444"/>
  <c r="A444"/>
  <c r="W443"/>
  <c r="S443"/>
  <c r="Q443"/>
  <c r="P443"/>
  <c r="M443"/>
  <c r="K443"/>
  <c r="H443"/>
  <c r="C443"/>
  <c r="G443"/>
  <c r="E443"/>
  <c r="B443"/>
  <c r="A443"/>
  <c r="W442"/>
  <c r="S442"/>
  <c r="Q442"/>
  <c r="P442"/>
  <c r="M442"/>
  <c r="K442"/>
  <c r="H442"/>
  <c r="C442"/>
  <c r="G442"/>
  <c r="E442"/>
  <c r="B442"/>
  <c r="A442"/>
  <c r="W441"/>
  <c r="S441"/>
  <c r="Q441"/>
  <c r="P441"/>
  <c r="M441"/>
  <c r="K441"/>
  <c r="H441"/>
  <c r="C441"/>
  <c r="G441"/>
  <c r="E441"/>
  <c r="B441"/>
  <c r="A441"/>
  <c r="W440"/>
  <c r="S440"/>
  <c r="Q440"/>
  <c r="P440"/>
  <c r="M440"/>
  <c r="K440"/>
  <c r="H440"/>
  <c r="C440"/>
  <c r="G440"/>
  <c r="E440"/>
  <c r="B440"/>
  <c r="A440"/>
  <c r="W439"/>
  <c r="S439"/>
  <c r="R439"/>
  <c r="Q439"/>
  <c r="P439"/>
  <c r="M439"/>
  <c r="K439"/>
  <c r="H439"/>
  <c r="C439"/>
  <c r="G439"/>
  <c r="E439"/>
  <c r="B439"/>
  <c r="A439"/>
  <c r="W438"/>
  <c r="S438"/>
  <c r="Q438"/>
  <c r="P438"/>
  <c r="M438"/>
  <c r="K438"/>
  <c r="H438"/>
  <c r="C438"/>
  <c r="G438"/>
  <c r="E438"/>
  <c r="B438"/>
  <c r="A438"/>
  <c r="W437"/>
  <c r="S437"/>
  <c r="Q437"/>
  <c r="P437"/>
  <c r="M437"/>
  <c r="K437"/>
  <c r="H437"/>
  <c r="C437"/>
  <c r="G437"/>
  <c r="E437"/>
  <c r="B437"/>
  <c r="A437"/>
  <c r="W436"/>
  <c r="S436"/>
  <c r="Q436"/>
  <c r="P436"/>
  <c r="M436"/>
  <c r="K436"/>
  <c r="H436"/>
  <c r="C436"/>
  <c r="G436"/>
  <c r="E436"/>
  <c r="B436"/>
  <c r="A436"/>
  <c r="W435"/>
  <c r="S435"/>
  <c r="Q435"/>
  <c r="P435"/>
  <c r="M435"/>
  <c r="K435"/>
  <c r="H435"/>
  <c r="C435"/>
  <c r="G435"/>
  <c r="E435"/>
  <c r="B435"/>
  <c r="A435"/>
  <c r="W434"/>
  <c r="S434"/>
  <c r="Q434"/>
  <c r="P434"/>
  <c r="M434"/>
  <c r="K434"/>
  <c r="H434"/>
  <c r="C434"/>
  <c r="G434"/>
  <c r="E434"/>
  <c r="B434"/>
  <c r="A434"/>
  <c r="W433"/>
  <c r="S433"/>
  <c r="Q433"/>
  <c r="P433"/>
  <c r="M433"/>
  <c r="K433"/>
  <c r="H433"/>
  <c r="C433"/>
  <c r="G433"/>
  <c r="E433"/>
  <c r="B433"/>
  <c r="A433"/>
  <c r="W432"/>
  <c r="S432"/>
  <c r="R432"/>
  <c r="Q432"/>
  <c r="P432"/>
  <c r="M432"/>
  <c r="K432"/>
  <c r="H432"/>
  <c r="C432"/>
  <c r="G432"/>
  <c r="E432"/>
  <c r="B432"/>
  <c r="A432"/>
  <c r="W431"/>
  <c r="S431"/>
  <c r="Q431"/>
  <c r="P431"/>
  <c r="M431"/>
  <c r="K431"/>
  <c r="H431"/>
  <c r="C431"/>
  <c r="G431"/>
  <c r="E431"/>
  <c r="B431"/>
  <c r="A431"/>
  <c r="W430"/>
  <c r="S430"/>
  <c r="R430"/>
  <c r="Q430"/>
  <c r="P430"/>
  <c r="M430"/>
  <c r="K430"/>
  <c r="H430"/>
  <c r="C430"/>
  <c r="G430"/>
  <c r="E430"/>
  <c r="B430"/>
  <c r="A430"/>
  <c r="W429"/>
  <c r="S429"/>
  <c r="Q429"/>
  <c r="P429"/>
  <c r="M429"/>
  <c r="K429"/>
  <c r="H429"/>
  <c r="C429"/>
  <c r="G429"/>
  <c r="E429"/>
  <c r="B429"/>
  <c r="A429"/>
  <c r="W428"/>
  <c r="S428"/>
  <c r="Q428"/>
  <c r="P428"/>
  <c r="M428"/>
  <c r="K428"/>
  <c r="H428"/>
  <c r="C428"/>
  <c r="G428"/>
  <c r="E428"/>
  <c r="B428"/>
  <c r="A428"/>
  <c r="W427"/>
  <c r="S427"/>
  <c r="Q427"/>
  <c r="P427"/>
  <c r="M427"/>
  <c r="K427"/>
  <c r="H427"/>
  <c r="C427"/>
  <c r="G427"/>
  <c r="E427"/>
  <c r="B427"/>
  <c r="A427"/>
  <c r="W426"/>
  <c r="S426"/>
  <c r="Q426"/>
  <c r="P426"/>
  <c r="M426"/>
  <c r="K426"/>
  <c r="H426"/>
  <c r="C426"/>
  <c r="G426"/>
  <c r="E426"/>
  <c r="B426"/>
  <c r="A426"/>
  <c r="W425"/>
  <c r="S425"/>
  <c r="Q425"/>
  <c r="P425"/>
  <c r="M425"/>
  <c r="K425"/>
  <c r="H425"/>
  <c r="C425"/>
  <c r="G425"/>
  <c r="E425"/>
  <c r="B425"/>
  <c r="A425"/>
  <c r="W424"/>
  <c r="S424"/>
  <c r="Q424"/>
  <c r="P424"/>
  <c r="M424"/>
  <c r="K424"/>
  <c r="H424"/>
  <c r="C424"/>
  <c r="G424"/>
  <c r="E424"/>
  <c r="B424"/>
  <c r="A424"/>
  <c r="W423"/>
  <c r="S423"/>
  <c r="Q423"/>
  <c r="P423"/>
  <c r="M423"/>
  <c r="K423"/>
  <c r="H423"/>
  <c r="C423"/>
  <c r="G423"/>
  <c r="E423"/>
  <c r="B423"/>
  <c r="A423"/>
  <c r="W422"/>
  <c r="S422"/>
  <c r="Q422"/>
  <c r="P422"/>
  <c r="M422"/>
  <c r="K422"/>
  <c r="H422"/>
  <c r="C422"/>
  <c r="G422"/>
  <c r="E422"/>
  <c r="B422"/>
  <c r="A422"/>
  <c r="W421"/>
  <c r="S421"/>
  <c r="Q421"/>
  <c r="P421"/>
  <c r="M421"/>
  <c r="K421"/>
  <c r="H421"/>
  <c r="C421"/>
  <c r="G421"/>
  <c r="E421"/>
  <c r="B421"/>
  <c r="A421"/>
  <c r="W420"/>
  <c r="S420"/>
  <c r="Q420"/>
  <c r="P420"/>
  <c r="M420"/>
  <c r="K420"/>
  <c r="H420"/>
  <c r="C420"/>
  <c r="G420"/>
  <c r="E420"/>
  <c r="B420"/>
  <c r="A420"/>
  <c r="W419"/>
  <c r="S419"/>
  <c r="Q419"/>
  <c r="P419"/>
  <c r="M419"/>
  <c r="K419"/>
  <c r="H419"/>
  <c r="C419"/>
  <c r="G419"/>
  <c r="E419"/>
  <c r="B419"/>
  <c r="A419"/>
  <c r="W418"/>
  <c r="S418"/>
  <c r="Q418"/>
  <c r="P418"/>
  <c r="M418"/>
  <c r="K418"/>
  <c r="H418"/>
  <c r="C418"/>
  <c r="G418"/>
  <c r="E418"/>
  <c r="B418"/>
  <c r="A418"/>
  <c r="W417"/>
  <c r="S417"/>
  <c r="Q417"/>
  <c r="P417"/>
  <c r="M417"/>
  <c r="K417"/>
  <c r="H417"/>
  <c r="C417"/>
  <c r="G417"/>
  <c r="E417"/>
  <c r="B417"/>
  <c r="A417"/>
  <c r="W416"/>
  <c r="S416"/>
  <c r="Q416"/>
  <c r="P416"/>
  <c r="M416"/>
  <c r="K416"/>
  <c r="H416"/>
  <c r="C416"/>
  <c r="G416"/>
  <c r="E416"/>
  <c r="B416"/>
  <c r="A416"/>
  <c r="W415"/>
  <c r="S415"/>
  <c r="Q415"/>
  <c r="P415"/>
  <c r="M415"/>
  <c r="K415"/>
  <c r="H415"/>
  <c r="C415"/>
  <c r="G415"/>
  <c r="E415"/>
  <c r="B415"/>
  <c r="A415"/>
  <c r="W414"/>
  <c r="S414"/>
  <c r="Q414"/>
  <c r="P414"/>
  <c r="M414"/>
  <c r="K414"/>
  <c r="H414"/>
  <c r="C414"/>
  <c r="G414"/>
  <c r="E414"/>
  <c r="B414"/>
  <c r="A414"/>
  <c r="W413"/>
  <c r="S413"/>
  <c r="Q413"/>
  <c r="P413"/>
  <c r="M413"/>
  <c r="K413"/>
  <c r="H413"/>
  <c r="C413"/>
  <c r="G413"/>
  <c r="E413"/>
  <c r="B413"/>
  <c r="A413"/>
  <c r="W412"/>
  <c r="S412"/>
  <c r="Q412"/>
  <c r="P412"/>
  <c r="M412"/>
  <c r="K412"/>
  <c r="H412"/>
  <c r="C412"/>
  <c r="G412"/>
  <c r="E412"/>
  <c r="B412"/>
  <c r="A412"/>
  <c r="W411"/>
  <c r="S411"/>
  <c r="Q411"/>
  <c r="P411"/>
  <c r="M411"/>
  <c r="K411"/>
  <c r="H411"/>
  <c r="C411"/>
  <c r="G411"/>
  <c r="E411"/>
  <c r="B411"/>
  <c r="A411"/>
  <c r="W410"/>
  <c r="S410"/>
  <c r="R410"/>
  <c r="Q410"/>
  <c r="P410"/>
  <c r="M410"/>
  <c r="K410"/>
  <c r="H410"/>
  <c r="C410"/>
  <c r="G410"/>
  <c r="E410"/>
  <c r="B410"/>
  <c r="A410"/>
  <c r="W409"/>
  <c r="S409"/>
  <c r="Q409"/>
  <c r="P409"/>
  <c r="M409"/>
  <c r="K409"/>
  <c r="H409"/>
  <c r="C409"/>
  <c r="G409"/>
  <c r="E409"/>
  <c r="B409"/>
  <c r="A409"/>
  <c r="W408"/>
  <c r="S408"/>
  <c r="Q408"/>
  <c r="P408"/>
  <c r="M408"/>
  <c r="K408"/>
  <c r="H408"/>
  <c r="C408"/>
  <c r="G408"/>
  <c r="E408"/>
  <c r="B408"/>
  <c r="A408"/>
  <c r="W407"/>
  <c r="S407"/>
  <c r="Q407"/>
  <c r="P407"/>
  <c r="M407"/>
  <c r="K407"/>
  <c r="H407"/>
  <c r="C407"/>
  <c r="G407"/>
  <c r="E407"/>
  <c r="B407"/>
  <c r="A407"/>
  <c r="W406"/>
  <c r="S406"/>
  <c r="Q406"/>
  <c r="P406"/>
  <c r="M406"/>
  <c r="K406"/>
  <c r="H406"/>
  <c r="C406"/>
  <c r="G406"/>
  <c r="E406"/>
  <c r="B406"/>
  <c r="A406"/>
  <c r="W405"/>
  <c r="S405"/>
  <c r="Q405"/>
  <c r="P405"/>
  <c r="M405"/>
  <c r="K405"/>
  <c r="H405"/>
  <c r="C405"/>
  <c r="G405"/>
  <c r="E405"/>
  <c r="B405"/>
  <c r="A405"/>
  <c r="W404"/>
  <c r="S404"/>
  <c r="Q404"/>
  <c r="P404"/>
  <c r="M404"/>
  <c r="K404"/>
  <c r="H404"/>
  <c r="C404"/>
  <c r="G404"/>
  <c r="E404"/>
  <c r="B404"/>
  <c r="A404"/>
  <c r="W403"/>
  <c r="S403"/>
  <c r="Q403"/>
  <c r="P403"/>
  <c r="M403"/>
  <c r="K403"/>
  <c r="H403"/>
  <c r="C403"/>
  <c r="G403"/>
  <c r="E403"/>
  <c r="B403"/>
  <c r="A403"/>
  <c r="W402"/>
  <c r="S402"/>
  <c r="Q402"/>
  <c r="P402"/>
  <c r="M402"/>
  <c r="K402"/>
  <c r="H402"/>
  <c r="C402"/>
  <c r="G402"/>
  <c r="E402"/>
  <c r="B402"/>
  <c r="A402"/>
  <c r="W401"/>
  <c r="S401"/>
  <c r="Q401"/>
  <c r="P401"/>
  <c r="M401"/>
  <c r="K401"/>
  <c r="H401"/>
  <c r="C401"/>
  <c r="G401"/>
  <c r="E401"/>
  <c r="B401"/>
  <c r="A401"/>
  <c r="W400"/>
  <c r="S400"/>
  <c r="Q400"/>
  <c r="P400"/>
  <c r="M400"/>
  <c r="K400"/>
  <c r="H400"/>
  <c r="C400"/>
  <c r="G400"/>
  <c r="E400"/>
  <c r="B400"/>
  <c r="A400"/>
  <c r="W399"/>
  <c r="S399"/>
  <c r="Q399"/>
  <c r="P399"/>
  <c r="M399"/>
  <c r="K399"/>
  <c r="H399"/>
  <c r="C399"/>
  <c r="G399"/>
  <c r="E399"/>
  <c r="B399"/>
  <c r="A399"/>
  <c r="W398"/>
  <c r="S398"/>
  <c r="Q398"/>
  <c r="P398"/>
  <c r="M398"/>
  <c r="K398"/>
  <c r="H398"/>
  <c r="C398"/>
  <c r="G398"/>
  <c r="E398"/>
  <c r="B398"/>
  <c r="A398"/>
  <c r="W397"/>
  <c r="S397"/>
  <c r="Q397"/>
  <c r="P397"/>
  <c r="M397"/>
  <c r="K397"/>
  <c r="H397"/>
  <c r="C397"/>
  <c r="G397"/>
  <c r="E397"/>
  <c r="B397"/>
  <c r="A397"/>
  <c r="W396"/>
  <c r="S396"/>
  <c r="Q396"/>
  <c r="P396"/>
  <c r="M396"/>
  <c r="K396"/>
  <c r="H396"/>
  <c r="C396"/>
  <c r="G396"/>
  <c r="E396"/>
  <c r="B396"/>
  <c r="A396"/>
  <c r="W395"/>
  <c r="S395"/>
  <c r="Q395"/>
  <c r="P395"/>
  <c r="M395"/>
  <c r="K395"/>
  <c r="H395"/>
  <c r="C395"/>
  <c r="G395"/>
  <c r="E395"/>
  <c r="B395"/>
  <c r="A395"/>
  <c r="W394"/>
  <c r="S394"/>
  <c r="Q394"/>
  <c r="P394"/>
  <c r="M394"/>
  <c r="K394"/>
  <c r="H394"/>
  <c r="C394"/>
  <c r="G394"/>
  <c r="E394"/>
  <c r="B394"/>
  <c r="A394"/>
  <c r="W393"/>
  <c r="S393"/>
  <c r="R393"/>
  <c r="Q393"/>
  <c r="P393"/>
  <c r="M393"/>
  <c r="K393"/>
  <c r="H393"/>
  <c r="C393"/>
  <c r="G393"/>
  <c r="E393"/>
  <c r="B393"/>
  <c r="A393"/>
  <c r="W392"/>
  <c r="S392"/>
  <c r="Q392"/>
  <c r="P392"/>
  <c r="M392"/>
  <c r="K392"/>
  <c r="H392"/>
  <c r="C392"/>
  <c r="G392"/>
  <c r="E392"/>
  <c r="B392"/>
  <c r="A392"/>
  <c r="W391"/>
  <c r="S391"/>
  <c r="Q391"/>
  <c r="P391"/>
  <c r="M391"/>
  <c r="K391"/>
  <c r="H391"/>
  <c r="C391"/>
  <c r="G391"/>
  <c r="E391"/>
  <c r="B391"/>
  <c r="A391"/>
  <c r="W390"/>
  <c r="S390"/>
  <c r="Q390"/>
  <c r="P390"/>
  <c r="M390"/>
  <c r="K390"/>
  <c r="H390"/>
  <c r="C390"/>
  <c r="G390"/>
  <c r="E390"/>
  <c r="B390"/>
  <c r="A390"/>
  <c r="W389"/>
  <c r="S389"/>
  <c r="Q389"/>
  <c r="P389"/>
  <c r="M389"/>
  <c r="K389"/>
  <c r="H389"/>
  <c r="C389"/>
  <c r="G389"/>
  <c r="E389"/>
  <c r="B389"/>
  <c r="A389"/>
  <c r="W388"/>
  <c r="S388"/>
  <c r="Q388"/>
  <c r="P388"/>
  <c r="M388"/>
  <c r="K388"/>
  <c r="H388"/>
  <c r="C388"/>
  <c r="G388"/>
  <c r="E388"/>
  <c r="B388"/>
  <c r="A388"/>
  <c r="W387"/>
  <c r="S387"/>
  <c r="Q387"/>
  <c r="P387"/>
  <c r="M387"/>
  <c r="K387"/>
  <c r="H387"/>
  <c r="C387"/>
  <c r="G387"/>
  <c r="E387"/>
  <c r="B387"/>
  <c r="A387"/>
  <c r="W386"/>
  <c r="S386"/>
  <c r="Q386"/>
  <c r="P386"/>
  <c r="M386"/>
  <c r="K386"/>
  <c r="H386"/>
  <c r="C386"/>
  <c r="G386"/>
  <c r="E386"/>
  <c r="B386"/>
  <c r="A386"/>
  <c r="W385"/>
  <c r="S385"/>
  <c r="Q385"/>
  <c r="P385"/>
  <c r="M385"/>
  <c r="K385"/>
  <c r="H385"/>
  <c r="C385"/>
  <c r="G385"/>
  <c r="E385"/>
  <c r="B385"/>
  <c r="A385"/>
  <c r="W384"/>
  <c r="S384"/>
  <c r="Q384"/>
  <c r="P384"/>
  <c r="M384"/>
  <c r="K384"/>
  <c r="H384"/>
  <c r="C384"/>
  <c r="G384"/>
  <c r="E384"/>
  <c r="B384"/>
  <c r="A384"/>
  <c r="W383"/>
  <c r="S383"/>
  <c r="Q383"/>
  <c r="P383"/>
  <c r="M383"/>
  <c r="K383"/>
  <c r="H383"/>
  <c r="C383"/>
  <c r="G383"/>
  <c r="E383"/>
  <c r="B383"/>
  <c r="A383"/>
  <c r="W382"/>
  <c r="S382"/>
  <c r="Q382"/>
  <c r="P382"/>
  <c r="M382"/>
  <c r="K382"/>
  <c r="H382"/>
  <c r="C382"/>
  <c r="G382"/>
  <c r="E382"/>
  <c r="B382"/>
  <c r="A382"/>
  <c r="W381"/>
  <c r="S381"/>
  <c r="Q381"/>
  <c r="P381"/>
  <c r="M381"/>
  <c r="K381"/>
  <c r="H381"/>
  <c r="C381"/>
  <c r="G381"/>
  <c r="E381"/>
  <c r="B381"/>
  <c r="A381"/>
  <c r="W380"/>
  <c r="S380"/>
  <c r="Q380"/>
  <c r="P380"/>
  <c r="M380"/>
  <c r="K380"/>
  <c r="H380"/>
  <c r="C380"/>
  <c r="G380"/>
  <c r="E380"/>
  <c r="B380"/>
  <c r="A380"/>
  <c r="W379"/>
  <c r="S379"/>
  <c r="Q379"/>
  <c r="P379"/>
  <c r="M379"/>
  <c r="K379"/>
  <c r="H379"/>
  <c r="C379"/>
  <c r="G379"/>
  <c r="E379"/>
  <c r="B379"/>
  <c r="A379"/>
  <c r="W378"/>
  <c r="S378"/>
  <c r="Q378"/>
  <c r="P378"/>
  <c r="M378"/>
  <c r="K378"/>
  <c r="H378"/>
  <c r="C378"/>
  <c r="G378"/>
  <c r="E378"/>
  <c r="B378"/>
  <c r="A378"/>
  <c r="W377"/>
  <c r="S377"/>
  <c r="Q377"/>
  <c r="P377"/>
  <c r="M377"/>
  <c r="K377"/>
  <c r="H377"/>
  <c r="C377"/>
  <c r="G377"/>
  <c r="E377"/>
  <c r="B377"/>
  <c r="A377"/>
  <c r="W376"/>
  <c r="S376"/>
  <c r="Q376"/>
  <c r="P376"/>
  <c r="M376"/>
  <c r="K376"/>
  <c r="H376"/>
  <c r="C376"/>
  <c r="G376"/>
  <c r="E376"/>
  <c r="B376"/>
  <c r="A376"/>
  <c r="W375"/>
  <c r="S375"/>
  <c r="Q375"/>
  <c r="P375"/>
  <c r="M375"/>
  <c r="K375"/>
  <c r="H375"/>
  <c r="C375"/>
  <c r="G375"/>
  <c r="E375"/>
  <c r="B375"/>
  <c r="A375"/>
  <c r="W374"/>
  <c r="S374"/>
  <c r="R374"/>
  <c r="Q374"/>
  <c r="P374"/>
  <c r="M374"/>
  <c r="K374"/>
  <c r="H374"/>
  <c r="C374"/>
  <c r="G374"/>
  <c r="E374"/>
  <c r="B374"/>
  <c r="A374"/>
  <c r="W373"/>
  <c r="S373"/>
  <c r="Q373"/>
  <c r="P373"/>
  <c r="M373"/>
  <c r="K373"/>
  <c r="H373"/>
  <c r="C373"/>
  <c r="G373"/>
  <c r="E373"/>
  <c r="B373"/>
  <c r="A373"/>
  <c r="W372"/>
  <c r="S372"/>
  <c r="Q372"/>
  <c r="P372"/>
  <c r="M372"/>
  <c r="K372"/>
  <c r="H372"/>
  <c r="C372"/>
  <c r="G372"/>
  <c r="E372"/>
  <c r="B372"/>
  <c r="A372"/>
  <c r="W371"/>
  <c r="S371"/>
  <c r="Q371"/>
  <c r="P371"/>
  <c r="M371"/>
  <c r="K371"/>
  <c r="H371"/>
  <c r="C371"/>
  <c r="G371"/>
  <c r="E371"/>
  <c r="B371"/>
  <c r="A371"/>
  <c r="W370"/>
  <c r="S370"/>
  <c r="Q370"/>
  <c r="P370"/>
  <c r="M370"/>
  <c r="K370"/>
  <c r="H370"/>
  <c r="C370"/>
  <c r="G370"/>
  <c r="E370"/>
  <c r="B370"/>
  <c r="A370"/>
  <c r="W369"/>
  <c r="S369"/>
  <c r="Q369"/>
  <c r="P369"/>
  <c r="M369"/>
  <c r="K369"/>
  <c r="H369"/>
  <c r="C369"/>
  <c r="G369"/>
  <c r="E369"/>
  <c r="B369"/>
  <c r="A369"/>
  <c r="W368"/>
  <c r="S368"/>
  <c r="Q368"/>
  <c r="P368"/>
  <c r="M368"/>
  <c r="K368"/>
  <c r="H368"/>
  <c r="C368"/>
  <c r="G368"/>
  <c r="E368"/>
  <c r="B368"/>
  <c r="A368"/>
  <c r="W367"/>
  <c r="S367"/>
  <c r="Q367"/>
  <c r="P367"/>
  <c r="M367"/>
  <c r="K367"/>
  <c r="H367"/>
  <c r="C367"/>
  <c r="G367"/>
  <c r="E367"/>
  <c r="B367"/>
  <c r="A367"/>
  <c r="W366"/>
  <c r="S366"/>
  <c r="Q366"/>
  <c r="P366"/>
  <c r="M366"/>
  <c r="K366"/>
  <c r="H366"/>
  <c r="C366"/>
  <c r="G366"/>
  <c r="E366"/>
  <c r="B366"/>
  <c r="A366"/>
  <c r="W365"/>
  <c r="S365"/>
  <c r="Q365"/>
  <c r="P365"/>
  <c r="M365"/>
  <c r="K365"/>
  <c r="H365"/>
  <c r="C365"/>
  <c r="G365"/>
  <c r="E365"/>
  <c r="B365"/>
  <c r="A365"/>
  <c r="W364"/>
  <c r="S364"/>
  <c r="Q364"/>
  <c r="P364"/>
  <c r="M364"/>
  <c r="K364"/>
  <c r="H364"/>
  <c r="C364"/>
  <c r="G364"/>
  <c r="E364"/>
  <c r="B364"/>
  <c r="A364"/>
  <c r="W363"/>
  <c r="S363"/>
  <c r="Q363"/>
  <c r="P363"/>
  <c r="M363"/>
  <c r="K363"/>
  <c r="H363"/>
  <c r="C363"/>
  <c r="G363"/>
  <c r="E363"/>
  <c r="B363"/>
  <c r="A363"/>
  <c r="W362"/>
  <c r="S362"/>
  <c r="Q362"/>
  <c r="P362"/>
  <c r="M362"/>
  <c r="K362"/>
  <c r="H362"/>
  <c r="C362"/>
  <c r="G362"/>
  <c r="E362"/>
  <c r="B362"/>
  <c r="A362"/>
  <c r="W361"/>
  <c r="S361"/>
  <c r="Q361"/>
  <c r="P361"/>
  <c r="M361"/>
  <c r="K361"/>
  <c r="H361"/>
  <c r="C361"/>
  <c r="G361"/>
  <c r="E361"/>
  <c r="B361"/>
  <c r="A361"/>
  <c r="W360"/>
  <c r="S360"/>
  <c r="Q360"/>
  <c r="P360"/>
  <c r="M360"/>
  <c r="K360"/>
  <c r="H360"/>
  <c r="C360"/>
  <c r="G360"/>
  <c r="E360"/>
  <c r="B360"/>
  <c r="A360"/>
  <c r="W359"/>
  <c r="S359"/>
  <c r="Q359"/>
  <c r="P359"/>
  <c r="M359"/>
  <c r="K359"/>
  <c r="H359"/>
  <c r="C359"/>
  <c r="G359"/>
  <c r="E359"/>
  <c r="B359"/>
  <c r="A359"/>
  <c r="W358"/>
  <c r="S358"/>
  <c r="Q358"/>
  <c r="P358"/>
  <c r="M358"/>
  <c r="K358"/>
  <c r="H358"/>
  <c r="C358"/>
  <c r="G358"/>
  <c r="E358"/>
  <c r="B358"/>
  <c r="A358"/>
  <c r="W357"/>
  <c r="S357"/>
  <c r="R357"/>
  <c r="Q357"/>
  <c r="P357"/>
  <c r="M357"/>
  <c r="K357"/>
  <c r="H357"/>
  <c r="C357"/>
  <c r="G357"/>
  <c r="E357"/>
  <c r="B357"/>
  <c r="A357"/>
  <c r="W356"/>
  <c r="S356"/>
  <c r="Q356"/>
  <c r="P356"/>
  <c r="M356"/>
  <c r="K356"/>
  <c r="H356"/>
  <c r="C356"/>
  <c r="G356"/>
  <c r="E356"/>
  <c r="B356"/>
  <c r="A356"/>
  <c r="W355"/>
  <c r="S355"/>
  <c r="Q355"/>
  <c r="P355"/>
  <c r="M355"/>
  <c r="K355"/>
  <c r="H355"/>
  <c r="C355"/>
  <c r="G355"/>
  <c r="E355"/>
  <c r="B355"/>
  <c r="A355"/>
  <c r="W354"/>
  <c r="S354"/>
  <c r="R354"/>
  <c r="Q354"/>
  <c r="P354"/>
  <c r="M354"/>
  <c r="K354"/>
  <c r="H354"/>
  <c r="C354"/>
  <c r="G354"/>
  <c r="E354"/>
  <c r="B354"/>
  <c r="A354"/>
  <c r="W353"/>
  <c r="S353"/>
  <c r="Q353"/>
  <c r="P353"/>
  <c r="M353"/>
  <c r="K353"/>
  <c r="H353"/>
  <c r="C353"/>
  <c r="G353"/>
  <c r="E353"/>
  <c r="B353"/>
  <c r="A353"/>
  <c r="W352"/>
  <c r="S352"/>
  <c r="Q352"/>
  <c r="P352"/>
  <c r="M352"/>
  <c r="K352"/>
  <c r="H352"/>
  <c r="C352"/>
  <c r="G352"/>
  <c r="E352"/>
  <c r="B352"/>
  <c r="A352"/>
  <c r="W351"/>
  <c r="S351"/>
  <c r="Q351"/>
  <c r="P351"/>
  <c r="M351"/>
  <c r="K351"/>
  <c r="H351"/>
  <c r="C351"/>
  <c r="G351"/>
  <c r="E351"/>
  <c r="B351"/>
  <c r="A351"/>
  <c r="W350"/>
  <c r="S350"/>
  <c r="Q350"/>
  <c r="P350"/>
  <c r="M350"/>
  <c r="K350"/>
  <c r="H350"/>
  <c r="C350"/>
  <c r="G350"/>
  <c r="E350"/>
  <c r="B350"/>
  <c r="A350"/>
  <c r="W349"/>
  <c r="S349"/>
  <c r="Q349"/>
  <c r="P349"/>
  <c r="M349"/>
  <c r="K349"/>
  <c r="H349"/>
  <c r="C349"/>
  <c r="G349"/>
  <c r="E349"/>
  <c r="B349"/>
  <c r="A349"/>
  <c r="W348"/>
  <c r="S348"/>
  <c r="Q348"/>
  <c r="P348"/>
  <c r="M348"/>
  <c r="K348"/>
  <c r="H348"/>
  <c r="C348"/>
  <c r="G348"/>
  <c r="E348"/>
  <c r="B348"/>
  <c r="A348"/>
  <c r="W347"/>
  <c r="S347"/>
  <c r="Q347"/>
  <c r="P347"/>
  <c r="M347"/>
  <c r="K347"/>
  <c r="H347"/>
  <c r="C347"/>
  <c r="G347"/>
  <c r="E347"/>
  <c r="B347"/>
  <c r="A347"/>
  <c r="W346"/>
  <c r="S346"/>
  <c r="Q346"/>
  <c r="P346"/>
  <c r="M346"/>
  <c r="K346"/>
  <c r="H346"/>
  <c r="C346"/>
  <c r="G346"/>
  <c r="E346"/>
  <c r="B346"/>
  <c r="A346"/>
  <c r="W345"/>
  <c r="S345"/>
  <c r="Q345"/>
  <c r="P345"/>
  <c r="M345"/>
  <c r="K345"/>
  <c r="H345"/>
  <c r="C345"/>
  <c r="G345"/>
  <c r="E345"/>
  <c r="B345"/>
  <c r="A345"/>
  <c r="W344"/>
  <c r="S344"/>
  <c r="Q344"/>
  <c r="P344"/>
  <c r="M344"/>
  <c r="K344"/>
  <c r="H344"/>
  <c r="C344"/>
  <c r="G344"/>
  <c r="E344"/>
  <c r="B344"/>
  <c r="A344"/>
  <c r="W343"/>
  <c r="S343"/>
  <c r="Q343"/>
  <c r="P343"/>
  <c r="M343"/>
  <c r="K343"/>
  <c r="H343"/>
  <c r="C343"/>
  <c r="G343"/>
  <c r="E343"/>
  <c r="B343"/>
  <c r="A343"/>
  <c r="W342"/>
  <c r="S342"/>
  <c r="Q342"/>
  <c r="P342"/>
  <c r="M342"/>
  <c r="K342"/>
  <c r="H342"/>
  <c r="C342"/>
  <c r="G342"/>
  <c r="E342"/>
  <c r="B342"/>
  <c r="A342"/>
  <c r="W341"/>
  <c r="S341"/>
  <c r="Q341"/>
  <c r="P341"/>
  <c r="M341"/>
  <c r="K341"/>
  <c r="H341"/>
  <c r="C341"/>
  <c r="G341"/>
  <c r="E341"/>
  <c r="B341"/>
  <c r="A341"/>
  <c r="W340"/>
  <c r="S340"/>
  <c r="Q340"/>
  <c r="P340"/>
  <c r="M340"/>
  <c r="K340"/>
  <c r="H340"/>
  <c r="C340"/>
  <c r="G340"/>
  <c r="E340"/>
  <c r="B340"/>
  <c r="A340"/>
  <c r="W339"/>
  <c r="S339"/>
  <c r="Q339"/>
  <c r="P339"/>
  <c r="M339"/>
  <c r="K339"/>
  <c r="H339"/>
  <c r="C339"/>
  <c r="G339"/>
  <c r="E339"/>
  <c r="B339"/>
  <c r="A339"/>
  <c r="W338"/>
  <c r="S338"/>
  <c r="Q338"/>
  <c r="P338"/>
  <c r="M338"/>
  <c r="K338"/>
  <c r="H338"/>
  <c r="C338"/>
  <c r="G338"/>
  <c r="E338"/>
  <c r="B338"/>
  <c r="A338"/>
  <c r="W337"/>
  <c r="S337"/>
  <c r="Q337"/>
  <c r="P337"/>
  <c r="M337"/>
  <c r="K337"/>
  <c r="H337"/>
  <c r="C337"/>
  <c r="G337"/>
  <c r="E337"/>
  <c r="B337"/>
  <c r="A337"/>
  <c r="W336"/>
  <c r="S336"/>
  <c r="Q336"/>
  <c r="P336"/>
  <c r="M336"/>
  <c r="K336"/>
  <c r="H336"/>
  <c r="C336"/>
  <c r="G336"/>
  <c r="E336"/>
  <c r="B336"/>
  <c r="A336"/>
  <c r="W335"/>
  <c r="S335"/>
  <c r="Q335"/>
  <c r="P335"/>
  <c r="M335"/>
  <c r="K335"/>
  <c r="H335"/>
  <c r="C335"/>
  <c r="G335"/>
  <c r="E335"/>
  <c r="B335"/>
  <c r="A335"/>
  <c r="W334"/>
  <c r="S334"/>
  <c r="R334"/>
  <c r="Q334"/>
  <c r="P334"/>
  <c r="M334"/>
  <c r="K334"/>
  <c r="H334"/>
  <c r="C334"/>
  <c r="G334"/>
  <c r="E334"/>
  <c r="B334"/>
  <c r="A334"/>
  <c r="W333"/>
  <c r="S333"/>
  <c r="Q333"/>
  <c r="P333"/>
  <c r="M333"/>
  <c r="K333"/>
  <c r="H333"/>
  <c r="C333"/>
  <c r="G333"/>
  <c r="E333"/>
  <c r="B333"/>
  <c r="A333"/>
  <c r="W332"/>
  <c r="S332"/>
  <c r="Q332"/>
  <c r="P332"/>
  <c r="M332"/>
  <c r="K332"/>
  <c r="H332"/>
  <c r="C332"/>
  <c r="G332"/>
  <c r="E332"/>
  <c r="B332"/>
  <c r="A332"/>
  <c r="W331"/>
  <c r="S331"/>
  <c r="R331"/>
  <c r="Q331"/>
  <c r="P331"/>
  <c r="M331"/>
  <c r="K331"/>
  <c r="H331"/>
  <c r="C331"/>
  <c r="G331"/>
  <c r="E331"/>
  <c r="B331"/>
  <c r="A331"/>
  <c r="W330"/>
  <c r="S330"/>
  <c r="Q330"/>
  <c r="P330"/>
  <c r="M330"/>
  <c r="K330"/>
  <c r="H330"/>
  <c r="C330"/>
  <c r="G330"/>
  <c r="E330"/>
  <c r="B330"/>
  <c r="A330"/>
  <c r="W329"/>
  <c r="S329"/>
  <c r="Q329"/>
  <c r="P329"/>
  <c r="M329"/>
  <c r="K329"/>
  <c r="H329"/>
  <c r="C329"/>
  <c r="G329"/>
  <c r="E329"/>
  <c r="B329"/>
  <c r="A329"/>
  <c r="W328"/>
  <c r="S328"/>
  <c r="Q328"/>
  <c r="P328"/>
  <c r="M328"/>
  <c r="K328"/>
  <c r="H328"/>
  <c r="C328"/>
  <c r="G328"/>
  <c r="E328"/>
  <c r="B328"/>
  <c r="A328"/>
  <c r="W327"/>
  <c r="S327"/>
  <c r="Q327"/>
  <c r="P327"/>
  <c r="M327"/>
  <c r="K327"/>
  <c r="H327"/>
  <c r="C327"/>
  <c r="G327"/>
  <c r="E327"/>
  <c r="B327"/>
  <c r="A327"/>
  <c r="W326"/>
  <c r="S326"/>
  <c r="Q326"/>
  <c r="P326"/>
  <c r="M326"/>
  <c r="K326"/>
  <c r="H326"/>
  <c r="C326"/>
  <c r="G326"/>
  <c r="E326"/>
  <c r="B326"/>
  <c r="A326"/>
  <c r="W325"/>
  <c r="S325"/>
  <c r="Q325"/>
  <c r="P325"/>
  <c r="M325"/>
  <c r="K325"/>
  <c r="H325"/>
  <c r="C325"/>
  <c r="G325"/>
  <c r="E325"/>
  <c r="B325"/>
  <c r="A325"/>
  <c r="W324"/>
  <c r="S324"/>
  <c r="Q324"/>
  <c r="P324"/>
  <c r="M324"/>
  <c r="K324"/>
  <c r="H324"/>
  <c r="C324"/>
  <c r="G324"/>
  <c r="E324"/>
  <c r="B324"/>
  <c r="A324"/>
  <c r="W323"/>
  <c r="S323"/>
  <c r="Q323"/>
  <c r="P323"/>
  <c r="M323"/>
  <c r="K323"/>
  <c r="H323"/>
  <c r="C323"/>
  <c r="G323"/>
  <c r="E323"/>
  <c r="B323"/>
  <c r="A323"/>
  <c r="W322"/>
  <c r="S322"/>
  <c r="Q322"/>
  <c r="P322"/>
  <c r="M322"/>
  <c r="K322"/>
  <c r="H322"/>
  <c r="C322"/>
  <c r="G322"/>
  <c r="E322"/>
  <c r="B322"/>
  <c r="A322"/>
  <c r="W321"/>
  <c r="S321"/>
  <c r="Q321"/>
  <c r="P321"/>
  <c r="M321"/>
  <c r="K321"/>
  <c r="H321"/>
  <c r="C321"/>
  <c r="G321"/>
  <c r="E321"/>
  <c r="B321"/>
  <c r="A321"/>
  <c r="W320"/>
  <c r="S320"/>
  <c r="Q320"/>
  <c r="P320"/>
  <c r="M320"/>
  <c r="K320"/>
  <c r="H320"/>
  <c r="C320"/>
  <c r="G320"/>
  <c r="E320"/>
  <c r="B320"/>
  <c r="A320"/>
  <c r="W319"/>
  <c r="S319"/>
  <c r="Q319"/>
  <c r="P319"/>
  <c r="M319"/>
  <c r="K319"/>
  <c r="H319"/>
  <c r="C319"/>
  <c r="G319"/>
  <c r="E319"/>
  <c r="B319"/>
  <c r="A319"/>
  <c r="W318"/>
  <c r="S318"/>
  <c r="Q318"/>
  <c r="P318"/>
  <c r="M318"/>
  <c r="K318"/>
  <c r="H318"/>
  <c r="C318"/>
  <c r="G318"/>
  <c r="E318"/>
  <c r="B318"/>
  <c r="A318"/>
  <c r="W317"/>
  <c r="S317"/>
  <c r="Q317"/>
  <c r="P317"/>
  <c r="M317"/>
  <c r="K317"/>
  <c r="H317"/>
  <c r="C317"/>
  <c r="G317"/>
  <c r="E317"/>
  <c r="B317"/>
  <c r="A317"/>
  <c r="W316"/>
  <c r="S316"/>
  <c r="Q316"/>
  <c r="P316"/>
  <c r="M316"/>
  <c r="K316"/>
  <c r="H316"/>
  <c r="C316"/>
  <c r="G316"/>
  <c r="E316"/>
  <c r="B316"/>
  <c r="A316"/>
  <c r="W315"/>
  <c r="S315"/>
  <c r="Q315"/>
  <c r="P315"/>
  <c r="M315"/>
  <c r="K315"/>
  <c r="H315"/>
  <c r="C315"/>
  <c r="G315"/>
  <c r="E315"/>
  <c r="B315"/>
  <c r="A315"/>
  <c r="W314"/>
  <c r="S314"/>
  <c r="Q314"/>
  <c r="P314"/>
  <c r="M314"/>
  <c r="K314"/>
  <c r="H314"/>
  <c r="C314"/>
  <c r="G314"/>
  <c r="E314"/>
  <c r="B314"/>
  <c r="A314"/>
  <c r="W313"/>
  <c r="S313"/>
  <c r="R313"/>
  <c r="Q313"/>
  <c r="P313"/>
  <c r="M313"/>
  <c r="K313"/>
  <c r="H313"/>
  <c r="C313"/>
  <c r="G313"/>
  <c r="E313"/>
  <c r="B313"/>
  <c r="A313"/>
  <c r="W312"/>
  <c r="S312"/>
  <c r="Q312"/>
  <c r="P312"/>
  <c r="M312"/>
  <c r="K312"/>
  <c r="H312"/>
  <c r="C312"/>
  <c r="G312"/>
  <c r="E312"/>
  <c r="B312"/>
  <c r="A312"/>
  <c r="W311"/>
  <c r="S311"/>
  <c r="Q311"/>
  <c r="P311"/>
  <c r="M311"/>
  <c r="K311"/>
  <c r="H311"/>
  <c r="C311"/>
  <c r="G311"/>
  <c r="E311"/>
  <c r="B311"/>
  <c r="A311"/>
  <c r="W310"/>
  <c r="S310"/>
  <c r="Q310"/>
  <c r="P310"/>
  <c r="M310"/>
  <c r="K310"/>
  <c r="H310"/>
  <c r="C310"/>
  <c r="G310"/>
  <c r="E310"/>
  <c r="B310"/>
  <c r="A310"/>
  <c r="W309"/>
  <c r="S309"/>
  <c r="Q309"/>
  <c r="P309"/>
  <c r="M309"/>
  <c r="K309"/>
  <c r="H309"/>
  <c r="C309"/>
  <c r="G309"/>
  <c r="E309"/>
  <c r="B309"/>
  <c r="A309"/>
  <c r="W308"/>
  <c r="S308"/>
  <c r="Q308"/>
  <c r="P308"/>
  <c r="M308"/>
  <c r="K308"/>
  <c r="H308"/>
  <c r="C308"/>
  <c r="G308"/>
  <c r="E308"/>
  <c r="B308"/>
  <c r="A308"/>
  <c r="W307"/>
  <c r="S307"/>
  <c r="Q307"/>
  <c r="P307"/>
  <c r="M307"/>
  <c r="K307"/>
  <c r="H307"/>
  <c r="C307"/>
  <c r="G307"/>
  <c r="E307"/>
  <c r="B307"/>
  <c r="A307"/>
  <c r="W306"/>
  <c r="S306"/>
  <c r="Q306"/>
  <c r="P306"/>
  <c r="M306"/>
  <c r="K306"/>
  <c r="H306"/>
  <c r="C306"/>
  <c r="G306"/>
  <c r="E306"/>
  <c r="B306"/>
  <c r="A306"/>
  <c r="W305"/>
  <c r="S305"/>
  <c r="Q305"/>
  <c r="P305"/>
  <c r="M305"/>
  <c r="K305"/>
  <c r="H305"/>
  <c r="C305"/>
  <c r="G305"/>
  <c r="E305"/>
  <c r="B305"/>
  <c r="A305"/>
  <c r="W304"/>
  <c r="S304"/>
  <c r="Q304"/>
  <c r="P304"/>
  <c r="M304"/>
  <c r="K304"/>
  <c r="H304"/>
  <c r="C304"/>
  <c r="G304"/>
  <c r="E304"/>
  <c r="B304"/>
  <c r="A304"/>
  <c r="W303"/>
  <c r="S303"/>
  <c r="Q303"/>
  <c r="P303"/>
  <c r="M303"/>
  <c r="K303"/>
  <c r="H303"/>
  <c r="C303"/>
  <c r="G303"/>
  <c r="E303"/>
  <c r="B303"/>
  <c r="A303"/>
  <c r="W302"/>
  <c r="S302"/>
  <c r="Q302"/>
  <c r="P302"/>
  <c r="M302"/>
  <c r="K302"/>
  <c r="H302"/>
  <c r="C302"/>
  <c r="G302"/>
  <c r="E302"/>
  <c r="B302"/>
  <c r="A302"/>
  <c r="W301"/>
  <c r="S301"/>
  <c r="Q301"/>
  <c r="P301"/>
  <c r="M301"/>
  <c r="K301"/>
  <c r="H301"/>
  <c r="C301"/>
  <c r="G301"/>
  <c r="E301"/>
  <c r="B301"/>
  <c r="A301"/>
  <c r="W300"/>
  <c r="S300"/>
  <c r="Q300"/>
  <c r="P300"/>
  <c r="M300"/>
  <c r="K300"/>
  <c r="H300"/>
  <c r="C300"/>
  <c r="G300"/>
  <c r="E300"/>
  <c r="B300"/>
  <c r="A300"/>
  <c r="W299"/>
  <c r="S299"/>
  <c r="Q299"/>
  <c r="P299"/>
  <c r="M299"/>
  <c r="K299"/>
  <c r="H299"/>
  <c r="C299"/>
  <c r="G299"/>
  <c r="E299"/>
  <c r="B299"/>
  <c r="A299"/>
  <c r="W298"/>
  <c r="S298"/>
  <c r="Q298"/>
  <c r="P298"/>
  <c r="M298"/>
  <c r="K298"/>
  <c r="H298"/>
  <c r="C298"/>
  <c r="G298"/>
  <c r="E298"/>
  <c r="B298"/>
  <c r="A298"/>
  <c r="W297"/>
  <c r="S297"/>
  <c r="Q297"/>
  <c r="P297"/>
  <c r="M297"/>
  <c r="K297"/>
  <c r="H297"/>
  <c r="C297"/>
  <c r="G297"/>
  <c r="E297"/>
  <c r="B297"/>
  <c r="A297"/>
  <c r="W296"/>
  <c r="S296"/>
  <c r="Q296"/>
  <c r="P296"/>
  <c r="M296"/>
  <c r="K296"/>
  <c r="H296"/>
  <c r="C296"/>
  <c r="G296"/>
  <c r="E296"/>
  <c r="B296"/>
  <c r="A296"/>
  <c r="W295"/>
  <c r="S295"/>
  <c r="Q295"/>
  <c r="P295"/>
  <c r="M295"/>
  <c r="K295"/>
  <c r="H295"/>
  <c r="C295"/>
  <c r="G295"/>
  <c r="E295"/>
  <c r="B295"/>
  <c r="A295"/>
  <c r="W294"/>
  <c r="S294"/>
  <c r="Q294"/>
  <c r="P294"/>
  <c r="M294"/>
  <c r="K294"/>
  <c r="H294"/>
  <c r="C294"/>
  <c r="G294"/>
  <c r="E294"/>
  <c r="B294"/>
  <c r="A294"/>
  <c r="W293"/>
  <c r="S293"/>
  <c r="Q293"/>
  <c r="P293"/>
  <c r="M293"/>
  <c r="K293"/>
  <c r="H293"/>
  <c r="C293"/>
  <c r="G293"/>
  <c r="E293"/>
  <c r="B293"/>
  <c r="A293"/>
  <c r="W292"/>
  <c r="S292"/>
  <c r="Q292"/>
  <c r="P292"/>
  <c r="M292"/>
  <c r="K292"/>
  <c r="H292"/>
  <c r="C292"/>
  <c r="G292"/>
  <c r="E292"/>
  <c r="B292"/>
  <c r="A292"/>
  <c r="W291"/>
  <c r="S291"/>
  <c r="Q291"/>
  <c r="P291"/>
  <c r="M291"/>
  <c r="K291"/>
  <c r="H291"/>
  <c r="C291"/>
  <c r="G291"/>
  <c r="E291"/>
  <c r="B291"/>
  <c r="A291"/>
  <c r="W290"/>
  <c r="S290"/>
  <c r="R290"/>
  <c r="Q290"/>
  <c r="P290"/>
  <c r="M290"/>
  <c r="K290"/>
  <c r="H290"/>
  <c r="C290"/>
  <c r="G290"/>
  <c r="E290"/>
  <c r="B290"/>
  <c r="A290"/>
  <c r="W289"/>
  <c r="S289"/>
  <c r="Q289"/>
  <c r="P289"/>
  <c r="M289"/>
  <c r="K289"/>
  <c r="H289"/>
  <c r="C289"/>
  <c r="G289"/>
  <c r="E289"/>
  <c r="B289"/>
  <c r="A289"/>
  <c r="W288"/>
  <c r="S288"/>
  <c r="Q288"/>
  <c r="P288"/>
  <c r="M288"/>
  <c r="K288"/>
  <c r="H288"/>
  <c r="C288"/>
  <c r="G288"/>
  <c r="E288"/>
  <c r="B288"/>
  <c r="A288"/>
  <c r="W287"/>
  <c r="S287"/>
  <c r="Q287"/>
  <c r="P287"/>
  <c r="M287"/>
  <c r="K287"/>
  <c r="H287"/>
  <c r="C287"/>
  <c r="G287"/>
  <c r="E287"/>
  <c r="B287"/>
  <c r="A287"/>
  <c r="W286"/>
  <c r="S286"/>
  <c r="Q286"/>
  <c r="P286"/>
  <c r="M286"/>
  <c r="K286"/>
  <c r="H286"/>
  <c r="C286"/>
  <c r="G286"/>
  <c r="E286"/>
  <c r="B286"/>
  <c r="A286"/>
  <c r="W285"/>
  <c r="S285"/>
  <c r="Q285"/>
  <c r="P285"/>
  <c r="M285"/>
  <c r="K285"/>
  <c r="H285"/>
  <c r="C285"/>
  <c r="G285"/>
  <c r="E285"/>
  <c r="B285"/>
  <c r="A285"/>
  <c r="W284"/>
  <c r="S284"/>
  <c r="Q284"/>
  <c r="P284"/>
  <c r="M284"/>
  <c r="K284"/>
  <c r="H284"/>
  <c r="C284"/>
  <c r="G284"/>
  <c r="E284"/>
  <c r="B284"/>
  <c r="A284"/>
  <c r="W283"/>
  <c r="S283"/>
  <c r="Q283"/>
  <c r="P283"/>
  <c r="M283"/>
  <c r="K283"/>
  <c r="H283"/>
  <c r="C283"/>
  <c r="G283"/>
  <c r="E283"/>
  <c r="B283"/>
  <c r="A283"/>
  <c r="W282"/>
  <c r="S282"/>
  <c r="Q282"/>
  <c r="P282"/>
  <c r="M282"/>
  <c r="K282"/>
  <c r="H282"/>
  <c r="C282"/>
  <c r="G282"/>
  <c r="E282"/>
  <c r="B282"/>
  <c r="A282"/>
  <c r="W281"/>
  <c r="S281"/>
  <c r="Q281"/>
  <c r="P281"/>
  <c r="M281"/>
  <c r="K281"/>
  <c r="H281"/>
  <c r="C281"/>
  <c r="G281"/>
  <c r="E281"/>
  <c r="B281"/>
  <c r="A281"/>
  <c r="W280"/>
  <c r="S280"/>
  <c r="Q280"/>
  <c r="P280"/>
  <c r="M280"/>
  <c r="K280"/>
  <c r="H280"/>
  <c r="C280"/>
  <c r="G280"/>
  <c r="E280"/>
  <c r="B280"/>
  <c r="A280"/>
  <c r="W279"/>
  <c r="S279"/>
  <c r="Q279"/>
  <c r="P279"/>
  <c r="M279"/>
  <c r="K279"/>
  <c r="H279"/>
  <c r="C279"/>
  <c r="G279"/>
  <c r="E279"/>
  <c r="B279"/>
  <c r="A279"/>
  <c r="W278"/>
  <c r="S278"/>
  <c r="Q278"/>
  <c r="P278"/>
  <c r="M278"/>
  <c r="K278"/>
  <c r="H278"/>
  <c r="C278"/>
  <c r="G278"/>
  <c r="E278"/>
  <c r="B278"/>
  <c r="A278"/>
  <c r="W277"/>
  <c r="S277"/>
  <c r="Q277"/>
  <c r="P277"/>
  <c r="M277"/>
  <c r="K277"/>
  <c r="H277"/>
  <c r="C277"/>
  <c r="G277"/>
  <c r="E277"/>
  <c r="B277"/>
  <c r="A277"/>
  <c r="W276"/>
  <c r="S276"/>
  <c r="Q276"/>
  <c r="P276"/>
  <c r="M276"/>
  <c r="K276"/>
  <c r="H276"/>
  <c r="C276"/>
  <c r="G276"/>
  <c r="E276"/>
  <c r="B276"/>
  <c r="A276"/>
  <c r="W275"/>
  <c r="S275"/>
  <c r="Q275"/>
  <c r="P275"/>
  <c r="M275"/>
  <c r="K275"/>
  <c r="H275"/>
  <c r="C275"/>
  <c r="G275"/>
  <c r="E275"/>
  <c r="B275"/>
  <c r="A275"/>
  <c r="W274"/>
  <c r="S274"/>
  <c r="Q274"/>
  <c r="P274"/>
  <c r="M274"/>
  <c r="K274"/>
  <c r="H274"/>
  <c r="C274"/>
  <c r="G274"/>
  <c r="E274"/>
  <c r="B274"/>
  <c r="A274"/>
  <c r="W273"/>
  <c r="S273"/>
  <c r="Q273"/>
  <c r="P273"/>
  <c r="M273"/>
  <c r="K273"/>
  <c r="H273"/>
  <c r="C273"/>
  <c r="G273"/>
  <c r="E273"/>
  <c r="B273"/>
  <c r="A273"/>
  <c r="W272"/>
  <c r="S272"/>
  <c r="Q272"/>
  <c r="P272"/>
  <c r="M272"/>
  <c r="K272"/>
  <c r="H272"/>
  <c r="C272"/>
  <c r="G272"/>
  <c r="E272"/>
  <c r="B272"/>
  <c r="A272"/>
  <c r="W271"/>
  <c r="S271"/>
  <c r="Q271"/>
  <c r="P271"/>
  <c r="M271"/>
  <c r="K271"/>
  <c r="H271"/>
  <c r="C271"/>
  <c r="G271"/>
  <c r="E271"/>
  <c r="B271"/>
  <c r="A271"/>
  <c r="W270"/>
  <c r="S270"/>
  <c r="Q270"/>
  <c r="P270"/>
  <c r="M270"/>
  <c r="K270"/>
  <c r="H270"/>
  <c r="C270"/>
  <c r="G270"/>
  <c r="E270"/>
  <c r="B270"/>
  <c r="A270"/>
  <c r="W269"/>
  <c r="S269"/>
  <c r="Q269"/>
  <c r="P269"/>
  <c r="M269"/>
  <c r="K269"/>
  <c r="H269"/>
  <c r="C269"/>
  <c r="G269"/>
  <c r="E269"/>
  <c r="B269"/>
  <c r="A269"/>
  <c r="W268"/>
  <c r="S268"/>
  <c r="Q268"/>
  <c r="P268"/>
  <c r="M268"/>
  <c r="K268"/>
  <c r="H268"/>
  <c r="C268"/>
  <c r="G268"/>
  <c r="E268"/>
  <c r="B268"/>
  <c r="A268"/>
  <c r="W267"/>
  <c r="S267"/>
  <c r="Q267"/>
  <c r="P267"/>
  <c r="M267"/>
  <c r="K267"/>
  <c r="H267"/>
  <c r="C267"/>
  <c r="G267"/>
  <c r="E267"/>
  <c r="B267"/>
  <c r="A267"/>
  <c r="W266"/>
  <c r="S266"/>
  <c r="Q266"/>
  <c r="P266"/>
  <c r="M266"/>
  <c r="K266"/>
  <c r="H266"/>
  <c r="C266"/>
  <c r="G266"/>
  <c r="E266"/>
  <c r="B266"/>
  <c r="A266"/>
  <c r="W265"/>
  <c r="S265"/>
  <c r="Q265"/>
  <c r="P265"/>
  <c r="M265"/>
  <c r="K265"/>
  <c r="H265"/>
  <c r="C265"/>
  <c r="G265"/>
  <c r="E265"/>
  <c r="B265"/>
  <c r="A265"/>
  <c r="W264"/>
  <c r="S264"/>
  <c r="Q264"/>
  <c r="P264"/>
  <c r="M264"/>
  <c r="K264"/>
  <c r="H264"/>
  <c r="C264"/>
  <c r="G264"/>
  <c r="E264"/>
  <c r="B264"/>
  <c r="A264"/>
  <c r="W263"/>
  <c r="S263"/>
  <c r="Q263"/>
  <c r="P263"/>
  <c r="M263"/>
  <c r="K263"/>
  <c r="H263"/>
  <c r="C263"/>
  <c r="G263"/>
  <c r="E263"/>
  <c r="B263"/>
  <c r="A263"/>
  <c r="W262"/>
  <c r="S262"/>
  <c r="Q262"/>
  <c r="P262"/>
  <c r="M262"/>
  <c r="K262"/>
  <c r="H262"/>
  <c r="C262"/>
  <c r="G262"/>
  <c r="E262"/>
  <c r="B262"/>
  <c r="A262"/>
  <c r="W261"/>
  <c r="S261"/>
  <c r="Q261"/>
  <c r="P261"/>
  <c r="M261"/>
  <c r="K261"/>
  <c r="H261"/>
  <c r="C261"/>
  <c r="G261"/>
  <c r="E261"/>
  <c r="B261"/>
  <c r="A261"/>
  <c r="W260"/>
  <c r="S260"/>
  <c r="Q260"/>
  <c r="P260"/>
  <c r="M260"/>
  <c r="K260"/>
  <c r="H260"/>
  <c r="C260"/>
  <c r="G260"/>
  <c r="E260"/>
  <c r="B260"/>
  <c r="A260"/>
  <c r="W259"/>
  <c r="S259"/>
  <c r="Q259"/>
  <c r="P259"/>
  <c r="M259"/>
  <c r="K259"/>
  <c r="H259"/>
  <c r="C259"/>
  <c r="G259"/>
  <c r="E259"/>
  <c r="B259"/>
  <c r="A259"/>
  <c r="W258"/>
  <c r="S258"/>
  <c r="Q258"/>
  <c r="P258"/>
  <c r="M258"/>
  <c r="K258"/>
  <c r="H258"/>
  <c r="C258"/>
  <c r="G258"/>
  <c r="E258"/>
  <c r="B258"/>
  <c r="A258"/>
  <c r="W257"/>
  <c r="S257"/>
  <c r="R257"/>
  <c r="Q257"/>
  <c r="P257"/>
  <c r="M257"/>
  <c r="K257"/>
  <c r="H257"/>
  <c r="C257"/>
  <c r="G257"/>
  <c r="E257"/>
  <c r="B257"/>
  <c r="A257"/>
  <c r="W256"/>
  <c r="S256"/>
  <c r="Q256"/>
  <c r="P256"/>
  <c r="M256"/>
  <c r="K256"/>
  <c r="H256"/>
  <c r="C256"/>
  <c r="G256"/>
  <c r="E256"/>
  <c r="B256"/>
  <c r="A256"/>
  <c r="W255"/>
  <c r="S255"/>
  <c r="Q255"/>
  <c r="P255"/>
  <c r="M255"/>
  <c r="K255"/>
  <c r="H255"/>
  <c r="C255"/>
  <c r="G255"/>
  <c r="E255"/>
  <c r="B255"/>
  <c r="A255"/>
  <c r="W254"/>
  <c r="S254"/>
  <c r="R254"/>
  <c r="Q254"/>
  <c r="P254"/>
  <c r="M254"/>
  <c r="K254"/>
  <c r="H254"/>
  <c r="C254"/>
  <c r="G254"/>
  <c r="E254"/>
  <c r="B254"/>
  <c r="A254"/>
  <c r="W253"/>
  <c r="S253"/>
  <c r="Q253"/>
  <c r="P253"/>
  <c r="M253"/>
  <c r="K253"/>
  <c r="H253"/>
  <c r="C253"/>
  <c r="G253"/>
  <c r="E253"/>
  <c r="B253"/>
  <c r="A253"/>
  <c r="W252"/>
  <c r="S252"/>
  <c r="Q252"/>
  <c r="P252"/>
  <c r="M252"/>
  <c r="K252"/>
  <c r="H252"/>
  <c r="C252"/>
  <c r="G252"/>
  <c r="E252"/>
  <c r="B252"/>
  <c r="A252"/>
  <c r="W251"/>
  <c r="S251"/>
  <c r="Q251"/>
  <c r="P251"/>
  <c r="M251"/>
  <c r="K251"/>
  <c r="H251"/>
  <c r="C251"/>
  <c r="G251"/>
  <c r="E251"/>
  <c r="B251"/>
  <c r="A251"/>
  <c r="W250"/>
  <c r="S250"/>
  <c r="Q250"/>
  <c r="P250"/>
  <c r="M250"/>
  <c r="K250"/>
  <c r="H250"/>
  <c r="C250"/>
  <c r="G250"/>
  <c r="E250"/>
  <c r="B250"/>
  <c r="A250"/>
  <c r="W249"/>
  <c r="S249"/>
  <c r="Q249"/>
  <c r="P249"/>
  <c r="M249"/>
  <c r="K249"/>
  <c r="H249"/>
  <c r="C249"/>
  <c r="G249"/>
  <c r="E249"/>
  <c r="B249"/>
  <c r="A249"/>
  <c r="W248"/>
  <c r="S248"/>
  <c r="Q248"/>
  <c r="P248"/>
  <c r="M248"/>
  <c r="K248"/>
  <c r="H248"/>
  <c r="C248"/>
  <c r="G248"/>
  <c r="E248"/>
  <c r="B248"/>
  <c r="A248"/>
  <c r="W247"/>
  <c r="S247"/>
  <c r="Q247"/>
  <c r="P247"/>
  <c r="M247"/>
  <c r="K247"/>
  <c r="H247"/>
  <c r="C247"/>
  <c r="G247"/>
  <c r="E247"/>
  <c r="B247"/>
  <c r="A247"/>
  <c r="W246"/>
  <c r="S246"/>
  <c r="Q246"/>
  <c r="P246"/>
  <c r="M246"/>
  <c r="K246"/>
  <c r="H246"/>
  <c r="C246"/>
  <c r="G246"/>
  <c r="E246"/>
  <c r="B246"/>
  <c r="A246"/>
  <c r="W245"/>
  <c r="S245"/>
  <c r="Q245"/>
  <c r="P245"/>
  <c r="M245"/>
  <c r="K245"/>
  <c r="H245"/>
  <c r="C245"/>
  <c r="G245"/>
  <c r="E245"/>
  <c r="B245"/>
  <c r="A245"/>
  <c r="W244"/>
  <c r="S244"/>
  <c r="Q244"/>
  <c r="P244"/>
  <c r="M244"/>
  <c r="K244"/>
  <c r="H244"/>
  <c r="C244"/>
  <c r="G244"/>
  <c r="E244"/>
  <c r="B244"/>
  <c r="A244"/>
  <c r="W243"/>
  <c r="S243"/>
  <c r="Q243"/>
  <c r="P243"/>
  <c r="M243"/>
  <c r="K243"/>
  <c r="H243"/>
  <c r="C243"/>
  <c r="G243"/>
  <c r="E243"/>
  <c r="B243"/>
  <c r="A243"/>
  <c r="W242"/>
  <c r="S242"/>
  <c r="Q242"/>
  <c r="P242"/>
  <c r="M242"/>
  <c r="K242"/>
  <c r="H242"/>
  <c r="C242"/>
  <c r="G242"/>
  <c r="E242"/>
  <c r="B242"/>
  <c r="A242"/>
  <c r="W241"/>
  <c r="S241"/>
  <c r="Q241"/>
  <c r="P241"/>
  <c r="M241"/>
  <c r="K241"/>
  <c r="H241"/>
  <c r="C241"/>
  <c r="G241"/>
  <c r="E241"/>
  <c r="B241"/>
  <c r="A241"/>
  <c r="W240"/>
  <c r="S240"/>
  <c r="Q240"/>
  <c r="P240"/>
  <c r="M240"/>
  <c r="K240"/>
  <c r="H240"/>
  <c r="C240"/>
  <c r="G240"/>
  <c r="E240"/>
  <c r="B240"/>
  <c r="A240"/>
  <c r="W239"/>
  <c r="S239"/>
  <c r="Q239"/>
  <c r="P239"/>
  <c r="M239"/>
  <c r="K239"/>
  <c r="H239"/>
  <c r="C239"/>
  <c r="G239"/>
  <c r="E239"/>
  <c r="B239"/>
  <c r="A239"/>
  <c r="W238"/>
  <c r="S238"/>
  <c r="Q238"/>
  <c r="P238"/>
  <c r="M238"/>
  <c r="K238"/>
  <c r="H238"/>
  <c r="C238"/>
  <c r="G238"/>
  <c r="E238"/>
  <c r="B238"/>
  <c r="A238"/>
  <c r="W237"/>
  <c r="S237"/>
  <c r="Q237"/>
  <c r="P237"/>
  <c r="M237"/>
  <c r="K237"/>
  <c r="H237"/>
  <c r="C237"/>
  <c r="G237"/>
  <c r="E237"/>
  <c r="B237"/>
  <c r="A237"/>
  <c r="W236"/>
  <c r="S236"/>
  <c r="Q236"/>
  <c r="P236"/>
  <c r="M236"/>
  <c r="K236"/>
  <c r="H236"/>
  <c r="C236"/>
  <c r="G236"/>
  <c r="E236"/>
  <c r="B236"/>
  <c r="A236"/>
  <c r="W235"/>
  <c r="S235"/>
  <c r="Q235"/>
  <c r="P235"/>
  <c r="M235"/>
  <c r="K235"/>
  <c r="H235"/>
  <c r="C235"/>
  <c r="G235"/>
  <c r="E235"/>
  <c r="B235"/>
  <c r="A235"/>
  <c r="W234"/>
  <c r="S234"/>
  <c r="Q234"/>
  <c r="P234"/>
  <c r="M234"/>
  <c r="K234"/>
  <c r="H234"/>
  <c r="C234"/>
  <c r="G234"/>
  <c r="E234"/>
  <c r="B234"/>
  <c r="A234"/>
  <c r="W233"/>
  <c r="S233"/>
  <c r="Q233"/>
  <c r="P233"/>
  <c r="M233"/>
  <c r="K233"/>
  <c r="H233"/>
  <c r="C233"/>
  <c r="G233"/>
  <c r="E233"/>
  <c r="B233"/>
  <c r="A233"/>
  <c r="W232"/>
  <c r="S232"/>
  <c r="R232"/>
  <c r="Q232"/>
  <c r="P232"/>
  <c r="M232"/>
  <c r="K232"/>
  <c r="H232"/>
  <c r="C232"/>
  <c r="G232"/>
  <c r="E232"/>
  <c r="B232"/>
  <c r="A232"/>
  <c r="W231"/>
  <c r="S231"/>
  <c r="Q231"/>
  <c r="P231"/>
  <c r="M231"/>
  <c r="K231"/>
  <c r="H231"/>
  <c r="C231"/>
  <c r="G231"/>
  <c r="E231"/>
  <c r="B231"/>
  <c r="A231"/>
  <c r="W230"/>
  <c r="S230"/>
  <c r="Q230"/>
  <c r="P230"/>
  <c r="M230"/>
  <c r="K230"/>
  <c r="H230"/>
  <c r="C230"/>
  <c r="G230"/>
  <c r="E230"/>
  <c r="B230"/>
  <c r="A230"/>
  <c r="W229"/>
  <c r="S229"/>
  <c r="Q229"/>
  <c r="P229"/>
  <c r="M229"/>
  <c r="K229"/>
  <c r="H229"/>
  <c r="C229"/>
  <c r="G229"/>
  <c r="E229"/>
  <c r="B229"/>
  <c r="A229"/>
  <c r="W228"/>
  <c r="S228"/>
  <c r="Q228"/>
  <c r="P228"/>
  <c r="M228"/>
  <c r="K228"/>
  <c r="H228"/>
  <c r="C228"/>
  <c r="G228"/>
  <c r="E228"/>
  <c r="B228"/>
  <c r="A228"/>
  <c r="W227"/>
  <c r="S227"/>
  <c r="Q227"/>
  <c r="P227"/>
  <c r="M227"/>
  <c r="K227"/>
  <c r="H227"/>
  <c r="C227"/>
  <c r="G227"/>
  <c r="E227"/>
  <c r="B227"/>
  <c r="A227"/>
  <c r="W226"/>
  <c r="S226"/>
  <c r="Q226"/>
  <c r="P226"/>
  <c r="M226"/>
  <c r="K226"/>
  <c r="H226"/>
  <c r="C226"/>
  <c r="G226"/>
  <c r="E226"/>
  <c r="B226"/>
  <c r="A226"/>
  <c r="W225"/>
  <c r="S225"/>
  <c r="Q225"/>
  <c r="P225"/>
  <c r="M225"/>
  <c r="K225"/>
  <c r="H225"/>
  <c r="C225"/>
  <c r="G225"/>
  <c r="E225"/>
  <c r="B225"/>
  <c r="A225"/>
  <c r="W224"/>
  <c r="S224"/>
  <c r="Q224"/>
  <c r="P224"/>
  <c r="M224"/>
  <c r="K224"/>
  <c r="H224"/>
  <c r="C224"/>
  <c r="G224"/>
  <c r="E224"/>
  <c r="B224"/>
  <c r="A224"/>
  <c r="W223"/>
  <c r="S223"/>
  <c r="Q223"/>
  <c r="P223"/>
  <c r="M223"/>
  <c r="K223"/>
  <c r="H223"/>
  <c r="C223"/>
  <c r="G223"/>
  <c r="E223"/>
  <c r="B223"/>
  <c r="A223"/>
  <c r="W222"/>
  <c r="S222"/>
  <c r="Q222"/>
  <c r="P222"/>
  <c r="M222"/>
  <c r="K222"/>
  <c r="H222"/>
  <c r="C222"/>
  <c r="G222"/>
  <c r="E222"/>
  <c r="B222"/>
  <c r="A222"/>
  <c r="W221"/>
  <c r="S221"/>
  <c r="Q221"/>
  <c r="P221"/>
  <c r="M221"/>
  <c r="K221"/>
  <c r="H221"/>
  <c r="C221"/>
  <c r="G221"/>
  <c r="E221"/>
  <c r="B221"/>
  <c r="A221"/>
  <c r="W220"/>
  <c r="S220"/>
  <c r="Q220"/>
  <c r="P220"/>
  <c r="M220"/>
  <c r="K220"/>
  <c r="H220"/>
  <c r="C220"/>
  <c r="G220"/>
  <c r="E220"/>
  <c r="B220"/>
  <c r="A220"/>
  <c r="W219"/>
  <c r="S219"/>
  <c r="Q219"/>
  <c r="P219"/>
  <c r="M219"/>
  <c r="K219"/>
  <c r="H219"/>
  <c r="C219"/>
  <c r="G219"/>
  <c r="E219"/>
  <c r="B219"/>
  <c r="A219"/>
  <c r="W218"/>
  <c r="S218"/>
  <c r="Q218"/>
  <c r="P218"/>
  <c r="M218"/>
  <c r="K218"/>
  <c r="H218"/>
  <c r="C218"/>
  <c r="G218"/>
  <c r="E218"/>
  <c r="B218"/>
  <c r="A218"/>
  <c r="W217"/>
  <c r="S217"/>
  <c r="Q217"/>
  <c r="P217"/>
  <c r="M217"/>
  <c r="K217"/>
  <c r="H217"/>
  <c r="C217"/>
  <c r="G217"/>
  <c r="E217"/>
  <c r="B217"/>
  <c r="A217"/>
  <c r="W216"/>
  <c r="S216"/>
  <c r="Q216"/>
  <c r="P216"/>
  <c r="M216"/>
  <c r="K216"/>
  <c r="H216"/>
  <c r="C216"/>
  <c r="G216"/>
  <c r="E216"/>
  <c r="B216"/>
  <c r="A216"/>
  <c r="W215"/>
  <c r="S215"/>
  <c r="Q215"/>
  <c r="P215"/>
  <c r="M215"/>
  <c r="K215"/>
  <c r="H215"/>
  <c r="C215"/>
  <c r="G215"/>
  <c r="E215"/>
  <c r="B215"/>
  <c r="A215"/>
  <c r="W214"/>
  <c r="S214"/>
  <c r="Q214"/>
  <c r="P214"/>
  <c r="M214"/>
  <c r="K214"/>
  <c r="H214"/>
  <c r="C214"/>
  <c r="G214"/>
  <c r="E214"/>
  <c r="B214"/>
  <c r="A214"/>
  <c r="W213"/>
  <c r="S213"/>
  <c r="Q213"/>
  <c r="P213"/>
  <c r="M213"/>
  <c r="K213"/>
  <c r="H213"/>
  <c r="C213"/>
  <c r="G213"/>
  <c r="E213"/>
  <c r="B213"/>
  <c r="A213"/>
  <c r="W212"/>
  <c r="S212"/>
  <c r="Q212"/>
  <c r="P212"/>
  <c r="M212"/>
  <c r="K212"/>
  <c r="H212"/>
  <c r="C212"/>
  <c r="G212"/>
  <c r="E212"/>
  <c r="B212"/>
  <c r="A212"/>
  <c r="W211"/>
  <c r="S211"/>
  <c r="Q211"/>
  <c r="P211"/>
  <c r="M211"/>
  <c r="K211"/>
  <c r="H211"/>
  <c r="C211"/>
  <c r="G211"/>
  <c r="E211"/>
  <c r="B211"/>
  <c r="A211"/>
  <c r="W210"/>
  <c r="S210"/>
  <c r="Q210"/>
  <c r="P210"/>
  <c r="M210"/>
  <c r="K210"/>
  <c r="H210"/>
  <c r="C210"/>
  <c r="G210"/>
  <c r="E210"/>
  <c r="B210"/>
  <c r="A210"/>
  <c r="W209"/>
  <c r="S209"/>
  <c r="R209"/>
  <c r="Q209"/>
  <c r="P209"/>
  <c r="M209"/>
  <c r="K209"/>
  <c r="H209"/>
  <c r="C209"/>
  <c r="G209"/>
  <c r="E209"/>
  <c r="B209"/>
  <c r="A209"/>
  <c r="W208"/>
  <c r="S208"/>
  <c r="Q208"/>
  <c r="P208"/>
  <c r="M208"/>
  <c r="K208"/>
  <c r="H208"/>
  <c r="C208"/>
  <c r="G208"/>
  <c r="E208"/>
  <c r="B208"/>
  <c r="A208"/>
  <c r="W207"/>
  <c r="S207"/>
  <c r="R207"/>
  <c r="Q207"/>
  <c r="P207"/>
  <c r="M207"/>
  <c r="K207"/>
  <c r="H207"/>
  <c r="C207"/>
  <c r="G207"/>
  <c r="E207"/>
  <c r="B207"/>
  <c r="A207"/>
  <c r="W206"/>
  <c r="S206"/>
  <c r="Q206"/>
  <c r="P206"/>
  <c r="M206"/>
  <c r="K206"/>
  <c r="H206"/>
  <c r="C206"/>
  <c r="G206"/>
  <c r="E206"/>
  <c r="B206"/>
  <c r="A206"/>
  <c r="W205"/>
  <c r="S205"/>
  <c r="R205"/>
  <c r="Q205"/>
  <c r="P205"/>
  <c r="M205"/>
  <c r="K205"/>
  <c r="H205"/>
  <c r="C205"/>
  <c r="G205"/>
  <c r="E205"/>
  <c r="B205"/>
  <c r="A205"/>
  <c r="W204"/>
  <c r="S204"/>
  <c r="Q204"/>
  <c r="P204"/>
  <c r="M204"/>
  <c r="K204"/>
  <c r="H204"/>
  <c r="C204"/>
  <c r="G204"/>
  <c r="E204"/>
  <c r="B204"/>
  <c r="A204"/>
  <c r="W203"/>
  <c r="S203"/>
  <c r="R203"/>
  <c r="Q203"/>
  <c r="P203"/>
  <c r="M203"/>
  <c r="K203"/>
  <c r="H203"/>
  <c r="C203"/>
  <c r="G203"/>
  <c r="E203"/>
  <c r="B203"/>
  <c r="A203"/>
  <c r="W202"/>
  <c r="S202"/>
  <c r="Q202"/>
  <c r="P202"/>
  <c r="M202"/>
  <c r="K202"/>
  <c r="H202"/>
  <c r="C202"/>
  <c r="G202"/>
  <c r="E202"/>
  <c r="B202"/>
  <c r="A202"/>
  <c r="W201"/>
  <c r="S201"/>
  <c r="R201"/>
  <c r="Q201"/>
  <c r="P201"/>
  <c r="M201"/>
  <c r="K201"/>
  <c r="H201"/>
  <c r="C201"/>
  <c r="G201"/>
  <c r="E201"/>
  <c r="B201"/>
  <c r="A201"/>
  <c r="W200"/>
  <c r="S200"/>
  <c r="Q200"/>
  <c r="P200"/>
  <c r="M200"/>
  <c r="K200"/>
  <c r="H200"/>
  <c r="C200"/>
  <c r="G200"/>
  <c r="E200"/>
  <c r="B200"/>
  <c r="A200"/>
  <c r="W199"/>
  <c r="S199"/>
  <c r="R199"/>
  <c r="Q199"/>
  <c r="P199"/>
  <c r="M199"/>
  <c r="K199"/>
  <c r="H199"/>
  <c r="C199"/>
  <c r="G199"/>
  <c r="E199"/>
  <c r="B199"/>
  <c r="A199"/>
  <c r="W198"/>
  <c r="S198"/>
  <c r="Q198"/>
  <c r="P198"/>
  <c r="M198"/>
  <c r="K198"/>
  <c r="H198"/>
  <c r="C198"/>
  <c r="G198"/>
  <c r="E198"/>
  <c r="B198"/>
  <c r="A198"/>
  <c r="W197"/>
  <c r="S197"/>
  <c r="R197"/>
  <c r="Q197"/>
  <c r="P197"/>
  <c r="M197"/>
  <c r="K197"/>
  <c r="H197"/>
  <c r="C197"/>
  <c r="G197"/>
  <c r="E197"/>
  <c r="B197"/>
  <c r="A197"/>
  <c r="W196"/>
  <c r="S196"/>
  <c r="Q196"/>
  <c r="P196"/>
  <c r="M196"/>
  <c r="K196"/>
  <c r="H196"/>
  <c r="C196"/>
  <c r="G196"/>
  <c r="E196"/>
  <c r="B196"/>
  <c r="A196"/>
  <c r="W195"/>
  <c r="S195"/>
  <c r="R195"/>
  <c r="Q195"/>
  <c r="P195"/>
  <c r="M195"/>
  <c r="K195"/>
  <c r="H195"/>
  <c r="C195"/>
  <c r="G195"/>
  <c r="E195"/>
  <c r="B195"/>
  <c r="A195"/>
  <c r="W194"/>
  <c r="S194"/>
  <c r="Q194"/>
  <c r="P194"/>
  <c r="M194"/>
  <c r="K194"/>
  <c r="H194"/>
  <c r="C194"/>
  <c r="G194"/>
  <c r="E194"/>
  <c r="B194"/>
  <c r="A194"/>
  <c r="W193"/>
  <c r="S193"/>
  <c r="Q193"/>
  <c r="P193"/>
  <c r="M193"/>
  <c r="K193"/>
  <c r="H193"/>
  <c r="C193"/>
  <c r="G193"/>
  <c r="E193"/>
  <c r="B193"/>
  <c r="A193"/>
  <c r="W192"/>
  <c r="S192"/>
  <c r="Q192"/>
  <c r="P192"/>
  <c r="M192"/>
  <c r="K192"/>
  <c r="H192"/>
  <c r="C192"/>
  <c r="G192"/>
  <c r="E192"/>
  <c r="B192"/>
  <c r="A192"/>
  <c r="W191"/>
  <c r="S191"/>
  <c r="Q191"/>
  <c r="P191"/>
  <c r="M191"/>
  <c r="K191"/>
  <c r="H191"/>
  <c r="C191"/>
  <c r="G191"/>
  <c r="E191"/>
  <c r="B191"/>
  <c r="A191"/>
  <c r="W190"/>
  <c r="S190"/>
  <c r="Q190"/>
  <c r="P190"/>
  <c r="M190"/>
  <c r="K190"/>
  <c r="H190"/>
  <c r="C190"/>
  <c r="G190"/>
  <c r="E190"/>
  <c r="B190"/>
  <c r="A190"/>
  <c r="W189"/>
  <c r="S189"/>
  <c r="Q189"/>
  <c r="P189"/>
  <c r="M189"/>
  <c r="K189"/>
  <c r="H189"/>
  <c r="C189"/>
  <c r="G189"/>
  <c r="E189"/>
  <c r="B189"/>
  <c r="A189"/>
  <c r="W188"/>
  <c r="S188"/>
  <c r="Q188"/>
  <c r="P188"/>
  <c r="M188"/>
  <c r="K188"/>
  <c r="H188"/>
  <c r="C188"/>
  <c r="G188"/>
  <c r="E188"/>
  <c r="B188"/>
  <c r="A188"/>
  <c r="W187"/>
  <c r="S187"/>
  <c r="Q187"/>
  <c r="P187"/>
  <c r="M187"/>
  <c r="K187"/>
  <c r="H187"/>
  <c r="C187"/>
  <c r="G187"/>
  <c r="E187"/>
  <c r="B187"/>
  <c r="A187"/>
  <c r="W186"/>
  <c r="S186"/>
  <c r="Q186"/>
  <c r="P186"/>
  <c r="M186"/>
  <c r="K186"/>
  <c r="H186"/>
  <c r="C186"/>
  <c r="G186"/>
  <c r="E186"/>
  <c r="B186"/>
  <c r="A186"/>
  <c r="W185"/>
  <c r="S185"/>
  <c r="Q185"/>
  <c r="P185"/>
  <c r="M185"/>
  <c r="K185"/>
  <c r="H185"/>
  <c r="C185"/>
  <c r="G185"/>
  <c r="E185"/>
  <c r="B185"/>
  <c r="A185"/>
  <c r="W184"/>
  <c r="S184"/>
  <c r="Q184"/>
  <c r="P184"/>
  <c r="M184"/>
  <c r="K184"/>
  <c r="H184"/>
  <c r="C184"/>
  <c r="G184"/>
  <c r="E184"/>
  <c r="B184"/>
  <c r="A184"/>
  <c r="W183"/>
  <c r="S183"/>
  <c r="Q183"/>
  <c r="P183"/>
  <c r="M183"/>
  <c r="K183"/>
  <c r="H183"/>
  <c r="C183"/>
  <c r="G183"/>
  <c r="E183"/>
  <c r="B183"/>
  <c r="A183"/>
  <c r="W182"/>
  <c r="S182"/>
  <c r="Q182"/>
  <c r="P182"/>
  <c r="M182"/>
  <c r="K182"/>
  <c r="H182"/>
  <c r="C182"/>
  <c r="G182"/>
  <c r="E182"/>
  <c r="B182"/>
  <c r="A182"/>
  <c r="W181"/>
  <c r="S181"/>
  <c r="Q181"/>
  <c r="P181"/>
  <c r="M181"/>
  <c r="K181"/>
  <c r="H181"/>
  <c r="C181"/>
  <c r="G181"/>
  <c r="E181"/>
  <c r="B181"/>
  <c r="A181"/>
  <c r="W180"/>
  <c r="S180"/>
  <c r="Q180"/>
  <c r="P180"/>
  <c r="M180"/>
  <c r="K180"/>
  <c r="H180"/>
  <c r="C180"/>
  <c r="G180"/>
  <c r="E180"/>
  <c r="B180"/>
  <c r="A180"/>
  <c r="W179"/>
  <c r="S179"/>
  <c r="Q179"/>
  <c r="P179"/>
  <c r="M179"/>
  <c r="K179"/>
  <c r="H179"/>
  <c r="C179"/>
  <c r="G179"/>
  <c r="E179"/>
  <c r="B179"/>
  <c r="A179"/>
  <c r="W178"/>
  <c r="S178"/>
  <c r="Q178"/>
  <c r="P178"/>
  <c r="M178"/>
  <c r="K178"/>
  <c r="H178"/>
  <c r="C178"/>
  <c r="G178"/>
  <c r="E178"/>
  <c r="B178"/>
  <c r="A178"/>
  <c r="W177"/>
  <c r="S177"/>
  <c r="Q177"/>
  <c r="P177"/>
  <c r="M177"/>
  <c r="K177"/>
  <c r="H177"/>
  <c r="C177"/>
  <c r="G177"/>
  <c r="E177"/>
  <c r="B177"/>
  <c r="A177"/>
  <c r="W176"/>
  <c r="S176"/>
  <c r="Q176"/>
  <c r="P176"/>
  <c r="M176"/>
  <c r="K176"/>
  <c r="H176"/>
  <c r="C176"/>
  <c r="G176"/>
  <c r="E176"/>
  <c r="B176"/>
  <c r="A176"/>
  <c r="W175"/>
  <c r="S175"/>
  <c r="Q175"/>
  <c r="P175"/>
  <c r="M175"/>
  <c r="K175"/>
  <c r="H175"/>
  <c r="C175"/>
  <c r="G175"/>
  <c r="E175"/>
  <c r="B175"/>
  <c r="A175"/>
  <c r="W174"/>
  <c r="S174"/>
  <c r="Q174"/>
  <c r="P174"/>
  <c r="M174"/>
  <c r="K174"/>
  <c r="H174"/>
  <c r="C174"/>
  <c r="G174"/>
  <c r="E174"/>
  <c r="B174"/>
  <c r="A174"/>
  <c r="W173"/>
  <c r="S173"/>
  <c r="Q173"/>
  <c r="P173"/>
  <c r="M173"/>
  <c r="K173"/>
  <c r="H173"/>
  <c r="C173"/>
  <c r="G173"/>
  <c r="E173"/>
  <c r="B173"/>
  <c r="A173"/>
  <c r="W172"/>
  <c r="S172"/>
  <c r="Q172"/>
  <c r="P172"/>
  <c r="M172"/>
  <c r="K172"/>
  <c r="H172"/>
  <c r="C172"/>
  <c r="G172"/>
  <c r="E172"/>
  <c r="B172"/>
  <c r="A172"/>
  <c r="W171"/>
  <c r="S171"/>
  <c r="Q171"/>
  <c r="P171"/>
  <c r="M171"/>
  <c r="K171"/>
  <c r="H171"/>
  <c r="C171"/>
  <c r="G171"/>
  <c r="E171"/>
  <c r="B171"/>
  <c r="A171"/>
  <c r="W170"/>
  <c r="S170"/>
  <c r="Q170"/>
  <c r="P170"/>
  <c r="M170"/>
  <c r="K170"/>
  <c r="H170"/>
  <c r="C170"/>
  <c r="G170"/>
  <c r="E170"/>
  <c r="B170"/>
  <c r="A170"/>
  <c r="W169"/>
  <c r="S169"/>
  <c r="Q169"/>
  <c r="P169"/>
  <c r="M169"/>
  <c r="K169"/>
  <c r="H169"/>
  <c r="C169"/>
  <c r="G169"/>
  <c r="E169"/>
  <c r="B169"/>
  <c r="A169"/>
  <c r="W168"/>
  <c r="S168"/>
  <c r="Q168"/>
  <c r="P168"/>
  <c r="M168"/>
  <c r="K168"/>
  <c r="H168"/>
  <c r="C168"/>
  <c r="G168"/>
  <c r="E168"/>
  <c r="B168"/>
  <c r="A168"/>
  <c r="W167"/>
  <c r="S167"/>
  <c r="Q167"/>
  <c r="P167"/>
  <c r="M167"/>
  <c r="K167"/>
  <c r="H167"/>
  <c r="C167"/>
  <c r="G167"/>
  <c r="E167"/>
  <c r="B167"/>
  <c r="A167"/>
  <c r="W166"/>
  <c r="S166"/>
  <c r="Q166"/>
  <c r="P166"/>
  <c r="M166"/>
  <c r="K166"/>
  <c r="H166"/>
  <c r="C166"/>
  <c r="G166"/>
  <c r="E166"/>
  <c r="B166"/>
  <c r="A166"/>
  <c r="W165"/>
  <c r="S165"/>
  <c r="Q165"/>
  <c r="P165"/>
  <c r="M165"/>
  <c r="K165"/>
  <c r="H165"/>
  <c r="C165"/>
  <c r="G165"/>
  <c r="E165"/>
  <c r="B165"/>
  <c r="A165"/>
  <c r="W164"/>
  <c r="S164"/>
  <c r="Q164"/>
  <c r="P164"/>
  <c r="M164"/>
  <c r="K164"/>
  <c r="H164"/>
  <c r="C164"/>
  <c r="G164"/>
  <c r="E164"/>
  <c r="B164"/>
  <c r="A164"/>
  <c r="W163"/>
  <c r="S163"/>
  <c r="Q163"/>
  <c r="P163"/>
  <c r="M163"/>
  <c r="K163"/>
  <c r="H163"/>
  <c r="C163"/>
  <c r="G163"/>
  <c r="E163"/>
  <c r="B163"/>
  <c r="A163"/>
  <c r="W162"/>
  <c r="S162"/>
  <c r="Q162"/>
  <c r="P162"/>
  <c r="M162"/>
  <c r="K162"/>
  <c r="H162"/>
  <c r="C162"/>
  <c r="G162"/>
  <c r="E162"/>
  <c r="B162"/>
  <c r="A162"/>
  <c r="W161"/>
  <c r="S161"/>
  <c r="Q161"/>
  <c r="P161"/>
  <c r="M161"/>
  <c r="K161"/>
  <c r="H161"/>
  <c r="C161"/>
  <c r="G161"/>
  <c r="E161"/>
  <c r="B161"/>
  <c r="A161"/>
  <c r="W160"/>
  <c r="S160"/>
  <c r="Q160"/>
  <c r="P160"/>
  <c r="M160"/>
  <c r="K160"/>
  <c r="H160"/>
  <c r="C160"/>
  <c r="G160"/>
  <c r="E160"/>
  <c r="B160"/>
  <c r="A160"/>
  <c r="W159"/>
  <c r="S159"/>
  <c r="Q159"/>
  <c r="P159"/>
  <c r="M159"/>
  <c r="K159"/>
  <c r="H159"/>
  <c r="C159"/>
  <c r="G159"/>
  <c r="E159"/>
  <c r="B159"/>
  <c r="A159"/>
  <c r="W158"/>
  <c r="S158"/>
  <c r="Q158"/>
  <c r="P158"/>
  <c r="M158"/>
  <c r="K158"/>
  <c r="H158"/>
  <c r="C158"/>
  <c r="G158"/>
  <c r="E158"/>
  <c r="B158"/>
  <c r="A158"/>
  <c r="W157"/>
  <c r="S157"/>
  <c r="Q157"/>
  <c r="P157"/>
  <c r="M157"/>
  <c r="K157"/>
  <c r="H157"/>
  <c r="C157"/>
  <c r="G157"/>
  <c r="E157"/>
  <c r="B157"/>
  <c r="A157"/>
  <c r="W156"/>
  <c r="S156"/>
  <c r="Q156"/>
  <c r="P156"/>
  <c r="M156"/>
  <c r="K156"/>
  <c r="H156"/>
  <c r="C156"/>
  <c r="G156"/>
  <c r="E156"/>
  <c r="B156"/>
  <c r="A156"/>
  <c r="W155"/>
  <c r="S155"/>
  <c r="Q155"/>
  <c r="P155"/>
  <c r="M155"/>
  <c r="K155"/>
  <c r="H155"/>
  <c r="C155"/>
  <c r="G155"/>
  <c r="E155"/>
  <c r="B155"/>
  <c r="A155"/>
  <c r="W154"/>
  <c r="S154"/>
  <c r="Q154"/>
  <c r="P154"/>
  <c r="M154"/>
  <c r="K154"/>
  <c r="H154"/>
  <c r="C154"/>
  <c r="G154"/>
  <c r="E154"/>
  <c r="B154"/>
  <c r="A154"/>
  <c r="W153"/>
  <c r="S153"/>
  <c r="Q153"/>
  <c r="P153"/>
  <c r="M153"/>
  <c r="K153"/>
  <c r="H153"/>
  <c r="C153"/>
  <c r="G153"/>
  <c r="E153"/>
  <c r="B153"/>
  <c r="A153"/>
  <c r="W152"/>
  <c r="S152"/>
  <c r="Q152"/>
  <c r="P152"/>
  <c r="N152"/>
  <c r="M152"/>
  <c r="K152"/>
  <c r="H152"/>
  <c r="C152"/>
  <c r="G152"/>
  <c r="E152"/>
  <c r="B152"/>
  <c r="A152"/>
  <c r="W151"/>
  <c r="S151"/>
  <c r="Q151"/>
  <c r="P151"/>
  <c r="M151"/>
  <c r="K151"/>
  <c r="H151"/>
  <c r="C151"/>
  <c r="G151"/>
  <c r="E151"/>
  <c r="B151"/>
  <c r="A151"/>
  <c r="W150"/>
  <c r="S150"/>
  <c r="Q150"/>
  <c r="P150"/>
  <c r="M150"/>
  <c r="K150"/>
  <c r="H150"/>
  <c r="C150"/>
  <c r="G150"/>
  <c r="E150"/>
  <c r="B150"/>
  <c r="A150"/>
  <c r="W149"/>
  <c r="S149"/>
  <c r="Q149"/>
  <c r="P149"/>
  <c r="M149"/>
  <c r="K149"/>
  <c r="H149"/>
  <c r="C149"/>
  <c r="G149"/>
  <c r="E149"/>
  <c r="B149"/>
  <c r="A149"/>
  <c r="W148"/>
  <c r="S148"/>
  <c r="Q148"/>
  <c r="P148"/>
  <c r="M148"/>
  <c r="K148"/>
  <c r="H148"/>
  <c r="C148"/>
  <c r="G148"/>
  <c r="E148"/>
  <c r="B148"/>
  <c r="A148"/>
  <c r="W147"/>
  <c r="S147"/>
  <c r="Q147"/>
  <c r="P147"/>
  <c r="M147"/>
  <c r="K147"/>
  <c r="H147"/>
  <c r="C147"/>
  <c r="G147"/>
  <c r="E147"/>
  <c r="B147"/>
  <c r="A147"/>
  <c r="W146"/>
  <c r="S146"/>
  <c r="Q146"/>
  <c r="P146"/>
  <c r="M146"/>
  <c r="K146"/>
  <c r="H146"/>
  <c r="C146"/>
  <c r="G146"/>
  <c r="E146"/>
  <c r="B146"/>
  <c r="A146"/>
  <c r="W145"/>
  <c r="S145"/>
  <c r="Q145"/>
  <c r="P145"/>
  <c r="M145"/>
  <c r="K145"/>
  <c r="H145"/>
  <c r="C145"/>
  <c r="G145"/>
  <c r="E145"/>
  <c r="B145"/>
  <c r="A145"/>
  <c r="W144"/>
  <c r="S144"/>
  <c r="Q144"/>
  <c r="P144"/>
  <c r="M144"/>
  <c r="K144"/>
  <c r="H144"/>
  <c r="C144"/>
  <c r="G144"/>
  <c r="E144"/>
  <c r="B144"/>
  <c r="A144"/>
  <c r="W143"/>
  <c r="S143"/>
  <c r="Q143"/>
  <c r="P143"/>
  <c r="M143"/>
  <c r="K143"/>
  <c r="H143"/>
  <c r="C143"/>
  <c r="G143"/>
  <c r="E143"/>
  <c r="B143"/>
  <c r="A143"/>
  <c r="W142"/>
  <c r="S142"/>
  <c r="Q142"/>
  <c r="P142"/>
  <c r="M142"/>
  <c r="K142"/>
  <c r="H142"/>
  <c r="C142"/>
  <c r="G142"/>
  <c r="E142"/>
  <c r="B142"/>
  <c r="A142"/>
  <c r="W141"/>
  <c r="S141"/>
  <c r="Q141"/>
  <c r="P141"/>
  <c r="M141"/>
  <c r="K141"/>
  <c r="H141"/>
  <c r="C141"/>
  <c r="G141"/>
  <c r="E141"/>
  <c r="B141"/>
  <c r="A141"/>
  <c r="W140"/>
  <c r="S140"/>
  <c r="Q140"/>
  <c r="P140"/>
  <c r="M140"/>
  <c r="K140"/>
  <c r="H140"/>
  <c r="C140"/>
  <c r="G140"/>
  <c r="E140"/>
  <c r="B140"/>
  <c r="A140"/>
  <c r="W139"/>
  <c r="S139"/>
  <c r="Q139"/>
  <c r="P139"/>
  <c r="M139"/>
  <c r="K139"/>
  <c r="H139"/>
  <c r="C139"/>
  <c r="G139"/>
  <c r="E139"/>
  <c r="B139"/>
  <c r="A139"/>
  <c r="W138"/>
  <c r="S138"/>
  <c r="Q138"/>
  <c r="P138"/>
  <c r="M138"/>
  <c r="K138"/>
  <c r="H138"/>
  <c r="C138"/>
  <c r="G138"/>
  <c r="E138"/>
  <c r="B138"/>
  <c r="A138"/>
  <c r="W137"/>
  <c r="S137"/>
  <c r="Q137"/>
  <c r="P137"/>
  <c r="M137"/>
  <c r="K137"/>
  <c r="H137"/>
  <c r="C137"/>
  <c r="G137"/>
  <c r="E137"/>
  <c r="B137"/>
  <c r="A137"/>
  <c r="W136"/>
  <c r="S136"/>
  <c r="Q136"/>
  <c r="P136"/>
  <c r="M136"/>
  <c r="K136"/>
  <c r="H136"/>
  <c r="C136"/>
  <c r="G136"/>
  <c r="E136"/>
  <c r="B136"/>
  <c r="A136"/>
  <c r="W135"/>
  <c r="S135"/>
  <c r="Q135"/>
  <c r="P135"/>
  <c r="M135"/>
  <c r="K135"/>
  <c r="H135"/>
  <c r="C135"/>
  <c r="G135"/>
  <c r="E135"/>
  <c r="B135"/>
  <c r="A135"/>
  <c r="W134"/>
  <c r="S134"/>
  <c r="Q134"/>
  <c r="P134"/>
  <c r="M134"/>
  <c r="K134"/>
  <c r="H134"/>
  <c r="C134"/>
  <c r="G134"/>
  <c r="E134"/>
  <c r="B134"/>
  <c r="A134"/>
  <c r="W133"/>
  <c r="S133"/>
  <c r="Q133"/>
  <c r="P133"/>
  <c r="M133"/>
  <c r="K133"/>
  <c r="H133"/>
  <c r="C133"/>
  <c r="G133"/>
  <c r="E133"/>
  <c r="B133"/>
  <c r="A133"/>
  <c r="W132"/>
  <c r="S132"/>
  <c r="Q132"/>
  <c r="P132"/>
  <c r="M132"/>
  <c r="K132"/>
  <c r="H132"/>
  <c r="C132"/>
  <c r="G132"/>
  <c r="E132"/>
  <c r="B132"/>
  <c r="A132"/>
  <c r="W131"/>
  <c r="S131"/>
  <c r="Q131"/>
  <c r="P131"/>
  <c r="M131"/>
  <c r="K131"/>
  <c r="H131"/>
  <c r="C131"/>
  <c r="G131"/>
  <c r="E131"/>
  <c r="B131"/>
  <c r="A131"/>
  <c r="W130"/>
  <c r="S130"/>
  <c r="Q130"/>
  <c r="P130"/>
  <c r="M130"/>
  <c r="K130"/>
  <c r="H130"/>
  <c r="C130"/>
  <c r="G130"/>
  <c r="E130"/>
  <c r="B130"/>
  <c r="A130"/>
  <c r="W129"/>
  <c r="S129"/>
  <c r="Q129"/>
  <c r="P129"/>
  <c r="M129"/>
  <c r="K129"/>
  <c r="H129"/>
  <c r="C129"/>
  <c r="G129"/>
  <c r="E129"/>
  <c r="B129"/>
  <c r="A129"/>
  <c r="W128"/>
  <c r="S128"/>
  <c r="Q128"/>
  <c r="P128"/>
  <c r="M128"/>
  <c r="K128"/>
  <c r="H128"/>
  <c r="C128"/>
  <c r="G128"/>
  <c r="E128"/>
  <c r="B128"/>
  <c r="A128"/>
  <c r="W127"/>
  <c r="S127"/>
  <c r="Q127"/>
  <c r="P127"/>
  <c r="M127"/>
  <c r="K127"/>
  <c r="H127"/>
  <c r="C127"/>
  <c r="G127"/>
  <c r="E127"/>
  <c r="B127"/>
  <c r="A127"/>
  <c r="W126"/>
  <c r="S126"/>
  <c r="Q126"/>
  <c r="P126"/>
  <c r="M126"/>
  <c r="K126"/>
  <c r="H126"/>
  <c r="C126"/>
  <c r="G126"/>
  <c r="E126"/>
  <c r="B126"/>
  <c r="A126"/>
  <c r="W125"/>
  <c r="S125"/>
  <c r="Q125"/>
  <c r="P125"/>
  <c r="M125"/>
  <c r="K125"/>
  <c r="H125"/>
  <c r="C125"/>
  <c r="G125"/>
  <c r="E125"/>
  <c r="B125"/>
  <c r="A125"/>
  <c r="W124"/>
  <c r="S124"/>
  <c r="Q124"/>
  <c r="P124"/>
  <c r="M124"/>
  <c r="K124"/>
  <c r="H124"/>
  <c r="C124"/>
  <c r="G124"/>
  <c r="E124"/>
  <c r="B124"/>
  <c r="A124"/>
  <c r="W123"/>
  <c r="S123"/>
  <c r="Q123"/>
  <c r="P123"/>
  <c r="M123"/>
  <c r="K123"/>
  <c r="H123"/>
  <c r="C123"/>
  <c r="G123"/>
  <c r="E123"/>
  <c r="B123"/>
  <c r="A123"/>
  <c r="W122"/>
  <c r="S122"/>
  <c r="Q122"/>
  <c r="P122"/>
  <c r="M122"/>
  <c r="K122"/>
  <c r="H122"/>
  <c r="C122"/>
  <c r="G122"/>
  <c r="E122"/>
  <c r="B122"/>
  <c r="A122"/>
  <c r="W121"/>
  <c r="S121"/>
  <c r="Q121"/>
  <c r="P121"/>
  <c r="M121"/>
  <c r="K121"/>
  <c r="H121"/>
  <c r="C121"/>
  <c r="G121"/>
  <c r="E121"/>
  <c r="B121"/>
  <c r="A121"/>
  <c r="W120"/>
  <c r="S120"/>
  <c r="Q120"/>
  <c r="P120"/>
  <c r="M120"/>
  <c r="K120"/>
  <c r="H120"/>
  <c r="C120"/>
  <c r="G120"/>
  <c r="E120"/>
  <c r="B120"/>
  <c r="A120"/>
  <c r="W119"/>
  <c r="S119"/>
  <c r="Q119"/>
  <c r="P119"/>
  <c r="M119"/>
  <c r="K119"/>
  <c r="H119"/>
  <c r="C119"/>
  <c r="G119"/>
  <c r="E119"/>
  <c r="B119"/>
  <c r="A119"/>
  <c r="W118"/>
  <c r="S118"/>
  <c r="Q118"/>
  <c r="P118"/>
  <c r="M118"/>
  <c r="K118"/>
  <c r="H118"/>
  <c r="C118"/>
  <c r="G118"/>
  <c r="E118"/>
  <c r="B118"/>
  <c r="A118"/>
  <c r="W117"/>
  <c r="S117"/>
  <c r="Q117"/>
  <c r="P117"/>
  <c r="M117"/>
  <c r="K117"/>
  <c r="H117"/>
  <c r="C117"/>
  <c r="G117"/>
  <c r="E117"/>
  <c r="B117"/>
  <c r="A117"/>
  <c r="W116"/>
  <c r="S116"/>
  <c r="Q116"/>
  <c r="P116"/>
  <c r="M116"/>
  <c r="K116"/>
  <c r="H116"/>
  <c r="C116"/>
  <c r="G116"/>
  <c r="E116"/>
  <c r="B116"/>
  <c r="A116"/>
  <c r="W115"/>
  <c r="S115"/>
  <c r="Q115"/>
  <c r="P115"/>
  <c r="M115"/>
  <c r="K115"/>
  <c r="H115"/>
  <c r="C115"/>
  <c r="G115"/>
  <c r="E115"/>
  <c r="B115"/>
  <c r="A115"/>
  <c r="W114"/>
  <c r="S114"/>
  <c r="Q114"/>
  <c r="P114"/>
  <c r="M114"/>
  <c r="K114"/>
  <c r="H114"/>
  <c r="C114"/>
  <c r="G114"/>
  <c r="E114"/>
  <c r="B114"/>
  <c r="A114"/>
  <c r="W113"/>
  <c r="S113"/>
  <c r="Q113"/>
  <c r="P113"/>
  <c r="M113"/>
  <c r="K113"/>
  <c r="H113"/>
  <c r="C113"/>
  <c r="G113"/>
  <c r="E113"/>
  <c r="B113"/>
  <c r="A113"/>
  <c r="W112"/>
  <c r="S112"/>
  <c r="Q112"/>
  <c r="P112"/>
  <c r="M112"/>
  <c r="K112"/>
  <c r="H112"/>
  <c r="C112"/>
  <c r="G112"/>
  <c r="E112"/>
  <c r="B112"/>
  <c r="A112"/>
  <c r="W111"/>
  <c r="S111"/>
  <c r="Q111"/>
  <c r="P111"/>
  <c r="M111"/>
  <c r="K111"/>
  <c r="H111"/>
  <c r="C111"/>
  <c r="G111"/>
  <c r="E111"/>
  <c r="B111"/>
  <c r="A111"/>
  <c r="W110"/>
  <c r="S110"/>
  <c r="Q110"/>
  <c r="P110"/>
  <c r="M110"/>
  <c r="K110"/>
  <c r="H110"/>
  <c r="C110"/>
  <c r="G110"/>
  <c r="E110"/>
  <c r="B110"/>
  <c r="A110"/>
  <c r="W109"/>
  <c r="S109"/>
  <c r="Q109"/>
  <c r="P109"/>
  <c r="M109"/>
  <c r="K109"/>
  <c r="H109"/>
  <c r="C109"/>
  <c r="G109"/>
  <c r="E109"/>
  <c r="B109"/>
  <c r="A109"/>
  <c r="W108"/>
  <c r="S108"/>
  <c r="Q108"/>
  <c r="P108"/>
  <c r="M108"/>
  <c r="K108"/>
  <c r="H108"/>
  <c r="C108"/>
  <c r="G108"/>
  <c r="E108"/>
  <c r="B108"/>
  <c r="A108"/>
  <c r="W107"/>
  <c r="S107"/>
  <c r="Q107"/>
  <c r="P107"/>
  <c r="M107"/>
  <c r="K107"/>
  <c r="H107"/>
  <c r="C107"/>
  <c r="G107"/>
  <c r="E107"/>
  <c r="B107"/>
  <c r="A107"/>
  <c r="W106"/>
  <c r="S106"/>
  <c r="Q106"/>
  <c r="P106"/>
  <c r="M106"/>
  <c r="K106"/>
  <c r="H106"/>
  <c r="C106"/>
  <c r="G106"/>
  <c r="E106"/>
  <c r="B106"/>
  <c r="A106"/>
  <c r="W105"/>
  <c r="S105"/>
  <c r="Q105"/>
  <c r="P105"/>
  <c r="M105"/>
  <c r="K105"/>
  <c r="H105"/>
  <c r="C105"/>
  <c r="G105"/>
  <c r="E105"/>
  <c r="B105"/>
  <c r="A105"/>
  <c r="W104"/>
  <c r="S104"/>
  <c r="Q104"/>
  <c r="P104"/>
  <c r="M104"/>
  <c r="K104"/>
  <c r="H104"/>
  <c r="C104"/>
  <c r="G104"/>
  <c r="E104"/>
  <c r="B104"/>
  <c r="A104"/>
  <c r="W103"/>
  <c r="S103"/>
  <c r="Q103"/>
  <c r="P103"/>
  <c r="M103"/>
  <c r="K103"/>
  <c r="H103"/>
  <c r="C103"/>
  <c r="G103"/>
  <c r="E103"/>
  <c r="B103"/>
  <c r="A103"/>
  <c r="W102"/>
  <c r="S102"/>
  <c r="Q102"/>
  <c r="P102"/>
  <c r="M102"/>
  <c r="K102"/>
  <c r="H102"/>
  <c r="C102"/>
  <c r="G102"/>
  <c r="E102"/>
  <c r="B102"/>
  <c r="A102"/>
  <c r="W101"/>
  <c r="S101"/>
  <c r="Q101"/>
  <c r="P101"/>
  <c r="M101"/>
  <c r="K101"/>
  <c r="H101"/>
  <c r="C101"/>
  <c r="G101"/>
  <c r="E101"/>
  <c r="B101"/>
  <c r="A101"/>
  <c r="W100"/>
  <c r="S100"/>
  <c r="Q100"/>
  <c r="P100"/>
  <c r="M100"/>
  <c r="K100"/>
  <c r="H100"/>
  <c r="C100"/>
  <c r="G100"/>
  <c r="E100"/>
  <c r="B100"/>
  <c r="A100"/>
  <c r="W99"/>
  <c r="S99"/>
  <c r="Q99"/>
  <c r="P99"/>
  <c r="M99"/>
  <c r="K99"/>
  <c r="H99"/>
  <c r="C99"/>
  <c r="G99"/>
  <c r="E99"/>
  <c r="B99"/>
  <c r="A99"/>
  <c r="W98"/>
  <c r="S98"/>
  <c r="Q98"/>
  <c r="P98"/>
  <c r="M98"/>
  <c r="K98"/>
  <c r="H98"/>
  <c r="C98"/>
  <c r="G98"/>
  <c r="E98"/>
  <c r="B98"/>
  <c r="A98"/>
  <c r="W97"/>
  <c r="S97"/>
  <c r="Q97"/>
  <c r="P97"/>
  <c r="M97"/>
  <c r="K97"/>
  <c r="H97"/>
  <c r="C97"/>
  <c r="G97"/>
  <c r="E97"/>
  <c r="B97"/>
  <c r="A97"/>
  <c r="W96"/>
  <c r="S96"/>
  <c r="Q96"/>
  <c r="P96"/>
  <c r="M96"/>
  <c r="K96"/>
  <c r="H96"/>
  <c r="C96"/>
  <c r="G96"/>
  <c r="E96"/>
  <c r="B96"/>
  <c r="A96"/>
  <c r="W95"/>
  <c r="S95"/>
  <c r="Q95"/>
  <c r="P95"/>
  <c r="M95"/>
  <c r="K95"/>
  <c r="H95"/>
  <c r="C95"/>
  <c r="G95"/>
  <c r="E95"/>
  <c r="B95"/>
  <c r="A95"/>
  <c r="W94"/>
  <c r="S94"/>
  <c r="Q94"/>
  <c r="P94"/>
  <c r="M94"/>
  <c r="K94"/>
  <c r="H94"/>
  <c r="C94"/>
  <c r="G94"/>
  <c r="E94"/>
  <c r="B94"/>
  <c r="A94"/>
  <c r="W93"/>
  <c r="S93"/>
  <c r="Q93"/>
  <c r="P93"/>
  <c r="M93"/>
  <c r="K93"/>
  <c r="H93"/>
  <c r="C93"/>
  <c r="G93"/>
  <c r="E93"/>
  <c r="B93"/>
  <c r="A93"/>
  <c r="W92"/>
  <c r="S92"/>
  <c r="Q92"/>
  <c r="P92"/>
  <c r="M92"/>
  <c r="K92"/>
  <c r="H92"/>
  <c r="C92"/>
  <c r="G92"/>
  <c r="E92"/>
  <c r="B92"/>
  <c r="A92"/>
  <c r="W91"/>
  <c r="S91"/>
  <c r="Q91"/>
  <c r="P91"/>
  <c r="M91"/>
  <c r="K91"/>
  <c r="H91"/>
  <c r="C91"/>
  <c r="G91"/>
  <c r="E91"/>
  <c r="B91"/>
  <c r="A91"/>
  <c r="W90"/>
  <c r="S90"/>
  <c r="Q90"/>
  <c r="P90"/>
  <c r="M90"/>
  <c r="K90"/>
  <c r="H90"/>
  <c r="C90"/>
  <c r="G90"/>
  <c r="E90"/>
  <c r="B90"/>
  <c r="A90"/>
  <c r="W89"/>
  <c r="S89"/>
  <c r="Q89"/>
  <c r="P89"/>
  <c r="M89"/>
  <c r="K89"/>
  <c r="H89"/>
  <c r="C89"/>
  <c r="G89"/>
  <c r="E89"/>
  <c r="B89"/>
  <c r="A89"/>
  <c r="W88"/>
  <c r="S88"/>
  <c r="Q88"/>
  <c r="P88"/>
  <c r="M88"/>
  <c r="K88"/>
  <c r="H88"/>
  <c r="C88"/>
  <c r="G88"/>
  <c r="E88"/>
  <c r="B88"/>
  <c r="A88"/>
  <c r="W87"/>
  <c r="S87"/>
  <c r="Q87"/>
  <c r="P87"/>
  <c r="M87"/>
  <c r="K87"/>
  <c r="H87"/>
  <c r="C87"/>
  <c r="G87"/>
  <c r="E87"/>
  <c r="B87"/>
  <c r="A87"/>
  <c r="W86"/>
  <c r="S86"/>
  <c r="Q86"/>
  <c r="P86"/>
  <c r="M86"/>
  <c r="K86"/>
  <c r="H86"/>
  <c r="C86"/>
  <c r="G86"/>
  <c r="E86"/>
  <c r="B86"/>
  <c r="A86"/>
  <c r="W85"/>
  <c r="S85"/>
  <c r="Q85"/>
  <c r="P85"/>
  <c r="M85"/>
  <c r="K85"/>
  <c r="H85"/>
  <c r="C85"/>
  <c r="G85"/>
  <c r="E85"/>
  <c r="B85"/>
  <c r="A85"/>
  <c r="W84"/>
  <c r="S84"/>
  <c r="Q84"/>
  <c r="P84"/>
  <c r="M84"/>
  <c r="K84"/>
  <c r="H84"/>
  <c r="C84"/>
  <c r="G84"/>
  <c r="E84"/>
  <c r="B84"/>
  <c r="A84"/>
  <c r="W83"/>
  <c r="S83"/>
  <c r="Q83"/>
  <c r="P83"/>
  <c r="M83"/>
  <c r="K83"/>
  <c r="H83"/>
  <c r="C83"/>
  <c r="G83"/>
  <c r="E83"/>
  <c r="B83"/>
  <c r="A83"/>
  <c r="W82"/>
  <c r="S82"/>
  <c r="Q82"/>
  <c r="P82"/>
  <c r="M82"/>
  <c r="K82"/>
  <c r="H82"/>
  <c r="C82"/>
  <c r="G82"/>
  <c r="E82"/>
  <c r="B82"/>
  <c r="A82"/>
  <c r="W81"/>
  <c r="S81"/>
  <c r="Q81"/>
  <c r="P81"/>
  <c r="M81"/>
  <c r="K81"/>
  <c r="H81"/>
  <c r="C81"/>
  <c r="G81"/>
  <c r="E81"/>
  <c r="B81"/>
  <c r="A81"/>
  <c r="W80"/>
  <c r="S80"/>
  <c r="Q80"/>
  <c r="P80"/>
  <c r="M80"/>
  <c r="K80"/>
  <c r="H80"/>
  <c r="C80"/>
  <c r="G80"/>
  <c r="E80"/>
  <c r="B80"/>
  <c r="A80"/>
  <c r="W79"/>
  <c r="S79"/>
  <c r="Q79"/>
  <c r="P79"/>
  <c r="M79"/>
  <c r="K79"/>
  <c r="H79"/>
  <c r="C79"/>
  <c r="G79"/>
  <c r="E79"/>
  <c r="B79"/>
  <c r="A79"/>
  <c r="W78"/>
  <c r="S78"/>
  <c r="Q78"/>
  <c r="P78"/>
  <c r="M78"/>
  <c r="K78"/>
  <c r="H78"/>
  <c r="C78"/>
  <c r="G78"/>
  <c r="E78"/>
  <c r="B78"/>
  <c r="A78"/>
  <c r="W77"/>
  <c r="S77"/>
  <c r="Q77"/>
  <c r="P77"/>
  <c r="M77"/>
  <c r="K77"/>
  <c r="H77"/>
  <c r="C77"/>
  <c r="G77"/>
  <c r="E77"/>
  <c r="B77"/>
  <c r="A77"/>
  <c r="W76"/>
  <c r="S76"/>
  <c r="Q76"/>
  <c r="P76"/>
  <c r="M76"/>
  <c r="K76"/>
  <c r="H76"/>
  <c r="C76"/>
  <c r="G76"/>
  <c r="E76"/>
  <c r="B76"/>
  <c r="A76"/>
  <c r="W75"/>
  <c r="S75"/>
  <c r="Q75"/>
  <c r="P75"/>
  <c r="M75"/>
  <c r="K75"/>
  <c r="H75"/>
  <c r="C75"/>
  <c r="G75"/>
  <c r="E75"/>
  <c r="B75"/>
  <c r="A75"/>
  <c r="W74"/>
  <c r="S74"/>
  <c r="Q74"/>
  <c r="P74"/>
  <c r="M74"/>
  <c r="K74"/>
  <c r="H74"/>
  <c r="C74"/>
  <c r="G74"/>
  <c r="E74"/>
  <c r="B74"/>
  <c r="A74"/>
  <c r="W73"/>
  <c r="S73"/>
  <c r="Q73"/>
  <c r="P73"/>
  <c r="M73"/>
  <c r="K73"/>
  <c r="H73"/>
  <c r="C73"/>
  <c r="G73"/>
  <c r="E73"/>
  <c r="B73"/>
  <c r="A73"/>
  <c r="W72"/>
  <c r="S72"/>
  <c r="Q72"/>
  <c r="P72"/>
  <c r="M72"/>
  <c r="K72"/>
  <c r="H72"/>
  <c r="C72"/>
  <c r="G72"/>
  <c r="E72"/>
  <c r="B72"/>
  <c r="A72"/>
  <c r="W71"/>
  <c r="S71"/>
  <c r="Q71"/>
  <c r="P71"/>
  <c r="M71"/>
  <c r="K71"/>
  <c r="H71"/>
  <c r="C71"/>
  <c r="G71"/>
  <c r="E71"/>
  <c r="B71"/>
  <c r="A71"/>
  <c r="W70"/>
  <c r="S70"/>
  <c r="Q70"/>
  <c r="P70"/>
  <c r="M70"/>
  <c r="K70"/>
  <c r="H70"/>
  <c r="C70"/>
  <c r="G70"/>
  <c r="E70"/>
  <c r="B70"/>
  <c r="A70"/>
  <c r="W69"/>
  <c r="S69"/>
  <c r="Q69"/>
  <c r="P69"/>
  <c r="M69"/>
  <c r="K69"/>
  <c r="H69"/>
  <c r="C69"/>
  <c r="G69"/>
  <c r="E69"/>
  <c r="B69"/>
  <c r="A69"/>
  <c r="W68"/>
  <c r="S68"/>
  <c r="Q68"/>
  <c r="P68"/>
  <c r="M68"/>
  <c r="K68"/>
  <c r="H68"/>
  <c r="C68"/>
  <c r="G68"/>
  <c r="E68"/>
  <c r="B68"/>
  <c r="A68"/>
  <c r="W67"/>
  <c r="S67"/>
  <c r="Q67"/>
  <c r="P67"/>
  <c r="M67"/>
  <c r="K67"/>
  <c r="H67"/>
  <c r="C67"/>
  <c r="G67"/>
  <c r="E67"/>
  <c r="B67"/>
  <c r="A67"/>
  <c r="W66"/>
  <c r="S66"/>
  <c r="Q66"/>
  <c r="P66"/>
  <c r="M66"/>
  <c r="K66"/>
  <c r="H66"/>
  <c r="C66"/>
  <c r="G66"/>
  <c r="E66"/>
  <c r="B66"/>
  <c r="A66"/>
  <c r="W65"/>
  <c r="S65"/>
  <c r="Q65"/>
  <c r="P65"/>
  <c r="M65"/>
  <c r="K65"/>
  <c r="H65"/>
  <c r="C65"/>
  <c r="G65"/>
  <c r="E65"/>
  <c r="B65"/>
  <c r="A65"/>
  <c r="W64"/>
  <c r="S64"/>
  <c r="Q64"/>
  <c r="P64"/>
  <c r="M64"/>
  <c r="K64"/>
  <c r="H64"/>
  <c r="C64"/>
  <c r="G64"/>
  <c r="E64"/>
  <c r="B64"/>
  <c r="A64"/>
  <c r="W63"/>
  <c r="S63"/>
  <c r="Q63"/>
  <c r="P63"/>
  <c r="M63"/>
  <c r="K63"/>
  <c r="H63"/>
  <c r="C63"/>
  <c r="G63"/>
  <c r="E63"/>
  <c r="B63"/>
  <c r="A63"/>
  <c r="W62"/>
  <c r="S62"/>
  <c r="Q62"/>
  <c r="P62"/>
  <c r="M62"/>
  <c r="K62"/>
  <c r="H62"/>
  <c r="C62"/>
  <c r="G62"/>
  <c r="E62"/>
  <c r="B62"/>
  <c r="A62"/>
  <c r="W61"/>
  <c r="S61"/>
  <c r="Q61"/>
  <c r="P61"/>
  <c r="M61"/>
  <c r="K61"/>
  <c r="H61"/>
  <c r="C61"/>
  <c r="G61"/>
  <c r="E61"/>
  <c r="B61"/>
  <c r="A61"/>
  <c r="W60"/>
  <c r="S60"/>
  <c r="Q60"/>
  <c r="P60"/>
  <c r="M60"/>
  <c r="K60"/>
  <c r="H60"/>
  <c r="C60"/>
  <c r="G60"/>
  <c r="E60"/>
  <c r="B60"/>
  <c r="A60"/>
  <c r="W59"/>
  <c r="S59"/>
  <c r="Q59"/>
  <c r="P59"/>
  <c r="M59"/>
  <c r="K59"/>
  <c r="H59"/>
  <c r="C59"/>
  <c r="G59"/>
  <c r="E59"/>
  <c r="B59"/>
  <c r="A59"/>
  <c r="W58"/>
  <c r="S58"/>
  <c r="Q58"/>
  <c r="P58"/>
  <c r="M58"/>
  <c r="K58"/>
  <c r="H58"/>
  <c r="C58"/>
  <c r="G58"/>
  <c r="E58"/>
  <c r="B58"/>
  <c r="A58"/>
  <c r="W57"/>
  <c r="S57"/>
  <c r="Q57"/>
  <c r="P57"/>
  <c r="M57"/>
  <c r="K57"/>
  <c r="H57"/>
  <c r="C57"/>
  <c r="G57"/>
  <c r="E57"/>
  <c r="B57"/>
  <c r="A57"/>
  <c r="W56"/>
  <c r="S56"/>
  <c r="Q56"/>
  <c r="P56"/>
  <c r="M56"/>
  <c r="K56"/>
  <c r="H56"/>
  <c r="C56"/>
  <c r="G56"/>
  <c r="E56"/>
  <c r="B56"/>
  <c r="A56"/>
  <c r="W55"/>
  <c r="S55"/>
  <c r="Q55"/>
  <c r="P55"/>
  <c r="M55"/>
  <c r="K55"/>
  <c r="H55"/>
  <c r="C55"/>
  <c r="G55"/>
  <c r="E55"/>
  <c r="B55"/>
  <c r="A55"/>
  <c r="W54"/>
  <c r="S54"/>
  <c r="Q54"/>
  <c r="P54"/>
  <c r="M54"/>
  <c r="K54"/>
  <c r="H54"/>
  <c r="C54"/>
  <c r="G54"/>
  <c r="E54"/>
  <c r="B54"/>
  <c r="A54"/>
  <c r="W53"/>
  <c r="S53"/>
  <c r="Q53"/>
  <c r="P53"/>
  <c r="M53"/>
  <c r="K53"/>
  <c r="H53"/>
  <c r="C53"/>
  <c r="G53"/>
  <c r="E53"/>
  <c r="B53"/>
  <c r="A53"/>
  <c r="W52"/>
  <c r="S52"/>
  <c r="Q52"/>
  <c r="P52"/>
  <c r="M52"/>
  <c r="K52"/>
  <c r="H52"/>
  <c r="C52"/>
  <c r="G52"/>
  <c r="E52"/>
  <c r="B52"/>
  <c r="A52"/>
  <c r="W51"/>
  <c r="S51"/>
  <c r="Q51"/>
  <c r="P51"/>
  <c r="M51"/>
  <c r="K51"/>
  <c r="H51"/>
  <c r="C51"/>
  <c r="G51"/>
  <c r="E51"/>
  <c r="B51"/>
  <c r="A51"/>
  <c r="W50"/>
  <c r="S50"/>
  <c r="Q50"/>
  <c r="P50"/>
  <c r="M50"/>
  <c r="K50"/>
  <c r="H50"/>
  <c r="C50"/>
  <c r="G50"/>
  <c r="E50"/>
  <c r="B50"/>
  <c r="A50"/>
  <c r="W49"/>
  <c r="S49"/>
  <c r="Q49"/>
  <c r="P49"/>
  <c r="M49"/>
  <c r="K49"/>
  <c r="H49"/>
  <c r="C49"/>
  <c r="G49"/>
  <c r="E49"/>
  <c r="B49"/>
  <c r="A49"/>
  <c r="W48"/>
  <c r="S48"/>
  <c r="Q48"/>
  <c r="P48"/>
  <c r="M48"/>
  <c r="K48"/>
  <c r="H48"/>
  <c r="C48"/>
  <c r="G48"/>
  <c r="E48"/>
  <c r="B48"/>
  <c r="A48"/>
  <c r="W47"/>
  <c r="S47"/>
  <c r="Q47"/>
  <c r="P47"/>
  <c r="M47"/>
  <c r="K47"/>
  <c r="H47"/>
  <c r="C47"/>
  <c r="G47"/>
  <c r="E47"/>
  <c r="B47"/>
  <c r="A47"/>
  <c r="W46"/>
  <c r="S46"/>
  <c r="Q46"/>
  <c r="P46"/>
  <c r="M46"/>
  <c r="K46"/>
  <c r="H46"/>
  <c r="C46"/>
  <c r="G46"/>
  <c r="E46"/>
  <c r="B46"/>
  <c r="A46"/>
  <c r="W45"/>
  <c r="S45"/>
  <c r="Q45"/>
  <c r="P45"/>
  <c r="M45"/>
  <c r="K45"/>
  <c r="H45"/>
  <c r="C45"/>
  <c r="G45"/>
  <c r="E45"/>
  <c r="B45"/>
  <c r="A45"/>
  <c r="W44"/>
  <c r="S44"/>
  <c r="Q44"/>
  <c r="P44"/>
  <c r="M44"/>
  <c r="K44"/>
  <c r="H44"/>
  <c r="C44"/>
  <c r="G44"/>
  <c r="E44"/>
  <c r="B44"/>
  <c r="A44"/>
  <c r="W43"/>
  <c r="S43"/>
  <c r="Q43"/>
  <c r="P43"/>
  <c r="M43"/>
  <c r="K43"/>
  <c r="H43"/>
  <c r="C43"/>
  <c r="G43"/>
  <c r="E43"/>
  <c r="B43"/>
  <c r="A43"/>
  <c r="W42"/>
  <c r="S42"/>
  <c r="Q42"/>
  <c r="P42"/>
  <c r="M42"/>
  <c r="K42"/>
  <c r="H42"/>
  <c r="C42"/>
  <c r="G42"/>
  <c r="E42"/>
  <c r="B42"/>
  <c r="A42"/>
  <c r="W41"/>
  <c r="S41"/>
  <c r="Q41"/>
  <c r="P41"/>
  <c r="M41"/>
  <c r="K41"/>
  <c r="H41"/>
  <c r="C41"/>
  <c r="G41"/>
  <c r="E41"/>
  <c r="B41"/>
  <c r="A41"/>
  <c r="W40"/>
  <c r="S40"/>
  <c r="Q40"/>
  <c r="P40"/>
  <c r="M40"/>
  <c r="K40"/>
  <c r="H40"/>
  <c r="C40"/>
  <c r="G40"/>
  <c r="E40"/>
  <c r="B40"/>
  <c r="A40"/>
  <c r="W39"/>
  <c r="S39"/>
  <c r="Q39"/>
  <c r="P39"/>
  <c r="M39"/>
  <c r="K39"/>
  <c r="H39"/>
  <c r="C39"/>
  <c r="G39"/>
  <c r="E39"/>
  <c r="B39"/>
  <c r="A39"/>
  <c r="W38"/>
  <c r="S38"/>
  <c r="Q38"/>
  <c r="P38"/>
  <c r="M38"/>
  <c r="K38"/>
  <c r="H38"/>
  <c r="C38"/>
  <c r="G38"/>
  <c r="E38"/>
  <c r="B38"/>
  <c r="A38"/>
  <c r="W37"/>
  <c r="S37"/>
  <c r="Q37"/>
  <c r="P37"/>
  <c r="M37"/>
  <c r="K37"/>
  <c r="H37"/>
  <c r="C37"/>
  <c r="G37"/>
  <c r="E37"/>
  <c r="B37"/>
  <c r="A37"/>
  <c r="W36"/>
  <c r="S36"/>
  <c r="Q36"/>
  <c r="P36"/>
  <c r="M36"/>
  <c r="K36"/>
  <c r="H36"/>
  <c r="C36"/>
  <c r="G36"/>
  <c r="E36"/>
  <c r="B36"/>
  <c r="A36"/>
  <c r="W35"/>
  <c r="S35"/>
  <c r="Q35"/>
  <c r="P35"/>
  <c r="M35"/>
  <c r="K35"/>
  <c r="H35"/>
  <c r="C35"/>
  <c r="G35"/>
  <c r="E35"/>
  <c r="B35"/>
  <c r="A35"/>
  <c r="W34"/>
  <c r="S34"/>
  <c r="Q34"/>
  <c r="P34"/>
  <c r="M34"/>
  <c r="K34"/>
  <c r="H34"/>
  <c r="C34"/>
  <c r="G34"/>
  <c r="E34"/>
  <c r="B34"/>
  <c r="A34"/>
  <c r="W33"/>
  <c r="S33"/>
  <c r="Q33"/>
  <c r="P33"/>
  <c r="M33"/>
  <c r="K33"/>
  <c r="H33"/>
  <c r="C33"/>
  <c r="G33"/>
  <c r="E33"/>
  <c r="B33"/>
  <c r="A33"/>
  <c r="W32"/>
  <c r="S32"/>
  <c r="Q32"/>
  <c r="P32"/>
  <c r="M32"/>
  <c r="K32"/>
  <c r="H32"/>
  <c r="C32"/>
  <c r="G32"/>
  <c r="E32"/>
  <c r="B32"/>
  <c r="A32"/>
  <c r="W31"/>
  <c r="S31"/>
  <c r="Q31"/>
  <c r="P31"/>
  <c r="M31"/>
  <c r="K31"/>
  <c r="H31"/>
  <c r="C31"/>
  <c r="G31"/>
  <c r="E31"/>
  <c r="B31"/>
  <c r="A31"/>
  <c r="W30"/>
  <c r="S30"/>
  <c r="Q30"/>
  <c r="P30"/>
  <c r="M30"/>
  <c r="K30"/>
  <c r="H30"/>
  <c r="C30"/>
  <c r="G30"/>
  <c r="E30"/>
  <c r="B30"/>
  <c r="A30"/>
  <c r="W29"/>
  <c r="S29"/>
  <c r="Q29"/>
  <c r="P29"/>
  <c r="M29"/>
  <c r="K29"/>
  <c r="H29"/>
  <c r="C29"/>
  <c r="G29"/>
  <c r="E29"/>
  <c r="B29"/>
  <c r="A29"/>
  <c r="W28"/>
  <c r="S28"/>
  <c r="Q28"/>
  <c r="P28"/>
  <c r="M28"/>
  <c r="K28"/>
  <c r="H28"/>
  <c r="C28"/>
  <c r="G28"/>
  <c r="E28"/>
  <c r="B28"/>
  <c r="A28"/>
  <c r="W27"/>
  <c r="S27"/>
  <c r="Q27"/>
  <c r="P27"/>
  <c r="N27"/>
  <c r="M27"/>
  <c r="K27"/>
  <c r="H27"/>
  <c r="C27"/>
  <c r="G27"/>
  <c r="E27"/>
  <c r="B27"/>
  <c r="A27"/>
  <c r="W26"/>
  <c r="S26"/>
  <c r="Q26"/>
  <c r="P26"/>
  <c r="M26"/>
  <c r="K26"/>
  <c r="H26"/>
  <c r="C26"/>
  <c r="G26"/>
  <c r="E26"/>
  <c r="B26"/>
  <c r="A26"/>
  <c r="W25"/>
  <c r="S25"/>
  <c r="Q25"/>
  <c r="P25"/>
  <c r="M25"/>
  <c r="K25"/>
  <c r="H25"/>
  <c r="C25"/>
  <c r="G25"/>
  <c r="E25"/>
  <c r="B25"/>
  <c r="A25"/>
  <c r="W24"/>
  <c r="S24"/>
  <c r="Q24"/>
  <c r="P24"/>
  <c r="M24"/>
  <c r="K24"/>
  <c r="H24"/>
  <c r="C24"/>
  <c r="G24"/>
  <c r="E24"/>
  <c r="B24"/>
  <c r="A24"/>
  <c r="W23"/>
  <c r="S23"/>
  <c r="Q23"/>
  <c r="P23"/>
  <c r="M23"/>
  <c r="K23"/>
  <c r="H23"/>
  <c r="C23"/>
  <c r="G23"/>
  <c r="E23"/>
  <c r="B23"/>
  <c r="A23"/>
  <c r="W22"/>
  <c r="S22"/>
  <c r="Q22"/>
  <c r="P22"/>
  <c r="M22"/>
  <c r="K22"/>
  <c r="H22"/>
  <c r="C22"/>
  <c r="G22"/>
  <c r="E22"/>
  <c r="B22"/>
  <c r="A22"/>
  <c r="W21"/>
  <c r="S21"/>
  <c r="Q21"/>
  <c r="P21"/>
  <c r="M21"/>
  <c r="K21"/>
  <c r="H21"/>
  <c r="C21"/>
  <c r="G21"/>
  <c r="E21"/>
  <c r="B21"/>
  <c r="A21"/>
  <c r="W20"/>
  <c r="S20"/>
  <c r="Q20"/>
  <c r="P20"/>
  <c r="M20"/>
  <c r="K20"/>
  <c r="H20"/>
  <c r="C20"/>
  <c r="G20"/>
  <c r="E20"/>
  <c r="B20"/>
  <c r="A20"/>
  <c r="W19"/>
  <c r="S19"/>
  <c r="Q19"/>
  <c r="P19"/>
  <c r="M19"/>
  <c r="K19"/>
  <c r="H19"/>
  <c r="C19"/>
  <c r="G19"/>
  <c r="E19"/>
  <c r="B19"/>
  <c r="A19"/>
  <c r="W18"/>
  <c r="S18"/>
  <c r="Q18"/>
  <c r="P18"/>
  <c r="M18"/>
  <c r="K18"/>
  <c r="H18"/>
  <c r="C18"/>
  <c r="G18"/>
  <c r="E18"/>
  <c r="B18"/>
  <c r="A18"/>
  <c r="W17"/>
  <c r="S17"/>
  <c r="Q17"/>
  <c r="P17"/>
  <c r="M17"/>
  <c r="K17"/>
  <c r="H17"/>
  <c r="C17"/>
  <c r="G17"/>
  <c r="E17"/>
  <c r="B17"/>
  <c r="A17"/>
  <c r="W16"/>
  <c r="S16"/>
  <c r="Q16"/>
  <c r="P16"/>
  <c r="M16"/>
  <c r="K16"/>
  <c r="H16"/>
  <c r="C16"/>
  <c r="G16"/>
  <c r="E16"/>
  <c r="B16"/>
  <c r="A16"/>
  <c r="W15"/>
  <c r="S15"/>
  <c r="Q15"/>
  <c r="P15"/>
  <c r="M15"/>
  <c r="K15"/>
  <c r="H15"/>
  <c r="C15"/>
  <c r="G15"/>
  <c r="E15"/>
  <c r="B15"/>
  <c r="A15"/>
  <c r="W14"/>
  <c r="S14"/>
  <c r="Q14"/>
  <c r="P14"/>
  <c r="M14"/>
  <c r="K14"/>
  <c r="H14"/>
  <c r="C14"/>
  <c r="G14"/>
  <c r="E14"/>
  <c r="B14"/>
  <c r="A14"/>
  <c r="W13"/>
  <c r="S13"/>
  <c r="Q13"/>
  <c r="P13"/>
  <c r="M13"/>
  <c r="K13"/>
  <c r="H13"/>
  <c r="C13"/>
  <c r="G13"/>
  <c r="E13"/>
  <c r="B13"/>
  <c r="A13"/>
  <c r="W12"/>
  <c r="S12"/>
  <c r="Q12"/>
  <c r="P12"/>
  <c r="M12"/>
  <c r="K12"/>
  <c r="H12"/>
  <c r="C12"/>
  <c r="G12"/>
  <c r="E12"/>
  <c r="B12"/>
  <c r="A12"/>
  <c r="W11"/>
  <c r="S11"/>
  <c r="Q11"/>
  <c r="P11"/>
  <c r="M11"/>
  <c r="K11"/>
  <c r="H11"/>
  <c r="C11"/>
  <c r="G11"/>
  <c r="E11"/>
  <c r="B11"/>
  <c r="A11"/>
  <c r="W10"/>
  <c r="S10"/>
  <c r="Q10"/>
  <c r="P10"/>
  <c r="M10"/>
  <c r="K10"/>
  <c r="H10"/>
  <c r="C10"/>
  <c r="G10"/>
  <c r="E10"/>
  <c r="B10"/>
  <c r="A10"/>
  <c r="W9"/>
  <c r="S9"/>
  <c r="Q9"/>
  <c r="P9"/>
  <c r="M9"/>
  <c r="K9"/>
  <c r="H9"/>
  <c r="C9"/>
  <c r="G9"/>
  <c r="E9"/>
  <c r="B9"/>
  <c r="A9"/>
  <c r="W8"/>
  <c r="S8"/>
  <c r="Q8"/>
  <c r="P8"/>
  <c r="M8"/>
  <c r="K8"/>
  <c r="H8"/>
  <c r="C8"/>
  <c r="G8"/>
  <c r="E8"/>
  <c r="B8"/>
  <c r="A8"/>
  <c r="W7"/>
  <c r="S7"/>
  <c r="Q7"/>
  <c r="P7"/>
  <c r="M7"/>
  <c r="K7"/>
  <c r="H7"/>
  <c r="C7"/>
  <c r="G7"/>
  <c r="E7"/>
  <c r="B7"/>
  <c r="A7"/>
  <c r="W6"/>
  <c r="S6"/>
  <c r="Q6"/>
  <c r="P6"/>
  <c r="M6"/>
  <c r="K6"/>
  <c r="H6"/>
  <c r="C6"/>
  <c r="G6"/>
  <c r="E6"/>
  <c r="B6"/>
  <c r="A6"/>
  <c r="W5"/>
  <c r="S5"/>
  <c r="Q5"/>
  <c r="P5"/>
  <c r="M5"/>
  <c r="K5"/>
  <c r="H5"/>
  <c r="C5"/>
  <c r="G5"/>
  <c r="E5"/>
  <c r="B5"/>
  <c r="A5"/>
  <c r="W4"/>
  <c r="S4"/>
  <c r="Q4"/>
  <c r="P4"/>
  <c r="M4"/>
  <c r="K4"/>
  <c r="H4"/>
  <c r="C4"/>
  <c r="G4"/>
  <c r="E4"/>
  <c r="B4"/>
  <c r="A4"/>
  <c r="W3"/>
  <c r="S3"/>
  <c r="Q3"/>
  <c r="P3"/>
  <c r="N3"/>
  <c r="M3"/>
  <c r="K3"/>
  <c r="H3"/>
  <c r="C3"/>
  <c r="G3"/>
  <c r="E3"/>
  <c r="B3"/>
  <c r="A3"/>
  <c r="W2"/>
  <c r="S2"/>
  <c r="Q2"/>
  <c r="P2"/>
  <c r="M2"/>
  <c r="K2"/>
  <c r="H2"/>
  <c r="C2"/>
  <c r="G2"/>
  <c r="E2"/>
  <c r="B2"/>
  <c r="A2"/>
  <c r="W1"/>
  <c r="V1"/>
  <c r="U1"/>
  <c r="T1"/>
  <c r="S1"/>
  <c r="R1"/>
  <c r="Q1"/>
  <c r="P1"/>
  <c r="O1"/>
  <c r="N1"/>
  <c r="M1"/>
  <c r="L1"/>
  <c r="K1"/>
  <c r="J1"/>
  <c r="I1"/>
  <c r="H1"/>
  <c r="D1"/>
  <c r="C1"/>
  <c r="G1"/>
  <c r="F1"/>
  <c r="E1"/>
  <c r="B1"/>
  <c r="A1"/>
  <c r="I24" i="18" l="1"/>
  <c r="I23"/>
  <c r="I22"/>
  <c r="I21"/>
  <c r="I20"/>
  <c r="I19"/>
  <c r="I18"/>
  <c r="I17"/>
  <c r="I16"/>
  <c r="G24"/>
  <c r="G23"/>
  <c r="G22"/>
  <c r="G21"/>
  <c r="G20"/>
  <c r="G19"/>
  <c r="G18"/>
  <c r="G17"/>
  <c r="G16"/>
  <c r="D24" l="1"/>
  <c r="D23"/>
  <c r="D22"/>
  <c r="D21"/>
  <c r="D20"/>
  <c r="D19"/>
  <c r="D18"/>
  <c r="D17"/>
  <c r="D16"/>
  <c r="D15"/>
  <c r="D14"/>
  <c r="E14" s="1"/>
  <c r="G14" s="1"/>
  <c r="I14" s="1"/>
  <c r="D12"/>
  <c r="E12" s="1"/>
  <c r="G12" s="1"/>
  <c r="I12" s="1"/>
  <c r="D11"/>
  <c r="E11" s="1"/>
  <c r="G11" s="1"/>
  <c r="I11" s="1"/>
  <c r="D10"/>
  <c r="E10" s="1"/>
  <c r="G10" s="1"/>
  <c r="I10" s="1"/>
  <c r="D9"/>
  <c r="E9" s="1"/>
  <c r="G9" s="1"/>
  <c r="I9" s="1"/>
  <c r="D8"/>
  <c r="E8" s="1"/>
  <c r="G8" s="1"/>
  <c r="I8" s="1"/>
  <c r="D7"/>
  <c r="E7" s="1"/>
  <c r="G7" s="1"/>
  <c r="I7" s="1"/>
  <c r="D6"/>
  <c r="E6" s="1"/>
  <c r="G6" s="1"/>
  <c r="I6" s="1"/>
  <c r="D5"/>
  <c r="E5" s="1"/>
  <c r="G5" s="1"/>
  <c r="I5" s="1"/>
  <c r="D4"/>
  <c r="E4" s="1"/>
  <c r="G4" s="1"/>
  <c r="I4" s="1"/>
  <c r="D3"/>
  <c r="E3" s="1"/>
  <c r="G3" s="1"/>
  <c r="I3" s="1"/>
  <c r="E2"/>
  <c r="D13"/>
  <c r="E13" s="1"/>
  <c r="G13" s="1"/>
  <c r="I13" s="1"/>
  <c r="B24"/>
  <c r="B23"/>
  <c r="B22"/>
  <c r="B21"/>
  <c r="B20"/>
  <c r="B19"/>
  <c r="B18"/>
  <c r="B17"/>
  <c r="B16"/>
  <c r="B15"/>
  <c r="B14"/>
  <c r="B12"/>
  <c r="B11"/>
  <c r="B10"/>
  <c r="B9"/>
  <c r="B8"/>
  <c r="B7"/>
  <c r="B6"/>
  <c r="B5"/>
  <c r="B4"/>
  <c r="B3"/>
  <c r="B13"/>
  <c r="E24"/>
  <c r="E23"/>
  <c r="E22"/>
  <c r="E21"/>
  <c r="E20"/>
  <c r="E19"/>
  <c r="E18"/>
  <c r="E17"/>
  <c r="E16"/>
  <c r="E15"/>
  <c r="G15" s="1"/>
  <c r="I15" s="1"/>
  <c r="I25" l="1"/>
  <c r="G2"/>
  <c r="E7" i="3"/>
  <c r="E8"/>
  <c r="E9"/>
  <c r="E6"/>
  <c r="E12"/>
  <c r="E11"/>
  <c r="E10"/>
  <c r="E17"/>
  <c r="E16"/>
  <c r="E15"/>
  <c r="E14"/>
  <c r="E18"/>
  <c r="J16" i="17"/>
  <c r="E4" i="16" s="1"/>
  <c r="J29" i="17"/>
  <c r="J28"/>
  <c r="J27"/>
  <c r="J26"/>
  <c r="J25"/>
  <c r="J24"/>
  <c r="J23"/>
  <c r="J22"/>
  <c r="J21"/>
  <c r="J20"/>
  <c r="J19"/>
  <c r="J18"/>
  <c r="J17"/>
  <c r="I29"/>
  <c r="I28"/>
  <c r="I27"/>
  <c r="I26"/>
  <c r="I25"/>
  <c r="I24"/>
  <c r="I23"/>
  <c r="I22"/>
  <c r="I21"/>
  <c r="I20"/>
  <c r="I19"/>
  <c r="I18"/>
  <c r="I17"/>
  <c r="H29"/>
  <c r="G29"/>
  <c r="H28"/>
  <c r="H27"/>
  <c r="G27"/>
  <c r="H26"/>
  <c r="G26"/>
  <c r="H25"/>
  <c r="G25"/>
  <c r="H24"/>
  <c r="G24"/>
  <c r="H23"/>
  <c r="G23"/>
  <c r="H22"/>
  <c r="G22"/>
  <c r="H21"/>
  <c r="G21"/>
  <c r="H20"/>
  <c r="G20"/>
  <c r="H19"/>
  <c r="G19"/>
  <c r="H18"/>
  <c r="G18"/>
  <c r="H17"/>
  <c r="C29"/>
  <c r="B29"/>
  <c r="C28"/>
  <c r="B28"/>
  <c r="C27"/>
  <c r="B27"/>
  <c r="C26"/>
  <c r="B26"/>
  <c r="C25"/>
  <c r="B25"/>
  <c r="C24"/>
  <c r="B24"/>
  <c r="C23"/>
  <c r="B23"/>
  <c r="C22"/>
  <c r="B22"/>
  <c r="C21"/>
  <c r="B21"/>
  <c r="C20"/>
  <c r="B20"/>
  <c r="C19"/>
  <c r="B19"/>
  <c r="C18"/>
  <c r="B18"/>
  <c r="C17"/>
  <c r="B17"/>
  <c r="J2"/>
  <c r="E3" i="16" s="1"/>
  <c r="J14" i="17"/>
  <c r="J13"/>
  <c r="J12"/>
  <c r="J11"/>
  <c r="J10"/>
  <c r="J9"/>
  <c r="J8"/>
  <c r="J7"/>
  <c r="J6"/>
  <c r="J5"/>
  <c r="J4"/>
  <c r="J3"/>
  <c r="I4"/>
  <c r="I5"/>
  <c r="I6"/>
  <c r="I7"/>
  <c r="I8"/>
  <c r="I9"/>
  <c r="I10"/>
  <c r="I11"/>
  <c r="I12"/>
  <c r="I13"/>
  <c r="I14"/>
  <c r="I3"/>
  <c r="H14"/>
  <c r="H13"/>
  <c r="G13"/>
  <c r="H12"/>
  <c r="G12"/>
  <c r="H11"/>
  <c r="G11"/>
  <c r="H10"/>
  <c r="G10"/>
  <c r="H9"/>
  <c r="G9"/>
  <c r="H8"/>
  <c r="G8"/>
  <c r="H7"/>
  <c r="G7"/>
  <c r="H6"/>
  <c r="G6"/>
  <c r="H5"/>
  <c r="G5"/>
  <c r="H4"/>
  <c r="G4"/>
  <c r="H3"/>
  <c r="D3" i="16"/>
  <c r="C3"/>
  <c r="G17" i="17"/>
  <c r="G28"/>
  <c r="A17"/>
  <c r="G3"/>
  <c r="G14"/>
  <c r="B3" i="16"/>
  <c r="A3" i="17"/>
  <c r="B4" i="16" s="1"/>
  <c r="K4"/>
  <c r="K3"/>
  <c r="I2" i="18" l="1"/>
  <c r="I29" s="1"/>
  <c r="I27"/>
  <c r="C2" i="15"/>
  <c r="B2"/>
  <c r="A2"/>
  <c r="C9537"/>
  <c r="A9537"/>
  <c r="C9536"/>
  <c r="B9536"/>
  <c r="A9536"/>
  <c r="C9535"/>
  <c r="B9535"/>
  <c r="A9535"/>
  <c r="C9534"/>
  <c r="B9534"/>
  <c r="A9534"/>
  <c r="C9533"/>
  <c r="A9533"/>
  <c r="C9532"/>
  <c r="B9532"/>
  <c r="A9532"/>
  <c r="C9531"/>
  <c r="B9531"/>
  <c r="A9531"/>
  <c r="C9530"/>
  <c r="A9530"/>
  <c r="C9529"/>
  <c r="B9529"/>
  <c r="A9529"/>
  <c r="C9528"/>
  <c r="A9528"/>
  <c r="C9527"/>
  <c r="A9527"/>
  <c r="C9526"/>
  <c r="A9526"/>
  <c r="C9525"/>
  <c r="B9525"/>
  <c r="A9525"/>
  <c r="C9524"/>
  <c r="B9524"/>
  <c r="A9524"/>
  <c r="C9523"/>
  <c r="B9523"/>
  <c r="A9523"/>
  <c r="C9522"/>
  <c r="B9522"/>
  <c r="A9522"/>
  <c r="C9521"/>
  <c r="B9521"/>
  <c r="A9521"/>
  <c r="C9520"/>
  <c r="B9520"/>
  <c r="A9520"/>
  <c r="C9519"/>
  <c r="B9519"/>
  <c r="A9519"/>
  <c r="C9518"/>
  <c r="B9518"/>
  <c r="A9518"/>
  <c r="C9517"/>
  <c r="B9517"/>
  <c r="A9517"/>
  <c r="C9516"/>
  <c r="B9516"/>
  <c r="A9516"/>
  <c r="C9515"/>
  <c r="B9515"/>
  <c r="A9515"/>
  <c r="C9514"/>
  <c r="B9514"/>
  <c r="A9514"/>
  <c r="C9513"/>
  <c r="B9513"/>
  <c r="A9513"/>
  <c r="C9512"/>
  <c r="B9512"/>
  <c r="A9512"/>
  <c r="C9511"/>
  <c r="B9511"/>
  <c r="A9511"/>
  <c r="C9510"/>
  <c r="B9510"/>
  <c r="A9510"/>
  <c r="C9509"/>
  <c r="B9509"/>
  <c r="A9509"/>
  <c r="C9508"/>
  <c r="B9508"/>
  <c r="A9508"/>
  <c r="C9507"/>
  <c r="B9507"/>
  <c r="A9507"/>
  <c r="C9506"/>
  <c r="B9506"/>
  <c r="A9506"/>
  <c r="C9505"/>
  <c r="B9505"/>
  <c r="A9505"/>
  <c r="C9504"/>
  <c r="B9504"/>
  <c r="A9504"/>
  <c r="C9503"/>
  <c r="B9503"/>
  <c r="A9503"/>
  <c r="C9502"/>
  <c r="B9502"/>
  <c r="A9502"/>
  <c r="C9501"/>
  <c r="B9501"/>
  <c r="A9501"/>
  <c r="C9500"/>
  <c r="B9500"/>
  <c r="A9500"/>
  <c r="C9499"/>
  <c r="B9499"/>
  <c r="A9499"/>
  <c r="C9498"/>
  <c r="B9498"/>
  <c r="A9498"/>
  <c r="C9497"/>
  <c r="B9497"/>
  <c r="A9497"/>
  <c r="C9496"/>
  <c r="B9496"/>
  <c r="A9496"/>
  <c r="C9495"/>
  <c r="B9495"/>
  <c r="A9495"/>
  <c r="C9494"/>
  <c r="B9494"/>
  <c r="A9494"/>
  <c r="C9493"/>
  <c r="B9493"/>
  <c r="A9493"/>
  <c r="C9492"/>
  <c r="B9492"/>
  <c r="A9492"/>
  <c r="C9491"/>
  <c r="B9491"/>
  <c r="A9491"/>
  <c r="C9490"/>
  <c r="B9490"/>
  <c r="A9490"/>
  <c r="C9489"/>
  <c r="B9489"/>
  <c r="A9489"/>
  <c r="C9488"/>
  <c r="B9488"/>
  <c r="A9488"/>
  <c r="C9487"/>
  <c r="B9487"/>
  <c r="A9487"/>
  <c r="C9486"/>
  <c r="B9486"/>
  <c r="A9486"/>
  <c r="C9485"/>
  <c r="A9485"/>
  <c r="C9484"/>
  <c r="B9484"/>
  <c r="A9484"/>
  <c r="C9483"/>
  <c r="B9483"/>
  <c r="A9483"/>
  <c r="C9482"/>
  <c r="B9482"/>
  <c r="A9482"/>
  <c r="C9481"/>
  <c r="B9481"/>
  <c r="A9481"/>
  <c r="C9480"/>
  <c r="B9480"/>
  <c r="A9480"/>
  <c r="C9479"/>
  <c r="B9479"/>
  <c r="A9479"/>
  <c r="C9478"/>
  <c r="B9478"/>
  <c r="A9478"/>
  <c r="C9477"/>
  <c r="A9477"/>
  <c r="C9476"/>
  <c r="A9476"/>
  <c r="C9475"/>
  <c r="B9475"/>
  <c r="A9475"/>
  <c r="C9474"/>
  <c r="B9474"/>
  <c r="A9474"/>
  <c r="C9473"/>
  <c r="A9473"/>
  <c r="C9472"/>
  <c r="B9472"/>
  <c r="A9472"/>
  <c r="C9471"/>
  <c r="B9471"/>
  <c r="A9471"/>
  <c r="C9470"/>
  <c r="A9470"/>
  <c r="C9469"/>
  <c r="B9469"/>
  <c r="A9469"/>
  <c r="C9468"/>
  <c r="A9468"/>
  <c r="C9467"/>
  <c r="A9467"/>
  <c r="C9466"/>
  <c r="A9466"/>
  <c r="C9465"/>
  <c r="A9465"/>
  <c r="C9464"/>
  <c r="A9464"/>
  <c r="C9463"/>
  <c r="B9463"/>
  <c r="A9463"/>
  <c r="C9462"/>
  <c r="A9462"/>
  <c r="C9461"/>
  <c r="A9461"/>
  <c r="C9460"/>
  <c r="A9460"/>
  <c r="C9459"/>
  <c r="A9459"/>
  <c r="C9458"/>
  <c r="A9458"/>
  <c r="C9457"/>
  <c r="A9457"/>
  <c r="C9456"/>
  <c r="A9456"/>
  <c r="C9455"/>
  <c r="A9455"/>
  <c r="C9454"/>
  <c r="A9454"/>
  <c r="C9453"/>
  <c r="A9453"/>
  <c r="C9452"/>
  <c r="A9452"/>
  <c r="C9451"/>
  <c r="A9451"/>
  <c r="C9450"/>
  <c r="B9450"/>
  <c r="A9450"/>
  <c r="C9449"/>
  <c r="B9449"/>
  <c r="A9449"/>
  <c r="C9448"/>
  <c r="B9448"/>
  <c r="A9448"/>
  <c r="C9447"/>
  <c r="B9447"/>
  <c r="A9447"/>
  <c r="C9446"/>
  <c r="B9446"/>
  <c r="A9446"/>
  <c r="C9445"/>
  <c r="B9445"/>
  <c r="A9445"/>
  <c r="C9444"/>
  <c r="B9444"/>
  <c r="A9444"/>
  <c r="C9443"/>
  <c r="B9443"/>
  <c r="A9443"/>
  <c r="C9442"/>
  <c r="B9442"/>
  <c r="A9442"/>
  <c r="C9441"/>
  <c r="B9441"/>
  <c r="A9441"/>
  <c r="C9440"/>
  <c r="B9440"/>
  <c r="A9440"/>
  <c r="C9439"/>
  <c r="B9439"/>
  <c r="A9439"/>
  <c r="C9438"/>
  <c r="A9438"/>
  <c r="C9437"/>
  <c r="A9437"/>
  <c r="C9436"/>
  <c r="B9436"/>
  <c r="A9436"/>
  <c r="C9435"/>
  <c r="A9435"/>
  <c r="C9434"/>
  <c r="B9434"/>
  <c r="A9434"/>
  <c r="C9433"/>
  <c r="B9433"/>
  <c r="A9433"/>
  <c r="C9432"/>
  <c r="A9432"/>
  <c r="C9431"/>
  <c r="B9431"/>
  <c r="A9431"/>
  <c r="C9430"/>
  <c r="B9430"/>
  <c r="A9430"/>
  <c r="C9429"/>
  <c r="B9429"/>
  <c r="A9429"/>
  <c r="C9428"/>
  <c r="B9428"/>
  <c r="A9428"/>
  <c r="C9427"/>
  <c r="B9427"/>
  <c r="A9427"/>
  <c r="C9426"/>
  <c r="B9426"/>
  <c r="A9426"/>
  <c r="C9425"/>
  <c r="B9425"/>
  <c r="A9425"/>
  <c r="C9424"/>
  <c r="A9424"/>
  <c r="C9423"/>
  <c r="B9423"/>
  <c r="A9423"/>
  <c r="C9422"/>
  <c r="A9422"/>
  <c r="C9421"/>
  <c r="A9421"/>
  <c r="C9420"/>
  <c r="A9420"/>
  <c r="C9419"/>
  <c r="A9419"/>
  <c r="C9418"/>
  <c r="B9418"/>
  <c r="A9418"/>
  <c r="C9417"/>
  <c r="B9417"/>
  <c r="A9417"/>
  <c r="C9416"/>
  <c r="B9416"/>
  <c r="A9416"/>
  <c r="C9415"/>
  <c r="A9415"/>
  <c r="C9414"/>
  <c r="A9414"/>
  <c r="C9413"/>
  <c r="A9413"/>
  <c r="C9412"/>
  <c r="A9412"/>
  <c r="C9411"/>
  <c r="A9411"/>
  <c r="C9410"/>
  <c r="A9410"/>
  <c r="C9409"/>
  <c r="B9409"/>
  <c r="A9409"/>
  <c r="C9408"/>
  <c r="B9408"/>
  <c r="A9408"/>
  <c r="C9407"/>
  <c r="B9407"/>
  <c r="A9407"/>
  <c r="C9406"/>
  <c r="B9406"/>
  <c r="A9406"/>
  <c r="C9405"/>
  <c r="A9405"/>
  <c r="C9404"/>
  <c r="A9404"/>
  <c r="C9403"/>
  <c r="A9403"/>
  <c r="C9402"/>
  <c r="A9402"/>
  <c r="C9401"/>
  <c r="B9401"/>
  <c r="A9401"/>
  <c r="C9400"/>
  <c r="B9400"/>
  <c r="A9400"/>
  <c r="C9399"/>
  <c r="A9399"/>
  <c r="C9398"/>
  <c r="A9398"/>
  <c r="C9397"/>
  <c r="B9397"/>
  <c r="A9397"/>
  <c r="C9396"/>
  <c r="A9396"/>
  <c r="C9395"/>
  <c r="A9395"/>
  <c r="C9394"/>
  <c r="A9394"/>
  <c r="C9393"/>
  <c r="A9393"/>
  <c r="C9392"/>
  <c r="B9392"/>
  <c r="A9392"/>
  <c r="C9391"/>
  <c r="B9391"/>
  <c r="A9391"/>
  <c r="C9390"/>
  <c r="B9390"/>
  <c r="A9390"/>
  <c r="C9389"/>
  <c r="B9389"/>
  <c r="A9389"/>
  <c r="C9388"/>
  <c r="B9388"/>
  <c r="A9388"/>
  <c r="C9387"/>
  <c r="B9387"/>
  <c r="A9387"/>
  <c r="C9386"/>
  <c r="B9386"/>
  <c r="A9386"/>
  <c r="C9385"/>
  <c r="B9385"/>
  <c r="A9385"/>
  <c r="C9384"/>
  <c r="B9384"/>
  <c r="A9384"/>
  <c r="C9383"/>
  <c r="B9383"/>
  <c r="A9383"/>
  <c r="C9382"/>
  <c r="B9382"/>
  <c r="A9382"/>
  <c r="C9381"/>
  <c r="B9381"/>
  <c r="A9381"/>
  <c r="C9380"/>
  <c r="B9380"/>
  <c r="A9380"/>
  <c r="C9379"/>
  <c r="B9379"/>
  <c r="A9379"/>
  <c r="C9378"/>
  <c r="B9378"/>
  <c r="A9378"/>
  <c r="C9377"/>
  <c r="B9377"/>
  <c r="A9377"/>
  <c r="C9376"/>
  <c r="B9376"/>
  <c r="A9376"/>
  <c r="C9375"/>
  <c r="B9375"/>
  <c r="A9375"/>
  <c r="C9374"/>
  <c r="B9374"/>
  <c r="A9374"/>
  <c r="C9373"/>
  <c r="B9373"/>
  <c r="A9373"/>
  <c r="C9372"/>
  <c r="B9372"/>
  <c r="A9372"/>
  <c r="C9371"/>
  <c r="B9371"/>
  <c r="A9371"/>
  <c r="C9370"/>
  <c r="B9370"/>
  <c r="A9370"/>
  <c r="C9369"/>
  <c r="B9369"/>
  <c r="A9369"/>
  <c r="C9368"/>
  <c r="B9368"/>
  <c r="A9368"/>
  <c r="C9367"/>
  <c r="B9367"/>
  <c r="A9367"/>
  <c r="C9366"/>
  <c r="B9366"/>
  <c r="A9366"/>
  <c r="C9365"/>
  <c r="B9365"/>
  <c r="A9365"/>
  <c r="C9364"/>
  <c r="B9364"/>
  <c r="A9364"/>
  <c r="C9363"/>
  <c r="B9363"/>
  <c r="A9363"/>
  <c r="C9362"/>
  <c r="A9362"/>
  <c r="C9361"/>
  <c r="A9361"/>
  <c r="C9360"/>
  <c r="B9360"/>
  <c r="A9360"/>
  <c r="C9359"/>
  <c r="A9359"/>
  <c r="C9358"/>
  <c r="A9358"/>
  <c r="C9357"/>
  <c r="A9357"/>
  <c r="C9356"/>
  <c r="A9356"/>
  <c r="C9355"/>
  <c r="A9355"/>
  <c r="C9354"/>
  <c r="A9354"/>
  <c r="C9353"/>
  <c r="A9353"/>
  <c r="C9352"/>
  <c r="B9352"/>
  <c r="A9352"/>
  <c r="C9351"/>
  <c r="A9351"/>
  <c r="C9350"/>
  <c r="A9350"/>
  <c r="C9349"/>
  <c r="A9349"/>
  <c r="C9348"/>
  <c r="A9348"/>
  <c r="C9347"/>
  <c r="A9347"/>
  <c r="C9346"/>
  <c r="A9346"/>
  <c r="C9345"/>
  <c r="A9345"/>
  <c r="C9344"/>
  <c r="A9344"/>
  <c r="C9343"/>
  <c r="A9343"/>
  <c r="C9342"/>
  <c r="A9342"/>
  <c r="C9341"/>
  <c r="A9341"/>
  <c r="C9340"/>
  <c r="A9340"/>
  <c r="C9339"/>
  <c r="A9339"/>
  <c r="C9338"/>
  <c r="A9338"/>
  <c r="C9337"/>
  <c r="A9337"/>
  <c r="C9336"/>
  <c r="A9336"/>
  <c r="C9335"/>
  <c r="A9335"/>
  <c r="C9334"/>
  <c r="A9334"/>
  <c r="C9333"/>
  <c r="A9333"/>
  <c r="C9332"/>
  <c r="A9332"/>
  <c r="C9331"/>
  <c r="A9331"/>
  <c r="C9330"/>
  <c r="A9330"/>
  <c r="C9329"/>
  <c r="A9329"/>
  <c r="C9328"/>
  <c r="A9328"/>
  <c r="C9327"/>
  <c r="A9327"/>
  <c r="C9326"/>
  <c r="A9326"/>
  <c r="C9325"/>
  <c r="A9325"/>
  <c r="C9324"/>
  <c r="A9324"/>
  <c r="C9323"/>
  <c r="A9323"/>
  <c r="C9322"/>
  <c r="B9322"/>
  <c r="A9322"/>
  <c r="C9321"/>
  <c r="B9321"/>
  <c r="A9321"/>
  <c r="C9320"/>
  <c r="A9320"/>
  <c r="C9319"/>
  <c r="A9319"/>
  <c r="C9318"/>
  <c r="B9318"/>
  <c r="A9318"/>
  <c r="C9317"/>
  <c r="B9317"/>
  <c r="A9317"/>
  <c r="C9316"/>
  <c r="B9316"/>
  <c r="A9316"/>
  <c r="C9315"/>
  <c r="B9315"/>
  <c r="A9315"/>
  <c r="C9314"/>
  <c r="B9314"/>
  <c r="A9314"/>
  <c r="C9313"/>
  <c r="B9313"/>
  <c r="A9313"/>
  <c r="C9312"/>
  <c r="B9312"/>
  <c r="A9312"/>
  <c r="C9311"/>
  <c r="B9311"/>
  <c r="A9311"/>
  <c r="C9310"/>
  <c r="B9310"/>
  <c r="A9310"/>
  <c r="C9309"/>
  <c r="B9309"/>
  <c r="A9309"/>
  <c r="C9308"/>
  <c r="B9308"/>
  <c r="A9308"/>
  <c r="C9307"/>
  <c r="B9307"/>
  <c r="A9307"/>
  <c r="C9306"/>
  <c r="B9306"/>
  <c r="A9306"/>
  <c r="C9305"/>
  <c r="B9305"/>
  <c r="A9305"/>
  <c r="C9304"/>
  <c r="B9304"/>
  <c r="A9304"/>
  <c r="C9303"/>
  <c r="B9303"/>
  <c r="A9303"/>
  <c r="C9302"/>
  <c r="B9302"/>
  <c r="A9302"/>
  <c r="C9301"/>
  <c r="B9301"/>
  <c r="A9301"/>
  <c r="C9300"/>
  <c r="B9300"/>
  <c r="A9300"/>
  <c r="C9299"/>
  <c r="B9299"/>
  <c r="A9299"/>
  <c r="C9298"/>
  <c r="B9298"/>
  <c r="A9298"/>
  <c r="C9297"/>
  <c r="B9297"/>
  <c r="A9297"/>
  <c r="C9296"/>
  <c r="B9296"/>
  <c r="A9296"/>
  <c r="C9295"/>
  <c r="B9295"/>
  <c r="A9295"/>
  <c r="C9294"/>
  <c r="B9294"/>
  <c r="A9294"/>
  <c r="C9293"/>
  <c r="B9293"/>
  <c r="A9293"/>
  <c r="C9292"/>
  <c r="B9292"/>
  <c r="A9292"/>
  <c r="C9291"/>
  <c r="B9291"/>
  <c r="A9291"/>
  <c r="C9290"/>
  <c r="B9290"/>
  <c r="A9290"/>
  <c r="C9289"/>
  <c r="B9289"/>
  <c r="A9289"/>
  <c r="C9288"/>
  <c r="B9288"/>
  <c r="A9288"/>
  <c r="C9287"/>
  <c r="B9287"/>
  <c r="A9287"/>
  <c r="C9286"/>
  <c r="B9286"/>
  <c r="A9286"/>
  <c r="C9285"/>
  <c r="B9285"/>
  <c r="A9285"/>
  <c r="C9284"/>
  <c r="B9284"/>
  <c r="A9284"/>
  <c r="C9283"/>
  <c r="B9283"/>
  <c r="A9283"/>
  <c r="C9282"/>
  <c r="B9282"/>
  <c r="A9282"/>
  <c r="C9281"/>
  <c r="B9281"/>
  <c r="A9281"/>
  <c r="C9280"/>
  <c r="B9280"/>
  <c r="A9280"/>
  <c r="C9279"/>
  <c r="B9279"/>
  <c r="A9279"/>
  <c r="C9278"/>
  <c r="B9278"/>
  <c r="A9278"/>
  <c r="C9277"/>
  <c r="B9277"/>
  <c r="A9277"/>
  <c r="C9276"/>
  <c r="B9276"/>
  <c r="A9276"/>
  <c r="C9275"/>
  <c r="B9275"/>
  <c r="A9275"/>
  <c r="C9274"/>
  <c r="B9274"/>
  <c r="A9274"/>
  <c r="C9273"/>
  <c r="B9273"/>
  <c r="A9273"/>
  <c r="C9272"/>
  <c r="B9272"/>
  <c r="A9272"/>
  <c r="C9271"/>
  <c r="B9271"/>
  <c r="A9271"/>
  <c r="C9270"/>
  <c r="B9270"/>
  <c r="A9270"/>
  <c r="C9269"/>
  <c r="B9269"/>
  <c r="A9269"/>
  <c r="C9268"/>
  <c r="B9268"/>
  <c r="A9268"/>
  <c r="C9267"/>
  <c r="B9267"/>
  <c r="A9267"/>
  <c r="C9266"/>
  <c r="B9266"/>
  <c r="A9266"/>
  <c r="C9265"/>
  <c r="B9265"/>
  <c r="A9265"/>
  <c r="C9264"/>
  <c r="B9264"/>
  <c r="A9264"/>
  <c r="C9263"/>
  <c r="B9263"/>
  <c r="A9263"/>
  <c r="C9262"/>
  <c r="B9262"/>
  <c r="A9262"/>
  <c r="C9261"/>
  <c r="B9261"/>
  <c r="A9261"/>
  <c r="C9260"/>
  <c r="B9260"/>
  <c r="A9260"/>
  <c r="C9259"/>
  <c r="B9259"/>
  <c r="A9259"/>
  <c r="C9258"/>
  <c r="B9258"/>
  <c r="A9258"/>
  <c r="C9257"/>
  <c r="B9257"/>
  <c r="A9257"/>
  <c r="C9256"/>
  <c r="B9256"/>
  <c r="A9256"/>
  <c r="C9255"/>
  <c r="B9255"/>
  <c r="A9255"/>
  <c r="C9254"/>
  <c r="B9254"/>
  <c r="A9254"/>
  <c r="C9253"/>
  <c r="B9253"/>
  <c r="A9253"/>
  <c r="C9252"/>
  <c r="B9252"/>
  <c r="A9252"/>
  <c r="C9251"/>
  <c r="B9251"/>
  <c r="A9251"/>
  <c r="C9250"/>
  <c r="B9250"/>
  <c r="A9250"/>
  <c r="C9249"/>
  <c r="B9249"/>
  <c r="A9249"/>
  <c r="C9248"/>
  <c r="B9248"/>
  <c r="A9248"/>
  <c r="C9247"/>
  <c r="B9247"/>
  <c r="A9247"/>
  <c r="C9246"/>
  <c r="B9246"/>
  <c r="A9246"/>
  <c r="C9245"/>
  <c r="B9245"/>
  <c r="A9245"/>
  <c r="C9244"/>
  <c r="B9244"/>
  <c r="A9244"/>
  <c r="C9243"/>
  <c r="B9243"/>
  <c r="A9243"/>
  <c r="C9242"/>
  <c r="B9242"/>
  <c r="A9242"/>
  <c r="C9241"/>
  <c r="B9241"/>
  <c r="A9241"/>
  <c r="C9240"/>
  <c r="B9240"/>
  <c r="A9240"/>
  <c r="C9239"/>
  <c r="B9239"/>
  <c r="A9239"/>
  <c r="C9238"/>
  <c r="B9238"/>
  <c r="A9238"/>
  <c r="C9237"/>
  <c r="B9237"/>
  <c r="A9237"/>
  <c r="C9236"/>
  <c r="B9236"/>
  <c r="A9236"/>
  <c r="C9235"/>
  <c r="B9235"/>
  <c r="A9235"/>
  <c r="C9234"/>
  <c r="B9234"/>
  <c r="A9234"/>
  <c r="C9233"/>
  <c r="B9233"/>
  <c r="A9233"/>
  <c r="C9232"/>
  <c r="B9232"/>
  <c r="A9232"/>
  <c r="C9231"/>
  <c r="B9231"/>
  <c r="A9231"/>
  <c r="C9230"/>
  <c r="B9230"/>
  <c r="A9230"/>
  <c r="C9229"/>
  <c r="B9229"/>
  <c r="A9229"/>
  <c r="C9228"/>
  <c r="B9228"/>
  <c r="A9228"/>
  <c r="C9227"/>
  <c r="B9227"/>
  <c r="A9227"/>
  <c r="C9226"/>
  <c r="B9226"/>
  <c r="A9226"/>
  <c r="C9225"/>
  <c r="B9225"/>
  <c r="A9225"/>
  <c r="C9224"/>
  <c r="B9224"/>
  <c r="A9224"/>
  <c r="C9223"/>
  <c r="B9223"/>
  <c r="A9223"/>
  <c r="C9222"/>
  <c r="B9222"/>
  <c r="A9222"/>
  <c r="C9221"/>
  <c r="B9221"/>
  <c r="A9221"/>
  <c r="C9220"/>
  <c r="B9220"/>
  <c r="A9220"/>
  <c r="C9219"/>
  <c r="B9219"/>
  <c r="A9219"/>
  <c r="C9218"/>
  <c r="B9218"/>
  <c r="A9218"/>
  <c r="C9217"/>
  <c r="B9217"/>
  <c r="A9217"/>
  <c r="C9216"/>
  <c r="B9216"/>
  <c r="A9216"/>
  <c r="C9215"/>
  <c r="B9215"/>
  <c r="A9215"/>
  <c r="C9214"/>
  <c r="B9214"/>
  <c r="A9214"/>
  <c r="C9213"/>
  <c r="B9213"/>
  <c r="A9213"/>
  <c r="C9212"/>
  <c r="B9212"/>
  <c r="A9212"/>
  <c r="C9211"/>
  <c r="B9211"/>
  <c r="A9211"/>
  <c r="C9210"/>
  <c r="B9210"/>
  <c r="A9210"/>
  <c r="C9209"/>
  <c r="B9209"/>
  <c r="A9209"/>
  <c r="C9208"/>
  <c r="B9208"/>
  <c r="A9208"/>
  <c r="C9207"/>
  <c r="B9207"/>
  <c r="A9207"/>
  <c r="C9206"/>
  <c r="B9206"/>
  <c r="A9206"/>
  <c r="C9205"/>
  <c r="B9205"/>
  <c r="A9205"/>
  <c r="C9204"/>
  <c r="B9204"/>
  <c r="A9204"/>
  <c r="C9203"/>
  <c r="B9203"/>
  <c r="A9203"/>
  <c r="C9202"/>
  <c r="B9202"/>
  <c r="A9202"/>
  <c r="C9201"/>
  <c r="B9201"/>
  <c r="A9201"/>
  <c r="C9200"/>
  <c r="B9200"/>
  <c r="A9200"/>
  <c r="C9199"/>
  <c r="B9199"/>
  <c r="A9199"/>
  <c r="C9198"/>
  <c r="B9198"/>
  <c r="A9198"/>
  <c r="C9197"/>
  <c r="B9197"/>
  <c r="A9197"/>
  <c r="C9196"/>
  <c r="B9196"/>
  <c r="A9196"/>
  <c r="C9195"/>
  <c r="B9195"/>
  <c r="A9195"/>
  <c r="C9194"/>
  <c r="B9194"/>
  <c r="A9194"/>
  <c r="C9193"/>
  <c r="B9193"/>
  <c r="A9193"/>
  <c r="C9192"/>
  <c r="B9192"/>
  <c r="A9192"/>
  <c r="C9191"/>
  <c r="B9191"/>
  <c r="A9191"/>
  <c r="C9190"/>
  <c r="B9190"/>
  <c r="A9190"/>
  <c r="C9189"/>
  <c r="B9189"/>
  <c r="A9189"/>
  <c r="C9188"/>
  <c r="B9188"/>
  <c r="A9188"/>
  <c r="C9187"/>
  <c r="B9187"/>
  <c r="A9187"/>
  <c r="C9186"/>
  <c r="B9186"/>
  <c r="A9186"/>
  <c r="C9185"/>
  <c r="B9185"/>
  <c r="A9185"/>
  <c r="C9184"/>
  <c r="B9184"/>
  <c r="A9184"/>
  <c r="C9183"/>
  <c r="B9183"/>
  <c r="A9183"/>
  <c r="C9182"/>
  <c r="B9182"/>
  <c r="A9182"/>
  <c r="C9181"/>
  <c r="B9181"/>
  <c r="A9181"/>
  <c r="C9180"/>
  <c r="B9180"/>
  <c r="A9180"/>
  <c r="C9179"/>
  <c r="B9179"/>
  <c r="A9179"/>
  <c r="C9178"/>
  <c r="B9178"/>
  <c r="A9178"/>
  <c r="C9177"/>
  <c r="B9177"/>
  <c r="A9177"/>
  <c r="C9176"/>
  <c r="B9176"/>
  <c r="A9176"/>
  <c r="C9175"/>
  <c r="B9175"/>
  <c r="A9175"/>
  <c r="C9174"/>
  <c r="B9174"/>
  <c r="A9174"/>
  <c r="C9173"/>
  <c r="B9173"/>
  <c r="A9173"/>
  <c r="C9172"/>
  <c r="B9172"/>
  <c r="A9172"/>
  <c r="C9171"/>
  <c r="B9171"/>
  <c r="A9171"/>
  <c r="C9170"/>
  <c r="B9170"/>
  <c r="A9170"/>
  <c r="C9169"/>
  <c r="B9169"/>
  <c r="A9169"/>
  <c r="C9168"/>
  <c r="B9168"/>
  <c r="A9168"/>
  <c r="C9167"/>
  <c r="B9167"/>
  <c r="A9167"/>
  <c r="C9166"/>
  <c r="B9166"/>
  <c r="A9166"/>
  <c r="C9165"/>
  <c r="B9165"/>
  <c r="A9165"/>
  <c r="C9164"/>
  <c r="B9164"/>
  <c r="A9164"/>
  <c r="C9163"/>
  <c r="B9163"/>
  <c r="A9163"/>
  <c r="C9162"/>
  <c r="B9162"/>
  <c r="A9162"/>
  <c r="C9161"/>
  <c r="B9161"/>
  <c r="A9161"/>
  <c r="C9160"/>
  <c r="B9160"/>
  <c r="A9160"/>
  <c r="C9159"/>
  <c r="B9159"/>
  <c r="A9159"/>
  <c r="C9158"/>
  <c r="B9158"/>
  <c r="A9158"/>
  <c r="C9157"/>
  <c r="B9157"/>
  <c r="A9157"/>
  <c r="C9156"/>
  <c r="B9156"/>
  <c r="A9156"/>
  <c r="C9155"/>
  <c r="B9155"/>
  <c r="A9155"/>
  <c r="C9154"/>
  <c r="B9154"/>
  <c r="A9154"/>
  <c r="C9153"/>
  <c r="B9153"/>
  <c r="A9153"/>
  <c r="C9152"/>
  <c r="B9152"/>
  <c r="A9152"/>
  <c r="C9151"/>
  <c r="B9151"/>
  <c r="A9151"/>
  <c r="C9150"/>
  <c r="B9150"/>
  <c r="A9150"/>
  <c r="C9149"/>
  <c r="B9149"/>
  <c r="A9149"/>
  <c r="C9148"/>
  <c r="B9148"/>
  <c r="A9148"/>
  <c r="C9147"/>
  <c r="B9147"/>
  <c r="A9147"/>
  <c r="C9146"/>
  <c r="B9146"/>
  <c r="A9146"/>
  <c r="C9145"/>
  <c r="B9145"/>
  <c r="A9145"/>
  <c r="C9144"/>
  <c r="B9144"/>
  <c r="A9144"/>
  <c r="C9143"/>
  <c r="B9143"/>
  <c r="A9143"/>
  <c r="C9142"/>
  <c r="B9142"/>
  <c r="A9142"/>
  <c r="C9141"/>
  <c r="B9141"/>
  <c r="A9141"/>
  <c r="C9140"/>
  <c r="B9140"/>
  <c r="A9140"/>
  <c r="C9139"/>
  <c r="B9139"/>
  <c r="A9139"/>
  <c r="C9138"/>
  <c r="B9138"/>
  <c r="A9138"/>
  <c r="C9137"/>
  <c r="B9137"/>
  <c r="A9137"/>
  <c r="C9136"/>
  <c r="B9136"/>
  <c r="A9136"/>
  <c r="C9135"/>
  <c r="B9135"/>
  <c r="A9135"/>
  <c r="C9134"/>
  <c r="B9134"/>
  <c r="A9134"/>
  <c r="C9133"/>
  <c r="B9133"/>
  <c r="A9133"/>
  <c r="C9132"/>
  <c r="B9132"/>
  <c r="A9132"/>
  <c r="C9131"/>
  <c r="B9131"/>
  <c r="A9131"/>
  <c r="C9130"/>
  <c r="B9130"/>
  <c r="A9130"/>
  <c r="C9129"/>
  <c r="B9129"/>
  <c r="A9129"/>
  <c r="C9128"/>
  <c r="B9128"/>
  <c r="A9128"/>
  <c r="C9127"/>
  <c r="B9127"/>
  <c r="A9127"/>
  <c r="C9126"/>
  <c r="B9126"/>
  <c r="A9126"/>
  <c r="C9125"/>
  <c r="B9125"/>
  <c r="A9125"/>
  <c r="C9124"/>
  <c r="B9124"/>
  <c r="A9124"/>
  <c r="C9123"/>
  <c r="B9123"/>
  <c r="A9123"/>
  <c r="C9122"/>
  <c r="B9122"/>
  <c r="A9122"/>
  <c r="C9121"/>
  <c r="B9121"/>
  <c r="A9121"/>
  <c r="C9120"/>
  <c r="B9120"/>
  <c r="A9120"/>
  <c r="C9119"/>
  <c r="B9119"/>
  <c r="A9119"/>
  <c r="C9118"/>
  <c r="B9118"/>
  <c r="A9118"/>
  <c r="C9117"/>
  <c r="B9117"/>
  <c r="A9117"/>
  <c r="C9116"/>
  <c r="B9116"/>
  <c r="A9116"/>
  <c r="C9115"/>
  <c r="B9115"/>
  <c r="A9115"/>
  <c r="C9114"/>
  <c r="B9114"/>
  <c r="A9114"/>
  <c r="C9113"/>
  <c r="B9113"/>
  <c r="A9113"/>
  <c r="C9112"/>
  <c r="B9112"/>
  <c r="A9112"/>
  <c r="C9111"/>
  <c r="B9111"/>
  <c r="A9111"/>
  <c r="C9110"/>
  <c r="B9110"/>
  <c r="A9110"/>
  <c r="C9109"/>
  <c r="B9109"/>
  <c r="A9109"/>
  <c r="C9108"/>
  <c r="B9108"/>
  <c r="A9108"/>
  <c r="C9107"/>
  <c r="B9107"/>
  <c r="A9107"/>
  <c r="C9106"/>
  <c r="B9106"/>
  <c r="A9106"/>
  <c r="C9105"/>
  <c r="B9105"/>
  <c r="A9105"/>
  <c r="C9104"/>
  <c r="B9104"/>
  <c r="A9104"/>
  <c r="C9103"/>
  <c r="B9103"/>
  <c r="A9103"/>
  <c r="C9102"/>
  <c r="B9102"/>
  <c r="A9102"/>
  <c r="C9101"/>
  <c r="B9101"/>
  <c r="A9101"/>
  <c r="C9100"/>
  <c r="B9100"/>
  <c r="A9100"/>
  <c r="C9099"/>
  <c r="B9099"/>
  <c r="A9099"/>
  <c r="C9098"/>
  <c r="B9098"/>
  <c r="A9098"/>
  <c r="C9097"/>
  <c r="B9097"/>
  <c r="A9097"/>
  <c r="C9096"/>
  <c r="B9096"/>
  <c r="A9096"/>
  <c r="C9095"/>
  <c r="B9095"/>
  <c r="A9095"/>
  <c r="C9094"/>
  <c r="B9094"/>
  <c r="A9094"/>
  <c r="C9093"/>
  <c r="B9093"/>
  <c r="A9093"/>
  <c r="C9092"/>
  <c r="B9092"/>
  <c r="A9092"/>
  <c r="C9091"/>
  <c r="B9091"/>
  <c r="A9091"/>
  <c r="C9090"/>
  <c r="B9090"/>
  <c r="A9090"/>
  <c r="C9089"/>
  <c r="B9089"/>
  <c r="A9089"/>
  <c r="C9088"/>
  <c r="B9088"/>
  <c r="A9088"/>
  <c r="C9087"/>
  <c r="B9087"/>
  <c r="A9087"/>
  <c r="C9086"/>
  <c r="B9086"/>
  <c r="A9086"/>
  <c r="C9085"/>
  <c r="B9085"/>
  <c r="A9085"/>
  <c r="C9084"/>
  <c r="B9084"/>
  <c r="A9084"/>
  <c r="C9083"/>
  <c r="B9083"/>
  <c r="A9083"/>
  <c r="C9082"/>
  <c r="B9082"/>
  <c r="A9082"/>
  <c r="C9081"/>
  <c r="B9081"/>
  <c r="A9081"/>
  <c r="C9080"/>
  <c r="B9080"/>
  <c r="A9080"/>
  <c r="C9079"/>
  <c r="B9079"/>
  <c r="A9079"/>
  <c r="C9078"/>
  <c r="B9078"/>
  <c r="A9078"/>
  <c r="C9077"/>
  <c r="B9077"/>
  <c r="A9077"/>
  <c r="C9076"/>
  <c r="B9076"/>
  <c r="A9076"/>
  <c r="C9075"/>
  <c r="B9075"/>
  <c r="A9075"/>
  <c r="C9074"/>
  <c r="B9074"/>
  <c r="A9074"/>
  <c r="C9073"/>
  <c r="B9073"/>
  <c r="A9073"/>
  <c r="C9072"/>
  <c r="B9072"/>
  <c r="A9072"/>
  <c r="C9071"/>
  <c r="B9071"/>
  <c r="A9071"/>
  <c r="C9070"/>
  <c r="B9070"/>
  <c r="A9070"/>
  <c r="C9069"/>
  <c r="B9069"/>
  <c r="A9069"/>
  <c r="C9068"/>
  <c r="B9068"/>
  <c r="A9068"/>
  <c r="C9067"/>
  <c r="B9067"/>
  <c r="A9067"/>
  <c r="C9066"/>
  <c r="B9066"/>
  <c r="A9066"/>
  <c r="C9065"/>
  <c r="B9065"/>
  <c r="A9065"/>
  <c r="C9064"/>
  <c r="B9064"/>
  <c r="A9064"/>
  <c r="C9063"/>
  <c r="B9063"/>
  <c r="A9063"/>
  <c r="C9062"/>
  <c r="B9062"/>
  <c r="A9062"/>
  <c r="C9061"/>
  <c r="B9061"/>
  <c r="A9061"/>
  <c r="C9060"/>
  <c r="B9060"/>
  <c r="A9060"/>
  <c r="C9059"/>
  <c r="B9059"/>
  <c r="A9059"/>
  <c r="C9058"/>
  <c r="B9058"/>
  <c r="A9058"/>
  <c r="C9057"/>
  <c r="B9057"/>
  <c r="A9057"/>
  <c r="C9056"/>
  <c r="B9056"/>
  <c r="A9056"/>
  <c r="C9055"/>
  <c r="B9055"/>
  <c r="A9055"/>
  <c r="C9054"/>
  <c r="B9054"/>
  <c r="A9054"/>
  <c r="C9053"/>
  <c r="B9053"/>
  <c r="A9053"/>
  <c r="C9052"/>
  <c r="B9052"/>
  <c r="A9052"/>
  <c r="C9051"/>
  <c r="B9051"/>
  <c r="A9051"/>
  <c r="C9050"/>
  <c r="B9050"/>
  <c r="A9050"/>
  <c r="C9049"/>
  <c r="B9049"/>
  <c r="A9049"/>
  <c r="C9048"/>
  <c r="B9048"/>
  <c r="A9048"/>
  <c r="C9047"/>
  <c r="B9047"/>
  <c r="A9047"/>
  <c r="C9046"/>
  <c r="B9046"/>
  <c r="A9046"/>
  <c r="C9045"/>
  <c r="B9045"/>
  <c r="A9045"/>
  <c r="C9044"/>
  <c r="B9044"/>
  <c r="A9044"/>
  <c r="C9043"/>
  <c r="B9043"/>
  <c r="A9043"/>
  <c r="C9042"/>
  <c r="B9042"/>
  <c r="A9042"/>
  <c r="C9041"/>
  <c r="B9041"/>
  <c r="A9041"/>
  <c r="C9040"/>
  <c r="B9040"/>
  <c r="A9040"/>
  <c r="C9039"/>
  <c r="B9039"/>
  <c r="A9039"/>
  <c r="C9038"/>
  <c r="B9038"/>
  <c r="A9038"/>
  <c r="C9037"/>
  <c r="B9037"/>
  <c r="A9037"/>
  <c r="C9036"/>
  <c r="B9036"/>
  <c r="A9036"/>
  <c r="C9035"/>
  <c r="B9035"/>
  <c r="A9035"/>
  <c r="C9034"/>
  <c r="B9034"/>
  <c r="A9034"/>
  <c r="C9033"/>
  <c r="B9033"/>
  <c r="A9033"/>
  <c r="C9032"/>
  <c r="B9032"/>
  <c r="A9032"/>
  <c r="C9031"/>
  <c r="B9031"/>
  <c r="A9031"/>
  <c r="C9030"/>
  <c r="B9030"/>
  <c r="A9030"/>
  <c r="C9029"/>
  <c r="B9029"/>
  <c r="A9029"/>
  <c r="C9028"/>
  <c r="B9028"/>
  <c r="A9028"/>
  <c r="C9027"/>
  <c r="B9027"/>
  <c r="A9027"/>
  <c r="C9026"/>
  <c r="B9026"/>
  <c r="A9026"/>
  <c r="C9025"/>
  <c r="B9025"/>
  <c r="A9025"/>
  <c r="C9024"/>
  <c r="B9024"/>
  <c r="A9024"/>
  <c r="C9023"/>
  <c r="B9023"/>
  <c r="A9023"/>
  <c r="C9022"/>
  <c r="B9022"/>
  <c r="A9022"/>
  <c r="C9021"/>
  <c r="B9021"/>
  <c r="A9021"/>
  <c r="C9020"/>
  <c r="B9020"/>
  <c r="A9020"/>
  <c r="C9019"/>
  <c r="B9019"/>
  <c r="A9019"/>
  <c r="C9018"/>
  <c r="B9018"/>
  <c r="A9018"/>
  <c r="C9017"/>
  <c r="B9017"/>
  <c r="A9017"/>
  <c r="C9016"/>
  <c r="B9016"/>
  <c r="A9016"/>
  <c r="C9015"/>
  <c r="B9015"/>
  <c r="A9015"/>
  <c r="C9014"/>
  <c r="B9014"/>
  <c r="A9014"/>
  <c r="C9013"/>
  <c r="B9013"/>
  <c r="A9013"/>
  <c r="C9012"/>
  <c r="B9012"/>
  <c r="A9012"/>
  <c r="C9011"/>
  <c r="B9011"/>
  <c r="A9011"/>
  <c r="C9010"/>
  <c r="B9010"/>
  <c r="A9010"/>
  <c r="C9009"/>
  <c r="B9009"/>
  <c r="A9009"/>
  <c r="C9008"/>
  <c r="B9008"/>
  <c r="A9008"/>
  <c r="C9007"/>
  <c r="B9007"/>
  <c r="A9007"/>
  <c r="C9006"/>
  <c r="B9006"/>
  <c r="A9006"/>
  <c r="C9005"/>
  <c r="B9005"/>
  <c r="A9005"/>
  <c r="C9004"/>
  <c r="B9004"/>
  <c r="A9004"/>
  <c r="C9003"/>
  <c r="B9003"/>
  <c r="A9003"/>
  <c r="C9002"/>
  <c r="B9002"/>
  <c r="A9002"/>
  <c r="C9001"/>
  <c r="B9001"/>
  <c r="A9001"/>
  <c r="C9000"/>
  <c r="B9000"/>
  <c r="A9000"/>
  <c r="C8999"/>
  <c r="B8999"/>
  <c r="A8999"/>
  <c r="C8998"/>
  <c r="B8998"/>
  <c r="A8998"/>
  <c r="C8997"/>
  <c r="B8997"/>
  <c r="A8997"/>
  <c r="C8996"/>
  <c r="B8996"/>
  <c r="A8996"/>
  <c r="C8995"/>
  <c r="B8995"/>
  <c r="A8995"/>
  <c r="C8994"/>
  <c r="B8994"/>
  <c r="A8994"/>
  <c r="C8993"/>
  <c r="B8993"/>
  <c r="A8993"/>
  <c r="C8992"/>
  <c r="B8992"/>
  <c r="A8992"/>
  <c r="C8991"/>
  <c r="B8991"/>
  <c r="A8991"/>
  <c r="C8990"/>
  <c r="B8990"/>
  <c r="A8990"/>
  <c r="C8989"/>
  <c r="B8989"/>
  <c r="A8989"/>
  <c r="C8988"/>
  <c r="B8988"/>
  <c r="A8988"/>
  <c r="C8987"/>
  <c r="B8987"/>
  <c r="A8987"/>
  <c r="C8986"/>
  <c r="B8986"/>
  <c r="A8986"/>
  <c r="C8985"/>
  <c r="B8985"/>
  <c r="A8985"/>
  <c r="C8984"/>
  <c r="B8984"/>
  <c r="A8984"/>
  <c r="C8983"/>
  <c r="B8983"/>
  <c r="A8983"/>
  <c r="C8982"/>
  <c r="B8982"/>
  <c r="A8982"/>
  <c r="C8981"/>
  <c r="B8981"/>
  <c r="A8981"/>
  <c r="C8980"/>
  <c r="B8980"/>
  <c r="A8980"/>
  <c r="C8979"/>
  <c r="B8979"/>
  <c r="A8979"/>
  <c r="C8978"/>
  <c r="B8978"/>
  <c r="A8978"/>
  <c r="C8977"/>
  <c r="B8977"/>
  <c r="A8977"/>
  <c r="C8976"/>
  <c r="B8976"/>
  <c r="A8976"/>
  <c r="C8975"/>
  <c r="B8975"/>
  <c r="A8975"/>
  <c r="C8974"/>
  <c r="B8974"/>
  <c r="A8974"/>
  <c r="C8973"/>
  <c r="B8973"/>
  <c r="A8973"/>
  <c r="C8972"/>
  <c r="B8972"/>
  <c r="A8972"/>
  <c r="C8971"/>
  <c r="B8971"/>
  <c r="A8971"/>
  <c r="C8970"/>
  <c r="B8970"/>
  <c r="A8970"/>
  <c r="C8969"/>
  <c r="B8969"/>
  <c r="A8969"/>
  <c r="C8968"/>
  <c r="B8968"/>
  <c r="A8968"/>
  <c r="C8967"/>
  <c r="B8967"/>
  <c r="A8967"/>
  <c r="C8966"/>
  <c r="B8966"/>
  <c r="A8966"/>
  <c r="C8965"/>
  <c r="B8965"/>
  <c r="A8965"/>
  <c r="C8964"/>
  <c r="B8964"/>
  <c r="A8964"/>
  <c r="C8963"/>
  <c r="B8963"/>
  <c r="A8963"/>
  <c r="C8962"/>
  <c r="B8962"/>
  <c r="A8962"/>
  <c r="C8961"/>
  <c r="B8961"/>
  <c r="A8961"/>
  <c r="C8960"/>
  <c r="B8960"/>
  <c r="A8960"/>
  <c r="C8959"/>
  <c r="B8959"/>
  <c r="A8959"/>
  <c r="C8958"/>
  <c r="B8958"/>
  <c r="A8958"/>
  <c r="C8957"/>
  <c r="B8957"/>
  <c r="A8957"/>
  <c r="C8956"/>
  <c r="B8956"/>
  <c r="A8956"/>
  <c r="C8955"/>
  <c r="B8955"/>
  <c r="A8955"/>
  <c r="C8954"/>
  <c r="B8954"/>
  <c r="A8954"/>
  <c r="C8953"/>
  <c r="B8953"/>
  <c r="A8953"/>
  <c r="C8952"/>
  <c r="B8952"/>
  <c r="A8952"/>
  <c r="C8951"/>
  <c r="B8951"/>
  <c r="A8951"/>
  <c r="C8950"/>
  <c r="B8950"/>
  <c r="A8950"/>
  <c r="C8949"/>
  <c r="B8949"/>
  <c r="A8949"/>
  <c r="C8948"/>
  <c r="B8948"/>
  <c r="A8948"/>
  <c r="C8947"/>
  <c r="B8947"/>
  <c r="A8947"/>
  <c r="C8946"/>
  <c r="B8946"/>
  <c r="A8946"/>
  <c r="C8945"/>
  <c r="B8945"/>
  <c r="A8945"/>
  <c r="C8944"/>
  <c r="B8944"/>
  <c r="A8944"/>
  <c r="C8943"/>
  <c r="B8943"/>
  <c r="A8943"/>
  <c r="C8942"/>
  <c r="B8942"/>
  <c r="A8942"/>
  <c r="C8941"/>
  <c r="B8941"/>
  <c r="A8941"/>
  <c r="C8940"/>
  <c r="B8940"/>
  <c r="A8940"/>
  <c r="C8939"/>
  <c r="B8939"/>
  <c r="A8939"/>
  <c r="C8938"/>
  <c r="B8938"/>
  <c r="A8938"/>
  <c r="C8937"/>
  <c r="B8937"/>
  <c r="A8937"/>
  <c r="C8936"/>
  <c r="B8936"/>
  <c r="A8936"/>
  <c r="C8935"/>
  <c r="B8935"/>
  <c r="A8935"/>
  <c r="C8934"/>
  <c r="B8934"/>
  <c r="A8934"/>
  <c r="C8933"/>
  <c r="B8933"/>
  <c r="A8933"/>
  <c r="C8932"/>
  <c r="B8932"/>
  <c r="A8932"/>
  <c r="C8931"/>
  <c r="B8931"/>
  <c r="A8931"/>
  <c r="C8930"/>
  <c r="B8930"/>
  <c r="A8930"/>
  <c r="C8929"/>
  <c r="B8929"/>
  <c r="A8929"/>
  <c r="C8928"/>
  <c r="B8928"/>
  <c r="A8928"/>
  <c r="C8927"/>
  <c r="B8927"/>
  <c r="A8927"/>
  <c r="C8926"/>
  <c r="B8926"/>
  <c r="A8926"/>
  <c r="C8925"/>
  <c r="B8925"/>
  <c r="A8925"/>
  <c r="C8924"/>
  <c r="B8924"/>
  <c r="A8924"/>
  <c r="C8923"/>
  <c r="B8923"/>
  <c r="A8923"/>
  <c r="C8922"/>
  <c r="B8922"/>
  <c r="A8922"/>
  <c r="C8921"/>
  <c r="B8921"/>
  <c r="A8921"/>
  <c r="C8920"/>
  <c r="B8920"/>
  <c r="A8920"/>
  <c r="C8919"/>
  <c r="B8919"/>
  <c r="A8919"/>
  <c r="C8918"/>
  <c r="B8918"/>
  <c r="A8918"/>
  <c r="C8917"/>
  <c r="B8917"/>
  <c r="A8917"/>
  <c r="C8916"/>
  <c r="B8916"/>
  <c r="A8916"/>
  <c r="C8915"/>
  <c r="B8915"/>
  <c r="A8915"/>
  <c r="C8914"/>
  <c r="B8914"/>
  <c r="A8914"/>
  <c r="C8913"/>
  <c r="B8913"/>
  <c r="A8913"/>
  <c r="C8912"/>
  <c r="B8912"/>
  <c r="A8912"/>
  <c r="C8911"/>
  <c r="B8911"/>
  <c r="A8911"/>
  <c r="C8910"/>
  <c r="B8910"/>
  <c r="A8910"/>
  <c r="C8909"/>
  <c r="B8909"/>
  <c r="A8909"/>
  <c r="C8908"/>
  <c r="B8908"/>
  <c r="A8908"/>
  <c r="C8907"/>
  <c r="B8907"/>
  <c r="A8907"/>
  <c r="C8906"/>
  <c r="B8906"/>
  <c r="A8906"/>
  <c r="C8905"/>
  <c r="B8905"/>
  <c r="A8905"/>
  <c r="C8904"/>
  <c r="B8904"/>
  <c r="A8904"/>
  <c r="C8903"/>
  <c r="B8903"/>
  <c r="A8903"/>
  <c r="C8902"/>
  <c r="B8902"/>
  <c r="A8902"/>
  <c r="C8901"/>
  <c r="B8901"/>
  <c r="A8901"/>
  <c r="C8900"/>
  <c r="B8900"/>
  <c r="A8900"/>
  <c r="C8899"/>
  <c r="B8899"/>
  <c r="A8899"/>
  <c r="C8898"/>
  <c r="B8898"/>
  <c r="A8898"/>
  <c r="C8897"/>
  <c r="B8897"/>
  <c r="A8897"/>
  <c r="C8896"/>
  <c r="B8896"/>
  <c r="A8896"/>
  <c r="C8895"/>
  <c r="B8895"/>
  <c r="A8895"/>
  <c r="C8894"/>
  <c r="B8894"/>
  <c r="A8894"/>
  <c r="C8893"/>
  <c r="B8893"/>
  <c r="A8893"/>
  <c r="C8892"/>
  <c r="B8892"/>
  <c r="A8892"/>
  <c r="C8891"/>
  <c r="B8891"/>
  <c r="A8891"/>
  <c r="C8890"/>
  <c r="B8890"/>
  <c r="A8890"/>
  <c r="C8889"/>
  <c r="B8889"/>
  <c r="A8889"/>
  <c r="C8888"/>
  <c r="B8888"/>
  <c r="A8888"/>
  <c r="C8887"/>
  <c r="B8887"/>
  <c r="A8887"/>
  <c r="C8886"/>
  <c r="B8886"/>
  <c r="A8886"/>
  <c r="C8885"/>
  <c r="B8885"/>
  <c r="A8885"/>
  <c r="C8884"/>
  <c r="B8884"/>
  <c r="A8884"/>
  <c r="C8883"/>
  <c r="B8883"/>
  <c r="A8883"/>
  <c r="C8882"/>
  <c r="B8882"/>
  <c r="A8882"/>
  <c r="C8881"/>
  <c r="B8881"/>
  <c r="A8881"/>
  <c r="C8880"/>
  <c r="B8880"/>
  <c r="A8880"/>
  <c r="C8879"/>
  <c r="B8879"/>
  <c r="A8879"/>
  <c r="C8878"/>
  <c r="B8878"/>
  <c r="A8878"/>
  <c r="C8877"/>
  <c r="B8877"/>
  <c r="A8877"/>
  <c r="C8876"/>
  <c r="B8876"/>
  <c r="A8876"/>
  <c r="C8875"/>
  <c r="B8875"/>
  <c r="A8875"/>
  <c r="C8874"/>
  <c r="B8874"/>
  <c r="A8874"/>
  <c r="C8873"/>
  <c r="B8873"/>
  <c r="A8873"/>
  <c r="C8872"/>
  <c r="B8872"/>
  <c r="A8872"/>
  <c r="C8871"/>
  <c r="B8871"/>
  <c r="A8871"/>
  <c r="C8870"/>
  <c r="B8870"/>
  <c r="A8870"/>
  <c r="C8869"/>
  <c r="B8869"/>
  <c r="A8869"/>
  <c r="C8868"/>
  <c r="B8868"/>
  <c r="A8868"/>
  <c r="C8867"/>
  <c r="B8867"/>
  <c r="A8867"/>
  <c r="C8866"/>
  <c r="B8866"/>
  <c r="A8866"/>
  <c r="C8865"/>
  <c r="B8865"/>
  <c r="A8865"/>
  <c r="C8864"/>
  <c r="B8864"/>
  <c r="A8864"/>
  <c r="C8863"/>
  <c r="B8863"/>
  <c r="A8863"/>
  <c r="C8862"/>
  <c r="B8862"/>
  <c r="A8862"/>
  <c r="C8861"/>
  <c r="B8861"/>
  <c r="A8861"/>
  <c r="C8860"/>
  <c r="B8860"/>
  <c r="A8860"/>
  <c r="C8859"/>
  <c r="B8859"/>
  <c r="A8859"/>
  <c r="C8858"/>
  <c r="B8858"/>
  <c r="A8858"/>
  <c r="C8857"/>
  <c r="B8857"/>
  <c r="A8857"/>
  <c r="C8856"/>
  <c r="B8856"/>
  <c r="A8856"/>
  <c r="C8855"/>
  <c r="B8855"/>
  <c r="A8855"/>
  <c r="C8854"/>
  <c r="B8854"/>
  <c r="A8854"/>
  <c r="C8853"/>
  <c r="B8853"/>
  <c r="A8853"/>
  <c r="C8852"/>
  <c r="B8852"/>
  <c r="A8852"/>
  <c r="C8851"/>
  <c r="B8851"/>
  <c r="A8851"/>
  <c r="C8850"/>
  <c r="B8850"/>
  <c r="A8850"/>
  <c r="C8849"/>
  <c r="B8849"/>
  <c r="A8849"/>
  <c r="C8848"/>
  <c r="B8848"/>
  <c r="A8848"/>
  <c r="C8847"/>
  <c r="B8847"/>
  <c r="A8847"/>
  <c r="C8846"/>
  <c r="B8846"/>
  <c r="A8846"/>
  <c r="C8845"/>
  <c r="B8845"/>
  <c r="A8845"/>
  <c r="C8844"/>
  <c r="B8844"/>
  <c r="A8844"/>
  <c r="C8843"/>
  <c r="B8843"/>
  <c r="A8843"/>
  <c r="C8842"/>
  <c r="B8842"/>
  <c r="A8842"/>
  <c r="C8841"/>
  <c r="B8841"/>
  <c r="A8841"/>
  <c r="C8840"/>
  <c r="B8840"/>
  <c r="A8840"/>
  <c r="C8839"/>
  <c r="B8839"/>
  <c r="A8839"/>
  <c r="C8838"/>
  <c r="B8838"/>
  <c r="A8838"/>
  <c r="C8837"/>
  <c r="B8837"/>
  <c r="A8837"/>
  <c r="C8836"/>
  <c r="B8836"/>
  <c r="A8836"/>
  <c r="C8835"/>
  <c r="B8835"/>
  <c r="A8835"/>
  <c r="C8834"/>
  <c r="B8834"/>
  <c r="A8834"/>
  <c r="C8833"/>
  <c r="B8833"/>
  <c r="A8833"/>
  <c r="C8832"/>
  <c r="B8832"/>
  <c r="A8832"/>
  <c r="C8831"/>
  <c r="B8831"/>
  <c r="A8831"/>
  <c r="C8830"/>
  <c r="B8830"/>
  <c r="A8830"/>
  <c r="C8829"/>
  <c r="B8829"/>
  <c r="A8829"/>
  <c r="C8828"/>
  <c r="B8828"/>
  <c r="A8828"/>
  <c r="C8827"/>
  <c r="B8827"/>
  <c r="A8827"/>
  <c r="C8826"/>
  <c r="B8826"/>
  <c r="A8826"/>
  <c r="C8825"/>
  <c r="B8825"/>
  <c r="A8825"/>
  <c r="C8824"/>
  <c r="B8824"/>
  <c r="A8824"/>
  <c r="C8823"/>
  <c r="B8823"/>
  <c r="A8823"/>
  <c r="C8822"/>
  <c r="B8822"/>
  <c r="A8822"/>
  <c r="C8821"/>
  <c r="B8821"/>
  <c r="A8821"/>
  <c r="C8820"/>
  <c r="B8820"/>
  <c r="A8820"/>
  <c r="C8819"/>
  <c r="B8819"/>
  <c r="A8819"/>
  <c r="C8818"/>
  <c r="B8818"/>
  <c r="A8818"/>
  <c r="C8817"/>
  <c r="B8817"/>
  <c r="A8817"/>
  <c r="C8816"/>
  <c r="B8816"/>
  <c r="A8816"/>
  <c r="C8815"/>
  <c r="B8815"/>
  <c r="A8815"/>
  <c r="C8814"/>
  <c r="B8814"/>
  <c r="A8814"/>
  <c r="C8813"/>
  <c r="B8813"/>
  <c r="A8813"/>
  <c r="C8812"/>
  <c r="B8812"/>
  <c r="A8812"/>
  <c r="C8811"/>
  <c r="B8811"/>
  <c r="A8811"/>
  <c r="C8810"/>
  <c r="B8810"/>
  <c r="A8810"/>
  <c r="C8809"/>
  <c r="B8809"/>
  <c r="A8809"/>
  <c r="C8808"/>
  <c r="B8808"/>
  <c r="A8808"/>
  <c r="C8807"/>
  <c r="B8807"/>
  <c r="A8807"/>
  <c r="C8806"/>
  <c r="B8806"/>
  <c r="A8806"/>
  <c r="C8805"/>
  <c r="B8805"/>
  <c r="A8805"/>
  <c r="C8804"/>
  <c r="B8804"/>
  <c r="A8804"/>
  <c r="C8803"/>
  <c r="B8803"/>
  <c r="A8803"/>
  <c r="C8802"/>
  <c r="B8802"/>
  <c r="A8802"/>
  <c r="C8801"/>
  <c r="B8801"/>
  <c r="A8801"/>
  <c r="C8800"/>
  <c r="B8800"/>
  <c r="A8800"/>
  <c r="C8799"/>
  <c r="B8799"/>
  <c r="A8799"/>
  <c r="C8798"/>
  <c r="B8798"/>
  <c r="A8798"/>
  <c r="C8797"/>
  <c r="B8797"/>
  <c r="A8797"/>
  <c r="C8796"/>
  <c r="B8796"/>
  <c r="A8796"/>
  <c r="C8795"/>
  <c r="B8795"/>
  <c r="A8795"/>
  <c r="C8794"/>
  <c r="B8794"/>
  <c r="A8794"/>
  <c r="C8793"/>
  <c r="B8793"/>
  <c r="A8793"/>
  <c r="C8792"/>
  <c r="B8792"/>
  <c r="A8792"/>
  <c r="C8791"/>
  <c r="B8791"/>
  <c r="A8791"/>
  <c r="C8790"/>
  <c r="B8790"/>
  <c r="A8790"/>
  <c r="C8789"/>
  <c r="B8789"/>
  <c r="A8789"/>
  <c r="C8788"/>
  <c r="B8788"/>
  <c r="A8788"/>
  <c r="C8787"/>
  <c r="B8787"/>
  <c r="A8787"/>
  <c r="C8786"/>
  <c r="B8786"/>
  <c r="A8786"/>
  <c r="C8785"/>
  <c r="B8785"/>
  <c r="A8785"/>
  <c r="C8784"/>
  <c r="B8784"/>
  <c r="A8784"/>
  <c r="C8783"/>
  <c r="B8783"/>
  <c r="A8783"/>
  <c r="C8782"/>
  <c r="B8782"/>
  <c r="A8782"/>
  <c r="C8781"/>
  <c r="B8781"/>
  <c r="A8781"/>
  <c r="C8780"/>
  <c r="B8780"/>
  <c r="A8780"/>
  <c r="C8779"/>
  <c r="B8779"/>
  <c r="A8779"/>
  <c r="C8778"/>
  <c r="B8778"/>
  <c r="A8778"/>
  <c r="C8777"/>
  <c r="B8777"/>
  <c r="A8777"/>
  <c r="C8776"/>
  <c r="B8776"/>
  <c r="A8776"/>
  <c r="C8775"/>
  <c r="B8775"/>
  <c r="A8775"/>
  <c r="C8774"/>
  <c r="B8774"/>
  <c r="A8774"/>
  <c r="C8773"/>
  <c r="B8773"/>
  <c r="A8773"/>
  <c r="C8772"/>
  <c r="B8772"/>
  <c r="A8772"/>
  <c r="C8771"/>
  <c r="B8771"/>
  <c r="A8771"/>
  <c r="C8770"/>
  <c r="B8770"/>
  <c r="A8770"/>
  <c r="C8769"/>
  <c r="B8769"/>
  <c r="A8769"/>
  <c r="C8768"/>
  <c r="B8768"/>
  <c r="A8768"/>
  <c r="C8767"/>
  <c r="B8767"/>
  <c r="A8767"/>
  <c r="C8766"/>
  <c r="B8766"/>
  <c r="A8766"/>
  <c r="C8765"/>
  <c r="B8765"/>
  <c r="A8765"/>
  <c r="C8764"/>
  <c r="B8764"/>
  <c r="A8764"/>
  <c r="C8763"/>
  <c r="B8763"/>
  <c r="A8763"/>
  <c r="C8762"/>
  <c r="B8762"/>
  <c r="A8762"/>
  <c r="C8761"/>
  <c r="B8761"/>
  <c r="A8761"/>
  <c r="C8760"/>
  <c r="B8760"/>
  <c r="A8760"/>
  <c r="C8759"/>
  <c r="B8759"/>
  <c r="A8759"/>
  <c r="C8758"/>
  <c r="B8758"/>
  <c r="A8758"/>
  <c r="C8757"/>
  <c r="B8757"/>
  <c r="A8757"/>
  <c r="C8756"/>
  <c r="B8756"/>
  <c r="A8756"/>
  <c r="C8755"/>
  <c r="B8755"/>
  <c r="A8755"/>
  <c r="C8754"/>
  <c r="B8754"/>
  <c r="A8754"/>
  <c r="C8753"/>
  <c r="B8753"/>
  <c r="A8753"/>
  <c r="C8752"/>
  <c r="B8752"/>
  <c r="A8752"/>
  <c r="C8751"/>
  <c r="B8751"/>
  <c r="A8751"/>
  <c r="C8750"/>
  <c r="B8750"/>
  <c r="A8750"/>
  <c r="C8749"/>
  <c r="B8749"/>
  <c r="A8749"/>
  <c r="C8748"/>
  <c r="B8748"/>
  <c r="A8748"/>
  <c r="C8747"/>
  <c r="B8747"/>
  <c r="A8747"/>
  <c r="C8746"/>
  <c r="B8746"/>
  <c r="A8746"/>
  <c r="C8745"/>
  <c r="B8745"/>
  <c r="A8745"/>
  <c r="C8744"/>
  <c r="B8744"/>
  <c r="A8744"/>
  <c r="C8743"/>
  <c r="B8743"/>
  <c r="A8743"/>
  <c r="C8742"/>
  <c r="B8742"/>
  <c r="A8742"/>
  <c r="C8741"/>
  <c r="B8741"/>
  <c r="A8741"/>
  <c r="C8740"/>
  <c r="B8740"/>
  <c r="A8740"/>
  <c r="C8739"/>
  <c r="B8739"/>
  <c r="A8739"/>
  <c r="C8738"/>
  <c r="B8738"/>
  <c r="A8738"/>
  <c r="C8737"/>
  <c r="B8737"/>
  <c r="A8737"/>
  <c r="C8736"/>
  <c r="B8736"/>
  <c r="A8736"/>
  <c r="C8735"/>
  <c r="B8735"/>
  <c r="A8735"/>
  <c r="C8734"/>
  <c r="B8734"/>
  <c r="A8734"/>
  <c r="C8733"/>
  <c r="B8733"/>
  <c r="A8733"/>
  <c r="C8732"/>
  <c r="B8732"/>
  <c r="A8732"/>
  <c r="C8731"/>
  <c r="B8731"/>
  <c r="A8731"/>
  <c r="C8730"/>
  <c r="B8730"/>
  <c r="A8730"/>
  <c r="C8729"/>
  <c r="B8729"/>
  <c r="A8729"/>
  <c r="C8728"/>
  <c r="B8728"/>
  <c r="A8728"/>
  <c r="C8727"/>
  <c r="B8727"/>
  <c r="A8727"/>
  <c r="C8726"/>
  <c r="B8726"/>
  <c r="A8726"/>
  <c r="C8725"/>
  <c r="B8725"/>
  <c r="A8725"/>
  <c r="C8724"/>
  <c r="B8724"/>
  <c r="A8724"/>
  <c r="C8723"/>
  <c r="B8723"/>
  <c r="A8723"/>
  <c r="C8722"/>
  <c r="B8722"/>
  <c r="A8722"/>
  <c r="C8721"/>
  <c r="B8721"/>
  <c r="A8721"/>
  <c r="C8720"/>
  <c r="B8720"/>
  <c r="A8720"/>
  <c r="C8719"/>
  <c r="B8719"/>
  <c r="A8719"/>
  <c r="C8718"/>
  <c r="B8718"/>
  <c r="A8718"/>
  <c r="C8717"/>
  <c r="B8717"/>
  <c r="A8717"/>
  <c r="C8716"/>
  <c r="B8716"/>
  <c r="A8716"/>
  <c r="C8715"/>
  <c r="B8715"/>
  <c r="A8715"/>
  <c r="C8714"/>
  <c r="B8714"/>
  <c r="A8714"/>
  <c r="C8713"/>
  <c r="B8713"/>
  <c r="A8713"/>
  <c r="C8712"/>
  <c r="B8712"/>
  <c r="A8712"/>
  <c r="C8711"/>
  <c r="B8711"/>
  <c r="A8711"/>
  <c r="C8710"/>
  <c r="B8710"/>
  <c r="A8710"/>
  <c r="C8709"/>
  <c r="B8709"/>
  <c r="A8709"/>
  <c r="C8708"/>
  <c r="B8708"/>
  <c r="A8708"/>
  <c r="C8707"/>
  <c r="B8707"/>
  <c r="A8707"/>
  <c r="C8706"/>
  <c r="B8706"/>
  <c r="A8706"/>
  <c r="C8705"/>
  <c r="B8705"/>
  <c r="A8705"/>
  <c r="C8704"/>
  <c r="B8704"/>
  <c r="A8704"/>
  <c r="C8703"/>
  <c r="B8703"/>
  <c r="A8703"/>
  <c r="C8702"/>
  <c r="B8702"/>
  <c r="A8702"/>
  <c r="C8701"/>
  <c r="B8701"/>
  <c r="A8701"/>
  <c r="C8700"/>
  <c r="B8700"/>
  <c r="A8700"/>
  <c r="C8699"/>
  <c r="B8699"/>
  <c r="A8699"/>
  <c r="C8698"/>
  <c r="B8698"/>
  <c r="A8698"/>
  <c r="C8697"/>
  <c r="B8697"/>
  <c r="A8697"/>
  <c r="C8696"/>
  <c r="B8696"/>
  <c r="A8696"/>
  <c r="C8695"/>
  <c r="B8695"/>
  <c r="A8695"/>
  <c r="C8694"/>
  <c r="B8694"/>
  <c r="A8694"/>
  <c r="C8693"/>
  <c r="B8693"/>
  <c r="A8693"/>
  <c r="C8692"/>
  <c r="B8692"/>
  <c r="A8692"/>
  <c r="C8691"/>
  <c r="B8691"/>
  <c r="A8691"/>
  <c r="C8690"/>
  <c r="B8690"/>
  <c r="A8690"/>
  <c r="C8689"/>
  <c r="B8689"/>
  <c r="A8689"/>
  <c r="C8688"/>
  <c r="B8688"/>
  <c r="A8688"/>
  <c r="C8687"/>
  <c r="B8687"/>
  <c r="A8687"/>
  <c r="C8686"/>
  <c r="B8686"/>
  <c r="A8686"/>
  <c r="C8685"/>
  <c r="B8685"/>
  <c r="A8685"/>
  <c r="C8684"/>
  <c r="B8684"/>
  <c r="A8684"/>
  <c r="C8683"/>
  <c r="B8683"/>
  <c r="A8683"/>
  <c r="C8682"/>
  <c r="B8682"/>
  <c r="A8682"/>
  <c r="C8681"/>
  <c r="B8681"/>
  <c r="A8681"/>
  <c r="C8680"/>
  <c r="B8680"/>
  <c r="A8680"/>
  <c r="C8679"/>
  <c r="B8679"/>
  <c r="A8679"/>
  <c r="C8678"/>
  <c r="B8678"/>
  <c r="A8678"/>
  <c r="C8677"/>
  <c r="B8677"/>
  <c r="A8677"/>
  <c r="C8676"/>
  <c r="B8676"/>
  <c r="A8676"/>
  <c r="C8675"/>
  <c r="B8675"/>
  <c r="A8675"/>
  <c r="C8674"/>
  <c r="B8674"/>
  <c r="A8674"/>
  <c r="C8673"/>
  <c r="B8673"/>
  <c r="A8673"/>
  <c r="C8672"/>
  <c r="B8672"/>
  <c r="A8672"/>
  <c r="C8671"/>
  <c r="B8671"/>
  <c r="A8671"/>
  <c r="C8670"/>
  <c r="B8670"/>
  <c r="A8670"/>
  <c r="C8669"/>
  <c r="B8669"/>
  <c r="A8669"/>
  <c r="C8668"/>
  <c r="B8668"/>
  <c r="A8668"/>
  <c r="C8667"/>
  <c r="B8667"/>
  <c r="A8667"/>
  <c r="C8666"/>
  <c r="B8666"/>
  <c r="A8666"/>
  <c r="C8665"/>
  <c r="B8665"/>
  <c r="A8665"/>
  <c r="C8664"/>
  <c r="B8664"/>
  <c r="A8664"/>
  <c r="C8663"/>
  <c r="B8663"/>
  <c r="A8663"/>
  <c r="C8662"/>
  <c r="B8662"/>
  <c r="A8662"/>
  <c r="C8661"/>
  <c r="B8661"/>
  <c r="A8661"/>
  <c r="C8660"/>
  <c r="B8660"/>
  <c r="A8660"/>
  <c r="C8659"/>
  <c r="B8659"/>
  <c r="A8659"/>
  <c r="C8658"/>
  <c r="B8658"/>
  <c r="A8658"/>
  <c r="C8657"/>
  <c r="B8657"/>
  <c r="A8657"/>
  <c r="C8656"/>
  <c r="B8656"/>
  <c r="A8656"/>
  <c r="C8655"/>
  <c r="B8655"/>
  <c r="A8655"/>
  <c r="C8654"/>
  <c r="B8654"/>
  <c r="A8654"/>
  <c r="C8653"/>
  <c r="B8653"/>
  <c r="A8653"/>
  <c r="C8652"/>
  <c r="B8652"/>
  <c r="A8652"/>
  <c r="C8651"/>
  <c r="B8651"/>
  <c r="A8651"/>
  <c r="C8650"/>
  <c r="B8650"/>
  <c r="A8650"/>
  <c r="C8649"/>
  <c r="B8649"/>
  <c r="A8649"/>
  <c r="C8648"/>
  <c r="B8648"/>
  <c r="A8648"/>
  <c r="C8647"/>
  <c r="B8647"/>
  <c r="A8647"/>
  <c r="C8646"/>
  <c r="B8646"/>
  <c r="A8646"/>
  <c r="C8645"/>
  <c r="B8645"/>
  <c r="A8645"/>
  <c r="C8644"/>
  <c r="B8644"/>
  <c r="A8644"/>
  <c r="C8643"/>
  <c r="B8643"/>
  <c r="A8643"/>
  <c r="C8642"/>
  <c r="B8642"/>
  <c r="A8642"/>
  <c r="C8641"/>
  <c r="B8641"/>
  <c r="A8641"/>
  <c r="C8640"/>
  <c r="B8640"/>
  <c r="A8640"/>
  <c r="C8639"/>
  <c r="B8639"/>
  <c r="A8639"/>
  <c r="C8638"/>
  <c r="B8638"/>
  <c r="A8638"/>
  <c r="C8637"/>
  <c r="B8637"/>
  <c r="A8637"/>
  <c r="C8636"/>
  <c r="B8636"/>
  <c r="A8636"/>
  <c r="C8635"/>
  <c r="B8635"/>
  <c r="A8635"/>
  <c r="C8634"/>
  <c r="B8634"/>
  <c r="A8634"/>
  <c r="C8633"/>
  <c r="B8633"/>
  <c r="A8633"/>
  <c r="C8632"/>
  <c r="B8632"/>
  <c r="A8632"/>
  <c r="C8631"/>
  <c r="B8631"/>
  <c r="A8631"/>
  <c r="C8630"/>
  <c r="B8630"/>
  <c r="A8630"/>
  <c r="C8629"/>
  <c r="B8629"/>
  <c r="A8629"/>
  <c r="C8628"/>
  <c r="B8628"/>
  <c r="A8628"/>
  <c r="C8627"/>
  <c r="B8627"/>
  <c r="A8627"/>
  <c r="C8626"/>
  <c r="B8626"/>
  <c r="A8626"/>
  <c r="C8625"/>
  <c r="B8625"/>
  <c r="A8625"/>
  <c r="C8624"/>
  <c r="B8624"/>
  <c r="A8624"/>
  <c r="C8623"/>
  <c r="B8623"/>
  <c r="A8623"/>
  <c r="C8622"/>
  <c r="B8622"/>
  <c r="A8622"/>
  <c r="C8621"/>
  <c r="B8621"/>
  <c r="A8621"/>
  <c r="C8620"/>
  <c r="B8620"/>
  <c r="A8620"/>
  <c r="C8619"/>
  <c r="B8619"/>
  <c r="A8619"/>
  <c r="C8618"/>
  <c r="B8618"/>
  <c r="A8618"/>
  <c r="C8617"/>
  <c r="B8617"/>
  <c r="A8617"/>
  <c r="C8616"/>
  <c r="B8616"/>
  <c r="A8616"/>
  <c r="C8615"/>
  <c r="B8615"/>
  <c r="A8615"/>
  <c r="C8614"/>
  <c r="B8614"/>
  <c r="A8614"/>
  <c r="C8613"/>
  <c r="B8613"/>
  <c r="A8613"/>
  <c r="C8612"/>
  <c r="B8612"/>
  <c r="A8612"/>
  <c r="C8611"/>
  <c r="B8611"/>
  <c r="A8611"/>
  <c r="C8610"/>
  <c r="B8610"/>
  <c r="A8610"/>
  <c r="C8609"/>
  <c r="B8609"/>
  <c r="A8609"/>
  <c r="C8608"/>
  <c r="B8608"/>
  <c r="A8608"/>
  <c r="C8607"/>
  <c r="B8607"/>
  <c r="A8607"/>
  <c r="C8606"/>
  <c r="B8606"/>
  <c r="A8606"/>
  <c r="C8605"/>
  <c r="B8605"/>
  <c r="A8605"/>
  <c r="C8604"/>
  <c r="B8604"/>
  <c r="A8604"/>
  <c r="C8603"/>
  <c r="B8603"/>
  <c r="A8603"/>
  <c r="C8602"/>
  <c r="B8602"/>
  <c r="A8602"/>
  <c r="C8601"/>
  <c r="B8601"/>
  <c r="A8601"/>
  <c r="C8600"/>
  <c r="B8600"/>
  <c r="A8600"/>
  <c r="C8599"/>
  <c r="B8599"/>
  <c r="A8599"/>
  <c r="C8598"/>
  <c r="B8598"/>
  <c r="A8598"/>
  <c r="C8597"/>
  <c r="B8597"/>
  <c r="A8597"/>
  <c r="C8596"/>
  <c r="B8596"/>
  <c r="A8596"/>
  <c r="C8595"/>
  <c r="B8595"/>
  <c r="A8595"/>
  <c r="C8594"/>
  <c r="B8594"/>
  <c r="A8594"/>
  <c r="C8593"/>
  <c r="B8593"/>
  <c r="A8593"/>
  <c r="C8592"/>
  <c r="B8592"/>
  <c r="A8592"/>
  <c r="C8591"/>
  <c r="B8591"/>
  <c r="A8591"/>
  <c r="C8590"/>
  <c r="B8590"/>
  <c r="A8590"/>
  <c r="C8589"/>
  <c r="B8589"/>
  <c r="A8589"/>
  <c r="C8588"/>
  <c r="B8588"/>
  <c r="A8588"/>
  <c r="C8587"/>
  <c r="B8587"/>
  <c r="A8587"/>
  <c r="C8586"/>
  <c r="B8586"/>
  <c r="A8586"/>
  <c r="C8585"/>
  <c r="B8585"/>
  <c r="A8585"/>
  <c r="C8584"/>
  <c r="B8584"/>
  <c r="A8584"/>
  <c r="C8583"/>
  <c r="B8583"/>
  <c r="A8583"/>
  <c r="C8582"/>
  <c r="B8582"/>
  <c r="A8582"/>
  <c r="C8581"/>
  <c r="B8581"/>
  <c r="A8581"/>
  <c r="C8580"/>
  <c r="B8580"/>
  <c r="A8580"/>
  <c r="C8579"/>
  <c r="B8579"/>
  <c r="A8579"/>
  <c r="C8578"/>
  <c r="B8578"/>
  <c r="A8578"/>
  <c r="C8577"/>
  <c r="B8577"/>
  <c r="A8577"/>
  <c r="C8576"/>
  <c r="B8576"/>
  <c r="A8576"/>
  <c r="C8575"/>
  <c r="B8575"/>
  <c r="A8575"/>
  <c r="C8574"/>
  <c r="B8574"/>
  <c r="A8574"/>
  <c r="C8573"/>
  <c r="B8573"/>
  <c r="A8573"/>
  <c r="C8572"/>
  <c r="B8572"/>
  <c r="A8572"/>
  <c r="C8571"/>
  <c r="B8571"/>
  <c r="A8571"/>
  <c r="C8570"/>
  <c r="B8570"/>
  <c r="A8570"/>
  <c r="C8569"/>
  <c r="B8569"/>
  <c r="A8569"/>
  <c r="C8568"/>
  <c r="B8568"/>
  <c r="A8568"/>
  <c r="C8567"/>
  <c r="B8567"/>
  <c r="A8567"/>
  <c r="C8566"/>
  <c r="B8566"/>
  <c r="A8566"/>
  <c r="C8565"/>
  <c r="B8565"/>
  <c r="A8565"/>
  <c r="C8564"/>
  <c r="B8564"/>
  <c r="A8564"/>
  <c r="C8563"/>
  <c r="B8563"/>
  <c r="A8563"/>
  <c r="C8562"/>
  <c r="B8562"/>
  <c r="A8562"/>
  <c r="C8561"/>
  <c r="B8561"/>
  <c r="A8561"/>
  <c r="C8560"/>
  <c r="B8560"/>
  <c r="A8560"/>
  <c r="C8559"/>
  <c r="B8559"/>
  <c r="A8559"/>
  <c r="C8558"/>
  <c r="B8558"/>
  <c r="A8558"/>
  <c r="C8557"/>
  <c r="B8557"/>
  <c r="A8557"/>
  <c r="C8556"/>
  <c r="B8556"/>
  <c r="A8556"/>
  <c r="C8555"/>
  <c r="B8555"/>
  <c r="A8555"/>
  <c r="C8554"/>
  <c r="B8554"/>
  <c r="A8554"/>
  <c r="C8553"/>
  <c r="B8553"/>
  <c r="A8553"/>
  <c r="C8552"/>
  <c r="B8552"/>
  <c r="A8552"/>
  <c r="C8551"/>
  <c r="B8551"/>
  <c r="A8551"/>
  <c r="C8550"/>
  <c r="B8550"/>
  <c r="A8550"/>
  <c r="C8549"/>
  <c r="B8549"/>
  <c r="A8549"/>
  <c r="C8548"/>
  <c r="B8548"/>
  <c r="A8548"/>
  <c r="C8547"/>
  <c r="B8547"/>
  <c r="A8547"/>
  <c r="C8546"/>
  <c r="B8546"/>
  <c r="A8546"/>
  <c r="C8545"/>
  <c r="B8545"/>
  <c r="A8545"/>
  <c r="C8544"/>
  <c r="B8544"/>
  <c r="A8544"/>
  <c r="C8543"/>
  <c r="B8543"/>
  <c r="A8543"/>
  <c r="C8542"/>
  <c r="B8542"/>
  <c r="A8542"/>
  <c r="C8541"/>
  <c r="B8541"/>
  <c r="A8541"/>
  <c r="C8540"/>
  <c r="B8540"/>
  <c r="A8540"/>
  <c r="C8539"/>
  <c r="B8539"/>
  <c r="A8539"/>
  <c r="C8538"/>
  <c r="B8538"/>
  <c r="A8538"/>
  <c r="C8537"/>
  <c r="B8537"/>
  <c r="A8537"/>
  <c r="C8536"/>
  <c r="B8536"/>
  <c r="A8536"/>
  <c r="C8535"/>
  <c r="B8535"/>
  <c r="A8535"/>
  <c r="C8534"/>
  <c r="B8534"/>
  <c r="A8534"/>
  <c r="C8533"/>
  <c r="B8533"/>
  <c r="A8533"/>
  <c r="C8532"/>
  <c r="B8532"/>
  <c r="A8532"/>
  <c r="C8531"/>
  <c r="B8531"/>
  <c r="A8531"/>
  <c r="C8530"/>
  <c r="B8530"/>
  <c r="A8530"/>
  <c r="C8529"/>
  <c r="B8529"/>
  <c r="A8529"/>
  <c r="C8528"/>
  <c r="B8528"/>
  <c r="A8528"/>
  <c r="C8527"/>
  <c r="B8527"/>
  <c r="A8527"/>
  <c r="C8526"/>
  <c r="B8526"/>
  <c r="A8526"/>
  <c r="C8525"/>
  <c r="B8525"/>
  <c r="A8525"/>
  <c r="C8524"/>
  <c r="B8524"/>
  <c r="A8524"/>
  <c r="C8523"/>
  <c r="B8523"/>
  <c r="A8523"/>
  <c r="C8522"/>
  <c r="B8522"/>
  <c r="A8522"/>
  <c r="C8521"/>
  <c r="B8521"/>
  <c r="A8521"/>
  <c r="C8520"/>
  <c r="B8520"/>
  <c r="A8520"/>
  <c r="C8519"/>
  <c r="B8519"/>
  <c r="A8519"/>
  <c r="C8518"/>
  <c r="B8518"/>
  <c r="A8518"/>
  <c r="C8517"/>
  <c r="B8517"/>
  <c r="A8517"/>
  <c r="C8516"/>
  <c r="B8516"/>
  <c r="A8516"/>
  <c r="C8515"/>
  <c r="B8515"/>
  <c r="A8515"/>
  <c r="C8514"/>
  <c r="B8514"/>
  <c r="A8514"/>
  <c r="C8513"/>
  <c r="B8513"/>
  <c r="A8513"/>
  <c r="C8512"/>
  <c r="B8512"/>
  <c r="A8512"/>
  <c r="C8511"/>
  <c r="B8511"/>
  <c r="A8511"/>
  <c r="C8510"/>
  <c r="B8510"/>
  <c r="A8510"/>
  <c r="C8509"/>
  <c r="B8509"/>
  <c r="A8509"/>
  <c r="C8508"/>
  <c r="B8508"/>
  <c r="A8508"/>
  <c r="C8507"/>
  <c r="B8507"/>
  <c r="A8507"/>
  <c r="C8506"/>
  <c r="B8506"/>
  <c r="A8506"/>
  <c r="C8505"/>
  <c r="B8505"/>
  <c r="A8505"/>
  <c r="C8504"/>
  <c r="B8504"/>
  <c r="A8504"/>
  <c r="C8503"/>
  <c r="B8503"/>
  <c r="A8503"/>
  <c r="C8502"/>
  <c r="B8502"/>
  <c r="A8502"/>
  <c r="C8501"/>
  <c r="B8501"/>
  <c r="A8501"/>
  <c r="C8500"/>
  <c r="B8500"/>
  <c r="A8500"/>
  <c r="C8499"/>
  <c r="B8499"/>
  <c r="A8499"/>
  <c r="C8498"/>
  <c r="B8498"/>
  <c r="A8498"/>
  <c r="C8497"/>
  <c r="B8497"/>
  <c r="A8497"/>
  <c r="C8496"/>
  <c r="B8496"/>
  <c r="A8496"/>
  <c r="C8495"/>
  <c r="B8495"/>
  <c r="A8495"/>
  <c r="C8494"/>
  <c r="B8494"/>
  <c r="A8494"/>
  <c r="C8493"/>
  <c r="B8493"/>
  <c r="A8493"/>
  <c r="C8492"/>
  <c r="B8492"/>
  <c r="A8492"/>
  <c r="C8491"/>
  <c r="B8491"/>
  <c r="A8491"/>
  <c r="C8490"/>
  <c r="B8490"/>
  <c r="A8490"/>
  <c r="C8489"/>
  <c r="B8489"/>
  <c r="A8489"/>
  <c r="C8488"/>
  <c r="B8488"/>
  <c r="A8488"/>
  <c r="C8487"/>
  <c r="B8487"/>
  <c r="A8487"/>
  <c r="C8486"/>
  <c r="B8486"/>
  <c r="A8486"/>
  <c r="C8485"/>
  <c r="B8485"/>
  <c r="A8485"/>
  <c r="C8484"/>
  <c r="B8484"/>
  <c r="A8484"/>
  <c r="C8483"/>
  <c r="B8483"/>
  <c r="A8483"/>
  <c r="C8482"/>
  <c r="B8482"/>
  <c r="A8482"/>
  <c r="C8481"/>
  <c r="B8481"/>
  <c r="A8481"/>
  <c r="C8480"/>
  <c r="B8480"/>
  <c r="A8480"/>
  <c r="C8479"/>
  <c r="B8479"/>
  <c r="A8479"/>
  <c r="C8478"/>
  <c r="B8478"/>
  <c r="A8478"/>
  <c r="C8477"/>
  <c r="B8477"/>
  <c r="A8477"/>
  <c r="C8476"/>
  <c r="B8476"/>
  <c r="A8476"/>
  <c r="C8475"/>
  <c r="B8475"/>
  <c r="A8475"/>
  <c r="C8474"/>
  <c r="B8474"/>
  <c r="A8474"/>
  <c r="C8473"/>
  <c r="B8473"/>
  <c r="A8473"/>
  <c r="C8472"/>
  <c r="B8472"/>
  <c r="A8472"/>
  <c r="C8471"/>
  <c r="B8471"/>
  <c r="A8471"/>
  <c r="C8470"/>
  <c r="B8470"/>
  <c r="A8470"/>
  <c r="C8469"/>
  <c r="B8469"/>
  <c r="A8469"/>
  <c r="C8468"/>
  <c r="B8468"/>
  <c r="A8468"/>
  <c r="C8467"/>
  <c r="B8467"/>
  <c r="A8467"/>
  <c r="C8466"/>
  <c r="B8466"/>
  <c r="A8466"/>
  <c r="C8465"/>
  <c r="B8465"/>
  <c r="A8465"/>
  <c r="C8464"/>
  <c r="B8464"/>
  <c r="A8464"/>
  <c r="C8463"/>
  <c r="B8463"/>
  <c r="A8463"/>
  <c r="C8462"/>
  <c r="B8462"/>
  <c r="A8462"/>
  <c r="C8461"/>
  <c r="B8461"/>
  <c r="A8461"/>
  <c r="C8460"/>
  <c r="B8460"/>
  <c r="A8460"/>
  <c r="C8459"/>
  <c r="B8459"/>
  <c r="A8459"/>
  <c r="C8458"/>
  <c r="B8458"/>
  <c r="A8458"/>
  <c r="C8457"/>
  <c r="B8457"/>
  <c r="A8457"/>
  <c r="C8456"/>
  <c r="B8456"/>
  <c r="A8456"/>
  <c r="C8455"/>
  <c r="B8455"/>
  <c r="A8455"/>
  <c r="C8454"/>
  <c r="B8454"/>
  <c r="A8454"/>
  <c r="C8453"/>
  <c r="B8453"/>
  <c r="A8453"/>
  <c r="C8452"/>
  <c r="B8452"/>
  <c r="A8452"/>
  <c r="C8451"/>
  <c r="B8451"/>
  <c r="A8451"/>
  <c r="C8450"/>
  <c r="B8450"/>
  <c r="A8450"/>
  <c r="C8449"/>
  <c r="B8449"/>
  <c r="A8449"/>
  <c r="C8448"/>
  <c r="B8448"/>
  <c r="A8448"/>
  <c r="C8447"/>
  <c r="B8447"/>
  <c r="A8447"/>
  <c r="C8446"/>
  <c r="B8446"/>
  <c r="A8446"/>
  <c r="C8445"/>
  <c r="B8445"/>
  <c r="A8445"/>
  <c r="C8444"/>
  <c r="B8444"/>
  <c r="A8444"/>
  <c r="C8443"/>
  <c r="B8443"/>
  <c r="A8443"/>
  <c r="C8442"/>
  <c r="B8442"/>
  <c r="A8442"/>
  <c r="C8441"/>
  <c r="B8441"/>
  <c r="A8441"/>
  <c r="C8440"/>
  <c r="B8440"/>
  <c r="A8440"/>
  <c r="C8439"/>
  <c r="B8439"/>
  <c r="A8439"/>
  <c r="C8438"/>
  <c r="B8438"/>
  <c r="A8438"/>
  <c r="C8437"/>
  <c r="B8437"/>
  <c r="A8437"/>
  <c r="C8436"/>
  <c r="B8436"/>
  <c r="A8436"/>
  <c r="C8435"/>
  <c r="B8435"/>
  <c r="A8435"/>
  <c r="C8434"/>
  <c r="B8434"/>
  <c r="A8434"/>
  <c r="C8433"/>
  <c r="B8433"/>
  <c r="A8433"/>
  <c r="C8432"/>
  <c r="B8432"/>
  <c r="A8432"/>
  <c r="C8431"/>
  <c r="B8431"/>
  <c r="A8431"/>
  <c r="C8430"/>
  <c r="B8430"/>
  <c r="A8430"/>
  <c r="C8429"/>
  <c r="B8429"/>
  <c r="A8429"/>
  <c r="C8428"/>
  <c r="B8428"/>
  <c r="A8428"/>
  <c r="C8427"/>
  <c r="B8427"/>
  <c r="A8427"/>
  <c r="C8426"/>
  <c r="B8426"/>
  <c r="A8426"/>
  <c r="C8425"/>
  <c r="B8425"/>
  <c r="A8425"/>
  <c r="C8424"/>
  <c r="B8424"/>
  <c r="A8424"/>
  <c r="C8423"/>
  <c r="B8423"/>
  <c r="A8423"/>
  <c r="C8422"/>
  <c r="B8422"/>
  <c r="A8422"/>
  <c r="C8421"/>
  <c r="B8421"/>
  <c r="A8421"/>
  <c r="C8420"/>
  <c r="B8420"/>
  <c r="A8420"/>
  <c r="C8419"/>
  <c r="B8419"/>
  <c r="A8419"/>
  <c r="C8418"/>
  <c r="B8418"/>
  <c r="A8418"/>
  <c r="C8417"/>
  <c r="B8417"/>
  <c r="A8417"/>
  <c r="C8416"/>
  <c r="B8416"/>
  <c r="A8416"/>
  <c r="C8415"/>
  <c r="B8415"/>
  <c r="A8415"/>
  <c r="C8414"/>
  <c r="B8414"/>
  <c r="A8414"/>
  <c r="C8413"/>
  <c r="B8413"/>
  <c r="A8413"/>
  <c r="C8412"/>
  <c r="B8412"/>
  <c r="A8412"/>
  <c r="C8411"/>
  <c r="B8411"/>
  <c r="A8411"/>
  <c r="C8410"/>
  <c r="B8410"/>
  <c r="A8410"/>
  <c r="C8409"/>
  <c r="B8409"/>
  <c r="A8409"/>
  <c r="C8408"/>
  <c r="B8408"/>
  <c r="A8408"/>
  <c r="C8407"/>
  <c r="B8407"/>
  <c r="A8407"/>
  <c r="C8406"/>
  <c r="B8406"/>
  <c r="A8406"/>
  <c r="C8405"/>
  <c r="B8405"/>
  <c r="A8405"/>
  <c r="C8404"/>
  <c r="B8404"/>
  <c r="A8404"/>
  <c r="C8403"/>
  <c r="B8403"/>
  <c r="A8403"/>
  <c r="C8402"/>
  <c r="B8402"/>
  <c r="A8402"/>
  <c r="C8401"/>
  <c r="B8401"/>
  <c r="A8401"/>
  <c r="C8400"/>
  <c r="B8400"/>
  <c r="A8400"/>
  <c r="C8399"/>
  <c r="B8399"/>
  <c r="A8399"/>
  <c r="C8398"/>
  <c r="B8398"/>
  <c r="A8398"/>
  <c r="C8397"/>
  <c r="B8397"/>
  <c r="A8397"/>
  <c r="C8396"/>
  <c r="B8396"/>
  <c r="A8396"/>
  <c r="C8395"/>
  <c r="B8395"/>
  <c r="A8395"/>
  <c r="C8394"/>
  <c r="B8394"/>
  <c r="A8394"/>
  <c r="C8393"/>
  <c r="B8393"/>
  <c r="A8393"/>
  <c r="C8392"/>
  <c r="B8392"/>
  <c r="A8392"/>
  <c r="C8391"/>
  <c r="B8391"/>
  <c r="A8391"/>
  <c r="C8390"/>
  <c r="B8390"/>
  <c r="A8390"/>
  <c r="C8389"/>
  <c r="B8389"/>
  <c r="A8389"/>
  <c r="C8388"/>
  <c r="B8388"/>
  <c r="A8388"/>
  <c r="C8387"/>
  <c r="B8387"/>
  <c r="A8387"/>
  <c r="C8386"/>
  <c r="B8386"/>
  <c r="A8386"/>
  <c r="C8385"/>
  <c r="B8385"/>
  <c r="A8385"/>
  <c r="C8384"/>
  <c r="B8384"/>
  <c r="A8384"/>
  <c r="C8383"/>
  <c r="B8383"/>
  <c r="A8383"/>
  <c r="C8382"/>
  <c r="B8382"/>
  <c r="A8382"/>
  <c r="C8381"/>
  <c r="B8381"/>
  <c r="A8381"/>
  <c r="C8380"/>
  <c r="B8380"/>
  <c r="A8380"/>
  <c r="C8379"/>
  <c r="B8379"/>
  <c r="A8379"/>
  <c r="C8378"/>
  <c r="B8378"/>
  <c r="A8378"/>
  <c r="C8377"/>
  <c r="B8377"/>
  <c r="A8377"/>
  <c r="C8376"/>
  <c r="B8376"/>
  <c r="A8376"/>
  <c r="C8375"/>
  <c r="B8375"/>
  <c r="A8375"/>
  <c r="C8374"/>
  <c r="B8374"/>
  <c r="A8374"/>
  <c r="C8373"/>
  <c r="B8373"/>
  <c r="A8373"/>
  <c r="C8372"/>
  <c r="B8372"/>
  <c r="A8372"/>
  <c r="C8371"/>
  <c r="B8371"/>
  <c r="A8371"/>
  <c r="C8370"/>
  <c r="B8370"/>
  <c r="A8370"/>
  <c r="C8369"/>
  <c r="B8369"/>
  <c r="A8369"/>
  <c r="C8368"/>
  <c r="B8368"/>
  <c r="A8368"/>
  <c r="C8367"/>
  <c r="B8367"/>
  <c r="A8367"/>
  <c r="C8366"/>
  <c r="B8366"/>
  <c r="A8366"/>
  <c r="C8365"/>
  <c r="B8365"/>
  <c r="A8365"/>
  <c r="C8364"/>
  <c r="B8364"/>
  <c r="A8364"/>
  <c r="C8363"/>
  <c r="B8363"/>
  <c r="A8363"/>
  <c r="C8362"/>
  <c r="B8362"/>
  <c r="A8362"/>
  <c r="C8361"/>
  <c r="B8361"/>
  <c r="A8361"/>
  <c r="C8360"/>
  <c r="B8360"/>
  <c r="A8360"/>
  <c r="C8359"/>
  <c r="B8359"/>
  <c r="A8359"/>
  <c r="C8358"/>
  <c r="B8358"/>
  <c r="A8358"/>
  <c r="C8357"/>
  <c r="B8357"/>
  <c r="A8357"/>
  <c r="C8356"/>
  <c r="B8356"/>
  <c r="A8356"/>
  <c r="C8355"/>
  <c r="B8355"/>
  <c r="A8355"/>
  <c r="C8354"/>
  <c r="B8354"/>
  <c r="A8354"/>
  <c r="C8353"/>
  <c r="B8353"/>
  <c r="A8353"/>
  <c r="C8352"/>
  <c r="B8352"/>
  <c r="A8352"/>
  <c r="C8351"/>
  <c r="B8351"/>
  <c r="A8351"/>
  <c r="C8350"/>
  <c r="B8350"/>
  <c r="A8350"/>
  <c r="C8349"/>
  <c r="B8349"/>
  <c r="A8349"/>
  <c r="C8348"/>
  <c r="B8348"/>
  <c r="A8348"/>
  <c r="C8347"/>
  <c r="B8347"/>
  <c r="A8347"/>
  <c r="C8346"/>
  <c r="B8346"/>
  <c r="A8346"/>
  <c r="C8345"/>
  <c r="B8345"/>
  <c r="A8345"/>
  <c r="C8344"/>
  <c r="B8344"/>
  <c r="A8344"/>
  <c r="C8343"/>
  <c r="B8343"/>
  <c r="A8343"/>
  <c r="C8342"/>
  <c r="B8342"/>
  <c r="A8342"/>
  <c r="C8341"/>
  <c r="B8341"/>
  <c r="A8341"/>
  <c r="C8340"/>
  <c r="B8340"/>
  <c r="A8340"/>
  <c r="C8339"/>
  <c r="B8339"/>
  <c r="A8339"/>
  <c r="C8338"/>
  <c r="B8338"/>
  <c r="A8338"/>
  <c r="C8337"/>
  <c r="B8337"/>
  <c r="A8337"/>
  <c r="C8336"/>
  <c r="B8336"/>
  <c r="A8336"/>
  <c r="C8335"/>
  <c r="B8335"/>
  <c r="A8335"/>
  <c r="C8334"/>
  <c r="B8334"/>
  <c r="A8334"/>
  <c r="C8333"/>
  <c r="B8333"/>
  <c r="A8333"/>
  <c r="C8332"/>
  <c r="B8332"/>
  <c r="A8332"/>
  <c r="C8331"/>
  <c r="B8331"/>
  <c r="A8331"/>
  <c r="C8330"/>
  <c r="B8330"/>
  <c r="A8330"/>
  <c r="C8329"/>
  <c r="B8329"/>
  <c r="A8329"/>
  <c r="C8328"/>
  <c r="B8328"/>
  <c r="A8328"/>
  <c r="C8327"/>
  <c r="B8327"/>
  <c r="A8327"/>
  <c r="C8326"/>
  <c r="B8326"/>
  <c r="A8326"/>
  <c r="C8325"/>
  <c r="B8325"/>
  <c r="A8325"/>
  <c r="C8324"/>
  <c r="B8324"/>
  <c r="A8324"/>
  <c r="C8323"/>
  <c r="B8323"/>
  <c r="A8323"/>
  <c r="C8322"/>
  <c r="B8322"/>
  <c r="A8322"/>
  <c r="C8321"/>
  <c r="B8321"/>
  <c r="A8321"/>
  <c r="C8320"/>
  <c r="B8320"/>
  <c r="A8320"/>
  <c r="C8319"/>
  <c r="B8319"/>
  <c r="A8319"/>
  <c r="C8318"/>
  <c r="B8318"/>
  <c r="A8318"/>
  <c r="C8317"/>
  <c r="B8317"/>
  <c r="A8317"/>
  <c r="C8316"/>
  <c r="B8316"/>
  <c r="A8316"/>
  <c r="C8315"/>
  <c r="B8315"/>
  <c r="A8315"/>
  <c r="C8314"/>
  <c r="B8314"/>
  <c r="A8314"/>
  <c r="C8313"/>
  <c r="B8313"/>
  <c r="A8313"/>
  <c r="C8312"/>
  <c r="B8312"/>
  <c r="A8312"/>
  <c r="C8311"/>
  <c r="B8311"/>
  <c r="A8311"/>
  <c r="C8310"/>
  <c r="B8310"/>
  <c r="A8310"/>
  <c r="C8309"/>
  <c r="B8309"/>
  <c r="A8309"/>
  <c r="C8308"/>
  <c r="B8308"/>
  <c r="A8308"/>
  <c r="C8307"/>
  <c r="B8307"/>
  <c r="A8307"/>
  <c r="C8306"/>
  <c r="B8306"/>
  <c r="A8306"/>
  <c r="C8305"/>
  <c r="B8305"/>
  <c r="A8305"/>
  <c r="C8304"/>
  <c r="B8304"/>
  <c r="A8304"/>
  <c r="C8303"/>
  <c r="B8303"/>
  <c r="A8303"/>
  <c r="C8302"/>
  <c r="B8302"/>
  <c r="A8302"/>
  <c r="C8301"/>
  <c r="B8301"/>
  <c r="A8301"/>
  <c r="C8300"/>
  <c r="B8300"/>
  <c r="A8300"/>
  <c r="C8299"/>
  <c r="B8299"/>
  <c r="A8299"/>
  <c r="C8298"/>
  <c r="B8298"/>
  <c r="A8298"/>
  <c r="C8297"/>
  <c r="B8297"/>
  <c r="A8297"/>
  <c r="C8296"/>
  <c r="B8296"/>
  <c r="A8296"/>
  <c r="C8295"/>
  <c r="B8295"/>
  <c r="A8295"/>
  <c r="C8294"/>
  <c r="B8294"/>
  <c r="A8294"/>
  <c r="C8293"/>
  <c r="B8293"/>
  <c r="A8293"/>
  <c r="C8292"/>
  <c r="B8292"/>
  <c r="A8292"/>
  <c r="C8291"/>
  <c r="B8291"/>
  <c r="A8291"/>
  <c r="C8290"/>
  <c r="B8290"/>
  <c r="A8290"/>
  <c r="C8289"/>
  <c r="B8289"/>
  <c r="A8289"/>
  <c r="C8288"/>
  <c r="B8288"/>
  <c r="A8288"/>
  <c r="C8287"/>
  <c r="B8287"/>
  <c r="A8287"/>
  <c r="C8286"/>
  <c r="B8286"/>
  <c r="A8286"/>
  <c r="C8285"/>
  <c r="B8285"/>
  <c r="A8285"/>
  <c r="C8284"/>
  <c r="B8284"/>
  <c r="A8284"/>
  <c r="C8283"/>
  <c r="B8283"/>
  <c r="A8283"/>
  <c r="C8282"/>
  <c r="B8282"/>
  <c r="A8282"/>
  <c r="C8281"/>
  <c r="B8281"/>
  <c r="A8281"/>
  <c r="C8280"/>
  <c r="B8280"/>
  <c r="A8280"/>
  <c r="C8279"/>
  <c r="B8279"/>
  <c r="A8279"/>
  <c r="C8278"/>
  <c r="B8278"/>
  <c r="A8278"/>
  <c r="C8277"/>
  <c r="B8277"/>
  <c r="A8277"/>
  <c r="C8276"/>
  <c r="B8276"/>
  <c r="A8276"/>
  <c r="C8275"/>
  <c r="B8275"/>
  <c r="A8275"/>
  <c r="C8274"/>
  <c r="B8274"/>
  <c r="A8274"/>
  <c r="C8273"/>
  <c r="B8273"/>
  <c r="A8273"/>
  <c r="C8272"/>
  <c r="B8272"/>
  <c r="A8272"/>
  <c r="C8271"/>
  <c r="B8271"/>
  <c r="A8271"/>
  <c r="C8270"/>
  <c r="B8270"/>
  <c r="A8270"/>
  <c r="C8269"/>
  <c r="B8269"/>
  <c r="A8269"/>
  <c r="C8268"/>
  <c r="B8268"/>
  <c r="A8268"/>
  <c r="C8267"/>
  <c r="B8267"/>
  <c r="A8267"/>
  <c r="C8266"/>
  <c r="B8266"/>
  <c r="A8266"/>
  <c r="C8265"/>
  <c r="B8265"/>
  <c r="A8265"/>
  <c r="C8264"/>
  <c r="B8264"/>
  <c r="A8264"/>
  <c r="C8263"/>
  <c r="B8263"/>
  <c r="A8263"/>
  <c r="C8262"/>
  <c r="B8262"/>
  <c r="A8262"/>
  <c r="C8261"/>
  <c r="B8261"/>
  <c r="A8261"/>
  <c r="C8260"/>
  <c r="B8260"/>
  <c r="A8260"/>
  <c r="C8259"/>
  <c r="B8259"/>
  <c r="A8259"/>
  <c r="C8258"/>
  <c r="B8258"/>
  <c r="A8258"/>
  <c r="C8257"/>
  <c r="B8257"/>
  <c r="A8257"/>
  <c r="C8256"/>
  <c r="B8256"/>
  <c r="A8256"/>
  <c r="C8255"/>
  <c r="B8255"/>
  <c r="A8255"/>
  <c r="C8254"/>
  <c r="B8254"/>
  <c r="A8254"/>
  <c r="C8253"/>
  <c r="B8253"/>
  <c r="A8253"/>
  <c r="C8252"/>
  <c r="B8252"/>
  <c r="A8252"/>
  <c r="C8251"/>
  <c r="B8251"/>
  <c r="A8251"/>
  <c r="C8250"/>
  <c r="B8250"/>
  <c r="A8250"/>
  <c r="C8249"/>
  <c r="B8249"/>
  <c r="A8249"/>
  <c r="C8248"/>
  <c r="B8248"/>
  <c r="A8248"/>
  <c r="C8247"/>
  <c r="B8247"/>
  <c r="A8247"/>
  <c r="C8246"/>
  <c r="B8246"/>
  <c r="A8246"/>
  <c r="C8245"/>
  <c r="B8245"/>
  <c r="A8245"/>
  <c r="C8244"/>
  <c r="B8244"/>
  <c r="A8244"/>
  <c r="C8243"/>
  <c r="B8243"/>
  <c r="A8243"/>
  <c r="C8242"/>
  <c r="B8242"/>
  <c r="A8242"/>
  <c r="C8241"/>
  <c r="B8241"/>
  <c r="A8241"/>
  <c r="C8240"/>
  <c r="B8240"/>
  <c r="A8240"/>
  <c r="C8239"/>
  <c r="B8239"/>
  <c r="A8239"/>
  <c r="C8238"/>
  <c r="B8238"/>
  <c r="A8238"/>
  <c r="C8237"/>
  <c r="B8237"/>
  <c r="A8237"/>
  <c r="C8236"/>
  <c r="B8236"/>
  <c r="A8236"/>
  <c r="C8235"/>
  <c r="B8235"/>
  <c r="A8235"/>
  <c r="C8234"/>
  <c r="B8234"/>
  <c r="A8234"/>
  <c r="C8233"/>
  <c r="B8233"/>
  <c r="A8233"/>
  <c r="C8232"/>
  <c r="B8232"/>
  <c r="A8232"/>
  <c r="C8231"/>
  <c r="B8231"/>
  <c r="A8231"/>
  <c r="C8230"/>
  <c r="B8230"/>
  <c r="A8230"/>
  <c r="C8229"/>
  <c r="B8229"/>
  <c r="A8229"/>
  <c r="C8228"/>
  <c r="B8228"/>
  <c r="A8228"/>
  <c r="C8227"/>
  <c r="B8227"/>
  <c r="A8227"/>
  <c r="C8226"/>
  <c r="B8226"/>
  <c r="A8226"/>
  <c r="C8225"/>
  <c r="B8225"/>
  <c r="A8225"/>
  <c r="C8224"/>
  <c r="B8224"/>
  <c r="A8224"/>
  <c r="C8223"/>
  <c r="B8223"/>
  <c r="A8223"/>
  <c r="C8222"/>
  <c r="B8222"/>
  <c r="A8222"/>
  <c r="C8221"/>
  <c r="B8221"/>
  <c r="A8221"/>
  <c r="C8220"/>
  <c r="B8220"/>
  <c r="A8220"/>
  <c r="C8219"/>
  <c r="B8219"/>
  <c r="A8219"/>
  <c r="C8218"/>
  <c r="B8218"/>
  <c r="A8218"/>
  <c r="C8217"/>
  <c r="B8217"/>
  <c r="A8217"/>
  <c r="C8216"/>
  <c r="B8216"/>
  <c r="A8216"/>
  <c r="C8215"/>
  <c r="B8215"/>
  <c r="A8215"/>
  <c r="C8214"/>
  <c r="B8214"/>
  <c r="A8214"/>
  <c r="C8213"/>
  <c r="B8213"/>
  <c r="A8213"/>
  <c r="C8212"/>
  <c r="B8212"/>
  <c r="A8212"/>
  <c r="C8211"/>
  <c r="B8211"/>
  <c r="A8211"/>
  <c r="C8210"/>
  <c r="B8210"/>
  <c r="A8210"/>
  <c r="C8209"/>
  <c r="B8209"/>
  <c r="A8209"/>
  <c r="C8208"/>
  <c r="B8208"/>
  <c r="A8208"/>
  <c r="C8207"/>
  <c r="B8207"/>
  <c r="A8207"/>
  <c r="C8206"/>
  <c r="B8206"/>
  <c r="A8206"/>
  <c r="C8205"/>
  <c r="B8205"/>
  <c r="A8205"/>
  <c r="C8204"/>
  <c r="B8204"/>
  <c r="A8204"/>
  <c r="C8203"/>
  <c r="B8203"/>
  <c r="A8203"/>
  <c r="C8202"/>
  <c r="B8202"/>
  <c r="A8202"/>
  <c r="C8201"/>
  <c r="B8201"/>
  <c r="A8201"/>
  <c r="C8200"/>
  <c r="B8200"/>
  <c r="A8200"/>
  <c r="C8199"/>
  <c r="B8199"/>
  <c r="A8199"/>
  <c r="C8198"/>
  <c r="B8198"/>
  <c r="A8198"/>
  <c r="C8197"/>
  <c r="B8197"/>
  <c r="A8197"/>
  <c r="C8196"/>
  <c r="B8196"/>
  <c r="A8196"/>
  <c r="C8195"/>
  <c r="B8195"/>
  <c r="A8195"/>
  <c r="C8194"/>
  <c r="B8194"/>
  <c r="A8194"/>
  <c r="C8193"/>
  <c r="B8193"/>
  <c r="A8193"/>
  <c r="C8192"/>
  <c r="B8192"/>
  <c r="A8192"/>
  <c r="C8191"/>
  <c r="B8191"/>
  <c r="A8191"/>
  <c r="C8190"/>
  <c r="B8190"/>
  <c r="A8190"/>
  <c r="C8189"/>
  <c r="B8189"/>
  <c r="A8189"/>
  <c r="C8188"/>
  <c r="B8188"/>
  <c r="A8188"/>
  <c r="C8187"/>
  <c r="B8187"/>
  <c r="A8187"/>
  <c r="C8186"/>
  <c r="B8186"/>
  <c r="A8186"/>
  <c r="C8185"/>
  <c r="B8185"/>
  <c r="A8185"/>
  <c r="C8184"/>
  <c r="B8184"/>
  <c r="A8184"/>
  <c r="C8183"/>
  <c r="B8183"/>
  <c r="A8183"/>
  <c r="C8182"/>
  <c r="B8182"/>
  <c r="A8182"/>
  <c r="C8181"/>
  <c r="B8181"/>
  <c r="A8181"/>
  <c r="C8180"/>
  <c r="B8180"/>
  <c r="A8180"/>
  <c r="C8179"/>
  <c r="B8179"/>
  <c r="A8179"/>
  <c r="C8178"/>
  <c r="B8178"/>
  <c r="A8178"/>
  <c r="C8177"/>
  <c r="B8177"/>
  <c r="A8177"/>
  <c r="C8176"/>
  <c r="B8176"/>
  <c r="A8176"/>
  <c r="C8175"/>
  <c r="B8175"/>
  <c r="A8175"/>
  <c r="C8174"/>
  <c r="B8174"/>
  <c r="A8174"/>
  <c r="C8173"/>
  <c r="B8173"/>
  <c r="A8173"/>
  <c r="C8172"/>
  <c r="B8172"/>
  <c r="A8172"/>
  <c r="C8171"/>
  <c r="B8171"/>
  <c r="A8171"/>
  <c r="C8170"/>
  <c r="B8170"/>
  <c r="A8170"/>
  <c r="C8169"/>
  <c r="B8169"/>
  <c r="A8169"/>
  <c r="C8168"/>
  <c r="B8168"/>
  <c r="A8168"/>
  <c r="C8167"/>
  <c r="B8167"/>
  <c r="A8167"/>
  <c r="C8166"/>
  <c r="B8166"/>
  <c r="A8166"/>
  <c r="C8165"/>
  <c r="B8165"/>
  <c r="A8165"/>
  <c r="C8164"/>
  <c r="B8164"/>
  <c r="A8164"/>
  <c r="C8163"/>
  <c r="B8163"/>
  <c r="A8163"/>
  <c r="C8162"/>
  <c r="B8162"/>
  <c r="A8162"/>
  <c r="C8161"/>
  <c r="B8161"/>
  <c r="A8161"/>
  <c r="C8160"/>
  <c r="B8160"/>
  <c r="A8160"/>
  <c r="C8159"/>
  <c r="B8159"/>
  <c r="A8159"/>
  <c r="C8158"/>
  <c r="B8158"/>
  <c r="A8158"/>
  <c r="C8157"/>
  <c r="B8157"/>
  <c r="A8157"/>
  <c r="C8156"/>
  <c r="B8156"/>
  <c r="A8156"/>
  <c r="C8155"/>
  <c r="B8155"/>
  <c r="A8155"/>
  <c r="C8154"/>
  <c r="B8154"/>
  <c r="A8154"/>
  <c r="C8153"/>
  <c r="B8153"/>
  <c r="A8153"/>
  <c r="C8152"/>
  <c r="B8152"/>
  <c r="A8152"/>
  <c r="C8151"/>
  <c r="B8151"/>
  <c r="A8151"/>
  <c r="C8150"/>
  <c r="B8150"/>
  <c r="A8150"/>
  <c r="C8149"/>
  <c r="B8149"/>
  <c r="A8149"/>
  <c r="C8148"/>
  <c r="B8148"/>
  <c r="A8148"/>
  <c r="C8147"/>
  <c r="B8147"/>
  <c r="A8147"/>
  <c r="C8146"/>
  <c r="B8146"/>
  <c r="A8146"/>
  <c r="C8145"/>
  <c r="B8145"/>
  <c r="A8145"/>
  <c r="C8144"/>
  <c r="B8144"/>
  <c r="A8144"/>
  <c r="C8143"/>
  <c r="B8143"/>
  <c r="A8143"/>
  <c r="C8142"/>
  <c r="B8142"/>
  <c r="A8142"/>
  <c r="C8141"/>
  <c r="B8141"/>
  <c r="A8141"/>
  <c r="C8140"/>
  <c r="B8140"/>
  <c r="A8140"/>
  <c r="C8139"/>
  <c r="B8139"/>
  <c r="A8139"/>
  <c r="C8138"/>
  <c r="B8138"/>
  <c r="A8138"/>
  <c r="C8137"/>
  <c r="B8137"/>
  <c r="A8137"/>
  <c r="C8136"/>
  <c r="B8136"/>
  <c r="A8136"/>
  <c r="C8135"/>
  <c r="B8135"/>
  <c r="A8135"/>
  <c r="C8134"/>
  <c r="B8134"/>
  <c r="A8134"/>
  <c r="C8133"/>
  <c r="B8133"/>
  <c r="A8133"/>
  <c r="C8132"/>
  <c r="B8132"/>
  <c r="A8132"/>
  <c r="C8131"/>
  <c r="B8131"/>
  <c r="A8131"/>
  <c r="C8130"/>
  <c r="B8130"/>
  <c r="A8130"/>
  <c r="C8129"/>
  <c r="B8129"/>
  <c r="A8129"/>
  <c r="C8128"/>
  <c r="B8128"/>
  <c r="A8128"/>
  <c r="C8127"/>
  <c r="B8127"/>
  <c r="A8127"/>
  <c r="C8126"/>
  <c r="B8126"/>
  <c r="A8126"/>
  <c r="C8125"/>
  <c r="B8125"/>
  <c r="A8125"/>
  <c r="C8124"/>
  <c r="B8124"/>
  <c r="A8124"/>
  <c r="C8123"/>
  <c r="B8123"/>
  <c r="A8123"/>
  <c r="C8122"/>
  <c r="B8122"/>
  <c r="A8122"/>
  <c r="C8121"/>
  <c r="B8121"/>
  <c r="A8121"/>
  <c r="C8120"/>
  <c r="B8120"/>
  <c r="A8120"/>
  <c r="C8119"/>
  <c r="B8119"/>
  <c r="A8119"/>
  <c r="C8118"/>
  <c r="B8118"/>
  <c r="A8118"/>
  <c r="C8117"/>
  <c r="B8117"/>
  <c r="A8117"/>
  <c r="C8116"/>
  <c r="B8116"/>
  <c r="A8116"/>
  <c r="C8115"/>
  <c r="B8115"/>
  <c r="A8115"/>
  <c r="C8114"/>
  <c r="B8114"/>
  <c r="A8114"/>
  <c r="C8113"/>
  <c r="B8113"/>
  <c r="A8113"/>
  <c r="C8112"/>
  <c r="B8112"/>
  <c r="A8112"/>
  <c r="C8111"/>
  <c r="B8111"/>
  <c r="A8111"/>
  <c r="C8110"/>
  <c r="B8110"/>
  <c r="A8110"/>
  <c r="C8109"/>
  <c r="B8109"/>
  <c r="A8109"/>
  <c r="C8108"/>
  <c r="B8108"/>
  <c r="A8108"/>
  <c r="C8107"/>
  <c r="B8107"/>
  <c r="A8107"/>
  <c r="C8106"/>
  <c r="B8106"/>
  <c r="A8106"/>
  <c r="C8105"/>
  <c r="B8105"/>
  <c r="A8105"/>
  <c r="C8104"/>
  <c r="B8104"/>
  <c r="A8104"/>
  <c r="C8103"/>
  <c r="B8103"/>
  <c r="A8103"/>
  <c r="C8102"/>
  <c r="B8102"/>
  <c r="A8102"/>
  <c r="C8101"/>
  <c r="B8101"/>
  <c r="A8101"/>
  <c r="C8100"/>
  <c r="B8100"/>
  <c r="A8100"/>
  <c r="C8099"/>
  <c r="B8099"/>
  <c r="A8099"/>
  <c r="C8098"/>
  <c r="B8098"/>
  <c r="A8098"/>
  <c r="C8097"/>
  <c r="B8097"/>
  <c r="A8097"/>
  <c r="C8096"/>
  <c r="B8096"/>
  <c r="A8096"/>
  <c r="C8095"/>
  <c r="B8095"/>
  <c r="A8095"/>
  <c r="C8094"/>
  <c r="B8094"/>
  <c r="A8094"/>
  <c r="C8093"/>
  <c r="B8093"/>
  <c r="A8093"/>
  <c r="C8092"/>
  <c r="B8092"/>
  <c r="A8092"/>
  <c r="C8091"/>
  <c r="B8091"/>
  <c r="A8091"/>
  <c r="C8090"/>
  <c r="B8090"/>
  <c r="A8090"/>
  <c r="C8089"/>
  <c r="B8089"/>
  <c r="A8089"/>
  <c r="C8088"/>
  <c r="B8088"/>
  <c r="A8088"/>
  <c r="C8087"/>
  <c r="B8087"/>
  <c r="A8087"/>
  <c r="C8086"/>
  <c r="B8086"/>
  <c r="A8086"/>
  <c r="C8085"/>
  <c r="B8085"/>
  <c r="A8085"/>
  <c r="C8084"/>
  <c r="B8084"/>
  <c r="A8084"/>
  <c r="C8083"/>
  <c r="B8083"/>
  <c r="A8083"/>
  <c r="C8082"/>
  <c r="B8082"/>
  <c r="A8082"/>
  <c r="C8081"/>
  <c r="B8081"/>
  <c r="A8081"/>
  <c r="C8080"/>
  <c r="B8080"/>
  <c r="A8080"/>
  <c r="C8079"/>
  <c r="B8079"/>
  <c r="A8079"/>
  <c r="C8078"/>
  <c r="B8078"/>
  <c r="A8078"/>
  <c r="C8077"/>
  <c r="B8077"/>
  <c r="A8077"/>
  <c r="C8076"/>
  <c r="B8076"/>
  <c r="A8076"/>
  <c r="C8075"/>
  <c r="B8075"/>
  <c r="A8075"/>
  <c r="C8074"/>
  <c r="B8074"/>
  <c r="A8074"/>
  <c r="C8073"/>
  <c r="B8073"/>
  <c r="A8073"/>
  <c r="C8072"/>
  <c r="B8072"/>
  <c r="A8072"/>
  <c r="C8071"/>
  <c r="B8071"/>
  <c r="A8071"/>
  <c r="C8070"/>
  <c r="B8070"/>
  <c r="A8070"/>
  <c r="C8069"/>
  <c r="B8069"/>
  <c r="A8069"/>
  <c r="C8068"/>
  <c r="B8068"/>
  <c r="A8068"/>
  <c r="C8067"/>
  <c r="B8067"/>
  <c r="A8067"/>
  <c r="C8066"/>
  <c r="B8066"/>
  <c r="A8066"/>
  <c r="C8065"/>
  <c r="B8065"/>
  <c r="A8065"/>
  <c r="C8064"/>
  <c r="B8064"/>
  <c r="A8064"/>
  <c r="C8063"/>
  <c r="B8063"/>
  <c r="A8063"/>
  <c r="C8062"/>
  <c r="B8062"/>
  <c r="A8062"/>
  <c r="C8061"/>
  <c r="B8061"/>
  <c r="A8061"/>
  <c r="C8060"/>
  <c r="B8060"/>
  <c r="A8060"/>
  <c r="C8059"/>
  <c r="B8059"/>
  <c r="A8059"/>
  <c r="C8058"/>
  <c r="B8058"/>
  <c r="A8058"/>
  <c r="C8057"/>
  <c r="B8057"/>
  <c r="A8057"/>
  <c r="C8056"/>
  <c r="B8056"/>
  <c r="A8056"/>
  <c r="C8055"/>
  <c r="B8055"/>
  <c r="A8055"/>
  <c r="C8054"/>
  <c r="B8054"/>
  <c r="A8054"/>
  <c r="C8053"/>
  <c r="B8053"/>
  <c r="A8053"/>
  <c r="C8052"/>
  <c r="B8052"/>
  <c r="A8052"/>
  <c r="C8051"/>
  <c r="B8051"/>
  <c r="A8051"/>
  <c r="C8050"/>
  <c r="B8050"/>
  <c r="A8050"/>
  <c r="C8049"/>
  <c r="B8049"/>
  <c r="A8049"/>
  <c r="C8048"/>
  <c r="B8048"/>
  <c r="A8048"/>
  <c r="C8047"/>
  <c r="B8047"/>
  <c r="A8047"/>
  <c r="C8046"/>
  <c r="B8046"/>
  <c r="A8046"/>
  <c r="C8045"/>
  <c r="B8045"/>
  <c r="A8045"/>
  <c r="C8044"/>
  <c r="B8044"/>
  <c r="A8044"/>
  <c r="C8043"/>
  <c r="B8043"/>
  <c r="A8043"/>
  <c r="C8042"/>
  <c r="B8042"/>
  <c r="A8042"/>
  <c r="C8041"/>
  <c r="B8041"/>
  <c r="A8041"/>
  <c r="C8040"/>
  <c r="B8040"/>
  <c r="A8040"/>
  <c r="C8039"/>
  <c r="B8039"/>
  <c r="A8039"/>
  <c r="C8038"/>
  <c r="B8038"/>
  <c r="A8038"/>
  <c r="C8037"/>
  <c r="B8037"/>
  <c r="A8037"/>
  <c r="C8036"/>
  <c r="B8036"/>
  <c r="A8036"/>
  <c r="C8035"/>
  <c r="B8035"/>
  <c r="A8035"/>
  <c r="C8034"/>
  <c r="B8034"/>
  <c r="A8034"/>
  <c r="C8033"/>
  <c r="B8033"/>
  <c r="A8033"/>
  <c r="C8032"/>
  <c r="B8032"/>
  <c r="A8032"/>
  <c r="C8031"/>
  <c r="B8031"/>
  <c r="A8031"/>
  <c r="C8030"/>
  <c r="B8030"/>
  <c r="A8030"/>
  <c r="C8029"/>
  <c r="B8029"/>
  <c r="A8029"/>
  <c r="C8028"/>
  <c r="B8028"/>
  <c r="A8028"/>
  <c r="C8027"/>
  <c r="B8027"/>
  <c r="A8027"/>
  <c r="C8026"/>
  <c r="B8026"/>
  <c r="A8026"/>
  <c r="C8025"/>
  <c r="B8025"/>
  <c r="A8025"/>
  <c r="C8024"/>
  <c r="B8024"/>
  <c r="A8024"/>
  <c r="C8023"/>
  <c r="B8023"/>
  <c r="A8023"/>
  <c r="C8022"/>
  <c r="B8022"/>
  <c r="A8022"/>
  <c r="C8021"/>
  <c r="B8021"/>
  <c r="A8021"/>
  <c r="C8020"/>
  <c r="B8020"/>
  <c r="A8020"/>
  <c r="C8019"/>
  <c r="B8019"/>
  <c r="A8019"/>
  <c r="C8018"/>
  <c r="B8018"/>
  <c r="A8018"/>
  <c r="C8017"/>
  <c r="B8017"/>
  <c r="A8017"/>
  <c r="C8016"/>
  <c r="B8016"/>
  <c r="A8016"/>
  <c r="C8015"/>
  <c r="B8015"/>
  <c r="A8015"/>
  <c r="C8014"/>
  <c r="B8014"/>
  <c r="A8014"/>
  <c r="C8013"/>
  <c r="B8013"/>
  <c r="A8013"/>
  <c r="C8012"/>
  <c r="B8012"/>
  <c r="A8012"/>
  <c r="C8011"/>
  <c r="B8011"/>
  <c r="A8011"/>
  <c r="C8010"/>
  <c r="B8010"/>
  <c r="A8010"/>
  <c r="C8009"/>
  <c r="B8009"/>
  <c r="A8009"/>
  <c r="C8008"/>
  <c r="B8008"/>
  <c r="A8008"/>
  <c r="C8007"/>
  <c r="B8007"/>
  <c r="A8007"/>
  <c r="C8006"/>
  <c r="B8006"/>
  <c r="A8006"/>
  <c r="C8005"/>
  <c r="B8005"/>
  <c r="A8005"/>
  <c r="C8004"/>
  <c r="B8004"/>
  <c r="A8004"/>
  <c r="C8003"/>
  <c r="B8003"/>
  <c r="A8003"/>
  <c r="C8002"/>
  <c r="B8002"/>
  <c r="A8002"/>
  <c r="C8001"/>
  <c r="B8001"/>
  <c r="A8001"/>
  <c r="C8000"/>
  <c r="B8000"/>
  <c r="A8000"/>
  <c r="C7999"/>
  <c r="B7999"/>
  <c r="A7999"/>
  <c r="C7998"/>
  <c r="B7998"/>
  <c r="A7998"/>
  <c r="C7997"/>
  <c r="B7997"/>
  <c r="A7997"/>
  <c r="C7996"/>
  <c r="B7996"/>
  <c r="A7996"/>
  <c r="C7995"/>
  <c r="B7995"/>
  <c r="A7995"/>
  <c r="C7994"/>
  <c r="B7994"/>
  <c r="A7994"/>
  <c r="C7993"/>
  <c r="B7993"/>
  <c r="A7993"/>
  <c r="C7992"/>
  <c r="B7992"/>
  <c r="A7992"/>
  <c r="C7991"/>
  <c r="B7991"/>
  <c r="A7991"/>
  <c r="C7990"/>
  <c r="B7990"/>
  <c r="A7990"/>
  <c r="C7989"/>
  <c r="B7989"/>
  <c r="A7989"/>
  <c r="C7988"/>
  <c r="B7988"/>
  <c r="A7988"/>
  <c r="C7987"/>
  <c r="B7987"/>
  <c r="A7987"/>
  <c r="C7986"/>
  <c r="B7986"/>
  <c r="A7986"/>
  <c r="C7985"/>
  <c r="B7985"/>
  <c r="A7985"/>
  <c r="C7984"/>
  <c r="B7984"/>
  <c r="A7984"/>
  <c r="C7983"/>
  <c r="B7983"/>
  <c r="A7983"/>
  <c r="C7982"/>
  <c r="B7982"/>
  <c r="A7982"/>
  <c r="C7981"/>
  <c r="B7981"/>
  <c r="A7981"/>
  <c r="C7980"/>
  <c r="B7980"/>
  <c r="A7980"/>
  <c r="C7979"/>
  <c r="B7979"/>
  <c r="A7979"/>
  <c r="C7978"/>
  <c r="B7978"/>
  <c r="A7978"/>
  <c r="C7977"/>
  <c r="B7977"/>
  <c r="A7977"/>
  <c r="C7976"/>
  <c r="B7976"/>
  <c r="A7976"/>
  <c r="C7975"/>
  <c r="B7975"/>
  <c r="A7975"/>
  <c r="C7974"/>
  <c r="B7974"/>
  <c r="A7974"/>
  <c r="C7973"/>
  <c r="B7973"/>
  <c r="A7973"/>
  <c r="C7972"/>
  <c r="B7972"/>
  <c r="A7972"/>
  <c r="C7971"/>
  <c r="B7971"/>
  <c r="A7971"/>
  <c r="C7970"/>
  <c r="B7970"/>
  <c r="A7970"/>
  <c r="C7969"/>
  <c r="B7969"/>
  <c r="A7969"/>
  <c r="C7968"/>
  <c r="B7968"/>
  <c r="A7968"/>
  <c r="C7967"/>
  <c r="B7967"/>
  <c r="A7967"/>
  <c r="C7966"/>
  <c r="B7966"/>
  <c r="A7966"/>
  <c r="C7965"/>
  <c r="B7965"/>
  <c r="A7965"/>
  <c r="C7964"/>
  <c r="B7964"/>
  <c r="A7964"/>
  <c r="C7963"/>
  <c r="B7963"/>
  <c r="A7963"/>
  <c r="C7962"/>
  <c r="B7962"/>
  <c r="A7962"/>
  <c r="C7961"/>
  <c r="B7961"/>
  <c r="A7961"/>
  <c r="C7960"/>
  <c r="B7960"/>
  <c r="A7960"/>
  <c r="C7959"/>
  <c r="B7959"/>
  <c r="A7959"/>
  <c r="C7958"/>
  <c r="B7958"/>
  <c r="A7958"/>
  <c r="C7957"/>
  <c r="B7957"/>
  <c r="A7957"/>
  <c r="C7956"/>
  <c r="B7956"/>
  <c r="A7956"/>
  <c r="C7955"/>
  <c r="B7955"/>
  <c r="A7955"/>
  <c r="C7954"/>
  <c r="B7954"/>
  <c r="A7954"/>
  <c r="C7953"/>
  <c r="B7953"/>
  <c r="A7953"/>
  <c r="C7952"/>
  <c r="B7952"/>
  <c r="A7952"/>
  <c r="C7951"/>
  <c r="B7951"/>
  <c r="A7951"/>
  <c r="C7950"/>
  <c r="B7950"/>
  <c r="A7950"/>
  <c r="C7949"/>
  <c r="B7949"/>
  <c r="A7949"/>
  <c r="C7948"/>
  <c r="B7948"/>
  <c r="A7948"/>
  <c r="C7947"/>
  <c r="B7947"/>
  <c r="A7947"/>
  <c r="C7946"/>
  <c r="B7946"/>
  <c r="A7946"/>
  <c r="C7945"/>
  <c r="B7945"/>
  <c r="A7945"/>
  <c r="C7944"/>
  <c r="B7944"/>
  <c r="A7944"/>
  <c r="C7943"/>
  <c r="B7943"/>
  <c r="A7943"/>
  <c r="C7942"/>
  <c r="B7942"/>
  <c r="A7942"/>
  <c r="C7941"/>
  <c r="B7941"/>
  <c r="A7941"/>
  <c r="C7940"/>
  <c r="B7940"/>
  <c r="A7940"/>
  <c r="C7939"/>
  <c r="B7939"/>
  <c r="A7939"/>
  <c r="C7938"/>
  <c r="B7938"/>
  <c r="A7938"/>
  <c r="C7937"/>
  <c r="B7937"/>
  <c r="A7937"/>
  <c r="C7936"/>
  <c r="B7936"/>
  <c r="A7936"/>
  <c r="C7935"/>
  <c r="B7935"/>
  <c r="A7935"/>
  <c r="C7934"/>
  <c r="B7934"/>
  <c r="A7934"/>
  <c r="C7933"/>
  <c r="B7933"/>
  <c r="A7933"/>
  <c r="C7932"/>
  <c r="B7932"/>
  <c r="A7932"/>
  <c r="C7931"/>
  <c r="B7931"/>
  <c r="A7931"/>
  <c r="C7930"/>
  <c r="B7930"/>
  <c r="A7930"/>
  <c r="C7929"/>
  <c r="B7929"/>
  <c r="A7929"/>
  <c r="C7928"/>
  <c r="B7928"/>
  <c r="A7928"/>
  <c r="C7927"/>
  <c r="B7927"/>
  <c r="A7927"/>
  <c r="C7926"/>
  <c r="B7926"/>
  <c r="A7926"/>
  <c r="C7925"/>
  <c r="B7925"/>
  <c r="A7925"/>
  <c r="C7924"/>
  <c r="B7924"/>
  <c r="A7924"/>
  <c r="C7923"/>
  <c r="B7923"/>
  <c r="A7923"/>
  <c r="C7922"/>
  <c r="B7922"/>
  <c r="A7922"/>
  <c r="C7921"/>
  <c r="B7921"/>
  <c r="A7921"/>
  <c r="C7920"/>
  <c r="B7920"/>
  <c r="A7920"/>
  <c r="C7919"/>
  <c r="B7919"/>
  <c r="A7919"/>
  <c r="C7918"/>
  <c r="B7918"/>
  <c r="A7918"/>
  <c r="C7917"/>
  <c r="B7917"/>
  <c r="A7917"/>
  <c r="C7916"/>
  <c r="B7916"/>
  <c r="A7916"/>
  <c r="C7915"/>
  <c r="B7915"/>
  <c r="A7915"/>
  <c r="C7914"/>
  <c r="B7914"/>
  <c r="A7914"/>
  <c r="C7913"/>
  <c r="B7913"/>
  <c r="A7913"/>
  <c r="C7912"/>
  <c r="B7912"/>
  <c r="A7912"/>
  <c r="C7911"/>
  <c r="B7911"/>
  <c r="A7911"/>
  <c r="C7910"/>
  <c r="B7910"/>
  <c r="A7910"/>
  <c r="C7909"/>
  <c r="B7909"/>
  <c r="A7909"/>
  <c r="C7908"/>
  <c r="B7908"/>
  <c r="A7908"/>
  <c r="C7907"/>
  <c r="B7907"/>
  <c r="A7907"/>
  <c r="C7906"/>
  <c r="B7906"/>
  <c r="A7906"/>
  <c r="C7905"/>
  <c r="B7905"/>
  <c r="A7905"/>
  <c r="C7904"/>
  <c r="B7904"/>
  <c r="A7904"/>
  <c r="C7903"/>
  <c r="B7903"/>
  <c r="A7903"/>
  <c r="C7902"/>
  <c r="B7902"/>
  <c r="A7902"/>
  <c r="C7901"/>
  <c r="B7901"/>
  <c r="A7901"/>
  <c r="C7900"/>
  <c r="B7900"/>
  <c r="A7900"/>
  <c r="C7899"/>
  <c r="B7899"/>
  <c r="A7899"/>
  <c r="C7898"/>
  <c r="B7898"/>
  <c r="A7898"/>
  <c r="C7897"/>
  <c r="B7897"/>
  <c r="A7897"/>
  <c r="C7896"/>
  <c r="B7896"/>
  <c r="A7896"/>
  <c r="C7895"/>
  <c r="B7895"/>
  <c r="A7895"/>
  <c r="C7894"/>
  <c r="B7894"/>
  <c r="A7894"/>
  <c r="C7893"/>
  <c r="B7893"/>
  <c r="A7893"/>
  <c r="C7892"/>
  <c r="B7892"/>
  <c r="A7892"/>
  <c r="C7891"/>
  <c r="B7891"/>
  <c r="A7891"/>
  <c r="C7890"/>
  <c r="B7890"/>
  <c r="A7890"/>
  <c r="C7889"/>
  <c r="B7889"/>
  <c r="A7889"/>
  <c r="C7888"/>
  <c r="B7888"/>
  <c r="A7888"/>
  <c r="C7887"/>
  <c r="B7887"/>
  <c r="A7887"/>
  <c r="C7886"/>
  <c r="B7886"/>
  <c r="A7886"/>
  <c r="C7885"/>
  <c r="B7885"/>
  <c r="A7885"/>
  <c r="C7884"/>
  <c r="B7884"/>
  <c r="A7884"/>
  <c r="C7883"/>
  <c r="B7883"/>
  <c r="A7883"/>
  <c r="C7882"/>
  <c r="B7882"/>
  <c r="A7882"/>
  <c r="C7881"/>
  <c r="B7881"/>
  <c r="A7881"/>
  <c r="C7880"/>
  <c r="B7880"/>
  <c r="A7880"/>
  <c r="C7879"/>
  <c r="B7879"/>
  <c r="A7879"/>
  <c r="C7878"/>
  <c r="B7878"/>
  <c r="A7878"/>
  <c r="C7877"/>
  <c r="B7877"/>
  <c r="A7877"/>
  <c r="C7876"/>
  <c r="B7876"/>
  <c r="A7876"/>
  <c r="C7875"/>
  <c r="B7875"/>
  <c r="A7875"/>
  <c r="C7874"/>
  <c r="B7874"/>
  <c r="A7874"/>
  <c r="C7873"/>
  <c r="B7873"/>
  <c r="A7873"/>
  <c r="C7872"/>
  <c r="B7872"/>
  <c r="A7872"/>
  <c r="C7871"/>
  <c r="B7871"/>
  <c r="A7871"/>
  <c r="C7870"/>
  <c r="B7870"/>
  <c r="A7870"/>
  <c r="C7869"/>
  <c r="B7869"/>
  <c r="A7869"/>
  <c r="C7868"/>
  <c r="B7868"/>
  <c r="A7868"/>
  <c r="C7867"/>
  <c r="B7867"/>
  <c r="A7867"/>
  <c r="C7866"/>
  <c r="B7866"/>
  <c r="A7866"/>
  <c r="C7865"/>
  <c r="B7865"/>
  <c r="A7865"/>
  <c r="C7864"/>
  <c r="B7864"/>
  <c r="A7864"/>
  <c r="C7863"/>
  <c r="B7863"/>
  <c r="A7863"/>
  <c r="C7862"/>
  <c r="B7862"/>
  <c r="A7862"/>
  <c r="C7861"/>
  <c r="B7861"/>
  <c r="A7861"/>
  <c r="C7860"/>
  <c r="B7860"/>
  <c r="A7860"/>
  <c r="C7859"/>
  <c r="B7859"/>
  <c r="A7859"/>
  <c r="C7858"/>
  <c r="B7858"/>
  <c r="A7858"/>
  <c r="C7857"/>
  <c r="B7857"/>
  <c r="A7857"/>
  <c r="C7856"/>
  <c r="B7856"/>
  <c r="A7856"/>
  <c r="C7855"/>
  <c r="B7855"/>
  <c r="A7855"/>
  <c r="C7854"/>
  <c r="B7854"/>
  <c r="A7854"/>
  <c r="C7853"/>
  <c r="B7853"/>
  <c r="A7853"/>
  <c r="C7852"/>
  <c r="B7852"/>
  <c r="A7852"/>
  <c r="C7851"/>
  <c r="B7851"/>
  <c r="A7851"/>
  <c r="C7850"/>
  <c r="B7850"/>
  <c r="A7850"/>
  <c r="C7849"/>
  <c r="B7849"/>
  <c r="A7849"/>
  <c r="C7848"/>
  <c r="B7848"/>
  <c r="A7848"/>
  <c r="C7847"/>
  <c r="B7847"/>
  <c r="A7847"/>
  <c r="C7846"/>
  <c r="B7846"/>
  <c r="A7846"/>
  <c r="C7845"/>
  <c r="B7845"/>
  <c r="A7845"/>
  <c r="C7844"/>
  <c r="B7844"/>
  <c r="A7844"/>
  <c r="C7843"/>
  <c r="B7843"/>
  <c r="A7843"/>
  <c r="C7842"/>
  <c r="B7842"/>
  <c r="A7842"/>
  <c r="C7841"/>
  <c r="B7841"/>
  <c r="A7841"/>
  <c r="C7840"/>
  <c r="B7840"/>
  <c r="A7840"/>
  <c r="C7839"/>
  <c r="B7839"/>
  <c r="A7839"/>
  <c r="C7838"/>
  <c r="B7838"/>
  <c r="A7838"/>
  <c r="C7837"/>
  <c r="B7837"/>
  <c r="A7837"/>
  <c r="C7836"/>
  <c r="B7836"/>
  <c r="A7836"/>
  <c r="C7835"/>
  <c r="B7835"/>
  <c r="A7835"/>
  <c r="C7834"/>
  <c r="B7834"/>
  <c r="A7834"/>
  <c r="C7833"/>
  <c r="B7833"/>
  <c r="A7833"/>
  <c r="C7832"/>
  <c r="B7832"/>
  <c r="A7832"/>
  <c r="C7831"/>
  <c r="B7831"/>
  <c r="A7831"/>
  <c r="C7830"/>
  <c r="B7830"/>
  <c r="A7830"/>
  <c r="C7829"/>
  <c r="B7829"/>
  <c r="A7829"/>
  <c r="C7828"/>
  <c r="B7828"/>
  <c r="A7828"/>
  <c r="C7827"/>
  <c r="B7827"/>
  <c r="A7827"/>
  <c r="C7826"/>
  <c r="B7826"/>
  <c r="A7826"/>
  <c r="C7825"/>
  <c r="B7825"/>
  <c r="A7825"/>
  <c r="C7824"/>
  <c r="B7824"/>
  <c r="A7824"/>
  <c r="C7823"/>
  <c r="B7823"/>
  <c r="A7823"/>
  <c r="C7822"/>
  <c r="B7822"/>
  <c r="A7822"/>
  <c r="C7821"/>
  <c r="B7821"/>
  <c r="A7821"/>
  <c r="C7820"/>
  <c r="B7820"/>
  <c r="A7820"/>
  <c r="C7819"/>
  <c r="B7819"/>
  <c r="A7819"/>
  <c r="C7818"/>
  <c r="B7818"/>
  <c r="A7818"/>
  <c r="C7817"/>
  <c r="B7817"/>
  <c r="A7817"/>
  <c r="C7816"/>
  <c r="B7816"/>
  <c r="A7816"/>
  <c r="C7815"/>
  <c r="B7815"/>
  <c r="A7815"/>
  <c r="C7814"/>
  <c r="B7814"/>
  <c r="A7814"/>
  <c r="C7813"/>
  <c r="B7813"/>
  <c r="A7813"/>
  <c r="C7812"/>
  <c r="B7812"/>
  <c r="A7812"/>
  <c r="C7811"/>
  <c r="B7811"/>
  <c r="A7811"/>
  <c r="C7810"/>
  <c r="B7810"/>
  <c r="A7810"/>
  <c r="C7809"/>
  <c r="B7809"/>
  <c r="A7809"/>
  <c r="C7808"/>
  <c r="B7808"/>
  <c r="A7808"/>
  <c r="C7807"/>
  <c r="B7807"/>
  <c r="A7807"/>
  <c r="C7806"/>
  <c r="B7806"/>
  <c r="A7806"/>
  <c r="C7805"/>
  <c r="B7805"/>
  <c r="A7805"/>
  <c r="C7804"/>
  <c r="B7804"/>
  <c r="A7804"/>
  <c r="C7803"/>
  <c r="B7803"/>
  <c r="A7803"/>
  <c r="C7802"/>
  <c r="B7802"/>
  <c r="A7802"/>
  <c r="C7801"/>
  <c r="B7801"/>
  <c r="A7801"/>
  <c r="C7800"/>
  <c r="B7800"/>
  <c r="A7800"/>
  <c r="C7799"/>
  <c r="B7799"/>
  <c r="A7799"/>
  <c r="C7798"/>
  <c r="B7798"/>
  <c r="A7798"/>
  <c r="C7797"/>
  <c r="B7797"/>
  <c r="A7797"/>
  <c r="C7796"/>
  <c r="B7796"/>
  <c r="A7796"/>
  <c r="C7795"/>
  <c r="B7795"/>
  <c r="A7795"/>
  <c r="C7794"/>
  <c r="B7794"/>
  <c r="A7794"/>
  <c r="C7793"/>
  <c r="B7793"/>
  <c r="A7793"/>
  <c r="C7792"/>
  <c r="B7792"/>
  <c r="A7792"/>
  <c r="C7791"/>
  <c r="B7791"/>
  <c r="A7791"/>
  <c r="C7790"/>
  <c r="B7790"/>
  <c r="A7790"/>
  <c r="C7789"/>
  <c r="B7789"/>
  <c r="A7789"/>
  <c r="C7788"/>
  <c r="B7788"/>
  <c r="A7788"/>
  <c r="C7787"/>
  <c r="B7787"/>
  <c r="A7787"/>
  <c r="C7786"/>
  <c r="B7786"/>
  <c r="A7786"/>
  <c r="C7785"/>
  <c r="B7785"/>
  <c r="A7785"/>
  <c r="C7784"/>
  <c r="B7784"/>
  <c r="A7784"/>
  <c r="C7783"/>
  <c r="B7783"/>
  <c r="A7783"/>
  <c r="C7782"/>
  <c r="B7782"/>
  <c r="A7782"/>
  <c r="C7781"/>
  <c r="B7781"/>
  <c r="A7781"/>
  <c r="C7780"/>
  <c r="B7780"/>
  <c r="A7780"/>
  <c r="C7779"/>
  <c r="B7779"/>
  <c r="A7779"/>
  <c r="C7778"/>
  <c r="B7778"/>
  <c r="A7778"/>
  <c r="C7777"/>
  <c r="B7777"/>
  <c r="A7777"/>
  <c r="C7776"/>
  <c r="B7776"/>
  <c r="A7776"/>
  <c r="C7775"/>
  <c r="B7775"/>
  <c r="A7775"/>
  <c r="C7774"/>
  <c r="B7774"/>
  <c r="A7774"/>
  <c r="C7773"/>
  <c r="B7773"/>
  <c r="A7773"/>
  <c r="C7772"/>
  <c r="B7772"/>
  <c r="A7772"/>
  <c r="C7771"/>
  <c r="B7771"/>
  <c r="A7771"/>
  <c r="C7770"/>
  <c r="B7770"/>
  <c r="A7770"/>
  <c r="C7769"/>
  <c r="B7769"/>
  <c r="A7769"/>
  <c r="C7768"/>
  <c r="B7768"/>
  <c r="A7768"/>
  <c r="C7767"/>
  <c r="B7767"/>
  <c r="A7767"/>
  <c r="C7766"/>
  <c r="B7766"/>
  <c r="A7766"/>
  <c r="C7765"/>
  <c r="B7765"/>
  <c r="A7765"/>
  <c r="C7764"/>
  <c r="B7764"/>
  <c r="A7764"/>
  <c r="C7763"/>
  <c r="B7763"/>
  <c r="A7763"/>
  <c r="C7762"/>
  <c r="B7762"/>
  <c r="A7762"/>
  <c r="C7761"/>
  <c r="B7761"/>
  <c r="A7761"/>
  <c r="C7760"/>
  <c r="B7760"/>
  <c r="A7760"/>
  <c r="C7759"/>
  <c r="B7759"/>
  <c r="A7759"/>
  <c r="C7758"/>
  <c r="B7758"/>
  <c r="A7758"/>
  <c r="C7757"/>
  <c r="B7757"/>
  <c r="A7757"/>
  <c r="C7756"/>
  <c r="B7756"/>
  <c r="A7756"/>
  <c r="C7755"/>
  <c r="B7755"/>
  <c r="A7755"/>
  <c r="C7754"/>
  <c r="B7754"/>
  <c r="A7754"/>
  <c r="C7753"/>
  <c r="B7753"/>
  <c r="A7753"/>
  <c r="C7752"/>
  <c r="B7752"/>
  <c r="A7752"/>
  <c r="C7751"/>
  <c r="B7751"/>
  <c r="A7751"/>
  <c r="C7750"/>
  <c r="B7750"/>
  <c r="A7750"/>
  <c r="C7749"/>
  <c r="B7749"/>
  <c r="A7749"/>
  <c r="C7748"/>
  <c r="B7748"/>
  <c r="A7748"/>
  <c r="C7747"/>
  <c r="B7747"/>
  <c r="A7747"/>
  <c r="C7746"/>
  <c r="B7746"/>
  <c r="A7746"/>
  <c r="C7745"/>
  <c r="B7745"/>
  <c r="A7745"/>
  <c r="C7744"/>
  <c r="B7744"/>
  <c r="A7744"/>
  <c r="C7743"/>
  <c r="B7743"/>
  <c r="A7743"/>
  <c r="C7742"/>
  <c r="B7742"/>
  <c r="A7742"/>
  <c r="C7741"/>
  <c r="B7741"/>
  <c r="A7741"/>
  <c r="C7740"/>
  <c r="B7740"/>
  <c r="A7740"/>
  <c r="C7739"/>
  <c r="B7739"/>
  <c r="A7739"/>
  <c r="C7738"/>
  <c r="B7738"/>
  <c r="A7738"/>
  <c r="C7737"/>
  <c r="B7737"/>
  <c r="A7737"/>
  <c r="C7736"/>
  <c r="B7736"/>
  <c r="A7736"/>
  <c r="C7735"/>
  <c r="B7735"/>
  <c r="A7735"/>
  <c r="C7734"/>
  <c r="B7734"/>
  <c r="A7734"/>
  <c r="C7733"/>
  <c r="B7733"/>
  <c r="A7733"/>
  <c r="C7732"/>
  <c r="B7732"/>
  <c r="A7732"/>
  <c r="C7731"/>
  <c r="B7731"/>
  <c r="A7731"/>
  <c r="C7730"/>
  <c r="B7730"/>
  <c r="A7730"/>
  <c r="C7729"/>
  <c r="B7729"/>
  <c r="A7729"/>
  <c r="C7728"/>
  <c r="B7728"/>
  <c r="A7728"/>
  <c r="C7727"/>
  <c r="B7727"/>
  <c r="A7727"/>
  <c r="C7726"/>
  <c r="B7726"/>
  <c r="A7726"/>
  <c r="C7725"/>
  <c r="B7725"/>
  <c r="A7725"/>
  <c r="C7724"/>
  <c r="B7724"/>
  <c r="A7724"/>
  <c r="C7723"/>
  <c r="B7723"/>
  <c r="A7723"/>
  <c r="C7722"/>
  <c r="B7722"/>
  <c r="A7722"/>
  <c r="C7721"/>
  <c r="B7721"/>
  <c r="A7721"/>
  <c r="C7720"/>
  <c r="B7720"/>
  <c r="A7720"/>
  <c r="C7719"/>
  <c r="B7719"/>
  <c r="A7719"/>
  <c r="C7718"/>
  <c r="B7718"/>
  <c r="A7718"/>
  <c r="C7717"/>
  <c r="B7717"/>
  <c r="A7717"/>
  <c r="C7716"/>
  <c r="B7716"/>
  <c r="A7716"/>
  <c r="C7715"/>
  <c r="B7715"/>
  <c r="A7715"/>
  <c r="C7714"/>
  <c r="B7714"/>
  <c r="A7714"/>
  <c r="C7713"/>
  <c r="B7713"/>
  <c r="A7713"/>
  <c r="C7712"/>
  <c r="B7712"/>
  <c r="A7712"/>
  <c r="C7711"/>
  <c r="B7711"/>
  <c r="A7711"/>
  <c r="C7710"/>
  <c r="B7710"/>
  <c r="A7710"/>
  <c r="C7709"/>
  <c r="B7709"/>
  <c r="A7709"/>
  <c r="C7708"/>
  <c r="B7708"/>
  <c r="A7708"/>
  <c r="C7707"/>
  <c r="B7707"/>
  <c r="A7707"/>
  <c r="C7706"/>
  <c r="B7706"/>
  <c r="A7706"/>
  <c r="C7705"/>
  <c r="B7705"/>
  <c r="A7705"/>
  <c r="C7704"/>
  <c r="B7704"/>
  <c r="A7704"/>
  <c r="C7703"/>
  <c r="B7703"/>
  <c r="A7703"/>
  <c r="C7702"/>
  <c r="B7702"/>
  <c r="A7702"/>
  <c r="C7701"/>
  <c r="B7701"/>
  <c r="A7701"/>
  <c r="C7700"/>
  <c r="B7700"/>
  <c r="A7700"/>
  <c r="C7699"/>
  <c r="B7699"/>
  <c r="A7699"/>
  <c r="C7698"/>
  <c r="B7698"/>
  <c r="A7698"/>
  <c r="C7697"/>
  <c r="B7697"/>
  <c r="A7697"/>
  <c r="C7696"/>
  <c r="B7696"/>
  <c r="A7696"/>
  <c r="C7695"/>
  <c r="B7695"/>
  <c r="A7695"/>
  <c r="C7694"/>
  <c r="B7694"/>
  <c r="A7694"/>
  <c r="C7693"/>
  <c r="B7693"/>
  <c r="A7693"/>
  <c r="C7692"/>
  <c r="B7692"/>
  <c r="A7692"/>
  <c r="C7691"/>
  <c r="B7691"/>
  <c r="A7691"/>
  <c r="C7690"/>
  <c r="B7690"/>
  <c r="A7690"/>
  <c r="C7689"/>
  <c r="B7689"/>
  <c r="A7689"/>
  <c r="C7688"/>
  <c r="B7688"/>
  <c r="A7688"/>
  <c r="C7687"/>
  <c r="B7687"/>
  <c r="A7687"/>
  <c r="C7686"/>
  <c r="B7686"/>
  <c r="A7686"/>
  <c r="C7685"/>
  <c r="B7685"/>
  <c r="A7685"/>
  <c r="C7684"/>
  <c r="B7684"/>
  <c r="A7684"/>
  <c r="C7683"/>
  <c r="B7683"/>
  <c r="A7683"/>
  <c r="C7682"/>
  <c r="B7682"/>
  <c r="A7682"/>
  <c r="C7681"/>
  <c r="B7681"/>
  <c r="A7681"/>
  <c r="C7680"/>
  <c r="B7680"/>
  <c r="A7680"/>
  <c r="C7679"/>
  <c r="B7679"/>
  <c r="A7679"/>
  <c r="C7678"/>
  <c r="B7678"/>
  <c r="A7678"/>
  <c r="C7677"/>
  <c r="B7677"/>
  <c r="A7677"/>
  <c r="C7676"/>
  <c r="B7676"/>
  <c r="A7676"/>
  <c r="C7675"/>
  <c r="B7675"/>
  <c r="A7675"/>
  <c r="C7674"/>
  <c r="B7674"/>
  <c r="A7674"/>
  <c r="C7673"/>
  <c r="B7673"/>
  <c r="A7673"/>
  <c r="C7672"/>
  <c r="B7672"/>
  <c r="A7672"/>
  <c r="C7671"/>
  <c r="B7671"/>
  <c r="A7671"/>
  <c r="C7670"/>
  <c r="B7670"/>
  <c r="A7670"/>
  <c r="C7669"/>
  <c r="B7669"/>
  <c r="A7669"/>
  <c r="C7668"/>
  <c r="B7668"/>
  <c r="A7668"/>
  <c r="C7667"/>
  <c r="B7667"/>
  <c r="A7667"/>
  <c r="C7666"/>
  <c r="B7666"/>
  <c r="A7666"/>
  <c r="C7665"/>
  <c r="B7665"/>
  <c r="A7665"/>
  <c r="C7664"/>
  <c r="B7664"/>
  <c r="A7664"/>
  <c r="C7663"/>
  <c r="B7663"/>
  <c r="A7663"/>
  <c r="C7662"/>
  <c r="B7662"/>
  <c r="A7662"/>
  <c r="C7661"/>
  <c r="B7661"/>
  <c r="A7661"/>
  <c r="C7660"/>
  <c r="B7660"/>
  <c r="A7660"/>
  <c r="C7659"/>
  <c r="B7659"/>
  <c r="A7659"/>
  <c r="C7658"/>
  <c r="B7658"/>
  <c r="A7658"/>
  <c r="C7657"/>
  <c r="B7657"/>
  <c r="A7657"/>
  <c r="C7656"/>
  <c r="B7656"/>
  <c r="A7656"/>
  <c r="C7655"/>
  <c r="B7655"/>
  <c r="A7655"/>
  <c r="C7654"/>
  <c r="B7654"/>
  <c r="A7654"/>
  <c r="C7653"/>
  <c r="B7653"/>
  <c r="A7653"/>
  <c r="C7652"/>
  <c r="B7652"/>
  <c r="A7652"/>
  <c r="C7651"/>
  <c r="B7651"/>
  <c r="A7651"/>
  <c r="C7650"/>
  <c r="B7650"/>
  <c r="A7650"/>
  <c r="C7649"/>
  <c r="B7649"/>
  <c r="A7649"/>
  <c r="C7648"/>
  <c r="B7648"/>
  <c r="A7648"/>
  <c r="C7647"/>
  <c r="B7647"/>
  <c r="A7647"/>
  <c r="C7646"/>
  <c r="B7646"/>
  <c r="A7646"/>
  <c r="C7645"/>
  <c r="B7645"/>
  <c r="A7645"/>
  <c r="C7644"/>
  <c r="B7644"/>
  <c r="A7644"/>
  <c r="C7643"/>
  <c r="B7643"/>
  <c r="A7643"/>
  <c r="C7642"/>
  <c r="B7642"/>
  <c r="A7642"/>
  <c r="C7641"/>
  <c r="B7641"/>
  <c r="A7641"/>
  <c r="C7640"/>
  <c r="B7640"/>
  <c r="A7640"/>
  <c r="C7639"/>
  <c r="B7639"/>
  <c r="A7639"/>
  <c r="C7638"/>
  <c r="B7638"/>
  <c r="A7638"/>
  <c r="C7637"/>
  <c r="B7637"/>
  <c r="A7637"/>
  <c r="C7636"/>
  <c r="B7636"/>
  <c r="A7636"/>
  <c r="C7635"/>
  <c r="B7635"/>
  <c r="A7635"/>
  <c r="C7634"/>
  <c r="B7634"/>
  <c r="A7634"/>
  <c r="C7633"/>
  <c r="B7633"/>
  <c r="A7633"/>
  <c r="C7632"/>
  <c r="B7632"/>
  <c r="A7632"/>
  <c r="C7631"/>
  <c r="B7631"/>
  <c r="A7631"/>
  <c r="C7630"/>
  <c r="B7630"/>
  <c r="A7630"/>
  <c r="C7629"/>
  <c r="B7629"/>
  <c r="A7629"/>
  <c r="C7628"/>
  <c r="B7628"/>
  <c r="A7628"/>
  <c r="C7627"/>
  <c r="B7627"/>
  <c r="A7627"/>
  <c r="C7626"/>
  <c r="B7626"/>
  <c r="A7626"/>
  <c r="C7625"/>
  <c r="B7625"/>
  <c r="A7625"/>
  <c r="C7624"/>
  <c r="B7624"/>
  <c r="A7624"/>
  <c r="C7623"/>
  <c r="B7623"/>
  <c r="A7623"/>
  <c r="C7622"/>
  <c r="B7622"/>
  <c r="A7622"/>
  <c r="C7621"/>
  <c r="B7621"/>
  <c r="A7621"/>
  <c r="C7620"/>
  <c r="B7620"/>
  <c r="A7620"/>
  <c r="C7619"/>
  <c r="B7619"/>
  <c r="A7619"/>
  <c r="C7618"/>
  <c r="B7618"/>
  <c r="A7618"/>
  <c r="C7617"/>
  <c r="B7617"/>
  <c r="A7617"/>
  <c r="C7616"/>
  <c r="B7616"/>
  <c r="A7616"/>
  <c r="C7615"/>
  <c r="B7615"/>
  <c r="A7615"/>
  <c r="C7614"/>
  <c r="B7614"/>
  <c r="A7614"/>
  <c r="C7613"/>
  <c r="B7613"/>
  <c r="A7613"/>
  <c r="C7612"/>
  <c r="B7612"/>
  <c r="A7612"/>
  <c r="C7611"/>
  <c r="B7611"/>
  <c r="A7611"/>
  <c r="C7610"/>
  <c r="B7610"/>
  <c r="A7610"/>
  <c r="C7609"/>
  <c r="B7609"/>
  <c r="A7609"/>
  <c r="C7608"/>
  <c r="B7608"/>
  <c r="A7608"/>
  <c r="C7607"/>
  <c r="B7607"/>
  <c r="A7607"/>
  <c r="C7606"/>
  <c r="B7606"/>
  <c r="A7606"/>
  <c r="C7605"/>
  <c r="B7605"/>
  <c r="A7605"/>
  <c r="C7604"/>
  <c r="B7604"/>
  <c r="A7604"/>
  <c r="C7603"/>
  <c r="B7603"/>
  <c r="A7603"/>
  <c r="C7602"/>
  <c r="B7602"/>
  <c r="A7602"/>
  <c r="C7601"/>
  <c r="B7601"/>
  <c r="A7601"/>
  <c r="C7600"/>
  <c r="B7600"/>
  <c r="A7600"/>
  <c r="C7599"/>
  <c r="B7599"/>
  <c r="A7599"/>
  <c r="C7598"/>
  <c r="B7598"/>
  <c r="A7598"/>
  <c r="C7597"/>
  <c r="B7597"/>
  <c r="A7597"/>
  <c r="C7596"/>
  <c r="B7596"/>
  <c r="A7596"/>
  <c r="C7595"/>
  <c r="B7595"/>
  <c r="A7595"/>
  <c r="C7594"/>
  <c r="B7594"/>
  <c r="A7594"/>
  <c r="C7593"/>
  <c r="B7593"/>
  <c r="A7593"/>
  <c r="C7592"/>
  <c r="B7592"/>
  <c r="A7592"/>
  <c r="C7591"/>
  <c r="B7591"/>
  <c r="A7591"/>
  <c r="C7590"/>
  <c r="B7590"/>
  <c r="A7590"/>
  <c r="C7589"/>
  <c r="B7589"/>
  <c r="A7589"/>
  <c r="C7588"/>
  <c r="B7588"/>
  <c r="A7588"/>
  <c r="C7587"/>
  <c r="B7587"/>
  <c r="A7587"/>
  <c r="C7586"/>
  <c r="B7586"/>
  <c r="A7586"/>
  <c r="C7585"/>
  <c r="B7585"/>
  <c r="A7585"/>
  <c r="C7584"/>
  <c r="B7584"/>
  <c r="A7584"/>
  <c r="C7583"/>
  <c r="B7583"/>
  <c r="A7583"/>
  <c r="C7582"/>
  <c r="B7582"/>
  <c r="A7582"/>
  <c r="C7581"/>
  <c r="B7581"/>
  <c r="A7581"/>
  <c r="C7580"/>
  <c r="B7580"/>
  <c r="A7580"/>
  <c r="C7579"/>
  <c r="B7579"/>
  <c r="A7579"/>
  <c r="C7578"/>
  <c r="B7578"/>
  <c r="A7578"/>
  <c r="C7577"/>
  <c r="B7577"/>
  <c r="A7577"/>
  <c r="C7576"/>
  <c r="B7576"/>
  <c r="A7576"/>
  <c r="C7575"/>
  <c r="B7575"/>
  <c r="A7575"/>
  <c r="C7574"/>
  <c r="B7574"/>
  <c r="A7574"/>
  <c r="C7573"/>
  <c r="B7573"/>
  <c r="A7573"/>
  <c r="C7572"/>
  <c r="B7572"/>
  <c r="A7572"/>
  <c r="C7571"/>
  <c r="B7571"/>
  <c r="A7571"/>
  <c r="C7570"/>
  <c r="B7570"/>
  <c r="A7570"/>
  <c r="C7569"/>
  <c r="B7569"/>
  <c r="A7569"/>
  <c r="C7568"/>
  <c r="B7568"/>
  <c r="A7568"/>
  <c r="C7567"/>
  <c r="B7567"/>
  <c r="A7567"/>
  <c r="C7566"/>
  <c r="B7566"/>
  <c r="A7566"/>
  <c r="C7565"/>
  <c r="B7565"/>
  <c r="A7565"/>
  <c r="C7564"/>
  <c r="B7564"/>
  <c r="A7564"/>
  <c r="C7563"/>
  <c r="B7563"/>
  <c r="A7563"/>
  <c r="C7562"/>
  <c r="B7562"/>
  <c r="A7562"/>
  <c r="C7561"/>
  <c r="B7561"/>
  <c r="A7561"/>
  <c r="C7560"/>
  <c r="B7560"/>
  <c r="A7560"/>
  <c r="C7559"/>
  <c r="B7559"/>
  <c r="A7559"/>
  <c r="C7558"/>
  <c r="B7558"/>
  <c r="A7558"/>
  <c r="C7557"/>
  <c r="B7557"/>
  <c r="A7557"/>
  <c r="C7556"/>
  <c r="B7556"/>
  <c r="A7556"/>
  <c r="C7555"/>
  <c r="B7555"/>
  <c r="A7555"/>
  <c r="C7554"/>
  <c r="B7554"/>
  <c r="A7554"/>
  <c r="C7553"/>
  <c r="B7553"/>
  <c r="A7553"/>
  <c r="C7552"/>
  <c r="B7552"/>
  <c r="A7552"/>
  <c r="C7551"/>
  <c r="B7551"/>
  <c r="A7551"/>
  <c r="C7550"/>
  <c r="B7550"/>
  <c r="A7550"/>
  <c r="C7549"/>
  <c r="B7549"/>
  <c r="A7549"/>
  <c r="C7548"/>
  <c r="B7548"/>
  <c r="A7548"/>
  <c r="C7547"/>
  <c r="B7547"/>
  <c r="A7547"/>
  <c r="C7546"/>
  <c r="B7546"/>
  <c r="A7546"/>
  <c r="C7545"/>
  <c r="B7545"/>
  <c r="A7545"/>
  <c r="C7544"/>
  <c r="B7544"/>
  <c r="A7544"/>
  <c r="C7543"/>
  <c r="B7543"/>
  <c r="A7543"/>
  <c r="C7542"/>
  <c r="B7542"/>
  <c r="A7542"/>
  <c r="C7541"/>
  <c r="B7541"/>
  <c r="A7541"/>
  <c r="C7540"/>
  <c r="B7540"/>
  <c r="A7540"/>
  <c r="C7539"/>
  <c r="B7539"/>
  <c r="A7539"/>
  <c r="C7538"/>
  <c r="B7538"/>
  <c r="A7538"/>
  <c r="C7537"/>
  <c r="B7537"/>
  <c r="A7537"/>
  <c r="C7536"/>
  <c r="B7536"/>
  <c r="A7536"/>
  <c r="C7535"/>
  <c r="B7535"/>
  <c r="A7535"/>
  <c r="C7534"/>
  <c r="B7534"/>
  <c r="A7534"/>
  <c r="C7533"/>
  <c r="B7533"/>
  <c r="A7533"/>
  <c r="C7532"/>
  <c r="B7532"/>
  <c r="A7532"/>
  <c r="C7531"/>
  <c r="B7531"/>
  <c r="A7531"/>
  <c r="C7530"/>
  <c r="B7530"/>
  <c r="A7530"/>
  <c r="C7529"/>
  <c r="B7529"/>
  <c r="A7529"/>
  <c r="C7528"/>
  <c r="B7528"/>
  <c r="A7528"/>
  <c r="C7527"/>
  <c r="B7527"/>
  <c r="A7527"/>
  <c r="C7526"/>
  <c r="B7526"/>
  <c r="A7526"/>
  <c r="C7525"/>
  <c r="B7525"/>
  <c r="A7525"/>
  <c r="C7524"/>
  <c r="B7524"/>
  <c r="A7524"/>
  <c r="C7523"/>
  <c r="B7523"/>
  <c r="A7523"/>
  <c r="C7522"/>
  <c r="B7522"/>
  <c r="A7522"/>
  <c r="C7521"/>
  <c r="B7521"/>
  <c r="A7521"/>
  <c r="C7520"/>
  <c r="B7520"/>
  <c r="A7520"/>
  <c r="C7519"/>
  <c r="B7519"/>
  <c r="A7519"/>
  <c r="C7518"/>
  <c r="B7518"/>
  <c r="A7518"/>
  <c r="C7517"/>
  <c r="B7517"/>
  <c r="A7517"/>
  <c r="C7516"/>
  <c r="B7516"/>
  <c r="A7516"/>
  <c r="C7515"/>
  <c r="B7515"/>
  <c r="A7515"/>
  <c r="C7514"/>
  <c r="B7514"/>
  <c r="A7514"/>
  <c r="C7513"/>
  <c r="B7513"/>
  <c r="A7513"/>
  <c r="C7512"/>
  <c r="B7512"/>
  <c r="A7512"/>
  <c r="C7511"/>
  <c r="B7511"/>
  <c r="A7511"/>
  <c r="C7510"/>
  <c r="B7510"/>
  <c r="A7510"/>
  <c r="C7509"/>
  <c r="B7509"/>
  <c r="A7509"/>
  <c r="C7508"/>
  <c r="B7508"/>
  <c r="A7508"/>
  <c r="C7507"/>
  <c r="B7507"/>
  <c r="A7507"/>
  <c r="C7506"/>
  <c r="B7506"/>
  <c r="A7506"/>
  <c r="C7505"/>
  <c r="B7505"/>
  <c r="A7505"/>
  <c r="C7504"/>
  <c r="B7504"/>
  <c r="A7504"/>
  <c r="C7503"/>
  <c r="B7503"/>
  <c r="A7503"/>
  <c r="C7502"/>
  <c r="B7502"/>
  <c r="A7502"/>
  <c r="C7501"/>
  <c r="B7501"/>
  <c r="A7501"/>
  <c r="C7500"/>
  <c r="B7500"/>
  <c r="A7500"/>
  <c r="C7499"/>
  <c r="B7499"/>
  <c r="A7499"/>
  <c r="C7498"/>
  <c r="B7498"/>
  <c r="A7498"/>
  <c r="C7497"/>
  <c r="B7497"/>
  <c r="A7497"/>
  <c r="C7496"/>
  <c r="B7496"/>
  <c r="A7496"/>
  <c r="C7495"/>
  <c r="B7495"/>
  <c r="A7495"/>
  <c r="C7494"/>
  <c r="B7494"/>
  <c r="A7494"/>
  <c r="C7493"/>
  <c r="B7493"/>
  <c r="A7493"/>
  <c r="C7492"/>
  <c r="B7492"/>
  <c r="A7492"/>
  <c r="C7491"/>
  <c r="B7491"/>
  <c r="A7491"/>
  <c r="C7490"/>
  <c r="B7490"/>
  <c r="A7490"/>
  <c r="C7489"/>
  <c r="B7489"/>
  <c r="A7489"/>
  <c r="C7488"/>
  <c r="B7488"/>
  <c r="A7488"/>
  <c r="C7487"/>
  <c r="B7487"/>
  <c r="A7487"/>
  <c r="C7486"/>
  <c r="B7486"/>
  <c r="A7486"/>
  <c r="C7485"/>
  <c r="B7485"/>
  <c r="A7485"/>
  <c r="C7484"/>
  <c r="B7484"/>
  <c r="A7484"/>
  <c r="C7483"/>
  <c r="B7483"/>
  <c r="A7483"/>
  <c r="C7482"/>
  <c r="B7482"/>
  <c r="A7482"/>
  <c r="C7481"/>
  <c r="B7481"/>
  <c r="A7481"/>
  <c r="C7480"/>
  <c r="B7480"/>
  <c r="A7480"/>
  <c r="C7479"/>
  <c r="B7479"/>
  <c r="A7479"/>
  <c r="C7478"/>
  <c r="B7478"/>
  <c r="A7478"/>
  <c r="C7477"/>
  <c r="B7477"/>
  <c r="A7477"/>
  <c r="C7476"/>
  <c r="B7476"/>
  <c r="A7476"/>
  <c r="C7475"/>
  <c r="B7475"/>
  <c r="A7475"/>
  <c r="C7474"/>
  <c r="B7474"/>
  <c r="A7474"/>
  <c r="C7473"/>
  <c r="B7473"/>
  <c r="A7473"/>
  <c r="C7472"/>
  <c r="B7472"/>
  <c r="A7472"/>
  <c r="C7471"/>
  <c r="B7471"/>
  <c r="A7471"/>
  <c r="C7470"/>
  <c r="B7470"/>
  <c r="A7470"/>
  <c r="C7469"/>
  <c r="B7469"/>
  <c r="A7469"/>
  <c r="C7468"/>
  <c r="B7468"/>
  <c r="A7468"/>
  <c r="C7467"/>
  <c r="B7467"/>
  <c r="A7467"/>
  <c r="C7466"/>
  <c r="B7466"/>
  <c r="A7466"/>
  <c r="C7465"/>
  <c r="B7465"/>
  <c r="A7465"/>
  <c r="C7464"/>
  <c r="B7464"/>
  <c r="A7464"/>
  <c r="C7463"/>
  <c r="B7463"/>
  <c r="A7463"/>
  <c r="C7462"/>
  <c r="B7462"/>
  <c r="A7462"/>
  <c r="C7461"/>
  <c r="B7461"/>
  <c r="A7461"/>
  <c r="C7460"/>
  <c r="B7460"/>
  <c r="A7460"/>
  <c r="C7459"/>
  <c r="B7459"/>
  <c r="A7459"/>
  <c r="C7458"/>
  <c r="B7458"/>
  <c r="A7458"/>
  <c r="C7457"/>
  <c r="B7457"/>
  <c r="A7457"/>
  <c r="C7456"/>
  <c r="B7456"/>
  <c r="A7456"/>
  <c r="C7455"/>
  <c r="B7455"/>
  <c r="A7455"/>
  <c r="C7454"/>
  <c r="B7454"/>
  <c r="A7454"/>
  <c r="C7453"/>
  <c r="B7453"/>
  <c r="A7453"/>
  <c r="C7452"/>
  <c r="B7452"/>
  <c r="A7452"/>
  <c r="C7451"/>
  <c r="B7451"/>
  <c r="A7451"/>
  <c r="C7450"/>
  <c r="B7450"/>
  <c r="A7450"/>
  <c r="C7449"/>
  <c r="B7449"/>
  <c r="A7449"/>
  <c r="C7448"/>
  <c r="B7448"/>
  <c r="A7448"/>
  <c r="C7447"/>
  <c r="B7447"/>
  <c r="A7447"/>
  <c r="C7446"/>
  <c r="B7446"/>
  <c r="A7446"/>
  <c r="C7445"/>
  <c r="B7445"/>
  <c r="A7445"/>
  <c r="C7444"/>
  <c r="B7444"/>
  <c r="A7444"/>
  <c r="C7443"/>
  <c r="B7443"/>
  <c r="A7443"/>
  <c r="C7442"/>
  <c r="B7442"/>
  <c r="A7442"/>
  <c r="C7441"/>
  <c r="B7441"/>
  <c r="A7441"/>
  <c r="C7440"/>
  <c r="B7440"/>
  <c r="A7440"/>
  <c r="C7439"/>
  <c r="B7439"/>
  <c r="A7439"/>
  <c r="C7438"/>
  <c r="B7438"/>
  <c r="A7438"/>
  <c r="C7437"/>
  <c r="B7437"/>
  <c r="A7437"/>
  <c r="C7436"/>
  <c r="B7436"/>
  <c r="A7436"/>
  <c r="C7435"/>
  <c r="B7435"/>
  <c r="A7435"/>
  <c r="C7434"/>
  <c r="B7434"/>
  <c r="A7434"/>
  <c r="C7433"/>
  <c r="B7433"/>
  <c r="A7433"/>
  <c r="C7432"/>
  <c r="B7432"/>
  <c r="A7432"/>
  <c r="C7431"/>
  <c r="B7431"/>
  <c r="A7431"/>
  <c r="C7430"/>
  <c r="B7430"/>
  <c r="A7430"/>
  <c r="C7429"/>
  <c r="B7429"/>
  <c r="A7429"/>
  <c r="C7428"/>
  <c r="B7428"/>
  <c r="A7428"/>
  <c r="C7427"/>
  <c r="B7427"/>
  <c r="A7427"/>
  <c r="C7426"/>
  <c r="B7426"/>
  <c r="A7426"/>
  <c r="C7425"/>
  <c r="B7425"/>
  <c r="A7425"/>
  <c r="C7424"/>
  <c r="B7424"/>
  <c r="A7424"/>
  <c r="C7423"/>
  <c r="B7423"/>
  <c r="A7423"/>
  <c r="C7422"/>
  <c r="B7422"/>
  <c r="A7422"/>
  <c r="C7421"/>
  <c r="B7421"/>
  <c r="A7421"/>
  <c r="C7420"/>
  <c r="B7420"/>
  <c r="A7420"/>
  <c r="C7419"/>
  <c r="B7419"/>
  <c r="A7419"/>
  <c r="C7418"/>
  <c r="B7418"/>
  <c r="A7418"/>
  <c r="C7417"/>
  <c r="B7417"/>
  <c r="A7417"/>
  <c r="C7416"/>
  <c r="B7416"/>
  <c r="A7416"/>
  <c r="C7415"/>
  <c r="B7415"/>
  <c r="A7415"/>
  <c r="C7414"/>
  <c r="B7414"/>
  <c r="A7414"/>
  <c r="C7413"/>
  <c r="B7413"/>
  <c r="A7413"/>
  <c r="C7412"/>
  <c r="B7412"/>
  <c r="A7412"/>
  <c r="C7411"/>
  <c r="B7411"/>
  <c r="A7411"/>
  <c r="C7410"/>
  <c r="B7410"/>
  <c r="A7410"/>
  <c r="C7409"/>
  <c r="B7409"/>
  <c r="A7409"/>
  <c r="C7408"/>
  <c r="B7408"/>
  <c r="A7408"/>
  <c r="C7407"/>
  <c r="B7407"/>
  <c r="A7407"/>
  <c r="C7406"/>
  <c r="B7406"/>
  <c r="A7406"/>
  <c r="C7405"/>
  <c r="B7405"/>
  <c r="A7405"/>
  <c r="C7404"/>
  <c r="B7404"/>
  <c r="A7404"/>
  <c r="C7403"/>
  <c r="B7403"/>
  <c r="A7403"/>
  <c r="C7402"/>
  <c r="B7402"/>
  <c r="A7402"/>
  <c r="C7401"/>
  <c r="B7401"/>
  <c r="A7401"/>
  <c r="C7400"/>
  <c r="B7400"/>
  <c r="A7400"/>
  <c r="C7399"/>
  <c r="B7399"/>
  <c r="A7399"/>
  <c r="C7398"/>
  <c r="B7398"/>
  <c r="A7398"/>
  <c r="C7397"/>
  <c r="B7397"/>
  <c r="A7397"/>
  <c r="C7396"/>
  <c r="B7396"/>
  <c r="A7396"/>
  <c r="C7395"/>
  <c r="B7395"/>
  <c r="A7395"/>
  <c r="C7394"/>
  <c r="B7394"/>
  <c r="A7394"/>
  <c r="C7393"/>
  <c r="B7393"/>
  <c r="A7393"/>
  <c r="C7392"/>
  <c r="B7392"/>
  <c r="A7392"/>
  <c r="C7391"/>
  <c r="B7391"/>
  <c r="A7391"/>
  <c r="C7390"/>
  <c r="B7390"/>
  <c r="A7390"/>
  <c r="C7389"/>
  <c r="B7389"/>
  <c r="A7389"/>
  <c r="C7388"/>
  <c r="B7388"/>
  <c r="A7388"/>
  <c r="C7387"/>
  <c r="B7387"/>
  <c r="A7387"/>
  <c r="C7386"/>
  <c r="B7386"/>
  <c r="A7386"/>
  <c r="C7385"/>
  <c r="B7385"/>
  <c r="A7385"/>
  <c r="C7384"/>
  <c r="B7384"/>
  <c r="A7384"/>
  <c r="C7383"/>
  <c r="B7383"/>
  <c r="A7383"/>
  <c r="C7382"/>
  <c r="B7382"/>
  <c r="A7382"/>
  <c r="C7381"/>
  <c r="B7381"/>
  <c r="A7381"/>
  <c r="C7380"/>
  <c r="B7380"/>
  <c r="A7380"/>
  <c r="C7379"/>
  <c r="B7379"/>
  <c r="A7379"/>
  <c r="C7378"/>
  <c r="B7378"/>
  <c r="A7378"/>
  <c r="C7377"/>
  <c r="B7377"/>
  <c r="A7377"/>
  <c r="C7376"/>
  <c r="B7376"/>
  <c r="A7376"/>
  <c r="C7375"/>
  <c r="B7375"/>
  <c r="A7375"/>
  <c r="C7374"/>
  <c r="B7374"/>
  <c r="A7374"/>
  <c r="C7373"/>
  <c r="B7373"/>
  <c r="A7373"/>
  <c r="C7372"/>
  <c r="B7372"/>
  <c r="A7372"/>
  <c r="C7371"/>
  <c r="B7371"/>
  <c r="A7371"/>
  <c r="C7370"/>
  <c r="B7370"/>
  <c r="A7370"/>
  <c r="C7369"/>
  <c r="B7369"/>
  <c r="A7369"/>
  <c r="C7368"/>
  <c r="B7368"/>
  <c r="A7368"/>
  <c r="C7367"/>
  <c r="B7367"/>
  <c r="A7367"/>
  <c r="C7366"/>
  <c r="B7366"/>
  <c r="A7366"/>
  <c r="C7365"/>
  <c r="B7365"/>
  <c r="A7365"/>
  <c r="C7364"/>
  <c r="B7364"/>
  <c r="A7364"/>
  <c r="C7363"/>
  <c r="B7363"/>
  <c r="A7363"/>
  <c r="C7362"/>
  <c r="B7362"/>
  <c r="A7362"/>
  <c r="C7361"/>
  <c r="B7361"/>
  <c r="A7361"/>
  <c r="C7360"/>
  <c r="B7360"/>
  <c r="A7360"/>
  <c r="C7359"/>
  <c r="B7359"/>
  <c r="A7359"/>
  <c r="C7358"/>
  <c r="B7358"/>
  <c r="A7358"/>
  <c r="C7357"/>
  <c r="B7357"/>
  <c r="A7357"/>
  <c r="C7356"/>
  <c r="B7356"/>
  <c r="A7356"/>
  <c r="C7355"/>
  <c r="B7355"/>
  <c r="A7355"/>
  <c r="C7354"/>
  <c r="B7354"/>
  <c r="A7354"/>
  <c r="C7353"/>
  <c r="B7353"/>
  <c r="A7353"/>
  <c r="C7352"/>
  <c r="B7352"/>
  <c r="A7352"/>
  <c r="C7351"/>
  <c r="B7351"/>
  <c r="A7351"/>
  <c r="C7350"/>
  <c r="B7350"/>
  <c r="A7350"/>
  <c r="C7349"/>
  <c r="B7349"/>
  <c r="A7349"/>
  <c r="C7348"/>
  <c r="B7348"/>
  <c r="A7348"/>
  <c r="C7347"/>
  <c r="B7347"/>
  <c r="A7347"/>
  <c r="C7346"/>
  <c r="B7346"/>
  <c r="A7346"/>
  <c r="C7345"/>
  <c r="B7345"/>
  <c r="A7345"/>
  <c r="C7344"/>
  <c r="B7344"/>
  <c r="A7344"/>
  <c r="C7343"/>
  <c r="B7343"/>
  <c r="A7343"/>
  <c r="C7342"/>
  <c r="B7342"/>
  <c r="A7342"/>
  <c r="C7341"/>
  <c r="B7341"/>
  <c r="A7341"/>
  <c r="C7340"/>
  <c r="B7340"/>
  <c r="A7340"/>
  <c r="C7339"/>
  <c r="B7339"/>
  <c r="A7339"/>
  <c r="C7338"/>
  <c r="B7338"/>
  <c r="A7338"/>
  <c r="C7337"/>
  <c r="B7337"/>
  <c r="A7337"/>
  <c r="C7336"/>
  <c r="B7336"/>
  <c r="A7336"/>
  <c r="C7335"/>
  <c r="B7335"/>
  <c r="A7335"/>
  <c r="C7334"/>
  <c r="B7334"/>
  <c r="A7334"/>
  <c r="C7333"/>
  <c r="B7333"/>
  <c r="A7333"/>
  <c r="C7332"/>
  <c r="B7332"/>
  <c r="A7332"/>
  <c r="C7331"/>
  <c r="B7331"/>
  <c r="A7331"/>
  <c r="C7330"/>
  <c r="B7330"/>
  <c r="A7330"/>
  <c r="C7329"/>
  <c r="B7329"/>
  <c r="A7329"/>
  <c r="C7328"/>
  <c r="B7328"/>
  <c r="A7328"/>
  <c r="C7327"/>
  <c r="B7327"/>
  <c r="A7327"/>
  <c r="C7326"/>
  <c r="B7326"/>
  <c r="A7326"/>
  <c r="C7325"/>
  <c r="B7325"/>
  <c r="A7325"/>
  <c r="C7324"/>
  <c r="B7324"/>
  <c r="A7324"/>
  <c r="C7323"/>
  <c r="B7323"/>
  <c r="A7323"/>
  <c r="C7322"/>
  <c r="B7322"/>
  <c r="A7322"/>
  <c r="C7321"/>
  <c r="B7321"/>
  <c r="A7321"/>
  <c r="C7320"/>
  <c r="B7320"/>
  <c r="A7320"/>
  <c r="C7319"/>
  <c r="B7319"/>
  <c r="A7319"/>
  <c r="C7318"/>
  <c r="B7318"/>
  <c r="A7318"/>
  <c r="C7317"/>
  <c r="B7317"/>
  <c r="A7317"/>
  <c r="C7316"/>
  <c r="B7316"/>
  <c r="A7316"/>
  <c r="C7315"/>
  <c r="B7315"/>
  <c r="A7315"/>
  <c r="C7314"/>
  <c r="B7314"/>
  <c r="A7314"/>
  <c r="C7313"/>
  <c r="B7313"/>
  <c r="A7313"/>
  <c r="C7312"/>
  <c r="B7312"/>
  <c r="A7312"/>
  <c r="C7311"/>
  <c r="B7311"/>
  <c r="A7311"/>
  <c r="C7310"/>
  <c r="B7310"/>
  <c r="A7310"/>
  <c r="C7309"/>
  <c r="B7309"/>
  <c r="A7309"/>
  <c r="C7308"/>
  <c r="B7308"/>
  <c r="A7308"/>
  <c r="C7307"/>
  <c r="B7307"/>
  <c r="A7307"/>
  <c r="C7306"/>
  <c r="B7306"/>
  <c r="A7306"/>
  <c r="C7305"/>
  <c r="B7305"/>
  <c r="A7305"/>
  <c r="C7304"/>
  <c r="B7304"/>
  <c r="A7304"/>
  <c r="C7303"/>
  <c r="B7303"/>
  <c r="A7303"/>
  <c r="C7302"/>
  <c r="B7302"/>
  <c r="A7302"/>
  <c r="C7301"/>
  <c r="B7301"/>
  <c r="A7301"/>
  <c r="C7300"/>
  <c r="B7300"/>
  <c r="A7300"/>
  <c r="C7299"/>
  <c r="B7299"/>
  <c r="A7299"/>
  <c r="C7298"/>
  <c r="B7298"/>
  <c r="A7298"/>
  <c r="C7297"/>
  <c r="B7297"/>
  <c r="A7297"/>
  <c r="C7296"/>
  <c r="B7296"/>
  <c r="A7296"/>
  <c r="C7295"/>
  <c r="B7295"/>
  <c r="A7295"/>
  <c r="C7294"/>
  <c r="B7294"/>
  <c r="A7294"/>
  <c r="C7293"/>
  <c r="B7293"/>
  <c r="A7293"/>
  <c r="C7292"/>
  <c r="B7292"/>
  <c r="A7292"/>
  <c r="C7291"/>
  <c r="B7291"/>
  <c r="A7291"/>
  <c r="C7290"/>
  <c r="B7290"/>
  <c r="A7290"/>
  <c r="C7289"/>
  <c r="B7289"/>
  <c r="A7289"/>
  <c r="C7288"/>
  <c r="B7288"/>
  <c r="A7288"/>
  <c r="C7287"/>
  <c r="B7287"/>
  <c r="A7287"/>
  <c r="C7286"/>
  <c r="B7286"/>
  <c r="A7286"/>
  <c r="C7285"/>
  <c r="B7285"/>
  <c r="A7285"/>
  <c r="C7284"/>
  <c r="B7284"/>
  <c r="A7284"/>
  <c r="C7283"/>
  <c r="B7283"/>
  <c r="A7283"/>
  <c r="C7282"/>
  <c r="B7282"/>
  <c r="A7282"/>
  <c r="C7281"/>
  <c r="B7281"/>
  <c r="A7281"/>
  <c r="C7280"/>
  <c r="B7280"/>
  <c r="A7280"/>
  <c r="C7279"/>
  <c r="B7279"/>
  <c r="A7279"/>
  <c r="C7278"/>
  <c r="B7278"/>
  <c r="A7278"/>
  <c r="C7277"/>
  <c r="B7277"/>
  <c r="A7277"/>
  <c r="C7276"/>
  <c r="B7276"/>
  <c r="A7276"/>
  <c r="C7275"/>
  <c r="B7275"/>
  <c r="A7275"/>
  <c r="C7274"/>
  <c r="B7274"/>
  <c r="A7274"/>
  <c r="C7273"/>
  <c r="B7273"/>
  <c r="A7273"/>
  <c r="C7272"/>
  <c r="B7272"/>
  <c r="A7272"/>
  <c r="C7271"/>
  <c r="B7271"/>
  <c r="A7271"/>
  <c r="C7270"/>
  <c r="B7270"/>
  <c r="A7270"/>
  <c r="C7269"/>
  <c r="B7269"/>
  <c r="A7269"/>
  <c r="C7268"/>
  <c r="B7268"/>
  <c r="A7268"/>
  <c r="C7267"/>
  <c r="B7267"/>
  <c r="A7267"/>
  <c r="C7266"/>
  <c r="B7266"/>
  <c r="A7266"/>
  <c r="C7265"/>
  <c r="B7265"/>
  <c r="A7265"/>
  <c r="C7264"/>
  <c r="B7264"/>
  <c r="A7264"/>
  <c r="C7263"/>
  <c r="B7263"/>
  <c r="A7263"/>
  <c r="C7262"/>
  <c r="B7262"/>
  <c r="A7262"/>
  <c r="C7261"/>
  <c r="B7261"/>
  <c r="A7261"/>
  <c r="C7260"/>
  <c r="B7260"/>
  <c r="A7260"/>
  <c r="C7259"/>
  <c r="B7259"/>
  <c r="A7259"/>
  <c r="C7258"/>
  <c r="B7258"/>
  <c r="A7258"/>
  <c r="C7257"/>
  <c r="B7257"/>
  <c r="A7257"/>
  <c r="C7256"/>
  <c r="B7256"/>
  <c r="A7256"/>
  <c r="C7255"/>
  <c r="B7255"/>
  <c r="A7255"/>
  <c r="C7254"/>
  <c r="B7254"/>
  <c r="A7254"/>
  <c r="C7253"/>
  <c r="B7253"/>
  <c r="A7253"/>
  <c r="C7252"/>
  <c r="B7252"/>
  <c r="A7252"/>
  <c r="C7251"/>
  <c r="B7251"/>
  <c r="A7251"/>
  <c r="C7250"/>
  <c r="B7250"/>
  <c r="A7250"/>
  <c r="C7249"/>
  <c r="B7249"/>
  <c r="A7249"/>
  <c r="C7248"/>
  <c r="B7248"/>
  <c r="A7248"/>
  <c r="C7247"/>
  <c r="B7247"/>
  <c r="A7247"/>
  <c r="C7246"/>
  <c r="B7246"/>
  <c r="A7246"/>
  <c r="C7245"/>
  <c r="B7245"/>
  <c r="A7245"/>
  <c r="C7244"/>
  <c r="B7244"/>
  <c r="A7244"/>
  <c r="C7243"/>
  <c r="B7243"/>
  <c r="A7243"/>
  <c r="C7242"/>
  <c r="B7242"/>
  <c r="A7242"/>
  <c r="C7241"/>
  <c r="B7241"/>
  <c r="A7241"/>
  <c r="C7240"/>
  <c r="B7240"/>
  <c r="A7240"/>
  <c r="C7239"/>
  <c r="B7239"/>
  <c r="A7239"/>
  <c r="C7238"/>
  <c r="B7238"/>
  <c r="A7238"/>
  <c r="C7237"/>
  <c r="B7237"/>
  <c r="A7237"/>
  <c r="C7236"/>
  <c r="B7236"/>
  <c r="A7236"/>
  <c r="C7235"/>
  <c r="B7235"/>
  <c r="A7235"/>
  <c r="C7234"/>
  <c r="B7234"/>
  <c r="A7234"/>
  <c r="C7233"/>
  <c r="B7233"/>
  <c r="A7233"/>
  <c r="C7232"/>
  <c r="B7232"/>
  <c r="A7232"/>
  <c r="C7231"/>
  <c r="B7231"/>
  <c r="A7231"/>
  <c r="C7230"/>
  <c r="B7230"/>
  <c r="A7230"/>
  <c r="C7229"/>
  <c r="B7229"/>
  <c r="A7229"/>
  <c r="C7228"/>
  <c r="B7228"/>
  <c r="A7228"/>
  <c r="C7227"/>
  <c r="B7227"/>
  <c r="A7227"/>
  <c r="C7226"/>
  <c r="B7226"/>
  <c r="A7226"/>
  <c r="C7225"/>
  <c r="B7225"/>
  <c r="A7225"/>
  <c r="C7224"/>
  <c r="B7224"/>
  <c r="A7224"/>
  <c r="C7223"/>
  <c r="B7223"/>
  <c r="A7223"/>
  <c r="C7222"/>
  <c r="B7222"/>
  <c r="A7222"/>
  <c r="C7221"/>
  <c r="B7221"/>
  <c r="A7221"/>
  <c r="C7220"/>
  <c r="B7220"/>
  <c r="A7220"/>
  <c r="C7219"/>
  <c r="B7219"/>
  <c r="A7219"/>
  <c r="C7218"/>
  <c r="B7218"/>
  <c r="A7218"/>
  <c r="C7217"/>
  <c r="B7217"/>
  <c r="A7217"/>
  <c r="C7216"/>
  <c r="B7216"/>
  <c r="A7216"/>
  <c r="C7215"/>
  <c r="B7215"/>
  <c r="A7215"/>
  <c r="C7214"/>
  <c r="B7214"/>
  <c r="A7214"/>
  <c r="C7213"/>
  <c r="B7213"/>
  <c r="A7213"/>
  <c r="C7212"/>
  <c r="B7212"/>
  <c r="A7212"/>
  <c r="C7211"/>
  <c r="B7211"/>
  <c r="A7211"/>
  <c r="C7210"/>
  <c r="B7210"/>
  <c r="A7210"/>
  <c r="C7209"/>
  <c r="B7209"/>
  <c r="A7209"/>
  <c r="C7208"/>
  <c r="B7208"/>
  <c r="A7208"/>
  <c r="C7207"/>
  <c r="B7207"/>
  <c r="A7207"/>
  <c r="C7206"/>
  <c r="B7206"/>
  <c r="A7206"/>
  <c r="C7205"/>
  <c r="B7205"/>
  <c r="A7205"/>
  <c r="C7204"/>
  <c r="B7204"/>
  <c r="A7204"/>
  <c r="C7203"/>
  <c r="B7203"/>
  <c r="A7203"/>
  <c r="C7202"/>
  <c r="B7202"/>
  <c r="A7202"/>
  <c r="C7201"/>
  <c r="B7201"/>
  <c r="A7201"/>
  <c r="C7200"/>
  <c r="B7200"/>
  <c r="A7200"/>
  <c r="C7199"/>
  <c r="B7199"/>
  <c r="A7199"/>
  <c r="C7198"/>
  <c r="B7198"/>
  <c r="A7198"/>
  <c r="C7197"/>
  <c r="B7197"/>
  <c r="A7197"/>
  <c r="C7196"/>
  <c r="B7196"/>
  <c r="A7196"/>
  <c r="C7195"/>
  <c r="B7195"/>
  <c r="A7195"/>
  <c r="C7194"/>
  <c r="B7194"/>
  <c r="A7194"/>
  <c r="C7193"/>
  <c r="B7193"/>
  <c r="A7193"/>
  <c r="C7192"/>
  <c r="B7192"/>
  <c r="A7192"/>
  <c r="C7191"/>
  <c r="B7191"/>
  <c r="A7191"/>
  <c r="C7190"/>
  <c r="B7190"/>
  <c r="A7190"/>
  <c r="C7189"/>
  <c r="B7189"/>
  <c r="A7189"/>
  <c r="C7188"/>
  <c r="B7188"/>
  <c r="A7188"/>
  <c r="C7187"/>
  <c r="B7187"/>
  <c r="A7187"/>
  <c r="C7186"/>
  <c r="B7186"/>
  <c r="A7186"/>
  <c r="C7185"/>
  <c r="B7185"/>
  <c r="A7185"/>
  <c r="C7184"/>
  <c r="B7184"/>
  <c r="A7184"/>
  <c r="C7183"/>
  <c r="B7183"/>
  <c r="A7183"/>
  <c r="C7182"/>
  <c r="B7182"/>
  <c r="A7182"/>
  <c r="C7181"/>
  <c r="B7181"/>
  <c r="A7181"/>
  <c r="C7180"/>
  <c r="B7180"/>
  <c r="A7180"/>
  <c r="C7179"/>
  <c r="B7179"/>
  <c r="A7179"/>
  <c r="C7178"/>
  <c r="B7178"/>
  <c r="A7178"/>
  <c r="C7177"/>
  <c r="B7177"/>
  <c r="A7177"/>
  <c r="C7176"/>
  <c r="B7176"/>
  <c r="A7176"/>
  <c r="C7175"/>
  <c r="B7175"/>
  <c r="A7175"/>
  <c r="C7174"/>
  <c r="B7174"/>
  <c r="A7174"/>
  <c r="C7173"/>
  <c r="B7173"/>
  <c r="A7173"/>
  <c r="C7172"/>
  <c r="B7172"/>
  <c r="A7172"/>
  <c r="C7171"/>
  <c r="B7171"/>
  <c r="A7171"/>
  <c r="C7170"/>
  <c r="B7170"/>
  <c r="A7170"/>
  <c r="C7169"/>
  <c r="B7169"/>
  <c r="A7169"/>
  <c r="C7168"/>
  <c r="B7168"/>
  <c r="A7168"/>
  <c r="C7167"/>
  <c r="B7167"/>
  <c r="A7167"/>
  <c r="C7166"/>
  <c r="B7166"/>
  <c r="A7166"/>
  <c r="C7165"/>
  <c r="B7165"/>
  <c r="A7165"/>
  <c r="C7164"/>
  <c r="B7164"/>
  <c r="A7164"/>
  <c r="C7163"/>
  <c r="B7163"/>
  <c r="A7163"/>
  <c r="C7162"/>
  <c r="B7162"/>
  <c r="A7162"/>
  <c r="C7161"/>
  <c r="B7161"/>
  <c r="A7161"/>
  <c r="C7160"/>
  <c r="B7160"/>
  <c r="A7160"/>
  <c r="C7159"/>
  <c r="B7159"/>
  <c r="A7159"/>
  <c r="C7158"/>
  <c r="B7158"/>
  <c r="A7158"/>
  <c r="C7157"/>
  <c r="B7157"/>
  <c r="A7157"/>
  <c r="C7156"/>
  <c r="B7156"/>
  <c r="A7156"/>
  <c r="C7155"/>
  <c r="B7155"/>
  <c r="A7155"/>
  <c r="C7154"/>
  <c r="B7154"/>
  <c r="A7154"/>
  <c r="C7153"/>
  <c r="B7153"/>
  <c r="A7153"/>
  <c r="C7152"/>
  <c r="B7152"/>
  <c r="A7152"/>
  <c r="C7151"/>
  <c r="B7151"/>
  <c r="A7151"/>
  <c r="C7150"/>
  <c r="B7150"/>
  <c r="A7150"/>
  <c r="C7149"/>
  <c r="B7149"/>
  <c r="A7149"/>
  <c r="C7148"/>
  <c r="B7148"/>
  <c r="A7148"/>
  <c r="C7147"/>
  <c r="B7147"/>
  <c r="A7147"/>
  <c r="C7146"/>
  <c r="B7146"/>
  <c r="A7146"/>
  <c r="C7145"/>
  <c r="B7145"/>
  <c r="A7145"/>
  <c r="C7144"/>
  <c r="B7144"/>
  <c r="A7144"/>
  <c r="C7143"/>
  <c r="B7143"/>
  <c r="A7143"/>
  <c r="C7142"/>
  <c r="B7142"/>
  <c r="A7142"/>
  <c r="C7141"/>
  <c r="B7141"/>
  <c r="A7141"/>
  <c r="C7140"/>
  <c r="B7140"/>
  <c r="A7140"/>
  <c r="C7139"/>
  <c r="B7139"/>
  <c r="A7139"/>
  <c r="C7138"/>
  <c r="B7138"/>
  <c r="A7138"/>
  <c r="C7137"/>
  <c r="B7137"/>
  <c r="A7137"/>
  <c r="C7136"/>
  <c r="B7136"/>
  <c r="A7136"/>
  <c r="C7135"/>
  <c r="B7135"/>
  <c r="A7135"/>
  <c r="C7134"/>
  <c r="B7134"/>
  <c r="A7134"/>
  <c r="C7133"/>
  <c r="B7133"/>
  <c r="A7133"/>
  <c r="C7132"/>
  <c r="B7132"/>
  <c r="A7132"/>
  <c r="C7131"/>
  <c r="B7131"/>
  <c r="A7131"/>
  <c r="C7130"/>
  <c r="B7130"/>
  <c r="A7130"/>
  <c r="C7129"/>
  <c r="B7129"/>
  <c r="A7129"/>
  <c r="C7128"/>
  <c r="B7128"/>
  <c r="A7128"/>
  <c r="C7127"/>
  <c r="B7127"/>
  <c r="A7127"/>
  <c r="C7126"/>
  <c r="B7126"/>
  <c r="A7126"/>
  <c r="C7125"/>
  <c r="B7125"/>
  <c r="A7125"/>
  <c r="C7124"/>
  <c r="B7124"/>
  <c r="A7124"/>
  <c r="C7123"/>
  <c r="B7123"/>
  <c r="A7123"/>
  <c r="C7122"/>
  <c r="B7122"/>
  <c r="A7122"/>
  <c r="C7121"/>
  <c r="B7121"/>
  <c r="A7121"/>
  <c r="C7120"/>
  <c r="B7120"/>
  <c r="A7120"/>
  <c r="C7119"/>
  <c r="B7119"/>
  <c r="A7119"/>
  <c r="C7118"/>
  <c r="B7118"/>
  <c r="A7118"/>
  <c r="C7117"/>
  <c r="B7117"/>
  <c r="A7117"/>
  <c r="C7116"/>
  <c r="B7116"/>
  <c r="A7116"/>
  <c r="C7115"/>
  <c r="B7115"/>
  <c r="A7115"/>
  <c r="C7114"/>
  <c r="B7114"/>
  <c r="A7114"/>
  <c r="C7113"/>
  <c r="B7113"/>
  <c r="A7113"/>
  <c r="C7112"/>
  <c r="B7112"/>
  <c r="A7112"/>
  <c r="C7111"/>
  <c r="B7111"/>
  <c r="A7111"/>
  <c r="C7110"/>
  <c r="B7110"/>
  <c r="A7110"/>
  <c r="C7109"/>
  <c r="B7109"/>
  <c r="A7109"/>
  <c r="C7108"/>
  <c r="B7108"/>
  <c r="A7108"/>
  <c r="C7107"/>
  <c r="B7107"/>
  <c r="A7107"/>
  <c r="C7106"/>
  <c r="B7106"/>
  <c r="A7106"/>
  <c r="C7105"/>
  <c r="B7105"/>
  <c r="A7105"/>
  <c r="C7104"/>
  <c r="B7104"/>
  <c r="A7104"/>
  <c r="C7103"/>
  <c r="B7103"/>
  <c r="A7103"/>
  <c r="C7102"/>
  <c r="B7102"/>
  <c r="A7102"/>
  <c r="C7101"/>
  <c r="B7101"/>
  <c r="A7101"/>
  <c r="C7100"/>
  <c r="B7100"/>
  <c r="A7100"/>
  <c r="C7099"/>
  <c r="B7099"/>
  <c r="A7099"/>
  <c r="C7098"/>
  <c r="B7098"/>
  <c r="A7098"/>
  <c r="C7097"/>
  <c r="B7097"/>
  <c r="A7097"/>
  <c r="C7096"/>
  <c r="B7096"/>
  <c r="A7096"/>
  <c r="C7095"/>
  <c r="B7095"/>
  <c r="A7095"/>
  <c r="C7094"/>
  <c r="B7094"/>
  <c r="A7094"/>
  <c r="C7093"/>
  <c r="B7093"/>
  <c r="A7093"/>
  <c r="C7092"/>
  <c r="B7092"/>
  <c r="A7092"/>
  <c r="C7091"/>
  <c r="B7091"/>
  <c r="A7091"/>
  <c r="C7090"/>
  <c r="B7090"/>
  <c r="A7090"/>
  <c r="C7089"/>
  <c r="B7089"/>
  <c r="A7089"/>
  <c r="C7088"/>
  <c r="B7088"/>
  <c r="A7088"/>
  <c r="C7087"/>
  <c r="B7087"/>
  <c r="A7087"/>
  <c r="C7086"/>
  <c r="B7086"/>
  <c r="A7086"/>
  <c r="C7085"/>
  <c r="B7085"/>
  <c r="A7085"/>
  <c r="C7084"/>
  <c r="B7084"/>
  <c r="A7084"/>
  <c r="C7083"/>
  <c r="B7083"/>
  <c r="A7083"/>
  <c r="C7082"/>
  <c r="B7082"/>
  <c r="A7082"/>
  <c r="C7081"/>
  <c r="B7081"/>
  <c r="A7081"/>
  <c r="C7080"/>
  <c r="B7080"/>
  <c r="A7080"/>
  <c r="C7079"/>
  <c r="B7079"/>
  <c r="A7079"/>
  <c r="C7078"/>
  <c r="B7078"/>
  <c r="A7078"/>
  <c r="C7077"/>
  <c r="B7077"/>
  <c r="A7077"/>
  <c r="C7076"/>
  <c r="B7076"/>
  <c r="A7076"/>
  <c r="C7075"/>
  <c r="B7075"/>
  <c r="A7075"/>
  <c r="C7074"/>
  <c r="B7074"/>
  <c r="A7074"/>
  <c r="C7073"/>
  <c r="B7073"/>
  <c r="A7073"/>
  <c r="C7072"/>
  <c r="B7072"/>
  <c r="A7072"/>
  <c r="C7071"/>
  <c r="B7071"/>
  <c r="A7071"/>
  <c r="C7070"/>
  <c r="B7070"/>
  <c r="A7070"/>
  <c r="C7069"/>
  <c r="B7069"/>
  <c r="A7069"/>
  <c r="C7068"/>
  <c r="B7068"/>
  <c r="A7068"/>
  <c r="C7067"/>
  <c r="B7067"/>
  <c r="A7067"/>
  <c r="C7066"/>
  <c r="B7066"/>
  <c r="A7066"/>
  <c r="C7065"/>
  <c r="B7065"/>
  <c r="A7065"/>
  <c r="C7064"/>
  <c r="B7064"/>
  <c r="A7064"/>
  <c r="C7063"/>
  <c r="B7063"/>
  <c r="A7063"/>
  <c r="C7062"/>
  <c r="B7062"/>
  <c r="A7062"/>
  <c r="C7061"/>
  <c r="B7061"/>
  <c r="A7061"/>
  <c r="C7060"/>
  <c r="B7060"/>
  <c r="A7060"/>
  <c r="C7059"/>
  <c r="B7059"/>
  <c r="A7059"/>
  <c r="C7058"/>
  <c r="B7058"/>
  <c r="A7058"/>
  <c r="C7057"/>
  <c r="B7057"/>
  <c r="A7057"/>
  <c r="C7056"/>
  <c r="B7056"/>
  <c r="A7056"/>
  <c r="C7055"/>
  <c r="B7055"/>
  <c r="A7055"/>
  <c r="C7054"/>
  <c r="B7054"/>
  <c r="A7054"/>
  <c r="C7053"/>
  <c r="B7053"/>
  <c r="A7053"/>
  <c r="C7052"/>
  <c r="B7052"/>
  <c r="A7052"/>
  <c r="C7051"/>
  <c r="B7051"/>
  <c r="A7051"/>
  <c r="C7050"/>
  <c r="B7050"/>
  <c r="A7050"/>
  <c r="C7049"/>
  <c r="B7049"/>
  <c r="A7049"/>
  <c r="C7048"/>
  <c r="B7048"/>
  <c r="A7048"/>
  <c r="C7047"/>
  <c r="B7047"/>
  <c r="A7047"/>
  <c r="C7046"/>
  <c r="B7046"/>
  <c r="A7046"/>
  <c r="C7045"/>
  <c r="B7045"/>
  <c r="A7045"/>
  <c r="C7044"/>
  <c r="B7044"/>
  <c r="A7044"/>
  <c r="C7043"/>
  <c r="B7043"/>
  <c r="A7043"/>
  <c r="C7042"/>
  <c r="B7042"/>
  <c r="A7042"/>
  <c r="C7041"/>
  <c r="B7041"/>
  <c r="A7041"/>
  <c r="C7040"/>
  <c r="B7040"/>
  <c r="A7040"/>
  <c r="C7039"/>
  <c r="B7039"/>
  <c r="A7039"/>
  <c r="C7038"/>
  <c r="B7038"/>
  <c r="A7038"/>
  <c r="C7037"/>
  <c r="B7037"/>
  <c r="A7037"/>
  <c r="C7036"/>
  <c r="B7036"/>
  <c r="A7036"/>
  <c r="C7035"/>
  <c r="B7035"/>
  <c r="A7035"/>
  <c r="C7034"/>
  <c r="B7034"/>
  <c r="A7034"/>
  <c r="C7033"/>
  <c r="B7033"/>
  <c r="A7033"/>
  <c r="C7032"/>
  <c r="B7032"/>
  <c r="A7032"/>
  <c r="C7031"/>
  <c r="B7031"/>
  <c r="A7031"/>
  <c r="C7030"/>
  <c r="B7030"/>
  <c r="A7030"/>
  <c r="C7029"/>
  <c r="B7029"/>
  <c r="A7029"/>
  <c r="C7028"/>
  <c r="B7028"/>
  <c r="A7028"/>
  <c r="C7027"/>
  <c r="B7027"/>
  <c r="A7027"/>
  <c r="C7026"/>
  <c r="B7026"/>
  <c r="A7026"/>
  <c r="C7025"/>
  <c r="B7025"/>
  <c r="A7025"/>
  <c r="C7024"/>
  <c r="B7024"/>
  <c r="A7024"/>
  <c r="C7023"/>
  <c r="B7023"/>
  <c r="A7023"/>
  <c r="C7022"/>
  <c r="B7022"/>
  <c r="A7022"/>
  <c r="C7021"/>
  <c r="B7021"/>
  <c r="A7021"/>
  <c r="C7020"/>
  <c r="B7020"/>
  <c r="A7020"/>
  <c r="C7019"/>
  <c r="B7019"/>
  <c r="A7019"/>
  <c r="C7018"/>
  <c r="B7018"/>
  <c r="A7018"/>
  <c r="C7017"/>
  <c r="B7017"/>
  <c r="A7017"/>
  <c r="C7016"/>
  <c r="B7016"/>
  <c r="A7016"/>
  <c r="C7015"/>
  <c r="B7015"/>
  <c r="A7015"/>
  <c r="C7014"/>
  <c r="B7014"/>
  <c r="A7014"/>
  <c r="C7013"/>
  <c r="B7013"/>
  <c r="A7013"/>
  <c r="C7012"/>
  <c r="B7012"/>
  <c r="A7012"/>
  <c r="C7011"/>
  <c r="B7011"/>
  <c r="A7011"/>
  <c r="C7010"/>
  <c r="B7010"/>
  <c r="A7010"/>
  <c r="C7009"/>
  <c r="B7009"/>
  <c r="A7009"/>
  <c r="C7008"/>
  <c r="B7008"/>
  <c r="A7008"/>
  <c r="C7007"/>
  <c r="B7007"/>
  <c r="A7007"/>
  <c r="C7006"/>
  <c r="B7006"/>
  <c r="A7006"/>
  <c r="C7005"/>
  <c r="B7005"/>
  <c r="A7005"/>
  <c r="C7004"/>
  <c r="B7004"/>
  <c r="A7004"/>
  <c r="C7003"/>
  <c r="B7003"/>
  <c r="A7003"/>
  <c r="C7002"/>
  <c r="B7002"/>
  <c r="A7002"/>
  <c r="C7001"/>
  <c r="B7001"/>
  <c r="A7001"/>
  <c r="C7000"/>
  <c r="B7000"/>
  <c r="A7000"/>
  <c r="C6999"/>
  <c r="B6999"/>
  <c r="A6999"/>
  <c r="C6998"/>
  <c r="B6998"/>
  <c r="A6998"/>
  <c r="C6997"/>
  <c r="B6997"/>
  <c r="A6997"/>
  <c r="C6996"/>
  <c r="B6996"/>
  <c r="A6996"/>
  <c r="C6995"/>
  <c r="B6995"/>
  <c r="A6995"/>
  <c r="C6994"/>
  <c r="B6994"/>
  <c r="A6994"/>
  <c r="C6993"/>
  <c r="B6993"/>
  <c r="A6993"/>
  <c r="C6992"/>
  <c r="B6992"/>
  <c r="A6992"/>
  <c r="C6991"/>
  <c r="B6991"/>
  <c r="A6991"/>
  <c r="C6990"/>
  <c r="B6990"/>
  <c r="A6990"/>
  <c r="C6989"/>
  <c r="B6989"/>
  <c r="A6989"/>
  <c r="C6988"/>
  <c r="B6988"/>
  <c r="A6988"/>
  <c r="C6987"/>
  <c r="B6987"/>
  <c r="A6987"/>
  <c r="C6986"/>
  <c r="B6986"/>
  <c r="A6986"/>
  <c r="C6985"/>
  <c r="B6985"/>
  <c r="A6985"/>
  <c r="C6984"/>
  <c r="B6984"/>
  <c r="A6984"/>
  <c r="C6983"/>
  <c r="B6983"/>
  <c r="A6983"/>
  <c r="C6982"/>
  <c r="B6982"/>
  <c r="A6982"/>
  <c r="C6981"/>
  <c r="B6981"/>
  <c r="A6981"/>
  <c r="C6980"/>
  <c r="B6980"/>
  <c r="A6980"/>
  <c r="C6979"/>
  <c r="B6979"/>
  <c r="A6979"/>
  <c r="C6978"/>
  <c r="B6978"/>
  <c r="A6978"/>
  <c r="C6977"/>
  <c r="B6977"/>
  <c r="A6977"/>
  <c r="C6976"/>
  <c r="B6976"/>
  <c r="A6976"/>
  <c r="C6975"/>
  <c r="B6975"/>
  <c r="A6975"/>
  <c r="C6974"/>
  <c r="B6974"/>
  <c r="A6974"/>
  <c r="C6973"/>
  <c r="B6973"/>
  <c r="A6973"/>
  <c r="C6972"/>
  <c r="B6972"/>
  <c r="A6972"/>
  <c r="C6971"/>
  <c r="B6971"/>
  <c r="A6971"/>
  <c r="C6970"/>
  <c r="B6970"/>
  <c r="A6970"/>
  <c r="C6969"/>
  <c r="B6969"/>
  <c r="A6969"/>
  <c r="C6968"/>
  <c r="B6968"/>
  <c r="A6968"/>
  <c r="C6967"/>
  <c r="B6967"/>
  <c r="A6967"/>
  <c r="C6966"/>
  <c r="B6966"/>
  <c r="A6966"/>
  <c r="C6965"/>
  <c r="B6965"/>
  <c r="A6965"/>
  <c r="C6964"/>
  <c r="B6964"/>
  <c r="A6964"/>
  <c r="C6963"/>
  <c r="B6963"/>
  <c r="A6963"/>
  <c r="C6962"/>
  <c r="B6962"/>
  <c r="A6962"/>
  <c r="C6961"/>
  <c r="B6961"/>
  <c r="A6961"/>
  <c r="C6960"/>
  <c r="B6960"/>
  <c r="A6960"/>
  <c r="C6959"/>
  <c r="B6959"/>
  <c r="A6959"/>
  <c r="C6958"/>
  <c r="B6958"/>
  <c r="A6958"/>
  <c r="C6957"/>
  <c r="B6957"/>
  <c r="A6957"/>
  <c r="C6956"/>
  <c r="B6956"/>
  <c r="A6956"/>
  <c r="C6955"/>
  <c r="B6955"/>
  <c r="A6955"/>
  <c r="C6954"/>
  <c r="B6954"/>
  <c r="A6954"/>
  <c r="C6953"/>
  <c r="B6953"/>
  <c r="A6953"/>
  <c r="C6952"/>
  <c r="B6952"/>
  <c r="A6952"/>
  <c r="C6951"/>
  <c r="B6951"/>
  <c r="A6951"/>
  <c r="C6950"/>
  <c r="B6950"/>
  <c r="A6950"/>
  <c r="C6949"/>
  <c r="B6949"/>
  <c r="A6949"/>
  <c r="C6948"/>
  <c r="B6948"/>
  <c r="A6948"/>
  <c r="C6947"/>
  <c r="B6947"/>
  <c r="A6947"/>
  <c r="C6946"/>
  <c r="B6946"/>
  <c r="A6946"/>
  <c r="C6945"/>
  <c r="B6945"/>
  <c r="A6945"/>
  <c r="C6944"/>
  <c r="B6944"/>
  <c r="A6944"/>
  <c r="C6943"/>
  <c r="B6943"/>
  <c r="A6943"/>
  <c r="C6942"/>
  <c r="B6942"/>
  <c r="A6942"/>
  <c r="C6941"/>
  <c r="B6941"/>
  <c r="A6941"/>
  <c r="C6940"/>
  <c r="B6940"/>
  <c r="A6940"/>
  <c r="C6939"/>
  <c r="B6939"/>
  <c r="A6939"/>
  <c r="C6938"/>
  <c r="B6938"/>
  <c r="A6938"/>
  <c r="C6937"/>
  <c r="B6937"/>
  <c r="A6937"/>
  <c r="C6936"/>
  <c r="B6936"/>
  <c r="A6936"/>
  <c r="C6935"/>
  <c r="B6935"/>
  <c r="A6935"/>
  <c r="C6934"/>
  <c r="B6934"/>
  <c r="A6934"/>
  <c r="C6933"/>
  <c r="B6933"/>
  <c r="A6933"/>
  <c r="C6932"/>
  <c r="B6932"/>
  <c r="A6932"/>
  <c r="C6931"/>
  <c r="B6931"/>
  <c r="A6931"/>
  <c r="C6930"/>
  <c r="B6930"/>
  <c r="A6930"/>
  <c r="C6929"/>
  <c r="B6929"/>
  <c r="A6929"/>
  <c r="C6928"/>
  <c r="B6928"/>
  <c r="A6928"/>
  <c r="C6927"/>
  <c r="B6927"/>
  <c r="A6927"/>
  <c r="C6926"/>
  <c r="B6926"/>
  <c r="A6926"/>
  <c r="C6925"/>
  <c r="B6925"/>
  <c r="A6925"/>
  <c r="C6924"/>
  <c r="B6924"/>
  <c r="A6924"/>
  <c r="C6923"/>
  <c r="B6923"/>
  <c r="A6923"/>
  <c r="C6922"/>
  <c r="B6922"/>
  <c r="A6922"/>
  <c r="C6921"/>
  <c r="B6921"/>
  <c r="A6921"/>
  <c r="C6920"/>
  <c r="B6920"/>
  <c r="A6920"/>
  <c r="C6919"/>
  <c r="B6919"/>
  <c r="A6919"/>
  <c r="C6918"/>
  <c r="B6918"/>
  <c r="A6918"/>
  <c r="C6917"/>
  <c r="B6917"/>
  <c r="A6917"/>
  <c r="C6916"/>
  <c r="B6916"/>
  <c r="A6916"/>
  <c r="C6915"/>
  <c r="B6915"/>
  <c r="A6915"/>
  <c r="C6914"/>
  <c r="B6914"/>
  <c r="A6914"/>
  <c r="C6913"/>
  <c r="B6913"/>
  <c r="A6913"/>
  <c r="C6912"/>
  <c r="B6912"/>
  <c r="A6912"/>
  <c r="C6911"/>
  <c r="B6911"/>
  <c r="A6911"/>
  <c r="C6910"/>
  <c r="B6910"/>
  <c r="A6910"/>
  <c r="C6909"/>
  <c r="B6909"/>
  <c r="A6909"/>
  <c r="C6908"/>
  <c r="B6908"/>
  <c r="A6908"/>
  <c r="C6907"/>
  <c r="B6907"/>
  <c r="A6907"/>
  <c r="C6906"/>
  <c r="B6906"/>
  <c r="A6906"/>
  <c r="C6905"/>
  <c r="B6905"/>
  <c r="A6905"/>
  <c r="C6904"/>
  <c r="B6904"/>
  <c r="A6904"/>
  <c r="C6903"/>
  <c r="B6903"/>
  <c r="A6903"/>
  <c r="C6902"/>
  <c r="B6902"/>
  <c r="A6902"/>
  <c r="C6901"/>
  <c r="B6901"/>
  <c r="A6901"/>
  <c r="C6900"/>
  <c r="B6900"/>
  <c r="A6900"/>
  <c r="C6899"/>
  <c r="B6899"/>
  <c r="A6899"/>
  <c r="C6898"/>
  <c r="B6898"/>
  <c r="A6898"/>
  <c r="C6897"/>
  <c r="B6897"/>
  <c r="A6897"/>
  <c r="C6896"/>
  <c r="B6896"/>
  <c r="A6896"/>
  <c r="C6895"/>
  <c r="B6895"/>
  <c r="A6895"/>
  <c r="C6894"/>
  <c r="B6894"/>
  <c r="A6894"/>
  <c r="C6893"/>
  <c r="B6893"/>
  <c r="A6893"/>
  <c r="C6892"/>
  <c r="B6892"/>
  <c r="A6892"/>
  <c r="C6891"/>
  <c r="B6891"/>
  <c r="A6891"/>
  <c r="C6890"/>
  <c r="B6890"/>
  <c r="A6890"/>
  <c r="C6889"/>
  <c r="B6889"/>
  <c r="A6889"/>
  <c r="C6888"/>
  <c r="B6888"/>
  <c r="A6888"/>
  <c r="C6887"/>
  <c r="B6887"/>
  <c r="A6887"/>
  <c r="C6886"/>
  <c r="B6886"/>
  <c r="A6886"/>
  <c r="C6885"/>
  <c r="B6885"/>
  <c r="A6885"/>
  <c r="C6884"/>
  <c r="B6884"/>
  <c r="A6884"/>
  <c r="C6883"/>
  <c r="B6883"/>
  <c r="A6883"/>
  <c r="C6882"/>
  <c r="B6882"/>
  <c r="A6882"/>
  <c r="C6881"/>
  <c r="B6881"/>
  <c r="A6881"/>
  <c r="C6880"/>
  <c r="B6880"/>
  <c r="A6880"/>
  <c r="C6879"/>
  <c r="B6879"/>
  <c r="A6879"/>
  <c r="C6878"/>
  <c r="B6878"/>
  <c r="A6878"/>
  <c r="C6877"/>
  <c r="B6877"/>
  <c r="A6877"/>
  <c r="C6876"/>
  <c r="B6876"/>
  <c r="A6876"/>
  <c r="C6875"/>
  <c r="B6875"/>
  <c r="A6875"/>
  <c r="C6874"/>
  <c r="B6874"/>
  <c r="A6874"/>
  <c r="C6873"/>
  <c r="B6873"/>
  <c r="A6873"/>
  <c r="C6872"/>
  <c r="B6872"/>
  <c r="A6872"/>
  <c r="C6871"/>
  <c r="B6871"/>
  <c r="A6871"/>
  <c r="C6870"/>
  <c r="B6870"/>
  <c r="A6870"/>
  <c r="C6869"/>
  <c r="B6869"/>
  <c r="A6869"/>
  <c r="C6868"/>
  <c r="B6868"/>
  <c r="A6868"/>
  <c r="C6867"/>
  <c r="B6867"/>
  <c r="A6867"/>
  <c r="C6866"/>
  <c r="B6866"/>
  <c r="A6866"/>
  <c r="C6865"/>
  <c r="B6865"/>
  <c r="A6865"/>
  <c r="C6864"/>
  <c r="B6864"/>
  <c r="A6864"/>
  <c r="C6863"/>
  <c r="B6863"/>
  <c r="A6863"/>
  <c r="C6862"/>
  <c r="B6862"/>
  <c r="A6862"/>
  <c r="C6861"/>
  <c r="B6861"/>
  <c r="A6861"/>
  <c r="C6860"/>
  <c r="B6860"/>
  <c r="A6860"/>
  <c r="C6859"/>
  <c r="B6859"/>
  <c r="A6859"/>
  <c r="C6858"/>
  <c r="B6858"/>
  <c r="A6858"/>
  <c r="C6857"/>
  <c r="B6857"/>
  <c r="A6857"/>
  <c r="C6856"/>
  <c r="B6856"/>
  <c r="A6856"/>
  <c r="C6855"/>
  <c r="B6855"/>
  <c r="A6855"/>
  <c r="C6854"/>
  <c r="B6854"/>
  <c r="A6854"/>
  <c r="C6853"/>
  <c r="B6853"/>
  <c r="A6853"/>
  <c r="C6852"/>
  <c r="B6852"/>
  <c r="A6852"/>
  <c r="C6851"/>
  <c r="B6851"/>
  <c r="A6851"/>
  <c r="C6850"/>
  <c r="B6850"/>
  <c r="A6850"/>
  <c r="C6849"/>
  <c r="B6849"/>
  <c r="A6849"/>
  <c r="C6848"/>
  <c r="B6848"/>
  <c r="A6848"/>
  <c r="C6847"/>
  <c r="B6847"/>
  <c r="A6847"/>
  <c r="C6846"/>
  <c r="B6846"/>
  <c r="A6846"/>
  <c r="C6845"/>
  <c r="B6845"/>
  <c r="A6845"/>
  <c r="C6844"/>
  <c r="B6844"/>
  <c r="A6844"/>
  <c r="C6843"/>
  <c r="B6843"/>
  <c r="A6843"/>
  <c r="C6842"/>
  <c r="B6842"/>
  <c r="A6842"/>
  <c r="C6841"/>
  <c r="B6841"/>
  <c r="A6841"/>
  <c r="C6840"/>
  <c r="B6840"/>
  <c r="A6840"/>
  <c r="C6839"/>
  <c r="B6839"/>
  <c r="A6839"/>
  <c r="C6838"/>
  <c r="B6838"/>
  <c r="A6838"/>
  <c r="C6837"/>
  <c r="B6837"/>
  <c r="A6837"/>
  <c r="C6836"/>
  <c r="B6836"/>
  <c r="A6836"/>
  <c r="C6835"/>
  <c r="B6835"/>
  <c r="A6835"/>
  <c r="C6834"/>
  <c r="B6834"/>
  <c r="A6834"/>
  <c r="C6833"/>
  <c r="B6833"/>
  <c r="A6833"/>
  <c r="C6832"/>
  <c r="B6832"/>
  <c r="A6832"/>
  <c r="C6831"/>
  <c r="B6831"/>
  <c r="A6831"/>
  <c r="C6830"/>
  <c r="B6830"/>
  <c r="A6830"/>
  <c r="C6829"/>
  <c r="B6829"/>
  <c r="A6829"/>
  <c r="C6828"/>
  <c r="B6828"/>
  <c r="A6828"/>
  <c r="C6827"/>
  <c r="B6827"/>
  <c r="A6827"/>
  <c r="C6826"/>
  <c r="B6826"/>
  <c r="A6826"/>
  <c r="C6825"/>
  <c r="B6825"/>
  <c r="A6825"/>
  <c r="C6824"/>
  <c r="B6824"/>
  <c r="A6824"/>
  <c r="C6823"/>
  <c r="B6823"/>
  <c r="A6823"/>
  <c r="C6822"/>
  <c r="B6822"/>
  <c r="A6822"/>
  <c r="C6821"/>
  <c r="B6821"/>
  <c r="A6821"/>
  <c r="C6820"/>
  <c r="B6820"/>
  <c r="A6820"/>
  <c r="C6819"/>
  <c r="B6819"/>
  <c r="A6819"/>
  <c r="C6818"/>
  <c r="B6818"/>
  <c r="A6818"/>
  <c r="C6817"/>
  <c r="B6817"/>
  <c r="A6817"/>
  <c r="C6816"/>
  <c r="B6816"/>
  <c r="A6816"/>
  <c r="C6815"/>
  <c r="B6815"/>
  <c r="A6815"/>
  <c r="C6814"/>
  <c r="B6814"/>
  <c r="A6814"/>
  <c r="C6813"/>
  <c r="B6813"/>
  <c r="A6813"/>
  <c r="C6812"/>
  <c r="B6812"/>
  <c r="A6812"/>
  <c r="C6811"/>
  <c r="B6811"/>
  <c r="A6811"/>
  <c r="C6810"/>
  <c r="B6810"/>
  <c r="A6810"/>
  <c r="C6809"/>
  <c r="B6809"/>
  <c r="A6809"/>
  <c r="C6808"/>
  <c r="B6808"/>
  <c r="A6808"/>
  <c r="C6807"/>
  <c r="B6807"/>
  <c r="A6807"/>
  <c r="C6806"/>
  <c r="B6806"/>
  <c r="A6806"/>
  <c r="C6805"/>
  <c r="B6805"/>
  <c r="A6805"/>
  <c r="C6804"/>
  <c r="B6804"/>
  <c r="A6804"/>
  <c r="C6803"/>
  <c r="B6803"/>
  <c r="A6803"/>
  <c r="C6802"/>
  <c r="B6802"/>
  <c r="A6802"/>
  <c r="C6801"/>
  <c r="B6801"/>
  <c r="A6801"/>
  <c r="C6800"/>
  <c r="B6800"/>
  <c r="A6800"/>
  <c r="C6799"/>
  <c r="B6799"/>
  <c r="A6799"/>
  <c r="C6798"/>
  <c r="B6798"/>
  <c r="A6798"/>
  <c r="C6797"/>
  <c r="B6797"/>
  <c r="A6797"/>
  <c r="C6796"/>
  <c r="B6796"/>
  <c r="A6796"/>
  <c r="C6795"/>
  <c r="B6795"/>
  <c r="A6795"/>
  <c r="C6794"/>
  <c r="B6794"/>
  <c r="A6794"/>
  <c r="C6793"/>
  <c r="B6793"/>
  <c r="A6793"/>
  <c r="C6792"/>
  <c r="B6792"/>
  <c r="A6792"/>
  <c r="C6791"/>
  <c r="B6791"/>
  <c r="A6791"/>
  <c r="C6790"/>
  <c r="B6790"/>
  <c r="A6790"/>
  <c r="C6789"/>
  <c r="B6789"/>
  <c r="A6789"/>
  <c r="C6788"/>
  <c r="B6788"/>
  <c r="A6788"/>
  <c r="C6787"/>
  <c r="B6787"/>
  <c r="A6787"/>
  <c r="C6786"/>
  <c r="B6786"/>
  <c r="A6786"/>
  <c r="C6785"/>
  <c r="B6785"/>
  <c r="A6785"/>
  <c r="C6784"/>
  <c r="B6784"/>
  <c r="A6784"/>
  <c r="C6783"/>
  <c r="B6783"/>
  <c r="A6783"/>
  <c r="C6782"/>
  <c r="B6782"/>
  <c r="A6782"/>
  <c r="C6781"/>
  <c r="B6781"/>
  <c r="A6781"/>
  <c r="C6780"/>
  <c r="B6780"/>
  <c r="A6780"/>
  <c r="C6779"/>
  <c r="B6779"/>
  <c r="A6779"/>
  <c r="C6778"/>
  <c r="B6778"/>
  <c r="A6778"/>
  <c r="C6777"/>
  <c r="B6777"/>
  <c r="A6777"/>
  <c r="C6776"/>
  <c r="B6776"/>
  <c r="A6776"/>
  <c r="C6775"/>
  <c r="B6775"/>
  <c r="A6775"/>
  <c r="C6774"/>
  <c r="B6774"/>
  <c r="A6774"/>
  <c r="C6773"/>
  <c r="B6773"/>
  <c r="A6773"/>
  <c r="C6772"/>
  <c r="B6772"/>
  <c r="A6772"/>
  <c r="C6771"/>
  <c r="B6771"/>
  <c r="A6771"/>
  <c r="C6770"/>
  <c r="B6770"/>
  <c r="A6770"/>
  <c r="C6769"/>
  <c r="B6769"/>
  <c r="A6769"/>
  <c r="C6768"/>
  <c r="B6768"/>
  <c r="A6768"/>
  <c r="C6767"/>
  <c r="B6767"/>
  <c r="A6767"/>
  <c r="C6766"/>
  <c r="B6766"/>
  <c r="A6766"/>
  <c r="C6765"/>
  <c r="B6765"/>
  <c r="A6765"/>
  <c r="C6764"/>
  <c r="B6764"/>
  <c r="A6764"/>
  <c r="C6763"/>
  <c r="B6763"/>
  <c r="A6763"/>
  <c r="C6762"/>
  <c r="B6762"/>
  <c r="A6762"/>
  <c r="C6761"/>
  <c r="B6761"/>
  <c r="A6761"/>
  <c r="C6760"/>
  <c r="B6760"/>
  <c r="A6760"/>
  <c r="C6759"/>
  <c r="B6759"/>
  <c r="A6759"/>
  <c r="C6758"/>
  <c r="B6758"/>
  <c r="A6758"/>
  <c r="C6757"/>
  <c r="B6757"/>
  <c r="A6757"/>
  <c r="C6756"/>
  <c r="B6756"/>
  <c r="A6756"/>
  <c r="C6755"/>
  <c r="B6755"/>
  <c r="A6755"/>
  <c r="C6754"/>
  <c r="B6754"/>
  <c r="A6754"/>
  <c r="C6753"/>
  <c r="B6753"/>
  <c r="A6753"/>
  <c r="C6752"/>
  <c r="B6752"/>
  <c r="A6752"/>
  <c r="C6751"/>
  <c r="B6751"/>
  <c r="A6751"/>
  <c r="C6750"/>
  <c r="B6750"/>
  <c r="A6750"/>
  <c r="C6749"/>
  <c r="B6749"/>
  <c r="A6749"/>
  <c r="C6748"/>
  <c r="B6748"/>
  <c r="A6748"/>
  <c r="C6747"/>
  <c r="B6747"/>
  <c r="A6747"/>
  <c r="C6746"/>
  <c r="B6746"/>
  <c r="A6746"/>
  <c r="C6745"/>
  <c r="B6745"/>
  <c r="A6745"/>
  <c r="C6744"/>
  <c r="B6744"/>
  <c r="A6744"/>
  <c r="C6743"/>
  <c r="B6743"/>
  <c r="A6743"/>
  <c r="C6742"/>
  <c r="B6742"/>
  <c r="A6742"/>
  <c r="C6741"/>
  <c r="B6741"/>
  <c r="A6741"/>
  <c r="C6740"/>
  <c r="B6740"/>
  <c r="A6740"/>
  <c r="C6739"/>
  <c r="B6739"/>
  <c r="A6739"/>
  <c r="C6738"/>
  <c r="B6738"/>
  <c r="A6738"/>
  <c r="C6737"/>
  <c r="B6737"/>
  <c r="A6737"/>
  <c r="C6736"/>
  <c r="B6736"/>
  <c r="A6736"/>
  <c r="C6735"/>
  <c r="B6735"/>
  <c r="A6735"/>
  <c r="C6734"/>
  <c r="B6734"/>
  <c r="A6734"/>
  <c r="C6733"/>
  <c r="B6733"/>
  <c r="A6733"/>
  <c r="C6732"/>
  <c r="B6732"/>
  <c r="A6732"/>
  <c r="C6731"/>
  <c r="B6731"/>
  <c r="A6731"/>
  <c r="C6730"/>
  <c r="B6730"/>
  <c r="A6730"/>
  <c r="C6729"/>
  <c r="B6729"/>
  <c r="A6729"/>
  <c r="C6728"/>
  <c r="B6728"/>
  <c r="A6728"/>
  <c r="C6727"/>
  <c r="B6727"/>
  <c r="A6727"/>
  <c r="C6726"/>
  <c r="B6726"/>
  <c r="A6726"/>
  <c r="C6725"/>
  <c r="B6725"/>
  <c r="A6725"/>
  <c r="C6724"/>
  <c r="B6724"/>
  <c r="A6724"/>
  <c r="C6723"/>
  <c r="B6723"/>
  <c r="A6723"/>
  <c r="C6722"/>
  <c r="B6722"/>
  <c r="A6722"/>
  <c r="C6721"/>
  <c r="B6721"/>
  <c r="A6721"/>
  <c r="C6720"/>
  <c r="B6720"/>
  <c r="A6720"/>
  <c r="C6719"/>
  <c r="B6719"/>
  <c r="A6719"/>
  <c r="C6718"/>
  <c r="B6718"/>
  <c r="A6718"/>
  <c r="C6717"/>
  <c r="B6717"/>
  <c r="A6717"/>
  <c r="C6716"/>
  <c r="B6716"/>
  <c r="A6716"/>
  <c r="C6715"/>
  <c r="B6715"/>
  <c r="A6715"/>
  <c r="C6714"/>
  <c r="B6714"/>
  <c r="A6714"/>
  <c r="C6713"/>
  <c r="B6713"/>
  <c r="A6713"/>
  <c r="C6712"/>
  <c r="B6712"/>
  <c r="A6712"/>
  <c r="C6711"/>
  <c r="B6711"/>
  <c r="A6711"/>
  <c r="C6710"/>
  <c r="B6710"/>
  <c r="A6710"/>
  <c r="C6709"/>
  <c r="B6709"/>
  <c r="A6709"/>
  <c r="C6708"/>
  <c r="B6708"/>
  <c r="A6708"/>
  <c r="C6707"/>
  <c r="B6707"/>
  <c r="A6707"/>
  <c r="C6706"/>
  <c r="B6706"/>
  <c r="A6706"/>
  <c r="C6705"/>
  <c r="B6705"/>
  <c r="A6705"/>
  <c r="C6704"/>
  <c r="B6704"/>
  <c r="A6704"/>
  <c r="C6703"/>
  <c r="B6703"/>
  <c r="A6703"/>
  <c r="C6702"/>
  <c r="B6702"/>
  <c r="A6702"/>
  <c r="C6701"/>
  <c r="B6701"/>
  <c r="A6701"/>
  <c r="C6700"/>
  <c r="B6700"/>
  <c r="A6700"/>
  <c r="C6699"/>
  <c r="B6699"/>
  <c r="A6699"/>
  <c r="C6698"/>
  <c r="B6698"/>
  <c r="A6698"/>
  <c r="C6697"/>
  <c r="B6697"/>
  <c r="A6697"/>
  <c r="C6696"/>
  <c r="B6696"/>
  <c r="A6696"/>
  <c r="C6695"/>
  <c r="B6695"/>
  <c r="A6695"/>
  <c r="C6694"/>
  <c r="B6694"/>
  <c r="A6694"/>
  <c r="C6693"/>
  <c r="B6693"/>
  <c r="A6693"/>
  <c r="C6692"/>
  <c r="B6692"/>
  <c r="A6692"/>
  <c r="C6691"/>
  <c r="B6691"/>
  <c r="A6691"/>
  <c r="C6690"/>
  <c r="B6690"/>
  <c r="A6690"/>
  <c r="C6689"/>
  <c r="B6689"/>
  <c r="A6689"/>
  <c r="C6688"/>
  <c r="B6688"/>
  <c r="A6688"/>
  <c r="C6687"/>
  <c r="B6687"/>
  <c r="A6687"/>
  <c r="C6686"/>
  <c r="B6686"/>
  <c r="A6686"/>
  <c r="C6685"/>
  <c r="B6685"/>
  <c r="A6685"/>
  <c r="C6684"/>
  <c r="B6684"/>
  <c r="A6684"/>
  <c r="C6683"/>
  <c r="B6683"/>
  <c r="A6683"/>
  <c r="C6682"/>
  <c r="B6682"/>
  <c r="A6682"/>
  <c r="C6681"/>
  <c r="B6681"/>
  <c r="A6681"/>
  <c r="C6680"/>
  <c r="B6680"/>
  <c r="A6680"/>
  <c r="C6679"/>
  <c r="B6679"/>
  <c r="A6679"/>
  <c r="C6678"/>
  <c r="B6678"/>
  <c r="A6678"/>
  <c r="C6677"/>
  <c r="B6677"/>
  <c r="A6677"/>
  <c r="C6676"/>
  <c r="B6676"/>
  <c r="A6676"/>
  <c r="C6675"/>
  <c r="B6675"/>
  <c r="A6675"/>
  <c r="C6674"/>
  <c r="B6674"/>
  <c r="A6674"/>
  <c r="C6673"/>
  <c r="B6673"/>
  <c r="A6673"/>
  <c r="C6672"/>
  <c r="B6672"/>
  <c r="A6672"/>
  <c r="C6671"/>
  <c r="B6671"/>
  <c r="A6671"/>
  <c r="C6670"/>
  <c r="B6670"/>
  <c r="A6670"/>
  <c r="C6669"/>
  <c r="B6669"/>
  <c r="A6669"/>
  <c r="C6668"/>
  <c r="B6668"/>
  <c r="A6668"/>
  <c r="C6667"/>
  <c r="B6667"/>
  <c r="A6667"/>
  <c r="C6666"/>
  <c r="B6666"/>
  <c r="A6666"/>
  <c r="C6665"/>
  <c r="B6665"/>
  <c r="A6665"/>
  <c r="C6664"/>
  <c r="B6664"/>
  <c r="A6664"/>
  <c r="C6663"/>
  <c r="B6663"/>
  <c r="A6663"/>
  <c r="C6662"/>
  <c r="B6662"/>
  <c r="A6662"/>
  <c r="C6661"/>
  <c r="B6661"/>
  <c r="A6661"/>
  <c r="C6660"/>
  <c r="B6660"/>
  <c r="A6660"/>
  <c r="C6659"/>
  <c r="B6659"/>
  <c r="A6659"/>
  <c r="C6658"/>
  <c r="B6658"/>
  <c r="A6658"/>
  <c r="C6657"/>
  <c r="B6657"/>
  <c r="A6657"/>
  <c r="C6656"/>
  <c r="B6656"/>
  <c r="A6656"/>
  <c r="C6655"/>
  <c r="B6655"/>
  <c r="A6655"/>
  <c r="C6654"/>
  <c r="B6654"/>
  <c r="A6654"/>
  <c r="C6653"/>
  <c r="B6653"/>
  <c r="A6653"/>
  <c r="C6652"/>
  <c r="B6652"/>
  <c r="A6652"/>
  <c r="C6651"/>
  <c r="B6651"/>
  <c r="A6651"/>
  <c r="C6650"/>
  <c r="B6650"/>
  <c r="A6650"/>
  <c r="C6649"/>
  <c r="B6649"/>
  <c r="A6649"/>
  <c r="C6648"/>
  <c r="B6648"/>
  <c r="A6648"/>
  <c r="C6647"/>
  <c r="B6647"/>
  <c r="A6647"/>
  <c r="C6646"/>
  <c r="B6646"/>
  <c r="A6646"/>
  <c r="C6645"/>
  <c r="B6645"/>
  <c r="A6645"/>
  <c r="C6644"/>
  <c r="B6644"/>
  <c r="A6644"/>
  <c r="C6643"/>
  <c r="B6643"/>
  <c r="A6643"/>
  <c r="C6642"/>
  <c r="B6642"/>
  <c r="A6642"/>
  <c r="C6641"/>
  <c r="B6641"/>
  <c r="A6641"/>
  <c r="C6640"/>
  <c r="B6640"/>
  <c r="A6640"/>
  <c r="C6639"/>
  <c r="B6639"/>
  <c r="A6639"/>
  <c r="C6638"/>
  <c r="B6638"/>
  <c r="A6638"/>
  <c r="C6637"/>
  <c r="B6637"/>
  <c r="A6637"/>
  <c r="C6636"/>
  <c r="B6636"/>
  <c r="A6636"/>
  <c r="C6635"/>
  <c r="B6635"/>
  <c r="A6635"/>
  <c r="C6634"/>
  <c r="B6634"/>
  <c r="A6634"/>
  <c r="C6633"/>
  <c r="B6633"/>
  <c r="A6633"/>
  <c r="C6632"/>
  <c r="B6632"/>
  <c r="A6632"/>
  <c r="C6631"/>
  <c r="B6631"/>
  <c r="A6631"/>
  <c r="C6630"/>
  <c r="B6630"/>
  <c r="A6630"/>
  <c r="C6629"/>
  <c r="B6629"/>
  <c r="A6629"/>
  <c r="C6628"/>
  <c r="B6628"/>
  <c r="A6628"/>
  <c r="C6627"/>
  <c r="B6627"/>
  <c r="A6627"/>
  <c r="C6626"/>
  <c r="B6626"/>
  <c r="A6626"/>
  <c r="C6625"/>
  <c r="B6625"/>
  <c r="A6625"/>
  <c r="C6624"/>
  <c r="B6624"/>
  <c r="A6624"/>
  <c r="C6623"/>
  <c r="B6623"/>
  <c r="A6623"/>
  <c r="C6622"/>
  <c r="B6622"/>
  <c r="A6622"/>
  <c r="C6621"/>
  <c r="B6621"/>
  <c r="A6621"/>
  <c r="C6620"/>
  <c r="B6620"/>
  <c r="A6620"/>
  <c r="C6619"/>
  <c r="B6619"/>
  <c r="A6619"/>
  <c r="C6618"/>
  <c r="B6618"/>
  <c r="A6618"/>
  <c r="C6617"/>
  <c r="B6617"/>
  <c r="A6617"/>
  <c r="C6616"/>
  <c r="B6616"/>
  <c r="A6616"/>
  <c r="C6615"/>
  <c r="B6615"/>
  <c r="A6615"/>
  <c r="C6614"/>
  <c r="B6614"/>
  <c r="A6614"/>
  <c r="C6613"/>
  <c r="B6613"/>
  <c r="A6613"/>
  <c r="C6612"/>
  <c r="B6612"/>
  <c r="A6612"/>
  <c r="C6611"/>
  <c r="B6611"/>
  <c r="A6611"/>
  <c r="C6610"/>
  <c r="B6610"/>
  <c r="A6610"/>
  <c r="C6609"/>
  <c r="B6609"/>
  <c r="A6609"/>
  <c r="C6608"/>
  <c r="B6608"/>
  <c r="A6608"/>
  <c r="C6607"/>
  <c r="B6607"/>
  <c r="A6607"/>
  <c r="C6606"/>
  <c r="B6606"/>
  <c r="A6606"/>
  <c r="C6605"/>
  <c r="B6605"/>
  <c r="A6605"/>
  <c r="C6604"/>
  <c r="B6604"/>
  <c r="A6604"/>
  <c r="C6603"/>
  <c r="B6603"/>
  <c r="A6603"/>
  <c r="C6602"/>
  <c r="B6602"/>
  <c r="A6602"/>
  <c r="C6601"/>
  <c r="B6601"/>
  <c r="A6601"/>
  <c r="C6600"/>
  <c r="B6600"/>
  <c r="A6600"/>
  <c r="C6599"/>
  <c r="B6599"/>
  <c r="A6599"/>
  <c r="C6598"/>
  <c r="B6598"/>
  <c r="A6598"/>
  <c r="C6597"/>
  <c r="B6597"/>
  <c r="A6597"/>
  <c r="C6596"/>
  <c r="B6596"/>
  <c r="A6596"/>
  <c r="C6595"/>
  <c r="B6595"/>
  <c r="A6595"/>
  <c r="C6594"/>
  <c r="B6594"/>
  <c r="A6594"/>
  <c r="C6593"/>
  <c r="B6593"/>
  <c r="A6593"/>
  <c r="C6592"/>
  <c r="B6592"/>
  <c r="A6592"/>
  <c r="C6591"/>
  <c r="B6591"/>
  <c r="A6591"/>
  <c r="C6590"/>
  <c r="B6590"/>
  <c r="A6590"/>
  <c r="C6589"/>
  <c r="B6589"/>
  <c r="A6589"/>
  <c r="C6588"/>
  <c r="B6588"/>
  <c r="A6588"/>
  <c r="C6587"/>
  <c r="B6587"/>
  <c r="A6587"/>
  <c r="C6586"/>
  <c r="B6586"/>
  <c r="A6586"/>
  <c r="C6585"/>
  <c r="B6585"/>
  <c r="A6585"/>
  <c r="C6584"/>
  <c r="B6584"/>
  <c r="A6584"/>
  <c r="C6583"/>
  <c r="B6583"/>
  <c r="A6583"/>
  <c r="C6582"/>
  <c r="B6582"/>
  <c r="A6582"/>
  <c r="C6581"/>
  <c r="B6581"/>
  <c r="A6581"/>
  <c r="C6580"/>
  <c r="B6580"/>
  <c r="A6580"/>
  <c r="C6579"/>
  <c r="B6579"/>
  <c r="A6579"/>
  <c r="C6578"/>
  <c r="B6578"/>
  <c r="A6578"/>
  <c r="C6577"/>
  <c r="B6577"/>
  <c r="A6577"/>
  <c r="C6576"/>
  <c r="B6576"/>
  <c r="A6576"/>
  <c r="C6575"/>
  <c r="B6575"/>
  <c r="A6575"/>
  <c r="C6574"/>
  <c r="B6574"/>
  <c r="A6574"/>
  <c r="C6573"/>
  <c r="B6573"/>
  <c r="A6573"/>
  <c r="C6572"/>
  <c r="B6572"/>
  <c r="A6572"/>
  <c r="C6571"/>
  <c r="B6571"/>
  <c r="A6571"/>
  <c r="C6570"/>
  <c r="B6570"/>
  <c r="A6570"/>
  <c r="C6569"/>
  <c r="B6569"/>
  <c r="A6569"/>
  <c r="C6568"/>
  <c r="B6568"/>
  <c r="A6568"/>
  <c r="C6567"/>
  <c r="B6567"/>
  <c r="A6567"/>
  <c r="C6566"/>
  <c r="B6566"/>
  <c r="A6566"/>
  <c r="C6565"/>
  <c r="B6565"/>
  <c r="A6565"/>
  <c r="C6564"/>
  <c r="B6564"/>
  <c r="A6564"/>
  <c r="C6563"/>
  <c r="B6563"/>
  <c r="A6563"/>
  <c r="C6562"/>
  <c r="B6562"/>
  <c r="A6562"/>
  <c r="C6561"/>
  <c r="B6561"/>
  <c r="A6561"/>
  <c r="C6560"/>
  <c r="B6560"/>
  <c r="A6560"/>
  <c r="C6559"/>
  <c r="B6559"/>
  <c r="A6559"/>
  <c r="C6558"/>
  <c r="B6558"/>
  <c r="A6558"/>
  <c r="C6557"/>
  <c r="B6557"/>
  <c r="A6557"/>
  <c r="C6556"/>
  <c r="B6556"/>
  <c r="A6556"/>
  <c r="C6555"/>
  <c r="B6555"/>
  <c r="A6555"/>
  <c r="C6554"/>
  <c r="B6554"/>
  <c r="A6554"/>
  <c r="C6553"/>
  <c r="B6553"/>
  <c r="A6553"/>
  <c r="C6552"/>
  <c r="B6552"/>
  <c r="A6552"/>
  <c r="C6551"/>
  <c r="B6551"/>
  <c r="A6551"/>
  <c r="C6550"/>
  <c r="B6550"/>
  <c r="A6550"/>
  <c r="C6549"/>
  <c r="B6549"/>
  <c r="A6549"/>
  <c r="C6548"/>
  <c r="B6548"/>
  <c r="A6548"/>
  <c r="C6547"/>
  <c r="B6547"/>
  <c r="A6547"/>
  <c r="C6546"/>
  <c r="B6546"/>
  <c r="A6546"/>
  <c r="C6545"/>
  <c r="B6545"/>
  <c r="A6545"/>
  <c r="C6544"/>
  <c r="B6544"/>
  <c r="A6544"/>
  <c r="C6543"/>
  <c r="B6543"/>
  <c r="A6543"/>
  <c r="C6542"/>
  <c r="B6542"/>
  <c r="A6542"/>
  <c r="C6541"/>
  <c r="B6541"/>
  <c r="A6541"/>
  <c r="C6540"/>
  <c r="B6540"/>
  <c r="A6540"/>
  <c r="C6539"/>
  <c r="B6539"/>
  <c r="A6539"/>
  <c r="C6538"/>
  <c r="B6538"/>
  <c r="A6538"/>
  <c r="C6537"/>
  <c r="B6537"/>
  <c r="A6537"/>
  <c r="C6536"/>
  <c r="B6536"/>
  <c r="A6536"/>
  <c r="C6535"/>
  <c r="B6535"/>
  <c r="A6535"/>
  <c r="C6534"/>
  <c r="B6534"/>
  <c r="A6534"/>
  <c r="C6533"/>
  <c r="B6533"/>
  <c r="A6533"/>
  <c r="C6532"/>
  <c r="B6532"/>
  <c r="A6532"/>
  <c r="C6531"/>
  <c r="B6531"/>
  <c r="A6531"/>
  <c r="C6530"/>
  <c r="B6530"/>
  <c r="A6530"/>
  <c r="C6529"/>
  <c r="B6529"/>
  <c r="A6529"/>
  <c r="C6528"/>
  <c r="B6528"/>
  <c r="A6528"/>
  <c r="C6527"/>
  <c r="B6527"/>
  <c r="A6527"/>
  <c r="C6526"/>
  <c r="B6526"/>
  <c r="A6526"/>
  <c r="C6525"/>
  <c r="B6525"/>
  <c r="A6525"/>
  <c r="C6524"/>
  <c r="B6524"/>
  <c r="A6524"/>
  <c r="C6523"/>
  <c r="B6523"/>
  <c r="A6523"/>
  <c r="C6522"/>
  <c r="B6522"/>
  <c r="A6522"/>
  <c r="C6521"/>
  <c r="B6521"/>
  <c r="A6521"/>
  <c r="C6520"/>
  <c r="B6520"/>
  <c r="A6520"/>
  <c r="C6519"/>
  <c r="B6519"/>
  <c r="A6519"/>
  <c r="C6518"/>
  <c r="B6518"/>
  <c r="A6518"/>
  <c r="C6517"/>
  <c r="B6517"/>
  <c r="A6517"/>
  <c r="C6516"/>
  <c r="B6516"/>
  <c r="A6516"/>
  <c r="C6515"/>
  <c r="B6515"/>
  <c r="A6515"/>
  <c r="C6514"/>
  <c r="B6514"/>
  <c r="A6514"/>
  <c r="C6513"/>
  <c r="B6513"/>
  <c r="A6513"/>
  <c r="C6512"/>
  <c r="B6512"/>
  <c r="A6512"/>
  <c r="C6511"/>
  <c r="B6511"/>
  <c r="A6511"/>
  <c r="C6510"/>
  <c r="B6510"/>
  <c r="A6510"/>
  <c r="C6509"/>
  <c r="B6509"/>
  <c r="A6509"/>
  <c r="C6508"/>
  <c r="B6508"/>
  <c r="A6508"/>
  <c r="C6507"/>
  <c r="B6507"/>
  <c r="A6507"/>
  <c r="C6506"/>
  <c r="B6506"/>
  <c r="A6506"/>
  <c r="C6505"/>
  <c r="B6505"/>
  <c r="A6505"/>
  <c r="C6504"/>
  <c r="B6504"/>
  <c r="A6504"/>
  <c r="C6503"/>
  <c r="B6503"/>
  <c r="A6503"/>
  <c r="C6502"/>
  <c r="B6502"/>
  <c r="A6502"/>
  <c r="C6501"/>
  <c r="B6501"/>
  <c r="A6501"/>
  <c r="C6500"/>
  <c r="B6500"/>
  <c r="A6500"/>
  <c r="C6499"/>
  <c r="B6499"/>
  <c r="A6499"/>
  <c r="C6498"/>
  <c r="B6498"/>
  <c r="A6498"/>
  <c r="C6497"/>
  <c r="B6497"/>
  <c r="A6497"/>
  <c r="C6496"/>
  <c r="B6496"/>
  <c r="A6496"/>
  <c r="C6495"/>
  <c r="B6495"/>
  <c r="A6495"/>
  <c r="C6494"/>
  <c r="B6494"/>
  <c r="A6494"/>
  <c r="C6493"/>
  <c r="B6493"/>
  <c r="A6493"/>
  <c r="C6492"/>
  <c r="B6492"/>
  <c r="A6492"/>
  <c r="C6491"/>
  <c r="B6491"/>
  <c r="A6491"/>
  <c r="C6490"/>
  <c r="B6490"/>
  <c r="A6490"/>
  <c r="C6489"/>
  <c r="B6489"/>
  <c r="A6489"/>
  <c r="C6488"/>
  <c r="B6488"/>
  <c r="A6488"/>
  <c r="C6487"/>
  <c r="B6487"/>
  <c r="A6487"/>
  <c r="C6486"/>
  <c r="B6486"/>
  <c r="A6486"/>
  <c r="C6485"/>
  <c r="B6485"/>
  <c r="A6485"/>
  <c r="C6484"/>
  <c r="B6484"/>
  <c r="A6484"/>
  <c r="C6483"/>
  <c r="B6483"/>
  <c r="A6483"/>
  <c r="C6482"/>
  <c r="B6482"/>
  <c r="A6482"/>
  <c r="C6481"/>
  <c r="B6481"/>
  <c r="A6481"/>
  <c r="C6480"/>
  <c r="B6480"/>
  <c r="A6480"/>
  <c r="C6479"/>
  <c r="B6479"/>
  <c r="A6479"/>
  <c r="C6478"/>
  <c r="B6478"/>
  <c r="A6478"/>
  <c r="C6477"/>
  <c r="B6477"/>
  <c r="A6477"/>
  <c r="C6476"/>
  <c r="B6476"/>
  <c r="A6476"/>
  <c r="C6475"/>
  <c r="B6475"/>
  <c r="A6475"/>
  <c r="C6474"/>
  <c r="B6474"/>
  <c r="A6474"/>
  <c r="C6473"/>
  <c r="B6473"/>
  <c r="A6473"/>
  <c r="C6472"/>
  <c r="B6472"/>
  <c r="A6472"/>
  <c r="C6471"/>
  <c r="B6471"/>
  <c r="A6471"/>
  <c r="C6470"/>
  <c r="B6470"/>
  <c r="A6470"/>
  <c r="C6469"/>
  <c r="B6469"/>
  <c r="A6469"/>
  <c r="C6468"/>
  <c r="B6468"/>
  <c r="A6468"/>
  <c r="C6467"/>
  <c r="B6467"/>
  <c r="A6467"/>
  <c r="C6466"/>
  <c r="B6466"/>
  <c r="A6466"/>
  <c r="C6465"/>
  <c r="B6465"/>
  <c r="A6465"/>
  <c r="C6464"/>
  <c r="B6464"/>
  <c r="A6464"/>
  <c r="C6463"/>
  <c r="B6463"/>
  <c r="A6463"/>
  <c r="C6462"/>
  <c r="B6462"/>
  <c r="A6462"/>
  <c r="C6461"/>
  <c r="B6461"/>
  <c r="A6461"/>
  <c r="C6460"/>
  <c r="B6460"/>
  <c r="A6460"/>
  <c r="C6459"/>
  <c r="B6459"/>
  <c r="A6459"/>
  <c r="C6458"/>
  <c r="B6458"/>
  <c r="A6458"/>
  <c r="C6457"/>
  <c r="B6457"/>
  <c r="A6457"/>
  <c r="C6456"/>
  <c r="B6456"/>
  <c r="A6456"/>
  <c r="C6455"/>
  <c r="B6455"/>
  <c r="A6455"/>
  <c r="C6454"/>
  <c r="B6454"/>
  <c r="A6454"/>
  <c r="C6453"/>
  <c r="B6453"/>
  <c r="A6453"/>
  <c r="C6452"/>
  <c r="B6452"/>
  <c r="A6452"/>
  <c r="C6451"/>
  <c r="B6451"/>
  <c r="A6451"/>
  <c r="C6450"/>
  <c r="B6450"/>
  <c r="A6450"/>
  <c r="C6449"/>
  <c r="B6449"/>
  <c r="A6449"/>
  <c r="C6448"/>
  <c r="B6448"/>
  <c r="A6448"/>
  <c r="C6447"/>
  <c r="B6447"/>
  <c r="A6447"/>
  <c r="C6446"/>
  <c r="B6446"/>
  <c r="A6446"/>
  <c r="C6445"/>
  <c r="B6445"/>
  <c r="A6445"/>
  <c r="C6444"/>
  <c r="B6444"/>
  <c r="A6444"/>
  <c r="C6443"/>
  <c r="B6443"/>
  <c r="A6443"/>
  <c r="C6442"/>
  <c r="B6442"/>
  <c r="A6442"/>
  <c r="C6441"/>
  <c r="B6441"/>
  <c r="A6441"/>
  <c r="C6440"/>
  <c r="B6440"/>
  <c r="A6440"/>
  <c r="C6439"/>
  <c r="B6439"/>
  <c r="A6439"/>
  <c r="C6438"/>
  <c r="B6438"/>
  <c r="A6438"/>
  <c r="C6437"/>
  <c r="B6437"/>
  <c r="A6437"/>
  <c r="C6436"/>
  <c r="B6436"/>
  <c r="A6436"/>
  <c r="C6435"/>
  <c r="B6435"/>
  <c r="A6435"/>
  <c r="C6434"/>
  <c r="B6434"/>
  <c r="A6434"/>
  <c r="C6433"/>
  <c r="B6433"/>
  <c r="A6433"/>
  <c r="C6432"/>
  <c r="B6432"/>
  <c r="A6432"/>
  <c r="C6431"/>
  <c r="B6431"/>
  <c r="A6431"/>
  <c r="C6430"/>
  <c r="B6430"/>
  <c r="A6430"/>
  <c r="C6429"/>
  <c r="B6429"/>
  <c r="A6429"/>
  <c r="C6428"/>
  <c r="B6428"/>
  <c r="A6428"/>
  <c r="C6427"/>
  <c r="B6427"/>
  <c r="A6427"/>
  <c r="C6426"/>
  <c r="B6426"/>
  <c r="A6426"/>
  <c r="C6425"/>
  <c r="B6425"/>
  <c r="A6425"/>
  <c r="C6424"/>
  <c r="B6424"/>
  <c r="A6424"/>
  <c r="C6423"/>
  <c r="B6423"/>
  <c r="A6423"/>
  <c r="C6422"/>
  <c r="B6422"/>
  <c r="A6422"/>
  <c r="C6421"/>
  <c r="B6421"/>
  <c r="A6421"/>
  <c r="C6420"/>
  <c r="B6420"/>
  <c r="A6420"/>
  <c r="C6419"/>
  <c r="B6419"/>
  <c r="A6419"/>
  <c r="C6418"/>
  <c r="B6418"/>
  <c r="A6418"/>
  <c r="C6417"/>
  <c r="B6417"/>
  <c r="A6417"/>
  <c r="C6416"/>
  <c r="B6416"/>
  <c r="A6416"/>
  <c r="C6415"/>
  <c r="B6415"/>
  <c r="A6415"/>
  <c r="C6414"/>
  <c r="B6414"/>
  <c r="A6414"/>
  <c r="C6413"/>
  <c r="B6413"/>
  <c r="A6413"/>
  <c r="C6412"/>
  <c r="B6412"/>
  <c r="A6412"/>
  <c r="C6411"/>
  <c r="B6411"/>
  <c r="A6411"/>
  <c r="C6410"/>
  <c r="B6410"/>
  <c r="A6410"/>
  <c r="C6409"/>
  <c r="B6409"/>
  <c r="A6409"/>
  <c r="C6408"/>
  <c r="B6408"/>
  <c r="A6408"/>
  <c r="C6407"/>
  <c r="B6407"/>
  <c r="A6407"/>
  <c r="C6406"/>
  <c r="B6406"/>
  <c r="A6406"/>
  <c r="C6405"/>
  <c r="B6405"/>
  <c r="A6405"/>
  <c r="C6404"/>
  <c r="B6404"/>
  <c r="A6404"/>
  <c r="C6403"/>
  <c r="B6403"/>
  <c r="A6403"/>
  <c r="C6402"/>
  <c r="B6402"/>
  <c r="A6402"/>
  <c r="C6401"/>
  <c r="B6401"/>
  <c r="A6401"/>
  <c r="C6400"/>
  <c r="B6400"/>
  <c r="A6400"/>
  <c r="C6399"/>
  <c r="B6399"/>
  <c r="A6399"/>
  <c r="C6398"/>
  <c r="B6398"/>
  <c r="A6398"/>
  <c r="C6397"/>
  <c r="B6397"/>
  <c r="A6397"/>
  <c r="C6396"/>
  <c r="B6396"/>
  <c r="A6396"/>
  <c r="C6395"/>
  <c r="B6395"/>
  <c r="A6395"/>
  <c r="C6394"/>
  <c r="B6394"/>
  <c r="A6394"/>
  <c r="C6393"/>
  <c r="B6393"/>
  <c r="A6393"/>
  <c r="C6392"/>
  <c r="B6392"/>
  <c r="A6392"/>
  <c r="C6391"/>
  <c r="B6391"/>
  <c r="A6391"/>
  <c r="C6390"/>
  <c r="B6390"/>
  <c r="A6390"/>
  <c r="C6389"/>
  <c r="B6389"/>
  <c r="A6389"/>
  <c r="C6388"/>
  <c r="B6388"/>
  <c r="A6388"/>
  <c r="C6387"/>
  <c r="B6387"/>
  <c r="A6387"/>
  <c r="C6386"/>
  <c r="B6386"/>
  <c r="A6386"/>
  <c r="C6385"/>
  <c r="B6385"/>
  <c r="A6385"/>
  <c r="C6384"/>
  <c r="B6384"/>
  <c r="A6384"/>
  <c r="C6383"/>
  <c r="B6383"/>
  <c r="A6383"/>
  <c r="C6382"/>
  <c r="B6382"/>
  <c r="A6382"/>
  <c r="C6381"/>
  <c r="B6381"/>
  <c r="A6381"/>
  <c r="C6380"/>
  <c r="B6380"/>
  <c r="A6380"/>
  <c r="C6379"/>
  <c r="B6379"/>
  <c r="A6379"/>
  <c r="C6378"/>
  <c r="B6378"/>
  <c r="A6378"/>
  <c r="C6377"/>
  <c r="B6377"/>
  <c r="A6377"/>
  <c r="C6376"/>
  <c r="B6376"/>
  <c r="A6376"/>
  <c r="C6375"/>
  <c r="B6375"/>
  <c r="A6375"/>
  <c r="C6374"/>
  <c r="B6374"/>
  <c r="A6374"/>
  <c r="C6373"/>
  <c r="B6373"/>
  <c r="A6373"/>
  <c r="C6372"/>
  <c r="B6372"/>
  <c r="A6372"/>
  <c r="C6371"/>
  <c r="B6371"/>
  <c r="A6371"/>
  <c r="C6370"/>
  <c r="B6370"/>
  <c r="A6370"/>
  <c r="C6369"/>
  <c r="B6369"/>
  <c r="A6369"/>
  <c r="C6368"/>
  <c r="B6368"/>
  <c r="A6368"/>
  <c r="C6367"/>
  <c r="B6367"/>
  <c r="A6367"/>
  <c r="C6366"/>
  <c r="B6366"/>
  <c r="A6366"/>
  <c r="C6365"/>
  <c r="B6365"/>
  <c r="A6365"/>
  <c r="C6364"/>
  <c r="B6364"/>
  <c r="A6364"/>
  <c r="C6363"/>
  <c r="B6363"/>
  <c r="A6363"/>
  <c r="C6362"/>
  <c r="B6362"/>
  <c r="A6362"/>
  <c r="C6361"/>
  <c r="B6361"/>
  <c r="A6361"/>
  <c r="C6360"/>
  <c r="B6360"/>
  <c r="A6360"/>
  <c r="C6359"/>
  <c r="B6359"/>
  <c r="A6359"/>
  <c r="C6358"/>
  <c r="B6358"/>
  <c r="A6358"/>
  <c r="C6357"/>
  <c r="B6357"/>
  <c r="A6357"/>
  <c r="C6356"/>
  <c r="B6356"/>
  <c r="A6356"/>
  <c r="C6355"/>
  <c r="B6355"/>
  <c r="A6355"/>
  <c r="C6354"/>
  <c r="B6354"/>
  <c r="A6354"/>
  <c r="C6353"/>
  <c r="B6353"/>
  <c r="A6353"/>
  <c r="C6352"/>
  <c r="B6352"/>
  <c r="A6352"/>
  <c r="C6351"/>
  <c r="B6351"/>
  <c r="A6351"/>
  <c r="C6350"/>
  <c r="B6350"/>
  <c r="A6350"/>
  <c r="C6349"/>
  <c r="B6349"/>
  <c r="A6349"/>
  <c r="C6348"/>
  <c r="B6348"/>
  <c r="A6348"/>
  <c r="C6347"/>
  <c r="B6347"/>
  <c r="A6347"/>
  <c r="C6346"/>
  <c r="B6346"/>
  <c r="A6346"/>
  <c r="C6345"/>
  <c r="B6345"/>
  <c r="A6345"/>
  <c r="C6344"/>
  <c r="B6344"/>
  <c r="A6344"/>
  <c r="C6343"/>
  <c r="B6343"/>
  <c r="A6343"/>
  <c r="C6342"/>
  <c r="B6342"/>
  <c r="A6342"/>
  <c r="C6341"/>
  <c r="B6341"/>
  <c r="A6341"/>
  <c r="C6340"/>
  <c r="B6340"/>
  <c r="A6340"/>
  <c r="C6339"/>
  <c r="B6339"/>
  <c r="A6339"/>
  <c r="C6338"/>
  <c r="B6338"/>
  <c r="A6338"/>
  <c r="C6337"/>
  <c r="B6337"/>
  <c r="A6337"/>
  <c r="C6336"/>
  <c r="B6336"/>
  <c r="A6336"/>
  <c r="C6335"/>
  <c r="B6335"/>
  <c r="A6335"/>
  <c r="C6334"/>
  <c r="B6334"/>
  <c r="A6334"/>
  <c r="C6333"/>
  <c r="B6333"/>
  <c r="A6333"/>
  <c r="C6332"/>
  <c r="B6332"/>
  <c r="A6332"/>
  <c r="C6331"/>
  <c r="B6331"/>
  <c r="A6331"/>
  <c r="C6330"/>
  <c r="B6330"/>
  <c r="A6330"/>
  <c r="C6329"/>
  <c r="B6329"/>
  <c r="A6329"/>
  <c r="C6328"/>
  <c r="B6328"/>
  <c r="A6328"/>
  <c r="C6327"/>
  <c r="B6327"/>
  <c r="A6327"/>
  <c r="C6326"/>
  <c r="B6326"/>
  <c r="A6326"/>
  <c r="C6325"/>
  <c r="B6325"/>
  <c r="A6325"/>
  <c r="C6324"/>
  <c r="B6324"/>
  <c r="A6324"/>
  <c r="C6323"/>
  <c r="B6323"/>
  <c r="A6323"/>
  <c r="C6322"/>
  <c r="B6322"/>
  <c r="A6322"/>
  <c r="C6321"/>
  <c r="B6321"/>
  <c r="A6321"/>
  <c r="C6320"/>
  <c r="B6320"/>
  <c r="A6320"/>
  <c r="C6319"/>
  <c r="B6319"/>
  <c r="A6319"/>
  <c r="C6318"/>
  <c r="B6318"/>
  <c r="A6318"/>
  <c r="C6317"/>
  <c r="B6317"/>
  <c r="A6317"/>
  <c r="C6316"/>
  <c r="B6316"/>
  <c r="A6316"/>
  <c r="C6315"/>
  <c r="B6315"/>
  <c r="A6315"/>
  <c r="C6314"/>
  <c r="B6314"/>
  <c r="A6314"/>
  <c r="C6313"/>
  <c r="B6313"/>
  <c r="A6313"/>
  <c r="C6312"/>
  <c r="B6312"/>
  <c r="A6312"/>
  <c r="C6311"/>
  <c r="B6311"/>
  <c r="A6311"/>
  <c r="C6310"/>
  <c r="B6310"/>
  <c r="A6310"/>
  <c r="C6309"/>
  <c r="B6309"/>
  <c r="A6309"/>
  <c r="C6308"/>
  <c r="B6308"/>
  <c r="A6308"/>
  <c r="C6307"/>
  <c r="B6307"/>
  <c r="A6307"/>
  <c r="C6306"/>
  <c r="B6306"/>
  <c r="A6306"/>
  <c r="C6305"/>
  <c r="B6305"/>
  <c r="A6305"/>
  <c r="C6304"/>
  <c r="B6304"/>
  <c r="A6304"/>
  <c r="C6303"/>
  <c r="B6303"/>
  <c r="A6303"/>
  <c r="C6302"/>
  <c r="B6302"/>
  <c r="A6302"/>
  <c r="C6301"/>
  <c r="B6301"/>
  <c r="A6301"/>
  <c r="C6300"/>
  <c r="B6300"/>
  <c r="A6300"/>
  <c r="C6299"/>
  <c r="B6299"/>
  <c r="A6299"/>
  <c r="C6298"/>
  <c r="B6298"/>
  <c r="A6298"/>
  <c r="C6297"/>
  <c r="B6297"/>
  <c r="A6297"/>
  <c r="C6296"/>
  <c r="B6296"/>
  <c r="A6296"/>
  <c r="C6295"/>
  <c r="B6295"/>
  <c r="A6295"/>
  <c r="C6294"/>
  <c r="B6294"/>
  <c r="A6294"/>
  <c r="C6293"/>
  <c r="B6293"/>
  <c r="A6293"/>
  <c r="C6292"/>
  <c r="B6292"/>
  <c r="A6292"/>
  <c r="C6291"/>
  <c r="B6291"/>
  <c r="A6291"/>
  <c r="C6290"/>
  <c r="B6290"/>
  <c r="A6290"/>
  <c r="C6289"/>
  <c r="B6289"/>
  <c r="A6289"/>
  <c r="C6288"/>
  <c r="B6288"/>
  <c r="A6288"/>
  <c r="C6287"/>
  <c r="B6287"/>
  <c r="A6287"/>
  <c r="C6286"/>
  <c r="B6286"/>
  <c r="A6286"/>
  <c r="C6285"/>
  <c r="B6285"/>
  <c r="A6285"/>
  <c r="C6284"/>
  <c r="B6284"/>
  <c r="A6284"/>
  <c r="C6283"/>
  <c r="B6283"/>
  <c r="A6283"/>
  <c r="C6282"/>
  <c r="B6282"/>
  <c r="A6282"/>
  <c r="C6281"/>
  <c r="B6281"/>
  <c r="A6281"/>
  <c r="C6280"/>
  <c r="B6280"/>
  <c r="A6280"/>
  <c r="C6279"/>
  <c r="B6279"/>
  <c r="A6279"/>
  <c r="C6278"/>
  <c r="B6278"/>
  <c r="A6278"/>
  <c r="C6277"/>
  <c r="B6277"/>
  <c r="A6277"/>
  <c r="C6276"/>
  <c r="B6276"/>
  <c r="A6276"/>
  <c r="C6275"/>
  <c r="B6275"/>
  <c r="A6275"/>
  <c r="C6274"/>
  <c r="B6274"/>
  <c r="A6274"/>
  <c r="C6273"/>
  <c r="B6273"/>
  <c r="A6273"/>
  <c r="C6272"/>
  <c r="B6272"/>
  <c r="A6272"/>
  <c r="C6271"/>
  <c r="B6271"/>
  <c r="A6271"/>
  <c r="C6270"/>
  <c r="B6270"/>
  <c r="A6270"/>
  <c r="C6269"/>
  <c r="B6269"/>
  <c r="A6269"/>
  <c r="C6268"/>
  <c r="B6268"/>
  <c r="A6268"/>
  <c r="C6267"/>
  <c r="B6267"/>
  <c r="A6267"/>
  <c r="C6266"/>
  <c r="B6266"/>
  <c r="A6266"/>
  <c r="C6265"/>
  <c r="B6265"/>
  <c r="A6265"/>
  <c r="C6264"/>
  <c r="B6264"/>
  <c r="A6264"/>
  <c r="C6263"/>
  <c r="B6263"/>
  <c r="A6263"/>
  <c r="C6262"/>
  <c r="B6262"/>
  <c r="A6262"/>
  <c r="C6261"/>
  <c r="B6261"/>
  <c r="A6261"/>
  <c r="C6260"/>
  <c r="B6260"/>
  <c r="A6260"/>
  <c r="C6259"/>
  <c r="B6259"/>
  <c r="A6259"/>
  <c r="C6258"/>
  <c r="B6258"/>
  <c r="A6258"/>
  <c r="C6257"/>
  <c r="B6257"/>
  <c r="A6257"/>
  <c r="C6256"/>
  <c r="B6256"/>
  <c r="A6256"/>
  <c r="C6255"/>
  <c r="B6255"/>
  <c r="A6255"/>
  <c r="C6254"/>
  <c r="B6254"/>
  <c r="A6254"/>
  <c r="C6253"/>
  <c r="B6253"/>
  <c r="A6253"/>
  <c r="C6252"/>
  <c r="B6252"/>
  <c r="A6252"/>
  <c r="C6251"/>
  <c r="B6251"/>
  <c r="A6251"/>
  <c r="C6250"/>
  <c r="B6250"/>
  <c r="A6250"/>
  <c r="C6249"/>
  <c r="B6249"/>
  <c r="A6249"/>
  <c r="C6248"/>
  <c r="B6248"/>
  <c r="A6248"/>
  <c r="C6247"/>
  <c r="B6247"/>
  <c r="A6247"/>
  <c r="C6246"/>
  <c r="B6246"/>
  <c r="A6246"/>
  <c r="C6245"/>
  <c r="B6245"/>
  <c r="A6245"/>
  <c r="C6244"/>
  <c r="B6244"/>
  <c r="A6244"/>
  <c r="C6243"/>
  <c r="B6243"/>
  <c r="A6243"/>
  <c r="C6242"/>
  <c r="B6242"/>
  <c r="A6242"/>
  <c r="C6241"/>
  <c r="B6241"/>
  <c r="A6241"/>
  <c r="C6240"/>
  <c r="B6240"/>
  <c r="A6240"/>
  <c r="C6239"/>
  <c r="B6239"/>
  <c r="A6239"/>
  <c r="C6238"/>
  <c r="B6238"/>
  <c r="A6238"/>
  <c r="C6237"/>
  <c r="B6237"/>
  <c r="A6237"/>
  <c r="C6236"/>
  <c r="B6236"/>
  <c r="A6236"/>
  <c r="C6235"/>
  <c r="B6235"/>
  <c r="A6235"/>
  <c r="C6234"/>
  <c r="B6234"/>
  <c r="A6234"/>
  <c r="C6233"/>
  <c r="B6233"/>
  <c r="A6233"/>
  <c r="C6232"/>
  <c r="B6232"/>
  <c r="A6232"/>
  <c r="C6231"/>
  <c r="B6231"/>
  <c r="A6231"/>
  <c r="C6230"/>
  <c r="B6230"/>
  <c r="A6230"/>
  <c r="C6229"/>
  <c r="B6229"/>
  <c r="A6229"/>
  <c r="C6228"/>
  <c r="B6228"/>
  <c r="A6228"/>
  <c r="C6227"/>
  <c r="B6227"/>
  <c r="A6227"/>
  <c r="C6226"/>
  <c r="B6226"/>
  <c r="A6226"/>
  <c r="C6225"/>
  <c r="B6225"/>
  <c r="A6225"/>
  <c r="C6224"/>
  <c r="B6224"/>
  <c r="A6224"/>
  <c r="C6223"/>
  <c r="B6223"/>
  <c r="A6223"/>
  <c r="C6222"/>
  <c r="B6222"/>
  <c r="A6222"/>
  <c r="C6221"/>
  <c r="B6221"/>
  <c r="A6221"/>
  <c r="C6220"/>
  <c r="B6220"/>
  <c r="A6220"/>
  <c r="C6219"/>
  <c r="B6219"/>
  <c r="A6219"/>
  <c r="C6218"/>
  <c r="B6218"/>
  <c r="A6218"/>
  <c r="C6217"/>
  <c r="B6217"/>
  <c r="A6217"/>
  <c r="C6216"/>
  <c r="B6216"/>
  <c r="A6216"/>
  <c r="C6215"/>
  <c r="B6215"/>
  <c r="A6215"/>
  <c r="C6214"/>
  <c r="B6214"/>
  <c r="A6214"/>
  <c r="C6213"/>
  <c r="B6213"/>
  <c r="A6213"/>
  <c r="C6212"/>
  <c r="B6212"/>
  <c r="A6212"/>
  <c r="C6211"/>
  <c r="B6211"/>
  <c r="A6211"/>
  <c r="C6210"/>
  <c r="B6210"/>
  <c r="A6210"/>
  <c r="C6209"/>
  <c r="B6209"/>
  <c r="A6209"/>
  <c r="C6208"/>
  <c r="B6208"/>
  <c r="A6208"/>
  <c r="C6207"/>
  <c r="B6207"/>
  <c r="A6207"/>
  <c r="C6206"/>
  <c r="B6206"/>
  <c r="A6206"/>
  <c r="C6205"/>
  <c r="B6205"/>
  <c r="A6205"/>
  <c r="C6204"/>
  <c r="B6204"/>
  <c r="A6204"/>
  <c r="C6203"/>
  <c r="B6203"/>
  <c r="A6203"/>
  <c r="C6202"/>
  <c r="B6202"/>
  <c r="A6202"/>
  <c r="C6201"/>
  <c r="B6201"/>
  <c r="A6201"/>
  <c r="C6200"/>
  <c r="B6200"/>
  <c r="A6200"/>
  <c r="C6199"/>
  <c r="B6199"/>
  <c r="A6199"/>
  <c r="C6198"/>
  <c r="B6198"/>
  <c r="A6198"/>
  <c r="C6197"/>
  <c r="B6197"/>
  <c r="A6197"/>
  <c r="C6196"/>
  <c r="B6196"/>
  <c r="A6196"/>
  <c r="C6195"/>
  <c r="B6195"/>
  <c r="A6195"/>
  <c r="C6194"/>
  <c r="B6194"/>
  <c r="A6194"/>
  <c r="C6193"/>
  <c r="B6193"/>
  <c r="A6193"/>
  <c r="C6192"/>
  <c r="B6192"/>
  <c r="A6192"/>
  <c r="C6191"/>
  <c r="B6191"/>
  <c r="A6191"/>
  <c r="C6190"/>
  <c r="B6190"/>
  <c r="A6190"/>
  <c r="C6189"/>
  <c r="B6189"/>
  <c r="A6189"/>
  <c r="C6188"/>
  <c r="B6188"/>
  <c r="A6188"/>
  <c r="C6187"/>
  <c r="B6187"/>
  <c r="A6187"/>
  <c r="C6186"/>
  <c r="B6186"/>
  <c r="A6186"/>
  <c r="C6185"/>
  <c r="B6185"/>
  <c r="A6185"/>
  <c r="C6184"/>
  <c r="B6184"/>
  <c r="A6184"/>
  <c r="C6183"/>
  <c r="B6183"/>
  <c r="A6183"/>
  <c r="C6182"/>
  <c r="B6182"/>
  <c r="A6182"/>
  <c r="C6181"/>
  <c r="B6181"/>
  <c r="A6181"/>
  <c r="C6180"/>
  <c r="B6180"/>
  <c r="A6180"/>
  <c r="C6179"/>
  <c r="B6179"/>
  <c r="A6179"/>
  <c r="C6178"/>
  <c r="B6178"/>
  <c r="A6178"/>
  <c r="C6177"/>
  <c r="B6177"/>
  <c r="A6177"/>
  <c r="C6176"/>
  <c r="B6176"/>
  <c r="A6176"/>
  <c r="C6175"/>
  <c r="B6175"/>
  <c r="A6175"/>
  <c r="C6174"/>
  <c r="B6174"/>
  <c r="A6174"/>
  <c r="C6173"/>
  <c r="B6173"/>
  <c r="A6173"/>
  <c r="C6172"/>
  <c r="B6172"/>
  <c r="A6172"/>
  <c r="C6171"/>
  <c r="B6171"/>
  <c r="A6171"/>
  <c r="C6170"/>
  <c r="B6170"/>
  <c r="A6170"/>
  <c r="C6169"/>
  <c r="B6169"/>
  <c r="A6169"/>
  <c r="C6168"/>
  <c r="B6168"/>
  <c r="A6168"/>
  <c r="C6167"/>
  <c r="B6167"/>
  <c r="A6167"/>
  <c r="C6166"/>
  <c r="B6166"/>
  <c r="A6166"/>
  <c r="C6165"/>
  <c r="B6165"/>
  <c r="A6165"/>
  <c r="C6164"/>
  <c r="B6164"/>
  <c r="A6164"/>
  <c r="C6163"/>
  <c r="B6163"/>
  <c r="A6163"/>
  <c r="C6162"/>
  <c r="B6162"/>
  <c r="A6162"/>
  <c r="C6161"/>
  <c r="B6161"/>
  <c r="A6161"/>
  <c r="C6160"/>
  <c r="B6160"/>
  <c r="A6160"/>
  <c r="C6159"/>
  <c r="B6159"/>
  <c r="A6159"/>
  <c r="C6158"/>
  <c r="B6158"/>
  <c r="A6158"/>
  <c r="C6157"/>
  <c r="B6157"/>
  <c r="A6157"/>
  <c r="C6156"/>
  <c r="B6156"/>
  <c r="A6156"/>
  <c r="C6155"/>
  <c r="B6155"/>
  <c r="A6155"/>
  <c r="C6154"/>
  <c r="B6154"/>
  <c r="A6154"/>
  <c r="C6153"/>
  <c r="B6153"/>
  <c r="A6153"/>
  <c r="C6152"/>
  <c r="B6152"/>
  <c r="A6152"/>
  <c r="C6151"/>
  <c r="B6151"/>
  <c r="A6151"/>
  <c r="C6150"/>
  <c r="B6150"/>
  <c r="A6150"/>
  <c r="C6149"/>
  <c r="B6149"/>
  <c r="A6149"/>
  <c r="C6148"/>
  <c r="B6148"/>
  <c r="A6148"/>
  <c r="C6147"/>
  <c r="B6147"/>
  <c r="A6147"/>
  <c r="C6146"/>
  <c r="B6146"/>
  <c r="A6146"/>
  <c r="C6145"/>
  <c r="B6145"/>
  <c r="A6145"/>
  <c r="C6144"/>
  <c r="B6144"/>
  <c r="A6144"/>
  <c r="C6143"/>
  <c r="B6143"/>
  <c r="A6143"/>
  <c r="C6142"/>
  <c r="B6142"/>
  <c r="A6142"/>
  <c r="C6141"/>
  <c r="B6141"/>
  <c r="A6141"/>
  <c r="C6140"/>
  <c r="B6140"/>
  <c r="A6140"/>
  <c r="C6139"/>
  <c r="B6139"/>
  <c r="A6139"/>
  <c r="C6138"/>
  <c r="B6138"/>
  <c r="A6138"/>
  <c r="C6137"/>
  <c r="B6137"/>
  <c r="A6137"/>
  <c r="C6136"/>
  <c r="B6136"/>
  <c r="A6136"/>
  <c r="C6135"/>
  <c r="B6135"/>
  <c r="A6135"/>
  <c r="C6134"/>
  <c r="B6134"/>
  <c r="A6134"/>
  <c r="C6133"/>
  <c r="B6133"/>
  <c r="A6133"/>
  <c r="C6132"/>
  <c r="B6132"/>
  <c r="A6132"/>
  <c r="C6131"/>
  <c r="B6131"/>
  <c r="A6131"/>
  <c r="C6130"/>
  <c r="B6130"/>
  <c r="A6130"/>
  <c r="C6129"/>
  <c r="B6129"/>
  <c r="A6129"/>
  <c r="C6128"/>
  <c r="B6128"/>
  <c r="A6128"/>
  <c r="C6127"/>
  <c r="B6127"/>
  <c r="A6127"/>
  <c r="C6126"/>
  <c r="B6126"/>
  <c r="A6126"/>
  <c r="C6125"/>
  <c r="B6125"/>
  <c r="A6125"/>
  <c r="C6124"/>
  <c r="B6124"/>
  <c r="A6124"/>
  <c r="C6123"/>
  <c r="B6123"/>
  <c r="A6123"/>
  <c r="C6122"/>
  <c r="B6122"/>
  <c r="A6122"/>
  <c r="C6121"/>
  <c r="B6121"/>
  <c r="A6121"/>
  <c r="C6120"/>
  <c r="B6120"/>
  <c r="A6120"/>
  <c r="C6119"/>
  <c r="B6119"/>
  <c r="A6119"/>
  <c r="C6118"/>
  <c r="B6118"/>
  <c r="A6118"/>
  <c r="C6117"/>
  <c r="B6117"/>
  <c r="A6117"/>
  <c r="C6116"/>
  <c r="B6116"/>
  <c r="A6116"/>
  <c r="C6115"/>
  <c r="B6115"/>
  <c r="A6115"/>
  <c r="C6114"/>
  <c r="B6114"/>
  <c r="A6114"/>
  <c r="C6113"/>
  <c r="B6113"/>
  <c r="A6113"/>
  <c r="C6112"/>
  <c r="B6112"/>
  <c r="A6112"/>
  <c r="C6111"/>
  <c r="B6111"/>
  <c r="A6111"/>
  <c r="C6110"/>
  <c r="B6110"/>
  <c r="A6110"/>
  <c r="C6109"/>
  <c r="B6109"/>
  <c r="A6109"/>
  <c r="C6108"/>
  <c r="B6108"/>
  <c r="A6108"/>
  <c r="C6107"/>
  <c r="B6107"/>
  <c r="A6107"/>
  <c r="C6106"/>
  <c r="B6106"/>
  <c r="A6106"/>
  <c r="C6105"/>
  <c r="B6105"/>
  <c r="A6105"/>
  <c r="C6104"/>
  <c r="B6104"/>
  <c r="A6104"/>
  <c r="C6103"/>
  <c r="B6103"/>
  <c r="A6103"/>
  <c r="C6102"/>
  <c r="B6102"/>
  <c r="A6102"/>
  <c r="C6101"/>
  <c r="B6101"/>
  <c r="A6101"/>
  <c r="C6100"/>
  <c r="B6100"/>
  <c r="A6100"/>
  <c r="C6099"/>
  <c r="B6099"/>
  <c r="A6099"/>
  <c r="C6098"/>
  <c r="B6098"/>
  <c r="A6098"/>
  <c r="C6097"/>
  <c r="B6097"/>
  <c r="A6097"/>
  <c r="C6096"/>
  <c r="B6096"/>
  <c r="A6096"/>
  <c r="C6095"/>
  <c r="B6095"/>
  <c r="A6095"/>
  <c r="C6094"/>
  <c r="B6094"/>
  <c r="A6094"/>
  <c r="C6093"/>
  <c r="B6093"/>
  <c r="A6093"/>
  <c r="C6092"/>
  <c r="B6092"/>
  <c r="A6092"/>
  <c r="C6091"/>
  <c r="B6091"/>
  <c r="A6091"/>
  <c r="C6090"/>
  <c r="B6090"/>
  <c r="A6090"/>
  <c r="C6089"/>
  <c r="B6089"/>
  <c r="A6089"/>
  <c r="C6088"/>
  <c r="B6088"/>
  <c r="A6088"/>
  <c r="C6087"/>
  <c r="B6087"/>
  <c r="A6087"/>
  <c r="C6086"/>
  <c r="B6086"/>
  <c r="A6086"/>
  <c r="C6085"/>
  <c r="B6085"/>
  <c r="A6085"/>
  <c r="C6084"/>
  <c r="B6084"/>
  <c r="A6084"/>
  <c r="C6083"/>
  <c r="B6083"/>
  <c r="A6083"/>
  <c r="C6082"/>
  <c r="B6082"/>
  <c r="A6082"/>
  <c r="C6081"/>
  <c r="B6081"/>
  <c r="A6081"/>
  <c r="C6080"/>
  <c r="B6080"/>
  <c r="A6080"/>
  <c r="C6079"/>
  <c r="B6079"/>
  <c r="A6079"/>
  <c r="C6078"/>
  <c r="B6078"/>
  <c r="A6078"/>
  <c r="C6077"/>
  <c r="B6077"/>
  <c r="A6077"/>
  <c r="C6076"/>
  <c r="B6076"/>
  <c r="A6076"/>
  <c r="C6075"/>
  <c r="B6075"/>
  <c r="A6075"/>
  <c r="C6074"/>
  <c r="B6074"/>
  <c r="A6074"/>
  <c r="C6073"/>
  <c r="B6073"/>
  <c r="A6073"/>
  <c r="C6072"/>
  <c r="B6072"/>
  <c r="A6072"/>
  <c r="C6071"/>
  <c r="B6071"/>
  <c r="A6071"/>
  <c r="C6070"/>
  <c r="B6070"/>
  <c r="A6070"/>
  <c r="C6069"/>
  <c r="B6069"/>
  <c r="A6069"/>
  <c r="C6068"/>
  <c r="B6068"/>
  <c r="A6068"/>
  <c r="C6067"/>
  <c r="B6067"/>
  <c r="A6067"/>
  <c r="C6066"/>
  <c r="B6066"/>
  <c r="A6066"/>
  <c r="C6065"/>
  <c r="B6065"/>
  <c r="A6065"/>
  <c r="C6064"/>
  <c r="B6064"/>
  <c r="A6064"/>
  <c r="C6063"/>
  <c r="B6063"/>
  <c r="A6063"/>
  <c r="C6062"/>
  <c r="B6062"/>
  <c r="A6062"/>
  <c r="C6061"/>
  <c r="B6061"/>
  <c r="A6061"/>
  <c r="C6060"/>
  <c r="B6060"/>
  <c r="A6060"/>
  <c r="C6059"/>
  <c r="B6059"/>
  <c r="A6059"/>
  <c r="C6058"/>
  <c r="B6058"/>
  <c r="A6058"/>
  <c r="C6057"/>
  <c r="B6057"/>
  <c r="A6057"/>
  <c r="C6056"/>
  <c r="B6056"/>
  <c r="A6056"/>
  <c r="C6055"/>
  <c r="B6055"/>
  <c r="A6055"/>
  <c r="C6054"/>
  <c r="B6054"/>
  <c r="A6054"/>
  <c r="C6053"/>
  <c r="B6053"/>
  <c r="A6053"/>
  <c r="C6052"/>
  <c r="B6052"/>
  <c r="A6052"/>
  <c r="C6051"/>
  <c r="B6051"/>
  <c r="A6051"/>
  <c r="C6050"/>
  <c r="B6050"/>
  <c r="A6050"/>
  <c r="C6049"/>
  <c r="B6049"/>
  <c r="A6049"/>
  <c r="C6048"/>
  <c r="B6048"/>
  <c r="A6048"/>
  <c r="C6047"/>
  <c r="B6047"/>
  <c r="A6047"/>
  <c r="C6046"/>
  <c r="B6046"/>
  <c r="A6046"/>
  <c r="C6045"/>
  <c r="B6045"/>
  <c r="A6045"/>
  <c r="C6044"/>
  <c r="B6044"/>
  <c r="A6044"/>
  <c r="C6043"/>
  <c r="B6043"/>
  <c r="A6043"/>
  <c r="C6042"/>
  <c r="B6042"/>
  <c r="A6042"/>
  <c r="C6041"/>
  <c r="B6041"/>
  <c r="A6041"/>
  <c r="C6040"/>
  <c r="B6040"/>
  <c r="A6040"/>
  <c r="C6039"/>
  <c r="B6039"/>
  <c r="A6039"/>
  <c r="C6038"/>
  <c r="B6038"/>
  <c r="A6038"/>
  <c r="C6037"/>
  <c r="B6037"/>
  <c r="A6037"/>
  <c r="C6036"/>
  <c r="B6036"/>
  <c r="A6036"/>
  <c r="C6035"/>
  <c r="B6035"/>
  <c r="A6035"/>
  <c r="C6034"/>
  <c r="B6034"/>
  <c r="A6034"/>
  <c r="C6033"/>
  <c r="B6033"/>
  <c r="A6033"/>
  <c r="C6032"/>
  <c r="B6032"/>
  <c r="A6032"/>
  <c r="C6031"/>
  <c r="B6031"/>
  <c r="A6031"/>
  <c r="C6030"/>
  <c r="B6030"/>
  <c r="A6030"/>
  <c r="C6029"/>
  <c r="B6029"/>
  <c r="A6029"/>
  <c r="C6028"/>
  <c r="B6028"/>
  <c r="A6028"/>
  <c r="C6027"/>
  <c r="B6027"/>
  <c r="A6027"/>
  <c r="C6026"/>
  <c r="B6026"/>
  <c r="A6026"/>
  <c r="C6025"/>
  <c r="B6025"/>
  <c r="A6025"/>
  <c r="C6024"/>
  <c r="B6024"/>
  <c r="A6024"/>
  <c r="C6023"/>
  <c r="B6023"/>
  <c r="A6023"/>
  <c r="C6022"/>
  <c r="B6022"/>
  <c r="A6022"/>
  <c r="C6021"/>
  <c r="B6021"/>
  <c r="A6021"/>
  <c r="C6020"/>
  <c r="B6020"/>
  <c r="A6020"/>
  <c r="C6019"/>
  <c r="B6019"/>
  <c r="A6019"/>
  <c r="C6018"/>
  <c r="B6018"/>
  <c r="A6018"/>
  <c r="C6017"/>
  <c r="B6017"/>
  <c r="A6017"/>
  <c r="C6016"/>
  <c r="B6016"/>
  <c r="A6016"/>
  <c r="C6015"/>
  <c r="B6015"/>
  <c r="A6015"/>
  <c r="C6014"/>
  <c r="B6014"/>
  <c r="A6014"/>
  <c r="C6013"/>
  <c r="B6013"/>
  <c r="A6013"/>
  <c r="C6012"/>
  <c r="B6012"/>
  <c r="A6012"/>
  <c r="C6011"/>
  <c r="B6011"/>
  <c r="A6011"/>
  <c r="C6010"/>
  <c r="B6010"/>
  <c r="A6010"/>
  <c r="C6009"/>
  <c r="B6009"/>
  <c r="A6009"/>
  <c r="C6008"/>
  <c r="B6008"/>
  <c r="A6008"/>
  <c r="C6007"/>
  <c r="B6007"/>
  <c r="A6007"/>
  <c r="C6006"/>
  <c r="B6006"/>
  <c r="A6006"/>
  <c r="C6005"/>
  <c r="B6005"/>
  <c r="A6005"/>
  <c r="C6004"/>
  <c r="B6004"/>
  <c r="A6004"/>
  <c r="C6003"/>
  <c r="B6003"/>
  <c r="A6003"/>
  <c r="C6002"/>
  <c r="B6002"/>
  <c r="A6002"/>
  <c r="C6001"/>
  <c r="B6001"/>
  <c r="A6001"/>
  <c r="C6000"/>
  <c r="B6000"/>
  <c r="A6000"/>
  <c r="C5999"/>
  <c r="B5999"/>
  <c r="A5999"/>
  <c r="C5998"/>
  <c r="B5998"/>
  <c r="A5998"/>
  <c r="C5997"/>
  <c r="B5997"/>
  <c r="A5997"/>
  <c r="C5996"/>
  <c r="B5996"/>
  <c r="A5996"/>
  <c r="C5995"/>
  <c r="B5995"/>
  <c r="A5995"/>
  <c r="C5994"/>
  <c r="B5994"/>
  <c r="A5994"/>
  <c r="C5993"/>
  <c r="B5993"/>
  <c r="A5993"/>
  <c r="C5992"/>
  <c r="B5992"/>
  <c r="A5992"/>
  <c r="C5991"/>
  <c r="B5991"/>
  <c r="A5991"/>
  <c r="C5990"/>
  <c r="B5990"/>
  <c r="A5990"/>
  <c r="C5989"/>
  <c r="B5989"/>
  <c r="A5989"/>
  <c r="C5988"/>
  <c r="B5988"/>
  <c r="A5988"/>
  <c r="C5987"/>
  <c r="B5987"/>
  <c r="A5987"/>
  <c r="C5986"/>
  <c r="B5986"/>
  <c r="A5986"/>
  <c r="C5985"/>
  <c r="B5985"/>
  <c r="A5985"/>
  <c r="C5984"/>
  <c r="B5984"/>
  <c r="A5984"/>
  <c r="C5983"/>
  <c r="B5983"/>
  <c r="A5983"/>
  <c r="C5982"/>
  <c r="B5982"/>
  <c r="A5982"/>
  <c r="C5981"/>
  <c r="B5981"/>
  <c r="A5981"/>
  <c r="C5980"/>
  <c r="B5980"/>
  <c r="A5980"/>
  <c r="C5979"/>
  <c r="B5979"/>
  <c r="A5979"/>
  <c r="C5978"/>
  <c r="B5978"/>
  <c r="A5978"/>
  <c r="C5977"/>
  <c r="B5977"/>
  <c r="A5977"/>
  <c r="C5976"/>
  <c r="B5976"/>
  <c r="A5976"/>
  <c r="C5975"/>
  <c r="B5975"/>
  <c r="A5975"/>
  <c r="C5974"/>
  <c r="B5974"/>
  <c r="A5974"/>
  <c r="C5973"/>
  <c r="B5973"/>
  <c r="A5973"/>
  <c r="C5972"/>
  <c r="B5972"/>
  <c r="A5972"/>
  <c r="C5971"/>
  <c r="B5971"/>
  <c r="A5971"/>
  <c r="C5970"/>
  <c r="B5970"/>
  <c r="A5970"/>
  <c r="C5969"/>
  <c r="B5969"/>
  <c r="A5969"/>
  <c r="C5968"/>
  <c r="B5968"/>
  <c r="A5968"/>
  <c r="C5967"/>
  <c r="B5967"/>
  <c r="A5967"/>
  <c r="C5966"/>
  <c r="B5966"/>
  <c r="A5966"/>
  <c r="C5965"/>
  <c r="B5965"/>
  <c r="A5965"/>
  <c r="C5964"/>
  <c r="B5964"/>
  <c r="A5964"/>
  <c r="C5963"/>
  <c r="B5963"/>
  <c r="A5963"/>
  <c r="C5962"/>
  <c r="B5962"/>
  <c r="A5962"/>
  <c r="C5961"/>
  <c r="B5961"/>
  <c r="A5961"/>
  <c r="C5960"/>
  <c r="B5960"/>
  <c r="A5960"/>
  <c r="C5959"/>
  <c r="B5959"/>
  <c r="A5959"/>
  <c r="C5958"/>
  <c r="B5958"/>
  <c r="A5958"/>
  <c r="C5957"/>
  <c r="B5957"/>
  <c r="A5957"/>
  <c r="C5956"/>
  <c r="B5956"/>
  <c r="A5956"/>
  <c r="C5955"/>
  <c r="B5955"/>
  <c r="A5955"/>
  <c r="C5954"/>
  <c r="B5954"/>
  <c r="A5954"/>
  <c r="C5953"/>
  <c r="B5953"/>
  <c r="A5953"/>
  <c r="C5952"/>
  <c r="B5952"/>
  <c r="A5952"/>
  <c r="C5951"/>
  <c r="B5951"/>
  <c r="A5951"/>
  <c r="C5950"/>
  <c r="B5950"/>
  <c r="A5950"/>
  <c r="C5949"/>
  <c r="B5949"/>
  <c r="A5949"/>
  <c r="C5948"/>
  <c r="B5948"/>
  <c r="A5948"/>
  <c r="C5947"/>
  <c r="B5947"/>
  <c r="A5947"/>
  <c r="C5946"/>
  <c r="B5946"/>
  <c r="A5946"/>
  <c r="C5945"/>
  <c r="B5945"/>
  <c r="A5945"/>
  <c r="C5944"/>
  <c r="B5944"/>
  <c r="A5944"/>
  <c r="C5943"/>
  <c r="B5943"/>
  <c r="A5943"/>
  <c r="C5942"/>
  <c r="B5942"/>
  <c r="A5942"/>
  <c r="C5941"/>
  <c r="B5941"/>
  <c r="A5941"/>
  <c r="C5940"/>
  <c r="B5940"/>
  <c r="A5940"/>
  <c r="C5939"/>
  <c r="B5939"/>
  <c r="A5939"/>
  <c r="C5938"/>
  <c r="B5938"/>
  <c r="A5938"/>
  <c r="C5937"/>
  <c r="B5937"/>
  <c r="A5937"/>
  <c r="C5936"/>
  <c r="B5936"/>
  <c r="A5936"/>
  <c r="C5935"/>
  <c r="B5935"/>
  <c r="A5935"/>
  <c r="C5934"/>
  <c r="B5934"/>
  <c r="A5934"/>
  <c r="C5933"/>
  <c r="B5933"/>
  <c r="A5933"/>
  <c r="C5932"/>
  <c r="B5932"/>
  <c r="A5932"/>
  <c r="C5931"/>
  <c r="B5931"/>
  <c r="A5931"/>
  <c r="C5930"/>
  <c r="B5930"/>
  <c r="A5930"/>
  <c r="C5929"/>
  <c r="B5929"/>
  <c r="A5929"/>
  <c r="C5928"/>
  <c r="B5928"/>
  <c r="A5928"/>
  <c r="C5927"/>
  <c r="B5927"/>
  <c r="A5927"/>
  <c r="C5926"/>
  <c r="B5926"/>
  <c r="A5926"/>
  <c r="C5925"/>
  <c r="B5925"/>
  <c r="A5925"/>
  <c r="C5924"/>
  <c r="B5924"/>
  <c r="A5924"/>
  <c r="C5923"/>
  <c r="B5923"/>
  <c r="A5923"/>
  <c r="C5922"/>
  <c r="B5922"/>
  <c r="A5922"/>
  <c r="C5921"/>
  <c r="B5921"/>
  <c r="A5921"/>
  <c r="C5920"/>
  <c r="B5920"/>
  <c r="A5920"/>
  <c r="C5919"/>
  <c r="B5919"/>
  <c r="A5919"/>
  <c r="C5918"/>
  <c r="B5918"/>
  <c r="A5918"/>
  <c r="C5917"/>
  <c r="B5917"/>
  <c r="A5917"/>
  <c r="C5916"/>
  <c r="B5916"/>
  <c r="A5916"/>
  <c r="C5915"/>
  <c r="B5915"/>
  <c r="A5915"/>
  <c r="C5914"/>
  <c r="B5914"/>
  <c r="A5914"/>
  <c r="C5913"/>
  <c r="B5913"/>
  <c r="A5913"/>
  <c r="C5912"/>
  <c r="B5912"/>
  <c r="A5912"/>
  <c r="C5911"/>
  <c r="B5911"/>
  <c r="A5911"/>
  <c r="C5910"/>
  <c r="B5910"/>
  <c r="A5910"/>
  <c r="C5909"/>
  <c r="B5909"/>
  <c r="A5909"/>
  <c r="C5908"/>
  <c r="B5908"/>
  <c r="A5908"/>
  <c r="C5907"/>
  <c r="B5907"/>
  <c r="A5907"/>
  <c r="C5906"/>
  <c r="B5906"/>
  <c r="A5906"/>
  <c r="C5905"/>
  <c r="B5905"/>
  <c r="A5905"/>
  <c r="C5904"/>
  <c r="B5904"/>
  <c r="A5904"/>
  <c r="C5903"/>
  <c r="B5903"/>
  <c r="A5903"/>
  <c r="C5902"/>
  <c r="B5902"/>
  <c r="A5902"/>
  <c r="C5901"/>
  <c r="B5901"/>
  <c r="A5901"/>
  <c r="C5900"/>
  <c r="B5900"/>
  <c r="A5900"/>
  <c r="C5899"/>
  <c r="B5899"/>
  <c r="A5899"/>
  <c r="C5898"/>
  <c r="B5898"/>
  <c r="A5898"/>
  <c r="C5897"/>
  <c r="B5897"/>
  <c r="A5897"/>
  <c r="C5896"/>
  <c r="B5896"/>
  <c r="A5896"/>
  <c r="C5895"/>
  <c r="B5895"/>
  <c r="A5895"/>
  <c r="C5894"/>
  <c r="B5894"/>
  <c r="A5894"/>
  <c r="C5893"/>
  <c r="B5893"/>
  <c r="A5893"/>
  <c r="C5892"/>
  <c r="B5892"/>
  <c r="A5892"/>
  <c r="C5891"/>
  <c r="B5891"/>
  <c r="A5891"/>
  <c r="C5890"/>
  <c r="B5890"/>
  <c r="A5890"/>
  <c r="C5889"/>
  <c r="B5889"/>
  <c r="A5889"/>
  <c r="C5888"/>
  <c r="B5888"/>
  <c r="A5888"/>
  <c r="C5887"/>
  <c r="B5887"/>
  <c r="A5887"/>
  <c r="C5886"/>
  <c r="B5886"/>
  <c r="A5886"/>
  <c r="C5885"/>
  <c r="B5885"/>
  <c r="A5885"/>
  <c r="C5884"/>
  <c r="B5884"/>
  <c r="A5884"/>
  <c r="C5883"/>
  <c r="B5883"/>
  <c r="A5883"/>
  <c r="C5882"/>
  <c r="B5882"/>
  <c r="A5882"/>
  <c r="C5881"/>
  <c r="B5881"/>
  <c r="A5881"/>
  <c r="C5880"/>
  <c r="B5880"/>
  <c r="A5880"/>
  <c r="C5879"/>
  <c r="B5879"/>
  <c r="A5879"/>
  <c r="C5878"/>
  <c r="B5878"/>
  <c r="A5878"/>
  <c r="C5877"/>
  <c r="B5877"/>
  <c r="A5877"/>
  <c r="C5876"/>
  <c r="B5876"/>
  <c r="A5876"/>
  <c r="C5875"/>
  <c r="B5875"/>
  <c r="A5875"/>
  <c r="C5874"/>
  <c r="B5874"/>
  <c r="A5874"/>
  <c r="C5873"/>
  <c r="B5873"/>
  <c r="A5873"/>
  <c r="C5872"/>
  <c r="B5872"/>
  <c r="A5872"/>
  <c r="C5871"/>
  <c r="B5871"/>
  <c r="A5871"/>
  <c r="C5870"/>
  <c r="B5870"/>
  <c r="A5870"/>
  <c r="C5869"/>
  <c r="B5869"/>
  <c r="A5869"/>
  <c r="C5868"/>
  <c r="B5868"/>
  <c r="A5868"/>
  <c r="C5867"/>
  <c r="B5867"/>
  <c r="A5867"/>
  <c r="C5866"/>
  <c r="B5866"/>
  <c r="A5866"/>
  <c r="C5865"/>
  <c r="B5865"/>
  <c r="A5865"/>
  <c r="C5864"/>
  <c r="B5864"/>
  <c r="A5864"/>
  <c r="C5863"/>
  <c r="B5863"/>
  <c r="A5863"/>
  <c r="C5862"/>
  <c r="B5862"/>
  <c r="A5862"/>
  <c r="C5861"/>
  <c r="B5861"/>
  <c r="A5861"/>
  <c r="C5860"/>
  <c r="B5860"/>
  <c r="A5860"/>
  <c r="C5859"/>
  <c r="B5859"/>
  <c r="A5859"/>
  <c r="C5858"/>
  <c r="B5858"/>
  <c r="A5858"/>
  <c r="C5857"/>
  <c r="B5857"/>
  <c r="A5857"/>
  <c r="C5856"/>
  <c r="B5856"/>
  <c r="A5856"/>
  <c r="C5855"/>
  <c r="B5855"/>
  <c r="A5855"/>
  <c r="C5854"/>
  <c r="B5854"/>
  <c r="A5854"/>
  <c r="C5853"/>
  <c r="B5853"/>
  <c r="A5853"/>
  <c r="C5852"/>
  <c r="B5852"/>
  <c r="A5852"/>
  <c r="C5851"/>
  <c r="B5851"/>
  <c r="A5851"/>
  <c r="C5850"/>
  <c r="B5850"/>
  <c r="A5850"/>
  <c r="C5849"/>
  <c r="B5849"/>
  <c r="A5849"/>
  <c r="C5848"/>
  <c r="B5848"/>
  <c r="A5848"/>
  <c r="C5847"/>
  <c r="B5847"/>
  <c r="A5847"/>
  <c r="C5846"/>
  <c r="B5846"/>
  <c r="A5846"/>
  <c r="C5845"/>
  <c r="B5845"/>
  <c r="A5845"/>
  <c r="C5844"/>
  <c r="B5844"/>
  <c r="A5844"/>
  <c r="C5843"/>
  <c r="B5843"/>
  <c r="A5843"/>
  <c r="C5842"/>
  <c r="B5842"/>
  <c r="A5842"/>
  <c r="C5841"/>
  <c r="B5841"/>
  <c r="A5841"/>
  <c r="C5840"/>
  <c r="B5840"/>
  <c r="A5840"/>
  <c r="C5839"/>
  <c r="B5839"/>
  <c r="A5839"/>
  <c r="C5838"/>
  <c r="B5838"/>
  <c r="A5838"/>
  <c r="C5837"/>
  <c r="B5837"/>
  <c r="A5837"/>
  <c r="C5836"/>
  <c r="B5836"/>
  <c r="A5836"/>
  <c r="C5835"/>
  <c r="B5835"/>
  <c r="A5835"/>
  <c r="C5834"/>
  <c r="B5834"/>
  <c r="A5834"/>
  <c r="C5833"/>
  <c r="B5833"/>
  <c r="A5833"/>
  <c r="C5832"/>
  <c r="B5832"/>
  <c r="A5832"/>
  <c r="C5831"/>
  <c r="B5831"/>
  <c r="A5831"/>
  <c r="C5830"/>
  <c r="B5830"/>
  <c r="A5830"/>
  <c r="C5829"/>
  <c r="B5829"/>
  <c r="A5829"/>
  <c r="C5828"/>
  <c r="B5828"/>
  <c r="A5828"/>
  <c r="C5827"/>
  <c r="B5827"/>
  <c r="A5827"/>
  <c r="C5826"/>
  <c r="B5826"/>
  <c r="A5826"/>
  <c r="C5825"/>
  <c r="B5825"/>
  <c r="A5825"/>
  <c r="C5824"/>
  <c r="B5824"/>
  <c r="A5824"/>
  <c r="C5823"/>
  <c r="B5823"/>
  <c r="A5823"/>
  <c r="C5822"/>
  <c r="B5822"/>
  <c r="A5822"/>
  <c r="C5821"/>
  <c r="B5821"/>
  <c r="A5821"/>
  <c r="C5820"/>
  <c r="B5820"/>
  <c r="A5820"/>
  <c r="C5819"/>
  <c r="B5819"/>
  <c r="A5819"/>
  <c r="C5818"/>
  <c r="B5818"/>
  <c r="A5818"/>
  <c r="C5817"/>
  <c r="B5817"/>
  <c r="A5817"/>
  <c r="C5816"/>
  <c r="B5816"/>
  <c r="A5816"/>
  <c r="C5815"/>
  <c r="B5815"/>
  <c r="A5815"/>
  <c r="C5814"/>
  <c r="B5814"/>
  <c r="A5814"/>
  <c r="C5813"/>
  <c r="B5813"/>
  <c r="A5813"/>
  <c r="C5812"/>
  <c r="B5812"/>
  <c r="A5812"/>
  <c r="C5811"/>
  <c r="B5811"/>
  <c r="A5811"/>
  <c r="C5810"/>
  <c r="B5810"/>
  <c r="A5810"/>
  <c r="C5809"/>
  <c r="B5809"/>
  <c r="A5809"/>
  <c r="C5808"/>
  <c r="B5808"/>
  <c r="A5808"/>
  <c r="C5807"/>
  <c r="B5807"/>
  <c r="A5807"/>
  <c r="C5806"/>
  <c r="B5806"/>
  <c r="A5806"/>
  <c r="C5805"/>
  <c r="B5805"/>
  <c r="A5805"/>
  <c r="C5804"/>
  <c r="B5804"/>
  <c r="A5804"/>
  <c r="C5803"/>
  <c r="B5803"/>
  <c r="A5803"/>
  <c r="C5802"/>
  <c r="B5802"/>
  <c r="A5802"/>
  <c r="C5801"/>
  <c r="B5801"/>
  <c r="A5801"/>
  <c r="C5800"/>
  <c r="B5800"/>
  <c r="A5800"/>
  <c r="C5799"/>
  <c r="B5799"/>
  <c r="A5799"/>
  <c r="C5798"/>
  <c r="B5798"/>
  <c r="A5798"/>
  <c r="C5797"/>
  <c r="B5797"/>
  <c r="A5797"/>
  <c r="C5796"/>
  <c r="B5796"/>
  <c r="A5796"/>
  <c r="C5795"/>
  <c r="B5795"/>
  <c r="A5795"/>
  <c r="C5794"/>
  <c r="B5794"/>
  <c r="A5794"/>
  <c r="C5793"/>
  <c r="B5793"/>
  <c r="A5793"/>
  <c r="C5792"/>
  <c r="B5792"/>
  <c r="A5792"/>
  <c r="C5791"/>
  <c r="B5791"/>
  <c r="A5791"/>
  <c r="C5790"/>
  <c r="B5790"/>
  <c r="A5790"/>
  <c r="C5789"/>
  <c r="B5789"/>
  <c r="A5789"/>
  <c r="C5788"/>
  <c r="B5788"/>
  <c r="A5788"/>
  <c r="C5787"/>
  <c r="B5787"/>
  <c r="A5787"/>
  <c r="C5786"/>
  <c r="B5786"/>
  <c r="A5786"/>
  <c r="C5785"/>
  <c r="B5785"/>
  <c r="A5785"/>
  <c r="C5784"/>
  <c r="B5784"/>
  <c r="A5784"/>
  <c r="C5783"/>
  <c r="B5783"/>
  <c r="A5783"/>
  <c r="C5782"/>
  <c r="B5782"/>
  <c r="A5782"/>
  <c r="C5781"/>
  <c r="B5781"/>
  <c r="A5781"/>
  <c r="C5780"/>
  <c r="B5780"/>
  <c r="A5780"/>
  <c r="C5779"/>
  <c r="B5779"/>
  <c r="A5779"/>
  <c r="C5778"/>
  <c r="B5778"/>
  <c r="A5778"/>
  <c r="C5777"/>
  <c r="B5777"/>
  <c r="A5777"/>
  <c r="C5776"/>
  <c r="B5776"/>
  <c r="A5776"/>
  <c r="C5775"/>
  <c r="B5775"/>
  <c r="A5775"/>
  <c r="C5774"/>
  <c r="B5774"/>
  <c r="A5774"/>
  <c r="C5773"/>
  <c r="B5773"/>
  <c r="A5773"/>
  <c r="C5772"/>
  <c r="B5772"/>
  <c r="A5772"/>
  <c r="C5771"/>
  <c r="B5771"/>
  <c r="A5771"/>
  <c r="C5770"/>
  <c r="B5770"/>
  <c r="A5770"/>
  <c r="C5769"/>
  <c r="B5769"/>
  <c r="A5769"/>
  <c r="C5768"/>
  <c r="B5768"/>
  <c r="A5768"/>
  <c r="C5767"/>
  <c r="B5767"/>
  <c r="A5767"/>
  <c r="C5766"/>
  <c r="B5766"/>
  <c r="A5766"/>
  <c r="C5765"/>
  <c r="B5765"/>
  <c r="A5765"/>
  <c r="C5764"/>
  <c r="B5764"/>
  <c r="A5764"/>
  <c r="C5763"/>
  <c r="B5763"/>
  <c r="A5763"/>
  <c r="C5762"/>
  <c r="B5762"/>
  <c r="A5762"/>
  <c r="C5761"/>
  <c r="B5761"/>
  <c r="A5761"/>
  <c r="C5760"/>
  <c r="B5760"/>
  <c r="A5760"/>
  <c r="C5759"/>
  <c r="B5759"/>
  <c r="A5759"/>
  <c r="C5758"/>
  <c r="B5758"/>
  <c r="A5758"/>
  <c r="C5757"/>
  <c r="B5757"/>
  <c r="A5757"/>
  <c r="C5756"/>
  <c r="B5756"/>
  <c r="A5756"/>
  <c r="C5755"/>
  <c r="B5755"/>
  <c r="A5755"/>
  <c r="C5754"/>
  <c r="B5754"/>
  <c r="A5754"/>
  <c r="C5753"/>
  <c r="B5753"/>
  <c r="A5753"/>
  <c r="C5752"/>
  <c r="B5752"/>
  <c r="A5752"/>
  <c r="C5751"/>
  <c r="B5751"/>
  <c r="A5751"/>
  <c r="C5750"/>
  <c r="B5750"/>
  <c r="A5750"/>
  <c r="C5749"/>
  <c r="B5749"/>
  <c r="A5749"/>
  <c r="C5748"/>
  <c r="B5748"/>
  <c r="A5748"/>
  <c r="C5747"/>
  <c r="B5747"/>
  <c r="A5747"/>
  <c r="C5746"/>
  <c r="B5746"/>
  <c r="A5746"/>
  <c r="C5745"/>
  <c r="B5745"/>
  <c r="A5745"/>
  <c r="C5744"/>
  <c r="B5744"/>
  <c r="A5744"/>
  <c r="C5743"/>
  <c r="B5743"/>
  <c r="A5743"/>
  <c r="C5742"/>
  <c r="B5742"/>
  <c r="A5742"/>
  <c r="C5741"/>
  <c r="B5741"/>
  <c r="A5741"/>
  <c r="C5740"/>
  <c r="B5740"/>
  <c r="A5740"/>
  <c r="C5739"/>
  <c r="B5739"/>
  <c r="A5739"/>
  <c r="C5738"/>
  <c r="B5738"/>
  <c r="A5738"/>
  <c r="C5737"/>
  <c r="B5737"/>
  <c r="A5737"/>
  <c r="C5736"/>
  <c r="B5736"/>
  <c r="A5736"/>
  <c r="C5735"/>
  <c r="B5735"/>
  <c r="A5735"/>
  <c r="C5734"/>
  <c r="B5734"/>
  <c r="A5734"/>
  <c r="C5733"/>
  <c r="B5733"/>
  <c r="A5733"/>
  <c r="C5732"/>
  <c r="B5732"/>
  <c r="A5732"/>
  <c r="C5731"/>
  <c r="B5731"/>
  <c r="A5731"/>
  <c r="C5730"/>
  <c r="B5730"/>
  <c r="A5730"/>
  <c r="C5729"/>
  <c r="B5729"/>
  <c r="A5729"/>
  <c r="C5728"/>
  <c r="B5728"/>
  <c r="A5728"/>
  <c r="C5727"/>
  <c r="B5727"/>
  <c r="A5727"/>
  <c r="C5726"/>
  <c r="B5726"/>
  <c r="A5726"/>
  <c r="C5725"/>
  <c r="B5725"/>
  <c r="A5725"/>
  <c r="C5724"/>
  <c r="B5724"/>
  <c r="A5724"/>
  <c r="C5723"/>
  <c r="B5723"/>
  <c r="A5723"/>
  <c r="C5722"/>
  <c r="B5722"/>
  <c r="A5722"/>
  <c r="C5721"/>
  <c r="B5721"/>
  <c r="A5721"/>
  <c r="C5720"/>
  <c r="B5720"/>
  <c r="A5720"/>
  <c r="C5719"/>
  <c r="B5719"/>
  <c r="A5719"/>
  <c r="C5718"/>
  <c r="B5718"/>
  <c r="A5718"/>
  <c r="C5717"/>
  <c r="B5717"/>
  <c r="A5717"/>
  <c r="C5716"/>
  <c r="B5716"/>
  <c r="A5716"/>
  <c r="C5715"/>
  <c r="B5715"/>
  <c r="A5715"/>
  <c r="C5714"/>
  <c r="B5714"/>
  <c r="A5714"/>
  <c r="C5713"/>
  <c r="B5713"/>
  <c r="A5713"/>
  <c r="C5712"/>
  <c r="B5712"/>
  <c r="A5712"/>
  <c r="C5711"/>
  <c r="B5711"/>
  <c r="A5711"/>
  <c r="C5710"/>
  <c r="B5710"/>
  <c r="A5710"/>
  <c r="C5709"/>
  <c r="B5709"/>
  <c r="A5709"/>
  <c r="C5708"/>
  <c r="B5708"/>
  <c r="A5708"/>
  <c r="C5707"/>
  <c r="B5707"/>
  <c r="A5707"/>
  <c r="C5706"/>
  <c r="B5706"/>
  <c r="A5706"/>
  <c r="C5705"/>
  <c r="B5705"/>
  <c r="A5705"/>
  <c r="C5704"/>
  <c r="B5704"/>
  <c r="A5704"/>
  <c r="C5703"/>
  <c r="B5703"/>
  <c r="A5703"/>
  <c r="C5702"/>
  <c r="B5702"/>
  <c r="A5702"/>
  <c r="C5701"/>
  <c r="B5701"/>
  <c r="A5701"/>
  <c r="C5700"/>
  <c r="B5700"/>
  <c r="A5700"/>
  <c r="C5699"/>
  <c r="B5699"/>
  <c r="A5699"/>
  <c r="C5698"/>
  <c r="B5698"/>
  <c r="A5698"/>
  <c r="C5697"/>
  <c r="B5697"/>
  <c r="A5697"/>
  <c r="C5696"/>
  <c r="B5696"/>
  <c r="A5696"/>
  <c r="C5695"/>
  <c r="B5695"/>
  <c r="A5695"/>
  <c r="C5694"/>
  <c r="B5694"/>
  <c r="A5694"/>
  <c r="C5693"/>
  <c r="B5693"/>
  <c r="A5693"/>
  <c r="C5692"/>
  <c r="B5692"/>
  <c r="A5692"/>
  <c r="C5691"/>
  <c r="B5691"/>
  <c r="A5691"/>
  <c r="C5690"/>
  <c r="B5690"/>
  <c r="A5690"/>
  <c r="C5689"/>
  <c r="B5689"/>
  <c r="A5689"/>
  <c r="C5688"/>
  <c r="B5688"/>
  <c r="A5688"/>
  <c r="C5687"/>
  <c r="B5687"/>
  <c r="A5687"/>
  <c r="C5686"/>
  <c r="B5686"/>
  <c r="A5686"/>
  <c r="C5685"/>
  <c r="B5685"/>
  <c r="A5685"/>
  <c r="C5684"/>
  <c r="B5684"/>
  <c r="A5684"/>
  <c r="C5683"/>
  <c r="B5683"/>
  <c r="A5683"/>
  <c r="C5682"/>
  <c r="B5682"/>
  <c r="A5682"/>
  <c r="C5681"/>
  <c r="B5681"/>
  <c r="A5681"/>
  <c r="C5680"/>
  <c r="B5680"/>
  <c r="A5680"/>
  <c r="C5679"/>
  <c r="B5679"/>
  <c r="A5679"/>
  <c r="C5678"/>
  <c r="B5678"/>
  <c r="A5678"/>
  <c r="C5677"/>
  <c r="B5677"/>
  <c r="A5677"/>
  <c r="C5676"/>
  <c r="B5676"/>
  <c r="A5676"/>
  <c r="C5675"/>
  <c r="B5675"/>
  <c r="A5675"/>
  <c r="C5674"/>
  <c r="B5674"/>
  <c r="A5674"/>
  <c r="C5673"/>
  <c r="B5673"/>
  <c r="A5673"/>
  <c r="C5672"/>
  <c r="B5672"/>
  <c r="A5672"/>
  <c r="C5671"/>
  <c r="B5671"/>
  <c r="A5671"/>
  <c r="C5670"/>
  <c r="B5670"/>
  <c r="A5670"/>
  <c r="C5669"/>
  <c r="B5669"/>
  <c r="A5669"/>
  <c r="C5668"/>
  <c r="B5668"/>
  <c r="A5668"/>
  <c r="C5667"/>
  <c r="B5667"/>
  <c r="A5667"/>
  <c r="C5666"/>
  <c r="B5666"/>
  <c r="A5666"/>
  <c r="C5665"/>
  <c r="B5665"/>
  <c r="A5665"/>
  <c r="C5664"/>
  <c r="B5664"/>
  <c r="A5664"/>
  <c r="C5663"/>
  <c r="B5663"/>
  <c r="A5663"/>
  <c r="C5662"/>
  <c r="B5662"/>
  <c r="A5662"/>
  <c r="C5661"/>
  <c r="B5661"/>
  <c r="A5661"/>
  <c r="C5660"/>
  <c r="B5660"/>
  <c r="A5660"/>
  <c r="C5659"/>
  <c r="B5659"/>
  <c r="A5659"/>
  <c r="C5658"/>
  <c r="B5658"/>
  <c r="A5658"/>
  <c r="C5657"/>
  <c r="B5657"/>
  <c r="A5657"/>
  <c r="C5656"/>
  <c r="B5656"/>
  <c r="A5656"/>
  <c r="C5655"/>
  <c r="B5655"/>
  <c r="A5655"/>
  <c r="C5654"/>
  <c r="B5654"/>
  <c r="A5654"/>
  <c r="C5653"/>
  <c r="B5653"/>
  <c r="A5653"/>
  <c r="C5652"/>
  <c r="B5652"/>
  <c r="A5652"/>
  <c r="C5651"/>
  <c r="B5651"/>
  <c r="A5651"/>
  <c r="C5650"/>
  <c r="B5650"/>
  <c r="A5650"/>
  <c r="C5649"/>
  <c r="B5649"/>
  <c r="A5649"/>
  <c r="C5648"/>
  <c r="B5648"/>
  <c r="A5648"/>
  <c r="C5647"/>
  <c r="B5647"/>
  <c r="A5647"/>
  <c r="C5646"/>
  <c r="B5646"/>
  <c r="A5646"/>
  <c r="C5645"/>
  <c r="B5645"/>
  <c r="A5645"/>
  <c r="C5644"/>
  <c r="B5644"/>
  <c r="A5644"/>
  <c r="C5643"/>
  <c r="B5643"/>
  <c r="A5643"/>
  <c r="C5642"/>
  <c r="B5642"/>
  <c r="A5642"/>
  <c r="C5641"/>
  <c r="B5641"/>
  <c r="A5641"/>
  <c r="C5640"/>
  <c r="B5640"/>
  <c r="A5640"/>
  <c r="C5639"/>
  <c r="B5639"/>
  <c r="A5639"/>
  <c r="C5638"/>
  <c r="B5638"/>
  <c r="A5638"/>
  <c r="C5637"/>
  <c r="B5637"/>
  <c r="A5637"/>
  <c r="C5636"/>
  <c r="B5636"/>
  <c r="A5636"/>
  <c r="C5635"/>
  <c r="B5635"/>
  <c r="A5635"/>
  <c r="C5634"/>
  <c r="B5634"/>
  <c r="A5634"/>
  <c r="C5633"/>
  <c r="B5633"/>
  <c r="A5633"/>
  <c r="C5632"/>
  <c r="B5632"/>
  <c r="A5632"/>
  <c r="C5631"/>
  <c r="B5631"/>
  <c r="A5631"/>
  <c r="C5630"/>
  <c r="B5630"/>
  <c r="A5630"/>
  <c r="C5629"/>
  <c r="B5629"/>
  <c r="A5629"/>
  <c r="C5628"/>
  <c r="B5628"/>
  <c r="A5628"/>
  <c r="C5627"/>
  <c r="B5627"/>
  <c r="A5627"/>
  <c r="C5626"/>
  <c r="B5626"/>
  <c r="A5626"/>
  <c r="C5625"/>
  <c r="B5625"/>
  <c r="A5625"/>
  <c r="C5624"/>
  <c r="B5624"/>
  <c r="A5624"/>
  <c r="C5623"/>
  <c r="B5623"/>
  <c r="A5623"/>
  <c r="C5622"/>
  <c r="B5622"/>
  <c r="A5622"/>
  <c r="C5621"/>
  <c r="B5621"/>
  <c r="A5621"/>
  <c r="C5620"/>
  <c r="B5620"/>
  <c r="A5620"/>
  <c r="C5619"/>
  <c r="B5619"/>
  <c r="A5619"/>
  <c r="C5618"/>
  <c r="B5618"/>
  <c r="A5618"/>
  <c r="C5617"/>
  <c r="B5617"/>
  <c r="A5617"/>
  <c r="C5616"/>
  <c r="B5616"/>
  <c r="A5616"/>
  <c r="C5615"/>
  <c r="B5615"/>
  <c r="A5615"/>
  <c r="C5614"/>
  <c r="B5614"/>
  <c r="A5614"/>
  <c r="C5613"/>
  <c r="B5613"/>
  <c r="A5613"/>
  <c r="C5612"/>
  <c r="B5612"/>
  <c r="A5612"/>
  <c r="C5611"/>
  <c r="B5611"/>
  <c r="A5611"/>
  <c r="C5610"/>
  <c r="B5610"/>
  <c r="A5610"/>
  <c r="C5609"/>
  <c r="B5609"/>
  <c r="A5609"/>
  <c r="C5608"/>
  <c r="B5608"/>
  <c r="A5608"/>
  <c r="C5607"/>
  <c r="B5607"/>
  <c r="A5607"/>
  <c r="C5606"/>
  <c r="B5606"/>
  <c r="A5606"/>
  <c r="C5605"/>
  <c r="B5605"/>
  <c r="A5605"/>
  <c r="C5604"/>
  <c r="B5604"/>
  <c r="A5604"/>
  <c r="C5603"/>
  <c r="B5603"/>
  <c r="A5603"/>
  <c r="C5602"/>
  <c r="B5602"/>
  <c r="A5602"/>
  <c r="C5601"/>
  <c r="B5601"/>
  <c r="A5601"/>
  <c r="C5600"/>
  <c r="B5600"/>
  <c r="A5600"/>
  <c r="C5599"/>
  <c r="B5599"/>
  <c r="A5599"/>
  <c r="C5598"/>
  <c r="B5598"/>
  <c r="A5598"/>
  <c r="C5597"/>
  <c r="B5597"/>
  <c r="A5597"/>
  <c r="C5596"/>
  <c r="B5596"/>
  <c r="A5596"/>
  <c r="C5595"/>
  <c r="B5595"/>
  <c r="A5595"/>
  <c r="C5594"/>
  <c r="B5594"/>
  <c r="A5594"/>
  <c r="C5593"/>
  <c r="B5593"/>
  <c r="A5593"/>
  <c r="C5592"/>
  <c r="B5592"/>
  <c r="A5592"/>
  <c r="C5591"/>
  <c r="B5591"/>
  <c r="A5591"/>
  <c r="C5590"/>
  <c r="B5590"/>
  <c r="A5590"/>
  <c r="C5589"/>
  <c r="B5589"/>
  <c r="A5589"/>
  <c r="C5588"/>
  <c r="B5588"/>
  <c r="A5588"/>
  <c r="C5587"/>
  <c r="B5587"/>
  <c r="A5587"/>
  <c r="C5586"/>
  <c r="B5586"/>
  <c r="A5586"/>
  <c r="C5585"/>
  <c r="B5585"/>
  <c r="A5585"/>
  <c r="C5584"/>
  <c r="B5584"/>
  <c r="A5584"/>
  <c r="C5583"/>
  <c r="B5583"/>
  <c r="A5583"/>
  <c r="C5582"/>
  <c r="B5582"/>
  <c r="A5582"/>
  <c r="C5581"/>
  <c r="B5581"/>
  <c r="A5581"/>
  <c r="C5580"/>
  <c r="B5580"/>
  <c r="A5580"/>
  <c r="C5579"/>
  <c r="B5579"/>
  <c r="A5579"/>
  <c r="C5578"/>
  <c r="B5578"/>
  <c r="A5578"/>
  <c r="C5577"/>
  <c r="B5577"/>
  <c r="A5577"/>
  <c r="C5576"/>
  <c r="B5576"/>
  <c r="A5576"/>
  <c r="C5575"/>
  <c r="B5575"/>
  <c r="A5575"/>
  <c r="C5574"/>
  <c r="B5574"/>
  <c r="A5574"/>
  <c r="C5573"/>
  <c r="B5573"/>
  <c r="A5573"/>
  <c r="C5572"/>
  <c r="B5572"/>
  <c r="A5572"/>
  <c r="C5571"/>
  <c r="B5571"/>
  <c r="A5571"/>
  <c r="C5570"/>
  <c r="B5570"/>
  <c r="A5570"/>
  <c r="C5569"/>
  <c r="B5569"/>
  <c r="A5569"/>
  <c r="C5568"/>
  <c r="B5568"/>
  <c r="A5568"/>
  <c r="C5567"/>
  <c r="B5567"/>
  <c r="A5567"/>
  <c r="C5566"/>
  <c r="B5566"/>
  <c r="A5566"/>
  <c r="C5565"/>
  <c r="B5565"/>
  <c r="A5565"/>
  <c r="C5564"/>
  <c r="B5564"/>
  <c r="A5564"/>
  <c r="C5563"/>
  <c r="B5563"/>
  <c r="A5563"/>
  <c r="C5562"/>
  <c r="B5562"/>
  <c r="A5562"/>
  <c r="C5561"/>
  <c r="B5561"/>
  <c r="A5561"/>
  <c r="C5560"/>
  <c r="B5560"/>
  <c r="A5560"/>
  <c r="C5559"/>
  <c r="B5559"/>
  <c r="A5559"/>
  <c r="C5558"/>
  <c r="B5558"/>
  <c r="A5558"/>
  <c r="C5557"/>
  <c r="B5557"/>
  <c r="A5557"/>
  <c r="C5556"/>
  <c r="B5556"/>
  <c r="A5556"/>
  <c r="C5555"/>
  <c r="B5555"/>
  <c r="A5555"/>
  <c r="C5554"/>
  <c r="B5554"/>
  <c r="A5554"/>
  <c r="C5553"/>
  <c r="B5553"/>
  <c r="A5553"/>
  <c r="C5552"/>
  <c r="B5552"/>
  <c r="A5552"/>
  <c r="C5551"/>
  <c r="B5551"/>
  <c r="A5551"/>
  <c r="C5550"/>
  <c r="B5550"/>
  <c r="A5550"/>
  <c r="C5549"/>
  <c r="B5549"/>
  <c r="A5549"/>
  <c r="C5548"/>
  <c r="B5548"/>
  <c r="A5548"/>
  <c r="C5547"/>
  <c r="B5547"/>
  <c r="A5547"/>
  <c r="C5546"/>
  <c r="B5546"/>
  <c r="A5546"/>
  <c r="C5545"/>
  <c r="B5545"/>
  <c r="A5545"/>
  <c r="C5544"/>
  <c r="B5544"/>
  <c r="A5544"/>
  <c r="C5543"/>
  <c r="B5543"/>
  <c r="A5543"/>
  <c r="C5542"/>
  <c r="B5542"/>
  <c r="A5542"/>
  <c r="C5541"/>
  <c r="B5541"/>
  <c r="A5541"/>
  <c r="C5540"/>
  <c r="B5540"/>
  <c r="A5540"/>
  <c r="C5539"/>
  <c r="B5539"/>
  <c r="A5539"/>
  <c r="C5538"/>
  <c r="B5538"/>
  <c r="A5538"/>
  <c r="C5537"/>
  <c r="B5537"/>
  <c r="A5537"/>
  <c r="C5536"/>
  <c r="B5536"/>
  <c r="A5536"/>
  <c r="C5535"/>
  <c r="B5535"/>
  <c r="A5535"/>
  <c r="C5534"/>
  <c r="B5534"/>
  <c r="A5534"/>
  <c r="C5533"/>
  <c r="B5533"/>
  <c r="A5533"/>
  <c r="C5532"/>
  <c r="B5532"/>
  <c r="A5532"/>
  <c r="C5531"/>
  <c r="B5531"/>
  <c r="A5531"/>
  <c r="C5530"/>
  <c r="B5530"/>
  <c r="A5530"/>
  <c r="C5529"/>
  <c r="B5529"/>
  <c r="A5529"/>
  <c r="C5528"/>
  <c r="B5528"/>
  <c r="A5528"/>
  <c r="C5527"/>
  <c r="B5527"/>
  <c r="A5527"/>
  <c r="C5526"/>
  <c r="B5526"/>
  <c r="A5526"/>
  <c r="C5525"/>
  <c r="B5525"/>
  <c r="A5525"/>
  <c r="C5524"/>
  <c r="B5524"/>
  <c r="A5524"/>
  <c r="C5523"/>
  <c r="B5523"/>
  <c r="A5523"/>
  <c r="C5522"/>
  <c r="B5522"/>
  <c r="A5522"/>
  <c r="C5521"/>
  <c r="B5521"/>
  <c r="A5521"/>
  <c r="C5520"/>
  <c r="B5520"/>
  <c r="A5520"/>
  <c r="C5519"/>
  <c r="B5519"/>
  <c r="A5519"/>
  <c r="C5518"/>
  <c r="B5518"/>
  <c r="A5518"/>
  <c r="C5517"/>
  <c r="B5517"/>
  <c r="A5517"/>
  <c r="C5516"/>
  <c r="B5516"/>
  <c r="A5516"/>
  <c r="C5515"/>
  <c r="B5515"/>
  <c r="A5515"/>
  <c r="C5514"/>
  <c r="B5514"/>
  <c r="A5514"/>
  <c r="C5513"/>
  <c r="B5513"/>
  <c r="A5513"/>
  <c r="C5512"/>
  <c r="B5512"/>
  <c r="A5512"/>
  <c r="C5511"/>
  <c r="B5511"/>
  <c r="A5511"/>
  <c r="C5510"/>
  <c r="B5510"/>
  <c r="A5510"/>
  <c r="C5509"/>
  <c r="B5509"/>
  <c r="A5509"/>
  <c r="C5508"/>
  <c r="B5508"/>
  <c r="A5508"/>
  <c r="C5507"/>
  <c r="B5507"/>
  <c r="A5507"/>
  <c r="C5506"/>
  <c r="B5506"/>
  <c r="A5506"/>
  <c r="C5505"/>
  <c r="B5505"/>
  <c r="A5505"/>
  <c r="C5504"/>
  <c r="B5504"/>
  <c r="A5504"/>
  <c r="C5503"/>
  <c r="B5503"/>
  <c r="A5503"/>
  <c r="C5502"/>
  <c r="B5502"/>
  <c r="A5502"/>
  <c r="C5501"/>
  <c r="B5501"/>
  <c r="A5501"/>
  <c r="C5500"/>
  <c r="B5500"/>
  <c r="A5500"/>
  <c r="C5499"/>
  <c r="B5499"/>
  <c r="A5499"/>
  <c r="C5498"/>
  <c r="B5498"/>
  <c r="A5498"/>
  <c r="C5497"/>
  <c r="B5497"/>
  <c r="A5497"/>
  <c r="C5496"/>
  <c r="B5496"/>
  <c r="A5496"/>
  <c r="C5495"/>
  <c r="B5495"/>
  <c r="A5495"/>
  <c r="C5494"/>
  <c r="B5494"/>
  <c r="A5494"/>
  <c r="C5493"/>
  <c r="B5493"/>
  <c r="A5493"/>
  <c r="C5492"/>
  <c r="B5492"/>
  <c r="A5492"/>
  <c r="C5491"/>
  <c r="B5491"/>
  <c r="A5491"/>
  <c r="C5490"/>
  <c r="B5490"/>
  <c r="A5490"/>
  <c r="C5489"/>
  <c r="B5489"/>
  <c r="A5489"/>
  <c r="C5488"/>
  <c r="B5488"/>
  <c r="A5488"/>
  <c r="C5487"/>
  <c r="B5487"/>
  <c r="A5487"/>
  <c r="C5486"/>
  <c r="B5486"/>
  <c r="A5486"/>
  <c r="C5485"/>
  <c r="B5485"/>
  <c r="A5485"/>
  <c r="C5484"/>
  <c r="B5484"/>
  <c r="A5484"/>
  <c r="C5483"/>
  <c r="B5483"/>
  <c r="A5483"/>
  <c r="C5482"/>
  <c r="B5482"/>
  <c r="A5482"/>
  <c r="C5481"/>
  <c r="B5481"/>
  <c r="A5481"/>
  <c r="C5480"/>
  <c r="B5480"/>
  <c r="A5480"/>
  <c r="C5479"/>
  <c r="B5479"/>
  <c r="A5479"/>
  <c r="C5478"/>
  <c r="B5478"/>
  <c r="A5478"/>
  <c r="C5477"/>
  <c r="B5477"/>
  <c r="A5477"/>
  <c r="C5476"/>
  <c r="B5476"/>
  <c r="A5476"/>
  <c r="C5475"/>
  <c r="B5475"/>
  <c r="A5475"/>
  <c r="C5474"/>
  <c r="B5474"/>
  <c r="A5474"/>
  <c r="C5473"/>
  <c r="B5473"/>
  <c r="A5473"/>
  <c r="C5472"/>
  <c r="B5472"/>
  <c r="A5472"/>
  <c r="C5471"/>
  <c r="B5471"/>
  <c r="A5471"/>
  <c r="C5470"/>
  <c r="B5470"/>
  <c r="A5470"/>
  <c r="C5469"/>
  <c r="B5469"/>
  <c r="A5469"/>
  <c r="C5468"/>
  <c r="B5468"/>
  <c r="A5468"/>
  <c r="C5467"/>
  <c r="B5467"/>
  <c r="A5467"/>
  <c r="C5466"/>
  <c r="B5466"/>
  <c r="A5466"/>
  <c r="C5465"/>
  <c r="B5465"/>
  <c r="A5465"/>
  <c r="C5464"/>
  <c r="B5464"/>
  <c r="A5464"/>
  <c r="C5463"/>
  <c r="B5463"/>
  <c r="A5463"/>
  <c r="C5462"/>
  <c r="B5462"/>
  <c r="A5462"/>
  <c r="C5461"/>
  <c r="B5461"/>
  <c r="A5461"/>
  <c r="C5460"/>
  <c r="B5460"/>
  <c r="A5460"/>
  <c r="C5459"/>
  <c r="B5459"/>
  <c r="A5459"/>
  <c r="C5458"/>
  <c r="B5458"/>
  <c r="A5458"/>
  <c r="C5457"/>
  <c r="B5457"/>
  <c r="A5457"/>
  <c r="C5456"/>
  <c r="B5456"/>
  <c r="A5456"/>
  <c r="C5455"/>
  <c r="B5455"/>
  <c r="A5455"/>
  <c r="C5454"/>
  <c r="B5454"/>
  <c r="A5454"/>
  <c r="C5453"/>
  <c r="B5453"/>
  <c r="A5453"/>
  <c r="C5452"/>
  <c r="B5452"/>
  <c r="A5452"/>
  <c r="C5451"/>
  <c r="B5451"/>
  <c r="A5451"/>
  <c r="C5450"/>
  <c r="B5450"/>
  <c r="A5450"/>
  <c r="C5449"/>
  <c r="B5449"/>
  <c r="A5449"/>
  <c r="C5448"/>
  <c r="B5448"/>
  <c r="A5448"/>
  <c r="C5447"/>
  <c r="B5447"/>
  <c r="A5447"/>
  <c r="C5446"/>
  <c r="B5446"/>
  <c r="A5446"/>
  <c r="C5445"/>
  <c r="B5445"/>
  <c r="A5445"/>
  <c r="C5444"/>
  <c r="B5444"/>
  <c r="A5444"/>
  <c r="C5443"/>
  <c r="B5443"/>
  <c r="A5443"/>
  <c r="C5442"/>
  <c r="B5442"/>
  <c r="A5442"/>
  <c r="C5441"/>
  <c r="B5441"/>
  <c r="A5441"/>
  <c r="C5440"/>
  <c r="B5440"/>
  <c r="A5440"/>
  <c r="C5439"/>
  <c r="B5439"/>
  <c r="A5439"/>
  <c r="C5438"/>
  <c r="B5438"/>
  <c r="A5438"/>
  <c r="C5437"/>
  <c r="B5437"/>
  <c r="A5437"/>
  <c r="C5436"/>
  <c r="B5436"/>
  <c r="A5436"/>
  <c r="C5435"/>
  <c r="B5435"/>
  <c r="A5435"/>
  <c r="C5434"/>
  <c r="B5434"/>
  <c r="A5434"/>
  <c r="C5433"/>
  <c r="B5433"/>
  <c r="A5433"/>
  <c r="C5432"/>
  <c r="B5432"/>
  <c r="A5432"/>
  <c r="C5431"/>
  <c r="B5431"/>
  <c r="A5431"/>
  <c r="C5430"/>
  <c r="B5430"/>
  <c r="A5430"/>
  <c r="C5429"/>
  <c r="B5429"/>
  <c r="A5429"/>
  <c r="C5428"/>
  <c r="B5428"/>
  <c r="A5428"/>
  <c r="C5427"/>
  <c r="B5427"/>
  <c r="A5427"/>
  <c r="C5426"/>
  <c r="B5426"/>
  <c r="A5426"/>
  <c r="C5425"/>
  <c r="B5425"/>
  <c r="A5425"/>
  <c r="C5424"/>
  <c r="B5424"/>
  <c r="A5424"/>
  <c r="C5423"/>
  <c r="B5423"/>
  <c r="A5423"/>
  <c r="C5422"/>
  <c r="B5422"/>
  <c r="A5422"/>
  <c r="C5421"/>
  <c r="B5421"/>
  <c r="A5421"/>
  <c r="C5420"/>
  <c r="B5420"/>
  <c r="A5420"/>
  <c r="C5419"/>
  <c r="B5419"/>
  <c r="A5419"/>
  <c r="C5418"/>
  <c r="B5418"/>
  <c r="A5418"/>
  <c r="C5417"/>
  <c r="B5417"/>
  <c r="A5417"/>
  <c r="C5416"/>
  <c r="B5416"/>
  <c r="A5416"/>
  <c r="C5415"/>
  <c r="B5415"/>
  <c r="A5415"/>
  <c r="C5414"/>
  <c r="B5414"/>
  <c r="A5414"/>
  <c r="C5413"/>
  <c r="B5413"/>
  <c r="A5413"/>
  <c r="C5412"/>
  <c r="B5412"/>
  <c r="A5412"/>
  <c r="C5411"/>
  <c r="B5411"/>
  <c r="A5411"/>
  <c r="C5410"/>
  <c r="B5410"/>
  <c r="A5410"/>
  <c r="C5409"/>
  <c r="B5409"/>
  <c r="A5409"/>
  <c r="C5408"/>
  <c r="B5408"/>
  <c r="A5408"/>
  <c r="C5407"/>
  <c r="B5407"/>
  <c r="A5407"/>
  <c r="C5406"/>
  <c r="B5406"/>
  <c r="A5406"/>
  <c r="C5405"/>
  <c r="B5405"/>
  <c r="A5405"/>
  <c r="C5404"/>
  <c r="B5404"/>
  <c r="A5404"/>
  <c r="C5403"/>
  <c r="B5403"/>
  <c r="A5403"/>
  <c r="C5402"/>
  <c r="B5402"/>
  <c r="A5402"/>
  <c r="C5401"/>
  <c r="B5401"/>
  <c r="A5401"/>
  <c r="C5400"/>
  <c r="B5400"/>
  <c r="A5400"/>
  <c r="C5399"/>
  <c r="B5399"/>
  <c r="A5399"/>
  <c r="C5398"/>
  <c r="B5398"/>
  <c r="A5398"/>
  <c r="C5397"/>
  <c r="B5397"/>
  <c r="A5397"/>
  <c r="C5396"/>
  <c r="B5396"/>
  <c r="A5396"/>
  <c r="C5395"/>
  <c r="B5395"/>
  <c r="A5395"/>
  <c r="C5394"/>
  <c r="B5394"/>
  <c r="A5394"/>
  <c r="C5393"/>
  <c r="B5393"/>
  <c r="A5393"/>
  <c r="C5392"/>
  <c r="B5392"/>
  <c r="A5392"/>
  <c r="C5391"/>
  <c r="B5391"/>
  <c r="A5391"/>
  <c r="C5390"/>
  <c r="B5390"/>
  <c r="A5390"/>
  <c r="C5389"/>
  <c r="B5389"/>
  <c r="A5389"/>
  <c r="C5388"/>
  <c r="B5388"/>
  <c r="A5388"/>
  <c r="C5387"/>
  <c r="B5387"/>
  <c r="A5387"/>
  <c r="C5386"/>
  <c r="B5386"/>
  <c r="A5386"/>
  <c r="C5385"/>
  <c r="B5385"/>
  <c r="A5385"/>
  <c r="C5384"/>
  <c r="B5384"/>
  <c r="A5384"/>
  <c r="C5383"/>
  <c r="B5383"/>
  <c r="A5383"/>
  <c r="C5382"/>
  <c r="B5382"/>
  <c r="A5382"/>
  <c r="C5381"/>
  <c r="B5381"/>
  <c r="A5381"/>
  <c r="C5380"/>
  <c r="B5380"/>
  <c r="A5380"/>
  <c r="C5379"/>
  <c r="B5379"/>
  <c r="A5379"/>
  <c r="C5378"/>
  <c r="B5378"/>
  <c r="A5378"/>
  <c r="C5377"/>
  <c r="B5377"/>
  <c r="A5377"/>
  <c r="C5376"/>
  <c r="B5376"/>
  <c r="A5376"/>
  <c r="C5375"/>
  <c r="B5375"/>
  <c r="A5375"/>
  <c r="C5374"/>
  <c r="B5374"/>
  <c r="A5374"/>
  <c r="C5373"/>
  <c r="B5373"/>
  <c r="A5373"/>
  <c r="C5372"/>
  <c r="B5372"/>
  <c r="A5372"/>
  <c r="C5371"/>
  <c r="B5371"/>
  <c r="A5371"/>
  <c r="C5370"/>
  <c r="B5370"/>
  <c r="A5370"/>
  <c r="C5369"/>
  <c r="B5369"/>
  <c r="A5369"/>
  <c r="C5368"/>
  <c r="B5368"/>
  <c r="A5368"/>
  <c r="C5367"/>
  <c r="B5367"/>
  <c r="A5367"/>
  <c r="C5366"/>
  <c r="B5366"/>
  <c r="A5366"/>
  <c r="C5365"/>
  <c r="B5365"/>
  <c r="A5365"/>
  <c r="C5364"/>
  <c r="B5364"/>
  <c r="A5364"/>
  <c r="C5363"/>
  <c r="B5363"/>
  <c r="A5363"/>
  <c r="C5362"/>
  <c r="B5362"/>
  <c r="A5362"/>
  <c r="C5361"/>
  <c r="B5361"/>
  <c r="A5361"/>
  <c r="C5360"/>
  <c r="B5360"/>
  <c r="A5360"/>
  <c r="C5359"/>
  <c r="B5359"/>
  <c r="A5359"/>
  <c r="C5358"/>
  <c r="B5358"/>
  <c r="A5358"/>
  <c r="C5357"/>
  <c r="B5357"/>
  <c r="A5357"/>
  <c r="C5356"/>
  <c r="B5356"/>
  <c r="A5356"/>
  <c r="C5355"/>
  <c r="B5355"/>
  <c r="A5355"/>
  <c r="C5354"/>
  <c r="B5354"/>
  <c r="A5354"/>
  <c r="C5353"/>
  <c r="B5353"/>
  <c r="A5353"/>
  <c r="C5352"/>
  <c r="B5352"/>
  <c r="A5352"/>
  <c r="C5351"/>
  <c r="B5351"/>
  <c r="A5351"/>
  <c r="C5350"/>
  <c r="B5350"/>
  <c r="A5350"/>
  <c r="C5349"/>
  <c r="B5349"/>
  <c r="A5349"/>
  <c r="C5348"/>
  <c r="B5348"/>
  <c r="A5348"/>
  <c r="C5347"/>
  <c r="B5347"/>
  <c r="A5347"/>
  <c r="C5346"/>
  <c r="B5346"/>
  <c r="A5346"/>
  <c r="C5345"/>
  <c r="B5345"/>
  <c r="A5345"/>
  <c r="C5344"/>
  <c r="B5344"/>
  <c r="A5344"/>
  <c r="C5343"/>
  <c r="B5343"/>
  <c r="A5343"/>
  <c r="C5342"/>
  <c r="B5342"/>
  <c r="A5342"/>
  <c r="C5341"/>
  <c r="B5341"/>
  <c r="A5341"/>
  <c r="C5340"/>
  <c r="B5340"/>
  <c r="A5340"/>
  <c r="C5339"/>
  <c r="B5339"/>
  <c r="A5339"/>
  <c r="C5338"/>
  <c r="B5338"/>
  <c r="A5338"/>
  <c r="C5337"/>
  <c r="B5337"/>
  <c r="A5337"/>
  <c r="C5336"/>
  <c r="B5336"/>
  <c r="A5336"/>
  <c r="C5335"/>
  <c r="B5335"/>
  <c r="A5335"/>
  <c r="C5334"/>
  <c r="B5334"/>
  <c r="A5334"/>
  <c r="C5333"/>
  <c r="B5333"/>
  <c r="A5333"/>
  <c r="C5332"/>
  <c r="B5332"/>
  <c r="A5332"/>
  <c r="C5331"/>
  <c r="B5331"/>
  <c r="A5331"/>
  <c r="C5330"/>
  <c r="B5330"/>
  <c r="A5330"/>
  <c r="C5329"/>
  <c r="B5329"/>
  <c r="A5329"/>
  <c r="C5328"/>
  <c r="B5328"/>
  <c r="A5328"/>
  <c r="C5327"/>
  <c r="B5327"/>
  <c r="A5327"/>
  <c r="C5326"/>
  <c r="B5326"/>
  <c r="A5326"/>
  <c r="C5325"/>
  <c r="B5325"/>
  <c r="A5325"/>
  <c r="C5324"/>
  <c r="B5324"/>
  <c r="A5324"/>
  <c r="C5323"/>
  <c r="B5323"/>
  <c r="A5323"/>
  <c r="C5322"/>
  <c r="B5322"/>
  <c r="A5322"/>
  <c r="C5321"/>
  <c r="B5321"/>
  <c r="A5321"/>
  <c r="C5320"/>
  <c r="B5320"/>
  <c r="A5320"/>
  <c r="C5319"/>
  <c r="B5319"/>
  <c r="A5319"/>
  <c r="C5318"/>
  <c r="B5318"/>
  <c r="A5318"/>
  <c r="C5317"/>
  <c r="B5317"/>
  <c r="A5317"/>
  <c r="C5316"/>
  <c r="B5316"/>
  <c r="A5316"/>
  <c r="C5315"/>
  <c r="B5315"/>
  <c r="A5315"/>
  <c r="C5314"/>
  <c r="B5314"/>
  <c r="A5314"/>
  <c r="C5313"/>
  <c r="B5313"/>
  <c r="A5313"/>
  <c r="C5312"/>
  <c r="B5312"/>
  <c r="A5312"/>
  <c r="C5311"/>
  <c r="B5311"/>
  <c r="A5311"/>
  <c r="C5310"/>
  <c r="B5310"/>
  <c r="A5310"/>
  <c r="C5309"/>
  <c r="B5309"/>
  <c r="A5309"/>
  <c r="C5308"/>
  <c r="B5308"/>
  <c r="A5308"/>
  <c r="C5307"/>
  <c r="B5307"/>
  <c r="A5307"/>
  <c r="C5306"/>
  <c r="B5306"/>
  <c r="A5306"/>
  <c r="C5305"/>
  <c r="B5305"/>
  <c r="A5305"/>
  <c r="C5304"/>
  <c r="B5304"/>
  <c r="A5304"/>
  <c r="C5303"/>
  <c r="B5303"/>
  <c r="A5303"/>
  <c r="C5302"/>
  <c r="B5302"/>
  <c r="A5302"/>
  <c r="C5301"/>
  <c r="B5301"/>
  <c r="A5301"/>
  <c r="C5300"/>
  <c r="B5300"/>
  <c r="A5300"/>
  <c r="C5299"/>
  <c r="B5299"/>
  <c r="A5299"/>
  <c r="C5298"/>
  <c r="B5298"/>
  <c r="A5298"/>
  <c r="C5297"/>
  <c r="B5297"/>
  <c r="A5297"/>
  <c r="C5296"/>
  <c r="B5296"/>
  <c r="A5296"/>
  <c r="C5295"/>
  <c r="B5295"/>
  <c r="A5295"/>
  <c r="C5294"/>
  <c r="B5294"/>
  <c r="A5294"/>
  <c r="C5293"/>
  <c r="B5293"/>
  <c r="A5293"/>
  <c r="C5292"/>
  <c r="B5292"/>
  <c r="A5292"/>
  <c r="C5291"/>
  <c r="B5291"/>
  <c r="A5291"/>
  <c r="C5290"/>
  <c r="B5290"/>
  <c r="A5290"/>
  <c r="C5289"/>
  <c r="B5289"/>
  <c r="A5289"/>
  <c r="C5288"/>
  <c r="B5288"/>
  <c r="A5288"/>
  <c r="C5287"/>
  <c r="B5287"/>
  <c r="A5287"/>
  <c r="C5286"/>
  <c r="B5286"/>
  <c r="A5286"/>
  <c r="C5285"/>
  <c r="B5285"/>
  <c r="A5285"/>
  <c r="C5284"/>
  <c r="B5284"/>
  <c r="A5284"/>
  <c r="C5283"/>
  <c r="B5283"/>
  <c r="A5283"/>
  <c r="C5282"/>
  <c r="B5282"/>
  <c r="A5282"/>
  <c r="C5281"/>
  <c r="B5281"/>
  <c r="A5281"/>
  <c r="C5280"/>
  <c r="B5280"/>
  <c r="A5280"/>
  <c r="C5279"/>
  <c r="B5279"/>
  <c r="A5279"/>
  <c r="C5278"/>
  <c r="B5278"/>
  <c r="A5278"/>
  <c r="C5277"/>
  <c r="B5277"/>
  <c r="A5277"/>
  <c r="C5276"/>
  <c r="B5276"/>
  <c r="A5276"/>
  <c r="C5275"/>
  <c r="B5275"/>
  <c r="A5275"/>
  <c r="C5274"/>
  <c r="B5274"/>
  <c r="A5274"/>
  <c r="C5273"/>
  <c r="B5273"/>
  <c r="A5273"/>
  <c r="C5272"/>
  <c r="B5272"/>
  <c r="A5272"/>
  <c r="C5271"/>
  <c r="B5271"/>
  <c r="A5271"/>
  <c r="C5270"/>
  <c r="B5270"/>
  <c r="A5270"/>
  <c r="C5269"/>
  <c r="B5269"/>
  <c r="A5269"/>
  <c r="C5268"/>
  <c r="B5268"/>
  <c r="A5268"/>
  <c r="C5267"/>
  <c r="B5267"/>
  <c r="A5267"/>
  <c r="C5266"/>
  <c r="B5266"/>
  <c r="A5266"/>
  <c r="C5265"/>
  <c r="B5265"/>
  <c r="A5265"/>
  <c r="C5264"/>
  <c r="B5264"/>
  <c r="A5264"/>
  <c r="C5263"/>
  <c r="B5263"/>
  <c r="A5263"/>
  <c r="C5262"/>
  <c r="B5262"/>
  <c r="A5262"/>
  <c r="C5261"/>
  <c r="B5261"/>
  <c r="A5261"/>
  <c r="C5260"/>
  <c r="B5260"/>
  <c r="A5260"/>
  <c r="C5259"/>
  <c r="B5259"/>
  <c r="A5259"/>
  <c r="C5258"/>
  <c r="B5258"/>
  <c r="A5258"/>
  <c r="C5257"/>
  <c r="B5257"/>
  <c r="A5257"/>
  <c r="C5256"/>
  <c r="B5256"/>
  <c r="A5256"/>
  <c r="C5255"/>
  <c r="B5255"/>
  <c r="A5255"/>
  <c r="C5254"/>
  <c r="B5254"/>
  <c r="A5254"/>
  <c r="C5253"/>
  <c r="B5253"/>
  <c r="A5253"/>
  <c r="C5252"/>
  <c r="B5252"/>
  <c r="A5252"/>
  <c r="C5251"/>
  <c r="B5251"/>
  <c r="A5251"/>
  <c r="C5250"/>
  <c r="B5250"/>
  <c r="A5250"/>
  <c r="C5249"/>
  <c r="B5249"/>
  <c r="A5249"/>
  <c r="C5248"/>
  <c r="B5248"/>
  <c r="A5248"/>
  <c r="C5247"/>
  <c r="B5247"/>
  <c r="A5247"/>
  <c r="C5246"/>
  <c r="B5246"/>
  <c r="A5246"/>
  <c r="C5245"/>
  <c r="B5245"/>
  <c r="A5245"/>
  <c r="C5244"/>
  <c r="B5244"/>
  <c r="A5244"/>
  <c r="C5243"/>
  <c r="B5243"/>
  <c r="A5243"/>
  <c r="C5242"/>
  <c r="B5242"/>
  <c r="A5242"/>
  <c r="C5241"/>
  <c r="B5241"/>
  <c r="A5241"/>
  <c r="C5240"/>
  <c r="B5240"/>
  <c r="A5240"/>
  <c r="C5239"/>
  <c r="B5239"/>
  <c r="A5239"/>
  <c r="C5238"/>
  <c r="B5238"/>
  <c r="A5238"/>
  <c r="C5237"/>
  <c r="B5237"/>
  <c r="A5237"/>
  <c r="C5236"/>
  <c r="B5236"/>
  <c r="A5236"/>
  <c r="C5235"/>
  <c r="B5235"/>
  <c r="A5235"/>
  <c r="C5234"/>
  <c r="B5234"/>
  <c r="A5234"/>
  <c r="C5233"/>
  <c r="B5233"/>
  <c r="A5233"/>
  <c r="C5232"/>
  <c r="B5232"/>
  <c r="A5232"/>
  <c r="C5231"/>
  <c r="B5231"/>
  <c r="A5231"/>
  <c r="C5230"/>
  <c r="B5230"/>
  <c r="A5230"/>
  <c r="C5229"/>
  <c r="B5229"/>
  <c r="A5229"/>
  <c r="C5228"/>
  <c r="B5228"/>
  <c r="A5228"/>
  <c r="C5227"/>
  <c r="B5227"/>
  <c r="A5227"/>
  <c r="C5226"/>
  <c r="B5226"/>
  <c r="A5226"/>
  <c r="C5225"/>
  <c r="B5225"/>
  <c r="A5225"/>
  <c r="C5224"/>
  <c r="B5224"/>
  <c r="A5224"/>
  <c r="C5223"/>
  <c r="B5223"/>
  <c r="A5223"/>
  <c r="C5222"/>
  <c r="B5222"/>
  <c r="A5222"/>
  <c r="C5221"/>
  <c r="B5221"/>
  <c r="A5221"/>
  <c r="C5220"/>
  <c r="B5220"/>
  <c r="A5220"/>
  <c r="C5219"/>
  <c r="B5219"/>
  <c r="A5219"/>
  <c r="C5218"/>
  <c r="B5218"/>
  <c r="A5218"/>
  <c r="C5217"/>
  <c r="B5217"/>
  <c r="A5217"/>
  <c r="C5216"/>
  <c r="B5216"/>
  <c r="A5216"/>
  <c r="C5215"/>
  <c r="B5215"/>
  <c r="A5215"/>
  <c r="C5214"/>
  <c r="B5214"/>
  <c r="A5214"/>
  <c r="C5213"/>
  <c r="B5213"/>
  <c r="A5213"/>
  <c r="C5212"/>
  <c r="B5212"/>
  <c r="A5212"/>
  <c r="C5211"/>
  <c r="B5211"/>
  <c r="A5211"/>
  <c r="C5210"/>
  <c r="B5210"/>
  <c r="A5210"/>
  <c r="C5209"/>
  <c r="B5209"/>
  <c r="A5209"/>
  <c r="C5208"/>
  <c r="B5208"/>
  <c r="A5208"/>
  <c r="C5207"/>
  <c r="B5207"/>
  <c r="A5207"/>
  <c r="C5206"/>
  <c r="B5206"/>
  <c r="A5206"/>
  <c r="C5205"/>
  <c r="B5205"/>
  <c r="A5205"/>
  <c r="C5204"/>
  <c r="B5204"/>
  <c r="A5204"/>
  <c r="C5203"/>
  <c r="B5203"/>
  <c r="A5203"/>
  <c r="C5202"/>
  <c r="B5202"/>
  <c r="A5202"/>
  <c r="C5201"/>
  <c r="B5201"/>
  <c r="A5201"/>
  <c r="C5200"/>
  <c r="B5200"/>
  <c r="A5200"/>
  <c r="C5199"/>
  <c r="B5199"/>
  <c r="A5199"/>
  <c r="C5198"/>
  <c r="B5198"/>
  <c r="A5198"/>
  <c r="C5197"/>
  <c r="B5197"/>
  <c r="A5197"/>
  <c r="C5196"/>
  <c r="B5196"/>
  <c r="A5196"/>
  <c r="C5195"/>
  <c r="B5195"/>
  <c r="A5195"/>
  <c r="C5194"/>
  <c r="B5194"/>
  <c r="A5194"/>
  <c r="C5193"/>
  <c r="B5193"/>
  <c r="A5193"/>
  <c r="C5192"/>
  <c r="B5192"/>
  <c r="A5192"/>
  <c r="C5191"/>
  <c r="B5191"/>
  <c r="A5191"/>
  <c r="C5190"/>
  <c r="B5190"/>
  <c r="A5190"/>
  <c r="C5189"/>
  <c r="B5189"/>
  <c r="A5189"/>
  <c r="C5188"/>
  <c r="B5188"/>
  <c r="A5188"/>
  <c r="C5187"/>
  <c r="B5187"/>
  <c r="A5187"/>
  <c r="C5186"/>
  <c r="B5186"/>
  <c r="A5186"/>
  <c r="C5185"/>
  <c r="B5185"/>
  <c r="A5185"/>
  <c r="C5184"/>
  <c r="B5184"/>
  <c r="A5184"/>
  <c r="C5183"/>
  <c r="B5183"/>
  <c r="A5183"/>
  <c r="C5182"/>
  <c r="B5182"/>
  <c r="A5182"/>
  <c r="C5181"/>
  <c r="B5181"/>
  <c r="A5181"/>
  <c r="C5180"/>
  <c r="B5180"/>
  <c r="A5180"/>
  <c r="C5179"/>
  <c r="B5179"/>
  <c r="A5179"/>
  <c r="C5178"/>
  <c r="B5178"/>
  <c r="A5178"/>
  <c r="C5177"/>
  <c r="B5177"/>
  <c r="A5177"/>
  <c r="C5176"/>
  <c r="B5176"/>
  <c r="A5176"/>
  <c r="C5175"/>
  <c r="B5175"/>
  <c r="A5175"/>
  <c r="C5174"/>
  <c r="B5174"/>
  <c r="A5174"/>
  <c r="C5173"/>
  <c r="B5173"/>
  <c r="A5173"/>
  <c r="C5172"/>
  <c r="B5172"/>
  <c r="A5172"/>
  <c r="C5171"/>
  <c r="B5171"/>
  <c r="A5171"/>
  <c r="C5170"/>
  <c r="B5170"/>
  <c r="A5170"/>
  <c r="C5169"/>
  <c r="B5169"/>
  <c r="A5169"/>
  <c r="C5168"/>
  <c r="B5168"/>
  <c r="A5168"/>
  <c r="C5167"/>
  <c r="B5167"/>
  <c r="A5167"/>
  <c r="C5166"/>
  <c r="B5166"/>
  <c r="A5166"/>
  <c r="C5165"/>
  <c r="B5165"/>
  <c r="A5165"/>
  <c r="C5164"/>
  <c r="B5164"/>
  <c r="A5164"/>
  <c r="C5163"/>
  <c r="B5163"/>
  <c r="A5163"/>
  <c r="C5162"/>
  <c r="B5162"/>
  <c r="A5162"/>
  <c r="C5161"/>
  <c r="B5161"/>
  <c r="A5161"/>
  <c r="C5160"/>
  <c r="B5160"/>
  <c r="A5160"/>
  <c r="C5159"/>
  <c r="B5159"/>
  <c r="A5159"/>
  <c r="C5158"/>
  <c r="B5158"/>
  <c r="A5158"/>
  <c r="C5157"/>
  <c r="B5157"/>
  <c r="A5157"/>
  <c r="C5156"/>
  <c r="B5156"/>
  <c r="A5156"/>
  <c r="C5155"/>
  <c r="B5155"/>
  <c r="A5155"/>
  <c r="C5154"/>
  <c r="B5154"/>
  <c r="A5154"/>
  <c r="C5153"/>
  <c r="B5153"/>
  <c r="A5153"/>
  <c r="C5152"/>
  <c r="B5152"/>
  <c r="A5152"/>
  <c r="C5151"/>
  <c r="B5151"/>
  <c r="A5151"/>
  <c r="C5150"/>
  <c r="B5150"/>
  <c r="A5150"/>
  <c r="C5149"/>
  <c r="B5149"/>
  <c r="A5149"/>
  <c r="C5148"/>
  <c r="B5148"/>
  <c r="A5148"/>
  <c r="C5147"/>
  <c r="B5147"/>
  <c r="A5147"/>
  <c r="C5146"/>
  <c r="B5146"/>
  <c r="A5146"/>
  <c r="C5145"/>
  <c r="B5145"/>
  <c r="A5145"/>
  <c r="C5144"/>
  <c r="B5144"/>
  <c r="A5144"/>
  <c r="C5143"/>
  <c r="B5143"/>
  <c r="A5143"/>
  <c r="C5142"/>
  <c r="B5142"/>
  <c r="A5142"/>
  <c r="C5141"/>
  <c r="B5141"/>
  <c r="A5141"/>
  <c r="C5140"/>
  <c r="B5140"/>
  <c r="A5140"/>
  <c r="C5139"/>
  <c r="B5139"/>
  <c r="A5139"/>
  <c r="C5138"/>
  <c r="B5138"/>
  <c r="A5138"/>
  <c r="C5137"/>
  <c r="B5137"/>
  <c r="A5137"/>
  <c r="C5136"/>
  <c r="B5136"/>
  <c r="A5136"/>
  <c r="C5135"/>
  <c r="B5135"/>
  <c r="A5135"/>
  <c r="C5134"/>
  <c r="B5134"/>
  <c r="A5134"/>
  <c r="C5133"/>
  <c r="B5133"/>
  <c r="A5133"/>
  <c r="C5132"/>
  <c r="B5132"/>
  <c r="A5132"/>
  <c r="C5131"/>
  <c r="B5131"/>
  <c r="A5131"/>
  <c r="C5130"/>
  <c r="B5130"/>
  <c r="A5130"/>
  <c r="C5129"/>
  <c r="B5129"/>
  <c r="A5129"/>
  <c r="C5128"/>
  <c r="B5128"/>
  <c r="A5128"/>
  <c r="C5127"/>
  <c r="B5127"/>
  <c r="A5127"/>
  <c r="C5126"/>
  <c r="B5126"/>
  <c r="A5126"/>
  <c r="C5125"/>
  <c r="B5125"/>
  <c r="A5125"/>
  <c r="C5124"/>
  <c r="B5124"/>
  <c r="A5124"/>
  <c r="C5123"/>
  <c r="B5123"/>
  <c r="A5123"/>
  <c r="C5122"/>
  <c r="B5122"/>
  <c r="A5122"/>
  <c r="C5121"/>
  <c r="B5121"/>
  <c r="A5121"/>
  <c r="C5120"/>
  <c r="B5120"/>
  <c r="A5120"/>
  <c r="C5119"/>
  <c r="B5119"/>
  <c r="A5119"/>
  <c r="C5118"/>
  <c r="B5118"/>
  <c r="A5118"/>
  <c r="C5117"/>
  <c r="B5117"/>
  <c r="A5117"/>
  <c r="C5116"/>
  <c r="B5116"/>
  <c r="A5116"/>
  <c r="C5115"/>
  <c r="B5115"/>
  <c r="A5115"/>
  <c r="C5114"/>
  <c r="B5114"/>
  <c r="A5114"/>
  <c r="C5113"/>
  <c r="B5113"/>
  <c r="A5113"/>
  <c r="C5112"/>
  <c r="B5112"/>
  <c r="A5112"/>
  <c r="C5111"/>
  <c r="B5111"/>
  <c r="A5111"/>
  <c r="C5110"/>
  <c r="B5110"/>
  <c r="A5110"/>
  <c r="C5109"/>
  <c r="B5109"/>
  <c r="A5109"/>
  <c r="C5108"/>
  <c r="B5108"/>
  <c r="A5108"/>
  <c r="C5107"/>
  <c r="B5107"/>
  <c r="A5107"/>
  <c r="C5106"/>
  <c r="B5106"/>
  <c r="A5106"/>
  <c r="C5105"/>
  <c r="B5105"/>
  <c r="A5105"/>
  <c r="C5104"/>
  <c r="B5104"/>
  <c r="A5104"/>
  <c r="C5103"/>
  <c r="B5103"/>
  <c r="A5103"/>
  <c r="C5102"/>
  <c r="B5102"/>
  <c r="A5102"/>
  <c r="C5101"/>
  <c r="B5101"/>
  <c r="A5101"/>
  <c r="C5100"/>
  <c r="B5100"/>
  <c r="A5100"/>
  <c r="C5099"/>
  <c r="B5099"/>
  <c r="A5099"/>
  <c r="C5098"/>
  <c r="B5098"/>
  <c r="A5098"/>
  <c r="C5097"/>
  <c r="B5097"/>
  <c r="A5097"/>
  <c r="C5096"/>
  <c r="B5096"/>
  <c r="A5096"/>
  <c r="C5095"/>
  <c r="B5095"/>
  <c r="A5095"/>
  <c r="C5094"/>
  <c r="B5094"/>
  <c r="A5094"/>
  <c r="C5093"/>
  <c r="B5093"/>
  <c r="A5093"/>
  <c r="C5092"/>
  <c r="B5092"/>
  <c r="A5092"/>
  <c r="C5091"/>
  <c r="B5091"/>
  <c r="A5091"/>
  <c r="C5090"/>
  <c r="B5090"/>
  <c r="A5090"/>
  <c r="C5089"/>
  <c r="B5089"/>
  <c r="A5089"/>
  <c r="C5088"/>
  <c r="B5088"/>
  <c r="A5088"/>
  <c r="C5087"/>
  <c r="B5087"/>
  <c r="A5087"/>
  <c r="C5086"/>
  <c r="B5086"/>
  <c r="A5086"/>
  <c r="C5085"/>
  <c r="B5085"/>
  <c r="A5085"/>
  <c r="C5084"/>
  <c r="B5084"/>
  <c r="A5084"/>
  <c r="C5083"/>
  <c r="B5083"/>
  <c r="A5083"/>
  <c r="C5082"/>
  <c r="B5082"/>
  <c r="A5082"/>
  <c r="C5081"/>
  <c r="B5081"/>
  <c r="A5081"/>
  <c r="C5080"/>
  <c r="B5080"/>
  <c r="A5080"/>
  <c r="C5079"/>
  <c r="B5079"/>
  <c r="A5079"/>
  <c r="C5078"/>
  <c r="B5078"/>
  <c r="A5078"/>
  <c r="C5077"/>
  <c r="B5077"/>
  <c r="A5077"/>
  <c r="C5076"/>
  <c r="B5076"/>
  <c r="A5076"/>
  <c r="C5075"/>
  <c r="B5075"/>
  <c r="A5075"/>
  <c r="C5074"/>
  <c r="B5074"/>
  <c r="A5074"/>
  <c r="C5073"/>
  <c r="B5073"/>
  <c r="A5073"/>
  <c r="C5072"/>
  <c r="B5072"/>
  <c r="A5072"/>
  <c r="C5071"/>
  <c r="B5071"/>
  <c r="A5071"/>
  <c r="C5070"/>
  <c r="B5070"/>
  <c r="A5070"/>
  <c r="C5069"/>
  <c r="B5069"/>
  <c r="A5069"/>
  <c r="C5068"/>
  <c r="B5068"/>
  <c r="A5068"/>
  <c r="C5067"/>
  <c r="B5067"/>
  <c r="A5067"/>
  <c r="C5066"/>
  <c r="B5066"/>
  <c r="A5066"/>
  <c r="C5065"/>
  <c r="B5065"/>
  <c r="A5065"/>
  <c r="C5064"/>
  <c r="B5064"/>
  <c r="A5064"/>
  <c r="C5063"/>
  <c r="B5063"/>
  <c r="A5063"/>
  <c r="C5062"/>
  <c r="B5062"/>
  <c r="A5062"/>
  <c r="C5061"/>
  <c r="B5061"/>
  <c r="A5061"/>
  <c r="C5060"/>
  <c r="B5060"/>
  <c r="A5060"/>
  <c r="C5059"/>
  <c r="B5059"/>
  <c r="A5059"/>
  <c r="C5058"/>
  <c r="B5058"/>
  <c r="A5058"/>
  <c r="C5057"/>
  <c r="B5057"/>
  <c r="A5057"/>
  <c r="C5056"/>
  <c r="B5056"/>
  <c r="A5056"/>
  <c r="C5055"/>
  <c r="B5055"/>
  <c r="A5055"/>
  <c r="C5054"/>
  <c r="B5054"/>
  <c r="A5054"/>
  <c r="C5053"/>
  <c r="B5053"/>
  <c r="A5053"/>
  <c r="C5052"/>
  <c r="B5052"/>
  <c r="A5052"/>
  <c r="C5051"/>
  <c r="B5051"/>
  <c r="A5051"/>
  <c r="C5050"/>
  <c r="B5050"/>
  <c r="A5050"/>
  <c r="C5049"/>
  <c r="B5049"/>
  <c r="A5049"/>
  <c r="C5048"/>
  <c r="B5048"/>
  <c r="A5048"/>
  <c r="C5047"/>
  <c r="B5047"/>
  <c r="A5047"/>
  <c r="C5046"/>
  <c r="B5046"/>
  <c r="A5046"/>
  <c r="C5045"/>
  <c r="B5045"/>
  <c r="A5045"/>
  <c r="C5044"/>
  <c r="B5044"/>
  <c r="A5044"/>
  <c r="C5043"/>
  <c r="B5043"/>
  <c r="A5043"/>
  <c r="C5042"/>
  <c r="B5042"/>
  <c r="A5042"/>
  <c r="C5041"/>
  <c r="B5041"/>
  <c r="A5041"/>
  <c r="C5040"/>
  <c r="B5040"/>
  <c r="A5040"/>
  <c r="C5039"/>
  <c r="B5039"/>
  <c r="A5039"/>
  <c r="C5038"/>
  <c r="B5038"/>
  <c r="A5038"/>
  <c r="C5037"/>
  <c r="B5037"/>
  <c r="A5037"/>
  <c r="C5036"/>
  <c r="B5036"/>
  <c r="A5036"/>
  <c r="C5035"/>
  <c r="B5035"/>
  <c r="A5035"/>
  <c r="C5034"/>
  <c r="B5034"/>
  <c r="A5034"/>
  <c r="C5033"/>
  <c r="B5033"/>
  <c r="A5033"/>
  <c r="C5032"/>
  <c r="B5032"/>
  <c r="A5032"/>
  <c r="C5031"/>
  <c r="B5031"/>
  <c r="A5031"/>
  <c r="C5030"/>
  <c r="B5030"/>
  <c r="A5030"/>
  <c r="C5029"/>
  <c r="B5029"/>
  <c r="A5029"/>
  <c r="C5028"/>
  <c r="B5028"/>
  <c r="A5028"/>
  <c r="C5027"/>
  <c r="B5027"/>
  <c r="A5027"/>
  <c r="C5026"/>
  <c r="B5026"/>
  <c r="A5026"/>
  <c r="C5025"/>
  <c r="B5025"/>
  <c r="A5025"/>
  <c r="C5024"/>
  <c r="B5024"/>
  <c r="A5024"/>
  <c r="C5023"/>
  <c r="B5023"/>
  <c r="A5023"/>
  <c r="C5022"/>
  <c r="B5022"/>
  <c r="A5022"/>
  <c r="C5021"/>
  <c r="B5021"/>
  <c r="A5021"/>
  <c r="C5020"/>
  <c r="B5020"/>
  <c r="A5020"/>
  <c r="C5019"/>
  <c r="B5019"/>
  <c r="A5019"/>
  <c r="C5018"/>
  <c r="B5018"/>
  <c r="A5018"/>
  <c r="C5017"/>
  <c r="B5017"/>
  <c r="A5017"/>
  <c r="C5016"/>
  <c r="B5016"/>
  <c r="A5016"/>
  <c r="C5015"/>
  <c r="B5015"/>
  <c r="A5015"/>
  <c r="C5014"/>
  <c r="B5014"/>
  <c r="A5014"/>
  <c r="C5013"/>
  <c r="B5013"/>
  <c r="A5013"/>
  <c r="C5012"/>
  <c r="B5012"/>
  <c r="A5012"/>
  <c r="C5011"/>
  <c r="B5011"/>
  <c r="A5011"/>
  <c r="C5010"/>
  <c r="B5010"/>
  <c r="A5010"/>
  <c r="C5009"/>
  <c r="B5009"/>
  <c r="A5009"/>
  <c r="C5008"/>
  <c r="B5008"/>
  <c r="A5008"/>
  <c r="C5007"/>
  <c r="B5007"/>
  <c r="A5007"/>
  <c r="C5006"/>
  <c r="B5006"/>
  <c r="A5006"/>
  <c r="C5005"/>
  <c r="B5005"/>
  <c r="A5005"/>
  <c r="C5004"/>
  <c r="B5004"/>
  <c r="A5004"/>
  <c r="C5003"/>
  <c r="B5003"/>
  <c r="A5003"/>
  <c r="C5002"/>
  <c r="B5002"/>
  <c r="A5002"/>
  <c r="C5001"/>
  <c r="B5001"/>
  <c r="A5001"/>
  <c r="C5000"/>
  <c r="B5000"/>
  <c r="A5000"/>
  <c r="C4999"/>
  <c r="B4999"/>
  <c r="A4999"/>
  <c r="C4998"/>
  <c r="B4998"/>
  <c r="A4998"/>
  <c r="C4997"/>
  <c r="B4997"/>
  <c r="A4997"/>
  <c r="C4996"/>
  <c r="B4996"/>
  <c r="A4996"/>
  <c r="C4995"/>
  <c r="B4995"/>
  <c r="A4995"/>
  <c r="C4994"/>
  <c r="B4994"/>
  <c r="A4994"/>
  <c r="C4993"/>
  <c r="B4993"/>
  <c r="A4993"/>
  <c r="C4992"/>
  <c r="B4992"/>
  <c r="A4992"/>
  <c r="C4991"/>
  <c r="B4991"/>
  <c r="A4991"/>
  <c r="C4990"/>
  <c r="B4990"/>
  <c r="A4990"/>
  <c r="C4989"/>
  <c r="B4989"/>
  <c r="A4989"/>
  <c r="C4988"/>
  <c r="B4988"/>
  <c r="A4988"/>
  <c r="C4987"/>
  <c r="B4987"/>
  <c r="A4987"/>
  <c r="C4986"/>
  <c r="B4986"/>
  <c r="A4986"/>
  <c r="C4985"/>
  <c r="B4985"/>
  <c r="A4985"/>
  <c r="C4984"/>
  <c r="B4984"/>
  <c r="A4984"/>
  <c r="C4983"/>
  <c r="B4983"/>
  <c r="A4983"/>
  <c r="C4982"/>
  <c r="B4982"/>
  <c r="A4982"/>
  <c r="C4981"/>
  <c r="B4981"/>
  <c r="A4981"/>
  <c r="C4980"/>
  <c r="B4980"/>
  <c r="A4980"/>
  <c r="C4979"/>
  <c r="B4979"/>
  <c r="A4979"/>
  <c r="C4978"/>
  <c r="B4978"/>
  <c r="A4978"/>
  <c r="C4977"/>
  <c r="B4977"/>
  <c r="A4977"/>
  <c r="C4976"/>
  <c r="B4976"/>
  <c r="A4976"/>
  <c r="C4975"/>
  <c r="B4975"/>
  <c r="A4975"/>
  <c r="C4974"/>
  <c r="B4974"/>
  <c r="A4974"/>
  <c r="C4973"/>
  <c r="B4973"/>
  <c r="A4973"/>
  <c r="C4972"/>
  <c r="B4972"/>
  <c r="A4972"/>
  <c r="C4971"/>
  <c r="B4971"/>
  <c r="A4971"/>
  <c r="C4970"/>
  <c r="B4970"/>
  <c r="A4970"/>
  <c r="C4969"/>
  <c r="B4969"/>
  <c r="A4969"/>
  <c r="C4968"/>
  <c r="B4968"/>
  <c r="A4968"/>
  <c r="C4967"/>
  <c r="B4967"/>
  <c r="A4967"/>
  <c r="C4966"/>
  <c r="B4966"/>
  <c r="A4966"/>
  <c r="C4965"/>
  <c r="B4965"/>
  <c r="A4965"/>
  <c r="C4964"/>
  <c r="B4964"/>
  <c r="A4964"/>
  <c r="C4963"/>
  <c r="B4963"/>
  <c r="A4963"/>
  <c r="C4962"/>
  <c r="B4962"/>
  <c r="A4962"/>
  <c r="C4961"/>
  <c r="B4961"/>
  <c r="A4961"/>
  <c r="C4960"/>
  <c r="B4960"/>
  <c r="A4960"/>
  <c r="C4959"/>
  <c r="B4959"/>
  <c r="A4959"/>
  <c r="C4958"/>
  <c r="B4958"/>
  <c r="A4958"/>
  <c r="C4957"/>
  <c r="B4957"/>
  <c r="A4957"/>
  <c r="C4956"/>
  <c r="B4956"/>
  <c r="A4956"/>
  <c r="C4955"/>
  <c r="B4955"/>
  <c r="A4955"/>
  <c r="C4954"/>
  <c r="B4954"/>
  <c r="A4954"/>
  <c r="C4953"/>
  <c r="B4953"/>
  <c r="A4953"/>
  <c r="C4952"/>
  <c r="B4952"/>
  <c r="A4952"/>
  <c r="C4951"/>
  <c r="B4951"/>
  <c r="A4951"/>
  <c r="C4950"/>
  <c r="B4950"/>
  <c r="A4950"/>
  <c r="C4949"/>
  <c r="B4949"/>
  <c r="A4949"/>
  <c r="C4948"/>
  <c r="B4948"/>
  <c r="A4948"/>
  <c r="C4947"/>
  <c r="B4947"/>
  <c r="A4947"/>
  <c r="C4946"/>
  <c r="B4946"/>
  <c r="A4946"/>
  <c r="C4945"/>
  <c r="B4945"/>
  <c r="A4945"/>
  <c r="C4944"/>
  <c r="B4944"/>
  <c r="A4944"/>
  <c r="C4943"/>
  <c r="B4943"/>
  <c r="A4943"/>
  <c r="C4942"/>
  <c r="B4942"/>
  <c r="A4942"/>
  <c r="C4941"/>
  <c r="B4941"/>
  <c r="A4941"/>
  <c r="C4940"/>
  <c r="B4940"/>
  <c r="A4940"/>
  <c r="C4939"/>
  <c r="B4939"/>
  <c r="A4939"/>
  <c r="C4938"/>
  <c r="B4938"/>
  <c r="A4938"/>
  <c r="C4937"/>
  <c r="B4937"/>
  <c r="A4937"/>
  <c r="C4936"/>
  <c r="B4936"/>
  <c r="A4936"/>
  <c r="C4935"/>
  <c r="B4935"/>
  <c r="A4935"/>
  <c r="C4934"/>
  <c r="B4934"/>
  <c r="A4934"/>
  <c r="C4933"/>
  <c r="B4933"/>
  <c r="A4933"/>
  <c r="C4932"/>
  <c r="B4932"/>
  <c r="A4932"/>
  <c r="C4931"/>
  <c r="B4931"/>
  <c r="A4931"/>
  <c r="C4930"/>
  <c r="B4930"/>
  <c r="A4930"/>
  <c r="C4929"/>
  <c r="B4929"/>
  <c r="A4929"/>
  <c r="C4928"/>
  <c r="B4928"/>
  <c r="A4928"/>
  <c r="C4927"/>
  <c r="B4927"/>
  <c r="A4927"/>
  <c r="C4926"/>
  <c r="B4926"/>
  <c r="A4926"/>
  <c r="C4925"/>
  <c r="B4925"/>
  <c r="A4925"/>
  <c r="C4924"/>
  <c r="B4924"/>
  <c r="A4924"/>
  <c r="C4923"/>
  <c r="B4923"/>
  <c r="A4923"/>
  <c r="C4922"/>
  <c r="B4922"/>
  <c r="A4922"/>
  <c r="C4921"/>
  <c r="B4921"/>
  <c r="A4921"/>
  <c r="C4920"/>
  <c r="B4920"/>
  <c r="A4920"/>
  <c r="C4919"/>
  <c r="B4919"/>
  <c r="A4919"/>
  <c r="C4918"/>
  <c r="B4918"/>
  <c r="A4918"/>
  <c r="C4917"/>
  <c r="B4917"/>
  <c r="A4917"/>
  <c r="C4916"/>
  <c r="B4916"/>
  <c r="A4916"/>
  <c r="C4915"/>
  <c r="B4915"/>
  <c r="A4915"/>
  <c r="C4914"/>
  <c r="B4914"/>
  <c r="A4914"/>
  <c r="C4913"/>
  <c r="B4913"/>
  <c r="A4913"/>
  <c r="C4912"/>
  <c r="B4912"/>
  <c r="A4912"/>
  <c r="C4911"/>
  <c r="B4911"/>
  <c r="A4911"/>
  <c r="C4910"/>
  <c r="B4910"/>
  <c r="A4910"/>
  <c r="C4909"/>
  <c r="B4909"/>
  <c r="A4909"/>
  <c r="C4908"/>
  <c r="B4908"/>
  <c r="A4908"/>
  <c r="C4907"/>
  <c r="B4907"/>
  <c r="A4907"/>
  <c r="C4906"/>
  <c r="B4906"/>
  <c r="A4906"/>
  <c r="C4905"/>
  <c r="B4905"/>
  <c r="A4905"/>
  <c r="C4904"/>
  <c r="B4904"/>
  <c r="A4904"/>
  <c r="C4903"/>
  <c r="B4903"/>
  <c r="A4903"/>
  <c r="C4902"/>
  <c r="B4902"/>
  <c r="A4902"/>
  <c r="C4901"/>
  <c r="B4901"/>
  <c r="A4901"/>
  <c r="C4900"/>
  <c r="B4900"/>
  <c r="A4900"/>
  <c r="C4899"/>
  <c r="B4899"/>
  <c r="A4899"/>
  <c r="C4898"/>
  <c r="B4898"/>
  <c r="A4898"/>
  <c r="C4897"/>
  <c r="B4897"/>
  <c r="A4897"/>
  <c r="C4896"/>
  <c r="B4896"/>
  <c r="A4896"/>
  <c r="C4895"/>
  <c r="B4895"/>
  <c r="A4895"/>
  <c r="C4894"/>
  <c r="B4894"/>
  <c r="A4894"/>
  <c r="C4893"/>
  <c r="B4893"/>
  <c r="A4893"/>
  <c r="C4892"/>
  <c r="B4892"/>
  <c r="A4892"/>
  <c r="C4891"/>
  <c r="B4891"/>
  <c r="A4891"/>
  <c r="C4890"/>
  <c r="B4890"/>
  <c r="A4890"/>
  <c r="C4889"/>
  <c r="B4889"/>
  <c r="A4889"/>
  <c r="C4888"/>
  <c r="B4888"/>
  <c r="A4888"/>
  <c r="C4887"/>
  <c r="B4887"/>
  <c r="A4887"/>
  <c r="C4886"/>
  <c r="B4886"/>
  <c r="A4886"/>
  <c r="C4885"/>
  <c r="B4885"/>
  <c r="A4885"/>
  <c r="C4884"/>
  <c r="B4884"/>
  <c r="A4884"/>
  <c r="C4883"/>
  <c r="B4883"/>
  <c r="A4883"/>
  <c r="C4882"/>
  <c r="B4882"/>
  <c r="A4882"/>
  <c r="C4881"/>
  <c r="B4881"/>
  <c r="A4881"/>
  <c r="C4880"/>
  <c r="B4880"/>
  <c r="A4880"/>
  <c r="C4879"/>
  <c r="B4879"/>
  <c r="A4879"/>
  <c r="C4878"/>
  <c r="B4878"/>
  <c r="A4878"/>
  <c r="C4877"/>
  <c r="B4877"/>
  <c r="A4877"/>
  <c r="C4876"/>
  <c r="B4876"/>
  <c r="A4876"/>
  <c r="C4875"/>
  <c r="B4875"/>
  <c r="A4875"/>
  <c r="C4874"/>
  <c r="B4874"/>
  <c r="A4874"/>
  <c r="C4873"/>
  <c r="B4873"/>
  <c r="A4873"/>
  <c r="C4872"/>
  <c r="B4872"/>
  <c r="A4872"/>
  <c r="C4871"/>
  <c r="B4871"/>
  <c r="A4871"/>
  <c r="C4870"/>
  <c r="B4870"/>
  <c r="A4870"/>
  <c r="C4869"/>
  <c r="B4869"/>
  <c r="A4869"/>
  <c r="C4868"/>
  <c r="B4868"/>
  <c r="A4868"/>
  <c r="C4867"/>
  <c r="B4867"/>
  <c r="A4867"/>
  <c r="C4866"/>
  <c r="B4866"/>
  <c r="A4866"/>
  <c r="C4865"/>
  <c r="B4865"/>
  <c r="A4865"/>
  <c r="C4864"/>
  <c r="B4864"/>
  <c r="A4864"/>
  <c r="C4863"/>
  <c r="B4863"/>
  <c r="A4863"/>
  <c r="C4862"/>
  <c r="B4862"/>
  <c r="A4862"/>
  <c r="C4861"/>
  <c r="B4861"/>
  <c r="A4861"/>
  <c r="C4860"/>
  <c r="B4860"/>
  <c r="A4860"/>
  <c r="C4859"/>
  <c r="B4859"/>
  <c r="A4859"/>
  <c r="C4858"/>
  <c r="B4858"/>
  <c r="A4858"/>
  <c r="C4857"/>
  <c r="B4857"/>
  <c r="A4857"/>
  <c r="C4856"/>
  <c r="B4856"/>
  <c r="A4856"/>
  <c r="C4855"/>
  <c r="B4855"/>
  <c r="A4855"/>
  <c r="C4854"/>
  <c r="B4854"/>
  <c r="A4854"/>
  <c r="C4853"/>
  <c r="B4853"/>
  <c r="A4853"/>
  <c r="C4852"/>
  <c r="B4852"/>
  <c r="A4852"/>
  <c r="C4851"/>
  <c r="B4851"/>
  <c r="A4851"/>
  <c r="C4850"/>
  <c r="B4850"/>
  <c r="A4850"/>
  <c r="C4849"/>
  <c r="B4849"/>
  <c r="A4849"/>
  <c r="C4848"/>
  <c r="B4848"/>
  <c r="A4848"/>
  <c r="C4847"/>
  <c r="B4847"/>
  <c r="A4847"/>
  <c r="C4846"/>
  <c r="B4846"/>
  <c r="A4846"/>
  <c r="C4845"/>
  <c r="B4845"/>
  <c r="A4845"/>
  <c r="C4844"/>
  <c r="B4844"/>
  <c r="A4844"/>
  <c r="C4843"/>
  <c r="B4843"/>
  <c r="A4843"/>
  <c r="C4842"/>
  <c r="B4842"/>
  <c r="A4842"/>
  <c r="C4841"/>
  <c r="B4841"/>
  <c r="A4841"/>
  <c r="C4840"/>
  <c r="B4840"/>
  <c r="A4840"/>
  <c r="C4839"/>
  <c r="B4839"/>
  <c r="A4839"/>
  <c r="C4838"/>
  <c r="B4838"/>
  <c r="A4838"/>
  <c r="C4837"/>
  <c r="B4837"/>
  <c r="A4837"/>
  <c r="C4836"/>
  <c r="B4836"/>
  <c r="A4836"/>
  <c r="C4835"/>
  <c r="B4835"/>
  <c r="A4835"/>
  <c r="C4834"/>
  <c r="B4834"/>
  <c r="A4834"/>
  <c r="C4833"/>
  <c r="B4833"/>
  <c r="A4833"/>
  <c r="C4832"/>
  <c r="B4832"/>
  <c r="A4832"/>
  <c r="C4831"/>
  <c r="B4831"/>
  <c r="A4831"/>
  <c r="C4830"/>
  <c r="B4830"/>
  <c r="A4830"/>
  <c r="C4829"/>
  <c r="B4829"/>
  <c r="A4829"/>
  <c r="C4828"/>
  <c r="B4828"/>
  <c r="A4828"/>
  <c r="C4827"/>
  <c r="B4827"/>
  <c r="A4827"/>
  <c r="C4826"/>
  <c r="B4826"/>
  <c r="A4826"/>
  <c r="C4825"/>
  <c r="B4825"/>
  <c r="A4825"/>
  <c r="C4824"/>
  <c r="B4824"/>
  <c r="A4824"/>
  <c r="C4823"/>
  <c r="B4823"/>
  <c r="A4823"/>
  <c r="C4822"/>
  <c r="B4822"/>
  <c r="A4822"/>
  <c r="C4821"/>
  <c r="B4821"/>
  <c r="A4821"/>
  <c r="C4820"/>
  <c r="B4820"/>
  <c r="A4820"/>
  <c r="C4819"/>
  <c r="B4819"/>
  <c r="A4819"/>
  <c r="C4818"/>
  <c r="B4818"/>
  <c r="A4818"/>
  <c r="C4817"/>
  <c r="B4817"/>
  <c r="A4817"/>
  <c r="C4816"/>
  <c r="B4816"/>
  <c r="A4816"/>
  <c r="C4815"/>
  <c r="B4815"/>
  <c r="A4815"/>
  <c r="C4814"/>
  <c r="B4814"/>
  <c r="A4814"/>
  <c r="C4813"/>
  <c r="B4813"/>
  <c r="A4813"/>
  <c r="C4812"/>
  <c r="B4812"/>
  <c r="A4812"/>
  <c r="C4811"/>
  <c r="B4811"/>
  <c r="A4811"/>
  <c r="C4810"/>
  <c r="B4810"/>
  <c r="A4810"/>
  <c r="C4809"/>
  <c r="B4809"/>
  <c r="A4809"/>
  <c r="C4808"/>
  <c r="B4808"/>
  <c r="A4808"/>
  <c r="C4807"/>
  <c r="B4807"/>
  <c r="A4807"/>
  <c r="C4806"/>
  <c r="B4806"/>
  <c r="A4806"/>
  <c r="C4805"/>
  <c r="B4805"/>
  <c r="A4805"/>
  <c r="C4804"/>
  <c r="B4804"/>
  <c r="A4804"/>
  <c r="C4803"/>
  <c r="B4803"/>
  <c r="A4803"/>
  <c r="C4802"/>
  <c r="B4802"/>
  <c r="A4802"/>
  <c r="C4801"/>
  <c r="B4801"/>
  <c r="A4801"/>
  <c r="C4800"/>
  <c r="B4800"/>
  <c r="A4800"/>
  <c r="C4799"/>
  <c r="B4799"/>
  <c r="A4799"/>
  <c r="C4798"/>
  <c r="B4798"/>
  <c r="A4798"/>
  <c r="C4797"/>
  <c r="B4797"/>
  <c r="A4797"/>
  <c r="C4796"/>
  <c r="B4796"/>
  <c r="A4796"/>
  <c r="C4795"/>
  <c r="B4795"/>
  <c r="A4795"/>
  <c r="C4794"/>
  <c r="B4794"/>
  <c r="A4794"/>
  <c r="C4793"/>
  <c r="B4793"/>
  <c r="A4793"/>
  <c r="C4792"/>
  <c r="B4792"/>
  <c r="A4792"/>
  <c r="C4791"/>
  <c r="B4791"/>
  <c r="A4791"/>
  <c r="C4790"/>
  <c r="B4790"/>
  <c r="A4790"/>
  <c r="C4789"/>
  <c r="B4789"/>
  <c r="A4789"/>
  <c r="C4788"/>
  <c r="B4788"/>
  <c r="A4788"/>
  <c r="C4787"/>
  <c r="B4787"/>
  <c r="A4787"/>
  <c r="C4786"/>
  <c r="B4786"/>
  <c r="A4786"/>
  <c r="C4785"/>
  <c r="B4785"/>
  <c r="A4785"/>
  <c r="C4784"/>
  <c r="B4784"/>
  <c r="A4784"/>
  <c r="C4783"/>
  <c r="B4783"/>
  <c r="A4783"/>
  <c r="C4782"/>
  <c r="B4782"/>
  <c r="A4782"/>
  <c r="C4781"/>
  <c r="B4781"/>
  <c r="A4781"/>
  <c r="C4780"/>
  <c r="B4780"/>
  <c r="A4780"/>
  <c r="C4779"/>
  <c r="B4779"/>
  <c r="A4779"/>
  <c r="C4778"/>
  <c r="B4778"/>
  <c r="A4778"/>
  <c r="C4777"/>
  <c r="B4777"/>
  <c r="A4777"/>
  <c r="C4776"/>
  <c r="B4776"/>
  <c r="A4776"/>
  <c r="C4775"/>
  <c r="B4775"/>
  <c r="A4775"/>
  <c r="C4774"/>
  <c r="B4774"/>
  <c r="A4774"/>
  <c r="C4773"/>
  <c r="B4773"/>
  <c r="A4773"/>
  <c r="C4772"/>
  <c r="B4772"/>
  <c r="A4772"/>
  <c r="C4771"/>
  <c r="B4771"/>
  <c r="A4771"/>
  <c r="C4770"/>
  <c r="B4770"/>
  <c r="A4770"/>
  <c r="C4769"/>
  <c r="B4769"/>
  <c r="A4769"/>
  <c r="C4768"/>
  <c r="B4768"/>
  <c r="A4768"/>
  <c r="C4767"/>
  <c r="B4767"/>
  <c r="A4767"/>
  <c r="C4766"/>
  <c r="B4766"/>
  <c r="A4766"/>
  <c r="C4765"/>
  <c r="B4765"/>
  <c r="A4765"/>
  <c r="C4764"/>
  <c r="B4764"/>
  <c r="A4764"/>
  <c r="C4763"/>
  <c r="B4763"/>
  <c r="A4763"/>
  <c r="C4762"/>
  <c r="B4762"/>
  <c r="A4762"/>
  <c r="C4761"/>
  <c r="B4761"/>
  <c r="A4761"/>
  <c r="C4760"/>
  <c r="B4760"/>
  <c r="A4760"/>
  <c r="C4759"/>
  <c r="B4759"/>
  <c r="A4759"/>
  <c r="C4758"/>
  <c r="B4758"/>
  <c r="A4758"/>
  <c r="C4757"/>
  <c r="B4757"/>
  <c r="A4757"/>
  <c r="C4756"/>
  <c r="B4756"/>
  <c r="A4756"/>
  <c r="C4755"/>
  <c r="B4755"/>
  <c r="A4755"/>
  <c r="C4754"/>
  <c r="B4754"/>
  <c r="A4754"/>
  <c r="C4753"/>
  <c r="B4753"/>
  <c r="A4753"/>
  <c r="C4752"/>
  <c r="B4752"/>
  <c r="A4752"/>
  <c r="C4751"/>
  <c r="B4751"/>
  <c r="A4751"/>
  <c r="C4750"/>
  <c r="B4750"/>
  <c r="A4750"/>
  <c r="C4749"/>
  <c r="B4749"/>
  <c r="A4749"/>
  <c r="C4748"/>
  <c r="B4748"/>
  <c r="A4748"/>
  <c r="C4747"/>
  <c r="B4747"/>
  <c r="A4747"/>
  <c r="C4746"/>
  <c r="B4746"/>
  <c r="A4746"/>
  <c r="C4745"/>
  <c r="B4745"/>
  <c r="A4745"/>
  <c r="C4744"/>
  <c r="B4744"/>
  <c r="A4744"/>
  <c r="C4743"/>
  <c r="B4743"/>
  <c r="A4743"/>
  <c r="C4742"/>
  <c r="B4742"/>
  <c r="A4742"/>
  <c r="C4741"/>
  <c r="B4741"/>
  <c r="A4741"/>
  <c r="C4740"/>
  <c r="B4740"/>
  <c r="A4740"/>
  <c r="C4739"/>
  <c r="B4739"/>
  <c r="A4739"/>
  <c r="C4738"/>
  <c r="B4738"/>
  <c r="A4738"/>
  <c r="C4737"/>
  <c r="B4737"/>
  <c r="A4737"/>
  <c r="C4736"/>
  <c r="B4736"/>
  <c r="A4736"/>
  <c r="C4735"/>
  <c r="B4735"/>
  <c r="A4735"/>
  <c r="C4734"/>
  <c r="B4734"/>
  <c r="A4734"/>
  <c r="C4733"/>
  <c r="B4733"/>
  <c r="A4733"/>
  <c r="C4732"/>
  <c r="B4732"/>
  <c r="A4732"/>
  <c r="C4731"/>
  <c r="B4731"/>
  <c r="A4731"/>
  <c r="C4730"/>
  <c r="B4730"/>
  <c r="A4730"/>
  <c r="C4729"/>
  <c r="B4729"/>
  <c r="A4729"/>
  <c r="C4728"/>
  <c r="B4728"/>
  <c r="A4728"/>
  <c r="C4727"/>
  <c r="B4727"/>
  <c r="A4727"/>
  <c r="C4726"/>
  <c r="B4726"/>
  <c r="A4726"/>
  <c r="C4725"/>
  <c r="B4725"/>
  <c r="A4725"/>
  <c r="C4724"/>
  <c r="B4724"/>
  <c r="A4724"/>
  <c r="C4723"/>
  <c r="B4723"/>
  <c r="A4723"/>
  <c r="C4722"/>
  <c r="B4722"/>
  <c r="A4722"/>
  <c r="C4721"/>
  <c r="B4721"/>
  <c r="A4721"/>
  <c r="C4720"/>
  <c r="B4720"/>
  <c r="A4720"/>
  <c r="C4719"/>
  <c r="B4719"/>
  <c r="A4719"/>
  <c r="C4718"/>
  <c r="B4718"/>
  <c r="A4718"/>
  <c r="C4717"/>
  <c r="B4717"/>
  <c r="A4717"/>
  <c r="C4716"/>
  <c r="B4716"/>
  <c r="A4716"/>
  <c r="C4715"/>
  <c r="B4715"/>
  <c r="A4715"/>
  <c r="C4714"/>
  <c r="B4714"/>
  <c r="A4714"/>
  <c r="C4713"/>
  <c r="B4713"/>
  <c r="A4713"/>
  <c r="C4712"/>
  <c r="B4712"/>
  <c r="A4712"/>
  <c r="C4711"/>
  <c r="B4711"/>
  <c r="A4711"/>
  <c r="C4710"/>
  <c r="B4710"/>
  <c r="A4710"/>
  <c r="C4709"/>
  <c r="B4709"/>
  <c r="A4709"/>
  <c r="C4708"/>
  <c r="B4708"/>
  <c r="A4708"/>
  <c r="C4707"/>
  <c r="B4707"/>
  <c r="A4707"/>
  <c r="C4706"/>
  <c r="B4706"/>
  <c r="A4706"/>
  <c r="C4705"/>
  <c r="B4705"/>
  <c r="A4705"/>
  <c r="C4704"/>
  <c r="B4704"/>
  <c r="A4704"/>
  <c r="C4703"/>
  <c r="B4703"/>
  <c r="A4703"/>
  <c r="C4702"/>
  <c r="B4702"/>
  <c r="A4702"/>
  <c r="C4701"/>
  <c r="B4701"/>
  <c r="A4701"/>
  <c r="C4700"/>
  <c r="B4700"/>
  <c r="A4700"/>
  <c r="C4699"/>
  <c r="B4699"/>
  <c r="A4699"/>
  <c r="C4698"/>
  <c r="B4698"/>
  <c r="A4698"/>
  <c r="C4697"/>
  <c r="B4697"/>
  <c r="A4697"/>
  <c r="C4696"/>
  <c r="B4696"/>
  <c r="A4696"/>
  <c r="C4695"/>
  <c r="B4695"/>
  <c r="A4695"/>
  <c r="C4694"/>
  <c r="B4694"/>
  <c r="A4694"/>
  <c r="C4693"/>
  <c r="B4693"/>
  <c r="A4693"/>
  <c r="C4692"/>
  <c r="B4692"/>
  <c r="A4692"/>
  <c r="C4691"/>
  <c r="B4691"/>
  <c r="A4691"/>
  <c r="C4690"/>
  <c r="B4690"/>
  <c r="A4690"/>
  <c r="C4689"/>
  <c r="B4689"/>
  <c r="A4689"/>
  <c r="C4688"/>
  <c r="B4688"/>
  <c r="A4688"/>
  <c r="C4687"/>
  <c r="B4687"/>
  <c r="A4687"/>
  <c r="C4686"/>
  <c r="B4686"/>
  <c r="A4686"/>
  <c r="C4685"/>
  <c r="B4685"/>
  <c r="A4685"/>
  <c r="C4684"/>
  <c r="B4684"/>
  <c r="A4684"/>
  <c r="C4683"/>
  <c r="B4683"/>
  <c r="A4683"/>
  <c r="C4682"/>
  <c r="B4682"/>
  <c r="A4682"/>
  <c r="C4681"/>
  <c r="B4681"/>
  <c r="A4681"/>
  <c r="C4680"/>
  <c r="B4680"/>
  <c r="A4680"/>
  <c r="C4679"/>
  <c r="B4679"/>
  <c r="A4679"/>
  <c r="C4678"/>
  <c r="B4678"/>
  <c r="A4678"/>
  <c r="C4677"/>
  <c r="B4677"/>
  <c r="A4677"/>
  <c r="C4676"/>
  <c r="B4676"/>
  <c r="A4676"/>
  <c r="C4675"/>
  <c r="B4675"/>
  <c r="A4675"/>
  <c r="C4674"/>
  <c r="B4674"/>
  <c r="A4674"/>
  <c r="C4673"/>
  <c r="B4673"/>
  <c r="A4673"/>
  <c r="C4672"/>
  <c r="B4672"/>
  <c r="A4672"/>
  <c r="C4671"/>
  <c r="B4671"/>
  <c r="A4671"/>
  <c r="C4670"/>
  <c r="B4670"/>
  <c r="A4670"/>
  <c r="C4669"/>
  <c r="B4669"/>
  <c r="A4669"/>
  <c r="C4668"/>
  <c r="B4668"/>
  <c r="A4668"/>
  <c r="C4667"/>
  <c r="B4667"/>
  <c r="A4667"/>
  <c r="C4666"/>
  <c r="B4666"/>
  <c r="A4666"/>
  <c r="C4665"/>
  <c r="B4665"/>
  <c r="A4665"/>
  <c r="C4664"/>
  <c r="B4664"/>
  <c r="A4664"/>
  <c r="C4663"/>
  <c r="B4663"/>
  <c r="A4663"/>
  <c r="C4662"/>
  <c r="B4662"/>
  <c r="A4662"/>
  <c r="C4661"/>
  <c r="B4661"/>
  <c r="A4661"/>
  <c r="C4660"/>
  <c r="B4660"/>
  <c r="A4660"/>
  <c r="C4659"/>
  <c r="B4659"/>
  <c r="A4659"/>
  <c r="C4658"/>
  <c r="B4658"/>
  <c r="A4658"/>
  <c r="C4657"/>
  <c r="B4657"/>
  <c r="A4657"/>
  <c r="C4656"/>
  <c r="B4656"/>
  <c r="A4656"/>
  <c r="C4655"/>
  <c r="B4655"/>
  <c r="A4655"/>
  <c r="C4654"/>
  <c r="B4654"/>
  <c r="A4654"/>
  <c r="C4653"/>
  <c r="B4653"/>
  <c r="A4653"/>
  <c r="C4652"/>
  <c r="B4652"/>
  <c r="A4652"/>
  <c r="C4651"/>
  <c r="B4651"/>
  <c r="A4651"/>
  <c r="C4650"/>
  <c r="B4650"/>
  <c r="A4650"/>
  <c r="C4649"/>
  <c r="B4649"/>
  <c r="A4649"/>
  <c r="C4648"/>
  <c r="B4648"/>
  <c r="A4648"/>
  <c r="C4647"/>
  <c r="B4647"/>
  <c r="A4647"/>
  <c r="C4646"/>
  <c r="B4646"/>
  <c r="A4646"/>
  <c r="C4645"/>
  <c r="B4645"/>
  <c r="A4645"/>
  <c r="C4644"/>
  <c r="B4644"/>
  <c r="A4644"/>
  <c r="C4643"/>
  <c r="B4643"/>
  <c r="A4643"/>
  <c r="C4642"/>
  <c r="B4642"/>
  <c r="A4642"/>
  <c r="C4641"/>
  <c r="B4641"/>
  <c r="A4641"/>
  <c r="C4640"/>
  <c r="B4640"/>
  <c r="A4640"/>
  <c r="C4639"/>
  <c r="B4639"/>
  <c r="A4639"/>
  <c r="C4638"/>
  <c r="B4638"/>
  <c r="A4638"/>
  <c r="C4637"/>
  <c r="B4637"/>
  <c r="A4637"/>
  <c r="C4636"/>
  <c r="B4636"/>
  <c r="A4636"/>
  <c r="C4635"/>
  <c r="B4635"/>
  <c r="A4635"/>
  <c r="C4634"/>
  <c r="B4634"/>
  <c r="A4634"/>
  <c r="C4633"/>
  <c r="B4633"/>
  <c r="A4633"/>
  <c r="C4632"/>
  <c r="B4632"/>
  <c r="A4632"/>
  <c r="C4631"/>
  <c r="B4631"/>
  <c r="A4631"/>
  <c r="C4630"/>
  <c r="B4630"/>
  <c r="A4630"/>
  <c r="C4629"/>
  <c r="B4629"/>
  <c r="A4629"/>
  <c r="C4628"/>
  <c r="B4628"/>
  <c r="A4628"/>
  <c r="C4627"/>
  <c r="B4627"/>
  <c r="A4627"/>
  <c r="C4626"/>
  <c r="B4626"/>
  <c r="A4626"/>
  <c r="C4625"/>
  <c r="B4625"/>
  <c r="A4625"/>
  <c r="C4624"/>
  <c r="B4624"/>
  <c r="A4624"/>
  <c r="C4623"/>
  <c r="B4623"/>
  <c r="A4623"/>
  <c r="C4622"/>
  <c r="B4622"/>
  <c r="A4622"/>
  <c r="C4621"/>
  <c r="B4621"/>
  <c r="A4621"/>
  <c r="C4620"/>
  <c r="B4620"/>
  <c r="A4620"/>
  <c r="C4619"/>
  <c r="B4619"/>
  <c r="A4619"/>
  <c r="C4618"/>
  <c r="B4618"/>
  <c r="A4618"/>
  <c r="C4617"/>
  <c r="B4617"/>
  <c r="A4617"/>
  <c r="C4616"/>
  <c r="B4616"/>
  <c r="A4616"/>
  <c r="C4615"/>
  <c r="B4615"/>
  <c r="A4615"/>
  <c r="C4614"/>
  <c r="B4614"/>
  <c r="A4614"/>
  <c r="C4613"/>
  <c r="B4613"/>
  <c r="A4613"/>
  <c r="C4612"/>
  <c r="B4612"/>
  <c r="A4612"/>
  <c r="C4611"/>
  <c r="B4611"/>
  <c r="A4611"/>
  <c r="C4610"/>
  <c r="B4610"/>
  <c r="A4610"/>
  <c r="C4609"/>
  <c r="B4609"/>
  <c r="A4609"/>
  <c r="C4608"/>
  <c r="B4608"/>
  <c r="A4608"/>
  <c r="C4607"/>
  <c r="B4607"/>
  <c r="A4607"/>
  <c r="C4606"/>
  <c r="B4606"/>
  <c r="A4606"/>
  <c r="C4605"/>
  <c r="B4605"/>
  <c r="A4605"/>
  <c r="C4604"/>
  <c r="B4604"/>
  <c r="A4604"/>
  <c r="C4603"/>
  <c r="B4603"/>
  <c r="A4603"/>
  <c r="C4602"/>
  <c r="B4602"/>
  <c r="A4602"/>
  <c r="C4601"/>
  <c r="B4601"/>
  <c r="A4601"/>
  <c r="C4600"/>
  <c r="B4600"/>
  <c r="A4600"/>
  <c r="C4599"/>
  <c r="B4599"/>
  <c r="A4599"/>
  <c r="C4598"/>
  <c r="B4598"/>
  <c r="A4598"/>
  <c r="C4597"/>
  <c r="B4597"/>
  <c r="A4597"/>
  <c r="C4596"/>
  <c r="B4596"/>
  <c r="A4596"/>
  <c r="C4595"/>
  <c r="B4595"/>
  <c r="A4595"/>
  <c r="C4594"/>
  <c r="B4594"/>
  <c r="A4594"/>
  <c r="C4593"/>
  <c r="B4593"/>
  <c r="A4593"/>
  <c r="C4592"/>
  <c r="B4592"/>
  <c r="A4592"/>
  <c r="C4591"/>
  <c r="B4591"/>
  <c r="A4591"/>
  <c r="C4590"/>
  <c r="B4590"/>
  <c r="A4590"/>
  <c r="C4589"/>
  <c r="B4589"/>
  <c r="A4589"/>
  <c r="C4588"/>
  <c r="B4588"/>
  <c r="A4588"/>
  <c r="C4587"/>
  <c r="B4587"/>
  <c r="A4587"/>
  <c r="C4586"/>
  <c r="B4586"/>
  <c r="A4586"/>
  <c r="C4585"/>
  <c r="B4585"/>
  <c r="A4585"/>
  <c r="C4584"/>
  <c r="B4584"/>
  <c r="A4584"/>
  <c r="C4583"/>
  <c r="B4583"/>
  <c r="A4583"/>
  <c r="C4582"/>
  <c r="B4582"/>
  <c r="A4582"/>
  <c r="C4581"/>
  <c r="B4581"/>
  <c r="A4581"/>
  <c r="C4580"/>
  <c r="B4580"/>
  <c r="A4580"/>
  <c r="C4579"/>
  <c r="B4579"/>
  <c r="A4579"/>
  <c r="C4578"/>
  <c r="B4578"/>
  <c r="A4578"/>
  <c r="C4577"/>
  <c r="B4577"/>
  <c r="A4577"/>
  <c r="C4576"/>
  <c r="B4576"/>
  <c r="A4576"/>
  <c r="C4575"/>
  <c r="B4575"/>
  <c r="A4575"/>
  <c r="C4574"/>
  <c r="B4574"/>
  <c r="A4574"/>
  <c r="C4573"/>
  <c r="B4573"/>
  <c r="A4573"/>
  <c r="C4572"/>
  <c r="B4572"/>
  <c r="A4572"/>
  <c r="C4571"/>
  <c r="B4571"/>
  <c r="A4571"/>
  <c r="C4570"/>
  <c r="B4570"/>
  <c r="A4570"/>
  <c r="C4569"/>
  <c r="B4569"/>
  <c r="A4569"/>
  <c r="C4568"/>
  <c r="B4568"/>
  <c r="A4568"/>
  <c r="C4567"/>
  <c r="B4567"/>
  <c r="A4567"/>
  <c r="C4566"/>
  <c r="B4566"/>
  <c r="A4566"/>
  <c r="C4565"/>
  <c r="B4565"/>
  <c r="A4565"/>
  <c r="C4564"/>
  <c r="B4564"/>
  <c r="A4564"/>
  <c r="C4563"/>
  <c r="B4563"/>
  <c r="A4563"/>
  <c r="C4562"/>
  <c r="B4562"/>
  <c r="A4562"/>
  <c r="C4561"/>
  <c r="B4561"/>
  <c r="A4561"/>
  <c r="C4560"/>
  <c r="B4560"/>
  <c r="A4560"/>
  <c r="C4559"/>
  <c r="B4559"/>
  <c r="A4559"/>
  <c r="C4558"/>
  <c r="B4558"/>
  <c r="A4558"/>
  <c r="C4557"/>
  <c r="B4557"/>
  <c r="A4557"/>
  <c r="C4556"/>
  <c r="B4556"/>
  <c r="A4556"/>
  <c r="C4555"/>
  <c r="B4555"/>
  <c r="A4555"/>
  <c r="C4554"/>
  <c r="B4554"/>
  <c r="A4554"/>
  <c r="C4553"/>
  <c r="B4553"/>
  <c r="A4553"/>
  <c r="C4552"/>
  <c r="B4552"/>
  <c r="A4552"/>
  <c r="C4551"/>
  <c r="B4551"/>
  <c r="A4551"/>
  <c r="C4550"/>
  <c r="B4550"/>
  <c r="A4550"/>
  <c r="C4549"/>
  <c r="B4549"/>
  <c r="A4549"/>
  <c r="C4548"/>
  <c r="B4548"/>
  <c r="A4548"/>
  <c r="C4547"/>
  <c r="B4547"/>
  <c r="A4547"/>
  <c r="C4546"/>
  <c r="B4546"/>
  <c r="A4546"/>
  <c r="C4545"/>
  <c r="B4545"/>
  <c r="A4545"/>
  <c r="C4544"/>
  <c r="B4544"/>
  <c r="A4544"/>
  <c r="C4543"/>
  <c r="B4543"/>
  <c r="A4543"/>
  <c r="C4542"/>
  <c r="B4542"/>
  <c r="A4542"/>
  <c r="C4541"/>
  <c r="B4541"/>
  <c r="A4541"/>
  <c r="C4540"/>
  <c r="B4540"/>
  <c r="A4540"/>
  <c r="C4539"/>
  <c r="B4539"/>
  <c r="A4539"/>
  <c r="C4538"/>
  <c r="B4538"/>
  <c r="A4538"/>
  <c r="C4537"/>
  <c r="B4537"/>
  <c r="A4537"/>
  <c r="C4536"/>
  <c r="B4536"/>
  <c r="A4536"/>
  <c r="C4535"/>
  <c r="B4535"/>
  <c r="A4535"/>
  <c r="C4534"/>
  <c r="B4534"/>
  <c r="A4534"/>
  <c r="C4533"/>
  <c r="B4533"/>
  <c r="A4533"/>
  <c r="C4532"/>
  <c r="B4532"/>
  <c r="A4532"/>
  <c r="C4531"/>
  <c r="B4531"/>
  <c r="A4531"/>
  <c r="C4530"/>
  <c r="B4530"/>
  <c r="A4530"/>
  <c r="C4529"/>
  <c r="B4529"/>
  <c r="A4529"/>
  <c r="C4528"/>
  <c r="B4528"/>
  <c r="A4528"/>
  <c r="C4527"/>
  <c r="B4527"/>
  <c r="A4527"/>
  <c r="C4526"/>
  <c r="B4526"/>
  <c r="A4526"/>
  <c r="C4525"/>
  <c r="B4525"/>
  <c r="A4525"/>
  <c r="C4524"/>
  <c r="B4524"/>
  <c r="A4524"/>
  <c r="C4523"/>
  <c r="B4523"/>
  <c r="A4523"/>
  <c r="C4522"/>
  <c r="B4522"/>
  <c r="A4522"/>
  <c r="C4521"/>
  <c r="B4521"/>
  <c r="A4521"/>
  <c r="C4520"/>
  <c r="B4520"/>
  <c r="A4520"/>
  <c r="C4519"/>
  <c r="B4519"/>
  <c r="A4519"/>
  <c r="C4518"/>
  <c r="B4518"/>
  <c r="A4518"/>
  <c r="C4517"/>
  <c r="B4517"/>
  <c r="A4517"/>
  <c r="C4516"/>
  <c r="B4516"/>
  <c r="A4516"/>
  <c r="C4515"/>
  <c r="B4515"/>
  <c r="A4515"/>
  <c r="C4514"/>
  <c r="B4514"/>
  <c r="A4514"/>
  <c r="C4513"/>
  <c r="B4513"/>
  <c r="A4513"/>
  <c r="C4512"/>
  <c r="B4512"/>
  <c r="A4512"/>
  <c r="C4511"/>
  <c r="B4511"/>
  <c r="A4511"/>
  <c r="C4510"/>
  <c r="B4510"/>
  <c r="A4510"/>
  <c r="C4509"/>
  <c r="B4509"/>
  <c r="A4509"/>
  <c r="C4508"/>
  <c r="B4508"/>
  <c r="A4508"/>
  <c r="C4507"/>
  <c r="B4507"/>
  <c r="A4507"/>
  <c r="C4506"/>
  <c r="B4506"/>
  <c r="A4506"/>
  <c r="C4505"/>
  <c r="B4505"/>
  <c r="A4505"/>
  <c r="C4504"/>
  <c r="B4504"/>
  <c r="A4504"/>
  <c r="C4503"/>
  <c r="B4503"/>
  <c r="A4503"/>
  <c r="C4502"/>
  <c r="B4502"/>
  <c r="A4502"/>
  <c r="C4501"/>
  <c r="B4501"/>
  <c r="A4501"/>
  <c r="C4500"/>
  <c r="B4500"/>
  <c r="A4500"/>
  <c r="C4499"/>
  <c r="B4499"/>
  <c r="A4499"/>
  <c r="C4498"/>
  <c r="B4498"/>
  <c r="A4498"/>
  <c r="C4497"/>
  <c r="B4497"/>
  <c r="A4497"/>
  <c r="C4496"/>
  <c r="B4496"/>
  <c r="A4496"/>
  <c r="C4495"/>
  <c r="B4495"/>
  <c r="A4495"/>
  <c r="C4494"/>
  <c r="B4494"/>
  <c r="A4494"/>
  <c r="C4493"/>
  <c r="B4493"/>
  <c r="A4493"/>
  <c r="C4492"/>
  <c r="B4492"/>
  <c r="A4492"/>
  <c r="C4491"/>
  <c r="B4491"/>
  <c r="A4491"/>
  <c r="C4490"/>
  <c r="B4490"/>
  <c r="A4490"/>
  <c r="C4489"/>
  <c r="B4489"/>
  <c r="A4489"/>
  <c r="C4488"/>
  <c r="B4488"/>
  <c r="A4488"/>
  <c r="C4487"/>
  <c r="B4487"/>
  <c r="A4487"/>
  <c r="C4486"/>
  <c r="B4486"/>
  <c r="A4486"/>
  <c r="C4485"/>
  <c r="B4485"/>
  <c r="A4485"/>
  <c r="C4484"/>
  <c r="B4484"/>
  <c r="A4484"/>
  <c r="C4483"/>
  <c r="B4483"/>
  <c r="A4483"/>
  <c r="C4482"/>
  <c r="B4482"/>
  <c r="A4482"/>
  <c r="C4481"/>
  <c r="B4481"/>
  <c r="A4481"/>
  <c r="C4480"/>
  <c r="B4480"/>
  <c r="A4480"/>
  <c r="C4479"/>
  <c r="B4479"/>
  <c r="A4479"/>
  <c r="C4478"/>
  <c r="B4478"/>
  <c r="A4478"/>
  <c r="C4477"/>
  <c r="B4477"/>
  <c r="A4477"/>
  <c r="C4476"/>
  <c r="B4476"/>
  <c r="A4476"/>
  <c r="C4475"/>
  <c r="B4475"/>
  <c r="A4475"/>
  <c r="C4474"/>
  <c r="B4474"/>
  <c r="A4474"/>
  <c r="C4473"/>
  <c r="B4473"/>
  <c r="A4473"/>
  <c r="C4472"/>
  <c r="B4472"/>
  <c r="A4472"/>
  <c r="C4471"/>
  <c r="B4471"/>
  <c r="A4471"/>
  <c r="C4470"/>
  <c r="B4470"/>
  <c r="A4470"/>
  <c r="C4469"/>
  <c r="B4469"/>
  <c r="A4469"/>
  <c r="C4468"/>
  <c r="B4468"/>
  <c r="A4468"/>
  <c r="C4467"/>
  <c r="B4467"/>
  <c r="A4467"/>
  <c r="C4466"/>
  <c r="B4466"/>
  <c r="A4466"/>
  <c r="C4465"/>
  <c r="B4465"/>
  <c r="A4465"/>
  <c r="C4464"/>
  <c r="B4464"/>
  <c r="A4464"/>
  <c r="C4463"/>
  <c r="B4463"/>
  <c r="A4463"/>
  <c r="C4462"/>
  <c r="B4462"/>
  <c r="A4462"/>
  <c r="C4461"/>
  <c r="B4461"/>
  <c r="A4461"/>
  <c r="C4460"/>
  <c r="B4460"/>
  <c r="A4460"/>
  <c r="C4459"/>
  <c r="B4459"/>
  <c r="A4459"/>
  <c r="C4458"/>
  <c r="B4458"/>
  <c r="A4458"/>
  <c r="C4457"/>
  <c r="B4457"/>
  <c r="A4457"/>
  <c r="C4456"/>
  <c r="B4456"/>
  <c r="A4456"/>
  <c r="C4455"/>
  <c r="B4455"/>
  <c r="A4455"/>
  <c r="C4454"/>
  <c r="B4454"/>
  <c r="A4454"/>
  <c r="C4453"/>
  <c r="B4453"/>
  <c r="A4453"/>
  <c r="C4452"/>
  <c r="B4452"/>
  <c r="A4452"/>
  <c r="C4451"/>
  <c r="B4451"/>
  <c r="A4451"/>
  <c r="C4450"/>
  <c r="B4450"/>
  <c r="A4450"/>
  <c r="C4449"/>
  <c r="B4449"/>
  <c r="A4449"/>
  <c r="C4448"/>
  <c r="B4448"/>
  <c r="A4448"/>
  <c r="C4447"/>
  <c r="B4447"/>
  <c r="A4447"/>
  <c r="C4446"/>
  <c r="B4446"/>
  <c r="A4446"/>
  <c r="C4445"/>
  <c r="B4445"/>
  <c r="A4445"/>
  <c r="C4444"/>
  <c r="B4444"/>
  <c r="A4444"/>
  <c r="C4443"/>
  <c r="B4443"/>
  <c r="A4443"/>
  <c r="C4442"/>
  <c r="B4442"/>
  <c r="A4442"/>
  <c r="C4441"/>
  <c r="B4441"/>
  <c r="A4441"/>
  <c r="C4440"/>
  <c r="B4440"/>
  <c r="A4440"/>
  <c r="C4439"/>
  <c r="B4439"/>
  <c r="A4439"/>
  <c r="C4438"/>
  <c r="B4438"/>
  <c r="A4438"/>
  <c r="C4437"/>
  <c r="B4437"/>
  <c r="A4437"/>
  <c r="C4436"/>
  <c r="B4436"/>
  <c r="A4436"/>
  <c r="C4435"/>
  <c r="B4435"/>
  <c r="A4435"/>
  <c r="C4434"/>
  <c r="B4434"/>
  <c r="A4434"/>
  <c r="C4433"/>
  <c r="B4433"/>
  <c r="A4433"/>
  <c r="C4432"/>
  <c r="B4432"/>
  <c r="A4432"/>
  <c r="C4431"/>
  <c r="B4431"/>
  <c r="A4431"/>
  <c r="C4430"/>
  <c r="B4430"/>
  <c r="A4430"/>
  <c r="C4429"/>
  <c r="B4429"/>
  <c r="A4429"/>
  <c r="C4428"/>
  <c r="B4428"/>
  <c r="A4428"/>
  <c r="C4427"/>
  <c r="B4427"/>
  <c r="A4427"/>
  <c r="C4426"/>
  <c r="B4426"/>
  <c r="A4426"/>
  <c r="C4425"/>
  <c r="B4425"/>
  <c r="A4425"/>
  <c r="C4424"/>
  <c r="B4424"/>
  <c r="A4424"/>
  <c r="C4423"/>
  <c r="B4423"/>
  <c r="A4423"/>
  <c r="C4422"/>
  <c r="B4422"/>
  <c r="A4422"/>
  <c r="C4421"/>
  <c r="B4421"/>
  <c r="A4421"/>
  <c r="C4420"/>
  <c r="B4420"/>
  <c r="A4420"/>
  <c r="C4419"/>
  <c r="B4419"/>
  <c r="A4419"/>
  <c r="C4418"/>
  <c r="B4418"/>
  <c r="A4418"/>
  <c r="C4417"/>
  <c r="B4417"/>
  <c r="A4417"/>
  <c r="C4416"/>
  <c r="B4416"/>
  <c r="A4416"/>
  <c r="C4415"/>
  <c r="B4415"/>
  <c r="A4415"/>
  <c r="C4414"/>
  <c r="B4414"/>
  <c r="A4414"/>
  <c r="C4413"/>
  <c r="B4413"/>
  <c r="A4413"/>
  <c r="C4412"/>
  <c r="B4412"/>
  <c r="A4412"/>
  <c r="C4411"/>
  <c r="B4411"/>
  <c r="A4411"/>
  <c r="C4410"/>
  <c r="B4410"/>
  <c r="A4410"/>
  <c r="C4409"/>
  <c r="B4409"/>
  <c r="A4409"/>
  <c r="C4408"/>
  <c r="B4408"/>
  <c r="A4408"/>
  <c r="C4407"/>
  <c r="B4407"/>
  <c r="A4407"/>
  <c r="C4406"/>
  <c r="B4406"/>
  <c r="A4406"/>
  <c r="C4405"/>
  <c r="B4405"/>
  <c r="A4405"/>
  <c r="C4404"/>
  <c r="B4404"/>
  <c r="A4404"/>
  <c r="C4403"/>
  <c r="B4403"/>
  <c r="A4403"/>
  <c r="C4402"/>
  <c r="B4402"/>
  <c r="A4402"/>
  <c r="C4401"/>
  <c r="B4401"/>
  <c r="A4401"/>
  <c r="C4400"/>
  <c r="B4400"/>
  <c r="A4400"/>
  <c r="C4399"/>
  <c r="B4399"/>
  <c r="A4399"/>
  <c r="C4398"/>
  <c r="B4398"/>
  <c r="A4398"/>
  <c r="C4397"/>
  <c r="B4397"/>
  <c r="A4397"/>
  <c r="C4396"/>
  <c r="B4396"/>
  <c r="A4396"/>
  <c r="C4395"/>
  <c r="B4395"/>
  <c r="A4395"/>
  <c r="C4394"/>
  <c r="B4394"/>
  <c r="A4394"/>
  <c r="C4393"/>
  <c r="B4393"/>
  <c r="A4393"/>
  <c r="C4392"/>
  <c r="B4392"/>
  <c r="A4392"/>
  <c r="C4391"/>
  <c r="B4391"/>
  <c r="A4391"/>
  <c r="C4390"/>
  <c r="B4390"/>
  <c r="A4390"/>
  <c r="C4389"/>
  <c r="B4389"/>
  <c r="A4389"/>
  <c r="C4388"/>
  <c r="B4388"/>
  <c r="A4388"/>
  <c r="C4387"/>
  <c r="B4387"/>
  <c r="A4387"/>
  <c r="C4386"/>
  <c r="B4386"/>
  <c r="A4386"/>
  <c r="C4385"/>
  <c r="B4385"/>
  <c r="A4385"/>
  <c r="C4384"/>
  <c r="B4384"/>
  <c r="A4384"/>
  <c r="C4383"/>
  <c r="B4383"/>
  <c r="A4383"/>
  <c r="C4382"/>
  <c r="B4382"/>
  <c r="A4382"/>
  <c r="C4381"/>
  <c r="B4381"/>
  <c r="A4381"/>
  <c r="C4380"/>
  <c r="B4380"/>
  <c r="A4380"/>
  <c r="C4379"/>
  <c r="B4379"/>
  <c r="A4379"/>
  <c r="C4378"/>
  <c r="B4378"/>
  <c r="A4378"/>
  <c r="C4377"/>
  <c r="B4377"/>
  <c r="A4377"/>
  <c r="C4376"/>
  <c r="B4376"/>
  <c r="A4376"/>
  <c r="C4375"/>
  <c r="B4375"/>
  <c r="A4375"/>
  <c r="C4374"/>
  <c r="B4374"/>
  <c r="A4374"/>
  <c r="C4373"/>
  <c r="B4373"/>
  <c r="A4373"/>
  <c r="C4372"/>
  <c r="B4372"/>
  <c r="A4372"/>
  <c r="C4371"/>
  <c r="B4371"/>
  <c r="A4371"/>
  <c r="C4370"/>
  <c r="B4370"/>
  <c r="A4370"/>
  <c r="C4369"/>
  <c r="B4369"/>
  <c r="A4369"/>
  <c r="C4368"/>
  <c r="B4368"/>
  <c r="A4368"/>
  <c r="C4367"/>
  <c r="B4367"/>
  <c r="A4367"/>
  <c r="C4366"/>
  <c r="B4366"/>
  <c r="A4366"/>
  <c r="C4365"/>
  <c r="B4365"/>
  <c r="A4365"/>
  <c r="C4364"/>
  <c r="B4364"/>
  <c r="A4364"/>
  <c r="C4363"/>
  <c r="B4363"/>
  <c r="A4363"/>
  <c r="C4362"/>
  <c r="B4362"/>
  <c r="A4362"/>
  <c r="C4361"/>
  <c r="B4361"/>
  <c r="A4361"/>
  <c r="C4360"/>
  <c r="B4360"/>
  <c r="A4360"/>
  <c r="C4359"/>
  <c r="B4359"/>
  <c r="A4359"/>
  <c r="C4358"/>
  <c r="B4358"/>
  <c r="A4358"/>
  <c r="C4357"/>
  <c r="B4357"/>
  <c r="A4357"/>
  <c r="C4356"/>
  <c r="B4356"/>
  <c r="A4356"/>
  <c r="C4355"/>
  <c r="B4355"/>
  <c r="A4355"/>
  <c r="C4354"/>
  <c r="B4354"/>
  <c r="A4354"/>
  <c r="C4353"/>
  <c r="B4353"/>
  <c r="A4353"/>
  <c r="C4352"/>
  <c r="B4352"/>
  <c r="A4352"/>
  <c r="C4351"/>
  <c r="B4351"/>
  <c r="A4351"/>
  <c r="C4350"/>
  <c r="B4350"/>
  <c r="A4350"/>
  <c r="C4349"/>
  <c r="B4349"/>
  <c r="A4349"/>
  <c r="C4348"/>
  <c r="B4348"/>
  <c r="A4348"/>
  <c r="C4347"/>
  <c r="B4347"/>
  <c r="A4347"/>
  <c r="C4346"/>
  <c r="B4346"/>
  <c r="A4346"/>
  <c r="C4345"/>
  <c r="B4345"/>
  <c r="A4345"/>
  <c r="C4344"/>
  <c r="B4344"/>
  <c r="A4344"/>
  <c r="C4343"/>
  <c r="B4343"/>
  <c r="A4343"/>
  <c r="C4342"/>
  <c r="B4342"/>
  <c r="A4342"/>
  <c r="C4341"/>
  <c r="B4341"/>
  <c r="A4341"/>
  <c r="C4340"/>
  <c r="B4340"/>
  <c r="A4340"/>
  <c r="C4339"/>
  <c r="B4339"/>
  <c r="A4339"/>
  <c r="C4338"/>
  <c r="B4338"/>
  <c r="A4338"/>
  <c r="C4337"/>
  <c r="B4337"/>
  <c r="A4337"/>
  <c r="C4336"/>
  <c r="B4336"/>
  <c r="A4336"/>
  <c r="C4335"/>
  <c r="B4335"/>
  <c r="A4335"/>
  <c r="C4334"/>
  <c r="B4334"/>
  <c r="A4334"/>
  <c r="C4333"/>
  <c r="B4333"/>
  <c r="A4333"/>
  <c r="C4332"/>
  <c r="B4332"/>
  <c r="A4332"/>
  <c r="C4331"/>
  <c r="B4331"/>
  <c r="A4331"/>
  <c r="C4330"/>
  <c r="B4330"/>
  <c r="A4330"/>
  <c r="C4329"/>
  <c r="B4329"/>
  <c r="A4329"/>
  <c r="C4328"/>
  <c r="B4328"/>
  <c r="A4328"/>
  <c r="C4327"/>
  <c r="B4327"/>
  <c r="A4327"/>
  <c r="C4326"/>
  <c r="B4326"/>
  <c r="A4326"/>
  <c r="C4325"/>
  <c r="B4325"/>
  <c r="A4325"/>
  <c r="C4324"/>
  <c r="B4324"/>
  <c r="A4324"/>
  <c r="C4323"/>
  <c r="B4323"/>
  <c r="A4323"/>
  <c r="C4322"/>
  <c r="B4322"/>
  <c r="A4322"/>
  <c r="C4321"/>
  <c r="B4321"/>
  <c r="A4321"/>
  <c r="C4320"/>
  <c r="B4320"/>
  <c r="A4320"/>
  <c r="C4319"/>
  <c r="B4319"/>
  <c r="A4319"/>
  <c r="C4318"/>
  <c r="B4318"/>
  <c r="A4318"/>
  <c r="C4317"/>
  <c r="B4317"/>
  <c r="A4317"/>
  <c r="C4316"/>
  <c r="B4316"/>
  <c r="A4316"/>
  <c r="C4315"/>
  <c r="B4315"/>
  <c r="A4315"/>
  <c r="C4314"/>
  <c r="B4314"/>
  <c r="A4314"/>
  <c r="C4313"/>
  <c r="B4313"/>
  <c r="A4313"/>
  <c r="C4312"/>
  <c r="B4312"/>
  <c r="A4312"/>
  <c r="C4311"/>
  <c r="B4311"/>
  <c r="A4311"/>
  <c r="C4310"/>
  <c r="B4310"/>
  <c r="A4310"/>
  <c r="C4309"/>
  <c r="B4309"/>
  <c r="A4309"/>
  <c r="C4308"/>
  <c r="B4308"/>
  <c r="A4308"/>
  <c r="C4307"/>
  <c r="B4307"/>
  <c r="A4307"/>
  <c r="C4306"/>
  <c r="B4306"/>
  <c r="A4306"/>
  <c r="C4305"/>
  <c r="B4305"/>
  <c r="A4305"/>
  <c r="C4304"/>
  <c r="B4304"/>
  <c r="A4304"/>
  <c r="C4303"/>
  <c r="B4303"/>
  <c r="A4303"/>
  <c r="C4302"/>
  <c r="B4302"/>
  <c r="A4302"/>
  <c r="C4301"/>
  <c r="B4301"/>
  <c r="A4301"/>
  <c r="C4300"/>
  <c r="B4300"/>
  <c r="A4300"/>
  <c r="C4299"/>
  <c r="B4299"/>
  <c r="A4299"/>
  <c r="C4298"/>
  <c r="B4298"/>
  <c r="A4298"/>
  <c r="C4297"/>
  <c r="B4297"/>
  <c r="A4297"/>
  <c r="C4296"/>
  <c r="B4296"/>
  <c r="A4296"/>
  <c r="C4295"/>
  <c r="B4295"/>
  <c r="A4295"/>
  <c r="C4294"/>
  <c r="B4294"/>
  <c r="A4294"/>
  <c r="C4293"/>
  <c r="B4293"/>
  <c r="A4293"/>
  <c r="C4292"/>
  <c r="B4292"/>
  <c r="A4292"/>
  <c r="C4291"/>
  <c r="B4291"/>
  <c r="A4291"/>
  <c r="C4290"/>
  <c r="B4290"/>
  <c r="A4290"/>
  <c r="C4289"/>
  <c r="B4289"/>
  <c r="A4289"/>
  <c r="C4288"/>
  <c r="B4288"/>
  <c r="A4288"/>
  <c r="C4287"/>
  <c r="B4287"/>
  <c r="A4287"/>
  <c r="C4286"/>
  <c r="B4286"/>
  <c r="A4286"/>
  <c r="C4285"/>
  <c r="B4285"/>
  <c r="A4285"/>
  <c r="C4284"/>
  <c r="B4284"/>
  <c r="A4284"/>
  <c r="C4283"/>
  <c r="B4283"/>
  <c r="A4283"/>
  <c r="C4282"/>
  <c r="B4282"/>
  <c r="A4282"/>
  <c r="C4281"/>
  <c r="B4281"/>
  <c r="A4281"/>
  <c r="C4280"/>
  <c r="B4280"/>
  <c r="A4280"/>
  <c r="C4279"/>
  <c r="B4279"/>
  <c r="A4279"/>
  <c r="C4278"/>
  <c r="B4278"/>
  <c r="A4278"/>
  <c r="C4277"/>
  <c r="B4277"/>
  <c r="A4277"/>
  <c r="C4276"/>
  <c r="B4276"/>
  <c r="A4276"/>
  <c r="C4275"/>
  <c r="B4275"/>
  <c r="A4275"/>
  <c r="C4274"/>
  <c r="B4274"/>
  <c r="A4274"/>
  <c r="C4273"/>
  <c r="B4273"/>
  <c r="A4273"/>
  <c r="C4272"/>
  <c r="B4272"/>
  <c r="A4272"/>
  <c r="C4271"/>
  <c r="B4271"/>
  <c r="A4271"/>
  <c r="C4270"/>
  <c r="B4270"/>
  <c r="A4270"/>
  <c r="C4269"/>
  <c r="B4269"/>
  <c r="A4269"/>
  <c r="C4268"/>
  <c r="B4268"/>
  <c r="A4268"/>
  <c r="C4267"/>
  <c r="B4267"/>
  <c r="A4267"/>
  <c r="C4266"/>
  <c r="B4266"/>
  <c r="A4266"/>
  <c r="C4265"/>
  <c r="B4265"/>
  <c r="A4265"/>
  <c r="C4264"/>
  <c r="B4264"/>
  <c r="A4264"/>
  <c r="C4263"/>
  <c r="B4263"/>
  <c r="A4263"/>
  <c r="C4262"/>
  <c r="B4262"/>
  <c r="A4262"/>
  <c r="C4261"/>
  <c r="B4261"/>
  <c r="A4261"/>
  <c r="C4260"/>
  <c r="B4260"/>
  <c r="A4260"/>
  <c r="C4259"/>
  <c r="B4259"/>
  <c r="A4259"/>
  <c r="C4258"/>
  <c r="B4258"/>
  <c r="A4258"/>
  <c r="C4257"/>
  <c r="B4257"/>
  <c r="A4257"/>
  <c r="C4256"/>
  <c r="B4256"/>
  <c r="A4256"/>
  <c r="C4255"/>
  <c r="B4255"/>
  <c r="A4255"/>
  <c r="C4254"/>
  <c r="B4254"/>
  <c r="A4254"/>
  <c r="C4253"/>
  <c r="B4253"/>
  <c r="A4253"/>
  <c r="C4252"/>
  <c r="B4252"/>
  <c r="A4252"/>
  <c r="C4251"/>
  <c r="B4251"/>
  <c r="A4251"/>
  <c r="C4250"/>
  <c r="B4250"/>
  <c r="A4250"/>
  <c r="C4249"/>
  <c r="B4249"/>
  <c r="A4249"/>
  <c r="C4248"/>
  <c r="B4248"/>
  <c r="A4248"/>
  <c r="C4247"/>
  <c r="B4247"/>
  <c r="A4247"/>
  <c r="C4246"/>
  <c r="B4246"/>
  <c r="A4246"/>
  <c r="C4245"/>
  <c r="B4245"/>
  <c r="A4245"/>
  <c r="C4244"/>
  <c r="B4244"/>
  <c r="A4244"/>
  <c r="C4243"/>
  <c r="B4243"/>
  <c r="A4243"/>
  <c r="C4242"/>
  <c r="B4242"/>
  <c r="A4242"/>
  <c r="C4241"/>
  <c r="B4241"/>
  <c r="A4241"/>
  <c r="C4240"/>
  <c r="B4240"/>
  <c r="A4240"/>
  <c r="C4239"/>
  <c r="B4239"/>
  <c r="A4239"/>
  <c r="C4238"/>
  <c r="B4238"/>
  <c r="A4238"/>
  <c r="C4237"/>
  <c r="B4237"/>
  <c r="A4237"/>
  <c r="C4236"/>
  <c r="B4236"/>
  <c r="A4236"/>
  <c r="C4235"/>
  <c r="B4235"/>
  <c r="A4235"/>
  <c r="C4234"/>
  <c r="B4234"/>
  <c r="A4234"/>
  <c r="C4233"/>
  <c r="B4233"/>
  <c r="A4233"/>
  <c r="C4232"/>
  <c r="B4232"/>
  <c r="A4232"/>
  <c r="C4231"/>
  <c r="B4231"/>
  <c r="A4231"/>
  <c r="C4230"/>
  <c r="B4230"/>
  <c r="A4230"/>
  <c r="C4229"/>
  <c r="B4229"/>
  <c r="A4229"/>
  <c r="C4228"/>
  <c r="B4228"/>
  <c r="A4228"/>
  <c r="C4227"/>
  <c r="B4227"/>
  <c r="A4227"/>
  <c r="C4226"/>
  <c r="B4226"/>
  <c r="A4226"/>
  <c r="C4225"/>
  <c r="B4225"/>
  <c r="A4225"/>
  <c r="C4224"/>
  <c r="B4224"/>
  <c r="A4224"/>
  <c r="C4223"/>
  <c r="B4223"/>
  <c r="A4223"/>
  <c r="C4222"/>
  <c r="B4222"/>
  <c r="A4222"/>
  <c r="C4221"/>
  <c r="B4221"/>
  <c r="A4221"/>
  <c r="C4220"/>
  <c r="B4220"/>
  <c r="A4220"/>
  <c r="C4219"/>
  <c r="B4219"/>
  <c r="A4219"/>
  <c r="C4218"/>
  <c r="B4218"/>
  <c r="A4218"/>
  <c r="C4217"/>
  <c r="B4217"/>
  <c r="A4217"/>
  <c r="C4216"/>
  <c r="B4216"/>
  <c r="A4216"/>
  <c r="C4215"/>
  <c r="B4215"/>
  <c r="A4215"/>
  <c r="C4214"/>
  <c r="B4214"/>
  <c r="A4214"/>
  <c r="C4213"/>
  <c r="B4213"/>
  <c r="A4213"/>
  <c r="C4212"/>
  <c r="B4212"/>
  <c r="A4212"/>
  <c r="C4211"/>
  <c r="B4211"/>
  <c r="A4211"/>
  <c r="C4210"/>
  <c r="B4210"/>
  <c r="A4210"/>
  <c r="C4209"/>
  <c r="B4209"/>
  <c r="A4209"/>
  <c r="C4208"/>
  <c r="B4208"/>
  <c r="A4208"/>
  <c r="C4207"/>
  <c r="B4207"/>
  <c r="A4207"/>
  <c r="C4206"/>
  <c r="B4206"/>
  <c r="A4206"/>
  <c r="C4205"/>
  <c r="B4205"/>
  <c r="A4205"/>
  <c r="C4204"/>
  <c r="B4204"/>
  <c r="A4204"/>
  <c r="C4203"/>
  <c r="B4203"/>
  <c r="A4203"/>
  <c r="C4202"/>
  <c r="B4202"/>
  <c r="A4202"/>
  <c r="C4201"/>
  <c r="B4201"/>
  <c r="A4201"/>
  <c r="C4200"/>
  <c r="B4200"/>
  <c r="A4200"/>
  <c r="C4199"/>
  <c r="B4199"/>
  <c r="A4199"/>
  <c r="C4198"/>
  <c r="B4198"/>
  <c r="A4198"/>
  <c r="C4197"/>
  <c r="B4197"/>
  <c r="A4197"/>
  <c r="C4196"/>
  <c r="B4196"/>
  <c r="A4196"/>
  <c r="C4195"/>
  <c r="B4195"/>
  <c r="A4195"/>
  <c r="C4194"/>
  <c r="B4194"/>
  <c r="A4194"/>
  <c r="C4193"/>
  <c r="B4193"/>
  <c r="A4193"/>
  <c r="C4192"/>
  <c r="B4192"/>
  <c r="A4192"/>
  <c r="C4191"/>
  <c r="B4191"/>
  <c r="A4191"/>
  <c r="C4190"/>
  <c r="B4190"/>
  <c r="A4190"/>
  <c r="C4189"/>
  <c r="B4189"/>
  <c r="A4189"/>
  <c r="C4188"/>
  <c r="B4188"/>
  <c r="A4188"/>
  <c r="C4187"/>
  <c r="B4187"/>
  <c r="A4187"/>
  <c r="C4186"/>
  <c r="B4186"/>
  <c r="A4186"/>
  <c r="C4185"/>
  <c r="B4185"/>
  <c r="A4185"/>
  <c r="C4184"/>
  <c r="B4184"/>
  <c r="A4184"/>
  <c r="C4183"/>
  <c r="B4183"/>
  <c r="A4183"/>
  <c r="C4182"/>
  <c r="B4182"/>
  <c r="A4182"/>
  <c r="C4181"/>
  <c r="B4181"/>
  <c r="A4181"/>
  <c r="C4180"/>
  <c r="B4180"/>
  <c r="A4180"/>
  <c r="C4179"/>
  <c r="B4179"/>
  <c r="A4179"/>
  <c r="C4178"/>
  <c r="B4178"/>
  <c r="A4178"/>
  <c r="C4177"/>
  <c r="B4177"/>
  <c r="A4177"/>
  <c r="C4176"/>
  <c r="B4176"/>
  <c r="A4176"/>
  <c r="C4175"/>
  <c r="B4175"/>
  <c r="A4175"/>
  <c r="C4174"/>
  <c r="B4174"/>
  <c r="A4174"/>
  <c r="C4173"/>
  <c r="B4173"/>
  <c r="A4173"/>
  <c r="C4172"/>
  <c r="B4172"/>
  <c r="A4172"/>
  <c r="C4171"/>
  <c r="B4171"/>
  <c r="A4171"/>
  <c r="C4170"/>
  <c r="B4170"/>
  <c r="A4170"/>
  <c r="C4169"/>
  <c r="B4169"/>
  <c r="A4169"/>
  <c r="C4168"/>
  <c r="B4168"/>
  <c r="A4168"/>
  <c r="C4167"/>
  <c r="B4167"/>
  <c r="A4167"/>
  <c r="C4166"/>
  <c r="B4166"/>
  <c r="A4166"/>
  <c r="C4165"/>
  <c r="B4165"/>
  <c r="A4165"/>
  <c r="C4164"/>
  <c r="B4164"/>
  <c r="A4164"/>
  <c r="C4163"/>
  <c r="B4163"/>
  <c r="A4163"/>
  <c r="C4162"/>
  <c r="B4162"/>
  <c r="A4162"/>
  <c r="C4161"/>
  <c r="B4161"/>
  <c r="A4161"/>
  <c r="C4160"/>
  <c r="B4160"/>
  <c r="A4160"/>
  <c r="C4159"/>
  <c r="B4159"/>
  <c r="A4159"/>
  <c r="C4158"/>
  <c r="B4158"/>
  <c r="A4158"/>
  <c r="C4157"/>
  <c r="B4157"/>
  <c r="A4157"/>
  <c r="C4156"/>
  <c r="B4156"/>
  <c r="A4156"/>
  <c r="C4155"/>
  <c r="B4155"/>
  <c r="A4155"/>
  <c r="C4154"/>
  <c r="B4154"/>
  <c r="A4154"/>
  <c r="C4153"/>
  <c r="B4153"/>
  <c r="A4153"/>
  <c r="C4152"/>
  <c r="B4152"/>
  <c r="A4152"/>
  <c r="C4151"/>
  <c r="B4151"/>
  <c r="A4151"/>
  <c r="C4150"/>
  <c r="B4150"/>
  <c r="A4150"/>
  <c r="C4149"/>
  <c r="B4149"/>
  <c r="A4149"/>
  <c r="C4148"/>
  <c r="B4148"/>
  <c r="A4148"/>
  <c r="C4147"/>
  <c r="B4147"/>
  <c r="A4147"/>
  <c r="C4146"/>
  <c r="B4146"/>
  <c r="A4146"/>
  <c r="C4145"/>
  <c r="B4145"/>
  <c r="A4145"/>
  <c r="C4144"/>
  <c r="B4144"/>
  <c r="A4144"/>
  <c r="C4143"/>
  <c r="B4143"/>
  <c r="A4143"/>
  <c r="C4142"/>
  <c r="B4142"/>
  <c r="A4142"/>
  <c r="C4141"/>
  <c r="B4141"/>
  <c r="A4141"/>
  <c r="C4140"/>
  <c r="B4140"/>
  <c r="A4140"/>
  <c r="C4139"/>
  <c r="B4139"/>
  <c r="A4139"/>
  <c r="C4138"/>
  <c r="B4138"/>
  <c r="A4138"/>
  <c r="C4137"/>
  <c r="B4137"/>
  <c r="A4137"/>
  <c r="C4136"/>
  <c r="B4136"/>
  <c r="A4136"/>
  <c r="C4135"/>
  <c r="B4135"/>
  <c r="A4135"/>
  <c r="C4134"/>
  <c r="B4134"/>
  <c r="A4134"/>
  <c r="C4133"/>
  <c r="B4133"/>
  <c r="A4133"/>
  <c r="C4132"/>
  <c r="B4132"/>
  <c r="A4132"/>
  <c r="C4131"/>
  <c r="B4131"/>
  <c r="A4131"/>
  <c r="C4130"/>
  <c r="B4130"/>
  <c r="A4130"/>
  <c r="C4129"/>
  <c r="B4129"/>
  <c r="A4129"/>
  <c r="C4128"/>
  <c r="B4128"/>
  <c r="A4128"/>
  <c r="C4127"/>
  <c r="B4127"/>
  <c r="A4127"/>
  <c r="C4126"/>
  <c r="B4126"/>
  <c r="A4126"/>
  <c r="C4125"/>
  <c r="B4125"/>
  <c r="A4125"/>
  <c r="C4124"/>
  <c r="B4124"/>
  <c r="A4124"/>
  <c r="C4123"/>
  <c r="B4123"/>
  <c r="A4123"/>
  <c r="C4122"/>
  <c r="B4122"/>
  <c r="A4122"/>
  <c r="C4121"/>
  <c r="B4121"/>
  <c r="A4121"/>
  <c r="C4120"/>
  <c r="B4120"/>
  <c r="A4120"/>
  <c r="C4119"/>
  <c r="B4119"/>
  <c r="A4119"/>
  <c r="C4118"/>
  <c r="B4118"/>
  <c r="A4118"/>
  <c r="C4117"/>
  <c r="B4117"/>
  <c r="A4117"/>
  <c r="C4116"/>
  <c r="B4116"/>
  <c r="A4116"/>
  <c r="C4115"/>
  <c r="B4115"/>
  <c r="A4115"/>
  <c r="C4114"/>
  <c r="B4114"/>
  <c r="A4114"/>
  <c r="C4113"/>
  <c r="B4113"/>
  <c r="A4113"/>
  <c r="C4112"/>
  <c r="B4112"/>
  <c r="A4112"/>
  <c r="C4111"/>
  <c r="B4111"/>
  <c r="A4111"/>
  <c r="C4110"/>
  <c r="B4110"/>
  <c r="A4110"/>
  <c r="C4109"/>
  <c r="B4109"/>
  <c r="A4109"/>
  <c r="C4108"/>
  <c r="B4108"/>
  <c r="A4108"/>
  <c r="C4107"/>
  <c r="B4107"/>
  <c r="A4107"/>
  <c r="C4106"/>
  <c r="B4106"/>
  <c r="A4106"/>
  <c r="C4105"/>
  <c r="B4105"/>
  <c r="A4105"/>
  <c r="C4104"/>
  <c r="B4104"/>
  <c r="A4104"/>
  <c r="C4103"/>
  <c r="B4103"/>
  <c r="A4103"/>
  <c r="C4102"/>
  <c r="B4102"/>
  <c r="A4102"/>
  <c r="C4101"/>
  <c r="B4101"/>
  <c r="A4101"/>
  <c r="C4100"/>
  <c r="B4100"/>
  <c r="A4100"/>
  <c r="C4099"/>
  <c r="B4099"/>
  <c r="A4099"/>
  <c r="C4098"/>
  <c r="B4098"/>
  <c r="A4098"/>
  <c r="C4097"/>
  <c r="B4097"/>
  <c r="A4097"/>
  <c r="C4096"/>
  <c r="B4096"/>
  <c r="A4096"/>
  <c r="C4095"/>
  <c r="B4095"/>
  <c r="A4095"/>
  <c r="C4094"/>
  <c r="B4094"/>
  <c r="A4094"/>
  <c r="C4093"/>
  <c r="B4093"/>
  <c r="A4093"/>
  <c r="C4092"/>
  <c r="B4092"/>
  <c r="A4092"/>
  <c r="C4091"/>
  <c r="B4091"/>
  <c r="A4091"/>
  <c r="C4090"/>
  <c r="B4090"/>
  <c r="A4090"/>
  <c r="C4089"/>
  <c r="B4089"/>
  <c r="A4089"/>
  <c r="C4088"/>
  <c r="B4088"/>
  <c r="A4088"/>
  <c r="C4087"/>
  <c r="B4087"/>
  <c r="A4087"/>
  <c r="C4086"/>
  <c r="B4086"/>
  <c r="A4086"/>
  <c r="C4085"/>
  <c r="B4085"/>
  <c r="A4085"/>
  <c r="C4084"/>
  <c r="B4084"/>
  <c r="A4084"/>
  <c r="C4083"/>
  <c r="B4083"/>
  <c r="A4083"/>
  <c r="C4082"/>
  <c r="B4082"/>
  <c r="A4082"/>
  <c r="C4081"/>
  <c r="B4081"/>
  <c r="A4081"/>
  <c r="C4080"/>
  <c r="B4080"/>
  <c r="A4080"/>
  <c r="C4079"/>
  <c r="B4079"/>
  <c r="A4079"/>
  <c r="C4078"/>
  <c r="B4078"/>
  <c r="A4078"/>
  <c r="C4077"/>
  <c r="B4077"/>
  <c r="A4077"/>
  <c r="C4076"/>
  <c r="B4076"/>
  <c r="A4076"/>
  <c r="C4075"/>
  <c r="B4075"/>
  <c r="A4075"/>
  <c r="C4074"/>
  <c r="B4074"/>
  <c r="A4074"/>
  <c r="C4073"/>
  <c r="B4073"/>
  <c r="A4073"/>
  <c r="C4072"/>
  <c r="B4072"/>
  <c r="A4072"/>
  <c r="C4071"/>
  <c r="B4071"/>
  <c r="A4071"/>
  <c r="C4070"/>
  <c r="B4070"/>
  <c r="A4070"/>
  <c r="C4069"/>
  <c r="B4069"/>
  <c r="A4069"/>
  <c r="C4068"/>
  <c r="B4068"/>
  <c r="A4068"/>
  <c r="C4067"/>
  <c r="B4067"/>
  <c r="A4067"/>
  <c r="C4066"/>
  <c r="B4066"/>
  <c r="A4066"/>
  <c r="C4065"/>
  <c r="B4065"/>
  <c r="A4065"/>
  <c r="C4064"/>
  <c r="B4064"/>
  <c r="A4064"/>
  <c r="C4063"/>
  <c r="B4063"/>
  <c r="A4063"/>
  <c r="C4062"/>
  <c r="B4062"/>
  <c r="A4062"/>
  <c r="C4061"/>
  <c r="B4061"/>
  <c r="A4061"/>
  <c r="C4060"/>
  <c r="B4060"/>
  <c r="A4060"/>
  <c r="C4059"/>
  <c r="B4059"/>
  <c r="A4059"/>
  <c r="C4058"/>
  <c r="B4058"/>
  <c r="A4058"/>
  <c r="C4057"/>
  <c r="B4057"/>
  <c r="A4057"/>
  <c r="C4056"/>
  <c r="B4056"/>
  <c r="A4056"/>
  <c r="C4055"/>
  <c r="B4055"/>
  <c r="A4055"/>
  <c r="C4054"/>
  <c r="B4054"/>
  <c r="A4054"/>
  <c r="C4053"/>
  <c r="B4053"/>
  <c r="A4053"/>
  <c r="C4052"/>
  <c r="B4052"/>
  <c r="A4052"/>
  <c r="C4051"/>
  <c r="B4051"/>
  <c r="A4051"/>
  <c r="C4050"/>
  <c r="B4050"/>
  <c r="A4050"/>
  <c r="C4049"/>
  <c r="B4049"/>
  <c r="A4049"/>
  <c r="C4048"/>
  <c r="B4048"/>
  <c r="A4048"/>
  <c r="C4047"/>
  <c r="B4047"/>
  <c r="A4047"/>
  <c r="C4046"/>
  <c r="B4046"/>
  <c r="A4046"/>
  <c r="C4045"/>
  <c r="B4045"/>
  <c r="A4045"/>
  <c r="C4044"/>
  <c r="B4044"/>
  <c r="A4044"/>
  <c r="C4043"/>
  <c r="B4043"/>
  <c r="A4043"/>
  <c r="C4042"/>
  <c r="B4042"/>
  <c r="A4042"/>
  <c r="C4041"/>
  <c r="B4041"/>
  <c r="A4041"/>
  <c r="C4040"/>
  <c r="B4040"/>
  <c r="A4040"/>
  <c r="C4039"/>
  <c r="B4039"/>
  <c r="A4039"/>
  <c r="C4038"/>
  <c r="B4038"/>
  <c r="A4038"/>
  <c r="C4037"/>
  <c r="B4037"/>
  <c r="A4037"/>
  <c r="C4036"/>
  <c r="B4036"/>
  <c r="A4036"/>
  <c r="C4035"/>
  <c r="B4035"/>
  <c r="A4035"/>
  <c r="C4034"/>
  <c r="B4034"/>
  <c r="A4034"/>
  <c r="C4033"/>
  <c r="B4033"/>
  <c r="A4033"/>
  <c r="C4032"/>
  <c r="B4032"/>
  <c r="A4032"/>
  <c r="C4031"/>
  <c r="B4031"/>
  <c r="A4031"/>
  <c r="C4030"/>
  <c r="B4030"/>
  <c r="A4030"/>
  <c r="C4029"/>
  <c r="B4029"/>
  <c r="A4029"/>
  <c r="C4028"/>
  <c r="B4028"/>
  <c r="A4028"/>
  <c r="C4027"/>
  <c r="B4027"/>
  <c r="A4027"/>
  <c r="C4026"/>
  <c r="B4026"/>
  <c r="A4026"/>
  <c r="C4025"/>
  <c r="B4025"/>
  <c r="A4025"/>
  <c r="C4024"/>
  <c r="B4024"/>
  <c r="A4024"/>
  <c r="C4023"/>
  <c r="B4023"/>
  <c r="A4023"/>
  <c r="C4022"/>
  <c r="B4022"/>
  <c r="A4022"/>
  <c r="C4021"/>
  <c r="B4021"/>
  <c r="A4021"/>
  <c r="C4020"/>
  <c r="B4020"/>
  <c r="A4020"/>
  <c r="C4019"/>
  <c r="B4019"/>
  <c r="A4019"/>
  <c r="C4018"/>
  <c r="B4018"/>
  <c r="A4018"/>
  <c r="C4017"/>
  <c r="B4017"/>
  <c r="A4017"/>
  <c r="C4016"/>
  <c r="B4016"/>
  <c r="A4016"/>
  <c r="C4015"/>
  <c r="B4015"/>
  <c r="A4015"/>
  <c r="C4014"/>
  <c r="B4014"/>
  <c r="A4014"/>
  <c r="C4013"/>
  <c r="B4013"/>
  <c r="A4013"/>
  <c r="C4012"/>
  <c r="B4012"/>
  <c r="A4012"/>
  <c r="C4011"/>
  <c r="B4011"/>
  <c r="A4011"/>
  <c r="C4010"/>
  <c r="B4010"/>
  <c r="A4010"/>
  <c r="C4009"/>
  <c r="B4009"/>
  <c r="A4009"/>
  <c r="C4008"/>
  <c r="B4008"/>
  <c r="A4008"/>
  <c r="C4007"/>
  <c r="B4007"/>
  <c r="A4007"/>
  <c r="C4006"/>
  <c r="B4006"/>
  <c r="A4006"/>
  <c r="C4005"/>
  <c r="B4005"/>
  <c r="A4005"/>
  <c r="C4004"/>
  <c r="B4004"/>
  <c r="A4004"/>
  <c r="C4003"/>
  <c r="B4003"/>
  <c r="A4003"/>
  <c r="C4002"/>
  <c r="B4002"/>
  <c r="A4002"/>
  <c r="C4001"/>
  <c r="B4001"/>
  <c r="A4001"/>
  <c r="C4000"/>
  <c r="B4000"/>
  <c r="A4000"/>
  <c r="C3999"/>
  <c r="B3999"/>
  <c r="A3999"/>
  <c r="C3998"/>
  <c r="B3998"/>
  <c r="A3998"/>
  <c r="C3997"/>
  <c r="B3997"/>
  <c r="A3997"/>
  <c r="C3996"/>
  <c r="B3996"/>
  <c r="A3996"/>
  <c r="C3995"/>
  <c r="B3995"/>
  <c r="A3995"/>
  <c r="C3994"/>
  <c r="B3994"/>
  <c r="A3994"/>
  <c r="C3993"/>
  <c r="B3993"/>
  <c r="A3993"/>
  <c r="C3992"/>
  <c r="B3992"/>
  <c r="A3992"/>
  <c r="C3991"/>
  <c r="B3991"/>
  <c r="A3991"/>
  <c r="C3990"/>
  <c r="B3990"/>
  <c r="A3990"/>
  <c r="C3989"/>
  <c r="B3989"/>
  <c r="A3989"/>
  <c r="C3988"/>
  <c r="B3988"/>
  <c r="A3988"/>
  <c r="C3987"/>
  <c r="B3987"/>
  <c r="A3987"/>
  <c r="C3986"/>
  <c r="B3986"/>
  <c r="A3986"/>
  <c r="C3985"/>
  <c r="B3985"/>
  <c r="A3985"/>
  <c r="C3984"/>
  <c r="B3984"/>
  <c r="A3984"/>
  <c r="C3983"/>
  <c r="B3983"/>
  <c r="A3983"/>
  <c r="C3982"/>
  <c r="B3982"/>
  <c r="A3982"/>
  <c r="C3981"/>
  <c r="B3981"/>
  <c r="A3981"/>
  <c r="C3980"/>
  <c r="B3980"/>
  <c r="A3980"/>
  <c r="C3979"/>
  <c r="B3979"/>
  <c r="A3979"/>
  <c r="C3978"/>
  <c r="B3978"/>
  <c r="A3978"/>
  <c r="C3977"/>
  <c r="B3977"/>
  <c r="A3977"/>
  <c r="C3976"/>
  <c r="B3976"/>
  <c r="A3976"/>
  <c r="C3975"/>
  <c r="B3975"/>
  <c r="A3975"/>
  <c r="C3974"/>
  <c r="B3974"/>
  <c r="A3974"/>
  <c r="C3973"/>
  <c r="B3973"/>
  <c r="A3973"/>
  <c r="C3972"/>
  <c r="B3972"/>
  <c r="A3972"/>
  <c r="C3971"/>
  <c r="B3971"/>
  <c r="A3971"/>
  <c r="C3970"/>
  <c r="B3970"/>
  <c r="A3970"/>
  <c r="C3969"/>
  <c r="B3969"/>
  <c r="A3969"/>
  <c r="C3968"/>
  <c r="B3968"/>
  <c r="A3968"/>
  <c r="C3967"/>
  <c r="B3967"/>
  <c r="A3967"/>
  <c r="C3966"/>
  <c r="B3966"/>
  <c r="A3966"/>
  <c r="C3965"/>
  <c r="B3965"/>
  <c r="A3965"/>
  <c r="C3964"/>
  <c r="B3964"/>
  <c r="A3964"/>
  <c r="C3963"/>
  <c r="B3963"/>
  <c r="A3963"/>
  <c r="C3962"/>
  <c r="B3962"/>
  <c r="A3962"/>
  <c r="C3961"/>
  <c r="B3961"/>
  <c r="A3961"/>
  <c r="C3960"/>
  <c r="B3960"/>
  <c r="A3960"/>
  <c r="C3959"/>
  <c r="B3959"/>
  <c r="A3959"/>
  <c r="C3958"/>
  <c r="B3958"/>
  <c r="A3958"/>
  <c r="C3957"/>
  <c r="B3957"/>
  <c r="A3957"/>
  <c r="C3956"/>
  <c r="B3956"/>
  <c r="A3956"/>
  <c r="C3955"/>
  <c r="B3955"/>
  <c r="A3955"/>
  <c r="C3954"/>
  <c r="B3954"/>
  <c r="A3954"/>
  <c r="C3953"/>
  <c r="B3953"/>
  <c r="A3953"/>
  <c r="C3952"/>
  <c r="B3952"/>
  <c r="A3952"/>
  <c r="C3951"/>
  <c r="B3951"/>
  <c r="A3951"/>
  <c r="C3950"/>
  <c r="B3950"/>
  <c r="A3950"/>
  <c r="C3949"/>
  <c r="B3949"/>
  <c r="A3949"/>
  <c r="C3948"/>
  <c r="B3948"/>
  <c r="A3948"/>
  <c r="C3947"/>
  <c r="B3947"/>
  <c r="A3947"/>
  <c r="C3946"/>
  <c r="B3946"/>
  <c r="A3946"/>
  <c r="C3945"/>
  <c r="B3945"/>
  <c r="A3945"/>
  <c r="C3944"/>
  <c r="B3944"/>
  <c r="A3944"/>
  <c r="C3943"/>
  <c r="B3943"/>
  <c r="A3943"/>
  <c r="C3942"/>
  <c r="B3942"/>
  <c r="A3942"/>
  <c r="C3941"/>
  <c r="B3941"/>
  <c r="A3941"/>
  <c r="C3940"/>
  <c r="B3940"/>
  <c r="A3940"/>
  <c r="C3939"/>
  <c r="B3939"/>
  <c r="A3939"/>
  <c r="C3938"/>
  <c r="B3938"/>
  <c r="A3938"/>
  <c r="C3937"/>
  <c r="B3937"/>
  <c r="A3937"/>
  <c r="C3936"/>
  <c r="B3936"/>
  <c r="A3936"/>
  <c r="C3935"/>
  <c r="B3935"/>
  <c r="A3935"/>
  <c r="C3934"/>
  <c r="B3934"/>
  <c r="A3934"/>
  <c r="C3933"/>
  <c r="B3933"/>
  <c r="A3933"/>
  <c r="C3932"/>
  <c r="B3932"/>
  <c r="A3932"/>
  <c r="C3931"/>
  <c r="B3931"/>
  <c r="A3931"/>
  <c r="C3930"/>
  <c r="B3930"/>
  <c r="A3930"/>
  <c r="C3929"/>
  <c r="B3929"/>
  <c r="A3929"/>
  <c r="C3928"/>
  <c r="B3928"/>
  <c r="A3928"/>
  <c r="C3927"/>
  <c r="B3927"/>
  <c r="A3927"/>
  <c r="C3926"/>
  <c r="B3926"/>
  <c r="A3926"/>
  <c r="C3925"/>
  <c r="B3925"/>
  <c r="A3925"/>
  <c r="C3924"/>
  <c r="B3924"/>
  <c r="A3924"/>
  <c r="C3923"/>
  <c r="B3923"/>
  <c r="A3923"/>
  <c r="C3922"/>
  <c r="B3922"/>
  <c r="A3922"/>
  <c r="C3921"/>
  <c r="B3921"/>
  <c r="A3921"/>
  <c r="C3920"/>
  <c r="B3920"/>
  <c r="A3920"/>
  <c r="C3919"/>
  <c r="B3919"/>
  <c r="A3919"/>
  <c r="C3918"/>
  <c r="B3918"/>
  <c r="A3918"/>
  <c r="C3917"/>
  <c r="B3917"/>
  <c r="A3917"/>
  <c r="C3916"/>
  <c r="B3916"/>
  <c r="A3916"/>
  <c r="C3915"/>
  <c r="B3915"/>
  <c r="A3915"/>
  <c r="C3914"/>
  <c r="B3914"/>
  <c r="A3914"/>
  <c r="C3913"/>
  <c r="B3913"/>
  <c r="A3913"/>
  <c r="C3912"/>
  <c r="B3912"/>
  <c r="A3912"/>
  <c r="C3911"/>
  <c r="B3911"/>
  <c r="A3911"/>
  <c r="C3910"/>
  <c r="B3910"/>
  <c r="A3910"/>
  <c r="C3909"/>
  <c r="B3909"/>
  <c r="A3909"/>
  <c r="C3908"/>
  <c r="B3908"/>
  <c r="A3908"/>
  <c r="C3907"/>
  <c r="B3907"/>
  <c r="A3907"/>
  <c r="C3906"/>
  <c r="B3906"/>
  <c r="A3906"/>
  <c r="C3905"/>
  <c r="B3905"/>
  <c r="A3905"/>
  <c r="C3904"/>
  <c r="B3904"/>
  <c r="A3904"/>
  <c r="C3903"/>
  <c r="B3903"/>
  <c r="A3903"/>
  <c r="C3902"/>
  <c r="B3902"/>
  <c r="A3902"/>
  <c r="C3901"/>
  <c r="B3901"/>
  <c r="A3901"/>
  <c r="C3900"/>
  <c r="B3900"/>
  <c r="A3900"/>
  <c r="C3899"/>
  <c r="B3899"/>
  <c r="A3899"/>
  <c r="C3898"/>
  <c r="B3898"/>
  <c r="A3898"/>
  <c r="C3897"/>
  <c r="B3897"/>
  <c r="A3897"/>
  <c r="C3896"/>
  <c r="B3896"/>
  <c r="A3896"/>
  <c r="C3895"/>
  <c r="B3895"/>
  <c r="A3895"/>
  <c r="C3894"/>
  <c r="B3894"/>
  <c r="A3894"/>
  <c r="C3893"/>
  <c r="B3893"/>
  <c r="A3893"/>
  <c r="C3892"/>
  <c r="B3892"/>
  <c r="A3892"/>
  <c r="C3891"/>
  <c r="B3891"/>
  <c r="A3891"/>
  <c r="C3890"/>
  <c r="B3890"/>
  <c r="A3890"/>
  <c r="C3889"/>
  <c r="B3889"/>
  <c r="A3889"/>
  <c r="C3888"/>
  <c r="B3888"/>
  <c r="A3888"/>
  <c r="C3887"/>
  <c r="B3887"/>
  <c r="A3887"/>
  <c r="C3886"/>
  <c r="B3886"/>
  <c r="A3886"/>
  <c r="C3885"/>
  <c r="B3885"/>
  <c r="A3885"/>
  <c r="C3884"/>
  <c r="B3884"/>
  <c r="A3884"/>
  <c r="C3883"/>
  <c r="B3883"/>
  <c r="A3883"/>
  <c r="C3882"/>
  <c r="B3882"/>
  <c r="A3882"/>
  <c r="C3881"/>
  <c r="B3881"/>
  <c r="A3881"/>
  <c r="C3880"/>
  <c r="B3880"/>
  <c r="A3880"/>
  <c r="C3879"/>
  <c r="B3879"/>
  <c r="A3879"/>
  <c r="C3878"/>
  <c r="B3878"/>
  <c r="A3878"/>
  <c r="C3877"/>
  <c r="B3877"/>
  <c r="A3877"/>
  <c r="C3876"/>
  <c r="B3876"/>
  <c r="A3876"/>
  <c r="C3875"/>
  <c r="B3875"/>
  <c r="A3875"/>
  <c r="C3874"/>
  <c r="B3874"/>
  <c r="A3874"/>
  <c r="C3873"/>
  <c r="B3873"/>
  <c r="A3873"/>
  <c r="C3872"/>
  <c r="B3872"/>
  <c r="A3872"/>
  <c r="C3871"/>
  <c r="B3871"/>
  <c r="A3871"/>
  <c r="C3870"/>
  <c r="B3870"/>
  <c r="A3870"/>
  <c r="C3869"/>
  <c r="B3869"/>
  <c r="A3869"/>
  <c r="C3868"/>
  <c r="B3868"/>
  <c r="A3868"/>
  <c r="C3867"/>
  <c r="B3867"/>
  <c r="A3867"/>
  <c r="C3866"/>
  <c r="B3866"/>
  <c r="A3866"/>
  <c r="C3865"/>
  <c r="B3865"/>
  <c r="A3865"/>
  <c r="C3864"/>
  <c r="B3864"/>
  <c r="A3864"/>
  <c r="C3863"/>
  <c r="B3863"/>
  <c r="A3863"/>
  <c r="C3862"/>
  <c r="B3862"/>
  <c r="A3862"/>
  <c r="C3861"/>
  <c r="B3861"/>
  <c r="A3861"/>
  <c r="C3860"/>
  <c r="B3860"/>
  <c r="A3860"/>
  <c r="C3859"/>
  <c r="B3859"/>
  <c r="A3859"/>
  <c r="C3858"/>
  <c r="B3858"/>
  <c r="A3858"/>
  <c r="C3857"/>
  <c r="B3857"/>
  <c r="A3857"/>
  <c r="C3856"/>
  <c r="B3856"/>
  <c r="A3856"/>
  <c r="C3855"/>
  <c r="B3855"/>
  <c r="A3855"/>
  <c r="C3854"/>
  <c r="B3854"/>
  <c r="A3854"/>
  <c r="C3853"/>
  <c r="B3853"/>
  <c r="A3853"/>
  <c r="C3852"/>
  <c r="B3852"/>
  <c r="A3852"/>
  <c r="C3851"/>
  <c r="B3851"/>
  <c r="A3851"/>
  <c r="C3850"/>
  <c r="B3850"/>
  <c r="A3850"/>
  <c r="C3849"/>
  <c r="B3849"/>
  <c r="A3849"/>
  <c r="C3848"/>
  <c r="B3848"/>
  <c r="A3848"/>
  <c r="C3847"/>
  <c r="B3847"/>
  <c r="A3847"/>
  <c r="C3846"/>
  <c r="B3846"/>
  <c r="A3846"/>
  <c r="C3845"/>
  <c r="B3845"/>
  <c r="A3845"/>
  <c r="C3844"/>
  <c r="B3844"/>
  <c r="A3844"/>
  <c r="C3843"/>
  <c r="B3843"/>
  <c r="A3843"/>
  <c r="C3842"/>
  <c r="B3842"/>
  <c r="A3842"/>
  <c r="C3841"/>
  <c r="B3841"/>
  <c r="A3841"/>
  <c r="C3840"/>
  <c r="B3840"/>
  <c r="A3840"/>
  <c r="C3839"/>
  <c r="B3839"/>
  <c r="A3839"/>
  <c r="C3838"/>
  <c r="B3838"/>
  <c r="A3838"/>
  <c r="C3837"/>
  <c r="B3837"/>
  <c r="A3837"/>
  <c r="C3836"/>
  <c r="B3836"/>
  <c r="A3836"/>
  <c r="C3835"/>
  <c r="B3835"/>
  <c r="A3835"/>
  <c r="C3834"/>
  <c r="B3834"/>
  <c r="A3834"/>
  <c r="C3833"/>
  <c r="B3833"/>
  <c r="A3833"/>
  <c r="C3832"/>
  <c r="B3832"/>
  <c r="A3832"/>
  <c r="C3831"/>
  <c r="B3831"/>
  <c r="A3831"/>
  <c r="C3830"/>
  <c r="B3830"/>
  <c r="A3830"/>
  <c r="C3829"/>
  <c r="B3829"/>
  <c r="A3829"/>
  <c r="C3828"/>
  <c r="B3828"/>
  <c r="A3828"/>
  <c r="C3827"/>
  <c r="B3827"/>
  <c r="A3827"/>
  <c r="C3826"/>
  <c r="B3826"/>
  <c r="A3826"/>
  <c r="C3825"/>
  <c r="B3825"/>
  <c r="A3825"/>
  <c r="C3824"/>
  <c r="B3824"/>
  <c r="A3824"/>
  <c r="C3823"/>
  <c r="B3823"/>
  <c r="A3823"/>
  <c r="C3822"/>
  <c r="B3822"/>
  <c r="A3822"/>
  <c r="C3821"/>
  <c r="B3821"/>
  <c r="A3821"/>
  <c r="C3820"/>
  <c r="B3820"/>
  <c r="A3820"/>
  <c r="C3819"/>
  <c r="B3819"/>
  <c r="A3819"/>
  <c r="C3818"/>
  <c r="B3818"/>
  <c r="A3818"/>
  <c r="C3817"/>
  <c r="B3817"/>
  <c r="A3817"/>
  <c r="C3816"/>
  <c r="B3816"/>
  <c r="A3816"/>
  <c r="C3815"/>
  <c r="B3815"/>
  <c r="A3815"/>
  <c r="C3814"/>
  <c r="B3814"/>
  <c r="A3814"/>
  <c r="C3813"/>
  <c r="B3813"/>
  <c r="A3813"/>
  <c r="C3812"/>
  <c r="B3812"/>
  <c r="A3812"/>
  <c r="C3811"/>
  <c r="B3811"/>
  <c r="A3811"/>
  <c r="C3810"/>
  <c r="B3810"/>
  <c r="A3810"/>
  <c r="C3809"/>
  <c r="B3809"/>
  <c r="A3809"/>
  <c r="C3808"/>
  <c r="B3808"/>
  <c r="A3808"/>
  <c r="C3807"/>
  <c r="B3807"/>
  <c r="A3807"/>
  <c r="C3806"/>
  <c r="B3806"/>
  <c r="A3806"/>
  <c r="C3805"/>
  <c r="B3805"/>
  <c r="A3805"/>
  <c r="C3804"/>
  <c r="B3804"/>
  <c r="A3804"/>
  <c r="C3803"/>
  <c r="B3803"/>
  <c r="A3803"/>
  <c r="C3802"/>
  <c r="B3802"/>
  <c r="A3802"/>
  <c r="C3801"/>
  <c r="B3801"/>
  <c r="A3801"/>
  <c r="C3800"/>
  <c r="B3800"/>
  <c r="A3800"/>
  <c r="C3799"/>
  <c r="B3799"/>
  <c r="A3799"/>
  <c r="C3798"/>
  <c r="B3798"/>
  <c r="A3798"/>
  <c r="C3797"/>
  <c r="B3797"/>
  <c r="A3797"/>
  <c r="C3796"/>
  <c r="B3796"/>
  <c r="A3796"/>
  <c r="C3795"/>
  <c r="B3795"/>
  <c r="A3795"/>
  <c r="C3794"/>
  <c r="B3794"/>
  <c r="A3794"/>
  <c r="C3793"/>
  <c r="B3793"/>
  <c r="A3793"/>
  <c r="C3792"/>
  <c r="B3792"/>
  <c r="A3792"/>
  <c r="C3791"/>
  <c r="B3791"/>
  <c r="A3791"/>
  <c r="C3790"/>
  <c r="B3790"/>
  <c r="A3790"/>
  <c r="C3789"/>
  <c r="B3789"/>
  <c r="A3789"/>
  <c r="C3788"/>
  <c r="B3788"/>
  <c r="A3788"/>
  <c r="C3787"/>
  <c r="B3787"/>
  <c r="A3787"/>
  <c r="C3786"/>
  <c r="B3786"/>
  <c r="A3786"/>
  <c r="C3785"/>
  <c r="B3785"/>
  <c r="A3785"/>
  <c r="C3784"/>
  <c r="B3784"/>
  <c r="A3784"/>
  <c r="C3783"/>
  <c r="B3783"/>
  <c r="A3783"/>
  <c r="C3782"/>
  <c r="B3782"/>
  <c r="A3782"/>
  <c r="C3781"/>
  <c r="B3781"/>
  <c r="A3781"/>
  <c r="C3780"/>
  <c r="B3780"/>
  <c r="A3780"/>
  <c r="C3779"/>
  <c r="B3779"/>
  <c r="A3779"/>
  <c r="C3778"/>
  <c r="B3778"/>
  <c r="A3778"/>
  <c r="C3777"/>
  <c r="B3777"/>
  <c r="A3777"/>
  <c r="C3776"/>
  <c r="B3776"/>
  <c r="A3776"/>
  <c r="C3775"/>
  <c r="B3775"/>
  <c r="A3775"/>
  <c r="C3774"/>
  <c r="B3774"/>
  <c r="A3774"/>
  <c r="C3773"/>
  <c r="B3773"/>
  <c r="A3773"/>
  <c r="C3772"/>
  <c r="B3772"/>
  <c r="A3772"/>
  <c r="C3771"/>
  <c r="B3771"/>
  <c r="A3771"/>
  <c r="C3770"/>
  <c r="B3770"/>
  <c r="A3770"/>
  <c r="C3769"/>
  <c r="B3769"/>
  <c r="A3769"/>
  <c r="C3768"/>
  <c r="B3768"/>
  <c r="A3768"/>
  <c r="C3767"/>
  <c r="B3767"/>
  <c r="A3767"/>
  <c r="C3766"/>
  <c r="B3766"/>
  <c r="A3766"/>
  <c r="C3765"/>
  <c r="B3765"/>
  <c r="A3765"/>
  <c r="C3764"/>
  <c r="B3764"/>
  <c r="A3764"/>
  <c r="C3763"/>
  <c r="B3763"/>
  <c r="A3763"/>
  <c r="C3762"/>
  <c r="B3762"/>
  <c r="A3762"/>
  <c r="C3761"/>
  <c r="B3761"/>
  <c r="A3761"/>
  <c r="C3760"/>
  <c r="B3760"/>
  <c r="A3760"/>
  <c r="C3759"/>
  <c r="B3759"/>
  <c r="A3759"/>
  <c r="C3758"/>
  <c r="B3758"/>
  <c r="A3758"/>
  <c r="C3757"/>
  <c r="B3757"/>
  <c r="A3757"/>
  <c r="C3756"/>
  <c r="B3756"/>
  <c r="A3756"/>
  <c r="C3755"/>
  <c r="B3755"/>
  <c r="A3755"/>
  <c r="C3754"/>
  <c r="B3754"/>
  <c r="A3754"/>
  <c r="C3753"/>
  <c r="B3753"/>
  <c r="A3753"/>
  <c r="C3752"/>
  <c r="B3752"/>
  <c r="A3752"/>
  <c r="C3751"/>
  <c r="B3751"/>
  <c r="A3751"/>
  <c r="C3750"/>
  <c r="B3750"/>
  <c r="A3750"/>
  <c r="C3749"/>
  <c r="B3749"/>
  <c r="A3749"/>
  <c r="C3748"/>
  <c r="B3748"/>
  <c r="A3748"/>
  <c r="C3747"/>
  <c r="B3747"/>
  <c r="A3747"/>
  <c r="C3746"/>
  <c r="B3746"/>
  <c r="A3746"/>
  <c r="C3745"/>
  <c r="B3745"/>
  <c r="A3745"/>
  <c r="C3744"/>
  <c r="B3744"/>
  <c r="A3744"/>
  <c r="C3743"/>
  <c r="B3743"/>
  <c r="A3743"/>
  <c r="C3742"/>
  <c r="B3742"/>
  <c r="A3742"/>
  <c r="C3741"/>
  <c r="B3741"/>
  <c r="A3741"/>
  <c r="C3740"/>
  <c r="B3740"/>
  <c r="A3740"/>
  <c r="C3739"/>
  <c r="B3739"/>
  <c r="A3739"/>
  <c r="C3738"/>
  <c r="B3738"/>
  <c r="A3738"/>
  <c r="C3737"/>
  <c r="B3737"/>
  <c r="A3737"/>
  <c r="C3736"/>
  <c r="B3736"/>
  <c r="A3736"/>
  <c r="C3735"/>
  <c r="B3735"/>
  <c r="A3735"/>
  <c r="C3734"/>
  <c r="B3734"/>
  <c r="A3734"/>
  <c r="C3733"/>
  <c r="B3733"/>
  <c r="A3733"/>
  <c r="C3732"/>
  <c r="B3732"/>
  <c r="A3732"/>
  <c r="C3731"/>
  <c r="B3731"/>
  <c r="A3731"/>
  <c r="C3730"/>
  <c r="B3730"/>
  <c r="A3730"/>
  <c r="C3729"/>
  <c r="B3729"/>
  <c r="A3729"/>
  <c r="C3728"/>
  <c r="B3728"/>
  <c r="A3728"/>
  <c r="C3727"/>
  <c r="B3727"/>
  <c r="A3727"/>
  <c r="C3726"/>
  <c r="B3726"/>
  <c r="A3726"/>
  <c r="C3725"/>
  <c r="B3725"/>
  <c r="A3725"/>
  <c r="C3724"/>
  <c r="B3724"/>
  <c r="A3724"/>
  <c r="C3723"/>
  <c r="B3723"/>
  <c r="A3723"/>
  <c r="C3722"/>
  <c r="B3722"/>
  <c r="A3722"/>
  <c r="C3721"/>
  <c r="B3721"/>
  <c r="A3721"/>
  <c r="C3720"/>
  <c r="B3720"/>
  <c r="A3720"/>
  <c r="C3719"/>
  <c r="B3719"/>
  <c r="A3719"/>
  <c r="C3718"/>
  <c r="B3718"/>
  <c r="A3718"/>
  <c r="C3717"/>
  <c r="B3717"/>
  <c r="A3717"/>
  <c r="C3716"/>
  <c r="B3716"/>
  <c r="A3716"/>
  <c r="C3715"/>
  <c r="B3715"/>
  <c r="A3715"/>
  <c r="C3714"/>
  <c r="B3714"/>
  <c r="A3714"/>
  <c r="C3713"/>
  <c r="B3713"/>
  <c r="A3713"/>
  <c r="C3712"/>
  <c r="B3712"/>
  <c r="A3712"/>
  <c r="C3711"/>
  <c r="B3711"/>
  <c r="A3711"/>
  <c r="C3710"/>
  <c r="B3710"/>
  <c r="A3710"/>
  <c r="C3709"/>
  <c r="B3709"/>
  <c r="A3709"/>
  <c r="C3708"/>
  <c r="B3708"/>
  <c r="A3708"/>
  <c r="C3707"/>
  <c r="B3707"/>
  <c r="A3707"/>
  <c r="C3706"/>
  <c r="B3706"/>
  <c r="A3706"/>
  <c r="C3705"/>
  <c r="B3705"/>
  <c r="A3705"/>
  <c r="C3704"/>
  <c r="B3704"/>
  <c r="A3704"/>
  <c r="C3703"/>
  <c r="B3703"/>
  <c r="A3703"/>
  <c r="C3702"/>
  <c r="B3702"/>
  <c r="A3702"/>
  <c r="C3701"/>
  <c r="B3701"/>
  <c r="A3701"/>
  <c r="C3700"/>
  <c r="B3700"/>
  <c r="A3700"/>
  <c r="C3699"/>
  <c r="B3699"/>
  <c r="A3699"/>
  <c r="C3698"/>
  <c r="B3698"/>
  <c r="A3698"/>
  <c r="C3697"/>
  <c r="B3697"/>
  <c r="A3697"/>
  <c r="C3696"/>
  <c r="B3696"/>
  <c r="A3696"/>
  <c r="C3695"/>
  <c r="B3695"/>
  <c r="A3695"/>
  <c r="C3694"/>
  <c r="B3694"/>
  <c r="A3694"/>
  <c r="C3693"/>
  <c r="B3693"/>
  <c r="A3693"/>
  <c r="C3692"/>
  <c r="B3692"/>
  <c r="A3692"/>
  <c r="C3691"/>
  <c r="B3691"/>
  <c r="A3691"/>
  <c r="C3690"/>
  <c r="B3690"/>
  <c r="A3690"/>
  <c r="C3689"/>
  <c r="B3689"/>
  <c r="A3689"/>
  <c r="C3688"/>
  <c r="B3688"/>
  <c r="A3688"/>
  <c r="C3687"/>
  <c r="B3687"/>
  <c r="A3687"/>
  <c r="C3686"/>
  <c r="B3686"/>
  <c r="A3686"/>
  <c r="C3685"/>
  <c r="B3685"/>
  <c r="A3685"/>
  <c r="C3684"/>
  <c r="B3684"/>
  <c r="A3684"/>
  <c r="C3683"/>
  <c r="B3683"/>
  <c r="A3683"/>
  <c r="C3682"/>
  <c r="B3682"/>
  <c r="A3682"/>
  <c r="C3681"/>
  <c r="B3681"/>
  <c r="A3681"/>
  <c r="C3680"/>
  <c r="B3680"/>
  <c r="A3680"/>
  <c r="C3679"/>
  <c r="B3679"/>
  <c r="A3679"/>
  <c r="C3678"/>
  <c r="B3678"/>
  <c r="A3678"/>
  <c r="C3677"/>
  <c r="B3677"/>
  <c r="A3677"/>
  <c r="C3676"/>
  <c r="B3676"/>
  <c r="A3676"/>
  <c r="C3675"/>
  <c r="B3675"/>
  <c r="A3675"/>
  <c r="C3674"/>
  <c r="B3674"/>
  <c r="A3674"/>
  <c r="C3673"/>
  <c r="B3673"/>
  <c r="A3673"/>
  <c r="C3672"/>
  <c r="B3672"/>
  <c r="A3672"/>
  <c r="C3671"/>
  <c r="B3671"/>
  <c r="A3671"/>
  <c r="C3670"/>
  <c r="B3670"/>
  <c r="A3670"/>
  <c r="C3669"/>
  <c r="B3669"/>
  <c r="A3669"/>
  <c r="C3668"/>
  <c r="B3668"/>
  <c r="A3668"/>
  <c r="C3667"/>
  <c r="B3667"/>
  <c r="A3667"/>
  <c r="C3666"/>
  <c r="B3666"/>
  <c r="A3666"/>
  <c r="C3665"/>
  <c r="B3665"/>
  <c r="A3665"/>
  <c r="C3664"/>
  <c r="B3664"/>
  <c r="A3664"/>
  <c r="C3663"/>
  <c r="B3663"/>
  <c r="A3663"/>
  <c r="C3662"/>
  <c r="B3662"/>
  <c r="A3662"/>
  <c r="C3661"/>
  <c r="B3661"/>
  <c r="A3661"/>
  <c r="C3660"/>
  <c r="B3660"/>
  <c r="A3660"/>
  <c r="C3659"/>
  <c r="B3659"/>
  <c r="A3659"/>
  <c r="C3658"/>
  <c r="B3658"/>
  <c r="A3658"/>
  <c r="C3657"/>
  <c r="B3657"/>
  <c r="A3657"/>
  <c r="C3656"/>
  <c r="B3656"/>
  <c r="A3656"/>
  <c r="C3655"/>
  <c r="B3655"/>
  <c r="A3655"/>
  <c r="C3654"/>
  <c r="B3654"/>
  <c r="A3654"/>
  <c r="C3653"/>
  <c r="B3653"/>
  <c r="A3653"/>
  <c r="C3652"/>
  <c r="B3652"/>
  <c r="A3652"/>
  <c r="C3651"/>
  <c r="B3651"/>
  <c r="A3651"/>
  <c r="C3650"/>
  <c r="B3650"/>
  <c r="A3650"/>
  <c r="C3649"/>
  <c r="B3649"/>
  <c r="A3649"/>
  <c r="C3648"/>
  <c r="B3648"/>
  <c r="A3648"/>
  <c r="C3647"/>
  <c r="B3647"/>
  <c r="A3647"/>
  <c r="C3646"/>
  <c r="B3646"/>
  <c r="A3646"/>
  <c r="C3645"/>
  <c r="B3645"/>
  <c r="A3645"/>
  <c r="C3644"/>
  <c r="B3644"/>
  <c r="A3644"/>
  <c r="C3643"/>
  <c r="B3643"/>
  <c r="A3643"/>
  <c r="C3642"/>
  <c r="B3642"/>
  <c r="A3642"/>
  <c r="C3641"/>
  <c r="B3641"/>
  <c r="A3641"/>
  <c r="C3640"/>
  <c r="B3640"/>
  <c r="A3640"/>
  <c r="C3639"/>
  <c r="B3639"/>
  <c r="A3639"/>
  <c r="C3638"/>
  <c r="B3638"/>
  <c r="A3638"/>
  <c r="C3637"/>
  <c r="B3637"/>
  <c r="A3637"/>
  <c r="C3636"/>
  <c r="B3636"/>
  <c r="A3636"/>
  <c r="C3635"/>
  <c r="B3635"/>
  <c r="A3635"/>
  <c r="C3634"/>
  <c r="B3634"/>
  <c r="A3634"/>
  <c r="C3633"/>
  <c r="B3633"/>
  <c r="A3633"/>
  <c r="C3632"/>
  <c r="B3632"/>
  <c r="A3632"/>
  <c r="C3631"/>
  <c r="B3631"/>
  <c r="A3631"/>
  <c r="C3630"/>
  <c r="B3630"/>
  <c r="A3630"/>
  <c r="C3629"/>
  <c r="B3629"/>
  <c r="A3629"/>
  <c r="C3628"/>
  <c r="B3628"/>
  <c r="A3628"/>
  <c r="C3627"/>
  <c r="B3627"/>
  <c r="A3627"/>
  <c r="C3626"/>
  <c r="B3626"/>
  <c r="A3626"/>
  <c r="C3625"/>
  <c r="B3625"/>
  <c r="A3625"/>
  <c r="C3624"/>
  <c r="B3624"/>
  <c r="A3624"/>
  <c r="C3623"/>
  <c r="B3623"/>
  <c r="A3623"/>
  <c r="C3622"/>
  <c r="B3622"/>
  <c r="A3622"/>
  <c r="C3621"/>
  <c r="B3621"/>
  <c r="A3621"/>
  <c r="C3620"/>
  <c r="B3620"/>
  <c r="A3620"/>
  <c r="C3619"/>
  <c r="B3619"/>
  <c r="A3619"/>
  <c r="C3618"/>
  <c r="B3618"/>
  <c r="A3618"/>
  <c r="C3617"/>
  <c r="B3617"/>
  <c r="A3617"/>
  <c r="C3616"/>
  <c r="B3616"/>
  <c r="A3616"/>
  <c r="C3615"/>
  <c r="B3615"/>
  <c r="A3615"/>
  <c r="C3614"/>
  <c r="B3614"/>
  <c r="A3614"/>
  <c r="C3613"/>
  <c r="B3613"/>
  <c r="A3613"/>
  <c r="C3612"/>
  <c r="B3612"/>
  <c r="A3612"/>
  <c r="C3611"/>
  <c r="B3611"/>
  <c r="A3611"/>
  <c r="C3610"/>
  <c r="B3610"/>
  <c r="A3610"/>
  <c r="C3609"/>
  <c r="B3609"/>
  <c r="A3609"/>
  <c r="C3608"/>
  <c r="B3608"/>
  <c r="A3608"/>
  <c r="C3607"/>
  <c r="B3607"/>
  <c r="A3607"/>
  <c r="C3606"/>
  <c r="B3606"/>
  <c r="A3606"/>
  <c r="C3605"/>
  <c r="B3605"/>
  <c r="A3605"/>
  <c r="C3604"/>
  <c r="B3604"/>
  <c r="A3604"/>
  <c r="C3603"/>
  <c r="B3603"/>
  <c r="A3603"/>
  <c r="C3602"/>
  <c r="B3602"/>
  <c r="A3602"/>
  <c r="C3601"/>
  <c r="B3601"/>
  <c r="A3601"/>
  <c r="C3600"/>
  <c r="B3600"/>
  <c r="A3600"/>
  <c r="C3599"/>
  <c r="B3599"/>
  <c r="A3599"/>
  <c r="C3598"/>
  <c r="B3598"/>
  <c r="A3598"/>
  <c r="C3597"/>
  <c r="B3597"/>
  <c r="A3597"/>
  <c r="C3596"/>
  <c r="B3596"/>
  <c r="A3596"/>
  <c r="C3595"/>
  <c r="B3595"/>
  <c r="A3595"/>
  <c r="C3594"/>
  <c r="B3594"/>
  <c r="A3594"/>
  <c r="C3593"/>
  <c r="B3593"/>
  <c r="A3593"/>
  <c r="C3592"/>
  <c r="B3592"/>
  <c r="A3592"/>
  <c r="C3591"/>
  <c r="B3591"/>
  <c r="A3591"/>
  <c r="C3590"/>
  <c r="B3590"/>
  <c r="A3590"/>
  <c r="C3589"/>
  <c r="B3589"/>
  <c r="A3589"/>
  <c r="C3588"/>
  <c r="B3588"/>
  <c r="A3588"/>
  <c r="C3587"/>
  <c r="B3587"/>
  <c r="A3587"/>
  <c r="C3586"/>
  <c r="B3586"/>
  <c r="A3586"/>
  <c r="C3585"/>
  <c r="B3585"/>
  <c r="A3585"/>
  <c r="C3584"/>
  <c r="B3584"/>
  <c r="A3584"/>
  <c r="C3583"/>
  <c r="B3583"/>
  <c r="A3583"/>
  <c r="C3582"/>
  <c r="B3582"/>
  <c r="A3582"/>
  <c r="C3581"/>
  <c r="B3581"/>
  <c r="A3581"/>
  <c r="C3580"/>
  <c r="B3580"/>
  <c r="A3580"/>
  <c r="C3579"/>
  <c r="B3579"/>
  <c r="A3579"/>
  <c r="C3578"/>
  <c r="B3578"/>
  <c r="A3578"/>
  <c r="C3577"/>
  <c r="B3577"/>
  <c r="A3577"/>
  <c r="C3576"/>
  <c r="B3576"/>
  <c r="A3576"/>
  <c r="C3575"/>
  <c r="B3575"/>
  <c r="A3575"/>
  <c r="C3574"/>
  <c r="B3574"/>
  <c r="A3574"/>
  <c r="C3573"/>
  <c r="B3573"/>
  <c r="A3573"/>
  <c r="C3572"/>
  <c r="B3572"/>
  <c r="A3572"/>
  <c r="C3571"/>
  <c r="B3571"/>
  <c r="A3571"/>
  <c r="C3570"/>
  <c r="B3570"/>
  <c r="A3570"/>
  <c r="C3569"/>
  <c r="B3569"/>
  <c r="A3569"/>
  <c r="C3568"/>
  <c r="B3568"/>
  <c r="A3568"/>
  <c r="C3567"/>
  <c r="B3567"/>
  <c r="A3567"/>
  <c r="C3566"/>
  <c r="B3566"/>
  <c r="A3566"/>
  <c r="C3565"/>
  <c r="B3565"/>
  <c r="A3565"/>
  <c r="C3564"/>
  <c r="B3564"/>
  <c r="A3564"/>
  <c r="C3563"/>
  <c r="B3563"/>
  <c r="A3563"/>
  <c r="C3562"/>
  <c r="B3562"/>
  <c r="A3562"/>
  <c r="C3561"/>
  <c r="B3561"/>
  <c r="A3561"/>
  <c r="C3560"/>
  <c r="B3560"/>
  <c r="A3560"/>
  <c r="C3559"/>
  <c r="B3559"/>
  <c r="A3559"/>
  <c r="C3558"/>
  <c r="B3558"/>
  <c r="A3558"/>
  <c r="C3557"/>
  <c r="B3557"/>
  <c r="A3557"/>
  <c r="C3556"/>
  <c r="B3556"/>
  <c r="A3556"/>
  <c r="C3555"/>
  <c r="B3555"/>
  <c r="A3555"/>
  <c r="C3554"/>
  <c r="B3554"/>
  <c r="A3554"/>
  <c r="C3553"/>
  <c r="B3553"/>
  <c r="A3553"/>
  <c r="C3552"/>
  <c r="B3552"/>
  <c r="A3552"/>
  <c r="C3551"/>
  <c r="B3551"/>
  <c r="A3551"/>
  <c r="C3550"/>
  <c r="B3550"/>
  <c r="A3550"/>
  <c r="C3549"/>
  <c r="B3549"/>
  <c r="A3549"/>
  <c r="C3548"/>
  <c r="B3548"/>
  <c r="A3548"/>
  <c r="C3547"/>
  <c r="B3547"/>
  <c r="A3547"/>
  <c r="C3546"/>
  <c r="B3546"/>
  <c r="A3546"/>
  <c r="C3545"/>
  <c r="B3545"/>
  <c r="A3545"/>
  <c r="C3544"/>
  <c r="B3544"/>
  <c r="A3544"/>
  <c r="C3543"/>
  <c r="B3543"/>
  <c r="A3543"/>
  <c r="C3542"/>
  <c r="B3542"/>
  <c r="A3542"/>
  <c r="C3541"/>
  <c r="B3541"/>
  <c r="A3541"/>
  <c r="C3540"/>
  <c r="B3540"/>
  <c r="A3540"/>
  <c r="C3539"/>
  <c r="B3539"/>
  <c r="A3539"/>
  <c r="C3538"/>
  <c r="B3538"/>
  <c r="A3538"/>
  <c r="C3537"/>
  <c r="B3537"/>
  <c r="A3537"/>
  <c r="C3536"/>
  <c r="B3536"/>
  <c r="A3536"/>
  <c r="C3535"/>
  <c r="B3535"/>
  <c r="A3535"/>
  <c r="C3534"/>
  <c r="B3534"/>
  <c r="A3534"/>
  <c r="C3533"/>
  <c r="B3533"/>
  <c r="A3533"/>
  <c r="C3532"/>
  <c r="B3532"/>
  <c r="A3532"/>
  <c r="C3531"/>
  <c r="B3531"/>
  <c r="A3531"/>
  <c r="C3530"/>
  <c r="B3530"/>
  <c r="A3530"/>
  <c r="C3529"/>
  <c r="B3529"/>
  <c r="A3529"/>
  <c r="C3528"/>
  <c r="B3528"/>
  <c r="A3528"/>
  <c r="C3527"/>
  <c r="B3527"/>
  <c r="A3527"/>
  <c r="C3526"/>
  <c r="B3526"/>
  <c r="A3526"/>
  <c r="C3525"/>
  <c r="B3525"/>
  <c r="A3525"/>
  <c r="C3524"/>
  <c r="B3524"/>
  <c r="A3524"/>
  <c r="C3523"/>
  <c r="B3523"/>
  <c r="A3523"/>
  <c r="C3522"/>
  <c r="B3522"/>
  <c r="A3522"/>
  <c r="C3521"/>
  <c r="B3521"/>
  <c r="A3521"/>
  <c r="C3520"/>
  <c r="B3520"/>
  <c r="A3520"/>
  <c r="C3519"/>
  <c r="B3519"/>
  <c r="A3519"/>
  <c r="C3518"/>
  <c r="B3518"/>
  <c r="A3518"/>
  <c r="C3517"/>
  <c r="B3517"/>
  <c r="A3517"/>
  <c r="C3516"/>
  <c r="B3516"/>
  <c r="A3516"/>
  <c r="C3515"/>
  <c r="B3515"/>
  <c r="A3515"/>
  <c r="C3514"/>
  <c r="B3514"/>
  <c r="A3514"/>
  <c r="C3513"/>
  <c r="B3513"/>
  <c r="A3513"/>
  <c r="C3512"/>
  <c r="B3512"/>
  <c r="A3512"/>
  <c r="C3511"/>
  <c r="B3511"/>
  <c r="A3511"/>
  <c r="C3510"/>
  <c r="B3510"/>
  <c r="A3510"/>
  <c r="C3509"/>
  <c r="B3509"/>
  <c r="A3509"/>
  <c r="C3508"/>
  <c r="B3508"/>
  <c r="A3508"/>
  <c r="C3507"/>
  <c r="B3507"/>
  <c r="A3507"/>
  <c r="C3506"/>
  <c r="B3506"/>
  <c r="A3506"/>
  <c r="C3505"/>
  <c r="B3505"/>
  <c r="A3505"/>
  <c r="C3504"/>
  <c r="B3504"/>
  <c r="A3504"/>
  <c r="C3503"/>
  <c r="B3503"/>
  <c r="A3503"/>
  <c r="C3502"/>
  <c r="B3502"/>
  <c r="A3502"/>
  <c r="C3501"/>
  <c r="B3501"/>
  <c r="A3501"/>
  <c r="C3500"/>
  <c r="B3500"/>
  <c r="A3500"/>
  <c r="C3499"/>
  <c r="B3499"/>
  <c r="A3499"/>
  <c r="C3498"/>
  <c r="B3498"/>
  <c r="A3498"/>
  <c r="C3497"/>
  <c r="B3497"/>
  <c r="A3497"/>
  <c r="C3496"/>
  <c r="B3496"/>
  <c r="A3496"/>
  <c r="C3495"/>
  <c r="B3495"/>
  <c r="A3495"/>
  <c r="C3494"/>
  <c r="B3494"/>
  <c r="A3494"/>
  <c r="C3493"/>
  <c r="B3493"/>
  <c r="A3493"/>
  <c r="C3492"/>
  <c r="B3492"/>
  <c r="A3492"/>
  <c r="C3491"/>
  <c r="B3491"/>
  <c r="A3491"/>
  <c r="C3490"/>
  <c r="B3490"/>
  <c r="A3490"/>
  <c r="C3489"/>
  <c r="B3489"/>
  <c r="A3489"/>
  <c r="C3488"/>
  <c r="B3488"/>
  <c r="A3488"/>
  <c r="C3487"/>
  <c r="B3487"/>
  <c r="A3487"/>
  <c r="C3486"/>
  <c r="B3486"/>
  <c r="A3486"/>
  <c r="C3485"/>
  <c r="B3485"/>
  <c r="A3485"/>
  <c r="C3484"/>
  <c r="B3484"/>
  <c r="A3484"/>
  <c r="C3483"/>
  <c r="B3483"/>
  <c r="A3483"/>
  <c r="C3482"/>
  <c r="B3482"/>
  <c r="A3482"/>
  <c r="C3481"/>
  <c r="B3481"/>
  <c r="A3481"/>
  <c r="C3480"/>
  <c r="B3480"/>
  <c r="A3480"/>
  <c r="C3479"/>
  <c r="B3479"/>
  <c r="A3479"/>
  <c r="C3478"/>
  <c r="B3478"/>
  <c r="A3478"/>
  <c r="C3477"/>
  <c r="B3477"/>
  <c r="A3477"/>
  <c r="C3476"/>
  <c r="B3476"/>
  <c r="A3476"/>
  <c r="C3475"/>
  <c r="B3475"/>
  <c r="A3475"/>
  <c r="C3474"/>
  <c r="B3474"/>
  <c r="A3474"/>
  <c r="C3473"/>
  <c r="B3473"/>
  <c r="A3473"/>
  <c r="C3472"/>
  <c r="B3472"/>
  <c r="A3472"/>
  <c r="C3471"/>
  <c r="B3471"/>
  <c r="A3471"/>
  <c r="C3470"/>
  <c r="B3470"/>
  <c r="A3470"/>
  <c r="C3469"/>
  <c r="B3469"/>
  <c r="A3469"/>
  <c r="C3468"/>
  <c r="B3468"/>
  <c r="A3468"/>
  <c r="C3467"/>
  <c r="B3467"/>
  <c r="A3467"/>
  <c r="C3466"/>
  <c r="B3466"/>
  <c r="A3466"/>
  <c r="C3465"/>
  <c r="B3465"/>
  <c r="A3465"/>
  <c r="C3464"/>
  <c r="B3464"/>
  <c r="A3464"/>
  <c r="C3463"/>
  <c r="B3463"/>
  <c r="A3463"/>
  <c r="C3462"/>
  <c r="B3462"/>
  <c r="A3462"/>
  <c r="C3461"/>
  <c r="B3461"/>
  <c r="A3461"/>
  <c r="C3460"/>
  <c r="B3460"/>
  <c r="A3460"/>
  <c r="C3459"/>
  <c r="B3459"/>
  <c r="A3459"/>
  <c r="C3458"/>
  <c r="B3458"/>
  <c r="A3458"/>
  <c r="C3457"/>
  <c r="B3457"/>
  <c r="A3457"/>
  <c r="C3456"/>
  <c r="B3456"/>
  <c r="A3456"/>
  <c r="C3455"/>
  <c r="B3455"/>
  <c r="A3455"/>
  <c r="C3454"/>
  <c r="B3454"/>
  <c r="A3454"/>
  <c r="C3453"/>
  <c r="B3453"/>
  <c r="A3453"/>
  <c r="C3452"/>
  <c r="B3452"/>
  <c r="A3452"/>
  <c r="C3451"/>
  <c r="B3451"/>
  <c r="A3451"/>
  <c r="C3450"/>
  <c r="B3450"/>
  <c r="A3450"/>
  <c r="C3449"/>
  <c r="B3449"/>
  <c r="A3449"/>
  <c r="C3448"/>
  <c r="B3448"/>
  <c r="A3448"/>
  <c r="C3447"/>
  <c r="B3447"/>
  <c r="A3447"/>
  <c r="C3446"/>
  <c r="B3446"/>
  <c r="A3446"/>
  <c r="C3445"/>
  <c r="B3445"/>
  <c r="A3445"/>
  <c r="C3444"/>
  <c r="B3444"/>
  <c r="A3444"/>
  <c r="C3443"/>
  <c r="B3443"/>
  <c r="A3443"/>
  <c r="C3442"/>
  <c r="B3442"/>
  <c r="A3442"/>
  <c r="C3441"/>
  <c r="B3441"/>
  <c r="A3441"/>
  <c r="C3440"/>
  <c r="B3440"/>
  <c r="A3440"/>
  <c r="C3439"/>
  <c r="B3439"/>
  <c r="A3439"/>
  <c r="C3438"/>
  <c r="B3438"/>
  <c r="A3438"/>
  <c r="C3437"/>
  <c r="B3437"/>
  <c r="A3437"/>
  <c r="C3436"/>
  <c r="B3436"/>
  <c r="A3436"/>
  <c r="C3435"/>
  <c r="B3435"/>
  <c r="A3435"/>
  <c r="C3434"/>
  <c r="B3434"/>
  <c r="A3434"/>
  <c r="C3433"/>
  <c r="B3433"/>
  <c r="A3433"/>
  <c r="C3432"/>
  <c r="B3432"/>
  <c r="A3432"/>
  <c r="C3431"/>
  <c r="B3431"/>
  <c r="A3431"/>
  <c r="C3430"/>
  <c r="B3430"/>
  <c r="A3430"/>
  <c r="C3429"/>
  <c r="B3429"/>
  <c r="A3429"/>
  <c r="C3428"/>
  <c r="B3428"/>
  <c r="A3428"/>
  <c r="C3427"/>
  <c r="B3427"/>
  <c r="A3427"/>
  <c r="C3426"/>
  <c r="B3426"/>
  <c r="A3426"/>
  <c r="C3425"/>
  <c r="B3425"/>
  <c r="A3425"/>
  <c r="C3424"/>
  <c r="B3424"/>
  <c r="A3424"/>
  <c r="C3423"/>
  <c r="B3423"/>
  <c r="A3423"/>
  <c r="C3422"/>
  <c r="B3422"/>
  <c r="A3422"/>
  <c r="C3421"/>
  <c r="B3421"/>
  <c r="A3421"/>
  <c r="C3420"/>
  <c r="B3420"/>
  <c r="A3420"/>
  <c r="C3419"/>
  <c r="B3419"/>
  <c r="A3419"/>
  <c r="C3418"/>
  <c r="B3418"/>
  <c r="A3418"/>
  <c r="C3417"/>
  <c r="B3417"/>
  <c r="A3417"/>
  <c r="C3416"/>
  <c r="B3416"/>
  <c r="A3416"/>
  <c r="C3415"/>
  <c r="B3415"/>
  <c r="A3415"/>
  <c r="C3414"/>
  <c r="B3414"/>
  <c r="A3414"/>
  <c r="C3413"/>
  <c r="B3413"/>
  <c r="A3413"/>
  <c r="C3412"/>
  <c r="B3412"/>
  <c r="A3412"/>
  <c r="C3411"/>
  <c r="B3411"/>
  <c r="A3411"/>
  <c r="C3410"/>
  <c r="B3410"/>
  <c r="A3410"/>
  <c r="C3409"/>
  <c r="B3409"/>
  <c r="A3409"/>
  <c r="C3408"/>
  <c r="B3408"/>
  <c r="A3408"/>
  <c r="C3407"/>
  <c r="B3407"/>
  <c r="A3407"/>
  <c r="C3406"/>
  <c r="B3406"/>
  <c r="A3406"/>
  <c r="C3405"/>
  <c r="B3405"/>
  <c r="A3405"/>
  <c r="C3404"/>
  <c r="B3404"/>
  <c r="A3404"/>
  <c r="C3403"/>
  <c r="B3403"/>
  <c r="A3403"/>
  <c r="C3402"/>
  <c r="B3402"/>
  <c r="A3402"/>
  <c r="C3401"/>
  <c r="B3401"/>
  <c r="A3401"/>
  <c r="C3400"/>
  <c r="B3400"/>
  <c r="A3400"/>
  <c r="C3399"/>
  <c r="B3399"/>
  <c r="A3399"/>
  <c r="C3398"/>
  <c r="B3398"/>
  <c r="A3398"/>
  <c r="C3397"/>
  <c r="B3397"/>
  <c r="A3397"/>
  <c r="C3396"/>
  <c r="B3396"/>
  <c r="A3396"/>
  <c r="C3395"/>
  <c r="B3395"/>
  <c r="A3395"/>
  <c r="C3394"/>
  <c r="B3394"/>
  <c r="A3394"/>
  <c r="C3393"/>
  <c r="B3393"/>
  <c r="A3393"/>
  <c r="C3392"/>
  <c r="B3392"/>
  <c r="A3392"/>
  <c r="C3391"/>
  <c r="B3391"/>
  <c r="A3391"/>
  <c r="C3390"/>
  <c r="B3390"/>
  <c r="A3390"/>
  <c r="C3389"/>
  <c r="B3389"/>
  <c r="A3389"/>
  <c r="C3388"/>
  <c r="B3388"/>
  <c r="A3388"/>
  <c r="C3387"/>
  <c r="B3387"/>
  <c r="A3387"/>
  <c r="C3386"/>
  <c r="B3386"/>
  <c r="A3386"/>
  <c r="C3385"/>
  <c r="B3385"/>
  <c r="A3385"/>
  <c r="C3384"/>
  <c r="B3384"/>
  <c r="A3384"/>
  <c r="C3383"/>
  <c r="B3383"/>
  <c r="A3383"/>
  <c r="C3382"/>
  <c r="B3382"/>
  <c r="A3382"/>
  <c r="C3381"/>
  <c r="B3381"/>
  <c r="A3381"/>
  <c r="C3380"/>
  <c r="B3380"/>
  <c r="A3380"/>
  <c r="C3379"/>
  <c r="B3379"/>
  <c r="A3379"/>
  <c r="C3378"/>
  <c r="B3378"/>
  <c r="A3378"/>
  <c r="C3377"/>
  <c r="B3377"/>
  <c r="A3377"/>
  <c r="C3376"/>
  <c r="B3376"/>
  <c r="A3376"/>
  <c r="C3375"/>
  <c r="B3375"/>
  <c r="A3375"/>
  <c r="C3374"/>
  <c r="B3374"/>
  <c r="A3374"/>
  <c r="C3373"/>
  <c r="B3373"/>
  <c r="A3373"/>
  <c r="C3372"/>
  <c r="B3372"/>
  <c r="A3372"/>
  <c r="C3371"/>
  <c r="B3371"/>
  <c r="A3371"/>
  <c r="C3370"/>
  <c r="B3370"/>
  <c r="A3370"/>
  <c r="C3369"/>
  <c r="B3369"/>
  <c r="A3369"/>
  <c r="C3368"/>
  <c r="B3368"/>
  <c r="A3368"/>
  <c r="C3367"/>
  <c r="B3367"/>
  <c r="A3367"/>
  <c r="C3366"/>
  <c r="B3366"/>
  <c r="A3366"/>
  <c r="C3365"/>
  <c r="B3365"/>
  <c r="A3365"/>
  <c r="C3364"/>
  <c r="B3364"/>
  <c r="A3364"/>
  <c r="C3363"/>
  <c r="B3363"/>
  <c r="A3363"/>
  <c r="C3362"/>
  <c r="B3362"/>
  <c r="A3362"/>
  <c r="C3361"/>
  <c r="B3361"/>
  <c r="A3361"/>
  <c r="C3360"/>
  <c r="B3360"/>
  <c r="A3360"/>
  <c r="C3359"/>
  <c r="B3359"/>
  <c r="A3359"/>
  <c r="C3358"/>
  <c r="B3358"/>
  <c r="A3358"/>
  <c r="C3357"/>
  <c r="B3357"/>
  <c r="A3357"/>
  <c r="C3356"/>
  <c r="B3356"/>
  <c r="A3356"/>
  <c r="C3355"/>
  <c r="B3355"/>
  <c r="A3355"/>
  <c r="C3354"/>
  <c r="B3354"/>
  <c r="A3354"/>
  <c r="C3353"/>
  <c r="B3353"/>
  <c r="A3353"/>
  <c r="C3352"/>
  <c r="B3352"/>
  <c r="A3352"/>
  <c r="C3351"/>
  <c r="B3351"/>
  <c r="A3351"/>
  <c r="C3350"/>
  <c r="B3350"/>
  <c r="A3350"/>
  <c r="C3349"/>
  <c r="B3349"/>
  <c r="A3349"/>
  <c r="C3348"/>
  <c r="B3348"/>
  <c r="A3348"/>
  <c r="C3347"/>
  <c r="B3347"/>
  <c r="A3347"/>
  <c r="C3346"/>
  <c r="B3346"/>
  <c r="A3346"/>
  <c r="C3345"/>
  <c r="B3345"/>
  <c r="A3345"/>
  <c r="C3344"/>
  <c r="B3344"/>
  <c r="A3344"/>
  <c r="C3343"/>
  <c r="B3343"/>
  <c r="A3343"/>
  <c r="C3342"/>
  <c r="B3342"/>
  <c r="A3342"/>
  <c r="C3341"/>
  <c r="B3341"/>
  <c r="A3341"/>
  <c r="C3340"/>
  <c r="B3340"/>
  <c r="A3340"/>
  <c r="C3339"/>
  <c r="B3339"/>
  <c r="A3339"/>
  <c r="C3338"/>
  <c r="B3338"/>
  <c r="A3338"/>
  <c r="C3337"/>
  <c r="B3337"/>
  <c r="A3337"/>
  <c r="C3336"/>
  <c r="B3336"/>
  <c r="A3336"/>
  <c r="C3335"/>
  <c r="B3335"/>
  <c r="A3335"/>
  <c r="C3334"/>
  <c r="B3334"/>
  <c r="A3334"/>
  <c r="C3333"/>
  <c r="B3333"/>
  <c r="A3333"/>
  <c r="C3332"/>
  <c r="B3332"/>
  <c r="A3332"/>
  <c r="C3331"/>
  <c r="B3331"/>
  <c r="A3331"/>
  <c r="C3330"/>
  <c r="B3330"/>
  <c r="A3330"/>
  <c r="C3329"/>
  <c r="B3329"/>
  <c r="A3329"/>
  <c r="C3328"/>
  <c r="B3328"/>
  <c r="A3328"/>
  <c r="C3327"/>
  <c r="B3327"/>
  <c r="A3327"/>
  <c r="C3326"/>
  <c r="B3326"/>
  <c r="A3326"/>
  <c r="C3325"/>
  <c r="B3325"/>
  <c r="A3325"/>
  <c r="C3324"/>
  <c r="B3324"/>
  <c r="A3324"/>
  <c r="C3323"/>
  <c r="B3323"/>
  <c r="A3323"/>
  <c r="C3322"/>
  <c r="B3322"/>
  <c r="A3322"/>
  <c r="C3321"/>
  <c r="B3321"/>
  <c r="A3321"/>
  <c r="C3320"/>
  <c r="B3320"/>
  <c r="A3320"/>
  <c r="C3319"/>
  <c r="B3319"/>
  <c r="A3319"/>
  <c r="C3318"/>
  <c r="B3318"/>
  <c r="A3318"/>
  <c r="C3317"/>
  <c r="B3317"/>
  <c r="A3317"/>
  <c r="C3316"/>
  <c r="B3316"/>
  <c r="A3316"/>
  <c r="C3315"/>
  <c r="B3315"/>
  <c r="A3315"/>
  <c r="C3314"/>
  <c r="B3314"/>
  <c r="A3314"/>
  <c r="C3313"/>
  <c r="B3313"/>
  <c r="A3313"/>
  <c r="C3312"/>
  <c r="B3312"/>
  <c r="A3312"/>
  <c r="C3311"/>
  <c r="B3311"/>
  <c r="A3311"/>
  <c r="C3310"/>
  <c r="B3310"/>
  <c r="A3310"/>
  <c r="C3309"/>
  <c r="B3309"/>
  <c r="A3309"/>
  <c r="C3308"/>
  <c r="B3308"/>
  <c r="A3308"/>
  <c r="C3307"/>
  <c r="B3307"/>
  <c r="A3307"/>
  <c r="C3306"/>
  <c r="B3306"/>
  <c r="A3306"/>
  <c r="C3305"/>
  <c r="B3305"/>
  <c r="A3305"/>
  <c r="C3304"/>
  <c r="B3304"/>
  <c r="A3304"/>
  <c r="C3303"/>
  <c r="B3303"/>
  <c r="A3303"/>
  <c r="C3302"/>
  <c r="B3302"/>
  <c r="A3302"/>
  <c r="C3301"/>
  <c r="B3301"/>
  <c r="A3301"/>
  <c r="C3300"/>
  <c r="B3300"/>
  <c r="A3300"/>
  <c r="C3299"/>
  <c r="B3299"/>
  <c r="A3299"/>
  <c r="C3298"/>
  <c r="B3298"/>
  <c r="A3298"/>
  <c r="C3297"/>
  <c r="B3297"/>
  <c r="A3297"/>
  <c r="C3296"/>
  <c r="B3296"/>
  <c r="A3296"/>
  <c r="C3295"/>
  <c r="B3295"/>
  <c r="A3295"/>
  <c r="C3294"/>
  <c r="B3294"/>
  <c r="A3294"/>
  <c r="C3293"/>
  <c r="B3293"/>
  <c r="A3293"/>
  <c r="C3292"/>
  <c r="B3292"/>
  <c r="A3292"/>
  <c r="C3291"/>
  <c r="B3291"/>
  <c r="A3291"/>
  <c r="C3290"/>
  <c r="B3290"/>
  <c r="A3290"/>
  <c r="C3289"/>
  <c r="B3289"/>
  <c r="A3289"/>
  <c r="C3288"/>
  <c r="B3288"/>
  <c r="A3288"/>
  <c r="C3287"/>
  <c r="B3287"/>
  <c r="A3287"/>
  <c r="C3286"/>
  <c r="B3286"/>
  <c r="A3286"/>
  <c r="C3285"/>
  <c r="B3285"/>
  <c r="A3285"/>
  <c r="C3284"/>
  <c r="B3284"/>
  <c r="A3284"/>
  <c r="C3283"/>
  <c r="B3283"/>
  <c r="A3283"/>
  <c r="C3282"/>
  <c r="B3282"/>
  <c r="A3282"/>
  <c r="C3281"/>
  <c r="B3281"/>
  <c r="A3281"/>
  <c r="C3280"/>
  <c r="B3280"/>
  <c r="A3280"/>
  <c r="C3279"/>
  <c r="B3279"/>
  <c r="A3279"/>
  <c r="C3278"/>
  <c r="B3278"/>
  <c r="A3278"/>
  <c r="C3277"/>
  <c r="B3277"/>
  <c r="A3277"/>
  <c r="C3276"/>
  <c r="B3276"/>
  <c r="A3276"/>
  <c r="C3275"/>
  <c r="B3275"/>
  <c r="A3275"/>
  <c r="C3274"/>
  <c r="B3274"/>
  <c r="A3274"/>
  <c r="C3273"/>
  <c r="B3273"/>
  <c r="A3273"/>
  <c r="C3272"/>
  <c r="B3272"/>
  <c r="A3272"/>
  <c r="C3271"/>
  <c r="B3271"/>
  <c r="A3271"/>
  <c r="C3270"/>
  <c r="B3270"/>
  <c r="A3270"/>
  <c r="C3269"/>
  <c r="B3269"/>
  <c r="A3269"/>
  <c r="C3268"/>
  <c r="B3268"/>
  <c r="A3268"/>
  <c r="C3267"/>
  <c r="B3267"/>
  <c r="A3267"/>
  <c r="C3266"/>
  <c r="B3266"/>
  <c r="A3266"/>
  <c r="C3265"/>
  <c r="B3265"/>
  <c r="A3265"/>
  <c r="C3264"/>
  <c r="B3264"/>
  <c r="A3264"/>
  <c r="C3263"/>
  <c r="B3263"/>
  <c r="A3263"/>
  <c r="C3262"/>
  <c r="B3262"/>
  <c r="A3262"/>
  <c r="C3261"/>
  <c r="B3261"/>
  <c r="A3261"/>
  <c r="C3260"/>
  <c r="B3260"/>
  <c r="A3260"/>
  <c r="C3259"/>
  <c r="B3259"/>
  <c r="A3259"/>
  <c r="C3258"/>
  <c r="B3258"/>
  <c r="A3258"/>
  <c r="C3257"/>
  <c r="B3257"/>
  <c r="A3257"/>
  <c r="C3256"/>
  <c r="B3256"/>
  <c r="A3256"/>
  <c r="C3255"/>
  <c r="B3255"/>
  <c r="A3255"/>
  <c r="C3254"/>
  <c r="B3254"/>
  <c r="A3254"/>
  <c r="C3253"/>
  <c r="B3253"/>
  <c r="A3253"/>
  <c r="C3252"/>
  <c r="B3252"/>
  <c r="A3252"/>
  <c r="C3251"/>
  <c r="B3251"/>
  <c r="A3251"/>
  <c r="C3250"/>
  <c r="B3250"/>
  <c r="A3250"/>
  <c r="C3249"/>
  <c r="B3249"/>
  <c r="A3249"/>
  <c r="C3248"/>
  <c r="B3248"/>
  <c r="A3248"/>
  <c r="C3247"/>
  <c r="B3247"/>
  <c r="A3247"/>
  <c r="C3246"/>
  <c r="B3246"/>
  <c r="A3246"/>
  <c r="C3245"/>
  <c r="B3245"/>
  <c r="A3245"/>
  <c r="C3244"/>
  <c r="B3244"/>
  <c r="A3244"/>
  <c r="C3243"/>
  <c r="B3243"/>
  <c r="A3243"/>
  <c r="C3242"/>
  <c r="B3242"/>
  <c r="A3242"/>
  <c r="C3241"/>
  <c r="B3241"/>
  <c r="A3241"/>
  <c r="C3240"/>
  <c r="B3240"/>
  <c r="A3240"/>
  <c r="C3239"/>
  <c r="B3239"/>
  <c r="A3239"/>
  <c r="C3238"/>
  <c r="B3238"/>
  <c r="A3238"/>
  <c r="C3237"/>
  <c r="B3237"/>
  <c r="A3237"/>
  <c r="C3236"/>
  <c r="B3236"/>
  <c r="A3236"/>
  <c r="C3235"/>
  <c r="B3235"/>
  <c r="A3235"/>
  <c r="C3234"/>
  <c r="B3234"/>
  <c r="A3234"/>
  <c r="C3233"/>
  <c r="B3233"/>
  <c r="A3233"/>
  <c r="C3232"/>
  <c r="B3232"/>
  <c r="A3232"/>
  <c r="C3231"/>
  <c r="B3231"/>
  <c r="A3231"/>
  <c r="C3230"/>
  <c r="B3230"/>
  <c r="A3230"/>
  <c r="C3229"/>
  <c r="B3229"/>
  <c r="A3229"/>
  <c r="C3228"/>
  <c r="B3228"/>
  <c r="A3228"/>
  <c r="C3227"/>
  <c r="B3227"/>
  <c r="A3227"/>
  <c r="C3226"/>
  <c r="B3226"/>
  <c r="A3226"/>
  <c r="C3225"/>
  <c r="B3225"/>
  <c r="A3225"/>
  <c r="C3224"/>
  <c r="B3224"/>
  <c r="A3224"/>
  <c r="C3223"/>
  <c r="B3223"/>
  <c r="A3223"/>
  <c r="C3222"/>
  <c r="B3222"/>
  <c r="A3222"/>
  <c r="C3221"/>
  <c r="B3221"/>
  <c r="A3221"/>
  <c r="C3220"/>
  <c r="B3220"/>
  <c r="A3220"/>
  <c r="C3219"/>
  <c r="B3219"/>
  <c r="A3219"/>
  <c r="C3218"/>
  <c r="B3218"/>
  <c r="A3218"/>
  <c r="C3217"/>
  <c r="B3217"/>
  <c r="A3217"/>
  <c r="C3216"/>
  <c r="B3216"/>
  <c r="A3216"/>
  <c r="C3215"/>
  <c r="B3215"/>
  <c r="A3215"/>
  <c r="C3214"/>
  <c r="B3214"/>
  <c r="A3214"/>
  <c r="C3213"/>
  <c r="B3213"/>
  <c r="A3213"/>
  <c r="C3212"/>
  <c r="B3212"/>
  <c r="A3212"/>
  <c r="C3211"/>
  <c r="B3211"/>
  <c r="A3211"/>
  <c r="C3210"/>
  <c r="B3210"/>
  <c r="A3210"/>
  <c r="C3209"/>
  <c r="B3209"/>
  <c r="A3209"/>
  <c r="C3208"/>
  <c r="B3208"/>
  <c r="A3208"/>
  <c r="C3207"/>
  <c r="B3207"/>
  <c r="A3207"/>
  <c r="C3206"/>
  <c r="B3206"/>
  <c r="A3206"/>
  <c r="C3205"/>
  <c r="B3205"/>
  <c r="A3205"/>
  <c r="C3204"/>
  <c r="B3204"/>
  <c r="A3204"/>
  <c r="C3203"/>
  <c r="B3203"/>
  <c r="A3203"/>
  <c r="C3202"/>
  <c r="B3202"/>
  <c r="A3202"/>
  <c r="C3201"/>
  <c r="B3201"/>
  <c r="A3201"/>
  <c r="C3200"/>
  <c r="B3200"/>
  <c r="A3200"/>
  <c r="C3199"/>
  <c r="B3199"/>
  <c r="A3199"/>
  <c r="C3198"/>
  <c r="B3198"/>
  <c r="A3198"/>
  <c r="C3197"/>
  <c r="B3197"/>
  <c r="A3197"/>
  <c r="C3196"/>
  <c r="B3196"/>
  <c r="A3196"/>
  <c r="C3195"/>
  <c r="B3195"/>
  <c r="A3195"/>
  <c r="C3194"/>
  <c r="B3194"/>
  <c r="A3194"/>
  <c r="C3193"/>
  <c r="B3193"/>
  <c r="A3193"/>
  <c r="C3192"/>
  <c r="B3192"/>
  <c r="A3192"/>
  <c r="C3191"/>
  <c r="B3191"/>
  <c r="A3191"/>
  <c r="C3190"/>
  <c r="B3190"/>
  <c r="A3190"/>
  <c r="C3189"/>
  <c r="B3189"/>
  <c r="A3189"/>
  <c r="C3188"/>
  <c r="B3188"/>
  <c r="A3188"/>
  <c r="C3187"/>
  <c r="B3187"/>
  <c r="A3187"/>
  <c r="C3186"/>
  <c r="B3186"/>
  <c r="A3186"/>
  <c r="C3185"/>
  <c r="B3185"/>
  <c r="A3185"/>
  <c r="C3184"/>
  <c r="B3184"/>
  <c r="A3184"/>
  <c r="C3183"/>
  <c r="B3183"/>
  <c r="A3183"/>
  <c r="C3182"/>
  <c r="B3182"/>
  <c r="A3182"/>
  <c r="C3181"/>
  <c r="B3181"/>
  <c r="A3181"/>
  <c r="C3180"/>
  <c r="B3180"/>
  <c r="A3180"/>
  <c r="C3179"/>
  <c r="B3179"/>
  <c r="A3179"/>
  <c r="C3178"/>
  <c r="B3178"/>
  <c r="A3178"/>
  <c r="C3177"/>
  <c r="B3177"/>
  <c r="A3177"/>
  <c r="C3176"/>
  <c r="B3176"/>
  <c r="A3176"/>
  <c r="C3175"/>
  <c r="B3175"/>
  <c r="A3175"/>
  <c r="C3174"/>
  <c r="B3174"/>
  <c r="A3174"/>
  <c r="C3173"/>
  <c r="B3173"/>
  <c r="A3173"/>
  <c r="C3172"/>
  <c r="B3172"/>
  <c r="A3172"/>
  <c r="C3171"/>
  <c r="B3171"/>
  <c r="A3171"/>
  <c r="C3170"/>
  <c r="B3170"/>
  <c r="A3170"/>
  <c r="C3169"/>
  <c r="B3169"/>
  <c r="A3169"/>
  <c r="C3168"/>
  <c r="B3168"/>
  <c r="A3168"/>
  <c r="C3167"/>
  <c r="B3167"/>
  <c r="A3167"/>
  <c r="C3166"/>
  <c r="B3166"/>
  <c r="A3166"/>
  <c r="C3165"/>
  <c r="B3165"/>
  <c r="A3165"/>
  <c r="C3164"/>
  <c r="B3164"/>
  <c r="A3164"/>
  <c r="C3163"/>
  <c r="B3163"/>
  <c r="A3163"/>
  <c r="C3162"/>
  <c r="B3162"/>
  <c r="A3162"/>
  <c r="C3161"/>
  <c r="B3161"/>
  <c r="A3161"/>
  <c r="C3160"/>
  <c r="B3160"/>
  <c r="A3160"/>
  <c r="C3159"/>
  <c r="B3159"/>
  <c r="A3159"/>
  <c r="C3158"/>
  <c r="B3158"/>
  <c r="A3158"/>
  <c r="C3157"/>
  <c r="B3157"/>
  <c r="A3157"/>
  <c r="C3156"/>
  <c r="B3156"/>
  <c r="A3156"/>
  <c r="C3155"/>
  <c r="B3155"/>
  <c r="A3155"/>
  <c r="C3154"/>
  <c r="B3154"/>
  <c r="A3154"/>
  <c r="C3153"/>
  <c r="B3153"/>
  <c r="A3153"/>
  <c r="C3152"/>
  <c r="B3152"/>
  <c r="A3152"/>
  <c r="C3151"/>
  <c r="B3151"/>
  <c r="A3151"/>
  <c r="C3150"/>
  <c r="B3150"/>
  <c r="A3150"/>
  <c r="C3149"/>
  <c r="B3149"/>
  <c r="A3149"/>
  <c r="C3148"/>
  <c r="B3148"/>
  <c r="A3148"/>
  <c r="C3147"/>
  <c r="B3147"/>
  <c r="A3147"/>
  <c r="C3146"/>
  <c r="B3146"/>
  <c r="A3146"/>
  <c r="C3145"/>
  <c r="B3145"/>
  <c r="A3145"/>
  <c r="C3144"/>
  <c r="B3144"/>
  <c r="A3144"/>
  <c r="C3143"/>
  <c r="B3143"/>
  <c r="A3143"/>
  <c r="C3142"/>
  <c r="B3142"/>
  <c r="A3142"/>
  <c r="C3141"/>
  <c r="B3141"/>
  <c r="A3141"/>
  <c r="C3140"/>
  <c r="B3140"/>
  <c r="A3140"/>
  <c r="C3139"/>
  <c r="B3139"/>
  <c r="A3139"/>
  <c r="C3138"/>
  <c r="B3138"/>
  <c r="A3138"/>
  <c r="C3137"/>
  <c r="B3137"/>
  <c r="A3137"/>
  <c r="C3136"/>
  <c r="B3136"/>
  <c r="A3136"/>
  <c r="C3135"/>
  <c r="B3135"/>
  <c r="A3135"/>
  <c r="C3134"/>
  <c r="B3134"/>
  <c r="A3134"/>
  <c r="C3133"/>
  <c r="B3133"/>
  <c r="A3133"/>
  <c r="C3132"/>
  <c r="B3132"/>
  <c r="A3132"/>
  <c r="C3131"/>
  <c r="B3131"/>
  <c r="A3131"/>
  <c r="C3130"/>
  <c r="B3130"/>
  <c r="A3130"/>
  <c r="C3129"/>
  <c r="B3129"/>
  <c r="A3129"/>
  <c r="C3128"/>
  <c r="B3128"/>
  <c r="A3128"/>
  <c r="C3127"/>
  <c r="B3127"/>
  <c r="A3127"/>
  <c r="C3126"/>
  <c r="B3126"/>
  <c r="A3126"/>
  <c r="C3125"/>
  <c r="B3125"/>
  <c r="A3125"/>
  <c r="C3124"/>
  <c r="B3124"/>
  <c r="A3124"/>
  <c r="C3123"/>
  <c r="B3123"/>
  <c r="A3123"/>
  <c r="C3122"/>
  <c r="B3122"/>
  <c r="A3122"/>
  <c r="C3121"/>
  <c r="B3121"/>
  <c r="A3121"/>
  <c r="C3120"/>
  <c r="B3120"/>
  <c r="A3120"/>
  <c r="C3119"/>
  <c r="B3119"/>
  <c r="A3119"/>
  <c r="C3118"/>
  <c r="B3118"/>
  <c r="A3118"/>
  <c r="C3117"/>
  <c r="B3117"/>
  <c r="A3117"/>
  <c r="C3116"/>
  <c r="B3116"/>
  <c r="A3116"/>
  <c r="C3115"/>
  <c r="B3115"/>
  <c r="A3115"/>
  <c r="C3114"/>
  <c r="B3114"/>
  <c r="A3114"/>
  <c r="C3113"/>
  <c r="B3113"/>
  <c r="A3113"/>
  <c r="C3112"/>
  <c r="B3112"/>
  <c r="A3112"/>
  <c r="C3111"/>
  <c r="B3111"/>
  <c r="A3111"/>
  <c r="C3110"/>
  <c r="B3110"/>
  <c r="A3110"/>
  <c r="C3109"/>
  <c r="B3109"/>
  <c r="A3109"/>
  <c r="C3108"/>
  <c r="B3108"/>
  <c r="A3108"/>
  <c r="C3107"/>
  <c r="B3107"/>
  <c r="A3107"/>
  <c r="C3106"/>
  <c r="B3106"/>
  <c r="A3106"/>
  <c r="C3105"/>
  <c r="B3105"/>
  <c r="A3105"/>
  <c r="C3104"/>
  <c r="B3104"/>
  <c r="A3104"/>
  <c r="C3103"/>
  <c r="B3103"/>
  <c r="A3103"/>
  <c r="C3102"/>
  <c r="B3102"/>
  <c r="A3102"/>
  <c r="C3101"/>
  <c r="B3101"/>
  <c r="A3101"/>
  <c r="C3100"/>
  <c r="B3100"/>
  <c r="A3100"/>
  <c r="C3099"/>
  <c r="B3099"/>
  <c r="A3099"/>
  <c r="C3098"/>
  <c r="B3098"/>
  <c r="A3098"/>
  <c r="C3097"/>
  <c r="B3097"/>
  <c r="A3097"/>
  <c r="C3096"/>
  <c r="B3096"/>
  <c r="A3096"/>
  <c r="C3095"/>
  <c r="B3095"/>
  <c r="A3095"/>
  <c r="C3094"/>
  <c r="B3094"/>
  <c r="A3094"/>
  <c r="C3093"/>
  <c r="B3093"/>
  <c r="A3093"/>
  <c r="C3092"/>
  <c r="B3092"/>
  <c r="A3092"/>
  <c r="C3091"/>
  <c r="B3091"/>
  <c r="A3091"/>
  <c r="C3090"/>
  <c r="B3090"/>
  <c r="A3090"/>
  <c r="C3089"/>
  <c r="B3089"/>
  <c r="A3089"/>
  <c r="C3088"/>
  <c r="B3088"/>
  <c r="A3088"/>
  <c r="C3087"/>
  <c r="B3087"/>
  <c r="A3087"/>
  <c r="C3086"/>
  <c r="B3086"/>
  <c r="A3086"/>
  <c r="C3085"/>
  <c r="B3085"/>
  <c r="A3085"/>
  <c r="C3084"/>
  <c r="B3084"/>
  <c r="A3084"/>
  <c r="C3083"/>
  <c r="B3083"/>
  <c r="A3083"/>
  <c r="C3082"/>
  <c r="B3082"/>
  <c r="A3082"/>
  <c r="C3081"/>
  <c r="B3081"/>
  <c r="A3081"/>
  <c r="C3080"/>
  <c r="B3080"/>
  <c r="A3080"/>
  <c r="C3079"/>
  <c r="B3079"/>
  <c r="A3079"/>
  <c r="C3078"/>
  <c r="B3078"/>
  <c r="A3078"/>
  <c r="C3077"/>
  <c r="B3077"/>
  <c r="A3077"/>
  <c r="C3076"/>
  <c r="B3076"/>
  <c r="A3076"/>
  <c r="C3075"/>
  <c r="B3075"/>
  <c r="A3075"/>
  <c r="C3074"/>
  <c r="B3074"/>
  <c r="A3074"/>
  <c r="C3073"/>
  <c r="B3073"/>
  <c r="A3073"/>
  <c r="C3072"/>
  <c r="B3072"/>
  <c r="A3072"/>
  <c r="C3071"/>
  <c r="B3071"/>
  <c r="A3071"/>
  <c r="C3070"/>
  <c r="B3070"/>
  <c r="A3070"/>
  <c r="C3069"/>
  <c r="B3069"/>
  <c r="A3069"/>
  <c r="C3068"/>
  <c r="B3068"/>
  <c r="A3068"/>
  <c r="C3067"/>
  <c r="B3067"/>
  <c r="A3067"/>
  <c r="C3066"/>
  <c r="B3066"/>
  <c r="A3066"/>
  <c r="C3065"/>
  <c r="B3065"/>
  <c r="A3065"/>
  <c r="C3064"/>
  <c r="B3064"/>
  <c r="A3064"/>
  <c r="C3063"/>
  <c r="B3063"/>
  <c r="A3063"/>
  <c r="C3062"/>
  <c r="B3062"/>
  <c r="A3062"/>
  <c r="C3061"/>
  <c r="B3061"/>
  <c r="A3061"/>
  <c r="C3060"/>
  <c r="B3060"/>
  <c r="A3060"/>
  <c r="C3059"/>
  <c r="B3059"/>
  <c r="A3059"/>
  <c r="C3058"/>
  <c r="B3058"/>
  <c r="A3058"/>
  <c r="C3057"/>
  <c r="B3057"/>
  <c r="A3057"/>
  <c r="C3056"/>
  <c r="B3056"/>
  <c r="A3056"/>
  <c r="C3055"/>
  <c r="B3055"/>
  <c r="A3055"/>
  <c r="C3054"/>
  <c r="B3054"/>
  <c r="A3054"/>
  <c r="C3053"/>
  <c r="B3053"/>
  <c r="A3053"/>
  <c r="C3052"/>
  <c r="B3052"/>
  <c r="A3052"/>
  <c r="C3051"/>
  <c r="B3051"/>
  <c r="A3051"/>
  <c r="C3050"/>
  <c r="B3050"/>
  <c r="A3050"/>
  <c r="C3049"/>
  <c r="B3049"/>
  <c r="A3049"/>
  <c r="C3048"/>
  <c r="B3048"/>
  <c r="A3048"/>
  <c r="C3047"/>
  <c r="B3047"/>
  <c r="A3047"/>
  <c r="C3046"/>
  <c r="B3046"/>
  <c r="A3046"/>
  <c r="C3045"/>
  <c r="B3045"/>
  <c r="A3045"/>
  <c r="C3044"/>
  <c r="B3044"/>
  <c r="A3044"/>
  <c r="C3043"/>
  <c r="B3043"/>
  <c r="A3043"/>
  <c r="C3042"/>
  <c r="B3042"/>
  <c r="A3042"/>
  <c r="C3041"/>
  <c r="B3041"/>
  <c r="A3041"/>
  <c r="C3040"/>
  <c r="B3040"/>
  <c r="A3040"/>
  <c r="C3039"/>
  <c r="B3039"/>
  <c r="A3039"/>
  <c r="C3038"/>
  <c r="B3038"/>
  <c r="A3038"/>
  <c r="C3037"/>
  <c r="B3037"/>
  <c r="A3037"/>
  <c r="C3036"/>
  <c r="B3036"/>
  <c r="A3036"/>
  <c r="C3035"/>
  <c r="B3035"/>
  <c r="A3035"/>
  <c r="C3034"/>
  <c r="B3034"/>
  <c r="A3034"/>
  <c r="C3033"/>
  <c r="B3033"/>
  <c r="A3033"/>
  <c r="C3032"/>
  <c r="B3032"/>
  <c r="A3032"/>
  <c r="C3031"/>
  <c r="B3031"/>
  <c r="A3031"/>
  <c r="C3030"/>
  <c r="B3030"/>
  <c r="A3030"/>
  <c r="C3029"/>
  <c r="B3029"/>
  <c r="A3029"/>
  <c r="C3028"/>
  <c r="B3028"/>
  <c r="A3028"/>
  <c r="C3027"/>
  <c r="B3027"/>
  <c r="A3027"/>
  <c r="C3026"/>
  <c r="B3026"/>
  <c r="A3026"/>
  <c r="C3025"/>
  <c r="B3025"/>
  <c r="A3025"/>
  <c r="C3024"/>
  <c r="B3024"/>
  <c r="A3024"/>
  <c r="C3023"/>
  <c r="B3023"/>
  <c r="A3023"/>
  <c r="C3022"/>
  <c r="B3022"/>
  <c r="A3022"/>
  <c r="C3021"/>
  <c r="B3021"/>
  <c r="A3021"/>
  <c r="C3020"/>
  <c r="B3020"/>
  <c r="A3020"/>
  <c r="C3019"/>
  <c r="B3019"/>
  <c r="A3019"/>
  <c r="C3018"/>
  <c r="B3018"/>
  <c r="A3018"/>
  <c r="C3017"/>
  <c r="B3017"/>
  <c r="A3017"/>
  <c r="C3016"/>
  <c r="B3016"/>
  <c r="A3016"/>
  <c r="C3015"/>
  <c r="B3015"/>
  <c r="A3015"/>
  <c r="C3014"/>
  <c r="B3014"/>
  <c r="A3014"/>
  <c r="C3013"/>
  <c r="B3013"/>
  <c r="A3013"/>
  <c r="C3012"/>
  <c r="B3012"/>
  <c r="A3012"/>
  <c r="C3011"/>
  <c r="B3011"/>
  <c r="A3011"/>
  <c r="C3010"/>
  <c r="B3010"/>
  <c r="A3010"/>
  <c r="C3009"/>
  <c r="B3009"/>
  <c r="A3009"/>
  <c r="C3008"/>
  <c r="B3008"/>
  <c r="A3008"/>
  <c r="C3007"/>
  <c r="B3007"/>
  <c r="A3007"/>
  <c r="C3006"/>
  <c r="B3006"/>
  <c r="A3006"/>
  <c r="C3005"/>
  <c r="B3005"/>
  <c r="A3005"/>
  <c r="C3004"/>
  <c r="B3004"/>
  <c r="A3004"/>
  <c r="C3003"/>
  <c r="B3003"/>
  <c r="A3003"/>
  <c r="C3002"/>
  <c r="B3002"/>
  <c r="A3002"/>
  <c r="C3001"/>
  <c r="B3001"/>
  <c r="A3001"/>
  <c r="C3000"/>
  <c r="B3000"/>
  <c r="A3000"/>
  <c r="C2999"/>
  <c r="B2999"/>
  <c r="A2999"/>
  <c r="C2998"/>
  <c r="B2998"/>
  <c r="A2998"/>
  <c r="C2997"/>
  <c r="B2997"/>
  <c r="A2997"/>
  <c r="C2996"/>
  <c r="B2996"/>
  <c r="A2996"/>
  <c r="C2995"/>
  <c r="B2995"/>
  <c r="A2995"/>
  <c r="C2994"/>
  <c r="B2994"/>
  <c r="A2994"/>
  <c r="C2993"/>
  <c r="B2993"/>
  <c r="A2993"/>
  <c r="C2992"/>
  <c r="B2992"/>
  <c r="A2992"/>
  <c r="C2991"/>
  <c r="B2991"/>
  <c r="A2991"/>
  <c r="C2990"/>
  <c r="B2990"/>
  <c r="A2990"/>
  <c r="C2989"/>
  <c r="B2989"/>
  <c r="A2989"/>
  <c r="C2988"/>
  <c r="B2988"/>
  <c r="A2988"/>
  <c r="C2987"/>
  <c r="B2987"/>
  <c r="A2987"/>
  <c r="C2986"/>
  <c r="B2986"/>
  <c r="A2986"/>
  <c r="C2985"/>
  <c r="B2985"/>
  <c r="A2985"/>
  <c r="C2984"/>
  <c r="B2984"/>
  <c r="A2984"/>
  <c r="C2983"/>
  <c r="B2983"/>
  <c r="A2983"/>
  <c r="C2982"/>
  <c r="B2982"/>
  <c r="A2982"/>
  <c r="C2981"/>
  <c r="B2981"/>
  <c r="A2981"/>
  <c r="C2980"/>
  <c r="B2980"/>
  <c r="A2980"/>
  <c r="C2979"/>
  <c r="B2979"/>
  <c r="A2979"/>
  <c r="C2978"/>
  <c r="B2978"/>
  <c r="A2978"/>
  <c r="C2977"/>
  <c r="B2977"/>
  <c r="A2977"/>
  <c r="C2976"/>
  <c r="B2976"/>
  <c r="A2976"/>
  <c r="C2975"/>
  <c r="B2975"/>
  <c r="A2975"/>
  <c r="C2974"/>
  <c r="B2974"/>
  <c r="A2974"/>
  <c r="C2973"/>
  <c r="B2973"/>
  <c r="A2973"/>
  <c r="C2972"/>
  <c r="B2972"/>
  <c r="A2972"/>
  <c r="C2971"/>
  <c r="B2971"/>
  <c r="A2971"/>
  <c r="C2970"/>
  <c r="B2970"/>
  <c r="A2970"/>
  <c r="C2969"/>
  <c r="B2969"/>
  <c r="A2969"/>
  <c r="C2968"/>
  <c r="B2968"/>
  <c r="A2968"/>
  <c r="C2967"/>
  <c r="B2967"/>
  <c r="A2967"/>
  <c r="C2966"/>
  <c r="B2966"/>
  <c r="A2966"/>
  <c r="C2965"/>
  <c r="B2965"/>
  <c r="A2965"/>
  <c r="C2964"/>
  <c r="B2964"/>
  <c r="A2964"/>
  <c r="C2963"/>
  <c r="B2963"/>
  <c r="A2963"/>
  <c r="C2962"/>
  <c r="B2962"/>
  <c r="A2962"/>
  <c r="C2961"/>
  <c r="B2961"/>
  <c r="A2961"/>
  <c r="C2960"/>
  <c r="B2960"/>
  <c r="A2960"/>
  <c r="C2959"/>
  <c r="B2959"/>
  <c r="A2959"/>
  <c r="C2958"/>
  <c r="B2958"/>
  <c r="A2958"/>
  <c r="C2957"/>
  <c r="B2957"/>
  <c r="A2957"/>
  <c r="C2956"/>
  <c r="B2956"/>
  <c r="A2956"/>
  <c r="C2955"/>
  <c r="B2955"/>
  <c r="A2955"/>
  <c r="C2954"/>
  <c r="B2954"/>
  <c r="A2954"/>
  <c r="C2953"/>
  <c r="B2953"/>
  <c r="A2953"/>
  <c r="C2952"/>
  <c r="B2952"/>
  <c r="A2952"/>
  <c r="C2951"/>
  <c r="B2951"/>
  <c r="A2951"/>
  <c r="C2950"/>
  <c r="B2950"/>
  <c r="A2950"/>
  <c r="C2949"/>
  <c r="B2949"/>
  <c r="A2949"/>
  <c r="C2948"/>
  <c r="B2948"/>
  <c r="A2948"/>
  <c r="C2947"/>
  <c r="B2947"/>
  <c r="A2947"/>
  <c r="C2946"/>
  <c r="B2946"/>
  <c r="A2946"/>
  <c r="C2945"/>
  <c r="B2945"/>
  <c r="A2945"/>
  <c r="C2944"/>
  <c r="B2944"/>
  <c r="A2944"/>
  <c r="C2943"/>
  <c r="B2943"/>
  <c r="A2943"/>
  <c r="C2942"/>
  <c r="B2942"/>
  <c r="A2942"/>
  <c r="C2941"/>
  <c r="B2941"/>
  <c r="A2941"/>
  <c r="C2940"/>
  <c r="B2940"/>
  <c r="A2940"/>
  <c r="C2939"/>
  <c r="B2939"/>
  <c r="A2939"/>
  <c r="C2938"/>
  <c r="B2938"/>
  <c r="A2938"/>
  <c r="C2937"/>
  <c r="B2937"/>
  <c r="A2937"/>
  <c r="C2936"/>
  <c r="B2936"/>
  <c r="A2936"/>
  <c r="C2935"/>
  <c r="B2935"/>
  <c r="A2935"/>
  <c r="C2934"/>
  <c r="B2934"/>
  <c r="A2934"/>
  <c r="C2933"/>
  <c r="B2933"/>
  <c r="A2933"/>
  <c r="C2932"/>
  <c r="B2932"/>
  <c r="A2932"/>
  <c r="C2931"/>
  <c r="B2931"/>
  <c r="A2931"/>
  <c r="C2930"/>
  <c r="B2930"/>
  <c r="A2930"/>
  <c r="C2929"/>
  <c r="B2929"/>
  <c r="A2929"/>
  <c r="C2928"/>
  <c r="B2928"/>
  <c r="A2928"/>
  <c r="C2927"/>
  <c r="B2927"/>
  <c r="A2927"/>
  <c r="C2926"/>
  <c r="B2926"/>
  <c r="A2926"/>
  <c r="C2925"/>
  <c r="B2925"/>
  <c r="A2925"/>
  <c r="C2924"/>
  <c r="B2924"/>
  <c r="A2924"/>
  <c r="C2923"/>
  <c r="B2923"/>
  <c r="A2923"/>
  <c r="C2922"/>
  <c r="B2922"/>
  <c r="A2922"/>
  <c r="C2921"/>
  <c r="B2921"/>
  <c r="A2921"/>
  <c r="C2920"/>
  <c r="B2920"/>
  <c r="A2920"/>
  <c r="C2919"/>
  <c r="B2919"/>
  <c r="A2919"/>
  <c r="C2918"/>
  <c r="B2918"/>
  <c r="A2918"/>
  <c r="C2917"/>
  <c r="B2917"/>
  <c r="A2917"/>
  <c r="C2916"/>
  <c r="B2916"/>
  <c r="A2916"/>
  <c r="C2915"/>
  <c r="B2915"/>
  <c r="A2915"/>
  <c r="C2914"/>
  <c r="B2914"/>
  <c r="A2914"/>
  <c r="C2913"/>
  <c r="B2913"/>
  <c r="A2913"/>
  <c r="C2912"/>
  <c r="B2912"/>
  <c r="A2912"/>
  <c r="C2911"/>
  <c r="B2911"/>
  <c r="A2911"/>
  <c r="C2910"/>
  <c r="B2910"/>
  <c r="A2910"/>
  <c r="C2909"/>
  <c r="B2909"/>
  <c r="A2909"/>
  <c r="C2908"/>
  <c r="B2908"/>
  <c r="A2908"/>
  <c r="C2907"/>
  <c r="B2907"/>
  <c r="A2907"/>
  <c r="C2906"/>
  <c r="B2906"/>
  <c r="A2906"/>
  <c r="C2905"/>
  <c r="B2905"/>
  <c r="A2905"/>
  <c r="C2904"/>
  <c r="B2904"/>
  <c r="A2904"/>
  <c r="C2903"/>
  <c r="B2903"/>
  <c r="A2903"/>
  <c r="C2902"/>
  <c r="B2902"/>
  <c r="A2902"/>
  <c r="C2901"/>
  <c r="B2901"/>
  <c r="A2901"/>
  <c r="C2900"/>
  <c r="B2900"/>
  <c r="A2900"/>
  <c r="C2899"/>
  <c r="B2899"/>
  <c r="A2899"/>
  <c r="C2898"/>
  <c r="B2898"/>
  <c r="A2898"/>
  <c r="C2897"/>
  <c r="B2897"/>
  <c r="A2897"/>
  <c r="C2896"/>
  <c r="B2896"/>
  <c r="A2896"/>
  <c r="C2895"/>
  <c r="B2895"/>
  <c r="A2895"/>
  <c r="C2894"/>
  <c r="B2894"/>
  <c r="A2894"/>
  <c r="C2893"/>
  <c r="B2893"/>
  <c r="A2893"/>
  <c r="C2892"/>
  <c r="B2892"/>
  <c r="A2892"/>
  <c r="C2891"/>
  <c r="B2891"/>
  <c r="A2891"/>
  <c r="C2890"/>
  <c r="B2890"/>
  <c r="A2890"/>
  <c r="C2889"/>
  <c r="B2889"/>
  <c r="A2889"/>
  <c r="C2888"/>
  <c r="B2888"/>
  <c r="A2888"/>
  <c r="C2887"/>
  <c r="B2887"/>
  <c r="A2887"/>
  <c r="C2886"/>
  <c r="B2886"/>
  <c r="A2886"/>
  <c r="C2885"/>
  <c r="B2885"/>
  <c r="A2885"/>
  <c r="C2884"/>
  <c r="B2884"/>
  <c r="A2884"/>
  <c r="C2883"/>
  <c r="B2883"/>
  <c r="A2883"/>
  <c r="C2882"/>
  <c r="B2882"/>
  <c r="A2882"/>
  <c r="C2881"/>
  <c r="B2881"/>
  <c r="A2881"/>
  <c r="C2880"/>
  <c r="B2880"/>
  <c r="A2880"/>
  <c r="C2879"/>
  <c r="B2879"/>
  <c r="A2879"/>
  <c r="C2878"/>
  <c r="B2878"/>
  <c r="A2878"/>
  <c r="C2877"/>
  <c r="B2877"/>
  <c r="A2877"/>
  <c r="C2876"/>
  <c r="B2876"/>
  <c r="A2876"/>
  <c r="C2875"/>
  <c r="B2875"/>
  <c r="A2875"/>
  <c r="C2874"/>
  <c r="B2874"/>
  <c r="A2874"/>
  <c r="C2873"/>
  <c r="B2873"/>
  <c r="A2873"/>
  <c r="C2872"/>
  <c r="B2872"/>
  <c r="A2872"/>
  <c r="C2871"/>
  <c r="B2871"/>
  <c r="A2871"/>
  <c r="C2870"/>
  <c r="B2870"/>
  <c r="A2870"/>
  <c r="C2869"/>
  <c r="B2869"/>
  <c r="A2869"/>
  <c r="C2868"/>
  <c r="B2868"/>
  <c r="A2868"/>
  <c r="C2867"/>
  <c r="B2867"/>
  <c r="A2867"/>
  <c r="C2866"/>
  <c r="B2866"/>
  <c r="A2866"/>
  <c r="C2865"/>
  <c r="B2865"/>
  <c r="A2865"/>
  <c r="C2864"/>
  <c r="B2864"/>
  <c r="A2864"/>
  <c r="C2863"/>
  <c r="B2863"/>
  <c r="A2863"/>
  <c r="C2862"/>
  <c r="B2862"/>
  <c r="A2862"/>
  <c r="C2861"/>
  <c r="B2861"/>
  <c r="A2861"/>
  <c r="C2860"/>
  <c r="B2860"/>
  <c r="A2860"/>
  <c r="C2859"/>
  <c r="B2859"/>
  <c r="A2859"/>
  <c r="C2858"/>
  <c r="B2858"/>
  <c r="A2858"/>
  <c r="C2857"/>
  <c r="B2857"/>
  <c r="A2857"/>
  <c r="C2856"/>
  <c r="B2856"/>
  <c r="A2856"/>
  <c r="C2855"/>
  <c r="B2855"/>
  <c r="A2855"/>
  <c r="C2854"/>
  <c r="B2854"/>
  <c r="A2854"/>
  <c r="C2853"/>
  <c r="B2853"/>
  <c r="A2853"/>
  <c r="C2852"/>
  <c r="B2852"/>
  <c r="A2852"/>
  <c r="C2851"/>
  <c r="B2851"/>
  <c r="A2851"/>
  <c r="C2850"/>
  <c r="B2850"/>
  <c r="A2850"/>
  <c r="C2849"/>
  <c r="B2849"/>
  <c r="A2849"/>
  <c r="C2848"/>
  <c r="B2848"/>
  <c r="A2848"/>
  <c r="C2847"/>
  <c r="B2847"/>
  <c r="A2847"/>
  <c r="C2846"/>
  <c r="B2846"/>
  <c r="A2846"/>
  <c r="C2845"/>
  <c r="B2845"/>
  <c r="A2845"/>
  <c r="C2844"/>
  <c r="B2844"/>
  <c r="A2844"/>
  <c r="C2843"/>
  <c r="B2843"/>
  <c r="A2843"/>
  <c r="C2842"/>
  <c r="B2842"/>
  <c r="A2842"/>
  <c r="C2841"/>
  <c r="B2841"/>
  <c r="A2841"/>
  <c r="C2840"/>
  <c r="B2840"/>
  <c r="A2840"/>
  <c r="C2839"/>
  <c r="B2839"/>
  <c r="A2839"/>
  <c r="C2838"/>
  <c r="B2838"/>
  <c r="A2838"/>
  <c r="C2837"/>
  <c r="B2837"/>
  <c r="A2837"/>
  <c r="C2836"/>
  <c r="B2836"/>
  <c r="A2836"/>
  <c r="C2835"/>
  <c r="B2835"/>
  <c r="A2835"/>
  <c r="C2834"/>
  <c r="B2834"/>
  <c r="A2834"/>
  <c r="C2833"/>
  <c r="B2833"/>
  <c r="A2833"/>
  <c r="C2832"/>
  <c r="B2832"/>
  <c r="A2832"/>
  <c r="C2831"/>
  <c r="B2831"/>
  <c r="A2831"/>
  <c r="C2830"/>
  <c r="B2830"/>
  <c r="A2830"/>
  <c r="C2829"/>
  <c r="B2829"/>
  <c r="A2829"/>
  <c r="C2828"/>
  <c r="B2828"/>
  <c r="A2828"/>
  <c r="C2827"/>
  <c r="B2827"/>
  <c r="A2827"/>
  <c r="C2826"/>
  <c r="B2826"/>
  <c r="A2826"/>
  <c r="C2825"/>
  <c r="B2825"/>
  <c r="A2825"/>
  <c r="C2824"/>
  <c r="B2824"/>
  <c r="A2824"/>
  <c r="C2823"/>
  <c r="B2823"/>
  <c r="A2823"/>
  <c r="C2822"/>
  <c r="B2822"/>
  <c r="A2822"/>
  <c r="C2821"/>
  <c r="B2821"/>
  <c r="A2821"/>
  <c r="C2820"/>
  <c r="B2820"/>
  <c r="A2820"/>
  <c r="C2819"/>
  <c r="B2819"/>
  <c r="A2819"/>
  <c r="C2818"/>
  <c r="B2818"/>
  <c r="A2818"/>
  <c r="C2817"/>
  <c r="B2817"/>
  <c r="A2817"/>
  <c r="C2816"/>
  <c r="B2816"/>
  <c r="A2816"/>
  <c r="C2815"/>
  <c r="B2815"/>
  <c r="A2815"/>
  <c r="C2814"/>
  <c r="B2814"/>
  <c r="A2814"/>
  <c r="C2813"/>
  <c r="B2813"/>
  <c r="A2813"/>
  <c r="C2812"/>
  <c r="B2812"/>
  <c r="A2812"/>
  <c r="C2811"/>
  <c r="B2811"/>
  <c r="A2811"/>
  <c r="C2810"/>
  <c r="B2810"/>
  <c r="A2810"/>
  <c r="C2809"/>
  <c r="B2809"/>
  <c r="A2809"/>
  <c r="C2808"/>
  <c r="B2808"/>
  <c r="A2808"/>
  <c r="C2807"/>
  <c r="B2807"/>
  <c r="A2807"/>
  <c r="C2806"/>
  <c r="B2806"/>
  <c r="A2806"/>
  <c r="C2805"/>
  <c r="B2805"/>
  <c r="A2805"/>
  <c r="C2804"/>
  <c r="B2804"/>
  <c r="A2804"/>
  <c r="C2803"/>
  <c r="B2803"/>
  <c r="A2803"/>
  <c r="C2802"/>
  <c r="B2802"/>
  <c r="A2802"/>
  <c r="C2801"/>
  <c r="B2801"/>
  <c r="A2801"/>
  <c r="C2800"/>
  <c r="B2800"/>
  <c r="A2800"/>
  <c r="C2799"/>
  <c r="B2799"/>
  <c r="A2799"/>
  <c r="C2798"/>
  <c r="B2798"/>
  <c r="A2798"/>
  <c r="C2797"/>
  <c r="B2797"/>
  <c r="A2797"/>
  <c r="C2796"/>
  <c r="B2796"/>
  <c r="A2796"/>
  <c r="C2795"/>
  <c r="B2795"/>
  <c r="A2795"/>
  <c r="C2794"/>
  <c r="B2794"/>
  <c r="A2794"/>
  <c r="C2793"/>
  <c r="B2793"/>
  <c r="A2793"/>
  <c r="C2792"/>
  <c r="B2792"/>
  <c r="A2792"/>
  <c r="C2791"/>
  <c r="B2791"/>
  <c r="A2791"/>
  <c r="C2790"/>
  <c r="B2790"/>
  <c r="A2790"/>
  <c r="C2789"/>
  <c r="B2789"/>
  <c r="A2789"/>
  <c r="C2788"/>
  <c r="B2788"/>
  <c r="A2788"/>
  <c r="C2787"/>
  <c r="B2787"/>
  <c r="A2787"/>
  <c r="C2786"/>
  <c r="B2786"/>
  <c r="A2786"/>
  <c r="C2785"/>
  <c r="B2785"/>
  <c r="A2785"/>
  <c r="C2784"/>
  <c r="B2784"/>
  <c r="A2784"/>
  <c r="C2783"/>
  <c r="B2783"/>
  <c r="A2783"/>
  <c r="C2782"/>
  <c r="B2782"/>
  <c r="A2782"/>
  <c r="C2781"/>
  <c r="B2781"/>
  <c r="A2781"/>
  <c r="C2780"/>
  <c r="B2780"/>
  <c r="A2780"/>
  <c r="C2779"/>
  <c r="B2779"/>
  <c r="A2779"/>
  <c r="C2778"/>
  <c r="B2778"/>
  <c r="A2778"/>
  <c r="C2777"/>
  <c r="B2777"/>
  <c r="A2777"/>
  <c r="C2776"/>
  <c r="B2776"/>
  <c r="A2776"/>
  <c r="C2775"/>
  <c r="B2775"/>
  <c r="A2775"/>
  <c r="C2774"/>
  <c r="B2774"/>
  <c r="A2774"/>
  <c r="C2773"/>
  <c r="B2773"/>
  <c r="A2773"/>
  <c r="C2772"/>
  <c r="B2772"/>
  <c r="A2772"/>
  <c r="C2771"/>
  <c r="B2771"/>
  <c r="A2771"/>
  <c r="C2770"/>
  <c r="B2770"/>
  <c r="A2770"/>
  <c r="C2769"/>
  <c r="B2769"/>
  <c r="A2769"/>
  <c r="C2768"/>
  <c r="B2768"/>
  <c r="A2768"/>
  <c r="C2767"/>
  <c r="B2767"/>
  <c r="A2767"/>
  <c r="C2766"/>
  <c r="B2766"/>
  <c r="A2766"/>
  <c r="C2765"/>
  <c r="B2765"/>
  <c r="A2765"/>
  <c r="C2764"/>
  <c r="B2764"/>
  <c r="A2764"/>
  <c r="C2763"/>
  <c r="B2763"/>
  <c r="A2763"/>
  <c r="C2762"/>
  <c r="B2762"/>
  <c r="A2762"/>
  <c r="C2761"/>
  <c r="B2761"/>
  <c r="A2761"/>
  <c r="C2760"/>
  <c r="B2760"/>
  <c r="A2760"/>
  <c r="C2759"/>
  <c r="B2759"/>
  <c r="A2759"/>
  <c r="C2758"/>
  <c r="B2758"/>
  <c r="A2758"/>
  <c r="C2757"/>
  <c r="B2757"/>
  <c r="A2757"/>
  <c r="C2756"/>
  <c r="B2756"/>
  <c r="A2756"/>
  <c r="C2755"/>
  <c r="B2755"/>
  <c r="A2755"/>
  <c r="C2754"/>
  <c r="B2754"/>
  <c r="A2754"/>
  <c r="C2753"/>
  <c r="B2753"/>
  <c r="A2753"/>
  <c r="C2752"/>
  <c r="B2752"/>
  <c r="A2752"/>
  <c r="C2751"/>
  <c r="B2751"/>
  <c r="A2751"/>
  <c r="C2750"/>
  <c r="B2750"/>
  <c r="A2750"/>
  <c r="C2749"/>
  <c r="B2749"/>
  <c r="A2749"/>
  <c r="C2748"/>
  <c r="B2748"/>
  <c r="A2748"/>
  <c r="C2747"/>
  <c r="B2747"/>
  <c r="A2747"/>
  <c r="C2746"/>
  <c r="B2746"/>
  <c r="A2746"/>
  <c r="C2745"/>
  <c r="B2745"/>
  <c r="A2745"/>
  <c r="C2744"/>
  <c r="B2744"/>
  <c r="A2744"/>
  <c r="C2743"/>
  <c r="B2743"/>
  <c r="A2743"/>
  <c r="C2742"/>
  <c r="B2742"/>
  <c r="A2742"/>
  <c r="C2741"/>
  <c r="B2741"/>
  <c r="A2741"/>
  <c r="C2740"/>
  <c r="B2740"/>
  <c r="A2740"/>
  <c r="C2739"/>
  <c r="B2739"/>
  <c r="A2739"/>
  <c r="C2738"/>
  <c r="B2738"/>
  <c r="A2738"/>
  <c r="C2737"/>
  <c r="B2737"/>
  <c r="A2737"/>
  <c r="C2736"/>
  <c r="B2736"/>
  <c r="A2736"/>
  <c r="C2735"/>
  <c r="B2735"/>
  <c r="A2735"/>
  <c r="C2734"/>
  <c r="B2734"/>
  <c r="A2734"/>
  <c r="C2733"/>
  <c r="B2733"/>
  <c r="A2733"/>
  <c r="C2732"/>
  <c r="B2732"/>
  <c r="A2732"/>
  <c r="C2731"/>
  <c r="B2731"/>
  <c r="A2731"/>
  <c r="C2730"/>
  <c r="B2730"/>
  <c r="A2730"/>
  <c r="C2729"/>
  <c r="B2729"/>
  <c r="A2729"/>
  <c r="C2728"/>
  <c r="B2728"/>
  <c r="A2728"/>
  <c r="C2727"/>
  <c r="B2727"/>
  <c r="A2727"/>
  <c r="C2726"/>
  <c r="B2726"/>
  <c r="A2726"/>
  <c r="C2725"/>
  <c r="B2725"/>
  <c r="A2725"/>
  <c r="C2724"/>
  <c r="B2724"/>
  <c r="A2724"/>
  <c r="C2723"/>
  <c r="B2723"/>
  <c r="A2723"/>
  <c r="C2722"/>
  <c r="B2722"/>
  <c r="A2722"/>
  <c r="C2721"/>
  <c r="B2721"/>
  <c r="A2721"/>
  <c r="C2720"/>
  <c r="B2720"/>
  <c r="A2720"/>
  <c r="C2719"/>
  <c r="B2719"/>
  <c r="A2719"/>
  <c r="C2718"/>
  <c r="B2718"/>
  <c r="A2718"/>
  <c r="C2717"/>
  <c r="B2717"/>
  <c r="A2717"/>
  <c r="C2716"/>
  <c r="B2716"/>
  <c r="A2716"/>
  <c r="C2715"/>
  <c r="B2715"/>
  <c r="A2715"/>
  <c r="C2714"/>
  <c r="B2714"/>
  <c r="A2714"/>
  <c r="C2713"/>
  <c r="B2713"/>
  <c r="A2713"/>
  <c r="C2712"/>
  <c r="B2712"/>
  <c r="A2712"/>
  <c r="C2711"/>
  <c r="B2711"/>
  <c r="A2711"/>
  <c r="C2710"/>
  <c r="B2710"/>
  <c r="A2710"/>
  <c r="C2709"/>
  <c r="B2709"/>
  <c r="A2709"/>
  <c r="C2708"/>
  <c r="B2708"/>
  <c r="A2708"/>
  <c r="C2707"/>
  <c r="B2707"/>
  <c r="A2707"/>
  <c r="C2706"/>
  <c r="B2706"/>
  <c r="A2706"/>
  <c r="C2705"/>
  <c r="B2705"/>
  <c r="A2705"/>
  <c r="C2704"/>
  <c r="B2704"/>
  <c r="A2704"/>
  <c r="C2703"/>
  <c r="B2703"/>
  <c r="A2703"/>
  <c r="C2702"/>
  <c r="B2702"/>
  <c r="A2702"/>
  <c r="C2701"/>
  <c r="B2701"/>
  <c r="A2701"/>
  <c r="C2700"/>
  <c r="B2700"/>
  <c r="A2700"/>
  <c r="C2699"/>
  <c r="B2699"/>
  <c r="A2699"/>
  <c r="C2698"/>
  <c r="B2698"/>
  <c r="A2698"/>
  <c r="C2697"/>
  <c r="B2697"/>
  <c r="A2697"/>
  <c r="C2696"/>
  <c r="B2696"/>
  <c r="A2696"/>
  <c r="C2695"/>
  <c r="B2695"/>
  <c r="A2695"/>
  <c r="C2694"/>
  <c r="B2694"/>
  <c r="A2694"/>
  <c r="C2693"/>
  <c r="B2693"/>
  <c r="A2693"/>
  <c r="C2692"/>
  <c r="B2692"/>
  <c r="A2692"/>
  <c r="C2691"/>
  <c r="B2691"/>
  <c r="A2691"/>
  <c r="C2690"/>
  <c r="B2690"/>
  <c r="A2690"/>
  <c r="C2689"/>
  <c r="B2689"/>
  <c r="A2689"/>
  <c r="C2688"/>
  <c r="B2688"/>
  <c r="A2688"/>
  <c r="C2687"/>
  <c r="B2687"/>
  <c r="A2687"/>
  <c r="C2686"/>
  <c r="B2686"/>
  <c r="A2686"/>
  <c r="C2685"/>
  <c r="B2685"/>
  <c r="A2685"/>
  <c r="C2684"/>
  <c r="B2684"/>
  <c r="A2684"/>
  <c r="C2683"/>
  <c r="B2683"/>
  <c r="A2683"/>
  <c r="C2682"/>
  <c r="B2682"/>
  <c r="A2682"/>
  <c r="C2681"/>
  <c r="B2681"/>
  <c r="A2681"/>
  <c r="C2680"/>
  <c r="B2680"/>
  <c r="A2680"/>
  <c r="C2679"/>
  <c r="B2679"/>
  <c r="A2679"/>
  <c r="C2678"/>
  <c r="B2678"/>
  <c r="A2678"/>
  <c r="C2677"/>
  <c r="B2677"/>
  <c r="A2677"/>
  <c r="C2676"/>
  <c r="B2676"/>
  <c r="A2676"/>
  <c r="C2675"/>
  <c r="B2675"/>
  <c r="A2675"/>
  <c r="C2674"/>
  <c r="B2674"/>
  <c r="A2674"/>
  <c r="C2673"/>
  <c r="B2673"/>
  <c r="A2673"/>
  <c r="C2672"/>
  <c r="B2672"/>
  <c r="A2672"/>
  <c r="C2671"/>
  <c r="B2671"/>
  <c r="A2671"/>
  <c r="C2670"/>
  <c r="B2670"/>
  <c r="A2670"/>
  <c r="C2669"/>
  <c r="B2669"/>
  <c r="A2669"/>
  <c r="C2668"/>
  <c r="B2668"/>
  <c r="A2668"/>
  <c r="C2667"/>
  <c r="B2667"/>
  <c r="A2667"/>
  <c r="C2666"/>
  <c r="B2666"/>
  <c r="A2666"/>
  <c r="C2665"/>
  <c r="B2665"/>
  <c r="A2665"/>
  <c r="C2664"/>
  <c r="B2664"/>
  <c r="A2664"/>
  <c r="C2663"/>
  <c r="B2663"/>
  <c r="A2663"/>
  <c r="C2662"/>
  <c r="B2662"/>
  <c r="A2662"/>
  <c r="C2661"/>
  <c r="B2661"/>
  <c r="A2661"/>
  <c r="C2660"/>
  <c r="B2660"/>
  <c r="A2660"/>
  <c r="C2659"/>
  <c r="B2659"/>
  <c r="A2659"/>
  <c r="C2658"/>
  <c r="B2658"/>
  <c r="A2658"/>
  <c r="C2657"/>
  <c r="B2657"/>
  <c r="A2657"/>
  <c r="C2656"/>
  <c r="B2656"/>
  <c r="A2656"/>
  <c r="C2655"/>
  <c r="B2655"/>
  <c r="A2655"/>
  <c r="C2654"/>
  <c r="B2654"/>
  <c r="A2654"/>
  <c r="C2653"/>
  <c r="B2653"/>
  <c r="A2653"/>
  <c r="C2652"/>
  <c r="B2652"/>
  <c r="A2652"/>
  <c r="C2651"/>
  <c r="B2651"/>
  <c r="A2651"/>
  <c r="C2650"/>
  <c r="B2650"/>
  <c r="A2650"/>
  <c r="C2649"/>
  <c r="B2649"/>
  <c r="A2649"/>
  <c r="C2648"/>
  <c r="B2648"/>
  <c r="A2648"/>
  <c r="C2647"/>
  <c r="B2647"/>
  <c r="A2647"/>
  <c r="C2646"/>
  <c r="B2646"/>
  <c r="A2646"/>
  <c r="C2645"/>
  <c r="B2645"/>
  <c r="A2645"/>
  <c r="C2644"/>
  <c r="B2644"/>
  <c r="A2644"/>
  <c r="C2643"/>
  <c r="B2643"/>
  <c r="A2643"/>
  <c r="C2642"/>
  <c r="B2642"/>
  <c r="A2642"/>
  <c r="C2641"/>
  <c r="B2641"/>
  <c r="A2641"/>
  <c r="C2640"/>
  <c r="B2640"/>
  <c r="A2640"/>
  <c r="C2639"/>
  <c r="B2639"/>
  <c r="A2639"/>
  <c r="C2638"/>
  <c r="B2638"/>
  <c r="A2638"/>
  <c r="C2637"/>
  <c r="B2637"/>
  <c r="A2637"/>
  <c r="C2636"/>
  <c r="B2636"/>
  <c r="A2636"/>
  <c r="C2635"/>
  <c r="B2635"/>
  <c r="A2635"/>
  <c r="C2634"/>
  <c r="B2634"/>
  <c r="A2634"/>
  <c r="C2633"/>
  <c r="B2633"/>
  <c r="A2633"/>
  <c r="C2632"/>
  <c r="B2632"/>
  <c r="A2632"/>
  <c r="C2631"/>
  <c r="B2631"/>
  <c r="A2631"/>
  <c r="C2630"/>
  <c r="B2630"/>
  <c r="A2630"/>
  <c r="C2629"/>
  <c r="B2629"/>
  <c r="A2629"/>
  <c r="C2628"/>
  <c r="B2628"/>
  <c r="A2628"/>
  <c r="C2627"/>
  <c r="B2627"/>
  <c r="A2627"/>
  <c r="C2626"/>
  <c r="B2626"/>
  <c r="A2626"/>
  <c r="C2625"/>
  <c r="B2625"/>
  <c r="A2625"/>
  <c r="C2624"/>
  <c r="B2624"/>
  <c r="A2624"/>
  <c r="C2623"/>
  <c r="B2623"/>
  <c r="A2623"/>
  <c r="C2622"/>
  <c r="B2622"/>
  <c r="A2622"/>
  <c r="C2621"/>
  <c r="B2621"/>
  <c r="A2621"/>
  <c r="C2620"/>
  <c r="B2620"/>
  <c r="A2620"/>
  <c r="C2619"/>
  <c r="B2619"/>
  <c r="A2619"/>
  <c r="C2618"/>
  <c r="B2618"/>
  <c r="A2618"/>
  <c r="C2617"/>
  <c r="B2617"/>
  <c r="A2617"/>
  <c r="C2616"/>
  <c r="B2616"/>
  <c r="A2616"/>
  <c r="C2615"/>
  <c r="B2615"/>
  <c r="A2615"/>
  <c r="C2614"/>
  <c r="B2614"/>
  <c r="A2614"/>
  <c r="C2613"/>
  <c r="B2613"/>
  <c r="A2613"/>
  <c r="C2612"/>
  <c r="B2612"/>
  <c r="A2612"/>
  <c r="C2611"/>
  <c r="B2611"/>
  <c r="A2611"/>
  <c r="C2610"/>
  <c r="B2610"/>
  <c r="A2610"/>
  <c r="C2609"/>
  <c r="B2609"/>
  <c r="A2609"/>
  <c r="C2608"/>
  <c r="B2608"/>
  <c r="A2608"/>
  <c r="C2607"/>
  <c r="B2607"/>
  <c r="A2607"/>
  <c r="C2606"/>
  <c r="B2606"/>
  <c r="A2606"/>
  <c r="C2605"/>
  <c r="B2605"/>
  <c r="A2605"/>
  <c r="C2604"/>
  <c r="B2604"/>
  <c r="A2604"/>
  <c r="C2603"/>
  <c r="B2603"/>
  <c r="A2603"/>
  <c r="C2602"/>
  <c r="B2602"/>
  <c r="A2602"/>
  <c r="C2601"/>
  <c r="B2601"/>
  <c r="A2601"/>
  <c r="C2600"/>
  <c r="B2600"/>
  <c r="A2600"/>
  <c r="C2599"/>
  <c r="B2599"/>
  <c r="A2599"/>
  <c r="C2598"/>
  <c r="B2598"/>
  <c r="A2598"/>
  <c r="C2597"/>
  <c r="B2597"/>
  <c r="A2597"/>
  <c r="C2596"/>
  <c r="B2596"/>
  <c r="A2596"/>
  <c r="C2595"/>
  <c r="B2595"/>
  <c r="A2595"/>
  <c r="C2594"/>
  <c r="B2594"/>
  <c r="A2594"/>
  <c r="C2593"/>
  <c r="B2593"/>
  <c r="A2593"/>
  <c r="C2592"/>
  <c r="B2592"/>
  <c r="A2592"/>
  <c r="C2591"/>
  <c r="B2591"/>
  <c r="A2591"/>
  <c r="C2590"/>
  <c r="B2590"/>
  <c r="A2590"/>
  <c r="C2589"/>
  <c r="B2589"/>
  <c r="A2589"/>
  <c r="C2588"/>
  <c r="B2588"/>
  <c r="A2588"/>
  <c r="C2587"/>
  <c r="B2587"/>
  <c r="A2587"/>
  <c r="C2586"/>
  <c r="B2586"/>
  <c r="A2586"/>
  <c r="C2585"/>
  <c r="B2585"/>
  <c r="A2585"/>
  <c r="C2584"/>
  <c r="B2584"/>
  <c r="A2584"/>
  <c r="C2583"/>
  <c r="B2583"/>
  <c r="A2583"/>
  <c r="C2582"/>
  <c r="B2582"/>
  <c r="A2582"/>
  <c r="C2581"/>
  <c r="B2581"/>
  <c r="A2581"/>
  <c r="C2580"/>
  <c r="B2580"/>
  <c r="A2580"/>
  <c r="C2579"/>
  <c r="B2579"/>
  <c r="A2579"/>
  <c r="C2578"/>
  <c r="B2578"/>
  <c r="A2578"/>
  <c r="C2577"/>
  <c r="B2577"/>
  <c r="A2577"/>
  <c r="C2576"/>
  <c r="B2576"/>
  <c r="A2576"/>
  <c r="C2575"/>
  <c r="B2575"/>
  <c r="A2575"/>
  <c r="C2574"/>
  <c r="B2574"/>
  <c r="A2574"/>
  <c r="C2573"/>
  <c r="B2573"/>
  <c r="A2573"/>
  <c r="C2572"/>
  <c r="B2572"/>
  <c r="A2572"/>
  <c r="C2571"/>
  <c r="B2571"/>
  <c r="A2571"/>
  <c r="C2570"/>
  <c r="B2570"/>
  <c r="A2570"/>
  <c r="C2569"/>
  <c r="B2569"/>
  <c r="A2569"/>
  <c r="C2568"/>
  <c r="B2568"/>
  <c r="A2568"/>
  <c r="C2567"/>
  <c r="B2567"/>
  <c r="A2567"/>
  <c r="C2566"/>
  <c r="B2566"/>
  <c r="A2566"/>
  <c r="C2565"/>
  <c r="B2565"/>
  <c r="A2565"/>
  <c r="C2564"/>
  <c r="B2564"/>
  <c r="A2564"/>
  <c r="C2563"/>
  <c r="B2563"/>
  <c r="A2563"/>
  <c r="C2562"/>
  <c r="B2562"/>
  <c r="A2562"/>
  <c r="C2561"/>
  <c r="B2561"/>
  <c r="A2561"/>
  <c r="C2560"/>
  <c r="B2560"/>
  <c r="A2560"/>
  <c r="C2559"/>
  <c r="B2559"/>
  <c r="A2559"/>
  <c r="C2558"/>
  <c r="B2558"/>
  <c r="A2558"/>
  <c r="C2557"/>
  <c r="B2557"/>
  <c r="A2557"/>
  <c r="C2556"/>
  <c r="B2556"/>
  <c r="A2556"/>
  <c r="C2555"/>
  <c r="B2555"/>
  <c r="A2555"/>
  <c r="C2554"/>
  <c r="B2554"/>
  <c r="A2554"/>
  <c r="C2553"/>
  <c r="B2553"/>
  <c r="A2553"/>
  <c r="C2552"/>
  <c r="B2552"/>
  <c r="A2552"/>
  <c r="C2551"/>
  <c r="B2551"/>
  <c r="A2551"/>
  <c r="C2550"/>
  <c r="B2550"/>
  <c r="A2550"/>
  <c r="C2549"/>
  <c r="B2549"/>
  <c r="A2549"/>
  <c r="C2548"/>
  <c r="B2548"/>
  <c r="A2548"/>
  <c r="C2547"/>
  <c r="B2547"/>
  <c r="A2547"/>
  <c r="C2546"/>
  <c r="B2546"/>
  <c r="A2546"/>
  <c r="C2545"/>
  <c r="B2545"/>
  <c r="A2545"/>
  <c r="C2544"/>
  <c r="B2544"/>
  <c r="A2544"/>
  <c r="C2543"/>
  <c r="B2543"/>
  <c r="A2543"/>
  <c r="C2542"/>
  <c r="B2542"/>
  <c r="A2542"/>
  <c r="C2541"/>
  <c r="B2541"/>
  <c r="A2541"/>
  <c r="C2540"/>
  <c r="B2540"/>
  <c r="A2540"/>
  <c r="C2539"/>
  <c r="B2539"/>
  <c r="A2539"/>
  <c r="C2538"/>
  <c r="B2538"/>
  <c r="A2538"/>
  <c r="C2537"/>
  <c r="B2537"/>
  <c r="A2537"/>
  <c r="C2536"/>
  <c r="B2536"/>
  <c r="A2536"/>
  <c r="C2535"/>
  <c r="B2535"/>
  <c r="A2535"/>
  <c r="C2534"/>
  <c r="B2534"/>
  <c r="A2534"/>
  <c r="C2533"/>
  <c r="B2533"/>
  <c r="A2533"/>
  <c r="C2532"/>
  <c r="B2532"/>
  <c r="A2532"/>
  <c r="C2531"/>
  <c r="B2531"/>
  <c r="A2531"/>
  <c r="C2530"/>
  <c r="B2530"/>
  <c r="A2530"/>
  <c r="C2529"/>
  <c r="B2529"/>
  <c r="A2529"/>
  <c r="C2528"/>
  <c r="B2528"/>
  <c r="A2528"/>
  <c r="C2527"/>
  <c r="B2527"/>
  <c r="A2527"/>
  <c r="C2526"/>
  <c r="B2526"/>
  <c r="A2526"/>
  <c r="C2525"/>
  <c r="B2525"/>
  <c r="A2525"/>
  <c r="C2524"/>
  <c r="B2524"/>
  <c r="A2524"/>
  <c r="C2523"/>
  <c r="B2523"/>
  <c r="A2523"/>
  <c r="C2522"/>
  <c r="B2522"/>
  <c r="A2522"/>
  <c r="C2521"/>
  <c r="B2521"/>
  <c r="A2521"/>
  <c r="C2520"/>
  <c r="B2520"/>
  <c r="A2520"/>
  <c r="C2519"/>
  <c r="B2519"/>
  <c r="A2519"/>
  <c r="C2518"/>
  <c r="B2518"/>
  <c r="A2518"/>
  <c r="C2517"/>
  <c r="B2517"/>
  <c r="A2517"/>
  <c r="C2516"/>
  <c r="B2516"/>
  <c r="A2516"/>
  <c r="C2515"/>
  <c r="B2515"/>
  <c r="A2515"/>
  <c r="C2514"/>
  <c r="B2514"/>
  <c r="A2514"/>
  <c r="C2513"/>
  <c r="B2513"/>
  <c r="A2513"/>
  <c r="C2512"/>
  <c r="B2512"/>
  <c r="A2512"/>
  <c r="C2511"/>
  <c r="B2511"/>
  <c r="A2511"/>
  <c r="C2510"/>
  <c r="B2510"/>
  <c r="A2510"/>
  <c r="C2509"/>
  <c r="B2509"/>
  <c r="A2509"/>
  <c r="C2508"/>
  <c r="B2508"/>
  <c r="A2508"/>
  <c r="C2507"/>
  <c r="B2507"/>
  <c r="A2507"/>
  <c r="C2506"/>
  <c r="B2506"/>
  <c r="A2506"/>
  <c r="C2505"/>
  <c r="B2505"/>
  <c r="A2505"/>
  <c r="C2504"/>
  <c r="B2504"/>
  <c r="A2504"/>
  <c r="C2503"/>
  <c r="B2503"/>
  <c r="A2503"/>
  <c r="C2502"/>
  <c r="B2502"/>
  <c r="A2502"/>
  <c r="C2501"/>
  <c r="B2501"/>
  <c r="A2501"/>
  <c r="C2500"/>
  <c r="B2500"/>
  <c r="A2500"/>
  <c r="C2499"/>
  <c r="B2499"/>
  <c r="A2499"/>
  <c r="C2498"/>
  <c r="B2498"/>
  <c r="A2498"/>
  <c r="C2497"/>
  <c r="A2497"/>
  <c r="C2496"/>
  <c r="B2496"/>
  <c r="A2496"/>
  <c r="C2495"/>
  <c r="A2495"/>
  <c r="C2494"/>
  <c r="B2494"/>
  <c r="A2494"/>
  <c r="C2493"/>
  <c r="B2493"/>
  <c r="A2493"/>
  <c r="C2492"/>
  <c r="B2492"/>
  <c r="A2492"/>
  <c r="C2491"/>
  <c r="B2491"/>
  <c r="A2491"/>
  <c r="C2490"/>
  <c r="B2490"/>
  <c r="A2490"/>
  <c r="C2489"/>
  <c r="B2489"/>
  <c r="A2489"/>
  <c r="C2488"/>
  <c r="B2488"/>
  <c r="A2488"/>
  <c r="C2487"/>
  <c r="B2487"/>
  <c r="A2487"/>
  <c r="C2486"/>
  <c r="B2486"/>
  <c r="A2486"/>
  <c r="C2485"/>
  <c r="B2485"/>
  <c r="A2485"/>
  <c r="C2484"/>
  <c r="B2484"/>
  <c r="A2484"/>
  <c r="C2483"/>
  <c r="B2483"/>
  <c r="A2483"/>
  <c r="C2482"/>
  <c r="B2482"/>
  <c r="A2482"/>
  <c r="C2481"/>
  <c r="B2481"/>
  <c r="A2481"/>
  <c r="C2480"/>
  <c r="B2480"/>
  <c r="A2480"/>
  <c r="C2479"/>
  <c r="B2479"/>
  <c r="A2479"/>
  <c r="C2478"/>
  <c r="B2478"/>
  <c r="A2478"/>
  <c r="C2477"/>
  <c r="B2477"/>
  <c r="A2477"/>
  <c r="C2476"/>
  <c r="B2476"/>
  <c r="A2476"/>
  <c r="C2475"/>
  <c r="B2475"/>
  <c r="A2475"/>
  <c r="C2474"/>
  <c r="B2474"/>
  <c r="A2474"/>
  <c r="C2473"/>
  <c r="B2473"/>
  <c r="A2473"/>
  <c r="C2472"/>
  <c r="B2472"/>
  <c r="A2472"/>
  <c r="C2471"/>
  <c r="B2471"/>
  <c r="A2471"/>
  <c r="C2470"/>
  <c r="B2470"/>
  <c r="A2470"/>
  <c r="C2469"/>
  <c r="B2469"/>
  <c r="A2469"/>
  <c r="C2468"/>
  <c r="B2468"/>
  <c r="A2468"/>
  <c r="C2467"/>
  <c r="B2467"/>
  <c r="A2467"/>
  <c r="C2466"/>
  <c r="B2466"/>
  <c r="A2466"/>
  <c r="C2465"/>
  <c r="B2465"/>
  <c r="A2465"/>
  <c r="C2464"/>
  <c r="B2464"/>
  <c r="A2464"/>
  <c r="C2463"/>
  <c r="B2463"/>
  <c r="A2463"/>
  <c r="C2462"/>
  <c r="B2462"/>
  <c r="A2462"/>
  <c r="C2461"/>
  <c r="B2461"/>
  <c r="A2461"/>
  <c r="C2460"/>
  <c r="B2460"/>
  <c r="A2460"/>
  <c r="C2459"/>
  <c r="B2459"/>
  <c r="A2459"/>
  <c r="C2458"/>
  <c r="B2458"/>
  <c r="A2458"/>
  <c r="C2457"/>
  <c r="B2457"/>
  <c r="A2457"/>
  <c r="C2456"/>
  <c r="B2456"/>
  <c r="A2456"/>
  <c r="C2455"/>
  <c r="B2455"/>
  <c r="A2455"/>
  <c r="C2454"/>
  <c r="B2454"/>
  <c r="A2454"/>
  <c r="C2453"/>
  <c r="B2453"/>
  <c r="A2453"/>
  <c r="C2452"/>
  <c r="B2452"/>
  <c r="A2452"/>
  <c r="C2451"/>
  <c r="B2451"/>
  <c r="A2451"/>
  <c r="C2450"/>
  <c r="B2450"/>
  <c r="A2450"/>
  <c r="C2449"/>
  <c r="B2449"/>
  <c r="A2449"/>
  <c r="C2448"/>
  <c r="B2448"/>
  <c r="A2448"/>
  <c r="C2447"/>
  <c r="B2447"/>
  <c r="A2447"/>
  <c r="C2446"/>
  <c r="B2446"/>
  <c r="A2446"/>
  <c r="C2445"/>
  <c r="B2445"/>
  <c r="A2445"/>
  <c r="C2444"/>
  <c r="B2444"/>
  <c r="A2444"/>
  <c r="C2443"/>
  <c r="B2443"/>
  <c r="A2443"/>
  <c r="C2442"/>
  <c r="B2442"/>
  <c r="A2442"/>
  <c r="C2441"/>
  <c r="B2441"/>
  <c r="A2441"/>
  <c r="C2440"/>
  <c r="B2440"/>
  <c r="A2440"/>
  <c r="C2439"/>
  <c r="B2439"/>
  <c r="A2439"/>
  <c r="C2438"/>
  <c r="B2438"/>
  <c r="A2438"/>
  <c r="C2437"/>
  <c r="B2437"/>
  <c r="A2437"/>
  <c r="C2436"/>
  <c r="B2436"/>
  <c r="A2436"/>
  <c r="C2435"/>
  <c r="B2435"/>
  <c r="A2435"/>
  <c r="C2434"/>
  <c r="B2434"/>
  <c r="A2434"/>
  <c r="C2433"/>
  <c r="B2433"/>
  <c r="A2433"/>
  <c r="C2432"/>
  <c r="B2432"/>
  <c r="A2432"/>
  <c r="C2431"/>
  <c r="B2431"/>
  <c r="A2431"/>
  <c r="C2430"/>
  <c r="B2430"/>
  <c r="A2430"/>
  <c r="C2429"/>
  <c r="B2429"/>
  <c r="A2429"/>
  <c r="C2428"/>
  <c r="B2428"/>
  <c r="A2428"/>
  <c r="C2427"/>
  <c r="B2427"/>
  <c r="A2427"/>
  <c r="C2426"/>
  <c r="B2426"/>
  <c r="A2426"/>
  <c r="C2425"/>
  <c r="B2425"/>
  <c r="A2425"/>
  <c r="C2424"/>
  <c r="B2424"/>
  <c r="A2424"/>
  <c r="C2423"/>
  <c r="B2423"/>
  <c r="A2423"/>
  <c r="C2422"/>
  <c r="B2422"/>
  <c r="A2422"/>
  <c r="C2421"/>
  <c r="B2421"/>
  <c r="A2421"/>
  <c r="C2420"/>
  <c r="B2420"/>
  <c r="A2420"/>
  <c r="C2419"/>
  <c r="B2419"/>
  <c r="A2419"/>
  <c r="C2418"/>
  <c r="B2418"/>
  <c r="A2418"/>
  <c r="C2417"/>
  <c r="B2417"/>
  <c r="A2417"/>
  <c r="C2416"/>
  <c r="B2416"/>
  <c r="A2416"/>
  <c r="C2415"/>
  <c r="B2415"/>
  <c r="A2415"/>
  <c r="C2414"/>
  <c r="B2414"/>
  <c r="A2414"/>
  <c r="C2413"/>
  <c r="B2413"/>
  <c r="A2413"/>
  <c r="C2412"/>
  <c r="B2412"/>
  <c r="A2412"/>
  <c r="C2411"/>
  <c r="B2411"/>
  <c r="A2411"/>
  <c r="C2410"/>
  <c r="B2410"/>
  <c r="A2410"/>
  <c r="C2409"/>
  <c r="B2409"/>
  <c r="A2409"/>
  <c r="C2408"/>
  <c r="B2408"/>
  <c r="A2408"/>
  <c r="C2407"/>
  <c r="B2407"/>
  <c r="A2407"/>
  <c r="C2406"/>
  <c r="B2406"/>
  <c r="A2406"/>
  <c r="C2405"/>
  <c r="B2405"/>
  <c r="A2405"/>
  <c r="C2404"/>
  <c r="B2404"/>
  <c r="A2404"/>
  <c r="C2403"/>
  <c r="B2403"/>
  <c r="A2403"/>
  <c r="C2402"/>
  <c r="B2402"/>
  <c r="A2402"/>
  <c r="C2401"/>
  <c r="B2401"/>
  <c r="A2401"/>
  <c r="C2400"/>
  <c r="B2400"/>
  <c r="A2400"/>
  <c r="C2399"/>
  <c r="B2399"/>
  <c r="A2399"/>
  <c r="C2398"/>
  <c r="B2398"/>
  <c r="A2398"/>
  <c r="C2397"/>
  <c r="B2397"/>
  <c r="A2397"/>
  <c r="C2396"/>
  <c r="B2396"/>
  <c r="A2396"/>
  <c r="C2395"/>
  <c r="B2395"/>
  <c r="A2395"/>
  <c r="C2394"/>
  <c r="B2394"/>
  <c r="A2394"/>
  <c r="C2393"/>
  <c r="B2393"/>
  <c r="A2393"/>
  <c r="C2392"/>
  <c r="B2392"/>
  <c r="A2392"/>
  <c r="C2391"/>
  <c r="B2391"/>
  <c r="A2391"/>
  <c r="C2390"/>
  <c r="B2390"/>
  <c r="A2390"/>
  <c r="C2389"/>
  <c r="B2389"/>
  <c r="A2389"/>
  <c r="C2388"/>
  <c r="B2388"/>
  <c r="A2388"/>
  <c r="C2387"/>
  <c r="B2387"/>
  <c r="A2387"/>
  <c r="C2386"/>
  <c r="B2386"/>
  <c r="A2386"/>
  <c r="C2385"/>
  <c r="B2385"/>
  <c r="A2385"/>
  <c r="C2384"/>
  <c r="B2384"/>
  <c r="A2384"/>
  <c r="C2383"/>
  <c r="B2383"/>
  <c r="A2383"/>
  <c r="C2382"/>
  <c r="B2382"/>
  <c r="A2382"/>
  <c r="C2381"/>
  <c r="B2381"/>
  <c r="A2381"/>
  <c r="C2380"/>
  <c r="B2380"/>
  <c r="A2380"/>
  <c r="C2379"/>
  <c r="B2379"/>
  <c r="A2379"/>
  <c r="C2378"/>
  <c r="B2378"/>
  <c r="A2378"/>
  <c r="C2377"/>
  <c r="B2377"/>
  <c r="A2377"/>
  <c r="C2376"/>
  <c r="B2376"/>
  <c r="A2376"/>
  <c r="C2375"/>
  <c r="B2375"/>
  <c r="A2375"/>
  <c r="C2374"/>
  <c r="B2374"/>
  <c r="A2374"/>
  <c r="C2373"/>
  <c r="B2373"/>
  <c r="A2373"/>
  <c r="C2372"/>
  <c r="B2372"/>
  <c r="A2372"/>
  <c r="C2371"/>
  <c r="B2371"/>
  <c r="A2371"/>
  <c r="C2370"/>
  <c r="B2370"/>
  <c r="A2370"/>
  <c r="C2369"/>
  <c r="B2369"/>
  <c r="A2369"/>
  <c r="C2368"/>
  <c r="B2368"/>
  <c r="A2368"/>
  <c r="C2367"/>
  <c r="B2367"/>
  <c r="A2367"/>
  <c r="C2366"/>
  <c r="B2366"/>
  <c r="A2366"/>
  <c r="C2365"/>
  <c r="B2365"/>
  <c r="A2365"/>
  <c r="C2364"/>
  <c r="B2364"/>
  <c r="A2364"/>
  <c r="C2363"/>
  <c r="B2363"/>
  <c r="A2363"/>
  <c r="C2362"/>
  <c r="B2362"/>
  <c r="A2362"/>
  <c r="C2361"/>
  <c r="B2361"/>
  <c r="A2361"/>
  <c r="C2360"/>
  <c r="B2360"/>
  <c r="A2360"/>
  <c r="C2359"/>
  <c r="B2359"/>
  <c r="A2359"/>
  <c r="C2358"/>
  <c r="B2358"/>
  <c r="A2358"/>
  <c r="C2357"/>
  <c r="B2357"/>
  <c r="A2357"/>
  <c r="C2356"/>
  <c r="B2356"/>
  <c r="A2356"/>
  <c r="C2355"/>
  <c r="B2355"/>
  <c r="A2355"/>
  <c r="C2354"/>
  <c r="B2354"/>
  <c r="A2354"/>
  <c r="C2353"/>
  <c r="B2353"/>
  <c r="A2353"/>
  <c r="C2352"/>
  <c r="B2352"/>
  <c r="A2352"/>
  <c r="C2351"/>
  <c r="B2351"/>
  <c r="A2351"/>
  <c r="C2350"/>
  <c r="B2350"/>
  <c r="A2350"/>
  <c r="C2349"/>
  <c r="B2349"/>
  <c r="A2349"/>
  <c r="C2348"/>
  <c r="B2348"/>
  <c r="A2348"/>
  <c r="C2347"/>
  <c r="B2347"/>
  <c r="A2347"/>
  <c r="C2346"/>
  <c r="B2346"/>
  <c r="A2346"/>
  <c r="C2345"/>
  <c r="B2345"/>
  <c r="A2345"/>
  <c r="C2344"/>
  <c r="B2344"/>
  <c r="A2344"/>
  <c r="C2343"/>
  <c r="B2343"/>
  <c r="A2343"/>
  <c r="C2342"/>
  <c r="B2342"/>
  <c r="A2342"/>
  <c r="C2341"/>
  <c r="B2341"/>
  <c r="A2341"/>
  <c r="C2340"/>
  <c r="B2340"/>
  <c r="A2340"/>
  <c r="C2339"/>
  <c r="B2339"/>
  <c r="A2339"/>
  <c r="C2338"/>
  <c r="B2338"/>
  <c r="A2338"/>
  <c r="C2337"/>
  <c r="B2337"/>
  <c r="A2337"/>
  <c r="C2336"/>
  <c r="B2336"/>
  <c r="A2336"/>
  <c r="C2335"/>
  <c r="B2335"/>
  <c r="A2335"/>
  <c r="C2334"/>
  <c r="B2334"/>
  <c r="A2334"/>
  <c r="C2333"/>
  <c r="B2333"/>
  <c r="A2333"/>
  <c r="C2332"/>
  <c r="B2332"/>
  <c r="A2332"/>
  <c r="C2331"/>
  <c r="B2331"/>
  <c r="A2331"/>
  <c r="C2330"/>
  <c r="B2330"/>
  <c r="A2330"/>
  <c r="C2329"/>
  <c r="B2329"/>
  <c r="A2329"/>
  <c r="C2328"/>
  <c r="B2328"/>
  <c r="A2328"/>
  <c r="C2327"/>
  <c r="B2327"/>
  <c r="A2327"/>
  <c r="C2326"/>
  <c r="B2326"/>
  <c r="A2326"/>
  <c r="C2325"/>
  <c r="B2325"/>
  <c r="A2325"/>
  <c r="C2324"/>
  <c r="B2324"/>
  <c r="A2324"/>
  <c r="C2323"/>
  <c r="B2323"/>
  <c r="A2323"/>
  <c r="C2322"/>
  <c r="B2322"/>
  <c r="A2322"/>
  <c r="C2321"/>
  <c r="B2321"/>
  <c r="A2321"/>
  <c r="C2320"/>
  <c r="B2320"/>
  <c r="A2320"/>
  <c r="C2319"/>
  <c r="B2319"/>
  <c r="A2319"/>
  <c r="C2318"/>
  <c r="B2318"/>
  <c r="A2318"/>
  <c r="C2317"/>
  <c r="B2317"/>
  <c r="A2317"/>
  <c r="C2316"/>
  <c r="B2316"/>
  <c r="A2316"/>
  <c r="C2315"/>
  <c r="B2315"/>
  <c r="A2315"/>
  <c r="C2314"/>
  <c r="B2314"/>
  <c r="A2314"/>
  <c r="C2313"/>
  <c r="B2313"/>
  <c r="A2313"/>
  <c r="C2312"/>
  <c r="B2312"/>
  <c r="A2312"/>
  <c r="C2311"/>
  <c r="B2311"/>
  <c r="A2311"/>
  <c r="C2310"/>
  <c r="B2310"/>
  <c r="A2310"/>
  <c r="C2309"/>
  <c r="B2309"/>
  <c r="A2309"/>
  <c r="C2308"/>
  <c r="B2308"/>
  <c r="A2308"/>
  <c r="C2307"/>
  <c r="B2307"/>
  <c r="A2307"/>
  <c r="C2306"/>
  <c r="B2306"/>
  <c r="A2306"/>
  <c r="C2305"/>
  <c r="B2305"/>
  <c r="A2305"/>
  <c r="C2304"/>
  <c r="B2304"/>
  <c r="A2304"/>
  <c r="C2303"/>
  <c r="B2303"/>
  <c r="A2303"/>
  <c r="C2302"/>
  <c r="B2302"/>
  <c r="A2302"/>
  <c r="C2301"/>
  <c r="B2301"/>
  <c r="A2301"/>
  <c r="C2300"/>
  <c r="B2300"/>
  <c r="A2300"/>
  <c r="C2299"/>
  <c r="B2299"/>
  <c r="A2299"/>
  <c r="C2298"/>
  <c r="B2298"/>
  <c r="A2298"/>
  <c r="C2297"/>
  <c r="B2297"/>
  <c r="A2297"/>
  <c r="C2296"/>
  <c r="B2296"/>
  <c r="A2296"/>
  <c r="C2295"/>
  <c r="B2295"/>
  <c r="A2295"/>
  <c r="C2294"/>
  <c r="B2294"/>
  <c r="A2294"/>
  <c r="C2293"/>
  <c r="B2293"/>
  <c r="A2293"/>
  <c r="C2292"/>
  <c r="B2292"/>
  <c r="A2292"/>
  <c r="C2291"/>
  <c r="B2291"/>
  <c r="A2291"/>
  <c r="C2290"/>
  <c r="B2290"/>
  <c r="A2290"/>
  <c r="C2289"/>
  <c r="B2289"/>
  <c r="A2289"/>
  <c r="C2288"/>
  <c r="B2288"/>
  <c r="A2288"/>
  <c r="C2287"/>
  <c r="B2287"/>
  <c r="A2287"/>
  <c r="C2286"/>
  <c r="B2286"/>
  <c r="A2286"/>
  <c r="C2285"/>
  <c r="B2285"/>
  <c r="A2285"/>
  <c r="C2284"/>
  <c r="B2284"/>
  <c r="A2284"/>
  <c r="C2283"/>
  <c r="B2283"/>
  <c r="A2283"/>
  <c r="C2282"/>
  <c r="B2282"/>
  <c r="A2282"/>
  <c r="C2281"/>
  <c r="B2281"/>
  <c r="A2281"/>
  <c r="C2280"/>
  <c r="B2280"/>
  <c r="A2280"/>
  <c r="C2279"/>
  <c r="B2279"/>
  <c r="A2279"/>
  <c r="C2278"/>
  <c r="B2278"/>
  <c r="A2278"/>
  <c r="C2277"/>
  <c r="B2277"/>
  <c r="A2277"/>
  <c r="C2276"/>
  <c r="B2276"/>
  <c r="A2276"/>
  <c r="C2275"/>
  <c r="B2275"/>
  <c r="A2275"/>
  <c r="C2274"/>
  <c r="B2274"/>
  <c r="A2274"/>
  <c r="C2273"/>
  <c r="B2273"/>
  <c r="A2273"/>
  <c r="C2272"/>
  <c r="B2272"/>
  <c r="A2272"/>
  <c r="C2271"/>
  <c r="B2271"/>
  <c r="A2271"/>
  <c r="C2270"/>
  <c r="B2270"/>
  <c r="A2270"/>
  <c r="C2269"/>
  <c r="B2269"/>
  <c r="A2269"/>
  <c r="C2268"/>
  <c r="B2268"/>
  <c r="A2268"/>
  <c r="C2267"/>
  <c r="B2267"/>
  <c r="A2267"/>
  <c r="C2266"/>
  <c r="B2266"/>
  <c r="A2266"/>
  <c r="C2265"/>
  <c r="B2265"/>
  <c r="A2265"/>
  <c r="C2264"/>
  <c r="B2264"/>
  <c r="A2264"/>
  <c r="C2263"/>
  <c r="B2263"/>
  <c r="A2263"/>
  <c r="C2262"/>
  <c r="B2262"/>
  <c r="A2262"/>
  <c r="C2261"/>
  <c r="B2261"/>
  <c r="A2261"/>
  <c r="C2260"/>
  <c r="B2260"/>
  <c r="A2260"/>
  <c r="C2259"/>
  <c r="B2259"/>
  <c r="A2259"/>
  <c r="C2258"/>
  <c r="B2258"/>
  <c r="A2258"/>
  <c r="C2257"/>
  <c r="B2257"/>
  <c r="A2257"/>
  <c r="C2256"/>
  <c r="B2256"/>
  <c r="A2256"/>
  <c r="C2255"/>
  <c r="B2255"/>
  <c r="A2255"/>
  <c r="C2254"/>
  <c r="B2254"/>
  <c r="A2254"/>
  <c r="C2253"/>
  <c r="B2253"/>
  <c r="A2253"/>
  <c r="C2252"/>
  <c r="B2252"/>
  <c r="A2252"/>
  <c r="C2251"/>
  <c r="B2251"/>
  <c r="A2251"/>
  <c r="C2250"/>
  <c r="B2250"/>
  <c r="A2250"/>
  <c r="C2249"/>
  <c r="B2249"/>
  <c r="A2249"/>
  <c r="C2248"/>
  <c r="B2248"/>
  <c r="A2248"/>
  <c r="C2247"/>
  <c r="B2247"/>
  <c r="A2247"/>
  <c r="C2246"/>
  <c r="B2246"/>
  <c r="A2246"/>
  <c r="C2245"/>
  <c r="B2245"/>
  <c r="A2245"/>
  <c r="C2244"/>
  <c r="B2244"/>
  <c r="A2244"/>
  <c r="C2243"/>
  <c r="B2243"/>
  <c r="A2243"/>
  <c r="C2242"/>
  <c r="B2242"/>
  <c r="A2242"/>
  <c r="C2241"/>
  <c r="B2241"/>
  <c r="A2241"/>
  <c r="C2240"/>
  <c r="B2240"/>
  <c r="A2240"/>
  <c r="C2239"/>
  <c r="B2239"/>
  <c r="A2239"/>
  <c r="C2238"/>
  <c r="B2238"/>
  <c r="A2238"/>
  <c r="C2237"/>
  <c r="B2237"/>
  <c r="A2237"/>
  <c r="C2236"/>
  <c r="B2236"/>
  <c r="A2236"/>
  <c r="C2235"/>
  <c r="B2235"/>
  <c r="A2235"/>
  <c r="C2234"/>
  <c r="B2234"/>
  <c r="A2234"/>
  <c r="C2233"/>
  <c r="B2233"/>
  <c r="A2233"/>
  <c r="C2232"/>
  <c r="B2232"/>
  <c r="A2232"/>
  <c r="C2231"/>
  <c r="B2231"/>
  <c r="A2231"/>
  <c r="C2230"/>
  <c r="B2230"/>
  <c r="A2230"/>
  <c r="C2229"/>
  <c r="B2229"/>
  <c r="A2229"/>
  <c r="C2228"/>
  <c r="B2228"/>
  <c r="A2228"/>
  <c r="C2227"/>
  <c r="B2227"/>
  <c r="A2227"/>
  <c r="C2226"/>
  <c r="B2226"/>
  <c r="A2226"/>
  <c r="C2225"/>
  <c r="B2225"/>
  <c r="A2225"/>
  <c r="C2224"/>
  <c r="B2224"/>
  <c r="A2224"/>
  <c r="C2223"/>
  <c r="B2223"/>
  <c r="A2223"/>
  <c r="C2222"/>
  <c r="B2222"/>
  <c r="A2222"/>
  <c r="C2221"/>
  <c r="B2221"/>
  <c r="A2221"/>
  <c r="C2220"/>
  <c r="B2220"/>
  <c r="A2220"/>
  <c r="C2219"/>
  <c r="B2219"/>
  <c r="A2219"/>
  <c r="C2218"/>
  <c r="B2218"/>
  <c r="A2218"/>
  <c r="C2217"/>
  <c r="B2217"/>
  <c r="A2217"/>
  <c r="C2216"/>
  <c r="B2216"/>
  <c r="A2216"/>
  <c r="C2215"/>
  <c r="B2215"/>
  <c r="A2215"/>
  <c r="C2214"/>
  <c r="B2214"/>
  <c r="A2214"/>
  <c r="C2213"/>
  <c r="B2213"/>
  <c r="A2213"/>
  <c r="C2212"/>
  <c r="B2212"/>
  <c r="A2212"/>
  <c r="C2211"/>
  <c r="B2211"/>
  <c r="A2211"/>
  <c r="C2210"/>
  <c r="B2210"/>
  <c r="A2210"/>
  <c r="C2209"/>
  <c r="B2209"/>
  <c r="A2209"/>
  <c r="C2208"/>
  <c r="B2208"/>
  <c r="A2208"/>
  <c r="C2207"/>
  <c r="B2207"/>
  <c r="A2207"/>
  <c r="C2206"/>
  <c r="B2206"/>
  <c r="A2206"/>
  <c r="C2205"/>
  <c r="B2205"/>
  <c r="A2205"/>
  <c r="C2204"/>
  <c r="B2204"/>
  <c r="A2204"/>
  <c r="C2203"/>
  <c r="B2203"/>
  <c r="A2203"/>
  <c r="C2202"/>
  <c r="B2202"/>
  <c r="A2202"/>
  <c r="C2201"/>
  <c r="B2201"/>
  <c r="A2201"/>
  <c r="C2200"/>
  <c r="B2200"/>
  <c r="A2200"/>
  <c r="C2199"/>
  <c r="B2199"/>
  <c r="A2199"/>
  <c r="C2198"/>
  <c r="B2198"/>
  <c r="A2198"/>
  <c r="C2197"/>
  <c r="B2197"/>
  <c r="A2197"/>
  <c r="C2196"/>
  <c r="B2196"/>
  <c r="A2196"/>
  <c r="C2195"/>
  <c r="B2195"/>
  <c r="A2195"/>
  <c r="C2194"/>
  <c r="B2194"/>
  <c r="A2194"/>
  <c r="C2193"/>
  <c r="B2193"/>
  <c r="A2193"/>
  <c r="C2192"/>
  <c r="B2192"/>
  <c r="A2192"/>
  <c r="C2191"/>
  <c r="B2191"/>
  <c r="A2191"/>
  <c r="C2190"/>
  <c r="B2190"/>
  <c r="A2190"/>
  <c r="C2189"/>
  <c r="B2189"/>
  <c r="A2189"/>
  <c r="C2188"/>
  <c r="B2188"/>
  <c r="A2188"/>
  <c r="C2187"/>
  <c r="B2187"/>
  <c r="A2187"/>
  <c r="C2186"/>
  <c r="B2186"/>
  <c r="A2186"/>
  <c r="C2185"/>
  <c r="B2185"/>
  <c r="A2185"/>
  <c r="C2184"/>
  <c r="B2184"/>
  <c r="A2184"/>
  <c r="C2183"/>
  <c r="B2183"/>
  <c r="A2183"/>
  <c r="C2182"/>
  <c r="B2182"/>
  <c r="A2182"/>
  <c r="C2181"/>
  <c r="B2181"/>
  <c r="A2181"/>
  <c r="C2180"/>
  <c r="B2180"/>
  <c r="A2180"/>
  <c r="C2179"/>
  <c r="B2179"/>
  <c r="A2179"/>
  <c r="C2178"/>
  <c r="B2178"/>
  <c r="A2178"/>
  <c r="C2177"/>
  <c r="B2177"/>
  <c r="A2177"/>
  <c r="C2176"/>
  <c r="B2176"/>
  <c r="A2176"/>
  <c r="C2175"/>
  <c r="B2175"/>
  <c r="A2175"/>
  <c r="C2174"/>
  <c r="B2174"/>
  <c r="A2174"/>
  <c r="C2173"/>
  <c r="B2173"/>
  <c r="A2173"/>
  <c r="C2172"/>
  <c r="B2172"/>
  <c r="A2172"/>
  <c r="C2171"/>
  <c r="B2171"/>
  <c r="A2171"/>
  <c r="C2170"/>
  <c r="B2170"/>
  <c r="A2170"/>
  <c r="C2169"/>
  <c r="B2169"/>
  <c r="A2169"/>
  <c r="C2168"/>
  <c r="B2168"/>
  <c r="A2168"/>
  <c r="C2167"/>
  <c r="B2167"/>
  <c r="A2167"/>
  <c r="C2166"/>
  <c r="B2166"/>
  <c r="A2166"/>
  <c r="C2165"/>
  <c r="B2165"/>
  <c r="A2165"/>
  <c r="C2164"/>
  <c r="B2164"/>
  <c r="A2164"/>
  <c r="C2163"/>
  <c r="B2163"/>
  <c r="A2163"/>
  <c r="C2162"/>
  <c r="B2162"/>
  <c r="A2162"/>
  <c r="C2161"/>
  <c r="B2161"/>
  <c r="A2161"/>
  <c r="C2160"/>
  <c r="B2160"/>
  <c r="A2160"/>
  <c r="C2159"/>
  <c r="B2159"/>
  <c r="A2159"/>
  <c r="C2158"/>
  <c r="B2158"/>
  <c r="A2158"/>
  <c r="C2157"/>
  <c r="B2157"/>
  <c r="A2157"/>
  <c r="C2156"/>
  <c r="B2156"/>
  <c r="A2156"/>
  <c r="C2155"/>
  <c r="B2155"/>
  <c r="A2155"/>
  <c r="C2154"/>
  <c r="B2154"/>
  <c r="A2154"/>
  <c r="C2153"/>
  <c r="B2153"/>
  <c r="A2153"/>
  <c r="C2152"/>
  <c r="B2152"/>
  <c r="A2152"/>
  <c r="C2151"/>
  <c r="B2151"/>
  <c r="A2151"/>
  <c r="C2150"/>
  <c r="B2150"/>
  <c r="A2150"/>
  <c r="C2149"/>
  <c r="B2149"/>
  <c r="A2149"/>
  <c r="C2148"/>
  <c r="B2148"/>
  <c r="A2148"/>
  <c r="C2147"/>
  <c r="B2147"/>
  <c r="A2147"/>
  <c r="C2146"/>
  <c r="B2146"/>
  <c r="A2146"/>
  <c r="C2145"/>
  <c r="B2145"/>
  <c r="A2145"/>
  <c r="C2144"/>
  <c r="B2144"/>
  <c r="A2144"/>
  <c r="C2143"/>
  <c r="B2143"/>
  <c r="A2143"/>
  <c r="C2142"/>
  <c r="B2142"/>
  <c r="A2142"/>
  <c r="C2141"/>
  <c r="B2141"/>
  <c r="A2141"/>
  <c r="C2140"/>
  <c r="B2140"/>
  <c r="A2140"/>
  <c r="C2139"/>
  <c r="B2139"/>
  <c r="A2139"/>
  <c r="C2138"/>
  <c r="B2138"/>
  <c r="A2138"/>
  <c r="C2137"/>
  <c r="B2137"/>
  <c r="A2137"/>
  <c r="C2136"/>
  <c r="B2136"/>
  <c r="A2136"/>
  <c r="C2135"/>
  <c r="B2135"/>
  <c r="A2135"/>
  <c r="C2134"/>
  <c r="B2134"/>
  <c r="A2134"/>
  <c r="C2133"/>
  <c r="B2133"/>
  <c r="A2133"/>
  <c r="C2132"/>
  <c r="B2132"/>
  <c r="A2132"/>
  <c r="C2131"/>
  <c r="B2131"/>
  <c r="A2131"/>
  <c r="C2130"/>
  <c r="B2130"/>
  <c r="A2130"/>
  <c r="C2129"/>
  <c r="B2129"/>
  <c r="A2129"/>
  <c r="C2128"/>
  <c r="B2128"/>
  <c r="A2128"/>
  <c r="C2127"/>
  <c r="B2127"/>
  <c r="A2127"/>
  <c r="C2126"/>
  <c r="B2126"/>
  <c r="A2126"/>
  <c r="C2125"/>
  <c r="B2125"/>
  <c r="A2125"/>
  <c r="C2124"/>
  <c r="B2124"/>
  <c r="A2124"/>
  <c r="C2123"/>
  <c r="B2123"/>
  <c r="A2123"/>
  <c r="C2122"/>
  <c r="B2122"/>
  <c r="A2122"/>
  <c r="C2121"/>
  <c r="B2121"/>
  <c r="A2121"/>
  <c r="C2120"/>
  <c r="B2120"/>
  <c r="A2120"/>
  <c r="C2119"/>
  <c r="B2119"/>
  <c r="A2119"/>
  <c r="C2118"/>
  <c r="B2118"/>
  <c r="A2118"/>
  <c r="C2117"/>
  <c r="B2117"/>
  <c r="A2117"/>
  <c r="C2116"/>
  <c r="B2116"/>
  <c r="A2116"/>
  <c r="C2115"/>
  <c r="B2115"/>
  <c r="A2115"/>
  <c r="C2114"/>
  <c r="B2114"/>
  <c r="A2114"/>
  <c r="C2113"/>
  <c r="B2113"/>
  <c r="A2113"/>
  <c r="C2112"/>
  <c r="B2112"/>
  <c r="A2112"/>
  <c r="C2111"/>
  <c r="B2111"/>
  <c r="A2111"/>
  <c r="C2110"/>
  <c r="B2110"/>
  <c r="A2110"/>
  <c r="C2109"/>
  <c r="B2109"/>
  <c r="A2109"/>
  <c r="C2108"/>
  <c r="B2108"/>
  <c r="A2108"/>
  <c r="C2107"/>
  <c r="B2107"/>
  <c r="A2107"/>
  <c r="C2106"/>
  <c r="B2106"/>
  <c r="A2106"/>
  <c r="C2105"/>
  <c r="B2105"/>
  <c r="A2105"/>
  <c r="C2104"/>
  <c r="B2104"/>
  <c r="A2104"/>
  <c r="C2103"/>
  <c r="B2103"/>
  <c r="A2103"/>
  <c r="C2102"/>
  <c r="B2102"/>
  <c r="A2102"/>
  <c r="C2101"/>
  <c r="B2101"/>
  <c r="A2101"/>
  <c r="C2100"/>
  <c r="B2100"/>
  <c r="A2100"/>
  <c r="C2099"/>
  <c r="B2099"/>
  <c r="A2099"/>
  <c r="C2098"/>
  <c r="B2098"/>
  <c r="A2098"/>
  <c r="C2097"/>
  <c r="B2097"/>
  <c r="A2097"/>
  <c r="C2096"/>
  <c r="B2096"/>
  <c r="A2096"/>
  <c r="C2095"/>
  <c r="B2095"/>
  <c r="A2095"/>
  <c r="C2094"/>
  <c r="B2094"/>
  <c r="A2094"/>
  <c r="C2093"/>
  <c r="B2093"/>
  <c r="A2093"/>
  <c r="C2092"/>
  <c r="B2092"/>
  <c r="A2092"/>
  <c r="C2091"/>
  <c r="B2091"/>
  <c r="A2091"/>
  <c r="C2090"/>
  <c r="B2090"/>
  <c r="A2090"/>
  <c r="C2089"/>
  <c r="B2089"/>
  <c r="A2089"/>
  <c r="C2088"/>
  <c r="B2088"/>
  <c r="A2088"/>
  <c r="C2087"/>
  <c r="B2087"/>
  <c r="A2087"/>
  <c r="C2086"/>
  <c r="B2086"/>
  <c r="A2086"/>
  <c r="C2085"/>
  <c r="B2085"/>
  <c r="A2085"/>
  <c r="C2084"/>
  <c r="B2084"/>
  <c r="A2084"/>
  <c r="C2083"/>
  <c r="B2083"/>
  <c r="A2083"/>
  <c r="C2082"/>
  <c r="B2082"/>
  <c r="A2082"/>
  <c r="C2081"/>
  <c r="B2081"/>
  <c r="A2081"/>
  <c r="C2080"/>
  <c r="B2080"/>
  <c r="A2080"/>
  <c r="C2079"/>
  <c r="B2079"/>
  <c r="A2079"/>
  <c r="C2078"/>
  <c r="B2078"/>
  <c r="A2078"/>
  <c r="C2077"/>
  <c r="B2077"/>
  <c r="A2077"/>
  <c r="C2076"/>
  <c r="B2076"/>
  <c r="A2076"/>
  <c r="C2075"/>
  <c r="B2075"/>
  <c r="A2075"/>
  <c r="C2074"/>
  <c r="B2074"/>
  <c r="A2074"/>
  <c r="C2073"/>
  <c r="B2073"/>
  <c r="A2073"/>
  <c r="C2072"/>
  <c r="B2072"/>
  <c r="A2072"/>
  <c r="C2071"/>
  <c r="B2071"/>
  <c r="A2071"/>
  <c r="C2070"/>
  <c r="B2070"/>
  <c r="A2070"/>
  <c r="C2069"/>
  <c r="B2069"/>
  <c r="A2069"/>
  <c r="C2068"/>
  <c r="B2068"/>
  <c r="A2068"/>
  <c r="C2067"/>
  <c r="B2067"/>
  <c r="A2067"/>
  <c r="C2066"/>
  <c r="B2066"/>
  <c r="A2066"/>
  <c r="C2065"/>
  <c r="B2065"/>
  <c r="A2065"/>
  <c r="C2064"/>
  <c r="B2064"/>
  <c r="A2064"/>
  <c r="C2063"/>
  <c r="B2063"/>
  <c r="A2063"/>
  <c r="C2062"/>
  <c r="B2062"/>
  <c r="A2062"/>
  <c r="C2061"/>
  <c r="B2061"/>
  <c r="A2061"/>
  <c r="C2060"/>
  <c r="B2060"/>
  <c r="A2060"/>
  <c r="C2059"/>
  <c r="B2059"/>
  <c r="A2059"/>
  <c r="C2058"/>
  <c r="B2058"/>
  <c r="A2058"/>
  <c r="C2057"/>
  <c r="B2057"/>
  <c r="A2057"/>
  <c r="C2056"/>
  <c r="B2056"/>
  <c r="A2056"/>
  <c r="C2055"/>
  <c r="B2055"/>
  <c r="A2055"/>
  <c r="C2054"/>
  <c r="B2054"/>
  <c r="A2054"/>
  <c r="C2053"/>
  <c r="B2053"/>
  <c r="A2053"/>
  <c r="C2052"/>
  <c r="B2052"/>
  <c r="A2052"/>
  <c r="C2051"/>
  <c r="B2051"/>
  <c r="A2051"/>
  <c r="C2050"/>
  <c r="B2050"/>
  <c r="A2050"/>
  <c r="C2049"/>
  <c r="B2049"/>
  <c r="A2049"/>
  <c r="C2048"/>
  <c r="B2048"/>
  <c r="A2048"/>
  <c r="C2047"/>
  <c r="B2047"/>
  <c r="A2047"/>
  <c r="C2046"/>
  <c r="B2046"/>
  <c r="A2046"/>
  <c r="C2045"/>
  <c r="B2045"/>
  <c r="A2045"/>
  <c r="C2044"/>
  <c r="B2044"/>
  <c r="A2044"/>
  <c r="C2043"/>
  <c r="B2043"/>
  <c r="A2043"/>
  <c r="C2042"/>
  <c r="B2042"/>
  <c r="A2042"/>
  <c r="C2041"/>
  <c r="B2041"/>
  <c r="A2041"/>
  <c r="C2040"/>
  <c r="B2040"/>
  <c r="A2040"/>
  <c r="C2039"/>
  <c r="B2039"/>
  <c r="A2039"/>
  <c r="C2038"/>
  <c r="B2038"/>
  <c r="A2038"/>
  <c r="C2037"/>
  <c r="B2037"/>
  <c r="A2037"/>
  <c r="C2036"/>
  <c r="B2036"/>
  <c r="A2036"/>
  <c r="C2035"/>
  <c r="B2035"/>
  <c r="A2035"/>
  <c r="C2034"/>
  <c r="B2034"/>
  <c r="A2034"/>
  <c r="C2033"/>
  <c r="B2033"/>
  <c r="A2033"/>
  <c r="C2032"/>
  <c r="B2032"/>
  <c r="A2032"/>
  <c r="C2031"/>
  <c r="B2031"/>
  <c r="A2031"/>
  <c r="C2030"/>
  <c r="B2030"/>
  <c r="A2030"/>
  <c r="C2029"/>
  <c r="B2029"/>
  <c r="A2029"/>
  <c r="C2028"/>
  <c r="B2028"/>
  <c r="A2028"/>
  <c r="C2027"/>
  <c r="B2027"/>
  <c r="A2027"/>
  <c r="C2026"/>
  <c r="B2026"/>
  <c r="A2026"/>
  <c r="C2025"/>
  <c r="B2025"/>
  <c r="A2025"/>
  <c r="C2024"/>
  <c r="B2024"/>
  <c r="A2024"/>
  <c r="C2023"/>
  <c r="B2023"/>
  <c r="A2023"/>
  <c r="C2022"/>
  <c r="B2022"/>
  <c r="A2022"/>
  <c r="C2021"/>
  <c r="B2021"/>
  <c r="A2021"/>
  <c r="C2020"/>
  <c r="B2020"/>
  <c r="A2020"/>
  <c r="C2019"/>
  <c r="B2019"/>
  <c r="A2019"/>
  <c r="C2018"/>
  <c r="B2018"/>
  <c r="A2018"/>
  <c r="C2017"/>
  <c r="B2017"/>
  <c r="A2017"/>
  <c r="C2016"/>
  <c r="B2016"/>
  <c r="A2016"/>
  <c r="C2015"/>
  <c r="B2015"/>
  <c r="A2015"/>
  <c r="C2014"/>
  <c r="B2014"/>
  <c r="A2014"/>
  <c r="C2013"/>
  <c r="B2013"/>
  <c r="A2013"/>
  <c r="C2012"/>
  <c r="B2012"/>
  <c r="A2012"/>
  <c r="C2011"/>
  <c r="B2011"/>
  <c r="A2011"/>
  <c r="C2010"/>
  <c r="B2010"/>
  <c r="A2010"/>
  <c r="C2009"/>
  <c r="B2009"/>
  <c r="A2009"/>
  <c r="C2008"/>
  <c r="B2008"/>
  <c r="A2008"/>
  <c r="C2007"/>
  <c r="B2007"/>
  <c r="A2007"/>
  <c r="C2006"/>
  <c r="B2006"/>
  <c r="A2006"/>
  <c r="C2005"/>
  <c r="B2005"/>
  <c r="A2005"/>
  <c r="C2004"/>
  <c r="B2004"/>
  <c r="A2004"/>
  <c r="C2003"/>
  <c r="B2003"/>
  <c r="A2003"/>
  <c r="C2002"/>
  <c r="B2002"/>
  <c r="A2002"/>
  <c r="C2001"/>
  <c r="B2001"/>
  <c r="A2001"/>
  <c r="C2000"/>
  <c r="B2000"/>
  <c r="A2000"/>
  <c r="C1999"/>
  <c r="B1999"/>
  <c r="A1999"/>
  <c r="C1998"/>
  <c r="B1998"/>
  <c r="A1998"/>
  <c r="C1997"/>
  <c r="B1997"/>
  <c r="A1997"/>
  <c r="C1996"/>
  <c r="B1996"/>
  <c r="A1996"/>
  <c r="C1995"/>
  <c r="B1995"/>
  <c r="A1995"/>
  <c r="C1994"/>
  <c r="B1994"/>
  <c r="A1994"/>
  <c r="C1993"/>
  <c r="B1993"/>
  <c r="A1993"/>
  <c r="C1992"/>
  <c r="B1992"/>
  <c r="A1992"/>
  <c r="C1991"/>
  <c r="B1991"/>
  <c r="A1991"/>
  <c r="C1990"/>
  <c r="B1990"/>
  <c r="A1990"/>
  <c r="C1989"/>
  <c r="B1989"/>
  <c r="A1989"/>
  <c r="C1988"/>
  <c r="B1988"/>
  <c r="A1988"/>
  <c r="C1987"/>
  <c r="B1987"/>
  <c r="A1987"/>
  <c r="C1986"/>
  <c r="B1986"/>
  <c r="A1986"/>
  <c r="C1985"/>
  <c r="B1985"/>
  <c r="A1985"/>
  <c r="C1984"/>
  <c r="B1984"/>
  <c r="A1984"/>
  <c r="C1983"/>
  <c r="B1983"/>
  <c r="A1983"/>
  <c r="C1982"/>
  <c r="B1982"/>
  <c r="A1982"/>
  <c r="C1981"/>
  <c r="B1981"/>
  <c r="A1981"/>
  <c r="C1980"/>
  <c r="B1980"/>
  <c r="A1980"/>
  <c r="C1979"/>
  <c r="B1979"/>
  <c r="A1979"/>
  <c r="C1978"/>
  <c r="B1978"/>
  <c r="A1978"/>
  <c r="C1977"/>
  <c r="B1977"/>
  <c r="A1977"/>
  <c r="C1976"/>
  <c r="B1976"/>
  <c r="A1976"/>
  <c r="C1975"/>
  <c r="B1975"/>
  <c r="A1975"/>
  <c r="C1974"/>
  <c r="B1974"/>
  <c r="A1974"/>
  <c r="C1973"/>
  <c r="B1973"/>
  <c r="A1973"/>
  <c r="C1972"/>
  <c r="B1972"/>
  <c r="A1972"/>
  <c r="C1971"/>
  <c r="B1971"/>
  <c r="A1971"/>
  <c r="C1970"/>
  <c r="B1970"/>
  <c r="A1970"/>
  <c r="C1969"/>
  <c r="B1969"/>
  <c r="A1969"/>
  <c r="C1968"/>
  <c r="B1968"/>
  <c r="A1968"/>
  <c r="C1967"/>
  <c r="B1967"/>
  <c r="A1967"/>
  <c r="C1966"/>
  <c r="B1966"/>
  <c r="A1966"/>
  <c r="C1965"/>
  <c r="B1965"/>
  <c r="A1965"/>
  <c r="C1964"/>
  <c r="B1964"/>
  <c r="A1964"/>
  <c r="C1963"/>
  <c r="B1963"/>
  <c r="A1963"/>
  <c r="C1962"/>
  <c r="B1962"/>
  <c r="A1962"/>
  <c r="C1961"/>
  <c r="B1961"/>
  <c r="A1961"/>
  <c r="C1960"/>
  <c r="B1960"/>
  <c r="A1960"/>
  <c r="C1959"/>
  <c r="B1959"/>
  <c r="A1959"/>
  <c r="C1958"/>
  <c r="B1958"/>
  <c r="A1958"/>
  <c r="C1957"/>
  <c r="B1957"/>
  <c r="A1957"/>
  <c r="C1956"/>
  <c r="B1956"/>
  <c r="A1956"/>
  <c r="C1955"/>
  <c r="B1955"/>
  <c r="A1955"/>
  <c r="C1954"/>
  <c r="B1954"/>
  <c r="A1954"/>
  <c r="C1953"/>
  <c r="B1953"/>
  <c r="A1953"/>
  <c r="C1952"/>
  <c r="B1952"/>
  <c r="A1952"/>
  <c r="C1951"/>
  <c r="B1951"/>
  <c r="A1951"/>
  <c r="C1950"/>
  <c r="B1950"/>
  <c r="A1950"/>
  <c r="C1949"/>
  <c r="B1949"/>
  <c r="A1949"/>
  <c r="C1948"/>
  <c r="B1948"/>
  <c r="A1948"/>
  <c r="C1947"/>
  <c r="B1947"/>
  <c r="A1947"/>
  <c r="C1946"/>
  <c r="B1946"/>
  <c r="A1946"/>
  <c r="C1945"/>
  <c r="B1945"/>
  <c r="A1945"/>
  <c r="C1944"/>
  <c r="B1944"/>
  <c r="A1944"/>
  <c r="C1943"/>
  <c r="B1943"/>
  <c r="A1943"/>
  <c r="C1942"/>
  <c r="B1942"/>
  <c r="A1942"/>
  <c r="C1941"/>
  <c r="B1941"/>
  <c r="A1941"/>
  <c r="C1940"/>
  <c r="B1940"/>
  <c r="A1940"/>
  <c r="C1939"/>
  <c r="B1939"/>
  <c r="A1939"/>
  <c r="C1938"/>
  <c r="B1938"/>
  <c r="A1938"/>
  <c r="C1937"/>
  <c r="B1937"/>
  <c r="A1937"/>
  <c r="C1936"/>
  <c r="B1936"/>
  <c r="A1936"/>
  <c r="C1935"/>
  <c r="B1935"/>
  <c r="A1935"/>
  <c r="C1934"/>
  <c r="B1934"/>
  <c r="A1934"/>
  <c r="C1933"/>
  <c r="B1933"/>
  <c r="A1933"/>
  <c r="C1932"/>
  <c r="B1932"/>
  <c r="A1932"/>
  <c r="C1931"/>
  <c r="B1931"/>
  <c r="A1931"/>
  <c r="C1930"/>
  <c r="B1930"/>
  <c r="A1930"/>
  <c r="C1929"/>
  <c r="B1929"/>
  <c r="A1929"/>
  <c r="C1928"/>
  <c r="B1928"/>
  <c r="A1928"/>
  <c r="C1927"/>
  <c r="B1927"/>
  <c r="A1927"/>
  <c r="C1926"/>
  <c r="B1926"/>
  <c r="A1926"/>
  <c r="C1925"/>
  <c r="B1925"/>
  <c r="A1925"/>
  <c r="C1924"/>
  <c r="B1924"/>
  <c r="A1924"/>
  <c r="C1923"/>
  <c r="B1923"/>
  <c r="A1923"/>
  <c r="C1922"/>
  <c r="B1922"/>
  <c r="A1922"/>
  <c r="C1921"/>
  <c r="B1921"/>
  <c r="A1921"/>
  <c r="C1920"/>
  <c r="B1920"/>
  <c r="A1920"/>
  <c r="C1919"/>
  <c r="B1919"/>
  <c r="A1919"/>
  <c r="C1918"/>
  <c r="B1918"/>
  <c r="A1918"/>
  <c r="C1917"/>
  <c r="B1917"/>
  <c r="A1917"/>
  <c r="C1916"/>
  <c r="B1916"/>
  <c r="A1916"/>
  <c r="C1915"/>
  <c r="B1915"/>
  <c r="A1915"/>
  <c r="C1914"/>
  <c r="B1914"/>
  <c r="A1914"/>
  <c r="C1913"/>
  <c r="B1913"/>
  <c r="A1913"/>
  <c r="C1912"/>
  <c r="B1912"/>
  <c r="A1912"/>
  <c r="C1911"/>
  <c r="B1911"/>
  <c r="A1911"/>
  <c r="C1910"/>
  <c r="B1910"/>
  <c r="A1910"/>
  <c r="C1909"/>
  <c r="B1909"/>
  <c r="A1909"/>
  <c r="C1908"/>
  <c r="B1908"/>
  <c r="A1908"/>
  <c r="C1907"/>
  <c r="B1907"/>
  <c r="A1907"/>
  <c r="C1906"/>
  <c r="B1906"/>
  <c r="A1906"/>
  <c r="C1905"/>
  <c r="B1905"/>
  <c r="A1905"/>
  <c r="C1904"/>
  <c r="B1904"/>
  <c r="A1904"/>
  <c r="C1903"/>
  <c r="B1903"/>
  <c r="A1903"/>
  <c r="C1902"/>
  <c r="B1902"/>
  <c r="A1902"/>
  <c r="C1901"/>
  <c r="B1901"/>
  <c r="A1901"/>
  <c r="C1900"/>
  <c r="B1900"/>
  <c r="A1900"/>
  <c r="C1899"/>
  <c r="B1899"/>
  <c r="A1899"/>
  <c r="C1898"/>
  <c r="B1898"/>
  <c r="A1898"/>
  <c r="C1897"/>
  <c r="B1897"/>
  <c r="A1897"/>
  <c r="C1896"/>
  <c r="B1896"/>
  <c r="A1896"/>
  <c r="C1895"/>
  <c r="B1895"/>
  <c r="A1895"/>
  <c r="C1894"/>
  <c r="B1894"/>
  <c r="A1894"/>
  <c r="C1893"/>
  <c r="B1893"/>
  <c r="A1893"/>
  <c r="C1892"/>
  <c r="B1892"/>
  <c r="A1892"/>
  <c r="C1891"/>
  <c r="B1891"/>
  <c r="A1891"/>
  <c r="C1890"/>
  <c r="B1890"/>
  <c r="A1890"/>
  <c r="C1889"/>
  <c r="B1889"/>
  <c r="A1889"/>
  <c r="C1888"/>
  <c r="B1888"/>
  <c r="A1888"/>
  <c r="C1887"/>
  <c r="B1887"/>
  <c r="A1887"/>
  <c r="C1886"/>
  <c r="B1886"/>
  <c r="A1886"/>
  <c r="C1885"/>
  <c r="B1885"/>
  <c r="A1885"/>
  <c r="C1884"/>
  <c r="B1884"/>
  <c r="A1884"/>
  <c r="C1883"/>
  <c r="B1883"/>
  <c r="A1883"/>
  <c r="C1882"/>
  <c r="B1882"/>
  <c r="A1882"/>
  <c r="C1881"/>
  <c r="B1881"/>
  <c r="A1881"/>
  <c r="C1880"/>
  <c r="B1880"/>
  <c r="A1880"/>
  <c r="C1879"/>
  <c r="B1879"/>
  <c r="A1879"/>
  <c r="C1878"/>
  <c r="B1878"/>
  <c r="A1878"/>
  <c r="C1877"/>
  <c r="B1877"/>
  <c r="A1877"/>
  <c r="C1876"/>
  <c r="B1876"/>
  <c r="A1876"/>
  <c r="C1875"/>
  <c r="B1875"/>
  <c r="A1875"/>
  <c r="C1874"/>
  <c r="B1874"/>
  <c r="A1874"/>
  <c r="C1873"/>
  <c r="B1873"/>
  <c r="A1873"/>
  <c r="C1872"/>
  <c r="B1872"/>
  <c r="A1872"/>
  <c r="C1871"/>
  <c r="B1871"/>
  <c r="A1871"/>
  <c r="C1870"/>
  <c r="B1870"/>
  <c r="A1870"/>
  <c r="C1869"/>
  <c r="B1869"/>
  <c r="A1869"/>
  <c r="C1868"/>
  <c r="B1868"/>
  <c r="A1868"/>
  <c r="C1867"/>
  <c r="B1867"/>
  <c r="A1867"/>
  <c r="C1866"/>
  <c r="B1866"/>
  <c r="A1866"/>
  <c r="C1865"/>
  <c r="B1865"/>
  <c r="A1865"/>
  <c r="C1864"/>
  <c r="B1864"/>
  <c r="A1864"/>
  <c r="C1863"/>
  <c r="B1863"/>
  <c r="A1863"/>
  <c r="C1862"/>
  <c r="B1862"/>
  <c r="A1862"/>
  <c r="C1861"/>
  <c r="B1861"/>
  <c r="A1861"/>
  <c r="C1860"/>
  <c r="B1860"/>
  <c r="A1860"/>
  <c r="C1859"/>
  <c r="B1859"/>
  <c r="A1859"/>
  <c r="C1858"/>
  <c r="B1858"/>
  <c r="A1858"/>
  <c r="C1857"/>
  <c r="B1857"/>
  <c r="A1857"/>
  <c r="C1856"/>
  <c r="B1856"/>
  <c r="A1856"/>
  <c r="C1855"/>
  <c r="B1855"/>
  <c r="A1855"/>
  <c r="C1854"/>
  <c r="B1854"/>
  <c r="A1854"/>
  <c r="C1853"/>
  <c r="B1853"/>
  <c r="A1853"/>
  <c r="C1852"/>
  <c r="B1852"/>
  <c r="A1852"/>
  <c r="C1851"/>
  <c r="B1851"/>
  <c r="A1851"/>
  <c r="C1850"/>
  <c r="B1850"/>
  <c r="A1850"/>
  <c r="C1849"/>
  <c r="B1849"/>
  <c r="A1849"/>
  <c r="C1848"/>
  <c r="B1848"/>
  <c r="A1848"/>
  <c r="C1847"/>
  <c r="B1847"/>
  <c r="A1847"/>
  <c r="C1846"/>
  <c r="B1846"/>
  <c r="A1846"/>
  <c r="C1845"/>
  <c r="B1845"/>
  <c r="A1845"/>
  <c r="C1844"/>
  <c r="B1844"/>
  <c r="A1844"/>
  <c r="C1843"/>
  <c r="B1843"/>
  <c r="A1843"/>
  <c r="C1842"/>
  <c r="B1842"/>
  <c r="A1842"/>
  <c r="C1841"/>
  <c r="B1841"/>
  <c r="A1841"/>
  <c r="C1840"/>
  <c r="B1840"/>
  <c r="A1840"/>
  <c r="C1839"/>
  <c r="B1839"/>
  <c r="A1839"/>
  <c r="C1838"/>
  <c r="B1838"/>
  <c r="A1838"/>
  <c r="C1837"/>
  <c r="B1837"/>
  <c r="A1837"/>
  <c r="C1836"/>
  <c r="B1836"/>
  <c r="A1836"/>
  <c r="C1835"/>
  <c r="B1835"/>
  <c r="A1835"/>
  <c r="C1834"/>
  <c r="B1834"/>
  <c r="A1834"/>
  <c r="C1833"/>
  <c r="B1833"/>
  <c r="A1833"/>
  <c r="C1832"/>
  <c r="B1832"/>
  <c r="A1832"/>
  <c r="C1831"/>
  <c r="B1831"/>
  <c r="A1831"/>
  <c r="C1830"/>
  <c r="B1830"/>
  <c r="A1830"/>
  <c r="C1829"/>
  <c r="B1829"/>
  <c r="A1829"/>
  <c r="C1828"/>
  <c r="B1828"/>
  <c r="A1828"/>
  <c r="C1827"/>
  <c r="B1827"/>
  <c r="A1827"/>
  <c r="C1826"/>
  <c r="B1826"/>
  <c r="A1826"/>
  <c r="C1825"/>
  <c r="B1825"/>
  <c r="A1825"/>
  <c r="C1824"/>
  <c r="B1824"/>
  <c r="A1824"/>
  <c r="C1823"/>
  <c r="B1823"/>
  <c r="A1823"/>
  <c r="C1822"/>
  <c r="B1822"/>
  <c r="A1822"/>
  <c r="C1821"/>
  <c r="B1821"/>
  <c r="A1821"/>
  <c r="C1820"/>
  <c r="B1820"/>
  <c r="A1820"/>
  <c r="C1819"/>
  <c r="B1819"/>
  <c r="A1819"/>
  <c r="C1818"/>
  <c r="B1818"/>
  <c r="A1818"/>
  <c r="C1817"/>
  <c r="B1817"/>
  <c r="A1817"/>
  <c r="C1816"/>
  <c r="B1816"/>
  <c r="A1816"/>
  <c r="C1815"/>
  <c r="B1815"/>
  <c r="A1815"/>
  <c r="C1814"/>
  <c r="B1814"/>
  <c r="A1814"/>
  <c r="C1813"/>
  <c r="B1813"/>
  <c r="A1813"/>
  <c r="C1812"/>
  <c r="B1812"/>
  <c r="A1812"/>
  <c r="C1811"/>
  <c r="B1811"/>
  <c r="A1811"/>
  <c r="C1810"/>
  <c r="B1810"/>
  <c r="A1810"/>
  <c r="C1809"/>
  <c r="B1809"/>
  <c r="A1809"/>
  <c r="C1808"/>
  <c r="B1808"/>
  <c r="A1808"/>
  <c r="C1807"/>
  <c r="B1807"/>
  <c r="A1807"/>
  <c r="C1806"/>
  <c r="B1806"/>
  <c r="A1806"/>
  <c r="C1805"/>
  <c r="B1805"/>
  <c r="A1805"/>
  <c r="C1804"/>
  <c r="B1804"/>
  <c r="A1804"/>
  <c r="C1803"/>
  <c r="B1803"/>
  <c r="A1803"/>
  <c r="C1802"/>
  <c r="B1802"/>
  <c r="A1802"/>
  <c r="C1801"/>
  <c r="B1801"/>
  <c r="A1801"/>
  <c r="C1800"/>
  <c r="B1800"/>
  <c r="A1800"/>
  <c r="C1799"/>
  <c r="B1799"/>
  <c r="A1799"/>
  <c r="C1798"/>
  <c r="B1798"/>
  <c r="A1798"/>
  <c r="C1797"/>
  <c r="B1797"/>
  <c r="A1797"/>
  <c r="C1796"/>
  <c r="B1796"/>
  <c r="A1796"/>
  <c r="C1795"/>
  <c r="B1795"/>
  <c r="A1795"/>
  <c r="C1794"/>
  <c r="B1794"/>
  <c r="A1794"/>
  <c r="C1793"/>
  <c r="B1793"/>
  <c r="A1793"/>
  <c r="C1792"/>
  <c r="B1792"/>
  <c r="A1792"/>
  <c r="C1791"/>
  <c r="B1791"/>
  <c r="A1791"/>
  <c r="C1790"/>
  <c r="B1790"/>
  <c r="A1790"/>
  <c r="C1789"/>
  <c r="B1789"/>
  <c r="A1789"/>
  <c r="C1788"/>
  <c r="B1788"/>
  <c r="A1788"/>
  <c r="C1787"/>
  <c r="B1787"/>
  <c r="A1787"/>
  <c r="C1786"/>
  <c r="B1786"/>
  <c r="A1786"/>
  <c r="C1785"/>
  <c r="B1785"/>
  <c r="A1785"/>
  <c r="C1784"/>
  <c r="B1784"/>
  <c r="A1784"/>
  <c r="C1783"/>
  <c r="B1783"/>
  <c r="A1783"/>
  <c r="C1782"/>
  <c r="B1782"/>
  <c r="A1782"/>
  <c r="C1781"/>
  <c r="B1781"/>
  <c r="A1781"/>
  <c r="C1780"/>
  <c r="B1780"/>
  <c r="A1780"/>
  <c r="C1779"/>
  <c r="B1779"/>
  <c r="A1779"/>
  <c r="C1778"/>
  <c r="B1778"/>
  <c r="A1778"/>
  <c r="C1777"/>
  <c r="B1777"/>
  <c r="A1777"/>
  <c r="C1776"/>
  <c r="B1776"/>
  <c r="A1776"/>
  <c r="C1775"/>
  <c r="B1775"/>
  <c r="A1775"/>
  <c r="C1774"/>
  <c r="B1774"/>
  <c r="A1774"/>
  <c r="C1773"/>
  <c r="B1773"/>
  <c r="A1773"/>
  <c r="C1772"/>
  <c r="B1772"/>
  <c r="A1772"/>
  <c r="C1771"/>
  <c r="B1771"/>
  <c r="A1771"/>
  <c r="C1770"/>
  <c r="B1770"/>
  <c r="A1770"/>
  <c r="C1769"/>
  <c r="B1769"/>
  <c r="A1769"/>
  <c r="C1768"/>
  <c r="B1768"/>
  <c r="A1768"/>
  <c r="C1767"/>
  <c r="B1767"/>
  <c r="A1767"/>
  <c r="C1766"/>
  <c r="B1766"/>
  <c r="A1766"/>
  <c r="C1765"/>
  <c r="B1765"/>
  <c r="A1765"/>
  <c r="C1764"/>
  <c r="B1764"/>
  <c r="A1764"/>
  <c r="C1763"/>
  <c r="B1763"/>
  <c r="A1763"/>
  <c r="C1762"/>
  <c r="B1762"/>
  <c r="A1762"/>
  <c r="C1761"/>
  <c r="B1761"/>
  <c r="A1761"/>
  <c r="C1760"/>
  <c r="B1760"/>
  <c r="A1760"/>
  <c r="C1759"/>
  <c r="B1759"/>
  <c r="A1759"/>
  <c r="C1758"/>
  <c r="B1758"/>
  <c r="A1758"/>
  <c r="C1757"/>
  <c r="B1757"/>
  <c r="A1757"/>
  <c r="C1756"/>
  <c r="B1756"/>
  <c r="A1756"/>
  <c r="C1755"/>
  <c r="B1755"/>
  <c r="A1755"/>
  <c r="C1754"/>
  <c r="B1754"/>
  <c r="A1754"/>
  <c r="C1753"/>
  <c r="B1753"/>
  <c r="A1753"/>
  <c r="C1752"/>
  <c r="B1752"/>
  <c r="A1752"/>
  <c r="C1751"/>
  <c r="B1751"/>
  <c r="A1751"/>
  <c r="C1750"/>
  <c r="B1750"/>
  <c r="A1750"/>
  <c r="C1749"/>
  <c r="B1749"/>
  <c r="A1749"/>
  <c r="C1748"/>
  <c r="B1748"/>
  <c r="A1748"/>
  <c r="C1747"/>
  <c r="B1747"/>
  <c r="A1747"/>
  <c r="C1746"/>
  <c r="B1746"/>
  <c r="A1746"/>
  <c r="C1745"/>
  <c r="B1745"/>
  <c r="A1745"/>
  <c r="C1744"/>
  <c r="B1744"/>
  <c r="A1744"/>
  <c r="C1743"/>
  <c r="B1743"/>
  <c r="A1743"/>
  <c r="C1742"/>
  <c r="B1742"/>
  <c r="A1742"/>
  <c r="C1741"/>
  <c r="B1741"/>
  <c r="A1741"/>
  <c r="C1740"/>
  <c r="B1740"/>
  <c r="A1740"/>
  <c r="C1739"/>
  <c r="B1739"/>
  <c r="A1739"/>
  <c r="C1738"/>
  <c r="B1738"/>
  <c r="A1738"/>
  <c r="C1737"/>
  <c r="B1737"/>
  <c r="A1737"/>
  <c r="C1736"/>
  <c r="B1736"/>
  <c r="A1736"/>
  <c r="C1735"/>
  <c r="B1735"/>
  <c r="A1735"/>
  <c r="C1734"/>
  <c r="B1734"/>
  <c r="A1734"/>
  <c r="C1733"/>
  <c r="B1733"/>
  <c r="A1733"/>
  <c r="C1732"/>
  <c r="B1732"/>
  <c r="A1732"/>
  <c r="C1731"/>
  <c r="B1731"/>
  <c r="A1731"/>
  <c r="C1730"/>
  <c r="B1730"/>
  <c r="A1730"/>
  <c r="C1729"/>
  <c r="B1729"/>
  <c r="A1729"/>
  <c r="C1728"/>
  <c r="B1728"/>
  <c r="A1728"/>
  <c r="C1727"/>
  <c r="B1727"/>
  <c r="A1727"/>
  <c r="C1726"/>
  <c r="B1726"/>
  <c r="A1726"/>
  <c r="C1725"/>
  <c r="B1725"/>
  <c r="A1725"/>
  <c r="C1724"/>
  <c r="B1724"/>
  <c r="A1724"/>
  <c r="C1723"/>
  <c r="B1723"/>
  <c r="A1723"/>
  <c r="C1722"/>
  <c r="B1722"/>
  <c r="A1722"/>
  <c r="C1721"/>
  <c r="B1721"/>
  <c r="A1721"/>
  <c r="C1720"/>
  <c r="B1720"/>
  <c r="A1720"/>
  <c r="C1719"/>
  <c r="B1719"/>
  <c r="A1719"/>
  <c r="C1718"/>
  <c r="B1718"/>
  <c r="A1718"/>
  <c r="C1717"/>
  <c r="B1717"/>
  <c r="A1717"/>
  <c r="C1716"/>
  <c r="B1716"/>
  <c r="A1716"/>
  <c r="C1715"/>
  <c r="B1715"/>
  <c r="A1715"/>
  <c r="C1714"/>
  <c r="B1714"/>
  <c r="A1714"/>
  <c r="C1713"/>
  <c r="B1713"/>
  <c r="A1713"/>
  <c r="C1712"/>
  <c r="B1712"/>
  <c r="A1712"/>
  <c r="C1711"/>
  <c r="B1711"/>
  <c r="A1711"/>
  <c r="C1710"/>
  <c r="B1710"/>
  <c r="A1710"/>
  <c r="C1709"/>
  <c r="B1709"/>
  <c r="A1709"/>
  <c r="C1708"/>
  <c r="B1708"/>
  <c r="A1708"/>
  <c r="C1707"/>
  <c r="B1707"/>
  <c r="A1707"/>
  <c r="C1706"/>
  <c r="B1706"/>
  <c r="A1706"/>
  <c r="C1705"/>
  <c r="B1705"/>
  <c r="A1705"/>
  <c r="C1704"/>
  <c r="B1704"/>
  <c r="A1704"/>
  <c r="C1703"/>
  <c r="B1703"/>
  <c r="A1703"/>
  <c r="C1702"/>
  <c r="B1702"/>
  <c r="A1702"/>
  <c r="C1701"/>
  <c r="B1701"/>
  <c r="A1701"/>
  <c r="C1700"/>
  <c r="B1700"/>
  <c r="A1700"/>
  <c r="C1699"/>
  <c r="B1699"/>
  <c r="A1699"/>
  <c r="C1698"/>
  <c r="B1698"/>
  <c r="A1698"/>
  <c r="C1697"/>
  <c r="B1697"/>
  <c r="A1697"/>
  <c r="C1696"/>
  <c r="B1696"/>
  <c r="A1696"/>
  <c r="C1695"/>
  <c r="B1695"/>
  <c r="A1695"/>
  <c r="C1694"/>
  <c r="B1694"/>
  <c r="A1694"/>
  <c r="C1693"/>
  <c r="B1693"/>
  <c r="A1693"/>
  <c r="C1692"/>
  <c r="B1692"/>
  <c r="A1692"/>
  <c r="C1691"/>
  <c r="B1691"/>
  <c r="A1691"/>
  <c r="C1690"/>
  <c r="B1690"/>
  <c r="A1690"/>
  <c r="C1689"/>
  <c r="B1689"/>
  <c r="A1689"/>
  <c r="C1688"/>
  <c r="B1688"/>
  <c r="A1688"/>
  <c r="C1687"/>
  <c r="B1687"/>
  <c r="A1687"/>
  <c r="C1686"/>
  <c r="B1686"/>
  <c r="A1686"/>
  <c r="C1685"/>
  <c r="B1685"/>
  <c r="A1685"/>
  <c r="C1684"/>
  <c r="B1684"/>
  <c r="A1684"/>
  <c r="C1683"/>
  <c r="B1683"/>
  <c r="A1683"/>
  <c r="C1682"/>
  <c r="B1682"/>
  <c r="A1682"/>
  <c r="C1681"/>
  <c r="B1681"/>
  <c r="A1681"/>
  <c r="C1680"/>
  <c r="B1680"/>
  <c r="A1680"/>
  <c r="C1679"/>
  <c r="B1679"/>
  <c r="A1679"/>
  <c r="C1678"/>
  <c r="B1678"/>
  <c r="A1678"/>
  <c r="C1677"/>
  <c r="B1677"/>
  <c r="A1677"/>
  <c r="C1676"/>
  <c r="B1676"/>
  <c r="A1676"/>
  <c r="C1675"/>
  <c r="B1675"/>
  <c r="A1675"/>
  <c r="C1674"/>
  <c r="B1674"/>
  <c r="A1674"/>
  <c r="C1673"/>
  <c r="B1673"/>
  <c r="A1673"/>
  <c r="C1672"/>
  <c r="B1672"/>
  <c r="A1672"/>
  <c r="C1671"/>
  <c r="B1671"/>
  <c r="A1671"/>
  <c r="C1670"/>
  <c r="B1670"/>
  <c r="A1670"/>
  <c r="C1669"/>
  <c r="B1669"/>
  <c r="A1669"/>
  <c r="C1668"/>
  <c r="B1668"/>
  <c r="A1668"/>
  <c r="C1667"/>
  <c r="B1667"/>
  <c r="A1667"/>
  <c r="C1666"/>
  <c r="B1666"/>
  <c r="A1666"/>
  <c r="C1665"/>
  <c r="B1665"/>
  <c r="A1665"/>
  <c r="C1664"/>
  <c r="B1664"/>
  <c r="A1664"/>
  <c r="C1663"/>
  <c r="B1663"/>
  <c r="A1663"/>
  <c r="C1662"/>
  <c r="B1662"/>
  <c r="A1662"/>
  <c r="C1661"/>
  <c r="B1661"/>
  <c r="A1661"/>
  <c r="C1660"/>
  <c r="B1660"/>
  <c r="A1660"/>
  <c r="C1659"/>
  <c r="B1659"/>
  <c r="A1659"/>
  <c r="C1658"/>
  <c r="B1658"/>
  <c r="A1658"/>
  <c r="C1657"/>
  <c r="B1657"/>
  <c r="A1657"/>
  <c r="C1656"/>
  <c r="B1656"/>
  <c r="A1656"/>
  <c r="C1655"/>
  <c r="B1655"/>
  <c r="A1655"/>
  <c r="C1654"/>
  <c r="B1654"/>
  <c r="A1654"/>
  <c r="C1653"/>
  <c r="B1653"/>
  <c r="A1653"/>
  <c r="C1652"/>
  <c r="B1652"/>
  <c r="A1652"/>
  <c r="C1651"/>
  <c r="B1651"/>
  <c r="A1651"/>
  <c r="C1650"/>
  <c r="B1650"/>
  <c r="A1650"/>
  <c r="C1649"/>
  <c r="B1649"/>
  <c r="A1649"/>
  <c r="C1648"/>
  <c r="B1648"/>
  <c r="A1648"/>
  <c r="C1647"/>
  <c r="B1647"/>
  <c r="A1647"/>
  <c r="C1646"/>
  <c r="B1646"/>
  <c r="A1646"/>
  <c r="C1645"/>
  <c r="B1645"/>
  <c r="A1645"/>
  <c r="C1644"/>
  <c r="B1644"/>
  <c r="A1644"/>
  <c r="C1643"/>
  <c r="B1643"/>
  <c r="A1643"/>
  <c r="C1642"/>
  <c r="B1642"/>
  <c r="A1642"/>
  <c r="C1641"/>
  <c r="B1641"/>
  <c r="A1641"/>
  <c r="C1640"/>
  <c r="B1640"/>
  <c r="A1640"/>
  <c r="C1639"/>
  <c r="B1639"/>
  <c r="A1639"/>
  <c r="C1638"/>
  <c r="B1638"/>
  <c r="A1638"/>
  <c r="C1637"/>
  <c r="B1637"/>
  <c r="A1637"/>
  <c r="C1636"/>
  <c r="B1636"/>
  <c r="A1636"/>
  <c r="C1635"/>
  <c r="B1635"/>
  <c r="A1635"/>
  <c r="C1634"/>
  <c r="B1634"/>
  <c r="A1634"/>
  <c r="C1633"/>
  <c r="B1633"/>
  <c r="A1633"/>
  <c r="C1632"/>
  <c r="B1632"/>
  <c r="A1632"/>
  <c r="C1631"/>
  <c r="B1631"/>
  <c r="A1631"/>
  <c r="C1630"/>
  <c r="B1630"/>
  <c r="A1630"/>
  <c r="C1629"/>
  <c r="B1629"/>
  <c r="A1629"/>
  <c r="C1628"/>
  <c r="B1628"/>
  <c r="A1628"/>
  <c r="C1627"/>
  <c r="B1627"/>
  <c r="A1627"/>
  <c r="C1626"/>
  <c r="B1626"/>
  <c r="A1626"/>
  <c r="C1625"/>
  <c r="B1625"/>
  <c r="A1625"/>
  <c r="C1624"/>
  <c r="B1624"/>
  <c r="A1624"/>
  <c r="C1623"/>
  <c r="B1623"/>
  <c r="A1623"/>
  <c r="C1622"/>
  <c r="B1622"/>
  <c r="A1622"/>
  <c r="C1621"/>
  <c r="B1621"/>
  <c r="A1621"/>
  <c r="C1620"/>
  <c r="B1620"/>
  <c r="A1620"/>
  <c r="C1619"/>
  <c r="B1619"/>
  <c r="A1619"/>
  <c r="C1618"/>
  <c r="B1618"/>
  <c r="A1618"/>
  <c r="C1617"/>
  <c r="B1617"/>
  <c r="A1617"/>
  <c r="C1616"/>
  <c r="B1616"/>
  <c r="A1616"/>
  <c r="C1615"/>
  <c r="B1615"/>
  <c r="A1615"/>
  <c r="C1614"/>
  <c r="B1614"/>
  <c r="A1614"/>
  <c r="C1613"/>
  <c r="B1613"/>
  <c r="A1613"/>
  <c r="C1612"/>
  <c r="B1612"/>
  <c r="A1612"/>
  <c r="C1611"/>
  <c r="B1611"/>
  <c r="A1611"/>
  <c r="C1610"/>
  <c r="B1610"/>
  <c r="A1610"/>
  <c r="C1609"/>
  <c r="B1609"/>
  <c r="A1609"/>
  <c r="C1608"/>
  <c r="B1608"/>
  <c r="A1608"/>
  <c r="C1607"/>
  <c r="B1607"/>
  <c r="A1607"/>
  <c r="C1606"/>
  <c r="B1606"/>
  <c r="A1606"/>
  <c r="C1605"/>
  <c r="B1605"/>
  <c r="A1605"/>
  <c r="C1604"/>
  <c r="B1604"/>
  <c r="A1604"/>
  <c r="C1603"/>
  <c r="B1603"/>
  <c r="A1603"/>
  <c r="C1602"/>
  <c r="B1602"/>
  <c r="A1602"/>
  <c r="C1601"/>
  <c r="B1601"/>
  <c r="A1601"/>
  <c r="C1600"/>
  <c r="B1600"/>
  <c r="A1600"/>
  <c r="C1599"/>
  <c r="B1599"/>
  <c r="A1599"/>
  <c r="C1598"/>
  <c r="B1598"/>
  <c r="A1598"/>
  <c r="C1597"/>
  <c r="B1597"/>
  <c r="A1597"/>
  <c r="C1596"/>
  <c r="B1596"/>
  <c r="A1596"/>
  <c r="C1595"/>
  <c r="B1595"/>
  <c r="A1595"/>
  <c r="C1594"/>
  <c r="B1594"/>
  <c r="A1594"/>
  <c r="C1593"/>
  <c r="B1593"/>
  <c r="A1593"/>
  <c r="C1592"/>
  <c r="B1592"/>
  <c r="A1592"/>
  <c r="C1591"/>
  <c r="B1591"/>
  <c r="A1591"/>
  <c r="C1590"/>
  <c r="B1590"/>
  <c r="A1590"/>
  <c r="C1589"/>
  <c r="B1589"/>
  <c r="A1589"/>
  <c r="C1588"/>
  <c r="B1588"/>
  <c r="A1588"/>
  <c r="C1587"/>
  <c r="B1587"/>
  <c r="A1587"/>
  <c r="C1586"/>
  <c r="B1586"/>
  <c r="A1586"/>
  <c r="C1585"/>
  <c r="B1585"/>
  <c r="A1585"/>
  <c r="C1584"/>
  <c r="B1584"/>
  <c r="A1584"/>
  <c r="C1583"/>
  <c r="B1583"/>
  <c r="A1583"/>
  <c r="C1582"/>
  <c r="B1582"/>
  <c r="A1582"/>
  <c r="C1581"/>
  <c r="B1581"/>
  <c r="A1581"/>
  <c r="C1580"/>
  <c r="B1580"/>
  <c r="A1580"/>
  <c r="C1579"/>
  <c r="B1579"/>
  <c r="A1579"/>
  <c r="C1578"/>
  <c r="B1578"/>
  <c r="A1578"/>
  <c r="C1577"/>
  <c r="B1577"/>
  <c r="A1577"/>
  <c r="C1576"/>
  <c r="B1576"/>
  <c r="A1576"/>
  <c r="C1575"/>
  <c r="B1575"/>
  <c r="A1575"/>
  <c r="C1574"/>
  <c r="B1574"/>
  <c r="A1574"/>
  <c r="C1573"/>
  <c r="B1573"/>
  <c r="A1573"/>
  <c r="C1572"/>
  <c r="B1572"/>
  <c r="A1572"/>
  <c r="C1571"/>
  <c r="B1571"/>
  <c r="A1571"/>
  <c r="C1570"/>
  <c r="B1570"/>
  <c r="A1570"/>
  <c r="C1569"/>
  <c r="B1569"/>
  <c r="A1569"/>
  <c r="C1568"/>
  <c r="B1568"/>
  <c r="A1568"/>
  <c r="C1567"/>
  <c r="B1567"/>
  <c r="A1567"/>
  <c r="C1566"/>
  <c r="B1566"/>
  <c r="A1566"/>
  <c r="C1565"/>
  <c r="B1565"/>
  <c r="A1565"/>
  <c r="C1564"/>
  <c r="B1564"/>
  <c r="A1564"/>
  <c r="C1563"/>
  <c r="B1563"/>
  <c r="A1563"/>
  <c r="C1562"/>
  <c r="B1562"/>
  <c r="A1562"/>
  <c r="C1561"/>
  <c r="B1561"/>
  <c r="A1561"/>
  <c r="C1560"/>
  <c r="B1560"/>
  <c r="A1560"/>
  <c r="C1559"/>
  <c r="B1559"/>
  <c r="A1559"/>
  <c r="C1558"/>
  <c r="B1558"/>
  <c r="A1558"/>
  <c r="C1557"/>
  <c r="B1557"/>
  <c r="A1557"/>
  <c r="C1556"/>
  <c r="B1556"/>
  <c r="A1556"/>
  <c r="C1555"/>
  <c r="B1555"/>
  <c r="A1555"/>
  <c r="C1554"/>
  <c r="B1554"/>
  <c r="A1554"/>
  <c r="C1553"/>
  <c r="B1553"/>
  <c r="A1553"/>
  <c r="C1552"/>
  <c r="B1552"/>
  <c r="A1552"/>
  <c r="C1551"/>
  <c r="B1551"/>
  <c r="A1551"/>
  <c r="C1550"/>
  <c r="B1550"/>
  <c r="A1550"/>
  <c r="C1549"/>
  <c r="B1549"/>
  <c r="A1549"/>
  <c r="C1548"/>
  <c r="B1548"/>
  <c r="A1548"/>
  <c r="C1547"/>
  <c r="B1547"/>
  <c r="A1547"/>
  <c r="C1546"/>
  <c r="B1546"/>
  <c r="A1546"/>
  <c r="C1545"/>
  <c r="B1545"/>
  <c r="A1545"/>
  <c r="C1544"/>
  <c r="B1544"/>
  <c r="A1544"/>
  <c r="C1543"/>
  <c r="B1543"/>
  <c r="A1543"/>
  <c r="C1542"/>
  <c r="B1542"/>
  <c r="A1542"/>
  <c r="C1541"/>
  <c r="B1541"/>
  <c r="A1541"/>
  <c r="C1540"/>
  <c r="B1540"/>
  <c r="A1540"/>
  <c r="C1539"/>
  <c r="B1539"/>
  <c r="A1539"/>
  <c r="C1538"/>
  <c r="B1538"/>
  <c r="A1538"/>
  <c r="C1537"/>
  <c r="B1537"/>
  <c r="A1537"/>
  <c r="C1536"/>
  <c r="B1536"/>
  <c r="A1536"/>
  <c r="C1535"/>
  <c r="B1535"/>
  <c r="A1535"/>
  <c r="C1534"/>
  <c r="B1534"/>
  <c r="A1534"/>
  <c r="C1533"/>
  <c r="B1533"/>
  <c r="A1533"/>
  <c r="C1532"/>
  <c r="B1532"/>
  <c r="A1532"/>
  <c r="C1531"/>
  <c r="B1531"/>
  <c r="A1531"/>
  <c r="C1530"/>
  <c r="B1530"/>
  <c r="A1530"/>
  <c r="C1529"/>
  <c r="B1529"/>
  <c r="A1529"/>
  <c r="C1528"/>
  <c r="B1528"/>
  <c r="A1528"/>
  <c r="C1527"/>
  <c r="B1527"/>
  <c r="A1527"/>
  <c r="C1526"/>
  <c r="B1526"/>
  <c r="A1526"/>
  <c r="C1525"/>
  <c r="B1525"/>
  <c r="A1525"/>
  <c r="C1524"/>
  <c r="B1524"/>
  <c r="A1524"/>
  <c r="C1523"/>
  <c r="B1523"/>
  <c r="A1523"/>
  <c r="C1522"/>
  <c r="B1522"/>
  <c r="A1522"/>
  <c r="C1521"/>
  <c r="B1521"/>
  <c r="A1521"/>
  <c r="C1520"/>
  <c r="B1520"/>
  <c r="A1520"/>
  <c r="C1519"/>
  <c r="B1519"/>
  <c r="A1519"/>
  <c r="C1518"/>
  <c r="B1518"/>
  <c r="A1518"/>
  <c r="C1517"/>
  <c r="B1517"/>
  <c r="A1517"/>
  <c r="C1516"/>
  <c r="B1516"/>
  <c r="A1516"/>
  <c r="C1515"/>
  <c r="B1515"/>
  <c r="A1515"/>
  <c r="C1514"/>
  <c r="B1514"/>
  <c r="A1514"/>
  <c r="C1513"/>
  <c r="B1513"/>
  <c r="A1513"/>
  <c r="C1512"/>
  <c r="B1512"/>
  <c r="A1512"/>
  <c r="C1511"/>
  <c r="B1511"/>
  <c r="A1511"/>
  <c r="C1510"/>
  <c r="B1510"/>
  <c r="A1510"/>
  <c r="C1509"/>
  <c r="B1509"/>
  <c r="A1509"/>
  <c r="C1508"/>
  <c r="B1508"/>
  <c r="A1508"/>
  <c r="C1507"/>
  <c r="B1507"/>
  <c r="A1507"/>
  <c r="C1506"/>
  <c r="B1506"/>
  <c r="A1506"/>
  <c r="C1505"/>
  <c r="B1505"/>
  <c r="A1505"/>
  <c r="C1504"/>
  <c r="B1504"/>
  <c r="A1504"/>
  <c r="C1503"/>
  <c r="B1503"/>
  <c r="A1503"/>
  <c r="C1502"/>
  <c r="B1502"/>
  <c r="A1502"/>
  <c r="C1501"/>
  <c r="B1501"/>
  <c r="A1501"/>
  <c r="C1500"/>
  <c r="B1500"/>
  <c r="A1500"/>
  <c r="C1499"/>
  <c r="B1499"/>
  <c r="A1499"/>
  <c r="C1498"/>
  <c r="B1498"/>
  <c r="A1498"/>
  <c r="C1497"/>
  <c r="B1497"/>
  <c r="A1497"/>
  <c r="C1496"/>
  <c r="B1496"/>
  <c r="A1496"/>
  <c r="C1495"/>
  <c r="B1495"/>
  <c r="A1495"/>
  <c r="C1494"/>
  <c r="B1494"/>
  <c r="A1494"/>
  <c r="C1493"/>
  <c r="B1493"/>
  <c r="A1493"/>
  <c r="C1492"/>
  <c r="B1492"/>
  <c r="A1492"/>
  <c r="C1491"/>
  <c r="B1491"/>
  <c r="A1491"/>
  <c r="C1490"/>
  <c r="B1490"/>
  <c r="A1490"/>
  <c r="C1489"/>
  <c r="B1489"/>
  <c r="A1489"/>
  <c r="C1488"/>
  <c r="B1488"/>
  <c r="A1488"/>
  <c r="C1487"/>
  <c r="B1487"/>
  <c r="A1487"/>
  <c r="C1486"/>
  <c r="B1486"/>
  <c r="A1486"/>
  <c r="C1485"/>
  <c r="B1485"/>
  <c r="A1485"/>
  <c r="C1484"/>
  <c r="B1484"/>
  <c r="A1484"/>
  <c r="C1483"/>
  <c r="B1483"/>
  <c r="A1483"/>
  <c r="C1482"/>
  <c r="B1482"/>
  <c r="A1482"/>
  <c r="C1481"/>
  <c r="B1481"/>
  <c r="A1481"/>
  <c r="C1480"/>
  <c r="B1480"/>
  <c r="A1480"/>
  <c r="C1479"/>
  <c r="B1479"/>
  <c r="A1479"/>
  <c r="C1478"/>
  <c r="B1478"/>
  <c r="A1478"/>
  <c r="C1477"/>
  <c r="B1477"/>
  <c r="A1477"/>
  <c r="C1476"/>
  <c r="B1476"/>
  <c r="A1476"/>
  <c r="C1475"/>
  <c r="B1475"/>
  <c r="A1475"/>
  <c r="C1474"/>
  <c r="B1474"/>
  <c r="A1474"/>
  <c r="C1473"/>
  <c r="B1473"/>
  <c r="A1473"/>
  <c r="C1472"/>
  <c r="B1472"/>
  <c r="A1472"/>
  <c r="C1471"/>
  <c r="B1471"/>
  <c r="A1471"/>
  <c r="C1470"/>
  <c r="B1470"/>
  <c r="A1470"/>
  <c r="C1469"/>
  <c r="B1469"/>
  <c r="A1469"/>
  <c r="C1468"/>
  <c r="B1468"/>
  <c r="A1468"/>
  <c r="C1467"/>
  <c r="B1467"/>
  <c r="A1467"/>
  <c r="C1466"/>
  <c r="B1466"/>
  <c r="A1466"/>
  <c r="C1465"/>
  <c r="B1465"/>
  <c r="A1465"/>
  <c r="C1464"/>
  <c r="B1464"/>
  <c r="A1464"/>
  <c r="C1463"/>
  <c r="B1463"/>
  <c r="A1463"/>
  <c r="C1462"/>
  <c r="B1462"/>
  <c r="A1462"/>
  <c r="C1461"/>
  <c r="B1461"/>
  <c r="A1461"/>
  <c r="C1460"/>
  <c r="B1460"/>
  <c r="A1460"/>
  <c r="C1459"/>
  <c r="B1459"/>
  <c r="A1459"/>
  <c r="C1458"/>
  <c r="B1458"/>
  <c r="A1458"/>
  <c r="C1457"/>
  <c r="B1457"/>
  <c r="A1457"/>
  <c r="C1456"/>
  <c r="B1456"/>
  <c r="A1456"/>
  <c r="C1455"/>
  <c r="B1455"/>
  <c r="A1455"/>
  <c r="C1454"/>
  <c r="B1454"/>
  <c r="A1454"/>
  <c r="C1453"/>
  <c r="B1453"/>
  <c r="A1453"/>
  <c r="C1452"/>
  <c r="B1452"/>
  <c r="A1452"/>
  <c r="C1451"/>
  <c r="B1451"/>
  <c r="A1451"/>
  <c r="C1450"/>
  <c r="B1450"/>
  <c r="A1450"/>
  <c r="C1449"/>
  <c r="B1449"/>
  <c r="A1449"/>
  <c r="C1448"/>
  <c r="B1448"/>
  <c r="A1448"/>
  <c r="C1447"/>
  <c r="B1447"/>
  <c r="A1447"/>
  <c r="C1446"/>
  <c r="B1446"/>
  <c r="A1446"/>
  <c r="C1445"/>
  <c r="B1445"/>
  <c r="A1445"/>
  <c r="C1444"/>
  <c r="B1444"/>
  <c r="A1444"/>
  <c r="C1443"/>
  <c r="B1443"/>
  <c r="A1443"/>
  <c r="C1442"/>
  <c r="B1442"/>
  <c r="A1442"/>
  <c r="C1441"/>
  <c r="B1441"/>
  <c r="A1441"/>
  <c r="C1440"/>
  <c r="B1440"/>
  <c r="A1440"/>
  <c r="C1439"/>
  <c r="B1439"/>
  <c r="A1439"/>
  <c r="C1438"/>
  <c r="B1438"/>
  <c r="A1438"/>
  <c r="C1437"/>
  <c r="B1437"/>
  <c r="A1437"/>
  <c r="C1436"/>
  <c r="B1436"/>
  <c r="A1436"/>
  <c r="C1435"/>
  <c r="B1435"/>
  <c r="A1435"/>
  <c r="C1434"/>
  <c r="B1434"/>
  <c r="A1434"/>
  <c r="C1433"/>
  <c r="B1433"/>
  <c r="A1433"/>
  <c r="C1432"/>
  <c r="B1432"/>
  <c r="A1432"/>
  <c r="C1431"/>
  <c r="B1431"/>
  <c r="A1431"/>
  <c r="C1430"/>
  <c r="B1430"/>
  <c r="A1430"/>
  <c r="C1429"/>
  <c r="B1429"/>
  <c r="A1429"/>
  <c r="C1428"/>
  <c r="B1428"/>
  <c r="A1428"/>
  <c r="C1427"/>
  <c r="B1427"/>
  <c r="A1427"/>
  <c r="C1426"/>
  <c r="B1426"/>
  <c r="A1426"/>
  <c r="C1425"/>
  <c r="B1425"/>
  <c r="A1425"/>
  <c r="C1424"/>
  <c r="B1424"/>
  <c r="A1424"/>
  <c r="C1423"/>
  <c r="B1423"/>
  <c r="A1423"/>
  <c r="C1422"/>
  <c r="B1422"/>
  <c r="A1422"/>
  <c r="C1421"/>
  <c r="B1421"/>
  <c r="A1421"/>
  <c r="C1420"/>
  <c r="B1420"/>
  <c r="A1420"/>
  <c r="C1419"/>
  <c r="B1419"/>
  <c r="A1419"/>
  <c r="C1418"/>
  <c r="B1418"/>
  <c r="A1418"/>
  <c r="C1417"/>
  <c r="B1417"/>
  <c r="A1417"/>
  <c r="C1416"/>
  <c r="B1416"/>
  <c r="A1416"/>
  <c r="C1415"/>
  <c r="B1415"/>
  <c r="A1415"/>
  <c r="C1414"/>
  <c r="B1414"/>
  <c r="A1414"/>
  <c r="C1413"/>
  <c r="B1413"/>
  <c r="A1413"/>
  <c r="C1412"/>
  <c r="B1412"/>
  <c r="A1412"/>
  <c r="C1411"/>
  <c r="B1411"/>
  <c r="A1411"/>
  <c r="C1410"/>
  <c r="B1410"/>
  <c r="A1410"/>
  <c r="C1409"/>
  <c r="B1409"/>
  <c r="A1409"/>
  <c r="C1408"/>
  <c r="B1408"/>
  <c r="A1408"/>
  <c r="C1407"/>
  <c r="B1407"/>
  <c r="A1407"/>
  <c r="C1406"/>
  <c r="B1406"/>
  <c r="A1406"/>
  <c r="C1405"/>
  <c r="B1405"/>
  <c r="A1405"/>
  <c r="C1404"/>
  <c r="B1404"/>
  <c r="A1404"/>
  <c r="C1403"/>
  <c r="B1403"/>
  <c r="A1403"/>
  <c r="C1402"/>
  <c r="B1402"/>
  <c r="A1402"/>
  <c r="C1401"/>
  <c r="B1401"/>
  <c r="A1401"/>
  <c r="C1400"/>
  <c r="B1400"/>
  <c r="A1400"/>
  <c r="C1399"/>
  <c r="B1399"/>
  <c r="A1399"/>
  <c r="C1398"/>
  <c r="B1398"/>
  <c r="A1398"/>
  <c r="C1397"/>
  <c r="B1397"/>
  <c r="A1397"/>
  <c r="C1396"/>
  <c r="B1396"/>
  <c r="A1396"/>
  <c r="C1395"/>
  <c r="B1395"/>
  <c r="A1395"/>
  <c r="C1394"/>
  <c r="B1394"/>
  <c r="A1394"/>
  <c r="C1393"/>
  <c r="B1393"/>
  <c r="A1393"/>
  <c r="C1392"/>
  <c r="B1392"/>
  <c r="A1392"/>
  <c r="C1391"/>
  <c r="B1391"/>
  <c r="A1391"/>
  <c r="C1390"/>
  <c r="B1390"/>
  <c r="A1390"/>
  <c r="C1389"/>
  <c r="B1389"/>
  <c r="A1389"/>
  <c r="C1388"/>
  <c r="B1388"/>
  <c r="A1388"/>
  <c r="C1387"/>
  <c r="B1387"/>
  <c r="A1387"/>
  <c r="C1386"/>
  <c r="B1386"/>
  <c r="A1386"/>
  <c r="C1385"/>
  <c r="B1385"/>
  <c r="A1385"/>
  <c r="C1384"/>
  <c r="B1384"/>
  <c r="A1384"/>
  <c r="C1383"/>
  <c r="B1383"/>
  <c r="A1383"/>
  <c r="C1382"/>
  <c r="B1382"/>
  <c r="A1382"/>
  <c r="C1381"/>
  <c r="B1381"/>
  <c r="A1381"/>
  <c r="C1380"/>
  <c r="B1380"/>
  <c r="A1380"/>
  <c r="C1379"/>
  <c r="B1379"/>
  <c r="A1379"/>
  <c r="C1378"/>
  <c r="B1378"/>
  <c r="A1378"/>
  <c r="C1377"/>
  <c r="B1377"/>
  <c r="A1377"/>
  <c r="C1376"/>
  <c r="B1376"/>
  <c r="A1376"/>
  <c r="C1375"/>
  <c r="B1375"/>
  <c r="A1375"/>
  <c r="C1374"/>
  <c r="B1374"/>
  <c r="A1374"/>
  <c r="C1373"/>
  <c r="B1373"/>
  <c r="A1373"/>
  <c r="C1372"/>
  <c r="B1372"/>
  <c r="A1372"/>
  <c r="C1371"/>
  <c r="B1371"/>
  <c r="A1371"/>
  <c r="C1370"/>
  <c r="B1370"/>
  <c r="A1370"/>
  <c r="C1369"/>
  <c r="B1369"/>
  <c r="A1369"/>
  <c r="C1368"/>
  <c r="B1368"/>
  <c r="A1368"/>
  <c r="C1367"/>
  <c r="B1367"/>
  <c r="A1367"/>
  <c r="C1366"/>
  <c r="B1366"/>
  <c r="A1366"/>
  <c r="C1365"/>
  <c r="B1365"/>
  <c r="A1365"/>
  <c r="C1364"/>
  <c r="B1364"/>
  <c r="A1364"/>
  <c r="C1363"/>
  <c r="B1363"/>
  <c r="A1363"/>
  <c r="C1362"/>
  <c r="B1362"/>
  <c r="A1362"/>
  <c r="C1361"/>
  <c r="B1361"/>
  <c r="A1361"/>
  <c r="C1360"/>
  <c r="B1360"/>
  <c r="A1360"/>
  <c r="C1359"/>
  <c r="B1359"/>
  <c r="A1359"/>
  <c r="C1358"/>
  <c r="B1358"/>
  <c r="A1358"/>
  <c r="C1357"/>
  <c r="B1357"/>
  <c r="A1357"/>
  <c r="C1356"/>
  <c r="B1356"/>
  <c r="A1356"/>
  <c r="C1355"/>
  <c r="B1355"/>
  <c r="A1355"/>
  <c r="C1354"/>
  <c r="B1354"/>
  <c r="A1354"/>
  <c r="C1353"/>
  <c r="B1353"/>
  <c r="A1353"/>
  <c r="C1352"/>
  <c r="B1352"/>
  <c r="A1352"/>
  <c r="C1351"/>
  <c r="B1351"/>
  <c r="A1351"/>
  <c r="C1350"/>
  <c r="B1350"/>
  <c r="A1350"/>
  <c r="C1349"/>
  <c r="B1349"/>
  <c r="A1349"/>
  <c r="C1348"/>
  <c r="B1348"/>
  <c r="A1348"/>
  <c r="C1347"/>
  <c r="B1347"/>
  <c r="A1347"/>
  <c r="C1346"/>
  <c r="B1346"/>
  <c r="A1346"/>
  <c r="C1345"/>
  <c r="B1345"/>
  <c r="A1345"/>
  <c r="C1344"/>
  <c r="B1344"/>
  <c r="A1344"/>
  <c r="C1343"/>
  <c r="B1343"/>
  <c r="A1343"/>
  <c r="C1342"/>
  <c r="B1342"/>
  <c r="A1342"/>
  <c r="C1341"/>
  <c r="B1341"/>
  <c r="A1341"/>
  <c r="C1340"/>
  <c r="B1340"/>
  <c r="A1340"/>
  <c r="C1339"/>
  <c r="B1339"/>
  <c r="A1339"/>
  <c r="C1338"/>
  <c r="B1338"/>
  <c r="A1338"/>
  <c r="C1337"/>
  <c r="B1337"/>
  <c r="A1337"/>
  <c r="C1336"/>
  <c r="B1336"/>
  <c r="A1336"/>
  <c r="C1335"/>
  <c r="B1335"/>
  <c r="A1335"/>
  <c r="C1334"/>
  <c r="B1334"/>
  <c r="A1334"/>
  <c r="C1333"/>
  <c r="B1333"/>
  <c r="A1333"/>
  <c r="C1332"/>
  <c r="B1332"/>
  <c r="A1332"/>
  <c r="C1331"/>
  <c r="B1331"/>
  <c r="A1331"/>
  <c r="C1330"/>
  <c r="B1330"/>
  <c r="A1330"/>
  <c r="C1329"/>
  <c r="B1329"/>
  <c r="A1329"/>
  <c r="C1328"/>
  <c r="B1328"/>
  <c r="A1328"/>
  <c r="C1327"/>
  <c r="B1327"/>
  <c r="A1327"/>
  <c r="C1326"/>
  <c r="B1326"/>
  <c r="A1326"/>
  <c r="C1325"/>
  <c r="B1325"/>
  <c r="A1325"/>
  <c r="C1324"/>
  <c r="B1324"/>
  <c r="A1324"/>
  <c r="C1323"/>
  <c r="B1323"/>
  <c r="A1323"/>
  <c r="C1322"/>
  <c r="B1322"/>
  <c r="A1322"/>
  <c r="C1321"/>
  <c r="B1321"/>
  <c r="A1321"/>
  <c r="C1320"/>
  <c r="B1320"/>
  <c r="A1320"/>
  <c r="C1319"/>
  <c r="B1319"/>
  <c r="A1319"/>
  <c r="C1318"/>
  <c r="B1318"/>
  <c r="A1318"/>
  <c r="C1317"/>
  <c r="B1317"/>
  <c r="A1317"/>
  <c r="C1316"/>
  <c r="B1316"/>
  <c r="A1316"/>
  <c r="C1315"/>
  <c r="B1315"/>
  <c r="A1315"/>
  <c r="C1314"/>
  <c r="B1314"/>
  <c r="A1314"/>
  <c r="C1313"/>
  <c r="B1313"/>
  <c r="A1313"/>
  <c r="C1312"/>
  <c r="B1312"/>
  <c r="A1312"/>
  <c r="C1311"/>
  <c r="B1311"/>
  <c r="A1311"/>
  <c r="C1310"/>
  <c r="B1310"/>
  <c r="A1310"/>
  <c r="C1309"/>
  <c r="B1309"/>
  <c r="A1309"/>
  <c r="C1308"/>
  <c r="B1308"/>
  <c r="A1308"/>
  <c r="C1307"/>
  <c r="B1307"/>
  <c r="A1307"/>
  <c r="C1306"/>
  <c r="B1306"/>
  <c r="A1306"/>
  <c r="C1305"/>
  <c r="B1305"/>
  <c r="A1305"/>
  <c r="C1304"/>
  <c r="B1304"/>
  <c r="A1304"/>
  <c r="C1303"/>
  <c r="B1303"/>
  <c r="A1303"/>
  <c r="C1302"/>
  <c r="B1302"/>
  <c r="A1302"/>
  <c r="C1301"/>
  <c r="B1301"/>
  <c r="A1301"/>
  <c r="C1300"/>
  <c r="B1300"/>
  <c r="A1300"/>
  <c r="C1299"/>
  <c r="B1299"/>
  <c r="A1299"/>
  <c r="C1298"/>
  <c r="B1298"/>
  <c r="A1298"/>
  <c r="C1297"/>
  <c r="B1297"/>
  <c r="A1297"/>
  <c r="C1296"/>
  <c r="B1296"/>
  <c r="A1296"/>
  <c r="C1295"/>
  <c r="B1295"/>
  <c r="A1295"/>
  <c r="C1294"/>
  <c r="B1294"/>
  <c r="A1294"/>
  <c r="C1293"/>
  <c r="B1293"/>
  <c r="A1293"/>
  <c r="C1292"/>
  <c r="B1292"/>
  <c r="A1292"/>
  <c r="C1291"/>
  <c r="B1291"/>
  <c r="A1291"/>
  <c r="C1290"/>
  <c r="B1290"/>
  <c r="A1290"/>
  <c r="C1289"/>
  <c r="B1289"/>
  <c r="A1289"/>
  <c r="C1288"/>
  <c r="B1288"/>
  <c r="A1288"/>
  <c r="C1287"/>
  <c r="B1287"/>
  <c r="A1287"/>
  <c r="C1286"/>
  <c r="B1286"/>
  <c r="A1286"/>
  <c r="C1285"/>
  <c r="B1285"/>
  <c r="A1285"/>
  <c r="C1284"/>
  <c r="B1284"/>
  <c r="A1284"/>
  <c r="C1283"/>
  <c r="B1283"/>
  <c r="A1283"/>
  <c r="C1282"/>
  <c r="B1282"/>
  <c r="A1282"/>
  <c r="C1281"/>
  <c r="B1281"/>
  <c r="A1281"/>
  <c r="C1280"/>
  <c r="B1280"/>
  <c r="A1280"/>
  <c r="C1279"/>
  <c r="B1279"/>
  <c r="A1279"/>
  <c r="C1278"/>
  <c r="B1278"/>
  <c r="A1278"/>
  <c r="C1277"/>
  <c r="B1277"/>
  <c r="A1277"/>
  <c r="C1276"/>
  <c r="B1276"/>
  <c r="A1276"/>
  <c r="C1275"/>
  <c r="B1275"/>
  <c r="A1275"/>
  <c r="C1274"/>
  <c r="B1274"/>
  <c r="A1274"/>
  <c r="C1273"/>
  <c r="B1273"/>
  <c r="A1273"/>
  <c r="C1272"/>
  <c r="B1272"/>
  <c r="A1272"/>
  <c r="C1271"/>
  <c r="B1271"/>
  <c r="A1271"/>
  <c r="C1270"/>
  <c r="B1270"/>
  <c r="A1270"/>
  <c r="C1269"/>
  <c r="B1269"/>
  <c r="A1269"/>
  <c r="C1268"/>
  <c r="B1268"/>
  <c r="A1268"/>
  <c r="C1267"/>
  <c r="B1267"/>
  <c r="A1267"/>
  <c r="C1266"/>
  <c r="B1266"/>
  <c r="A1266"/>
  <c r="C1265"/>
  <c r="B1265"/>
  <c r="A1265"/>
  <c r="C1264"/>
  <c r="B1264"/>
  <c r="A1264"/>
  <c r="C1263"/>
  <c r="B1263"/>
  <c r="A1263"/>
  <c r="C1262"/>
  <c r="B1262"/>
  <c r="A1262"/>
  <c r="C1261"/>
  <c r="B1261"/>
  <c r="A1261"/>
  <c r="C1260"/>
  <c r="B1260"/>
  <c r="A1260"/>
  <c r="C1259"/>
  <c r="B1259"/>
  <c r="A1259"/>
  <c r="C1258"/>
  <c r="B1258"/>
  <c r="A1258"/>
  <c r="C1257"/>
  <c r="B1257"/>
  <c r="A1257"/>
  <c r="C1256"/>
  <c r="B1256"/>
  <c r="A1256"/>
  <c r="C1255"/>
  <c r="B1255"/>
  <c r="A1255"/>
  <c r="C1254"/>
  <c r="B1254"/>
  <c r="A1254"/>
  <c r="C1253"/>
  <c r="B1253"/>
  <c r="A1253"/>
  <c r="C1252"/>
  <c r="B1252"/>
  <c r="A1252"/>
  <c r="C1251"/>
  <c r="B1251"/>
  <c r="A1251"/>
  <c r="C1250"/>
  <c r="B1250"/>
  <c r="A1250"/>
  <c r="C1249"/>
  <c r="B1249"/>
  <c r="A1249"/>
  <c r="C1248"/>
  <c r="B1248"/>
  <c r="A1248"/>
  <c r="C1247"/>
  <c r="B1247"/>
  <c r="A1247"/>
  <c r="C1246"/>
  <c r="B1246"/>
  <c r="A1246"/>
  <c r="C1245"/>
  <c r="B1245"/>
  <c r="A1245"/>
  <c r="C1244"/>
  <c r="B1244"/>
  <c r="A1244"/>
  <c r="C1243"/>
  <c r="B1243"/>
  <c r="A1243"/>
  <c r="C1242"/>
  <c r="B1242"/>
  <c r="A1242"/>
  <c r="C1241"/>
  <c r="B1241"/>
  <c r="A1241"/>
  <c r="C1240"/>
  <c r="B1240"/>
  <c r="A1240"/>
  <c r="C1239"/>
  <c r="B1239"/>
  <c r="A1239"/>
  <c r="C1238"/>
  <c r="B1238"/>
  <c r="A1238"/>
  <c r="C1237"/>
  <c r="B1237"/>
  <c r="A1237"/>
  <c r="C1236"/>
  <c r="B1236"/>
  <c r="A1236"/>
  <c r="C1235"/>
  <c r="B1235"/>
  <c r="A1235"/>
  <c r="C1234"/>
  <c r="B1234"/>
  <c r="A1234"/>
  <c r="C1233"/>
  <c r="B1233"/>
  <c r="A1233"/>
  <c r="C1232"/>
  <c r="B1232"/>
  <c r="A1232"/>
  <c r="C1231"/>
  <c r="B1231"/>
  <c r="A1231"/>
  <c r="C1230"/>
  <c r="B1230"/>
  <c r="A1230"/>
  <c r="C1229"/>
  <c r="B1229"/>
  <c r="A1229"/>
  <c r="C1228"/>
  <c r="B1228"/>
  <c r="A1228"/>
  <c r="C1227"/>
  <c r="B1227"/>
  <c r="A1227"/>
  <c r="C1226"/>
  <c r="B1226"/>
  <c r="A1226"/>
  <c r="C1225"/>
  <c r="B1225"/>
  <c r="A1225"/>
  <c r="C1224"/>
  <c r="B1224"/>
  <c r="A1224"/>
  <c r="C1223"/>
  <c r="B1223"/>
  <c r="A1223"/>
  <c r="C1222"/>
  <c r="B1222"/>
  <c r="A1222"/>
  <c r="C1221"/>
  <c r="B1221"/>
  <c r="A1221"/>
  <c r="C1220"/>
  <c r="B1220"/>
  <c r="A1220"/>
  <c r="C1219"/>
  <c r="B1219"/>
  <c r="A1219"/>
  <c r="C1218"/>
  <c r="B1218"/>
  <c r="A1218"/>
  <c r="C1217"/>
  <c r="B1217"/>
  <c r="A1217"/>
  <c r="C1216"/>
  <c r="B1216"/>
  <c r="A1216"/>
  <c r="C1215"/>
  <c r="B1215"/>
  <c r="A1215"/>
  <c r="C1214"/>
  <c r="B1214"/>
  <c r="A1214"/>
  <c r="C1213"/>
  <c r="B1213"/>
  <c r="A1213"/>
  <c r="C1212"/>
  <c r="B1212"/>
  <c r="A1212"/>
  <c r="C1211"/>
  <c r="B1211"/>
  <c r="A1211"/>
  <c r="C1210"/>
  <c r="B1210"/>
  <c r="A1210"/>
  <c r="C1209"/>
  <c r="B1209"/>
  <c r="A1209"/>
  <c r="C1208"/>
  <c r="B1208"/>
  <c r="A1208"/>
  <c r="C1207"/>
  <c r="B1207"/>
  <c r="A1207"/>
  <c r="C1206"/>
  <c r="B1206"/>
  <c r="A1206"/>
  <c r="C1205"/>
  <c r="B1205"/>
  <c r="A1205"/>
  <c r="C1204"/>
  <c r="B1204"/>
  <c r="A1204"/>
  <c r="C1203"/>
  <c r="B1203"/>
  <c r="A1203"/>
  <c r="C1202"/>
  <c r="B1202"/>
  <c r="A1202"/>
  <c r="C1201"/>
  <c r="B1201"/>
  <c r="A1201"/>
  <c r="C1200"/>
  <c r="B1200"/>
  <c r="A1200"/>
  <c r="C1199"/>
  <c r="B1199"/>
  <c r="A1199"/>
  <c r="C1198"/>
  <c r="B1198"/>
  <c r="A1198"/>
  <c r="C1197"/>
  <c r="B1197"/>
  <c r="A1197"/>
  <c r="C1196"/>
  <c r="B1196"/>
  <c r="A1196"/>
  <c r="C1195"/>
  <c r="B1195"/>
  <c r="A1195"/>
  <c r="C1194"/>
  <c r="B1194"/>
  <c r="A1194"/>
  <c r="C1193"/>
  <c r="B1193"/>
  <c r="A1193"/>
  <c r="C1192"/>
  <c r="B1192"/>
  <c r="A1192"/>
  <c r="C1191"/>
  <c r="B1191"/>
  <c r="A1191"/>
  <c r="C1190"/>
  <c r="B1190"/>
  <c r="A1190"/>
  <c r="C1189"/>
  <c r="B1189"/>
  <c r="A1189"/>
  <c r="C1188"/>
  <c r="B1188"/>
  <c r="A1188"/>
  <c r="C1187"/>
  <c r="B1187"/>
  <c r="A1187"/>
  <c r="C1186"/>
  <c r="B1186"/>
  <c r="A1186"/>
  <c r="C1185"/>
  <c r="B1185"/>
  <c r="A1185"/>
  <c r="C1184"/>
  <c r="B1184"/>
  <c r="A1184"/>
  <c r="C1183"/>
  <c r="B1183"/>
  <c r="A1183"/>
  <c r="C1182"/>
  <c r="B1182"/>
  <c r="A1182"/>
  <c r="C1181"/>
  <c r="B1181"/>
  <c r="A1181"/>
  <c r="C1180"/>
  <c r="B1180"/>
  <c r="A1180"/>
  <c r="C1179"/>
  <c r="B1179"/>
  <c r="A1179"/>
  <c r="C1178"/>
  <c r="B1178"/>
  <c r="A1178"/>
  <c r="C1177"/>
  <c r="B1177"/>
  <c r="A1177"/>
  <c r="C1176"/>
  <c r="B1176"/>
  <c r="A1176"/>
  <c r="C1175"/>
  <c r="B1175"/>
  <c r="A1175"/>
  <c r="C1174"/>
  <c r="B1174"/>
  <c r="A1174"/>
  <c r="C1173"/>
  <c r="B1173"/>
  <c r="A1173"/>
  <c r="C1172"/>
  <c r="B1172"/>
  <c r="A1172"/>
  <c r="C1171"/>
  <c r="B1171"/>
  <c r="A1171"/>
  <c r="C1170"/>
  <c r="B1170"/>
  <c r="A1170"/>
  <c r="C1169"/>
  <c r="B1169"/>
  <c r="A1169"/>
  <c r="C1168"/>
  <c r="B1168"/>
  <c r="A1168"/>
  <c r="C1167"/>
  <c r="B1167"/>
  <c r="A1167"/>
  <c r="C1166"/>
  <c r="B1166"/>
  <c r="A1166"/>
  <c r="C1165"/>
  <c r="B1165"/>
  <c r="A1165"/>
  <c r="C1164"/>
  <c r="B1164"/>
  <c r="A1164"/>
  <c r="C1163"/>
  <c r="B1163"/>
  <c r="A1163"/>
  <c r="C1162"/>
  <c r="B1162"/>
  <c r="A1162"/>
  <c r="C1161"/>
  <c r="B1161"/>
  <c r="A1161"/>
  <c r="C1160"/>
  <c r="B1160"/>
  <c r="A1160"/>
  <c r="C1159"/>
  <c r="B1159"/>
  <c r="A1159"/>
  <c r="C1158"/>
  <c r="B1158"/>
  <c r="A1158"/>
  <c r="C1157"/>
  <c r="B1157"/>
  <c r="A1157"/>
  <c r="C1156"/>
  <c r="B1156"/>
  <c r="A1156"/>
  <c r="C1155"/>
  <c r="B1155"/>
  <c r="A1155"/>
  <c r="C1154"/>
  <c r="B1154"/>
  <c r="A1154"/>
  <c r="C1153"/>
  <c r="B1153"/>
  <c r="A1153"/>
  <c r="C1152"/>
  <c r="B1152"/>
  <c r="A1152"/>
  <c r="C1151"/>
  <c r="B1151"/>
  <c r="A1151"/>
  <c r="C1150"/>
  <c r="B1150"/>
  <c r="A1150"/>
  <c r="C1149"/>
  <c r="B1149"/>
  <c r="A1149"/>
  <c r="C1148"/>
  <c r="B1148"/>
  <c r="A1148"/>
  <c r="C1147"/>
  <c r="B1147"/>
  <c r="A1147"/>
  <c r="C1146"/>
  <c r="B1146"/>
  <c r="A1146"/>
  <c r="C1145"/>
  <c r="B1145"/>
  <c r="A1145"/>
  <c r="C1144"/>
  <c r="B1144"/>
  <c r="A1144"/>
  <c r="C1143"/>
  <c r="B1143"/>
  <c r="A1143"/>
  <c r="C1142"/>
  <c r="B1142"/>
  <c r="A1142"/>
  <c r="C1141"/>
  <c r="B1141"/>
  <c r="A1141"/>
  <c r="C1140"/>
  <c r="B1140"/>
  <c r="A1140"/>
  <c r="C1139"/>
  <c r="B1139"/>
  <c r="A1139"/>
  <c r="C1138"/>
  <c r="B1138"/>
  <c r="A1138"/>
  <c r="C1137"/>
  <c r="B1137"/>
  <c r="A1137"/>
  <c r="C1136"/>
  <c r="B1136"/>
  <c r="A1136"/>
  <c r="C1135"/>
  <c r="B1135"/>
  <c r="A1135"/>
  <c r="C1134"/>
  <c r="B1134"/>
  <c r="A1134"/>
  <c r="C1133"/>
  <c r="B1133"/>
  <c r="A1133"/>
  <c r="C1132"/>
  <c r="B1132"/>
  <c r="A1132"/>
  <c r="C1131"/>
  <c r="B1131"/>
  <c r="A1131"/>
  <c r="C1130"/>
  <c r="B1130"/>
  <c r="A1130"/>
  <c r="C1129"/>
  <c r="B1129"/>
  <c r="A1129"/>
  <c r="C1128"/>
  <c r="B1128"/>
  <c r="A1128"/>
  <c r="C1127"/>
  <c r="B1127"/>
  <c r="A1127"/>
  <c r="C1126"/>
  <c r="B1126"/>
  <c r="A1126"/>
  <c r="C1125"/>
  <c r="B1125"/>
  <c r="A1125"/>
  <c r="C1124"/>
  <c r="B1124"/>
  <c r="A1124"/>
  <c r="C1123"/>
  <c r="B1123"/>
  <c r="A1123"/>
  <c r="C1122"/>
  <c r="B1122"/>
  <c r="A1122"/>
  <c r="C1121"/>
  <c r="B1121"/>
  <c r="A1121"/>
  <c r="C1120"/>
  <c r="B1120"/>
  <c r="A1120"/>
  <c r="C1119"/>
  <c r="B1119"/>
  <c r="A1119"/>
  <c r="C1118"/>
  <c r="B1118"/>
  <c r="A1118"/>
  <c r="C1117"/>
  <c r="B1117"/>
  <c r="A1117"/>
  <c r="C1116"/>
  <c r="B1116"/>
  <c r="A1116"/>
  <c r="C1115"/>
  <c r="B1115"/>
  <c r="A1115"/>
  <c r="C1114"/>
  <c r="B1114"/>
  <c r="A1114"/>
  <c r="C1113"/>
  <c r="B1113"/>
  <c r="A1113"/>
  <c r="C1112"/>
  <c r="B1112"/>
  <c r="A1112"/>
  <c r="C1111"/>
  <c r="B1111"/>
  <c r="A1111"/>
  <c r="C1110"/>
  <c r="B1110"/>
  <c r="A1110"/>
  <c r="C1109"/>
  <c r="B1109"/>
  <c r="A1109"/>
  <c r="C1108"/>
  <c r="B1108"/>
  <c r="A1108"/>
  <c r="C1107"/>
  <c r="B1107"/>
  <c r="A1107"/>
  <c r="C1106"/>
  <c r="B1106"/>
  <c r="A1106"/>
  <c r="C1105"/>
  <c r="B1105"/>
  <c r="A1105"/>
  <c r="C1104"/>
  <c r="B1104"/>
  <c r="A1104"/>
  <c r="C1103"/>
  <c r="B1103"/>
  <c r="A1103"/>
  <c r="C1102"/>
  <c r="B1102"/>
  <c r="A1102"/>
  <c r="C1101"/>
  <c r="B1101"/>
  <c r="A1101"/>
  <c r="C1100"/>
  <c r="B1100"/>
  <c r="A1100"/>
  <c r="C1099"/>
  <c r="B1099"/>
  <c r="A1099"/>
  <c r="C1098"/>
  <c r="B1098"/>
  <c r="A1098"/>
  <c r="C1097"/>
  <c r="B1097"/>
  <c r="A1097"/>
  <c r="C1096"/>
  <c r="B1096"/>
  <c r="A1096"/>
  <c r="C1095"/>
  <c r="B1095"/>
  <c r="A1095"/>
  <c r="C1094"/>
  <c r="B1094"/>
  <c r="A1094"/>
  <c r="C1093"/>
  <c r="B1093"/>
  <c r="A1093"/>
  <c r="C1092"/>
  <c r="B1092"/>
  <c r="A1092"/>
  <c r="C1091"/>
  <c r="B1091"/>
  <c r="A1091"/>
  <c r="C1090"/>
  <c r="B1090"/>
  <c r="A1090"/>
  <c r="C1089"/>
  <c r="B1089"/>
  <c r="A1089"/>
  <c r="C1088"/>
  <c r="B1088"/>
  <c r="A1088"/>
  <c r="C1087"/>
  <c r="B1087"/>
  <c r="A1087"/>
  <c r="C1086"/>
  <c r="B1086"/>
  <c r="A1086"/>
  <c r="C1085"/>
  <c r="B1085"/>
  <c r="A1085"/>
  <c r="C1084"/>
  <c r="B1084"/>
  <c r="A1084"/>
  <c r="C1083"/>
  <c r="B1083"/>
  <c r="A1083"/>
  <c r="C1082"/>
  <c r="B1082"/>
  <c r="A1082"/>
  <c r="C1081"/>
  <c r="B1081"/>
  <c r="A1081"/>
  <c r="C1080"/>
  <c r="B1080"/>
  <c r="A1080"/>
  <c r="C1079"/>
  <c r="B1079"/>
  <c r="A1079"/>
  <c r="C1078"/>
  <c r="B1078"/>
  <c r="A1078"/>
  <c r="C1077"/>
  <c r="B1077"/>
  <c r="A1077"/>
  <c r="C1076"/>
  <c r="B1076"/>
  <c r="A1076"/>
  <c r="C1075"/>
  <c r="B1075"/>
  <c r="A1075"/>
  <c r="C1074"/>
  <c r="B1074"/>
  <c r="A1074"/>
  <c r="C1073"/>
  <c r="B1073"/>
  <c r="A1073"/>
  <c r="C1072"/>
  <c r="B1072"/>
  <c r="A1072"/>
  <c r="C1071"/>
  <c r="B1071"/>
  <c r="A1071"/>
  <c r="C1070"/>
  <c r="B1070"/>
  <c r="A1070"/>
  <c r="C1069"/>
  <c r="B1069"/>
  <c r="A1069"/>
  <c r="C1068"/>
  <c r="B1068"/>
  <c r="A1068"/>
  <c r="C1067"/>
  <c r="B1067"/>
  <c r="A1067"/>
  <c r="C1066"/>
  <c r="B1066"/>
  <c r="A1066"/>
  <c r="C1065"/>
  <c r="B1065"/>
  <c r="A1065"/>
  <c r="C1064"/>
  <c r="B1064"/>
  <c r="A1064"/>
  <c r="C1063"/>
  <c r="B1063"/>
  <c r="A1063"/>
  <c r="C1062"/>
  <c r="B1062"/>
  <c r="A1062"/>
  <c r="C1061"/>
  <c r="B1061"/>
  <c r="A1061"/>
  <c r="C1060"/>
  <c r="B1060"/>
  <c r="A1060"/>
  <c r="C1059"/>
  <c r="B1059"/>
  <c r="A1059"/>
  <c r="C1058"/>
  <c r="B1058"/>
  <c r="A1058"/>
  <c r="C1057"/>
  <c r="B1057"/>
  <c r="A1057"/>
  <c r="C1056"/>
  <c r="B1056"/>
  <c r="A1056"/>
  <c r="C1055"/>
  <c r="B1055"/>
  <c r="A1055"/>
  <c r="C1054"/>
  <c r="B1054"/>
  <c r="A1054"/>
  <c r="C1053"/>
  <c r="B1053"/>
  <c r="A1053"/>
  <c r="C1052"/>
  <c r="B1052"/>
  <c r="A1052"/>
  <c r="C1051"/>
  <c r="B1051"/>
  <c r="A1051"/>
  <c r="C1050"/>
  <c r="B1050"/>
  <c r="A1050"/>
  <c r="C1049"/>
  <c r="B1049"/>
  <c r="A1049"/>
  <c r="C1048"/>
  <c r="B1048"/>
  <c r="A1048"/>
  <c r="C1047"/>
  <c r="B1047"/>
  <c r="A1047"/>
  <c r="C1046"/>
  <c r="B1046"/>
  <c r="A1046"/>
  <c r="C1045"/>
  <c r="B1045"/>
  <c r="A1045"/>
  <c r="C1044"/>
  <c r="B1044"/>
  <c r="A1044"/>
  <c r="C1043"/>
  <c r="B1043"/>
  <c r="A1043"/>
  <c r="C1042"/>
  <c r="B1042"/>
  <c r="A1042"/>
  <c r="C1041"/>
  <c r="B1041"/>
  <c r="A1041"/>
  <c r="C1040"/>
  <c r="B1040"/>
  <c r="A1040"/>
  <c r="C1039"/>
  <c r="B1039"/>
  <c r="A1039"/>
  <c r="C1038"/>
  <c r="B1038"/>
  <c r="A1038"/>
  <c r="C1037"/>
  <c r="B1037"/>
  <c r="A1037"/>
  <c r="C1036"/>
  <c r="B1036"/>
  <c r="A1036"/>
  <c r="C1035"/>
  <c r="B1035"/>
  <c r="A1035"/>
  <c r="C1034"/>
  <c r="B1034"/>
  <c r="A1034"/>
  <c r="C1033"/>
  <c r="B1033"/>
  <c r="A1033"/>
  <c r="C1032"/>
  <c r="B1032"/>
  <c r="A1032"/>
  <c r="C1031"/>
  <c r="B1031"/>
  <c r="A1031"/>
  <c r="C1030"/>
  <c r="B1030"/>
  <c r="A1030"/>
  <c r="C1029"/>
  <c r="B1029"/>
  <c r="A1029"/>
  <c r="C1028"/>
  <c r="B1028"/>
  <c r="A1028"/>
  <c r="C1027"/>
  <c r="B1027"/>
  <c r="A1027"/>
  <c r="C1026"/>
  <c r="B1026"/>
  <c r="A1026"/>
  <c r="C1025"/>
  <c r="B1025"/>
  <c r="A1025"/>
  <c r="C1024"/>
  <c r="B1024"/>
  <c r="A1024"/>
  <c r="C1023"/>
  <c r="B1023"/>
  <c r="A1023"/>
  <c r="C1022"/>
  <c r="B1022"/>
  <c r="A1022"/>
  <c r="C1021"/>
  <c r="B1021"/>
  <c r="A1021"/>
  <c r="C1020"/>
  <c r="B1020"/>
  <c r="A1020"/>
  <c r="C1019"/>
  <c r="B1019"/>
  <c r="A1019"/>
  <c r="C1018"/>
  <c r="B1018"/>
  <c r="A1018"/>
  <c r="C1017"/>
  <c r="B1017"/>
  <c r="A1017"/>
  <c r="C1016"/>
  <c r="B1016"/>
  <c r="A1016"/>
  <c r="C1015"/>
  <c r="B1015"/>
  <c r="A1015"/>
  <c r="C1014"/>
  <c r="B1014"/>
  <c r="A1014"/>
  <c r="C1013"/>
  <c r="B1013"/>
  <c r="A1013"/>
  <c r="C1012"/>
  <c r="B1012"/>
  <c r="A1012"/>
  <c r="C1011"/>
  <c r="B1011"/>
  <c r="A1011"/>
  <c r="C1010"/>
  <c r="B1010"/>
  <c r="A1010"/>
  <c r="C1009"/>
  <c r="B1009"/>
  <c r="A1009"/>
  <c r="C1008"/>
  <c r="B1008"/>
  <c r="A1008"/>
  <c r="C1007"/>
  <c r="B1007"/>
  <c r="A1007"/>
  <c r="C1006"/>
  <c r="B1006"/>
  <c r="A1006"/>
  <c r="C1005"/>
  <c r="B1005"/>
  <c r="A1005"/>
  <c r="C1004"/>
  <c r="B1004"/>
  <c r="A1004"/>
  <c r="C1003"/>
  <c r="B1003"/>
  <c r="A1003"/>
  <c r="C1002"/>
  <c r="B1002"/>
  <c r="A1002"/>
  <c r="C1001"/>
  <c r="B1001"/>
  <c r="A1001"/>
  <c r="C1000"/>
  <c r="B1000"/>
  <c r="A1000"/>
  <c r="C999"/>
  <c r="B999"/>
  <c r="A999"/>
  <c r="C998"/>
  <c r="B998"/>
  <c r="A998"/>
  <c r="C997"/>
  <c r="B997"/>
  <c r="A997"/>
  <c r="C996"/>
  <c r="B996"/>
  <c r="A996"/>
  <c r="C995"/>
  <c r="B995"/>
  <c r="A995"/>
  <c r="C994"/>
  <c r="B994"/>
  <c r="A994"/>
  <c r="C993"/>
  <c r="B993"/>
  <c r="A993"/>
  <c r="C992"/>
  <c r="B992"/>
  <c r="A992"/>
  <c r="C991"/>
  <c r="B991"/>
  <c r="A991"/>
  <c r="C990"/>
  <c r="B990"/>
  <c r="A990"/>
  <c r="C989"/>
  <c r="B989"/>
  <c r="A989"/>
  <c r="C988"/>
  <c r="B988"/>
  <c r="A988"/>
  <c r="C987"/>
  <c r="B987"/>
  <c r="A987"/>
  <c r="C986"/>
  <c r="B986"/>
  <c r="A986"/>
  <c r="C985"/>
  <c r="B985"/>
  <c r="A985"/>
  <c r="C984"/>
  <c r="B984"/>
  <c r="A984"/>
  <c r="C983"/>
  <c r="B983"/>
  <c r="A983"/>
  <c r="C982"/>
  <c r="B982"/>
  <c r="A982"/>
  <c r="C981"/>
  <c r="B981"/>
  <c r="A981"/>
  <c r="C980"/>
  <c r="B980"/>
  <c r="A980"/>
  <c r="C979"/>
  <c r="B979"/>
  <c r="A979"/>
  <c r="C978"/>
  <c r="B978"/>
  <c r="A978"/>
  <c r="C977"/>
  <c r="B977"/>
  <c r="A977"/>
  <c r="C976"/>
  <c r="B976"/>
  <c r="A976"/>
  <c r="C975"/>
  <c r="B975"/>
  <c r="A975"/>
  <c r="C974"/>
  <c r="B974"/>
  <c r="A974"/>
  <c r="C973"/>
  <c r="B973"/>
  <c r="A973"/>
  <c r="C972"/>
  <c r="B972"/>
  <c r="A972"/>
  <c r="C971"/>
  <c r="B971"/>
  <c r="A971"/>
  <c r="C970"/>
  <c r="B970"/>
  <c r="A970"/>
  <c r="C969"/>
  <c r="B969"/>
  <c r="A969"/>
  <c r="C968"/>
  <c r="B968"/>
  <c r="A968"/>
  <c r="C967"/>
  <c r="B967"/>
  <c r="A967"/>
  <c r="C966"/>
  <c r="B966"/>
  <c r="A966"/>
  <c r="C965"/>
  <c r="B965"/>
  <c r="A965"/>
  <c r="C964"/>
  <c r="B964"/>
  <c r="A964"/>
  <c r="C963"/>
  <c r="B963"/>
  <c r="A963"/>
  <c r="C962"/>
  <c r="B962"/>
  <c r="A962"/>
  <c r="C961"/>
  <c r="B961"/>
  <c r="A961"/>
  <c r="C960"/>
  <c r="B960"/>
  <c r="A960"/>
  <c r="C959"/>
  <c r="B959"/>
  <c r="A959"/>
  <c r="C958"/>
  <c r="B958"/>
  <c r="A958"/>
  <c r="C957"/>
  <c r="B957"/>
  <c r="A957"/>
  <c r="C956"/>
  <c r="B956"/>
  <c r="A956"/>
  <c r="C955"/>
  <c r="B955"/>
  <c r="A955"/>
  <c r="C954"/>
  <c r="B954"/>
  <c r="A954"/>
  <c r="C953"/>
  <c r="B953"/>
  <c r="A953"/>
  <c r="C952"/>
  <c r="B952"/>
  <c r="A952"/>
  <c r="C951"/>
  <c r="B951"/>
  <c r="A951"/>
  <c r="C950"/>
  <c r="B950"/>
  <c r="A950"/>
  <c r="C949"/>
  <c r="B949"/>
  <c r="A949"/>
  <c r="C948"/>
  <c r="B948"/>
  <c r="A948"/>
  <c r="C947"/>
  <c r="B947"/>
  <c r="A947"/>
  <c r="C946"/>
  <c r="B946"/>
  <c r="A946"/>
  <c r="C945"/>
  <c r="B945"/>
  <c r="A945"/>
  <c r="C944"/>
  <c r="B944"/>
  <c r="A944"/>
  <c r="C943"/>
  <c r="B943"/>
  <c r="A943"/>
  <c r="C942"/>
  <c r="B942"/>
  <c r="A942"/>
  <c r="C941"/>
  <c r="B941"/>
  <c r="A941"/>
  <c r="C940"/>
  <c r="B940"/>
  <c r="A940"/>
  <c r="C939"/>
  <c r="B939"/>
  <c r="A939"/>
  <c r="C938"/>
  <c r="B938"/>
  <c r="A938"/>
  <c r="C937"/>
  <c r="B937"/>
  <c r="A937"/>
  <c r="C936"/>
  <c r="B936"/>
  <c r="A936"/>
  <c r="C935"/>
  <c r="B935"/>
  <c r="A935"/>
  <c r="C934"/>
  <c r="B934"/>
  <c r="A934"/>
  <c r="C933"/>
  <c r="B933"/>
  <c r="A933"/>
  <c r="C932"/>
  <c r="B932"/>
  <c r="A932"/>
  <c r="C931"/>
  <c r="B931"/>
  <c r="A931"/>
  <c r="C930"/>
  <c r="B930"/>
  <c r="A930"/>
  <c r="C929"/>
  <c r="B929"/>
  <c r="A929"/>
  <c r="C928"/>
  <c r="B928"/>
  <c r="A928"/>
  <c r="C927"/>
  <c r="B927"/>
  <c r="A927"/>
  <c r="C926"/>
  <c r="B926"/>
  <c r="A926"/>
  <c r="C925"/>
  <c r="B925"/>
  <c r="A925"/>
  <c r="C924"/>
  <c r="B924"/>
  <c r="A924"/>
  <c r="C923"/>
  <c r="B923"/>
  <c r="A923"/>
  <c r="C922"/>
  <c r="B922"/>
  <c r="A922"/>
  <c r="C921"/>
  <c r="B921"/>
  <c r="A921"/>
  <c r="C920"/>
  <c r="B920"/>
  <c r="A920"/>
  <c r="C919"/>
  <c r="B919"/>
  <c r="A919"/>
  <c r="C918"/>
  <c r="B918"/>
  <c r="A918"/>
  <c r="C917"/>
  <c r="B917"/>
  <c r="A917"/>
  <c r="C916"/>
  <c r="B916"/>
  <c r="A916"/>
  <c r="C915"/>
  <c r="B915"/>
  <c r="A915"/>
  <c r="C914"/>
  <c r="B914"/>
  <c r="A914"/>
  <c r="C913"/>
  <c r="B913"/>
  <c r="A913"/>
  <c r="C912"/>
  <c r="B912"/>
  <c r="A912"/>
  <c r="C911"/>
  <c r="B911"/>
  <c r="A911"/>
  <c r="C910"/>
  <c r="B910"/>
  <c r="A910"/>
  <c r="C909"/>
  <c r="B909"/>
  <c r="A909"/>
  <c r="C908"/>
  <c r="B908"/>
  <c r="A908"/>
  <c r="C907"/>
  <c r="B907"/>
  <c r="A907"/>
  <c r="C906"/>
  <c r="B906"/>
  <c r="A906"/>
  <c r="C905"/>
  <c r="B905"/>
  <c r="A905"/>
  <c r="C904"/>
  <c r="B904"/>
  <c r="A904"/>
  <c r="C903"/>
  <c r="B903"/>
  <c r="A903"/>
  <c r="C902"/>
  <c r="B902"/>
  <c r="A902"/>
  <c r="C901"/>
  <c r="B901"/>
  <c r="A901"/>
  <c r="C900"/>
  <c r="B900"/>
  <c r="A900"/>
  <c r="C899"/>
  <c r="B899"/>
  <c r="A899"/>
  <c r="C898"/>
  <c r="B898"/>
  <c r="A898"/>
  <c r="C897"/>
  <c r="B897"/>
  <c r="A897"/>
  <c r="C896"/>
  <c r="B896"/>
  <c r="A896"/>
  <c r="C895"/>
  <c r="B895"/>
  <c r="A895"/>
  <c r="C894"/>
  <c r="B894"/>
  <c r="A894"/>
  <c r="C893"/>
  <c r="B893"/>
  <c r="A893"/>
  <c r="C892"/>
  <c r="B892"/>
  <c r="A892"/>
  <c r="C891"/>
  <c r="B891"/>
  <c r="A891"/>
  <c r="C890"/>
  <c r="B890"/>
  <c r="A890"/>
  <c r="C889"/>
  <c r="B889"/>
  <c r="A889"/>
  <c r="C888"/>
  <c r="B888"/>
  <c r="A888"/>
  <c r="C887"/>
  <c r="B887"/>
  <c r="A887"/>
  <c r="C886"/>
  <c r="B886"/>
  <c r="A886"/>
  <c r="C885"/>
  <c r="B885"/>
  <c r="A885"/>
  <c r="C884"/>
  <c r="B884"/>
  <c r="A884"/>
  <c r="C883"/>
  <c r="B883"/>
  <c r="A883"/>
  <c r="C882"/>
  <c r="B882"/>
  <c r="A882"/>
  <c r="C881"/>
  <c r="B881"/>
  <c r="A881"/>
  <c r="C880"/>
  <c r="B880"/>
  <c r="A880"/>
  <c r="C879"/>
  <c r="B879"/>
  <c r="A879"/>
  <c r="C878"/>
  <c r="B878"/>
  <c r="A878"/>
  <c r="C877"/>
  <c r="B877"/>
  <c r="A877"/>
  <c r="C876"/>
  <c r="B876"/>
  <c r="A876"/>
  <c r="C875"/>
  <c r="B875"/>
  <c r="A875"/>
  <c r="C874"/>
  <c r="B874"/>
  <c r="A874"/>
  <c r="C873"/>
  <c r="B873"/>
  <c r="A873"/>
  <c r="C872"/>
  <c r="B872"/>
  <c r="A872"/>
  <c r="C871"/>
  <c r="B871"/>
  <c r="A871"/>
  <c r="C870"/>
  <c r="B870"/>
  <c r="A870"/>
  <c r="C869"/>
  <c r="B869"/>
  <c r="A869"/>
  <c r="C868"/>
  <c r="B868"/>
  <c r="A868"/>
  <c r="C867"/>
  <c r="B867"/>
  <c r="A867"/>
  <c r="C866"/>
  <c r="B866"/>
  <c r="A866"/>
  <c r="C865"/>
  <c r="B865"/>
  <c r="A865"/>
  <c r="C864"/>
  <c r="B864"/>
  <c r="A864"/>
  <c r="C863"/>
  <c r="B863"/>
  <c r="A863"/>
  <c r="C862"/>
  <c r="B862"/>
  <c r="A862"/>
  <c r="C861"/>
  <c r="B861"/>
  <c r="A861"/>
  <c r="C860"/>
  <c r="B860"/>
  <c r="A860"/>
  <c r="C859"/>
  <c r="B859"/>
  <c r="A859"/>
  <c r="C858"/>
  <c r="B858"/>
  <c r="A858"/>
  <c r="C857"/>
  <c r="B857"/>
  <c r="A857"/>
  <c r="C856"/>
  <c r="B856"/>
  <c r="A856"/>
  <c r="C855"/>
  <c r="B855"/>
  <c r="A855"/>
  <c r="C854"/>
  <c r="B854"/>
  <c r="A854"/>
  <c r="C853"/>
  <c r="B853"/>
  <c r="A853"/>
  <c r="C852"/>
  <c r="B852"/>
  <c r="A852"/>
  <c r="C851"/>
  <c r="B851"/>
  <c r="A851"/>
  <c r="C850"/>
  <c r="B850"/>
  <c r="A850"/>
  <c r="C849"/>
  <c r="B849"/>
  <c r="A849"/>
  <c r="C848"/>
  <c r="B848"/>
  <c r="A848"/>
  <c r="C847"/>
  <c r="B847"/>
  <c r="A847"/>
  <c r="C846"/>
  <c r="B846"/>
  <c r="A846"/>
  <c r="C845"/>
  <c r="B845"/>
  <c r="A845"/>
  <c r="C844"/>
  <c r="B844"/>
  <c r="A844"/>
  <c r="C843"/>
  <c r="B843"/>
  <c r="A843"/>
  <c r="C842"/>
  <c r="B842"/>
  <c r="A842"/>
  <c r="C841"/>
  <c r="B841"/>
  <c r="A841"/>
  <c r="C840"/>
  <c r="B840"/>
  <c r="A840"/>
  <c r="C839"/>
  <c r="B839"/>
  <c r="A839"/>
  <c r="C838"/>
  <c r="B838"/>
  <c r="A838"/>
  <c r="C837"/>
  <c r="B837"/>
  <c r="A837"/>
  <c r="C836"/>
  <c r="B836"/>
  <c r="A836"/>
  <c r="C835"/>
  <c r="B835"/>
  <c r="A835"/>
  <c r="C834"/>
  <c r="B834"/>
  <c r="A834"/>
  <c r="C833"/>
  <c r="B833"/>
  <c r="A833"/>
  <c r="C832"/>
  <c r="B832"/>
  <c r="A832"/>
  <c r="C831"/>
  <c r="B831"/>
  <c r="A831"/>
  <c r="C830"/>
  <c r="B830"/>
  <c r="A830"/>
  <c r="C829"/>
  <c r="B829"/>
  <c r="A829"/>
  <c r="C828"/>
  <c r="B828"/>
  <c r="A828"/>
  <c r="C827"/>
  <c r="B827"/>
  <c r="A827"/>
  <c r="C826"/>
  <c r="B826"/>
  <c r="A826"/>
  <c r="C825"/>
  <c r="B825"/>
  <c r="A825"/>
  <c r="C824"/>
  <c r="B824"/>
  <c r="A824"/>
  <c r="C823"/>
  <c r="B823"/>
  <c r="A823"/>
  <c r="C822"/>
  <c r="B822"/>
  <c r="A822"/>
  <c r="C821"/>
  <c r="B821"/>
  <c r="A821"/>
  <c r="C820"/>
  <c r="B820"/>
  <c r="A820"/>
  <c r="C819"/>
  <c r="B819"/>
  <c r="A819"/>
  <c r="C818"/>
  <c r="B818"/>
  <c r="A818"/>
  <c r="C817"/>
  <c r="B817"/>
  <c r="A817"/>
  <c r="C816"/>
  <c r="B816"/>
  <c r="A816"/>
  <c r="C815"/>
  <c r="B815"/>
  <c r="A815"/>
  <c r="C814"/>
  <c r="B814"/>
  <c r="A814"/>
  <c r="C813"/>
  <c r="B813"/>
  <c r="A813"/>
  <c r="C812"/>
  <c r="B812"/>
  <c r="A812"/>
  <c r="C811"/>
  <c r="B811"/>
  <c r="A811"/>
  <c r="C810"/>
  <c r="B810"/>
  <c r="A810"/>
  <c r="C809"/>
  <c r="B809"/>
  <c r="A809"/>
  <c r="C808"/>
  <c r="B808"/>
  <c r="A808"/>
  <c r="C807"/>
  <c r="B807"/>
  <c r="A807"/>
  <c r="C806"/>
  <c r="B806"/>
  <c r="A806"/>
  <c r="C805"/>
  <c r="B805"/>
  <c r="A805"/>
  <c r="C804"/>
  <c r="B804"/>
  <c r="A804"/>
  <c r="C803"/>
  <c r="B803"/>
  <c r="A803"/>
  <c r="C802"/>
  <c r="B802"/>
  <c r="A802"/>
  <c r="C801"/>
  <c r="B801"/>
  <c r="A801"/>
  <c r="C800"/>
  <c r="B800"/>
  <c r="A800"/>
  <c r="C799"/>
  <c r="B799"/>
  <c r="A799"/>
  <c r="C798"/>
  <c r="B798"/>
  <c r="A798"/>
  <c r="C797"/>
  <c r="B797"/>
  <c r="A797"/>
  <c r="C796"/>
  <c r="B796"/>
  <c r="A796"/>
  <c r="C795"/>
  <c r="B795"/>
  <c r="A795"/>
  <c r="C794"/>
  <c r="B794"/>
  <c r="A794"/>
  <c r="C793"/>
  <c r="B793"/>
  <c r="A793"/>
  <c r="C792"/>
  <c r="B792"/>
  <c r="A792"/>
  <c r="C791"/>
  <c r="B791"/>
  <c r="A791"/>
  <c r="C790"/>
  <c r="B790"/>
  <c r="A790"/>
  <c r="C789"/>
  <c r="B789"/>
  <c r="A789"/>
  <c r="C788"/>
  <c r="B788"/>
  <c r="A788"/>
  <c r="C787"/>
  <c r="B787"/>
  <c r="A787"/>
  <c r="C786"/>
  <c r="B786"/>
  <c r="A786"/>
  <c r="C785"/>
  <c r="B785"/>
  <c r="A785"/>
  <c r="C784"/>
  <c r="B784"/>
  <c r="A784"/>
  <c r="C783"/>
  <c r="B783"/>
  <c r="A783"/>
  <c r="C782"/>
  <c r="B782"/>
  <c r="A782"/>
  <c r="C781"/>
  <c r="B781"/>
  <c r="A781"/>
  <c r="C780"/>
  <c r="B780"/>
  <c r="A780"/>
  <c r="C779"/>
  <c r="B779"/>
  <c r="A779"/>
  <c r="C778"/>
  <c r="B778"/>
  <c r="A778"/>
  <c r="C777"/>
  <c r="B777"/>
  <c r="A777"/>
  <c r="C776"/>
  <c r="B776"/>
  <c r="A776"/>
  <c r="C775"/>
  <c r="B775"/>
  <c r="A775"/>
  <c r="C774"/>
  <c r="B774"/>
  <c r="A774"/>
  <c r="C773"/>
  <c r="B773"/>
  <c r="A773"/>
  <c r="C772"/>
  <c r="B772"/>
  <c r="A772"/>
  <c r="C771"/>
  <c r="B771"/>
  <c r="A771"/>
  <c r="C770"/>
  <c r="B770"/>
  <c r="A770"/>
  <c r="C769"/>
  <c r="B769"/>
  <c r="A769"/>
  <c r="C768"/>
  <c r="B768"/>
  <c r="A768"/>
  <c r="C767"/>
  <c r="B767"/>
  <c r="A767"/>
  <c r="C766"/>
  <c r="B766"/>
  <c r="A766"/>
  <c r="C765"/>
  <c r="B765"/>
  <c r="A765"/>
  <c r="C764"/>
  <c r="B764"/>
  <c r="A764"/>
  <c r="C763"/>
  <c r="B763"/>
  <c r="A763"/>
  <c r="C762"/>
  <c r="B762"/>
  <c r="A762"/>
  <c r="C761"/>
  <c r="B761"/>
  <c r="A761"/>
  <c r="C760"/>
  <c r="B760"/>
  <c r="A760"/>
  <c r="C759"/>
  <c r="B759"/>
  <c r="A759"/>
  <c r="C758"/>
  <c r="B758"/>
  <c r="A758"/>
  <c r="C757"/>
  <c r="B757"/>
  <c r="A757"/>
  <c r="C756"/>
  <c r="B756"/>
  <c r="A756"/>
  <c r="C755"/>
  <c r="B755"/>
  <c r="A755"/>
  <c r="C754"/>
  <c r="B754"/>
  <c r="A754"/>
  <c r="C753"/>
  <c r="B753"/>
  <c r="A753"/>
  <c r="C752"/>
  <c r="B752"/>
  <c r="A752"/>
  <c r="C751"/>
  <c r="B751"/>
  <c r="A751"/>
  <c r="C750"/>
  <c r="B750"/>
  <c r="A750"/>
  <c r="C749"/>
  <c r="B749"/>
  <c r="A749"/>
  <c r="C748"/>
  <c r="B748"/>
  <c r="A748"/>
  <c r="C747"/>
  <c r="B747"/>
  <c r="A747"/>
  <c r="C746"/>
  <c r="B746"/>
  <c r="A746"/>
  <c r="C745"/>
  <c r="B745"/>
  <c r="A745"/>
  <c r="C744"/>
  <c r="B744"/>
  <c r="A744"/>
  <c r="C743"/>
  <c r="B743"/>
  <c r="A743"/>
  <c r="C742"/>
  <c r="B742"/>
  <c r="A742"/>
  <c r="C741"/>
  <c r="B741"/>
  <c r="A741"/>
  <c r="C740"/>
  <c r="B740"/>
  <c r="A740"/>
  <c r="C739"/>
  <c r="B739"/>
  <c r="A739"/>
  <c r="C738"/>
  <c r="B738"/>
  <c r="A738"/>
  <c r="C737"/>
  <c r="B737"/>
  <c r="A737"/>
  <c r="C736"/>
  <c r="B736"/>
  <c r="A736"/>
  <c r="C735"/>
  <c r="B735"/>
  <c r="A735"/>
  <c r="C734"/>
  <c r="B734"/>
  <c r="A734"/>
  <c r="C733"/>
  <c r="B733"/>
  <c r="A733"/>
  <c r="C732"/>
  <c r="B732"/>
  <c r="A732"/>
  <c r="C731"/>
  <c r="B731"/>
  <c r="A731"/>
  <c r="C730"/>
  <c r="B730"/>
  <c r="A730"/>
  <c r="C729"/>
  <c r="B729"/>
  <c r="A729"/>
  <c r="C728"/>
  <c r="B728"/>
  <c r="A728"/>
  <c r="C727"/>
  <c r="B727"/>
  <c r="A727"/>
  <c r="C726"/>
  <c r="B726"/>
  <c r="A726"/>
  <c r="C725"/>
  <c r="B725"/>
  <c r="A725"/>
  <c r="C724"/>
  <c r="B724"/>
  <c r="A724"/>
  <c r="C723"/>
  <c r="B723"/>
  <c r="A723"/>
  <c r="C722"/>
  <c r="B722"/>
  <c r="A722"/>
  <c r="C721"/>
  <c r="B721"/>
  <c r="A721"/>
  <c r="C720"/>
  <c r="B720"/>
  <c r="A720"/>
  <c r="C719"/>
  <c r="B719"/>
  <c r="A719"/>
  <c r="C718"/>
  <c r="B718"/>
  <c r="A718"/>
  <c r="C717"/>
  <c r="B717"/>
  <c r="A717"/>
  <c r="C716"/>
  <c r="B716"/>
  <c r="A716"/>
  <c r="C715"/>
  <c r="B715"/>
  <c r="A715"/>
  <c r="C714"/>
  <c r="B714"/>
  <c r="A714"/>
  <c r="C713"/>
  <c r="B713"/>
  <c r="A713"/>
  <c r="C712"/>
  <c r="B712"/>
  <c r="A712"/>
  <c r="C711"/>
  <c r="B711"/>
  <c r="A711"/>
  <c r="C710"/>
  <c r="B710"/>
  <c r="A710"/>
  <c r="C709"/>
  <c r="B709"/>
  <c r="A709"/>
  <c r="C708"/>
  <c r="B708"/>
  <c r="A708"/>
  <c r="C707"/>
  <c r="B707"/>
  <c r="A707"/>
  <c r="C706"/>
  <c r="B706"/>
  <c r="A706"/>
  <c r="C705"/>
  <c r="B705"/>
  <c r="A705"/>
  <c r="C704"/>
  <c r="B704"/>
  <c r="A704"/>
  <c r="C703"/>
  <c r="B703"/>
  <c r="A703"/>
  <c r="C702"/>
  <c r="B702"/>
  <c r="A702"/>
  <c r="C701"/>
  <c r="B701"/>
  <c r="A701"/>
  <c r="C700"/>
  <c r="B700"/>
  <c r="A700"/>
  <c r="C699"/>
  <c r="B699"/>
  <c r="A699"/>
  <c r="C698"/>
  <c r="B698"/>
  <c r="A698"/>
  <c r="C697"/>
  <c r="B697"/>
  <c r="A697"/>
  <c r="C696"/>
  <c r="B696"/>
  <c r="A696"/>
  <c r="C695"/>
  <c r="B695"/>
  <c r="A695"/>
  <c r="C694"/>
  <c r="B694"/>
  <c r="A694"/>
  <c r="C693"/>
  <c r="B693"/>
  <c r="A693"/>
  <c r="C692"/>
  <c r="B692"/>
  <c r="A692"/>
  <c r="C691"/>
  <c r="B691"/>
  <c r="A691"/>
  <c r="C690"/>
  <c r="B690"/>
  <c r="A690"/>
  <c r="C689"/>
  <c r="B689"/>
  <c r="A689"/>
  <c r="C688"/>
  <c r="B688"/>
  <c r="A688"/>
  <c r="C687"/>
  <c r="B687"/>
  <c r="A687"/>
  <c r="C686"/>
  <c r="B686"/>
  <c r="A686"/>
  <c r="C685"/>
  <c r="B685"/>
  <c r="A685"/>
  <c r="C684"/>
  <c r="B684"/>
  <c r="A684"/>
  <c r="C683"/>
  <c r="B683"/>
  <c r="A683"/>
  <c r="C682"/>
  <c r="B682"/>
  <c r="A682"/>
  <c r="C681"/>
  <c r="B681"/>
  <c r="A681"/>
  <c r="C680"/>
  <c r="B680"/>
  <c r="A680"/>
  <c r="C679"/>
  <c r="B679"/>
  <c r="A679"/>
  <c r="C678"/>
  <c r="B678"/>
  <c r="A678"/>
  <c r="C677"/>
  <c r="B677"/>
  <c r="A677"/>
  <c r="C676"/>
  <c r="B676"/>
  <c r="A676"/>
  <c r="C675"/>
  <c r="B675"/>
  <c r="A675"/>
  <c r="C674"/>
  <c r="B674"/>
  <c r="A674"/>
  <c r="C673"/>
  <c r="B673"/>
  <c r="A673"/>
  <c r="C672"/>
  <c r="B672"/>
  <c r="A672"/>
  <c r="C671"/>
  <c r="B671"/>
  <c r="A671"/>
  <c r="C670"/>
  <c r="B670"/>
  <c r="A670"/>
  <c r="C669"/>
  <c r="B669"/>
  <c r="A669"/>
  <c r="C668"/>
  <c r="B668"/>
  <c r="A668"/>
  <c r="C667"/>
  <c r="B667"/>
  <c r="A667"/>
  <c r="C666"/>
  <c r="B666"/>
  <c r="A666"/>
  <c r="C665"/>
  <c r="B665"/>
  <c r="A665"/>
  <c r="C664"/>
  <c r="B664"/>
  <c r="A664"/>
  <c r="C663"/>
  <c r="B663"/>
  <c r="A663"/>
  <c r="C662"/>
  <c r="B662"/>
  <c r="A662"/>
  <c r="C661"/>
  <c r="B661"/>
  <c r="A661"/>
  <c r="C660"/>
  <c r="B660"/>
  <c r="A660"/>
  <c r="C659"/>
  <c r="B659"/>
  <c r="A659"/>
  <c r="C658"/>
  <c r="B658"/>
  <c r="A658"/>
  <c r="C657"/>
  <c r="B657"/>
  <c r="A657"/>
  <c r="C656"/>
  <c r="B656"/>
  <c r="A656"/>
  <c r="C655"/>
  <c r="B655"/>
  <c r="A655"/>
  <c r="C654"/>
  <c r="B654"/>
  <c r="A654"/>
  <c r="C653"/>
  <c r="B653"/>
  <c r="A653"/>
  <c r="C652"/>
  <c r="B652"/>
  <c r="A652"/>
  <c r="C651"/>
  <c r="B651"/>
  <c r="A651"/>
  <c r="C650"/>
  <c r="B650"/>
  <c r="A650"/>
  <c r="C649"/>
  <c r="B649"/>
  <c r="A649"/>
  <c r="C648"/>
  <c r="B648"/>
  <c r="A648"/>
  <c r="C647"/>
  <c r="B647"/>
  <c r="A647"/>
  <c r="C646"/>
  <c r="B646"/>
  <c r="A646"/>
  <c r="C645"/>
  <c r="B645"/>
  <c r="A645"/>
  <c r="C644"/>
  <c r="B644"/>
  <c r="A644"/>
  <c r="C643"/>
  <c r="B643"/>
  <c r="A643"/>
  <c r="C642"/>
  <c r="B642"/>
  <c r="A642"/>
  <c r="C641"/>
  <c r="B641"/>
  <c r="A641"/>
  <c r="C640"/>
  <c r="B640"/>
  <c r="A640"/>
  <c r="C639"/>
  <c r="B639"/>
  <c r="A639"/>
  <c r="C638"/>
  <c r="B638"/>
  <c r="A638"/>
  <c r="C637"/>
  <c r="B637"/>
  <c r="A637"/>
  <c r="C636"/>
  <c r="B636"/>
  <c r="A636"/>
  <c r="C635"/>
  <c r="B635"/>
  <c r="A635"/>
  <c r="C634"/>
  <c r="B634"/>
  <c r="A634"/>
  <c r="C633"/>
  <c r="B633"/>
  <c r="A633"/>
  <c r="C632"/>
  <c r="B632"/>
  <c r="A632"/>
  <c r="C631"/>
  <c r="B631"/>
  <c r="A631"/>
  <c r="C630"/>
  <c r="B630"/>
  <c r="A630"/>
  <c r="C629"/>
  <c r="B629"/>
  <c r="A629"/>
  <c r="C628"/>
  <c r="B628"/>
  <c r="A628"/>
  <c r="C627"/>
  <c r="B627"/>
  <c r="A627"/>
  <c r="C626"/>
  <c r="B626"/>
  <c r="A626"/>
  <c r="C625"/>
  <c r="B625"/>
  <c r="A625"/>
  <c r="C624"/>
  <c r="B624"/>
  <c r="A624"/>
  <c r="C623"/>
  <c r="B623"/>
  <c r="A623"/>
  <c r="C622"/>
  <c r="B622"/>
  <c r="A622"/>
  <c r="C621"/>
  <c r="B621"/>
  <c r="A621"/>
  <c r="C620"/>
  <c r="B620"/>
  <c r="A620"/>
  <c r="C619"/>
  <c r="B619"/>
  <c r="A619"/>
  <c r="C618"/>
  <c r="B618"/>
  <c r="A618"/>
  <c r="C617"/>
  <c r="B617"/>
  <c r="A617"/>
  <c r="C616"/>
  <c r="B616"/>
  <c r="A616"/>
  <c r="C615"/>
  <c r="B615"/>
  <c r="A615"/>
  <c r="C614"/>
  <c r="B614"/>
  <c r="A614"/>
  <c r="C613"/>
  <c r="B613"/>
  <c r="A613"/>
  <c r="C612"/>
  <c r="B612"/>
  <c r="A612"/>
  <c r="C611"/>
  <c r="B611"/>
  <c r="A611"/>
  <c r="C610"/>
  <c r="B610"/>
  <c r="A610"/>
  <c r="C609"/>
  <c r="B609"/>
  <c r="A609"/>
  <c r="C608"/>
  <c r="B608"/>
  <c r="A608"/>
  <c r="C607"/>
  <c r="B607"/>
  <c r="A607"/>
  <c r="C606"/>
  <c r="B606"/>
  <c r="A606"/>
  <c r="C605"/>
  <c r="B605"/>
  <c r="A605"/>
  <c r="C604"/>
  <c r="B604"/>
  <c r="A604"/>
  <c r="C603"/>
  <c r="B603"/>
  <c r="A603"/>
  <c r="C602"/>
  <c r="B602"/>
  <c r="A602"/>
  <c r="C601"/>
  <c r="B601"/>
  <c r="A601"/>
  <c r="C600"/>
  <c r="B600"/>
  <c r="A600"/>
  <c r="C599"/>
  <c r="B599"/>
  <c r="A599"/>
  <c r="C598"/>
  <c r="B598"/>
  <c r="A598"/>
  <c r="C597"/>
  <c r="B597"/>
  <c r="A597"/>
  <c r="C596"/>
  <c r="B596"/>
  <c r="A596"/>
  <c r="C595"/>
  <c r="B595"/>
  <c r="A595"/>
  <c r="C594"/>
  <c r="B594"/>
  <c r="A594"/>
  <c r="C593"/>
  <c r="B593"/>
  <c r="A593"/>
  <c r="C592"/>
  <c r="B592"/>
  <c r="A592"/>
  <c r="C591"/>
  <c r="B591"/>
  <c r="A591"/>
  <c r="C590"/>
  <c r="B590"/>
  <c r="A590"/>
  <c r="C589"/>
  <c r="B589"/>
  <c r="A589"/>
  <c r="C588"/>
  <c r="B588"/>
  <c r="A588"/>
  <c r="C587"/>
  <c r="B587"/>
  <c r="A587"/>
  <c r="C586"/>
  <c r="B586"/>
  <c r="A586"/>
  <c r="C585"/>
  <c r="B585"/>
  <c r="A585"/>
  <c r="C584"/>
  <c r="B584"/>
  <c r="A584"/>
  <c r="C583"/>
  <c r="B583"/>
  <c r="A583"/>
  <c r="C582"/>
  <c r="B582"/>
  <c r="A582"/>
  <c r="C581"/>
  <c r="B581"/>
  <c r="A581"/>
  <c r="C580"/>
  <c r="B580"/>
  <c r="A580"/>
  <c r="C579"/>
  <c r="B579"/>
  <c r="A579"/>
  <c r="C578"/>
  <c r="B578"/>
  <c r="A578"/>
  <c r="C577"/>
  <c r="B577"/>
  <c r="A577"/>
  <c r="C576"/>
  <c r="B576"/>
  <c r="A576"/>
  <c r="C575"/>
  <c r="B575"/>
  <c r="A575"/>
  <c r="C574"/>
  <c r="B574"/>
  <c r="A574"/>
  <c r="C573"/>
  <c r="B573"/>
  <c r="A573"/>
  <c r="C572"/>
  <c r="B572"/>
  <c r="A572"/>
  <c r="C571"/>
  <c r="B571"/>
  <c r="A571"/>
  <c r="C570"/>
  <c r="B570"/>
  <c r="A570"/>
  <c r="C569"/>
  <c r="B569"/>
  <c r="A569"/>
  <c r="C568"/>
  <c r="B568"/>
  <c r="A568"/>
  <c r="C567"/>
  <c r="B567"/>
  <c r="A567"/>
  <c r="C566"/>
  <c r="B566"/>
  <c r="A566"/>
  <c r="C565"/>
  <c r="B565"/>
  <c r="A565"/>
  <c r="C564"/>
  <c r="B564"/>
  <c r="A564"/>
  <c r="C563"/>
  <c r="B563"/>
  <c r="A563"/>
  <c r="C562"/>
  <c r="B562"/>
  <c r="A562"/>
  <c r="C561"/>
  <c r="B561"/>
  <c r="A561"/>
  <c r="C560"/>
  <c r="B560"/>
  <c r="A560"/>
  <c r="C559"/>
  <c r="B559"/>
  <c r="A559"/>
  <c r="C558"/>
  <c r="B558"/>
  <c r="A558"/>
  <c r="C557"/>
  <c r="B557"/>
  <c r="A557"/>
  <c r="C556"/>
  <c r="B556"/>
  <c r="A556"/>
  <c r="C555"/>
  <c r="B555"/>
  <c r="A555"/>
  <c r="C554"/>
  <c r="B554"/>
  <c r="A554"/>
  <c r="C553"/>
  <c r="B553"/>
  <c r="A553"/>
  <c r="C552"/>
  <c r="B552"/>
  <c r="A552"/>
  <c r="C551"/>
  <c r="B551"/>
  <c r="A551"/>
  <c r="C550"/>
  <c r="B550"/>
  <c r="A550"/>
  <c r="C549"/>
  <c r="B549"/>
  <c r="A549"/>
  <c r="C548"/>
  <c r="B548"/>
  <c r="A548"/>
  <c r="C547"/>
  <c r="B547"/>
  <c r="A547"/>
  <c r="C546"/>
  <c r="B546"/>
  <c r="A546"/>
  <c r="C545"/>
  <c r="B545"/>
  <c r="A545"/>
  <c r="C544"/>
  <c r="B544"/>
  <c r="A544"/>
  <c r="C543"/>
  <c r="B543"/>
  <c r="A543"/>
  <c r="C542"/>
  <c r="B542"/>
  <c r="A542"/>
  <c r="C541"/>
  <c r="B541"/>
  <c r="A541"/>
  <c r="C540"/>
  <c r="B540"/>
  <c r="A540"/>
  <c r="C539"/>
  <c r="B539"/>
  <c r="A539"/>
  <c r="C538"/>
  <c r="B538"/>
  <c r="A538"/>
  <c r="C537"/>
  <c r="B537"/>
  <c r="A537"/>
  <c r="C536"/>
  <c r="B536"/>
  <c r="A536"/>
  <c r="C535"/>
  <c r="B535"/>
  <c r="A535"/>
  <c r="C534"/>
  <c r="B534"/>
  <c r="A534"/>
  <c r="C533"/>
  <c r="B533"/>
  <c r="A533"/>
  <c r="C532"/>
  <c r="B532"/>
  <c r="A532"/>
  <c r="C531"/>
  <c r="B531"/>
  <c r="A531"/>
  <c r="C530"/>
  <c r="B530"/>
  <c r="A530"/>
  <c r="C529"/>
  <c r="B529"/>
  <c r="A529"/>
  <c r="C528"/>
  <c r="B528"/>
  <c r="A528"/>
  <c r="C527"/>
  <c r="B527"/>
  <c r="A527"/>
  <c r="C526"/>
  <c r="B526"/>
  <c r="A526"/>
  <c r="C525"/>
  <c r="B525"/>
  <c r="A525"/>
  <c r="C524"/>
  <c r="B524"/>
  <c r="A524"/>
  <c r="C523"/>
  <c r="B523"/>
  <c r="A523"/>
  <c r="C522"/>
  <c r="B522"/>
  <c r="A522"/>
  <c r="C521"/>
  <c r="B521"/>
  <c r="A521"/>
  <c r="C520"/>
  <c r="B520"/>
  <c r="A520"/>
  <c r="C519"/>
  <c r="B519"/>
  <c r="A519"/>
  <c r="C518"/>
  <c r="B518"/>
  <c r="A518"/>
  <c r="C517"/>
  <c r="B517"/>
  <c r="A517"/>
  <c r="C516"/>
  <c r="B516"/>
  <c r="A516"/>
  <c r="C515"/>
  <c r="B515"/>
  <c r="A515"/>
  <c r="C514"/>
  <c r="B514"/>
  <c r="A514"/>
  <c r="C513"/>
  <c r="B513"/>
  <c r="A513"/>
  <c r="C512"/>
  <c r="B512"/>
  <c r="A512"/>
  <c r="C511"/>
  <c r="B511"/>
  <c r="A511"/>
  <c r="C510"/>
  <c r="B510"/>
  <c r="A510"/>
  <c r="C509"/>
  <c r="B509"/>
  <c r="A509"/>
  <c r="C508"/>
  <c r="B508"/>
  <c r="A508"/>
  <c r="C507"/>
  <c r="B507"/>
  <c r="A507"/>
  <c r="C506"/>
  <c r="B506"/>
  <c r="A506"/>
  <c r="C505"/>
  <c r="B505"/>
  <c r="A505"/>
  <c r="C504"/>
  <c r="B504"/>
  <c r="A504"/>
  <c r="C503"/>
  <c r="B503"/>
  <c r="A503"/>
  <c r="C502"/>
  <c r="B502"/>
  <c r="A502"/>
  <c r="C501"/>
  <c r="B501"/>
  <c r="A501"/>
  <c r="C500"/>
  <c r="B500"/>
  <c r="A500"/>
  <c r="C499"/>
  <c r="B499"/>
  <c r="A499"/>
  <c r="C498"/>
  <c r="B498"/>
  <c r="A498"/>
  <c r="C497"/>
  <c r="B497"/>
  <c r="A497"/>
  <c r="C496"/>
  <c r="B496"/>
  <c r="A496"/>
  <c r="C495"/>
  <c r="B495"/>
  <c r="A495"/>
  <c r="C494"/>
  <c r="B494"/>
  <c r="A494"/>
  <c r="C493"/>
  <c r="B493"/>
  <c r="A493"/>
  <c r="C492"/>
  <c r="B492"/>
  <c r="A492"/>
  <c r="C491"/>
  <c r="B491"/>
  <c r="A491"/>
  <c r="C490"/>
  <c r="B490"/>
  <c r="A490"/>
  <c r="C489"/>
  <c r="B489"/>
  <c r="A489"/>
  <c r="C488"/>
  <c r="B488"/>
  <c r="A488"/>
  <c r="C487"/>
  <c r="B487"/>
  <c r="A487"/>
  <c r="C486"/>
  <c r="B486"/>
  <c r="A486"/>
  <c r="C485"/>
  <c r="B485"/>
  <c r="A485"/>
  <c r="C484"/>
  <c r="B484"/>
  <c r="A484"/>
  <c r="C483"/>
  <c r="B483"/>
  <c r="A483"/>
  <c r="C482"/>
  <c r="B482"/>
  <c r="A482"/>
  <c r="C481"/>
  <c r="B481"/>
  <c r="A481"/>
  <c r="C480"/>
  <c r="B480"/>
  <c r="A480"/>
  <c r="C479"/>
  <c r="B479"/>
  <c r="A479"/>
  <c r="C478"/>
  <c r="B478"/>
  <c r="A478"/>
  <c r="C477"/>
  <c r="B477"/>
  <c r="A477"/>
  <c r="C476"/>
  <c r="B476"/>
  <c r="A476"/>
  <c r="C475"/>
  <c r="B475"/>
  <c r="A475"/>
  <c r="C474"/>
  <c r="B474"/>
  <c r="A474"/>
  <c r="C473"/>
  <c r="B473"/>
  <c r="A473"/>
  <c r="C472"/>
  <c r="B472"/>
  <c r="A472"/>
  <c r="C471"/>
  <c r="B471"/>
  <c r="A471"/>
  <c r="C470"/>
  <c r="B470"/>
  <c r="A470"/>
  <c r="C469"/>
  <c r="B469"/>
  <c r="A469"/>
  <c r="C468"/>
  <c r="B468"/>
  <c r="A468"/>
  <c r="C467"/>
  <c r="B467"/>
  <c r="A467"/>
  <c r="C466"/>
  <c r="B466"/>
  <c r="A466"/>
  <c r="C465"/>
  <c r="B465"/>
  <c r="A465"/>
  <c r="C464"/>
  <c r="B464"/>
  <c r="A464"/>
  <c r="C463"/>
  <c r="B463"/>
  <c r="A463"/>
  <c r="C462"/>
  <c r="B462"/>
  <c r="A462"/>
  <c r="C461"/>
  <c r="B461"/>
  <c r="A461"/>
  <c r="C460"/>
  <c r="B460"/>
  <c r="A460"/>
  <c r="C459"/>
  <c r="B459"/>
  <c r="A459"/>
  <c r="C458"/>
  <c r="B458"/>
  <c r="A458"/>
  <c r="C457"/>
  <c r="B457"/>
  <c r="A457"/>
  <c r="C456"/>
  <c r="B456"/>
  <c r="A456"/>
  <c r="C455"/>
  <c r="B455"/>
  <c r="A455"/>
  <c r="C454"/>
  <c r="B454"/>
  <c r="A454"/>
  <c r="C453"/>
  <c r="B453"/>
  <c r="A453"/>
  <c r="C452"/>
  <c r="B452"/>
  <c r="A452"/>
  <c r="C451"/>
  <c r="B451"/>
  <c r="A451"/>
  <c r="C450"/>
  <c r="B450"/>
  <c r="A450"/>
  <c r="C449"/>
  <c r="B449"/>
  <c r="A449"/>
  <c r="C448"/>
  <c r="B448"/>
  <c r="A448"/>
  <c r="C447"/>
  <c r="B447"/>
  <c r="A447"/>
  <c r="C446"/>
  <c r="B446"/>
  <c r="A446"/>
  <c r="C445"/>
  <c r="B445"/>
  <c r="A445"/>
  <c r="C444"/>
  <c r="B444"/>
  <c r="A444"/>
  <c r="C443"/>
  <c r="B443"/>
  <c r="A443"/>
  <c r="C442"/>
  <c r="B442"/>
  <c r="A442"/>
  <c r="C441"/>
  <c r="B441"/>
  <c r="A441"/>
  <c r="C440"/>
  <c r="B440"/>
  <c r="A440"/>
  <c r="C439"/>
  <c r="B439"/>
  <c r="A439"/>
  <c r="C438"/>
  <c r="B438"/>
  <c r="A438"/>
  <c r="C437"/>
  <c r="B437"/>
  <c r="A437"/>
  <c r="C436"/>
  <c r="B436"/>
  <c r="A436"/>
  <c r="C435"/>
  <c r="B435"/>
  <c r="A435"/>
  <c r="C434"/>
  <c r="B434"/>
  <c r="A434"/>
  <c r="C433"/>
  <c r="B433"/>
  <c r="A433"/>
  <c r="C432"/>
  <c r="B432"/>
  <c r="A432"/>
  <c r="C431"/>
  <c r="B431"/>
  <c r="A431"/>
  <c r="C430"/>
  <c r="B430"/>
  <c r="A430"/>
  <c r="C429"/>
  <c r="B429"/>
  <c r="A429"/>
  <c r="C428"/>
  <c r="B428"/>
  <c r="A428"/>
  <c r="C427"/>
  <c r="B427"/>
  <c r="A427"/>
  <c r="C426"/>
  <c r="B426"/>
  <c r="A426"/>
  <c r="C425"/>
  <c r="B425"/>
  <c r="A425"/>
  <c r="C424"/>
  <c r="B424"/>
  <c r="A424"/>
  <c r="C423"/>
  <c r="B423"/>
  <c r="A423"/>
  <c r="C422"/>
  <c r="B422"/>
  <c r="A422"/>
  <c r="C421"/>
  <c r="B421"/>
  <c r="A421"/>
  <c r="C420"/>
  <c r="B420"/>
  <c r="A420"/>
  <c r="C419"/>
  <c r="B419"/>
  <c r="A419"/>
  <c r="C418"/>
  <c r="B418"/>
  <c r="A418"/>
  <c r="C417"/>
  <c r="B417"/>
  <c r="A417"/>
  <c r="C416"/>
  <c r="B416"/>
  <c r="A416"/>
  <c r="C415"/>
  <c r="B415"/>
  <c r="A415"/>
  <c r="C414"/>
  <c r="B414"/>
  <c r="A414"/>
  <c r="C413"/>
  <c r="B413"/>
  <c r="A413"/>
  <c r="C412"/>
  <c r="B412"/>
  <c r="A412"/>
  <c r="C411"/>
  <c r="B411"/>
  <c r="A411"/>
  <c r="C410"/>
  <c r="B410"/>
  <c r="A410"/>
  <c r="C409"/>
  <c r="B409"/>
  <c r="A409"/>
  <c r="C408"/>
  <c r="B408"/>
  <c r="A408"/>
  <c r="C407"/>
  <c r="B407"/>
  <c r="A407"/>
  <c r="C406"/>
  <c r="B406"/>
  <c r="A406"/>
  <c r="C405"/>
  <c r="B405"/>
  <c r="A405"/>
  <c r="C404"/>
  <c r="B404"/>
  <c r="A404"/>
  <c r="C403"/>
  <c r="B403"/>
  <c r="A403"/>
  <c r="C402"/>
  <c r="B402"/>
  <c r="A402"/>
  <c r="C401"/>
  <c r="B401"/>
  <c r="A401"/>
  <c r="C400"/>
  <c r="B400"/>
  <c r="A400"/>
  <c r="C399"/>
  <c r="B399"/>
  <c r="A399"/>
  <c r="C398"/>
  <c r="B398"/>
  <c r="A398"/>
  <c r="C397"/>
  <c r="B397"/>
  <c r="A397"/>
  <c r="C396"/>
  <c r="B396"/>
  <c r="A396"/>
  <c r="C395"/>
  <c r="B395"/>
  <c r="A395"/>
  <c r="C394"/>
  <c r="B394"/>
  <c r="A394"/>
  <c r="C393"/>
  <c r="B393"/>
  <c r="A393"/>
  <c r="C392"/>
  <c r="B392"/>
  <c r="A392"/>
  <c r="C391"/>
  <c r="B391"/>
  <c r="A391"/>
  <c r="C390"/>
  <c r="B390"/>
  <c r="A390"/>
  <c r="C389"/>
  <c r="B389"/>
  <c r="A389"/>
  <c r="C388"/>
  <c r="B388"/>
  <c r="A388"/>
  <c r="C387"/>
  <c r="B387"/>
  <c r="A387"/>
  <c r="C386"/>
  <c r="B386"/>
  <c r="A386"/>
  <c r="C385"/>
  <c r="B385"/>
  <c r="A385"/>
  <c r="C384"/>
  <c r="B384"/>
  <c r="A384"/>
  <c r="C383"/>
  <c r="B383"/>
  <c r="A383"/>
  <c r="C382"/>
  <c r="B382"/>
  <c r="A382"/>
  <c r="C381"/>
  <c r="B381"/>
  <c r="A381"/>
  <c r="C380"/>
  <c r="B380"/>
  <c r="A380"/>
  <c r="C379"/>
  <c r="B379"/>
  <c r="A379"/>
  <c r="C378"/>
  <c r="B378"/>
  <c r="A378"/>
  <c r="C377"/>
  <c r="B377"/>
  <c r="A377"/>
  <c r="C376"/>
  <c r="B376"/>
  <c r="A376"/>
  <c r="C375"/>
  <c r="B375"/>
  <c r="A375"/>
  <c r="C374"/>
  <c r="B374"/>
  <c r="A374"/>
  <c r="C373"/>
  <c r="B373"/>
  <c r="A373"/>
  <c r="C372"/>
  <c r="B372"/>
  <c r="A372"/>
  <c r="C371"/>
  <c r="B371"/>
  <c r="A371"/>
  <c r="C370"/>
  <c r="B370"/>
  <c r="A370"/>
  <c r="C369"/>
  <c r="B369"/>
  <c r="A369"/>
  <c r="C368"/>
  <c r="B368"/>
  <c r="A368"/>
  <c r="C367"/>
  <c r="B367"/>
  <c r="A367"/>
  <c r="C366"/>
  <c r="B366"/>
  <c r="A366"/>
  <c r="C365"/>
  <c r="B365"/>
  <c r="A365"/>
  <c r="C364"/>
  <c r="B364"/>
  <c r="A364"/>
  <c r="C363"/>
  <c r="B363"/>
  <c r="A363"/>
  <c r="C362"/>
  <c r="B362"/>
  <c r="A362"/>
  <c r="C361"/>
  <c r="B361"/>
  <c r="A361"/>
  <c r="C360"/>
  <c r="B360"/>
  <c r="A360"/>
  <c r="C359"/>
  <c r="B359"/>
  <c r="A359"/>
  <c r="C358"/>
  <c r="B358"/>
  <c r="A358"/>
  <c r="C357"/>
  <c r="B357"/>
  <c r="A357"/>
  <c r="C356"/>
  <c r="B356"/>
  <c r="A356"/>
  <c r="C355"/>
  <c r="B355"/>
  <c r="A355"/>
  <c r="C354"/>
  <c r="B354"/>
  <c r="A354"/>
  <c r="C353"/>
  <c r="B353"/>
  <c r="A353"/>
  <c r="C352"/>
  <c r="B352"/>
  <c r="A352"/>
  <c r="C351"/>
  <c r="B351"/>
  <c r="A351"/>
  <c r="C350"/>
  <c r="B350"/>
  <c r="A350"/>
  <c r="C349"/>
  <c r="B349"/>
  <c r="A349"/>
  <c r="C348"/>
  <c r="B348"/>
  <c r="A348"/>
  <c r="C347"/>
  <c r="B347"/>
  <c r="A347"/>
  <c r="C346"/>
  <c r="B346"/>
  <c r="A346"/>
  <c r="C345"/>
  <c r="B345"/>
  <c r="A345"/>
  <c r="C344"/>
  <c r="B344"/>
  <c r="A344"/>
  <c r="C343"/>
  <c r="B343"/>
  <c r="A343"/>
  <c r="C342"/>
  <c r="B342"/>
  <c r="A342"/>
  <c r="C341"/>
  <c r="B341"/>
  <c r="A341"/>
  <c r="C340"/>
  <c r="B340"/>
  <c r="A340"/>
  <c r="C339"/>
  <c r="B339"/>
  <c r="A339"/>
  <c r="C338"/>
  <c r="B338"/>
  <c r="A338"/>
  <c r="C337"/>
  <c r="B337"/>
  <c r="A337"/>
  <c r="C336"/>
  <c r="B336"/>
  <c r="A336"/>
  <c r="C335"/>
  <c r="B335"/>
  <c r="A335"/>
  <c r="C334"/>
  <c r="B334"/>
  <c r="A334"/>
  <c r="C333"/>
  <c r="B333"/>
  <c r="A333"/>
  <c r="C332"/>
  <c r="B332"/>
  <c r="A332"/>
  <c r="C331"/>
  <c r="B331"/>
  <c r="A331"/>
  <c r="C330"/>
  <c r="B330"/>
  <c r="A330"/>
  <c r="C329"/>
  <c r="B329"/>
  <c r="A329"/>
  <c r="C328"/>
  <c r="B328"/>
  <c r="A328"/>
  <c r="C327"/>
  <c r="B327"/>
  <c r="A327"/>
  <c r="C326"/>
  <c r="B326"/>
  <c r="A326"/>
  <c r="C325"/>
  <c r="B325"/>
  <c r="A325"/>
  <c r="C324"/>
  <c r="B324"/>
  <c r="A324"/>
  <c r="C323"/>
  <c r="B323"/>
  <c r="A323"/>
  <c r="C322"/>
  <c r="B322"/>
  <c r="A322"/>
  <c r="C321"/>
  <c r="B321"/>
  <c r="A321"/>
  <c r="C320"/>
  <c r="B320"/>
  <c r="A320"/>
  <c r="C319"/>
  <c r="B319"/>
  <c r="A319"/>
  <c r="C318"/>
  <c r="B318"/>
  <c r="A318"/>
  <c r="C317"/>
  <c r="B317"/>
  <c r="A317"/>
  <c r="C316"/>
  <c r="B316"/>
  <c r="A316"/>
  <c r="C315"/>
  <c r="B315"/>
  <c r="A315"/>
  <c r="C314"/>
  <c r="B314"/>
  <c r="A314"/>
  <c r="C313"/>
  <c r="B313"/>
  <c r="A313"/>
  <c r="C312"/>
  <c r="B312"/>
  <c r="A312"/>
  <c r="C311"/>
  <c r="B311"/>
  <c r="A311"/>
  <c r="C310"/>
  <c r="B310"/>
  <c r="A310"/>
  <c r="C309"/>
  <c r="B309"/>
  <c r="A309"/>
  <c r="C308"/>
  <c r="B308"/>
  <c r="A308"/>
  <c r="C307"/>
  <c r="B307"/>
  <c r="A307"/>
  <c r="C306"/>
  <c r="B306"/>
  <c r="A306"/>
  <c r="C305"/>
  <c r="B305"/>
  <c r="A305"/>
  <c r="C304"/>
  <c r="B304"/>
  <c r="A304"/>
  <c r="C303"/>
  <c r="B303"/>
  <c r="A303"/>
  <c r="C302"/>
  <c r="B302"/>
  <c r="A302"/>
  <c r="C301"/>
  <c r="B301"/>
  <c r="A301"/>
  <c r="C300"/>
  <c r="B300"/>
  <c r="A300"/>
  <c r="C299"/>
  <c r="B299"/>
  <c r="A299"/>
  <c r="C298"/>
  <c r="B298"/>
  <c r="A298"/>
  <c r="C297"/>
  <c r="B297"/>
  <c r="A297"/>
  <c r="C296"/>
  <c r="B296"/>
  <c r="A296"/>
  <c r="C295"/>
  <c r="B295"/>
  <c r="A295"/>
  <c r="C294"/>
  <c r="B294"/>
  <c r="A294"/>
  <c r="C293"/>
  <c r="B293"/>
  <c r="A293"/>
  <c r="C292"/>
  <c r="B292"/>
  <c r="A292"/>
  <c r="C291"/>
  <c r="B291"/>
  <c r="A291"/>
  <c r="C290"/>
  <c r="B290"/>
  <c r="A290"/>
  <c r="C289"/>
  <c r="B289"/>
  <c r="A289"/>
  <c r="C288"/>
  <c r="B288"/>
  <c r="A288"/>
  <c r="C287"/>
  <c r="B287"/>
  <c r="A287"/>
  <c r="C286"/>
  <c r="B286"/>
  <c r="A286"/>
  <c r="C285"/>
  <c r="B285"/>
  <c r="A285"/>
  <c r="C284"/>
  <c r="B284"/>
  <c r="A284"/>
  <c r="C283"/>
  <c r="B283"/>
  <c r="A283"/>
  <c r="C282"/>
  <c r="B282"/>
  <c r="A282"/>
  <c r="C281"/>
  <c r="B281"/>
  <c r="A281"/>
  <c r="C280"/>
  <c r="B280"/>
  <c r="A280"/>
  <c r="C279"/>
  <c r="B279"/>
  <c r="A279"/>
  <c r="C278"/>
  <c r="B278"/>
  <c r="A278"/>
  <c r="C277"/>
  <c r="B277"/>
  <c r="A277"/>
  <c r="C276"/>
  <c r="B276"/>
  <c r="A276"/>
  <c r="C275"/>
  <c r="B275"/>
  <c r="A275"/>
  <c r="C274"/>
  <c r="B274"/>
  <c r="A274"/>
  <c r="C273"/>
  <c r="B273"/>
  <c r="A273"/>
  <c r="C272"/>
  <c r="B272"/>
  <c r="A272"/>
  <c r="C271"/>
  <c r="B271"/>
  <c r="A271"/>
  <c r="C270"/>
  <c r="B270"/>
  <c r="A270"/>
  <c r="C269"/>
  <c r="B269"/>
  <c r="A269"/>
  <c r="C268"/>
  <c r="B268"/>
  <c r="A268"/>
  <c r="C267"/>
  <c r="B267"/>
  <c r="A267"/>
  <c r="C266"/>
  <c r="B266"/>
  <c r="A266"/>
  <c r="C265"/>
  <c r="B265"/>
  <c r="A265"/>
  <c r="C264"/>
  <c r="B264"/>
  <c r="A264"/>
  <c r="C263"/>
  <c r="B263"/>
  <c r="A263"/>
  <c r="C262"/>
  <c r="B262"/>
  <c r="A262"/>
  <c r="C261"/>
  <c r="B261"/>
  <c r="A261"/>
  <c r="C260"/>
  <c r="B260"/>
  <c r="A260"/>
  <c r="C259"/>
  <c r="B259"/>
  <c r="A259"/>
  <c r="C258"/>
  <c r="B258"/>
  <c r="A258"/>
  <c r="C257"/>
  <c r="B257"/>
  <c r="A257"/>
  <c r="C256"/>
  <c r="B256"/>
  <c r="A256"/>
  <c r="C255"/>
  <c r="B255"/>
  <c r="A255"/>
  <c r="C254"/>
  <c r="B254"/>
  <c r="A254"/>
  <c r="C253"/>
  <c r="B253"/>
  <c r="A253"/>
  <c r="C252"/>
  <c r="B252"/>
  <c r="A252"/>
  <c r="C251"/>
  <c r="B251"/>
  <c r="A251"/>
  <c r="C250"/>
  <c r="B250"/>
  <c r="A250"/>
  <c r="C249"/>
  <c r="B249"/>
  <c r="A249"/>
  <c r="C248"/>
  <c r="B248"/>
  <c r="A248"/>
  <c r="C247"/>
  <c r="B247"/>
  <c r="A247"/>
  <c r="C246"/>
  <c r="B246"/>
  <c r="A246"/>
  <c r="C245"/>
  <c r="B245"/>
  <c r="A245"/>
  <c r="C244"/>
  <c r="B244"/>
  <c r="A244"/>
  <c r="C243"/>
  <c r="B243"/>
  <c r="A243"/>
  <c r="C242"/>
  <c r="B242"/>
  <c r="A242"/>
  <c r="C241"/>
  <c r="B241"/>
  <c r="A241"/>
  <c r="C240"/>
  <c r="B240"/>
  <c r="A240"/>
  <c r="C239"/>
  <c r="B239"/>
  <c r="A239"/>
  <c r="C238"/>
  <c r="B238"/>
  <c r="A238"/>
  <c r="C237"/>
  <c r="B237"/>
  <c r="A237"/>
  <c r="C236"/>
  <c r="B236"/>
  <c r="A236"/>
  <c r="C235"/>
  <c r="B235"/>
  <c r="A235"/>
  <c r="C234"/>
  <c r="B234"/>
  <c r="A234"/>
  <c r="C233"/>
  <c r="B233"/>
  <c r="A233"/>
  <c r="C232"/>
  <c r="B232"/>
  <c r="A232"/>
  <c r="C231"/>
  <c r="B231"/>
  <c r="A231"/>
  <c r="C230"/>
  <c r="B230"/>
  <c r="A230"/>
  <c r="C229"/>
  <c r="B229"/>
  <c r="A229"/>
  <c r="C228"/>
  <c r="B228"/>
  <c r="A228"/>
  <c r="C227"/>
  <c r="B227"/>
  <c r="A227"/>
  <c r="C226"/>
  <c r="B226"/>
  <c r="A226"/>
  <c r="C225"/>
  <c r="B225"/>
  <c r="A225"/>
  <c r="C224"/>
  <c r="B224"/>
  <c r="A224"/>
  <c r="C223"/>
  <c r="B223"/>
  <c r="A223"/>
  <c r="C222"/>
  <c r="B222"/>
  <c r="A222"/>
  <c r="C221"/>
  <c r="B221"/>
  <c r="A221"/>
  <c r="C220"/>
  <c r="B220"/>
  <c r="A220"/>
  <c r="C219"/>
  <c r="B219"/>
  <c r="A219"/>
  <c r="C218"/>
  <c r="B218"/>
  <c r="A218"/>
  <c r="C217"/>
  <c r="B217"/>
  <c r="A217"/>
  <c r="C216"/>
  <c r="B216"/>
  <c r="A216"/>
  <c r="C215"/>
  <c r="B215"/>
  <c r="A215"/>
  <c r="C214"/>
  <c r="B214"/>
  <c r="A214"/>
  <c r="C213"/>
  <c r="B213"/>
  <c r="A213"/>
  <c r="C212"/>
  <c r="B212"/>
  <c r="A212"/>
  <c r="C211"/>
  <c r="B211"/>
  <c r="A211"/>
  <c r="C210"/>
  <c r="B210"/>
  <c r="A210"/>
  <c r="C209"/>
  <c r="B209"/>
  <c r="A209"/>
  <c r="C208"/>
  <c r="B208"/>
  <c r="A208"/>
  <c r="C207"/>
  <c r="B207"/>
  <c r="A207"/>
  <c r="C206"/>
  <c r="B206"/>
  <c r="A206"/>
  <c r="C205"/>
  <c r="B205"/>
  <c r="A205"/>
  <c r="C204"/>
  <c r="B204"/>
  <c r="A204"/>
  <c r="C203"/>
  <c r="B203"/>
  <c r="A203"/>
  <c r="C202"/>
  <c r="B202"/>
  <c r="A202"/>
  <c r="C201"/>
  <c r="B201"/>
  <c r="A201"/>
  <c r="C200"/>
  <c r="B200"/>
  <c r="A200"/>
  <c r="C199"/>
  <c r="B199"/>
  <c r="A199"/>
  <c r="C198"/>
  <c r="B198"/>
  <c r="A198"/>
  <c r="C197"/>
  <c r="B197"/>
  <c r="A197"/>
  <c r="C196"/>
  <c r="B196"/>
  <c r="A196"/>
  <c r="C195"/>
  <c r="B195"/>
  <c r="A195"/>
  <c r="C194"/>
  <c r="B194"/>
  <c r="A194"/>
  <c r="C193"/>
  <c r="B193"/>
  <c r="A193"/>
  <c r="C192"/>
  <c r="B192"/>
  <c r="A192"/>
  <c r="C191"/>
  <c r="B191"/>
  <c r="A191"/>
  <c r="C190"/>
  <c r="B190"/>
  <c r="A190"/>
  <c r="C189"/>
  <c r="B189"/>
  <c r="A189"/>
  <c r="C188"/>
  <c r="B188"/>
  <c r="A188"/>
  <c r="C187"/>
  <c r="B187"/>
  <c r="A187"/>
  <c r="C186"/>
  <c r="B186"/>
  <c r="A186"/>
  <c r="C185"/>
  <c r="B185"/>
  <c r="A185"/>
  <c r="C184"/>
  <c r="B184"/>
  <c r="A184"/>
  <c r="C183"/>
  <c r="B183"/>
  <c r="A183"/>
  <c r="C182"/>
  <c r="B182"/>
  <c r="A182"/>
  <c r="C181"/>
  <c r="B181"/>
  <c r="A181"/>
  <c r="C180"/>
  <c r="B180"/>
  <c r="A180"/>
  <c r="C179"/>
  <c r="B179"/>
  <c r="A179"/>
  <c r="C178"/>
  <c r="B178"/>
  <c r="A178"/>
  <c r="C177"/>
  <c r="B177"/>
  <c r="A177"/>
  <c r="C176"/>
  <c r="B176"/>
  <c r="A176"/>
  <c r="C175"/>
  <c r="B175"/>
  <c r="A175"/>
  <c r="C174"/>
  <c r="B174"/>
  <c r="A174"/>
  <c r="C173"/>
  <c r="B173"/>
  <c r="A173"/>
  <c r="C172"/>
  <c r="B172"/>
  <c r="A172"/>
  <c r="C171"/>
  <c r="B171"/>
  <c r="A171"/>
  <c r="C170"/>
  <c r="B170"/>
  <c r="A170"/>
  <c r="C169"/>
  <c r="B169"/>
  <c r="A169"/>
  <c r="C168"/>
  <c r="B168"/>
  <c r="A168"/>
  <c r="C167"/>
  <c r="B167"/>
  <c r="A167"/>
  <c r="C166"/>
  <c r="B166"/>
  <c r="A166"/>
  <c r="C165"/>
  <c r="B165"/>
  <c r="A165"/>
  <c r="C164"/>
  <c r="B164"/>
  <c r="A164"/>
  <c r="C163"/>
  <c r="B163"/>
  <c r="A163"/>
  <c r="C162"/>
  <c r="B162"/>
  <c r="A162"/>
  <c r="C161"/>
  <c r="B161"/>
  <c r="A161"/>
  <c r="C160"/>
  <c r="B160"/>
  <c r="A160"/>
  <c r="C159"/>
  <c r="B159"/>
  <c r="A159"/>
  <c r="C158"/>
  <c r="B158"/>
  <c r="A158"/>
  <c r="C157"/>
  <c r="B157"/>
  <c r="A157"/>
  <c r="C156"/>
  <c r="B156"/>
  <c r="A156"/>
  <c r="C155"/>
  <c r="B155"/>
  <c r="A155"/>
  <c r="C154"/>
  <c r="B154"/>
  <c r="A154"/>
  <c r="C153"/>
  <c r="B153"/>
  <c r="A153"/>
  <c r="C152"/>
  <c r="B152"/>
  <c r="A152"/>
  <c r="C151"/>
  <c r="B151"/>
  <c r="A151"/>
  <c r="C150"/>
  <c r="B150"/>
  <c r="A150"/>
  <c r="C149"/>
  <c r="B149"/>
  <c r="A149"/>
  <c r="C148"/>
  <c r="B148"/>
  <c r="A148"/>
  <c r="C147"/>
  <c r="B147"/>
  <c r="A147"/>
  <c r="C146"/>
  <c r="B146"/>
  <c r="A146"/>
  <c r="C145"/>
  <c r="B145"/>
  <c r="A145"/>
  <c r="C144"/>
  <c r="B144"/>
  <c r="A144"/>
  <c r="C143"/>
  <c r="B143"/>
  <c r="A143"/>
  <c r="C142"/>
  <c r="B142"/>
  <c r="A142"/>
  <c r="C141"/>
  <c r="B141"/>
  <c r="A141"/>
  <c r="C140"/>
  <c r="B140"/>
  <c r="A140"/>
  <c r="C139"/>
  <c r="B139"/>
  <c r="A139"/>
  <c r="C138"/>
  <c r="B138"/>
  <c r="A138"/>
  <c r="C137"/>
  <c r="B137"/>
  <c r="A137"/>
  <c r="C136"/>
  <c r="B136"/>
  <c r="A136"/>
  <c r="C135"/>
  <c r="B135"/>
  <c r="A135"/>
  <c r="C134"/>
  <c r="B134"/>
  <c r="A134"/>
  <c r="C133"/>
  <c r="B133"/>
  <c r="A133"/>
  <c r="C132"/>
  <c r="B132"/>
  <c r="A132"/>
  <c r="C131"/>
  <c r="B131"/>
  <c r="A131"/>
  <c r="C130"/>
  <c r="B130"/>
  <c r="A130"/>
  <c r="C129"/>
  <c r="B129"/>
  <c r="A129"/>
  <c r="C128"/>
  <c r="B128"/>
  <c r="A128"/>
  <c r="C127"/>
  <c r="B127"/>
  <c r="A127"/>
  <c r="C126"/>
  <c r="B126"/>
  <c r="A126"/>
  <c r="C125"/>
  <c r="B125"/>
  <c r="A125"/>
  <c r="C124"/>
  <c r="B124"/>
  <c r="A124"/>
  <c r="C123"/>
  <c r="B123"/>
  <c r="A123"/>
  <c r="C122"/>
  <c r="B122"/>
  <c r="A122"/>
  <c r="C121"/>
  <c r="B121"/>
  <c r="A121"/>
  <c r="C120"/>
  <c r="B120"/>
  <c r="A120"/>
  <c r="C119"/>
  <c r="B119"/>
  <c r="A119"/>
  <c r="C118"/>
  <c r="B118"/>
  <c r="A118"/>
  <c r="C117"/>
  <c r="B117"/>
  <c r="A117"/>
  <c r="C116"/>
  <c r="B116"/>
  <c r="A116"/>
  <c r="C115"/>
  <c r="B115"/>
  <c r="A115"/>
  <c r="C114"/>
  <c r="B114"/>
  <c r="A114"/>
  <c r="C113"/>
  <c r="B113"/>
  <c r="A113"/>
  <c r="C112"/>
  <c r="B112"/>
  <c r="A112"/>
  <c r="C111"/>
  <c r="B111"/>
  <c r="A111"/>
  <c r="C110"/>
  <c r="B110"/>
  <c r="A110"/>
  <c r="C109"/>
  <c r="B109"/>
  <c r="A109"/>
  <c r="C108"/>
  <c r="B108"/>
  <c r="A108"/>
  <c r="C107"/>
  <c r="B107"/>
  <c r="A107"/>
  <c r="C106"/>
  <c r="B106"/>
  <c r="A106"/>
  <c r="C105"/>
  <c r="B105"/>
  <c r="A105"/>
  <c r="C104"/>
  <c r="B104"/>
  <c r="A104"/>
  <c r="C103"/>
  <c r="B103"/>
  <c r="A103"/>
  <c r="C102"/>
  <c r="B102"/>
  <c r="A102"/>
  <c r="C101"/>
  <c r="B101"/>
  <c r="A101"/>
  <c r="C100"/>
  <c r="B100"/>
  <c r="A100"/>
  <c r="C99"/>
  <c r="B99"/>
  <c r="A99"/>
  <c r="C98"/>
  <c r="B98"/>
  <c r="A98"/>
  <c r="C97"/>
  <c r="B97"/>
  <c r="A97"/>
  <c r="C96"/>
  <c r="B96"/>
  <c r="A96"/>
  <c r="C95"/>
  <c r="B95"/>
  <c r="A95"/>
  <c r="C94"/>
  <c r="B94"/>
  <c r="A94"/>
  <c r="C93"/>
  <c r="B93"/>
  <c r="A93"/>
  <c r="C92"/>
  <c r="B92"/>
  <c r="A92"/>
  <c r="C91"/>
  <c r="B91"/>
  <c r="A91"/>
  <c r="C90"/>
  <c r="B90"/>
  <c r="A90"/>
  <c r="C89"/>
  <c r="B89"/>
  <c r="A89"/>
  <c r="C88"/>
  <c r="B88"/>
  <c r="A88"/>
  <c r="C87"/>
  <c r="B87"/>
  <c r="A87"/>
  <c r="C86"/>
  <c r="B86"/>
  <c r="A86"/>
  <c r="C85"/>
  <c r="B85"/>
  <c r="A85"/>
  <c r="C84"/>
  <c r="B84"/>
  <c r="A84"/>
  <c r="C83"/>
  <c r="B83"/>
  <c r="A83"/>
  <c r="C82"/>
  <c r="B82"/>
  <c r="A82"/>
  <c r="C81"/>
  <c r="B81"/>
  <c r="A81"/>
  <c r="C80"/>
  <c r="B80"/>
  <c r="A80"/>
  <c r="C79"/>
  <c r="B79"/>
  <c r="A79"/>
  <c r="C78"/>
  <c r="B78"/>
  <c r="A78"/>
  <c r="C77"/>
  <c r="B77"/>
  <c r="A77"/>
  <c r="C76"/>
  <c r="B76"/>
  <c r="A76"/>
  <c r="C75"/>
  <c r="B75"/>
  <c r="A75"/>
  <c r="C74"/>
  <c r="B74"/>
  <c r="A74"/>
  <c r="C73"/>
  <c r="B73"/>
  <c r="A73"/>
  <c r="C72"/>
  <c r="B72"/>
  <c r="A72"/>
  <c r="C71"/>
  <c r="B71"/>
  <c r="A71"/>
  <c r="C70"/>
  <c r="B70"/>
  <c r="A70"/>
  <c r="C69"/>
  <c r="B69"/>
  <c r="A69"/>
  <c r="C68"/>
  <c r="B68"/>
  <c r="A68"/>
  <c r="C67"/>
  <c r="B67"/>
  <c r="A67"/>
  <c r="C66"/>
  <c r="B66"/>
  <c r="A66"/>
  <c r="C65"/>
  <c r="B65"/>
  <c r="A65"/>
  <c r="C64"/>
  <c r="B64"/>
  <c r="A64"/>
  <c r="C63"/>
  <c r="B63"/>
  <c r="A63"/>
  <c r="C62"/>
  <c r="B62"/>
  <c r="A62"/>
  <c r="C61"/>
  <c r="B61"/>
  <c r="A61"/>
  <c r="C60"/>
  <c r="B60"/>
  <c r="A60"/>
  <c r="C59"/>
  <c r="B59"/>
  <c r="A59"/>
  <c r="C58"/>
  <c r="B58"/>
  <c r="A58"/>
  <c r="C57"/>
  <c r="B57"/>
  <c r="A57"/>
  <c r="C56"/>
  <c r="B56"/>
  <c r="A56"/>
  <c r="C55"/>
  <c r="B55"/>
  <c r="A55"/>
  <c r="C54"/>
  <c r="B54"/>
  <c r="A54"/>
  <c r="C53"/>
  <c r="B53"/>
  <c r="A53"/>
  <c r="C52"/>
  <c r="B52"/>
  <c r="A52"/>
  <c r="C51"/>
  <c r="B51"/>
  <c r="A51"/>
  <c r="C50"/>
  <c r="B50"/>
  <c r="A50"/>
  <c r="C49"/>
  <c r="B49"/>
  <c r="A49"/>
  <c r="C48"/>
  <c r="B48"/>
  <c r="A48"/>
  <c r="C47"/>
  <c r="B47"/>
  <c r="A47"/>
  <c r="C46"/>
  <c r="B46"/>
  <c r="A46"/>
  <c r="C45"/>
  <c r="B45"/>
  <c r="A45"/>
  <c r="C44"/>
  <c r="B44"/>
  <c r="A44"/>
  <c r="C43"/>
  <c r="B43"/>
  <c r="A43"/>
  <c r="C42"/>
  <c r="B42"/>
  <c r="A42"/>
  <c r="C41"/>
  <c r="B41"/>
  <c r="A41"/>
  <c r="C40"/>
  <c r="B40"/>
  <c r="A40"/>
  <c r="C39"/>
  <c r="B39"/>
  <c r="A39"/>
  <c r="C38"/>
  <c r="B38"/>
  <c r="A38"/>
  <c r="C37"/>
  <c r="B37"/>
  <c r="A37"/>
  <c r="C36"/>
  <c r="B36"/>
  <c r="A36"/>
  <c r="C35"/>
  <c r="B35"/>
  <c r="A35"/>
  <c r="C34"/>
  <c r="B34"/>
  <c r="A34"/>
  <c r="C33"/>
  <c r="B33"/>
  <c r="A33"/>
  <c r="C32"/>
  <c r="B32"/>
  <c r="A32"/>
  <c r="C31"/>
  <c r="B31"/>
  <c r="A31"/>
  <c r="C30"/>
  <c r="B30"/>
  <c r="A30"/>
  <c r="C29"/>
  <c r="B29"/>
  <c r="A29"/>
  <c r="C28"/>
  <c r="B28"/>
  <c r="A28"/>
  <c r="C27"/>
  <c r="B27"/>
  <c r="A27"/>
  <c r="C26"/>
  <c r="B26"/>
  <c r="A26"/>
  <c r="C25"/>
  <c r="B25"/>
  <c r="A25"/>
  <c r="C24"/>
  <c r="B24"/>
  <c r="A24"/>
  <c r="C23"/>
  <c r="B23"/>
  <c r="A23"/>
  <c r="C22"/>
  <c r="B22"/>
  <c r="A22"/>
  <c r="C21"/>
  <c r="B21"/>
  <c r="A21"/>
  <c r="C20"/>
  <c r="B20"/>
  <c r="A20"/>
  <c r="C19"/>
  <c r="B19"/>
  <c r="A19"/>
  <c r="C18"/>
  <c r="B18"/>
  <c r="A18"/>
  <c r="C17"/>
  <c r="B17"/>
  <c r="A17"/>
  <c r="C16"/>
  <c r="B16"/>
  <c r="A16"/>
  <c r="C15"/>
  <c r="B15"/>
  <c r="A15"/>
  <c r="C14"/>
  <c r="B14"/>
  <c r="A14"/>
  <c r="C13"/>
  <c r="B13"/>
  <c r="A13"/>
  <c r="C12"/>
  <c r="B12"/>
  <c r="A12"/>
  <c r="C11"/>
  <c r="B11"/>
  <c r="A11"/>
  <c r="C10"/>
  <c r="B10"/>
  <c r="A10"/>
  <c r="C9"/>
  <c r="B9"/>
  <c r="A9"/>
  <c r="C8"/>
  <c r="B8"/>
  <c r="A8"/>
  <c r="C7"/>
  <c r="B7"/>
  <c r="A7"/>
  <c r="C6"/>
  <c r="B6"/>
  <c r="A6"/>
  <c r="C5"/>
  <c r="B5"/>
  <c r="A5"/>
  <c r="C4"/>
  <c r="B4"/>
  <c r="A4"/>
  <c r="C3"/>
  <c r="B3"/>
  <c r="A3"/>
  <c r="I979" i="13" s="1"/>
  <c r="B3" i="4"/>
  <c r="J2554" i="13"/>
  <c r="J2553"/>
  <c r="J2552"/>
  <c r="H2554"/>
  <c r="G2554"/>
  <c r="H2553"/>
  <c r="G2553"/>
  <c r="H2552"/>
  <c r="G2552"/>
  <c r="J2549"/>
  <c r="H2549"/>
  <c r="G2549"/>
  <c r="J2546"/>
  <c r="H2546"/>
  <c r="G2546"/>
  <c r="J2543"/>
  <c r="H2543"/>
  <c r="G2543"/>
  <c r="J2540"/>
  <c r="H2540"/>
  <c r="G2540"/>
  <c r="J2537"/>
  <c r="H2537"/>
  <c r="G2537"/>
  <c r="J2534"/>
  <c r="H2534"/>
  <c r="G2534"/>
  <c r="J2531"/>
  <c r="H2531"/>
  <c r="G2531"/>
  <c r="J2528"/>
  <c r="H2528"/>
  <c r="G2528"/>
  <c r="J2525"/>
  <c r="H2525"/>
  <c r="G2525"/>
  <c r="J2522"/>
  <c r="H2522"/>
  <c r="G2522"/>
  <c r="J2519"/>
  <c r="H2519"/>
  <c r="G2519"/>
  <c r="J2516"/>
  <c r="H2516"/>
  <c r="G2516"/>
  <c r="J2513"/>
  <c r="H2513"/>
  <c r="G2513"/>
  <c r="J2510"/>
  <c r="H2510"/>
  <c r="G2510"/>
  <c r="H2507"/>
  <c r="G2507"/>
  <c r="J2507"/>
  <c r="J2504"/>
  <c r="H2504"/>
  <c r="G2504"/>
  <c r="C2504"/>
  <c r="B2504"/>
  <c r="H2501"/>
  <c r="G2501"/>
  <c r="H2500"/>
  <c r="G2500"/>
  <c r="J2501"/>
  <c r="J2500"/>
  <c r="H2497"/>
  <c r="G2497"/>
  <c r="H2496"/>
  <c r="G2496"/>
  <c r="J2497"/>
  <c r="J2496"/>
  <c r="H2493"/>
  <c r="G2493"/>
  <c r="H2492"/>
  <c r="G2492"/>
  <c r="J2493"/>
  <c r="J2492"/>
  <c r="H2489"/>
  <c r="G2489"/>
  <c r="H2488"/>
  <c r="G2488"/>
  <c r="J2489"/>
  <c r="J2488"/>
  <c r="H2485"/>
  <c r="G2485"/>
  <c r="H2484"/>
  <c r="G2484"/>
  <c r="J2485"/>
  <c r="J2484"/>
  <c r="H2481"/>
  <c r="G2481"/>
  <c r="H2480"/>
  <c r="G2480"/>
  <c r="J2481"/>
  <c r="J2480"/>
  <c r="J2477"/>
  <c r="J2476"/>
  <c r="H2477"/>
  <c r="G2477"/>
  <c r="H2476"/>
  <c r="G2476"/>
  <c r="H2473"/>
  <c r="G2473"/>
  <c r="H2472"/>
  <c r="G2472"/>
  <c r="J2473"/>
  <c r="J2472"/>
  <c r="J2469"/>
  <c r="J2468"/>
  <c r="J2467"/>
  <c r="J2466"/>
  <c r="J2465"/>
  <c r="J2464"/>
  <c r="J2463"/>
  <c r="J2462"/>
  <c r="J2461"/>
  <c r="J2460"/>
  <c r="J2459"/>
  <c r="J2458"/>
  <c r="J2457"/>
  <c r="J2456"/>
  <c r="J2455"/>
  <c r="J2454"/>
  <c r="J2453"/>
  <c r="H2469"/>
  <c r="H2468"/>
  <c r="H2467"/>
  <c r="H2466"/>
  <c r="H2465"/>
  <c r="H2464"/>
  <c r="H2463"/>
  <c r="H2462"/>
  <c r="H2461"/>
  <c r="G2461"/>
  <c r="H2460"/>
  <c r="G2460"/>
  <c r="H2459"/>
  <c r="G2459"/>
  <c r="H2458"/>
  <c r="G2458"/>
  <c r="J2450"/>
  <c r="J2449"/>
  <c r="H2450"/>
  <c r="G2450"/>
  <c r="H2449"/>
  <c r="G2449"/>
  <c r="C2446"/>
  <c r="B2446"/>
  <c r="H2446" s="1"/>
  <c r="C2445"/>
  <c r="B2445"/>
  <c r="J2445" s="1"/>
  <c r="J2442"/>
  <c r="J2441"/>
  <c r="J2440"/>
  <c r="J2439"/>
  <c r="J2438"/>
  <c r="H2442"/>
  <c r="G2442"/>
  <c r="H2441"/>
  <c r="G2441"/>
  <c r="H2440"/>
  <c r="G2440"/>
  <c r="H2439"/>
  <c r="G2439"/>
  <c r="H2438"/>
  <c r="G2438"/>
  <c r="A2552"/>
  <c r="A2549"/>
  <c r="A2546"/>
  <c r="A2543"/>
  <c r="A2540"/>
  <c r="A2537"/>
  <c r="A2534"/>
  <c r="A2531"/>
  <c r="A2528"/>
  <c r="A2525"/>
  <c r="A2522"/>
  <c r="A2519"/>
  <c r="A2516"/>
  <c r="A2513"/>
  <c r="A2510"/>
  <c r="A2507"/>
  <c r="A2504"/>
  <c r="A2500"/>
  <c r="A2496"/>
  <c r="A2492"/>
  <c r="A2488"/>
  <c r="A2484"/>
  <c r="A2480"/>
  <c r="A2476"/>
  <c r="A2472"/>
  <c r="H2457"/>
  <c r="H2455"/>
  <c r="H2453"/>
  <c r="H2454"/>
  <c r="G2468"/>
  <c r="G2464"/>
  <c r="G2456"/>
  <c r="G2469"/>
  <c r="G2467"/>
  <c r="G2465"/>
  <c r="G2463"/>
  <c r="G2457"/>
  <c r="G2455"/>
  <c r="G2453"/>
  <c r="H2456"/>
  <c r="G2466"/>
  <c r="G2462"/>
  <c r="G2454"/>
  <c r="A2453"/>
  <c r="A2449"/>
  <c r="A2445"/>
  <c r="A2438"/>
  <c r="K165" i="12"/>
  <c r="I28" i="18" l="1"/>
  <c r="I26"/>
  <c r="I6" i="4"/>
  <c r="I12"/>
  <c r="I5" i="2"/>
  <c r="I9"/>
  <c r="I15"/>
  <c r="I21"/>
  <c r="I25"/>
  <c r="I31"/>
  <c r="I37"/>
  <c r="I41"/>
  <c r="I45"/>
  <c r="I49"/>
  <c r="I53"/>
  <c r="I57"/>
  <c r="I63"/>
  <c r="I67"/>
  <c r="I71"/>
  <c r="I75"/>
  <c r="I79"/>
  <c r="I85"/>
  <c r="I89"/>
  <c r="I93"/>
  <c r="I97"/>
  <c r="I101"/>
  <c r="I105"/>
  <c r="I109"/>
  <c r="I113"/>
  <c r="I117"/>
  <c r="I121"/>
  <c r="I125"/>
  <c r="I129"/>
  <c r="I133"/>
  <c r="I137"/>
  <c r="I141"/>
  <c r="I145"/>
  <c r="I149"/>
  <c r="I153"/>
  <c r="I157"/>
  <c r="I161"/>
  <c r="I165"/>
  <c r="I169"/>
  <c r="I173"/>
  <c r="I177"/>
  <c r="I181"/>
  <c r="I185"/>
  <c r="I189"/>
  <c r="I193"/>
  <c r="I197"/>
  <c r="I201"/>
  <c r="I205"/>
  <c r="I209"/>
  <c r="I213"/>
  <c r="I217"/>
  <c r="I221"/>
  <c r="I225"/>
  <c r="I231"/>
  <c r="I235"/>
  <c r="I239"/>
  <c r="I243"/>
  <c r="I247"/>
  <c r="I251"/>
  <c r="I255"/>
  <c r="I259"/>
  <c r="I263"/>
  <c r="I267"/>
  <c r="I271"/>
  <c r="I275"/>
  <c r="I279"/>
  <c r="I283"/>
  <c r="I287"/>
  <c r="I291"/>
  <c r="I295"/>
  <c r="I299"/>
  <c r="I303"/>
  <c r="I307"/>
  <c r="I311"/>
  <c r="I315"/>
  <c r="I319"/>
  <c r="I325"/>
  <c r="I331"/>
  <c r="I337"/>
  <c r="I341"/>
  <c r="I345"/>
  <c r="I351"/>
  <c r="I356"/>
  <c r="I361"/>
  <c r="I369"/>
  <c r="I376"/>
  <c r="I383"/>
  <c r="I391"/>
  <c r="I398"/>
  <c r="I403"/>
  <c r="I411"/>
  <c r="I416"/>
  <c r="I421"/>
  <c r="I427"/>
  <c r="I432"/>
  <c r="I437"/>
  <c r="I443"/>
  <c r="I448"/>
  <c r="I453"/>
  <c r="I459"/>
  <c r="I471"/>
  <c r="I489"/>
  <c r="I505"/>
  <c r="I523"/>
  <c r="I547"/>
  <c r="I563"/>
  <c r="I581"/>
  <c r="I599"/>
  <c r="I615"/>
  <c r="I635"/>
  <c r="I657"/>
  <c r="I677"/>
  <c r="I699"/>
  <c r="I715"/>
  <c r="I731"/>
  <c r="I747"/>
  <c r="I765"/>
  <c r="I781"/>
  <c r="I14" i="6"/>
  <c r="I36"/>
  <c r="I54"/>
  <c r="I72"/>
  <c r="I92"/>
  <c r="I108"/>
  <c r="I25" i="9"/>
  <c r="I8" i="11"/>
  <c r="I33"/>
  <c r="I57"/>
  <c r="I81"/>
  <c r="I106"/>
  <c r="I129"/>
  <c r="I155"/>
  <c r="I209"/>
  <c r="I45" i="13"/>
  <c r="I125"/>
  <c r="I191"/>
  <c r="I259"/>
  <c r="I331"/>
  <c r="I403"/>
  <c r="I469"/>
  <c r="I545"/>
  <c r="I728"/>
  <c r="I2501"/>
  <c r="I3" i="4"/>
  <c r="I7"/>
  <c r="I13"/>
  <c r="I6" i="2"/>
  <c r="I10"/>
  <c r="I16"/>
  <c r="I22"/>
  <c r="I26"/>
  <c r="I32"/>
  <c r="I38"/>
  <c r="I42"/>
  <c r="I46"/>
  <c r="I50"/>
  <c r="I54"/>
  <c r="I58"/>
  <c r="I64"/>
  <c r="I68"/>
  <c r="I72"/>
  <c r="I76"/>
  <c r="I80"/>
  <c r="I86"/>
  <c r="I90"/>
  <c r="I94"/>
  <c r="I98"/>
  <c r="I102"/>
  <c r="I106"/>
  <c r="I110"/>
  <c r="I114"/>
  <c r="I118"/>
  <c r="I122"/>
  <c r="I126"/>
  <c r="I130"/>
  <c r="I134"/>
  <c r="I138"/>
  <c r="I142"/>
  <c r="I146"/>
  <c r="I150"/>
  <c r="I154"/>
  <c r="I158"/>
  <c r="I162"/>
  <c r="I166"/>
  <c r="I170"/>
  <c r="I174"/>
  <c r="I178"/>
  <c r="I182"/>
  <c r="I186"/>
  <c r="I190"/>
  <c r="I194"/>
  <c r="I198"/>
  <c r="I202"/>
  <c r="I206"/>
  <c r="I210"/>
  <c r="I214"/>
  <c r="I218"/>
  <c r="I222"/>
  <c r="I226"/>
  <c r="I232"/>
  <c r="I236"/>
  <c r="I240"/>
  <c r="I244"/>
  <c r="I248"/>
  <c r="I252"/>
  <c r="I256"/>
  <c r="I260"/>
  <c r="I264"/>
  <c r="I268"/>
  <c r="I272"/>
  <c r="I276"/>
  <c r="I280"/>
  <c r="I284"/>
  <c r="I288"/>
  <c r="I292"/>
  <c r="I296"/>
  <c r="I300"/>
  <c r="I304"/>
  <c r="I308"/>
  <c r="I312"/>
  <c r="I316"/>
  <c r="I320"/>
  <c r="I326"/>
  <c r="I332"/>
  <c r="I338"/>
  <c r="I342"/>
  <c r="I346"/>
  <c r="I352"/>
  <c r="I357"/>
  <c r="I365"/>
  <c r="I372"/>
  <c r="I377"/>
  <c r="I387"/>
  <c r="I394"/>
  <c r="I399"/>
  <c r="I407"/>
  <c r="I412"/>
  <c r="I417"/>
  <c r="I423"/>
  <c r="I428"/>
  <c r="I433"/>
  <c r="I439"/>
  <c r="I444"/>
  <c r="I449"/>
  <c r="I455"/>
  <c r="I460"/>
  <c r="I477"/>
  <c r="I493"/>
  <c r="I509"/>
  <c r="I535"/>
  <c r="I551"/>
  <c r="I567"/>
  <c r="I585"/>
  <c r="I603"/>
  <c r="I619"/>
  <c r="I641"/>
  <c r="I663"/>
  <c r="I683"/>
  <c r="I703"/>
  <c r="I719"/>
  <c r="I735"/>
  <c r="I753"/>
  <c r="I769"/>
  <c r="I785"/>
  <c r="I20" i="6"/>
  <c r="I40"/>
  <c r="I58"/>
  <c r="I78"/>
  <c r="I96"/>
  <c r="I6" i="9"/>
  <c r="I29"/>
  <c r="I17" i="11"/>
  <c r="I39"/>
  <c r="I63"/>
  <c r="I88"/>
  <c r="I111"/>
  <c r="I137"/>
  <c r="I160"/>
  <c r="I229"/>
  <c r="I65" i="13"/>
  <c r="I143"/>
  <c r="I209"/>
  <c r="I279"/>
  <c r="I349"/>
  <c r="I419"/>
  <c r="I485"/>
  <c r="I566"/>
  <c r="I837"/>
  <c r="I4" i="4"/>
  <c r="I10"/>
  <c r="I3" i="2"/>
  <c r="I7"/>
  <c r="I11"/>
  <c r="I17"/>
  <c r="I23"/>
  <c r="I27"/>
  <c r="I35"/>
  <c r="I39"/>
  <c r="I43"/>
  <c r="I47"/>
  <c r="I51"/>
  <c r="I55"/>
  <c r="I59"/>
  <c r="I65"/>
  <c r="I69"/>
  <c r="I73"/>
  <c r="I77"/>
  <c r="I81"/>
  <c r="I87"/>
  <c r="I91"/>
  <c r="I95"/>
  <c r="I99"/>
  <c r="I103"/>
  <c r="I107"/>
  <c r="I111"/>
  <c r="I115"/>
  <c r="I119"/>
  <c r="I123"/>
  <c r="I127"/>
  <c r="I131"/>
  <c r="I135"/>
  <c r="I139"/>
  <c r="I143"/>
  <c r="I147"/>
  <c r="I151"/>
  <c r="I155"/>
  <c r="I159"/>
  <c r="I163"/>
  <c r="I167"/>
  <c r="I171"/>
  <c r="I175"/>
  <c r="I179"/>
  <c r="I183"/>
  <c r="I187"/>
  <c r="I191"/>
  <c r="I195"/>
  <c r="I199"/>
  <c r="I203"/>
  <c r="I207"/>
  <c r="I211"/>
  <c r="I215"/>
  <c r="I219"/>
  <c r="I223"/>
  <c r="I227"/>
  <c r="I233"/>
  <c r="I237"/>
  <c r="I241"/>
  <c r="I245"/>
  <c r="I249"/>
  <c r="I253"/>
  <c r="I257"/>
  <c r="I261"/>
  <c r="I265"/>
  <c r="I269"/>
  <c r="I273"/>
  <c r="I277"/>
  <c r="I281"/>
  <c r="I285"/>
  <c r="I289"/>
  <c r="I293"/>
  <c r="I297"/>
  <c r="I301"/>
  <c r="I305"/>
  <c r="I309"/>
  <c r="I313"/>
  <c r="I317"/>
  <c r="I323"/>
  <c r="I327"/>
  <c r="I333"/>
  <c r="I339"/>
  <c r="I343"/>
  <c r="I347"/>
  <c r="I353"/>
  <c r="I359"/>
  <c r="I366"/>
  <c r="I373"/>
  <c r="I381"/>
  <c r="I388"/>
  <c r="I395"/>
  <c r="I401"/>
  <c r="I408"/>
  <c r="I413"/>
  <c r="I419"/>
  <c r="I424"/>
  <c r="I429"/>
  <c r="I435"/>
  <c r="I440"/>
  <c r="I445"/>
  <c r="I451"/>
  <c r="I456"/>
  <c r="I463"/>
  <c r="I481"/>
  <c r="I497"/>
  <c r="I513"/>
  <c r="I539"/>
  <c r="I555"/>
  <c r="I573"/>
  <c r="I589"/>
  <c r="I607"/>
  <c r="I625"/>
  <c r="I647"/>
  <c r="I667"/>
  <c r="I689"/>
  <c r="I707"/>
  <c r="I723"/>
  <c r="I739"/>
  <c r="I757"/>
  <c r="I773"/>
  <c r="I789"/>
  <c r="I26" i="6"/>
  <c r="I44"/>
  <c r="I62"/>
  <c r="I82"/>
  <c r="I100"/>
  <c r="I15" i="9"/>
  <c r="I37"/>
  <c r="I25" i="11"/>
  <c r="I45"/>
  <c r="I70"/>
  <c r="I93"/>
  <c r="I117"/>
  <c r="I142"/>
  <c r="I173"/>
  <c r="I247"/>
  <c r="I87" i="13"/>
  <c r="I159"/>
  <c r="I225"/>
  <c r="I297"/>
  <c r="I367"/>
  <c r="I437"/>
  <c r="I503"/>
  <c r="I592"/>
  <c r="I2317"/>
  <c r="I2269"/>
  <c r="I2225"/>
  <c r="I2183"/>
  <c r="I2147"/>
  <c r="I2111"/>
  <c r="I2073"/>
  <c r="I2057"/>
  <c r="I2049"/>
  <c r="I2041"/>
  <c r="I2031"/>
  <c r="I2023"/>
  <c r="I2013"/>
  <c r="I2005"/>
  <c r="I1995"/>
  <c r="I1987"/>
  <c r="I1977"/>
  <c r="I1967"/>
  <c r="I1957"/>
  <c r="I1949"/>
  <c r="I1939"/>
  <c r="I1931"/>
  <c r="I1921"/>
  <c r="I1913"/>
  <c r="I1903"/>
  <c r="I1895"/>
  <c r="I1885"/>
  <c r="I1877"/>
  <c r="I1867"/>
  <c r="I1857"/>
  <c r="I1849"/>
  <c r="I1841"/>
  <c r="I1831"/>
  <c r="I1823"/>
  <c r="I1813"/>
  <c r="I1805"/>
  <c r="I1797"/>
  <c r="I1785"/>
  <c r="I1777"/>
  <c r="I1772"/>
  <c r="I1765"/>
  <c r="I1761"/>
  <c r="I1757"/>
  <c r="I1753"/>
  <c r="I1749"/>
  <c r="I1743"/>
  <c r="I1739"/>
  <c r="I1735"/>
  <c r="I1731"/>
  <c r="I1727"/>
  <c r="I1721"/>
  <c r="I1717"/>
  <c r="I1713"/>
  <c r="I1709"/>
  <c r="I1703"/>
  <c r="I1699"/>
  <c r="I1695"/>
  <c r="I1691"/>
  <c r="I1687"/>
  <c r="I1681"/>
  <c r="I1677"/>
  <c r="I2477"/>
  <c r="I2433"/>
  <c r="I2387"/>
  <c r="I2341"/>
  <c r="I2293"/>
  <c r="I2247"/>
  <c r="I2203"/>
  <c r="I2165"/>
  <c r="I2127"/>
  <c r="I2093"/>
  <c r="I2063"/>
  <c r="I2053"/>
  <c r="I2045"/>
  <c r="I2035"/>
  <c r="I2027"/>
  <c r="I2019"/>
  <c r="I2009"/>
  <c r="I2001"/>
  <c r="I1991"/>
  <c r="I1981"/>
  <c r="I1973"/>
  <c r="I1963"/>
  <c r="I1953"/>
  <c r="I1943"/>
  <c r="I1935"/>
  <c r="I1925"/>
  <c r="I1917"/>
  <c r="I1909"/>
  <c r="I1899"/>
  <c r="I1891"/>
  <c r="I1881"/>
  <c r="I1871"/>
  <c r="I1863"/>
  <c r="I1853"/>
  <c r="I1845"/>
  <c r="I1837"/>
  <c r="I1827"/>
  <c r="I1819"/>
  <c r="I1809"/>
  <c r="I1801"/>
  <c r="I1791"/>
  <c r="I1781"/>
  <c r="I1774"/>
  <c r="I1769"/>
  <c r="I1763"/>
  <c r="I1759"/>
  <c r="I1755"/>
  <c r="I1751"/>
  <c r="I1747"/>
  <c r="I1741"/>
  <c r="I1737"/>
  <c r="I1733"/>
  <c r="I1729"/>
  <c r="I1723"/>
  <c r="I1719"/>
  <c r="I1715"/>
  <c r="I1711"/>
  <c r="I1707"/>
  <c r="I1701"/>
  <c r="I1697"/>
  <c r="I1693"/>
  <c r="I1689"/>
  <c r="I2335"/>
  <c r="I2287"/>
  <c r="I2241"/>
  <c r="I2197"/>
  <c r="I2161"/>
  <c r="I2123"/>
  <c r="I2087"/>
  <c r="I2062"/>
  <c r="I2052"/>
  <c r="I2044"/>
  <c r="I2034"/>
  <c r="I2026"/>
  <c r="I2018"/>
  <c r="I2008"/>
  <c r="I2000"/>
  <c r="I1990"/>
  <c r="I1980"/>
  <c r="I1972"/>
  <c r="I1962"/>
  <c r="I1952"/>
  <c r="I1942"/>
  <c r="I1934"/>
  <c r="I1924"/>
  <c r="I1916"/>
  <c r="I1908"/>
  <c r="I1898"/>
  <c r="I1890"/>
  <c r="I1880"/>
  <c r="I1870"/>
  <c r="I1862"/>
  <c r="I1852"/>
  <c r="I1844"/>
  <c r="I1834"/>
  <c r="I1826"/>
  <c r="I1818"/>
  <c r="I1808"/>
  <c r="I1800"/>
  <c r="I1790"/>
  <c r="I1780"/>
  <c r="I1773"/>
  <c r="I1768"/>
  <c r="I1762"/>
  <c r="I1758"/>
  <c r="I1754"/>
  <c r="I1750"/>
  <c r="I1744"/>
  <c r="I1740"/>
  <c r="I1736"/>
  <c r="I1732"/>
  <c r="I1728"/>
  <c r="I1722"/>
  <c r="I1718"/>
  <c r="I1714"/>
  <c r="I1710"/>
  <c r="I1706"/>
  <c r="I1700"/>
  <c r="I1696"/>
  <c r="I1692"/>
  <c r="I1688"/>
  <c r="I1682"/>
  <c r="I1678"/>
  <c r="I1674"/>
  <c r="I1670"/>
  <c r="I1666"/>
  <c r="I1662"/>
  <c r="I1656"/>
  <c r="I1652"/>
  <c r="I1648"/>
  <c r="I1644"/>
  <c r="I1638"/>
  <c r="I1634"/>
  <c r="I1630"/>
  <c r="I1626"/>
  <c r="I1622"/>
  <c r="I1618"/>
  <c r="I1612"/>
  <c r="I1608"/>
  <c r="I1604"/>
  <c r="I1598"/>
  <c r="I1594"/>
  <c r="I1590"/>
  <c r="I2453"/>
  <c r="I2263"/>
  <c r="I2107"/>
  <c r="I2038"/>
  <c r="I2004"/>
  <c r="I1966"/>
  <c r="I1930"/>
  <c r="I1894"/>
  <c r="I1856"/>
  <c r="I1822"/>
  <c r="I1784"/>
  <c r="I1760"/>
  <c r="I1742"/>
  <c r="I1724"/>
  <c r="I1708"/>
  <c r="I1690"/>
  <c r="I1679"/>
  <c r="I1672"/>
  <c r="I1667"/>
  <c r="I1661"/>
  <c r="I1654"/>
  <c r="I1649"/>
  <c r="I1643"/>
  <c r="I1636"/>
  <c r="I1631"/>
  <c r="I1625"/>
  <c r="I1620"/>
  <c r="I1613"/>
  <c r="I1607"/>
  <c r="I1602"/>
  <c r="I1595"/>
  <c r="I1589"/>
  <c r="I1585"/>
  <c r="I1581"/>
  <c r="I1577"/>
  <c r="I1571"/>
  <c r="I1567"/>
  <c r="I1563"/>
  <c r="I1559"/>
  <c r="I1555"/>
  <c r="I1551"/>
  <c r="I1545"/>
  <c r="I1541"/>
  <c r="I1537"/>
  <c r="I1533"/>
  <c r="I1529"/>
  <c r="I1523"/>
  <c r="I1519"/>
  <c r="I1515"/>
  <c r="I1511"/>
  <c r="I1507"/>
  <c r="I1503"/>
  <c r="I1497"/>
  <c r="I1493"/>
  <c r="I1489"/>
  <c r="I1485"/>
  <c r="I1479"/>
  <c r="I1475"/>
  <c r="I1471"/>
  <c r="I1467"/>
  <c r="I1463"/>
  <c r="I1457"/>
  <c r="I1453"/>
  <c r="I1449"/>
  <c r="I1445"/>
  <c r="I1441"/>
  <c r="I1437"/>
  <c r="I1431"/>
  <c r="I1427"/>
  <c r="I1423"/>
  <c r="I1417"/>
  <c r="I1413"/>
  <c r="I1409"/>
  <c r="I1403"/>
  <c r="I1399"/>
  <c r="I1395"/>
  <c r="I1391"/>
  <c r="I1385"/>
  <c r="I1381"/>
  <c r="I1375"/>
  <c r="I1371"/>
  <c r="I1367"/>
  <c r="I1361"/>
  <c r="I1357"/>
  <c r="I1353"/>
  <c r="I2359"/>
  <c r="I2177"/>
  <c r="I2056"/>
  <c r="I2022"/>
  <c r="I1986"/>
  <c r="I1948"/>
  <c r="I1912"/>
  <c r="I1876"/>
  <c r="I1840"/>
  <c r="I1804"/>
  <c r="I1770"/>
  <c r="I1752"/>
  <c r="I1734"/>
  <c r="I1716"/>
  <c r="I1698"/>
  <c r="I1683"/>
  <c r="I1675"/>
  <c r="I1669"/>
  <c r="I1664"/>
  <c r="I1657"/>
  <c r="I1651"/>
  <c r="I1646"/>
  <c r="I1641"/>
  <c r="I1633"/>
  <c r="I1628"/>
  <c r="I1623"/>
  <c r="I1615"/>
  <c r="I1610"/>
  <c r="I1605"/>
  <c r="I1597"/>
  <c r="I1592"/>
  <c r="I1587"/>
  <c r="I1583"/>
  <c r="I1579"/>
  <c r="I1573"/>
  <c r="I1569"/>
  <c r="I1565"/>
  <c r="I1561"/>
  <c r="I1557"/>
  <c r="I1553"/>
  <c r="I1547"/>
  <c r="I1543"/>
  <c r="I1539"/>
  <c r="I1535"/>
  <c r="I1531"/>
  <c r="I1527"/>
  <c r="I1521"/>
  <c r="I1517"/>
  <c r="I1513"/>
  <c r="I1509"/>
  <c r="I1505"/>
  <c r="I1499"/>
  <c r="I1495"/>
  <c r="I1491"/>
  <c r="I1487"/>
  <c r="I1481"/>
  <c r="I1477"/>
  <c r="I1473"/>
  <c r="I1469"/>
  <c r="I1465"/>
  <c r="I1461"/>
  <c r="I1455"/>
  <c r="I1451"/>
  <c r="I1447"/>
  <c r="I1443"/>
  <c r="I1439"/>
  <c r="I1433"/>
  <c r="I1429"/>
  <c r="I1425"/>
  <c r="I1419"/>
  <c r="I1415"/>
  <c r="I1411"/>
  <c r="I1407"/>
  <c r="I1401"/>
  <c r="I1397"/>
  <c r="I1393"/>
  <c r="I1387"/>
  <c r="I1383"/>
  <c r="I1379"/>
  <c r="I1373"/>
  <c r="I1369"/>
  <c r="I1365"/>
  <c r="I1359"/>
  <c r="I1355"/>
  <c r="I2405"/>
  <c r="I2068"/>
  <c r="I1994"/>
  <c r="I1920"/>
  <c r="I1848"/>
  <c r="I1776"/>
  <c r="I1738"/>
  <c r="I1702"/>
  <c r="I1676"/>
  <c r="I1665"/>
  <c r="I1653"/>
  <c r="I1642"/>
  <c r="I1629"/>
  <c r="I1619"/>
  <c r="I1606"/>
  <c r="I1593"/>
  <c r="I1584"/>
  <c r="I1576"/>
  <c r="I1566"/>
  <c r="I1558"/>
  <c r="I1548"/>
  <c r="I1540"/>
  <c r="I1532"/>
  <c r="I1522"/>
  <c r="I1514"/>
  <c r="I1506"/>
  <c r="I1496"/>
  <c r="I1488"/>
  <c r="I1478"/>
  <c r="I1470"/>
  <c r="I1462"/>
  <c r="I1452"/>
  <c r="I1444"/>
  <c r="I1434"/>
  <c r="I1426"/>
  <c r="I1416"/>
  <c r="I1408"/>
  <c r="I1398"/>
  <c r="I1388"/>
  <c r="I1380"/>
  <c r="I1370"/>
  <c r="I1360"/>
  <c r="I1352"/>
  <c r="I1348"/>
  <c r="I1342"/>
  <c r="I1338"/>
  <c r="I1334"/>
  <c r="I1328"/>
  <c r="I1324"/>
  <c r="I1320"/>
  <c r="I1316"/>
  <c r="I1310"/>
  <c r="I1306"/>
  <c r="I1302"/>
  <c r="I1298"/>
  <c r="I1292"/>
  <c r="I1288"/>
  <c r="I1284"/>
  <c r="I1280"/>
  <c r="I1274"/>
  <c r="I1270"/>
  <c r="I1266"/>
  <c r="I1260"/>
  <c r="I1256"/>
  <c r="I1252"/>
  <c r="I1248"/>
  <c r="I1242"/>
  <c r="I1238"/>
  <c r="I1234"/>
  <c r="I1230"/>
  <c r="I1226"/>
  <c r="I1220"/>
  <c r="I1216"/>
  <c r="I1212"/>
  <c r="I1208"/>
  <c r="I1202"/>
  <c r="I1198"/>
  <c r="I1194"/>
  <c r="I1190"/>
  <c r="I1186"/>
  <c r="I1182"/>
  <c r="I1178"/>
  <c r="I1172"/>
  <c r="I1168"/>
  <c r="I1164"/>
  <c r="I2219"/>
  <c r="I2030"/>
  <c r="I1956"/>
  <c r="I1884"/>
  <c r="I1812"/>
  <c r="I1756"/>
  <c r="I1720"/>
  <c r="I1686"/>
  <c r="I1671"/>
  <c r="I1658"/>
  <c r="I1647"/>
  <c r="I1635"/>
  <c r="I1624"/>
  <c r="I1611"/>
  <c r="I1599"/>
  <c r="I1588"/>
  <c r="I1580"/>
  <c r="I1570"/>
  <c r="I1562"/>
  <c r="I1554"/>
  <c r="I1544"/>
  <c r="I1536"/>
  <c r="I1528"/>
  <c r="I1518"/>
  <c r="I1510"/>
  <c r="I1500"/>
  <c r="I1492"/>
  <c r="I1482"/>
  <c r="I1474"/>
  <c r="I1466"/>
  <c r="I1456"/>
  <c r="I1448"/>
  <c r="I1440"/>
  <c r="I1430"/>
  <c r="I1422"/>
  <c r="I1412"/>
  <c r="I1402"/>
  <c r="I1394"/>
  <c r="I1384"/>
  <c r="I1374"/>
  <c r="I1366"/>
  <c r="I1356"/>
  <c r="I1350"/>
  <c r="I1344"/>
  <c r="I1340"/>
  <c r="I1336"/>
  <c r="I1330"/>
  <c r="I1326"/>
  <c r="I1322"/>
  <c r="I1318"/>
  <c r="I1312"/>
  <c r="I1308"/>
  <c r="I1304"/>
  <c r="I1300"/>
  <c r="I1296"/>
  <c r="I1290"/>
  <c r="I1286"/>
  <c r="I1282"/>
  <c r="I1278"/>
  <c r="I1272"/>
  <c r="I1268"/>
  <c r="I1264"/>
  <c r="I1258"/>
  <c r="I1254"/>
  <c r="I1250"/>
  <c r="I1246"/>
  <c r="I1240"/>
  <c r="I1236"/>
  <c r="I1232"/>
  <c r="I1228"/>
  <c r="I1222"/>
  <c r="I1218"/>
  <c r="I1214"/>
  <c r="I1210"/>
  <c r="I1204"/>
  <c r="I1200"/>
  <c r="I1196"/>
  <c r="I1192"/>
  <c r="I1188"/>
  <c r="I1184"/>
  <c r="I1180"/>
  <c r="I1176"/>
  <c r="I1170"/>
  <c r="I1166"/>
  <c r="I1162"/>
  <c r="I2311"/>
  <c r="I1976"/>
  <c r="I1830"/>
  <c r="I1730"/>
  <c r="I1673"/>
  <c r="I1650"/>
  <c r="I1627"/>
  <c r="I1603"/>
  <c r="I1582"/>
  <c r="I1564"/>
  <c r="I1546"/>
  <c r="I1530"/>
  <c r="I1512"/>
  <c r="I1494"/>
  <c r="I1476"/>
  <c r="I1460"/>
  <c r="I1442"/>
  <c r="I1424"/>
  <c r="I1406"/>
  <c r="I1386"/>
  <c r="I1368"/>
  <c r="I1351"/>
  <c r="I1341"/>
  <c r="I1333"/>
  <c r="I1323"/>
  <c r="I1315"/>
  <c r="I1305"/>
  <c r="I1297"/>
  <c r="I1287"/>
  <c r="I1279"/>
  <c r="I1269"/>
  <c r="I1259"/>
  <c r="I1251"/>
  <c r="I1241"/>
  <c r="I1233"/>
  <c r="I1223"/>
  <c r="I1215"/>
  <c r="I1205"/>
  <c r="I1197"/>
  <c r="I1189"/>
  <c r="I1181"/>
  <c r="I1171"/>
  <c r="I1163"/>
  <c r="I1158"/>
  <c r="I1154"/>
  <c r="I1150"/>
  <c r="I1146"/>
  <c r="I1142"/>
  <c r="I1136"/>
  <c r="I1132"/>
  <c r="I1128"/>
  <c r="I1124"/>
  <c r="I1120"/>
  <c r="I1116"/>
  <c r="I1112"/>
  <c r="I1108"/>
  <c r="I1104"/>
  <c r="I1100"/>
  <c r="I1096"/>
  <c r="I1092"/>
  <c r="I1088"/>
  <c r="I1082"/>
  <c r="I1078"/>
  <c r="I1074"/>
  <c r="I1068"/>
  <c r="I1064"/>
  <c r="I1060"/>
  <c r="I1056"/>
  <c r="I1052"/>
  <c r="I1048"/>
  <c r="I1044"/>
  <c r="I1038"/>
  <c r="I1034"/>
  <c r="I1030"/>
  <c r="I1026"/>
  <c r="I1022"/>
  <c r="I1018"/>
  <c r="I1014"/>
  <c r="I1010"/>
  <c r="I1006"/>
  <c r="I1002"/>
  <c r="I996"/>
  <c r="I992"/>
  <c r="I988"/>
  <c r="I984"/>
  <c r="I980"/>
  <c r="I976"/>
  <c r="I972"/>
  <c r="I968"/>
  <c r="I964"/>
  <c r="I960"/>
  <c r="I956"/>
  <c r="I952"/>
  <c r="I948"/>
  <c r="I942"/>
  <c r="I938"/>
  <c r="I934"/>
  <c r="I930"/>
  <c r="I924"/>
  <c r="I920"/>
  <c r="I916"/>
  <c r="I912"/>
  <c r="I906"/>
  <c r="I902"/>
  <c r="I898"/>
  <c r="I894"/>
  <c r="I890"/>
  <c r="I884"/>
  <c r="I880"/>
  <c r="I876"/>
  <c r="I872"/>
  <c r="I866"/>
  <c r="I862"/>
  <c r="I856"/>
  <c r="I852"/>
  <c r="I848"/>
  <c r="I844"/>
  <c r="I838"/>
  <c r="I834"/>
  <c r="I830"/>
  <c r="I826"/>
  <c r="I820"/>
  <c r="I816"/>
  <c r="I812"/>
  <c r="I806"/>
  <c r="I802"/>
  <c r="I798"/>
  <c r="I794"/>
  <c r="I788"/>
  <c r="I784"/>
  <c r="I780"/>
  <c r="I774"/>
  <c r="I770"/>
  <c r="I766"/>
  <c r="I760"/>
  <c r="I756"/>
  <c r="I752"/>
  <c r="I748"/>
  <c r="I744"/>
  <c r="I740"/>
  <c r="I736"/>
  <c r="I730"/>
  <c r="I726"/>
  <c r="I722"/>
  <c r="I718"/>
  <c r="I714"/>
  <c r="I710"/>
  <c r="I706"/>
  <c r="I702"/>
  <c r="I698"/>
  <c r="I692"/>
  <c r="I688"/>
  <c r="I684"/>
  <c r="I680"/>
  <c r="I676"/>
  <c r="I672"/>
  <c r="I668"/>
  <c r="I664"/>
  <c r="I660"/>
  <c r="I656"/>
  <c r="I652"/>
  <c r="I648"/>
  <c r="I644"/>
  <c r="I640"/>
  <c r="I634"/>
  <c r="I630"/>
  <c r="I626"/>
  <c r="I620"/>
  <c r="I616"/>
  <c r="I612"/>
  <c r="I2141"/>
  <c r="I1938"/>
  <c r="I1794"/>
  <c r="I1712"/>
  <c r="I1668"/>
  <c r="I1645"/>
  <c r="I1621"/>
  <c r="I1596"/>
  <c r="I1578"/>
  <c r="I1560"/>
  <c r="I1542"/>
  <c r="I1524"/>
  <c r="I1508"/>
  <c r="I1490"/>
  <c r="I1472"/>
  <c r="I1454"/>
  <c r="I1438"/>
  <c r="I1418"/>
  <c r="I1400"/>
  <c r="I1382"/>
  <c r="I1364"/>
  <c r="I1349"/>
  <c r="I1339"/>
  <c r="I1329"/>
  <c r="I1321"/>
  <c r="I1311"/>
  <c r="I1303"/>
  <c r="I1293"/>
  <c r="I1285"/>
  <c r="I1275"/>
  <c r="I1267"/>
  <c r="I1257"/>
  <c r="I1249"/>
  <c r="I1239"/>
  <c r="I1231"/>
  <c r="I1221"/>
  <c r="I1213"/>
  <c r="I1203"/>
  <c r="I1195"/>
  <c r="I1187"/>
  <c r="I1179"/>
  <c r="I1169"/>
  <c r="I1161"/>
  <c r="I2048"/>
  <c r="I1902"/>
  <c r="I1764"/>
  <c r="I1694"/>
  <c r="I1663"/>
  <c r="I1637"/>
  <c r="I1614"/>
  <c r="I1591"/>
  <c r="I1572"/>
  <c r="I1556"/>
  <c r="I1538"/>
  <c r="I1520"/>
  <c r="I1504"/>
  <c r="I1486"/>
  <c r="I1468"/>
  <c r="I1450"/>
  <c r="I1432"/>
  <c r="I1414"/>
  <c r="I1396"/>
  <c r="I1376"/>
  <c r="I1358"/>
  <c r="I1345"/>
  <c r="I1337"/>
  <c r="I1327"/>
  <c r="I1319"/>
  <c r="I1309"/>
  <c r="I1301"/>
  <c r="I1291"/>
  <c r="I1283"/>
  <c r="I1273"/>
  <c r="I1265"/>
  <c r="I1255"/>
  <c r="I1247"/>
  <c r="I1237"/>
  <c r="I1229"/>
  <c r="I1219"/>
  <c r="I1211"/>
  <c r="I1201"/>
  <c r="I1193"/>
  <c r="I1185"/>
  <c r="I1177"/>
  <c r="I1167"/>
  <c r="I1160"/>
  <c r="I1156"/>
  <c r="I1152"/>
  <c r="I1148"/>
  <c r="I1144"/>
  <c r="I1138"/>
  <c r="I1134"/>
  <c r="I1130"/>
  <c r="I1126"/>
  <c r="I1122"/>
  <c r="I1118"/>
  <c r="I1114"/>
  <c r="I1110"/>
  <c r="I1106"/>
  <c r="I1102"/>
  <c r="I1098"/>
  <c r="I1094"/>
  <c r="I1090"/>
  <c r="I1084"/>
  <c r="I1080"/>
  <c r="I1076"/>
  <c r="I1070"/>
  <c r="I1066"/>
  <c r="I1062"/>
  <c r="I1058"/>
  <c r="I1054"/>
  <c r="I1050"/>
  <c r="I1046"/>
  <c r="I1042"/>
  <c r="I1036"/>
  <c r="I1032"/>
  <c r="I1028"/>
  <c r="I1024"/>
  <c r="I1020"/>
  <c r="I1016"/>
  <c r="I1012"/>
  <c r="I1008"/>
  <c r="I1004"/>
  <c r="I998"/>
  <c r="I994"/>
  <c r="I990"/>
  <c r="I986"/>
  <c r="I982"/>
  <c r="I978"/>
  <c r="I974"/>
  <c r="I970"/>
  <c r="I966"/>
  <c r="I962"/>
  <c r="I958"/>
  <c r="I954"/>
  <c r="I950"/>
  <c r="I946"/>
  <c r="I940"/>
  <c r="I936"/>
  <c r="I932"/>
  <c r="I928"/>
  <c r="I922"/>
  <c r="I918"/>
  <c r="I914"/>
  <c r="I910"/>
  <c r="I904"/>
  <c r="I900"/>
  <c r="I896"/>
  <c r="I892"/>
  <c r="I886"/>
  <c r="I882"/>
  <c r="I878"/>
  <c r="I874"/>
  <c r="I868"/>
  <c r="I864"/>
  <c r="I860"/>
  <c r="I854"/>
  <c r="I850"/>
  <c r="I846"/>
  <c r="I842"/>
  <c r="I836"/>
  <c r="I832"/>
  <c r="I828"/>
  <c r="I824"/>
  <c r="I818"/>
  <c r="I814"/>
  <c r="I810"/>
  <c r="I804"/>
  <c r="I800"/>
  <c r="I2012"/>
  <c r="I1655"/>
  <c r="I1568"/>
  <c r="I1498"/>
  <c r="I1428"/>
  <c r="I1354"/>
  <c r="I1317"/>
  <c r="I1281"/>
  <c r="I1245"/>
  <c r="I1209"/>
  <c r="I1175"/>
  <c r="I1155"/>
  <c r="I1147"/>
  <c r="I1137"/>
  <c r="I1129"/>
  <c r="I1121"/>
  <c r="I1113"/>
  <c r="I1105"/>
  <c r="I1097"/>
  <c r="I1089"/>
  <c r="I1079"/>
  <c r="I1069"/>
  <c r="I1061"/>
  <c r="I1053"/>
  <c r="I1045"/>
  <c r="I1035"/>
  <c r="I1027"/>
  <c r="I1019"/>
  <c r="I1011"/>
  <c r="I1003"/>
  <c r="I993"/>
  <c r="I985"/>
  <c r="I977"/>
  <c r="I969"/>
  <c r="I961"/>
  <c r="I953"/>
  <c r="I943"/>
  <c r="I935"/>
  <c r="I925"/>
  <c r="I917"/>
  <c r="I909"/>
  <c r="I899"/>
  <c r="I891"/>
  <c r="I881"/>
  <c r="I873"/>
  <c r="I863"/>
  <c r="I853"/>
  <c r="I845"/>
  <c r="I835"/>
  <c r="I827"/>
  <c r="I817"/>
  <c r="I807"/>
  <c r="I799"/>
  <c r="I791"/>
  <c r="I786"/>
  <c r="I781"/>
  <c r="I773"/>
  <c r="I768"/>
  <c r="I761"/>
  <c r="I755"/>
  <c r="I750"/>
  <c r="I745"/>
  <c r="I739"/>
  <c r="I734"/>
  <c r="I727"/>
  <c r="I721"/>
  <c r="I716"/>
  <c r="I711"/>
  <c r="I705"/>
  <c r="I700"/>
  <c r="I693"/>
  <c r="I687"/>
  <c r="I682"/>
  <c r="I677"/>
  <c r="I671"/>
  <c r="I666"/>
  <c r="I661"/>
  <c r="I655"/>
  <c r="I650"/>
  <c r="I645"/>
  <c r="I637"/>
  <c r="I632"/>
  <c r="I627"/>
  <c r="I619"/>
  <c r="I614"/>
  <c r="I609"/>
  <c r="I603"/>
  <c r="I599"/>
  <c r="I595"/>
  <c r="I591"/>
  <c r="I585"/>
  <c r="I581"/>
  <c r="I577"/>
  <c r="I573"/>
  <c r="I567"/>
  <c r="I563"/>
  <c r="I559"/>
  <c r="I555"/>
  <c r="I551"/>
  <c r="I547"/>
  <c r="I543"/>
  <c r="I539"/>
  <c r="I533"/>
  <c r="I529"/>
  <c r="I525"/>
  <c r="I521"/>
  <c r="I517"/>
  <c r="I513"/>
  <c r="I1866"/>
  <c r="I1632"/>
  <c r="I1552"/>
  <c r="I1480"/>
  <c r="I1410"/>
  <c r="I1343"/>
  <c r="I1307"/>
  <c r="I1271"/>
  <c r="I1235"/>
  <c r="I1199"/>
  <c r="I1165"/>
  <c r="I1153"/>
  <c r="I1145"/>
  <c r="I1135"/>
  <c r="I1127"/>
  <c r="I1119"/>
  <c r="I1111"/>
  <c r="I1103"/>
  <c r="I1095"/>
  <c r="I1087"/>
  <c r="I1077"/>
  <c r="I1067"/>
  <c r="I1059"/>
  <c r="I1051"/>
  <c r="I1043"/>
  <c r="I1033"/>
  <c r="I1025"/>
  <c r="I1017"/>
  <c r="I1009"/>
  <c r="I999"/>
  <c r="I991"/>
  <c r="I983"/>
  <c r="I975"/>
  <c r="I967"/>
  <c r="I959"/>
  <c r="I951"/>
  <c r="I941"/>
  <c r="I933"/>
  <c r="I923"/>
  <c r="I915"/>
  <c r="I905"/>
  <c r="I897"/>
  <c r="I887"/>
  <c r="I879"/>
  <c r="I871"/>
  <c r="I861"/>
  <c r="I851"/>
  <c r="I843"/>
  <c r="I833"/>
  <c r="I825"/>
  <c r="I815"/>
  <c r="I805"/>
  <c r="I797"/>
  <c r="I790"/>
  <c r="I785"/>
  <c r="I777"/>
  <c r="I772"/>
  <c r="I767"/>
  <c r="I759"/>
  <c r="I754"/>
  <c r="I749"/>
  <c r="I743"/>
  <c r="I738"/>
  <c r="I731"/>
  <c r="I725"/>
  <c r="I720"/>
  <c r="I715"/>
  <c r="I709"/>
  <c r="I704"/>
  <c r="I699"/>
  <c r="I691"/>
  <c r="I686"/>
  <c r="I681"/>
  <c r="I675"/>
  <c r="I670"/>
  <c r="I665"/>
  <c r="I659"/>
  <c r="I654"/>
  <c r="I649"/>
  <c r="I643"/>
  <c r="I636"/>
  <c r="I631"/>
  <c r="I625"/>
  <c r="I618"/>
  <c r="I613"/>
  <c r="I1748"/>
  <c r="I1609"/>
  <c r="I1534"/>
  <c r="I1464"/>
  <c r="I1392"/>
  <c r="I1335"/>
  <c r="I1299"/>
  <c r="I1261"/>
  <c r="I1227"/>
  <c r="I1191"/>
  <c r="I1159"/>
  <c r="I1151"/>
  <c r="I1143"/>
  <c r="I1133"/>
  <c r="I1125"/>
  <c r="I1117"/>
  <c r="I1109"/>
  <c r="I1101"/>
  <c r="I1093"/>
  <c r="I1083"/>
  <c r="I1075"/>
  <c r="I1065"/>
  <c r="I1057"/>
  <c r="I1049"/>
  <c r="I1041"/>
  <c r="I1031"/>
  <c r="I1023"/>
  <c r="I1015"/>
  <c r="I1007"/>
  <c r="I997"/>
  <c r="I989"/>
  <c r="I981"/>
  <c r="I973"/>
  <c r="I965"/>
  <c r="I957"/>
  <c r="I949"/>
  <c r="I939"/>
  <c r="I931"/>
  <c r="I921"/>
  <c r="I913"/>
  <c r="I903"/>
  <c r="I895"/>
  <c r="I885"/>
  <c r="I877"/>
  <c r="I867"/>
  <c r="I859"/>
  <c r="I849"/>
  <c r="I839"/>
  <c r="I831"/>
  <c r="I821"/>
  <c r="I813"/>
  <c r="I803"/>
  <c r="I796"/>
  <c r="I789"/>
  <c r="I783"/>
  <c r="I776"/>
  <c r="I771"/>
  <c r="I765"/>
  <c r="I758"/>
  <c r="I753"/>
  <c r="I747"/>
  <c r="I742"/>
  <c r="I737"/>
  <c r="I729"/>
  <c r="I724"/>
  <c r="I719"/>
  <c r="I713"/>
  <c r="I708"/>
  <c r="I703"/>
  <c r="I697"/>
  <c r="I690"/>
  <c r="I685"/>
  <c r="I679"/>
  <c r="I674"/>
  <c r="I669"/>
  <c r="I663"/>
  <c r="I658"/>
  <c r="I653"/>
  <c r="I647"/>
  <c r="I642"/>
  <c r="I635"/>
  <c r="I629"/>
  <c r="I624"/>
  <c r="I617"/>
  <c r="I611"/>
  <c r="I607"/>
  <c r="I1680"/>
  <c r="I1372"/>
  <c r="I1217"/>
  <c r="I1139"/>
  <c r="I1107"/>
  <c r="I1071"/>
  <c r="I1037"/>
  <c r="I1005"/>
  <c r="I971"/>
  <c r="I937"/>
  <c r="I901"/>
  <c r="I865"/>
  <c r="I829"/>
  <c r="I795"/>
  <c r="I769"/>
  <c r="I746"/>
  <c r="I723"/>
  <c r="I701"/>
  <c r="I678"/>
  <c r="I657"/>
  <c r="I633"/>
  <c r="I610"/>
  <c r="I601"/>
  <c r="I596"/>
  <c r="I590"/>
  <c r="I583"/>
  <c r="I578"/>
  <c r="I572"/>
  <c r="I565"/>
  <c r="I560"/>
  <c r="I554"/>
  <c r="I549"/>
  <c r="I544"/>
  <c r="I538"/>
  <c r="I531"/>
  <c r="I526"/>
  <c r="I520"/>
  <c r="I515"/>
  <c r="I510"/>
  <c r="I506"/>
  <c r="I502"/>
  <c r="I498"/>
  <c r="I494"/>
  <c r="I488"/>
  <c r="I484"/>
  <c r="I480"/>
  <c r="I476"/>
  <c r="I472"/>
  <c r="I468"/>
  <c r="I464"/>
  <c r="I460"/>
  <c r="I456"/>
  <c r="I452"/>
  <c r="I448"/>
  <c r="I444"/>
  <c r="I440"/>
  <c r="I436"/>
  <c r="I430"/>
  <c r="I426"/>
  <c r="I422"/>
  <c r="I418"/>
  <c r="I414"/>
  <c r="I410"/>
  <c r="I406"/>
  <c r="I402"/>
  <c r="I398"/>
  <c r="I394"/>
  <c r="I388"/>
  <c r="I384"/>
  <c r="I380"/>
  <c r="I376"/>
  <c r="I372"/>
  <c r="I366"/>
  <c r="I362"/>
  <c r="I358"/>
  <c r="I354"/>
  <c r="I348"/>
  <c r="I344"/>
  <c r="I340"/>
  <c r="I336"/>
  <c r="I330"/>
  <c r="I326"/>
  <c r="I322"/>
  <c r="I318"/>
  <c r="I314"/>
  <c r="I308"/>
  <c r="I304"/>
  <c r="I300"/>
  <c r="I296"/>
  <c r="I292"/>
  <c r="I286"/>
  <c r="I282"/>
  <c r="I278"/>
  <c r="I272"/>
  <c r="I268"/>
  <c r="I262"/>
  <c r="I258"/>
  <c r="I254"/>
  <c r="I250"/>
  <c r="I246"/>
  <c r="I242"/>
  <c r="I238"/>
  <c r="I232"/>
  <c r="I228"/>
  <c r="I224"/>
  <c r="I220"/>
  <c r="I216"/>
  <c r="I212"/>
  <c r="I208"/>
  <c r="I204"/>
  <c r="I200"/>
  <c r="I194"/>
  <c r="I190"/>
  <c r="I186"/>
  <c r="I182"/>
  <c r="I178"/>
  <c r="I174"/>
  <c r="I170"/>
  <c r="I166"/>
  <c r="I162"/>
  <c r="I158"/>
  <c r="I154"/>
  <c r="I150"/>
  <c r="I146"/>
  <c r="I142"/>
  <c r="I138"/>
  <c r="I132"/>
  <c r="I128"/>
  <c r="I124"/>
  <c r="I118"/>
  <c r="I114"/>
  <c r="I110"/>
  <c r="I106"/>
  <c r="I100"/>
  <c r="I96"/>
  <c r="I92"/>
  <c r="I86"/>
  <c r="I82"/>
  <c r="I76"/>
  <c r="I68"/>
  <c r="I64"/>
  <c r="I58"/>
  <c r="I54"/>
  <c r="I48"/>
  <c r="I42"/>
  <c r="I38"/>
  <c r="I32"/>
  <c r="I28"/>
  <c r="I22"/>
  <c r="I16"/>
  <c r="I10"/>
  <c r="I4"/>
  <c r="I246" i="11"/>
  <c r="I240"/>
  <c r="I236"/>
  <c r="I232"/>
  <c r="I228"/>
  <c r="I222"/>
  <c r="I218"/>
  <c r="I212"/>
  <c r="I208"/>
  <c r="I204"/>
  <c r="I200"/>
  <c r="I194"/>
  <c r="I190"/>
  <c r="I184"/>
  <c r="I180"/>
  <c r="I176"/>
  <c r="I172"/>
  <c r="I168"/>
  <c r="I162"/>
  <c r="I158"/>
  <c r="I154"/>
  <c r="I150"/>
  <c r="I146"/>
  <c r="I140"/>
  <c r="I136"/>
  <c r="I132"/>
  <c r="I126"/>
  <c r="I122"/>
  <c r="I116"/>
  <c r="I112"/>
  <c r="I108"/>
  <c r="I102"/>
  <c r="I98"/>
  <c r="I94"/>
  <c r="I90"/>
  <c r="I86"/>
  <c r="I80"/>
  <c r="I76"/>
  <c r="I72"/>
  <c r="I68"/>
  <c r="I62"/>
  <c r="I58"/>
  <c r="I54"/>
  <c r="I48"/>
  <c r="I44"/>
  <c r="I40"/>
  <c r="I1586" i="13"/>
  <c r="I1325"/>
  <c r="I1183"/>
  <c r="I1131"/>
  <c r="I1099"/>
  <c r="I1063"/>
  <c r="I1029"/>
  <c r="I995"/>
  <c r="I963"/>
  <c r="I929"/>
  <c r="I893"/>
  <c r="I855"/>
  <c r="I819"/>
  <c r="I787"/>
  <c r="I764"/>
  <c r="I741"/>
  <c r="I717"/>
  <c r="I694"/>
  <c r="I673"/>
  <c r="I651"/>
  <c r="I628"/>
  <c r="I608"/>
  <c r="I600"/>
  <c r="I594"/>
  <c r="I589"/>
  <c r="I582"/>
  <c r="I576"/>
  <c r="I571"/>
  <c r="I564"/>
  <c r="I558"/>
  <c r="I553"/>
  <c r="I548"/>
  <c r="I542"/>
  <c r="I537"/>
  <c r="I530"/>
  <c r="I524"/>
  <c r="I519"/>
  <c r="I514"/>
  <c r="I509"/>
  <c r="I505"/>
  <c r="I501"/>
  <c r="I497"/>
  <c r="I491"/>
  <c r="I487"/>
  <c r="I483"/>
  <c r="I479"/>
  <c r="I475"/>
  <c r="I471"/>
  <c r="I467"/>
  <c r="I463"/>
  <c r="I459"/>
  <c r="I455"/>
  <c r="I451"/>
  <c r="I447"/>
  <c r="I443"/>
  <c r="I439"/>
  <c r="I435"/>
  <c r="I429"/>
  <c r="I425"/>
  <c r="I421"/>
  <c r="I417"/>
  <c r="I413"/>
  <c r="I409"/>
  <c r="I405"/>
  <c r="I401"/>
  <c r="I397"/>
  <c r="I393"/>
  <c r="I387"/>
  <c r="I383"/>
  <c r="I379"/>
  <c r="I375"/>
  <c r="I371"/>
  <c r="I365"/>
  <c r="I361"/>
  <c r="I357"/>
  <c r="I351"/>
  <c r="I347"/>
  <c r="I343"/>
  <c r="I339"/>
  <c r="I335"/>
  <c r="I329"/>
  <c r="I325"/>
  <c r="I321"/>
  <c r="I317"/>
  <c r="I313"/>
  <c r="I307"/>
  <c r="I303"/>
  <c r="I299"/>
  <c r="I295"/>
  <c r="I291"/>
  <c r="I285"/>
  <c r="I281"/>
  <c r="I277"/>
  <c r="I271"/>
  <c r="I267"/>
  <c r="I261"/>
  <c r="I257"/>
  <c r="I253"/>
  <c r="I249"/>
  <c r="I245"/>
  <c r="I241"/>
  <c r="I237"/>
  <c r="I231"/>
  <c r="I227"/>
  <c r="I223"/>
  <c r="I219"/>
  <c r="I215"/>
  <c r="I211"/>
  <c r="I207"/>
  <c r="I203"/>
  <c r="I199"/>
  <c r="I193"/>
  <c r="I189"/>
  <c r="I185"/>
  <c r="I181"/>
  <c r="I177"/>
  <c r="I173"/>
  <c r="I169"/>
  <c r="I165"/>
  <c r="I161"/>
  <c r="I157"/>
  <c r="I153"/>
  <c r="I149"/>
  <c r="I145"/>
  <c r="I141"/>
  <c r="I137"/>
  <c r="I131"/>
  <c r="I127"/>
  <c r="I121"/>
  <c r="I117"/>
  <c r="I113"/>
  <c r="I109"/>
  <c r="I105"/>
  <c r="I99"/>
  <c r="I95"/>
  <c r="I91"/>
  <c r="I85"/>
  <c r="I81"/>
  <c r="I73"/>
  <c r="I67"/>
  <c r="I63"/>
  <c r="I57"/>
  <c r="I53"/>
  <c r="I47"/>
  <c r="I41"/>
  <c r="I37"/>
  <c r="I31"/>
  <c r="I27"/>
  <c r="I21"/>
  <c r="I15"/>
  <c r="I9"/>
  <c r="I13"/>
  <c r="I245" i="11"/>
  <c r="I239"/>
  <c r="I235"/>
  <c r="I231"/>
  <c r="I225"/>
  <c r="I221"/>
  <c r="I217"/>
  <c r="I211"/>
  <c r="I207"/>
  <c r="I203"/>
  <c r="I199"/>
  <c r="I193"/>
  <c r="I189"/>
  <c r="I183"/>
  <c r="I179"/>
  <c r="I175"/>
  <c r="I171"/>
  <c r="I167"/>
  <c r="I1516" i="13"/>
  <c r="I1289"/>
  <c r="I1157"/>
  <c r="I1123"/>
  <c r="I1091"/>
  <c r="I1055"/>
  <c r="I1021"/>
  <c r="I987"/>
  <c r="I955"/>
  <c r="I919"/>
  <c r="I883"/>
  <c r="I847"/>
  <c r="I811"/>
  <c r="I782"/>
  <c r="I757"/>
  <c r="I735"/>
  <c r="I712"/>
  <c r="I689"/>
  <c r="I667"/>
  <c r="I646"/>
  <c r="I623"/>
  <c r="I604"/>
  <c r="I598"/>
  <c r="I593"/>
  <c r="I588"/>
  <c r="I580"/>
  <c r="I575"/>
  <c r="I570"/>
  <c r="I562"/>
  <c r="I557"/>
  <c r="I552"/>
  <c r="I546"/>
  <c r="I541"/>
  <c r="I534"/>
  <c r="I528"/>
  <c r="I523"/>
  <c r="I518"/>
  <c r="I512"/>
  <c r="I508"/>
  <c r="I504"/>
  <c r="I500"/>
  <c r="I496"/>
  <c r="I490"/>
  <c r="I486"/>
  <c r="I482"/>
  <c r="I478"/>
  <c r="I474"/>
  <c r="I470"/>
  <c r="I466"/>
  <c r="I462"/>
  <c r="I458"/>
  <c r="I454"/>
  <c r="I450"/>
  <c r="I446"/>
  <c r="I442"/>
  <c r="I438"/>
  <c r="I434"/>
  <c r="I428"/>
  <c r="I424"/>
  <c r="I420"/>
  <c r="I416"/>
  <c r="I412"/>
  <c r="I408"/>
  <c r="I404"/>
  <c r="I400"/>
  <c r="I396"/>
  <c r="I392"/>
  <c r="I386"/>
  <c r="I382"/>
  <c r="I378"/>
  <c r="I374"/>
  <c r="I368"/>
  <c r="I364"/>
  <c r="I360"/>
  <c r="I356"/>
  <c r="I350"/>
  <c r="I346"/>
  <c r="I342"/>
  <c r="I338"/>
  <c r="I332"/>
  <c r="I328"/>
  <c r="I324"/>
  <c r="I320"/>
  <c r="I316"/>
  <c r="I312"/>
  <c r="I306"/>
  <c r="I302"/>
  <c r="I298"/>
  <c r="I294"/>
  <c r="I288"/>
  <c r="I284"/>
  <c r="I280"/>
  <c r="I276"/>
  <c r="I270"/>
  <c r="I266"/>
  <c r="I260"/>
  <c r="I256"/>
  <c r="I252"/>
  <c r="I248"/>
  <c r="I244"/>
  <c r="I240"/>
  <c r="I236"/>
  <c r="I230"/>
  <c r="I226"/>
  <c r="I222"/>
  <c r="I218"/>
  <c r="I214"/>
  <c r="I210"/>
  <c r="I206"/>
  <c r="I202"/>
  <c r="I198"/>
  <c r="I192"/>
  <c r="I188"/>
  <c r="I184"/>
  <c r="I180"/>
  <c r="I176"/>
  <c r="I172"/>
  <c r="I168"/>
  <c r="I164"/>
  <c r="I160"/>
  <c r="I156"/>
  <c r="I152"/>
  <c r="I148"/>
  <c r="I144"/>
  <c r="I140"/>
  <c r="I134"/>
  <c r="I130"/>
  <c r="I126"/>
  <c r="I120"/>
  <c r="I116"/>
  <c r="I112"/>
  <c r="I108"/>
  <c r="I104"/>
  <c r="I98"/>
  <c r="I94"/>
  <c r="I88"/>
  <c r="I84"/>
  <c r="I80"/>
  <c r="I72"/>
  <c r="I66"/>
  <c r="I60"/>
  <c r="I56"/>
  <c r="I50"/>
  <c r="I46"/>
  <c r="I40"/>
  <c r="I36"/>
  <c r="I30"/>
  <c r="I24"/>
  <c r="I20"/>
  <c r="I12"/>
  <c r="I8"/>
  <c r="I3"/>
  <c r="I242" i="11"/>
  <c r="I238"/>
  <c r="I234"/>
  <c r="I230"/>
  <c r="I224"/>
  <c r="I220"/>
  <c r="I216"/>
  <c r="I210"/>
  <c r="I206"/>
  <c r="I202"/>
  <c r="I196"/>
  <c r="I192"/>
  <c r="I188"/>
  <c r="I182"/>
  <c r="I178"/>
  <c r="I174"/>
  <c r="I170"/>
  <c r="I166"/>
  <c r="I1446" i="13"/>
  <c r="I1081"/>
  <c r="I947"/>
  <c r="I801"/>
  <c r="I707"/>
  <c r="I615"/>
  <c r="I584"/>
  <c r="I561"/>
  <c r="I540"/>
  <c r="I516"/>
  <c r="I499"/>
  <c r="I481"/>
  <c r="I465"/>
  <c r="I449"/>
  <c r="I431"/>
  <c r="I415"/>
  <c r="I399"/>
  <c r="I381"/>
  <c r="I363"/>
  <c r="I345"/>
  <c r="I327"/>
  <c r="I309"/>
  <c r="I293"/>
  <c r="I273"/>
  <c r="I255"/>
  <c r="I239"/>
  <c r="I221"/>
  <c r="I205"/>
  <c r="I187"/>
  <c r="I171"/>
  <c r="I155"/>
  <c r="I139"/>
  <c r="I119"/>
  <c r="I103"/>
  <c r="I83"/>
  <c r="I59"/>
  <c r="I39"/>
  <c r="I17"/>
  <c r="I241" i="11"/>
  <c r="I223"/>
  <c r="I205"/>
  <c r="I187"/>
  <c r="I169"/>
  <c r="I159"/>
  <c r="I153"/>
  <c r="I148"/>
  <c r="I141"/>
  <c r="I135"/>
  <c r="I128"/>
  <c r="I123"/>
  <c r="I115"/>
  <c r="I110"/>
  <c r="I103"/>
  <c r="I97"/>
  <c r="I92"/>
  <c r="I87"/>
  <c r="I79"/>
  <c r="I74"/>
  <c r="I69"/>
  <c r="I61"/>
  <c r="I56"/>
  <c r="I51"/>
  <c r="I43"/>
  <c r="I38"/>
  <c r="I32"/>
  <c r="I28"/>
  <c r="I24"/>
  <c r="I13"/>
  <c r="I7"/>
  <c r="I3"/>
  <c r="I34" i="9"/>
  <c r="I28"/>
  <c r="I24"/>
  <c r="I18"/>
  <c r="I11"/>
  <c r="I5"/>
  <c r="I107" i="6"/>
  <c r="I103"/>
  <c r="I99"/>
  <c r="I95"/>
  <c r="I91"/>
  <c r="I85"/>
  <c r="I81"/>
  <c r="I77"/>
  <c r="I71"/>
  <c r="I67"/>
  <c r="I61"/>
  <c r="I57"/>
  <c r="I53"/>
  <c r="I49"/>
  <c r="I43"/>
  <c r="I39"/>
  <c r="I35"/>
  <c r="I29"/>
  <c r="I25"/>
  <c r="I19"/>
  <c r="I11"/>
  <c r="I5"/>
  <c r="I788" i="2"/>
  <c r="I784"/>
  <c r="I780"/>
  <c r="I776"/>
  <c r="I772"/>
  <c r="I768"/>
  <c r="I764"/>
  <c r="I760"/>
  <c r="I756"/>
  <c r="I752"/>
  <c r="I746"/>
  <c r="I742"/>
  <c r="I738"/>
  <c r="I734"/>
  <c r="I730"/>
  <c r="I726"/>
  <c r="I722"/>
  <c r="I718"/>
  <c r="I714"/>
  <c r="I710"/>
  <c r="I706"/>
  <c r="I702"/>
  <c r="I698"/>
  <c r="I694"/>
  <c r="I688"/>
  <c r="I682"/>
  <c r="I676"/>
  <c r="I670"/>
  <c r="I666"/>
  <c r="I662"/>
  <c r="I656"/>
  <c r="I650"/>
  <c r="I646"/>
  <c r="I640"/>
  <c r="I634"/>
  <c r="I628"/>
  <c r="I624"/>
  <c r="I618"/>
  <c r="I614"/>
  <c r="I610"/>
  <c r="I606"/>
  <c r="I602"/>
  <c r="I596"/>
  <c r="I592"/>
  <c r="I588"/>
  <c r="I584"/>
  <c r="I580"/>
  <c r="I576"/>
  <c r="I570"/>
  <c r="I566"/>
  <c r="I562"/>
  <c r="I558"/>
  <c r="I554"/>
  <c r="I550"/>
  <c r="I546"/>
  <c r="I542"/>
  <c r="I538"/>
  <c r="I530"/>
  <c r="I522"/>
  <c r="I516"/>
  <c r="I512"/>
  <c r="I508"/>
  <c r="I504"/>
  <c r="I500"/>
  <c r="I496"/>
  <c r="I492"/>
  <c r="I488"/>
  <c r="I484"/>
  <c r="I480"/>
  <c r="I476"/>
  <c r="I470"/>
  <c r="I466"/>
  <c r="I462"/>
  <c r="I458"/>
  <c r="I454"/>
  <c r="I450"/>
  <c r="I446"/>
  <c r="I442"/>
  <c r="I438"/>
  <c r="I434"/>
  <c r="I430"/>
  <c r="I426"/>
  <c r="I422"/>
  <c r="I418"/>
  <c r="I414"/>
  <c r="I410"/>
  <c r="I406"/>
  <c r="I400"/>
  <c r="I396"/>
  <c r="I390"/>
  <c r="I384"/>
  <c r="I378"/>
  <c r="I374"/>
  <c r="I368"/>
  <c r="I362"/>
  <c r="I358"/>
  <c r="I354"/>
  <c r="I1253" i="13"/>
  <c r="I1047"/>
  <c r="I911"/>
  <c r="I775"/>
  <c r="I683"/>
  <c r="I602"/>
  <c r="I579"/>
  <c r="I556"/>
  <c r="I532"/>
  <c r="I511"/>
  <c r="I495"/>
  <c r="I477"/>
  <c r="I461"/>
  <c r="I445"/>
  <c r="I427"/>
  <c r="I411"/>
  <c r="I395"/>
  <c r="I377"/>
  <c r="I359"/>
  <c r="I341"/>
  <c r="I323"/>
  <c r="I305"/>
  <c r="I287"/>
  <c r="I269"/>
  <c r="I251"/>
  <c r="I233"/>
  <c r="I217"/>
  <c r="I201"/>
  <c r="I183"/>
  <c r="I167"/>
  <c r="I151"/>
  <c r="I133"/>
  <c r="I115"/>
  <c r="I97"/>
  <c r="I77"/>
  <c r="I55"/>
  <c r="I35"/>
  <c r="I11"/>
  <c r="I237" i="11"/>
  <c r="I219"/>
  <c r="I201"/>
  <c r="I181"/>
  <c r="I163"/>
  <c r="I157"/>
  <c r="I152"/>
  <c r="I147"/>
  <c r="I139"/>
  <c r="I134"/>
  <c r="I127"/>
  <c r="I121"/>
  <c r="I114"/>
  <c r="I109"/>
  <c r="I101"/>
  <c r="I96"/>
  <c r="I91"/>
  <c r="I85"/>
  <c r="I78"/>
  <c r="I73"/>
  <c r="I67"/>
  <c r="I60"/>
  <c r="I55"/>
  <c r="I47"/>
  <c r="I42"/>
  <c r="I37"/>
  <c r="I31"/>
  <c r="I27"/>
  <c r="I19"/>
  <c r="I12"/>
  <c r="I6"/>
  <c r="I53" i="9"/>
  <c r="I33"/>
  <c r="I27"/>
  <c r="I23"/>
  <c r="I17"/>
  <c r="I8"/>
  <c r="I4"/>
  <c r="I106" i="6"/>
  <c r="I102"/>
  <c r="I98"/>
  <c r="I94"/>
  <c r="I88"/>
  <c r="I84"/>
  <c r="I80"/>
  <c r="I76"/>
  <c r="I70"/>
  <c r="I66"/>
  <c r="I60"/>
  <c r="I56"/>
  <c r="I52"/>
  <c r="I48"/>
  <c r="I42"/>
  <c r="I38"/>
  <c r="I34"/>
  <c r="I28"/>
  <c r="I24"/>
  <c r="I18"/>
  <c r="I10"/>
  <c r="I4"/>
  <c r="I787" i="2"/>
  <c r="I783"/>
  <c r="I779"/>
  <c r="I775"/>
  <c r="I771"/>
  <c r="I767"/>
  <c r="I763"/>
  <c r="I759"/>
  <c r="I755"/>
  <c r="I749"/>
  <c r="I745"/>
  <c r="I741"/>
  <c r="I737"/>
  <c r="I733"/>
  <c r="I729"/>
  <c r="I725"/>
  <c r="I721"/>
  <c r="I717"/>
  <c r="I713"/>
  <c r="I709"/>
  <c r="I705"/>
  <c r="I701"/>
  <c r="I697"/>
  <c r="I693"/>
  <c r="I687"/>
  <c r="I681"/>
  <c r="I675"/>
  <c r="I669"/>
  <c r="I665"/>
  <c r="I659"/>
  <c r="I655"/>
  <c r="I649"/>
  <c r="I643"/>
  <c r="I639"/>
  <c r="I633"/>
  <c r="I627"/>
  <c r="I623"/>
  <c r="I617"/>
  <c r="I613"/>
  <c r="I609"/>
  <c r="I605"/>
  <c r="I601"/>
  <c r="I595"/>
  <c r="I591"/>
  <c r="I587"/>
  <c r="I583"/>
  <c r="I579"/>
  <c r="I575"/>
  <c r="I569"/>
  <c r="I565"/>
  <c r="I561"/>
  <c r="I557"/>
  <c r="I553"/>
  <c r="I549"/>
  <c r="I545"/>
  <c r="I541"/>
  <c r="I537"/>
  <c r="I529"/>
  <c r="I519"/>
  <c r="I515"/>
  <c r="I511"/>
  <c r="I507"/>
  <c r="I503"/>
  <c r="I499"/>
  <c r="I495"/>
  <c r="I491"/>
  <c r="I487"/>
  <c r="I483"/>
  <c r="I479"/>
  <c r="I475"/>
  <c r="I469"/>
  <c r="I465"/>
  <c r="I461"/>
  <c r="I1149" i="13"/>
  <c r="I1013"/>
  <c r="I875"/>
  <c r="I751"/>
  <c r="I662"/>
  <c r="I597"/>
  <c r="I574"/>
  <c r="I550"/>
  <c r="I527"/>
  <c r="I507"/>
  <c r="I489"/>
  <c r="I473"/>
  <c r="I457"/>
  <c r="I441"/>
  <c r="I423"/>
  <c r="I407"/>
  <c r="I391"/>
  <c r="I373"/>
  <c r="I355"/>
  <c r="I337"/>
  <c r="I319"/>
  <c r="I301"/>
  <c r="I283"/>
  <c r="I265"/>
  <c r="I247"/>
  <c r="I229"/>
  <c r="I213"/>
  <c r="I197"/>
  <c r="I179"/>
  <c r="I163"/>
  <c r="I147"/>
  <c r="I129"/>
  <c r="I111"/>
  <c r="I93"/>
  <c r="I69"/>
  <c r="I49"/>
  <c r="I29"/>
  <c r="I5"/>
  <c r="I233" i="11"/>
  <c r="I213"/>
  <c r="I195"/>
  <c r="I177"/>
  <c r="I161"/>
  <c r="I156"/>
  <c r="I151"/>
  <c r="I143"/>
  <c r="I138"/>
  <c r="I133"/>
  <c r="I125"/>
  <c r="I120"/>
  <c r="I113"/>
  <c r="I107"/>
  <c r="I100"/>
  <c r="I95"/>
  <c r="I89"/>
  <c r="I82"/>
  <c r="I77"/>
  <c r="I71"/>
  <c r="I66"/>
  <c r="I59"/>
  <c r="I53"/>
  <c r="I46"/>
  <c r="I41"/>
  <c r="I34"/>
  <c r="I30"/>
  <c r="I26"/>
  <c r="I18"/>
  <c r="I11"/>
  <c r="I5"/>
  <c r="I45" i="9"/>
  <c r="I32"/>
  <c r="I26"/>
  <c r="I20"/>
  <c r="I16"/>
  <c r="I7"/>
  <c r="I3"/>
  <c r="I105" i="6"/>
  <c r="I101"/>
  <c r="I97"/>
  <c r="I93"/>
  <c r="I87"/>
  <c r="I83"/>
  <c r="I79"/>
  <c r="I73"/>
  <c r="I69"/>
  <c r="I65"/>
  <c r="I59"/>
  <c r="I55"/>
  <c r="I51"/>
  <c r="I47"/>
  <c r="I41"/>
  <c r="I37"/>
  <c r="I33"/>
  <c r="I27"/>
  <c r="I23"/>
  <c r="I15"/>
  <c r="I9"/>
  <c r="I3"/>
  <c r="I786" i="2"/>
  <c r="I782"/>
  <c r="I778"/>
  <c r="I774"/>
  <c r="I770"/>
  <c r="I766"/>
  <c r="I762"/>
  <c r="I758"/>
  <c r="I754"/>
  <c r="I748"/>
  <c r="I744"/>
  <c r="I740"/>
  <c r="I736"/>
  <c r="I732"/>
  <c r="I728"/>
  <c r="I724"/>
  <c r="I720"/>
  <c r="I716"/>
  <c r="I712"/>
  <c r="I708"/>
  <c r="I704"/>
  <c r="I700"/>
  <c r="I696"/>
  <c r="I690"/>
  <c r="I684"/>
  <c r="I678"/>
  <c r="I672"/>
  <c r="I668"/>
  <c r="I664"/>
  <c r="I658"/>
  <c r="I654"/>
  <c r="I648"/>
  <c r="I642"/>
  <c r="I636"/>
  <c r="I632"/>
  <c r="I626"/>
  <c r="I620"/>
  <c r="I616"/>
  <c r="I612"/>
  <c r="I608"/>
  <c r="I604"/>
  <c r="I600"/>
  <c r="I594"/>
  <c r="I590"/>
  <c r="I586"/>
  <c r="I582"/>
  <c r="I578"/>
  <c r="I574"/>
  <c r="I568"/>
  <c r="I564"/>
  <c r="I560"/>
  <c r="I556"/>
  <c r="I552"/>
  <c r="I548"/>
  <c r="I544"/>
  <c r="I540"/>
  <c r="I536"/>
  <c r="I528"/>
  <c r="I518"/>
  <c r="I514"/>
  <c r="I510"/>
  <c r="I506"/>
  <c r="I502"/>
  <c r="I498"/>
  <c r="I494"/>
  <c r="I490"/>
  <c r="I486"/>
  <c r="I482"/>
  <c r="I478"/>
  <c r="I472"/>
  <c r="I468"/>
  <c r="I464"/>
  <c r="I5" i="4"/>
  <c r="I11"/>
  <c r="I4" i="2"/>
  <c r="I8"/>
  <c r="I14"/>
  <c r="I20"/>
  <c r="I24"/>
  <c r="I30"/>
  <c r="I36"/>
  <c r="I40"/>
  <c r="I44"/>
  <c r="I48"/>
  <c r="I52"/>
  <c r="I56"/>
  <c r="I60"/>
  <c r="I66"/>
  <c r="I70"/>
  <c r="I74"/>
  <c r="I78"/>
  <c r="I84"/>
  <c r="I88"/>
  <c r="I92"/>
  <c r="I96"/>
  <c r="I100"/>
  <c r="I104"/>
  <c r="I108"/>
  <c r="I112"/>
  <c r="I116"/>
  <c r="I120"/>
  <c r="I124"/>
  <c r="I128"/>
  <c r="I132"/>
  <c r="I136"/>
  <c r="I140"/>
  <c r="I144"/>
  <c r="I148"/>
  <c r="I152"/>
  <c r="I156"/>
  <c r="I160"/>
  <c r="I164"/>
  <c r="I168"/>
  <c r="I172"/>
  <c r="I176"/>
  <c r="I180"/>
  <c r="I184"/>
  <c r="I188"/>
  <c r="I192"/>
  <c r="I196"/>
  <c r="I200"/>
  <c r="I204"/>
  <c r="I208"/>
  <c r="I212"/>
  <c r="I216"/>
  <c r="I220"/>
  <c r="I224"/>
  <c r="I230"/>
  <c r="I234"/>
  <c r="I238"/>
  <c r="I242"/>
  <c r="I246"/>
  <c r="I250"/>
  <c r="I254"/>
  <c r="I258"/>
  <c r="I262"/>
  <c r="I266"/>
  <c r="I270"/>
  <c r="I274"/>
  <c r="I278"/>
  <c r="I282"/>
  <c r="I286"/>
  <c r="I290"/>
  <c r="I294"/>
  <c r="I298"/>
  <c r="I302"/>
  <c r="I306"/>
  <c r="I310"/>
  <c r="I314"/>
  <c r="I318"/>
  <c r="I324"/>
  <c r="I330"/>
  <c r="I336"/>
  <c r="I340"/>
  <c r="I344"/>
  <c r="I348"/>
  <c r="I355"/>
  <c r="I360"/>
  <c r="I367"/>
  <c r="I375"/>
  <c r="I382"/>
  <c r="I389"/>
  <c r="I397"/>
  <c r="I402"/>
  <c r="I409"/>
  <c r="I415"/>
  <c r="I420"/>
  <c r="I425"/>
  <c r="I431"/>
  <c r="I436"/>
  <c r="I441"/>
  <c r="I447"/>
  <c r="I452"/>
  <c r="I457"/>
  <c r="I467"/>
  <c r="I485"/>
  <c r="I501"/>
  <c r="I517"/>
  <c r="I543"/>
  <c r="I559"/>
  <c r="I577"/>
  <c r="I593"/>
  <c r="I611"/>
  <c r="I631"/>
  <c r="I651"/>
  <c r="I671"/>
  <c r="I695"/>
  <c r="I711"/>
  <c r="I727"/>
  <c r="I743"/>
  <c r="I761"/>
  <c r="I777"/>
  <c r="I6" i="6"/>
  <c r="I30"/>
  <c r="I50"/>
  <c r="I68"/>
  <c r="I86"/>
  <c r="I104"/>
  <c r="I19" i="9"/>
  <c r="I4" i="11"/>
  <c r="I29"/>
  <c r="I52"/>
  <c r="I75"/>
  <c r="I99"/>
  <c r="I124"/>
  <c r="I149"/>
  <c r="I191"/>
  <c r="I23" i="13"/>
  <c r="I107"/>
  <c r="I175"/>
  <c r="I243"/>
  <c r="I315"/>
  <c r="I385"/>
  <c r="I453"/>
  <c r="I522"/>
  <c r="I641"/>
  <c r="I1115"/>
  <c r="I2513"/>
  <c r="J2512" s="1"/>
  <c r="E177" i="12" s="1"/>
  <c r="I2381" i="13"/>
  <c r="I2427"/>
  <c r="I2469"/>
  <c r="I2549"/>
  <c r="J2548" s="1"/>
  <c r="E189" i="12" s="1"/>
  <c r="I2363" i="13"/>
  <c r="I2409"/>
  <c r="I2457"/>
  <c r="I2553"/>
  <c r="I2543"/>
  <c r="I2531"/>
  <c r="I2519"/>
  <c r="J2518" s="1"/>
  <c r="E179" i="12" s="1"/>
  <c r="I2507" i="13"/>
  <c r="J2506" s="1"/>
  <c r="E175" i="12" s="1"/>
  <c r="I2497" i="13"/>
  <c r="I2489"/>
  <c r="I2481"/>
  <c r="I2473"/>
  <c r="J2471" s="1"/>
  <c r="E174" i="12" s="1"/>
  <c r="I2467" i="13"/>
  <c r="I2463"/>
  <c r="I2459"/>
  <c r="I2455"/>
  <c r="I2449"/>
  <c r="I2441"/>
  <c r="I2435"/>
  <c r="I2429"/>
  <c r="I2423"/>
  <c r="I2419"/>
  <c r="I2413"/>
  <c r="I2407"/>
  <c r="I2401"/>
  <c r="I2395"/>
  <c r="I2389"/>
  <c r="I2383"/>
  <c r="I2377"/>
  <c r="I2373"/>
  <c r="I2367"/>
  <c r="I2361"/>
  <c r="I2355"/>
  <c r="I2349"/>
  <c r="I2345"/>
  <c r="I2339"/>
  <c r="I2333"/>
  <c r="I2327"/>
  <c r="I2321"/>
  <c r="I2315"/>
  <c r="I2309"/>
  <c r="I2303"/>
  <c r="I2297"/>
  <c r="I2291"/>
  <c r="I2285"/>
  <c r="I2277"/>
  <c r="I2271"/>
  <c r="I2267"/>
  <c r="I2261"/>
  <c r="I2255"/>
  <c r="I2249"/>
  <c r="I2245"/>
  <c r="I2239"/>
  <c r="I2233"/>
  <c r="I2229"/>
  <c r="I2223"/>
  <c r="I2217"/>
  <c r="I2211"/>
  <c r="I2205"/>
  <c r="I2201"/>
  <c r="I2195"/>
  <c r="I2189"/>
  <c r="I2185"/>
  <c r="I2181"/>
  <c r="I2175"/>
  <c r="I2171"/>
  <c r="I2167"/>
  <c r="I2163"/>
  <c r="I2159"/>
  <c r="I2153"/>
  <c r="I2149"/>
  <c r="I2145"/>
  <c r="I2139"/>
  <c r="I2135"/>
  <c r="I2131"/>
  <c r="I2125"/>
  <c r="I2121"/>
  <c r="I2117"/>
  <c r="I2113"/>
  <c r="I2109"/>
  <c r="I2105"/>
  <c r="I2101"/>
  <c r="I2095"/>
  <c r="I2089"/>
  <c r="I2085"/>
  <c r="I2079"/>
  <c r="I2075"/>
  <c r="I2069"/>
  <c r="I2552"/>
  <c r="J2551" s="1"/>
  <c r="E192" i="12" s="1"/>
  <c r="I2540" i="13"/>
  <c r="I2528"/>
  <c r="J2527" s="1"/>
  <c r="E190" i="12" s="1"/>
  <c r="I2516" i="13"/>
  <c r="J2515" s="1"/>
  <c r="E178" i="12" s="1"/>
  <c r="I2504" i="13"/>
  <c r="I2496"/>
  <c r="I2488"/>
  <c r="I2480"/>
  <c r="J2479" s="1"/>
  <c r="E168" i="12" s="1"/>
  <c r="I2472" i="13"/>
  <c r="I2466"/>
  <c r="I2462"/>
  <c r="I2458"/>
  <c r="I2454"/>
  <c r="I2446"/>
  <c r="I2440"/>
  <c r="I2434"/>
  <c r="I2428"/>
  <c r="I2422"/>
  <c r="I2416"/>
  <c r="I2412"/>
  <c r="I2406"/>
  <c r="I2400"/>
  <c r="I2392"/>
  <c r="I2388"/>
  <c r="I2382"/>
  <c r="I2376"/>
  <c r="I2370"/>
  <c r="I2366"/>
  <c r="I2360"/>
  <c r="I2354"/>
  <c r="I2348"/>
  <c r="I2342"/>
  <c r="I2338"/>
  <c r="I2332"/>
  <c r="I2326"/>
  <c r="I2320"/>
  <c r="I2314"/>
  <c r="I2308"/>
  <c r="I2302"/>
  <c r="I2296"/>
  <c r="I2288"/>
  <c r="I2282"/>
  <c r="I2276"/>
  <c r="I2270"/>
  <c r="I2264"/>
  <c r="I2260"/>
  <c r="I2254"/>
  <c r="I2248"/>
  <c r="I2244"/>
  <c r="I2238"/>
  <c r="I2232"/>
  <c r="I2226"/>
  <c r="I2222"/>
  <c r="I2216"/>
  <c r="I2210"/>
  <c r="I2204"/>
  <c r="I2198"/>
  <c r="I2194"/>
  <c r="I2188"/>
  <c r="I2184"/>
  <c r="I2178"/>
  <c r="I2174"/>
  <c r="I2170"/>
  <c r="I2166"/>
  <c r="I2162"/>
  <c r="I2156"/>
  <c r="I2152"/>
  <c r="I2148"/>
  <c r="I2144"/>
  <c r="I2138"/>
  <c r="I2134"/>
  <c r="I2130"/>
  <c r="I2124"/>
  <c r="I2120"/>
  <c r="I2116"/>
  <c r="I2112"/>
  <c r="I2108"/>
  <c r="I2104"/>
  <c r="I2098"/>
  <c r="I2094"/>
  <c r="I2088"/>
  <c r="I2084"/>
  <c r="I2078"/>
  <c r="I2074"/>
  <c r="I2554"/>
  <c r="I2546"/>
  <c r="J2545" s="1"/>
  <c r="E188" i="12" s="1"/>
  <c r="I2534" i="13"/>
  <c r="J2533" s="1"/>
  <c r="E184" i="12" s="1"/>
  <c r="I2522" i="13"/>
  <c r="J2521" s="1"/>
  <c r="E180" i="12" s="1"/>
  <c r="I2510" i="13"/>
  <c r="J2509" s="1"/>
  <c r="E176" i="12" s="1"/>
  <c r="I2500" i="13"/>
  <c r="I2492"/>
  <c r="J2491" s="1"/>
  <c r="E171" i="12" s="1"/>
  <c r="I2484" i="13"/>
  <c r="I2476"/>
  <c r="I2468"/>
  <c r="I2464"/>
  <c r="I2460"/>
  <c r="I2456"/>
  <c r="I2450"/>
  <c r="I2442"/>
  <c r="I2438"/>
  <c r="I2432"/>
  <c r="I2426"/>
  <c r="I2420"/>
  <c r="I2414"/>
  <c r="I2408"/>
  <c r="I2402"/>
  <c r="I2398"/>
  <c r="I2390"/>
  <c r="I2384"/>
  <c r="I2380"/>
  <c r="I2374"/>
  <c r="I2368"/>
  <c r="I2362"/>
  <c r="I2356"/>
  <c r="I2352"/>
  <c r="I2346"/>
  <c r="I2340"/>
  <c r="I2334"/>
  <c r="I2328"/>
  <c r="I2322"/>
  <c r="I2316"/>
  <c r="I2310"/>
  <c r="I2304"/>
  <c r="I2298"/>
  <c r="I2292"/>
  <c r="I2286"/>
  <c r="I2278"/>
  <c r="I2274"/>
  <c r="I2268"/>
  <c r="I2262"/>
  <c r="I2256"/>
  <c r="I2252"/>
  <c r="I2246"/>
  <c r="I2240"/>
  <c r="I2234"/>
  <c r="I2230"/>
  <c r="I2224"/>
  <c r="I2218"/>
  <c r="I2214"/>
  <c r="I2208"/>
  <c r="I2202"/>
  <c r="I2196"/>
  <c r="I2190"/>
  <c r="I2186"/>
  <c r="I2182"/>
  <c r="I2176"/>
  <c r="I2172"/>
  <c r="I2168"/>
  <c r="I2164"/>
  <c r="I2160"/>
  <c r="I2154"/>
  <c r="I2150"/>
  <c r="I2146"/>
  <c r="I2140"/>
  <c r="I2136"/>
  <c r="I2132"/>
  <c r="I2126"/>
  <c r="I2122"/>
  <c r="I2118"/>
  <c r="I2114"/>
  <c r="I2110"/>
  <c r="I2106"/>
  <c r="I2102"/>
  <c r="I2096"/>
  <c r="I2092"/>
  <c r="I2086"/>
  <c r="I2080"/>
  <c r="I2076"/>
  <c r="I2070"/>
  <c r="I2537"/>
  <c r="J2536" s="1"/>
  <c r="E185" i="12" s="1"/>
  <c r="I2493" i="13"/>
  <c r="I2465"/>
  <c r="I2445"/>
  <c r="I2421"/>
  <c r="I2399"/>
  <c r="I2375"/>
  <c r="I2353"/>
  <c r="I2329"/>
  <c r="I2305"/>
  <c r="I2281"/>
  <c r="I2259"/>
  <c r="I2237"/>
  <c r="I2215"/>
  <c r="I2191"/>
  <c r="I2173"/>
  <c r="I2155"/>
  <c r="I2137"/>
  <c r="I2119"/>
  <c r="I2103"/>
  <c r="I2081"/>
  <c r="I2067"/>
  <c r="I2061"/>
  <c r="I2055"/>
  <c r="I2051"/>
  <c r="I2047"/>
  <c r="I2043"/>
  <c r="I2037"/>
  <c r="I2033"/>
  <c r="I2029"/>
  <c r="I2025"/>
  <c r="I2021"/>
  <c r="I2015"/>
  <c r="I2011"/>
  <c r="I2007"/>
  <c r="I2003"/>
  <c r="I1997"/>
  <c r="I1993"/>
  <c r="I1989"/>
  <c r="I1985"/>
  <c r="I1979"/>
  <c r="I1975"/>
  <c r="I1969"/>
  <c r="I1965"/>
  <c r="I1961"/>
  <c r="I1955"/>
  <c r="I1951"/>
  <c r="I1947"/>
  <c r="I1941"/>
  <c r="I1937"/>
  <c r="I1933"/>
  <c r="I1929"/>
  <c r="I1923"/>
  <c r="I1919"/>
  <c r="I1915"/>
  <c r="I1911"/>
  <c r="I1905"/>
  <c r="I1901"/>
  <c r="I1897"/>
  <c r="I1893"/>
  <c r="I1887"/>
  <c r="I1883"/>
  <c r="I1879"/>
  <c r="I1875"/>
  <c r="I1869"/>
  <c r="I1865"/>
  <c r="I1861"/>
  <c r="I1855"/>
  <c r="I1851"/>
  <c r="I1847"/>
  <c r="I1843"/>
  <c r="I1839"/>
  <c r="I1833"/>
  <c r="I1829"/>
  <c r="I1825"/>
  <c r="I1821"/>
  <c r="I1817"/>
  <c r="I1811"/>
  <c r="I1807"/>
  <c r="I1803"/>
  <c r="I1799"/>
  <c r="I1793"/>
  <c r="I1787"/>
  <c r="I1783"/>
  <c r="I1779"/>
  <c r="I1775"/>
  <c r="I1771"/>
  <c r="I2525"/>
  <c r="J2524" s="1"/>
  <c r="E181" i="12" s="1"/>
  <c r="I2485" i="13"/>
  <c r="I2461"/>
  <c r="I2439"/>
  <c r="I2415"/>
  <c r="I2391"/>
  <c r="I2369"/>
  <c r="I2347"/>
  <c r="I2323"/>
  <c r="I2299"/>
  <c r="I2275"/>
  <c r="I2253"/>
  <c r="I2231"/>
  <c r="I2209"/>
  <c r="I2187"/>
  <c r="I2169"/>
  <c r="I2151"/>
  <c r="I2133"/>
  <c r="I2115"/>
  <c r="I2097"/>
  <c r="I2077"/>
  <c r="I2064"/>
  <c r="I2060"/>
  <c r="I2054"/>
  <c r="I2050"/>
  <c r="I2046"/>
  <c r="I2042"/>
  <c r="I2036"/>
  <c r="I2032"/>
  <c r="I2028"/>
  <c r="I2024"/>
  <c r="I2020"/>
  <c r="I2014"/>
  <c r="I2010"/>
  <c r="I2006"/>
  <c r="I2002"/>
  <c r="I1996"/>
  <c r="I1992"/>
  <c r="I1988"/>
  <c r="I1984"/>
  <c r="I1978"/>
  <c r="I1974"/>
  <c r="I1968"/>
  <c r="I1964"/>
  <c r="I1958"/>
  <c r="I1954"/>
  <c r="I1950"/>
  <c r="I1946"/>
  <c r="I1940"/>
  <c r="I1936"/>
  <c r="I1932"/>
  <c r="I1926"/>
  <c r="I1922"/>
  <c r="I1918"/>
  <c r="I1914"/>
  <c r="I1910"/>
  <c r="I1904"/>
  <c r="I1900"/>
  <c r="I1896"/>
  <c r="I1892"/>
  <c r="I1886"/>
  <c r="I1882"/>
  <c r="I1878"/>
  <c r="I1874"/>
  <c r="I1868"/>
  <c r="I1864"/>
  <c r="I1860"/>
  <c r="I1854"/>
  <c r="I1850"/>
  <c r="I1846"/>
  <c r="I1842"/>
  <c r="I1838"/>
  <c r="I1832"/>
  <c r="I1828"/>
  <c r="I1824"/>
  <c r="I1820"/>
  <c r="I1816"/>
  <c r="I1810"/>
  <c r="I1806"/>
  <c r="I1802"/>
  <c r="I1798"/>
  <c r="I1792"/>
  <c r="I1786"/>
  <c r="I1782"/>
  <c r="I1778"/>
  <c r="J2495"/>
  <c r="E172" i="12" s="1"/>
  <c r="J2503" i="13"/>
  <c r="E182" i="12" s="1"/>
  <c r="J2539" i="13"/>
  <c r="E186" i="12" s="1"/>
  <c r="J2475" i="13"/>
  <c r="E167" i="12" s="1"/>
  <c r="J2530" i="13"/>
  <c r="E183" i="12" s="1"/>
  <c r="J2542" i="13"/>
  <c r="E187" i="12" s="1"/>
  <c r="J2448" i="13"/>
  <c r="E163" i="12" s="1"/>
  <c r="J2499" i="13"/>
  <c r="E173" i="12" s="1"/>
  <c r="J2487" i="13"/>
  <c r="E170" i="12" s="1"/>
  <c r="J2437" i="13"/>
  <c r="E160" i="12" s="1"/>
  <c r="H2445" i="13"/>
  <c r="J2446"/>
  <c r="J2444" s="1"/>
  <c r="E162" i="12" s="1"/>
  <c r="G2446" i="13"/>
  <c r="G2445"/>
  <c r="H2435"/>
  <c r="G2435"/>
  <c r="H2434"/>
  <c r="G2434"/>
  <c r="H2433"/>
  <c r="G2433"/>
  <c r="H2432"/>
  <c r="G2432"/>
  <c r="J2435"/>
  <c r="J2434"/>
  <c r="J2433"/>
  <c r="J2432"/>
  <c r="J2429"/>
  <c r="J2428"/>
  <c r="J2427"/>
  <c r="J2426"/>
  <c r="H2429"/>
  <c r="G2429"/>
  <c r="H2428"/>
  <c r="G2428"/>
  <c r="H2427"/>
  <c r="G2427"/>
  <c r="H2426"/>
  <c r="G2426"/>
  <c r="J2423"/>
  <c r="J2422"/>
  <c r="J2421"/>
  <c r="J2420"/>
  <c r="J2419"/>
  <c r="H2423"/>
  <c r="G2423"/>
  <c r="H2422"/>
  <c r="G2422"/>
  <c r="H2421"/>
  <c r="G2421"/>
  <c r="H2420"/>
  <c r="G2420"/>
  <c r="H2419"/>
  <c r="G2419"/>
  <c r="J2416"/>
  <c r="J2415"/>
  <c r="J2414"/>
  <c r="J2413"/>
  <c r="J2412"/>
  <c r="H2416"/>
  <c r="G2416"/>
  <c r="H2415"/>
  <c r="G2415"/>
  <c r="H2414"/>
  <c r="G2414"/>
  <c r="H2413"/>
  <c r="G2413"/>
  <c r="H2412"/>
  <c r="G2412"/>
  <c r="J2409"/>
  <c r="J2408"/>
  <c r="J2407"/>
  <c r="J2406"/>
  <c r="J2405"/>
  <c r="H2409"/>
  <c r="G2409"/>
  <c r="H2408"/>
  <c r="G2408"/>
  <c r="H2407"/>
  <c r="G2407"/>
  <c r="H2406"/>
  <c r="G2406"/>
  <c r="H2405"/>
  <c r="G2405"/>
  <c r="J2402"/>
  <c r="J2401"/>
  <c r="J2400"/>
  <c r="J2399"/>
  <c r="J2398"/>
  <c r="H2402"/>
  <c r="G2402"/>
  <c r="H2401"/>
  <c r="G2401"/>
  <c r="H2400"/>
  <c r="G2400"/>
  <c r="H2399"/>
  <c r="G2399"/>
  <c r="H2398"/>
  <c r="G2398"/>
  <c r="J2395"/>
  <c r="J2394" s="1"/>
  <c r="E152" i="12" s="1"/>
  <c r="H2395" i="13"/>
  <c r="G2395"/>
  <c r="J2392"/>
  <c r="J2391"/>
  <c r="J2390"/>
  <c r="J2389"/>
  <c r="J2388"/>
  <c r="J2387"/>
  <c r="H2392"/>
  <c r="G2392"/>
  <c r="H2391"/>
  <c r="G2391"/>
  <c r="H2390"/>
  <c r="G2390"/>
  <c r="H2389"/>
  <c r="G2389"/>
  <c r="H2388"/>
  <c r="G2388"/>
  <c r="H2387"/>
  <c r="G2387"/>
  <c r="J2384"/>
  <c r="J2383"/>
  <c r="J2382"/>
  <c r="J2381"/>
  <c r="J2380"/>
  <c r="H2384"/>
  <c r="G2384"/>
  <c r="H2383"/>
  <c r="G2383"/>
  <c r="H2382"/>
  <c r="G2382"/>
  <c r="H2381"/>
  <c r="G2381"/>
  <c r="H2380"/>
  <c r="G2380"/>
  <c r="J2377"/>
  <c r="J2376"/>
  <c r="J2375"/>
  <c r="J2374"/>
  <c r="J2373"/>
  <c r="H2377"/>
  <c r="G2377"/>
  <c r="H2376"/>
  <c r="G2376"/>
  <c r="H2375"/>
  <c r="G2375"/>
  <c r="H2374"/>
  <c r="G2374"/>
  <c r="H2373"/>
  <c r="G2373"/>
  <c r="J2370"/>
  <c r="J2369"/>
  <c r="J2368"/>
  <c r="J2367"/>
  <c r="J2366"/>
  <c r="H2370"/>
  <c r="G2370"/>
  <c r="H2369"/>
  <c r="G2369"/>
  <c r="H2368"/>
  <c r="G2368"/>
  <c r="H2367"/>
  <c r="G2367"/>
  <c r="H2366"/>
  <c r="G2366"/>
  <c r="J2363"/>
  <c r="J2362"/>
  <c r="J2361"/>
  <c r="J2360"/>
  <c r="J2359"/>
  <c r="H2363"/>
  <c r="G2363"/>
  <c r="H2362"/>
  <c r="G2362"/>
  <c r="H2361"/>
  <c r="G2361"/>
  <c r="H2360"/>
  <c r="G2360"/>
  <c r="H2359"/>
  <c r="G2359"/>
  <c r="J2356"/>
  <c r="J2355"/>
  <c r="J2354"/>
  <c r="J2353"/>
  <c r="J2352"/>
  <c r="H2356"/>
  <c r="G2356"/>
  <c r="H2355"/>
  <c r="G2355"/>
  <c r="H2354"/>
  <c r="G2354"/>
  <c r="H2353"/>
  <c r="G2353"/>
  <c r="H2352"/>
  <c r="G2352"/>
  <c r="J2349"/>
  <c r="J2348"/>
  <c r="J2347"/>
  <c r="J2346"/>
  <c r="J2345"/>
  <c r="H2349"/>
  <c r="G2349"/>
  <c r="H2348"/>
  <c r="G2348"/>
  <c r="H2347"/>
  <c r="G2347"/>
  <c r="H2346"/>
  <c r="G2346"/>
  <c r="H2345"/>
  <c r="G2345"/>
  <c r="J2342"/>
  <c r="J2341"/>
  <c r="J2340"/>
  <c r="J2339"/>
  <c r="J2338"/>
  <c r="H2342"/>
  <c r="G2342"/>
  <c r="H2341"/>
  <c r="G2341"/>
  <c r="H2340"/>
  <c r="G2340"/>
  <c r="H2339"/>
  <c r="G2339"/>
  <c r="H2338"/>
  <c r="G2338"/>
  <c r="D158" i="12"/>
  <c r="C158"/>
  <c r="D157"/>
  <c r="C157"/>
  <c r="D156"/>
  <c r="C156"/>
  <c r="D155"/>
  <c r="C155"/>
  <c r="D154"/>
  <c r="C154"/>
  <c r="D153"/>
  <c r="C153"/>
  <c r="D152"/>
  <c r="C152"/>
  <c r="D151"/>
  <c r="C151"/>
  <c r="D150"/>
  <c r="C150"/>
  <c r="D149"/>
  <c r="C149"/>
  <c r="D148"/>
  <c r="C148"/>
  <c r="D147"/>
  <c r="C147"/>
  <c r="D146"/>
  <c r="C146"/>
  <c r="D145"/>
  <c r="C145"/>
  <c r="D144"/>
  <c r="C144"/>
  <c r="B2335" i="13"/>
  <c r="J2335" s="1"/>
  <c r="B2334"/>
  <c r="H2334" s="1"/>
  <c r="C2333"/>
  <c r="B2333"/>
  <c r="J2333" s="1"/>
  <c r="C2332"/>
  <c r="B2332"/>
  <c r="G2332" s="1"/>
  <c r="B2329"/>
  <c r="J2329" s="1"/>
  <c r="B2328"/>
  <c r="H2328" s="1"/>
  <c r="J2327"/>
  <c r="J2326"/>
  <c r="G2329"/>
  <c r="G2328"/>
  <c r="H2327"/>
  <c r="G2327"/>
  <c r="H2326"/>
  <c r="G2326"/>
  <c r="B2321"/>
  <c r="H2321" s="1"/>
  <c r="B2322"/>
  <c r="H2322" s="1"/>
  <c r="C2323"/>
  <c r="B2323"/>
  <c r="J2323" s="1"/>
  <c r="C2321"/>
  <c r="C2320"/>
  <c r="B2320"/>
  <c r="H2320" s="1"/>
  <c r="B2317"/>
  <c r="H2317" s="1"/>
  <c r="B2316"/>
  <c r="J2316" s="1"/>
  <c r="J2315"/>
  <c r="J2314"/>
  <c r="H2315"/>
  <c r="G2315"/>
  <c r="H2314"/>
  <c r="G2314"/>
  <c r="B2311"/>
  <c r="J2311" s="1"/>
  <c r="B2310"/>
  <c r="J2310" s="1"/>
  <c r="J2309"/>
  <c r="J2308"/>
  <c r="H2311"/>
  <c r="H2309"/>
  <c r="G2309"/>
  <c r="H2308"/>
  <c r="G2308"/>
  <c r="H2303"/>
  <c r="G2303"/>
  <c r="H2302"/>
  <c r="G2302"/>
  <c r="H2297"/>
  <c r="G2297"/>
  <c r="H2296"/>
  <c r="G2296"/>
  <c r="B2305"/>
  <c r="J2305" s="1"/>
  <c r="B2304"/>
  <c r="J2304" s="1"/>
  <c r="J2303"/>
  <c r="J2302"/>
  <c r="J2297"/>
  <c r="J2296"/>
  <c r="B2299"/>
  <c r="J2299" s="1"/>
  <c r="B2298"/>
  <c r="H2298" s="1"/>
  <c r="H2292"/>
  <c r="G2292"/>
  <c r="H2291"/>
  <c r="G2291"/>
  <c r="J2292"/>
  <c r="J2291"/>
  <c r="B2293"/>
  <c r="G2293" s="1"/>
  <c r="B2288"/>
  <c r="J2288" s="1"/>
  <c r="B2286"/>
  <c r="G2286" s="1"/>
  <c r="J2287"/>
  <c r="J2285"/>
  <c r="H2287"/>
  <c r="G2287"/>
  <c r="H2285"/>
  <c r="G2285"/>
  <c r="D142" i="12"/>
  <c r="C142"/>
  <c r="D141"/>
  <c r="C141"/>
  <c r="D140"/>
  <c r="C140"/>
  <c r="D139"/>
  <c r="C139"/>
  <c r="D138"/>
  <c r="C138"/>
  <c r="D137"/>
  <c r="C137"/>
  <c r="D136"/>
  <c r="C136"/>
  <c r="D135"/>
  <c r="C135"/>
  <c r="D134"/>
  <c r="C134"/>
  <c r="H2282" i="13"/>
  <c r="G2282"/>
  <c r="H2281"/>
  <c r="G2281"/>
  <c r="J2282"/>
  <c r="J2281"/>
  <c r="B2278"/>
  <c r="G2278" s="1"/>
  <c r="H2277"/>
  <c r="G2277"/>
  <c r="H2276"/>
  <c r="G2276"/>
  <c r="H2275"/>
  <c r="G2275"/>
  <c r="H2274"/>
  <c r="G2274"/>
  <c r="J2277"/>
  <c r="J2276"/>
  <c r="J2275"/>
  <c r="J2274"/>
  <c r="J2270"/>
  <c r="J2269"/>
  <c r="J2268"/>
  <c r="J2267"/>
  <c r="H2270"/>
  <c r="G2270"/>
  <c r="H2269"/>
  <c r="G2269"/>
  <c r="H2268"/>
  <c r="G2268"/>
  <c r="H2267"/>
  <c r="G2267"/>
  <c r="B2271"/>
  <c r="H2271" s="1"/>
  <c r="B2264"/>
  <c r="H2264" s="1"/>
  <c r="J2263"/>
  <c r="J2262"/>
  <c r="J2261"/>
  <c r="J2260"/>
  <c r="J2259"/>
  <c r="H2263"/>
  <c r="G2263"/>
  <c r="H2262"/>
  <c r="G2262"/>
  <c r="H2261"/>
  <c r="G2261"/>
  <c r="H2260"/>
  <c r="G2260"/>
  <c r="H2259"/>
  <c r="G2259"/>
  <c r="D132" i="12"/>
  <c r="C132"/>
  <c r="D131"/>
  <c r="C131"/>
  <c r="D130"/>
  <c r="C130"/>
  <c r="D129"/>
  <c r="C129"/>
  <c r="D128"/>
  <c r="C128"/>
  <c r="D127"/>
  <c r="C127"/>
  <c r="D126"/>
  <c r="C126"/>
  <c r="D125"/>
  <c r="C125"/>
  <c r="D124"/>
  <c r="C124"/>
  <c r="D123"/>
  <c r="C123"/>
  <c r="D122"/>
  <c r="C122"/>
  <c r="D121"/>
  <c r="C121"/>
  <c r="D120"/>
  <c r="C120"/>
  <c r="D118"/>
  <c r="C118"/>
  <c r="D117"/>
  <c r="C117"/>
  <c r="D116"/>
  <c r="C116"/>
  <c r="D115"/>
  <c r="C115"/>
  <c r="D114"/>
  <c r="C114"/>
  <c r="D112"/>
  <c r="C112"/>
  <c r="D111"/>
  <c r="C111"/>
  <c r="D110"/>
  <c r="C110"/>
  <c r="D108"/>
  <c r="C108"/>
  <c r="D107"/>
  <c r="C107"/>
  <c r="D106"/>
  <c r="C106"/>
  <c r="D105"/>
  <c r="C105"/>
  <c r="D104"/>
  <c r="C104"/>
  <c r="D103"/>
  <c r="C103"/>
  <c r="D102"/>
  <c r="C102"/>
  <c r="D101"/>
  <c r="C101"/>
  <c r="D100"/>
  <c r="C100"/>
  <c r="D99"/>
  <c r="C99"/>
  <c r="D98"/>
  <c r="C98"/>
  <c r="D97"/>
  <c r="C97"/>
  <c r="D96"/>
  <c r="C96"/>
  <c r="D95"/>
  <c r="C95"/>
  <c r="D94"/>
  <c r="C94"/>
  <c r="D93"/>
  <c r="C93"/>
  <c r="D92"/>
  <c r="C92"/>
  <c r="D91"/>
  <c r="C91"/>
  <c r="D89"/>
  <c r="C89"/>
  <c r="D88"/>
  <c r="C88"/>
  <c r="D87"/>
  <c r="C87"/>
  <c r="D86"/>
  <c r="C86"/>
  <c r="D85"/>
  <c r="C85"/>
  <c r="D84"/>
  <c r="C84"/>
  <c r="D83"/>
  <c r="C83"/>
  <c r="D82"/>
  <c r="C82"/>
  <c r="D81"/>
  <c r="C81"/>
  <c r="D80"/>
  <c r="C80"/>
  <c r="D79"/>
  <c r="C79"/>
  <c r="D78"/>
  <c r="C78"/>
  <c r="D77"/>
  <c r="C77"/>
  <c r="D76"/>
  <c r="C76"/>
  <c r="D75"/>
  <c r="C75"/>
  <c r="D74"/>
  <c r="C74"/>
  <c r="D72"/>
  <c r="C72"/>
  <c r="D71"/>
  <c r="C71"/>
  <c r="D70"/>
  <c r="C70"/>
  <c r="D69"/>
  <c r="C69"/>
  <c r="D68"/>
  <c r="C68"/>
  <c r="D67"/>
  <c r="C67"/>
  <c r="D66"/>
  <c r="C66"/>
  <c r="D65"/>
  <c r="C65"/>
  <c r="D64"/>
  <c r="C64"/>
  <c r="D63"/>
  <c r="C63"/>
  <c r="D62"/>
  <c r="C62"/>
  <c r="D61"/>
  <c r="C61"/>
  <c r="D60"/>
  <c r="C60"/>
  <c r="D59"/>
  <c r="C59"/>
  <c r="D57"/>
  <c r="C57"/>
  <c r="D56"/>
  <c r="C56"/>
  <c r="D55"/>
  <c r="C55"/>
  <c r="D54"/>
  <c r="C54"/>
  <c r="D53"/>
  <c r="C53"/>
  <c r="D52"/>
  <c r="C52"/>
  <c r="D51"/>
  <c r="C51"/>
  <c r="D50"/>
  <c r="C50"/>
  <c r="D49"/>
  <c r="C49"/>
  <c r="D48"/>
  <c r="C48"/>
  <c r="D47"/>
  <c r="C47"/>
  <c r="D46"/>
  <c r="C46"/>
  <c r="D45"/>
  <c r="C45"/>
  <c r="D44"/>
  <c r="C44"/>
  <c r="D43"/>
  <c r="C43"/>
  <c r="D42"/>
  <c r="C42"/>
  <c r="D41"/>
  <c r="C41"/>
  <c r="D40"/>
  <c r="C40"/>
  <c r="D39"/>
  <c r="C39"/>
  <c r="D38"/>
  <c r="C38"/>
  <c r="D37"/>
  <c r="C37"/>
  <c r="D36"/>
  <c r="C36"/>
  <c r="D35"/>
  <c r="C35"/>
  <c r="D34"/>
  <c r="C34"/>
  <c r="D33"/>
  <c r="C33"/>
  <c r="D32"/>
  <c r="C32"/>
  <c r="D31"/>
  <c r="C31"/>
  <c r="D30"/>
  <c r="C30"/>
  <c r="D29"/>
  <c r="C29"/>
  <c r="D28"/>
  <c r="C28"/>
  <c r="D27"/>
  <c r="C27"/>
  <c r="D26"/>
  <c r="C26"/>
  <c r="D25"/>
  <c r="C25"/>
  <c r="D24"/>
  <c r="C24"/>
  <c r="D23"/>
  <c r="C23"/>
  <c r="D22"/>
  <c r="C22"/>
  <c r="D21"/>
  <c r="C21"/>
  <c r="D20"/>
  <c r="C20"/>
  <c r="D19"/>
  <c r="C19"/>
  <c r="D18"/>
  <c r="C18"/>
  <c r="D17"/>
  <c r="C17"/>
  <c r="B2256" i="13"/>
  <c r="H2256" s="1"/>
  <c r="C2255"/>
  <c r="B2255"/>
  <c r="H2255" s="1"/>
  <c r="C2254"/>
  <c r="B2254"/>
  <c r="H2254" s="1"/>
  <c r="C2253"/>
  <c r="B2253"/>
  <c r="H2253" s="1"/>
  <c r="C2252"/>
  <c r="B2252"/>
  <c r="H2252" s="1"/>
  <c r="B2249"/>
  <c r="H2249" s="1"/>
  <c r="J2248"/>
  <c r="J2247"/>
  <c r="J2246"/>
  <c r="J2245"/>
  <c r="J2244"/>
  <c r="H2248"/>
  <c r="G2248"/>
  <c r="H2247"/>
  <c r="G2247"/>
  <c r="H2246"/>
  <c r="G2246"/>
  <c r="H2245"/>
  <c r="G2245"/>
  <c r="H2244"/>
  <c r="G2244"/>
  <c r="B2241"/>
  <c r="H2241" s="1"/>
  <c r="J2240"/>
  <c r="J2239"/>
  <c r="J2238"/>
  <c r="J2237"/>
  <c r="H2240"/>
  <c r="G2240"/>
  <c r="H2239"/>
  <c r="G2239"/>
  <c r="H2238"/>
  <c r="G2238"/>
  <c r="H2237"/>
  <c r="G2237"/>
  <c r="B2234"/>
  <c r="H2234" s="1"/>
  <c r="J2233"/>
  <c r="J2232"/>
  <c r="J2231"/>
  <c r="J2230"/>
  <c r="J2229"/>
  <c r="H2233"/>
  <c r="G2233"/>
  <c r="H2232"/>
  <c r="G2232"/>
  <c r="H2231"/>
  <c r="G2231"/>
  <c r="H2230"/>
  <c r="G2230"/>
  <c r="H2229"/>
  <c r="G2229"/>
  <c r="B2226"/>
  <c r="J2226" s="1"/>
  <c r="J2225"/>
  <c r="J2224"/>
  <c r="J2223"/>
  <c r="J2222"/>
  <c r="H2225"/>
  <c r="G2225"/>
  <c r="H2224"/>
  <c r="G2224"/>
  <c r="H2223"/>
  <c r="G2223"/>
  <c r="H2222"/>
  <c r="G2222"/>
  <c r="B2219"/>
  <c r="J2219" s="1"/>
  <c r="J2218"/>
  <c r="J2217"/>
  <c r="J2216"/>
  <c r="J2215"/>
  <c r="J2214"/>
  <c r="H2218"/>
  <c r="G2218"/>
  <c r="H2217"/>
  <c r="G2217"/>
  <c r="H2216"/>
  <c r="G2216"/>
  <c r="H2215"/>
  <c r="G2215"/>
  <c r="H2214"/>
  <c r="G2214"/>
  <c r="B2211"/>
  <c r="J2211" s="1"/>
  <c r="J2210"/>
  <c r="J2209"/>
  <c r="J2208"/>
  <c r="G2211"/>
  <c r="H2210"/>
  <c r="G2210"/>
  <c r="H2209"/>
  <c r="G2209"/>
  <c r="H2208"/>
  <c r="G2208"/>
  <c r="B2205"/>
  <c r="J2205" s="1"/>
  <c r="J2204"/>
  <c r="J2203"/>
  <c r="J2202"/>
  <c r="J2201"/>
  <c r="H2204"/>
  <c r="G2204"/>
  <c r="H2203"/>
  <c r="G2203"/>
  <c r="H2202"/>
  <c r="G2202"/>
  <c r="H2201"/>
  <c r="G2201"/>
  <c r="B2198"/>
  <c r="H2198" s="1"/>
  <c r="J2197"/>
  <c r="J2196"/>
  <c r="J2195"/>
  <c r="J2194"/>
  <c r="H2197"/>
  <c r="G2197"/>
  <c r="H2196"/>
  <c r="G2196"/>
  <c r="H2195"/>
  <c r="G2195"/>
  <c r="H2194"/>
  <c r="G2194"/>
  <c r="J2191"/>
  <c r="J2190"/>
  <c r="J2189"/>
  <c r="J2188"/>
  <c r="J2187"/>
  <c r="J2186"/>
  <c r="J2184"/>
  <c r="J2182"/>
  <c r="J2181"/>
  <c r="H2191"/>
  <c r="G2191"/>
  <c r="H2190"/>
  <c r="G2190"/>
  <c r="H2189"/>
  <c r="G2189"/>
  <c r="H2188"/>
  <c r="G2188"/>
  <c r="H2187"/>
  <c r="G2187"/>
  <c r="H2186"/>
  <c r="G2186"/>
  <c r="H2184"/>
  <c r="G2184"/>
  <c r="H2182"/>
  <c r="G2182"/>
  <c r="H2181"/>
  <c r="G2181"/>
  <c r="B2185"/>
  <c r="H2185" s="1"/>
  <c r="B2183"/>
  <c r="H2183" s="1"/>
  <c r="B2177"/>
  <c r="H2177" s="1"/>
  <c r="B2176"/>
  <c r="J2176" s="1"/>
  <c r="B2175"/>
  <c r="J2175" s="1"/>
  <c r="B2173"/>
  <c r="H2173" s="1"/>
  <c r="B2163"/>
  <c r="G2163" s="1"/>
  <c r="B2161"/>
  <c r="J2161" s="1"/>
  <c r="H2178"/>
  <c r="G2178"/>
  <c r="H2174"/>
  <c r="G2174"/>
  <c r="H2172"/>
  <c r="G2172"/>
  <c r="H2171"/>
  <c r="G2171"/>
  <c r="H2170"/>
  <c r="G2170"/>
  <c r="H2169"/>
  <c r="G2169"/>
  <c r="H2168"/>
  <c r="G2168"/>
  <c r="H2167"/>
  <c r="G2167"/>
  <c r="H2166"/>
  <c r="G2166"/>
  <c r="H2165"/>
  <c r="G2165"/>
  <c r="H2164"/>
  <c r="G2164"/>
  <c r="H2162"/>
  <c r="G2162"/>
  <c r="H2160"/>
  <c r="G2160"/>
  <c r="H2159"/>
  <c r="G2159"/>
  <c r="J2178"/>
  <c r="J2174"/>
  <c r="J2172"/>
  <c r="J2171"/>
  <c r="J2170"/>
  <c r="J2169"/>
  <c r="J2168"/>
  <c r="J2167"/>
  <c r="J2166"/>
  <c r="J2165"/>
  <c r="J2164"/>
  <c r="J2162"/>
  <c r="J2160"/>
  <c r="J2159"/>
  <c r="B2151"/>
  <c r="H2151" s="1"/>
  <c r="B2148"/>
  <c r="J2148" s="1"/>
  <c r="J2156"/>
  <c r="J2155"/>
  <c r="J2154"/>
  <c r="J2153"/>
  <c r="J2152"/>
  <c r="J2150"/>
  <c r="J2149"/>
  <c r="J2147"/>
  <c r="J2146"/>
  <c r="J2145"/>
  <c r="J2144"/>
  <c r="H2156"/>
  <c r="G2156"/>
  <c r="H2155"/>
  <c r="G2155"/>
  <c r="H2154"/>
  <c r="G2154"/>
  <c r="H2153"/>
  <c r="G2153"/>
  <c r="H2152"/>
  <c r="G2152"/>
  <c r="H2150"/>
  <c r="G2150"/>
  <c r="H2149"/>
  <c r="G2149"/>
  <c r="H2147"/>
  <c r="G2147"/>
  <c r="H2146"/>
  <c r="G2146"/>
  <c r="H2145"/>
  <c r="G2145"/>
  <c r="H2144"/>
  <c r="G2144"/>
  <c r="B2137"/>
  <c r="J2137" s="1"/>
  <c r="B2134"/>
  <c r="G2134" s="1"/>
  <c r="J2141"/>
  <c r="J2140"/>
  <c r="J2139"/>
  <c r="J2138"/>
  <c r="J2136"/>
  <c r="J2135"/>
  <c r="J2133"/>
  <c r="J2132"/>
  <c r="J2131"/>
  <c r="J2130"/>
  <c r="H2141"/>
  <c r="G2141"/>
  <c r="H2140"/>
  <c r="G2140"/>
  <c r="H2139"/>
  <c r="G2139"/>
  <c r="H2138"/>
  <c r="G2138"/>
  <c r="G2137"/>
  <c r="H2136"/>
  <c r="G2136"/>
  <c r="H2135"/>
  <c r="G2135"/>
  <c r="H2134"/>
  <c r="H2133"/>
  <c r="G2133"/>
  <c r="H2132"/>
  <c r="G2132"/>
  <c r="H2131"/>
  <c r="G2131"/>
  <c r="H2130"/>
  <c r="G2130"/>
  <c r="B2114"/>
  <c r="J2114" s="1"/>
  <c r="B2113"/>
  <c r="G2113" s="1"/>
  <c r="B2112"/>
  <c r="G2112" s="1"/>
  <c r="B2110"/>
  <c r="G2110" s="1"/>
  <c r="B2108"/>
  <c r="J2108" s="1"/>
  <c r="B2107"/>
  <c r="G2107" s="1"/>
  <c r="J2127"/>
  <c r="J2126"/>
  <c r="J2125"/>
  <c r="J2124"/>
  <c r="J2123"/>
  <c r="J2122"/>
  <c r="J2121"/>
  <c r="J2120"/>
  <c r="J2119"/>
  <c r="J2118"/>
  <c r="J2117"/>
  <c r="J2116"/>
  <c r="J2115"/>
  <c r="J2111"/>
  <c r="J2109"/>
  <c r="J2107"/>
  <c r="J2106"/>
  <c r="J2105"/>
  <c r="J2104"/>
  <c r="J2103"/>
  <c r="J2102"/>
  <c r="J2101"/>
  <c r="H2127"/>
  <c r="G2127"/>
  <c r="H2126"/>
  <c r="G2126"/>
  <c r="H2125"/>
  <c r="G2125"/>
  <c r="H2124"/>
  <c r="G2124"/>
  <c r="H2123"/>
  <c r="G2123"/>
  <c r="H2122"/>
  <c r="G2122"/>
  <c r="H2121"/>
  <c r="G2121"/>
  <c r="H2120"/>
  <c r="G2120"/>
  <c r="H2119"/>
  <c r="G2119"/>
  <c r="H2118"/>
  <c r="G2118"/>
  <c r="H2117"/>
  <c r="G2117"/>
  <c r="H2116"/>
  <c r="G2116"/>
  <c r="H2115"/>
  <c r="G2115"/>
  <c r="H2111"/>
  <c r="G2111"/>
  <c r="H2109"/>
  <c r="G2109"/>
  <c r="H2106"/>
  <c r="G2106"/>
  <c r="H2105"/>
  <c r="G2105"/>
  <c r="H2104"/>
  <c r="G2104"/>
  <c r="H2103"/>
  <c r="G2103"/>
  <c r="H2102"/>
  <c r="G2102"/>
  <c r="H2101"/>
  <c r="G2101"/>
  <c r="H2098"/>
  <c r="G2098"/>
  <c r="H2097"/>
  <c r="G2097"/>
  <c r="H2094"/>
  <c r="G2094"/>
  <c r="H2093"/>
  <c r="G2093"/>
  <c r="H2092"/>
  <c r="G2092"/>
  <c r="J2098"/>
  <c r="J2097"/>
  <c r="J2094"/>
  <c r="J2093"/>
  <c r="J2092"/>
  <c r="B2096"/>
  <c r="H2096" s="1"/>
  <c r="B2095"/>
  <c r="G2095" s="1"/>
  <c r="J2089"/>
  <c r="J2088"/>
  <c r="J2087"/>
  <c r="J2086"/>
  <c r="J2085"/>
  <c r="J2084"/>
  <c r="H2089"/>
  <c r="G2089"/>
  <c r="H2088"/>
  <c r="G2088"/>
  <c r="H2087"/>
  <c r="G2087"/>
  <c r="H2086"/>
  <c r="G2086"/>
  <c r="H2085"/>
  <c r="G2085"/>
  <c r="H2084"/>
  <c r="G2084"/>
  <c r="B2079"/>
  <c r="J2079" s="1"/>
  <c r="B2078"/>
  <c r="J2078" s="1"/>
  <c r="B2076"/>
  <c r="J2076" s="1"/>
  <c r="J2081"/>
  <c r="J2080"/>
  <c r="J2077"/>
  <c r="J2075"/>
  <c r="J2074"/>
  <c r="J2073"/>
  <c r="H2081"/>
  <c r="G2081"/>
  <c r="H2080"/>
  <c r="G2080"/>
  <c r="H2077"/>
  <c r="G2077"/>
  <c r="H2075"/>
  <c r="G2075"/>
  <c r="H2074"/>
  <c r="G2074"/>
  <c r="H2073"/>
  <c r="G2073"/>
  <c r="B2070"/>
  <c r="H2070" s="1"/>
  <c r="B2069"/>
  <c r="J2069" s="1"/>
  <c r="B2068"/>
  <c r="J2068" s="1"/>
  <c r="J2067"/>
  <c r="H2067"/>
  <c r="G2067"/>
  <c r="B2063"/>
  <c r="G2063" s="1"/>
  <c r="B2062"/>
  <c r="H2062" s="1"/>
  <c r="B2061"/>
  <c r="J2061" s="1"/>
  <c r="H2064"/>
  <c r="G2064"/>
  <c r="H2060"/>
  <c r="G2060"/>
  <c r="J2064"/>
  <c r="J2060"/>
  <c r="B2054"/>
  <c r="H2054" s="1"/>
  <c r="B2053"/>
  <c r="J2053" s="1"/>
  <c r="B2052"/>
  <c r="G2052" s="1"/>
  <c r="B2049"/>
  <c r="H2049" s="1"/>
  <c r="J2057"/>
  <c r="J2056"/>
  <c r="J2055"/>
  <c r="J2051"/>
  <c r="J2050"/>
  <c r="J2048"/>
  <c r="J2047"/>
  <c r="J2046"/>
  <c r="J2045"/>
  <c r="J2044"/>
  <c r="J2043"/>
  <c r="J2042"/>
  <c r="J2041"/>
  <c r="H2057"/>
  <c r="G2057"/>
  <c r="H2056"/>
  <c r="G2056"/>
  <c r="H2055"/>
  <c r="G2055"/>
  <c r="H2051"/>
  <c r="G2051"/>
  <c r="H2050"/>
  <c r="G2050"/>
  <c r="H2048"/>
  <c r="G2048"/>
  <c r="H2047"/>
  <c r="G2047"/>
  <c r="H2046"/>
  <c r="G2046"/>
  <c r="H2045"/>
  <c r="G2045"/>
  <c r="H2044"/>
  <c r="G2044"/>
  <c r="H2043"/>
  <c r="G2043"/>
  <c r="H2042"/>
  <c r="G2042"/>
  <c r="H2041"/>
  <c r="G2041"/>
  <c r="B2035"/>
  <c r="J2035" s="1"/>
  <c r="B2034"/>
  <c r="J2034" s="1"/>
  <c r="B2033"/>
  <c r="G2033" s="1"/>
  <c r="B2030"/>
  <c r="J2030" s="1"/>
  <c r="J2038"/>
  <c r="J2037"/>
  <c r="J2036"/>
  <c r="J2032"/>
  <c r="J2031"/>
  <c r="J2029"/>
  <c r="J2028"/>
  <c r="J2027"/>
  <c r="J2026"/>
  <c r="J2025"/>
  <c r="J2024"/>
  <c r="J2023"/>
  <c r="J2022"/>
  <c r="J2021"/>
  <c r="J2020"/>
  <c r="J2019"/>
  <c r="J2018"/>
  <c r="H2038"/>
  <c r="G2038"/>
  <c r="H2037"/>
  <c r="G2037"/>
  <c r="H2036"/>
  <c r="G2036"/>
  <c r="H2032"/>
  <c r="G2032"/>
  <c r="H2031"/>
  <c r="G2031"/>
  <c r="H2030"/>
  <c r="H2029"/>
  <c r="G2029"/>
  <c r="H2028"/>
  <c r="G2028"/>
  <c r="H2027"/>
  <c r="G2027"/>
  <c r="H2026"/>
  <c r="G2026"/>
  <c r="H2025"/>
  <c r="G2025"/>
  <c r="H2024"/>
  <c r="G2024"/>
  <c r="H2023"/>
  <c r="G2023"/>
  <c r="H2022"/>
  <c r="G2022"/>
  <c r="H2021"/>
  <c r="G2021"/>
  <c r="H2020"/>
  <c r="G2020"/>
  <c r="H2019"/>
  <c r="G2019"/>
  <c r="H2018"/>
  <c r="G2018"/>
  <c r="B2011"/>
  <c r="J2011" s="1"/>
  <c r="B2009"/>
  <c r="J2009" s="1"/>
  <c r="B2008"/>
  <c r="J2008" s="1"/>
  <c r="B2007"/>
  <c r="J2007" s="1"/>
  <c r="B2004"/>
  <c r="H2004" s="1"/>
  <c r="B2002"/>
  <c r="J2002" s="1"/>
  <c r="J2015"/>
  <c r="J2014"/>
  <c r="J2013"/>
  <c r="J2012"/>
  <c r="J2010"/>
  <c r="J2006"/>
  <c r="J2005"/>
  <c r="J2003"/>
  <c r="J2001"/>
  <c r="J2000"/>
  <c r="H2015"/>
  <c r="G2015"/>
  <c r="H2014"/>
  <c r="G2014"/>
  <c r="H2013"/>
  <c r="G2013"/>
  <c r="H2012"/>
  <c r="G2012"/>
  <c r="H2011"/>
  <c r="H2010"/>
  <c r="G2010"/>
  <c r="G2007"/>
  <c r="H2006"/>
  <c r="G2006"/>
  <c r="H2005"/>
  <c r="G2005"/>
  <c r="H2003"/>
  <c r="G2003"/>
  <c r="H2001"/>
  <c r="G2001"/>
  <c r="H2000"/>
  <c r="G2000"/>
  <c r="B1993"/>
  <c r="J1993" s="1"/>
  <c r="B1992"/>
  <c r="H1992" s="1"/>
  <c r="B1991"/>
  <c r="G1991" s="1"/>
  <c r="B1988"/>
  <c r="G1988" s="1"/>
  <c r="B1986"/>
  <c r="H1986" s="1"/>
  <c r="J1997"/>
  <c r="J1996"/>
  <c r="J1995"/>
  <c r="J1994"/>
  <c r="J1992"/>
  <c r="J1991"/>
  <c r="J1990"/>
  <c r="J1989"/>
  <c r="J1987"/>
  <c r="J1985"/>
  <c r="J1984"/>
  <c r="H1997"/>
  <c r="G1997"/>
  <c r="H1996"/>
  <c r="G1996"/>
  <c r="H1995"/>
  <c r="G1995"/>
  <c r="H1994"/>
  <c r="G1994"/>
  <c r="H1990"/>
  <c r="G1990"/>
  <c r="H1989"/>
  <c r="G1989"/>
  <c r="H1987"/>
  <c r="G1987"/>
  <c r="H1985"/>
  <c r="G1985"/>
  <c r="H1984"/>
  <c r="G1984"/>
  <c r="J1981"/>
  <c r="J1980"/>
  <c r="J1979"/>
  <c r="J1978"/>
  <c r="J1977"/>
  <c r="J1976"/>
  <c r="J1975"/>
  <c r="J1974"/>
  <c r="J1973"/>
  <c r="J1972"/>
  <c r="H1981"/>
  <c r="G1981"/>
  <c r="H1980"/>
  <c r="G1980"/>
  <c r="H1979"/>
  <c r="G1979"/>
  <c r="H1978"/>
  <c r="G1978"/>
  <c r="H1977"/>
  <c r="G1977"/>
  <c r="H1976"/>
  <c r="G1976"/>
  <c r="H1975"/>
  <c r="G1975"/>
  <c r="H1974"/>
  <c r="G1974"/>
  <c r="H1973"/>
  <c r="G1973"/>
  <c r="H1972"/>
  <c r="G1972"/>
  <c r="H1969"/>
  <c r="G1969"/>
  <c r="H1968"/>
  <c r="G1968"/>
  <c r="H1967"/>
  <c r="G1967"/>
  <c r="H1966"/>
  <c r="G1966"/>
  <c r="H1965"/>
  <c r="G1965"/>
  <c r="H1964"/>
  <c r="G1964"/>
  <c r="H1963"/>
  <c r="G1963"/>
  <c r="H1962"/>
  <c r="G1962"/>
  <c r="H1961"/>
  <c r="G1961"/>
  <c r="J1969"/>
  <c r="J1968"/>
  <c r="J1967"/>
  <c r="J1966"/>
  <c r="J1965"/>
  <c r="J1964"/>
  <c r="J1963"/>
  <c r="J1962"/>
  <c r="J1961"/>
  <c r="J1958"/>
  <c r="J1957"/>
  <c r="J1956"/>
  <c r="J1955"/>
  <c r="J1954"/>
  <c r="J1953"/>
  <c r="J1952"/>
  <c r="J1951"/>
  <c r="J1950"/>
  <c r="J1949"/>
  <c r="J1948"/>
  <c r="J1947"/>
  <c r="J1946"/>
  <c r="H1958"/>
  <c r="G1958"/>
  <c r="H1957"/>
  <c r="G1957"/>
  <c r="H1956"/>
  <c r="G1956"/>
  <c r="H1955"/>
  <c r="G1955"/>
  <c r="H1954"/>
  <c r="G1954"/>
  <c r="H1953"/>
  <c r="G1953"/>
  <c r="H1952"/>
  <c r="G1952"/>
  <c r="H1951"/>
  <c r="G1951"/>
  <c r="H1950"/>
  <c r="G1950"/>
  <c r="H1949"/>
  <c r="G1949"/>
  <c r="H1948"/>
  <c r="G1948"/>
  <c r="H1947"/>
  <c r="G1947"/>
  <c r="H1946"/>
  <c r="G1946"/>
  <c r="J1943"/>
  <c r="J1942"/>
  <c r="J1941"/>
  <c r="J1940"/>
  <c r="J1939"/>
  <c r="J1938"/>
  <c r="J1937"/>
  <c r="J1936"/>
  <c r="J1935"/>
  <c r="J1934"/>
  <c r="J1933"/>
  <c r="J1932"/>
  <c r="J1931"/>
  <c r="J1930"/>
  <c r="J1929"/>
  <c r="H1943"/>
  <c r="G1943"/>
  <c r="H1942"/>
  <c r="G1942"/>
  <c r="H1941"/>
  <c r="G1941"/>
  <c r="H1940"/>
  <c r="G1940"/>
  <c r="H1939"/>
  <c r="G1939"/>
  <c r="H1938"/>
  <c r="G1938"/>
  <c r="H1937"/>
  <c r="G1937"/>
  <c r="H1936"/>
  <c r="G1936"/>
  <c r="H1935"/>
  <c r="G1935"/>
  <c r="H1934"/>
  <c r="G1934"/>
  <c r="H1933"/>
  <c r="G1933"/>
  <c r="H1932"/>
  <c r="G1932"/>
  <c r="H1931"/>
  <c r="G1931"/>
  <c r="H1930"/>
  <c r="G1930"/>
  <c r="H1929"/>
  <c r="G1929"/>
  <c r="B1922"/>
  <c r="H1922" s="1"/>
  <c r="B1920"/>
  <c r="G1920" s="1"/>
  <c r="B1919"/>
  <c r="G1919" s="1"/>
  <c r="B1918"/>
  <c r="H1918" s="1"/>
  <c r="B1915"/>
  <c r="H1915" s="1"/>
  <c r="B1912"/>
  <c r="H1912" s="1"/>
  <c r="H1926"/>
  <c r="G1926"/>
  <c r="H1925"/>
  <c r="G1925"/>
  <c r="H1924"/>
  <c r="G1924"/>
  <c r="H1923"/>
  <c r="G1923"/>
  <c r="H1921"/>
  <c r="G1921"/>
  <c r="H1917"/>
  <c r="G1917"/>
  <c r="H1916"/>
  <c r="G1916"/>
  <c r="H1914"/>
  <c r="G1914"/>
  <c r="H1913"/>
  <c r="G1913"/>
  <c r="H1911"/>
  <c r="G1911"/>
  <c r="H1910"/>
  <c r="G1910"/>
  <c r="H1909"/>
  <c r="G1909"/>
  <c r="H1908"/>
  <c r="G1908"/>
  <c r="J1926"/>
  <c r="J1925"/>
  <c r="J1924"/>
  <c r="J1923"/>
  <c r="J1921"/>
  <c r="J1917"/>
  <c r="J1916"/>
  <c r="J1914"/>
  <c r="J1913"/>
  <c r="J1911"/>
  <c r="J1910"/>
  <c r="J1909"/>
  <c r="J1908"/>
  <c r="B1902"/>
  <c r="H1902" s="1"/>
  <c r="B1884"/>
  <c r="J1884" s="1"/>
  <c r="B1883"/>
  <c r="H1883" s="1"/>
  <c r="B1882"/>
  <c r="H1882" s="1"/>
  <c r="B1900"/>
  <c r="H1900" s="1"/>
  <c r="B1899"/>
  <c r="G1899" s="1"/>
  <c r="B1898"/>
  <c r="H1898" s="1"/>
  <c r="B1896"/>
  <c r="J1896" s="1"/>
  <c r="J1905"/>
  <c r="J1904"/>
  <c r="J1903"/>
  <c r="J1901"/>
  <c r="J1897"/>
  <c r="J1895"/>
  <c r="J1894"/>
  <c r="J1893"/>
  <c r="J1892"/>
  <c r="J1891"/>
  <c r="J1890"/>
  <c r="H1905"/>
  <c r="G1905"/>
  <c r="H1904"/>
  <c r="G1904"/>
  <c r="H1903"/>
  <c r="G1903"/>
  <c r="H1901"/>
  <c r="G1901"/>
  <c r="H1897"/>
  <c r="G1897"/>
  <c r="H1895"/>
  <c r="G1895"/>
  <c r="H1894"/>
  <c r="G1894"/>
  <c r="H1893"/>
  <c r="G1893"/>
  <c r="H1892"/>
  <c r="G1892"/>
  <c r="H1891"/>
  <c r="G1891"/>
  <c r="H1890"/>
  <c r="G1890"/>
  <c r="B1880"/>
  <c r="G1880" s="1"/>
  <c r="J1887"/>
  <c r="J1886"/>
  <c r="J1885"/>
  <c r="J1881"/>
  <c r="J1879"/>
  <c r="J1878"/>
  <c r="J1877"/>
  <c r="J1876"/>
  <c r="J1875"/>
  <c r="J1874"/>
  <c r="H1887"/>
  <c r="G1887"/>
  <c r="H1886"/>
  <c r="G1886"/>
  <c r="H1885"/>
  <c r="G1885"/>
  <c r="H1881"/>
  <c r="G1881"/>
  <c r="H1879"/>
  <c r="G1879"/>
  <c r="H1878"/>
  <c r="G1878"/>
  <c r="H1877"/>
  <c r="G1877"/>
  <c r="H1876"/>
  <c r="G1876"/>
  <c r="H1875"/>
  <c r="G1875"/>
  <c r="H1874"/>
  <c r="G1874"/>
  <c r="B1868"/>
  <c r="J1868" s="1"/>
  <c r="B1866"/>
  <c r="H1866" s="1"/>
  <c r="J1871"/>
  <c r="J1870"/>
  <c r="J1869"/>
  <c r="J1867"/>
  <c r="J1865"/>
  <c r="J1864"/>
  <c r="J1863"/>
  <c r="J1862"/>
  <c r="J1861"/>
  <c r="J1860"/>
  <c r="H1871"/>
  <c r="G1871"/>
  <c r="H1870"/>
  <c r="G1870"/>
  <c r="H1869"/>
  <c r="G1869"/>
  <c r="H1867"/>
  <c r="G1867"/>
  <c r="H1865"/>
  <c r="G1865"/>
  <c r="H1864"/>
  <c r="G1864"/>
  <c r="H1863"/>
  <c r="G1863"/>
  <c r="H1862"/>
  <c r="G1862"/>
  <c r="H1861"/>
  <c r="G1861"/>
  <c r="H1860"/>
  <c r="G1860"/>
  <c r="B1853"/>
  <c r="H1853" s="1"/>
  <c r="B1851"/>
  <c r="G1851" s="1"/>
  <c r="B1849"/>
  <c r="H1849" s="1"/>
  <c r="B1848"/>
  <c r="G1848" s="1"/>
  <c r="B1847"/>
  <c r="G1847" s="1"/>
  <c r="B1844"/>
  <c r="H1844" s="1"/>
  <c r="B1841"/>
  <c r="H1841" s="1"/>
  <c r="H1857"/>
  <c r="G1857"/>
  <c r="H1856"/>
  <c r="G1856"/>
  <c r="H1855"/>
  <c r="G1855"/>
  <c r="H1854"/>
  <c r="G1854"/>
  <c r="H1852"/>
  <c r="G1852"/>
  <c r="H1851"/>
  <c r="H1850"/>
  <c r="G1850"/>
  <c r="H1846"/>
  <c r="G1846"/>
  <c r="H1845"/>
  <c r="G1845"/>
  <c r="H1843"/>
  <c r="G1843"/>
  <c r="H1842"/>
  <c r="G1842"/>
  <c r="H1840"/>
  <c r="G1840"/>
  <c r="H1839"/>
  <c r="G1839"/>
  <c r="H1838"/>
  <c r="G1838"/>
  <c r="H1837"/>
  <c r="G1837"/>
  <c r="J1857"/>
  <c r="J1856"/>
  <c r="J1855"/>
  <c r="J1854"/>
  <c r="J1853"/>
  <c r="J1852"/>
  <c r="J1850"/>
  <c r="J1846"/>
  <c r="J1845"/>
  <c r="J1843"/>
  <c r="J1842"/>
  <c r="J1840"/>
  <c r="J1839"/>
  <c r="J1838"/>
  <c r="J1837"/>
  <c r="B1830"/>
  <c r="H1830" s="1"/>
  <c r="B1828"/>
  <c r="J1828" s="1"/>
  <c r="B1827"/>
  <c r="H1827" s="1"/>
  <c r="B1826"/>
  <c r="G1826" s="1"/>
  <c r="B1823"/>
  <c r="J1823" s="1"/>
  <c r="B1820"/>
  <c r="G1820" s="1"/>
  <c r="J1834"/>
  <c r="J1833"/>
  <c r="J1832"/>
  <c r="J1831"/>
  <c r="J1829"/>
  <c r="J1826"/>
  <c r="J1825"/>
  <c r="J1824"/>
  <c r="J1822"/>
  <c r="J1821"/>
  <c r="J1819"/>
  <c r="J1818"/>
  <c r="J1817"/>
  <c r="J1816"/>
  <c r="H1834"/>
  <c r="G1834"/>
  <c r="H1833"/>
  <c r="G1833"/>
  <c r="H1832"/>
  <c r="G1832"/>
  <c r="H1831"/>
  <c r="G1831"/>
  <c r="H1829"/>
  <c r="G1829"/>
  <c r="H1825"/>
  <c r="G1825"/>
  <c r="H1824"/>
  <c r="G1824"/>
  <c r="H1822"/>
  <c r="G1822"/>
  <c r="H1821"/>
  <c r="G1821"/>
  <c r="H1819"/>
  <c r="G1819"/>
  <c r="H1818"/>
  <c r="G1818"/>
  <c r="H1817"/>
  <c r="G1817"/>
  <c r="H1816"/>
  <c r="G1816"/>
  <c r="B1809"/>
  <c r="J1809" s="1"/>
  <c r="B1808"/>
  <c r="J1808" s="1"/>
  <c r="B1807"/>
  <c r="J1807" s="1"/>
  <c r="B1804"/>
  <c r="J1804" s="1"/>
  <c r="B1801"/>
  <c r="J1801" s="1"/>
  <c r="J1813"/>
  <c r="J1812"/>
  <c r="J1811"/>
  <c r="J1810"/>
  <c r="J1806"/>
  <c r="J1805"/>
  <c r="J1803"/>
  <c r="J1802"/>
  <c r="J1800"/>
  <c r="J1799"/>
  <c r="J1798"/>
  <c r="J1797"/>
  <c r="H1813"/>
  <c r="G1813"/>
  <c r="H1812"/>
  <c r="G1812"/>
  <c r="H1811"/>
  <c r="G1811"/>
  <c r="H1810"/>
  <c r="G1810"/>
  <c r="H1806"/>
  <c r="G1806"/>
  <c r="H1805"/>
  <c r="G1805"/>
  <c r="H1803"/>
  <c r="G1803"/>
  <c r="H1802"/>
  <c r="G1802"/>
  <c r="H1800"/>
  <c r="G1800"/>
  <c r="H1799"/>
  <c r="G1799"/>
  <c r="H1798"/>
  <c r="G1798"/>
  <c r="H1797"/>
  <c r="G1797"/>
  <c r="C1794"/>
  <c r="B1794"/>
  <c r="H1794" s="1"/>
  <c r="C1793"/>
  <c r="B1793"/>
  <c r="J1793" s="1"/>
  <c r="C1792"/>
  <c r="B1792"/>
  <c r="H1792" s="1"/>
  <c r="C1791"/>
  <c r="B1791"/>
  <c r="G1791" s="1"/>
  <c r="C1790"/>
  <c r="B1790"/>
  <c r="H1790" s="1"/>
  <c r="A2426"/>
  <c r="A2398"/>
  <c r="A2373"/>
  <c r="A2345"/>
  <c r="A2320"/>
  <c r="A2296"/>
  <c r="A2274"/>
  <c r="A2244"/>
  <c r="A2214"/>
  <c r="A2181"/>
  <c r="A2101"/>
  <c r="A2067"/>
  <c r="A2000"/>
  <c r="A1946"/>
  <c r="A1874"/>
  <c r="A1797"/>
  <c r="A2419"/>
  <c r="A2395"/>
  <c r="A2366"/>
  <c r="A2338"/>
  <c r="A2314"/>
  <c r="A2291"/>
  <c r="A2267"/>
  <c r="A2237"/>
  <c r="A2208"/>
  <c r="A2159"/>
  <c r="A2092"/>
  <c r="A2060"/>
  <c r="A1984"/>
  <c r="A1929"/>
  <c r="A1860"/>
  <c r="A2194"/>
  <c r="A2073"/>
  <c r="A2018"/>
  <c r="A1890"/>
  <c r="A2412"/>
  <c r="A2387"/>
  <c r="A2359"/>
  <c r="A2332"/>
  <c r="A2308"/>
  <c r="A2285"/>
  <c r="A2259"/>
  <c r="A2229"/>
  <c r="A2201"/>
  <c r="A2144"/>
  <c r="A2084"/>
  <c r="A2041"/>
  <c r="A1972"/>
  <c r="A1908"/>
  <c r="A1837"/>
  <c r="A2432"/>
  <c r="A2405"/>
  <c r="A2380"/>
  <c r="A2352"/>
  <c r="A2326"/>
  <c r="A2302"/>
  <c r="A2281"/>
  <c r="A2252"/>
  <c r="A2222"/>
  <c r="A2130"/>
  <c r="A1961"/>
  <c r="A1816"/>
  <c r="J2452" l="1"/>
  <c r="E165" i="12" s="1"/>
  <c r="J2483" i="13"/>
  <c r="E169" i="12" s="1"/>
  <c r="J2425" i="13"/>
  <c r="E157" i="12" s="1"/>
  <c r="J2431" i="13"/>
  <c r="E158" i="12" s="1"/>
  <c r="J2386" i="13"/>
  <c r="E151" i="12" s="1"/>
  <c r="J2411" i="13"/>
  <c r="E155" i="12" s="1"/>
  <c r="J2418" i="13"/>
  <c r="E156" i="12" s="1"/>
  <c r="G2322" i="13"/>
  <c r="J2293"/>
  <c r="J2290" s="1"/>
  <c r="E135" i="12" s="1"/>
  <c r="J2397" i="13"/>
  <c r="E153" i="12" s="1"/>
  <c r="J2404" i="13"/>
  <c r="E154" i="12" s="1"/>
  <c r="G2335" i="13"/>
  <c r="H2293"/>
  <c r="G2320"/>
  <c r="J2351"/>
  <c r="E146" i="12" s="1"/>
  <c r="J2358" i="13"/>
  <c r="E147" i="12" s="1"/>
  <c r="G2316" i="13"/>
  <c r="G2333"/>
  <c r="J2249"/>
  <c r="J2243" s="1"/>
  <c r="E127" i="12" s="1"/>
  <c r="J2301" i="13"/>
  <c r="E137" i="12" s="1"/>
  <c r="G2299" i="13"/>
  <c r="J2320"/>
  <c r="G2334"/>
  <c r="J2344"/>
  <c r="E145" i="12" s="1"/>
  <c r="J2379" i="13"/>
  <c r="E150" i="12" s="1"/>
  <c r="H2299" i="13"/>
  <c r="G2317"/>
  <c r="J2317"/>
  <c r="J2321"/>
  <c r="G2304"/>
  <c r="J2313"/>
  <c r="E139" i="12" s="1"/>
  <c r="H2332" i="13"/>
  <c r="J2332"/>
  <c r="J2337"/>
  <c r="E144" i="12" s="1"/>
  <c r="J2365" i="13"/>
  <c r="E148" i="12" s="1"/>
  <c r="H2305" i="13"/>
  <c r="J2298"/>
  <c r="J2295" s="1"/>
  <c r="E136" i="12" s="1"/>
  <c r="G2298" i="13"/>
  <c r="G2249"/>
  <c r="J2271"/>
  <c r="J2266" s="1"/>
  <c r="E130" i="12" s="1"/>
  <c r="J2280" i="13"/>
  <c r="E132" i="12" s="1"/>
  <c r="J2284" i="13"/>
  <c r="E134" i="12" s="1"/>
  <c r="H2304" i="13"/>
  <c r="H2310"/>
  <c r="H2316"/>
  <c r="G2321"/>
  <c r="G2323"/>
  <c r="J2322"/>
  <c r="H2333"/>
  <c r="J2256"/>
  <c r="H2278"/>
  <c r="H2286"/>
  <c r="G2305"/>
  <c r="G2311"/>
  <c r="J2307"/>
  <c r="E138" i="12" s="1"/>
  <c r="H2323" i="13"/>
  <c r="J2372"/>
  <c r="E149" i="12" s="1"/>
  <c r="J2334" i="13"/>
  <c r="J2331" s="1"/>
  <c r="E142" i="12" s="1"/>
  <c r="H2335" i="13"/>
  <c r="J2328"/>
  <c r="J2325" s="1"/>
  <c r="E141" i="12" s="1"/>
  <c r="H2329" i="13"/>
  <c r="G2310"/>
  <c r="J2278"/>
  <c r="J2273" s="1"/>
  <c r="E131" i="12" s="1"/>
  <c r="J2286" i="13"/>
  <c r="G2253"/>
  <c r="J2252"/>
  <c r="G2288"/>
  <c r="H2288"/>
  <c r="G2255"/>
  <c r="G2264"/>
  <c r="G2271"/>
  <c r="G2252"/>
  <c r="G2256"/>
  <c r="G2254"/>
  <c r="G2226"/>
  <c r="G2234"/>
  <c r="J2241"/>
  <c r="J2236" s="1"/>
  <c r="E126" i="12" s="1"/>
  <c r="J2254" i="13"/>
  <c r="J2264"/>
  <c r="J2258" s="1"/>
  <c r="E129" i="12" s="1"/>
  <c r="H2107" i="13"/>
  <c r="J2234"/>
  <c r="J2228" s="1"/>
  <c r="E125" i="12" s="1"/>
  <c r="J2255" i="13"/>
  <c r="G2219"/>
  <c r="J2221"/>
  <c r="E124" i="12" s="1"/>
  <c r="J2253" i="13"/>
  <c r="G2151"/>
  <c r="G2161"/>
  <c r="G2241"/>
  <c r="H2113"/>
  <c r="J2113"/>
  <c r="H2175"/>
  <c r="G2148"/>
  <c r="J2213"/>
  <c r="E123" i="12" s="1"/>
  <c r="H2226" i="13"/>
  <c r="H1919"/>
  <c r="H2112"/>
  <c r="G2114"/>
  <c r="J2151"/>
  <c r="J2143" s="1"/>
  <c r="E116" i="12" s="1"/>
  <c r="J2200" i="13"/>
  <c r="E121" i="12" s="1"/>
  <c r="J2207" i="13"/>
  <c r="E122" i="12" s="1"/>
  <c r="H2219" i="13"/>
  <c r="G2079"/>
  <c r="G2175"/>
  <c r="H2211"/>
  <c r="H2052"/>
  <c r="H2079"/>
  <c r="J2110"/>
  <c r="J2198"/>
  <c r="J2193" s="1"/>
  <c r="E120" i="12" s="1"/>
  <c r="G2205" i="13"/>
  <c r="G2173"/>
  <c r="H2205"/>
  <c r="J2083"/>
  <c r="E111" i="12" s="1"/>
  <c r="J2052" i="13"/>
  <c r="H2148"/>
  <c r="H2163"/>
  <c r="J2185"/>
  <c r="G2198"/>
  <c r="H2110"/>
  <c r="H2068"/>
  <c r="J2095"/>
  <c r="J2091" s="1"/>
  <c r="E112" i="12" s="1"/>
  <c r="G2096" i="13"/>
  <c r="H2114"/>
  <c r="G2176"/>
  <c r="G1882"/>
  <c r="G2069"/>
  <c r="J2096"/>
  <c r="G2108"/>
  <c r="J2134"/>
  <c r="J2129" s="1"/>
  <c r="E115" i="12" s="1"/>
  <c r="H2176" i="13"/>
  <c r="G2183"/>
  <c r="G2185"/>
  <c r="J2183"/>
  <c r="H2095"/>
  <c r="G2049"/>
  <c r="G2078"/>
  <c r="H2108"/>
  <c r="J2112"/>
  <c r="J2173"/>
  <c r="H2161"/>
  <c r="G2177"/>
  <c r="J2177"/>
  <c r="J2163"/>
  <c r="H2137"/>
  <c r="H2069"/>
  <c r="G1896"/>
  <c r="G2002"/>
  <c r="H2061"/>
  <c r="G2068"/>
  <c r="G2070"/>
  <c r="J2070"/>
  <c r="J2066" s="1"/>
  <c r="E108" i="12" s="1"/>
  <c r="H2076" i="13"/>
  <c r="G1992"/>
  <c r="G2076"/>
  <c r="H2002"/>
  <c r="H2009"/>
  <c r="H2078"/>
  <c r="J2072"/>
  <c r="E110" i="12" s="1"/>
  <c r="J1986" i="13"/>
  <c r="J1918"/>
  <c r="G1986"/>
  <c r="G1993"/>
  <c r="G2030"/>
  <c r="H2063"/>
  <c r="G2004"/>
  <c r="J2049"/>
  <c r="J2063"/>
  <c r="G2061"/>
  <c r="H1820"/>
  <c r="J1920"/>
  <c r="J1960"/>
  <c r="E101" i="12" s="1"/>
  <c r="H1991" i="13"/>
  <c r="G2009"/>
  <c r="J2033"/>
  <c r="J2017" s="1"/>
  <c r="E105" i="12" s="1"/>
  <c r="G2062" i="13"/>
  <c r="J1945"/>
  <c r="E100" i="12" s="1"/>
  <c r="J1971" i="13"/>
  <c r="E102" i="12" s="1"/>
  <c r="H2033" i="13"/>
  <c r="J2054"/>
  <c r="J1847"/>
  <c r="G1866"/>
  <c r="G1883"/>
  <c r="H1988"/>
  <c r="H1993"/>
  <c r="H2007"/>
  <c r="G2034"/>
  <c r="G2054"/>
  <c r="J2062"/>
  <c r="H1848"/>
  <c r="J1883"/>
  <c r="G1898"/>
  <c r="J1898"/>
  <c r="J1988"/>
  <c r="G2035"/>
  <c r="J1851"/>
  <c r="G1918"/>
  <c r="H2008"/>
  <c r="H2035"/>
  <c r="J1915"/>
  <c r="J2004"/>
  <c r="J1999" s="1"/>
  <c r="E104" i="12" s="1"/>
  <c r="H2053" i="13"/>
  <c r="G2053"/>
  <c r="H2034"/>
  <c r="G2011"/>
  <c r="G2008"/>
  <c r="G1849"/>
  <c r="H1899"/>
  <c r="H1920"/>
  <c r="J1928"/>
  <c r="E99" i="12" s="1"/>
  <c r="G1868" i="13"/>
  <c r="G1884"/>
  <c r="H1880"/>
  <c r="G1828"/>
  <c r="G1853"/>
  <c r="H1868"/>
  <c r="J1899"/>
  <c r="J1791"/>
  <c r="G1915"/>
  <c r="G1922"/>
  <c r="J1880"/>
  <c r="H1896"/>
  <c r="G1804"/>
  <c r="J1848"/>
  <c r="H1804"/>
  <c r="H1826"/>
  <c r="J1849"/>
  <c r="J1866"/>
  <c r="J1859" s="1"/>
  <c r="E95" i="12" s="1"/>
  <c r="G1902" i="13"/>
  <c r="G1912"/>
  <c r="J1902"/>
  <c r="H1791"/>
  <c r="J1796"/>
  <c r="E92" i="12" s="1"/>
  <c r="G1827" i="13"/>
  <c r="J1820"/>
  <c r="G1844"/>
  <c r="G1900"/>
  <c r="J1900"/>
  <c r="J1919"/>
  <c r="J1922"/>
  <c r="J1912"/>
  <c r="H1884"/>
  <c r="J1882"/>
  <c r="H1847"/>
  <c r="J1794"/>
  <c r="J1827"/>
  <c r="J1841"/>
  <c r="G1841"/>
  <c r="J1790"/>
  <c r="G1823"/>
  <c r="J1844"/>
  <c r="G1830"/>
  <c r="J1830"/>
  <c r="H1828"/>
  <c r="H1823"/>
  <c r="H1809"/>
  <c r="G1809"/>
  <c r="H1808"/>
  <c r="G1808"/>
  <c r="H1807"/>
  <c r="G1807"/>
  <c r="G1801"/>
  <c r="H1801"/>
  <c r="G1793"/>
  <c r="G1790"/>
  <c r="G1792"/>
  <c r="G1794"/>
  <c r="J1792"/>
  <c r="H1793"/>
  <c r="J1787"/>
  <c r="J1786"/>
  <c r="J1785"/>
  <c r="J1784"/>
  <c r="J1782"/>
  <c r="J1778"/>
  <c r="J1777"/>
  <c r="J1776"/>
  <c r="J1775"/>
  <c r="J1774"/>
  <c r="J1773"/>
  <c r="J1771"/>
  <c r="J1769"/>
  <c r="J1768"/>
  <c r="B1783"/>
  <c r="H1783" s="1"/>
  <c r="B1781"/>
  <c r="G1781" s="1"/>
  <c r="B1780"/>
  <c r="G1780" s="1"/>
  <c r="B1779"/>
  <c r="J1779" s="1"/>
  <c r="B1772"/>
  <c r="G1772" s="1"/>
  <c r="B1770"/>
  <c r="J1770" s="1"/>
  <c r="H1787"/>
  <c r="G1787"/>
  <c r="H1786"/>
  <c r="G1786"/>
  <c r="H1785"/>
  <c r="G1785"/>
  <c r="H1784"/>
  <c r="G1784"/>
  <c r="H1782"/>
  <c r="G1782"/>
  <c r="H1778"/>
  <c r="G1778"/>
  <c r="H1777"/>
  <c r="G1777"/>
  <c r="H1776"/>
  <c r="G1776"/>
  <c r="H1775"/>
  <c r="G1775"/>
  <c r="H1774"/>
  <c r="G1774"/>
  <c r="H1773"/>
  <c r="G1773"/>
  <c r="H1771"/>
  <c r="G1771"/>
  <c r="H1769"/>
  <c r="G1769"/>
  <c r="H1768"/>
  <c r="G1768"/>
  <c r="B1761"/>
  <c r="J1761" s="1"/>
  <c r="B1760"/>
  <c r="H1760" s="1"/>
  <c r="B1759"/>
  <c r="G1759" s="1"/>
  <c r="B1751"/>
  <c r="G1751" s="1"/>
  <c r="B1749"/>
  <c r="J1749" s="1"/>
  <c r="J1765"/>
  <c r="J1764"/>
  <c r="J1763"/>
  <c r="J1762"/>
  <c r="J1760"/>
  <c r="J1758"/>
  <c r="J1757"/>
  <c r="J1756"/>
  <c r="J1755"/>
  <c r="J1754"/>
  <c r="J1753"/>
  <c r="J1752"/>
  <c r="J1750"/>
  <c r="J1748"/>
  <c r="J1747"/>
  <c r="H1765"/>
  <c r="G1765"/>
  <c r="H1764"/>
  <c r="G1764"/>
  <c r="H1763"/>
  <c r="G1763"/>
  <c r="H1762"/>
  <c r="G1762"/>
  <c r="H1758"/>
  <c r="G1758"/>
  <c r="H1757"/>
  <c r="G1757"/>
  <c r="H1756"/>
  <c r="G1756"/>
  <c r="H1755"/>
  <c r="G1755"/>
  <c r="H1754"/>
  <c r="G1754"/>
  <c r="H1753"/>
  <c r="G1753"/>
  <c r="H1752"/>
  <c r="G1752"/>
  <c r="H1750"/>
  <c r="G1750"/>
  <c r="H1749"/>
  <c r="H1748"/>
  <c r="G1748"/>
  <c r="H1747"/>
  <c r="G1747"/>
  <c r="B1740"/>
  <c r="J1740" s="1"/>
  <c r="B1739"/>
  <c r="J1739" s="1"/>
  <c r="B1738"/>
  <c r="G1738" s="1"/>
  <c r="B1731"/>
  <c r="J1731" s="1"/>
  <c r="B1729"/>
  <c r="G1729" s="1"/>
  <c r="J1744"/>
  <c r="J1743"/>
  <c r="J1742"/>
  <c r="J1741"/>
  <c r="J1737"/>
  <c r="J1736"/>
  <c r="J1735"/>
  <c r="J1734"/>
  <c r="J1733"/>
  <c r="J1732"/>
  <c r="J1730"/>
  <c r="J1729"/>
  <c r="J1728"/>
  <c r="J1727"/>
  <c r="H1744"/>
  <c r="G1744"/>
  <c r="H1743"/>
  <c r="G1743"/>
  <c r="H1742"/>
  <c r="G1742"/>
  <c r="H1741"/>
  <c r="G1741"/>
  <c r="H1737"/>
  <c r="G1737"/>
  <c r="H1736"/>
  <c r="G1736"/>
  <c r="H1735"/>
  <c r="G1735"/>
  <c r="H1734"/>
  <c r="G1734"/>
  <c r="H1733"/>
  <c r="G1733"/>
  <c r="H1732"/>
  <c r="G1732"/>
  <c r="G1731"/>
  <c r="H1730"/>
  <c r="G1730"/>
  <c r="H1728"/>
  <c r="G1728"/>
  <c r="H1727"/>
  <c r="G1727"/>
  <c r="H1724"/>
  <c r="G1724"/>
  <c r="H1723"/>
  <c r="G1723"/>
  <c r="H1722"/>
  <c r="G1722"/>
  <c r="H1721"/>
  <c r="G1721"/>
  <c r="H1717"/>
  <c r="G1717"/>
  <c r="H1716"/>
  <c r="G1716"/>
  <c r="H1715"/>
  <c r="G1715"/>
  <c r="H1714"/>
  <c r="G1714"/>
  <c r="H1713"/>
  <c r="G1713"/>
  <c r="H1712"/>
  <c r="G1712"/>
  <c r="H1711"/>
  <c r="G1711"/>
  <c r="H1709"/>
  <c r="G1709"/>
  <c r="H1707"/>
  <c r="G1707"/>
  <c r="H1706"/>
  <c r="G1706"/>
  <c r="B1720"/>
  <c r="H1720" s="1"/>
  <c r="B1719"/>
  <c r="J1719" s="1"/>
  <c r="B1718"/>
  <c r="H1718" s="1"/>
  <c r="B1710"/>
  <c r="G1710" s="1"/>
  <c r="B1708"/>
  <c r="J1708" s="1"/>
  <c r="J1724"/>
  <c r="J1723"/>
  <c r="J1722"/>
  <c r="J1721"/>
  <c r="J1717"/>
  <c r="J1716"/>
  <c r="J1715"/>
  <c r="J1714"/>
  <c r="J1713"/>
  <c r="J1712"/>
  <c r="J1711"/>
  <c r="J1709"/>
  <c r="J1707"/>
  <c r="J1706"/>
  <c r="B1688"/>
  <c r="G1688" s="1"/>
  <c r="B1690"/>
  <c r="J1690" s="1"/>
  <c r="B1699"/>
  <c r="G1699" s="1"/>
  <c r="B1698"/>
  <c r="J1698" s="1"/>
  <c r="B1697"/>
  <c r="H1697" s="1"/>
  <c r="J1703"/>
  <c r="J1702"/>
  <c r="J1701"/>
  <c r="J1700"/>
  <c r="J1696"/>
  <c r="J1695"/>
  <c r="J1694"/>
  <c r="J1693"/>
  <c r="J1692"/>
  <c r="J1691"/>
  <c r="J1689"/>
  <c r="J1687"/>
  <c r="J1686"/>
  <c r="H1703"/>
  <c r="G1703"/>
  <c r="H1702"/>
  <c r="G1702"/>
  <c r="H1701"/>
  <c r="G1701"/>
  <c r="H1700"/>
  <c r="G1700"/>
  <c r="H1696"/>
  <c r="G1696"/>
  <c r="H1695"/>
  <c r="G1695"/>
  <c r="H1694"/>
  <c r="G1694"/>
  <c r="H1693"/>
  <c r="G1693"/>
  <c r="H1692"/>
  <c r="G1692"/>
  <c r="H1691"/>
  <c r="G1691"/>
  <c r="H1689"/>
  <c r="G1689"/>
  <c r="H1687"/>
  <c r="G1687"/>
  <c r="H1686"/>
  <c r="G1686"/>
  <c r="B1676"/>
  <c r="G1676" s="1"/>
  <c r="B1679"/>
  <c r="J1679" s="1"/>
  <c r="B1677"/>
  <c r="J1677" s="1"/>
  <c r="B1675"/>
  <c r="J1675" s="1"/>
  <c r="B1668"/>
  <c r="J1668" s="1"/>
  <c r="B1665"/>
  <c r="J1665" s="1"/>
  <c r="J1683"/>
  <c r="J1682"/>
  <c r="J1681"/>
  <c r="J1680"/>
  <c r="J1678"/>
  <c r="J1674"/>
  <c r="J1673"/>
  <c r="J1672"/>
  <c r="J1671"/>
  <c r="J1670"/>
  <c r="J1669"/>
  <c r="J1667"/>
  <c r="J1666"/>
  <c r="J1664"/>
  <c r="J1663"/>
  <c r="J1662"/>
  <c r="J1661"/>
  <c r="H1683"/>
  <c r="G1683"/>
  <c r="H1682"/>
  <c r="G1682"/>
  <c r="H1681"/>
  <c r="G1681"/>
  <c r="H1680"/>
  <c r="G1680"/>
  <c r="H1678"/>
  <c r="G1678"/>
  <c r="H1674"/>
  <c r="G1674"/>
  <c r="H1673"/>
  <c r="G1673"/>
  <c r="H1672"/>
  <c r="G1672"/>
  <c r="H1671"/>
  <c r="G1671"/>
  <c r="H1670"/>
  <c r="G1670"/>
  <c r="H1669"/>
  <c r="G1669"/>
  <c r="H1667"/>
  <c r="G1667"/>
  <c r="H1666"/>
  <c r="G1666"/>
  <c r="H1664"/>
  <c r="G1664"/>
  <c r="H1663"/>
  <c r="G1663"/>
  <c r="H1662"/>
  <c r="G1662"/>
  <c r="H1661"/>
  <c r="G1661"/>
  <c r="B1654"/>
  <c r="G1654" s="1"/>
  <c r="B1648"/>
  <c r="G1648" s="1"/>
  <c r="B1645"/>
  <c r="H1645" s="1"/>
  <c r="J1658"/>
  <c r="J1657"/>
  <c r="J1656"/>
  <c r="J1655"/>
  <c r="J1653"/>
  <c r="J1652"/>
  <c r="J1651"/>
  <c r="J1650"/>
  <c r="J1649"/>
  <c r="J1647"/>
  <c r="J1646"/>
  <c r="J1644"/>
  <c r="J1643"/>
  <c r="J1642"/>
  <c r="J1641"/>
  <c r="H1658"/>
  <c r="G1658"/>
  <c r="H1657"/>
  <c r="G1657"/>
  <c r="H1656"/>
  <c r="G1656"/>
  <c r="H1655"/>
  <c r="G1655"/>
  <c r="H1653"/>
  <c r="G1653"/>
  <c r="H1652"/>
  <c r="G1652"/>
  <c r="H1651"/>
  <c r="G1651"/>
  <c r="H1650"/>
  <c r="G1650"/>
  <c r="H1649"/>
  <c r="G1649"/>
  <c r="H1647"/>
  <c r="G1647"/>
  <c r="H1646"/>
  <c r="G1646"/>
  <c r="H1644"/>
  <c r="G1644"/>
  <c r="H1643"/>
  <c r="G1643"/>
  <c r="H1642"/>
  <c r="G1642"/>
  <c r="H1641"/>
  <c r="G1641"/>
  <c r="B1634"/>
  <c r="J1634" s="1"/>
  <c r="B1633"/>
  <c r="G1633" s="1"/>
  <c r="B1632"/>
  <c r="H1632" s="1"/>
  <c r="B1625"/>
  <c r="G1625" s="1"/>
  <c r="B1622"/>
  <c r="J1622" s="1"/>
  <c r="J1638"/>
  <c r="J1637"/>
  <c r="J1636"/>
  <c r="J1635"/>
  <c r="J1631"/>
  <c r="J1630"/>
  <c r="J1629"/>
  <c r="J1628"/>
  <c r="J1627"/>
  <c r="J1626"/>
  <c r="J1624"/>
  <c r="J1623"/>
  <c r="J1621"/>
  <c r="J1620"/>
  <c r="J1619"/>
  <c r="J1618"/>
  <c r="H1638"/>
  <c r="G1638"/>
  <c r="H1637"/>
  <c r="G1637"/>
  <c r="H1636"/>
  <c r="G1636"/>
  <c r="H1635"/>
  <c r="G1635"/>
  <c r="H1631"/>
  <c r="G1631"/>
  <c r="H1630"/>
  <c r="G1630"/>
  <c r="H1629"/>
  <c r="G1629"/>
  <c r="H1628"/>
  <c r="G1628"/>
  <c r="H1627"/>
  <c r="G1627"/>
  <c r="H1626"/>
  <c r="G1626"/>
  <c r="H1624"/>
  <c r="G1624"/>
  <c r="H1623"/>
  <c r="G1623"/>
  <c r="H1621"/>
  <c r="G1621"/>
  <c r="H1620"/>
  <c r="G1620"/>
  <c r="H1619"/>
  <c r="G1619"/>
  <c r="H1618"/>
  <c r="G1618"/>
  <c r="J1615"/>
  <c r="J1614"/>
  <c r="J1613"/>
  <c r="J1609"/>
  <c r="J1607"/>
  <c r="J1606"/>
  <c r="J1605"/>
  <c r="J1604"/>
  <c r="J1603"/>
  <c r="J1602"/>
  <c r="B1612"/>
  <c r="H1612" s="1"/>
  <c r="B1611"/>
  <c r="J1611" s="1"/>
  <c r="B1610"/>
  <c r="H1610" s="1"/>
  <c r="B1608"/>
  <c r="J1608" s="1"/>
  <c r="H1615"/>
  <c r="G1615"/>
  <c r="H1614"/>
  <c r="G1614"/>
  <c r="H1613"/>
  <c r="G1613"/>
  <c r="G1610"/>
  <c r="H1609"/>
  <c r="G1609"/>
  <c r="H1607"/>
  <c r="G1607"/>
  <c r="H1606"/>
  <c r="G1606"/>
  <c r="H1605"/>
  <c r="G1605"/>
  <c r="H1604"/>
  <c r="G1604"/>
  <c r="H1603"/>
  <c r="G1603"/>
  <c r="H1602"/>
  <c r="G1602"/>
  <c r="B1595"/>
  <c r="J1595" s="1"/>
  <c r="B1594"/>
  <c r="G1594" s="1"/>
  <c r="B1593"/>
  <c r="J1593" s="1"/>
  <c r="B1590"/>
  <c r="H1590" s="1"/>
  <c r="B1583"/>
  <c r="J1583" s="1"/>
  <c r="B1580"/>
  <c r="J1580" s="1"/>
  <c r="J1599"/>
  <c r="J1598"/>
  <c r="J1597"/>
  <c r="J1596"/>
  <c r="J1592"/>
  <c r="J1591"/>
  <c r="J1589"/>
  <c r="J1588"/>
  <c r="J1587"/>
  <c r="J1586"/>
  <c r="J1585"/>
  <c r="J1584"/>
  <c r="J1582"/>
  <c r="J1581"/>
  <c r="J1579"/>
  <c r="J1578"/>
  <c r="J1577"/>
  <c r="J1576"/>
  <c r="H1599"/>
  <c r="G1599"/>
  <c r="H1598"/>
  <c r="G1598"/>
  <c r="H1597"/>
  <c r="G1597"/>
  <c r="H1596"/>
  <c r="G1596"/>
  <c r="H1595"/>
  <c r="H1592"/>
  <c r="G1592"/>
  <c r="H1591"/>
  <c r="G1591"/>
  <c r="H1589"/>
  <c r="G1589"/>
  <c r="H1588"/>
  <c r="G1588"/>
  <c r="H1587"/>
  <c r="G1587"/>
  <c r="H1586"/>
  <c r="G1586"/>
  <c r="H1585"/>
  <c r="G1585"/>
  <c r="H1584"/>
  <c r="G1584"/>
  <c r="H1582"/>
  <c r="G1582"/>
  <c r="H1581"/>
  <c r="G1581"/>
  <c r="H1579"/>
  <c r="G1579"/>
  <c r="H1578"/>
  <c r="G1578"/>
  <c r="H1577"/>
  <c r="G1577"/>
  <c r="H1576"/>
  <c r="G1576"/>
  <c r="B1569"/>
  <c r="J1569" s="1"/>
  <c r="B1568"/>
  <c r="J1568" s="1"/>
  <c r="B1567"/>
  <c r="J1567" s="1"/>
  <c r="B1564"/>
  <c r="J1564" s="1"/>
  <c r="B1557"/>
  <c r="H1557" s="1"/>
  <c r="B1554"/>
  <c r="H1554" s="1"/>
  <c r="J1573"/>
  <c r="J1572"/>
  <c r="J1571"/>
  <c r="J1570"/>
  <c r="J1566"/>
  <c r="J1565"/>
  <c r="J1563"/>
  <c r="J1562"/>
  <c r="J1561"/>
  <c r="J1560"/>
  <c r="J1559"/>
  <c r="J1558"/>
  <c r="J1556"/>
  <c r="J1555"/>
  <c r="J1553"/>
  <c r="J1552"/>
  <c r="J1551"/>
  <c r="H1573"/>
  <c r="G1573"/>
  <c r="H1572"/>
  <c r="G1572"/>
  <c r="H1571"/>
  <c r="G1571"/>
  <c r="H1570"/>
  <c r="G1570"/>
  <c r="H1566"/>
  <c r="G1566"/>
  <c r="H1565"/>
  <c r="G1565"/>
  <c r="H1563"/>
  <c r="G1563"/>
  <c r="H1562"/>
  <c r="G1562"/>
  <c r="H1561"/>
  <c r="G1561"/>
  <c r="H1560"/>
  <c r="G1560"/>
  <c r="H1559"/>
  <c r="G1559"/>
  <c r="H1558"/>
  <c r="G1558"/>
  <c r="H1556"/>
  <c r="G1556"/>
  <c r="H1555"/>
  <c r="G1555"/>
  <c r="H1553"/>
  <c r="G1553"/>
  <c r="H1552"/>
  <c r="G1552"/>
  <c r="H1551"/>
  <c r="G1551"/>
  <c r="B1544"/>
  <c r="H1544" s="1"/>
  <c r="B1543"/>
  <c r="J1543" s="1"/>
  <c r="B1542"/>
  <c r="J1542" s="1"/>
  <c r="B1534"/>
  <c r="H1534" s="1"/>
  <c r="B1531"/>
  <c r="H1531" s="1"/>
  <c r="J1548"/>
  <c r="J1547"/>
  <c r="J1546"/>
  <c r="J1545"/>
  <c r="J1541"/>
  <c r="J1540"/>
  <c r="J1539"/>
  <c r="J1538"/>
  <c r="J1537"/>
  <c r="J1536"/>
  <c r="J1535"/>
  <c r="J1533"/>
  <c r="J1532"/>
  <c r="J1530"/>
  <c r="J1529"/>
  <c r="J1528"/>
  <c r="J1527"/>
  <c r="H1548"/>
  <c r="G1548"/>
  <c r="H1547"/>
  <c r="G1547"/>
  <c r="H1546"/>
  <c r="G1546"/>
  <c r="H1545"/>
  <c r="G1545"/>
  <c r="G1542"/>
  <c r="H1541"/>
  <c r="G1541"/>
  <c r="H1540"/>
  <c r="G1540"/>
  <c r="H1539"/>
  <c r="G1539"/>
  <c r="H1538"/>
  <c r="G1538"/>
  <c r="H1537"/>
  <c r="G1537"/>
  <c r="H1536"/>
  <c r="G1536"/>
  <c r="H1535"/>
  <c r="G1535"/>
  <c r="H1533"/>
  <c r="G1533"/>
  <c r="H1532"/>
  <c r="G1532"/>
  <c r="H1530"/>
  <c r="G1530"/>
  <c r="H1529"/>
  <c r="G1529"/>
  <c r="H1528"/>
  <c r="G1528"/>
  <c r="H1527"/>
  <c r="G1527"/>
  <c r="B1520"/>
  <c r="J1520" s="1"/>
  <c r="B1519"/>
  <c r="G1519" s="1"/>
  <c r="B1518"/>
  <c r="H1518" s="1"/>
  <c r="B1510"/>
  <c r="H1510" s="1"/>
  <c r="B1507"/>
  <c r="J1507" s="1"/>
  <c r="J1524"/>
  <c r="J1523"/>
  <c r="J1522"/>
  <c r="J1521"/>
  <c r="J1519"/>
  <c r="J1518"/>
  <c r="J1517"/>
  <c r="J1516"/>
  <c r="J1515"/>
  <c r="J1514"/>
  <c r="J1513"/>
  <c r="J1512"/>
  <c r="J1511"/>
  <c r="J1509"/>
  <c r="J1508"/>
  <c r="J1506"/>
  <c r="J1505"/>
  <c r="J1504"/>
  <c r="J1503"/>
  <c r="H1524"/>
  <c r="G1524"/>
  <c r="H1523"/>
  <c r="G1523"/>
  <c r="H1522"/>
  <c r="G1522"/>
  <c r="H1521"/>
  <c r="G1521"/>
  <c r="G1520"/>
  <c r="H1519"/>
  <c r="G1518"/>
  <c r="H1517"/>
  <c r="G1517"/>
  <c r="H1516"/>
  <c r="G1516"/>
  <c r="H1515"/>
  <c r="G1515"/>
  <c r="H1514"/>
  <c r="G1514"/>
  <c r="H1513"/>
  <c r="G1513"/>
  <c r="H1512"/>
  <c r="G1512"/>
  <c r="H1511"/>
  <c r="G1511"/>
  <c r="H1509"/>
  <c r="G1509"/>
  <c r="H1508"/>
  <c r="G1508"/>
  <c r="H1506"/>
  <c r="G1506"/>
  <c r="H1505"/>
  <c r="G1505"/>
  <c r="H1504"/>
  <c r="G1504"/>
  <c r="H1503"/>
  <c r="G1503"/>
  <c r="H1500"/>
  <c r="G1500"/>
  <c r="H1499"/>
  <c r="G1499"/>
  <c r="H1498"/>
  <c r="G1498"/>
  <c r="H1497"/>
  <c r="G1497"/>
  <c r="H1496"/>
  <c r="G1496"/>
  <c r="H1495"/>
  <c r="G1495"/>
  <c r="H1494"/>
  <c r="G1494"/>
  <c r="H1493"/>
  <c r="G1493"/>
  <c r="H1491"/>
  <c r="G1491"/>
  <c r="H1490"/>
  <c r="G1490"/>
  <c r="H1488"/>
  <c r="G1488"/>
  <c r="H1487"/>
  <c r="G1487"/>
  <c r="H1486"/>
  <c r="G1486"/>
  <c r="H1485"/>
  <c r="G1485"/>
  <c r="H1482"/>
  <c r="G1482"/>
  <c r="H1478"/>
  <c r="G1478"/>
  <c r="H1477"/>
  <c r="G1477"/>
  <c r="H1475"/>
  <c r="G1475"/>
  <c r="H1474"/>
  <c r="G1474"/>
  <c r="H1473"/>
  <c r="G1473"/>
  <c r="H1472"/>
  <c r="G1472"/>
  <c r="H1471"/>
  <c r="G1471"/>
  <c r="H1470"/>
  <c r="G1470"/>
  <c r="H1469"/>
  <c r="G1469"/>
  <c r="H1468"/>
  <c r="G1468"/>
  <c r="H1466"/>
  <c r="G1466"/>
  <c r="H1465"/>
  <c r="G1465"/>
  <c r="H1463"/>
  <c r="G1463"/>
  <c r="H1462"/>
  <c r="G1462"/>
  <c r="H1461"/>
  <c r="G1461"/>
  <c r="H1460"/>
  <c r="G1460"/>
  <c r="B1492"/>
  <c r="J1492" s="1"/>
  <c r="B1489"/>
  <c r="J1489" s="1"/>
  <c r="J1500"/>
  <c r="J1499"/>
  <c r="J1498"/>
  <c r="J1497"/>
  <c r="J1496"/>
  <c r="J1495"/>
  <c r="J1494"/>
  <c r="J1493"/>
  <c r="J1491"/>
  <c r="J1490"/>
  <c r="J1488"/>
  <c r="J1487"/>
  <c r="J1486"/>
  <c r="J1485"/>
  <c r="B1481"/>
  <c r="J1481" s="1"/>
  <c r="B1480"/>
  <c r="J1480" s="1"/>
  <c r="B1479"/>
  <c r="J1479" s="1"/>
  <c r="B1476"/>
  <c r="J1476" s="1"/>
  <c r="B1467"/>
  <c r="H1467" s="1"/>
  <c r="J1482"/>
  <c r="J1478"/>
  <c r="J1477"/>
  <c r="J1475"/>
  <c r="J1474"/>
  <c r="J1473"/>
  <c r="J1472"/>
  <c r="J1471"/>
  <c r="J1470"/>
  <c r="J1469"/>
  <c r="J1468"/>
  <c r="J1466"/>
  <c r="J1465"/>
  <c r="J1463"/>
  <c r="J1462"/>
  <c r="J1461"/>
  <c r="J1460"/>
  <c r="B1464"/>
  <c r="G1464" s="1"/>
  <c r="B1453"/>
  <c r="H1453" s="1"/>
  <c r="B1452"/>
  <c r="J1452" s="1"/>
  <c r="B1451"/>
  <c r="H1451" s="1"/>
  <c r="B1444"/>
  <c r="J1444" s="1"/>
  <c r="B1441"/>
  <c r="H1441" s="1"/>
  <c r="J1457"/>
  <c r="J1456"/>
  <c r="J1455"/>
  <c r="J1454"/>
  <c r="J1450"/>
  <c r="J1449"/>
  <c r="J1448"/>
  <c r="J1447"/>
  <c r="J1446"/>
  <c r="J1445"/>
  <c r="J1443"/>
  <c r="J1442"/>
  <c r="J1440"/>
  <c r="J1439"/>
  <c r="J1438"/>
  <c r="J1437"/>
  <c r="H1457"/>
  <c r="G1457"/>
  <c r="H1456"/>
  <c r="G1456"/>
  <c r="H1455"/>
  <c r="G1455"/>
  <c r="H1454"/>
  <c r="G1454"/>
  <c r="H1450"/>
  <c r="G1450"/>
  <c r="H1449"/>
  <c r="G1449"/>
  <c r="H1448"/>
  <c r="G1448"/>
  <c r="H1447"/>
  <c r="G1447"/>
  <c r="H1446"/>
  <c r="G1446"/>
  <c r="H1445"/>
  <c r="G1445"/>
  <c r="H1443"/>
  <c r="G1443"/>
  <c r="H1442"/>
  <c r="G1442"/>
  <c r="H1440"/>
  <c r="G1440"/>
  <c r="H1439"/>
  <c r="G1439"/>
  <c r="H1438"/>
  <c r="G1438"/>
  <c r="H1437"/>
  <c r="G1437"/>
  <c r="A1527"/>
  <c r="A1437"/>
  <c r="A1503"/>
  <c r="A1661"/>
  <c r="A1747"/>
  <c r="A1618"/>
  <c r="A1485"/>
  <c r="A1686"/>
  <c r="A1576"/>
  <c r="A1641"/>
  <c r="A1602"/>
  <c r="A1727"/>
  <c r="A1790"/>
  <c r="A1460"/>
  <c r="A1551"/>
  <c r="A1706"/>
  <c r="A1768"/>
  <c r="J2319" l="1"/>
  <c r="E140" i="12" s="1"/>
  <c r="J2251" i="13"/>
  <c r="E128" i="12" s="1"/>
  <c r="J2059" i="13"/>
  <c r="E107" i="12" s="1"/>
  <c r="J2100" i="13"/>
  <c r="E114" i="12" s="1"/>
  <c r="J1467" i="13"/>
  <c r="J2180"/>
  <c r="E118" i="12" s="1"/>
  <c r="J2158" i="13"/>
  <c r="E117" i="12" s="1"/>
  <c r="J1983" i="13"/>
  <c r="E103" i="12" s="1"/>
  <c r="H1779" i="13"/>
  <c r="J2040"/>
  <c r="E106" i="12" s="1"/>
  <c r="H1738" i="13"/>
  <c r="G1677"/>
  <c r="H1729"/>
  <c r="G1770"/>
  <c r="G1668"/>
  <c r="H1770"/>
  <c r="J1907"/>
  <c r="E98" i="12" s="1"/>
  <c r="G1554" i="13"/>
  <c r="G1593"/>
  <c r="H1675"/>
  <c r="G1740"/>
  <c r="J1873"/>
  <c r="E96" i="12" s="1"/>
  <c r="H1781" i="13"/>
  <c r="J1789"/>
  <c r="E91" i="12" s="1"/>
  <c r="G1451" i="13"/>
  <c r="G1622"/>
  <c r="J1718"/>
  <c r="G1760"/>
  <c r="J1889"/>
  <c r="E97" i="12" s="1"/>
  <c r="H1710" i="13"/>
  <c r="H1676"/>
  <c r="J1676"/>
  <c r="J1660" s="1"/>
  <c r="E84" i="12" s="1"/>
  <c r="H1739" i="13"/>
  <c r="H1751"/>
  <c r="J1836"/>
  <c r="E94" i="12" s="1"/>
  <c r="H1593" i="13"/>
  <c r="H1668"/>
  <c r="G1690"/>
  <c r="H1731"/>
  <c r="H1780"/>
  <c r="G1583"/>
  <c r="H1761"/>
  <c r="J1751"/>
  <c r="G1783"/>
  <c r="J1815"/>
  <c r="E93" i="12" s="1"/>
  <c r="J1772" i="13"/>
  <c r="H1568"/>
  <c r="J1554"/>
  <c r="J1738"/>
  <c r="J1726" s="1"/>
  <c r="E87" i="12" s="1"/>
  <c r="G1761" i="13"/>
  <c r="G1645"/>
  <c r="J1710"/>
  <c r="G1749"/>
  <c r="J1780"/>
  <c r="J1451"/>
  <c r="J1557"/>
  <c r="H1583"/>
  <c r="H1625"/>
  <c r="H1677"/>
  <c r="H1740"/>
  <c r="J1781"/>
  <c r="G1564"/>
  <c r="J1632"/>
  <c r="J1648"/>
  <c r="H1688"/>
  <c r="G1697"/>
  <c r="J1688"/>
  <c r="J1697"/>
  <c r="G1739"/>
  <c r="H1772"/>
  <c r="J1645"/>
  <c r="G1698"/>
  <c r="G1719"/>
  <c r="H1759"/>
  <c r="J1759"/>
  <c r="G1779"/>
  <c r="J1783"/>
  <c r="H1634"/>
  <c r="J1654"/>
  <c r="H1665"/>
  <c r="H1699"/>
  <c r="J1699"/>
  <c r="H1719"/>
  <c r="G1708"/>
  <c r="G1718"/>
  <c r="G1720"/>
  <c r="H1564"/>
  <c r="H1654"/>
  <c r="H1679"/>
  <c r="J1720"/>
  <c r="H1708"/>
  <c r="G1569"/>
  <c r="H1633"/>
  <c r="J1625"/>
  <c r="G1665"/>
  <c r="G1675"/>
  <c r="G1679"/>
  <c r="H1690"/>
  <c r="H1698"/>
  <c r="H1476"/>
  <c r="G1543"/>
  <c r="J1610"/>
  <c r="H1480"/>
  <c r="H1543"/>
  <c r="H1580"/>
  <c r="H1648"/>
  <c r="H1492"/>
  <c r="J1441"/>
  <c r="H1464"/>
  <c r="J1544"/>
  <c r="H1569"/>
  <c r="H1594"/>
  <c r="G1611"/>
  <c r="G1634"/>
  <c r="G1567"/>
  <c r="H1611"/>
  <c r="G1632"/>
  <c r="G1444"/>
  <c r="J1453"/>
  <c r="G1480"/>
  <c r="H1489"/>
  <c r="J1531"/>
  <c r="G1557"/>
  <c r="G1580"/>
  <c r="J1594"/>
  <c r="G1612"/>
  <c r="H1622"/>
  <c r="J1633"/>
  <c r="G1467"/>
  <c r="G1479"/>
  <c r="G1481"/>
  <c r="G1489"/>
  <c r="H1507"/>
  <c r="G1531"/>
  <c r="G1544"/>
  <c r="J1534"/>
  <c r="H1567"/>
  <c r="G1608"/>
  <c r="H1479"/>
  <c r="H1481"/>
  <c r="G1534"/>
  <c r="J1590"/>
  <c r="H1608"/>
  <c r="J1612"/>
  <c r="J1464"/>
  <c r="J1484"/>
  <c r="E76" i="12" s="1"/>
  <c r="G1476" i="13"/>
  <c r="G1492"/>
  <c r="G1595"/>
  <c r="G1590"/>
  <c r="G1568"/>
  <c r="H1542"/>
  <c r="H1520"/>
  <c r="G1510"/>
  <c r="J1510"/>
  <c r="J1502" s="1"/>
  <c r="E77" i="12" s="1"/>
  <c r="G1507" i="13"/>
  <c r="G1452"/>
  <c r="H1444"/>
  <c r="H1452"/>
  <c r="G1453"/>
  <c r="G1441"/>
  <c r="B1430"/>
  <c r="G1430" s="1"/>
  <c r="B1429"/>
  <c r="H1429" s="1"/>
  <c r="B1426"/>
  <c r="J1426" s="1"/>
  <c r="C1424"/>
  <c r="B1424"/>
  <c r="J1424" s="1"/>
  <c r="J1434"/>
  <c r="J1433"/>
  <c r="J1432"/>
  <c r="J1431"/>
  <c r="J1428"/>
  <c r="J1427"/>
  <c r="J1425"/>
  <c r="J1423"/>
  <c r="J1422"/>
  <c r="H1434"/>
  <c r="G1434"/>
  <c r="H1433"/>
  <c r="G1433"/>
  <c r="H1432"/>
  <c r="G1432"/>
  <c r="H1431"/>
  <c r="G1431"/>
  <c r="H1428"/>
  <c r="G1428"/>
  <c r="H1427"/>
  <c r="G1427"/>
  <c r="H1426"/>
  <c r="H1425"/>
  <c r="G1425"/>
  <c r="H1423"/>
  <c r="G1423"/>
  <c r="H1422"/>
  <c r="G1422"/>
  <c r="B1410"/>
  <c r="H1410" s="1"/>
  <c r="C1408"/>
  <c r="B1408"/>
  <c r="G1408" s="1"/>
  <c r="J1419"/>
  <c r="J1418"/>
  <c r="J1417"/>
  <c r="J1416"/>
  <c r="J1415"/>
  <c r="J1414"/>
  <c r="J1413"/>
  <c r="J1412"/>
  <c r="J1411"/>
  <c r="J1410"/>
  <c r="J1409"/>
  <c r="J1408"/>
  <c r="J1407"/>
  <c r="J1406"/>
  <c r="H1419"/>
  <c r="G1419"/>
  <c r="H1418"/>
  <c r="G1418"/>
  <c r="H1417"/>
  <c r="G1417"/>
  <c r="H1416"/>
  <c r="G1416"/>
  <c r="H1415"/>
  <c r="G1415"/>
  <c r="H1414"/>
  <c r="G1414"/>
  <c r="H1413"/>
  <c r="G1413"/>
  <c r="H1412"/>
  <c r="G1412"/>
  <c r="H1411"/>
  <c r="G1411"/>
  <c r="H1409"/>
  <c r="G1409"/>
  <c r="H1407"/>
  <c r="G1407"/>
  <c r="H1406"/>
  <c r="G1406"/>
  <c r="B1395"/>
  <c r="G1395" s="1"/>
  <c r="C1393"/>
  <c r="B1393"/>
  <c r="J1393" s="1"/>
  <c r="J1403"/>
  <c r="J1402"/>
  <c r="J1401"/>
  <c r="J1400"/>
  <c r="J1399"/>
  <c r="J1398"/>
  <c r="J1397"/>
  <c r="J1396"/>
  <c r="J1394"/>
  <c r="J1392"/>
  <c r="J1391"/>
  <c r="H1403"/>
  <c r="G1403"/>
  <c r="H1402"/>
  <c r="G1402"/>
  <c r="H1401"/>
  <c r="G1401"/>
  <c r="H1400"/>
  <c r="G1400"/>
  <c r="H1399"/>
  <c r="G1399"/>
  <c r="H1398"/>
  <c r="G1398"/>
  <c r="H1397"/>
  <c r="G1397"/>
  <c r="H1396"/>
  <c r="G1396"/>
  <c r="H1394"/>
  <c r="G1394"/>
  <c r="H1392"/>
  <c r="G1392"/>
  <c r="H1391"/>
  <c r="G1391"/>
  <c r="B1381"/>
  <c r="J1381" s="1"/>
  <c r="C1379"/>
  <c r="B1379"/>
  <c r="H1379" s="1"/>
  <c r="J1388"/>
  <c r="J1387"/>
  <c r="J1386"/>
  <c r="J1385"/>
  <c r="J1384"/>
  <c r="J1383"/>
  <c r="J1382"/>
  <c r="J1380"/>
  <c r="H1388"/>
  <c r="G1388"/>
  <c r="H1387"/>
  <c r="G1387"/>
  <c r="H1386"/>
  <c r="G1386"/>
  <c r="H1385"/>
  <c r="G1385"/>
  <c r="H1384"/>
  <c r="G1384"/>
  <c r="H1383"/>
  <c r="G1383"/>
  <c r="H1382"/>
  <c r="G1382"/>
  <c r="H1380"/>
  <c r="G1380"/>
  <c r="B1368"/>
  <c r="J1368" s="1"/>
  <c r="C1366"/>
  <c r="B1366"/>
  <c r="J1366" s="1"/>
  <c r="J1376"/>
  <c r="J1375"/>
  <c r="J1374"/>
  <c r="J1373"/>
  <c r="J1372"/>
  <c r="J1371"/>
  <c r="J1370"/>
  <c r="J1369"/>
  <c r="J1367"/>
  <c r="J1365"/>
  <c r="J1364"/>
  <c r="H1376"/>
  <c r="G1376"/>
  <c r="H1375"/>
  <c r="G1375"/>
  <c r="H1374"/>
  <c r="G1374"/>
  <c r="H1373"/>
  <c r="G1373"/>
  <c r="H1372"/>
  <c r="G1372"/>
  <c r="H1371"/>
  <c r="G1371"/>
  <c r="H1370"/>
  <c r="G1370"/>
  <c r="H1369"/>
  <c r="G1369"/>
  <c r="H1367"/>
  <c r="G1367"/>
  <c r="H1365"/>
  <c r="G1365"/>
  <c r="H1364"/>
  <c r="G1364"/>
  <c r="B1352"/>
  <c r="H1352" s="1"/>
  <c r="C1350"/>
  <c r="B1350"/>
  <c r="H1350" s="1"/>
  <c r="J1361"/>
  <c r="J1360"/>
  <c r="J1359"/>
  <c r="J1358"/>
  <c r="J1357"/>
  <c r="J1356"/>
  <c r="J1355"/>
  <c r="J1354"/>
  <c r="J1353"/>
  <c r="J1352"/>
  <c r="J1351"/>
  <c r="J1350"/>
  <c r="J1349"/>
  <c r="J1348"/>
  <c r="H1361"/>
  <c r="G1361"/>
  <c r="H1360"/>
  <c r="G1360"/>
  <c r="H1359"/>
  <c r="G1359"/>
  <c r="H1358"/>
  <c r="G1358"/>
  <c r="H1357"/>
  <c r="G1357"/>
  <c r="H1356"/>
  <c r="G1356"/>
  <c r="H1355"/>
  <c r="G1355"/>
  <c r="H1354"/>
  <c r="G1354"/>
  <c r="H1353"/>
  <c r="G1353"/>
  <c r="H1351"/>
  <c r="G1351"/>
  <c r="H1349"/>
  <c r="G1349"/>
  <c r="H1348"/>
  <c r="G1348"/>
  <c r="C1345"/>
  <c r="B1345"/>
  <c r="J1345" s="1"/>
  <c r="C1344"/>
  <c r="B1344"/>
  <c r="G1344" s="1"/>
  <c r="C1343"/>
  <c r="B1343"/>
  <c r="J1343" s="1"/>
  <c r="C1342"/>
  <c r="B1342"/>
  <c r="J1342" s="1"/>
  <c r="C1341"/>
  <c r="B1341"/>
  <c r="J1341" s="1"/>
  <c r="C1340"/>
  <c r="B1340"/>
  <c r="G1340" s="1"/>
  <c r="C1339"/>
  <c r="B1339"/>
  <c r="J1339" s="1"/>
  <c r="C1338"/>
  <c r="B1338"/>
  <c r="G1338" s="1"/>
  <c r="C1337"/>
  <c r="B1337"/>
  <c r="J1337" s="1"/>
  <c r="C1336"/>
  <c r="B1336"/>
  <c r="G1336" s="1"/>
  <c r="C1335"/>
  <c r="B1335"/>
  <c r="J1335" s="1"/>
  <c r="C1334"/>
  <c r="B1334"/>
  <c r="J1334" s="1"/>
  <c r="C1333"/>
  <c r="B1333"/>
  <c r="J1333" s="1"/>
  <c r="B1326"/>
  <c r="G1326" s="1"/>
  <c r="B1325"/>
  <c r="G1325" s="1"/>
  <c r="B1322"/>
  <c r="G1322" s="1"/>
  <c r="B1319"/>
  <c r="G1319" s="1"/>
  <c r="J1330"/>
  <c r="J1329"/>
  <c r="J1328"/>
  <c r="J1327"/>
  <c r="J1326"/>
  <c r="J1325"/>
  <c r="J1324"/>
  <c r="J1323"/>
  <c r="J1321"/>
  <c r="J1320"/>
  <c r="J1318"/>
  <c r="J1317"/>
  <c r="J1316"/>
  <c r="J1315"/>
  <c r="H1330"/>
  <c r="G1330"/>
  <c r="H1329"/>
  <c r="G1329"/>
  <c r="H1328"/>
  <c r="G1328"/>
  <c r="H1327"/>
  <c r="G1327"/>
  <c r="H1324"/>
  <c r="G1324"/>
  <c r="H1323"/>
  <c r="G1323"/>
  <c r="H1322"/>
  <c r="H1321"/>
  <c r="G1321"/>
  <c r="H1320"/>
  <c r="G1320"/>
  <c r="H1318"/>
  <c r="G1318"/>
  <c r="H1317"/>
  <c r="G1317"/>
  <c r="H1316"/>
  <c r="G1316"/>
  <c r="H1315"/>
  <c r="G1315"/>
  <c r="B1303"/>
  <c r="J1303" s="1"/>
  <c r="B1300"/>
  <c r="G1300" s="1"/>
  <c r="J1312"/>
  <c r="J1311"/>
  <c r="J1310"/>
  <c r="J1309"/>
  <c r="J1308"/>
  <c r="J1307"/>
  <c r="J1306"/>
  <c r="J1305"/>
  <c r="J1304"/>
  <c r="J1302"/>
  <c r="J1301"/>
  <c r="J1300"/>
  <c r="J1299"/>
  <c r="J1298"/>
  <c r="J1297"/>
  <c r="J1296"/>
  <c r="H1312"/>
  <c r="G1312"/>
  <c r="H1311"/>
  <c r="G1311"/>
  <c r="H1310"/>
  <c r="G1310"/>
  <c r="H1309"/>
  <c r="G1309"/>
  <c r="H1308"/>
  <c r="G1308"/>
  <c r="H1307"/>
  <c r="G1307"/>
  <c r="H1306"/>
  <c r="G1306"/>
  <c r="H1305"/>
  <c r="G1305"/>
  <c r="H1304"/>
  <c r="G1304"/>
  <c r="G1303"/>
  <c r="H1302"/>
  <c r="G1302"/>
  <c r="H1301"/>
  <c r="G1301"/>
  <c r="H1300"/>
  <c r="H1299"/>
  <c r="G1299"/>
  <c r="H1298"/>
  <c r="G1298"/>
  <c r="H1297"/>
  <c r="G1297"/>
  <c r="H1296"/>
  <c r="G1296"/>
  <c r="C1293"/>
  <c r="B1293"/>
  <c r="H1293" s="1"/>
  <c r="B1285"/>
  <c r="J1285" s="1"/>
  <c r="B1282"/>
  <c r="G1282" s="1"/>
  <c r="J1292"/>
  <c r="J1291"/>
  <c r="J1290"/>
  <c r="J1289"/>
  <c r="J1288"/>
  <c r="J1287"/>
  <c r="J1286"/>
  <c r="J1284"/>
  <c r="J1283"/>
  <c r="J1281"/>
  <c r="J1280"/>
  <c r="J1279"/>
  <c r="J1278"/>
  <c r="H1292"/>
  <c r="G1292"/>
  <c r="H1291"/>
  <c r="G1291"/>
  <c r="H1290"/>
  <c r="G1290"/>
  <c r="H1289"/>
  <c r="G1289"/>
  <c r="H1288"/>
  <c r="G1288"/>
  <c r="H1287"/>
  <c r="G1287"/>
  <c r="H1286"/>
  <c r="G1286"/>
  <c r="H1284"/>
  <c r="G1284"/>
  <c r="H1283"/>
  <c r="G1283"/>
  <c r="H1281"/>
  <c r="G1281"/>
  <c r="H1280"/>
  <c r="G1280"/>
  <c r="H1279"/>
  <c r="G1279"/>
  <c r="H1278"/>
  <c r="G1278"/>
  <c r="B1272"/>
  <c r="H1272" s="1"/>
  <c r="B1271"/>
  <c r="G1271" s="1"/>
  <c r="B1270"/>
  <c r="J1270" s="1"/>
  <c r="J1275"/>
  <c r="J1274"/>
  <c r="J1273"/>
  <c r="J1269"/>
  <c r="J1268"/>
  <c r="J1267"/>
  <c r="J1266"/>
  <c r="J1265"/>
  <c r="J1264"/>
  <c r="H1275"/>
  <c r="G1275"/>
  <c r="H1274"/>
  <c r="G1274"/>
  <c r="H1273"/>
  <c r="G1273"/>
  <c r="H1269"/>
  <c r="G1269"/>
  <c r="H1268"/>
  <c r="G1268"/>
  <c r="H1267"/>
  <c r="G1267"/>
  <c r="H1266"/>
  <c r="G1266"/>
  <c r="H1265"/>
  <c r="G1265"/>
  <c r="H1264"/>
  <c r="G1264"/>
  <c r="B1252"/>
  <c r="H1252" s="1"/>
  <c r="B1249"/>
  <c r="J1249" s="1"/>
  <c r="J1261"/>
  <c r="J1260"/>
  <c r="J1259"/>
  <c r="J1258"/>
  <c r="J1257"/>
  <c r="J1256"/>
  <c r="J1255"/>
  <c r="J1254"/>
  <c r="J1253"/>
  <c r="J1251"/>
  <c r="J1250"/>
  <c r="J1248"/>
  <c r="J1247"/>
  <c r="J1246"/>
  <c r="J1245"/>
  <c r="H1261"/>
  <c r="G1261"/>
  <c r="H1260"/>
  <c r="G1260"/>
  <c r="H1259"/>
  <c r="G1259"/>
  <c r="H1258"/>
  <c r="G1258"/>
  <c r="H1257"/>
  <c r="G1257"/>
  <c r="H1256"/>
  <c r="G1256"/>
  <c r="H1255"/>
  <c r="G1255"/>
  <c r="H1254"/>
  <c r="G1254"/>
  <c r="H1253"/>
  <c r="G1253"/>
  <c r="H1251"/>
  <c r="G1251"/>
  <c r="H1250"/>
  <c r="G1250"/>
  <c r="H1248"/>
  <c r="G1248"/>
  <c r="H1247"/>
  <c r="G1247"/>
  <c r="H1246"/>
  <c r="G1246"/>
  <c r="H1245"/>
  <c r="G1245"/>
  <c r="B1233"/>
  <c r="G1233" s="1"/>
  <c r="B1230"/>
  <c r="G1230" s="1"/>
  <c r="H1242"/>
  <c r="G1242"/>
  <c r="H1241"/>
  <c r="G1241"/>
  <c r="H1240"/>
  <c r="G1240"/>
  <c r="H1239"/>
  <c r="G1239"/>
  <c r="H1238"/>
  <c r="G1238"/>
  <c r="H1237"/>
  <c r="G1237"/>
  <c r="H1236"/>
  <c r="G1236"/>
  <c r="H1235"/>
  <c r="G1235"/>
  <c r="H1234"/>
  <c r="G1234"/>
  <c r="H1233"/>
  <c r="H1232"/>
  <c r="G1232"/>
  <c r="H1231"/>
  <c r="G1231"/>
  <c r="H1230"/>
  <c r="H1229"/>
  <c r="G1229"/>
  <c r="H1228"/>
  <c r="G1228"/>
  <c r="H1227"/>
  <c r="G1227"/>
  <c r="H1226"/>
  <c r="G1226"/>
  <c r="J1242"/>
  <c r="J1241"/>
  <c r="J1240"/>
  <c r="J1239"/>
  <c r="J1238"/>
  <c r="J1237"/>
  <c r="J1236"/>
  <c r="J1235"/>
  <c r="J1234"/>
  <c r="J1232"/>
  <c r="J1231"/>
  <c r="J1229"/>
  <c r="J1228"/>
  <c r="J1227"/>
  <c r="J1226"/>
  <c r="B1215"/>
  <c r="J1215" s="1"/>
  <c r="B1212"/>
  <c r="J1212" s="1"/>
  <c r="J1223"/>
  <c r="J1222"/>
  <c r="J1221"/>
  <c r="J1220"/>
  <c r="J1219"/>
  <c r="J1218"/>
  <c r="J1217"/>
  <c r="J1216"/>
  <c r="J1214"/>
  <c r="J1213"/>
  <c r="J1211"/>
  <c r="J1210"/>
  <c r="J1209"/>
  <c r="J1208"/>
  <c r="H1223"/>
  <c r="G1223"/>
  <c r="H1222"/>
  <c r="G1222"/>
  <c r="H1221"/>
  <c r="G1221"/>
  <c r="H1220"/>
  <c r="G1220"/>
  <c r="H1219"/>
  <c r="G1219"/>
  <c r="H1218"/>
  <c r="G1218"/>
  <c r="H1217"/>
  <c r="G1217"/>
  <c r="H1216"/>
  <c r="G1216"/>
  <c r="H1214"/>
  <c r="G1214"/>
  <c r="H1213"/>
  <c r="G1213"/>
  <c r="H1211"/>
  <c r="G1211"/>
  <c r="H1210"/>
  <c r="G1210"/>
  <c r="H1209"/>
  <c r="G1209"/>
  <c r="H1208"/>
  <c r="G1208"/>
  <c r="B1184"/>
  <c r="J1184" s="1"/>
  <c r="B1203"/>
  <c r="J1203" s="1"/>
  <c r="J1205"/>
  <c r="J1204"/>
  <c r="J1202"/>
  <c r="J1201"/>
  <c r="J1200"/>
  <c r="J1199"/>
  <c r="J1198"/>
  <c r="J1197"/>
  <c r="J1196"/>
  <c r="J1195"/>
  <c r="J1194"/>
  <c r="J1193"/>
  <c r="J1192"/>
  <c r="J1191"/>
  <c r="J1190"/>
  <c r="J1189"/>
  <c r="J1188"/>
  <c r="J1187"/>
  <c r="J1186"/>
  <c r="J1185"/>
  <c r="J1183"/>
  <c r="J1182"/>
  <c r="J1181"/>
  <c r="J1180"/>
  <c r="J1179"/>
  <c r="J1178"/>
  <c r="J1177"/>
  <c r="J1176"/>
  <c r="J1175"/>
  <c r="H1205"/>
  <c r="G1205"/>
  <c r="H1204"/>
  <c r="G1204"/>
  <c r="H1202"/>
  <c r="G1202"/>
  <c r="H1201"/>
  <c r="G1201"/>
  <c r="H1200"/>
  <c r="G1200"/>
  <c r="H1199"/>
  <c r="G1199"/>
  <c r="H1198"/>
  <c r="G1198"/>
  <c r="H1197"/>
  <c r="G1197"/>
  <c r="H1196"/>
  <c r="G1196"/>
  <c r="H1195"/>
  <c r="G1195"/>
  <c r="H1194"/>
  <c r="G1194"/>
  <c r="H1193"/>
  <c r="G1193"/>
  <c r="H1192"/>
  <c r="G1192"/>
  <c r="H1191"/>
  <c r="G1191"/>
  <c r="H1190"/>
  <c r="G1190"/>
  <c r="H1189"/>
  <c r="G1189"/>
  <c r="H1188"/>
  <c r="G1188"/>
  <c r="H1187"/>
  <c r="G1187"/>
  <c r="H1186"/>
  <c r="G1186"/>
  <c r="H1185"/>
  <c r="G1185"/>
  <c r="H1183"/>
  <c r="G1183"/>
  <c r="H1182"/>
  <c r="G1182"/>
  <c r="H1181"/>
  <c r="G1181"/>
  <c r="H1180"/>
  <c r="G1180"/>
  <c r="H1179"/>
  <c r="G1179"/>
  <c r="H1178"/>
  <c r="G1178"/>
  <c r="H1177"/>
  <c r="G1177"/>
  <c r="H1176"/>
  <c r="G1176"/>
  <c r="H1175"/>
  <c r="G1175"/>
  <c r="B1147"/>
  <c r="J1147" s="1"/>
  <c r="B1170"/>
  <c r="H1170" s="1"/>
  <c r="J1172"/>
  <c r="J1171"/>
  <c r="J1169"/>
  <c r="J1168"/>
  <c r="J1167"/>
  <c r="J1166"/>
  <c r="J1165"/>
  <c r="J1164"/>
  <c r="J1163"/>
  <c r="J1162"/>
  <c r="J1161"/>
  <c r="J1160"/>
  <c r="J1159"/>
  <c r="J1158"/>
  <c r="J1157"/>
  <c r="J1156"/>
  <c r="J1155"/>
  <c r="J1154"/>
  <c r="J1153"/>
  <c r="J1152"/>
  <c r="J1151"/>
  <c r="J1150"/>
  <c r="J1149"/>
  <c r="J1148"/>
  <c r="J1146"/>
  <c r="J1145"/>
  <c r="J1144"/>
  <c r="J1143"/>
  <c r="J1142"/>
  <c r="H1172"/>
  <c r="G1172"/>
  <c r="H1171"/>
  <c r="G1171"/>
  <c r="H1169"/>
  <c r="G1169"/>
  <c r="H1168"/>
  <c r="G1168"/>
  <c r="H1167"/>
  <c r="G1167"/>
  <c r="H1166"/>
  <c r="G1166"/>
  <c r="H1165"/>
  <c r="G1165"/>
  <c r="H1164"/>
  <c r="G1164"/>
  <c r="H1163"/>
  <c r="G1163"/>
  <c r="H1162"/>
  <c r="G1162"/>
  <c r="H1161"/>
  <c r="G1161"/>
  <c r="H1160"/>
  <c r="G1160"/>
  <c r="H1159"/>
  <c r="G1159"/>
  <c r="H1158"/>
  <c r="G1158"/>
  <c r="H1157"/>
  <c r="G1157"/>
  <c r="H1156"/>
  <c r="G1156"/>
  <c r="H1155"/>
  <c r="G1155"/>
  <c r="H1154"/>
  <c r="G1154"/>
  <c r="H1153"/>
  <c r="G1153"/>
  <c r="H1152"/>
  <c r="G1152"/>
  <c r="H1151"/>
  <c r="G1151"/>
  <c r="H1150"/>
  <c r="G1150"/>
  <c r="H1149"/>
  <c r="G1149"/>
  <c r="H1148"/>
  <c r="G1148"/>
  <c r="H1146"/>
  <c r="G1146"/>
  <c r="H1145"/>
  <c r="G1145"/>
  <c r="H1144"/>
  <c r="G1144"/>
  <c r="H1143"/>
  <c r="G1143"/>
  <c r="H1142"/>
  <c r="G1142"/>
  <c r="B1095"/>
  <c r="J1095" s="1"/>
  <c r="B1118"/>
  <c r="G1118" s="1"/>
  <c r="B1137"/>
  <c r="H1137" s="1"/>
  <c r="J1139"/>
  <c r="J1138"/>
  <c r="J1136"/>
  <c r="J1135"/>
  <c r="J1134"/>
  <c r="J1133"/>
  <c r="J1132"/>
  <c r="J1131"/>
  <c r="J1130"/>
  <c r="J1129"/>
  <c r="J1128"/>
  <c r="J1127"/>
  <c r="J1126"/>
  <c r="J1125"/>
  <c r="J1124"/>
  <c r="J1123"/>
  <c r="J1122"/>
  <c r="J1121"/>
  <c r="J1120"/>
  <c r="J1119"/>
  <c r="J1117"/>
  <c r="J1116"/>
  <c r="J1115"/>
  <c r="J1114"/>
  <c r="J1113"/>
  <c r="J1112"/>
  <c r="J1111"/>
  <c r="J1110"/>
  <c r="J1109"/>
  <c r="J1108"/>
  <c r="J1107"/>
  <c r="J1106"/>
  <c r="J1105"/>
  <c r="J1104"/>
  <c r="J1103"/>
  <c r="J1102"/>
  <c r="J1101"/>
  <c r="J1100"/>
  <c r="J1099"/>
  <c r="J1098"/>
  <c r="J1097"/>
  <c r="J1096"/>
  <c r="J1094"/>
  <c r="J1093"/>
  <c r="J1092"/>
  <c r="J1091"/>
  <c r="J1090"/>
  <c r="J1089"/>
  <c r="J1088"/>
  <c r="J1087"/>
  <c r="H1139"/>
  <c r="G1139"/>
  <c r="H1138"/>
  <c r="G1138"/>
  <c r="H1136"/>
  <c r="G1136"/>
  <c r="H1135"/>
  <c r="G1135"/>
  <c r="H1134"/>
  <c r="G1134"/>
  <c r="H1133"/>
  <c r="G1133"/>
  <c r="H1132"/>
  <c r="G1132"/>
  <c r="H1131"/>
  <c r="G1131"/>
  <c r="H1130"/>
  <c r="G1130"/>
  <c r="H1129"/>
  <c r="G1129"/>
  <c r="H1128"/>
  <c r="G1128"/>
  <c r="H1127"/>
  <c r="G1127"/>
  <c r="H1126"/>
  <c r="G1126"/>
  <c r="H1125"/>
  <c r="G1125"/>
  <c r="H1124"/>
  <c r="G1124"/>
  <c r="H1123"/>
  <c r="G1123"/>
  <c r="H1122"/>
  <c r="G1122"/>
  <c r="H1121"/>
  <c r="G1121"/>
  <c r="H1120"/>
  <c r="G1120"/>
  <c r="H1119"/>
  <c r="G1119"/>
  <c r="H1117"/>
  <c r="G1117"/>
  <c r="H1116"/>
  <c r="G1116"/>
  <c r="H1115"/>
  <c r="G1115"/>
  <c r="H1114"/>
  <c r="G1114"/>
  <c r="H1113"/>
  <c r="G1113"/>
  <c r="H1112"/>
  <c r="G1112"/>
  <c r="H1111"/>
  <c r="G1111"/>
  <c r="H1110"/>
  <c r="G1110"/>
  <c r="H1109"/>
  <c r="G1109"/>
  <c r="H1108"/>
  <c r="G1108"/>
  <c r="H1107"/>
  <c r="G1107"/>
  <c r="H1106"/>
  <c r="G1106"/>
  <c r="H1105"/>
  <c r="G1105"/>
  <c r="H1104"/>
  <c r="G1104"/>
  <c r="H1103"/>
  <c r="G1103"/>
  <c r="H1102"/>
  <c r="G1102"/>
  <c r="H1101"/>
  <c r="G1101"/>
  <c r="H1100"/>
  <c r="G1100"/>
  <c r="H1099"/>
  <c r="G1099"/>
  <c r="H1098"/>
  <c r="G1098"/>
  <c r="H1097"/>
  <c r="G1097"/>
  <c r="H1096"/>
  <c r="G1096"/>
  <c r="H1094"/>
  <c r="G1094"/>
  <c r="H1093"/>
  <c r="G1093"/>
  <c r="H1092"/>
  <c r="G1092"/>
  <c r="H1091"/>
  <c r="G1091"/>
  <c r="H1090"/>
  <c r="G1090"/>
  <c r="H1089"/>
  <c r="G1089"/>
  <c r="H1088"/>
  <c r="G1088"/>
  <c r="H1087"/>
  <c r="G1087"/>
  <c r="B1081"/>
  <c r="G1081" s="1"/>
  <c r="B1079"/>
  <c r="H1079" s="1"/>
  <c r="B1078"/>
  <c r="J1078" s="1"/>
  <c r="J1084"/>
  <c r="J1083"/>
  <c r="J1082"/>
  <c r="J1080"/>
  <c r="J1077"/>
  <c r="J1076"/>
  <c r="J1075"/>
  <c r="J1074"/>
  <c r="H1084"/>
  <c r="G1084"/>
  <c r="H1083"/>
  <c r="G1083"/>
  <c r="H1082"/>
  <c r="G1082"/>
  <c r="H1080"/>
  <c r="G1080"/>
  <c r="H1077"/>
  <c r="G1077"/>
  <c r="H1076"/>
  <c r="G1076"/>
  <c r="H1075"/>
  <c r="G1075"/>
  <c r="H1074"/>
  <c r="G1074"/>
  <c r="B1051"/>
  <c r="G1051" s="1"/>
  <c r="B1048"/>
  <c r="J1048" s="1"/>
  <c r="B1068"/>
  <c r="H1068" s="1"/>
  <c r="J1071"/>
  <c r="J1070"/>
  <c r="J1069"/>
  <c r="J1068"/>
  <c r="J1067"/>
  <c r="J1066"/>
  <c r="J1065"/>
  <c r="J1064"/>
  <c r="J1063"/>
  <c r="J1062"/>
  <c r="J1061"/>
  <c r="J1060"/>
  <c r="J1059"/>
  <c r="J1058"/>
  <c r="J1057"/>
  <c r="J1056"/>
  <c r="J1055"/>
  <c r="J1054"/>
  <c r="J1053"/>
  <c r="J1052"/>
  <c r="J1050"/>
  <c r="J1049"/>
  <c r="J1047"/>
  <c r="J1046"/>
  <c r="J1045"/>
  <c r="J1044"/>
  <c r="J1043"/>
  <c r="J1042"/>
  <c r="J1041"/>
  <c r="H1071"/>
  <c r="G1071"/>
  <c r="H1070"/>
  <c r="G1070"/>
  <c r="H1069"/>
  <c r="G1069"/>
  <c r="G1068"/>
  <c r="H1067"/>
  <c r="G1067"/>
  <c r="H1066"/>
  <c r="G1066"/>
  <c r="H1065"/>
  <c r="G1065"/>
  <c r="H1064"/>
  <c r="G1064"/>
  <c r="H1063"/>
  <c r="G1063"/>
  <c r="H1062"/>
  <c r="G1062"/>
  <c r="H1061"/>
  <c r="G1061"/>
  <c r="H1060"/>
  <c r="G1060"/>
  <c r="H1059"/>
  <c r="G1059"/>
  <c r="H1058"/>
  <c r="G1058"/>
  <c r="H1057"/>
  <c r="G1057"/>
  <c r="H1056"/>
  <c r="G1056"/>
  <c r="H1055"/>
  <c r="G1055"/>
  <c r="H1054"/>
  <c r="G1054"/>
  <c r="H1053"/>
  <c r="G1053"/>
  <c r="H1052"/>
  <c r="G1052"/>
  <c r="H1050"/>
  <c r="G1050"/>
  <c r="H1049"/>
  <c r="G1049"/>
  <c r="H1047"/>
  <c r="G1047"/>
  <c r="H1046"/>
  <c r="G1046"/>
  <c r="H1045"/>
  <c r="G1045"/>
  <c r="H1044"/>
  <c r="G1044"/>
  <c r="H1043"/>
  <c r="G1043"/>
  <c r="H1042"/>
  <c r="G1042"/>
  <c r="H1041"/>
  <c r="G1041"/>
  <c r="B1012"/>
  <c r="J1012" s="1"/>
  <c r="B1009"/>
  <c r="H1009" s="1"/>
  <c r="B1035"/>
  <c r="G1035" s="1"/>
  <c r="J1038"/>
  <c r="J1037"/>
  <c r="J1036"/>
  <c r="J1035"/>
  <c r="J1034"/>
  <c r="J1033"/>
  <c r="J1032"/>
  <c r="J1031"/>
  <c r="J1030"/>
  <c r="J1029"/>
  <c r="J1028"/>
  <c r="J1027"/>
  <c r="J1026"/>
  <c r="J1025"/>
  <c r="J1024"/>
  <c r="J1023"/>
  <c r="J1022"/>
  <c r="J1021"/>
  <c r="J1020"/>
  <c r="J1019"/>
  <c r="J1018"/>
  <c r="J1017"/>
  <c r="J1016"/>
  <c r="J1015"/>
  <c r="J1014"/>
  <c r="J1013"/>
  <c r="J1011"/>
  <c r="J1010"/>
  <c r="J1008"/>
  <c r="J1007"/>
  <c r="J1006"/>
  <c r="J1005"/>
  <c r="J1004"/>
  <c r="J1003"/>
  <c r="J1002"/>
  <c r="H1038"/>
  <c r="G1038"/>
  <c r="H1037"/>
  <c r="G1037"/>
  <c r="H1036"/>
  <c r="G1036"/>
  <c r="H1034"/>
  <c r="G1034"/>
  <c r="H1033"/>
  <c r="G1033"/>
  <c r="H1032"/>
  <c r="G1032"/>
  <c r="H1031"/>
  <c r="G1031"/>
  <c r="H1030"/>
  <c r="G1030"/>
  <c r="H1029"/>
  <c r="G1029"/>
  <c r="H1028"/>
  <c r="G1028"/>
  <c r="H1027"/>
  <c r="G1027"/>
  <c r="H1026"/>
  <c r="G1026"/>
  <c r="H1025"/>
  <c r="G1025"/>
  <c r="H1024"/>
  <c r="G1024"/>
  <c r="H1023"/>
  <c r="G1023"/>
  <c r="H1022"/>
  <c r="G1022"/>
  <c r="H1021"/>
  <c r="G1021"/>
  <c r="H1020"/>
  <c r="G1020"/>
  <c r="H1019"/>
  <c r="G1019"/>
  <c r="H1018"/>
  <c r="G1018"/>
  <c r="H1017"/>
  <c r="G1017"/>
  <c r="H1016"/>
  <c r="G1016"/>
  <c r="H1015"/>
  <c r="G1015"/>
  <c r="H1014"/>
  <c r="G1014"/>
  <c r="H1013"/>
  <c r="G1013"/>
  <c r="H1011"/>
  <c r="G1011"/>
  <c r="H1010"/>
  <c r="G1010"/>
  <c r="H1008"/>
  <c r="G1008"/>
  <c r="H1007"/>
  <c r="G1007"/>
  <c r="H1006"/>
  <c r="G1006"/>
  <c r="H1005"/>
  <c r="G1005"/>
  <c r="H1004"/>
  <c r="G1004"/>
  <c r="H1003"/>
  <c r="G1003"/>
  <c r="H1002"/>
  <c r="G1002"/>
  <c r="B996"/>
  <c r="J996" s="1"/>
  <c r="B979"/>
  <c r="J979" s="1"/>
  <c r="B955"/>
  <c r="J955" s="1"/>
  <c r="J999"/>
  <c r="J998"/>
  <c r="J997"/>
  <c r="J995"/>
  <c r="J994"/>
  <c r="J993"/>
  <c r="J992"/>
  <c r="J991"/>
  <c r="J990"/>
  <c r="J989"/>
  <c r="J988"/>
  <c r="J987"/>
  <c r="J986"/>
  <c r="J985"/>
  <c r="J984"/>
  <c r="J983"/>
  <c r="J982"/>
  <c r="J981"/>
  <c r="J980"/>
  <c r="J978"/>
  <c r="J977"/>
  <c r="J976"/>
  <c r="J975"/>
  <c r="J974"/>
  <c r="J973"/>
  <c r="J972"/>
  <c r="J971"/>
  <c r="J970"/>
  <c r="J969"/>
  <c r="J968"/>
  <c r="J967"/>
  <c r="J966"/>
  <c r="J965"/>
  <c r="J964"/>
  <c r="J963"/>
  <c r="J962"/>
  <c r="J961"/>
  <c r="J960"/>
  <c r="J959"/>
  <c r="J958"/>
  <c r="J957"/>
  <c r="J956"/>
  <c r="J954"/>
  <c r="J953"/>
  <c r="J952"/>
  <c r="J950"/>
  <c r="J949"/>
  <c r="J948"/>
  <c r="J947"/>
  <c r="J946"/>
  <c r="B951"/>
  <c r="G951" s="1"/>
  <c r="H999"/>
  <c r="G999"/>
  <c r="H998"/>
  <c r="G998"/>
  <c r="H997"/>
  <c r="G997"/>
  <c r="H995"/>
  <c r="G995"/>
  <c r="H994"/>
  <c r="G994"/>
  <c r="H993"/>
  <c r="G993"/>
  <c r="H992"/>
  <c r="G992"/>
  <c r="H991"/>
  <c r="G991"/>
  <c r="H990"/>
  <c r="G990"/>
  <c r="H989"/>
  <c r="G989"/>
  <c r="H988"/>
  <c r="G988"/>
  <c r="H987"/>
  <c r="G987"/>
  <c r="H986"/>
  <c r="G986"/>
  <c r="H985"/>
  <c r="G985"/>
  <c r="H984"/>
  <c r="G984"/>
  <c r="H983"/>
  <c r="G983"/>
  <c r="H982"/>
  <c r="G982"/>
  <c r="H981"/>
  <c r="G981"/>
  <c r="H980"/>
  <c r="G980"/>
  <c r="H978"/>
  <c r="G978"/>
  <c r="H977"/>
  <c r="G977"/>
  <c r="H976"/>
  <c r="G976"/>
  <c r="H975"/>
  <c r="G975"/>
  <c r="H974"/>
  <c r="G974"/>
  <c r="H973"/>
  <c r="G973"/>
  <c r="H972"/>
  <c r="G972"/>
  <c r="H971"/>
  <c r="G971"/>
  <c r="H970"/>
  <c r="G970"/>
  <c r="H969"/>
  <c r="G969"/>
  <c r="H968"/>
  <c r="G968"/>
  <c r="H967"/>
  <c r="G967"/>
  <c r="H966"/>
  <c r="G966"/>
  <c r="H965"/>
  <c r="G965"/>
  <c r="H964"/>
  <c r="G964"/>
  <c r="H963"/>
  <c r="G963"/>
  <c r="H962"/>
  <c r="G962"/>
  <c r="H961"/>
  <c r="G961"/>
  <c r="H960"/>
  <c r="G960"/>
  <c r="H959"/>
  <c r="G959"/>
  <c r="H958"/>
  <c r="G958"/>
  <c r="H957"/>
  <c r="G957"/>
  <c r="H956"/>
  <c r="G956"/>
  <c r="H954"/>
  <c r="G954"/>
  <c r="H953"/>
  <c r="G953"/>
  <c r="H952"/>
  <c r="G952"/>
  <c r="H950"/>
  <c r="G950"/>
  <c r="H949"/>
  <c r="G949"/>
  <c r="H948"/>
  <c r="G948"/>
  <c r="H947"/>
  <c r="G947"/>
  <c r="H946"/>
  <c r="G946"/>
  <c r="B940"/>
  <c r="J940" s="1"/>
  <c r="B939"/>
  <c r="J939" s="1"/>
  <c r="J943"/>
  <c r="J942"/>
  <c r="J941"/>
  <c r="J938"/>
  <c r="J937"/>
  <c r="J936"/>
  <c r="J935"/>
  <c r="J934"/>
  <c r="J933"/>
  <c r="J932"/>
  <c r="J931"/>
  <c r="J930"/>
  <c r="J929"/>
  <c r="J928"/>
  <c r="H943"/>
  <c r="G943"/>
  <c r="H942"/>
  <c r="G942"/>
  <c r="H941"/>
  <c r="G941"/>
  <c r="H938"/>
  <c r="G938"/>
  <c r="H937"/>
  <c r="G937"/>
  <c r="H936"/>
  <c r="G936"/>
  <c r="H935"/>
  <c r="G935"/>
  <c r="H934"/>
  <c r="G934"/>
  <c r="H933"/>
  <c r="G933"/>
  <c r="H932"/>
  <c r="G932"/>
  <c r="H931"/>
  <c r="G931"/>
  <c r="H930"/>
  <c r="G930"/>
  <c r="H929"/>
  <c r="G929"/>
  <c r="H928"/>
  <c r="G928"/>
  <c r="B921"/>
  <c r="J921" s="1"/>
  <c r="B922"/>
  <c r="G922" s="1"/>
  <c r="B920"/>
  <c r="G920" s="1"/>
  <c r="J925"/>
  <c r="J924"/>
  <c r="J923"/>
  <c r="J920"/>
  <c r="J919"/>
  <c r="J918"/>
  <c r="J917"/>
  <c r="J916"/>
  <c r="J915"/>
  <c r="J914"/>
  <c r="J913"/>
  <c r="J912"/>
  <c r="J911"/>
  <c r="J910"/>
  <c r="J909"/>
  <c r="H925"/>
  <c r="G925"/>
  <c r="H924"/>
  <c r="G924"/>
  <c r="H923"/>
  <c r="G923"/>
  <c r="G921"/>
  <c r="H919"/>
  <c r="G919"/>
  <c r="H918"/>
  <c r="G918"/>
  <c r="H917"/>
  <c r="G917"/>
  <c r="H916"/>
  <c r="G916"/>
  <c r="H915"/>
  <c r="G915"/>
  <c r="H914"/>
  <c r="G914"/>
  <c r="H913"/>
  <c r="G913"/>
  <c r="H912"/>
  <c r="G912"/>
  <c r="H911"/>
  <c r="G911"/>
  <c r="H910"/>
  <c r="G910"/>
  <c r="H909"/>
  <c r="G909"/>
  <c r="B902"/>
  <c r="J902" s="1"/>
  <c r="B903"/>
  <c r="H903" s="1"/>
  <c r="J906"/>
  <c r="J905"/>
  <c r="J904"/>
  <c r="J903"/>
  <c r="J901"/>
  <c r="J900"/>
  <c r="J899"/>
  <c r="J898"/>
  <c r="J897"/>
  <c r="J896"/>
  <c r="J895"/>
  <c r="J894"/>
  <c r="J893"/>
  <c r="J892"/>
  <c r="J891"/>
  <c r="J890"/>
  <c r="H906"/>
  <c r="G906"/>
  <c r="H905"/>
  <c r="G905"/>
  <c r="H904"/>
  <c r="G904"/>
  <c r="H901"/>
  <c r="G901"/>
  <c r="H900"/>
  <c r="G900"/>
  <c r="H899"/>
  <c r="G899"/>
  <c r="H898"/>
  <c r="G898"/>
  <c r="H897"/>
  <c r="G897"/>
  <c r="H896"/>
  <c r="G896"/>
  <c r="H895"/>
  <c r="G895"/>
  <c r="H894"/>
  <c r="G894"/>
  <c r="H893"/>
  <c r="G893"/>
  <c r="H892"/>
  <c r="G892"/>
  <c r="H891"/>
  <c r="G891"/>
  <c r="H890"/>
  <c r="G890"/>
  <c r="B884"/>
  <c r="J884" s="1"/>
  <c r="B883"/>
  <c r="J883" s="1"/>
  <c r="B878"/>
  <c r="G878" s="1"/>
  <c r="B874"/>
  <c r="J874" s="1"/>
  <c r="J887"/>
  <c r="J886"/>
  <c r="J885"/>
  <c r="J882"/>
  <c r="J881"/>
  <c r="J880"/>
  <c r="J879"/>
  <c r="J877"/>
  <c r="J876"/>
  <c r="J875"/>
  <c r="J873"/>
  <c r="J872"/>
  <c r="J871"/>
  <c r="H887"/>
  <c r="G887"/>
  <c r="H886"/>
  <c r="G886"/>
  <c r="H885"/>
  <c r="G885"/>
  <c r="H882"/>
  <c r="G882"/>
  <c r="H881"/>
  <c r="G881"/>
  <c r="H880"/>
  <c r="G880"/>
  <c r="H879"/>
  <c r="G879"/>
  <c r="H877"/>
  <c r="G877"/>
  <c r="H876"/>
  <c r="G876"/>
  <c r="H875"/>
  <c r="G875"/>
  <c r="H873"/>
  <c r="G873"/>
  <c r="H872"/>
  <c r="G872"/>
  <c r="H871"/>
  <c r="G871"/>
  <c r="B863"/>
  <c r="H863" s="1"/>
  <c r="B866"/>
  <c r="J866" s="1"/>
  <c r="J868"/>
  <c r="J867"/>
  <c r="J865"/>
  <c r="J864"/>
  <c r="J862"/>
  <c r="J861"/>
  <c r="J860"/>
  <c r="J859"/>
  <c r="H868"/>
  <c r="G868"/>
  <c r="H867"/>
  <c r="G867"/>
  <c r="H865"/>
  <c r="G865"/>
  <c r="H864"/>
  <c r="G864"/>
  <c r="H862"/>
  <c r="G862"/>
  <c r="H861"/>
  <c r="G861"/>
  <c r="H860"/>
  <c r="G860"/>
  <c r="H859"/>
  <c r="G859"/>
  <c r="B852"/>
  <c r="H852" s="1"/>
  <c r="B851"/>
  <c r="J851" s="1"/>
  <c r="B850"/>
  <c r="J850" s="1"/>
  <c r="J856"/>
  <c r="J855"/>
  <c r="J854"/>
  <c r="J853"/>
  <c r="J849"/>
  <c r="J848"/>
  <c r="J847"/>
  <c r="J846"/>
  <c r="J845"/>
  <c r="J844"/>
  <c r="J843"/>
  <c r="J842"/>
  <c r="H856"/>
  <c r="G856"/>
  <c r="H855"/>
  <c r="G855"/>
  <c r="H854"/>
  <c r="G854"/>
  <c r="H853"/>
  <c r="G853"/>
  <c r="H849"/>
  <c r="G849"/>
  <c r="H848"/>
  <c r="G848"/>
  <c r="H847"/>
  <c r="G847"/>
  <c r="H846"/>
  <c r="G846"/>
  <c r="H845"/>
  <c r="G845"/>
  <c r="H844"/>
  <c r="G844"/>
  <c r="H843"/>
  <c r="G843"/>
  <c r="H842"/>
  <c r="G842"/>
  <c r="B836"/>
  <c r="H836" s="1"/>
  <c r="B835"/>
  <c r="G835" s="1"/>
  <c r="B832"/>
  <c r="G832" s="1"/>
  <c r="J839"/>
  <c r="J838"/>
  <c r="J837"/>
  <c r="J834"/>
  <c r="J833"/>
  <c r="J831"/>
  <c r="J830"/>
  <c r="J829"/>
  <c r="J828"/>
  <c r="J827"/>
  <c r="J826"/>
  <c r="J825"/>
  <c r="J824"/>
  <c r="H839"/>
  <c r="G839"/>
  <c r="H838"/>
  <c r="G838"/>
  <c r="H837"/>
  <c r="G837"/>
  <c r="H834"/>
  <c r="G834"/>
  <c r="H833"/>
  <c r="G833"/>
  <c r="H831"/>
  <c r="G831"/>
  <c r="H830"/>
  <c r="G830"/>
  <c r="H829"/>
  <c r="G829"/>
  <c r="H828"/>
  <c r="G828"/>
  <c r="H827"/>
  <c r="G827"/>
  <c r="H826"/>
  <c r="G826"/>
  <c r="H825"/>
  <c r="G825"/>
  <c r="H824"/>
  <c r="G824"/>
  <c r="B818"/>
  <c r="J818" s="1"/>
  <c r="B815"/>
  <c r="H815" s="1"/>
  <c r="J821"/>
  <c r="J820"/>
  <c r="J819"/>
  <c r="J817"/>
  <c r="J816"/>
  <c r="J814"/>
  <c r="J813"/>
  <c r="J812"/>
  <c r="J811"/>
  <c r="J810"/>
  <c r="H821"/>
  <c r="G821"/>
  <c r="H820"/>
  <c r="G820"/>
  <c r="H819"/>
  <c r="G819"/>
  <c r="H817"/>
  <c r="G817"/>
  <c r="H816"/>
  <c r="G816"/>
  <c r="H814"/>
  <c r="G814"/>
  <c r="H813"/>
  <c r="G813"/>
  <c r="H812"/>
  <c r="G812"/>
  <c r="H811"/>
  <c r="G811"/>
  <c r="H810"/>
  <c r="G810"/>
  <c r="B804"/>
  <c r="J804" s="1"/>
  <c r="B800"/>
  <c r="G800" s="1"/>
  <c r="B803"/>
  <c r="J803" s="1"/>
  <c r="J807"/>
  <c r="J806"/>
  <c r="J805"/>
  <c r="J802"/>
  <c r="J801"/>
  <c r="J799"/>
  <c r="J798"/>
  <c r="J797"/>
  <c r="J796"/>
  <c r="J795"/>
  <c r="J794"/>
  <c r="H807"/>
  <c r="G807"/>
  <c r="H806"/>
  <c r="G806"/>
  <c r="H805"/>
  <c r="G805"/>
  <c r="H802"/>
  <c r="G802"/>
  <c r="H801"/>
  <c r="G801"/>
  <c r="H799"/>
  <c r="G799"/>
  <c r="H798"/>
  <c r="G798"/>
  <c r="H797"/>
  <c r="G797"/>
  <c r="H796"/>
  <c r="G796"/>
  <c r="H795"/>
  <c r="G795"/>
  <c r="H794"/>
  <c r="G794"/>
  <c r="B788"/>
  <c r="J788" s="1"/>
  <c r="B785"/>
  <c r="H785" s="1"/>
  <c r="J791"/>
  <c r="J790"/>
  <c r="J789"/>
  <c r="J787"/>
  <c r="J786"/>
  <c r="J784"/>
  <c r="J783"/>
  <c r="J782"/>
  <c r="J781"/>
  <c r="J780"/>
  <c r="H791"/>
  <c r="G791"/>
  <c r="H790"/>
  <c r="G790"/>
  <c r="H789"/>
  <c r="G789"/>
  <c r="H787"/>
  <c r="G787"/>
  <c r="H786"/>
  <c r="G786"/>
  <c r="H784"/>
  <c r="G784"/>
  <c r="H783"/>
  <c r="G783"/>
  <c r="H782"/>
  <c r="G782"/>
  <c r="H781"/>
  <c r="G781"/>
  <c r="H780"/>
  <c r="G780"/>
  <c r="B769"/>
  <c r="J769" s="1"/>
  <c r="B771"/>
  <c r="J771" s="1"/>
  <c r="B773"/>
  <c r="G773" s="1"/>
  <c r="B774"/>
  <c r="H774" s="1"/>
  <c r="J777"/>
  <c r="J776"/>
  <c r="J775"/>
  <c r="J772"/>
  <c r="J770"/>
  <c r="J768"/>
  <c r="J767"/>
  <c r="J766"/>
  <c r="J765"/>
  <c r="J764"/>
  <c r="H777"/>
  <c r="G777"/>
  <c r="H776"/>
  <c r="G776"/>
  <c r="H775"/>
  <c r="G775"/>
  <c r="H772"/>
  <c r="G772"/>
  <c r="H770"/>
  <c r="G770"/>
  <c r="H768"/>
  <c r="G768"/>
  <c r="H767"/>
  <c r="G767"/>
  <c r="H766"/>
  <c r="G766"/>
  <c r="H765"/>
  <c r="G765"/>
  <c r="H764"/>
  <c r="G764"/>
  <c r="B741"/>
  <c r="J741" s="1"/>
  <c r="B742"/>
  <c r="J742" s="1"/>
  <c r="B743"/>
  <c r="H743" s="1"/>
  <c r="B759"/>
  <c r="G759" s="1"/>
  <c r="J761"/>
  <c r="J760"/>
  <c r="J758"/>
  <c r="J757"/>
  <c r="J756"/>
  <c r="J755"/>
  <c r="J754"/>
  <c r="J753"/>
  <c r="J752"/>
  <c r="J751"/>
  <c r="J750"/>
  <c r="J749"/>
  <c r="J748"/>
  <c r="J747"/>
  <c r="J746"/>
  <c r="J745"/>
  <c r="J744"/>
  <c r="J740"/>
  <c r="J739"/>
  <c r="J738"/>
  <c r="J737"/>
  <c r="J736"/>
  <c r="J735"/>
  <c r="J734"/>
  <c r="H761"/>
  <c r="G761"/>
  <c r="H760"/>
  <c r="G760"/>
  <c r="H758"/>
  <c r="G758"/>
  <c r="H757"/>
  <c r="G757"/>
  <c r="H756"/>
  <c r="G756"/>
  <c r="H755"/>
  <c r="G755"/>
  <c r="H754"/>
  <c r="G754"/>
  <c r="H753"/>
  <c r="G753"/>
  <c r="H752"/>
  <c r="G752"/>
  <c r="H751"/>
  <c r="G751"/>
  <c r="H750"/>
  <c r="G750"/>
  <c r="H749"/>
  <c r="G749"/>
  <c r="H748"/>
  <c r="G748"/>
  <c r="H747"/>
  <c r="G747"/>
  <c r="H746"/>
  <c r="G746"/>
  <c r="H745"/>
  <c r="G745"/>
  <c r="H744"/>
  <c r="G744"/>
  <c r="H740"/>
  <c r="G740"/>
  <c r="H739"/>
  <c r="G739"/>
  <c r="H738"/>
  <c r="G738"/>
  <c r="H737"/>
  <c r="G737"/>
  <c r="H736"/>
  <c r="G736"/>
  <c r="H735"/>
  <c r="G735"/>
  <c r="H734"/>
  <c r="G734"/>
  <c r="B702"/>
  <c r="J702" s="1"/>
  <c r="B705"/>
  <c r="J705" s="1"/>
  <c r="B706"/>
  <c r="J706" s="1"/>
  <c r="B729"/>
  <c r="G729" s="1"/>
  <c r="J731"/>
  <c r="J730"/>
  <c r="J728"/>
  <c r="J727"/>
  <c r="J726"/>
  <c r="J725"/>
  <c r="J724"/>
  <c r="J723"/>
  <c r="J722"/>
  <c r="J721"/>
  <c r="J720"/>
  <c r="J719"/>
  <c r="J718"/>
  <c r="J717"/>
  <c r="J716"/>
  <c r="J715"/>
  <c r="J714"/>
  <c r="J713"/>
  <c r="J712"/>
  <c r="J711"/>
  <c r="J710"/>
  <c r="J709"/>
  <c r="J708"/>
  <c r="J707"/>
  <c r="J704"/>
  <c r="J703"/>
  <c r="J701"/>
  <c r="J700"/>
  <c r="J699"/>
  <c r="J698"/>
  <c r="J697"/>
  <c r="H731"/>
  <c r="G731"/>
  <c r="H730"/>
  <c r="G730"/>
  <c r="H728"/>
  <c r="G728"/>
  <c r="H727"/>
  <c r="G727"/>
  <c r="H726"/>
  <c r="G726"/>
  <c r="H725"/>
  <c r="G725"/>
  <c r="H724"/>
  <c r="G724"/>
  <c r="H723"/>
  <c r="G723"/>
  <c r="H722"/>
  <c r="G722"/>
  <c r="H721"/>
  <c r="G721"/>
  <c r="H720"/>
  <c r="G720"/>
  <c r="H719"/>
  <c r="G719"/>
  <c r="H718"/>
  <c r="G718"/>
  <c r="H717"/>
  <c r="G717"/>
  <c r="H716"/>
  <c r="G716"/>
  <c r="H715"/>
  <c r="G715"/>
  <c r="H714"/>
  <c r="G714"/>
  <c r="H713"/>
  <c r="G713"/>
  <c r="H712"/>
  <c r="G712"/>
  <c r="H711"/>
  <c r="G711"/>
  <c r="H710"/>
  <c r="G710"/>
  <c r="H709"/>
  <c r="G709"/>
  <c r="H708"/>
  <c r="G708"/>
  <c r="H707"/>
  <c r="G707"/>
  <c r="H704"/>
  <c r="G704"/>
  <c r="H703"/>
  <c r="G703"/>
  <c r="H701"/>
  <c r="G701"/>
  <c r="H700"/>
  <c r="G700"/>
  <c r="H699"/>
  <c r="G699"/>
  <c r="H698"/>
  <c r="G698"/>
  <c r="H697"/>
  <c r="G697"/>
  <c r="B650"/>
  <c r="H650" s="1"/>
  <c r="B649"/>
  <c r="J649" s="1"/>
  <c r="B673"/>
  <c r="H673" s="1"/>
  <c r="B692"/>
  <c r="G692" s="1"/>
  <c r="B645"/>
  <c r="J645" s="1"/>
  <c r="J694"/>
  <c r="J693"/>
  <c r="J692"/>
  <c r="J691"/>
  <c r="J690"/>
  <c r="J689"/>
  <c r="J688"/>
  <c r="J687"/>
  <c r="J686"/>
  <c r="J685"/>
  <c r="J684"/>
  <c r="J683"/>
  <c r="J682"/>
  <c r="J681"/>
  <c r="J680"/>
  <c r="J679"/>
  <c r="J678"/>
  <c r="J677"/>
  <c r="J676"/>
  <c r="J675"/>
  <c r="J674"/>
  <c r="J673"/>
  <c r="J672"/>
  <c r="J671"/>
  <c r="J670"/>
  <c r="J669"/>
  <c r="J668"/>
  <c r="J667"/>
  <c r="J666"/>
  <c r="J665"/>
  <c r="J664"/>
  <c r="J663"/>
  <c r="J662"/>
  <c r="J661"/>
  <c r="J660"/>
  <c r="J659"/>
  <c r="J658"/>
  <c r="J657"/>
  <c r="J656"/>
  <c r="J655"/>
  <c r="J654"/>
  <c r="J653"/>
  <c r="J652"/>
  <c r="J651"/>
  <c r="J648"/>
  <c r="J647"/>
  <c r="J646"/>
  <c r="J644"/>
  <c r="J643"/>
  <c r="J642"/>
  <c r="J641"/>
  <c r="J640"/>
  <c r="H694"/>
  <c r="G694"/>
  <c r="H693"/>
  <c r="G693"/>
  <c r="H691"/>
  <c r="G691"/>
  <c r="H690"/>
  <c r="G690"/>
  <c r="H689"/>
  <c r="G689"/>
  <c r="H688"/>
  <c r="G688"/>
  <c r="H687"/>
  <c r="G687"/>
  <c r="H686"/>
  <c r="G686"/>
  <c r="H685"/>
  <c r="G685"/>
  <c r="H684"/>
  <c r="G684"/>
  <c r="H683"/>
  <c r="G683"/>
  <c r="H682"/>
  <c r="G682"/>
  <c r="H681"/>
  <c r="G681"/>
  <c r="H680"/>
  <c r="G680"/>
  <c r="H679"/>
  <c r="G679"/>
  <c r="H678"/>
  <c r="G678"/>
  <c r="H677"/>
  <c r="G677"/>
  <c r="H676"/>
  <c r="G676"/>
  <c r="H675"/>
  <c r="G675"/>
  <c r="H674"/>
  <c r="G674"/>
  <c r="H672"/>
  <c r="G672"/>
  <c r="H671"/>
  <c r="G671"/>
  <c r="H670"/>
  <c r="G670"/>
  <c r="H669"/>
  <c r="G669"/>
  <c r="H668"/>
  <c r="G668"/>
  <c r="H667"/>
  <c r="G667"/>
  <c r="H666"/>
  <c r="G666"/>
  <c r="H665"/>
  <c r="G665"/>
  <c r="H664"/>
  <c r="G664"/>
  <c r="H663"/>
  <c r="G663"/>
  <c r="H662"/>
  <c r="G662"/>
  <c r="H661"/>
  <c r="G661"/>
  <c r="H660"/>
  <c r="G660"/>
  <c r="H659"/>
  <c r="G659"/>
  <c r="H658"/>
  <c r="G658"/>
  <c r="H657"/>
  <c r="G657"/>
  <c r="H656"/>
  <c r="G656"/>
  <c r="H655"/>
  <c r="G655"/>
  <c r="H654"/>
  <c r="G654"/>
  <c r="H653"/>
  <c r="G653"/>
  <c r="H652"/>
  <c r="G652"/>
  <c r="H651"/>
  <c r="G651"/>
  <c r="H648"/>
  <c r="G648"/>
  <c r="H647"/>
  <c r="G647"/>
  <c r="H646"/>
  <c r="G646"/>
  <c r="H644"/>
  <c r="G644"/>
  <c r="H643"/>
  <c r="G643"/>
  <c r="H642"/>
  <c r="G642"/>
  <c r="H641"/>
  <c r="G641"/>
  <c r="H640"/>
  <c r="G640"/>
  <c r="B628"/>
  <c r="J628" s="1"/>
  <c r="B633"/>
  <c r="J633" s="1"/>
  <c r="B634"/>
  <c r="J634" s="1"/>
  <c r="B630"/>
  <c r="H630" s="1"/>
  <c r="J637"/>
  <c r="J636"/>
  <c r="J635"/>
  <c r="J632"/>
  <c r="J631"/>
  <c r="J629"/>
  <c r="J627"/>
  <c r="J626"/>
  <c r="J625"/>
  <c r="J624"/>
  <c r="J623"/>
  <c r="H637"/>
  <c r="G637"/>
  <c r="H636"/>
  <c r="G636"/>
  <c r="H635"/>
  <c r="G635"/>
  <c r="H632"/>
  <c r="G632"/>
  <c r="H631"/>
  <c r="G631"/>
  <c r="H629"/>
  <c r="G629"/>
  <c r="H627"/>
  <c r="G627"/>
  <c r="H626"/>
  <c r="G626"/>
  <c r="H625"/>
  <c r="G625"/>
  <c r="H624"/>
  <c r="G624"/>
  <c r="H623"/>
  <c r="G623"/>
  <c r="B617"/>
  <c r="J617" s="1"/>
  <c r="B615"/>
  <c r="H615" s="1"/>
  <c r="B614"/>
  <c r="G614" s="1"/>
  <c r="B611"/>
  <c r="H611" s="1"/>
  <c r="J620"/>
  <c r="J619"/>
  <c r="J618"/>
  <c r="J616"/>
  <c r="J613"/>
  <c r="J612"/>
  <c r="J610"/>
  <c r="J609"/>
  <c r="J608"/>
  <c r="J607"/>
  <c r="H620"/>
  <c r="G620"/>
  <c r="H619"/>
  <c r="G619"/>
  <c r="H618"/>
  <c r="G618"/>
  <c r="H617"/>
  <c r="H616"/>
  <c r="G616"/>
  <c r="H613"/>
  <c r="G613"/>
  <c r="H612"/>
  <c r="G612"/>
  <c r="G611"/>
  <c r="H610"/>
  <c r="G610"/>
  <c r="H609"/>
  <c r="G609"/>
  <c r="H608"/>
  <c r="G608"/>
  <c r="H607"/>
  <c r="G607"/>
  <c r="B594"/>
  <c r="J594" s="1"/>
  <c r="B597"/>
  <c r="H597" s="1"/>
  <c r="B601"/>
  <c r="G601" s="1"/>
  <c r="B600"/>
  <c r="J600" s="1"/>
  <c r="J604"/>
  <c r="J603"/>
  <c r="J602"/>
  <c r="J599"/>
  <c r="J598"/>
  <c r="J596"/>
  <c r="J595"/>
  <c r="J593"/>
  <c r="J592"/>
  <c r="J591"/>
  <c r="J590"/>
  <c r="J589"/>
  <c r="J588"/>
  <c r="H604"/>
  <c r="G604"/>
  <c r="H603"/>
  <c r="G603"/>
  <c r="H602"/>
  <c r="G602"/>
  <c r="H599"/>
  <c r="G599"/>
  <c r="H598"/>
  <c r="G598"/>
  <c r="H596"/>
  <c r="G596"/>
  <c r="H595"/>
  <c r="G595"/>
  <c r="H593"/>
  <c r="G593"/>
  <c r="H592"/>
  <c r="G592"/>
  <c r="H591"/>
  <c r="G591"/>
  <c r="H590"/>
  <c r="G590"/>
  <c r="H589"/>
  <c r="G589"/>
  <c r="H588"/>
  <c r="G588"/>
  <c r="B578"/>
  <c r="H578" s="1"/>
  <c r="B583"/>
  <c r="G583" s="1"/>
  <c r="B582"/>
  <c r="G582" s="1"/>
  <c r="J585"/>
  <c r="J584"/>
  <c r="J583"/>
  <c r="J581"/>
  <c r="J580"/>
  <c r="J579"/>
  <c r="J577"/>
  <c r="J575"/>
  <c r="J574"/>
  <c r="J573"/>
  <c r="J572"/>
  <c r="J571"/>
  <c r="J570"/>
  <c r="B576"/>
  <c r="J576" s="1"/>
  <c r="H585"/>
  <c r="G585"/>
  <c r="H584"/>
  <c r="G584"/>
  <c r="H581"/>
  <c r="G581"/>
  <c r="H580"/>
  <c r="G580"/>
  <c r="H579"/>
  <c r="G579"/>
  <c r="H577"/>
  <c r="G577"/>
  <c r="H575"/>
  <c r="G575"/>
  <c r="H574"/>
  <c r="G574"/>
  <c r="H573"/>
  <c r="G573"/>
  <c r="H572"/>
  <c r="G572"/>
  <c r="H571"/>
  <c r="G571"/>
  <c r="H570"/>
  <c r="G570"/>
  <c r="B564"/>
  <c r="G564" s="1"/>
  <c r="B546"/>
  <c r="H546" s="1"/>
  <c r="B542"/>
  <c r="J542" s="1"/>
  <c r="B543"/>
  <c r="H543" s="1"/>
  <c r="J567"/>
  <c r="J566"/>
  <c r="J565"/>
  <c r="J563"/>
  <c r="J562"/>
  <c r="J561"/>
  <c r="J560"/>
  <c r="J559"/>
  <c r="J558"/>
  <c r="J557"/>
  <c r="J556"/>
  <c r="J555"/>
  <c r="J554"/>
  <c r="J553"/>
  <c r="J552"/>
  <c r="J551"/>
  <c r="J550"/>
  <c r="J549"/>
  <c r="J548"/>
  <c r="J547"/>
  <c r="J545"/>
  <c r="J544"/>
  <c r="J541"/>
  <c r="J540"/>
  <c r="J539"/>
  <c r="J538"/>
  <c r="J537"/>
  <c r="H567"/>
  <c r="G567"/>
  <c r="H566"/>
  <c r="G566"/>
  <c r="H565"/>
  <c r="G565"/>
  <c r="H563"/>
  <c r="G563"/>
  <c r="H562"/>
  <c r="G562"/>
  <c r="H561"/>
  <c r="G561"/>
  <c r="H560"/>
  <c r="G560"/>
  <c r="H559"/>
  <c r="G559"/>
  <c r="H558"/>
  <c r="G558"/>
  <c r="H557"/>
  <c r="G557"/>
  <c r="H556"/>
  <c r="G556"/>
  <c r="H555"/>
  <c r="G555"/>
  <c r="H554"/>
  <c r="G554"/>
  <c r="H553"/>
  <c r="G553"/>
  <c r="H552"/>
  <c r="G552"/>
  <c r="H551"/>
  <c r="G551"/>
  <c r="H550"/>
  <c r="G550"/>
  <c r="H549"/>
  <c r="G549"/>
  <c r="H548"/>
  <c r="G548"/>
  <c r="H547"/>
  <c r="G547"/>
  <c r="H545"/>
  <c r="G545"/>
  <c r="H544"/>
  <c r="G544"/>
  <c r="H541"/>
  <c r="G541"/>
  <c r="H540"/>
  <c r="G540"/>
  <c r="H539"/>
  <c r="G539"/>
  <c r="H538"/>
  <c r="G538"/>
  <c r="H537"/>
  <c r="G537"/>
  <c r="B499"/>
  <c r="J499" s="1"/>
  <c r="B500"/>
  <c r="H500" s="1"/>
  <c r="B503"/>
  <c r="J503" s="1"/>
  <c r="B530"/>
  <c r="H530" s="1"/>
  <c r="J534"/>
  <c r="J533"/>
  <c r="J532"/>
  <c r="J531"/>
  <c r="J529"/>
  <c r="J528"/>
  <c r="J527"/>
  <c r="J526"/>
  <c r="J525"/>
  <c r="J524"/>
  <c r="J523"/>
  <c r="J522"/>
  <c r="J521"/>
  <c r="J520"/>
  <c r="J519"/>
  <c r="J518"/>
  <c r="J517"/>
  <c r="J516"/>
  <c r="J515"/>
  <c r="J514"/>
  <c r="J513"/>
  <c r="J512"/>
  <c r="J511"/>
  <c r="J510"/>
  <c r="J509"/>
  <c r="J508"/>
  <c r="J507"/>
  <c r="J506"/>
  <c r="J505"/>
  <c r="J504"/>
  <c r="J502"/>
  <c r="J501"/>
  <c r="J498"/>
  <c r="J497"/>
  <c r="J496"/>
  <c r="J495"/>
  <c r="J494"/>
  <c r="H534"/>
  <c r="G534"/>
  <c r="H533"/>
  <c r="G533"/>
  <c r="H532"/>
  <c r="G532"/>
  <c r="H531"/>
  <c r="G531"/>
  <c r="H529"/>
  <c r="G529"/>
  <c r="H528"/>
  <c r="G528"/>
  <c r="H527"/>
  <c r="G527"/>
  <c r="H526"/>
  <c r="G526"/>
  <c r="H525"/>
  <c r="G525"/>
  <c r="H524"/>
  <c r="G524"/>
  <c r="H523"/>
  <c r="G523"/>
  <c r="H522"/>
  <c r="G522"/>
  <c r="H521"/>
  <c r="G521"/>
  <c r="H520"/>
  <c r="G520"/>
  <c r="H519"/>
  <c r="G519"/>
  <c r="H518"/>
  <c r="G518"/>
  <c r="H517"/>
  <c r="G517"/>
  <c r="H516"/>
  <c r="G516"/>
  <c r="H515"/>
  <c r="G515"/>
  <c r="H514"/>
  <c r="G514"/>
  <c r="H513"/>
  <c r="G513"/>
  <c r="H512"/>
  <c r="G512"/>
  <c r="H511"/>
  <c r="G511"/>
  <c r="H510"/>
  <c r="G510"/>
  <c r="H509"/>
  <c r="G509"/>
  <c r="H508"/>
  <c r="G508"/>
  <c r="H507"/>
  <c r="G507"/>
  <c r="H506"/>
  <c r="G506"/>
  <c r="H505"/>
  <c r="G505"/>
  <c r="H504"/>
  <c r="G504"/>
  <c r="H502"/>
  <c r="G502"/>
  <c r="H501"/>
  <c r="G501"/>
  <c r="H498"/>
  <c r="G498"/>
  <c r="H497"/>
  <c r="G497"/>
  <c r="H496"/>
  <c r="G496"/>
  <c r="H495"/>
  <c r="G495"/>
  <c r="H494"/>
  <c r="G494"/>
  <c r="B440"/>
  <c r="G440" s="1"/>
  <c r="B441"/>
  <c r="J441" s="1"/>
  <c r="B445"/>
  <c r="J445" s="1"/>
  <c r="B469"/>
  <c r="H469" s="1"/>
  <c r="B488"/>
  <c r="H488" s="1"/>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4"/>
  <c r="J443"/>
  <c r="J442"/>
  <c r="J439"/>
  <c r="J438"/>
  <c r="J437"/>
  <c r="J436"/>
  <c r="J435"/>
  <c r="J434"/>
  <c r="H491"/>
  <c r="G491"/>
  <c r="H490"/>
  <c r="G490"/>
  <c r="H489"/>
  <c r="G489"/>
  <c r="H487"/>
  <c r="G487"/>
  <c r="H486"/>
  <c r="G486"/>
  <c r="H485"/>
  <c r="G485"/>
  <c r="H484"/>
  <c r="G484"/>
  <c r="H483"/>
  <c r="G483"/>
  <c r="H482"/>
  <c r="G482"/>
  <c r="H481"/>
  <c r="G481"/>
  <c r="H480"/>
  <c r="G480"/>
  <c r="H479"/>
  <c r="G479"/>
  <c r="H478"/>
  <c r="G478"/>
  <c r="H477"/>
  <c r="G477"/>
  <c r="H476"/>
  <c r="G476"/>
  <c r="H475"/>
  <c r="G475"/>
  <c r="H474"/>
  <c r="G474"/>
  <c r="H473"/>
  <c r="G473"/>
  <c r="H472"/>
  <c r="G472"/>
  <c r="H471"/>
  <c r="G471"/>
  <c r="H470"/>
  <c r="G470"/>
  <c r="H468"/>
  <c r="G468"/>
  <c r="H467"/>
  <c r="G467"/>
  <c r="H466"/>
  <c r="G466"/>
  <c r="H465"/>
  <c r="G465"/>
  <c r="H464"/>
  <c r="G464"/>
  <c r="H463"/>
  <c r="G463"/>
  <c r="H462"/>
  <c r="G462"/>
  <c r="H461"/>
  <c r="G461"/>
  <c r="H460"/>
  <c r="G460"/>
  <c r="H459"/>
  <c r="G459"/>
  <c r="H458"/>
  <c r="G458"/>
  <c r="H457"/>
  <c r="G457"/>
  <c r="H456"/>
  <c r="G456"/>
  <c r="H455"/>
  <c r="G455"/>
  <c r="H454"/>
  <c r="G454"/>
  <c r="H453"/>
  <c r="G453"/>
  <c r="H452"/>
  <c r="G452"/>
  <c r="H451"/>
  <c r="G451"/>
  <c r="H450"/>
  <c r="G450"/>
  <c r="H449"/>
  <c r="G449"/>
  <c r="H448"/>
  <c r="G448"/>
  <c r="H447"/>
  <c r="G447"/>
  <c r="H446"/>
  <c r="G446"/>
  <c r="H444"/>
  <c r="G444"/>
  <c r="H443"/>
  <c r="G443"/>
  <c r="H442"/>
  <c r="G442"/>
  <c r="H439"/>
  <c r="G439"/>
  <c r="H438"/>
  <c r="G438"/>
  <c r="H437"/>
  <c r="G437"/>
  <c r="H436"/>
  <c r="G436"/>
  <c r="H435"/>
  <c r="G435"/>
  <c r="H434"/>
  <c r="G434"/>
  <c r="B396"/>
  <c r="G396" s="1"/>
  <c r="B401"/>
  <c r="J401" s="1"/>
  <c r="B400"/>
  <c r="J400" s="1"/>
  <c r="B414"/>
  <c r="H414" s="1"/>
  <c r="B427"/>
  <c r="J427" s="1"/>
  <c r="J431"/>
  <c r="J430"/>
  <c r="J429"/>
  <c r="J428"/>
  <c r="J426"/>
  <c r="J425"/>
  <c r="J424"/>
  <c r="J423"/>
  <c r="J422"/>
  <c r="J421"/>
  <c r="J420"/>
  <c r="J419"/>
  <c r="J418"/>
  <c r="J417"/>
  <c r="J416"/>
  <c r="J415"/>
  <c r="J413"/>
  <c r="J412"/>
  <c r="J411"/>
  <c r="J410"/>
  <c r="J409"/>
  <c r="J408"/>
  <c r="J407"/>
  <c r="J406"/>
  <c r="J405"/>
  <c r="J404"/>
  <c r="J403"/>
  <c r="J402"/>
  <c r="J399"/>
  <c r="J398"/>
  <c r="J397"/>
  <c r="J395"/>
  <c r="J394"/>
  <c r="J393"/>
  <c r="J392"/>
  <c r="J391"/>
  <c r="H431"/>
  <c r="G431"/>
  <c r="H430"/>
  <c r="G430"/>
  <c r="H429"/>
  <c r="G429"/>
  <c r="H428"/>
  <c r="G428"/>
  <c r="H426"/>
  <c r="G426"/>
  <c r="H425"/>
  <c r="G425"/>
  <c r="H424"/>
  <c r="G424"/>
  <c r="H423"/>
  <c r="G423"/>
  <c r="H422"/>
  <c r="G422"/>
  <c r="H421"/>
  <c r="G421"/>
  <c r="H420"/>
  <c r="G420"/>
  <c r="H419"/>
  <c r="G419"/>
  <c r="H418"/>
  <c r="G418"/>
  <c r="H417"/>
  <c r="G417"/>
  <c r="H416"/>
  <c r="G416"/>
  <c r="H415"/>
  <c r="G415"/>
  <c r="H413"/>
  <c r="G413"/>
  <c r="H412"/>
  <c r="G412"/>
  <c r="H411"/>
  <c r="G411"/>
  <c r="H410"/>
  <c r="G410"/>
  <c r="H409"/>
  <c r="G409"/>
  <c r="H408"/>
  <c r="G408"/>
  <c r="H407"/>
  <c r="G407"/>
  <c r="H406"/>
  <c r="G406"/>
  <c r="H405"/>
  <c r="G405"/>
  <c r="H404"/>
  <c r="G404"/>
  <c r="H403"/>
  <c r="G403"/>
  <c r="H402"/>
  <c r="G402"/>
  <c r="H399"/>
  <c r="G399"/>
  <c r="H398"/>
  <c r="G398"/>
  <c r="H397"/>
  <c r="G397"/>
  <c r="H395"/>
  <c r="G395"/>
  <c r="H394"/>
  <c r="G394"/>
  <c r="H393"/>
  <c r="G393"/>
  <c r="H392"/>
  <c r="G392"/>
  <c r="H391"/>
  <c r="G391"/>
  <c r="B385"/>
  <c r="G385" s="1"/>
  <c r="B384"/>
  <c r="J384" s="1"/>
  <c r="B381"/>
  <c r="H381" s="1"/>
  <c r="B377"/>
  <c r="H377" s="1"/>
  <c r="J388"/>
  <c r="J387"/>
  <c r="J386"/>
  <c r="J383"/>
  <c r="J382"/>
  <c r="J380"/>
  <c r="J379"/>
  <c r="J378"/>
  <c r="J375"/>
  <c r="J374"/>
  <c r="J373"/>
  <c r="J372"/>
  <c r="J371"/>
  <c r="B376"/>
  <c r="J376" s="1"/>
  <c r="H388"/>
  <c r="G388"/>
  <c r="H387"/>
  <c r="G387"/>
  <c r="H386"/>
  <c r="G386"/>
  <c r="H383"/>
  <c r="G383"/>
  <c r="H382"/>
  <c r="G382"/>
  <c r="H380"/>
  <c r="G380"/>
  <c r="H379"/>
  <c r="G379"/>
  <c r="H378"/>
  <c r="G378"/>
  <c r="H375"/>
  <c r="G375"/>
  <c r="H374"/>
  <c r="G374"/>
  <c r="H373"/>
  <c r="G373"/>
  <c r="H372"/>
  <c r="G372"/>
  <c r="H371"/>
  <c r="G371"/>
  <c r="B366"/>
  <c r="J366" s="1"/>
  <c r="B365"/>
  <c r="G365" s="1"/>
  <c r="B362"/>
  <c r="H362" s="1"/>
  <c r="B361"/>
  <c r="J361" s="1"/>
  <c r="H368"/>
  <c r="G368"/>
  <c r="H367"/>
  <c r="G367"/>
  <c r="H366"/>
  <c r="H364"/>
  <c r="G364"/>
  <c r="H363"/>
  <c r="G363"/>
  <c r="H360"/>
  <c r="G360"/>
  <c r="H359"/>
  <c r="G359"/>
  <c r="H358"/>
  <c r="G358"/>
  <c r="H357"/>
  <c r="G357"/>
  <c r="H356"/>
  <c r="G356"/>
  <c r="H355"/>
  <c r="G355"/>
  <c r="H354"/>
  <c r="G354"/>
  <c r="J368"/>
  <c r="J367"/>
  <c r="J364"/>
  <c r="J363"/>
  <c r="J360"/>
  <c r="J359"/>
  <c r="J358"/>
  <c r="J357"/>
  <c r="J356"/>
  <c r="J355"/>
  <c r="J354"/>
  <c r="B349"/>
  <c r="J349" s="1"/>
  <c r="B348"/>
  <c r="J348" s="1"/>
  <c r="B344"/>
  <c r="G344" s="1"/>
  <c r="J351"/>
  <c r="J350"/>
  <c r="J347"/>
  <c r="J346"/>
  <c r="J345"/>
  <c r="J342"/>
  <c r="J341"/>
  <c r="J340"/>
  <c r="J339"/>
  <c r="J338"/>
  <c r="J337"/>
  <c r="J336"/>
  <c r="J335"/>
  <c r="B343"/>
  <c r="G343" s="1"/>
  <c r="H351"/>
  <c r="G351"/>
  <c r="H350"/>
  <c r="G350"/>
  <c r="H347"/>
  <c r="G347"/>
  <c r="H346"/>
  <c r="G346"/>
  <c r="H345"/>
  <c r="G345"/>
  <c r="H342"/>
  <c r="G342"/>
  <c r="H341"/>
  <c r="G341"/>
  <c r="H340"/>
  <c r="G340"/>
  <c r="H339"/>
  <c r="G339"/>
  <c r="H338"/>
  <c r="G338"/>
  <c r="H337"/>
  <c r="G337"/>
  <c r="H336"/>
  <c r="G336"/>
  <c r="H335"/>
  <c r="G335"/>
  <c r="B329"/>
  <c r="H329" s="1"/>
  <c r="B328"/>
  <c r="G328" s="1"/>
  <c r="B327"/>
  <c r="G327" s="1"/>
  <c r="B322"/>
  <c r="H322" s="1"/>
  <c r="B319"/>
  <c r="J319" s="1"/>
  <c r="H332"/>
  <c r="G332"/>
  <c r="H331"/>
  <c r="G331"/>
  <c r="H330"/>
  <c r="G330"/>
  <c r="H326"/>
  <c r="G326"/>
  <c r="H325"/>
  <c r="G325"/>
  <c r="H324"/>
  <c r="G324"/>
  <c r="H323"/>
  <c r="G323"/>
  <c r="H321"/>
  <c r="G321"/>
  <c r="H320"/>
  <c r="G320"/>
  <c r="H318"/>
  <c r="G318"/>
  <c r="H317"/>
  <c r="G317"/>
  <c r="H316"/>
  <c r="G316"/>
  <c r="H315"/>
  <c r="G315"/>
  <c r="H314"/>
  <c r="G314"/>
  <c r="H313"/>
  <c r="G313"/>
  <c r="H312"/>
  <c r="G312"/>
  <c r="J332"/>
  <c r="J331"/>
  <c r="J330"/>
  <c r="J326"/>
  <c r="J325"/>
  <c r="J324"/>
  <c r="J323"/>
  <c r="J321"/>
  <c r="J320"/>
  <c r="J318"/>
  <c r="J317"/>
  <c r="J316"/>
  <c r="J315"/>
  <c r="J314"/>
  <c r="J313"/>
  <c r="J312"/>
  <c r="B306"/>
  <c r="H306" s="1"/>
  <c r="B305"/>
  <c r="H305" s="1"/>
  <c r="B304"/>
  <c r="H304" s="1"/>
  <c r="B300"/>
  <c r="H300" s="1"/>
  <c r="B297"/>
  <c r="J297" s="1"/>
  <c r="J309"/>
  <c r="J308"/>
  <c r="J307"/>
  <c r="J303"/>
  <c r="J302"/>
  <c r="J301"/>
  <c r="J299"/>
  <c r="J298"/>
  <c r="J296"/>
  <c r="J295"/>
  <c r="J294"/>
  <c r="J293"/>
  <c r="J292"/>
  <c r="J291"/>
  <c r="H309"/>
  <c r="G309"/>
  <c r="H308"/>
  <c r="G308"/>
  <c r="H307"/>
  <c r="G307"/>
  <c r="G305"/>
  <c r="G304"/>
  <c r="H303"/>
  <c r="G303"/>
  <c r="H302"/>
  <c r="G302"/>
  <c r="H301"/>
  <c r="G301"/>
  <c r="H299"/>
  <c r="G299"/>
  <c r="H298"/>
  <c r="G298"/>
  <c r="H296"/>
  <c r="G296"/>
  <c r="H295"/>
  <c r="G295"/>
  <c r="H294"/>
  <c r="G294"/>
  <c r="H293"/>
  <c r="G293"/>
  <c r="H292"/>
  <c r="G292"/>
  <c r="H291"/>
  <c r="G291"/>
  <c r="H288"/>
  <c r="G288"/>
  <c r="H287"/>
  <c r="G287"/>
  <c r="H285"/>
  <c r="G285"/>
  <c r="H282"/>
  <c r="G282"/>
  <c r="H281"/>
  <c r="G281"/>
  <c r="H280"/>
  <c r="G280"/>
  <c r="H279"/>
  <c r="G279"/>
  <c r="H278"/>
  <c r="G278"/>
  <c r="H277"/>
  <c r="G277"/>
  <c r="H276"/>
  <c r="G276"/>
  <c r="B283"/>
  <c r="J283" s="1"/>
  <c r="C284"/>
  <c r="B284"/>
  <c r="H284" s="1"/>
  <c r="J288"/>
  <c r="J287"/>
  <c r="J285"/>
  <c r="J282"/>
  <c r="J281"/>
  <c r="J280"/>
  <c r="J279"/>
  <c r="J278"/>
  <c r="J277"/>
  <c r="J276"/>
  <c r="B286"/>
  <c r="J286" s="1"/>
  <c r="B270"/>
  <c r="J270" s="1"/>
  <c r="C268"/>
  <c r="B268"/>
  <c r="H268" s="1"/>
  <c r="B267"/>
  <c r="H267" s="1"/>
  <c r="J273"/>
  <c r="J272"/>
  <c r="J271"/>
  <c r="J269"/>
  <c r="J266"/>
  <c r="J265"/>
  <c r="H273"/>
  <c r="G273"/>
  <c r="H272"/>
  <c r="G272"/>
  <c r="H271"/>
  <c r="G271"/>
  <c r="H269"/>
  <c r="G269"/>
  <c r="H266"/>
  <c r="G266"/>
  <c r="H265"/>
  <c r="G265"/>
  <c r="H262"/>
  <c r="G262"/>
  <c r="H261"/>
  <c r="G261"/>
  <c r="H260"/>
  <c r="G260"/>
  <c r="H258"/>
  <c r="G258"/>
  <c r="H257"/>
  <c r="G257"/>
  <c r="H256"/>
  <c r="G256"/>
  <c r="H255"/>
  <c r="G255"/>
  <c r="H254"/>
  <c r="G254"/>
  <c r="H253"/>
  <c r="G253"/>
  <c r="H252"/>
  <c r="G252"/>
  <c r="H251"/>
  <c r="G251"/>
  <c r="H250"/>
  <c r="G250"/>
  <c r="H249"/>
  <c r="G249"/>
  <c r="H248"/>
  <c r="G248"/>
  <c r="H247"/>
  <c r="G247"/>
  <c r="H246"/>
  <c r="G246"/>
  <c r="H245"/>
  <c r="G245"/>
  <c r="H243"/>
  <c r="G243"/>
  <c r="H242"/>
  <c r="G242"/>
  <c r="H240"/>
  <c r="G240"/>
  <c r="H239"/>
  <c r="G239"/>
  <c r="H238"/>
  <c r="G238"/>
  <c r="H237"/>
  <c r="G237"/>
  <c r="H236"/>
  <c r="G236"/>
  <c r="B241"/>
  <c r="G241" s="1"/>
  <c r="B244"/>
  <c r="G244" s="1"/>
  <c r="B259"/>
  <c r="G259" s="1"/>
  <c r="J262"/>
  <c r="J261"/>
  <c r="J260"/>
  <c r="J259"/>
  <c r="J258"/>
  <c r="J257"/>
  <c r="J256"/>
  <c r="J255"/>
  <c r="J254"/>
  <c r="J253"/>
  <c r="J252"/>
  <c r="J251"/>
  <c r="J250"/>
  <c r="J249"/>
  <c r="J248"/>
  <c r="J247"/>
  <c r="J246"/>
  <c r="J245"/>
  <c r="J244"/>
  <c r="J243"/>
  <c r="J242"/>
  <c r="J240"/>
  <c r="J239"/>
  <c r="J238"/>
  <c r="J237"/>
  <c r="J236"/>
  <c r="A1422"/>
  <c r="A312"/>
  <c r="A1264"/>
  <c r="A871"/>
  <c r="A1041"/>
  <c r="A354"/>
  <c r="A1315"/>
  <c r="A1074"/>
  <c r="A1226"/>
  <c r="A1087"/>
  <c r="A640"/>
  <c r="A780"/>
  <c r="A1278"/>
  <c r="A697"/>
  <c r="A1391"/>
  <c r="A734"/>
  <c r="A824"/>
  <c r="A291"/>
  <c r="A434"/>
  <c r="A909"/>
  <c r="A236"/>
  <c r="A859"/>
  <c r="A623"/>
  <c r="A276"/>
  <c r="A335"/>
  <c r="A371"/>
  <c r="A588"/>
  <c r="A810"/>
  <c r="A842"/>
  <c r="A1364"/>
  <c r="A1406"/>
  <c r="A1175"/>
  <c r="A494"/>
  <c r="A1142"/>
  <c r="A1333"/>
  <c r="A946"/>
  <c r="A391"/>
  <c r="A1348"/>
  <c r="A1379"/>
  <c r="A1208"/>
  <c r="A764"/>
  <c r="A890"/>
  <c r="A607"/>
  <c r="A1245"/>
  <c r="A570"/>
  <c r="A1002"/>
  <c r="A794"/>
  <c r="A928"/>
  <c r="A537"/>
  <c r="A265"/>
  <c r="A1296"/>
  <c r="J1459" l="1"/>
  <c r="E75" i="12" s="1"/>
  <c r="J774" i="13"/>
  <c r="J1550"/>
  <c r="E79" i="12" s="1"/>
  <c r="J1746" i="13"/>
  <c r="E88" i="12" s="1"/>
  <c r="J1685" i="13"/>
  <c r="E85" i="12" s="1"/>
  <c r="J1640" i="13"/>
  <c r="E83" i="12" s="1"/>
  <c r="J1601" i="13"/>
  <c r="E81" i="12" s="1"/>
  <c r="J582" i="13"/>
  <c r="G1426"/>
  <c r="J1767"/>
  <c r="E89" i="12" s="1"/>
  <c r="J1705" i="13"/>
  <c r="E86" i="12" s="1"/>
  <c r="J1436" i="13"/>
  <c r="E74" i="12" s="1"/>
  <c r="G1368" i="13"/>
  <c r="G1410"/>
  <c r="H1424"/>
  <c r="G1393"/>
  <c r="H1430"/>
  <c r="J1575"/>
  <c r="E80" i="12" s="1"/>
  <c r="J1430" i="13"/>
  <c r="G1352"/>
  <c r="G1366"/>
  <c r="H1408"/>
  <c r="J1526"/>
  <c r="E78" i="12" s="1"/>
  <c r="H1395" i="13"/>
  <c r="J1617"/>
  <c r="E82" i="12" s="1"/>
  <c r="H1393" i="13"/>
  <c r="J1344"/>
  <c r="H1366"/>
  <c r="G1381"/>
  <c r="J1405"/>
  <c r="E71" i="12" s="1"/>
  <c r="H1340" i="13"/>
  <c r="H1381"/>
  <c r="G1429"/>
  <c r="J1429"/>
  <c r="G1424"/>
  <c r="H1344"/>
  <c r="H1368"/>
  <c r="J1395"/>
  <c r="J1390" s="1"/>
  <c r="E70" i="12" s="1"/>
  <c r="J1336" i="13"/>
  <c r="J1363"/>
  <c r="E68" i="12" s="1"/>
  <c r="H1336" i="13"/>
  <c r="J1340"/>
  <c r="G1379"/>
  <c r="J1379"/>
  <c r="J1378" s="1"/>
  <c r="E69" i="12" s="1"/>
  <c r="H1326" i="13"/>
  <c r="H1334"/>
  <c r="H1338"/>
  <c r="H1342"/>
  <c r="G1203"/>
  <c r="H1212"/>
  <c r="J1319"/>
  <c r="H1335"/>
  <c r="H1339"/>
  <c r="H1343"/>
  <c r="J1338"/>
  <c r="G1350"/>
  <c r="G1334"/>
  <c r="G1342"/>
  <c r="H1319"/>
  <c r="J1347"/>
  <c r="E67" i="12" s="1"/>
  <c r="G1285" i="13"/>
  <c r="J1322"/>
  <c r="J1233"/>
  <c r="G1252"/>
  <c r="J1272"/>
  <c r="H1285"/>
  <c r="G1333"/>
  <c r="G1335"/>
  <c r="G1337"/>
  <c r="G1339"/>
  <c r="G1341"/>
  <c r="G1343"/>
  <c r="G1345"/>
  <c r="H1333"/>
  <c r="H1337"/>
  <c r="H1341"/>
  <c r="H1345"/>
  <c r="G1079"/>
  <c r="J1230"/>
  <c r="J1225" s="1"/>
  <c r="E60" i="12" s="1"/>
  <c r="G1293" i="13"/>
  <c r="J1079"/>
  <c r="J1293"/>
  <c r="H1203"/>
  <c r="H1325"/>
  <c r="G1095"/>
  <c r="G1184"/>
  <c r="G1212"/>
  <c r="G1270"/>
  <c r="J1271"/>
  <c r="J1263" s="1"/>
  <c r="E62" i="12" s="1"/>
  <c r="H1282" i="13"/>
  <c r="H1303"/>
  <c r="H1095"/>
  <c r="H1184"/>
  <c r="H1270"/>
  <c r="J1282"/>
  <c r="G1170"/>
  <c r="J1295"/>
  <c r="E64" i="12" s="1"/>
  <c r="J1170" i="13"/>
  <c r="J1174"/>
  <c r="E57" i="12" s="1"/>
  <c r="G863" i="13"/>
  <c r="G1048"/>
  <c r="J863"/>
  <c r="J858" s="1"/>
  <c r="E46" i="12" s="1"/>
  <c r="H1048" i="13"/>
  <c r="G1078"/>
  <c r="G1147"/>
  <c r="G1215"/>
  <c r="G1249"/>
  <c r="J1252"/>
  <c r="J1244" s="1"/>
  <c r="E61" i="12" s="1"/>
  <c r="G1272" i="13"/>
  <c r="H1147"/>
  <c r="J1207"/>
  <c r="E59" i="12" s="1"/>
  <c r="H1249" i="13"/>
  <c r="H1271"/>
  <c r="J1141"/>
  <c r="E56" i="12" s="1"/>
  <c r="H1081" i="13"/>
  <c r="J1137"/>
  <c r="G883"/>
  <c r="J1081"/>
  <c r="G1137"/>
  <c r="H1215"/>
  <c r="H1118"/>
  <c r="G850"/>
  <c r="H1078"/>
  <c r="J1118"/>
  <c r="J1086" s="1"/>
  <c r="E55" i="12" s="1"/>
  <c r="H878" i="13"/>
  <c r="H1035"/>
  <c r="H1051"/>
  <c r="G884"/>
  <c r="G1009"/>
  <c r="J1051"/>
  <c r="J1040" s="1"/>
  <c r="E53" i="12" s="1"/>
  <c r="H835" i="13"/>
  <c r="H850"/>
  <c r="J889"/>
  <c r="E48" i="12" s="1"/>
  <c r="G1012" i="13"/>
  <c r="J1009"/>
  <c r="J1001" s="1"/>
  <c r="E52" i="12" s="1"/>
  <c r="G903" i="13"/>
  <c r="H1012"/>
  <c r="G852"/>
  <c r="H884"/>
  <c r="G902"/>
  <c r="G939"/>
  <c r="J832"/>
  <c r="H902"/>
  <c r="G940"/>
  <c r="G955"/>
  <c r="J951"/>
  <c r="J945" s="1"/>
  <c r="E51" i="12" s="1"/>
  <c r="H951" i="13"/>
  <c r="H955"/>
  <c r="J927"/>
  <c r="E50" i="12" s="1"/>
  <c r="G874" i="13"/>
  <c r="H940"/>
  <c r="H979"/>
  <c r="H773"/>
  <c r="J835"/>
  <c r="H874"/>
  <c r="H920"/>
  <c r="G996"/>
  <c r="G979"/>
  <c r="J852"/>
  <c r="J841" s="1"/>
  <c r="E45" i="12" s="1"/>
  <c r="H759" i="13"/>
  <c r="J836"/>
  <c r="G866"/>
  <c r="H996"/>
  <c r="H939"/>
  <c r="J878"/>
  <c r="J870" s="1"/>
  <c r="E47" i="12" s="1"/>
  <c r="G673" i="13"/>
  <c r="G803"/>
  <c r="G815"/>
  <c r="J815"/>
  <c r="J809" s="1"/>
  <c r="E43" i="12" s="1"/>
  <c r="H883" i="13"/>
  <c r="H921"/>
  <c r="H445"/>
  <c r="H803"/>
  <c r="H866"/>
  <c r="H922"/>
  <c r="J922"/>
  <c r="J908" s="1"/>
  <c r="E49" i="12" s="1"/>
  <c r="G741" i="13"/>
  <c r="J800"/>
  <c r="J793" s="1"/>
  <c r="E42" i="12" s="1"/>
  <c r="H818" i="13"/>
  <c r="J773"/>
  <c r="J763" s="1"/>
  <c r="E40" i="12" s="1"/>
  <c r="G851" i="13"/>
  <c r="H851"/>
  <c r="J601"/>
  <c r="G785"/>
  <c r="J785"/>
  <c r="J779" s="1"/>
  <c r="E41" i="12" s="1"/>
  <c r="H832" i="13"/>
  <c r="G706"/>
  <c r="G804"/>
  <c r="G469"/>
  <c r="H706"/>
  <c r="H741"/>
  <c r="G774"/>
  <c r="H804"/>
  <c r="G836"/>
  <c r="G818"/>
  <c r="H634"/>
  <c r="J743"/>
  <c r="G769"/>
  <c r="H788"/>
  <c r="H427"/>
  <c r="G445"/>
  <c r="H583"/>
  <c r="G743"/>
  <c r="H769"/>
  <c r="H800"/>
  <c r="G788"/>
  <c r="H771"/>
  <c r="H384"/>
  <c r="G630"/>
  <c r="G742"/>
  <c r="G771"/>
  <c r="G401"/>
  <c r="H601"/>
  <c r="G617"/>
  <c r="G628"/>
  <c r="H645"/>
  <c r="H705"/>
  <c r="H742"/>
  <c r="H319"/>
  <c r="G543"/>
  <c r="H564"/>
  <c r="J543"/>
  <c r="H692"/>
  <c r="J729"/>
  <c r="J696" s="1"/>
  <c r="E38" i="12" s="1"/>
  <c r="J759" i="13"/>
  <c r="G650"/>
  <c r="J650"/>
  <c r="J639" s="1"/>
  <c r="E37" i="12" s="1"/>
  <c r="G702" i="13"/>
  <c r="H729"/>
  <c r="J614"/>
  <c r="J362"/>
  <c r="J546"/>
  <c r="H614"/>
  <c r="J611"/>
  <c r="J615"/>
  <c r="H628"/>
  <c r="H633"/>
  <c r="H702"/>
  <c r="G362"/>
  <c r="H499"/>
  <c r="G594"/>
  <c r="G615"/>
  <c r="H649"/>
  <c r="G705"/>
  <c r="G546"/>
  <c r="J578"/>
  <c r="G597"/>
  <c r="J630"/>
  <c r="J622" s="1"/>
  <c r="E36" i="12" s="1"/>
  <c r="G578" i="13"/>
  <c r="J377"/>
  <c r="H440"/>
  <c r="J564"/>
  <c r="H600"/>
  <c r="J597"/>
  <c r="G634"/>
  <c r="G645"/>
  <c r="G649"/>
  <c r="G633"/>
  <c r="G329"/>
  <c r="H396"/>
  <c r="H401"/>
  <c r="G441"/>
  <c r="H582"/>
  <c r="H594"/>
  <c r="G376"/>
  <c r="G542"/>
  <c r="J241"/>
  <c r="G600"/>
  <c r="J440"/>
  <c r="J433" s="1"/>
  <c r="E30" i="12" s="1"/>
  <c r="H542" i="13"/>
  <c r="G348"/>
  <c r="G414"/>
  <c r="J396"/>
  <c r="J414"/>
  <c r="G576"/>
  <c r="J343"/>
  <c r="H343"/>
  <c r="H349"/>
  <c r="G384"/>
  <c r="G499"/>
  <c r="H576"/>
  <c r="G322"/>
  <c r="H361"/>
  <c r="G427"/>
  <c r="H441"/>
  <c r="J500"/>
  <c r="G500"/>
  <c r="H297"/>
  <c r="G319"/>
  <c r="H344"/>
  <c r="H348"/>
  <c r="J381"/>
  <c r="J385"/>
  <c r="G530"/>
  <c r="H327"/>
  <c r="G268"/>
  <c r="J268"/>
  <c r="H328"/>
  <c r="J365"/>
  <c r="J353" s="1"/>
  <c r="E27" i="12" s="1"/>
  <c r="H365" i="13"/>
  <c r="H376"/>
  <c r="G381"/>
  <c r="H385"/>
  <c r="J304"/>
  <c r="G361"/>
  <c r="G366"/>
  <c r="G377"/>
  <c r="G400"/>
  <c r="G488"/>
  <c r="H503"/>
  <c r="J530"/>
  <c r="G503"/>
  <c r="H400"/>
  <c r="G286"/>
  <c r="G349"/>
  <c r="J344"/>
  <c r="H286"/>
  <c r="J327"/>
  <c r="J305"/>
  <c r="J329"/>
  <c r="H241"/>
  <c r="G283"/>
  <c r="H244"/>
  <c r="G267"/>
  <c r="J284"/>
  <c r="J275" s="1"/>
  <c r="E23" i="12" s="1"/>
  <c r="H283" i="13"/>
  <c r="G300"/>
  <c r="J300"/>
  <c r="J328"/>
  <c r="H259"/>
  <c r="J267"/>
  <c r="G284"/>
  <c r="J306"/>
  <c r="G306"/>
  <c r="J322"/>
  <c r="G297"/>
  <c r="G270"/>
  <c r="H270"/>
  <c r="J235"/>
  <c r="E21" i="12" s="1"/>
  <c r="B171" i="13"/>
  <c r="J171" s="1"/>
  <c r="B191"/>
  <c r="J191" s="1"/>
  <c r="J194"/>
  <c r="J193"/>
  <c r="J192"/>
  <c r="J190"/>
  <c r="J189"/>
  <c r="J188"/>
  <c r="J187"/>
  <c r="J186"/>
  <c r="J185"/>
  <c r="J184"/>
  <c r="J183"/>
  <c r="J182"/>
  <c r="J181"/>
  <c r="J180"/>
  <c r="J179"/>
  <c r="J178"/>
  <c r="J177"/>
  <c r="J176"/>
  <c r="J175"/>
  <c r="J174"/>
  <c r="J173"/>
  <c r="J172"/>
  <c r="J170"/>
  <c r="J169"/>
  <c r="J168"/>
  <c r="J167"/>
  <c r="J166"/>
  <c r="J165"/>
  <c r="J164"/>
  <c r="J163"/>
  <c r="J162"/>
  <c r="J161"/>
  <c r="J160"/>
  <c r="J159"/>
  <c r="J158"/>
  <c r="J157"/>
  <c r="J156"/>
  <c r="J155"/>
  <c r="J154"/>
  <c r="J153"/>
  <c r="J152"/>
  <c r="J151"/>
  <c r="J150"/>
  <c r="J149"/>
  <c r="J148"/>
  <c r="J147"/>
  <c r="J146"/>
  <c r="J145"/>
  <c r="J144"/>
  <c r="J143"/>
  <c r="J142"/>
  <c r="J141"/>
  <c r="J140"/>
  <c r="J139"/>
  <c r="J138"/>
  <c r="J137"/>
  <c r="J134"/>
  <c r="J133"/>
  <c r="J132"/>
  <c r="J131"/>
  <c r="J130"/>
  <c r="J129"/>
  <c r="J128"/>
  <c r="J127"/>
  <c r="J126"/>
  <c r="J125"/>
  <c r="J124"/>
  <c r="J121"/>
  <c r="J120"/>
  <c r="J119"/>
  <c r="J118"/>
  <c r="J117"/>
  <c r="J116"/>
  <c r="J115"/>
  <c r="J114"/>
  <c r="J113"/>
  <c r="J112"/>
  <c r="J111"/>
  <c r="J110"/>
  <c r="J109"/>
  <c r="J108"/>
  <c r="J107"/>
  <c r="J106"/>
  <c r="J105"/>
  <c r="J104"/>
  <c r="J103"/>
  <c r="B98"/>
  <c r="J98" s="1"/>
  <c r="J100"/>
  <c r="J99"/>
  <c r="J97"/>
  <c r="J96"/>
  <c r="J95"/>
  <c r="J94"/>
  <c r="J93"/>
  <c r="J92"/>
  <c r="J91"/>
  <c r="J88"/>
  <c r="J87"/>
  <c r="J86"/>
  <c r="J85"/>
  <c r="J84"/>
  <c r="J83"/>
  <c r="J82"/>
  <c r="J81"/>
  <c r="J80"/>
  <c r="B73"/>
  <c r="J73" s="1"/>
  <c r="J77"/>
  <c r="J76"/>
  <c r="J72"/>
  <c r="J69"/>
  <c r="J68"/>
  <c r="J67"/>
  <c r="J66"/>
  <c r="J65"/>
  <c r="J64"/>
  <c r="J63"/>
  <c r="B11"/>
  <c r="J11" s="1"/>
  <c r="B23"/>
  <c r="J23" s="1"/>
  <c r="B40"/>
  <c r="J40" s="1"/>
  <c r="J50"/>
  <c r="J49"/>
  <c r="J48"/>
  <c r="J47"/>
  <c r="J46"/>
  <c r="J45"/>
  <c r="J42"/>
  <c r="J41"/>
  <c r="J39"/>
  <c r="J38"/>
  <c r="J37"/>
  <c r="J36"/>
  <c r="J35"/>
  <c r="J32"/>
  <c r="J31"/>
  <c r="J30"/>
  <c r="J29"/>
  <c r="J28"/>
  <c r="J27"/>
  <c r="J24"/>
  <c r="J22"/>
  <c r="J21"/>
  <c r="J20"/>
  <c r="J12"/>
  <c r="J10"/>
  <c r="J9"/>
  <c r="J8"/>
  <c r="J244" i="11"/>
  <c r="E23" i="10" s="1"/>
  <c r="J227" i="11"/>
  <c r="E21" i="10" s="1"/>
  <c r="J215" i="11"/>
  <c r="E20" i="10" s="1"/>
  <c r="J198" i="11"/>
  <c r="E19" i="10" s="1"/>
  <c r="J186" i="11"/>
  <c r="E18" i="10" s="1"/>
  <c r="J165" i="11"/>
  <c r="E16" i="10" s="1"/>
  <c r="J145" i="11"/>
  <c r="E15" i="10" s="1"/>
  <c r="J131" i="11"/>
  <c r="E14" i="10" s="1"/>
  <c r="J119" i="11"/>
  <c r="E13" i="10" s="1"/>
  <c r="J105" i="11"/>
  <c r="E12" i="10" s="1"/>
  <c r="J84" i="11"/>
  <c r="E11" i="10" s="1"/>
  <c r="J65" i="11"/>
  <c r="E10" i="10" s="1"/>
  <c r="J50" i="11"/>
  <c r="E9" i="10" s="1"/>
  <c r="J36" i="11"/>
  <c r="E8" i="10" s="1"/>
  <c r="J23" i="11"/>
  <c r="E7" i="10" s="1"/>
  <c r="J16" i="11"/>
  <c r="E5" i="10" s="1"/>
  <c r="J10" i="11"/>
  <c r="E4" i="10" s="1"/>
  <c r="J247" i="11"/>
  <c r="J246"/>
  <c r="J245"/>
  <c r="J242"/>
  <c r="J241"/>
  <c r="J240"/>
  <c r="J239"/>
  <c r="J238"/>
  <c r="J237"/>
  <c r="J236"/>
  <c r="J235"/>
  <c r="J234"/>
  <c r="J233"/>
  <c r="J232"/>
  <c r="J231"/>
  <c r="J230"/>
  <c r="J229"/>
  <c r="J228"/>
  <c r="J225"/>
  <c r="J224"/>
  <c r="J223"/>
  <c r="J222"/>
  <c r="J221"/>
  <c r="J220"/>
  <c r="J219"/>
  <c r="J218"/>
  <c r="J217"/>
  <c r="J216"/>
  <c r="J213"/>
  <c r="J212"/>
  <c r="J211"/>
  <c r="J210"/>
  <c r="J209"/>
  <c r="J208"/>
  <c r="J207"/>
  <c r="J206"/>
  <c r="J205"/>
  <c r="J204"/>
  <c r="J203"/>
  <c r="J202"/>
  <c r="J201"/>
  <c r="J200"/>
  <c r="J199"/>
  <c r="J196"/>
  <c r="J195"/>
  <c r="J194"/>
  <c r="J193"/>
  <c r="J192"/>
  <c r="J191"/>
  <c r="J190"/>
  <c r="J189"/>
  <c r="J188"/>
  <c r="J187"/>
  <c r="J184"/>
  <c r="J183"/>
  <c r="J182"/>
  <c r="J181"/>
  <c r="J180"/>
  <c r="J179"/>
  <c r="J178"/>
  <c r="J177"/>
  <c r="J176"/>
  <c r="J175"/>
  <c r="J174"/>
  <c r="J173"/>
  <c r="J172"/>
  <c r="J171"/>
  <c r="J170"/>
  <c r="J169"/>
  <c r="J168"/>
  <c r="J167"/>
  <c r="J166"/>
  <c r="J163"/>
  <c r="J162"/>
  <c r="J161"/>
  <c r="J160"/>
  <c r="J159"/>
  <c r="J158"/>
  <c r="J157"/>
  <c r="J156"/>
  <c r="J155"/>
  <c r="J154"/>
  <c r="J153"/>
  <c r="J152"/>
  <c r="J151"/>
  <c r="J150"/>
  <c r="J149"/>
  <c r="J148"/>
  <c r="J147"/>
  <c r="J146"/>
  <c r="J143"/>
  <c r="J142"/>
  <c r="J141"/>
  <c r="J140"/>
  <c r="J139"/>
  <c r="J138"/>
  <c r="J137"/>
  <c r="J136"/>
  <c r="J135"/>
  <c r="J134"/>
  <c r="J133"/>
  <c r="J132"/>
  <c r="J129"/>
  <c r="J128"/>
  <c r="J127"/>
  <c r="J126"/>
  <c r="J125"/>
  <c r="J124"/>
  <c r="J123"/>
  <c r="J122"/>
  <c r="J121"/>
  <c r="J120"/>
  <c r="J117"/>
  <c r="J116"/>
  <c r="J115"/>
  <c r="J114"/>
  <c r="J113"/>
  <c r="J112"/>
  <c r="J111"/>
  <c r="J110"/>
  <c r="J109"/>
  <c r="J108"/>
  <c r="J107"/>
  <c r="J106"/>
  <c r="J103"/>
  <c r="J102"/>
  <c r="J101"/>
  <c r="J100"/>
  <c r="J99"/>
  <c r="J98"/>
  <c r="J97"/>
  <c r="J96"/>
  <c r="J95"/>
  <c r="J94"/>
  <c r="J93"/>
  <c r="J92"/>
  <c r="J91"/>
  <c r="J90"/>
  <c r="J89"/>
  <c r="J88"/>
  <c r="J87"/>
  <c r="J86"/>
  <c r="J85"/>
  <c r="J82"/>
  <c r="J81"/>
  <c r="J80"/>
  <c r="J79"/>
  <c r="J78"/>
  <c r="J77"/>
  <c r="J76"/>
  <c r="J75"/>
  <c r="J74"/>
  <c r="J73"/>
  <c r="J72"/>
  <c r="J71"/>
  <c r="J70"/>
  <c r="J69"/>
  <c r="J68"/>
  <c r="J67"/>
  <c r="J66"/>
  <c r="J63"/>
  <c r="J62"/>
  <c r="J61"/>
  <c r="J60"/>
  <c r="J59"/>
  <c r="J58"/>
  <c r="J57"/>
  <c r="J56"/>
  <c r="J55"/>
  <c r="J54"/>
  <c r="J53"/>
  <c r="J52"/>
  <c r="J51"/>
  <c r="J48"/>
  <c r="J47"/>
  <c r="J46"/>
  <c r="J45"/>
  <c r="J44"/>
  <c r="J43"/>
  <c r="J42"/>
  <c r="J41"/>
  <c r="J40"/>
  <c r="J39"/>
  <c r="J38"/>
  <c r="J37"/>
  <c r="J34"/>
  <c r="J33"/>
  <c r="J32"/>
  <c r="J31"/>
  <c r="J30"/>
  <c r="J29"/>
  <c r="J28"/>
  <c r="J27"/>
  <c r="J26"/>
  <c r="J25"/>
  <c r="J24"/>
  <c r="J19"/>
  <c r="J18"/>
  <c r="J17"/>
  <c r="J13"/>
  <c r="J12"/>
  <c r="J11"/>
  <c r="J8"/>
  <c r="J7"/>
  <c r="J6"/>
  <c r="J5"/>
  <c r="J4"/>
  <c r="J3"/>
  <c r="J53" i="9"/>
  <c r="J52" s="1"/>
  <c r="E10" i="8" s="1"/>
  <c r="J45" i="9"/>
  <c r="J44" s="1"/>
  <c r="E9" i="8" s="1"/>
  <c r="J2" i="11" l="1"/>
  <c r="E3" i="10" s="1"/>
  <c r="J569" i="13"/>
  <c r="E33" i="12" s="1"/>
  <c r="J1332" i="13"/>
  <c r="E66" i="12" s="1"/>
  <c r="J1421" i="13"/>
  <c r="E72" i="12" s="1"/>
  <c r="J1314" i="13"/>
  <c r="E65" i="12" s="1"/>
  <c r="J1277" i="13"/>
  <c r="E63" i="12" s="1"/>
  <c r="J1073" i="13"/>
  <c r="E54" i="12" s="1"/>
  <c r="J823" i="13"/>
  <c r="E44" i="12" s="1"/>
  <c r="J587" i="13"/>
  <c r="E34" i="12" s="1"/>
  <c r="J606" i="13"/>
  <c r="E35" i="12" s="1"/>
  <c r="J733" i="13"/>
  <c r="E39" i="12" s="1"/>
  <c r="J536" i="13"/>
  <c r="E32" i="12" s="1"/>
  <c r="J390" i="13"/>
  <c r="E29" i="12" s="1"/>
  <c r="J370" i="13"/>
  <c r="E28" i="12" s="1"/>
  <c r="J334" i="13"/>
  <c r="E26" i="12" s="1"/>
  <c r="J493" i="13"/>
  <c r="E31" i="12" s="1"/>
  <c r="J264" i="13"/>
  <c r="E22" i="12" s="1"/>
  <c r="J311" i="13"/>
  <c r="E25" i="12" s="1"/>
  <c r="J290" i="13"/>
  <c r="E24" i="12" s="1"/>
  <c r="J75" i="13"/>
  <c r="E13" i="12" s="1"/>
  <c r="J7" i="13"/>
  <c r="E4" i="12" s="1"/>
  <c r="J34" i="13"/>
  <c r="E8" i="12" s="1"/>
  <c r="J71" i="13"/>
  <c r="E12" i="12" s="1"/>
  <c r="J62" i="13"/>
  <c r="E11" i="12" s="1"/>
  <c r="J102" i="13"/>
  <c r="E17" i="12" s="1"/>
  <c r="J44" i="13"/>
  <c r="E9" i="12" s="1"/>
  <c r="J79" i="13"/>
  <c r="E14" i="12" s="1"/>
  <c r="J123" i="13"/>
  <c r="E18" i="12" s="1"/>
  <c r="J19" i="13"/>
  <c r="E6" i="12" s="1"/>
  <c r="J26" i="13"/>
  <c r="E7" i="12" s="1"/>
  <c r="J90" i="13"/>
  <c r="E15" i="12" s="1"/>
  <c r="J136" i="13"/>
  <c r="E19" i="12" s="1"/>
  <c r="J37" i="9"/>
  <c r="J36" s="1"/>
  <c r="E8" i="8" s="1"/>
  <c r="J34" i="9"/>
  <c r="J33"/>
  <c r="J32"/>
  <c r="J29"/>
  <c r="J28"/>
  <c r="J27"/>
  <c r="J26"/>
  <c r="J25"/>
  <c r="J24"/>
  <c r="J23"/>
  <c r="J20"/>
  <c r="J19"/>
  <c r="J18"/>
  <c r="J17"/>
  <c r="J16"/>
  <c r="J15"/>
  <c r="J14" s="1"/>
  <c r="E5" i="8" s="1"/>
  <c r="J11" i="9"/>
  <c r="J10" s="1"/>
  <c r="E4" i="8" s="1"/>
  <c r="J8" i="9"/>
  <c r="J7"/>
  <c r="J6"/>
  <c r="J5"/>
  <c r="J4"/>
  <c r="J3"/>
  <c r="J789" i="2"/>
  <c r="J788"/>
  <c r="J787"/>
  <c r="J786"/>
  <c r="J785"/>
  <c r="J784"/>
  <c r="J783"/>
  <c r="J782"/>
  <c r="J781"/>
  <c r="J780"/>
  <c r="J779"/>
  <c r="J778"/>
  <c r="J777"/>
  <c r="J776"/>
  <c r="J775"/>
  <c r="J774"/>
  <c r="J773"/>
  <c r="J772"/>
  <c r="J771"/>
  <c r="J770"/>
  <c r="J769"/>
  <c r="J768"/>
  <c r="J767"/>
  <c r="J766"/>
  <c r="J765"/>
  <c r="J764"/>
  <c r="J763"/>
  <c r="J762"/>
  <c r="J761"/>
  <c r="J760"/>
  <c r="J759"/>
  <c r="J758"/>
  <c r="J757"/>
  <c r="J756"/>
  <c r="J755"/>
  <c r="J754"/>
  <c r="J753"/>
  <c r="J752"/>
  <c r="J749"/>
  <c r="J748"/>
  <c r="J747"/>
  <c r="J746"/>
  <c r="J745"/>
  <c r="J744"/>
  <c r="J743"/>
  <c r="J742"/>
  <c r="J741"/>
  <c r="J740"/>
  <c r="J739"/>
  <c r="J738"/>
  <c r="J737"/>
  <c r="J736"/>
  <c r="J735"/>
  <c r="J734"/>
  <c r="J733"/>
  <c r="J732"/>
  <c r="J731"/>
  <c r="J730"/>
  <c r="J729"/>
  <c r="J728"/>
  <c r="J727"/>
  <c r="J726"/>
  <c r="J725"/>
  <c r="J724"/>
  <c r="J723"/>
  <c r="J722"/>
  <c r="J721"/>
  <c r="J720"/>
  <c r="J719"/>
  <c r="J718"/>
  <c r="J717"/>
  <c r="J716"/>
  <c r="J715"/>
  <c r="J714"/>
  <c r="J713"/>
  <c r="J712"/>
  <c r="J711"/>
  <c r="J710"/>
  <c r="J709"/>
  <c r="J708"/>
  <c r="J707"/>
  <c r="J706"/>
  <c r="J705"/>
  <c r="J704"/>
  <c r="J703"/>
  <c r="J702"/>
  <c r="J701"/>
  <c r="J700"/>
  <c r="J699"/>
  <c r="J698"/>
  <c r="J697"/>
  <c r="J696"/>
  <c r="J695"/>
  <c r="J694"/>
  <c r="J693"/>
  <c r="J690"/>
  <c r="J689"/>
  <c r="J688"/>
  <c r="J687"/>
  <c r="J684"/>
  <c r="J683"/>
  <c r="J682"/>
  <c r="J681"/>
  <c r="J678"/>
  <c r="J677"/>
  <c r="J676"/>
  <c r="J675"/>
  <c r="J672"/>
  <c r="J671"/>
  <c r="J670"/>
  <c r="J669"/>
  <c r="J668"/>
  <c r="J667"/>
  <c r="J666"/>
  <c r="J665"/>
  <c r="J664"/>
  <c r="J663"/>
  <c r="J662"/>
  <c r="J659"/>
  <c r="J658"/>
  <c r="J657"/>
  <c r="J656"/>
  <c r="J655"/>
  <c r="J654"/>
  <c r="J651"/>
  <c r="J650"/>
  <c r="J649"/>
  <c r="J648"/>
  <c r="J647"/>
  <c r="J646"/>
  <c r="J643"/>
  <c r="J642"/>
  <c r="J641"/>
  <c r="J640"/>
  <c r="J639"/>
  <c r="J636"/>
  <c r="J635"/>
  <c r="J634"/>
  <c r="J633"/>
  <c r="J632"/>
  <c r="J631"/>
  <c r="J630" s="1"/>
  <c r="E28" i="1" s="1"/>
  <c r="J628" i="2"/>
  <c r="J627"/>
  <c r="J626"/>
  <c r="J625"/>
  <c r="J624"/>
  <c r="J623"/>
  <c r="J620"/>
  <c r="J619"/>
  <c r="J618"/>
  <c r="J617"/>
  <c r="J616"/>
  <c r="J615"/>
  <c r="J614"/>
  <c r="J613"/>
  <c r="J612"/>
  <c r="J611"/>
  <c r="J610"/>
  <c r="J609"/>
  <c r="J608"/>
  <c r="J607"/>
  <c r="J606"/>
  <c r="J605"/>
  <c r="J604"/>
  <c r="J603"/>
  <c r="J602"/>
  <c r="J601"/>
  <c r="J600"/>
  <c r="J599"/>
  <c r="J598" s="1"/>
  <c r="E39" i="1" s="1"/>
  <c r="J596" i="2"/>
  <c r="J595"/>
  <c r="J594"/>
  <c r="J593"/>
  <c r="J592"/>
  <c r="J591"/>
  <c r="J590"/>
  <c r="J589"/>
  <c r="J588"/>
  <c r="J587"/>
  <c r="J586"/>
  <c r="J585"/>
  <c r="J584"/>
  <c r="J583"/>
  <c r="J582"/>
  <c r="J581"/>
  <c r="J580"/>
  <c r="J579"/>
  <c r="J578"/>
  <c r="J577"/>
  <c r="J576"/>
  <c r="J575"/>
  <c r="J574"/>
  <c r="J573"/>
  <c r="J572" s="1"/>
  <c r="E38" i="1" s="1"/>
  <c r="J570" i="2"/>
  <c r="J569"/>
  <c r="J568"/>
  <c r="J567"/>
  <c r="J566"/>
  <c r="J565"/>
  <c r="J564"/>
  <c r="J563"/>
  <c r="J562"/>
  <c r="J561"/>
  <c r="J560"/>
  <c r="J559"/>
  <c r="J558"/>
  <c r="J557"/>
  <c r="J556"/>
  <c r="J555"/>
  <c r="J554"/>
  <c r="J553"/>
  <c r="J552"/>
  <c r="J551"/>
  <c r="J550"/>
  <c r="J549"/>
  <c r="J548"/>
  <c r="J547"/>
  <c r="J546"/>
  <c r="J545"/>
  <c r="J544"/>
  <c r="J543"/>
  <c r="J542"/>
  <c r="J541"/>
  <c r="J540"/>
  <c r="J539"/>
  <c r="J538"/>
  <c r="J537"/>
  <c r="J536"/>
  <c r="J535"/>
  <c r="J534" s="1"/>
  <c r="E37" i="1" s="1"/>
  <c r="J530" i="2"/>
  <c r="J529"/>
  <c r="J528"/>
  <c r="J525"/>
  <c r="J524"/>
  <c r="J523"/>
  <c r="J521" s="1"/>
  <c r="E41" i="1" s="1"/>
  <c r="J522" i="2"/>
  <c r="J519"/>
  <c r="J518"/>
  <c r="J517"/>
  <c r="J516"/>
  <c r="J515"/>
  <c r="J514"/>
  <c r="J513"/>
  <c r="J512"/>
  <c r="J511"/>
  <c r="J510"/>
  <c r="J509"/>
  <c r="J508"/>
  <c r="J507"/>
  <c r="J506"/>
  <c r="J505"/>
  <c r="J504"/>
  <c r="J503"/>
  <c r="J502"/>
  <c r="J501"/>
  <c r="J500"/>
  <c r="J499"/>
  <c r="J498"/>
  <c r="J497"/>
  <c r="J496"/>
  <c r="J495"/>
  <c r="J494"/>
  <c r="J493"/>
  <c r="J492"/>
  <c r="J491"/>
  <c r="J490"/>
  <c r="J489"/>
  <c r="J488"/>
  <c r="J487"/>
  <c r="J486"/>
  <c r="J485"/>
  <c r="J484"/>
  <c r="J483"/>
  <c r="J482"/>
  <c r="J481"/>
  <c r="J480"/>
  <c r="J479"/>
  <c r="J478"/>
  <c r="J477"/>
  <c r="J476"/>
  <c r="J475"/>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5" s="1"/>
  <c r="E5" i="1" s="1"/>
  <c r="J406" i="2"/>
  <c r="J403"/>
  <c r="J402"/>
  <c r="J401"/>
  <c r="J400"/>
  <c r="J399"/>
  <c r="J398"/>
  <c r="J397"/>
  <c r="J396"/>
  <c r="J395"/>
  <c r="J394"/>
  <c r="J391"/>
  <c r="J390"/>
  <c r="J389"/>
  <c r="J388"/>
  <c r="J387"/>
  <c r="J386" s="1"/>
  <c r="E24" i="1" s="1"/>
  <c r="J384" i="2"/>
  <c r="J383"/>
  <c r="J382"/>
  <c r="J381"/>
  <c r="J380" s="1"/>
  <c r="E23" i="1" s="1"/>
  <c r="J378" i="2"/>
  <c r="J377"/>
  <c r="J376"/>
  <c r="J375"/>
  <c r="J371" s="1"/>
  <c r="J374"/>
  <c r="J373"/>
  <c r="J372"/>
  <c r="J369"/>
  <c r="J368"/>
  <c r="J367"/>
  <c r="J366"/>
  <c r="J365"/>
  <c r="J364" s="1"/>
  <c r="E21" i="1" s="1"/>
  <c r="J362" i="2"/>
  <c r="J361"/>
  <c r="J360"/>
  <c r="J359"/>
  <c r="J358"/>
  <c r="J357"/>
  <c r="J356"/>
  <c r="J355"/>
  <c r="J354"/>
  <c r="J353"/>
  <c r="J352"/>
  <c r="J351"/>
  <c r="J350" s="1"/>
  <c r="E20" i="1" s="1"/>
  <c r="J348" i="2"/>
  <c r="J347"/>
  <c r="J346"/>
  <c r="J345"/>
  <c r="J344"/>
  <c r="J343"/>
  <c r="J342"/>
  <c r="J341"/>
  <c r="J340"/>
  <c r="J339"/>
  <c r="J338"/>
  <c r="J337"/>
  <c r="J336"/>
  <c r="J333"/>
  <c r="J332"/>
  <c r="J331"/>
  <c r="J330"/>
  <c r="J329" s="1"/>
  <c r="E18" i="1" s="1"/>
  <c r="J327" i="2"/>
  <c r="J326"/>
  <c r="J325"/>
  <c r="J324"/>
  <c r="J323"/>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29" s="1"/>
  <c r="E10" i="1" s="1"/>
  <c r="J230" i="2"/>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1"/>
  <c r="J80"/>
  <c r="J79"/>
  <c r="J78"/>
  <c r="J77"/>
  <c r="J76"/>
  <c r="J75"/>
  <c r="J74"/>
  <c r="J73"/>
  <c r="J72"/>
  <c r="J71"/>
  <c r="J70"/>
  <c r="J69"/>
  <c r="J68"/>
  <c r="J67"/>
  <c r="J66"/>
  <c r="J65"/>
  <c r="J64"/>
  <c r="J63"/>
  <c r="J60"/>
  <c r="J59"/>
  <c r="J58"/>
  <c r="J57"/>
  <c r="J56"/>
  <c r="J55"/>
  <c r="J54"/>
  <c r="J53"/>
  <c r="J52"/>
  <c r="J51"/>
  <c r="J50"/>
  <c r="J49"/>
  <c r="J48"/>
  <c r="J47"/>
  <c r="J46"/>
  <c r="J45"/>
  <c r="J44"/>
  <c r="J43"/>
  <c r="J42"/>
  <c r="J41"/>
  <c r="J40"/>
  <c r="J39"/>
  <c r="J38"/>
  <c r="J37"/>
  <c r="J36"/>
  <c r="J35"/>
  <c r="J32"/>
  <c r="J31"/>
  <c r="J30"/>
  <c r="J29" s="1"/>
  <c r="E15" i="1" s="1"/>
  <c r="J27" i="2"/>
  <c r="J26"/>
  <c r="J25"/>
  <c r="J24"/>
  <c r="J23"/>
  <c r="J22"/>
  <c r="J21"/>
  <c r="J20"/>
  <c r="J11"/>
  <c r="J10"/>
  <c r="J9"/>
  <c r="J8"/>
  <c r="J7"/>
  <c r="J6"/>
  <c r="J5"/>
  <c r="J4"/>
  <c r="J3"/>
  <c r="J2" s="1"/>
  <c r="E12" i="1" s="1"/>
  <c r="J16" i="2"/>
  <c r="J15"/>
  <c r="J14"/>
  <c r="J13" s="1"/>
  <c r="E13" i="1" s="1"/>
  <c r="J17" i="2"/>
  <c r="D49" i="1"/>
  <c r="C49"/>
  <c r="D48"/>
  <c r="C48"/>
  <c r="D47"/>
  <c r="C47"/>
  <c r="D46"/>
  <c r="C46"/>
  <c r="D45"/>
  <c r="C45"/>
  <c r="D44"/>
  <c r="C44"/>
  <c r="D42"/>
  <c r="C42"/>
  <c r="D41"/>
  <c r="C41"/>
  <c r="D39"/>
  <c r="C39"/>
  <c r="D38"/>
  <c r="C38"/>
  <c r="D37"/>
  <c r="C37"/>
  <c r="D35"/>
  <c r="C35"/>
  <c r="D34"/>
  <c r="C34"/>
  <c r="D33"/>
  <c r="C33"/>
  <c r="D32"/>
  <c r="C32"/>
  <c r="D31"/>
  <c r="C31"/>
  <c r="D30"/>
  <c r="C30"/>
  <c r="D29"/>
  <c r="C29"/>
  <c r="D28"/>
  <c r="C28"/>
  <c r="D27"/>
  <c r="C27"/>
  <c r="D25"/>
  <c r="C25"/>
  <c r="D24"/>
  <c r="C24"/>
  <c r="D23"/>
  <c r="C23"/>
  <c r="D22"/>
  <c r="C22"/>
  <c r="D21"/>
  <c r="C21"/>
  <c r="D20"/>
  <c r="C20"/>
  <c r="D19"/>
  <c r="C19"/>
  <c r="D18"/>
  <c r="C18"/>
  <c r="D17"/>
  <c r="C17"/>
  <c r="D15"/>
  <c r="C15"/>
  <c r="D14"/>
  <c r="C14"/>
  <c r="D13"/>
  <c r="C13"/>
  <c r="D12"/>
  <c r="C12"/>
  <c r="G8" i="4"/>
  <c r="H8"/>
  <c r="G9"/>
  <c r="H9"/>
  <c r="G14"/>
  <c r="H14"/>
  <c r="G15"/>
  <c r="H15"/>
  <c r="G16"/>
  <c r="H16"/>
  <c r="G17"/>
  <c r="H17"/>
  <c r="G18"/>
  <c r="H18"/>
  <c r="G19"/>
  <c r="H19"/>
  <c r="G20"/>
  <c r="H20"/>
  <c r="G21"/>
  <c r="H21"/>
  <c r="G22"/>
  <c r="H22"/>
  <c r="G23"/>
  <c r="H23"/>
  <c r="G24"/>
  <c r="H24"/>
  <c r="G25"/>
  <c r="H25"/>
  <c r="G26"/>
  <c r="H26"/>
  <c r="G27"/>
  <c r="H27"/>
  <c r="G28"/>
  <c r="H28"/>
  <c r="G29"/>
  <c r="H29"/>
  <c r="G30"/>
  <c r="H30"/>
  <c r="G31"/>
  <c r="H31"/>
  <c r="G32"/>
  <c r="H32"/>
  <c r="G33"/>
  <c r="H33"/>
  <c r="G34"/>
  <c r="H34"/>
  <c r="G35"/>
  <c r="H35"/>
  <c r="G36"/>
  <c r="H36"/>
  <c r="G37"/>
  <c r="H37"/>
  <c r="G38"/>
  <c r="H38"/>
  <c r="G39"/>
  <c r="H39"/>
  <c r="G40"/>
  <c r="H40"/>
  <c r="G41"/>
  <c r="H41"/>
  <c r="G42"/>
  <c r="H42"/>
  <c r="G43"/>
  <c r="H43"/>
  <c r="G44"/>
  <c r="H44"/>
  <c r="G45"/>
  <c r="H45"/>
  <c r="G46"/>
  <c r="H46"/>
  <c r="G47"/>
  <c r="H47"/>
  <c r="G48"/>
  <c r="H48"/>
  <c r="G49"/>
  <c r="H49"/>
  <c r="G50"/>
  <c r="H50"/>
  <c r="G51"/>
  <c r="H51"/>
  <c r="G52"/>
  <c r="H52"/>
  <c r="G53"/>
  <c r="H53"/>
  <c r="G54"/>
  <c r="H54"/>
  <c r="G55"/>
  <c r="H55"/>
  <c r="G56"/>
  <c r="H56"/>
  <c r="G57"/>
  <c r="H57"/>
  <c r="G58"/>
  <c r="H58"/>
  <c r="G59"/>
  <c r="H59"/>
  <c r="G60"/>
  <c r="H60"/>
  <c r="G61"/>
  <c r="H61"/>
  <c r="G62"/>
  <c r="H62"/>
  <c r="G63"/>
  <c r="H63"/>
  <c r="G64"/>
  <c r="H64"/>
  <c r="G65"/>
  <c r="H65"/>
  <c r="G66"/>
  <c r="H66"/>
  <c r="G67"/>
  <c r="H67"/>
  <c r="G68"/>
  <c r="H68"/>
  <c r="G69"/>
  <c r="H69"/>
  <c r="G70"/>
  <c r="H70"/>
  <c r="G71"/>
  <c r="H71"/>
  <c r="G72"/>
  <c r="H72"/>
  <c r="G73"/>
  <c r="H73"/>
  <c r="G74"/>
  <c r="H74"/>
  <c r="G75"/>
  <c r="H75"/>
  <c r="G76"/>
  <c r="H76"/>
  <c r="G77"/>
  <c r="H77"/>
  <c r="G78"/>
  <c r="H78"/>
  <c r="G79"/>
  <c r="H79"/>
  <c r="G80"/>
  <c r="H80"/>
  <c r="G81"/>
  <c r="H81"/>
  <c r="G82"/>
  <c r="H82"/>
  <c r="G83"/>
  <c r="H83"/>
  <c r="G84"/>
  <c r="H84"/>
  <c r="G85"/>
  <c r="H85"/>
  <c r="G86"/>
  <c r="H86"/>
  <c r="G87"/>
  <c r="H87"/>
  <c r="G88"/>
  <c r="H88"/>
  <c r="G89"/>
  <c r="H89"/>
  <c r="G90"/>
  <c r="H90"/>
  <c r="G91"/>
  <c r="H91"/>
  <c r="G92"/>
  <c r="H92"/>
  <c r="G93"/>
  <c r="H93"/>
  <c r="G94"/>
  <c r="H94"/>
  <c r="G95"/>
  <c r="H95"/>
  <c r="G96"/>
  <c r="H96"/>
  <c r="G97"/>
  <c r="H97"/>
  <c r="G98"/>
  <c r="H98"/>
  <c r="G99"/>
  <c r="H99"/>
  <c r="G100"/>
  <c r="H100"/>
  <c r="G101"/>
  <c r="H101"/>
  <c r="G102"/>
  <c r="H102"/>
  <c r="G103"/>
  <c r="H103"/>
  <c r="G104"/>
  <c r="H104"/>
  <c r="G105"/>
  <c r="H105"/>
  <c r="G106"/>
  <c r="H106"/>
  <c r="G107"/>
  <c r="H107"/>
  <c r="G108"/>
  <c r="H108"/>
  <c r="F67" i="6"/>
  <c r="J2" i="9" l="1"/>
  <c r="E3" i="8" s="1"/>
  <c r="J31" i="9"/>
  <c r="E7" i="8" s="1"/>
  <c r="J22" i="9"/>
  <c r="E6" i="8" s="1"/>
  <c r="J62" i="2"/>
  <c r="E4" i="1" s="1"/>
  <c r="J393" i="2"/>
  <c r="E25" i="1" s="1"/>
  <c r="J751" i="2"/>
  <c r="E8" i="1" s="1"/>
  <c r="J322" i="2"/>
  <c r="E17" i="1" s="1"/>
  <c r="J474" i="2"/>
  <c r="E6" i="1" s="1"/>
  <c r="J34" i="2"/>
  <c r="E3" i="1" s="1"/>
  <c r="J19" i="2"/>
  <c r="E14" i="1" s="1"/>
  <c r="J83" i="2"/>
  <c r="E9" i="1" s="1"/>
  <c r="J335" i="2"/>
  <c r="E19" i="1" s="1"/>
  <c r="J527" i="2"/>
  <c r="E42" i="1" s="1"/>
  <c r="J653" i="2"/>
  <c r="E31" i="1" s="1"/>
  <c r="J622" i="2"/>
  <c r="E27" i="1" s="1"/>
  <c r="J638" i="2"/>
  <c r="E29" i="1" s="1"/>
  <c r="J645" i="2"/>
  <c r="E30" i="1" s="1"/>
  <c r="J661" i="2"/>
  <c r="E32" i="1" s="1"/>
  <c r="J674" i="2"/>
  <c r="E33" i="1" s="1"/>
  <c r="J680" i="2"/>
  <c r="E34" i="1" s="1"/>
  <c r="J686" i="2"/>
  <c r="E35" i="1" s="1"/>
  <c r="J692" i="2"/>
  <c r="E7" i="1" s="1"/>
  <c r="A45" i="14"/>
  <c r="C233" i="13"/>
  <c r="B233"/>
  <c r="C232"/>
  <c r="B232"/>
  <c r="C231"/>
  <c r="B231"/>
  <c r="C230"/>
  <c r="B230"/>
  <c r="C229"/>
  <c r="B229"/>
  <c r="F228"/>
  <c r="C228"/>
  <c r="B228"/>
  <c r="C227"/>
  <c r="B227"/>
  <c r="C226"/>
  <c r="B226"/>
  <c r="C225"/>
  <c r="B225"/>
  <c r="F224"/>
  <c r="C224"/>
  <c r="B224"/>
  <c r="C223"/>
  <c r="B223"/>
  <c r="C222"/>
  <c r="B222"/>
  <c r="F221"/>
  <c r="C221"/>
  <c r="B221"/>
  <c r="C220"/>
  <c r="B220"/>
  <c r="C219"/>
  <c r="B219"/>
  <c r="C218"/>
  <c r="B218"/>
  <c r="C217"/>
  <c r="B217"/>
  <c r="C216"/>
  <c r="B216"/>
  <c r="C215"/>
  <c r="B215"/>
  <c r="C214"/>
  <c r="B214"/>
  <c r="F213"/>
  <c r="C213"/>
  <c r="B213"/>
  <c r="C212"/>
  <c r="B212"/>
  <c r="C211"/>
  <c r="B211"/>
  <c r="C210"/>
  <c r="B210"/>
  <c r="C209"/>
  <c r="B209"/>
  <c r="F208"/>
  <c r="C208"/>
  <c r="B208"/>
  <c r="C207"/>
  <c r="B207"/>
  <c r="C206"/>
  <c r="B206"/>
  <c r="C205"/>
  <c r="B205"/>
  <c r="C204"/>
  <c r="B204"/>
  <c r="C203"/>
  <c r="B203"/>
  <c r="B202"/>
  <c r="C201"/>
  <c r="B201"/>
  <c r="C200"/>
  <c r="B200"/>
  <c r="C199"/>
  <c r="B199"/>
  <c r="C198"/>
  <c r="B198"/>
  <c r="C197"/>
  <c r="B197"/>
  <c r="H194"/>
  <c r="G194"/>
  <c r="H193"/>
  <c r="G193"/>
  <c r="H192"/>
  <c r="G192"/>
  <c r="H191"/>
  <c r="G191"/>
  <c r="H190"/>
  <c r="G190"/>
  <c r="H189"/>
  <c r="G189"/>
  <c r="H188"/>
  <c r="G188"/>
  <c r="H187"/>
  <c r="G187"/>
  <c r="H186"/>
  <c r="G186"/>
  <c r="H185"/>
  <c r="G185"/>
  <c r="H184"/>
  <c r="G184"/>
  <c r="H183"/>
  <c r="G183"/>
  <c r="H182"/>
  <c r="G182"/>
  <c r="H181"/>
  <c r="G181"/>
  <c r="H180"/>
  <c r="G180"/>
  <c r="H179"/>
  <c r="G179"/>
  <c r="H178"/>
  <c r="G178"/>
  <c r="H177"/>
  <c r="G177"/>
  <c r="H176"/>
  <c r="G176"/>
  <c r="H175"/>
  <c r="G175"/>
  <c r="H174"/>
  <c r="G174"/>
  <c r="H173"/>
  <c r="G173"/>
  <c r="H172"/>
  <c r="G172"/>
  <c r="H171"/>
  <c r="G171"/>
  <c r="H170"/>
  <c r="G170"/>
  <c r="H169"/>
  <c r="G169"/>
  <c r="H168"/>
  <c r="G168"/>
  <c r="H167"/>
  <c r="G167"/>
  <c r="H166"/>
  <c r="G166"/>
  <c r="H165"/>
  <c r="G165"/>
  <c r="H164"/>
  <c r="G164"/>
  <c r="H163"/>
  <c r="G163"/>
  <c r="H162"/>
  <c r="G162"/>
  <c r="H161"/>
  <c r="G161"/>
  <c r="H160"/>
  <c r="G160"/>
  <c r="H159"/>
  <c r="G159"/>
  <c r="H158"/>
  <c r="G158"/>
  <c r="H157"/>
  <c r="G157"/>
  <c r="H156"/>
  <c r="G156"/>
  <c r="H155"/>
  <c r="G155"/>
  <c r="H154"/>
  <c r="G154"/>
  <c r="H153"/>
  <c r="G153"/>
  <c r="H152"/>
  <c r="G152"/>
  <c r="H151"/>
  <c r="G151"/>
  <c r="H150"/>
  <c r="G150"/>
  <c r="H149"/>
  <c r="G149"/>
  <c r="H148"/>
  <c r="G148"/>
  <c r="H147"/>
  <c r="G147"/>
  <c r="H146"/>
  <c r="G146"/>
  <c r="H145"/>
  <c r="G145"/>
  <c r="H144"/>
  <c r="G144"/>
  <c r="H143"/>
  <c r="G143"/>
  <c r="H142"/>
  <c r="G142"/>
  <c r="H141"/>
  <c r="G141"/>
  <c r="H140"/>
  <c r="G140"/>
  <c r="H139"/>
  <c r="G139"/>
  <c r="H138"/>
  <c r="G138"/>
  <c r="H137"/>
  <c r="G137"/>
  <c r="H134"/>
  <c r="G134"/>
  <c r="H133"/>
  <c r="G133"/>
  <c r="H132"/>
  <c r="G132"/>
  <c r="H131"/>
  <c r="G131"/>
  <c r="H130"/>
  <c r="G130"/>
  <c r="H129"/>
  <c r="G129"/>
  <c r="H128"/>
  <c r="G128"/>
  <c r="H127"/>
  <c r="G127"/>
  <c r="H126"/>
  <c r="G126"/>
  <c r="H125"/>
  <c r="G125"/>
  <c r="H124"/>
  <c r="G124"/>
  <c r="H121"/>
  <c r="G121"/>
  <c r="H120"/>
  <c r="G120"/>
  <c r="H119"/>
  <c r="G119"/>
  <c r="H118"/>
  <c r="G118"/>
  <c r="H117"/>
  <c r="G117"/>
  <c r="H116"/>
  <c r="G116"/>
  <c r="H115"/>
  <c r="G115"/>
  <c r="H114"/>
  <c r="G114"/>
  <c r="H113"/>
  <c r="G113"/>
  <c r="H112"/>
  <c r="G112"/>
  <c r="H111"/>
  <c r="G111"/>
  <c r="H110"/>
  <c r="G110"/>
  <c r="H109"/>
  <c r="G109"/>
  <c r="H108"/>
  <c r="G108"/>
  <c r="H107"/>
  <c r="G107"/>
  <c r="H106"/>
  <c r="G106"/>
  <c r="H105"/>
  <c r="G105"/>
  <c r="H104"/>
  <c r="G104"/>
  <c r="H103"/>
  <c r="G103"/>
  <c r="H100"/>
  <c r="G100"/>
  <c r="H99"/>
  <c r="G99"/>
  <c r="H98"/>
  <c r="G98"/>
  <c r="H97"/>
  <c r="G97"/>
  <c r="H96"/>
  <c r="G96"/>
  <c r="H95"/>
  <c r="G95"/>
  <c r="H94"/>
  <c r="G94"/>
  <c r="H93"/>
  <c r="G93"/>
  <c r="H92"/>
  <c r="G92"/>
  <c r="H91"/>
  <c r="G91"/>
  <c r="H88"/>
  <c r="G88"/>
  <c r="H87"/>
  <c r="G87"/>
  <c r="H86"/>
  <c r="G86"/>
  <c r="H85"/>
  <c r="G85"/>
  <c r="H84"/>
  <c r="G84"/>
  <c r="H83"/>
  <c r="G83"/>
  <c r="H82"/>
  <c r="G82"/>
  <c r="H81"/>
  <c r="G81"/>
  <c r="H80"/>
  <c r="G80"/>
  <c r="H77"/>
  <c r="G77"/>
  <c r="H76"/>
  <c r="G76"/>
  <c r="H73"/>
  <c r="G73"/>
  <c r="H72"/>
  <c r="G72"/>
  <c r="H69"/>
  <c r="G69"/>
  <c r="H68"/>
  <c r="G68"/>
  <c r="H67"/>
  <c r="G67"/>
  <c r="H66"/>
  <c r="G66"/>
  <c r="H65"/>
  <c r="G65"/>
  <c r="H64"/>
  <c r="G64"/>
  <c r="H63"/>
  <c r="G63"/>
  <c r="C60"/>
  <c r="B60"/>
  <c r="C59"/>
  <c r="B59"/>
  <c r="C58"/>
  <c r="B58"/>
  <c r="C57"/>
  <c r="B57"/>
  <c r="C56"/>
  <c r="B56"/>
  <c r="C55"/>
  <c r="B55"/>
  <c r="C54"/>
  <c r="B54"/>
  <c r="C53"/>
  <c r="B53"/>
  <c r="A53"/>
  <c r="A72"/>
  <c r="A197"/>
  <c r="A80"/>
  <c r="A76"/>
  <c r="A63"/>
  <c r="A137"/>
  <c r="A91"/>
  <c r="A124"/>
  <c r="A103"/>
  <c r="J197" l="1"/>
  <c r="H197"/>
  <c r="G197"/>
  <c r="J201"/>
  <c r="H201"/>
  <c r="G201"/>
  <c r="J204"/>
  <c r="G204"/>
  <c r="H204"/>
  <c r="J208"/>
  <c r="G208"/>
  <c r="H208"/>
  <c r="J209"/>
  <c r="H209"/>
  <c r="G209"/>
  <c r="J213"/>
  <c r="H213"/>
  <c r="G213"/>
  <c r="J214"/>
  <c r="G214"/>
  <c r="H214"/>
  <c r="J218"/>
  <c r="G218"/>
  <c r="H218"/>
  <c r="J223"/>
  <c r="H223"/>
  <c r="G223"/>
  <c r="J228"/>
  <c r="G228"/>
  <c r="H228"/>
  <c r="J229"/>
  <c r="H229"/>
  <c r="G229"/>
  <c r="J233"/>
  <c r="H233"/>
  <c r="G233"/>
  <c r="J200"/>
  <c r="G200"/>
  <c r="H200"/>
  <c r="J203"/>
  <c r="H203"/>
  <c r="G203"/>
  <c r="J207"/>
  <c r="H207"/>
  <c r="G207"/>
  <c r="J212"/>
  <c r="G212"/>
  <c r="H212"/>
  <c r="J217"/>
  <c r="H217"/>
  <c r="G217"/>
  <c r="J221"/>
  <c r="H221"/>
  <c r="G221"/>
  <c r="J222"/>
  <c r="G222"/>
  <c r="H222"/>
  <c r="J227"/>
  <c r="H227"/>
  <c r="G227"/>
  <c r="J232"/>
  <c r="G232"/>
  <c r="H232"/>
  <c r="J199"/>
  <c r="H199"/>
  <c r="G199"/>
  <c r="J206"/>
  <c r="G206"/>
  <c r="H206"/>
  <c r="J211"/>
  <c r="H211"/>
  <c r="G211"/>
  <c r="J216"/>
  <c r="G216"/>
  <c r="H216"/>
  <c r="J220"/>
  <c r="G220"/>
  <c r="H220"/>
  <c r="J226"/>
  <c r="G226"/>
  <c r="H226"/>
  <c r="J231"/>
  <c r="H231"/>
  <c r="G231"/>
  <c r="J198"/>
  <c r="G198"/>
  <c r="H198"/>
  <c r="J202"/>
  <c r="G202"/>
  <c r="H202"/>
  <c r="J205"/>
  <c r="H205"/>
  <c r="G205"/>
  <c r="J210"/>
  <c r="G210"/>
  <c r="H210"/>
  <c r="J215"/>
  <c r="H215"/>
  <c r="G215"/>
  <c r="J219"/>
  <c r="H219"/>
  <c r="G219"/>
  <c r="J224"/>
  <c r="G224"/>
  <c r="H224"/>
  <c r="J225"/>
  <c r="H225"/>
  <c r="G225"/>
  <c r="J230"/>
  <c r="G230"/>
  <c r="H230"/>
  <c r="H53"/>
  <c r="J53"/>
  <c r="H57"/>
  <c r="J57"/>
  <c r="G56"/>
  <c r="J56"/>
  <c r="H60"/>
  <c r="J60"/>
  <c r="H55"/>
  <c r="J55"/>
  <c r="H59"/>
  <c r="J59"/>
  <c r="H54"/>
  <c r="J54"/>
  <c r="H58"/>
  <c r="J58"/>
  <c r="G60"/>
  <c r="H56"/>
  <c r="G58"/>
  <c r="G54"/>
  <c r="G53"/>
  <c r="G55"/>
  <c r="G57"/>
  <c r="G59"/>
  <c r="E25" i="10"/>
  <c r="E34"/>
  <c r="E33"/>
  <c r="E32"/>
  <c r="E31"/>
  <c r="E30"/>
  <c r="E29"/>
  <c r="E28"/>
  <c r="E27"/>
  <c r="E67"/>
  <c r="E66"/>
  <c r="E65"/>
  <c r="E64"/>
  <c r="E63"/>
  <c r="E62"/>
  <c r="E61"/>
  <c r="E60"/>
  <c r="E59"/>
  <c r="E58"/>
  <c r="E57"/>
  <c r="E56"/>
  <c r="E55"/>
  <c r="E54"/>
  <c r="E53"/>
  <c r="E52"/>
  <c r="E51"/>
  <c r="E50"/>
  <c r="E49"/>
  <c r="E48"/>
  <c r="E47"/>
  <c r="E46"/>
  <c r="E45"/>
  <c r="E44"/>
  <c r="E43"/>
  <c r="E42"/>
  <c r="E41"/>
  <c r="E40"/>
  <c r="E39"/>
  <c r="E38"/>
  <c r="E37"/>
  <c r="E36"/>
  <c r="E85"/>
  <c r="E84"/>
  <c r="E83"/>
  <c r="E82"/>
  <c r="E81"/>
  <c r="E80"/>
  <c r="E79"/>
  <c r="E78"/>
  <c r="E77"/>
  <c r="E76"/>
  <c r="E75"/>
  <c r="E74"/>
  <c r="E73"/>
  <c r="E72"/>
  <c r="E71"/>
  <c r="E70"/>
  <c r="E69"/>
  <c r="E93"/>
  <c r="E92"/>
  <c r="E91"/>
  <c r="E90"/>
  <c r="E89"/>
  <c r="E88"/>
  <c r="E87"/>
  <c r="E118"/>
  <c r="E117"/>
  <c r="E116"/>
  <c r="E115"/>
  <c r="E114"/>
  <c r="E113"/>
  <c r="E112"/>
  <c r="E111"/>
  <c r="E110"/>
  <c r="E109"/>
  <c r="E108"/>
  <c r="E107"/>
  <c r="E106"/>
  <c r="E105"/>
  <c r="E104"/>
  <c r="E103"/>
  <c r="E102"/>
  <c r="E101"/>
  <c r="E100"/>
  <c r="E99"/>
  <c r="E98"/>
  <c r="E97"/>
  <c r="E96"/>
  <c r="E95"/>
  <c r="E122"/>
  <c r="E121"/>
  <c r="E120"/>
  <c r="E145"/>
  <c r="E144"/>
  <c r="E143"/>
  <c r="E142"/>
  <c r="E141"/>
  <c r="E140"/>
  <c r="E139"/>
  <c r="E138"/>
  <c r="E137"/>
  <c r="E136"/>
  <c r="E135"/>
  <c r="E134"/>
  <c r="E133"/>
  <c r="E132"/>
  <c r="E131"/>
  <c r="E130"/>
  <c r="E129"/>
  <c r="E128"/>
  <c r="E127"/>
  <c r="E126"/>
  <c r="E125"/>
  <c r="E124"/>
  <c r="E157"/>
  <c r="E156"/>
  <c r="E155"/>
  <c r="E154"/>
  <c r="E153"/>
  <c r="E152"/>
  <c r="E151"/>
  <c r="E150"/>
  <c r="E149"/>
  <c r="E148"/>
  <c r="E147"/>
  <c r="E167"/>
  <c r="E166"/>
  <c r="E165"/>
  <c r="E164"/>
  <c r="E163"/>
  <c r="E162"/>
  <c r="E161"/>
  <c r="E160"/>
  <c r="E159"/>
  <c r="E178"/>
  <c r="E177"/>
  <c r="E176"/>
  <c r="E175"/>
  <c r="E174"/>
  <c r="E173"/>
  <c r="E172"/>
  <c r="E171"/>
  <c r="E170"/>
  <c r="E169"/>
  <c r="E21" i="8"/>
  <c r="E20"/>
  <c r="E19"/>
  <c r="E18"/>
  <c r="E17"/>
  <c r="E16"/>
  <c r="E15"/>
  <c r="E14"/>
  <c r="E13"/>
  <c r="E12"/>
  <c r="E31"/>
  <c r="E30"/>
  <c r="E29"/>
  <c r="E28"/>
  <c r="E27"/>
  <c r="E26"/>
  <c r="E25"/>
  <c r="E24"/>
  <c r="E23"/>
  <c r="E39"/>
  <c r="E38"/>
  <c r="E37"/>
  <c r="E36"/>
  <c r="E35"/>
  <c r="E34"/>
  <c r="E33"/>
  <c r="E42"/>
  <c r="E41"/>
  <c r="E45"/>
  <c r="E44"/>
  <c r="E54"/>
  <c r="E53"/>
  <c r="E52"/>
  <c r="E51"/>
  <c r="E50"/>
  <c r="E49"/>
  <c r="E48"/>
  <c r="E47"/>
  <c r="E65"/>
  <c r="E64"/>
  <c r="E63"/>
  <c r="E62"/>
  <c r="E61"/>
  <c r="E60"/>
  <c r="E59"/>
  <c r="E58"/>
  <c r="E57"/>
  <c r="E56"/>
  <c r="E71"/>
  <c r="E70"/>
  <c r="E69"/>
  <c r="E68"/>
  <c r="E67"/>
  <c r="E44" i="1"/>
  <c r="E45"/>
  <c r="E46"/>
  <c r="E47"/>
  <c r="E48"/>
  <c r="E49"/>
  <c r="D1428" i="14"/>
  <c r="B1428"/>
  <c r="A1428"/>
  <c r="D1427"/>
  <c r="B1427"/>
  <c r="A1427"/>
  <c r="D1426"/>
  <c r="B1426"/>
  <c r="A1426"/>
  <c r="D1425"/>
  <c r="B1425"/>
  <c r="A1425"/>
  <c r="D1424"/>
  <c r="B1424"/>
  <c r="A1424"/>
  <c r="D1423"/>
  <c r="B1423"/>
  <c r="A1423"/>
  <c r="D1422"/>
  <c r="B1422"/>
  <c r="A1422"/>
  <c r="D1421"/>
  <c r="B1421"/>
  <c r="A1421"/>
  <c r="D1420"/>
  <c r="B1420"/>
  <c r="A1420"/>
  <c r="D1419"/>
  <c r="B1419"/>
  <c r="A1419"/>
  <c r="D1418"/>
  <c r="B1418"/>
  <c r="A1418"/>
  <c r="D1417"/>
  <c r="B1417"/>
  <c r="A1417"/>
  <c r="D1416"/>
  <c r="B1416"/>
  <c r="A1416"/>
  <c r="D1415"/>
  <c r="B1415"/>
  <c r="A1415"/>
  <c r="D1414"/>
  <c r="B1414"/>
  <c r="A1414"/>
  <c r="D1413"/>
  <c r="B1413"/>
  <c r="A1413"/>
  <c r="D1412"/>
  <c r="B1412"/>
  <c r="A1412"/>
  <c r="D1411"/>
  <c r="B1411"/>
  <c r="A1411"/>
  <c r="D1410"/>
  <c r="B1410"/>
  <c r="A1410"/>
  <c r="D1409"/>
  <c r="B1409"/>
  <c r="A1409"/>
  <c r="D1408"/>
  <c r="B1408"/>
  <c r="A1408"/>
  <c r="D1407"/>
  <c r="B1407"/>
  <c r="A1407"/>
  <c r="D1406"/>
  <c r="B1406"/>
  <c r="A1406"/>
  <c r="D1405"/>
  <c r="B1405"/>
  <c r="A1405"/>
  <c r="D1404"/>
  <c r="B1404"/>
  <c r="A1404"/>
  <c r="D1403"/>
  <c r="B1403"/>
  <c r="A1403"/>
  <c r="D1402"/>
  <c r="B1402"/>
  <c r="A1402"/>
  <c r="D1401"/>
  <c r="B1401"/>
  <c r="A1401"/>
  <c r="D1400"/>
  <c r="B1400"/>
  <c r="A1400"/>
  <c r="D1399"/>
  <c r="B1399"/>
  <c r="A1399"/>
  <c r="D1398"/>
  <c r="B1398"/>
  <c r="A1398"/>
  <c r="D1397"/>
  <c r="B1397"/>
  <c r="A1397"/>
  <c r="D1396"/>
  <c r="B1396"/>
  <c r="A1396"/>
  <c r="D1395"/>
  <c r="B1395"/>
  <c r="A1395"/>
  <c r="D1394"/>
  <c r="B1394"/>
  <c r="A1394"/>
  <c r="D1393"/>
  <c r="B1393"/>
  <c r="A1393"/>
  <c r="D1392"/>
  <c r="B1392"/>
  <c r="A1392"/>
  <c r="D1391"/>
  <c r="B1391"/>
  <c r="A1391"/>
  <c r="D1390"/>
  <c r="B1390"/>
  <c r="A1390"/>
  <c r="D1389"/>
  <c r="B1389"/>
  <c r="A1389"/>
  <c r="D1388"/>
  <c r="B1388"/>
  <c r="A1388"/>
  <c r="D1387"/>
  <c r="B1387"/>
  <c r="A1387"/>
  <c r="D1386"/>
  <c r="B1386"/>
  <c r="A1386"/>
  <c r="D1385"/>
  <c r="B1385"/>
  <c r="A1385"/>
  <c r="D1384"/>
  <c r="B1384"/>
  <c r="A1384"/>
  <c r="D1383"/>
  <c r="B1383"/>
  <c r="A1383"/>
  <c r="D1382"/>
  <c r="B1382"/>
  <c r="A1382"/>
  <c r="D1381"/>
  <c r="B1381"/>
  <c r="A1381"/>
  <c r="D1380"/>
  <c r="B1380"/>
  <c r="A1380"/>
  <c r="D1379"/>
  <c r="B1379"/>
  <c r="A1379"/>
  <c r="D1378"/>
  <c r="B1378"/>
  <c r="A1378"/>
  <c r="D1377"/>
  <c r="B1377"/>
  <c r="A1377"/>
  <c r="D1376"/>
  <c r="B1376"/>
  <c r="A1376"/>
  <c r="D1375"/>
  <c r="B1375"/>
  <c r="A1375"/>
  <c r="D1374"/>
  <c r="B1374"/>
  <c r="A1374"/>
  <c r="D1373"/>
  <c r="B1373"/>
  <c r="A1373"/>
  <c r="D1372"/>
  <c r="B1372"/>
  <c r="A1372"/>
  <c r="D1371"/>
  <c r="B1371"/>
  <c r="A1371"/>
  <c r="D1370"/>
  <c r="B1370"/>
  <c r="A1370"/>
  <c r="D1369"/>
  <c r="B1369"/>
  <c r="A1369"/>
  <c r="D1368"/>
  <c r="B1368"/>
  <c r="A1368"/>
  <c r="D1367"/>
  <c r="B1367"/>
  <c r="A1367"/>
  <c r="D1366"/>
  <c r="B1366"/>
  <c r="A1366"/>
  <c r="D1365"/>
  <c r="B1365"/>
  <c r="A1365"/>
  <c r="D1364"/>
  <c r="B1364"/>
  <c r="A1364"/>
  <c r="D1363"/>
  <c r="B1363"/>
  <c r="A1363"/>
  <c r="D1362"/>
  <c r="B1362"/>
  <c r="A1362"/>
  <c r="D1361"/>
  <c r="B1361"/>
  <c r="A1361"/>
  <c r="D1360"/>
  <c r="B1360"/>
  <c r="A1360"/>
  <c r="D1359"/>
  <c r="B1359"/>
  <c r="A1359"/>
  <c r="D1358"/>
  <c r="B1358"/>
  <c r="A1358"/>
  <c r="D1357"/>
  <c r="B1357"/>
  <c r="A1357"/>
  <c r="D1356"/>
  <c r="B1356"/>
  <c r="A1356"/>
  <c r="D1355"/>
  <c r="B1355"/>
  <c r="A1355"/>
  <c r="D1354"/>
  <c r="B1354"/>
  <c r="A1354"/>
  <c r="D1353"/>
  <c r="B1353"/>
  <c r="A1353"/>
  <c r="D1352"/>
  <c r="B1352"/>
  <c r="A1352"/>
  <c r="D1351"/>
  <c r="B1351"/>
  <c r="A1351"/>
  <c r="D1350"/>
  <c r="B1350"/>
  <c r="A1350"/>
  <c r="D1349"/>
  <c r="B1349"/>
  <c r="A1349"/>
  <c r="D1348"/>
  <c r="B1348"/>
  <c r="A1348"/>
  <c r="D1347"/>
  <c r="B1347"/>
  <c r="A1347"/>
  <c r="D1346"/>
  <c r="B1346"/>
  <c r="A1346"/>
  <c r="D1345"/>
  <c r="B1345"/>
  <c r="A1345"/>
  <c r="D1344"/>
  <c r="B1344"/>
  <c r="A1344"/>
  <c r="D1343"/>
  <c r="B1343"/>
  <c r="A1343"/>
  <c r="D1342"/>
  <c r="B1342"/>
  <c r="A1342"/>
  <c r="D1341"/>
  <c r="B1341"/>
  <c r="A1341"/>
  <c r="D1340"/>
  <c r="B1340"/>
  <c r="A1340"/>
  <c r="D1339"/>
  <c r="B1339"/>
  <c r="A1339"/>
  <c r="D1338"/>
  <c r="B1338"/>
  <c r="A1338"/>
  <c r="D1337"/>
  <c r="B1337"/>
  <c r="A1337"/>
  <c r="D1336"/>
  <c r="B1336"/>
  <c r="A1336"/>
  <c r="D1335"/>
  <c r="B1335"/>
  <c r="A1335"/>
  <c r="D1334"/>
  <c r="B1334"/>
  <c r="A1334"/>
  <c r="D1333"/>
  <c r="B1333"/>
  <c r="A1333"/>
  <c r="D1332"/>
  <c r="B1332"/>
  <c r="A1332"/>
  <c r="D1331"/>
  <c r="B1331"/>
  <c r="A1331"/>
  <c r="D1330"/>
  <c r="B1330"/>
  <c r="A1330"/>
  <c r="D1329"/>
  <c r="B1329"/>
  <c r="A1329"/>
  <c r="D1328"/>
  <c r="B1328"/>
  <c r="A1328"/>
  <c r="D1327"/>
  <c r="B1327"/>
  <c r="A1327"/>
  <c r="D1326"/>
  <c r="B1326"/>
  <c r="A1326"/>
  <c r="D1325"/>
  <c r="B1325"/>
  <c r="A1325"/>
  <c r="D1324"/>
  <c r="B1324"/>
  <c r="A1324"/>
  <c r="D1323"/>
  <c r="B1323"/>
  <c r="A1323"/>
  <c r="D1322"/>
  <c r="B1322"/>
  <c r="A1322"/>
  <c r="D1321"/>
  <c r="B1321"/>
  <c r="A1321"/>
  <c r="D1320"/>
  <c r="B1320"/>
  <c r="A1320"/>
  <c r="D1319"/>
  <c r="B1319"/>
  <c r="A1319"/>
  <c r="D1318"/>
  <c r="B1318"/>
  <c r="A1318"/>
  <c r="D1317"/>
  <c r="B1317"/>
  <c r="A1317"/>
  <c r="D1316"/>
  <c r="B1316"/>
  <c r="A1316"/>
  <c r="D1315"/>
  <c r="B1315"/>
  <c r="A1315"/>
  <c r="D1314"/>
  <c r="B1314"/>
  <c r="A1314"/>
  <c r="D1313"/>
  <c r="B1313"/>
  <c r="A1313"/>
  <c r="D1312"/>
  <c r="B1312"/>
  <c r="A1312"/>
  <c r="D1311"/>
  <c r="B1311"/>
  <c r="A1311"/>
  <c r="D1310"/>
  <c r="B1310"/>
  <c r="A1310"/>
  <c r="D1309"/>
  <c r="B1309"/>
  <c r="A1309"/>
  <c r="D1308"/>
  <c r="B1308"/>
  <c r="A1308"/>
  <c r="D1307"/>
  <c r="B1307"/>
  <c r="A1307"/>
  <c r="D1306"/>
  <c r="B1306"/>
  <c r="A1306"/>
  <c r="D1305"/>
  <c r="B1305"/>
  <c r="A1305"/>
  <c r="D1304"/>
  <c r="B1304"/>
  <c r="A1304"/>
  <c r="D1303"/>
  <c r="B1303"/>
  <c r="A1303"/>
  <c r="D1302"/>
  <c r="B1302"/>
  <c r="A1302"/>
  <c r="D1301"/>
  <c r="B1301"/>
  <c r="A1301"/>
  <c r="D1300"/>
  <c r="B1300"/>
  <c r="A1300"/>
  <c r="D1299"/>
  <c r="B1299"/>
  <c r="A1299"/>
  <c r="D1298"/>
  <c r="B1298"/>
  <c r="A1298"/>
  <c r="D1297"/>
  <c r="B1297"/>
  <c r="A1297"/>
  <c r="D1296"/>
  <c r="B1296"/>
  <c r="A1296"/>
  <c r="D1295"/>
  <c r="B1295"/>
  <c r="A1295"/>
  <c r="D1294"/>
  <c r="B1294"/>
  <c r="A1294"/>
  <c r="D1293"/>
  <c r="B1293"/>
  <c r="A1293"/>
  <c r="D1292"/>
  <c r="B1292"/>
  <c r="A1292"/>
  <c r="D1291"/>
  <c r="B1291"/>
  <c r="A1291"/>
  <c r="D1290"/>
  <c r="B1290"/>
  <c r="A1290"/>
  <c r="D1289"/>
  <c r="B1289"/>
  <c r="A1289"/>
  <c r="D1288"/>
  <c r="B1288"/>
  <c r="A1288"/>
  <c r="D1287"/>
  <c r="B1287"/>
  <c r="A1287"/>
  <c r="D1286"/>
  <c r="B1286"/>
  <c r="A1286"/>
  <c r="D1285"/>
  <c r="B1285"/>
  <c r="A1285"/>
  <c r="D1284"/>
  <c r="B1284"/>
  <c r="A1284"/>
  <c r="D1283"/>
  <c r="B1283"/>
  <c r="A1283"/>
  <c r="D1282"/>
  <c r="B1282"/>
  <c r="A1282"/>
  <c r="D1281"/>
  <c r="B1281"/>
  <c r="A1281"/>
  <c r="D1280"/>
  <c r="B1280"/>
  <c r="A1280"/>
  <c r="D1279"/>
  <c r="B1279"/>
  <c r="A1279"/>
  <c r="D1278"/>
  <c r="B1278"/>
  <c r="A1278"/>
  <c r="D1277"/>
  <c r="B1277"/>
  <c r="A1277"/>
  <c r="D1276"/>
  <c r="B1276"/>
  <c r="A1276"/>
  <c r="D1275"/>
  <c r="B1275"/>
  <c r="A1275"/>
  <c r="D1274"/>
  <c r="B1274"/>
  <c r="A1274"/>
  <c r="D1273"/>
  <c r="B1273"/>
  <c r="A1273"/>
  <c r="D1272"/>
  <c r="B1272"/>
  <c r="A1272"/>
  <c r="D1271"/>
  <c r="B1271"/>
  <c r="A1271"/>
  <c r="D1270"/>
  <c r="B1270"/>
  <c r="A1270"/>
  <c r="D1269"/>
  <c r="B1269"/>
  <c r="A1269"/>
  <c r="D1268"/>
  <c r="B1268"/>
  <c r="A1268"/>
  <c r="D1267"/>
  <c r="B1267"/>
  <c r="A1267"/>
  <c r="D1266"/>
  <c r="B1266"/>
  <c r="A1266"/>
  <c r="D1265"/>
  <c r="B1265"/>
  <c r="A1265"/>
  <c r="D1264"/>
  <c r="B1264"/>
  <c r="A1264"/>
  <c r="D1263"/>
  <c r="B1263"/>
  <c r="A1263"/>
  <c r="D1262"/>
  <c r="B1262"/>
  <c r="A1262"/>
  <c r="D1261"/>
  <c r="B1261"/>
  <c r="A1261"/>
  <c r="D1260"/>
  <c r="B1260"/>
  <c r="A1260"/>
  <c r="D1259"/>
  <c r="B1259"/>
  <c r="A1259"/>
  <c r="D1258"/>
  <c r="B1258"/>
  <c r="A1258"/>
  <c r="D1257"/>
  <c r="B1257"/>
  <c r="A1257"/>
  <c r="D1256"/>
  <c r="B1256"/>
  <c r="A1256"/>
  <c r="D1255"/>
  <c r="B1255"/>
  <c r="A1255"/>
  <c r="D1254"/>
  <c r="B1254"/>
  <c r="A1254"/>
  <c r="D1253"/>
  <c r="B1253"/>
  <c r="A1253"/>
  <c r="D1252"/>
  <c r="B1252"/>
  <c r="A1252"/>
  <c r="D1251"/>
  <c r="B1251"/>
  <c r="A1251"/>
  <c r="D1250"/>
  <c r="B1250"/>
  <c r="A1250"/>
  <c r="D1249"/>
  <c r="B1249"/>
  <c r="A1249"/>
  <c r="D1248"/>
  <c r="B1248"/>
  <c r="A1248"/>
  <c r="D1247"/>
  <c r="B1247"/>
  <c r="A1247"/>
  <c r="D1246"/>
  <c r="B1246"/>
  <c r="A1246"/>
  <c r="D1245"/>
  <c r="B1245"/>
  <c r="A1245"/>
  <c r="D1244"/>
  <c r="B1244"/>
  <c r="A1244"/>
  <c r="D1243"/>
  <c r="B1243"/>
  <c r="A1243"/>
  <c r="D1242"/>
  <c r="B1242"/>
  <c r="A1242"/>
  <c r="D1241"/>
  <c r="B1241"/>
  <c r="A1241"/>
  <c r="D1240"/>
  <c r="B1240"/>
  <c r="A1240"/>
  <c r="D1239"/>
  <c r="B1239"/>
  <c r="A1239"/>
  <c r="D1238"/>
  <c r="B1238"/>
  <c r="A1238"/>
  <c r="D1237"/>
  <c r="B1237"/>
  <c r="A1237"/>
  <c r="D1236"/>
  <c r="B1236"/>
  <c r="A1236"/>
  <c r="D1235"/>
  <c r="B1235"/>
  <c r="A1235"/>
  <c r="D1234"/>
  <c r="B1234"/>
  <c r="A1234"/>
  <c r="D1233"/>
  <c r="B1233"/>
  <c r="A1233"/>
  <c r="D1232"/>
  <c r="B1232"/>
  <c r="A1232"/>
  <c r="D1231"/>
  <c r="B1231"/>
  <c r="A1231"/>
  <c r="D1230"/>
  <c r="B1230"/>
  <c r="A1230"/>
  <c r="D1229"/>
  <c r="B1229"/>
  <c r="A1229"/>
  <c r="D1228"/>
  <c r="B1228"/>
  <c r="A1228"/>
  <c r="D1227"/>
  <c r="B1227"/>
  <c r="A1227"/>
  <c r="D1226"/>
  <c r="B1226"/>
  <c r="A1226"/>
  <c r="D1225"/>
  <c r="B1225"/>
  <c r="A1225"/>
  <c r="D1224"/>
  <c r="B1224"/>
  <c r="A1224"/>
  <c r="D1223"/>
  <c r="B1223"/>
  <c r="A1223"/>
  <c r="D1222"/>
  <c r="B1222"/>
  <c r="A1222"/>
  <c r="D1221"/>
  <c r="B1221"/>
  <c r="A1221"/>
  <c r="D1220"/>
  <c r="B1220"/>
  <c r="A1220"/>
  <c r="D1219"/>
  <c r="B1219"/>
  <c r="A1219"/>
  <c r="D1218"/>
  <c r="B1218"/>
  <c r="A1218"/>
  <c r="D1217"/>
  <c r="B1217"/>
  <c r="A1217"/>
  <c r="D1216"/>
  <c r="B1216"/>
  <c r="A1216"/>
  <c r="D1215"/>
  <c r="B1215"/>
  <c r="A1215"/>
  <c r="D1214"/>
  <c r="B1214"/>
  <c r="A1214"/>
  <c r="D1213"/>
  <c r="B1213"/>
  <c r="A1213"/>
  <c r="D1212"/>
  <c r="B1212"/>
  <c r="A1212"/>
  <c r="D1211"/>
  <c r="B1211"/>
  <c r="A1211"/>
  <c r="D1210"/>
  <c r="B1210"/>
  <c r="A1210"/>
  <c r="D1209"/>
  <c r="B1209"/>
  <c r="A1209"/>
  <c r="D1208"/>
  <c r="B1208"/>
  <c r="A1208"/>
  <c r="D1207"/>
  <c r="B1207"/>
  <c r="A1207"/>
  <c r="D1206"/>
  <c r="B1206"/>
  <c r="A1206"/>
  <c r="D1205"/>
  <c r="B1205"/>
  <c r="A1205"/>
  <c r="D1204"/>
  <c r="B1204"/>
  <c r="A1204"/>
  <c r="D1203"/>
  <c r="B1203"/>
  <c r="A1203"/>
  <c r="D1202"/>
  <c r="B1202"/>
  <c r="A1202"/>
  <c r="D1201"/>
  <c r="B1201"/>
  <c r="A1201"/>
  <c r="D1200"/>
  <c r="B1200"/>
  <c r="A1200"/>
  <c r="D1199"/>
  <c r="B1199"/>
  <c r="A1199"/>
  <c r="D1198"/>
  <c r="B1198"/>
  <c r="A1198"/>
  <c r="D1197"/>
  <c r="B1197"/>
  <c r="A1197"/>
  <c r="D1196"/>
  <c r="B1196"/>
  <c r="A1196"/>
  <c r="D1195"/>
  <c r="B1195"/>
  <c r="A1195"/>
  <c r="D1194"/>
  <c r="B1194"/>
  <c r="A1194"/>
  <c r="D1193"/>
  <c r="B1193"/>
  <c r="A1193"/>
  <c r="D1192"/>
  <c r="B1192"/>
  <c r="A1192"/>
  <c r="D1191"/>
  <c r="B1191"/>
  <c r="A1191"/>
  <c r="D1190"/>
  <c r="B1190"/>
  <c r="A1190"/>
  <c r="D1189"/>
  <c r="B1189"/>
  <c r="A1189"/>
  <c r="D1188"/>
  <c r="B1188"/>
  <c r="A1188"/>
  <c r="D1187"/>
  <c r="B1187"/>
  <c r="A1187"/>
  <c r="D1186"/>
  <c r="B1186"/>
  <c r="A1186"/>
  <c r="D1185"/>
  <c r="B1185"/>
  <c r="A1185"/>
  <c r="D1184"/>
  <c r="B1184"/>
  <c r="A1184"/>
  <c r="D1183"/>
  <c r="B1183"/>
  <c r="A1183"/>
  <c r="D1182"/>
  <c r="B1182"/>
  <c r="A1182"/>
  <c r="D1181"/>
  <c r="B1181"/>
  <c r="A1181"/>
  <c r="D1180"/>
  <c r="B1180"/>
  <c r="A1180"/>
  <c r="D1179"/>
  <c r="B1179"/>
  <c r="A1179"/>
  <c r="D1178"/>
  <c r="B1178"/>
  <c r="A1178"/>
  <c r="D1177"/>
  <c r="B1177"/>
  <c r="A1177"/>
  <c r="D1176"/>
  <c r="B1176"/>
  <c r="A1176"/>
  <c r="D1175"/>
  <c r="B1175"/>
  <c r="A1175"/>
  <c r="D1174"/>
  <c r="B1174"/>
  <c r="A1174"/>
  <c r="D1173"/>
  <c r="B1173"/>
  <c r="A1173"/>
  <c r="D1172"/>
  <c r="B1172"/>
  <c r="A1172"/>
  <c r="D1171"/>
  <c r="B1171"/>
  <c r="A1171"/>
  <c r="D1170"/>
  <c r="B1170"/>
  <c r="A1170"/>
  <c r="D1169"/>
  <c r="B1169"/>
  <c r="A1169"/>
  <c r="D1168"/>
  <c r="B1168"/>
  <c r="A1168"/>
  <c r="D1167"/>
  <c r="B1167"/>
  <c r="A1167"/>
  <c r="D1166"/>
  <c r="B1166"/>
  <c r="A1166"/>
  <c r="D1165"/>
  <c r="B1165"/>
  <c r="A1165"/>
  <c r="D1164"/>
  <c r="B1164"/>
  <c r="A1164"/>
  <c r="D1163"/>
  <c r="B1163"/>
  <c r="A1163"/>
  <c r="D1162"/>
  <c r="B1162"/>
  <c r="A1162"/>
  <c r="D1161"/>
  <c r="B1161"/>
  <c r="A1161"/>
  <c r="D1160"/>
  <c r="B1160"/>
  <c r="A1160"/>
  <c r="D1159"/>
  <c r="B1159"/>
  <c r="A1159"/>
  <c r="D1158"/>
  <c r="B1158"/>
  <c r="A1158"/>
  <c r="D1157"/>
  <c r="B1157"/>
  <c r="A1157"/>
  <c r="D1156"/>
  <c r="B1156"/>
  <c r="A1156"/>
  <c r="D1155"/>
  <c r="B1155"/>
  <c r="A1155"/>
  <c r="D1154"/>
  <c r="B1154"/>
  <c r="A1154"/>
  <c r="D1153"/>
  <c r="B1153"/>
  <c r="A1153"/>
  <c r="D1152"/>
  <c r="B1152"/>
  <c r="A1152"/>
  <c r="D1151"/>
  <c r="B1151"/>
  <c r="A1151"/>
  <c r="D1150"/>
  <c r="B1150"/>
  <c r="A1150"/>
  <c r="D1149"/>
  <c r="B1149"/>
  <c r="A1149"/>
  <c r="D1148"/>
  <c r="B1148"/>
  <c r="A1148"/>
  <c r="D1147"/>
  <c r="B1147"/>
  <c r="A1147"/>
  <c r="D1146"/>
  <c r="B1146"/>
  <c r="A1146"/>
  <c r="D1145"/>
  <c r="B1145"/>
  <c r="A1145"/>
  <c r="D1144"/>
  <c r="B1144"/>
  <c r="A1144"/>
  <c r="D1143"/>
  <c r="B1143"/>
  <c r="A1143"/>
  <c r="D1142"/>
  <c r="B1142"/>
  <c r="A1142"/>
  <c r="D1141"/>
  <c r="B1141"/>
  <c r="A1141"/>
  <c r="D1140"/>
  <c r="B1140"/>
  <c r="A1140"/>
  <c r="D1139"/>
  <c r="B1139"/>
  <c r="A1139"/>
  <c r="D1138"/>
  <c r="B1138"/>
  <c r="A1138"/>
  <c r="D1137"/>
  <c r="B1137"/>
  <c r="A1137"/>
  <c r="D1136"/>
  <c r="B1136"/>
  <c r="A1136"/>
  <c r="D1135"/>
  <c r="B1135"/>
  <c r="A1135"/>
  <c r="D1134"/>
  <c r="B1134"/>
  <c r="A1134"/>
  <c r="D1133"/>
  <c r="B1133"/>
  <c r="A1133"/>
  <c r="D1132"/>
  <c r="B1132"/>
  <c r="A1132"/>
  <c r="D1131"/>
  <c r="B1131"/>
  <c r="A1131"/>
  <c r="D1130"/>
  <c r="B1130"/>
  <c r="A1130"/>
  <c r="D1129"/>
  <c r="B1129"/>
  <c r="A1129"/>
  <c r="D1128"/>
  <c r="B1128"/>
  <c r="A1128"/>
  <c r="D1127"/>
  <c r="B1127"/>
  <c r="A1127"/>
  <c r="D1126"/>
  <c r="B1126"/>
  <c r="A1126"/>
  <c r="D1125"/>
  <c r="B1125"/>
  <c r="A1125"/>
  <c r="D1124"/>
  <c r="B1124"/>
  <c r="A1124"/>
  <c r="D1123"/>
  <c r="B1123"/>
  <c r="A1123"/>
  <c r="D1122"/>
  <c r="B1122"/>
  <c r="A1122"/>
  <c r="D1121"/>
  <c r="B1121"/>
  <c r="A1121"/>
  <c r="D1120"/>
  <c r="B1120"/>
  <c r="A1120"/>
  <c r="D1119"/>
  <c r="B1119"/>
  <c r="A1119"/>
  <c r="D1118"/>
  <c r="B1118"/>
  <c r="A1118"/>
  <c r="D1117"/>
  <c r="B1117"/>
  <c r="A1117"/>
  <c r="D1116"/>
  <c r="B1116"/>
  <c r="A1116"/>
  <c r="D1115"/>
  <c r="B1115"/>
  <c r="A1115"/>
  <c r="D1114"/>
  <c r="B1114"/>
  <c r="A1114"/>
  <c r="D1113"/>
  <c r="B1113"/>
  <c r="A1113"/>
  <c r="D1112"/>
  <c r="B1112"/>
  <c r="A1112"/>
  <c r="D1111"/>
  <c r="B1111"/>
  <c r="A1111"/>
  <c r="D1110"/>
  <c r="B1110"/>
  <c r="A1110"/>
  <c r="D1109"/>
  <c r="B1109"/>
  <c r="A1109"/>
  <c r="D1108"/>
  <c r="B1108"/>
  <c r="A1108"/>
  <c r="D1107"/>
  <c r="B1107"/>
  <c r="A1107"/>
  <c r="D1106"/>
  <c r="B1106"/>
  <c r="A1106"/>
  <c r="D1105"/>
  <c r="B1105"/>
  <c r="A1105"/>
  <c r="D1104"/>
  <c r="B1104"/>
  <c r="A1104"/>
  <c r="D1103"/>
  <c r="B1103"/>
  <c r="A1103"/>
  <c r="D1102"/>
  <c r="B1102"/>
  <c r="A1102"/>
  <c r="D1101"/>
  <c r="B1101"/>
  <c r="A1101"/>
  <c r="D1100"/>
  <c r="B1100"/>
  <c r="A1100"/>
  <c r="D1099"/>
  <c r="B1099"/>
  <c r="A1099"/>
  <c r="D1098"/>
  <c r="B1098"/>
  <c r="A1098"/>
  <c r="D1097"/>
  <c r="B1097"/>
  <c r="A1097"/>
  <c r="D1096"/>
  <c r="B1096"/>
  <c r="A1096"/>
  <c r="D1095"/>
  <c r="B1095"/>
  <c r="A1095"/>
  <c r="D1094"/>
  <c r="B1094"/>
  <c r="A1094"/>
  <c r="D1093"/>
  <c r="B1093"/>
  <c r="A1093"/>
  <c r="D1092"/>
  <c r="B1092"/>
  <c r="A1092"/>
  <c r="D1091"/>
  <c r="B1091"/>
  <c r="A1091"/>
  <c r="D1090"/>
  <c r="B1090"/>
  <c r="A1090"/>
  <c r="D1089"/>
  <c r="B1089"/>
  <c r="A1089"/>
  <c r="D1088"/>
  <c r="B1088"/>
  <c r="A1088"/>
  <c r="D1087"/>
  <c r="B1087"/>
  <c r="A1087"/>
  <c r="D1086"/>
  <c r="B1086"/>
  <c r="A1086"/>
  <c r="D1085"/>
  <c r="B1085"/>
  <c r="A1085"/>
  <c r="D1084"/>
  <c r="B1084"/>
  <c r="A1084"/>
  <c r="D1083"/>
  <c r="B1083"/>
  <c r="A1083"/>
  <c r="D1082"/>
  <c r="B1082"/>
  <c r="A1082"/>
  <c r="D1081"/>
  <c r="B1081"/>
  <c r="A1081"/>
  <c r="D1080"/>
  <c r="B1080"/>
  <c r="A1080"/>
  <c r="D1079"/>
  <c r="B1079"/>
  <c r="A1079"/>
  <c r="D1078"/>
  <c r="B1078"/>
  <c r="A1078"/>
  <c r="D1077"/>
  <c r="B1077"/>
  <c r="A1077"/>
  <c r="D1076"/>
  <c r="B1076"/>
  <c r="A1076"/>
  <c r="D1075"/>
  <c r="B1075"/>
  <c r="A1075"/>
  <c r="D1074"/>
  <c r="B1074"/>
  <c r="A1074"/>
  <c r="D1073"/>
  <c r="B1073"/>
  <c r="A1073"/>
  <c r="D1072"/>
  <c r="B1072"/>
  <c r="A1072"/>
  <c r="D1071"/>
  <c r="B1071"/>
  <c r="A1071"/>
  <c r="D1070"/>
  <c r="B1070"/>
  <c r="A1070"/>
  <c r="D1069"/>
  <c r="B1069"/>
  <c r="A1069"/>
  <c r="D1068"/>
  <c r="B1068"/>
  <c r="A1068"/>
  <c r="D1067"/>
  <c r="B1067"/>
  <c r="A1067"/>
  <c r="D1066"/>
  <c r="B1066"/>
  <c r="A1066"/>
  <c r="D1065"/>
  <c r="B1065"/>
  <c r="A1065"/>
  <c r="D1064"/>
  <c r="B1064"/>
  <c r="A1064"/>
  <c r="D1063"/>
  <c r="B1063"/>
  <c r="A1063"/>
  <c r="D1062"/>
  <c r="B1062"/>
  <c r="A1062"/>
  <c r="D1061"/>
  <c r="B1061"/>
  <c r="A1061"/>
  <c r="D1060"/>
  <c r="B1060"/>
  <c r="A1060"/>
  <c r="D1059"/>
  <c r="B1059"/>
  <c r="A1059"/>
  <c r="D1058"/>
  <c r="B1058"/>
  <c r="A1058"/>
  <c r="D1057"/>
  <c r="B1057"/>
  <c r="A1057"/>
  <c r="D1056"/>
  <c r="B1056"/>
  <c r="A1056"/>
  <c r="D1055"/>
  <c r="B1055"/>
  <c r="A1055"/>
  <c r="D1054"/>
  <c r="B1054"/>
  <c r="A1054"/>
  <c r="D1053"/>
  <c r="B1053"/>
  <c r="A1053"/>
  <c r="D1052"/>
  <c r="B1052"/>
  <c r="A1052"/>
  <c r="D1051"/>
  <c r="B1051"/>
  <c r="A1051"/>
  <c r="D1050"/>
  <c r="B1050"/>
  <c r="A1050"/>
  <c r="D1049"/>
  <c r="B1049"/>
  <c r="A1049"/>
  <c r="D1048"/>
  <c r="B1048"/>
  <c r="A1048"/>
  <c r="D1047"/>
  <c r="B1047"/>
  <c r="A1047"/>
  <c r="D1046"/>
  <c r="B1046"/>
  <c r="A1046"/>
  <c r="D1045"/>
  <c r="B1045"/>
  <c r="A1045"/>
  <c r="D1044"/>
  <c r="B1044"/>
  <c r="A1044"/>
  <c r="D1043"/>
  <c r="B1043"/>
  <c r="A1043"/>
  <c r="D1042"/>
  <c r="B1042"/>
  <c r="A1042"/>
  <c r="D1041"/>
  <c r="B1041"/>
  <c r="A1041"/>
  <c r="D1040"/>
  <c r="B1040"/>
  <c r="A1040"/>
  <c r="D1039"/>
  <c r="B1039"/>
  <c r="A1039"/>
  <c r="D1038"/>
  <c r="B1038"/>
  <c r="A1038"/>
  <c r="D1037"/>
  <c r="B1037"/>
  <c r="A1037"/>
  <c r="D1036"/>
  <c r="B1036"/>
  <c r="A1036"/>
  <c r="D1035"/>
  <c r="B1035"/>
  <c r="A1035"/>
  <c r="D1034"/>
  <c r="B1034"/>
  <c r="A1034"/>
  <c r="D1033"/>
  <c r="B1033"/>
  <c r="A1033"/>
  <c r="D1032"/>
  <c r="B1032"/>
  <c r="A1032"/>
  <c r="D1031"/>
  <c r="B1031"/>
  <c r="A1031"/>
  <c r="D1030"/>
  <c r="B1030"/>
  <c r="A1030"/>
  <c r="D1029"/>
  <c r="B1029"/>
  <c r="A1029"/>
  <c r="D1028"/>
  <c r="B1028"/>
  <c r="A1028"/>
  <c r="D1027"/>
  <c r="B1027"/>
  <c r="A1027"/>
  <c r="D1026"/>
  <c r="B1026"/>
  <c r="A1026"/>
  <c r="D1025"/>
  <c r="B1025"/>
  <c r="A1025"/>
  <c r="D1024"/>
  <c r="B1024"/>
  <c r="A1024"/>
  <c r="D1023"/>
  <c r="B1023"/>
  <c r="A1023"/>
  <c r="D1022"/>
  <c r="B1022"/>
  <c r="A1022"/>
  <c r="D1021"/>
  <c r="B1021"/>
  <c r="A1021"/>
  <c r="D1020"/>
  <c r="B1020"/>
  <c r="A1020"/>
  <c r="D1019"/>
  <c r="B1019"/>
  <c r="A1019"/>
  <c r="D1018"/>
  <c r="B1018"/>
  <c r="A1018"/>
  <c r="D1017"/>
  <c r="B1017"/>
  <c r="A1017"/>
  <c r="D1016"/>
  <c r="B1016"/>
  <c r="A1016"/>
  <c r="D1015"/>
  <c r="B1015"/>
  <c r="A1015"/>
  <c r="D1014"/>
  <c r="B1014"/>
  <c r="A1014"/>
  <c r="D1013"/>
  <c r="B1013"/>
  <c r="A1013"/>
  <c r="D1012"/>
  <c r="B1012"/>
  <c r="A1012"/>
  <c r="D1011"/>
  <c r="B1011"/>
  <c r="A1011"/>
  <c r="D1010"/>
  <c r="B1010"/>
  <c r="A1010"/>
  <c r="D1009"/>
  <c r="B1009"/>
  <c r="A1009"/>
  <c r="D1008"/>
  <c r="B1008"/>
  <c r="A1008"/>
  <c r="D1007"/>
  <c r="B1007"/>
  <c r="A1007"/>
  <c r="D1006"/>
  <c r="B1006"/>
  <c r="A1006"/>
  <c r="D1005"/>
  <c r="B1005"/>
  <c r="A1005"/>
  <c r="D1004"/>
  <c r="B1004"/>
  <c r="A1004"/>
  <c r="D1003"/>
  <c r="B1003"/>
  <c r="A1003"/>
  <c r="D1002"/>
  <c r="B1002"/>
  <c r="A1002"/>
  <c r="D1001"/>
  <c r="B1001"/>
  <c r="A1001"/>
  <c r="D1000"/>
  <c r="B1000"/>
  <c r="A1000"/>
  <c r="D999"/>
  <c r="B999"/>
  <c r="A999"/>
  <c r="D998"/>
  <c r="B998"/>
  <c r="A998"/>
  <c r="D997"/>
  <c r="B997"/>
  <c r="A997"/>
  <c r="D996"/>
  <c r="B996"/>
  <c r="A996"/>
  <c r="D995"/>
  <c r="B995"/>
  <c r="A995"/>
  <c r="D994"/>
  <c r="B994"/>
  <c r="A994"/>
  <c r="D993"/>
  <c r="B993"/>
  <c r="A993"/>
  <c r="D992"/>
  <c r="B992"/>
  <c r="A992"/>
  <c r="D991"/>
  <c r="B991"/>
  <c r="A991"/>
  <c r="D990"/>
  <c r="B990"/>
  <c r="A990"/>
  <c r="D989"/>
  <c r="B989"/>
  <c r="A989"/>
  <c r="D988"/>
  <c r="B988"/>
  <c r="A988"/>
  <c r="D987"/>
  <c r="B987"/>
  <c r="A987"/>
  <c r="D986"/>
  <c r="B986"/>
  <c r="A986"/>
  <c r="D985"/>
  <c r="B985"/>
  <c r="A985"/>
  <c r="D984"/>
  <c r="B984"/>
  <c r="A984"/>
  <c r="D983"/>
  <c r="B983"/>
  <c r="A983"/>
  <c r="D982"/>
  <c r="B982"/>
  <c r="A982"/>
  <c r="D981"/>
  <c r="B981"/>
  <c r="A981"/>
  <c r="D980"/>
  <c r="B980"/>
  <c r="A980"/>
  <c r="D979"/>
  <c r="B979"/>
  <c r="A979"/>
  <c r="D978"/>
  <c r="B978"/>
  <c r="A978"/>
  <c r="D977"/>
  <c r="B977"/>
  <c r="A977"/>
  <c r="D976"/>
  <c r="B976"/>
  <c r="A976"/>
  <c r="D975"/>
  <c r="B975"/>
  <c r="A975"/>
  <c r="D974"/>
  <c r="B974"/>
  <c r="A974"/>
  <c r="D973"/>
  <c r="B973"/>
  <c r="A973"/>
  <c r="D972"/>
  <c r="B972"/>
  <c r="A972"/>
  <c r="D971"/>
  <c r="B971"/>
  <c r="A971"/>
  <c r="D970"/>
  <c r="B970"/>
  <c r="A970"/>
  <c r="D969"/>
  <c r="B969"/>
  <c r="A969"/>
  <c r="D968"/>
  <c r="B968"/>
  <c r="A968"/>
  <c r="D967"/>
  <c r="B967"/>
  <c r="A967"/>
  <c r="D966"/>
  <c r="B966"/>
  <c r="A966"/>
  <c r="D965"/>
  <c r="B965"/>
  <c r="A965"/>
  <c r="D964"/>
  <c r="B964"/>
  <c r="A964"/>
  <c r="D963"/>
  <c r="B963"/>
  <c r="A963"/>
  <c r="D962"/>
  <c r="B962"/>
  <c r="A962"/>
  <c r="D961"/>
  <c r="B961"/>
  <c r="A961"/>
  <c r="D960"/>
  <c r="B960"/>
  <c r="A960"/>
  <c r="D959"/>
  <c r="B959"/>
  <c r="A959"/>
  <c r="D958"/>
  <c r="B958"/>
  <c r="A958"/>
  <c r="D957"/>
  <c r="B957"/>
  <c r="A957"/>
  <c r="D956"/>
  <c r="B956"/>
  <c r="A956"/>
  <c r="D955"/>
  <c r="B955"/>
  <c r="A955"/>
  <c r="D954"/>
  <c r="B954"/>
  <c r="A954"/>
  <c r="D953"/>
  <c r="B953"/>
  <c r="A953"/>
  <c r="D952"/>
  <c r="B952"/>
  <c r="A952"/>
  <c r="D951"/>
  <c r="B951"/>
  <c r="A951"/>
  <c r="D950"/>
  <c r="B950"/>
  <c r="A950"/>
  <c r="D949"/>
  <c r="B949"/>
  <c r="A949"/>
  <c r="D948"/>
  <c r="B948"/>
  <c r="A948"/>
  <c r="D947"/>
  <c r="B947"/>
  <c r="A947"/>
  <c r="D946"/>
  <c r="B946"/>
  <c r="A946"/>
  <c r="D945"/>
  <c r="B945"/>
  <c r="A945"/>
  <c r="D944"/>
  <c r="B944"/>
  <c r="A944"/>
  <c r="D943"/>
  <c r="B943"/>
  <c r="A943"/>
  <c r="D942"/>
  <c r="B942"/>
  <c r="A942"/>
  <c r="D941"/>
  <c r="B941"/>
  <c r="A941"/>
  <c r="D940"/>
  <c r="B940"/>
  <c r="A940"/>
  <c r="D939"/>
  <c r="B939"/>
  <c r="A939"/>
  <c r="D938"/>
  <c r="B938"/>
  <c r="A938"/>
  <c r="D937"/>
  <c r="B937"/>
  <c r="A937"/>
  <c r="D936"/>
  <c r="B936"/>
  <c r="A936"/>
  <c r="D935"/>
  <c r="B935"/>
  <c r="A935"/>
  <c r="D934"/>
  <c r="B934"/>
  <c r="A934"/>
  <c r="D933"/>
  <c r="B933"/>
  <c r="A933"/>
  <c r="D932"/>
  <c r="B932"/>
  <c r="A932"/>
  <c r="D931"/>
  <c r="B931"/>
  <c r="A931"/>
  <c r="D930"/>
  <c r="B930"/>
  <c r="A930"/>
  <c r="D929"/>
  <c r="B929"/>
  <c r="A929"/>
  <c r="D928"/>
  <c r="B928"/>
  <c r="A928"/>
  <c r="D927"/>
  <c r="B927"/>
  <c r="A927"/>
  <c r="D926"/>
  <c r="B926"/>
  <c r="A926"/>
  <c r="D925"/>
  <c r="B925"/>
  <c r="A925"/>
  <c r="D924"/>
  <c r="B924"/>
  <c r="A924"/>
  <c r="D923"/>
  <c r="B923"/>
  <c r="A923"/>
  <c r="D922"/>
  <c r="B922"/>
  <c r="A922"/>
  <c r="D921"/>
  <c r="B921"/>
  <c r="A921"/>
  <c r="D920"/>
  <c r="B920"/>
  <c r="A920"/>
  <c r="D919"/>
  <c r="B919"/>
  <c r="A919"/>
  <c r="D918"/>
  <c r="B918"/>
  <c r="A918"/>
  <c r="D917"/>
  <c r="B917"/>
  <c r="A917"/>
  <c r="D916"/>
  <c r="B916"/>
  <c r="A916"/>
  <c r="D915"/>
  <c r="B915"/>
  <c r="A915"/>
  <c r="D914"/>
  <c r="B914"/>
  <c r="A914"/>
  <c r="D913"/>
  <c r="B913"/>
  <c r="A913"/>
  <c r="D912"/>
  <c r="B912"/>
  <c r="A912"/>
  <c r="D911"/>
  <c r="B911"/>
  <c r="A911"/>
  <c r="D910"/>
  <c r="B910"/>
  <c r="A910"/>
  <c r="D909"/>
  <c r="B909"/>
  <c r="A909"/>
  <c r="D908"/>
  <c r="B908"/>
  <c r="A908"/>
  <c r="D907"/>
  <c r="B907"/>
  <c r="A907"/>
  <c r="D906"/>
  <c r="B906"/>
  <c r="A906"/>
  <c r="D905"/>
  <c r="B905"/>
  <c r="A905"/>
  <c r="D904"/>
  <c r="B904"/>
  <c r="A904"/>
  <c r="D903"/>
  <c r="B903"/>
  <c r="A903"/>
  <c r="D902"/>
  <c r="B902"/>
  <c r="A902"/>
  <c r="D901"/>
  <c r="B901"/>
  <c r="A901"/>
  <c r="D900"/>
  <c r="B900"/>
  <c r="A900"/>
  <c r="D899"/>
  <c r="B899"/>
  <c r="A899"/>
  <c r="D898"/>
  <c r="B898"/>
  <c r="A898"/>
  <c r="D897"/>
  <c r="B897"/>
  <c r="A897"/>
  <c r="D896"/>
  <c r="B896"/>
  <c r="A896"/>
  <c r="D895"/>
  <c r="B895"/>
  <c r="A895"/>
  <c r="D894"/>
  <c r="B894"/>
  <c r="A894"/>
  <c r="D893"/>
  <c r="B893"/>
  <c r="A893"/>
  <c r="D892"/>
  <c r="B892"/>
  <c r="A892"/>
  <c r="D891"/>
  <c r="B891"/>
  <c r="A891"/>
  <c r="D890"/>
  <c r="B890"/>
  <c r="A890"/>
  <c r="D889"/>
  <c r="B889"/>
  <c r="A889"/>
  <c r="D888"/>
  <c r="B888"/>
  <c r="A888"/>
  <c r="D887"/>
  <c r="B887"/>
  <c r="A887"/>
  <c r="D886"/>
  <c r="B886"/>
  <c r="A886"/>
  <c r="D885"/>
  <c r="B885"/>
  <c r="A885"/>
  <c r="D884"/>
  <c r="B884"/>
  <c r="A884"/>
  <c r="D883"/>
  <c r="B883"/>
  <c r="A883"/>
  <c r="D882"/>
  <c r="B882"/>
  <c r="A882"/>
  <c r="D881"/>
  <c r="B881"/>
  <c r="A881"/>
  <c r="D880"/>
  <c r="B880"/>
  <c r="A880"/>
  <c r="D879"/>
  <c r="B879"/>
  <c r="A879"/>
  <c r="D878"/>
  <c r="B878"/>
  <c r="A878"/>
  <c r="D877"/>
  <c r="B877"/>
  <c r="A877"/>
  <c r="D876"/>
  <c r="B876"/>
  <c r="A876"/>
  <c r="D875"/>
  <c r="B875"/>
  <c r="A875"/>
  <c r="D874"/>
  <c r="B874"/>
  <c r="A874"/>
  <c r="D873"/>
  <c r="B873"/>
  <c r="A873"/>
  <c r="D872"/>
  <c r="B872"/>
  <c r="A872"/>
  <c r="D871"/>
  <c r="B871"/>
  <c r="A871"/>
  <c r="D870"/>
  <c r="B870"/>
  <c r="A870"/>
  <c r="D869"/>
  <c r="B869"/>
  <c r="A869"/>
  <c r="D868"/>
  <c r="B868"/>
  <c r="A868"/>
  <c r="D867"/>
  <c r="B867"/>
  <c r="A867"/>
  <c r="D866"/>
  <c r="B866"/>
  <c r="A866"/>
  <c r="D865"/>
  <c r="B865"/>
  <c r="A865"/>
  <c r="D864"/>
  <c r="B864"/>
  <c r="A864"/>
  <c r="D863"/>
  <c r="B863"/>
  <c r="A863"/>
  <c r="D862"/>
  <c r="B862"/>
  <c r="A862"/>
  <c r="D861"/>
  <c r="B861"/>
  <c r="A861"/>
  <c r="D860"/>
  <c r="B860"/>
  <c r="A860"/>
  <c r="D859"/>
  <c r="B859"/>
  <c r="A859"/>
  <c r="D858"/>
  <c r="B858"/>
  <c r="A858"/>
  <c r="D857"/>
  <c r="B857"/>
  <c r="A857"/>
  <c r="D856"/>
  <c r="B856"/>
  <c r="A856"/>
  <c r="D855"/>
  <c r="B855"/>
  <c r="A855"/>
  <c r="D854"/>
  <c r="B854"/>
  <c r="A854"/>
  <c r="D853"/>
  <c r="B853"/>
  <c r="A853"/>
  <c r="D852"/>
  <c r="B852"/>
  <c r="A852"/>
  <c r="D851"/>
  <c r="B851"/>
  <c r="A851"/>
  <c r="D850"/>
  <c r="B850"/>
  <c r="A850"/>
  <c r="D849"/>
  <c r="B849"/>
  <c r="A849"/>
  <c r="D848"/>
  <c r="B848"/>
  <c r="A848"/>
  <c r="D847"/>
  <c r="B847"/>
  <c r="A847"/>
  <c r="D846"/>
  <c r="B846"/>
  <c r="A846"/>
  <c r="D845"/>
  <c r="B845"/>
  <c r="A845"/>
  <c r="D844"/>
  <c r="B844"/>
  <c r="A844"/>
  <c r="D843"/>
  <c r="B843"/>
  <c r="A843"/>
  <c r="D842"/>
  <c r="B842"/>
  <c r="A842"/>
  <c r="D841"/>
  <c r="B841"/>
  <c r="A841"/>
  <c r="D840"/>
  <c r="B840"/>
  <c r="A840"/>
  <c r="D839"/>
  <c r="B839"/>
  <c r="A839"/>
  <c r="D838"/>
  <c r="B838"/>
  <c r="A838"/>
  <c r="D837"/>
  <c r="B837"/>
  <c r="A837"/>
  <c r="D836"/>
  <c r="B836"/>
  <c r="A836"/>
  <c r="D835"/>
  <c r="B835"/>
  <c r="A835"/>
  <c r="D834"/>
  <c r="B834"/>
  <c r="A834"/>
  <c r="D833"/>
  <c r="B833"/>
  <c r="A833"/>
  <c r="D832"/>
  <c r="B832"/>
  <c r="A832"/>
  <c r="D831"/>
  <c r="B831"/>
  <c r="A831"/>
  <c r="D830"/>
  <c r="B830"/>
  <c r="A830"/>
  <c r="D829"/>
  <c r="B829"/>
  <c r="A829"/>
  <c r="D828"/>
  <c r="B828"/>
  <c r="A828"/>
  <c r="D827"/>
  <c r="B827"/>
  <c r="A827"/>
  <c r="D826"/>
  <c r="B826"/>
  <c r="A826"/>
  <c r="D825"/>
  <c r="B825"/>
  <c r="A825"/>
  <c r="D824"/>
  <c r="B824"/>
  <c r="A824"/>
  <c r="D823"/>
  <c r="B823"/>
  <c r="A823"/>
  <c r="D822"/>
  <c r="B822"/>
  <c r="A822"/>
  <c r="D821"/>
  <c r="B821"/>
  <c r="A821"/>
  <c r="D820"/>
  <c r="B820"/>
  <c r="A820"/>
  <c r="D819"/>
  <c r="B819"/>
  <c r="A819"/>
  <c r="D818"/>
  <c r="B818"/>
  <c r="A818"/>
  <c r="D817"/>
  <c r="B817"/>
  <c r="A817"/>
  <c r="D816"/>
  <c r="B816"/>
  <c r="A816"/>
  <c r="D815"/>
  <c r="B815"/>
  <c r="A815"/>
  <c r="D814"/>
  <c r="B814"/>
  <c r="A814"/>
  <c r="D813"/>
  <c r="B813"/>
  <c r="A813"/>
  <c r="D812"/>
  <c r="B812"/>
  <c r="A812"/>
  <c r="D811"/>
  <c r="B811"/>
  <c r="A811"/>
  <c r="D810"/>
  <c r="B810"/>
  <c r="A810"/>
  <c r="D809"/>
  <c r="B809"/>
  <c r="A809"/>
  <c r="D808"/>
  <c r="B808"/>
  <c r="A808"/>
  <c r="D807"/>
  <c r="B807"/>
  <c r="A807"/>
  <c r="D806"/>
  <c r="B806"/>
  <c r="A806"/>
  <c r="D805"/>
  <c r="B805"/>
  <c r="A805"/>
  <c r="D804"/>
  <c r="B804"/>
  <c r="A804"/>
  <c r="D803"/>
  <c r="B803"/>
  <c r="A803"/>
  <c r="D802"/>
  <c r="B802"/>
  <c r="A802"/>
  <c r="D801"/>
  <c r="B801"/>
  <c r="A801"/>
  <c r="D800"/>
  <c r="B800"/>
  <c r="A800"/>
  <c r="D799"/>
  <c r="B799"/>
  <c r="A799"/>
  <c r="D798"/>
  <c r="B798"/>
  <c r="A798"/>
  <c r="D797"/>
  <c r="B797"/>
  <c r="A797"/>
  <c r="D796"/>
  <c r="B796"/>
  <c r="A796"/>
  <c r="D795"/>
  <c r="B795"/>
  <c r="A795"/>
  <c r="D794"/>
  <c r="B794"/>
  <c r="A794"/>
  <c r="D793"/>
  <c r="B793"/>
  <c r="A793"/>
  <c r="D792"/>
  <c r="B792"/>
  <c r="A792"/>
  <c r="D791"/>
  <c r="B791"/>
  <c r="A791"/>
  <c r="D790"/>
  <c r="B790"/>
  <c r="A790"/>
  <c r="D789"/>
  <c r="B789"/>
  <c r="A789"/>
  <c r="D788"/>
  <c r="B788"/>
  <c r="A788"/>
  <c r="D787"/>
  <c r="B787"/>
  <c r="A787"/>
  <c r="D786"/>
  <c r="B786"/>
  <c r="A786"/>
  <c r="D785"/>
  <c r="B785"/>
  <c r="A785"/>
  <c r="D784"/>
  <c r="B784"/>
  <c r="A784"/>
  <c r="D783"/>
  <c r="B783"/>
  <c r="A783"/>
  <c r="D782"/>
  <c r="B782"/>
  <c r="A782"/>
  <c r="D781"/>
  <c r="B781"/>
  <c r="A781"/>
  <c r="D780"/>
  <c r="B780"/>
  <c r="A780"/>
  <c r="D779"/>
  <c r="B779"/>
  <c r="A779"/>
  <c r="D778"/>
  <c r="B778"/>
  <c r="A778"/>
  <c r="D777"/>
  <c r="B777"/>
  <c r="A777"/>
  <c r="D776"/>
  <c r="B776"/>
  <c r="A776"/>
  <c r="D775"/>
  <c r="B775"/>
  <c r="A775"/>
  <c r="D774"/>
  <c r="B774"/>
  <c r="A774"/>
  <c r="D773"/>
  <c r="B773"/>
  <c r="A773"/>
  <c r="D772"/>
  <c r="B772"/>
  <c r="A772"/>
  <c r="D771"/>
  <c r="B771"/>
  <c r="A771"/>
  <c r="D770"/>
  <c r="B770"/>
  <c r="A770"/>
  <c r="D769"/>
  <c r="B769"/>
  <c r="A769"/>
  <c r="D768"/>
  <c r="B768"/>
  <c r="A768"/>
  <c r="D767"/>
  <c r="B767"/>
  <c r="A767"/>
  <c r="D766"/>
  <c r="B766"/>
  <c r="A766"/>
  <c r="D765"/>
  <c r="B765"/>
  <c r="A765"/>
  <c r="D764"/>
  <c r="B764"/>
  <c r="A764"/>
  <c r="D763"/>
  <c r="B763"/>
  <c r="A763"/>
  <c r="D762"/>
  <c r="B762"/>
  <c r="A762"/>
  <c r="D761"/>
  <c r="B761"/>
  <c r="A761"/>
  <c r="D760"/>
  <c r="B760"/>
  <c r="A760"/>
  <c r="D759"/>
  <c r="B759"/>
  <c r="A759"/>
  <c r="D758"/>
  <c r="B758"/>
  <c r="A758"/>
  <c r="D757"/>
  <c r="B757"/>
  <c r="A757"/>
  <c r="D756"/>
  <c r="B756"/>
  <c r="A756"/>
  <c r="D755"/>
  <c r="B755"/>
  <c r="A755"/>
  <c r="D754"/>
  <c r="B754"/>
  <c r="A754"/>
  <c r="D753"/>
  <c r="B753"/>
  <c r="A753"/>
  <c r="D752"/>
  <c r="B752"/>
  <c r="A752"/>
  <c r="D751"/>
  <c r="B751"/>
  <c r="A751"/>
  <c r="D750"/>
  <c r="B750"/>
  <c r="A750"/>
  <c r="D749"/>
  <c r="B749"/>
  <c r="A749"/>
  <c r="D748"/>
  <c r="B748"/>
  <c r="A748"/>
  <c r="D747"/>
  <c r="B747"/>
  <c r="A747"/>
  <c r="D746"/>
  <c r="B746"/>
  <c r="A746"/>
  <c r="D745"/>
  <c r="B745"/>
  <c r="A745"/>
  <c r="D744"/>
  <c r="B744"/>
  <c r="A744"/>
  <c r="D743"/>
  <c r="B743"/>
  <c r="A743"/>
  <c r="D742"/>
  <c r="B742"/>
  <c r="A742"/>
  <c r="D741"/>
  <c r="B741"/>
  <c r="A741"/>
  <c r="D740"/>
  <c r="B740"/>
  <c r="A740"/>
  <c r="D739"/>
  <c r="B739"/>
  <c r="A739"/>
  <c r="D738"/>
  <c r="B738"/>
  <c r="A738"/>
  <c r="D737"/>
  <c r="B737"/>
  <c r="A737"/>
  <c r="D736"/>
  <c r="B736"/>
  <c r="A736"/>
  <c r="D735"/>
  <c r="B735"/>
  <c r="A735"/>
  <c r="D734"/>
  <c r="B734"/>
  <c r="A734"/>
  <c r="D733"/>
  <c r="B733"/>
  <c r="A733"/>
  <c r="D732"/>
  <c r="B732"/>
  <c r="A732"/>
  <c r="D731"/>
  <c r="B731"/>
  <c r="A731"/>
  <c r="D730"/>
  <c r="B730"/>
  <c r="A730"/>
  <c r="D729"/>
  <c r="B729"/>
  <c r="A729"/>
  <c r="D728"/>
  <c r="B728"/>
  <c r="A728"/>
  <c r="D727"/>
  <c r="B727"/>
  <c r="A727"/>
  <c r="D726"/>
  <c r="B726"/>
  <c r="A726"/>
  <c r="D725"/>
  <c r="B725"/>
  <c r="A725"/>
  <c r="D724"/>
  <c r="B724"/>
  <c r="A724"/>
  <c r="D723"/>
  <c r="B723"/>
  <c r="A723"/>
  <c r="D722"/>
  <c r="B722"/>
  <c r="A722"/>
  <c r="D721"/>
  <c r="B721"/>
  <c r="A721"/>
  <c r="D720"/>
  <c r="B720"/>
  <c r="A720"/>
  <c r="D719"/>
  <c r="B719"/>
  <c r="A719"/>
  <c r="D718"/>
  <c r="B718"/>
  <c r="A718"/>
  <c r="D717"/>
  <c r="B717"/>
  <c r="A717"/>
  <c r="D716"/>
  <c r="B716"/>
  <c r="A716"/>
  <c r="D715"/>
  <c r="B715"/>
  <c r="A715"/>
  <c r="D714"/>
  <c r="B714"/>
  <c r="A714"/>
  <c r="D713"/>
  <c r="B713"/>
  <c r="A713"/>
  <c r="D712"/>
  <c r="B712"/>
  <c r="A712"/>
  <c r="D711"/>
  <c r="B711"/>
  <c r="A711"/>
  <c r="D710"/>
  <c r="B710"/>
  <c r="A710"/>
  <c r="D709"/>
  <c r="B709"/>
  <c r="A709"/>
  <c r="D708"/>
  <c r="B708"/>
  <c r="A708"/>
  <c r="D707"/>
  <c r="B707"/>
  <c r="A707"/>
  <c r="D706"/>
  <c r="B706"/>
  <c r="A706"/>
  <c r="D705"/>
  <c r="B705"/>
  <c r="A705"/>
  <c r="D704"/>
  <c r="B704"/>
  <c r="A704"/>
  <c r="D703"/>
  <c r="B703"/>
  <c r="A703"/>
  <c r="D702"/>
  <c r="B702"/>
  <c r="A702"/>
  <c r="D701"/>
  <c r="B701"/>
  <c r="A701"/>
  <c r="D700"/>
  <c r="B700"/>
  <c r="A700"/>
  <c r="D699"/>
  <c r="B699"/>
  <c r="A699"/>
  <c r="D698"/>
  <c r="B698"/>
  <c r="A698"/>
  <c r="D697"/>
  <c r="B697"/>
  <c r="A697"/>
  <c r="D696"/>
  <c r="B696"/>
  <c r="A696"/>
  <c r="D695"/>
  <c r="B695"/>
  <c r="A695"/>
  <c r="D694"/>
  <c r="B694"/>
  <c r="A694"/>
  <c r="D693"/>
  <c r="B693"/>
  <c r="A693"/>
  <c r="D692"/>
  <c r="B692"/>
  <c r="A692"/>
  <c r="D691"/>
  <c r="B691"/>
  <c r="A691"/>
  <c r="D690"/>
  <c r="B690"/>
  <c r="A690"/>
  <c r="D689"/>
  <c r="B689"/>
  <c r="A689"/>
  <c r="D688"/>
  <c r="B688"/>
  <c r="A688"/>
  <c r="D687"/>
  <c r="B687"/>
  <c r="A687"/>
  <c r="D686"/>
  <c r="B686"/>
  <c r="A686"/>
  <c r="D685"/>
  <c r="B685"/>
  <c r="A685"/>
  <c r="D684"/>
  <c r="B684"/>
  <c r="A684"/>
  <c r="D683"/>
  <c r="B683"/>
  <c r="A683"/>
  <c r="D682"/>
  <c r="B682"/>
  <c r="A682"/>
  <c r="D681"/>
  <c r="B681"/>
  <c r="A681"/>
  <c r="D680"/>
  <c r="B680"/>
  <c r="A680"/>
  <c r="D679"/>
  <c r="B679"/>
  <c r="A679"/>
  <c r="D678"/>
  <c r="B678"/>
  <c r="A678"/>
  <c r="D677"/>
  <c r="B677"/>
  <c r="A677"/>
  <c r="D676"/>
  <c r="B676"/>
  <c r="A676"/>
  <c r="D675"/>
  <c r="B675"/>
  <c r="A675"/>
  <c r="D674"/>
  <c r="B674"/>
  <c r="A674"/>
  <c r="D673"/>
  <c r="B673"/>
  <c r="A673"/>
  <c r="D672"/>
  <c r="B672"/>
  <c r="A672"/>
  <c r="D671"/>
  <c r="B671"/>
  <c r="A671"/>
  <c r="D670"/>
  <c r="B670"/>
  <c r="A670"/>
  <c r="D669"/>
  <c r="B669"/>
  <c r="A669"/>
  <c r="D668"/>
  <c r="B668"/>
  <c r="A668"/>
  <c r="D667"/>
  <c r="B667"/>
  <c r="A667"/>
  <c r="D666"/>
  <c r="B666"/>
  <c r="A666"/>
  <c r="D665"/>
  <c r="B665"/>
  <c r="A665"/>
  <c r="D664"/>
  <c r="B664"/>
  <c r="A664"/>
  <c r="D663"/>
  <c r="B663"/>
  <c r="A663"/>
  <c r="D662"/>
  <c r="B662"/>
  <c r="A662"/>
  <c r="D661"/>
  <c r="B661"/>
  <c r="A661"/>
  <c r="D660"/>
  <c r="B660"/>
  <c r="A660"/>
  <c r="D659"/>
  <c r="B659"/>
  <c r="A659"/>
  <c r="D658"/>
  <c r="B658"/>
  <c r="A658"/>
  <c r="D657"/>
  <c r="B657"/>
  <c r="A657"/>
  <c r="D656"/>
  <c r="B656"/>
  <c r="A656"/>
  <c r="D655"/>
  <c r="B655"/>
  <c r="A655"/>
  <c r="D654"/>
  <c r="B654"/>
  <c r="A654"/>
  <c r="D653"/>
  <c r="B653"/>
  <c r="A653"/>
  <c r="D652"/>
  <c r="B652"/>
  <c r="A652"/>
  <c r="D651"/>
  <c r="B651"/>
  <c r="A651"/>
  <c r="D650"/>
  <c r="B650"/>
  <c r="A650"/>
  <c r="D649"/>
  <c r="B649"/>
  <c r="A649"/>
  <c r="D648"/>
  <c r="B648"/>
  <c r="A648"/>
  <c r="D647"/>
  <c r="B647"/>
  <c r="A647"/>
  <c r="D646"/>
  <c r="B646"/>
  <c r="A646"/>
  <c r="D645"/>
  <c r="B645"/>
  <c r="A645"/>
  <c r="D644"/>
  <c r="B644"/>
  <c r="A644"/>
  <c r="D643"/>
  <c r="B643"/>
  <c r="A643"/>
  <c r="D642"/>
  <c r="B642"/>
  <c r="A642"/>
  <c r="D641"/>
  <c r="B641"/>
  <c r="A641"/>
  <c r="D640"/>
  <c r="B640"/>
  <c r="A640"/>
  <c r="D639"/>
  <c r="B639"/>
  <c r="A639"/>
  <c r="D638"/>
  <c r="B638"/>
  <c r="A638"/>
  <c r="D637"/>
  <c r="B637"/>
  <c r="A637"/>
  <c r="D636"/>
  <c r="B636"/>
  <c r="A636"/>
  <c r="D635"/>
  <c r="B635"/>
  <c r="A635"/>
  <c r="D634"/>
  <c r="B634"/>
  <c r="A634"/>
  <c r="D633"/>
  <c r="B633"/>
  <c r="A633"/>
  <c r="D632"/>
  <c r="B632"/>
  <c r="A632"/>
  <c r="D631"/>
  <c r="B631"/>
  <c r="A631"/>
  <c r="D630"/>
  <c r="B630"/>
  <c r="A630"/>
  <c r="D629"/>
  <c r="B629"/>
  <c r="A629"/>
  <c r="D628"/>
  <c r="B628"/>
  <c r="A628"/>
  <c r="D627"/>
  <c r="B627"/>
  <c r="A627"/>
  <c r="D626"/>
  <c r="B626"/>
  <c r="A626"/>
  <c r="D625"/>
  <c r="B625"/>
  <c r="A625"/>
  <c r="D624"/>
  <c r="B624"/>
  <c r="A624"/>
  <c r="D623"/>
  <c r="B623"/>
  <c r="A623"/>
  <c r="D622"/>
  <c r="B622"/>
  <c r="A622"/>
  <c r="D621"/>
  <c r="B621"/>
  <c r="A621"/>
  <c r="D620"/>
  <c r="B620"/>
  <c r="A620"/>
  <c r="D619"/>
  <c r="B619"/>
  <c r="A619"/>
  <c r="D618"/>
  <c r="B618"/>
  <c r="A618"/>
  <c r="D617"/>
  <c r="B617"/>
  <c r="A617"/>
  <c r="D616"/>
  <c r="B616"/>
  <c r="A616"/>
  <c r="D615"/>
  <c r="B615"/>
  <c r="A615"/>
  <c r="D614"/>
  <c r="B614"/>
  <c r="A614"/>
  <c r="D613"/>
  <c r="B613"/>
  <c r="A613"/>
  <c r="D612"/>
  <c r="B612"/>
  <c r="A612"/>
  <c r="D611"/>
  <c r="B611"/>
  <c r="A611"/>
  <c r="D610"/>
  <c r="B610"/>
  <c r="A610"/>
  <c r="D609"/>
  <c r="B609"/>
  <c r="A609"/>
  <c r="D608"/>
  <c r="B608"/>
  <c r="A608"/>
  <c r="D607"/>
  <c r="B607"/>
  <c r="A607"/>
  <c r="D606"/>
  <c r="B606"/>
  <c r="A606"/>
  <c r="D605"/>
  <c r="B605"/>
  <c r="A605"/>
  <c r="D604"/>
  <c r="B604"/>
  <c r="A604"/>
  <c r="D603"/>
  <c r="B603"/>
  <c r="A603"/>
  <c r="D602"/>
  <c r="B602"/>
  <c r="A602"/>
  <c r="D601"/>
  <c r="B601"/>
  <c r="A601"/>
  <c r="D600"/>
  <c r="B600"/>
  <c r="A600"/>
  <c r="D599"/>
  <c r="B599"/>
  <c r="A599"/>
  <c r="D598"/>
  <c r="B598"/>
  <c r="A598"/>
  <c r="D597"/>
  <c r="B597"/>
  <c r="A597"/>
  <c r="D596"/>
  <c r="B596"/>
  <c r="A596"/>
  <c r="D595"/>
  <c r="B595"/>
  <c r="A595"/>
  <c r="D594"/>
  <c r="B594"/>
  <c r="A594"/>
  <c r="D593"/>
  <c r="B593"/>
  <c r="A593"/>
  <c r="D592"/>
  <c r="B592"/>
  <c r="A592"/>
  <c r="D591"/>
  <c r="B591"/>
  <c r="A591"/>
  <c r="D590"/>
  <c r="B590"/>
  <c r="A590"/>
  <c r="D589"/>
  <c r="B589"/>
  <c r="A589"/>
  <c r="D588"/>
  <c r="B588"/>
  <c r="A588"/>
  <c r="D587"/>
  <c r="B587"/>
  <c r="A587"/>
  <c r="D586"/>
  <c r="B586"/>
  <c r="A586"/>
  <c r="D585"/>
  <c r="B585"/>
  <c r="A585"/>
  <c r="D584"/>
  <c r="B584"/>
  <c r="A584"/>
  <c r="D583"/>
  <c r="B583"/>
  <c r="A583"/>
  <c r="D582"/>
  <c r="B582"/>
  <c r="A582"/>
  <c r="D581"/>
  <c r="B581"/>
  <c r="A581"/>
  <c r="D580"/>
  <c r="B580"/>
  <c r="A580"/>
  <c r="D579"/>
  <c r="B579"/>
  <c r="A579"/>
  <c r="D578"/>
  <c r="B578"/>
  <c r="A578"/>
  <c r="D577"/>
  <c r="B577"/>
  <c r="A577"/>
  <c r="D576"/>
  <c r="B576"/>
  <c r="A576"/>
  <c r="D575"/>
  <c r="B575"/>
  <c r="A575"/>
  <c r="D574"/>
  <c r="B574"/>
  <c r="A574"/>
  <c r="D573"/>
  <c r="B573"/>
  <c r="A573"/>
  <c r="D572"/>
  <c r="B572"/>
  <c r="A572"/>
  <c r="D571"/>
  <c r="B571"/>
  <c r="A571"/>
  <c r="D570"/>
  <c r="B570"/>
  <c r="A570"/>
  <c r="D569"/>
  <c r="B569"/>
  <c r="A569"/>
  <c r="D568"/>
  <c r="B568"/>
  <c r="A568"/>
  <c r="D567"/>
  <c r="B567"/>
  <c r="A567"/>
  <c r="D566"/>
  <c r="B566"/>
  <c r="A566"/>
  <c r="D565"/>
  <c r="B565"/>
  <c r="A565"/>
  <c r="D564"/>
  <c r="B564"/>
  <c r="A564"/>
  <c r="D563"/>
  <c r="B563"/>
  <c r="A563"/>
  <c r="D562"/>
  <c r="B562"/>
  <c r="A562"/>
  <c r="D561"/>
  <c r="B561"/>
  <c r="A561"/>
  <c r="D560"/>
  <c r="B560"/>
  <c r="A560"/>
  <c r="D559"/>
  <c r="B559"/>
  <c r="A559"/>
  <c r="D558"/>
  <c r="B558"/>
  <c r="A558"/>
  <c r="D557"/>
  <c r="B557"/>
  <c r="A557"/>
  <c r="D556"/>
  <c r="B556"/>
  <c r="A556"/>
  <c r="D555"/>
  <c r="B555"/>
  <c r="A555"/>
  <c r="D554"/>
  <c r="B554"/>
  <c r="A554"/>
  <c r="D553"/>
  <c r="B553"/>
  <c r="A553"/>
  <c r="D552"/>
  <c r="B552"/>
  <c r="A552"/>
  <c r="D551"/>
  <c r="B551"/>
  <c r="A551"/>
  <c r="D550"/>
  <c r="B550"/>
  <c r="A550"/>
  <c r="D549"/>
  <c r="B549"/>
  <c r="A549"/>
  <c r="D548"/>
  <c r="B548"/>
  <c r="A548"/>
  <c r="D547"/>
  <c r="B547"/>
  <c r="A547"/>
  <c r="D546"/>
  <c r="B546"/>
  <c r="A546"/>
  <c r="D545"/>
  <c r="B545"/>
  <c r="A545"/>
  <c r="D544"/>
  <c r="B544"/>
  <c r="A544"/>
  <c r="D543"/>
  <c r="B543"/>
  <c r="A543"/>
  <c r="D542"/>
  <c r="B542"/>
  <c r="A542"/>
  <c r="D541"/>
  <c r="B541"/>
  <c r="A541"/>
  <c r="D540"/>
  <c r="B540"/>
  <c r="A540"/>
  <c r="D539"/>
  <c r="B539"/>
  <c r="A539"/>
  <c r="D538"/>
  <c r="B538"/>
  <c r="A538"/>
  <c r="D537"/>
  <c r="B537"/>
  <c r="A537"/>
  <c r="D536"/>
  <c r="B536"/>
  <c r="A536"/>
  <c r="D535"/>
  <c r="B535"/>
  <c r="A535"/>
  <c r="D534"/>
  <c r="B534"/>
  <c r="A534"/>
  <c r="D533"/>
  <c r="B533"/>
  <c r="A533"/>
  <c r="D532"/>
  <c r="B532"/>
  <c r="A532"/>
  <c r="D531"/>
  <c r="B531"/>
  <c r="A531"/>
  <c r="D530"/>
  <c r="B530"/>
  <c r="A530"/>
  <c r="D529"/>
  <c r="B529"/>
  <c r="A529"/>
  <c r="D528"/>
  <c r="B528"/>
  <c r="A528"/>
  <c r="D527"/>
  <c r="B527"/>
  <c r="A527"/>
  <c r="D526"/>
  <c r="B526"/>
  <c r="A526"/>
  <c r="D525"/>
  <c r="B525"/>
  <c r="A525"/>
  <c r="D524"/>
  <c r="B524"/>
  <c r="A524"/>
  <c r="D523"/>
  <c r="B523"/>
  <c r="A523"/>
  <c r="D522"/>
  <c r="B522"/>
  <c r="A522"/>
  <c r="D521"/>
  <c r="B521"/>
  <c r="A521"/>
  <c r="D520"/>
  <c r="B520"/>
  <c r="A520"/>
  <c r="D519"/>
  <c r="B519"/>
  <c r="A519"/>
  <c r="D518"/>
  <c r="B518"/>
  <c r="A518"/>
  <c r="D517"/>
  <c r="B517"/>
  <c r="A517"/>
  <c r="D516"/>
  <c r="B516"/>
  <c r="A516"/>
  <c r="D515"/>
  <c r="B515"/>
  <c r="A515"/>
  <c r="D514"/>
  <c r="B514"/>
  <c r="A514"/>
  <c r="D513"/>
  <c r="B513"/>
  <c r="A513"/>
  <c r="D512"/>
  <c r="B512"/>
  <c r="A512"/>
  <c r="D511"/>
  <c r="B511"/>
  <c r="A511"/>
  <c r="D510"/>
  <c r="B510"/>
  <c r="A510"/>
  <c r="D509"/>
  <c r="B509"/>
  <c r="A509"/>
  <c r="D508"/>
  <c r="B508"/>
  <c r="A508"/>
  <c r="D507"/>
  <c r="B507"/>
  <c r="A507"/>
  <c r="D506"/>
  <c r="B506"/>
  <c r="A506"/>
  <c r="D505"/>
  <c r="B505"/>
  <c r="A505"/>
  <c r="D504"/>
  <c r="B504"/>
  <c r="A504"/>
  <c r="D503"/>
  <c r="B503"/>
  <c r="A503"/>
  <c r="D502"/>
  <c r="B502"/>
  <c r="A502"/>
  <c r="D501"/>
  <c r="B501"/>
  <c r="A501"/>
  <c r="D500"/>
  <c r="B500"/>
  <c r="A500"/>
  <c r="D499"/>
  <c r="B499"/>
  <c r="A499"/>
  <c r="D498"/>
  <c r="B498"/>
  <c r="A498"/>
  <c r="D497"/>
  <c r="B497"/>
  <c r="A497"/>
  <c r="D496"/>
  <c r="B496"/>
  <c r="A496"/>
  <c r="D495"/>
  <c r="B495"/>
  <c r="A495"/>
  <c r="D494"/>
  <c r="B494"/>
  <c r="A494"/>
  <c r="D493"/>
  <c r="B493"/>
  <c r="A493"/>
  <c r="D492"/>
  <c r="B492"/>
  <c r="A492"/>
  <c r="D491"/>
  <c r="B491"/>
  <c r="A491"/>
  <c r="D490"/>
  <c r="B490"/>
  <c r="A490"/>
  <c r="D489"/>
  <c r="B489"/>
  <c r="A489"/>
  <c r="D488"/>
  <c r="B488"/>
  <c r="A488"/>
  <c r="D487"/>
  <c r="B487"/>
  <c r="A487"/>
  <c r="D486"/>
  <c r="B486"/>
  <c r="A486"/>
  <c r="D485"/>
  <c r="B485"/>
  <c r="A485"/>
  <c r="D484"/>
  <c r="B484"/>
  <c r="A484"/>
  <c r="D483"/>
  <c r="B483"/>
  <c r="A483"/>
  <c r="D482"/>
  <c r="B482"/>
  <c r="A482"/>
  <c r="D481"/>
  <c r="B481"/>
  <c r="A481"/>
  <c r="D480"/>
  <c r="B480"/>
  <c r="A480"/>
  <c r="D479"/>
  <c r="B479"/>
  <c r="A479"/>
  <c r="D478"/>
  <c r="B478"/>
  <c r="A478"/>
  <c r="D477"/>
  <c r="B477"/>
  <c r="A477"/>
  <c r="D476"/>
  <c r="B476"/>
  <c r="A476"/>
  <c r="D475"/>
  <c r="B475"/>
  <c r="A475"/>
  <c r="D474"/>
  <c r="B474"/>
  <c r="A474"/>
  <c r="D473"/>
  <c r="B473"/>
  <c r="A473"/>
  <c r="D472"/>
  <c r="B472"/>
  <c r="A472"/>
  <c r="D471"/>
  <c r="B471"/>
  <c r="A471"/>
  <c r="D470"/>
  <c r="B470"/>
  <c r="A470"/>
  <c r="D469"/>
  <c r="B469"/>
  <c r="A469"/>
  <c r="D468"/>
  <c r="B468"/>
  <c r="A468"/>
  <c r="D467"/>
  <c r="B467"/>
  <c r="A467"/>
  <c r="D466"/>
  <c r="B466"/>
  <c r="A466"/>
  <c r="D465"/>
  <c r="B465"/>
  <c r="A465"/>
  <c r="D464"/>
  <c r="B464"/>
  <c r="A464"/>
  <c r="D463"/>
  <c r="B463"/>
  <c r="A463"/>
  <c r="D462"/>
  <c r="B462"/>
  <c r="A462"/>
  <c r="D461"/>
  <c r="B461"/>
  <c r="A461"/>
  <c r="D460"/>
  <c r="B460"/>
  <c r="A460"/>
  <c r="D459"/>
  <c r="B459"/>
  <c r="A459"/>
  <c r="D458"/>
  <c r="B458"/>
  <c r="A458"/>
  <c r="D457"/>
  <c r="B457"/>
  <c r="A457"/>
  <c r="D456"/>
  <c r="B456"/>
  <c r="A456"/>
  <c r="D455"/>
  <c r="B455"/>
  <c r="A455"/>
  <c r="D454"/>
  <c r="B454"/>
  <c r="A454"/>
  <c r="D453"/>
  <c r="B453"/>
  <c r="A453"/>
  <c r="D452"/>
  <c r="B452"/>
  <c r="A452"/>
  <c r="D451"/>
  <c r="B451"/>
  <c r="A451"/>
  <c r="D450"/>
  <c r="B450"/>
  <c r="A450"/>
  <c r="D449"/>
  <c r="B449"/>
  <c r="A449"/>
  <c r="D448"/>
  <c r="B448"/>
  <c r="A448"/>
  <c r="D447"/>
  <c r="B447"/>
  <c r="A447"/>
  <c r="D446"/>
  <c r="B446"/>
  <c r="A446"/>
  <c r="D445"/>
  <c r="B445"/>
  <c r="A445"/>
  <c r="D444"/>
  <c r="B444"/>
  <c r="A444"/>
  <c r="D443"/>
  <c r="B443"/>
  <c r="A443"/>
  <c r="D442"/>
  <c r="B442"/>
  <c r="A442"/>
  <c r="D441"/>
  <c r="B441"/>
  <c r="A441"/>
  <c r="D440"/>
  <c r="B440"/>
  <c r="A440"/>
  <c r="D439"/>
  <c r="B439"/>
  <c r="A439"/>
  <c r="D438"/>
  <c r="B438"/>
  <c r="A438"/>
  <c r="D437"/>
  <c r="B437"/>
  <c r="A437"/>
  <c r="D436"/>
  <c r="B436"/>
  <c r="A436"/>
  <c r="D435"/>
  <c r="B435"/>
  <c r="A435"/>
  <c r="D434"/>
  <c r="B434"/>
  <c r="A434"/>
  <c r="D433"/>
  <c r="B433"/>
  <c r="A433"/>
  <c r="D432"/>
  <c r="B432"/>
  <c r="A432"/>
  <c r="D431"/>
  <c r="B431"/>
  <c r="A431"/>
  <c r="D430"/>
  <c r="B430"/>
  <c r="A430"/>
  <c r="D429"/>
  <c r="B429"/>
  <c r="A429"/>
  <c r="D428"/>
  <c r="B428"/>
  <c r="A428"/>
  <c r="D427"/>
  <c r="B427"/>
  <c r="A427"/>
  <c r="D426"/>
  <c r="B426"/>
  <c r="A426"/>
  <c r="D425"/>
  <c r="B425"/>
  <c r="A425"/>
  <c r="D424"/>
  <c r="B424"/>
  <c r="A424"/>
  <c r="D423"/>
  <c r="B423"/>
  <c r="A423"/>
  <c r="D422"/>
  <c r="B422"/>
  <c r="A422"/>
  <c r="D421"/>
  <c r="B421"/>
  <c r="A421"/>
  <c r="D420"/>
  <c r="B420"/>
  <c r="A420"/>
  <c r="D419"/>
  <c r="B419"/>
  <c r="A419"/>
  <c r="D418"/>
  <c r="B418"/>
  <c r="A418"/>
  <c r="D417"/>
  <c r="B417"/>
  <c r="A417"/>
  <c r="D416"/>
  <c r="B416"/>
  <c r="A416"/>
  <c r="D415"/>
  <c r="B415"/>
  <c r="A415"/>
  <c r="D414"/>
  <c r="B414"/>
  <c r="A414"/>
  <c r="D413"/>
  <c r="B413"/>
  <c r="A413"/>
  <c r="D412"/>
  <c r="B412"/>
  <c r="A412"/>
  <c r="D411"/>
  <c r="B411"/>
  <c r="A411"/>
  <c r="D410"/>
  <c r="B410"/>
  <c r="A410"/>
  <c r="D409"/>
  <c r="B409"/>
  <c r="A409"/>
  <c r="D408"/>
  <c r="B408"/>
  <c r="A408"/>
  <c r="D407"/>
  <c r="B407"/>
  <c r="A407"/>
  <c r="D406"/>
  <c r="B406"/>
  <c r="A406"/>
  <c r="D405"/>
  <c r="B405"/>
  <c r="A405"/>
  <c r="D404"/>
  <c r="B404"/>
  <c r="A404"/>
  <c r="D403"/>
  <c r="B403"/>
  <c r="A403"/>
  <c r="D402"/>
  <c r="B402"/>
  <c r="A402"/>
  <c r="D401"/>
  <c r="B401"/>
  <c r="A401"/>
  <c r="D400"/>
  <c r="B400"/>
  <c r="A400"/>
  <c r="D399"/>
  <c r="B399"/>
  <c r="A399"/>
  <c r="D398"/>
  <c r="B398"/>
  <c r="A398"/>
  <c r="D397"/>
  <c r="B397"/>
  <c r="A397"/>
  <c r="D396"/>
  <c r="B396"/>
  <c r="A396"/>
  <c r="D395"/>
  <c r="B395"/>
  <c r="A395"/>
  <c r="D394"/>
  <c r="B394"/>
  <c r="A394"/>
  <c r="D393"/>
  <c r="B393"/>
  <c r="A393"/>
  <c r="D392"/>
  <c r="B392"/>
  <c r="A392"/>
  <c r="D391"/>
  <c r="B391"/>
  <c r="A391"/>
  <c r="D390"/>
  <c r="B390"/>
  <c r="A390"/>
  <c r="D389"/>
  <c r="B389"/>
  <c r="A389"/>
  <c r="D388"/>
  <c r="B388"/>
  <c r="A388"/>
  <c r="D387"/>
  <c r="B387"/>
  <c r="A387"/>
  <c r="D386"/>
  <c r="B386"/>
  <c r="A386"/>
  <c r="D385"/>
  <c r="B385"/>
  <c r="A385"/>
  <c r="D384"/>
  <c r="B384"/>
  <c r="A384"/>
  <c r="D383"/>
  <c r="B383"/>
  <c r="A383"/>
  <c r="D382"/>
  <c r="B382"/>
  <c r="A382"/>
  <c r="D381"/>
  <c r="B381"/>
  <c r="A381"/>
  <c r="D380"/>
  <c r="B380"/>
  <c r="A380"/>
  <c r="D379"/>
  <c r="B379"/>
  <c r="A379"/>
  <c r="D378"/>
  <c r="B378"/>
  <c r="A378"/>
  <c r="D377"/>
  <c r="B377"/>
  <c r="A377"/>
  <c r="D376"/>
  <c r="B376"/>
  <c r="A376"/>
  <c r="D375"/>
  <c r="B375"/>
  <c r="A375"/>
  <c r="D374"/>
  <c r="B374"/>
  <c r="A374"/>
  <c r="D373"/>
  <c r="B373"/>
  <c r="A373"/>
  <c r="D372"/>
  <c r="B372"/>
  <c r="A372"/>
  <c r="D371"/>
  <c r="B371"/>
  <c r="A371"/>
  <c r="D370"/>
  <c r="B370"/>
  <c r="A370"/>
  <c r="D369"/>
  <c r="B369"/>
  <c r="A369"/>
  <c r="D368"/>
  <c r="B368"/>
  <c r="A368"/>
  <c r="D367"/>
  <c r="B367"/>
  <c r="A367"/>
  <c r="D366"/>
  <c r="B366"/>
  <c r="A366"/>
  <c r="D365"/>
  <c r="B365"/>
  <c r="A365"/>
  <c r="D364"/>
  <c r="B364"/>
  <c r="A364"/>
  <c r="D363"/>
  <c r="B363"/>
  <c r="A363"/>
  <c r="D362"/>
  <c r="B362"/>
  <c r="A362"/>
  <c r="D361"/>
  <c r="B361"/>
  <c r="A361"/>
  <c r="D360"/>
  <c r="B360"/>
  <c r="A360"/>
  <c r="D359"/>
  <c r="B359"/>
  <c r="A359"/>
  <c r="D358"/>
  <c r="B358"/>
  <c r="A358"/>
  <c r="D357"/>
  <c r="B357"/>
  <c r="A357"/>
  <c r="D356"/>
  <c r="B356"/>
  <c r="A356"/>
  <c r="D355"/>
  <c r="B355"/>
  <c r="A355"/>
  <c r="D354"/>
  <c r="B354"/>
  <c r="A354"/>
  <c r="D353"/>
  <c r="B353"/>
  <c r="A353"/>
  <c r="D352"/>
  <c r="B352"/>
  <c r="A352"/>
  <c r="D351"/>
  <c r="B351"/>
  <c r="A351"/>
  <c r="D350"/>
  <c r="B350"/>
  <c r="A350"/>
  <c r="D349"/>
  <c r="B349"/>
  <c r="A349"/>
  <c r="D348"/>
  <c r="B348"/>
  <c r="A348"/>
  <c r="D347"/>
  <c r="B347"/>
  <c r="A347"/>
  <c r="D346"/>
  <c r="B346"/>
  <c r="A346"/>
  <c r="D345"/>
  <c r="B345"/>
  <c r="A345"/>
  <c r="D344"/>
  <c r="B344"/>
  <c r="A344"/>
  <c r="D343"/>
  <c r="B343"/>
  <c r="A343"/>
  <c r="D342"/>
  <c r="B342"/>
  <c r="A342"/>
  <c r="D341"/>
  <c r="B341"/>
  <c r="A341"/>
  <c r="D340"/>
  <c r="B340"/>
  <c r="A340"/>
  <c r="D339"/>
  <c r="B339"/>
  <c r="A339"/>
  <c r="D338"/>
  <c r="B338"/>
  <c r="A338"/>
  <c r="D337"/>
  <c r="B337"/>
  <c r="A337"/>
  <c r="D336"/>
  <c r="B336"/>
  <c r="A336"/>
  <c r="D335"/>
  <c r="B335"/>
  <c r="A335"/>
  <c r="D334"/>
  <c r="B334"/>
  <c r="A334"/>
  <c r="D333"/>
  <c r="B333"/>
  <c r="A333"/>
  <c r="D332"/>
  <c r="B332"/>
  <c r="A332"/>
  <c r="D331"/>
  <c r="B331"/>
  <c r="A331"/>
  <c r="D330"/>
  <c r="B330"/>
  <c r="A330"/>
  <c r="D329"/>
  <c r="B329"/>
  <c r="A329"/>
  <c r="D328"/>
  <c r="B328"/>
  <c r="A328"/>
  <c r="D327"/>
  <c r="B327"/>
  <c r="A327"/>
  <c r="D326"/>
  <c r="B326"/>
  <c r="A326"/>
  <c r="D325"/>
  <c r="B325"/>
  <c r="A325"/>
  <c r="D324"/>
  <c r="B324"/>
  <c r="A324"/>
  <c r="D323"/>
  <c r="B323"/>
  <c r="A323"/>
  <c r="D322"/>
  <c r="B322"/>
  <c r="A322"/>
  <c r="D321"/>
  <c r="B321"/>
  <c r="A321"/>
  <c r="D320"/>
  <c r="B320"/>
  <c r="A320"/>
  <c r="D319"/>
  <c r="B319"/>
  <c r="A319"/>
  <c r="D318"/>
  <c r="B318"/>
  <c r="A318"/>
  <c r="D317"/>
  <c r="B317"/>
  <c r="A317"/>
  <c r="D316"/>
  <c r="B316"/>
  <c r="A316"/>
  <c r="D315"/>
  <c r="B315"/>
  <c r="A315"/>
  <c r="D314"/>
  <c r="B314"/>
  <c r="A314"/>
  <c r="D313"/>
  <c r="B313"/>
  <c r="A313"/>
  <c r="D312"/>
  <c r="B312"/>
  <c r="A312"/>
  <c r="D311"/>
  <c r="B311"/>
  <c r="A311"/>
  <c r="D310"/>
  <c r="B310"/>
  <c r="A310"/>
  <c r="D309"/>
  <c r="B309"/>
  <c r="A309"/>
  <c r="D308"/>
  <c r="B308"/>
  <c r="A308"/>
  <c r="D307"/>
  <c r="B307"/>
  <c r="A307"/>
  <c r="D306"/>
  <c r="B306"/>
  <c r="A306"/>
  <c r="D305"/>
  <c r="B305"/>
  <c r="A305"/>
  <c r="D304"/>
  <c r="B304"/>
  <c r="A304"/>
  <c r="D303"/>
  <c r="B303"/>
  <c r="A303"/>
  <c r="D302"/>
  <c r="B302"/>
  <c r="A302"/>
  <c r="D301"/>
  <c r="B301"/>
  <c r="A301"/>
  <c r="D300"/>
  <c r="B300"/>
  <c r="A300"/>
  <c r="D299"/>
  <c r="B299"/>
  <c r="A299"/>
  <c r="D298"/>
  <c r="B298"/>
  <c r="A298"/>
  <c r="D297"/>
  <c r="B297"/>
  <c r="A297"/>
  <c r="D296"/>
  <c r="B296"/>
  <c r="A296"/>
  <c r="D295"/>
  <c r="B295"/>
  <c r="A295"/>
  <c r="D294"/>
  <c r="B294"/>
  <c r="A294"/>
  <c r="D293"/>
  <c r="B293"/>
  <c r="A293"/>
  <c r="D292"/>
  <c r="B292"/>
  <c r="A292"/>
  <c r="D291"/>
  <c r="B291"/>
  <c r="A291"/>
  <c r="D290"/>
  <c r="B290"/>
  <c r="A290"/>
  <c r="D289"/>
  <c r="B289"/>
  <c r="A289"/>
  <c r="D288"/>
  <c r="B288"/>
  <c r="A288"/>
  <c r="D287"/>
  <c r="B287"/>
  <c r="A287"/>
  <c r="D286"/>
  <c r="B286"/>
  <c r="A286"/>
  <c r="D285"/>
  <c r="B285"/>
  <c r="A285"/>
  <c r="D284"/>
  <c r="B284"/>
  <c r="A284"/>
  <c r="D283"/>
  <c r="B283"/>
  <c r="A283"/>
  <c r="D282"/>
  <c r="B282"/>
  <c r="A282"/>
  <c r="D281"/>
  <c r="B281"/>
  <c r="A281"/>
  <c r="D280"/>
  <c r="B280"/>
  <c r="A280"/>
  <c r="D279"/>
  <c r="B279"/>
  <c r="A279"/>
  <c r="D278"/>
  <c r="B278"/>
  <c r="A278"/>
  <c r="D277"/>
  <c r="B277"/>
  <c r="A277"/>
  <c r="D276"/>
  <c r="B276"/>
  <c r="A276"/>
  <c r="D275"/>
  <c r="B275"/>
  <c r="A275"/>
  <c r="D274"/>
  <c r="B274"/>
  <c r="A274"/>
  <c r="D273"/>
  <c r="B273"/>
  <c r="A273"/>
  <c r="D272"/>
  <c r="B272"/>
  <c r="A272"/>
  <c r="D271"/>
  <c r="B271"/>
  <c r="A271"/>
  <c r="D270"/>
  <c r="B270"/>
  <c r="A270"/>
  <c r="D269"/>
  <c r="B269"/>
  <c r="A269"/>
  <c r="D268"/>
  <c r="B268"/>
  <c r="A268"/>
  <c r="D267"/>
  <c r="B267"/>
  <c r="A267"/>
  <c r="D266"/>
  <c r="B266"/>
  <c r="A266"/>
  <c r="D265"/>
  <c r="B265"/>
  <c r="A265"/>
  <c r="D264"/>
  <c r="B264"/>
  <c r="A264"/>
  <c r="D263"/>
  <c r="B263"/>
  <c r="A263"/>
  <c r="D262"/>
  <c r="B262"/>
  <c r="A262"/>
  <c r="D261"/>
  <c r="B261"/>
  <c r="A261"/>
  <c r="D260"/>
  <c r="B260"/>
  <c r="A260"/>
  <c r="D259"/>
  <c r="B259"/>
  <c r="A259"/>
  <c r="D258"/>
  <c r="B258"/>
  <c r="A258"/>
  <c r="D257"/>
  <c r="B257"/>
  <c r="A257"/>
  <c r="D256"/>
  <c r="B256"/>
  <c r="A256"/>
  <c r="D255"/>
  <c r="B255"/>
  <c r="A255"/>
  <c r="D254"/>
  <c r="B254"/>
  <c r="A254"/>
  <c r="D253"/>
  <c r="B253"/>
  <c r="A253"/>
  <c r="D252"/>
  <c r="B252"/>
  <c r="A252"/>
  <c r="D251"/>
  <c r="B251"/>
  <c r="A251"/>
  <c r="D250"/>
  <c r="B250"/>
  <c r="A250"/>
  <c r="D249"/>
  <c r="B249"/>
  <c r="A249"/>
  <c r="D248"/>
  <c r="B248"/>
  <c r="A248"/>
  <c r="D247"/>
  <c r="B247"/>
  <c r="A247"/>
  <c r="D246"/>
  <c r="B246"/>
  <c r="A246"/>
  <c r="D245"/>
  <c r="B245"/>
  <c r="A245"/>
  <c r="D244"/>
  <c r="B244"/>
  <c r="A244"/>
  <c r="D243"/>
  <c r="B243"/>
  <c r="A243"/>
  <c r="D242"/>
  <c r="B242"/>
  <c r="A242"/>
  <c r="D241"/>
  <c r="B241"/>
  <c r="A241"/>
  <c r="D240"/>
  <c r="B240"/>
  <c r="A240"/>
  <c r="D239"/>
  <c r="B239"/>
  <c r="A239"/>
  <c r="D238"/>
  <c r="B238"/>
  <c r="A238"/>
  <c r="D237"/>
  <c r="B237"/>
  <c r="A237"/>
  <c r="D236"/>
  <c r="B236"/>
  <c r="A236"/>
  <c r="D235"/>
  <c r="B235"/>
  <c r="A235"/>
  <c r="D234"/>
  <c r="B234"/>
  <c r="A234"/>
  <c r="D233"/>
  <c r="B233"/>
  <c r="A233"/>
  <c r="D232"/>
  <c r="B232"/>
  <c r="A232"/>
  <c r="D231"/>
  <c r="B231"/>
  <c r="A231"/>
  <c r="D230"/>
  <c r="B230"/>
  <c r="A230"/>
  <c r="D229"/>
  <c r="B229"/>
  <c r="A229"/>
  <c r="D228"/>
  <c r="B228"/>
  <c r="A228"/>
  <c r="D227"/>
  <c r="B227"/>
  <c r="A227"/>
  <c r="D226"/>
  <c r="B226"/>
  <c r="A226"/>
  <c r="D225"/>
  <c r="B225"/>
  <c r="A225"/>
  <c r="D224"/>
  <c r="B224"/>
  <c r="A224"/>
  <c r="D223"/>
  <c r="B223"/>
  <c r="A223"/>
  <c r="D222"/>
  <c r="B222"/>
  <c r="A222"/>
  <c r="D221"/>
  <c r="B221"/>
  <c r="A221"/>
  <c r="D220"/>
  <c r="B220"/>
  <c r="A220"/>
  <c r="D219"/>
  <c r="B219"/>
  <c r="A219"/>
  <c r="D218"/>
  <c r="B218"/>
  <c r="A218"/>
  <c r="D217"/>
  <c r="B217"/>
  <c r="A217"/>
  <c r="D216"/>
  <c r="B216"/>
  <c r="A216"/>
  <c r="D215"/>
  <c r="B215"/>
  <c r="A215"/>
  <c r="D214"/>
  <c r="B214"/>
  <c r="A214"/>
  <c r="D213"/>
  <c r="B213"/>
  <c r="A213"/>
  <c r="D212"/>
  <c r="B212"/>
  <c r="A212"/>
  <c r="D211"/>
  <c r="B211"/>
  <c r="A211"/>
  <c r="D210"/>
  <c r="B210"/>
  <c r="A210"/>
  <c r="D209"/>
  <c r="B209"/>
  <c r="A209"/>
  <c r="D208"/>
  <c r="B208"/>
  <c r="A208"/>
  <c r="D207"/>
  <c r="B207"/>
  <c r="A207"/>
  <c r="D206"/>
  <c r="B206"/>
  <c r="A206"/>
  <c r="D205"/>
  <c r="B205"/>
  <c r="A205"/>
  <c r="D204"/>
  <c r="B204"/>
  <c r="A204"/>
  <c r="D203"/>
  <c r="B203"/>
  <c r="A203"/>
  <c r="D202"/>
  <c r="B202"/>
  <c r="A202"/>
  <c r="D201"/>
  <c r="B201"/>
  <c r="A201"/>
  <c r="D200"/>
  <c r="B200"/>
  <c r="A200"/>
  <c r="D199"/>
  <c r="B199"/>
  <c r="A199"/>
  <c r="D198"/>
  <c r="B198"/>
  <c r="A198"/>
  <c r="D197"/>
  <c r="B197"/>
  <c r="A197"/>
  <c r="D196"/>
  <c r="B196"/>
  <c r="A196"/>
  <c r="D195"/>
  <c r="B195"/>
  <c r="A195"/>
  <c r="D194"/>
  <c r="B194"/>
  <c r="A194"/>
  <c r="D193"/>
  <c r="B193"/>
  <c r="A193"/>
  <c r="D192"/>
  <c r="B192"/>
  <c r="A192"/>
  <c r="D191"/>
  <c r="B191"/>
  <c r="A191"/>
  <c r="D190"/>
  <c r="B190"/>
  <c r="A190"/>
  <c r="D189"/>
  <c r="B189"/>
  <c r="A189"/>
  <c r="D188"/>
  <c r="B188"/>
  <c r="A188"/>
  <c r="D187"/>
  <c r="B187"/>
  <c r="A187"/>
  <c r="D186"/>
  <c r="B186"/>
  <c r="A186"/>
  <c r="D185"/>
  <c r="B185"/>
  <c r="A185"/>
  <c r="D184"/>
  <c r="B184"/>
  <c r="A184"/>
  <c r="D183"/>
  <c r="B183"/>
  <c r="A183"/>
  <c r="D182"/>
  <c r="B182"/>
  <c r="A182"/>
  <c r="D181"/>
  <c r="B181"/>
  <c r="A181"/>
  <c r="D180"/>
  <c r="B180"/>
  <c r="A180"/>
  <c r="D179"/>
  <c r="B179"/>
  <c r="A179"/>
  <c r="D178"/>
  <c r="B178"/>
  <c r="A178"/>
  <c r="D177"/>
  <c r="B177"/>
  <c r="A177"/>
  <c r="D176"/>
  <c r="B176"/>
  <c r="A176"/>
  <c r="D175"/>
  <c r="B175"/>
  <c r="A175"/>
  <c r="D174"/>
  <c r="B174"/>
  <c r="A174"/>
  <c r="D173"/>
  <c r="B173"/>
  <c r="A173"/>
  <c r="D172"/>
  <c r="B172"/>
  <c r="A172"/>
  <c r="D171"/>
  <c r="B171"/>
  <c r="A171"/>
  <c r="D170"/>
  <c r="B170"/>
  <c r="A170"/>
  <c r="D169"/>
  <c r="B169"/>
  <c r="A169"/>
  <c r="D168"/>
  <c r="B168"/>
  <c r="A168"/>
  <c r="D167"/>
  <c r="B167"/>
  <c r="A167"/>
  <c r="D166"/>
  <c r="B166"/>
  <c r="A166"/>
  <c r="D165"/>
  <c r="B165"/>
  <c r="A165"/>
  <c r="D164"/>
  <c r="B164"/>
  <c r="A164"/>
  <c r="D163"/>
  <c r="B163"/>
  <c r="A163"/>
  <c r="D162"/>
  <c r="B162"/>
  <c r="A162"/>
  <c r="D161"/>
  <c r="B161"/>
  <c r="A161"/>
  <c r="D160"/>
  <c r="B160"/>
  <c r="A160"/>
  <c r="D159"/>
  <c r="B159"/>
  <c r="A159"/>
  <c r="D158"/>
  <c r="B158"/>
  <c r="A158"/>
  <c r="D157"/>
  <c r="B157"/>
  <c r="A157"/>
  <c r="D156"/>
  <c r="B156"/>
  <c r="A156"/>
  <c r="D155"/>
  <c r="B155"/>
  <c r="A155"/>
  <c r="D154"/>
  <c r="B154"/>
  <c r="A154"/>
  <c r="D153"/>
  <c r="B153"/>
  <c r="A153"/>
  <c r="D152"/>
  <c r="B152"/>
  <c r="A152"/>
  <c r="D151"/>
  <c r="B151"/>
  <c r="A151"/>
  <c r="D150"/>
  <c r="B150"/>
  <c r="A150"/>
  <c r="D149"/>
  <c r="B149"/>
  <c r="A149"/>
  <c r="D148"/>
  <c r="B148"/>
  <c r="A148"/>
  <c r="D147"/>
  <c r="B147"/>
  <c r="A147"/>
  <c r="D146"/>
  <c r="B146"/>
  <c r="A146"/>
  <c r="D145"/>
  <c r="B145"/>
  <c r="A145"/>
  <c r="D144"/>
  <c r="B144"/>
  <c r="A144"/>
  <c r="D143"/>
  <c r="B143"/>
  <c r="A143"/>
  <c r="D142"/>
  <c r="B142"/>
  <c r="A142"/>
  <c r="D141"/>
  <c r="B141"/>
  <c r="A141"/>
  <c r="D140"/>
  <c r="B140"/>
  <c r="A140"/>
  <c r="D139"/>
  <c r="B139"/>
  <c r="A139"/>
  <c r="D138"/>
  <c r="B138"/>
  <c r="A138"/>
  <c r="D137"/>
  <c r="B137"/>
  <c r="A137"/>
  <c r="D136"/>
  <c r="B136"/>
  <c r="A136"/>
  <c r="D135"/>
  <c r="B135"/>
  <c r="A135"/>
  <c r="D134"/>
  <c r="B134"/>
  <c r="A134"/>
  <c r="D133"/>
  <c r="B133"/>
  <c r="A133"/>
  <c r="D132"/>
  <c r="B132"/>
  <c r="A132"/>
  <c r="D131"/>
  <c r="B131"/>
  <c r="A131"/>
  <c r="D130"/>
  <c r="B130"/>
  <c r="A130"/>
  <c r="D129"/>
  <c r="B129"/>
  <c r="A129"/>
  <c r="D128"/>
  <c r="B128"/>
  <c r="A128"/>
  <c r="D127"/>
  <c r="B127"/>
  <c r="A127"/>
  <c r="D126"/>
  <c r="B126"/>
  <c r="A126"/>
  <c r="D125"/>
  <c r="B125"/>
  <c r="A125"/>
  <c r="D124"/>
  <c r="B124"/>
  <c r="A124"/>
  <c r="D123"/>
  <c r="B123"/>
  <c r="A123"/>
  <c r="D122"/>
  <c r="B122"/>
  <c r="A122"/>
  <c r="D121"/>
  <c r="B121"/>
  <c r="A121"/>
  <c r="D120"/>
  <c r="B120"/>
  <c r="A120"/>
  <c r="D119"/>
  <c r="B119"/>
  <c r="A119"/>
  <c r="D118"/>
  <c r="B118"/>
  <c r="A118"/>
  <c r="D117"/>
  <c r="B117"/>
  <c r="A117"/>
  <c r="D116"/>
  <c r="B116"/>
  <c r="A116"/>
  <c r="D115"/>
  <c r="B115"/>
  <c r="A115"/>
  <c r="D114"/>
  <c r="B114"/>
  <c r="A114"/>
  <c r="D113"/>
  <c r="B113"/>
  <c r="A113"/>
  <c r="D112"/>
  <c r="B112"/>
  <c r="A112"/>
  <c r="D111"/>
  <c r="B111"/>
  <c r="A111"/>
  <c r="D110"/>
  <c r="B110"/>
  <c r="A110"/>
  <c r="D109"/>
  <c r="B109"/>
  <c r="A109"/>
  <c r="D108"/>
  <c r="B108"/>
  <c r="A108"/>
  <c r="D107"/>
  <c r="B107"/>
  <c r="A107"/>
  <c r="D106"/>
  <c r="B106"/>
  <c r="A106"/>
  <c r="D105"/>
  <c r="B105"/>
  <c r="A105"/>
  <c r="D104"/>
  <c r="B104"/>
  <c r="A104"/>
  <c r="D103"/>
  <c r="B103"/>
  <c r="A103"/>
  <c r="D102"/>
  <c r="B102"/>
  <c r="A102"/>
  <c r="D101"/>
  <c r="B101"/>
  <c r="A101"/>
  <c r="D100"/>
  <c r="B100"/>
  <c r="A100"/>
  <c r="D99"/>
  <c r="B99"/>
  <c r="A99"/>
  <c r="D98"/>
  <c r="B98"/>
  <c r="A98"/>
  <c r="D97"/>
  <c r="B97"/>
  <c r="A97"/>
  <c r="D96"/>
  <c r="B96"/>
  <c r="A96"/>
  <c r="D95"/>
  <c r="B95"/>
  <c r="A95"/>
  <c r="D94"/>
  <c r="B94"/>
  <c r="A94"/>
  <c r="D93"/>
  <c r="B93"/>
  <c r="A93"/>
  <c r="D92"/>
  <c r="B92"/>
  <c r="A92"/>
  <c r="D91"/>
  <c r="B91"/>
  <c r="A91"/>
  <c r="D90"/>
  <c r="B90"/>
  <c r="A90"/>
  <c r="D89"/>
  <c r="B89"/>
  <c r="A89"/>
  <c r="D88"/>
  <c r="B88"/>
  <c r="A88"/>
  <c r="D87"/>
  <c r="B87"/>
  <c r="A87"/>
  <c r="D86"/>
  <c r="B86"/>
  <c r="A86"/>
  <c r="D85"/>
  <c r="B85"/>
  <c r="A85"/>
  <c r="D84"/>
  <c r="B84"/>
  <c r="A84"/>
  <c r="D83"/>
  <c r="B83"/>
  <c r="A83"/>
  <c r="D82"/>
  <c r="B82"/>
  <c r="A82"/>
  <c r="D81"/>
  <c r="B81"/>
  <c r="A81"/>
  <c r="D80"/>
  <c r="B80"/>
  <c r="A80"/>
  <c r="D79"/>
  <c r="B79"/>
  <c r="A79"/>
  <c r="D78"/>
  <c r="B78"/>
  <c r="A78"/>
  <c r="D77"/>
  <c r="B77"/>
  <c r="A77"/>
  <c r="D76"/>
  <c r="B76"/>
  <c r="A76"/>
  <c r="D75"/>
  <c r="B75"/>
  <c r="A75"/>
  <c r="D74"/>
  <c r="B74"/>
  <c r="A74"/>
  <c r="D73"/>
  <c r="B73"/>
  <c r="A73"/>
  <c r="D72"/>
  <c r="B72"/>
  <c r="A72"/>
  <c r="D71"/>
  <c r="B71"/>
  <c r="A71"/>
  <c r="D70"/>
  <c r="B70"/>
  <c r="A70"/>
  <c r="D69"/>
  <c r="B69"/>
  <c r="A69"/>
  <c r="D68"/>
  <c r="B68"/>
  <c r="A68"/>
  <c r="D67"/>
  <c r="B67"/>
  <c r="A67"/>
  <c r="D66"/>
  <c r="B66"/>
  <c r="A66"/>
  <c r="D65"/>
  <c r="B65"/>
  <c r="A65"/>
  <c r="D64"/>
  <c r="B64"/>
  <c r="A64"/>
  <c r="D63"/>
  <c r="B63"/>
  <c r="A63"/>
  <c r="D62"/>
  <c r="B62"/>
  <c r="A62"/>
  <c r="D61"/>
  <c r="B61"/>
  <c r="A61"/>
  <c r="D60"/>
  <c r="B60"/>
  <c r="A60"/>
  <c r="D59"/>
  <c r="B59"/>
  <c r="A59"/>
  <c r="D58"/>
  <c r="B58"/>
  <c r="A58"/>
  <c r="D57"/>
  <c r="B57"/>
  <c r="A57"/>
  <c r="D56"/>
  <c r="B56"/>
  <c r="A56"/>
  <c r="D55"/>
  <c r="B55"/>
  <c r="A55"/>
  <c r="D54"/>
  <c r="B54"/>
  <c r="A54"/>
  <c r="D53"/>
  <c r="B53"/>
  <c r="A53"/>
  <c r="D52"/>
  <c r="B52"/>
  <c r="A52"/>
  <c r="D51"/>
  <c r="B51"/>
  <c r="A51"/>
  <c r="D50"/>
  <c r="B50"/>
  <c r="A50"/>
  <c r="D49"/>
  <c r="B49"/>
  <c r="A49"/>
  <c r="D48"/>
  <c r="B48"/>
  <c r="A48"/>
  <c r="D47"/>
  <c r="B47"/>
  <c r="A47"/>
  <c r="D46"/>
  <c r="B46"/>
  <c r="A46"/>
  <c r="D45"/>
  <c r="B45"/>
  <c r="D44"/>
  <c r="B44"/>
  <c r="A44"/>
  <c r="D43"/>
  <c r="B43"/>
  <c r="A43"/>
  <c r="D42"/>
  <c r="B42"/>
  <c r="A42"/>
  <c r="D41"/>
  <c r="B41"/>
  <c r="A41"/>
  <c r="D40"/>
  <c r="B40"/>
  <c r="A40"/>
  <c r="D39"/>
  <c r="B39"/>
  <c r="A39"/>
  <c r="D38"/>
  <c r="B38"/>
  <c r="A38"/>
  <c r="D37"/>
  <c r="B37"/>
  <c r="A37"/>
  <c r="D36"/>
  <c r="B36"/>
  <c r="A36"/>
  <c r="D35"/>
  <c r="B35"/>
  <c r="A35"/>
  <c r="D34"/>
  <c r="B34"/>
  <c r="A34"/>
  <c r="D33"/>
  <c r="B33"/>
  <c r="A33"/>
  <c r="D32"/>
  <c r="B32"/>
  <c r="A32"/>
  <c r="D31"/>
  <c r="B31"/>
  <c r="A31"/>
  <c r="D30"/>
  <c r="B30"/>
  <c r="A30"/>
  <c r="D29"/>
  <c r="B29"/>
  <c r="A29"/>
  <c r="D28"/>
  <c r="B28"/>
  <c r="A28"/>
  <c r="D27"/>
  <c r="B27"/>
  <c r="A27"/>
  <c r="D26"/>
  <c r="B26"/>
  <c r="A26"/>
  <c r="D25"/>
  <c r="B25"/>
  <c r="A25"/>
  <c r="D24"/>
  <c r="B24"/>
  <c r="A24"/>
  <c r="D23"/>
  <c r="B23"/>
  <c r="A23"/>
  <c r="D22"/>
  <c r="B22"/>
  <c r="A22"/>
  <c r="D21"/>
  <c r="B21"/>
  <c r="A21"/>
  <c r="D20"/>
  <c r="B20"/>
  <c r="A20"/>
  <c r="D19"/>
  <c r="B19"/>
  <c r="A19"/>
  <c r="D18"/>
  <c r="B18"/>
  <c r="A18"/>
  <c r="D17"/>
  <c r="B17"/>
  <c r="A17"/>
  <c r="D16"/>
  <c r="B16"/>
  <c r="A16"/>
  <c r="D15"/>
  <c r="B15"/>
  <c r="A15"/>
  <c r="D14"/>
  <c r="B14"/>
  <c r="A14"/>
  <c r="D13"/>
  <c r="B13"/>
  <c r="A13"/>
  <c r="D12"/>
  <c r="B12"/>
  <c r="A12"/>
  <c r="D11"/>
  <c r="B11"/>
  <c r="A11"/>
  <c r="D10"/>
  <c r="B10"/>
  <c r="A10"/>
  <c r="D9"/>
  <c r="B9"/>
  <c r="A9"/>
  <c r="D8"/>
  <c r="B8"/>
  <c r="A8"/>
  <c r="D7"/>
  <c r="B7"/>
  <c r="A7"/>
  <c r="D6"/>
  <c r="B6"/>
  <c r="A6"/>
  <c r="D5"/>
  <c r="B5"/>
  <c r="A5"/>
  <c r="D4"/>
  <c r="B4"/>
  <c r="A4"/>
  <c r="D3"/>
  <c r="B3"/>
  <c r="A3"/>
  <c r="D2"/>
  <c r="B2"/>
  <c r="A2"/>
  <c r="H50" i="13"/>
  <c r="G50"/>
  <c r="H49"/>
  <c r="G49"/>
  <c r="H48"/>
  <c r="G48"/>
  <c r="H47"/>
  <c r="G47"/>
  <c r="H46"/>
  <c r="G46"/>
  <c r="H45"/>
  <c r="G45"/>
  <c r="H42"/>
  <c r="G42"/>
  <c r="H41"/>
  <c r="G41"/>
  <c r="H40"/>
  <c r="G40"/>
  <c r="H39"/>
  <c r="G39"/>
  <c r="H38"/>
  <c r="G38"/>
  <c r="H37"/>
  <c r="G37"/>
  <c r="H36"/>
  <c r="G36"/>
  <c r="H35"/>
  <c r="G35"/>
  <c r="H32"/>
  <c r="G32"/>
  <c r="H31"/>
  <c r="G31"/>
  <c r="H30"/>
  <c r="G30"/>
  <c r="H29"/>
  <c r="G29"/>
  <c r="H28"/>
  <c r="G28"/>
  <c r="H27"/>
  <c r="G27"/>
  <c r="H24"/>
  <c r="G24"/>
  <c r="H23"/>
  <c r="G23"/>
  <c r="H22"/>
  <c r="G22"/>
  <c r="H21"/>
  <c r="G21"/>
  <c r="H20"/>
  <c r="G20"/>
  <c r="D16" i="12"/>
  <c r="C16"/>
  <c r="D15"/>
  <c r="C15"/>
  <c r="D14"/>
  <c r="C14"/>
  <c r="D13"/>
  <c r="C13"/>
  <c r="D12"/>
  <c r="C12"/>
  <c r="D11"/>
  <c r="C11"/>
  <c r="D10"/>
  <c r="C10"/>
  <c r="D9"/>
  <c r="C9"/>
  <c r="D8"/>
  <c r="C8"/>
  <c r="D7"/>
  <c r="C7"/>
  <c r="D6"/>
  <c r="C6"/>
  <c r="D5"/>
  <c r="C5"/>
  <c r="D4"/>
  <c r="C4"/>
  <c r="D3"/>
  <c r="C3"/>
  <c r="C17" i="13"/>
  <c r="B17"/>
  <c r="C16"/>
  <c r="B16"/>
  <c r="C15"/>
  <c r="B15"/>
  <c r="H12"/>
  <c r="G12"/>
  <c r="H11"/>
  <c r="G11"/>
  <c r="H10"/>
  <c r="G10"/>
  <c r="H9"/>
  <c r="G9"/>
  <c r="H8"/>
  <c r="G8"/>
  <c r="H6"/>
  <c r="G6"/>
  <c r="C5"/>
  <c r="B5"/>
  <c r="C4"/>
  <c r="B4"/>
  <c r="C3"/>
  <c r="B3"/>
  <c r="A245" i="11"/>
  <c r="A45" i="13"/>
  <c r="A8"/>
  <c r="A27"/>
  <c r="A3"/>
  <c r="B3" i="12"/>
  <c r="A35" i="13"/>
  <c r="A15"/>
  <c r="A20"/>
  <c r="B192" i="12" s="1"/>
  <c r="B162"/>
  <c r="B165"/>
  <c r="B160"/>
  <c r="B183"/>
  <c r="B184"/>
  <c r="B188"/>
  <c r="B185"/>
  <c r="B189"/>
  <c r="B187"/>
  <c r="B186"/>
  <c r="B190"/>
  <c r="J196" i="13" l="1"/>
  <c r="E20" i="12" s="1"/>
  <c r="J52" i="13"/>
  <c r="E10" i="12" s="1"/>
  <c r="H5" i="13"/>
  <c r="J5"/>
  <c r="H4"/>
  <c r="J4"/>
  <c r="G17"/>
  <c r="J17"/>
  <c r="H3"/>
  <c r="J3"/>
  <c r="H16"/>
  <c r="J16"/>
  <c r="G15"/>
  <c r="J15"/>
  <c r="G16"/>
  <c r="G4"/>
  <c r="H15"/>
  <c r="H17"/>
  <c r="G3"/>
  <c r="G5"/>
  <c r="D178" i="10"/>
  <c r="C178"/>
  <c r="D177"/>
  <c r="C177"/>
  <c r="D176"/>
  <c r="C176"/>
  <c r="D175"/>
  <c r="C175"/>
  <c r="D174"/>
  <c r="C174"/>
  <c r="D173"/>
  <c r="C173"/>
  <c r="D172"/>
  <c r="C172"/>
  <c r="D171"/>
  <c r="C171"/>
  <c r="D170"/>
  <c r="C170"/>
  <c r="D169"/>
  <c r="C169"/>
  <c r="B178"/>
  <c r="B177"/>
  <c r="B176"/>
  <c r="B175"/>
  <c r="B174"/>
  <c r="B173"/>
  <c r="B172"/>
  <c r="B171"/>
  <c r="B170"/>
  <c r="B169"/>
  <c r="C247" i="11"/>
  <c r="B247"/>
  <c r="H247" s="1"/>
  <c r="C246"/>
  <c r="B246"/>
  <c r="H246" s="1"/>
  <c r="C245"/>
  <c r="B245"/>
  <c r="G245" s="1"/>
  <c r="D167" i="10"/>
  <c r="C167"/>
  <c r="D166"/>
  <c r="C166"/>
  <c r="D165"/>
  <c r="C165"/>
  <c r="D164"/>
  <c r="C164"/>
  <c r="D163"/>
  <c r="C163"/>
  <c r="D162"/>
  <c r="C162"/>
  <c r="D161"/>
  <c r="C161"/>
  <c r="D160"/>
  <c r="C160"/>
  <c r="D159"/>
  <c r="C159"/>
  <c r="B167"/>
  <c r="B166"/>
  <c r="B164"/>
  <c r="B163"/>
  <c r="B162"/>
  <c r="B161"/>
  <c r="B160"/>
  <c r="B159"/>
  <c r="D157"/>
  <c r="C157"/>
  <c r="D156"/>
  <c r="C156"/>
  <c r="D155"/>
  <c r="C155"/>
  <c r="D154"/>
  <c r="C154"/>
  <c r="D153"/>
  <c r="C153"/>
  <c r="D152"/>
  <c r="C152"/>
  <c r="D151"/>
  <c r="C151"/>
  <c r="D150"/>
  <c r="C150"/>
  <c r="D149"/>
  <c r="C149"/>
  <c r="D148"/>
  <c r="C148"/>
  <c r="D147"/>
  <c r="C147"/>
  <c r="B157"/>
  <c r="B156"/>
  <c r="B155"/>
  <c r="B154"/>
  <c r="B151"/>
  <c r="B150"/>
  <c r="B149"/>
  <c r="B148"/>
  <c r="B147"/>
  <c r="D145"/>
  <c r="C145"/>
  <c r="D144"/>
  <c r="C144"/>
  <c r="D143"/>
  <c r="C143"/>
  <c r="D142"/>
  <c r="C142"/>
  <c r="D141"/>
  <c r="C141"/>
  <c r="D140"/>
  <c r="C140"/>
  <c r="D139"/>
  <c r="C139"/>
  <c r="D138"/>
  <c r="C138"/>
  <c r="D137"/>
  <c r="C137"/>
  <c r="D136"/>
  <c r="C136"/>
  <c r="D135"/>
  <c r="C135"/>
  <c r="D134"/>
  <c r="C134"/>
  <c r="D133"/>
  <c r="C133"/>
  <c r="D132"/>
  <c r="C132"/>
  <c r="D131"/>
  <c r="C131"/>
  <c r="D130"/>
  <c r="C130"/>
  <c r="D129"/>
  <c r="C129"/>
  <c r="D128"/>
  <c r="C128"/>
  <c r="D127"/>
  <c r="C127"/>
  <c r="D126"/>
  <c r="C126"/>
  <c r="D125"/>
  <c r="C125"/>
  <c r="D124"/>
  <c r="C124"/>
  <c r="B143"/>
  <c r="B140"/>
  <c r="B139"/>
  <c r="B138"/>
  <c r="B137"/>
  <c r="B136"/>
  <c r="B135"/>
  <c r="B134"/>
  <c r="B133"/>
  <c r="B132"/>
  <c r="B131"/>
  <c r="B130"/>
  <c r="B129"/>
  <c r="B128"/>
  <c r="B127"/>
  <c r="B126"/>
  <c r="B125"/>
  <c r="B124"/>
  <c r="G247" i="11"/>
  <c r="B179" i="12"/>
  <c r="B181"/>
  <c r="B180"/>
  <c r="B178"/>
  <c r="B177"/>
  <c r="B176"/>
  <c r="B175"/>
  <c r="B182"/>
  <c r="B173"/>
  <c r="B172"/>
  <c r="B171"/>
  <c r="B170"/>
  <c r="B169"/>
  <c r="B168"/>
  <c r="B174"/>
  <c r="B167"/>
  <c r="B163"/>
  <c r="B114"/>
  <c r="B156"/>
  <c r="B152"/>
  <c r="B148"/>
  <c r="B144"/>
  <c r="B139"/>
  <c r="B135"/>
  <c r="B130"/>
  <c r="B126"/>
  <c r="B122"/>
  <c r="B117"/>
  <c r="B111"/>
  <c r="B106"/>
  <c r="B102"/>
  <c r="B98"/>
  <c r="B94"/>
  <c r="B88"/>
  <c r="B29"/>
  <c r="B38"/>
  <c r="B21"/>
  <c r="B30"/>
  <c r="B42"/>
  <c r="B43"/>
  <c r="B62"/>
  <c r="B89"/>
  <c r="B12"/>
  <c r="B20"/>
  <c r="B83"/>
  <c r="B64"/>
  <c r="B67"/>
  <c r="B66"/>
  <c r="B65"/>
  <c r="B78"/>
  <c r="B36"/>
  <c r="B85"/>
  <c r="B13"/>
  <c r="B23"/>
  <c r="B154"/>
  <c r="B146"/>
  <c r="B137"/>
  <c r="B132"/>
  <c r="B124"/>
  <c r="B108"/>
  <c r="B104"/>
  <c r="B92"/>
  <c r="B80"/>
  <c r="B53"/>
  <c r="B39"/>
  <c r="B61"/>
  <c r="B74"/>
  <c r="B4"/>
  <c r="B5"/>
  <c r="B14"/>
  <c r="B17"/>
  <c r="B63"/>
  <c r="B35"/>
  <c r="B6"/>
  <c r="B157"/>
  <c r="B145"/>
  <c r="B136"/>
  <c r="B127"/>
  <c r="B118"/>
  <c r="B107"/>
  <c r="B99"/>
  <c r="B95"/>
  <c r="B76"/>
  <c r="B46"/>
  <c r="B57"/>
  <c r="B28"/>
  <c r="B33"/>
  <c r="B25"/>
  <c r="B86"/>
  <c r="B41"/>
  <c r="B155"/>
  <c r="B151"/>
  <c r="B147"/>
  <c r="B142"/>
  <c r="B138"/>
  <c r="B134"/>
  <c r="B129"/>
  <c r="B125"/>
  <c r="B121"/>
  <c r="B116"/>
  <c r="B110"/>
  <c r="B105"/>
  <c r="B101"/>
  <c r="B97"/>
  <c r="B93"/>
  <c r="B84"/>
  <c r="B68"/>
  <c r="B71"/>
  <c r="B70"/>
  <c r="B69"/>
  <c r="B82"/>
  <c r="B8"/>
  <c r="B19"/>
  <c r="B81"/>
  <c r="B22"/>
  <c r="B56"/>
  <c r="B79"/>
  <c r="B47"/>
  <c r="B50"/>
  <c r="B49"/>
  <c r="B48"/>
  <c r="B60"/>
  <c r="B45"/>
  <c r="B77"/>
  <c r="B26"/>
  <c r="B40"/>
  <c r="B158"/>
  <c r="B150"/>
  <c r="B141"/>
  <c r="B128"/>
  <c r="B120"/>
  <c r="B115"/>
  <c r="B100"/>
  <c r="B96"/>
  <c r="B51"/>
  <c r="B54"/>
  <c r="B52"/>
  <c r="B32"/>
  <c r="B34"/>
  <c r="B59"/>
  <c r="B75"/>
  <c r="B24"/>
  <c r="B72"/>
  <c r="B153"/>
  <c r="B149"/>
  <c r="B140"/>
  <c r="B131"/>
  <c r="B123"/>
  <c r="B112"/>
  <c r="B103"/>
  <c r="B91"/>
  <c r="B18"/>
  <c r="B7"/>
  <c r="B15"/>
  <c r="B9"/>
  <c r="B27"/>
  <c r="B11"/>
  <c r="B55"/>
  <c r="B87"/>
  <c r="B37"/>
  <c r="B10"/>
  <c r="B44"/>
  <c r="B31"/>
  <c r="K156" i="10"/>
  <c r="K23"/>
  <c r="J14" i="13" l="1"/>
  <c r="E5" i="12" s="1"/>
  <c r="J2" i="13"/>
  <c r="E3" i="12" s="1"/>
  <c r="G246" i="11"/>
  <c r="H245"/>
  <c r="D122" i="10"/>
  <c r="D121"/>
  <c r="D120"/>
  <c r="B118"/>
  <c r="B117"/>
  <c r="B116"/>
  <c r="B115"/>
  <c r="B114"/>
  <c r="B113"/>
  <c r="B112"/>
  <c r="B111"/>
  <c r="B110"/>
  <c r="B109"/>
  <c r="B108"/>
  <c r="B107"/>
  <c r="B106"/>
  <c r="B105"/>
  <c r="B104"/>
  <c r="B103"/>
  <c r="B102"/>
  <c r="B101"/>
  <c r="B100"/>
  <c r="B99"/>
  <c r="B98"/>
  <c r="B97"/>
  <c r="B96"/>
  <c r="B95"/>
  <c r="D118"/>
  <c r="C118"/>
  <c r="D117"/>
  <c r="C117"/>
  <c r="D115"/>
  <c r="C115"/>
  <c r="D113"/>
  <c r="C113"/>
  <c r="D111"/>
  <c r="C111"/>
  <c r="D110"/>
  <c r="C110"/>
  <c r="D109"/>
  <c r="C109"/>
  <c r="D108"/>
  <c r="D107"/>
  <c r="C107"/>
  <c r="D106"/>
  <c r="C106"/>
  <c r="D105"/>
  <c r="C105"/>
  <c r="D104"/>
  <c r="C104"/>
  <c r="D103"/>
  <c r="C103"/>
  <c r="D102"/>
  <c r="C102"/>
  <c r="D101"/>
  <c r="C101"/>
  <c r="D100"/>
  <c r="C100"/>
  <c r="D99"/>
  <c r="C99"/>
  <c r="D97"/>
  <c r="C97"/>
  <c r="D95"/>
  <c r="C95"/>
  <c r="D93"/>
  <c r="C93"/>
  <c r="D92"/>
  <c r="C92"/>
  <c r="D91"/>
  <c r="C91"/>
  <c r="D90"/>
  <c r="C90"/>
  <c r="D89"/>
  <c r="C89"/>
  <c r="D88"/>
  <c r="C88"/>
  <c r="D87"/>
  <c r="C87"/>
  <c r="B93"/>
  <c r="B92"/>
  <c r="B91"/>
  <c r="B90"/>
  <c r="B89"/>
  <c r="B88"/>
  <c r="B87"/>
  <c r="D112"/>
  <c r="C116"/>
  <c r="C120"/>
  <c r="C108"/>
  <c r="C112"/>
  <c r="C122"/>
  <c r="D98"/>
  <c r="D114"/>
  <c r="C114"/>
  <c r="D116"/>
  <c r="C98"/>
  <c r="C121"/>
  <c r="C96"/>
  <c r="D96"/>
  <c r="K114"/>
  <c r="K118"/>
  <c r="K102"/>
  <c r="K107"/>
  <c r="K105"/>
  <c r="K122"/>
  <c r="K103"/>
  <c r="K112"/>
  <c r="K115"/>
  <c r="K98"/>
  <c r="K117"/>
  <c r="K97"/>
  <c r="K104"/>
  <c r="K108"/>
  <c r="K121"/>
  <c r="K113"/>
  <c r="K109"/>
  <c r="K99"/>
  <c r="K96"/>
  <c r="K100"/>
  <c r="K116"/>
  <c r="K111"/>
  <c r="K110"/>
  <c r="K101"/>
  <c r="K120"/>
  <c r="K106"/>
  <c r="K95"/>
  <c r="D85" l="1"/>
  <c r="C85"/>
  <c r="D84"/>
  <c r="C84"/>
  <c r="D83"/>
  <c r="C83"/>
  <c r="D82"/>
  <c r="C82"/>
  <c r="D81"/>
  <c r="C81"/>
  <c r="D80"/>
  <c r="C80"/>
  <c r="D79"/>
  <c r="C79"/>
  <c r="D78"/>
  <c r="C78"/>
  <c r="D77"/>
  <c r="C77"/>
  <c r="D76"/>
  <c r="C76"/>
  <c r="D75"/>
  <c r="C75"/>
  <c r="D74"/>
  <c r="C74"/>
  <c r="D73"/>
  <c r="C73"/>
  <c r="D72"/>
  <c r="C72"/>
  <c r="D71"/>
  <c r="C71"/>
  <c r="D70"/>
  <c r="C70"/>
  <c r="D69"/>
  <c r="C69"/>
  <c r="B85"/>
  <c r="B84"/>
  <c r="B83"/>
  <c r="B82"/>
  <c r="B79"/>
  <c r="B78"/>
  <c r="B77"/>
  <c r="B76"/>
  <c r="B75"/>
  <c r="B74"/>
  <c r="B73"/>
  <c r="B72"/>
  <c r="B71"/>
  <c r="B70"/>
  <c r="B69"/>
  <c r="B67"/>
  <c r="B66"/>
  <c r="B65"/>
  <c r="B64"/>
  <c r="B63"/>
  <c r="B62"/>
  <c r="B61"/>
  <c r="B60"/>
  <c r="B59"/>
  <c r="B58"/>
  <c r="B57"/>
  <c r="B56"/>
  <c r="B55"/>
  <c r="B54"/>
  <c r="B53"/>
  <c r="B52"/>
  <c r="B51"/>
  <c r="B50"/>
  <c r="B49"/>
  <c r="B48"/>
  <c r="B47"/>
  <c r="B46"/>
  <c r="B45"/>
  <c r="B44"/>
  <c r="B43"/>
  <c r="B42"/>
  <c r="B41"/>
  <c r="B40"/>
  <c r="B39"/>
  <c r="B38"/>
  <c r="B37"/>
  <c r="D67"/>
  <c r="C67"/>
  <c r="D66"/>
  <c r="C66"/>
  <c r="D65"/>
  <c r="C65"/>
  <c r="D64"/>
  <c r="C64"/>
  <c r="D63"/>
  <c r="C63"/>
  <c r="D62"/>
  <c r="C62"/>
  <c r="D61"/>
  <c r="C61"/>
  <c r="D60"/>
  <c r="C60"/>
  <c r="D59"/>
  <c r="C59"/>
  <c r="D58"/>
  <c r="C58"/>
  <c r="D57"/>
  <c r="C57"/>
  <c r="D56"/>
  <c r="C56"/>
  <c r="D55"/>
  <c r="C55"/>
  <c r="D54"/>
  <c r="C54"/>
  <c r="D53"/>
  <c r="C53"/>
  <c r="D52"/>
  <c r="C52"/>
  <c r="D51"/>
  <c r="C51"/>
  <c r="D50"/>
  <c r="C50"/>
  <c r="D49"/>
  <c r="C49"/>
  <c r="D48"/>
  <c r="C48"/>
  <c r="D47"/>
  <c r="C47"/>
  <c r="D46"/>
  <c r="C46"/>
  <c r="D45"/>
  <c r="C45"/>
  <c r="D44"/>
  <c r="C44"/>
  <c r="D43"/>
  <c r="C43"/>
  <c r="D42"/>
  <c r="C42"/>
  <c r="D41"/>
  <c r="C41"/>
  <c r="D40"/>
  <c r="C40"/>
  <c r="D39"/>
  <c r="C39"/>
  <c r="D38"/>
  <c r="C38"/>
  <c r="D37"/>
  <c r="C37"/>
  <c r="D36"/>
  <c r="C36"/>
  <c r="D34"/>
  <c r="C34"/>
  <c r="D33"/>
  <c r="C33"/>
  <c r="D32"/>
  <c r="C32"/>
  <c r="D31"/>
  <c r="C31"/>
  <c r="D30"/>
  <c r="C30"/>
  <c r="D29"/>
  <c r="C29"/>
  <c r="D28"/>
  <c r="C28"/>
  <c r="D27"/>
  <c r="C27"/>
  <c r="B5" i="4" l="1"/>
  <c r="G238" i="11"/>
  <c r="G236"/>
  <c r="G234"/>
  <c r="G232"/>
  <c r="G230"/>
  <c r="G228"/>
  <c r="F242"/>
  <c r="C242"/>
  <c r="B242"/>
  <c r="H242" s="1"/>
  <c r="F241"/>
  <c r="C241"/>
  <c r="B241"/>
  <c r="G241" s="1"/>
  <c r="F240"/>
  <c r="C240"/>
  <c r="B240"/>
  <c r="H240" s="1"/>
  <c r="C239"/>
  <c r="B239"/>
  <c r="G239" s="1"/>
  <c r="C238"/>
  <c r="B238"/>
  <c r="H238" s="1"/>
  <c r="F237"/>
  <c r="C237"/>
  <c r="B237"/>
  <c r="G237" s="1"/>
  <c r="C236"/>
  <c r="B236"/>
  <c r="H236" s="1"/>
  <c r="C235"/>
  <c r="B235"/>
  <c r="G235" s="1"/>
  <c r="C234"/>
  <c r="B234"/>
  <c r="H234" s="1"/>
  <c r="C233"/>
  <c r="B233"/>
  <c r="G233" s="1"/>
  <c r="C232"/>
  <c r="B232"/>
  <c r="H232" s="1"/>
  <c r="C231"/>
  <c r="B231"/>
  <c r="G231" s="1"/>
  <c r="C230"/>
  <c r="B230"/>
  <c r="H230" s="1"/>
  <c r="F229"/>
  <c r="C229"/>
  <c r="B229"/>
  <c r="G229" s="1"/>
  <c r="C228"/>
  <c r="B228"/>
  <c r="H228" s="1"/>
  <c r="H225"/>
  <c r="H223"/>
  <c r="H221"/>
  <c r="H219"/>
  <c r="H217"/>
  <c r="F225"/>
  <c r="C225"/>
  <c r="B225"/>
  <c r="G225" s="1"/>
  <c r="F224"/>
  <c r="C224"/>
  <c r="B224"/>
  <c r="H224" s="1"/>
  <c r="F223"/>
  <c r="C223"/>
  <c r="B223"/>
  <c r="G223" s="1"/>
  <c r="C222"/>
  <c r="B222"/>
  <c r="H222" s="1"/>
  <c r="C221"/>
  <c r="B221"/>
  <c r="G221" s="1"/>
  <c r="C220"/>
  <c r="B220"/>
  <c r="H220" s="1"/>
  <c r="C219"/>
  <c r="B219"/>
  <c r="G219" s="1"/>
  <c r="C218"/>
  <c r="B218"/>
  <c r="H218" s="1"/>
  <c r="F217"/>
  <c r="C217"/>
  <c r="B217"/>
  <c r="G217" s="1"/>
  <c r="C216"/>
  <c r="B216"/>
  <c r="H216" s="1"/>
  <c r="G212"/>
  <c r="G210"/>
  <c r="G206"/>
  <c r="G202"/>
  <c r="G200"/>
  <c r="F213"/>
  <c r="C213"/>
  <c r="B213"/>
  <c r="F212"/>
  <c r="C212"/>
  <c r="B212"/>
  <c r="H212" s="1"/>
  <c r="F211"/>
  <c r="C211"/>
  <c r="B211"/>
  <c r="G211" s="1"/>
  <c r="C210"/>
  <c r="B210"/>
  <c r="H210" s="1"/>
  <c r="C209"/>
  <c r="B209"/>
  <c r="G209" s="1"/>
  <c r="F208"/>
  <c r="C208"/>
  <c r="B208"/>
  <c r="H208" s="1"/>
  <c r="C207"/>
  <c r="B207"/>
  <c r="G207" s="1"/>
  <c r="C206"/>
  <c r="B206"/>
  <c r="H206" s="1"/>
  <c r="C205"/>
  <c r="B205"/>
  <c r="G205" s="1"/>
  <c r="C204"/>
  <c r="B204"/>
  <c r="G204" s="1"/>
  <c r="C203"/>
  <c r="B203"/>
  <c r="G203" s="1"/>
  <c r="C202"/>
  <c r="B202"/>
  <c r="H202" s="1"/>
  <c r="C201"/>
  <c r="B201"/>
  <c r="G201" s="1"/>
  <c r="F200"/>
  <c r="C200"/>
  <c r="B200"/>
  <c r="H200" s="1"/>
  <c r="C199"/>
  <c r="B199"/>
  <c r="G199" s="1"/>
  <c r="H190"/>
  <c r="F196"/>
  <c r="C196"/>
  <c r="B196"/>
  <c r="F195"/>
  <c r="C195"/>
  <c r="B195"/>
  <c r="H195" s="1"/>
  <c r="F194"/>
  <c r="C194"/>
  <c r="B194"/>
  <c r="H194" s="1"/>
  <c r="C193"/>
  <c r="B193"/>
  <c r="H193" s="1"/>
  <c r="C192"/>
  <c r="B192"/>
  <c r="H192" s="1"/>
  <c r="C191"/>
  <c r="B191"/>
  <c r="H191" s="1"/>
  <c r="C190"/>
  <c r="B190"/>
  <c r="G190" s="1"/>
  <c r="C189"/>
  <c r="B189"/>
  <c r="H189" s="1"/>
  <c r="F188"/>
  <c r="C188"/>
  <c r="B188"/>
  <c r="H188" s="1"/>
  <c r="C187"/>
  <c r="B187"/>
  <c r="H187" s="1"/>
  <c r="D17" i="10"/>
  <c r="C17"/>
  <c r="H179" i="11"/>
  <c r="H173"/>
  <c r="C184"/>
  <c r="B184"/>
  <c r="H184" s="1"/>
  <c r="F183"/>
  <c r="C183"/>
  <c r="B183"/>
  <c r="G183" s="1"/>
  <c r="C182"/>
  <c r="B182"/>
  <c r="H182" s="1"/>
  <c r="C181"/>
  <c r="B181"/>
  <c r="G181" s="1"/>
  <c r="C180"/>
  <c r="B180"/>
  <c r="H180" s="1"/>
  <c r="C179"/>
  <c r="B179"/>
  <c r="G179" s="1"/>
  <c r="C178"/>
  <c r="B178"/>
  <c r="H178" s="1"/>
  <c r="C177"/>
  <c r="B177"/>
  <c r="G177" s="1"/>
  <c r="F176"/>
  <c r="C176"/>
  <c r="B176"/>
  <c r="G176" s="1"/>
  <c r="C175"/>
  <c r="B175"/>
  <c r="G175" s="1"/>
  <c r="C174"/>
  <c r="B174"/>
  <c r="H174" s="1"/>
  <c r="C173"/>
  <c r="B173"/>
  <c r="G173" s="1"/>
  <c r="C172"/>
  <c r="B172"/>
  <c r="H172" s="1"/>
  <c r="C171"/>
  <c r="B171"/>
  <c r="G171" s="1"/>
  <c r="C170"/>
  <c r="B170"/>
  <c r="H170" s="1"/>
  <c r="C169"/>
  <c r="B169"/>
  <c r="G169" s="1"/>
  <c r="C168"/>
  <c r="B168"/>
  <c r="G168" s="1"/>
  <c r="F167"/>
  <c r="C167"/>
  <c r="B167"/>
  <c r="G167" s="1"/>
  <c r="C166"/>
  <c r="B166"/>
  <c r="G166" s="1"/>
  <c r="H160"/>
  <c r="G160"/>
  <c r="G158"/>
  <c r="G156"/>
  <c r="G152"/>
  <c r="H146"/>
  <c r="G146"/>
  <c r="C163"/>
  <c r="B163"/>
  <c r="H163" s="1"/>
  <c r="F162"/>
  <c r="C162"/>
  <c r="B162"/>
  <c r="H162" s="1"/>
  <c r="C161"/>
  <c r="B161"/>
  <c r="H161" s="1"/>
  <c r="C160"/>
  <c r="B160"/>
  <c r="C159"/>
  <c r="B159"/>
  <c r="H159" s="1"/>
  <c r="C158"/>
  <c r="B158"/>
  <c r="H158" s="1"/>
  <c r="C157"/>
  <c r="B157"/>
  <c r="H157" s="1"/>
  <c r="C156"/>
  <c r="B156"/>
  <c r="H156" s="1"/>
  <c r="F155"/>
  <c r="C155"/>
  <c r="B155"/>
  <c r="H155" s="1"/>
  <c r="C154"/>
  <c r="B154"/>
  <c r="H154" s="1"/>
  <c r="C153"/>
  <c r="B153"/>
  <c r="H153" s="1"/>
  <c r="C152"/>
  <c r="B152"/>
  <c r="H152" s="1"/>
  <c r="C151"/>
  <c r="B151"/>
  <c r="H151" s="1"/>
  <c r="C150"/>
  <c r="B150"/>
  <c r="H150" s="1"/>
  <c r="C149"/>
  <c r="B149"/>
  <c r="H149" s="1"/>
  <c r="C148"/>
  <c r="B148"/>
  <c r="G148" s="1"/>
  <c r="F147"/>
  <c r="C147"/>
  <c r="B147"/>
  <c r="H147" s="1"/>
  <c r="C146"/>
  <c r="B146"/>
  <c r="G143"/>
  <c r="G135"/>
  <c r="G133"/>
  <c r="F143"/>
  <c r="C143"/>
  <c r="B143"/>
  <c r="H143" s="1"/>
  <c r="C142"/>
  <c r="B142"/>
  <c r="H142" s="1"/>
  <c r="C141"/>
  <c r="B141"/>
  <c r="H141" s="1"/>
  <c r="C140"/>
  <c r="B140"/>
  <c r="H140" s="1"/>
  <c r="C139"/>
  <c r="B139"/>
  <c r="G139" s="1"/>
  <c r="C138"/>
  <c r="B138"/>
  <c r="H138" s="1"/>
  <c r="C137"/>
  <c r="B137"/>
  <c r="H137" s="1"/>
  <c r="C136"/>
  <c r="B136"/>
  <c r="H136" s="1"/>
  <c r="C135"/>
  <c r="B135"/>
  <c r="H135" s="1"/>
  <c r="C134"/>
  <c r="B134"/>
  <c r="H134" s="1"/>
  <c r="F133"/>
  <c r="C133"/>
  <c r="B133"/>
  <c r="H133" s="1"/>
  <c r="C132"/>
  <c r="B132"/>
  <c r="H132" s="1"/>
  <c r="G125"/>
  <c r="F129"/>
  <c r="C129"/>
  <c r="B129"/>
  <c r="H129" s="1"/>
  <c r="C128"/>
  <c r="B128"/>
  <c r="G128" s="1"/>
  <c r="C127"/>
  <c r="B127"/>
  <c r="H127" s="1"/>
  <c r="C126"/>
  <c r="B126"/>
  <c r="G126" s="1"/>
  <c r="C125"/>
  <c r="B125"/>
  <c r="H125" s="1"/>
  <c r="C124"/>
  <c r="B124"/>
  <c r="G124" s="1"/>
  <c r="C123"/>
  <c r="B123"/>
  <c r="G123" s="1"/>
  <c r="C122"/>
  <c r="B122"/>
  <c r="G122" s="1"/>
  <c r="F121"/>
  <c r="C121"/>
  <c r="B121"/>
  <c r="H121" s="1"/>
  <c r="C120"/>
  <c r="B120"/>
  <c r="G120" s="1"/>
  <c r="F117"/>
  <c r="C117"/>
  <c r="B117"/>
  <c r="G117" s="1"/>
  <c r="F116"/>
  <c r="C116"/>
  <c r="B116"/>
  <c r="G116" s="1"/>
  <c r="F115"/>
  <c r="C115"/>
  <c r="B115"/>
  <c r="H115" s="1"/>
  <c r="C114"/>
  <c r="B114"/>
  <c r="G114" s="1"/>
  <c r="C113"/>
  <c r="B113"/>
  <c r="H113" s="1"/>
  <c r="F112"/>
  <c r="C112"/>
  <c r="B112"/>
  <c r="G112" s="1"/>
  <c r="C111"/>
  <c r="B111"/>
  <c r="H111" s="1"/>
  <c r="C110"/>
  <c r="B110"/>
  <c r="G110" s="1"/>
  <c r="C109"/>
  <c r="B109"/>
  <c r="G109" s="1"/>
  <c r="C108"/>
  <c r="B108"/>
  <c r="G108" s="1"/>
  <c r="F107"/>
  <c r="C107"/>
  <c r="B107"/>
  <c r="H107" s="1"/>
  <c r="C106"/>
  <c r="B106"/>
  <c r="G106" s="1"/>
  <c r="H101"/>
  <c r="G97"/>
  <c r="F103"/>
  <c r="C103"/>
  <c r="B103"/>
  <c r="G103" s="1"/>
  <c r="C102"/>
  <c r="B102"/>
  <c r="C101"/>
  <c r="B101"/>
  <c r="G101" s="1"/>
  <c r="C100"/>
  <c r="B100"/>
  <c r="G100" s="1"/>
  <c r="C99"/>
  <c r="B99"/>
  <c r="G99" s="1"/>
  <c r="C98"/>
  <c r="B98"/>
  <c r="G98" s="1"/>
  <c r="C97"/>
  <c r="B97"/>
  <c r="H97" s="1"/>
  <c r="F96"/>
  <c r="C96"/>
  <c r="B96"/>
  <c r="G96" s="1"/>
  <c r="C95"/>
  <c r="B95"/>
  <c r="G95" s="1"/>
  <c r="C94"/>
  <c r="B94"/>
  <c r="G94" s="1"/>
  <c r="C93"/>
  <c r="B93"/>
  <c r="H93" s="1"/>
  <c r="C92"/>
  <c r="B92"/>
  <c r="G92" s="1"/>
  <c r="C91"/>
  <c r="B91"/>
  <c r="H91" s="1"/>
  <c r="C90"/>
  <c r="B90"/>
  <c r="G90" s="1"/>
  <c r="C89"/>
  <c r="B89"/>
  <c r="H89" s="1"/>
  <c r="C88"/>
  <c r="B88"/>
  <c r="G88" s="1"/>
  <c r="C87"/>
  <c r="B87"/>
  <c r="G87" s="1"/>
  <c r="F86"/>
  <c r="C86"/>
  <c r="B86"/>
  <c r="G86" s="1"/>
  <c r="C85"/>
  <c r="B85"/>
  <c r="G85" s="1"/>
  <c r="C82"/>
  <c r="B82"/>
  <c r="H82" s="1"/>
  <c r="F81"/>
  <c r="C81"/>
  <c r="B81"/>
  <c r="G81" s="1"/>
  <c r="C80"/>
  <c r="B80"/>
  <c r="H80" s="1"/>
  <c r="C79"/>
  <c r="B79"/>
  <c r="G79" s="1"/>
  <c r="C78"/>
  <c r="B78"/>
  <c r="H78" s="1"/>
  <c r="C77"/>
  <c r="B77"/>
  <c r="G77" s="1"/>
  <c r="F76"/>
  <c r="C76"/>
  <c r="B76"/>
  <c r="H76" s="1"/>
  <c r="C75"/>
  <c r="B75"/>
  <c r="G75" s="1"/>
  <c r="C74"/>
  <c r="B74"/>
  <c r="H74" s="1"/>
  <c r="C73"/>
  <c r="B73"/>
  <c r="G73" s="1"/>
  <c r="C72"/>
  <c r="B72"/>
  <c r="H72" s="1"/>
  <c r="C71"/>
  <c r="B71"/>
  <c r="G71" s="1"/>
  <c r="C70"/>
  <c r="B70"/>
  <c r="H70" s="1"/>
  <c r="C69"/>
  <c r="B69"/>
  <c r="G69" s="1"/>
  <c r="C68"/>
  <c r="B68"/>
  <c r="H68" s="1"/>
  <c r="F67"/>
  <c r="C67"/>
  <c r="B67"/>
  <c r="G67" s="1"/>
  <c r="C66"/>
  <c r="B66"/>
  <c r="H66" s="1"/>
  <c r="G54"/>
  <c r="F63"/>
  <c r="C63"/>
  <c r="B63"/>
  <c r="H63" s="1"/>
  <c r="C62"/>
  <c r="B62"/>
  <c r="C61"/>
  <c r="B61"/>
  <c r="G61" s="1"/>
  <c r="C60"/>
  <c r="B60"/>
  <c r="H60" s="1"/>
  <c r="C59"/>
  <c r="B59"/>
  <c r="G59" s="1"/>
  <c r="C58"/>
  <c r="B58"/>
  <c r="G58" s="1"/>
  <c r="C57"/>
  <c r="B57"/>
  <c r="G57" s="1"/>
  <c r="C56"/>
  <c r="B56"/>
  <c r="H56" s="1"/>
  <c r="C55"/>
  <c r="B55"/>
  <c r="G55" s="1"/>
  <c r="C54"/>
  <c r="B54"/>
  <c r="H54" s="1"/>
  <c r="C53"/>
  <c r="B53"/>
  <c r="G53" s="1"/>
  <c r="F52"/>
  <c r="C52"/>
  <c r="B52"/>
  <c r="G52" s="1"/>
  <c r="C51"/>
  <c r="B51"/>
  <c r="G51" s="1"/>
  <c r="G37"/>
  <c r="C48"/>
  <c r="B48"/>
  <c r="G48" s="1"/>
  <c r="F47"/>
  <c r="C47"/>
  <c r="B47"/>
  <c r="H47" s="1"/>
  <c r="C46"/>
  <c r="B46"/>
  <c r="G46" s="1"/>
  <c r="C45"/>
  <c r="B45"/>
  <c r="G45" s="1"/>
  <c r="C44"/>
  <c r="B44"/>
  <c r="G44" s="1"/>
  <c r="C43"/>
  <c r="B43"/>
  <c r="H43" s="1"/>
  <c r="C42"/>
  <c r="B42"/>
  <c r="G42" s="1"/>
  <c r="C41"/>
  <c r="B41"/>
  <c r="H41" s="1"/>
  <c r="C40"/>
  <c r="B40"/>
  <c r="G40" s="1"/>
  <c r="C39"/>
  <c r="B39"/>
  <c r="H39" s="1"/>
  <c r="F38"/>
  <c r="C38"/>
  <c r="B38"/>
  <c r="G38" s="1"/>
  <c r="C37"/>
  <c r="B37"/>
  <c r="H37" s="1"/>
  <c r="H33"/>
  <c r="H31"/>
  <c r="G26"/>
  <c r="F34"/>
  <c r="C34"/>
  <c r="B34"/>
  <c r="F33"/>
  <c r="C33"/>
  <c r="B33"/>
  <c r="G33" s="1"/>
  <c r="F32"/>
  <c r="C32"/>
  <c r="B32"/>
  <c r="H32" s="1"/>
  <c r="C31"/>
  <c r="B31"/>
  <c r="G31" s="1"/>
  <c r="F30"/>
  <c r="C30"/>
  <c r="B30"/>
  <c r="H30" s="1"/>
  <c r="C29"/>
  <c r="B29"/>
  <c r="G29" s="1"/>
  <c r="C28"/>
  <c r="B28"/>
  <c r="H28" s="1"/>
  <c r="C27"/>
  <c r="B27"/>
  <c r="G27" s="1"/>
  <c r="C26"/>
  <c r="B26"/>
  <c r="H26" s="1"/>
  <c r="F25"/>
  <c r="C25"/>
  <c r="B25"/>
  <c r="G25" s="1"/>
  <c r="C24"/>
  <c r="B24"/>
  <c r="H24" s="1"/>
  <c r="C13"/>
  <c r="B13"/>
  <c r="C12"/>
  <c r="B12"/>
  <c r="C11"/>
  <c r="B11"/>
  <c r="D25" i="10"/>
  <c r="C25"/>
  <c r="C19" i="11"/>
  <c r="B19"/>
  <c r="G19" s="1"/>
  <c r="C18"/>
  <c r="B18"/>
  <c r="G18" s="1"/>
  <c r="C17"/>
  <c r="B17"/>
  <c r="G17" s="1"/>
  <c r="D24" i="10"/>
  <c r="C24"/>
  <c r="D21"/>
  <c r="C21"/>
  <c r="D20"/>
  <c r="C20"/>
  <c r="D19"/>
  <c r="C19"/>
  <c r="D18"/>
  <c r="C18"/>
  <c r="D16"/>
  <c r="C16"/>
  <c r="D15"/>
  <c r="C15"/>
  <c r="D14"/>
  <c r="C14"/>
  <c r="D13"/>
  <c r="C13"/>
  <c r="D12"/>
  <c r="C12"/>
  <c r="D11"/>
  <c r="C11"/>
  <c r="D10"/>
  <c r="C10"/>
  <c r="D9"/>
  <c r="C9"/>
  <c r="D8"/>
  <c r="C8"/>
  <c r="D7"/>
  <c r="C7"/>
  <c r="D6"/>
  <c r="C6"/>
  <c r="D5"/>
  <c r="C5"/>
  <c r="D4"/>
  <c r="C4"/>
  <c r="D3"/>
  <c r="C3"/>
  <c r="F8" i="11"/>
  <c r="C8"/>
  <c r="B8"/>
  <c r="G8" s="1"/>
  <c r="C7"/>
  <c r="B7"/>
  <c r="H7" s="1"/>
  <c r="C6"/>
  <c r="B6"/>
  <c r="G6" s="1"/>
  <c r="C5"/>
  <c r="B5"/>
  <c r="H5" s="1"/>
  <c r="F4"/>
  <c r="C4"/>
  <c r="B4"/>
  <c r="G4" s="1"/>
  <c r="C3"/>
  <c r="B3"/>
  <c r="H3" s="1"/>
  <c r="G102"/>
  <c r="H196"/>
  <c r="A166"/>
  <c r="A24"/>
  <c r="A146"/>
  <c r="A85"/>
  <c r="G196"/>
  <c r="H62"/>
  <c r="A11"/>
  <c r="A120"/>
  <c r="A51"/>
  <c r="A132"/>
  <c r="H213"/>
  <c r="H34"/>
  <c r="A106"/>
  <c r="A66"/>
  <c r="A199"/>
  <c r="A37"/>
  <c r="G213"/>
  <c r="H102"/>
  <c r="G34"/>
  <c r="A216"/>
  <c r="A228"/>
  <c r="A187"/>
  <c r="A17"/>
  <c r="G62"/>
  <c r="B3" i="10"/>
  <c r="A3" i="11"/>
  <c r="K13" i="10"/>
  <c r="K11"/>
  <c r="K3"/>
  <c r="K16"/>
  <c r="K8"/>
  <c r="K21"/>
  <c r="K15"/>
  <c r="K5"/>
  <c r="K20"/>
  <c r="K10"/>
  <c r="K14"/>
  <c r="K18"/>
  <c r="K7"/>
  <c r="K19"/>
  <c r="K4"/>
  <c r="K12"/>
  <c r="K9"/>
  <c r="J5" i="4" l="1"/>
  <c r="H5"/>
  <c r="G5"/>
  <c r="G208" i="11"/>
  <c r="G240"/>
  <c r="G47"/>
  <c r="H58"/>
  <c r="H27"/>
  <c r="G60"/>
  <c r="H73"/>
  <c r="H117"/>
  <c r="H122"/>
  <c r="H139"/>
  <c r="H148"/>
  <c r="G162"/>
  <c r="H171"/>
  <c r="G178"/>
  <c r="G184"/>
  <c r="H199"/>
  <c r="H201"/>
  <c r="H203"/>
  <c r="H205"/>
  <c r="H207"/>
  <c r="H209"/>
  <c r="H211"/>
  <c r="H229"/>
  <c r="H231"/>
  <c r="H233"/>
  <c r="H235"/>
  <c r="H237"/>
  <c r="H239"/>
  <c r="H241"/>
  <c r="G242"/>
  <c r="G111"/>
  <c r="H120"/>
  <c r="H126"/>
  <c r="H169"/>
  <c r="G174"/>
  <c r="G182"/>
  <c r="G188"/>
  <c r="G194"/>
  <c r="H204"/>
  <c r="G216"/>
  <c r="G218"/>
  <c r="G220"/>
  <c r="G222"/>
  <c r="G224"/>
  <c r="G121"/>
  <c r="G129"/>
  <c r="G170"/>
  <c r="H175"/>
  <c r="H183"/>
  <c r="H124"/>
  <c r="G141"/>
  <c r="G154"/>
  <c r="H181"/>
  <c r="G80"/>
  <c r="G127"/>
  <c r="G172"/>
  <c r="G180"/>
  <c r="G24"/>
  <c r="H29"/>
  <c r="G43"/>
  <c r="G56"/>
  <c r="G63"/>
  <c r="H69"/>
  <c r="H75"/>
  <c r="H81"/>
  <c r="H87"/>
  <c r="G93"/>
  <c r="G115"/>
  <c r="H123"/>
  <c r="G132"/>
  <c r="G134"/>
  <c r="G136"/>
  <c r="G138"/>
  <c r="G140"/>
  <c r="G142"/>
  <c r="G147"/>
  <c r="G149"/>
  <c r="G151"/>
  <c r="G153"/>
  <c r="G155"/>
  <c r="G157"/>
  <c r="G159"/>
  <c r="G161"/>
  <c r="G163"/>
  <c r="H166"/>
  <c r="H168"/>
  <c r="H176"/>
  <c r="G187"/>
  <c r="G189"/>
  <c r="G191"/>
  <c r="G193"/>
  <c r="G195"/>
  <c r="G41"/>
  <c r="H45"/>
  <c r="H67"/>
  <c r="G72"/>
  <c r="H77"/>
  <c r="G91"/>
  <c r="H95"/>
  <c r="H109"/>
  <c r="H128"/>
  <c r="G137"/>
  <c r="G150"/>
  <c r="H167"/>
  <c r="H177"/>
  <c r="G192"/>
  <c r="G68"/>
  <c r="G7"/>
  <c r="H25"/>
  <c r="G30"/>
  <c r="G39"/>
  <c r="G66"/>
  <c r="H71"/>
  <c r="G76"/>
  <c r="G82"/>
  <c r="G89"/>
  <c r="H79"/>
  <c r="G107"/>
  <c r="G113"/>
  <c r="G28"/>
  <c r="G32"/>
  <c r="H52"/>
  <c r="G70"/>
  <c r="G78"/>
  <c r="H85"/>
  <c r="H99"/>
  <c r="G5"/>
  <c r="H38"/>
  <c r="H40"/>
  <c r="H42"/>
  <c r="H44"/>
  <c r="H46"/>
  <c r="H48"/>
  <c r="H51"/>
  <c r="H53"/>
  <c r="H55"/>
  <c r="H57"/>
  <c r="H59"/>
  <c r="H61"/>
  <c r="H86"/>
  <c r="H88"/>
  <c r="H90"/>
  <c r="H92"/>
  <c r="H94"/>
  <c r="H96"/>
  <c r="H98"/>
  <c r="H100"/>
  <c r="H103"/>
  <c r="H106"/>
  <c r="H108"/>
  <c r="H110"/>
  <c r="H112"/>
  <c r="H114"/>
  <c r="H116"/>
  <c r="G74"/>
  <c r="G3"/>
  <c r="H18"/>
  <c r="H4"/>
  <c r="H6"/>
  <c r="H8"/>
  <c r="H17"/>
  <c r="H19"/>
  <c r="C156" i="7"/>
  <c r="A150"/>
  <c r="B12" i="10"/>
  <c r="B5"/>
  <c r="B19"/>
  <c r="B11"/>
  <c r="B4"/>
  <c r="B21"/>
  <c r="B14"/>
  <c r="B9"/>
  <c r="B8"/>
  <c r="B10"/>
  <c r="B16"/>
  <c r="B20"/>
  <c r="B18"/>
  <c r="B23"/>
  <c r="B13"/>
  <c r="B7"/>
  <c r="B15"/>
  <c r="K49" l="1"/>
  <c r="H31"/>
  <c r="H28"/>
  <c r="H32"/>
  <c r="H27"/>
  <c r="H3"/>
  <c r="A90" i="7"/>
  <c r="K70" i="8"/>
  <c r="K20"/>
  <c r="K37"/>
  <c r="K36"/>
  <c r="K69"/>
  <c r="K16"/>
  <c r="K29"/>
  <c r="K31"/>
  <c r="K42"/>
  <c r="K21"/>
  <c r="K17"/>
  <c r="K19"/>
  <c r="K18"/>
  <c r="K39"/>
  <c r="K68"/>
  <c r="K71"/>
  <c r="K38"/>
  <c r="K30"/>
  <c r="C53" i="9" l="1"/>
  <c r="B53"/>
  <c r="C45"/>
  <c r="B45"/>
  <c r="C37"/>
  <c r="B37"/>
  <c r="F34"/>
  <c r="C34"/>
  <c r="B34"/>
  <c r="C33"/>
  <c r="B33"/>
  <c r="C32"/>
  <c r="B32"/>
  <c r="C29"/>
  <c r="B29"/>
  <c r="C28"/>
  <c r="B28"/>
  <c r="C27"/>
  <c r="B27"/>
  <c r="C26"/>
  <c r="B26"/>
  <c r="C25"/>
  <c r="B25"/>
  <c r="C24"/>
  <c r="B24"/>
  <c r="C23"/>
  <c r="B23"/>
  <c r="F20"/>
  <c r="C20"/>
  <c r="B20"/>
  <c r="C19"/>
  <c r="B19"/>
  <c r="F18"/>
  <c r="C18"/>
  <c r="B18"/>
  <c r="C17"/>
  <c r="B17"/>
  <c r="C16"/>
  <c r="B16"/>
  <c r="C15"/>
  <c r="B15"/>
  <c r="C11"/>
  <c r="B11"/>
  <c r="C8"/>
  <c r="B8"/>
  <c r="C7"/>
  <c r="B7"/>
  <c r="F6"/>
  <c r="C6"/>
  <c r="B6"/>
  <c r="C5"/>
  <c r="B5"/>
  <c r="C4"/>
  <c r="B4"/>
  <c r="C3"/>
  <c r="B3"/>
  <c r="A37"/>
  <c r="A11"/>
  <c r="B3" i="8"/>
  <c r="A53" i="9"/>
  <c r="A23"/>
  <c r="A32"/>
  <c r="A45"/>
  <c r="A15"/>
  <c r="A3"/>
  <c r="K4" i="8"/>
  <c r="K5"/>
  <c r="K3"/>
  <c r="K7"/>
  <c r="K10"/>
  <c r="K6"/>
  <c r="K9"/>
  <c r="K8"/>
  <c r="B4" l="1"/>
  <c r="B8"/>
  <c r="B9"/>
  <c r="B7"/>
  <c r="B6"/>
  <c r="B5"/>
  <c r="B10"/>
  <c r="H23" l="1"/>
  <c r="I23"/>
  <c r="C155" i="7"/>
  <c r="B155"/>
  <c r="A155"/>
  <c r="C154"/>
  <c r="B154"/>
  <c r="A154"/>
  <c r="C153"/>
  <c r="B153"/>
  <c r="A153"/>
  <c r="C152"/>
  <c r="B152"/>
  <c r="A152"/>
  <c r="C151"/>
  <c r="B151"/>
  <c r="A151"/>
  <c r="C150"/>
  <c r="B150"/>
  <c r="C149"/>
  <c r="B149"/>
  <c r="A149"/>
  <c r="C148"/>
  <c r="B148"/>
  <c r="A148"/>
  <c r="C147"/>
  <c r="B147"/>
  <c r="A147"/>
  <c r="C146"/>
  <c r="B146"/>
  <c r="A146"/>
  <c r="C145"/>
  <c r="B145"/>
  <c r="A145"/>
  <c r="C144"/>
  <c r="B144"/>
  <c r="A144"/>
  <c r="C143"/>
  <c r="B143"/>
  <c r="A143"/>
  <c r="C142"/>
  <c r="B142"/>
  <c r="A142"/>
  <c r="C141"/>
  <c r="B141"/>
  <c r="A141"/>
  <c r="C140"/>
  <c r="B140"/>
  <c r="A140"/>
  <c r="C139"/>
  <c r="B139"/>
  <c r="A139"/>
  <c r="C138"/>
  <c r="B138"/>
  <c r="A138"/>
  <c r="C137"/>
  <c r="B137"/>
  <c r="A137"/>
  <c r="C136"/>
  <c r="B136"/>
  <c r="A136"/>
  <c r="C135"/>
  <c r="B135"/>
  <c r="A135"/>
  <c r="C134"/>
  <c r="B134"/>
  <c r="A134"/>
  <c r="C133"/>
  <c r="B133"/>
  <c r="A133"/>
  <c r="C132"/>
  <c r="B132"/>
  <c r="A132"/>
  <c r="C131"/>
  <c r="B131"/>
  <c r="A131"/>
  <c r="C130"/>
  <c r="B130"/>
  <c r="A130"/>
  <c r="C129"/>
  <c r="B129"/>
  <c r="A129"/>
  <c r="C128"/>
  <c r="B128"/>
  <c r="A128"/>
  <c r="C127"/>
  <c r="B127"/>
  <c r="A127"/>
  <c r="C126"/>
  <c r="B126"/>
  <c r="A126"/>
  <c r="C125"/>
  <c r="B125"/>
  <c r="A125"/>
  <c r="C124"/>
  <c r="B124"/>
  <c r="A124"/>
  <c r="C123"/>
  <c r="B123"/>
  <c r="A123"/>
  <c r="C122"/>
  <c r="B122"/>
  <c r="A122"/>
  <c r="C121"/>
  <c r="B121"/>
  <c r="A121"/>
  <c r="C120"/>
  <c r="B120"/>
  <c r="A120"/>
  <c r="C119"/>
  <c r="B119"/>
  <c r="A119"/>
  <c r="C118"/>
  <c r="B118"/>
  <c r="A118"/>
  <c r="C117"/>
  <c r="B117"/>
  <c r="A117"/>
  <c r="C116"/>
  <c r="B116"/>
  <c r="A116"/>
  <c r="C115"/>
  <c r="B115"/>
  <c r="A115"/>
  <c r="C114"/>
  <c r="B114"/>
  <c r="A114"/>
  <c r="C113"/>
  <c r="B113"/>
  <c r="A113"/>
  <c r="C112"/>
  <c r="B112"/>
  <c r="A112"/>
  <c r="C111"/>
  <c r="B111"/>
  <c r="A111"/>
  <c r="C110"/>
  <c r="B110"/>
  <c r="A110"/>
  <c r="C109"/>
  <c r="B109"/>
  <c r="A109"/>
  <c r="C108"/>
  <c r="B108"/>
  <c r="A108"/>
  <c r="C107"/>
  <c r="B107"/>
  <c r="A107"/>
  <c r="C106"/>
  <c r="B106"/>
  <c r="A106"/>
  <c r="C105"/>
  <c r="B105"/>
  <c r="A105"/>
  <c r="C104"/>
  <c r="B104"/>
  <c r="A104"/>
  <c r="C103"/>
  <c r="B103"/>
  <c r="A103"/>
  <c r="C102"/>
  <c r="B102"/>
  <c r="A102"/>
  <c r="C101"/>
  <c r="B101"/>
  <c r="A101"/>
  <c r="C100"/>
  <c r="B100"/>
  <c r="A100"/>
  <c r="C99"/>
  <c r="B99"/>
  <c r="A99"/>
  <c r="C98"/>
  <c r="B98"/>
  <c r="A98"/>
  <c r="C97"/>
  <c r="B97"/>
  <c r="A97"/>
  <c r="C96"/>
  <c r="B96"/>
  <c r="A96"/>
  <c r="C95"/>
  <c r="B95"/>
  <c r="A95"/>
  <c r="C94"/>
  <c r="B94"/>
  <c r="A94"/>
  <c r="C93"/>
  <c r="B93"/>
  <c r="A93"/>
  <c r="C92"/>
  <c r="B92"/>
  <c r="A92"/>
  <c r="C91"/>
  <c r="B91"/>
  <c r="A91"/>
  <c r="C90"/>
  <c r="B90"/>
  <c r="C89"/>
  <c r="B89"/>
  <c r="A89"/>
  <c r="C88"/>
  <c r="B88"/>
  <c r="A88"/>
  <c r="C87"/>
  <c r="B87"/>
  <c r="A87"/>
  <c r="C86"/>
  <c r="B86"/>
  <c r="A86"/>
  <c r="C85"/>
  <c r="B85"/>
  <c r="A85"/>
  <c r="C84"/>
  <c r="B84"/>
  <c r="A84"/>
  <c r="C83"/>
  <c r="B83"/>
  <c r="A83"/>
  <c r="C82"/>
  <c r="B82"/>
  <c r="A82"/>
  <c r="C81"/>
  <c r="B81"/>
  <c r="A81"/>
  <c r="C80"/>
  <c r="B80"/>
  <c r="A80"/>
  <c r="C79"/>
  <c r="B79"/>
  <c r="A79"/>
  <c r="C78"/>
  <c r="B78"/>
  <c r="A78"/>
  <c r="C77"/>
  <c r="B77"/>
  <c r="A77"/>
  <c r="C76"/>
  <c r="B76"/>
  <c r="A76"/>
  <c r="C75"/>
  <c r="B75"/>
  <c r="A75"/>
  <c r="C74"/>
  <c r="B74"/>
  <c r="A74"/>
  <c r="C73"/>
  <c r="B73"/>
  <c r="A73"/>
  <c r="C72"/>
  <c r="B72"/>
  <c r="A72"/>
  <c r="C71"/>
  <c r="B71"/>
  <c r="A71"/>
  <c r="C70"/>
  <c r="B70"/>
  <c r="A70"/>
  <c r="C69"/>
  <c r="B69"/>
  <c r="A69"/>
  <c r="C68"/>
  <c r="B68"/>
  <c r="A68"/>
  <c r="C67"/>
  <c r="B67"/>
  <c r="A67"/>
  <c r="C66"/>
  <c r="B66"/>
  <c r="A66"/>
  <c r="C65"/>
  <c r="B65"/>
  <c r="A65"/>
  <c r="C64"/>
  <c r="B64"/>
  <c r="A64"/>
  <c r="C63"/>
  <c r="B63"/>
  <c r="A63"/>
  <c r="C62"/>
  <c r="B62"/>
  <c r="A62"/>
  <c r="C61"/>
  <c r="B61"/>
  <c r="A61"/>
  <c r="C60"/>
  <c r="B60"/>
  <c r="A60"/>
  <c r="C59"/>
  <c r="B59"/>
  <c r="A59"/>
  <c r="C58"/>
  <c r="B58"/>
  <c r="A58"/>
  <c r="C57"/>
  <c r="B57"/>
  <c r="A57"/>
  <c r="C56"/>
  <c r="B56"/>
  <c r="A56"/>
  <c r="C55"/>
  <c r="B55"/>
  <c r="A55"/>
  <c r="C54"/>
  <c r="B54"/>
  <c r="A54"/>
  <c r="C53"/>
  <c r="B53"/>
  <c r="A53"/>
  <c r="C52"/>
  <c r="B52"/>
  <c r="A52"/>
  <c r="C51"/>
  <c r="B51"/>
  <c r="A51"/>
  <c r="C50"/>
  <c r="B50"/>
  <c r="A50"/>
  <c r="C49"/>
  <c r="B49"/>
  <c r="A49"/>
  <c r="C48"/>
  <c r="B48"/>
  <c r="A48"/>
  <c r="C47"/>
  <c r="B47"/>
  <c r="A47"/>
  <c r="C46"/>
  <c r="B46"/>
  <c r="A46"/>
  <c r="C45"/>
  <c r="B45"/>
  <c r="A45"/>
  <c r="C44"/>
  <c r="B44"/>
  <c r="A44"/>
  <c r="C43"/>
  <c r="B43"/>
  <c r="A43"/>
  <c r="C42"/>
  <c r="B42"/>
  <c r="A42"/>
  <c r="C41"/>
  <c r="B41"/>
  <c r="A41"/>
  <c r="C40"/>
  <c r="B40"/>
  <c r="A40"/>
  <c r="C39"/>
  <c r="B39"/>
  <c r="A39"/>
  <c r="C38"/>
  <c r="B38"/>
  <c r="A38"/>
  <c r="C37"/>
  <c r="B37"/>
  <c r="A37"/>
  <c r="C36"/>
  <c r="B36"/>
  <c r="A36"/>
  <c r="C35"/>
  <c r="B35"/>
  <c r="A35"/>
  <c r="C34"/>
  <c r="B34"/>
  <c r="A34"/>
  <c r="C33"/>
  <c r="B33"/>
  <c r="A33"/>
  <c r="C32"/>
  <c r="B32"/>
  <c r="A32"/>
  <c r="C31"/>
  <c r="B31"/>
  <c r="A31"/>
  <c r="C30"/>
  <c r="B30"/>
  <c r="A30"/>
  <c r="C29"/>
  <c r="B29"/>
  <c r="A29"/>
  <c r="C28"/>
  <c r="B28"/>
  <c r="A28"/>
  <c r="C27"/>
  <c r="B27"/>
  <c r="A27"/>
  <c r="C26"/>
  <c r="B26"/>
  <c r="A26"/>
  <c r="C25"/>
  <c r="B25"/>
  <c r="A25"/>
  <c r="C24"/>
  <c r="B24"/>
  <c r="A24"/>
  <c r="C23"/>
  <c r="B23"/>
  <c r="A23"/>
  <c r="C22"/>
  <c r="B22"/>
  <c r="A22"/>
  <c r="C21"/>
  <c r="B21"/>
  <c r="A21"/>
  <c r="C20"/>
  <c r="B20"/>
  <c r="A20"/>
  <c r="C19"/>
  <c r="B19"/>
  <c r="A19"/>
  <c r="C18"/>
  <c r="B18"/>
  <c r="A18"/>
  <c r="C17"/>
  <c r="B17"/>
  <c r="A17"/>
  <c r="C16"/>
  <c r="B16"/>
  <c r="A16"/>
  <c r="C15"/>
  <c r="B15"/>
  <c r="A15"/>
  <c r="C14"/>
  <c r="B14"/>
  <c r="A14"/>
  <c r="C13"/>
  <c r="B13"/>
  <c r="A13"/>
  <c r="C12"/>
  <c r="B12"/>
  <c r="A12"/>
  <c r="C11"/>
  <c r="B11"/>
  <c r="A11"/>
  <c r="C10"/>
  <c r="B10"/>
  <c r="A10"/>
  <c r="C9"/>
  <c r="B9"/>
  <c r="A9"/>
  <c r="C8"/>
  <c r="B8"/>
  <c r="A8"/>
  <c r="C7"/>
  <c r="B7"/>
  <c r="A7"/>
  <c r="C6"/>
  <c r="B6"/>
  <c r="A6"/>
  <c r="C5"/>
  <c r="B5"/>
  <c r="A5"/>
  <c r="C4"/>
  <c r="B4"/>
  <c r="A4"/>
  <c r="C3"/>
  <c r="B3"/>
  <c r="A3"/>
  <c r="C2"/>
  <c r="B2"/>
  <c r="A2"/>
  <c r="C1"/>
  <c r="B1"/>
  <c r="A1"/>
  <c r="C17" i="8"/>
  <c r="D38"/>
  <c r="C16"/>
  <c r="D17"/>
  <c r="C29"/>
  <c r="C69"/>
  <c r="C19"/>
  <c r="D29"/>
  <c r="C31"/>
  <c r="D30"/>
  <c r="D37"/>
  <c r="C37"/>
  <c r="D16"/>
  <c r="C36"/>
  <c r="D36"/>
  <c r="C18"/>
  <c r="C42"/>
  <c r="D39"/>
  <c r="D18"/>
  <c r="C30"/>
  <c r="C70"/>
  <c r="K14"/>
  <c r="K26"/>
  <c r="K13"/>
  <c r="D71" l="1"/>
  <c r="D68"/>
  <c r="D65"/>
  <c r="D63"/>
  <c r="D61"/>
  <c r="D59"/>
  <c r="D57"/>
  <c r="D54"/>
  <c r="D52"/>
  <c r="D50"/>
  <c r="D48"/>
  <c r="D45"/>
  <c r="D67"/>
  <c r="D62"/>
  <c r="D60"/>
  <c r="D53"/>
  <c r="D49"/>
  <c r="D44"/>
  <c r="D69"/>
  <c r="C64"/>
  <c r="C58"/>
  <c r="C53"/>
  <c r="C49"/>
  <c r="C44"/>
  <c r="C71"/>
  <c r="C68"/>
  <c r="C65"/>
  <c r="C63"/>
  <c r="C61"/>
  <c r="C59"/>
  <c r="C57"/>
  <c r="C54"/>
  <c r="C52"/>
  <c r="C50"/>
  <c r="C48"/>
  <c r="C45"/>
  <c r="D70"/>
  <c r="D64"/>
  <c r="D58"/>
  <c r="D56"/>
  <c r="D51"/>
  <c r="D47"/>
  <c r="C67"/>
  <c r="C62"/>
  <c r="C60"/>
  <c r="C56"/>
  <c r="C51"/>
  <c r="C47"/>
  <c r="D40"/>
  <c r="C40"/>
  <c r="C32"/>
  <c r="D32"/>
  <c r="D42"/>
  <c r="C38"/>
  <c r="C34"/>
  <c r="D28"/>
  <c r="D26"/>
  <c r="D24"/>
  <c r="D22"/>
  <c r="D41"/>
  <c r="D35"/>
  <c r="D33"/>
  <c r="C28"/>
  <c r="C26"/>
  <c r="C24"/>
  <c r="C41"/>
  <c r="C35"/>
  <c r="C33"/>
  <c r="D27"/>
  <c r="D25"/>
  <c r="D23"/>
  <c r="C39"/>
  <c r="D34"/>
  <c r="D31"/>
  <c r="C27"/>
  <c r="C25"/>
  <c r="C23"/>
  <c r="C22"/>
  <c r="G51" i="9"/>
  <c r="G49"/>
  <c r="G47"/>
  <c r="G44"/>
  <c r="G42"/>
  <c r="G40"/>
  <c r="G38"/>
  <c r="G29"/>
  <c r="C21" i="8"/>
  <c r="D15"/>
  <c r="D13"/>
  <c r="D11"/>
  <c r="D9"/>
  <c r="D7"/>
  <c r="D5"/>
  <c r="D3"/>
  <c r="H15" i="9"/>
  <c r="H408"/>
  <c r="H406"/>
  <c r="H404"/>
  <c r="H402"/>
  <c r="H400"/>
  <c r="H398"/>
  <c r="H396"/>
  <c r="H394"/>
  <c r="H392"/>
  <c r="H390"/>
  <c r="H388"/>
  <c r="H386"/>
  <c r="H384"/>
  <c r="H382"/>
  <c r="H380"/>
  <c r="H378"/>
  <c r="H376"/>
  <c r="H374"/>
  <c r="H372"/>
  <c r="H370"/>
  <c r="H368"/>
  <c r="H366"/>
  <c r="H364"/>
  <c r="H362"/>
  <c r="H360"/>
  <c r="H358"/>
  <c r="H356"/>
  <c r="H354"/>
  <c r="H352"/>
  <c r="H350"/>
  <c r="H348"/>
  <c r="H346"/>
  <c r="H344"/>
  <c r="H342"/>
  <c r="H340"/>
  <c r="H338"/>
  <c r="H336"/>
  <c r="H334"/>
  <c r="H332"/>
  <c r="H330"/>
  <c r="H328"/>
  <c r="H326"/>
  <c r="H324"/>
  <c r="H322"/>
  <c r="H320"/>
  <c r="H318"/>
  <c r="H316"/>
  <c r="H314"/>
  <c r="H312"/>
  <c r="H310"/>
  <c r="H308"/>
  <c r="H306"/>
  <c r="H304"/>
  <c r="H302"/>
  <c r="H300"/>
  <c r="H298"/>
  <c r="H296"/>
  <c r="H294"/>
  <c r="H292"/>
  <c r="H290"/>
  <c r="H288"/>
  <c r="H286"/>
  <c r="H284"/>
  <c r="H282"/>
  <c r="H45"/>
  <c r="H52"/>
  <c r="H50"/>
  <c r="H48"/>
  <c r="H46"/>
  <c r="H43"/>
  <c r="H41"/>
  <c r="H39"/>
  <c r="H34"/>
  <c r="G27"/>
  <c r="D20" i="8"/>
  <c r="C15"/>
  <c r="C13"/>
  <c r="C11"/>
  <c r="C9"/>
  <c r="C7"/>
  <c r="C5"/>
  <c r="C3"/>
  <c r="G408" i="9"/>
  <c r="G406"/>
  <c r="G404"/>
  <c r="G402"/>
  <c r="G400"/>
  <c r="G398"/>
  <c r="G396"/>
  <c r="G394"/>
  <c r="G392"/>
  <c r="G390"/>
  <c r="G388"/>
  <c r="G386"/>
  <c r="G384"/>
  <c r="G382"/>
  <c r="G380"/>
  <c r="G378"/>
  <c r="G376"/>
  <c r="G374"/>
  <c r="G372"/>
  <c r="G370"/>
  <c r="G368"/>
  <c r="G366"/>
  <c r="G364"/>
  <c r="G362"/>
  <c r="G360"/>
  <c r="G358"/>
  <c r="G356"/>
  <c r="G354"/>
  <c r="G352"/>
  <c r="G350"/>
  <c r="G348"/>
  <c r="G346"/>
  <c r="G344"/>
  <c r="G342"/>
  <c r="G340"/>
  <c r="G338"/>
  <c r="G336"/>
  <c r="G334"/>
  <c r="G332"/>
  <c r="G330"/>
  <c r="G328"/>
  <c r="G326"/>
  <c r="G324"/>
  <c r="G322"/>
  <c r="G320"/>
  <c r="G318"/>
  <c r="G316"/>
  <c r="G314"/>
  <c r="G312"/>
  <c r="G310"/>
  <c r="G308"/>
  <c r="G306"/>
  <c r="G304"/>
  <c r="G302"/>
  <c r="G300"/>
  <c r="G298"/>
  <c r="G296"/>
  <c r="G294"/>
  <c r="G292"/>
  <c r="G290"/>
  <c r="G288"/>
  <c r="G286"/>
  <c r="G284"/>
  <c r="G282"/>
  <c r="G52"/>
  <c r="G48"/>
  <c r="G43"/>
  <c r="G39"/>
  <c r="D14" i="8"/>
  <c r="D10"/>
  <c r="D6"/>
  <c r="H20" i="9"/>
  <c r="G409"/>
  <c r="G405"/>
  <c r="G401"/>
  <c r="G397"/>
  <c r="G393"/>
  <c r="G389"/>
  <c r="G385"/>
  <c r="G381"/>
  <c r="G377"/>
  <c r="G373"/>
  <c r="G369"/>
  <c r="G365"/>
  <c r="G361"/>
  <c r="G357"/>
  <c r="G353"/>
  <c r="G349"/>
  <c r="G345"/>
  <c r="G341"/>
  <c r="G337"/>
  <c r="G333"/>
  <c r="G329"/>
  <c r="G325"/>
  <c r="G321"/>
  <c r="G317"/>
  <c r="G313"/>
  <c r="G309"/>
  <c r="G305"/>
  <c r="G301"/>
  <c r="G297"/>
  <c r="G293"/>
  <c r="G289"/>
  <c r="G285"/>
  <c r="G281"/>
  <c r="G279"/>
  <c r="G277"/>
  <c r="G275"/>
  <c r="G273"/>
  <c r="G271"/>
  <c r="G269"/>
  <c r="G267"/>
  <c r="G265"/>
  <c r="G263"/>
  <c r="G261"/>
  <c r="G259"/>
  <c r="G257"/>
  <c r="G255"/>
  <c r="G253"/>
  <c r="G251"/>
  <c r="G249"/>
  <c r="G247"/>
  <c r="G245"/>
  <c r="G243"/>
  <c r="G241"/>
  <c r="G239"/>
  <c r="G237"/>
  <c r="G235"/>
  <c r="G233"/>
  <c r="G231"/>
  <c r="G229"/>
  <c r="G227"/>
  <c r="G225"/>
  <c r="G223"/>
  <c r="G221"/>
  <c r="G219"/>
  <c r="G217"/>
  <c r="G215"/>
  <c r="G213"/>
  <c r="G211"/>
  <c r="G209"/>
  <c r="G207"/>
  <c r="G205"/>
  <c r="G203"/>
  <c r="G201"/>
  <c r="G199"/>
  <c r="G197"/>
  <c r="G195"/>
  <c r="G50"/>
  <c r="G46"/>
  <c r="G41"/>
  <c r="G34"/>
  <c r="C20" i="8"/>
  <c r="D12"/>
  <c r="D8"/>
  <c r="D4"/>
  <c r="G407" i="9"/>
  <c r="G403"/>
  <c r="G399"/>
  <c r="G395"/>
  <c r="G391"/>
  <c r="G387"/>
  <c r="G383"/>
  <c r="G379"/>
  <c r="G375"/>
  <c r="G371"/>
  <c r="G367"/>
  <c r="G363"/>
  <c r="G359"/>
  <c r="G355"/>
  <c r="G351"/>
  <c r="G347"/>
  <c r="G343"/>
  <c r="G339"/>
  <c r="G335"/>
  <c r="G331"/>
  <c r="G327"/>
  <c r="G323"/>
  <c r="G319"/>
  <c r="G315"/>
  <c r="G311"/>
  <c r="G307"/>
  <c r="G303"/>
  <c r="G299"/>
  <c r="G295"/>
  <c r="G291"/>
  <c r="G287"/>
  <c r="G283"/>
  <c r="G280"/>
  <c r="G278"/>
  <c r="G276"/>
  <c r="G274"/>
  <c r="G272"/>
  <c r="G270"/>
  <c r="G268"/>
  <c r="G266"/>
  <c r="G264"/>
  <c r="G262"/>
  <c r="G260"/>
  <c r="G258"/>
  <c r="G256"/>
  <c r="G254"/>
  <c r="G252"/>
  <c r="G250"/>
  <c r="G248"/>
  <c r="G246"/>
  <c r="G244"/>
  <c r="G242"/>
  <c r="G240"/>
  <c r="G238"/>
  <c r="G236"/>
  <c r="G234"/>
  <c r="G232"/>
  <c r="G230"/>
  <c r="G228"/>
  <c r="G226"/>
  <c r="G224"/>
  <c r="G222"/>
  <c r="G220"/>
  <c r="G218"/>
  <c r="G216"/>
  <c r="G214"/>
  <c r="G212"/>
  <c r="G210"/>
  <c r="G208"/>
  <c r="G206"/>
  <c r="G204"/>
  <c r="G202"/>
  <c r="G200"/>
  <c r="G198"/>
  <c r="G196"/>
  <c r="H51"/>
  <c r="H42"/>
  <c r="C12" i="8"/>
  <c r="C4"/>
  <c r="H407" i="9"/>
  <c r="H399"/>
  <c r="H391"/>
  <c r="H383"/>
  <c r="H375"/>
  <c r="H367"/>
  <c r="H359"/>
  <c r="H351"/>
  <c r="H343"/>
  <c r="H335"/>
  <c r="H327"/>
  <c r="H319"/>
  <c r="H311"/>
  <c r="H303"/>
  <c r="H295"/>
  <c r="H287"/>
  <c r="H280"/>
  <c r="H276"/>
  <c r="H272"/>
  <c r="H268"/>
  <c r="H264"/>
  <c r="H260"/>
  <c r="H256"/>
  <c r="H252"/>
  <c r="H248"/>
  <c r="H244"/>
  <c r="H240"/>
  <c r="H236"/>
  <c r="H232"/>
  <c r="H228"/>
  <c r="H224"/>
  <c r="H220"/>
  <c r="H216"/>
  <c r="H212"/>
  <c r="H208"/>
  <c r="H204"/>
  <c r="H200"/>
  <c r="H196"/>
  <c r="H193"/>
  <c r="H191"/>
  <c r="H189"/>
  <c r="H187"/>
  <c r="H185"/>
  <c r="H183"/>
  <c r="H181"/>
  <c r="H179"/>
  <c r="H177"/>
  <c r="H175"/>
  <c r="H173"/>
  <c r="H171"/>
  <c r="H169"/>
  <c r="H167"/>
  <c r="H165"/>
  <c r="H163"/>
  <c r="H161"/>
  <c r="H159"/>
  <c r="H157"/>
  <c r="H155"/>
  <c r="H153"/>
  <c r="H151"/>
  <c r="H149"/>
  <c r="H147"/>
  <c r="H145"/>
  <c r="H143"/>
  <c r="H141"/>
  <c r="H139"/>
  <c r="H137"/>
  <c r="H135"/>
  <c r="H133"/>
  <c r="H131"/>
  <c r="H129"/>
  <c r="H127"/>
  <c r="H125"/>
  <c r="H123"/>
  <c r="H121"/>
  <c r="H119"/>
  <c r="H117"/>
  <c r="H115"/>
  <c r="H113"/>
  <c r="H111"/>
  <c r="H109"/>
  <c r="H107"/>
  <c r="H105"/>
  <c r="H103"/>
  <c r="H101"/>
  <c r="H99"/>
  <c r="H97"/>
  <c r="H95"/>
  <c r="H93"/>
  <c r="H91"/>
  <c r="H89"/>
  <c r="H87"/>
  <c r="H85"/>
  <c r="H83"/>
  <c r="H81"/>
  <c r="H79"/>
  <c r="H77"/>
  <c r="H75"/>
  <c r="H73"/>
  <c r="H71"/>
  <c r="H69"/>
  <c r="H67"/>
  <c r="H65"/>
  <c r="H63"/>
  <c r="H61"/>
  <c r="H59"/>
  <c r="H57"/>
  <c r="H55"/>
  <c r="H36"/>
  <c r="H31"/>
  <c r="H22"/>
  <c r="H14"/>
  <c r="H12"/>
  <c r="G9"/>
  <c r="G6"/>
  <c r="H49"/>
  <c r="H40"/>
  <c r="D21" i="8"/>
  <c r="C10"/>
  <c r="G16" i="9"/>
  <c r="H405"/>
  <c r="H397"/>
  <c r="H389"/>
  <c r="H381"/>
  <c r="H373"/>
  <c r="H365"/>
  <c r="H357"/>
  <c r="H349"/>
  <c r="H341"/>
  <c r="H333"/>
  <c r="H325"/>
  <c r="H317"/>
  <c r="H309"/>
  <c r="H301"/>
  <c r="H293"/>
  <c r="H285"/>
  <c r="H279"/>
  <c r="H275"/>
  <c r="H271"/>
  <c r="H267"/>
  <c r="H263"/>
  <c r="H259"/>
  <c r="H255"/>
  <c r="H251"/>
  <c r="H247"/>
  <c r="H243"/>
  <c r="H239"/>
  <c r="H235"/>
  <c r="H231"/>
  <c r="H227"/>
  <c r="H223"/>
  <c r="H219"/>
  <c r="H215"/>
  <c r="H211"/>
  <c r="H207"/>
  <c r="H203"/>
  <c r="H199"/>
  <c r="H195"/>
  <c r="G193"/>
  <c r="G191"/>
  <c r="G189"/>
  <c r="H47"/>
  <c r="H38"/>
  <c r="D19" i="8"/>
  <c r="C8"/>
  <c r="H403" i="9"/>
  <c r="H395"/>
  <c r="H387"/>
  <c r="H379"/>
  <c r="H371"/>
  <c r="H363"/>
  <c r="H355"/>
  <c r="H347"/>
  <c r="H339"/>
  <c r="H331"/>
  <c r="H323"/>
  <c r="H315"/>
  <c r="H307"/>
  <c r="H299"/>
  <c r="H291"/>
  <c r="H283"/>
  <c r="H278"/>
  <c r="H274"/>
  <c r="H270"/>
  <c r="H266"/>
  <c r="H262"/>
  <c r="H258"/>
  <c r="H254"/>
  <c r="H250"/>
  <c r="H246"/>
  <c r="H242"/>
  <c r="H238"/>
  <c r="H234"/>
  <c r="H230"/>
  <c r="H226"/>
  <c r="H222"/>
  <c r="H218"/>
  <c r="H214"/>
  <c r="H210"/>
  <c r="H206"/>
  <c r="H202"/>
  <c r="H198"/>
  <c r="H194"/>
  <c r="H192"/>
  <c r="H190"/>
  <c r="H188"/>
  <c r="H186"/>
  <c r="H184"/>
  <c r="H182"/>
  <c r="H180"/>
  <c r="H178"/>
  <c r="H176"/>
  <c r="H174"/>
  <c r="H172"/>
  <c r="H170"/>
  <c r="H168"/>
  <c r="H166"/>
  <c r="H164"/>
  <c r="H162"/>
  <c r="H160"/>
  <c r="H158"/>
  <c r="H156"/>
  <c r="H154"/>
  <c r="H152"/>
  <c r="H150"/>
  <c r="H148"/>
  <c r="H146"/>
  <c r="H144"/>
  <c r="H142"/>
  <c r="H140"/>
  <c r="H138"/>
  <c r="H136"/>
  <c r="H134"/>
  <c r="H132"/>
  <c r="H130"/>
  <c r="H128"/>
  <c r="H126"/>
  <c r="H124"/>
  <c r="H122"/>
  <c r="H120"/>
  <c r="H118"/>
  <c r="H116"/>
  <c r="H114"/>
  <c r="H112"/>
  <c r="H110"/>
  <c r="H108"/>
  <c r="H106"/>
  <c r="H104"/>
  <c r="H102"/>
  <c r="H100"/>
  <c r="H98"/>
  <c r="H96"/>
  <c r="H94"/>
  <c r="H92"/>
  <c r="H90"/>
  <c r="H88"/>
  <c r="H86"/>
  <c r="H84"/>
  <c r="H82"/>
  <c r="H80"/>
  <c r="H78"/>
  <c r="H76"/>
  <c r="H74"/>
  <c r="H72"/>
  <c r="H70"/>
  <c r="H68"/>
  <c r="H66"/>
  <c r="H64"/>
  <c r="H62"/>
  <c r="H60"/>
  <c r="H58"/>
  <c r="H56"/>
  <c r="H54"/>
  <c r="H35"/>
  <c r="H30"/>
  <c r="H21"/>
  <c r="H13"/>
  <c r="G11"/>
  <c r="H7"/>
  <c r="G3"/>
  <c r="H44"/>
  <c r="H29"/>
  <c r="C14" i="8"/>
  <c r="C6"/>
  <c r="H409" i="9"/>
  <c r="H401"/>
  <c r="H393"/>
  <c r="H385"/>
  <c r="H377"/>
  <c r="H369"/>
  <c r="H361"/>
  <c r="H353"/>
  <c r="H345"/>
  <c r="H337"/>
  <c r="H329"/>
  <c r="H321"/>
  <c r="H313"/>
  <c r="H305"/>
  <c r="H297"/>
  <c r="H289"/>
  <c r="H281"/>
  <c r="H277"/>
  <c r="H273"/>
  <c r="H269"/>
  <c r="H265"/>
  <c r="H261"/>
  <c r="H257"/>
  <c r="H253"/>
  <c r="H249"/>
  <c r="H245"/>
  <c r="H241"/>
  <c r="H237"/>
  <c r="H233"/>
  <c r="H229"/>
  <c r="H225"/>
  <c r="H221"/>
  <c r="H217"/>
  <c r="H213"/>
  <c r="H209"/>
  <c r="H205"/>
  <c r="H201"/>
  <c r="H197"/>
  <c r="G194"/>
  <c r="G192"/>
  <c r="G190"/>
  <c r="G188"/>
  <c r="G186"/>
  <c r="G184"/>
  <c r="G183"/>
  <c r="G179"/>
  <c r="G175"/>
  <c r="G171"/>
  <c r="G167"/>
  <c r="G163"/>
  <c r="G159"/>
  <c r="G155"/>
  <c r="G151"/>
  <c r="G147"/>
  <c r="G143"/>
  <c r="G139"/>
  <c r="G135"/>
  <c r="G131"/>
  <c r="G127"/>
  <c r="G123"/>
  <c r="G119"/>
  <c r="G115"/>
  <c r="G111"/>
  <c r="G107"/>
  <c r="G103"/>
  <c r="G99"/>
  <c r="G95"/>
  <c r="G91"/>
  <c r="G87"/>
  <c r="G83"/>
  <c r="G79"/>
  <c r="G75"/>
  <c r="G71"/>
  <c r="G67"/>
  <c r="G63"/>
  <c r="G59"/>
  <c r="G55"/>
  <c r="G31"/>
  <c r="G14"/>
  <c r="G8"/>
  <c r="G182"/>
  <c r="G178"/>
  <c r="G174"/>
  <c r="G170"/>
  <c r="G166"/>
  <c r="G162"/>
  <c r="G158"/>
  <c r="G154"/>
  <c r="G150"/>
  <c r="G146"/>
  <c r="G142"/>
  <c r="G138"/>
  <c r="G134"/>
  <c r="G130"/>
  <c r="G126"/>
  <c r="G122"/>
  <c r="G118"/>
  <c r="G114"/>
  <c r="G110"/>
  <c r="G106"/>
  <c r="G102"/>
  <c r="G98"/>
  <c r="G94"/>
  <c r="G90"/>
  <c r="G86"/>
  <c r="G82"/>
  <c r="G78"/>
  <c r="G74"/>
  <c r="G70"/>
  <c r="G66"/>
  <c r="G62"/>
  <c r="G58"/>
  <c r="G54"/>
  <c r="G30"/>
  <c r="G13"/>
  <c r="H6"/>
  <c r="G187"/>
  <c r="G181"/>
  <c r="G177"/>
  <c r="G173"/>
  <c r="G169"/>
  <c r="G165"/>
  <c r="G161"/>
  <c r="G157"/>
  <c r="G153"/>
  <c r="G149"/>
  <c r="G145"/>
  <c r="G141"/>
  <c r="G137"/>
  <c r="G133"/>
  <c r="G129"/>
  <c r="G125"/>
  <c r="G121"/>
  <c r="G117"/>
  <c r="G113"/>
  <c r="G109"/>
  <c r="G105"/>
  <c r="G101"/>
  <c r="G97"/>
  <c r="G93"/>
  <c r="G89"/>
  <c r="G85"/>
  <c r="G81"/>
  <c r="G77"/>
  <c r="G73"/>
  <c r="G69"/>
  <c r="G65"/>
  <c r="G61"/>
  <c r="G57"/>
  <c r="G36"/>
  <c r="G22"/>
  <c r="G12"/>
  <c r="H4"/>
  <c r="G185"/>
  <c r="G180"/>
  <c r="G176"/>
  <c r="G172"/>
  <c r="G168"/>
  <c r="G164"/>
  <c r="G160"/>
  <c r="G156"/>
  <c r="G152"/>
  <c r="G148"/>
  <c r="G144"/>
  <c r="G140"/>
  <c r="G136"/>
  <c r="G132"/>
  <c r="G128"/>
  <c r="G124"/>
  <c r="G120"/>
  <c r="G116"/>
  <c r="G112"/>
  <c r="G108"/>
  <c r="G104"/>
  <c r="G100"/>
  <c r="G96"/>
  <c r="G92"/>
  <c r="G88"/>
  <c r="G84"/>
  <c r="G80"/>
  <c r="G76"/>
  <c r="G72"/>
  <c r="G68"/>
  <c r="G64"/>
  <c r="G60"/>
  <c r="G56"/>
  <c r="G35"/>
  <c r="G21"/>
  <c r="H9"/>
  <c r="H3"/>
  <c r="H24"/>
  <c r="H53"/>
  <c r="H27"/>
  <c r="G20"/>
  <c r="G19"/>
  <c r="H28"/>
  <c r="D18" i="3"/>
  <c r="D16"/>
  <c r="D14"/>
  <c r="D11"/>
  <c r="D9"/>
  <c r="D7"/>
  <c r="D4"/>
  <c r="G103" i="6"/>
  <c r="G95"/>
  <c r="G86"/>
  <c r="G78"/>
  <c r="G71"/>
  <c r="G60"/>
  <c r="G52"/>
  <c r="G45"/>
  <c r="G43"/>
  <c r="G37"/>
  <c r="G35"/>
  <c r="G28"/>
  <c r="G21"/>
  <c r="G16"/>
  <c r="G6"/>
  <c r="G12" i="2"/>
  <c r="G61"/>
  <c r="H11" i="9"/>
  <c r="G7"/>
  <c r="H19"/>
  <c r="G26"/>
  <c r="G37"/>
  <c r="H23"/>
  <c r="H37"/>
  <c r="D17" i="3"/>
  <c r="D15"/>
  <c r="D12"/>
  <c r="D10"/>
  <c r="D8"/>
  <c r="D6"/>
  <c r="D3"/>
  <c r="G102" i="6"/>
  <c r="G94"/>
  <c r="G89"/>
  <c r="G87"/>
  <c r="G77"/>
  <c r="G74"/>
  <c r="G70"/>
  <c r="G63"/>
  <c r="G59"/>
  <c r="G51"/>
  <c r="G42"/>
  <c r="G34"/>
  <c r="G31"/>
  <c r="G27"/>
  <c r="G25"/>
  <c r="G15"/>
  <c r="G12"/>
  <c r="G7"/>
  <c r="G5"/>
  <c r="G18" i="2"/>
  <c r="G28"/>
  <c r="G33"/>
  <c r="G82"/>
  <c r="G228"/>
  <c r="H8" i="9"/>
  <c r="H18"/>
  <c r="G32"/>
  <c r="H32"/>
  <c r="C16" i="3"/>
  <c r="C11"/>
  <c r="C7"/>
  <c r="H102" i="6"/>
  <c r="H98"/>
  <c r="H89"/>
  <c r="H63"/>
  <c r="H51"/>
  <c r="H47"/>
  <c r="H34"/>
  <c r="H29"/>
  <c r="H15"/>
  <c r="H18" i="2"/>
  <c r="H28"/>
  <c r="H33"/>
  <c r="G321"/>
  <c r="H334"/>
  <c r="H349"/>
  <c r="G363"/>
  <c r="H370"/>
  <c r="G379"/>
  <c r="G392"/>
  <c r="G473"/>
  <c r="G526"/>
  <c r="G525"/>
  <c r="G533"/>
  <c r="G532"/>
  <c r="H637"/>
  <c r="G691"/>
  <c r="H750"/>
  <c r="G28" i="9"/>
  <c r="H16"/>
  <c r="G18"/>
  <c r="C18" i="3"/>
  <c r="C14"/>
  <c r="C9"/>
  <c r="C4"/>
  <c r="H96" i="6"/>
  <c r="H83"/>
  <c r="H79"/>
  <c r="H74"/>
  <c r="H66"/>
  <c r="H61"/>
  <c r="H31"/>
  <c r="H27"/>
  <c r="H12"/>
  <c r="H7"/>
  <c r="H82" i="2"/>
  <c r="H228"/>
  <c r="G328"/>
  <c r="H385"/>
  <c r="H404"/>
  <c r="G520"/>
  <c r="G524"/>
  <c r="G531"/>
  <c r="G571"/>
  <c r="H597"/>
  <c r="H621"/>
  <c r="H629"/>
  <c r="H644"/>
  <c r="G652"/>
  <c r="H660"/>
  <c r="H673"/>
  <c r="G679"/>
  <c r="H685"/>
  <c r="G4" i="9"/>
  <c r="G24"/>
  <c r="C15" i="3"/>
  <c r="C6"/>
  <c r="H71" i="6"/>
  <c r="H45"/>
  <c r="H37"/>
  <c r="H28"/>
  <c r="H328" i="2"/>
  <c r="G370"/>
  <c r="H520"/>
  <c r="H524"/>
  <c r="G750"/>
  <c r="G45" i="9"/>
  <c r="H26"/>
  <c r="C12" i="3"/>
  <c r="C3"/>
  <c r="H103" i="6"/>
  <c r="H95"/>
  <c r="H60"/>
  <c r="H16"/>
  <c r="H321" i="2"/>
  <c r="H379"/>
  <c r="G385"/>
  <c r="H392"/>
  <c r="H473"/>
  <c r="H526"/>
  <c r="H532"/>
  <c r="G597"/>
  <c r="G23" i="9"/>
  <c r="G53"/>
  <c r="C10" i="3"/>
  <c r="H76" i="6"/>
  <c r="H67"/>
  <c r="H41"/>
  <c r="H33"/>
  <c r="H4"/>
  <c r="G334" i="2"/>
  <c r="G349"/>
  <c r="H531"/>
  <c r="H571"/>
  <c r="G637"/>
  <c r="H652"/>
  <c r="H679"/>
  <c r="G15" i="9"/>
  <c r="C17" i="3"/>
  <c r="C8"/>
  <c r="H99" i="6"/>
  <c r="H65"/>
  <c r="H56"/>
  <c r="H21"/>
  <c r="H12" i="2"/>
  <c r="H61"/>
  <c r="H363"/>
  <c r="G404"/>
  <c r="H525"/>
  <c r="H533"/>
  <c r="G629"/>
  <c r="G673"/>
  <c r="G685"/>
  <c r="G660"/>
  <c r="H691"/>
  <c r="G621"/>
  <c r="G644"/>
  <c r="C108" i="6"/>
  <c r="B108"/>
  <c r="J108" s="1"/>
  <c r="C107"/>
  <c r="B107"/>
  <c r="J107" s="1"/>
  <c r="C106"/>
  <c r="B106"/>
  <c r="J106" s="1"/>
  <c r="C105"/>
  <c r="B105"/>
  <c r="J105" s="1"/>
  <c r="C104"/>
  <c r="B104"/>
  <c r="J104" s="1"/>
  <c r="C103"/>
  <c r="B103"/>
  <c r="J103" s="1"/>
  <c r="C102"/>
  <c r="B102"/>
  <c r="J102" s="1"/>
  <c r="C101"/>
  <c r="B101"/>
  <c r="J101" s="1"/>
  <c r="C100"/>
  <c r="B100"/>
  <c r="J100" s="1"/>
  <c r="C99"/>
  <c r="B99"/>
  <c r="J99" s="1"/>
  <c r="C98"/>
  <c r="B98"/>
  <c r="J98" s="1"/>
  <c r="C97"/>
  <c r="B97"/>
  <c r="J97" s="1"/>
  <c r="C96"/>
  <c r="B96"/>
  <c r="J96" s="1"/>
  <c r="C95"/>
  <c r="B95"/>
  <c r="J95" s="1"/>
  <c r="F94"/>
  <c r="C94"/>
  <c r="B94"/>
  <c r="J94" s="1"/>
  <c r="F93"/>
  <c r="C93"/>
  <c r="B93"/>
  <c r="J93" s="1"/>
  <c r="C92"/>
  <c r="B92"/>
  <c r="J92" s="1"/>
  <c r="C91"/>
  <c r="B91"/>
  <c r="J91" s="1"/>
  <c r="C88"/>
  <c r="B88"/>
  <c r="J88" s="1"/>
  <c r="C87"/>
  <c r="B87"/>
  <c r="J87" s="1"/>
  <c r="C86"/>
  <c r="B86"/>
  <c r="J86" s="1"/>
  <c r="C85"/>
  <c r="B85"/>
  <c r="J85" s="1"/>
  <c r="C84"/>
  <c r="B84"/>
  <c r="J84" s="1"/>
  <c r="C83"/>
  <c r="B83"/>
  <c r="J83" s="1"/>
  <c r="C82"/>
  <c r="B82"/>
  <c r="J82" s="1"/>
  <c r="C81"/>
  <c r="B81"/>
  <c r="J81" s="1"/>
  <c r="C80"/>
  <c r="B80"/>
  <c r="J80" s="1"/>
  <c r="F79"/>
  <c r="C79"/>
  <c r="B79"/>
  <c r="J79" s="1"/>
  <c r="F78"/>
  <c r="C78"/>
  <c r="B78"/>
  <c r="J78" s="1"/>
  <c r="C77"/>
  <c r="B77"/>
  <c r="J77" s="1"/>
  <c r="C76"/>
  <c r="B76"/>
  <c r="J76" s="1"/>
  <c r="C73"/>
  <c r="B73"/>
  <c r="J73" s="1"/>
  <c r="C72"/>
  <c r="B72"/>
  <c r="J72" s="1"/>
  <c r="C71"/>
  <c r="B71"/>
  <c r="J71" s="1"/>
  <c r="C70"/>
  <c r="B70"/>
  <c r="J70" s="1"/>
  <c r="C69"/>
  <c r="B69"/>
  <c r="J69" s="1"/>
  <c r="F68"/>
  <c r="C68"/>
  <c r="B68"/>
  <c r="J68" s="1"/>
  <c r="C67"/>
  <c r="B67"/>
  <c r="J67" s="1"/>
  <c r="C66"/>
  <c r="B66"/>
  <c r="J66" s="1"/>
  <c r="C65"/>
  <c r="B65"/>
  <c r="J65" s="1"/>
  <c r="C62"/>
  <c r="B62"/>
  <c r="J62" s="1"/>
  <c r="C61"/>
  <c r="B61"/>
  <c r="J61" s="1"/>
  <c r="C60"/>
  <c r="B60"/>
  <c r="J60" s="1"/>
  <c r="C59"/>
  <c r="B59"/>
  <c r="J59" s="1"/>
  <c r="C58"/>
  <c r="B58"/>
  <c r="J58" s="1"/>
  <c r="C57"/>
  <c r="B57"/>
  <c r="J57" s="1"/>
  <c r="C56"/>
  <c r="B56"/>
  <c r="J56" s="1"/>
  <c r="C55"/>
  <c r="B55"/>
  <c r="J55" s="1"/>
  <c r="C54"/>
  <c r="B54"/>
  <c r="J54" s="1"/>
  <c r="C53"/>
  <c r="B53"/>
  <c r="J53" s="1"/>
  <c r="C52"/>
  <c r="B52"/>
  <c r="J52" s="1"/>
  <c r="C51"/>
  <c r="B51"/>
  <c r="J51" s="1"/>
  <c r="C50"/>
  <c r="B50"/>
  <c r="J50" s="1"/>
  <c r="C49"/>
  <c r="B49"/>
  <c r="J49" s="1"/>
  <c r="C48"/>
  <c r="B48"/>
  <c r="J48" s="1"/>
  <c r="C47"/>
  <c r="B47"/>
  <c r="J47" s="1"/>
  <c r="C44"/>
  <c r="B44"/>
  <c r="J44" s="1"/>
  <c r="C43"/>
  <c r="B43"/>
  <c r="J43" s="1"/>
  <c r="C42"/>
  <c r="B42"/>
  <c r="J42" s="1"/>
  <c r="C41"/>
  <c r="B41"/>
  <c r="J41" s="1"/>
  <c r="C40"/>
  <c r="B40"/>
  <c r="J40" s="1"/>
  <c r="C39"/>
  <c r="B39"/>
  <c r="J39" s="1"/>
  <c r="C38"/>
  <c r="B38"/>
  <c r="J38" s="1"/>
  <c r="C37"/>
  <c r="B37"/>
  <c r="J37" s="1"/>
  <c r="C36"/>
  <c r="B36"/>
  <c r="J36" s="1"/>
  <c r="C35"/>
  <c r="B35"/>
  <c r="J35" s="1"/>
  <c r="C34"/>
  <c r="B34"/>
  <c r="J34" s="1"/>
  <c r="C33"/>
  <c r="B33"/>
  <c r="J33" s="1"/>
  <c r="C30"/>
  <c r="B30"/>
  <c r="J30" s="1"/>
  <c r="C29"/>
  <c r="B29"/>
  <c r="J29" s="1"/>
  <c r="C28"/>
  <c r="B28"/>
  <c r="J28" s="1"/>
  <c r="C27"/>
  <c r="B27"/>
  <c r="J27" s="1"/>
  <c r="C26"/>
  <c r="B26"/>
  <c r="J26" s="1"/>
  <c r="C25"/>
  <c r="B25"/>
  <c r="J25" s="1"/>
  <c r="C24"/>
  <c r="B24"/>
  <c r="J24" s="1"/>
  <c r="C23"/>
  <c r="B23"/>
  <c r="J23" s="1"/>
  <c r="F20"/>
  <c r="C20"/>
  <c r="B20"/>
  <c r="J20" s="1"/>
  <c r="C19"/>
  <c r="B19"/>
  <c r="J19" s="1"/>
  <c r="C18"/>
  <c r="B18"/>
  <c r="J18" s="1"/>
  <c r="C15"/>
  <c r="B15"/>
  <c r="J15" s="1"/>
  <c r="C14"/>
  <c r="B14"/>
  <c r="J14" s="1"/>
  <c r="F11"/>
  <c r="C11"/>
  <c r="B11"/>
  <c r="J11" s="1"/>
  <c r="C10"/>
  <c r="B10"/>
  <c r="J10" s="1"/>
  <c r="C9"/>
  <c r="B9"/>
  <c r="J9" s="1"/>
  <c r="B4"/>
  <c r="J4" s="1"/>
  <c r="J2" s="1"/>
  <c r="F6"/>
  <c r="C6"/>
  <c r="B6"/>
  <c r="J6" s="1"/>
  <c r="F5"/>
  <c r="C5"/>
  <c r="B5"/>
  <c r="J5" s="1"/>
  <c r="C4"/>
  <c r="C3"/>
  <c r="B3"/>
  <c r="J3" s="1"/>
  <c r="H33" i="9"/>
  <c r="G25"/>
  <c r="H17"/>
  <c r="G5"/>
  <c r="G33"/>
  <c r="H5"/>
  <c r="G17"/>
  <c r="H25"/>
  <c r="A65" i="6"/>
  <c r="A33"/>
  <c r="A91"/>
  <c r="A14"/>
  <c r="A18"/>
  <c r="A47"/>
  <c r="A9"/>
  <c r="A76"/>
  <c r="A23"/>
  <c r="A3"/>
  <c r="H91" l="1"/>
  <c r="H101"/>
  <c r="H26"/>
  <c r="H62"/>
  <c r="H97"/>
  <c r="G68"/>
  <c r="G69"/>
  <c r="J32"/>
  <c r="J75"/>
  <c r="H30"/>
  <c r="H100"/>
  <c r="G18"/>
  <c r="G96"/>
  <c r="G104"/>
  <c r="G54"/>
  <c r="G62"/>
  <c r="J90"/>
  <c r="H39"/>
  <c r="H73"/>
  <c r="H107"/>
  <c r="H14"/>
  <c r="H50"/>
  <c r="H84"/>
  <c r="H6"/>
  <c r="H43"/>
  <c r="H78"/>
  <c r="H9"/>
  <c r="H80"/>
  <c r="H18"/>
  <c r="H36"/>
  <c r="H53"/>
  <c r="H70"/>
  <c r="H87"/>
  <c r="H104"/>
  <c r="H20"/>
  <c r="H38"/>
  <c r="H55"/>
  <c r="H72"/>
  <c r="H106"/>
  <c r="G10"/>
  <c r="G20"/>
  <c r="G29"/>
  <c r="G38"/>
  <c r="G47"/>
  <c r="G55"/>
  <c r="G72"/>
  <c r="G81"/>
  <c r="G98"/>
  <c r="G106"/>
  <c r="G11"/>
  <c r="G30"/>
  <c r="G39"/>
  <c r="G48"/>
  <c r="G56"/>
  <c r="G65"/>
  <c r="G73"/>
  <c r="G82"/>
  <c r="G91"/>
  <c r="G99"/>
  <c r="G107"/>
  <c r="H44"/>
  <c r="H10"/>
  <c r="H81"/>
  <c r="G85"/>
  <c r="G26"/>
  <c r="J13"/>
  <c r="J22"/>
  <c r="J46"/>
  <c r="J64"/>
  <c r="H35"/>
  <c r="H69"/>
  <c r="H105"/>
  <c r="H49"/>
  <c r="H68"/>
  <c r="H85"/>
  <c r="G36"/>
  <c r="G44"/>
  <c r="G53"/>
  <c r="G61"/>
  <c r="G79"/>
  <c r="G9"/>
  <c r="G19"/>
  <c r="G80"/>
  <c r="G88"/>
  <c r="G97"/>
  <c r="G105"/>
  <c r="J8"/>
  <c r="J17"/>
  <c r="H11"/>
  <c r="H48"/>
  <c r="H82"/>
  <c r="H24"/>
  <c r="H58"/>
  <c r="H93"/>
  <c r="H52"/>
  <c r="H86"/>
  <c r="H19"/>
  <c r="H54"/>
  <c r="H88"/>
  <c r="H3"/>
  <c r="H23"/>
  <c r="H40"/>
  <c r="H57"/>
  <c r="H92"/>
  <c r="H108"/>
  <c r="H5"/>
  <c r="H25"/>
  <c r="H42"/>
  <c r="H59"/>
  <c r="H77"/>
  <c r="H94"/>
  <c r="G3"/>
  <c r="G23"/>
  <c r="G40"/>
  <c r="G49"/>
  <c r="G57"/>
  <c r="G66"/>
  <c r="G83"/>
  <c r="G92"/>
  <c r="G100"/>
  <c r="G108"/>
  <c r="G4"/>
  <c r="G14"/>
  <c r="G24"/>
  <c r="G33"/>
  <c r="G41"/>
  <c r="G50"/>
  <c r="G58"/>
  <c r="G67"/>
  <c r="G76"/>
  <c r="G84"/>
  <c r="G93"/>
  <c r="G101"/>
  <c r="F13" i="4"/>
  <c r="C13"/>
  <c r="B13"/>
  <c r="C12"/>
  <c r="B12"/>
  <c r="F11"/>
  <c r="C11"/>
  <c r="B11"/>
  <c r="C10"/>
  <c r="B10"/>
  <c r="F7"/>
  <c r="C7"/>
  <c r="B7"/>
  <c r="C6"/>
  <c r="B6"/>
  <c r="F5"/>
  <c r="C5"/>
  <c r="C4"/>
  <c r="B4"/>
  <c r="C3"/>
  <c r="K22" i="1"/>
  <c r="K20"/>
  <c r="K6"/>
  <c r="K28"/>
  <c r="K9"/>
  <c r="K23"/>
  <c r="K4"/>
  <c r="K15"/>
  <c r="K41"/>
  <c r="K37"/>
  <c r="K42"/>
  <c r="K38"/>
  <c r="K30"/>
  <c r="B3" i="3"/>
  <c r="K35" i="1"/>
  <c r="K33"/>
  <c r="K32"/>
  <c r="K5"/>
  <c r="K21"/>
  <c r="K13"/>
  <c r="A10" i="4"/>
  <c r="K7" i="1"/>
  <c r="K39"/>
  <c r="K34"/>
  <c r="K8"/>
  <c r="K10"/>
  <c r="K27"/>
  <c r="K14"/>
  <c r="K3"/>
  <c r="K31"/>
  <c r="K25"/>
  <c r="K17"/>
  <c r="K18"/>
  <c r="A3" i="4"/>
  <c r="K29" i="1"/>
  <c r="K19"/>
  <c r="K12"/>
  <c r="K24"/>
  <c r="G13" i="4" l="1"/>
  <c r="J13"/>
  <c r="H13"/>
  <c r="J4"/>
  <c r="G4"/>
  <c r="H4"/>
  <c r="J11"/>
  <c r="H11"/>
  <c r="G11"/>
  <c r="H12"/>
  <c r="G12"/>
  <c r="J12"/>
  <c r="H3"/>
  <c r="J3"/>
  <c r="G3"/>
  <c r="H7"/>
  <c r="J7"/>
  <c r="G7"/>
  <c r="H10"/>
  <c r="G10"/>
  <c r="J10"/>
  <c r="G6"/>
  <c r="H6"/>
  <c r="J6"/>
  <c r="C789" i="2"/>
  <c r="B789"/>
  <c r="C788"/>
  <c r="B788"/>
  <c r="C787"/>
  <c r="B787"/>
  <c r="C786"/>
  <c r="B786"/>
  <c r="C785"/>
  <c r="B785"/>
  <c r="C784"/>
  <c r="B784"/>
  <c r="C783"/>
  <c r="B783"/>
  <c r="C782"/>
  <c r="B782"/>
  <c r="C781"/>
  <c r="B781"/>
  <c r="C780"/>
  <c r="B780"/>
  <c r="C779"/>
  <c r="B779"/>
  <c r="C778"/>
  <c r="B778"/>
  <c r="C777"/>
  <c r="B777"/>
  <c r="C776"/>
  <c r="B776"/>
  <c r="C775"/>
  <c r="B775"/>
  <c r="C774"/>
  <c r="B774"/>
  <c r="C773"/>
  <c r="B773"/>
  <c r="C772"/>
  <c r="B772"/>
  <c r="C771"/>
  <c r="B771"/>
  <c r="C770"/>
  <c r="B770"/>
  <c r="C769"/>
  <c r="B769"/>
  <c r="C768"/>
  <c r="B768"/>
  <c r="C767"/>
  <c r="B767"/>
  <c r="C766"/>
  <c r="B766"/>
  <c r="C765"/>
  <c r="B765"/>
  <c r="C764"/>
  <c r="B764"/>
  <c r="C763"/>
  <c r="B763"/>
  <c r="C762"/>
  <c r="B762"/>
  <c r="C761"/>
  <c r="B761"/>
  <c r="C760"/>
  <c r="B760"/>
  <c r="C759"/>
  <c r="B759"/>
  <c r="C758"/>
  <c r="B758"/>
  <c r="C757"/>
  <c r="B757"/>
  <c r="C756"/>
  <c r="B756"/>
  <c r="C755"/>
  <c r="B755"/>
  <c r="C754"/>
  <c r="B754"/>
  <c r="C753"/>
  <c r="B753"/>
  <c r="C752"/>
  <c r="B752"/>
  <c r="C749"/>
  <c r="B749"/>
  <c r="C748"/>
  <c r="B748"/>
  <c r="C747"/>
  <c r="B747"/>
  <c r="F746"/>
  <c r="C746"/>
  <c r="B746"/>
  <c r="C745"/>
  <c r="B745"/>
  <c r="C744"/>
  <c r="B744"/>
  <c r="C743"/>
  <c r="B743"/>
  <c r="F742"/>
  <c r="C742"/>
  <c r="B742"/>
  <c r="C741"/>
  <c r="B741"/>
  <c r="C740"/>
  <c r="B740"/>
  <c r="C739"/>
  <c r="B739"/>
  <c r="F738"/>
  <c r="C738"/>
  <c r="B738"/>
  <c r="C737"/>
  <c r="B737"/>
  <c r="C736"/>
  <c r="B736"/>
  <c r="C735"/>
  <c r="B735"/>
  <c r="C734"/>
  <c r="B734"/>
  <c r="C733"/>
  <c r="B733"/>
  <c r="C732"/>
  <c r="B732"/>
  <c r="C731"/>
  <c r="B731"/>
  <c r="C730"/>
  <c r="B730"/>
  <c r="C729"/>
  <c r="B729"/>
  <c r="C728"/>
  <c r="B728"/>
  <c r="F727"/>
  <c r="C727"/>
  <c r="B727"/>
  <c r="C726"/>
  <c r="B726"/>
  <c r="C725"/>
  <c r="B725"/>
  <c r="C724"/>
  <c r="B724"/>
  <c r="C723"/>
  <c r="B723"/>
  <c r="C722"/>
  <c r="B722"/>
  <c r="F721"/>
  <c r="C721"/>
  <c r="B721"/>
  <c r="C720"/>
  <c r="B720"/>
  <c r="C719"/>
  <c r="B719"/>
  <c r="C718"/>
  <c r="B718"/>
  <c r="C717"/>
  <c r="B717"/>
  <c r="C716"/>
  <c r="B716"/>
  <c r="F715"/>
  <c r="C715"/>
  <c r="B715"/>
  <c r="C714"/>
  <c r="B714"/>
  <c r="C713"/>
  <c r="B713"/>
  <c r="C712"/>
  <c r="B712"/>
  <c r="C711"/>
  <c r="B711"/>
  <c r="C710"/>
  <c r="B710"/>
  <c r="F709"/>
  <c r="C709"/>
  <c r="B709"/>
  <c r="C708"/>
  <c r="B708"/>
  <c r="C707"/>
  <c r="B707"/>
  <c r="C706"/>
  <c r="B706"/>
  <c r="C705"/>
  <c r="B705"/>
  <c r="C704"/>
  <c r="B704"/>
  <c r="F703"/>
  <c r="C703"/>
  <c r="B703"/>
  <c r="C702"/>
  <c r="B702"/>
  <c r="C701"/>
  <c r="B701"/>
  <c r="C700"/>
  <c r="B700"/>
  <c r="C699"/>
  <c r="B699"/>
  <c r="C698"/>
  <c r="B698"/>
  <c r="F697"/>
  <c r="C697"/>
  <c r="B697"/>
  <c r="C696"/>
  <c r="B696"/>
  <c r="C695"/>
  <c r="B695"/>
  <c r="C694"/>
  <c r="B694"/>
  <c r="C693"/>
  <c r="B693"/>
  <c r="C690"/>
  <c r="B690"/>
  <c r="C689"/>
  <c r="B689"/>
  <c r="F688"/>
  <c r="C688"/>
  <c r="B688"/>
  <c r="C687"/>
  <c r="B687"/>
  <c r="C684"/>
  <c r="B684"/>
  <c r="C683"/>
  <c r="B683"/>
  <c r="F682"/>
  <c r="C682"/>
  <c r="B682"/>
  <c r="C681"/>
  <c r="B681"/>
  <c r="C678"/>
  <c r="B678"/>
  <c r="C677"/>
  <c r="B677"/>
  <c r="F676"/>
  <c r="C676"/>
  <c r="B676"/>
  <c r="C675"/>
  <c r="B675"/>
  <c r="C672"/>
  <c r="B672"/>
  <c r="C671"/>
  <c r="B671"/>
  <c r="C670"/>
  <c r="B670"/>
  <c r="C669"/>
  <c r="B669"/>
  <c r="C668"/>
  <c r="B668"/>
  <c r="C667"/>
  <c r="B667"/>
  <c r="C666"/>
  <c r="B666"/>
  <c r="C665"/>
  <c r="B665"/>
  <c r="C664"/>
  <c r="B664"/>
  <c r="F663"/>
  <c r="C663"/>
  <c r="B663"/>
  <c r="C662"/>
  <c r="B662"/>
  <c r="C659"/>
  <c r="B659"/>
  <c r="C658"/>
  <c r="B658"/>
  <c r="C657"/>
  <c r="B657"/>
  <c r="C656"/>
  <c r="B656"/>
  <c r="F655"/>
  <c r="C655"/>
  <c r="B655"/>
  <c r="C654"/>
  <c r="B654"/>
  <c r="C651"/>
  <c r="B651"/>
  <c r="C650"/>
  <c r="B650"/>
  <c r="C649"/>
  <c r="B649"/>
  <c r="C648"/>
  <c r="B648"/>
  <c r="F647"/>
  <c r="C647"/>
  <c r="B647"/>
  <c r="C646"/>
  <c r="B646"/>
  <c r="C643"/>
  <c r="B643"/>
  <c r="C642"/>
  <c r="B642"/>
  <c r="C641"/>
  <c r="B641"/>
  <c r="C640"/>
  <c r="B640"/>
  <c r="C639"/>
  <c r="B639"/>
  <c r="C636"/>
  <c r="B636"/>
  <c r="C635"/>
  <c r="B635"/>
  <c r="C634"/>
  <c r="B634"/>
  <c r="C633"/>
  <c r="B633"/>
  <c r="F632"/>
  <c r="C632"/>
  <c r="B632"/>
  <c r="C631"/>
  <c r="B631"/>
  <c r="C628"/>
  <c r="B628"/>
  <c r="C627"/>
  <c r="B627"/>
  <c r="C626"/>
  <c r="B626"/>
  <c r="C625"/>
  <c r="B625"/>
  <c r="F624"/>
  <c r="C624"/>
  <c r="B624"/>
  <c r="C623"/>
  <c r="B623"/>
  <c r="I35" i="1"/>
  <c r="I34"/>
  <c r="I33"/>
  <c r="I32"/>
  <c r="I31"/>
  <c r="I30"/>
  <c r="I29"/>
  <c r="I28"/>
  <c r="I27"/>
  <c r="F620" i="2"/>
  <c r="C620"/>
  <c r="B620"/>
  <c r="C619"/>
  <c r="B619"/>
  <c r="F618"/>
  <c r="C618"/>
  <c r="B618"/>
  <c r="C617"/>
  <c r="B617"/>
  <c r="F616"/>
  <c r="C616"/>
  <c r="B616"/>
  <c r="C615"/>
  <c r="B615"/>
  <c r="F614"/>
  <c r="C614"/>
  <c r="B614"/>
  <c r="C613"/>
  <c r="B613"/>
  <c r="F612"/>
  <c r="C612"/>
  <c r="B612"/>
  <c r="C611"/>
  <c r="B611"/>
  <c r="F610"/>
  <c r="C610"/>
  <c r="B610"/>
  <c r="C609"/>
  <c r="B609"/>
  <c r="F608"/>
  <c r="C608"/>
  <c r="B608"/>
  <c r="C607"/>
  <c r="B607"/>
  <c r="F606"/>
  <c r="C606"/>
  <c r="B606"/>
  <c r="C605"/>
  <c r="B605"/>
  <c r="F604"/>
  <c r="C604"/>
  <c r="B604"/>
  <c r="C603"/>
  <c r="B603"/>
  <c r="F602"/>
  <c r="C602"/>
  <c r="B602"/>
  <c r="C601"/>
  <c r="B601"/>
  <c r="F600"/>
  <c r="C600"/>
  <c r="B600"/>
  <c r="C599"/>
  <c r="B599"/>
  <c r="F596"/>
  <c r="C596"/>
  <c r="B596"/>
  <c r="C595"/>
  <c r="B595"/>
  <c r="F594"/>
  <c r="C594"/>
  <c r="B594"/>
  <c r="C593"/>
  <c r="B593"/>
  <c r="F592"/>
  <c r="C592"/>
  <c r="B592"/>
  <c r="C591"/>
  <c r="B591"/>
  <c r="F590"/>
  <c r="C590"/>
  <c r="B590"/>
  <c r="C589"/>
  <c r="B589"/>
  <c r="F588"/>
  <c r="C588"/>
  <c r="B588"/>
  <c r="C587"/>
  <c r="B587"/>
  <c r="F586"/>
  <c r="C586"/>
  <c r="B586"/>
  <c r="C585"/>
  <c r="B585"/>
  <c r="F584"/>
  <c r="C584"/>
  <c r="B584"/>
  <c r="C583"/>
  <c r="B583"/>
  <c r="F582"/>
  <c r="C582"/>
  <c r="B582"/>
  <c r="C581"/>
  <c r="B581"/>
  <c r="F580"/>
  <c r="C580"/>
  <c r="B580"/>
  <c r="C579"/>
  <c r="B579"/>
  <c r="F578"/>
  <c r="C578"/>
  <c r="B578"/>
  <c r="C577"/>
  <c r="B577"/>
  <c r="F576"/>
  <c r="C576"/>
  <c r="B576"/>
  <c r="C575"/>
  <c r="B575"/>
  <c r="F574"/>
  <c r="C574"/>
  <c r="B574"/>
  <c r="C573"/>
  <c r="B573"/>
  <c r="F570"/>
  <c r="C570"/>
  <c r="B570"/>
  <c r="C569"/>
  <c r="B569"/>
  <c r="F568"/>
  <c r="C568"/>
  <c r="B568"/>
  <c r="C567"/>
  <c r="B567"/>
  <c r="F566"/>
  <c r="C566"/>
  <c r="B566"/>
  <c r="C565"/>
  <c r="B565"/>
  <c r="F564"/>
  <c r="C564"/>
  <c r="B564"/>
  <c r="C563"/>
  <c r="B563"/>
  <c r="F562"/>
  <c r="C562"/>
  <c r="B562"/>
  <c r="C561"/>
  <c r="B561"/>
  <c r="F560"/>
  <c r="C560"/>
  <c r="B560"/>
  <c r="C559"/>
  <c r="B559"/>
  <c r="F558"/>
  <c r="C558"/>
  <c r="B558"/>
  <c r="C557"/>
  <c r="B557"/>
  <c r="F556"/>
  <c r="C556"/>
  <c r="B556"/>
  <c r="C555"/>
  <c r="B555"/>
  <c r="F554"/>
  <c r="C554"/>
  <c r="B554"/>
  <c r="C553"/>
  <c r="B553"/>
  <c r="F552"/>
  <c r="C552"/>
  <c r="B552"/>
  <c r="C551"/>
  <c r="B551"/>
  <c r="F550"/>
  <c r="C550"/>
  <c r="B550"/>
  <c r="C549"/>
  <c r="B549"/>
  <c r="F548"/>
  <c r="C548"/>
  <c r="B548"/>
  <c r="C547"/>
  <c r="B547"/>
  <c r="F546"/>
  <c r="C546"/>
  <c r="B546"/>
  <c r="C545"/>
  <c r="B545"/>
  <c r="C544"/>
  <c r="B544"/>
  <c r="C543"/>
  <c r="B543"/>
  <c r="F542"/>
  <c r="C542"/>
  <c r="B542"/>
  <c r="C541"/>
  <c r="B541"/>
  <c r="F540"/>
  <c r="C540"/>
  <c r="B540"/>
  <c r="C539"/>
  <c r="B539"/>
  <c r="F538"/>
  <c r="C538"/>
  <c r="B538"/>
  <c r="C537"/>
  <c r="B537"/>
  <c r="F536"/>
  <c r="C536"/>
  <c r="B536"/>
  <c r="C535"/>
  <c r="B535"/>
  <c r="C530"/>
  <c r="B530"/>
  <c r="C529"/>
  <c r="B529"/>
  <c r="C528"/>
  <c r="B528"/>
  <c r="C523"/>
  <c r="B523"/>
  <c r="C522"/>
  <c r="B522"/>
  <c r="C519"/>
  <c r="B519"/>
  <c r="C518"/>
  <c r="B518"/>
  <c r="C517"/>
  <c r="B517"/>
  <c r="C516"/>
  <c r="B516"/>
  <c r="C515"/>
  <c r="B515"/>
  <c r="C514"/>
  <c r="B514"/>
  <c r="C513"/>
  <c r="B513"/>
  <c r="C512"/>
  <c r="B512"/>
  <c r="C511"/>
  <c r="B511"/>
  <c r="C510"/>
  <c r="B510"/>
  <c r="C509"/>
  <c r="B509"/>
  <c r="C508"/>
  <c r="B508"/>
  <c r="C507"/>
  <c r="B507"/>
  <c r="C506"/>
  <c r="B506"/>
  <c r="C505"/>
  <c r="B505"/>
  <c r="C504"/>
  <c r="B504"/>
  <c r="C503"/>
  <c r="B503"/>
  <c r="C502"/>
  <c r="B502"/>
  <c r="C501"/>
  <c r="B501"/>
  <c r="C500"/>
  <c r="B500"/>
  <c r="C499"/>
  <c r="B499"/>
  <c r="C498"/>
  <c r="B498"/>
  <c r="C497"/>
  <c r="B497"/>
  <c r="C496"/>
  <c r="B496"/>
  <c r="C495"/>
  <c r="B495"/>
  <c r="C494"/>
  <c r="B494"/>
  <c r="C493"/>
  <c r="B493"/>
  <c r="C492"/>
  <c r="B492"/>
  <c r="C491"/>
  <c r="B491"/>
  <c r="C490"/>
  <c r="B490"/>
  <c r="C489"/>
  <c r="B489"/>
  <c r="C488"/>
  <c r="B488"/>
  <c r="C487"/>
  <c r="B487"/>
  <c r="C486"/>
  <c r="B486"/>
  <c r="C485"/>
  <c r="B485"/>
  <c r="C484"/>
  <c r="B484"/>
  <c r="C483"/>
  <c r="B483"/>
  <c r="C482"/>
  <c r="B482"/>
  <c r="C481"/>
  <c r="B481"/>
  <c r="C480"/>
  <c r="B480"/>
  <c r="C479"/>
  <c r="B479"/>
  <c r="C478"/>
  <c r="B478"/>
  <c r="C477"/>
  <c r="B477"/>
  <c r="C476"/>
  <c r="B476"/>
  <c r="C475"/>
  <c r="B475"/>
  <c r="C472"/>
  <c r="B472"/>
  <c r="C471"/>
  <c r="B471"/>
  <c r="C470"/>
  <c r="B470"/>
  <c r="C469"/>
  <c r="B469"/>
  <c r="C468"/>
  <c r="B468"/>
  <c r="C467"/>
  <c r="B467"/>
  <c r="C466"/>
  <c r="B466"/>
  <c r="C465"/>
  <c r="B465"/>
  <c r="F464"/>
  <c r="C464"/>
  <c r="B464"/>
  <c r="C463"/>
  <c r="B463"/>
  <c r="C462"/>
  <c r="B462"/>
  <c r="C461"/>
  <c r="B461"/>
  <c r="F460"/>
  <c r="C460"/>
  <c r="B460"/>
  <c r="C459"/>
  <c r="B459"/>
  <c r="C458"/>
  <c r="B458"/>
  <c r="C457"/>
  <c r="B457"/>
  <c r="C456"/>
  <c r="B456"/>
  <c r="C455"/>
  <c r="B455"/>
  <c r="C454"/>
  <c r="B454"/>
  <c r="F453"/>
  <c r="C453"/>
  <c r="B453"/>
  <c r="C452"/>
  <c r="B452"/>
  <c r="C451"/>
  <c r="B451"/>
  <c r="C450"/>
  <c r="B450"/>
  <c r="F449"/>
  <c r="C449"/>
  <c r="B449"/>
  <c r="C448"/>
  <c r="B448"/>
  <c r="C447"/>
  <c r="B447"/>
  <c r="C446"/>
  <c r="B446"/>
  <c r="C445"/>
  <c r="B445"/>
  <c r="F444"/>
  <c r="C444"/>
  <c r="B444"/>
  <c r="C443"/>
  <c r="B443"/>
  <c r="C442"/>
  <c r="B442"/>
  <c r="C441"/>
  <c r="B441"/>
  <c r="C440"/>
  <c r="B440"/>
  <c r="C439"/>
  <c r="B439"/>
  <c r="C438"/>
  <c r="B438"/>
  <c r="C437"/>
  <c r="B437"/>
  <c r="C436"/>
  <c r="B436"/>
  <c r="C435"/>
  <c r="B435"/>
  <c r="C434"/>
  <c r="B434"/>
  <c r="C433"/>
  <c r="B433"/>
  <c r="F432"/>
  <c r="C432"/>
  <c r="B432"/>
  <c r="C431"/>
  <c r="B431"/>
  <c r="C430"/>
  <c r="B430"/>
  <c r="C429"/>
  <c r="B429"/>
  <c r="C428"/>
  <c r="B428"/>
  <c r="C427"/>
  <c r="B427"/>
  <c r="C426"/>
  <c r="B426"/>
  <c r="C425"/>
  <c r="B425"/>
  <c r="C424"/>
  <c r="B424"/>
  <c r="C423"/>
  <c r="B423"/>
  <c r="C422"/>
  <c r="B422"/>
  <c r="C421"/>
  <c r="B421"/>
  <c r="C420"/>
  <c r="B420"/>
  <c r="F419"/>
  <c r="C419"/>
  <c r="B419"/>
  <c r="C418"/>
  <c r="B418"/>
  <c r="C417"/>
  <c r="B417"/>
  <c r="C416"/>
  <c r="B416"/>
  <c r="F415"/>
  <c r="C415"/>
  <c r="B415"/>
  <c r="C414"/>
  <c r="B414"/>
  <c r="C413"/>
  <c r="B413"/>
  <c r="C412"/>
  <c r="B412"/>
  <c r="C411"/>
  <c r="B411"/>
  <c r="F410"/>
  <c r="C410"/>
  <c r="B410"/>
  <c r="C409"/>
  <c r="B409"/>
  <c r="C408"/>
  <c r="B408"/>
  <c r="C407"/>
  <c r="B407"/>
  <c r="C406"/>
  <c r="B406"/>
  <c r="C403"/>
  <c r="B403"/>
  <c r="C402"/>
  <c r="B402"/>
  <c r="C401"/>
  <c r="B401"/>
  <c r="C400"/>
  <c r="B400"/>
  <c r="C399"/>
  <c r="B399"/>
  <c r="C398"/>
  <c r="B398"/>
  <c r="C397"/>
  <c r="B397"/>
  <c r="C396"/>
  <c r="B396"/>
  <c r="F395"/>
  <c r="C395"/>
  <c r="B395"/>
  <c r="C394"/>
  <c r="B394"/>
  <c r="I25" i="1"/>
  <c r="C391" i="2"/>
  <c r="B391"/>
  <c r="C390"/>
  <c r="B390"/>
  <c r="C389"/>
  <c r="B389"/>
  <c r="F388"/>
  <c r="C388"/>
  <c r="B388"/>
  <c r="C387"/>
  <c r="B387"/>
  <c r="I24" i="1"/>
  <c r="C384" i="2"/>
  <c r="B384"/>
  <c r="C383"/>
  <c r="B383"/>
  <c r="F382"/>
  <c r="C382"/>
  <c r="B382"/>
  <c r="C381"/>
  <c r="B381"/>
  <c r="I23" i="1"/>
  <c r="C378" i="2"/>
  <c r="B378"/>
  <c r="C377"/>
  <c r="B377"/>
  <c r="C376"/>
  <c r="B376"/>
  <c r="C375"/>
  <c r="B375"/>
  <c r="C374"/>
  <c r="B374"/>
  <c r="F373"/>
  <c r="C373"/>
  <c r="B373"/>
  <c r="C372"/>
  <c r="B372"/>
  <c r="I22" i="1"/>
  <c r="C369" i="2"/>
  <c r="B369"/>
  <c r="C368"/>
  <c r="B368"/>
  <c r="C367"/>
  <c r="B367"/>
  <c r="F366"/>
  <c r="C366"/>
  <c r="B366"/>
  <c r="C365"/>
  <c r="B365"/>
  <c r="I21" i="1"/>
  <c r="C362" i="2"/>
  <c r="B362"/>
  <c r="C361"/>
  <c r="B361"/>
  <c r="C360"/>
  <c r="B360"/>
  <c r="C359"/>
  <c r="B359"/>
  <c r="C358"/>
  <c r="B358"/>
  <c r="C357"/>
  <c r="B357"/>
  <c r="C356"/>
  <c r="B356"/>
  <c r="C355"/>
  <c r="B355"/>
  <c r="C354"/>
  <c r="B354"/>
  <c r="C353"/>
  <c r="B353"/>
  <c r="F352"/>
  <c r="C352"/>
  <c r="B352"/>
  <c r="C351"/>
  <c r="B351"/>
  <c r="I20" i="1"/>
  <c r="C348" i="2"/>
  <c r="B348"/>
  <c r="C347"/>
  <c r="B347"/>
  <c r="C346"/>
  <c r="B346"/>
  <c r="C345"/>
  <c r="B345"/>
  <c r="C344"/>
  <c r="B344"/>
  <c r="C343"/>
  <c r="B343"/>
  <c r="C342"/>
  <c r="B342"/>
  <c r="C341"/>
  <c r="B341"/>
  <c r="C340"/>
  <c r="B340"/>
  <c r="C339"/>
  <c r="B339"/>
  <c r="C338"/>
  <c r="B338"/>
  <c r="F337"/>
  <c r="C337"/>
  <c r="B337"/>
  <c r="C336"/>
  <c r="B336"/>
  <c r="I19" i="1"/>
  <c r="C333" i="2"/>
  <c r="B333"/>
  <c r="C332"/>
  <c r="B332"/>
  <c r="F331"/>
  <c r="C331"/>
  <c r="B331"/>
  <c r="C330"/>
  <c r="B330"/>
  <c r="I18" i="1"/>
  <c r="G687" i="2"/>
  <c r="G603"/>
  <c r="G555"/>
  <c r="G511"/>
  <c r="G443"/>
  <c r="G365"/>
  <c r="G681"/>
  <c r="G579"/>
  <c r="H481"/>
  <c r="G409"/>
  <c r="G545"/>
  <c r="G784"/>
  <c r="G605"/>
  <c r="G565"/>
  <c r="G459"/>
  <c r="H769"/>
  <c r="G501"/>
  <c r="G708"/>
  <c r="G646"/>
  <c r="G601"/>
  <c r="G561"/>
  <c r="G351"/>
  <c r="A693"/>
  <c r="A681"/>
  <c r="A662"/>
  <c r="G619"/>
  <c r="G583"/>
  <c r="G463"/>
  <c r="G765"/>
  <c r="G559"/>
  <c r="H330"/>
  <c r="G720"/>
  <c r="G549"/>
  <c r="G595"/>
  <c r="G654"/>
  <c r="G617"/>
  <c r="G478"/>
  <c r="G714"/>
  <c r="G563"/>
  <c r="G448"/>
  <c r="G726"/>
  <c r="G551"/>
  <c r="G330"/>
  <c r="G613"/>
  <c r="G504"/>
  <c r="G513"/>
  <c r="H654"/>
  <c r="G569"/>
  <c r="A631"/>
  <c r="A675"/>
  <c r="G763"/>
  <c r="G675"/>
  <c r="G591"/>
  <c r="G547"/>
  <c r="G483"/>
  <c r="G372"/>
  <c r="G773"/>
  <c r="G615"/>
  <c r="G567"/>
  <c r="G481"/>
  <c r="G394"/>
  <c r="G506"/>
  <c r="H720"/>
  <c r="G593"/>
  <c r="G557"/>
  <c r="G418"/>
  <c r="G745"/>
  <c r="G786"/>
  <c r="G662"/>
  <c r="G639"/>
  <c r="G589"/>
  <c r="G553"/>
  <c r="A752"/>
  <c r="A654"/>
  <c r="A687"/>
  <c r="G737"/>
  <c r="G529"/>
  <c r="G336"/>
  <c r="G607"/>
  <c r="G414"/>
  <c r="G494"/>
  <c r="G585"/>
  <c r="G381"/>
  <c r="G782"/>
  <c r="G581"/>
  <c r="A475"/>
  <c r="A406"/>
  <c r="A639"/>
  <c r="G611"/>
  <c r="G523"/>
  <c r="G431"/>
  <c r="G587"/>
  <c r="H414"/>
  <c r="G452"/>
  <c r="G577"/>
  <c r="G769"/>
  <c r="G741"/>
  <c r="G609"/>
  <c r="G387"/>
  <c r="A646"/>
  <c r="B4" i="3"/>
  <c r="B2" i="18" l="1"/>
  <c r="J2" i="4"/>
  <c r="E3" i="3" s="1"/>
  <c r="J9" i="4"/>
  <c r="E4" i="3" s="1"/>
  <c r="H332" i="2"/>
  <c r="G332"/>
  <c r="H340"/>
  <c r="G340"/>
  <c r="H351"/>
  <c r="G360"/>
  <c r="H360"/>
  <c r="H368"/>
  <c r="G368"/>
  <c r="G376"/>
  <c r="H376"/>
  <c r="H384"/>
  <c r="G384"/>
  <c r="H387"/>
  <c r="G395"/>
  <c r="H395"/>
  <c r="H396"/>
  <c r="G396"/>
  <c r="H411"/>
  <c r="G411"/>
  <c r="H415"/>
  <c r="G415"/>
  <c r="G421"/>
  <c r="H421"/>
  <c r="H438"/>
  <c r="G438"/>
  <c r="G447"/>
  <c r="H447"/>
  <c r="G467"/>
  <c r="H467"/>
  <c r="G471"/>
  <c r="H471"/>
  <c r="H478"/>
  <c r="G482"/>
  <c r="H482"/>
  <c r="G490"/>
  <c r="H490"/>
  <c r="H502"/>
  <c r="G502"/>
  <c r="G518"/>
  <c r="H518"/>
  <c r="G522"/>
  <c r="H522"/>
  <c r="G528"/>
  <c r="H528"/>
  <c r="G538"/>
  <c r="H538"/>
  <c r="G539"/>
  <c r="H539"/>
  <c r="H552"/>
  <c r="G552"/>
  <c r="H553"/>
  <c r="H560"/>
  <c r="G560"/>
  <c r="H561"/>
  <c r="H568"/>
  <c r="G568"/>
  <c r="H569"/>
  <c r="H573"/>
  <c r="G573"/>
  <c r="H580"/>
  <c r="G580"/>
  <c r="H581"/>
  <c r="H588"/>
  <c r="G588"/>
  <c r="H589"/>
  <c r="H596"/>
  <c r="G596"/>
  <c r="H600"/>
  <c r="G600"/>
  <c r="H601"/>
  <c r="H608"/>
  <c r="G608"/>
  <c r="H609"/>
  <c r="H616"/>
  <c r="G616"/>
  <c r="H617"/>
  <c r="H623"/>
  <c r="G623"/>
  <c r="H628"/>
  <c r="G628"/>
  <c r="H631"/>
  <c r="G631"/>
  <c r="H636"/>
  <c r="G636"/>
  <c r="H639"/>
  <c r="H643"/>
  <c r="G643"/>
  <c r="H646"/>
  <c r="G651"/>
  <c r="H651"/>
  <c r="H659"/>
  <c r="G659"/>
  <c r="H662"/>
  <c r="G667"/>
  <c r="H667"/>
  <c r="H671"/>
  <c r="G671"/>
  <c r="H682"/>
  <c r="G682"/>
  <c r="H683"/>
  <c r="G683"/>
  <c r="H694"/>
  <c r="G694"/>
  <c r="H699"/>
  <c r="G699"/>
  <c r="H703"/>
  <c r="G703"/>
  <c r="H704"/>
  <c r="G704"/>
  <c r="H708"/>
  <c r="G713"/>
  <c r="H713"/>
  <c r="H718"/>
  <c r="G718"/>
  <c r="H723"/>
  <c r="G723"/>
  <c r="G727"/>
  <c r="H727"/>
  <c r="G728"/>
  <c r="H728"/>
  <c r="G732"/>
  <c r="H732"/>
  <c r="H736"/>
  <c r="G736"/>
  <c r="H741"/>
  <c r="H746"/>
  <c r="G746"/>
  <c r="H747"/>
  <c r="G747"/>
  <c r="H754"/>
  <c r="G754"/>
  <c r="G758"/>
  <c r="H758"/>
  <c r="H762"/>
  <c r="G762"/>
  <c r="G766"/>
  <c r="H766"/>
  <c r="H770"/>
  <c r="G770"/>
  <c r="G774"/>
  <c r="H774"/>
  <c r="G778"/>
  <c r="H778"/>
  <c r="H782"/>
  <c r="H786"/>
  <c r="G489"/>
  <c r="H489"/>
  <c r="G493"/>
  <c r="H493"/>
  <c r="G497"/>
  <c r="H497"/>
  <c r="H501"/>
  <c r="H513"/>
  <c r="G517"/>
  <c r="H517"/>
  <c r="H537"/>
  <c r="G537"/>
  <c r="H544"/>
  <c r="G544"/>
  <c r="H558"/>
  <c r="G558"/>
  <c r="G578"/>
  <c r="H578"/>
  <c r="G586"/>
  <c r="H586"/>
  <c r="H595"/>
  <c r="H614"/>
  <c r="G614"/>
  <c r="H666"/>
  <c r="G666"/>
  <c r="H690"/>
  <c r="G690"/>
  <c r="H698"/>
  <c r="G698"/>
  <c r="H717"/>
  <c r="G717"/>
  <c r="G735"/>
  <c r="H735"/>
  <c r="H740"/>
  <c r="G740"/>
  <c r="H745"/>
  <c r="G753"/>
  <c r="H753"/>
  <c r="G757"/>
  <c r="H757"/>
  <c r="H777"/>
  <c r="G777"/>
  <c r="H781"/>
  <c r="G781"/>
  <c r="G785"/>
  <c r="H785"/>
  <c r="H789"/>
  <c r="G789"/>
  <c r="H338"/>
  <c r="G338"/>
  <c r="H354"/>
  <c r="G354"/>
  <c r="H381"/>
  <c r="H402"/>
  <c r="G402"/>
  <c r="G408"/>
  <c r="H408"/>
  <c r="H413"/>
  <c r="G413"/>
  <c r="H418"/>
  <c r="G427"/>
  <c r="H427"/>
  <c r="G440"/>
  <c r="H440"/>
  <c r="G444"/>
  <c r="H444"/>
  <c r="H449"/>
  <c r="G449"/>
  <c r="H450"/>
  <c r="G450"/>
  <c r="G455"/>
  <c r="H455"/>
  <c r="H459"/>
  <c r="G464"/>
  <c r="H464"/>
  <c r="G465"/>
  <c r="H465"/>
  <c r="G469"/>
  <c r="H469"/>
  <c r="G476"/>
  <c r="H476"/>
  <c r="H480"/>
  <c r="G480"/>
  <c r="G484"/>
  <c r="H484"/>
  <c r="G488"/>
  <c r="H488"/>
  <c r="G492"/>
  <c r="H492"/>
  <c r="H496"/>
  <c r="G496"/>
  <c r="H500"/>
  <c r="G500"/>
  <c r="H504"/>
  <c r="G508"/>
  <c r="H508"/>
  <c r="H512"/>
  <c r="G512"/>
  <c r="G516"/>
  <c r="H516"/>
  <c r="G530"/>
  <c r="H530"/>
  <c r="H535"/>
  <c r="G535"/>
  <c r="H542"/>
  <c r="G542"/>
  <c r="H543"/>
  <c r="G543"/>
  <c r="H548"/>
  <c r="G548"/>
  <c r="H549"/>
  <c r="H556"/>
  <c r="G556"/>
  <c r="H557"/>
  <c r="H564"/>
  <c r="G564"/>
  <c r="H565"/>
  <c r="H576"/>
  <c r="G576"/>
  <c r="H577"/>
  <c r="H584"/>
  <c r="G584"/>
  <c r="H585"/>
  <c r="H592"/>
  <c r="G592"/>
  <c r="H593"/>
  <c r="H604"/>
  <c r="G604"/>
  <c r="H605"/>
  <c r="G612"/>
  <c r="H612"/>
  <c r="H613"/>
  <c r="H620"/>
  <c r="G620"/>
  <c r="H626"/>
  <c r="G626"/>
  <c r="H634"/>
  <c r="G634"/>
  <c r="H641"/>
  <c r="G641"/>
  <c r="G649"/>
  <c r="H649"/>
  <c r="H657"/>
  <c r="G657"/>
  <c r="H665"/>
  <c r="G665"/>
  <c r="H669"/>
  <c r="G669"/>
  <c r="G676"/>
  <c r="H676"/>
  <c r="G677"/>
  <c r="H677"/>
  <c r="G688"/>
  <c r="H688"/>
  <c r="G689"/>
  <c r="H689"/>
  <c r="G696"/>
  <c r="H696"/>
  <c r="G701"/>
  <c r="H701"/>
  <c r="H706"/>
  <c r="G706"/>
  <c r="G711"/>
  <c r="H711"/>
  <c r="H715"/>
  <c r="G715"/>
  <c r="H716"/>
  <c r="G716"/>
  <c r="H725"/>
  <c r="G725"/>
  <c r="G730"/>
  <c r="H730"/>
  <c r="G734"/>
  <c r="H734"/>
  <c r="H738"/>
  <c r="G738"/>
  <c r="H739"/>
  <c r="G739"/>
  <c r="G744"/>
  <c r="H744"/>
  <c r="G749"/>
  <c r="H749"/>
  <c r="G752"/>
  <c r="H752"/>
  <c r="G756"/>
  <c r="H756"/>
  <c r="G760"/>
  <c r="H760"/>
  <c r="G764"/>
  <c r="H764"/>
  <c r="H768"/>
  <c r="G768"/>
  <c r="H772"/>
  <c r="G772"/>
  <c r="G776"/>
  <c r="H776"/>
  <c r="G780"/>
  <c r="H780"/>
  <c r="H784"/>
  <c r="H788"/>
  <c r="G788"/>
  <c r="G331"/>
  <c r="H331"/>
  <c r="H344"/>
  <c r="G344"/>
  <c r="G348"/>
  <c r="H348"/>
  <c r="H356"/>
  <c r="G356"/>
  <c r="H400"/>
  <c r="G400"/>
  <c r="G406"/>
  <c r="H406"/>
  <c r="H410"/>
  <c r="G410"/>
  <c r="H416"/>
  <c r="G416"/>
  <c r="G425"/>
  <c r="H425"/>
  <c r="G429"/>
  <c r="H429"/>
  <c r="H434"/>
  <c r="G434"/>
  <c r="H442"/>
  <c r="G442"/>
  <c r="H452"/>
  <c r="G457"/>
  <c r="H457"/>
  <c r="H462"/>
  <c r="G462"/>
  <c r="G486"/>
  <c r="H486"/>
  <c r="H494"/>
  <c r="H498"/>
  <c r="G498"/>
  <c r="H506"/>
  <c r="H510"/>
  <c r="G510"/>
  <c r="G514"/>
  <c r="H514"/>
  <c r="H545"/>
  <c r="H339"/>
  <c r="G339"/>
  <c r="H343"/>
  <c r="G343"/>
  <c r="H347"/>
  <c r="G347"/>
  <c r="G355"/>
  <c r="H355"/>
  <c r="G359"/>
  <c r="H359"/>
  <c r="H366"/>
  <c r="G366"/>
  <c r="H367"/>
  <c r="G367"/>
  <c r="H375"/>
  <c r="G375"/>
  <c r="H382"/>
  <c r="G382"/>
  <c r="G383"/>
  <c r="H383"/>
  <c r="G391"/>
  <c r="H391"/>
  <c r="H394"/>
  <c r="H399"/>
  <c r="G399"/>
  <c r="H403"/>
  <c r="G403"/>
  <c r="H409"/>
  <c r="G419"/>
  <c r="H419"/>
  <c r="G420"/>
  <c r="H420"/>
  <c r="G424"/>
  <c r="H424"/>
  <c r="G428"/>
  <c r="H428"/>
  <c r="G432"/>
  <c r="H432"/>
  <c r="H433"/>
  <c r="G433"/>
  <c r="H437"/>
  <c r="G437"/>
  <c r="H441"/>
  <c r="G441"/>
  <c r="G446"/>
  <c r="H446"/>
  <c r="H451"/>
  <c r="G451"/>
  <c r="H456"/>
  <c r="G456"/>
  <c r="H460"/>
  <c r="G460"/>
  <c r="H461"/>
  <c r="G461"/>
  <c r="G466"/>
  <c r="H466"/>
  <c r="G470"/>
  <c r="H470"/>
  <c r="G477"/>
  <c r="H477"/>
  <c r="H485"/>
  <c r="G485"/>
  <c r="H505"/>
  <c r="G505"/>
  <c r="H509"/>
  <c r="G509"/>
  <c r="H536"/>
  <c r="G536"/>
  <c r="G550"/>
  <c r="H550"/>
  <c r="H551"/>
  <c r="H559"/>
  <c r="G566"/>
  <c r="H566"/>
  <c r="H567"/>
  <c r="H579"/>
  <c r="H587"/>
  <c r="G594"/>
  <c r="H594"/>
  <c r="G599"/>
  <c r="H599"/>
  <c r="G606"/>
  <c r="H606"/>
  <c r="H607"/>
  <c r="H615"/>
  <c r="H627"/>
  <c r="G627"/>
  <c r="H635"/>
  <c r="G635"/>
  <c r="H642"/>
  <c r="G642"/>
  <c r="H650"/>
  <c r="G650"/>
  <c r="H658"/>
  <c r="G658"/>
  <c r="H670"/>
  <c r="G670"/>
  <c r="G678"/>
  <c r="H678"/>
  <c r="H681"/>
  <c r="H693"/>
  <c r="G693"/>
  <c r="H697"/>
  <c r="G697"/>
  <c r="H702"/>
  <c r="G702"/>
  <c r="H707"/>
  <c r="G707"/>
  <c r="G712"/>
  <c r="H712"/>
  <c r="H721"/>
  <c r="G721"/>
  <c r="H722"/>
  <c r="G722"/>
  <c r="H726"/>
  <c r="G731"/>
  <c r="H731"/>
  <c r="G761"/>
  <c r="H761"/>
  <c r="H765"/>
  <c r="H773"/>
  <c r="H337"/>
  <c r="G337"/>
  <c r="H342"/>
  <c r="G342"/>
  <c r="H346"/>
  <c r="G346"/>
  <c r="G358"/>
  <c r="H358"/>
  <c r="G362"/>
  <c r="H362"/>
  <c r="H365"/>
  <c r="G373"/>
  <c r="H373"/>
  <c r="G374"/>
  <c r="H374"/>
  <c r="G378"/>
  <c r="H378"/>
  <c r="G390"/>
  <c r="H390"/>
  <c r="G398"/>
  <c r="H398"/>
  <c r="G423"/>
  <c r="H423"/>
  <c r="H431"/>
  <c r="H436"/>
  <c r="G436"/>
  <c r="G445"/>
  <c r="H445"/>
  <c r="H333"/>
  <c r="G333"/>
  <c r="H336"/>
  <c r="H341"/>
  <c r="G341"/>
  <c r="H345"/>
  <c r="G345"/>
  <c r="G352"/>
  <c r="H352"/>
  <c r="G353"/>
  <c r="H353"/>
  <c r="G357"/>
  <c r="H357"/>
  <c r="H361"/>
  <c r="G361"/>
  <c r="H369"/>
  <c r="G369"/>
  <c r="H372"/>
  <c r="G377"/>
  <c r="H377"/>
  <c r="G388"/>
  <c r="H388"/>
  <c r="G389"/>
  <c r="H389"/>
  <c r="H397"/>
  <c r="G397"/>
  <c r="H401"/>
  <c r="G401"/>
  <c r="G407"/>
  <c r="H407"/>
  <c r="H412"/>
  <c r="G412"/>
  <c r="H417"/>
  <c r="G417"/>
  <c r="H422"/>
  <c r="G422"/>
  <c r="G426"/>
  <c r="H426"/>
  <c r="G430"/>
  <c r="H430"/>
  <c r="H435"/>
  <c r="G435"/>
  <c r="H439"/>
  <c r="G439"/>
  <c r="H443"/>
  <c r="H448"/>
  <c r="G453"/>
  <c r="H453"/>
  <c r="G454"/>
  <c r="H454"/>
  <c r="G458"/>
  <c r="H458"/>
  <c r="H463"/>
  <c r="G468"/>
  <c r="H468"/>
  <c r="G472"/>
  <c r="H472"/>
  <c r="G475"/>
  <c r="H475"/>
  <c r="H479"/>
  <c r="G479"/>
  <c r="H483"/>
  <c r="G487"/>
  <c r="H487"/>
  <c r="H491"/>
  <c r="G491"/>
  <c r="H495"/>
  <c r="G495"/>
  <c r="G499"/>
  <c r="H499"/>
  <c r="G503"/>
  <c r="H503"/>
  <c r="G507"/>
  <c r="H507"/>
  <c r="H511"/>
  <c r="G515"/>
  <c r="H515"/>
  <c r="G519"/>
  <c r="H519"/>
  <c r="H523"/>
  <c r="H529"/>
  <c r="H540"/>
  <c r="G540"/>
  <c r="H541"/>
  <c r="G541"/>
  <c r="G546"/>
  <c r="H546"/>
  <c r="H547"/>
  <c r="G554"/>
  <c r="H554"/>
  <c r="H555"/>
  <c r="G562"/>
  <c r="H562"/>
  <c r="H563"/>
  <c r="G570"/>
  <c r="H570"/>
  <c r="H574"/>
  <c r="G574"/>
  <c r="H575"/>
  <c r="G575"/>
  <c r="H582"/>
  <c r="G582"/>
  <c r="H583"/>
  <c r="G590"/>
  <c r="H590"/>
  <c r="H591"/>
  <c r="G602"/>
  <c r="H602"/>
  <c r="H603"/>
  <c r="G610"/>
  <c r="H610"/>
  <c r="H611"/>
  <c r="G618"/>
  <c r="H618"/>
  <c r="H619"/>
  <c r="G624"/>
  <c r="H624"/>
  <c r="H625"/>
  <c r="G625"/>
  <c r="G632"/>
  <c r="H632"/>
  <c r="H633"/>
  <c r="G633"/>
  <c r="H640"/>
  <c r="G640"/>
  <c r="G647"/>
  <c r="H647"/>
  <c r="G648"/>
  <c r="H648"/>
  <c r="H655"/>
  <c r="G655"/>
  <c r="H656"/>
  <c r="G656"/>
  <c r="H663"/>
  <c r="G663"/>
  <c r="H664"/>
  <c r="G664"/>
  <c r="G668"/>
  <c r="H668"/>
  <c r="H672"/>
  <c r="G672"/>
  <c r="H675"/>
  <c r="H684"/>
  <c r="G684"/>
  <c r="H687"/>
  <c r="H695"/>
  <c r="G695"/>
  <c r="H700"/>
  <c r="G700"/>
  <c r="H705"/>
  <c r="G705"/>
  <c r="G709"/>
  <c r="H709"/>
  <c r="G710"/>
  <c r="H710"/>
  <c r="H714"/>
  <c r="H719"/>
  <c r="G719"/>
  <c r="H724"/>
  <c r="G724"/>
  <c r="G729"/>
  <c r="H729"/>
  <c r="G733"/>
  <c r="H733"/>
  <c r="H737"/>
  <c r="G742"/>
  <c r="H742"/>
  <c r="G743"/>
  <c r="H743"/>
  <c r="H748"/>
  <c r="G748"/>
  <c r="G755"/>
  <c r="H755"/>
  <c r="G759"/>
  <c r="H759"/>
  <c r="H763"/>
  <c r="G767"/>
  <c r="H767"/>
  <c r="H771"/>
  <c r="G771"/>
  <c r="G775"/>
  <c r="H775"/>
  <c r="G779"/>
  <c r="H779"/>
  <c r="H783"/>
  <c r="G783"/>
  <c r="H787"/>
  <c r="G787"/>
  <c r="C327"/>
  <c r="B327"/>
  <c r="C326"/>
  <c r="B326"/>
  <c r="C325"/>
  <c r="B325"/>
  <c r="F324"/>
  <c r="C324"/>
  <c r="B324"/>
  <c r="C323"/>
  <c r="B323"/>
  <c r="I17" i="1"/>
  <c r="C320" i="2"/>
  <c r="B320"/>
  <c r="C319"/>
  <c r="B319"/>
  <c r="C318"/>
  <c r="B318"/>
  <c r="C317"/>
  <c r="B317"/>
  <c r="C316"/>
  <c r="B316"/>
  <c r="C315"/>
  <c r="B315"/>
  <c r="C314"/>
  <c r="B314"/>
  <c r="C313"/>
  <c r="B313"/>
  <c r="C312"/>
  <c r="B312"/>
  <c r="C311"/>
  <c r="B311"/>
  <c r="C310"/>
  <c r="B310"/>
  <c r="C309"/>
  <c r="B309"/>
  <c r="C308"/>
  <c r="B308"/>
  <c r="C307"/>
  <c r="B307"/>
  <c r="C306"/>
  <c r="B306"/>
  <c r="C305"/>
  <c r="B305"/>
  <c r="C304"/>
  <c r="B304"/>
  <c r="C303"/>
  <c r="B303"/>
  <c r="C302"/>
  <c r="B302"/>
  <c r="C301"/>
  <c r="B301"/>
  <c r="C300"/>
  <c r="B300"/>
  <c r="C299"/>
  <c r="B299"/>
  <c r="C298"/>
  <c r="B298"/>
  <c r="C297"/>
  <c r="B297"/>
  <c r="C296"/>
  <c r="B296"/>
  <c r="C295"/>
  <c r="B295"/>
  <c r="C294"/>
  <c r="B294"/>
  <c r="C293"/>
  <c r="B293"/>
  <c r="C292"/>
  <c r="B292"/>
  <c r="C291"/>
  <c r="B291"/>
  <c r="C290"/>
  <c r="B290"/>
  <c r="C289"/>
  <c r="B289"/>
  <c r="C288"/>
  <c r="B288"/>
  <c r="C287"/>
  <c r="B287"/>
  <c r="C286"/>
  <c r="B286"/>
  <c r="C285"/>
  <c r="B285"/>
  <c r="C284"/>
  <c r="B284"/>
  <c r="C283"/>
  <c r="B283"/>
  <c r="C282"/>
  <c r="B282"/>
  <c r="C281"/>
  <c r="B281"/>
  <c r="C280"/>
  <c r="B280"/>
  <c r="C279"/>
  <c r="B279"/>
  <c r="C278"/>
  <c r="B278"/>
  <c r="C277"/>
  <c r="B277"/>
  <c r="C276"/>
  <c r="B276"/>
  <c r="C275"/>
  <c r="B275"/>
  <c r="C274"/>
  <c r="B274"/>
  <c r="C273"/>
  <c r="B273"/>
  <c r="C272"/>
  <c r="B272"/>
  <c r="C271"/>
  <c r="B271"/>
  <c r="C270"/>
  <c r="B270"/>
  <c r="C269"/>
  <c r="B269"/>
  <c r="C268"/>
  <c r="B268"/>
  <c r="C267"/>
  <c r="B267"/>
  <c r="C266"/>
  <c r="B266"/>
  <c r="C265"/>
  <c r="B265"/>
  <c r="C264"/>
  <c r="B264"/>
  <c r="C263"/>
  <c r="B263"/>
  <c r="C262"/>
  <c r="B262"/>
  <c r="C261"/>
  <c r="B261"/>
  <c r="C260"/>
  <c r="B260"/>
  <c r="C259"/>
  <c r="B259"/>
  <c r="C258"/>
  <c r="B258"/>
  <c r="C257"/>
  <c r="B257"/>
  <c r="C256"/>
  <c r="B256"/>
  <c r="C255"/>
  <c r="B255"/>
  <c r="C254"/>
  <c r="B254"/>
  <c r="C253"/>
  <c r="B253"/>
  <c r="C252"/>
  <c r="B252"/>
  <c r="C251"/>
  <c r="B251"/>
  <c r="C250"/>
  <c r="B250"/>
  <c r="C249"/>
  <c r="B249"/>
  <c r="C248"/>
  <c r="B248"/>
  <c r="C247"/>
  <c r="B247"/>
  <c r="C246"/>
  <c r="B246"/>
  <c r="C245"/>
  <c r="B245"/>
  <c r="C244"/>
  <c r="B244"/>
  <c r="C243"/>
  <c r="B243"/>
  <c r="C242"/>
  <c r="B242"/>
  <c r="C241"/>
  <c r="B241"/>
  <c r="C240"/>
  <c r="B240"/>
  <c r="C239"/>
  <c r="B239"/>
  <c r="C238"/>
  <c r="B238"/>
  <c r="C237"/>
  <c r="B237"/>
  <c r="C236"/>
  <c r="B236"/>
  <c r="C235"/>
  <c r="B235"/>
  <c r="C234"/>
  <c r="B234"/>
  <c r="C233"/>
  <c r="B233"/>
  <c r="C232"/>
  <c r="B232"/>
  <c r="C231"/>
  <c r="B231"/>
  <c r="C230"/>
  <c r="B230"/>
  <c r="C227"/>
  <c r="B227"/>
  <c r="C226"/>
  <c r="B226"/>
  <c r="F225"/>
  <c r="C225"/>
  <c r="B225"/>
  <c r="C224"/>
  <c r="B224"/>
  <c r="C223"/>
  <c r="B223"/>
  <c r="C222"/>
  <c r="B222"/>
  <c r="F221"/>
  <c r="C221"/>
  <c r="B221"/>
  <c r="C220"/>
  <c r="B220"/>
  <c r="C219"/>
  <c r="B219"/>
  <c r="C218"/>
  <c r="B218"/>
  <c r="F217"/>
  <c r="C217"/>
  <c r="B217"/>
  <c r="C216"/>
  <c r="B216"/>
  <c r="C215"/>
  <c r="B215"/>
  <c r="C214"/>
  <c r="B214"/>
  <c r="C213"/>
  <c r="B213"/>
  <c r="C212"/>
  <c r="B212"/>
  <c r="C211"/>
  <c r="B211"/>
  <c r="C210"/>
  <c r="B210"/>
  <c r="C209"/>
  <c r="B209"/>
  <c r="C208"/>
  <c r="B208"/>
  <c r="C207"/>
  <c r="B207"/>
  <c r="F206"/>
  <c r="C206"/>
  <c r="B206"/>
  <c r="C205"/>
  <c r="B205"/>
  <c r="C204"/>
  <c r="B204"/>
  <c r="C203"/>
  <c r="B203"/>
  <c r="C202"/>
  <c r="B202"/>
  <c r="C201"/>
  <c r="B201"/>
  <c r="F200"/>
  <c r="C200"/>
  <c r="B200"/>
  <c r="C199"/>
  <c r="B199"/>
  <c r="C198"/>
  <c r="B198"/>
  <c r="C197"/>
  <c r="B197"/>
  <c r="C196"/>
  <c r="B196"/>
  <c r="C195"/>
  <c r="B195"/>
  <c r="F194"/>
  <c r="C194"/>
  <c r="B194"/>
  <c r="C193"/>
  <c r="B193"/>
  <c r="C192"/>
  <c r="B192"/>
  <c r="C191"/>
  <c r="B191"/>
  <c r="C190"/>
  <c r="B190"/>
  <c r="C189"/>
  <c r="B189"/>
  <c r="F188"/>
  <c r="C188"/>
  <c r="B188"/>
  <c r="C187"/>
  <c r="B187"/>
  <c r="C186"/>
  <c r="B186"/>
  <c r="C185"/>
  <c r="B185"/>
  <c r="C184"/>
  <c r="B184"/>
  <c r="C183"/>
  <c r="B183"/>
  <c r="F182"/>
  <c r="C182"/>
  <c r="B182"/>
  <c r="C181"/>
  <c r="B181"/>
  <c r="C180"/>
  <c r="B180"/>
  <c r="C179"/>
  <c r="B179"/>
  <c r="C178"/>
  <c r="B178"/>
  <c r="C177"/>
  <c r="B177"/>
  <c r="F176"/>
  <c r="C176"/>
  <c r="B176"/>
  <c r="C175"/>
  <c r="B175"/>
  <c r="C174"/>
  <c r="B174"/>
  <c r="C173"/>
  <c r="B173"/>
  <c r="C172"/>
  <c r="B172"/>
  <c r="C171"/>
  <c r="B171"/>
  <c r="C170"/>
  <c r="B170"/>
  <c r="C169"/>
  <c r="B169"/>
  <c r="C168"/>
  <c r="B168"/>
  <c r="C167"/>
  <c r="B167"/>
  <c r="F166"/>
  <c r="C166"/>
  <c r="B166"/>
  <c r="C165"/>
  <c r="B165"/>
  <c r="C164"/>
  <c r="B164"/>
  <c r="C163"/>
  <c r="B163"/>
  <c r="F162"/>
  <c r="C162"/>
  <c r="B162"/>
  <c r="C161"/>
  <c r="B161"/>
  <c r="C160"/>
  <c r="B160"/>
  <c r="C159"/>
  <c r="B159"/>
  <c r="C158"/>
  <c r="B158"/>
  <c r="C157"/>
  <c r="B157"/>
  <c r="C156"/>
  <c r="B156"/>
  <c r="F155"/>
  <c r="C155"/>
  <c r="B155"/>
  <c r="C154"/>
  <c r="B154"/>
  <c r="C153"/>
  <c r="B153"/>
  <c r="C152"/>
  <c r="B152"/>
  <c r="F151"/>
  <c r="C151"/>
  <c r="B151"/>
  <c r="C150"/>
  <c r="B150"/>
  <c r="C149"/>
  <c r="B149"/>
  <c r="C148"/>
  <c r="B148"/>
  <c r="C147"/>
  <c r="B147"/>
  <c r="F146"/>
  <c r="C146"/>
  <c r="B146"/>
  <c r="C145"/>
  <c r="B145"/>
  <c r="C144"/>
  <c r="B144"/>
  <c r="C143"/>
  <c r="B143"/>
  <c r="C142"/>
  <c r="B142"/>
  <c r="C141"/>
  <c r="B141"/>
  <c r="C140"/>
  <c r="B140"/>
  <c r="C139"/>
  <c r="B139"/>
  <c r="C138"/>
  <c r="B138"/>
  <c r="C137"/>
  <c r="B137"/>
  <c r="C136"/>
  <c r="B136"/>
  <c r="C135"/>
  <c r="B135"/>
  <c r="F134"/>
  <c r="C134"/>
  <c r="B134"/>
  <c r="C133"/>
  <c r="B133"/>
  <c r="C132"/>
  <c r="B132"/>
  <c r="C131"/>
  <c r="B131"/>
  <c r="C130"/>
  <c r="B130"/>
  <c r="C129"/>
  <c r="B129"/>
  <c r="C128"/>
  <c r="B128"/>
  <c r="C127"/>
  <c r="B127"/>
  <c r="C126"/>
  <c r="B126"/>
  <c r="C125"/>
  <c r="B125"/>
  <c r="C124"/>
  <c r="B124"/>
  <c r="C123"/>
  <c r="B123"/>
  <c r="C122"/>
  <c r="B122"/>
  <c r="F121"/>
  <c r="C121"/>
  <c r="B121"/>
  <c r="C120"/>
  <c r="B120"/>
  <c r="C119"/>
  <c r="B119"/>
  <c r="C118"/>
  <c r="B118"/>
  <c r="F117"/>
  <c r="C117"/>
  <c r="B117"/>
  <c r="C116"/>
  <c r="B116"/>
  <c r="C115"/>
  <c r="B115"/>
  <c r="C114"/>
  <c r="B114"/>
  <c r="C113"/>
  <c r="B113"/>
  <c r="F112"/>
  <c r="C112"/>
  <c r="B112"/>
  <c r="C111"/>
  <c r="B111"/>
  <c r="C110"/>
  <c r="B110"/>
  <c r="F109"/>
  <c r="C109"/>
  <c r="B109"/>
  <c r="C108"/>
  <c r="B108"/>
  <c r="C107"/>
  <c r="B107"/>
  <c r="C106"/>
  <c r="B106"/>
  <c r="C105"/>
  <c r="B105"/>
  <c r="C104"/>
  <c r="B104"/>
  <c r="C103"/>
  <c r="B103"/>
  <c r="C102"/>
  <c r="B102"/>
  <c r="F101"/>
  <c r="C101"/>
  <c r="B101"/>
  <c r="C100"/>
  <c r="B100"/>
  <c r="C99"/>
  <c r="B99"/>
  <c r="C98"/>
  <c r="B98"/>
  <c r="F97"/>
  <c r="C97"/>
  <c r="B97"/>
  <c r="C96"/>
  <c r="B96"/>
  <c r="C95"/>
  <c r="B95"/>
  <c r="C94"/>
  <c r="B94"/>
  <c r="C93"/>
  <c r="B93"/>
  <c r="C92"/>
  <c r="B92"/>
  <c r="C91"/>
  <c r="B91"/>
  <c r="C90"/>
  <c r="B90"/>
  <c r="C89"/>
  <c r="B89"/>
  <c r="F88"/>
  <c r="C88"/>
  <c r="B88"/>
  <c r="C87"/>
  <c r="B87"/>
  <c r="C86"/>
  <c r="B86"/>
  <c r="C85"/>
  <c r="B85"/>
  <c r="C84"/>
  <c r="B84"/>
  <c r="I12" i="1"/>
  <c r="C81" i="2"/>
  <c r="B81"/>
  <c r="C80"/>
  <c r="B80"/>
  <c r="C79"/>
  <c r="B79"/>
  <c r="C78"/>
  <c r="B78"/>
  <c r="C77"/>
  <c r="B77"/>
  <c r="C76"/>
  <c r="B76"/>
  <c r="C75"/>
  <c r="B75"/>
  <c r="C74"/>
  <c r="B74"/>
  <c r="C73"/>
  <c r="B73"/>
  <c r="C72"/>
  <c r="B72"/>
  <c r="C71"/>
  <c r="B71"/>
  <c r="C70"/>
  <c r="B70"/>
  <c r="C69"/>
  <c r="B69"/>
  <c r="C68"/>
  <c r="B68"/>
  <c r="C67"/>
  <c r="B67"/>
  <c r="C66"/>
  <c r="B66"/>
  <c r="C65"/>
  <c r="B65"/>
  <c r="C64"/>
  <c r="B64"/>
  <c r="C63"/>
  <c r="B63"/>
  <c r="C60"/>
  <c r="B60"/>
  <c r="F59"/>
  <c r="C59"/>
  <c r="B59"/>
  <c r="C58"/>
  <c r="B58"/>
  <c r="C57"/>
  <c r="B57"/>
  <c r="C56"/>
  <c r="B56"/>
  <c r="C55"/>
  <c r="B55"/>
  <c r="C54"/>
  <c r="B54"/>
  <c r="C53"/>
  <c r="B53"/>
  <c r="C52"/>
  <c r="B52"/>
  <c r="F51"/>
  <c r="C51"/>
  <c r="B51"/>
  <c r="C50"/>
  <c r="B50"/>
  <c r="C49"/>
  <c r="B49"/>
  <c r="C48"/>
  <c r="B48"/>
  <c r="F47"/>
  <c r="C47"/>
  <c r="B47"/>
  <c r="C46"/>
  <c r="B46"/>
  <c r="C45"/>
  <c r="B45"/>
  <c r="C44"/>
  <c r="B44"/>
  <c r="C43"/>
  <c r="B43"/>
  <c r="C42"/>
  <c r="B42"/>
  <c r="C41"/>
  <c r="B41"/>
  <c r="C40"/>
  <c r="B40"/>
  <c r="C39"/>
  <c r="B39"/>
  <c r="F38"/>
  <c r="C38"/>
  <c r="B38"/>
  <c r="C37"/>
  <c r="B37"/>
  <c r="C36"/>
  <c r="B36"/>
  <c r="C35"/>
  <c r="B35"/>
  <c r="C32"/>
  <c r="B32"/>
  <c r="F31"/>
  <c r="C31"/>
  <c r="B31"/>
  <c r="C30"/>
  <c r="B30"/>
  <c r="C27"/>
  <c r="B27"/>
  <c r="C26"/>
  <c r="B26"/>
  <c r="C25"/>
  <c r="B25"/>
  <c r="C24"/>
  <c r="B24"/>
  <c r="C23"/>
  <c r="B23"/>
  <c r="C22"/>
  <c r="B22"/>
  <c r="F21"/>
  <c r="C21"/>
  <c r="B21"/>
  <c r="C20"/>
  <c r="B20"/>
  <c r="C17"/>
  <c r="B17"/>
  <c r="C16"/>
  <c r="B16"/>
  <c r="F15"/>
  <c r="C15"/>
  <c r="B15"/>
  <c r="C14"/>
  <c r="B14"/>
  <c r="C2"/>
  <c r="C11"/>
  <c r="B11"/>
  <c r="C10"/>
  <c r="B10"/>
  <c r="C9"/>
  <c r="B9"/>
  <c r="C8"/>
  <c r="B8"/>
  <c r="C7"/>
  <c r="B7"/>
  <c r="C6"/>
  <c r="B6"/>
  <c r="C5"/>
  <c r="B5"/>
  <c r="F4"/>
  <c r="C4"/>
  <c r="B4"/>
  <c r="C3"/>
  <c r="B3"/>
  <c r="A12" i="1"/>
  <c r="G265" i="2"/>
  <c r="G216"/>
  <c r="H74"/>
  <c r="G314"/>
  <c r="G298"/>
  <c r="H30"/>
  <c r="G323"/>
  <c r="G272"/>
  <c r="G248"/>
  <c r="G187"/>
  <c r="H58"/>
  <c r="G165"/>
  <c r="H3"/>
  <c r="H199"/>
  <c r="H100"/>
  <c r="G37"/>
  <c r="G205"/>
  <c r="G96"/>
  <c r="H72"/>
  <c r="A528"/>
  <c r="A372"/>
  <c r="A30"/>
  <c r="A599"/>
  <c r="A351"/>
  <c r="A535"/>
  <c r="G249"/>
  <c r="G193"/>
  <c r="G50"/>
  <c r="G306"/>
  <c r="G282"/>
  <c r="G30"/>
  <c r="G316"/>
  <c r="H252"/>
  <c r="G240"/>
  <c r="G154"/>
  <c r="G58"/>
  <c r="G150"/>
  <c r="G3"/>
  <c r="G199"/>
  <c r="G100"/>
  <c r="H37"/>
  <c r="H116"/>
  <c r="H96"/>
  <c r="G72"/>
  <c r="A14"/>
  <c r="A522"/>
  <c r="A20"/>
  <c r="A387"/>
  <c r="A230"/>
  <c r="A381"/>
  <c r="G277"/>
  <c r="G74"/>
  <c r="G318"/>
  <c r="G120"/>
  <c r="G284"/>
  <c r="H65"/>
  <c r="H14"/>
  <c r="H242"/>
  <c r="H46"/>
  <c r="G224"/>
  <c r="G87"/>
  <c r="A365"/>
  <c r="A330"/>
  <c r="A3"/>
  <c r="H233"/>
  <c r="G145"/>
  <c r="H50"/>
  <c r="G302"/>
  <c r="G254"/>
  <c r="H80"/>
  <c r="G296"/>
  <c r="G252"/>
  <c r="H240"/>
  <c r="G65"/>
  <c r="G14"/>
  <c r="G108"/>
  <c r="G242"/>
  <c r="G161"/>
  <c r="G46"/>
  <c r="G275"/>
  <c r="G116"/>
  <c r="H87"/>
  <c r="H20"/>
  <c r="A336"/>
  <c r="A63"/>
  <c r="A84"/>
  <c r="A573"/>
  <c r="A394"/>
  <c r="A623"/>
  <c r="G233"/>
  <c r="H302"/>
  <c r="G80"/>
  <c r="H248"/>
  <c r="G220"/>
  <c r="H108"/>
  <c r="G133"/>
  <c r="G111"/>
  <c r="G20"/>
  <c r="A323"/>
  <c r="A35"/>
  <c r="B12" i="1"/>
  <c r="G6" i="2" l="1"/>
  <c r="H6"/>
  <c r="G10"/>
  <c r="H10"/>
  <c r="G25"/>
  <c r="H25"/>
  <c r="G31"/>
  <c r="H31"/>
  <c r="G32"/>
  <c r="H32"/>
  <c r="G38"/>
  <c r="H38"/>
  <c r="G43"/>
  <c r="H43"/>
  <c r="G47"/>
  <c r="H47"/>
  <c r="G48"/>
  <c r="H48"/>
  <c r="G53"/>
  <c r="H53"/>
  <c r="H64"/>
  <c r="G64"/>
  <c r="H76"/>
  <c r="G76"/>
  <c r="G101"/>
  <c r="H101"/>
  <c r="H111"/>
  <c r="G121"/>
  <c r="H121"/>
  <c r="G122"/>
  <c r="H122"/>
  <c r="G130"/>
  <c r="H130"/>
  <c r="H134"/>
  <c r="G134"/>
  <c r="H135"/>
  <c r="G135"/>
  <c r="H139"/>
  <c r="G139"/>
  <c r="H143"/>
  <c r="G143"/>
  <c r="H148"/>
  <c r="G148"/>
  <c r="H153"/>
  <c r="G153"/>
  <c r="G158"/>
  <c r="H158"/>
  <c r="G162"/>
  <c r="H162"/>
  <c r="H163"/>
  <c r="G163"/>
  <c r="G168"/>
  <c r="H168"/>
  <c r="G172"/>
  <c r="H172"/>
  <c r="G176"/>
  <c r="H176"/>
  <c r="G177"/>
  <c r="H177"/>
  <c r="H181"/>
  <c r="G181"/>
  <c r="G186"/>
  <c r="H186"/>
  <c r="G191"/>
  <c r="H191"/>
  <c r="H196"/>
  <c r="G196"/>
  <c r="G200"/>
  <c r="H200"/>
  <c r="G201"/>
  <c r="H201"/>
  <c r="H205"/>
  <c r="H210"/>
  <c r="G210"/>
  <c r="H214"/>
  <c r="G214"/>
  <c r="G219"/>
  <c r="H219"/>
  <c r="H224"/>
  <c r="G231"/>
  <c r="H231"/>
  <c r="G235"/>
  <c r="H235"/>
  <c r="G239"/>
  <c r="H239"/>
  <c r="G243"/>
  <c r="H243"/>
  <c r="G247"/>
  <c r="H247"/>
  <c r="H251"/>
  <c r="G251"/>
  <c r="G255"/>
  <c r="H255"/>
  <c r="G259"/>
  <c r="H259"/>
  <c r="G263"/>
  <c r="H263"/>
  <c r="H267"/>
  <c r="G267"/>
  <c r="H271"/>
  <c r="G271"/>
  <c r="H275"/>
  <c r="G279"/>
  <c r="H279"/>
  <c r="H283"/>
  <c r="G283"/>
  <c r="G287"/>
  <c r="H287"/>
  <c r="G291"/>
  <c r="H291"/>
  <c r="G295"/>
  <c r="H295"/>
  <c r="G299"/>
  <c r="H299"/>
  <c r="G303"/>
  <c r="H303"/>
  <c r="H307"/>
  <c r="G307"/>
  <c r="H311"/>
  <c r="G311"/>
  <c r="G315"/>
  <c r="H315"/>
  <c r="G319"/>
  <c r="H319"/>
  <c r="G327"/>
  <c r="H327"/>
  <c r="G4"/>
  <c r="H4"/>
  <c r="G17"/>
  <c r="H17"/>
  <c r="H24"/>
  <c r="G24"/>
  <c r="G42"/>
  <c r="H42"/>
  <c r="G52"/>
  <c r="H52"/>
  <c r="G63"/>
  <c r="H63"/>
  <c r="G67"/>
  <c r="H67"/>
  <c r="G71"/>
  <c r="H71"/>
  <c r="H75"/>
  <c r="G75"/>
  <c r="H79"/>
  <c r="G79"/>
  <c r="G109"/>
  <c r="H109"/>
  <c r="G110"/>
  <c r="H110"/>
  <c r="H115"/>
  <c r="G115"/>
  <c r="G129"/>
  <c r="H129"/>
  <c r="H133"/>
  <c r="H147"/>
  <c r="G147"/>
  <c r="H151"/>
  <c r="G151"/>
  <c r="H157"/>
  <c r="G157"/>
  <c r="H161"/>
  <c r="G166"/>
  <c r="H166"/>
  <c r="G175"/>
  <c r="H175"/>
  <c r="G185"/>
  <c r="H185"/>
  <c r="H190"/>
  <c r="G190"/>
  <c r="G195"/>
  <c r="H195"/>
  <c r="G209"/>
  <c r="H209"/>
  <c r="H213"/>
  <c r="G213"/>
  <c r="G217"/>
  <c r="H217"/>
  <c r="G218"/>
  <c r="H218"/>
  <c r="G230"/>
  <c r="H230"/>
  <c r="G234"/>
  <c r="H234"/>
  <c r="G15"/>
  <c r="H15"/>
  <c r="H23"/>
  <c r="G23"/>
  <c r="H41"/>
  <c r="G41"/>
  <c r="G45"/>
  <c r="H45"/>
  <c r="G55"/>
  <c r="H55"/>
  <c r="G59"/>
  <c r="H59"/>
  <c r="G70"/>
  <c r="H70"/>
  <c r="H78"/>
  <c r="G78"/>
  <c r="G85"/>
  <c r="H85"/>
  <c r="G104"/>
  <c r="H104"/>
  <c r="G114"/>
  <c r="H114"/>
  <c r="G124"/>
  <c r="H124"/>
  <c r="G128"/>
  <c r="H128"/>
  <c r="G132"/>
  <c r="H132"/>
  <c r="H141"/>
  <c r="G141"/>
  <c r="H150"/>
  <c r="G155"/>
  <c r="H155"/>
  <c r="H165"/>
  <c r="H174"/>
  <c r="G174"/>
  <c r="G179"/>
  <c r="H179"/>
  <c r="G184"/>
  <c r="H184"/>
  <c r="H189"/>
  <c r="G189"/>
  <c r="G203"/>
  <c r="H203"/>
  <c r="G7"/>
  <c r="H7"/>
  <c r="H11"/>
  <c r="G11"/>
  <c r="G21"/>
  <c r="H21"/>
  <c r="G22"/>
  <c r="H22"/>
  <c r="G26"/>
  <c r="H26"/>
  <c r="G35"/>
  <c r="H35"/>
  <c r="H40"/>
  <c r="G40"/>
  <c r="G44"/>
  <c r="H44"/>
  <c r="G49"/>
  <c r="H49"/>
  <c r="G54"/>
  <c r="H54"/>
  <c r="G69"/>
  <c r="H69"/>
  <c r="G73"/>
  <c r="H73"/>
  <c r="G77"/>
  <c r="H77"/>
  <c r="G81"/>
  <c r="H81"/>
  <c r="G84"/>
  <c r="H84"/>
  <c r="G88"/>
  <c r="H88"/>
  <c r="G89"/>
  <c r="H89"/>
  <c r="G93"/>
  <c r="H93"/>
  <c r="H97"/>
  <c r="G97"/>
  <c r="G98"/>
  <c r="H98"/>
  <c r="H103"/>
  <c r="G103"/>
  <c r="G107"/>
  <c r="H107"/>
  <c r="H112"/>
  <c r="G112"/>
  <c r="H113"/>
  <c r="G113"/>
  <c r="H117"/>
  <c r="G117"/>
  <c r="G118"/>
  <c r="H118"/>
  <c r="H123"/>
  <c r="G123"/>
  <c r="G127"/>
  <c r="H127"/>
  <c r="G131"/>
  <c r="H131"/>
  <c r="G136"/>
  <c r="H136"/>
  <c r="G140"/>
  <c r="H140"/>
  <c r="H144"/>
  <c r="G144"/>
  <c r="G149"/>
  <c r="H149"/>
  <c r="H154"/>
  <c r="H159"/>
  <c r="G159"/>
  <c r="H164"/>
  <c r="G164"/>
  <c r="G169"/>
  <c r="H169"/>
  <c r="G173"/>
  <c r="H173"/>
  <c r="H178"/>
  <c r="G178"/>
  <c r="H182"/>
  <c r="G182"/>
  <c r="G183"/>
  <c r="H183"/>
  <c r="H187"/>
  <c r="H192"/>
  <c r="G192"/>
  <c r="G197"/>
  <c r="H197"/>
  <c r="G202"/>
  <c r="H202"/>
  <c r="H206"/>
  <c r="G206"/>
  <c r="H207"/>
  <c r="G207"/>
  <c r="H211"/>
  <c r="G211"/>
  <c r="G215"/>
  <c r="H215"/>
  <c r="H220"/>
  <c r="G225"/>
  <c r="H225"/>
  <c r="H226"/>
  <c r="G226"/>
  <c r="G232"/>
  <c r="H232"/>
  <c r="G236"/>
  <c r="H236"/>
  <c r="G244"/>
  <c r="H244"/>
  <c r="G256"/>
  <c r="H256"/>
  <c r="G260"/>
  <c r="H260"/>
  <c r="G264"/>
  <c r="H264"/>
  <c r="H268"/>
  <c r="G268"/>
  <c r="H272"/>
  <c r="H276"/>
  <c r="G276"/>
  <c r="G280"/>
  <c r="H280"/>
  <c r="H284"/>
  <c r="G288"/>
  <c r="H288"/>
  <c r="G292"/>
  <c r="H292"/>
  <c r="H296"/>
  <c r="G300"/>
  <c r="H300"/>
  <c r="G304"/>
  <c r="H304"/>
  <c r="H308"/>
  <c r="G308"/>
  <c r="H312"/>
  <c r="G312"/>
  <c r="H316"/>
  <c r="G320"/>
  <c r="H320"/>
  <c r="H323"/>
  <c r="G39"/>
  <c r="H39"/>
  <c r="G57"/>
  <c r="H57"/>
  <c r="G68"/>
  <c r="H68"/>
  <c r="G92"/>
  <c r="H92"/>
  <c r="G102"/>
  <c r="H102"/>
  <c r="G106"/>
  <c r="H106"/>
  <c r="G126"/>
  <c r="H126"/>
  <c r="H5"/>
  <c r="G5"/>
  <c r="G9"/>
  <c r="H9"/>
  <c r="H51"/>
  <c r="G51"/>
  <c r="G56"/>
  <c r="H56"/>
  <c r="G86"/>
  <c r="H86"/>
  <c r="G91"/>
  <c r="H91"/>
  <c r="G95"/>
  <c r="H95"/>
  <c r="H105"/>
  <c r="G105"/>
  <c r="H120"/>
  <c r="G125"/>
  <c r="H125"/>
  <c r="H138"/>
  <c r="G138"/>
  <c r="H142"/>
  <c r="G142"/>
  <c r="G146"/>
  <c r="H146"/>
  <c r="H152"/>
  <c r="G152"/>
  <c r="G167"/>
  <c r="H167"/>
  <c r="G171"/>
  <c r="H171"/>
  <c r="G180"/>
  <c r="H180"/>
  <c r="G194"/>
  <c r="H194"/>
  <c r="H204"/>
  <c r="G204"/>
  <c r="H223"/>
  <c r="G223"/>
  <c r="G238"/>
  <c r="H238"/>
  <c r="H246"/>
  <c r="G246"/>
  <c r="H250"/>
  <c r="G250"/>
  <c r="H254"/>
  <c r="G258"/>
  <c r="H258"/>
  <c r="H262"/>
  <c r="G262"/>
  <c r="H266"/>
  <c r="G266"/>
  <c r="H270"/>
  <c r="G270"/>
  <c r="G274"/>
  <c r="H274"/>
  <c r="G278"/>
  <c r="H278"/>
  <c r="H282"/>
  <c r="G286"/>
  <c r="H286"/>
  <c r="G290"/>
  <c r="H290"/>
  <c r="H294"/>
  <c r="G294"/>
  <c r="H298"/>
  <c r="H306"/>
  <c r="H310"/>
  <c r="G310"/>
  <c r="H314"/>
  <c r="H318"/>
  <c r="G326"/>
  <c r="H326"/>
  <c r="H8"/>
  <c r="G8"/>
  <c r="G16"/>
  <c r="H16"/>
  <c r="G27"/>
  <c r="H27"/>
  <c r="H36"/>
  <c r="G36"/>
  <c r="G60"/>
  <c r="H60"/>
  <c r="G66"/>
  <c r="H66"/>
  <c r="G90"/>
  <c r="H90"/>
  <c r="G94"/>
  <c r="H94"/>
  <c r="G99"/>
  <c r="H99"/>
  <c r="H119"/>
  <c r="G119"/>
  <c r="H137"/>
  <c r="G137"/>
  <c r="H145"/>
  <c r="G156"/>
  <c r="H156"/>
  <c r="G160"/>
  <c r="H160"/>
  <c r="G170"/>
  <c r="H170"/>
  <c r="H188"/>
  <c r="G188"/>
  <c r="H193"/>
  <c r="G198"/>
  <c r="H198"/>
  <c r="H208"/>
  <c r="G208"/>
  <c r="H212"/>
  <c r="G212"/>
  <c r="H216"/>
  <c r="H221"/>
  <c r="G221"/>
  <c r="H222"/>
  <c r="G222"/>
  <c r="G227"/>
  <c r="H227"/>
  <c r="G237"/>
  <c r="H237"/>
  <c r="G241"/>
  <c r="H241"/>
  <c r="G245"/>
  <c r="H245"/>
  <c r="H249"/>
  <c r="H253"/>
  <c r="G253"/>
  <c r="G257"/>
  <c r="H257"/>
  <c r="G261"/>
  <c r="H261"/>
  <c r="H265"/>
  <c r="H269"/>
  <c r="G269"/>
  <c r="G273"/>
  <c r="H273"/>
  <c r="H277"/>
  <c r="G281"/>
  <c r="H281"/>
  <c r="G285"/>
  <c r="H285"/>
  <c r="G289"/>
  <c r="H289"/>
  <c r="G293"/>
  <c r="H293"/>
  <c r="H297"/>
  <c r="G297"/>
  <c r="G301"/>
  <c r="H301"/>
  <c r="G305"/>
  <c r="H305"/>
  <c r="H309"/>
  <c r="G309"/>
  <c r="H313"/>
  <c r="G313"/>
  <c r="H317"/>
  <c r="G317"/>
  <c r="G324"/>
  <c r="H324"/>
  <c r="G325"/>
  <c r="H325"/>
  <c r="I13" i="1"/>
  <c r="I14"/>
  <c r="B21"/>
  <c r="B32"/>
  <c r="B25"/>
  <c r="B33"/>
  <c r="B19"/>
  <c r="B9"/>
  <c r="B8"/>
  <c r="B38"/>
  <c r="B29"/>
  <c r="B24"/>
  <c r="B5"/>
  <c r="B34"/>
  <c r="B13"/>
  <c r="B37"/>
  <c r="B35"/>
  <c r="B39"/>
  <c r="B6"/>
  <c r="B42"/>
  <c r="B14"/>
  <c r="B18"/>
  <c r="B22"/>
  <c r="B4"/>
  <c r="B41"/>
  <c r="B28"/>
  <c r="B31"/>
  <c r="B23"/>
  <c r="B15"/>
  <c r="B27"/>
  <c r="B30"/>
  <c r="B10"/>
  <c r="B20"/>
  <c r="B3"/>
  <c r="B7"/>
  <c r="B17"/>
  <c r="L27"/>
  <c r="L22"/>
  <c r="L25"/>
  <c r="L13"/>
  <c r="L12"/>
  <c r="L20"/>
  <c r="L31"/>
  <c r="L29"/>
  <c r="L34"/>
  <c r="L17"/>
  <c r="L35"/>
  <c r="L15"/>
  <c r="L32"/>
  <c r="L23"/>
  <c r="L19"/>
  <c r="L24"/>
  <c r="L14"/>
  <c r="L21"/>
  <c r="L30"/>
  <c r="L33"/>
  <c r="L28"/>
  <c r="L18"/>
</calcChain>
</file>

<file path=xl/comments1.xml><?xml version="1.0" encoding="utf-8"?>
<comments xmlns="http://schemas.openxmlformats.org/spreadsheetml/2006/main">
  <authors>
    <author>Hernan Aronson</author>
  </authors>
  <commentList>
    <comment ref="E3" authorId="0">
      <text>
        <r>
          <rPr>
            <b/>
            <sz val="9"/>
            <color indexed="81"/>
            <rFont val="Tahoma"/>
            <family val="2"/>
          </rPr>
          <t>LM7 dedicated hosting for a single school - 2 years. Includes hosting and set up for up to 100 users</t>
        </r>
      </text>
    </comment>
    <comment ref="E4" authorId="0">
      <text>
        <r>
          <rPr>
            <b/>
            <sz val="9"/>
            <color indexed="81"/>
            <rFont val="Tahoma"/>
            <family val="2"/>
          </rPr>
          <t>LearnMate 7, Local Server Setup and User Support and maintenance for 1+3 years</t>
        </r>
      </text>
    </comment>
    <comment ref="E6" authorId="0">
      <text>
        <r>
          <rPr>
            <b/>
            <sz val="9"/>
            <color indexed="81"/>
            <rFont val="Tahoma"/>
            <family val="2"/>
          </rPr>
          <t>LM7 dedicated hosting for a single school. Includes hosting and set up for up to 100 users</t>
        </r>
      </text>
    </comment>
    <comment ref="E7" authorId="0">
      <text>
        <r>
          <rPr>
            <b/>
            <sz val="9"/>
            <color indexed="81"/>
            <rFont val="Tahoma"/>
            <family val="2"/>
          </rPr>
          <t>Additional 100 users on existing Dedicated LM7 hosted LMS</t>
        </r>
      </text>
    </comment>
    <comment ref="E8" authorId="0">
      <text>
        <r>
          <rPr>
            <b/>
            <sz val="9"/>
            <color indexed="81"/>
            <rFont val="Tahoma"/>
            <family val="2"/>
          </rPr>
          <t>Additional school on existing Dedicated LM7 hosted LMS.  
Useful for district-wide shared LMS. Fee is per each additional school up to 100 users.</t>
        </r>
      </text>
    </comment>
    <comment ref="E9" authorId="0">
      <text>
        <r>
          <rPr>
            <b/>
            <sz val="9"/>
            <color indexed="81"/>
            <rFont val="Tahoma"/>
            <family val="2"/>
          </rPr>
          <t xml:space="preserve">Advanced LearnMate reporting and analytics tools, which allows teachers to track, compare and analyze students results and usage via 40+ customizable reports.  Unlimited learners, courses, reports and notifications. 1 Account per LearnMate site for 12 months. </t>
        </r>
      </text>
    </comment>
    <comment ref="E10" authorId="0">
      <text>
        <r>
          <rPr>
            <b/>
            <sz val="9"/>
            <color indexed="81"/>
            <rFont val="Tahoma"/>
            <family val="2"/>
          </rPr>
          <t xml:space="preserve">Shared LMS for customers who have purchased only 1 or 2 Perpetual Content Titles.  Courses will be accessed at OnlineLearning.Intelitek.com.  Fee is PER Title PER Year.            </t>
        </r>
      </text>
    </comment>
    <comment ref="E11" authorId="0">
      <text>
        <r>
          <rPr>
            <b/>
            <sz val="9"/>
            <color indexed="81"/>
            <rFont val="Tahoma"/>
            <family val="2"/>
          </rPr>
          <t>LM7 Additional year of hosting for 100 users (flat rate)</t>
        </r>
      </text>
    </comment>
    <comment ref="E12" authorId="0">
      <text>
        <r>
          <rPr>
            <b/>
            <sz val="9"/>
            <color indexed="81"/>
            <rFont val="Tahoma"/>
            <family val="2"/>
          </rPr>
          <t>LM7 Additional 3 years of hosting for 100 users (flat rate)</t>
        </r>
      </text>
    </comment>
    <comment ref="E14" authorId="0">
      <text>
        <r>
          <rPr>
            <b/>
            <sz val="9"/>
            <color indexed="81"/>
            <rFont val="Tahoma"/>
            <family val="2"/>
          </rPr>
          <t>LearnMate 7, Local Server Setup and User Support and maintenance for 1 year</t>
        </r>
      </text>
    </comment>
    <comment ref="E15" authorId="0">
      <text>
        <r>
          <rPr>
            <b/>
            <sz val="9"/>
            <color indexed="81"/>
            <rFont val="Tahoma"/>
            <family val="2"/>
          </rPr>
          <t>LearnMate 7 Local Server Setup without support agreement</t>
        </r>
      </text>
    </comment>
    <comment ref="E16" authorId="0">
      <text>
        <r>
          <rPr>
            <b/>
            <sz val="9"/>
            <color indexed="81"/>
            <rFont val="Tahoma"/>
            <family val="2"/>
          </rPr>
          <t>LearnMate 7 Addiotional School for Local Server</t>
        </r>
      </text>
    </comment>
    <comment ref="E17" authorId="0">
      <text>
        <r>
          <rPr>
            <b/>
            <sz val="9"/>
            <color indexed="81"/>
            <rFont val="Tahoma"/>
            <family val="2"/>
          </rPr>
          <t xml:space="preserve">LearnMate Maintenance and Support - Local Installation.  Excludes Upgrades and Updates.  1 year only. </t>
        </r>
      </text>
    </comment>
    <comment ref="E18" authorId="0">
      <text>
        <r>
          <rPr>
            <b/>
            <sz val="9"/>
            <color indexed="81"/>
            <rFont val="Tahoma"/>
            <family val="2"/>
          </rPr>
          <t xml:space="preserve">LearnMate Maintenance and Support - Local Installation.  Excludes Upgrades and Updates.  3 year (add 3 in quantity) </t>
        </r>
      </text>
    </comment>
  </commentList>
</comments>
</file>

<file path=xl/comments2.xml><?xml version="1.0" encoding="utf-8"?>
<comments xmlns="http://schemas.openxmlformats.org/spreadsheetml/2006/main">
  <authors>
    <author>Hernan Aronson</author>
  </authors>
  <commentList>
    <comment ref="E3" authorId="0">
      <text>
        <r>
          <rPr>
            <b/>
            <sz val="9"/>
            <color indexed="81"/>
            <rFont val="Tahoma"/>
            <family val="2"/>
          </rPr>
          <t xml:space="preserve">Mobile training bench with single phase (120V) power of each side can accommodates 4 students at once. 
LearnMate Content and all panels for:
- Electrical Circuits
- Resistors and Conductors
- LCR Circuits
- Motors &amp; Generators
</t>
        </r>
      </text>
    </comment>
    <comment ref="E4" authorId="0">
      <text>
        <r>
          <rPr>
            <b/>
            <sz val="9"/>
            <color indexed="81"/>
            <rFont val="Tahoma"/>
            <family val="2"/>
          </rPr>
          <t xml:space="preserve">Mobile training bench with single phase  power of each side can accommodates 4 students at once. 
LearnMate Content and all panels for:
- Electrical Circuits
- Resistors and Conductors
- LCR Circuits
- Motors &amp; Generators
- Includes step-down transformer package for 220V (10-PC09-0000) required for international applications. </t>
        </r>
      </text>
    </comment>
    <comment ref="E5" authorId="0">
      <text>
        <r>
          <rPr>
            <b/>
            <sz val="9"/>
            <color indexed="81"/>
            <rFont val="Tahoma"/>
            <family val="2"/>
          </rPr>
          <t xml:space="preserve">Mobile training bench with two (2) single phase power controls and two (2) three phase power controls, accommodates 4 students at once.  LearnMate Content and all panels for:
- Electric Circuit Protection, Transformers, Electric Motors, Electromagnetic Motor Starters, Relays &amp; Timers - Pilot Devices
- Solid State Starters
- Variable Frequency Drives (VFDs)
- DC Motor Control
Also includes a storage rack for placement of panels not currently in use.   </t>
        </r>
      </text>
    </comment>
    <comment ref="E6" authorId="0">
      <text>
        <r>
          <rPr>
            <b/>
            <sz val="9"/>
            <color indexed="81"/>
            <rFont val="Tahoma"/>
            <family val="2"/>
          </rPr>
          <t xml:space="preserve">Mobile training bench with two (2) single phase power controls and two (2) three phase power controls, accommodates 4 students at once.  LearnMate Content and all panels for:
- Electric Circuit Protection, Transformers, Electric Motors, Electromagnetic Motor Starters, Relays &amp; Timers - Pilot Devices
- Solid State Starters
- Variable Frequency Drives (VFDs)
- DC Motor Control
Also includes a storage rack for placement of panels not currently in use.                               - Includes step-down transformer package for 220V (10-PC09-0000) required for international applications. </t>
        </r>
      </text>
    </comment>
    <comment ref="E7" authorId="0">
      <text>
        <r>
          <rPr>
            <b/>
            <sz val="9"/>
            <color indexed="81"/>
            <rFont val="Tahoma"/>
            <family val="2"/>
          </rPr>
          <t xml:space="preserve">Mobile training bench with 120V power one side and 220V power one side and accommodates 4 students at once.  LearnMate Content and all panels  for Industrial Power Electronics: 
- Oscilloscope
- Digital Multimeter
- Hand Held Digital Oscilloscope
- DC Power Supplies
- Single-Phase &amp; 3 Phase Power Supplies
- Thyristor Electric Motors
- Electronic Timers
- Stepper Motor Drives
- Servo Motor Drives
Also includes a storage rack for placement of panels not currently in use.   </t>
        </r>
      </text>
    </comment>
    <comment ref="E8" authorId="0">
      <text>
        <r>
          <rPr>
            <b/>
            <sz val="9"/>
            <color indexed="81"/>
            <rFont val="Tahoma"/>
            <family val="2"/>
          </rPr>
          <t xml:space="preserve">Mobile training bench with single Phase power one side and three Phase power one side and accommodates 4 students at once.  LearnMate Content and all panels  for Industrial Power Electronics: 
- Oscilloscope
- Digital Multimeter
- Hand Held Digital Oscilloscope
- DC Power Supplies
- Single-Phase &amp; 3 Phase Power Supplies
- Thyristor Electric Motors
- Electronic Timers
- Stepper Motor Drives
- Servo Motor Drives
Also includes a storage rack for placement of panels not currently in use.                               - Includes step-down transformer package for 220V (10-PC09-0000) required for international applications. </t>
        </r>
      </text>
    </comment>
    <comment ref="E9" authorId="0">
      <text>
        <r>
          <rPr>
            <b/>
            <sz val="9"/>
            <color indexed="81"/>
            <rFont val="Tahoma"/>
            <family val="2"/>
          </rPr>
          <t xml:space="preserve">Mobile training bench with two (2) single phase power controls and two (2) three phase power controls, accommodates 4 students at once.  LearnMate Content and all panels for:
- Basic Electric, 
- Electrical Control Systems
- Industrial Power Electronics
Also includes two (2) storage rack for placement of panels not currently in use. 
This bundle includes all 3 bundles in one package                                                            </t>
        </r>
      </text>
    </comment>
    <comment ref="E10" authorId="0">
      <text>
        <r>
          <rPr>
            <b/>
            <sz val="9"/>
            <color indexed="81"/>
            <rFont val="Tahoma"/>
            <family val="2"/>
          </rPr>
          <t xml:space="preserve">Mobile training bench with two (2) single phase power controls and two (2) three phase power controls, accommodates 4 students at once.  LearnMate Content and all panels for:
- Basic Electric, 
- Electrical Control Systems
- Industrial Power Electronics
Also includes two (2) storage rack for placement of panels not currently in use. 
This bundle includes all 3 bundles in one package                                                                           - Includes step-down transformer package for 220V (10-PC09-0000) required for international applications. </t>
        </r>
      </text>
    </comment>
    <comment ref="E12" authorId="0">
      <text>
        <r>
          <rPr>
            <b/>
            <sz val="9"/>
            <color indexed="81"/>
            <rFont val="Tahoma"/>
            <family val="2"/>
          </rPr>
          <t xml:space="preserve">Electrical Circuits teaches 14 skills in 21 hours of LearnMate® lab instruction, includes 5 Flexponent Panels: Switch, Lamp &amp; Buzzer (E040); </t>
        </r>
      </text>
    </comment>
    <comment ref="E13" authorId="0">
      <text>
        <r>
          <rPr>
            <b/>
            <sz val="9"/>
            <color indexed="81"/>
            <rFont val="Tahoma"/>
            <family val="2"/>
          </rPr>
          <t>Resistors and Conductors teaches 9 skills in 15 hours of LearnMate® lab instruction, includes (1) Flexponent Panel: - Resistance (E042). 
Prerequisite Electrical Circuits (EA01A)</t>
        </r>
      </text>
    </comment>
    <comment ref="E14" authorId="0">
      <text>
        <r>
          <rPr>
            <b/>
            <sz val="9"/>
            <color indexed="81"/>
            <rFont val="Tahoma"/>
            <family val="2"/>
          </rPr>
          <t>LCR Circuits teaches 14 skills in 21 hours of LearnMate® lab instruction, includes (5) Flexponent Panel: Magnetism (E029);
 Capacitance (E043);
 Inductance (E044);
 Motor/Generator (E057);
 Relay/Contactor (E150);
 Prerequisite Resistors &amp; Conductors (EA01B).</t>
        </r>
      </text>
    </comment>
    <comment ref="E15" authorId="0">
      <text>
        <r>
          <rPr>
            <b/>
            <sz val="9"/>
            <color indexed="81"/>
            <rFont val="Tahoma"/>
            <family val="2"/>
          </rPr>
          <t>Motors &amp; Generators teaches 8 skills in 15 hours of LearnMate® lab instruction.
 Prerequisite LCR Circuits (EA01C)</t>
        </r>
      </text>
    </comment>
    <comment ref="E17" authorId="0">
      <text>
        <r>
          <rPr>
            <b/>
            <sz val="9"/>
            <color indexed="81"/>
            <rFont val="Tahoma"/>
            <family val="2"/>
          </rPr>
          <t>Electric Circuit Protection &amp; Monitoring teaches 10 skills in 15 hours of LearnMate® lab instruction, includes (2) Flexponent Panel:
 Manual Starter (E022);
 Circuit Overload Protection &amp; Monitoring (E030). 
Prerequisite Electromagnetic Motor Starters (EA07) &amp; Electric Motors (EA04).</t>
        </r>
      </text>
    </comment>
    <comment ref="E18" authorId="0">
      <text>
        <r>
          <rPr>
            <b/>
            <sz val="9"/>
            <color indexed="81"/>
            <rFont val="Tahoma"/>
            <family val="2"/>
          </rPr>
          <t>Three-Phase Transformers teaches 8 skills in 15 hours of LearnMate® lab instruction, includes (1) Flexponent Panel:
Three-Phase Transformer (E003)</t>
        </r>
      </text>
    </comment>
    <comment ref="E19" authorId="0">
      <text>
        <r>
          <rPr>
            <b/>
            <sz val="9"/>
            <color indexed="81"/>
            <rFont val="Tahoma"/>
            <family val="2"/>
          </rPr>
          <t xml:space="preserve">Electric Motors teaches 14 skills in 21 hours of LearnMate® lab instruction, includes (10) Flexponent Panels: SCR Speed Controller (E007);
Transformer (E012);
Shaded-Pole Motor (E027);
Lamps &amp; Switches (E154);
Dissectible Motor (E156); 
Three-phase motor (E010); 
Capacitor-Start Motor (E019); 
DC Motor (E034); 
Split-Phase Motor (E065);
Adjustable Motor Load (E066).  </t>
        </r>
      </text>
    </comment>
    <comment ref="E20" authorId="0">
      <text>
        <r>
          <rPr>
            <b/>
            <sz val="9"/>
            <color indexed="81"/>
            <rFont val="Tahoma"/>
            <family val="2"/>
          </rPr>
          <t>Electromagnetic Motor Starters teaches 8 skills in 15 hours of LearnMate® lab instruction, includes (9) Flexponent Panels:
Start-Stop Control (E002);
Single Magnetic Starter (E004);
Start-Reverse-Stop Switch (E005);
Reversing Magnetic Starter (E006);
Three-Phase Motor (E010);
Transformer (E012);
Analog Relay (E016);
Lamps&amp; Switches (E154);
HOA Switch (E155).</t>
        </r>
      </text>
    </comment>
    <comment ref="E21" authorId="0">
      <text>
        <r>
          <rPr>
            <b/>
            <sz val="9"/>
            <color indexed="81"/>
            <rFont val="Tahoma"/>
            <family val="2"/>
          </rPr>
          <t>Timers &amp; Time - Delay Relays teaches 8 skills in 15 hours of LearnMate® lab instruction, includes (2) Flexponent Panels:
Digital Relay (E017);
Electric Timer (E041).
Prerequisite Electromagnetic Motor Starters (EA07)</t>
        </r>
      </text>
    </comment>
    <comment ref="E22" authorId="0">
      <text>
        <r>
          <rPr>
            <b/>
            <sz val="9"/>
            <color indexed="81"/>
            <rFont val="Tahoma"/>
            <family val="2"/>
          </rPr>
          <t>Pilot Devices teaches 10 skills in 15 hours of LearnMate® lab instruction, includes (4) Flexponent Panel: Limit Switch (E011);
Liquid Level &amp; Pressure Switch (E018);
Proximity &amp; Photoelectric Switch (E126);
AC/DC Circuit (E153).
Prerequisite Electromagnetic Motor Starters (EA07) and Electric Motors (EA04)</t>
        </r>
      </text>
    </comment>
    <comment ref="E23" authorId="0">
      <text>
        <r>
          <rPr>
            <b/>
            <sz val="9"/>
            <color indexed="81"/>
            <rFont val="Tahoma"/>
            <family val="2"/>
          </rPr>
          <t>Solid-State Reduced Voltage Starter teaches 5 skills in 15 hours of LearnMate® lab instruction, includes (1) Flexponent Panel:
Solid State Starter (E024).
Prerequisite Electromagnetic Motor Starters. (EA07)</t>
        </r>
      </text>
    </comment>
    <comment ref="E24" authorId="0">
      <text>
        <r>
          <rPr>
            <b/>
            <sz val="9"/>
            <color indexed="81"/>
            <rFont val="Tahoma"/>
            <family val="2"/>
          </rPr>
          <t>Variable Frequency Drives teaches 6 skills in 15 hours of LearnMate® lab instruction, includes (1) Flexponent Panel:
Variable Frequency Drive (E067).
Prerequisite  Electric Motors (EA04)</t>
        </r>
      </text>
    </comment>
    <comment ref="E25" authorId="0">
      <text>
        <r>
          <rPr>
            <b/>
            <sz val="9"/>
            <color indexed="81"/>
            <rFont val="Tahoma"/>
            <family val="2"/>
          </rPr>
          <t>DC Motor Control teaches 8 skills in 15 hours of LearnMate® lab instruction, includes (7) Flexponent Panels: SCR Speed Control (E007);
Digital Relay (E017);
F-O-R Switch and Potentiometer (E025);
DC Motor (E034);
PWM Motor Control (E038);
Inertial Load (E048);
Regenerative Four Quadrant DC Drive (E071).
Prerequisite Electromagnetic Motor Starters (EA07) &amp; Electric Motors (EA04)</t>
        </r>
      </text>
    </comment>
    <comment ref="E27" authorId="0">
      <text>
        <r>
          <rPr>
            <b/>
            <sz val="9"/>
            <color indexed="81"/>
            <rFont val="Tahoma"/>
            <family val="2"/>
          </rPr>
          <t>Oscilloscope teaches 8 skills in 15 hours of LearnMate® lab instruction, includes Oscilloscope and (2) Flexponent Panels:
Adjustable Power Supply (E087);
AC/DC Circuit (E153).</t>
        </r>
      </text>
    </comment>
    <comment ref="E28" authorId="0">
      <text>
        <r>
          <rPr>
            <b/>
            <sz val="9"/>
            <color indexed="81"/>
            <rFont val="Tahoma"/>
            <family val="2"/>
          </rPr>
          <t>Digital Multimeter teaches 17 skills in 26 hours of LearnMate® lab instruction, includes Digital Multimeter and (2) Flexponent Panels:
Resistors (E052);
Filters/Capacitors (E055).
Prerequisite Oscilloscope (EB01A)</t>
        </r>
      </text>
    </comment>
    <comment ref="E29" authorId="0">
      <text>
        <r>
          <rPr>
            <b/>
            <sz val="9"/>
            <color indexed="81"/>
            <rFont val="Tahoma"/>
            <family val="2"/>
          </rPr>
          <t>Hand Held Digital Oscilloscope teaches 8 skills in 15 hours of LearnMate® lab instruction, includes Hand-held Digital Oscilloscope and (2) Flexponent Panels:
Adjustable Power Supply (E087) and AC/DC Circuit (E153).
Prerequisite Digital Multimeter (EB01B)</t>
        </r>
      </text>
    </comment>
    <comment ref="E30" authorId="0">
      <text>
        <r>
          <rPr>
            <b/>
            <sz val="9"/>
            <color indexed="81"/>
            <rFont val="Tahoma"/>
            <family val="2"/>
          </rPr>
          <t>DC Power Supplies teaches 11 skills in 17 hours of LearnMate® lab instruction, includes (3) Flexponent Panels:
Single-Phase Bridge Rectifier (E039);
Low-voltage Transformer (E061);
Diode Rectifiers (E062).
Prerequisite Hand Held Digital Oscilloscope (EB01C)</t>
        </r>
      </text>
    </comment>
    <comment ref="E31" authorId="0">
      <text>
        <r>
          <rPr>
            <b/>
            <sz val="9"/>
            <color indexed="81"/>
            <rFont val="Tahoma"/>
            <family val="2"/>
          </rPr>
          <t>Single Phase &amp; Three Phase Power Supplies teaches 13 skills in 20 hours of LearnMate® lab instruction, includes (3) Flexponent Panels:
Zener Diode (E049);
Regulated Power Supply (E050);
Three-Phase Bridge Rectifier (E053).
Prerequisite DC Power Supplies (EB02A)</t>
        </r>
      </text>
    </comment>
    <comment ref="E32" authorId="0">
      <text>
        <r>
          <rPr>
            <b/>
            <sz val="9"/>
            <color indexed="81"/>
            <rFont val="Tahoma"/>
            <family val="2"/>
          </rPr>
          <t>Thyristor Electric Motor Drives teaches 15 skills in 23 hours of LearnMate® lab instruction, includes (8) Flexponent Panels:
DC Motor (E034);
SCR (E081);
Full-wave SCR Drive (E082);
TRIAC (E083);
DIAC Adjustable Resistors (E084);
TRIAC with Schmidt Trigger (E085);
Pulse Width Modulation (PWM) Motor Driver (E088);
Universal AC/DC Motor and PMDC Motor.
Prerequisite Single Phase &amp; Three Phase Power Supplies (EB02B)</t>
        </r>
      </text>
    </comment>
    <comment ref="E33" authorId="0">
      <text>
        <r>
          <rPr>
            <b/>
            <sz val="9"/>
            <color indexed="81"/>
            <rFont val="Tahoma"/>
            <family val="2"/>
          </rPr>
          <t>Electronic Timers &amp; Triggers teaches 7 skills in 15 hours of LearnMate® lab instruction, includes (1) Flexponent Panel:
Timers &amp; Triggers (E089).
Prerequisite Thyristor Electric Motor Drives (EB03)</t>
        </r>
      </text>
    </comment>
    <comment ref="E34" authorId="0">
      <text>
        <r>
          <rPr>
            <b/>
            <sz val="9"/>
            <color indexed="81"/>
            <rFont val="Tahoma"/>
            <family val="2"/>
          </rPr>
          <t>Stepper Motors &amp; Drivers teaches 7 skills in 15 hours of LearnMate® lab instruction, includes (1) Flexponent Panel:
Stepper Motor and Drive (E090).
Prerequisite Electronic Timers &amp; Triggers (EB04)</t>
        </r>
      </text>
    </comment>
    <comment ref="E35" authorId="0">
      <text>
        <r>
          <rPr>
            <b/>
            <sz val="9"/>
            <color indexed="81"/>
            <rFont val="Tahoma"/>
            <family val="2"/>
          </rPr>
          <t>Servo Motor Drives teaches 7 skills in 15 hours of LearnMate® lab instruction, includes (1) Flexponent Panel: Servo Motor and Drive (E091).  Prerequisite Stepper Motors and Drivers (EB05)</t>
        </r>
      </text>
    </comment>
    <comment ref="E37" authorId="0">
      <text>
        <r>
          <rPr>
            <b/>
            <sz val="9"/>
            <color indexed="81"/>
            <rFont val="Tahoma"/>
            <family val="2"/>
          </rPr>
          <t xml:space="preserve">Mechanical Training Bench, Bearing Service Cart, Laser Alignment and Vibration Analysis,   Accommodates 4 Students at a time.
LM7 Content - over 135 hours of lab Instruction. </t>
        </r>
      </text>
    </comment>
    <comment ref="E38" authorId="0">
      <text>
        <r>
          <rPr>
            <b/>
            <sz val="9"/>
            <color indexed="81"/>
            <rFont val="Tahoma"/>
            <family val="2"/>
          </rPr>
          <t>Mechanical Training Bench (48"x60"x29"), double sided (accommodates 4 students at once) 110V or 220V, Imperial Hardware.  Includes 10 curriculum modules Basic Machines, Machine Statistics &amp; Dynamics, Machine Shafts &amp; Keys, Bearings, Belt Drives, Chain Drives, Machine Shaft Coupling, Gear Drives, Machine Speed Reducers and Electric Brakes</t>
        </r>
      </text>
    </comment>
    <comment ref="E39" authorId="0">
      <text>
        <r>
          <rPr>
            <b/>
            <sz val="9"/>
            <color indexed="81"/>
            <rFont val="Tahoma"/>
            <family val="2"/>
          </rPr>
          <t>Mechanical Training Bench (48"x60"x29"), single sided (accommodates 2 students at once) 110V or 220V, Imperial Hardware.  Includes 10 curriculum modules Basic Machines, Machine Statistics &amp; Dynamics, Machine Shafts &amp; Keys, Bearings, Belt Drives, Chain Drives, Machine Shaft Coupling, Gear Drives, Machine Speed Reducers and Electric Brakes</t>
        </r>
      </text>
    </comment>
    <comment ref="E41" authorId="0">
      <text>
        <r>
          <rPr>
            <b/>
            <sz val="9"/>
            <color indexed="81"/>
            <rFont val="Tahoma"/>
            <family val="2"/>
          </rPr>
          <t xml:space="preserve">Electro-mechanical Maintenance Cell KIT teaches 79 skills in over 120 hours of LearnMate® lab instruction, includes Basic Maintenance Cell, Industrial Lighting, Plant Infrastructure, Conveyor, Drive and Control, Part Manipulator, Paint, Bake and Cool, Variable Frequency Drive, Advanced Infrastructure and Fault Insertion, Instructor Fault Insertion, DC Motor and Drive.  Students receive 'work orders' to completely build the Maintenance Cell.                 </t>
        </r>
      </text>
    </comment>
    <comment ref="E42" authorId="0">
      <text>
        <r>
          <rPr>
            <b/>
            <sz val="9"/>
            <color indexed="81"/>
            <rFont val="Tahoma"/>
            <family val="2"/>
          </rPr>
          <t xml:space="preserve">Electro-mechanical Maintenance Cell KIT teaches 79 skills in over 120 hours of LearnMate® lab instruction, includes Basic Maintenance Cell, Industrial Lighting, Plant Infrastructure, Conveyor, Drive and Control, Part Manipulator, Paint, Bake and Cool, Variable Frequency Drive, Advanced Infrastructure and Fault Insertion, Instructor Fault Insertion, DC Motor and Drive.  Students receive 'work orders' to completely build the Maintenance Cell. 
Includes step-down transformer package for 220V (10-PC09-0000) required for international applications. </t>
        </r>
      </text>
    </comment>
    <comment ref="E44" authorId="0">
      <text>
        <r>
          <rPr>
            <b/>
            <sz val="9"/>
            <color indexed="81"/>
            <rFont val="Tahoma"/>
            <family val="2"/>
          </rPr>
          <t xml:space="preserve">Two sided/Four student Mobile learning station.  Bench height: 34" (86.4cm).  Vertical rack 42" (107cm).  </t>
        </r>
      </text>
    </comment>
    <comment ref="E45" authorId="0">
      <text>
        <r>
          <rPr>
            <b/>
            <sz val="9"/>
            <color indexed="81"/>
            <rFont val="Tahoma"/>
            <family val="2"/>
          </rPr>
          <t>Single phase power control panel  120V.  A single phase 120V power supply is required for all the electrical series.</t>
        </r>
      </text>
    </comment>
    <comment ref="E46" authorId="0">
      <text>
        <r>
          <rPr>
            <b/>
            <sz val="9"/>
            <color indexed="81"/>
            <rFont val="Tahoma"/>
            <family val="2"/>
          </rPr>
          <t>Three-phase power control panel  240V.  A 3-phase 240V power supply is required for the following modules: All of Electrical Control Systems (EA02; EA03; EA04; EA07; EA09; EA11; EA12 except EA16), and EB02B from Industrial Power Electronics</t>
        </r>
      </text>
    </comment>
    <comment ref="E47" authorId="0">
      <text>
        <r>
          <rPr>
            <b/>
            <sz val="9"/>
            <color indexed="81"/>
            <rFont val="Tahoma"/>
            <family val="2"/>
          </rPr>
          <t>Step Down Transformer Pack for 220V power conversion of the JobMaster Electrical Series</t>
        </r>
      </text>
    </comment>
    <comment ref="E48" authorId="0">
      <text>
        <r>
          <rPr>
            <b/>
            <sz val="9"/>
            <color indexed="81"/>
            <rFont val="Tahoma"/>
            <family val="2"/>
          </rPr>
          <t>Portable Panel Storage rack; holds up to 50 single JM Panels</t>
        </r>
      </text>
    </comment>
    <comment ref="E49" authorId="0">
      <text>
        <r>
          <rPr>
            <b/>
            <sz val="9"/>
            <color indexed="81"/>
            <rFont val="Tahoma"/>
            <family val="2"/>
          </rPr>
          <t xml:space="preserve">Mechanical Training Bench (48"x60"x29"), single sided (accommodates 2 students at once) 110V or 220V, Imperial Hardware.   </t>
        </r>
      </text>
    </comment>
  </commentList>
</comments>
</file>

<file path=xl/comments3.xml><?xml version="1.0" encoding="utf-8"?>
<comments xmlns="http://schemas.openxmlformats.org/spreadsheetml/2006/main">
  <authors>
    <author>Hernan Aronson</author>
  </authors>
  <commentList>
    <comment ref="E3" authorId="0">
      <text>
        <r>
          <rPr>
            <b/>
            <sz val="9"/>
            <color indexed="81"/>
            <rFont val="Tahoma"/>
            <family val="2"/>
          </rPr>
          <t>CytonE 300 &amp; 5 seats Actin plus 6 lessons in "Introduction to Robotics with CytonE" (1 Year Leased Access)</t>
        </r>
      </text>
    </comment>
    <comment ref="E4" authorId="0">
      <text>
        <r>
          <rPr>
            <b/>
            <sz val="9"/>
            <color indexed="81"/>
            <rFont val="Tahoma"/>
            <family val="2"/>
          </rPr>
          <t>CytonE 300 &amp; 10 seats Actin plus 6 lessons in "Introduction to Robotics with CytonE" (1 Year Leased Access)</t>
        </r>
      </text>
    </comment>
    <comment ref="E5" authorId="0">
      <text>
        <r>
          <rPr>
            <b/>
            <sz val="9"/>
            <color indexed="81"/>
            <rFont val="Tahoma"/>
            <family val="2"/>
          </rPr>
          <t>CytonE 300 &amp; 30 seats Actin plus 6 lessons in "Introduction to Robotics with CytonE" (1 Year Leased Access)</t>
        </r>
      </text>
    </comment>
    <comment ref="E6" authorId="0">
      <text>
        <r>
          <rPr>
            <b/>
            <sz val="9"/>
            <color indexed="81"/>
            <rFont val="Tahoma"/>
            <family val="2"/>
          </rPr>
          <t>CytonE 1500 &amp; Actin 10 seat  plus 6 lessons in "Introduction to Robotics with CytonE" (1 Year Leased Access)</t>
        </r>
      </text>
    </comment>
    <comment ref="E7" authorId="0">
      <text>
        <r>
          <rPr>
            <b/>
            <sz val="9"/>
            <color indexed="81"/>
            <rFont val="Tahoma"/>
            <family val="2"/>
          </rPr>
          <t>CytonE 300 &amp; 30 seats Actin plus 6 lessons in "Introduction to Robotics with CytonE" (1 Year Leased Access)</t>
        </r>
      </text>
    </comment>
    <comment ref="E8" authorId="0">
      <text>
        <r>
          <rPr>
            <b/>
            <sz val="9"/>
            <color indexed="81"/>
            <rFont val="Tahoma"/>
            <family val="2"/>
          </rPr>
          <t>Two (2) CytonE 300 &amp; Actin 10 seat License plus 6 lessons in "Introduction to Robotics with CytonE" (1 Year Leased Access).</t>
        </r>
      </text>
    </comment>
    <comment ref="E9" authorId="0">
      <text>
        <r>
          <rPr>
            <b/>
            <sz val="9"/>
            <color indexed="81"/>
            <rFont val="Tahoma"/>
            <family val="2"/>
          </rPr>
          <t>Two (2) CytonE 1500 &amp; Actin 25 Seat License plus  6 lessons in "Introduction to Robotics with CytonE" (1 Year Leased Access).</t>
        </r>
      </text>
    </comment>
    <comment ref="E10" authorId="0">
      <text>
        <r>
          <rPr>
            <b/>
            <sz val="9"/>
            <color indexed="81"/>
            <rFont val="Tahoma"/>
            <family val="2"/>
          </rPr>
          <t>CytonE 300 &amp; 30 seats Actin plus 6 lessons in "Introduction to Robotics with CytonE" (1 Year Leased Access)</t>
        </r>
      </text>
    </comment>
    <comment ref="E12" authorId="0">
      <text>
        <r>
          <rPr>
            <b/>
            <sz val="9"/>
            <color indexed="81"/>
            <rFont val="Tahoma"/>
            <family val="2"/>
          </rPr>
          <t>Introductory robotics hardware package for the ER4</t>
        </r>
      </text>
    </comment>
    <comment ref="E13" authorId="0">
      <text>
        <r>
          <rPr>
            <b/>
            <sz val="9"/>
            <color indexed="81"/>
            <rFont val="Tahoma"/>
            <family val="2"/>
          </rPr>
          <t>Standard robotics hardware package for the ER4u. 
Includes: Scorbot ER4u, multi-purpose gripper for rectangular pieces, Teach Pendant for USB/USB Pro Controllers, I/O Experiment Table, Conveyor Belt w/Proximity sensor, Gravity Parts Feeder with MicroSwitch Sensor, Rotary Index Table (24V) w/ Proximity Sensor, Workbench with Formica Tabletop (1800mm L x 800mm W), RoboCell Control Software.</t>
        </r>
      </text>
    </comment>
    <comment ref="E14" authorId="0">
      <text>
        <r>
          <rPr>
            <b/>
            <sz val="9"/>
            <color indexed="81"/>
            <rFont val="Tahoma"/>
            <family val="2"/>
          </rPr>
          <t>Advanced robotics hardware package for the ER4u.
Includes: Scorbot ER4u, multi-purpose gripper for rectangular pieces, Teach Pendant for USB/USB Pro Controllers, I/O Experiment Table (includes blocks &amp; shapes for experiments), Conveyor Belt w/Proximity sensor, Gravity Parts Feeder with MicroSwitch Sensor, Rotary Index Table (24V) w/ Proximity Sensor, ViewFlex Machine Vision (software, stand, camera &amp; color PC), Parts Bin, Workbench with Aluminum Tabletop (1800mm L x 800mm W) &amp; Adapter plate for ER4u, RoboCell Control Software.</t>
        </r>
      </text>
    </comment>
    <comment ref="E15" authorId="0">
      <text>
        <r>
          <rPr>
            <b/>
            <sz val="9"/>
            <color indexed="81"/>
            <rFont val="Tahoma"/>
            <family val="2"/>
          </rPr>
          <t>Introductory robotics hardware package for the ER9. 
Includes: Scorbot ER9, Pneumatic Gripper (2 parallel fingers) w/solenoid valve and fittings, Teach Pendant, Palletizing Rack (w/ pins for creating jigs), Gravity Parts Feeder w/microswitch, RoboCell Control Software. 
(Need 90 PSI / 6BAR Compressed Air)</t>
        </r>
      </text>
    </comment>
    <comment ref="E16" authorId="0">
      <text>
        <r>
          <rPr>
            <b/>
            <sz val="9"/>
            <color indexed="81"/>
            <rFont val="Tahoma"/>
            <family val="2"/>
          </rPr>
          <t>Standard robotics hardware package for the ER9. 
Includes: Scorbot ER9, Pneumatic Gripper (2 parallel fingers) w/solenoid valve and fittings, Teach Pendant, Palletizing Rack (w/ pins for creating jigs), Gravity Parts Feeder w/microswitch, Conveyor Belt w/ proximity sensor,  Workbench with Aluminum Tabletop (1800mm L x 800mm W) &amp; Adapter plate for ER9, RoboCell Control Software.
(Need 90 PSI/6 BAR Compressed Air)</t>
        </r>
      </text>
    </comment>
    <comment ref="E17" authorId="0">
      <text>
        <r>
          <rPr>
            <b/>
            <sz val="9"/>
            <color indexed="81"/>
            <rFont val="Tahoma"/>
            <family val="2"/>
          </rPr>
          <t>Advanced robotics hardware package for the ER9. Includes: Scorbot ER9, Pneumatic Gripper (2 parallel fingers) w/solenoid valve and fittings, Teach Pendant, Palletizing Rack (w/ pins for creating jigs), Gravity Parts Feeder w/microswitch, Conveyor Belt w/ proximity sensor,  Rotary Index Table w/proximity sensor; Workbench with Aluminum Tabletop (1800mm L x 800mm W) &amp; Adapter plate for ER9, RoboCell Control Software. (Need Compressed Air)</t>
        </r>
      </text>
    </comment>
    <comment ref="E19" authorId="0">
      <text>
        <r>
          <rPr>
            <b/>
            <sz val="9"/>
            <color indexed="81"/>
            <rFont val="Tahoma"/>
            <family val="2"/>
          </rPr>
          <t>Perpetual License (Requires LMS LearnMate™ Add-On)</t>
        </r>
      </text>
    </comment>
    <comment ref="E20" authorId="0">
      <text>
        <r>
          <rPr>
            <b/>
            <sz val="9"/>
            <color indexed="81"/>
            <rFont val="Tahoma"/>
            <family val="2"/>
          </rPr>
          <t>Introduction to Robotics with CytonE (1 Year Leased Access)</t>
        </r>
      </text>
    </comment>
    <comment ref="E21" authorId="0">
      <text>
        <r>
          <rPr>
            <b/>
            <sz val="9"/>
            <color indexed="81"/>
            <rFont val="Tahoma"/>
            <family val="2"/>
          </rPr>
          <t>Perpetual License (Requires LMS LearnMate™ Add-On)</t>
        </r>
      </text>
    </comment>
    <comment ref="E22" authorId="0">
      <text>
        <r>
          <rPr>
            <b/>
            <sz val="9"/>
            <color indexed="81"/>
            <rFont val="Tahoma"/>
            <family val="2"/>
          </rPr>
          <t>Advanced Robotics with CytonE (1 Year Leased Access)</t>
        </r>
      </text>
    </comment>
    <comment ref="E23" authorId="0">
      <text>
        <r>
          <rPr>
            <b/>
            <sz val="9"/>
            <color indexed="81"/>
            <rFont val="Tahoma"/>
            <family val="2"/>
          </rPr>
          <t>Single additional seat of Actin; must have a five or ten seat license already</t>
        </r>
      </text>
    </comment>
    <comment ref="E24" authorId="0">
      <text>
        <r>
          <rPr>
            <b/>
            <sz val="9"/>
            <color indexed="81"/>
            <rFont val="Tahoma"/>
            <family val="2"/>
          </rPr>
          <t>Single seat license of Actin for Industrial Robotics integration with Fanuc, Yaskawa, ABB, Kuka</t>
        </r>
      </text>
    </comment>
    <comment ref="E25" authorId="0">
      <text>
        <r>
          <rPr>
            <b/>
            <sz val="9"/>
            <color indexed="81"/>
            <rFont val="Tahoma"/>
            <family val="2"/>
          </rPr>
          <t>Add to the bundle: Six Month Extended Warranty (50-CYTW-0300)</t>
        </r>
      </text>
    </comment>
    <comment ref="E28" authorId="0">
      <text>
        <r>
          <rPr>
            <b/>
            <sz val="9"/>
            <color indexed="81"/>
            <rFont val="Tahoma"/>
            <family val="2"/>
          </rPr>
          <t xml:space="preserve">SCORBOT-ER 4u (incl. USB Controller). Educational 5 axis open frame vertically articulated Robot  </t>
        </r>
      </text>
    </comment>
    <comment ref="E29" authorId="0">
      <text>
        <r>
          <rPr>
            <b/>
            <sz val="9"/>
            <color indexed="81"/>
            <rFont val="Tahoma"/>
            <family val="2"/>
          </rPr>
          <t>SCORBOT-ER 9Pro (incl. USB-Pro Controller), Educational Heavy Duty 5 axis vertically articulated Robot.   GRIPPER NOT INCLUDED.  Choose either 00-0613-0000 Servo Gripper or 00-0633-0000 Pneumatic Gripper (requires air) - see descriptions below.</t>
        </r>
      </text>
    </comment>
    <comment ref="E30" authorId="0">
      <text>
        <r>
          <rPr>
            <b/>
            <sz val="9"/>
            <color indexed="81"/>
            <rFont val="Tahoma"/>
            <family val="2"/>
          </rPr>
          <t>MH5F compact high-speed 6-axis Robot.  GRIPPER NOT INCLUDED, please add 00-0646-0000 pneumatic gripper from accessories.</t>
        </r>
      </text>
    </comment>
    <comment ref="E31" authorId="0">
      <text>
        <r>
          <rPr>
            <b/>
            <sz val="9"/>
            <color indexed="81"/>
            <rFont val="Tahoma"/>
            <family val="2"/>
          </rPr>
          <t>SCORA-ER 14Pro (incl. USB-Pro Controller).  Table-top mounted SCARA robot.</t>
        </r>
      </text>
    </comment>
    <comment ref="E33" authorId="0">
      <text>
        <r>
          <rPr>
            <b/>
            <sz val="9"/>
            <color indexed="81"/>
            <rFont val="Tahoma"/>
            <family val="2"/>
          </rPr>
          <t>15 hours of virtual/lab instruction in the Fundamentals of Robotics for the Scorbot-ER 4u.  LearnMate® Learning Management System. Includes RoboCell Simulation launched from LearnMate for Scorbot-ER 4u.</t>
        </r>
      </text>
    </comment>
    <comment ref="E34" authorId="0">
      <text>
        <r>
          <rPr>
            <b/>
            <sz val="9"/>
            <color indexed="81"/>
            <rFont val="Tahoma"/>
            <family val="2"/>
          </rPr>
          <t>15 hours of virtual/lab instruction in Advanced Robotics Programming for the Scorbot-ER 4u.  LearnMate® Learning Management System. Prerequisite: Fundamentals of Robotics</t>
        </r>
      </text>
    </comment>
    <comment ref="E35" authorId="0">
      <text>
        <r>
          <rPr>
            <b/>
            <sz val="9"/>
            <color indexed="81"/>
            <rFont val="Tahoma"/>
            <family val="2"/>
          </rPr>
          <t>15 hours of virtual/lab instruction in the Fundamentals of Robotics for the Scorbot-9Pro.  LearnMate® Learning Management System.  Includes RoboCell Simulation launched from LearnMate for Scorbot-ER 4u.</t>
        </r>
      </text>
    </comment>
    <comment ref="E36" authorId="0">
      <text>
        <r>
          <rPr>
            <b/>
            <sz val="9"/>
            <color indexed="81"/>
            <rFont val="Tahoma"/>
            <family val="2"/>
          </rPr>
          <t>15 hours of virtual/lab instruction in Advanced Robotics Programming for the Scorbot-9Pro.  LearnMate® Learning Management System. Prerequisite: Fundamentals of Robotics</t>
        </r>
      </text>
    </comment>
    <comment ref="E37" authorId="0">
      <text>
        <r>
          <rPr>
            <b/>
            <sz val="9"/>
            <color indexed="81"/>
            <rFont val="Tahoma"/>
            <family val="2"/>
          </rPr>
          <t xml:space="preserve">15 hours of virtual/lab instruction in Advanced Materials Handling for the Scorbot-ER 4u.  LearnMate® Learning Management System. </t>
        </r>
      </text>
    </comment>
    <comment ref="E38" authorId="0">
      <text>
        <r>
          <rPr>
            <b/>
            <sz val="9"/>
            <color indexed="81"/>
            <rFont val="Tahoma"/>
            <family val="2"/>
          </rPr>
          <t>15 hours of virtual/lab instruction in Advanced Materials Handling for the Scorbot-ER 4u.  LearnMate® Learning Management System. Prerequisite: Materials Handling I for Scorbot-ER 4u</t>
        </r>
      </text>
    </comment>
    <comment ref="E39" authorId="0">
      <text>
        <r>
          <rPr>
            <b/>
            <sz val="9"/>
            <color indexed="81"/>
            <rFont val="Tahoma"/>
            <family val="2"/>
          </rPr>
          <t xml:space="preserve">15 hours of virtual/lab instruction in Advanced Materials Handling for the Scorbot-9Pro.  LearnMate® Learning Management System. </t>
        </r>
      </text>
    </comment>
    <comment ref="E40" authorId="0">
      <text>
        <r>
          <rPr>
            <b/>
            <sz val="9"/>
            <color indexed="81"/>
            <rFont val="Tahoma"/>
            <family val="2"/>
          </rPr>
          <t>15 hours of virtual/lab instruction in Advanced Materials Handling for the Scorbot-9Pro.  LearnMate® Learning Management System. Prerequisite: Materials Handling I for Scorbot-ER 9Pro</t>
        </r>
      </text>
    </comment>
    <comment ref="E41" authorId="0">
      <text>
        <r>
          <rPr>
            <b/>
            <sz val="9"/>
            <color indexed="81"/>
            <rFont val="Tahoma"/>
            <family val="2"/>
          </rPr>
          <t>15 hours of virtual instruction in Automated Welding for the Scorbot-ER 4u.  LearnMate® Learning Management System. Includes RoboCell Simulation launched from LearnMate for Scorbot-ER 4u</t>
        </r>
      </text>
    </comment>
    <comment ref="E44" authorId="0">
      <text>
        <r>
          <rPr>
            <b/>
            <sz val="9"/>
            <color indexed="81"/>
            <rFont val="Tahoma"/>
            <family val="2"/>
          </rPr>
          <t xml:space="preserve">Single Seat License RoboCell virtual simulation control for the SCORBOT-ER 4u  </t>
        </r>
      </text>
    </comment>
    <comment ref="E45" authorId="0">
      <text>
        <r>
          <rPr>
            <b/>
            <sz val="9"/>
            <color indexed="81"/>
            <rFont val="Tahoma"/>
            <family val="2"/>
          </rPr>
          <t xml:space="preserve">Ten (10) Seat License RoboCell virtual simulation control for the SCORBOT-ER 4u  </t>
        </r>
      </text>
    </comment>
    <comment ref="E46" authorId="0">
      <text>
        <r>
          <rPr>
            <b/>
            <sz val="9"/>
            <color indexed="81"/>
            <rFont val="Tahoma"/>
            <family val="2"/>
          </rPr>
          <t xml:space="preserve">Thirty (30) Seat License RoboCell virtual simulation control for the SCORBOT-ER 4u  </t>
        </r>
      </text>
    </comment>
    <comment ref="E47" authorId="0">
      <text>
        <r>
          <rPr>
            <b/>
            <sz val="9"/>
            <color indexed="81"/>
            <rFont val="Tahoma"/>
            <family val="2"/>
          </rPr>
          <t xml:space="preserve">Single Seat License RoboCell virtual simulation control for the SCORBOT-ER9  </t>
        </r>
      </text>
    </comment>
    <comment ref="E48" authorId="0">
      <text>
        <r>
          <rPr>
            <b/>
            <sz val="9"/>
            <color indexed="81"/>
            <rFont val="Tahoma"/>
            <family val="2"/>
          </rPr>
          <t xml:space="preserve">Ten (10) Seat License RoboCell virtual simulation control for the SCORBOT-ER9  </t>
        </r>
      </text>
    </comment>
    <comment ref="E49" authorId="0">
      <text>
        <r>
          <rPr>
            <b/>
            <sz val="9"/>
            <color indexed="81"/>
            <rFont val="Tahoma"/>
            <family val="2"/>
          </rPr>
          <t xml:space="preserve">Thirty (30) Seat License RoboCell virtual simulation control for the SCORBOT-ER9    </t>
        </r>
      </text>
    </comment>
    <comment ref="E50" authorId="0">
      <text>
        <r>
          <rPr>
            <b/>
            <sz val="9"/>
            <color indexed="81"/>
            <rFont val="Tahoma"/>
            <family val="2"/>
          </rPr>
          <t xml:space="preserve">OpenCIM Offline software is a real time planning, manufacturing and 3D modelling tool  that combines all of the stations in the CIM cell together, customized for each environment.  OpenCIM has ERP, Manufacturing Execution System (MES) and 3D modelling built into the system.  </t>
        </r>
      </text>
    </comment>
    <comment ref="E52" authorId="0">
      <text>
        <r>
          <rPr>
            <b/>
            <sz val="9"/>
            <color indexed="81"/>
            <rFont val="Tahoma"/>
            <family val="2"/>
          </rPr>
          <t>Gripper finger attachment designed to grasp and place round or square objects for loading mills and lathes.  For ER4U.</t>
        </r>
      </text>
    </comment>
    <comment ref="E53" authorId="0">
      <text>
        <r>
          <rPr>
            <b/>
            <sz val="9"/>
            <color indexed="81"/>
            <rFont val="Tahoma"/>
            <family val="2"/>
          </rPr>
          <t>Gripper finger attachment designed to grasp and place round or square objects for loading mills and lathes.  For ER9.</t>
        </r>
      </text>
    </comment>
    <comment ref="E54" authorId="0">
      <text>
        <r>
          <rPr>
            <b/>
            <sz val="9"/>
            <color indexed="81"/>
            <rFont val="Tahoma"/>
            <family val="2"/>
          </rPr>
          <t>DC servo two-finger parallel gripper with high resolution optical encoder, for ER9 and ER14</t>
        </r>
      </text>
    </comment>
    <comment ref="E55" authorId="0">
      <text>
        <r>
          <rPr>
            <b/>
            <sz val="9"/>
            <color indexed="81"/>
            <rFont val="Tahoma"/>
            <family val="2"/>
          </rPr>
          <t>Pneumatic Gripper for ER9 Pro, with opening 0" - 2.5" (0 to 6.35mm)</t>
        </r>
      </text>
    </comment>
    <comment ref="E56" authorId="0">
      <text>
        <r>
          <rPr>
            <b/>
            <sz val="9"/>
            <color indexed="81"/>
            <rFont val="Tahoma"/>
            <family val="2"/>
          </rPr>
          <t>Pneumatic Gripper for ER14 Pro, with opening 0" - 2.5"  (0 to 6.35mm)</t>
        </r>
      </text>
    </comment>
    <comment ref="E57" authorId="0">
      <text>
        <r>
          <rPr>
            <b/>
            <sz val="9"/>
            <color indexed="81"/>
            <rFont val="Tahoma"/>
            <family val="2"/>
          </rPr>
          <t>Pneumatic Gripper for Motoman MH5F, with opening 0" - 2.5"  (0 to 6.35mm)</t>
        </r>
      </text>
    </comment>
    <comment ref="E58" authorId="0">
      <text>
        <r>
          <rPr>
            <b/>
            <sz val="9"/>
            <color indexed="81"/>
            <rFont val="Tahoma"/>
            <family val="2"/>
          </rPr>
          <t>Pneumatic Gripper for Industrial Robots, with opening 0" - 2.5"  (0 to 6.35mm)</t>
        </r>
      </text>
    </comment>
    <comment ref="E61" authorId="0">
      <text>
        <r>
          <rPr>
            <b/>
            <sz val="9"/>
            <color indexed="81"/>
            <rFont val="Tahoma"/>
            <family val="2"/>
          </rPr>
          <t>Teach Pendant for USB Controller and USB-Pro Controller</t>
        </r>
      </text>
    </comment>
    <comment ref="E62" authorId="0">
      <text>
        <r>
          <rPr>
            <b/>
            <sz val="9"/>
            <color indexed="81"/>
            <rFont val="Tahoma"/>
            <family val="2"/>
          </rPr>
          <t>Linear conveyor belt (31.7"l x 4"w x 4"h) (80.5CM x 10Cm x 10CM) or and proximity sensor for transporting parts to and from Robot work area.  Includes power supply</t>
        </r>
      </text>
    </comment>
    <comment ref="E63" authorId="0">
      <text>
        <r>
          <rPr>
            <b/>
            <sz val="9"/>
            <color indexed="81"/>
            <rFont val="Tahoma"/>
            <family val="2"/>
          </rPr>
          <t>Rotary index table with pegboard design, includes photoelectric sensor.  24V</t>
        </r>
      </text>
    </comment>
    <comment ref="E64" authorId="0">
      <text>
        <r>
          <rPr>
            <b/>
            <sz val="9"/>
            <color indexed="81"/>
            <rFont val="Tahoma"/>
            <family val="2"/>
          </rPr>
          <t>1M (3.28') linear slide base for the Scorbot ER 4u</t>
        </r>
      </text>
    </comment>
    <comment ref="E65" authorId="0">
      <text>
        <r>
          <rPr>
            <b/>
            <sz val="9"/>
            <color indexed="81"/>
            <rFont val="Tahoma"/>
            <family val="2"/>
          </rPr>
          <t>1.8 M (5.9') linear slide base for the Scorbot ER 4u</t>
        </r>
      </text>
    </comment>
    <comment ref="E66" authorId="0">
      <text>
        <r>
          <rPr>
            <b/>
            <sz val="9"/>
            <color indexed="81"/>
            <rFont val="Tahoma"/>
            <family val="2"/>
          </rPr>
          <t>Linear Positioning Table 300mm</t>
        </r>
      </text>
    </comment>
    <comment ref="E67" authorId="0">
      <text>
        <r>
          <rPr>
            <b/>
            <sz val="9"/>
            <color indexed="81"/>
            <rFont val="Tahoma"/>
            <family val="2"/>
          </rPr>
          <t>XY Positioning Table (24V)</t>
        </r>
      </text>
    </comment>
    <comment ref="E68" authorId="0">
      <text>
        <r>
          <rPr>
            <b/>
            <sz val="9"/>
            <color indexed="81"/>
            <rFont val="Tahoma"/>
            <family val="2"/>
          </rPr>
          <t>LSB 1.0m (3.28'), Belt, FM ER9</t>
        </r>
      </text>
    </comment>
    <comment ref="E69" authorId="0">
      <text>
        <r>
          <rPr>
            <b/>
            <sz val="9"/>
            <color indexed="81"/>
            <rFont val="Tahoma"/>
            <family val="2"/>
          </rPr>
          <t>Linear Slide Base Workbench  1500x1500X1140MM (INCL. WHEELSWORKBENCH</t>
        </r>
      </text>
    </comment>
  </commentList>
</comments>
</file>

<file path=xl/comments4.xml><?xml version="1.0" encoding="utf-8"?>
<comments xmlns="http://schemas.openxmlformats.org/spreadsheetml/2006/main">
  <authors>
    <author>Hernan Aronson</author>
  </authors>
  <commentList>
    <comment ref="E3" authorId="0">
      <text>
        <r>
          <rPr>
            <b/>
            <sz val="9"/>
            <color indexed="81"/>
            <rFont val="Tahoma"/>
            <family val="2"/>
          </rPr>
          <t xml:space="preserve">PneuFlex Pneumatic T-slot training panel and 15 hours of lab &amp; virtual instruction in the Fundamentals of Pneumatics, 
Includes PneuMotion pneumatic simulation software. </t>
        </r>
      </text>
    </comment>
    <comment ref="E4" authorId="0">
      <text>
        <r>
          <rPr>
            <b/>
            <sz val="9"/>
            <color indexed="81"/>
            <rFont val="Tahoma"/>
            <family val="2"/>
          </rPr>
          <t>Advanced Pneumatics Components and 15 hours of lab &amp; virtual instruction in Advanced Pneumatics,
 Prerequisite - Basic Pneumatics I</t>
        </r>
      </text>
    </comment>
    <comment ref="E5" authorId="0">
      <text>
        <r>
          <rPr>
            <b/>
            <sz val="9"/>
            <color indexed="81"/>
            <rFont val="Tahoma"/>
            <family val="2"/>
          </rPr>
          <t xml:space="preserve">HydraFlex Hydraulics slotted aluminum training panel and 15 hours of lab &amp; virtual instruction in the Fundamentals of Hydraulics,    Includes HydraMotion hydraulics simulation software. </t>
        </r>
      </text>
    </comment>
    <comment ref="E6" authorId="0">
      <text>
        <r>
          <rPr>
            <b/>
            <sz val="9"/>
            <color indexed="81"/>
            <rFont val="Tahoma"/>
            <family val="2"/>
          </rPr>
          <t xml:space="preserve">HydraFlex Hydraulics slotted aluminum training panel and 15 hours of lab &amp; virtual instruction in the Fundamentals of Hydraulics,    Includes HydraMotion hydraulics simulation software. </t>
        </r>
      </text>
    </comment>
    <comment ref="E7" authorId="0">
      <text>
        <r>
          <rPr>
            <b/>
            <sz val="9"/>
            <color indexed="81"/>
            <rFont val="Tahoma"/>
            <family val="2"/>
          </rPr>
          <t>Advanced Hydraulic Components and 15 hours of lab &amp; virtual instruction in Advanced Hydraulic,    Prerequisite - Fundamentals of Hydraulics I</t>
        </r>
      </text>
    </comment>
    <comment ref="E8" authorId="0">
      <text>
        <r>
          <rPr>
            <b/>
            <sz val="9"/>
            <color indexed="81"/>
            <rFont val="Tahoma"/>
            <family val="2"/>
          </rPr>
          <t xml:space="preserve">PLC Aluminum Table Top Trainer for teaching basic and advanced training in MicroLogix Programmable Logic Controller.
Dimensions: 23.6"w x 22" H (600mmW x 560mm H). 
Includes: DC Servo Motor, optical encoder unit, lead screw, output lamps, buzzer, push button/toggle switches, limit switch (small and large), inductive proximity sensor.  Includes 15 hours of lab &amp; virtual instruction in MicroLogix PLC.   </t>
        </r>
      </text>
    </comment>
    <comment ref="E9" authorId="0">
      <text>
        <r>
          <rPr>
            <b/>
            <sz val="9"/>
            <color indexed="81"/>
            <rFont val="Tahoma"/>
            <family val="2"/>
          </rPr>
          <t xml:space="preserve">PLC Aluminum Table Top Trainer for teaching basic and advanced training in Allen Bradley SLC 500 Programmable Logic Controller.
Dimensions: 23.6"w x 22" H (600mmW x 560mm H).
Includes: DC Servo Motor, optical encoder unit, lead screw, output lamps, buzzer, push button/toggle switches, limit switch (small and large), inductive proximity sensor.  Includes 15 hours of lab &amp; virtual instruction in SLC500 PLC.    </t>
        </r>
      </text>
    </comment>
    <comment ref="E10" authorId="0">
      <text>
        <r>
          <rPr>
            <b/>
            <sz val="9"/>
            <color indexed="81"/>
            <rFont val="Tahoma"/>
            <family val="2"/>
          </rPr>
          <t xml:space="preserve">SensorLine - Analog and Digital Sensors Aluminum Training Panel. 
15 hours of virtual instruction in design and assembly of basic control circuits.   </t>
        </r>
      </text>
    </comment>
    <comment ref="E12" authorId="0">
      <text>
        <r>
          <rPr>
            <b/>
            <sz val="9"/>
            <color indexed="81"/>
            <rFont val="Tahoma"/>
            <family val="2"/>
          </rPr>
          <t xml:space="preserve">PneuFlex Pneumatic T-slot training panel; 
conditioning unit, 5/2 double air pilot valve, 3/2 mushroom push button valve, 
3/2 Lever value and all components as listed in the catalog. </t>
        </r>
      </text>
    </comment>
    <comment ref="E13" authorId="0">
      <text>
        <r>
          <rPr>
            <b/>
            <sz val="9"/>
            <color indexed="81"/>
            <rFont val="Tahoma"/>
            <family val="2"/>
          </rPr>
          <t>Components included: 
Double acting cylinder, 5/2 double air pilot valve, (2) Single air pilot valves, 3/2 double roller lever valve, pneumatic time delay device, manifold. Prerequisite PneuFlex Pneumatic T-slot panel.</t>
        </r>
      </text>
    </comment>
    <comment ref="E14" authorId="0">
      <text>
        <r>
          <rPr>
            <b/>
            <sz val="9"/>
            <color indexed="81"/>
            <rFont val="Tahoma"/>
            <family val="2"/>
          </rPr>
          <t>Components included: 
5/2 double solenoid valve, (2) inductive proximity sensor, magnetic sensors (pair), (14) banana plug cables.  Prerequisite: Advanced Pneumatics Component Package or double acting cylinder</t>
        </r>
      </text>
    </comment>
    <comment ref="E15" authorId="0">
      <text>
        <r>
          <rPr>
            <b/>
            <sz val="9"/>
            <color indexed="81"/>
            <rFont val="Tahoma"/>
            <family val="2"/>
          </rPr>
          <t>PneuMotion virtual pneumatics software; single seat license</t>
        </r>
      </text>
    </comment>
    <comment ref="E16" authorId="0">
      <text>
        <r>
          <rPr>
            <b/>
            <sz val="9"/>
            <color indexed="81"/>
            <rFont val="Tahoma"/>
            <family val="2"/>
          </rPr>
          <t>15 hours of lab &amp; virtual instruction in the Fundamentals of Pneumatics- LearnMate® Content . Includes PneuMotion pneumatic simulation software classroom license launched within LearnMate. Works with Lab Hardware PneuFlex 1.</t>
        </r>
      </text>
    </comment>
    <comment ref="E17" authorId="0">
      <text>
        <r>
          <rPr>
            <b/>
            <sz val="9"/>
            <color indexed="81"/>
            <rFont val="Tahoma"/>
            <family val="2"/>
          </rPr>
          <t>15 hours of lab &amp; virtual instruction in Advanced Pneumatics - LearnMate® Content . Prerequisite - Pneumatics Technology 1: Works with Lab Hardware PneuFlex 2</t>
        </r>
      </text>
    </comment>
    <comment ref="E18" authorId="0">
      <text>
        <r>
          <rPr>
            <b/>
            <sz val="9"/>
            <color indexed="81"/>
            <rFont val="Tahoma"/>
            <family val="2"/>
          </rPr>
          <t>15 hours of lab &amp; virtual instruction in Electro-Pneumatics-LearnMate® Content . Prerequisite - Pneumatics Technology 2. Works with Hardware PneuFlex 3</t>
        </r>
      </text>
    </comment>
    <comment ref="E19" authorId="0">
      <text>
        <r>
          <rPr>
            <b/>
            <sz val="9"/>
            <color indexed="81"/>
            <rFont val="Tahoma"/>
            <family val="2"/>
          </rPr>
          <t>15 hours of lab &amp; virtual instruction in Advanced Pneumatics with Electro-Pneumatics, - LearnMate® Content . Prerequisite - Pneumatics Technology 3</t>
        </r>
      </text>
    </comment>
    <comment ref="E20" authorId="0">
      <text>
        <r>
          <rPr>
            <b/>
            <sz val="9"/>
            <color indexed="81"/>
            <rFont val="Tahoma"/>
            <family val="2"/>
          </rPr>
          <t>15 hours of virtual instruction covering basic Pneumatics- LearnMate® Content . Includes Virtual Pneumatic Simulation software launched within LearnMate.  Virtual Model only, does not require hardware</t>
        </r>
      </text>
    </comment>
    <comment ref="E21" authorId="0">
      <text>
        <r>
          <rPr>
            <b/>
            <sz val="9"/>
            <color indexed="81"/>
            <rFont val="Tahoma"/>
            <family val="2"/>
          </rPr>
          <t>15 hours of virtual instruction covering advanced Pneumatics- LearnMate® Content . Prerequisite - Virtual Basic Pneumatics. Virtual Model Only, does not require hardware</t>
        </r>
      </text>
    </comment>
    <comment ref="E23" authorId="0">
      <text>
        <r>
          <rPr>
            <b/>
            <sz val="9"/>
            <color indexed="81"/>
            <rFont val="Tahoma"/>
            <family val="2"/>
          </rPr>
          <t>HydraFlex Hydraulics slotted aluminum training panel; Double-acting cylinder 1-1/8", 1 4/3 selector valve (closed center), Two-way control valve, (2) one-way control valves, Pressure relief valve, flow meter, (2) pressure gauges, (2) T-connectors, (10) Hydraulic hoses, Hex wrench, funnel.   HYDRAULIC PUMP NOT INCLUDED, if customer is not supplying please add 22-0004-0001 or 10-2540-1000  (220V) to the  order &amp; quotation.</t>
        </r>
      </text>
    </comment>
    <comment ref="E24" authorId="0">
      <text>
        <r>
          <rPr>
            <b/>
            <sz val="9"/>
            <color indexed="81"/>
            <rFont val="Tahoma"/>
            <family val="2"/>
          </rPr>
          <t>Assembly, Hydraulic Power pump Unit w/Switch, 110V for additional trainers</t>
        </r>
      </text>
    </comment>
    <comment ref="E25" authorId="0">
      <text>
        <r>
          <rPr>
            <b/>
            <sz val="9"/>
            <color indexed="81"/>
            <rFont val="Tahoma"/>
            <family val="2"/>
          </rPr>
          <t>Assembly, Hydraulic Power pump Unit w/Switch, 220V for additional trainers</t>
        </r>
      </text>
    </comment>
    <comment ref="E26" authorId="0">
      <text>
        <r>
          <rPr>
            <b/>
            <sz val="9"/>
            <color indexed="81"/>
            <rFont val="Tahoma"/>
            <family val="2"/>
          </rPr>
          <t>Components included: Double-acting cylinder (diameter 3/4"), 4/3 selector valve (open center), Pressure reducing valve, (2) Manifold, coiled hoses, temperature gauge, (2) 80cm hoses. Requires Basic Training Panel</t>
        </r>
      </text>
    </comment>
    <comment ref="E27" authorId="0">
      <text>
        <r>
          <rPr>
            <b/>
            <sz val="9"/>
            <color indexed="81"/>
            <rFont val="Tahoma"/>
            <family val="2"/>
          </rPr>
          <t>Components included: 4/3 double solenoid valve, 2/2 solenoid valve, (3) magnetic sensors, (14) Banana plug cables (24" and 48"), electric distributor.</t>
        </r>
      </text>
    </comment>
    <comment ref="E28" authorId="0">
      <text>
        <r>
          <rPr>
            <b/>
            <sz val="9"/>
            <color indexed="81"/>
            <rFont val="Tahoma"/>
            <family val="2"/>
          </rPr>
          <t>HydraMotion virtual hydraulics software; single seat license</t>
        </r>
      </text>
    </comment>
    <comment ref="E29" authorId="0">
      <text>
        <r>
          <rPr>
            <b/>
            <sz val="9"/>
            <color indexed="81"/>
            <rFont val="Tahoma"/>
            <family val="2"/>
          </rPr>
          <t>15 hours of lab &amp; virtual instruction in the Fundamentals of Hydraulics-LearnMate® Content Includes HydraMotion hydraulics simulation software when launched in LearnMate.  Works with Lab Hardware HydraFlex 1</t>
        </r>
      </text>
    </comment>
    <comment ref="E30" authorId="0">
      <text>
        <r>
          <rPr>
            <b/>
            <sz val="9"/>
            <color indexed="81"/>
            <rFont val="Tahoma"/>
            <family val="2"/>
          </rPr>
          <t>15 hours of lab &amp; virtual instruction in Electro-Hydraulics- LearnMate® Content . Prerequisite - Hydraulics Technology 1- Works with Lab Hardware HydraFlex 2.</t>
        </r>
      </text>
    </comment>
    <comment ref="E31" authorId="0">
      <text>
        <r>
          <rPr>
            <b/>
            <sz val="9"/>
            <color indexed="81"/>
            <rFont val="Tahoma"/>
            <family val="2"/>
          </rPr>
          <t>15 hours of lab &amp; virtual instruction in Advanced Hydraulics - LearnMate® Content  Prerequisite - HydraFlex 2. Works with Lab Hardware HydraFlex 3 .</t>
        </r>
      </text>
    </comment>
    <comment ref="E33" authorId="0">
      <text>
        <r>
          <rPr>
            <b/>
            <sz val="9"/>
            <color indexed="81"/>
            <rFont val="Tahoma"/>
            <family val="2"/>
          </rPr>
          <t>PLC Aluminum Table Top Trainer for teaching basic and advanced training in Allen Bradley MicroLogix Programmable Logic Controller.
Dimensions: 23.6"w x 22" H (600mmW x 560mm H).
Includes: DC Servo Motor, optical encoder unit, lead screw, output lamps, buzzer, push button/toggle switches, limit switch (small and large), inductive proximity sensor.</t>
        </r>
      </text>
    </comment>
    <comment ref="E34" authorId="0">
      <text>
        <r>
          <rPr>
            <b/>
            <sz val="9"/>
            <color indexed="81"/>
            <rFont val="Tahoma"/>
            <family val="2"/>
          </rPr>
          <t>PLC Aluminum Table Top Trainer for teaching basic and advanced training in Allen Bradley SLC 500 Programmable Logic Controller.
Dimensions: 23.6"w x 22" H (600mmW x 560mm H).
Includes: DC Servo Motor, optical encoder unit, lead screw, output lamps, buzzer, push button/toggle switches, limit switch (small and large), inductive proximity sensor.</t>
        </r>
      </text>
    </comment>
    <comment ref="E35" authorId="0">
      <text>
        <r>
          <rPr>
            <b/>
            <sz val="9"/>
            <color indexed="81"/>
            <rFont val="Tahoma"/>
            <family val="2"/>
          </rPr>
          <t>PLCMotion is virtual PLC training software, single seat license</t>
        </r>
      </text>
    </comment>
    <comment ref="E36" authorId="0">
      <text>
        <r>
          <rPr>
            <b/>
            <sz val="9"/>
            <color indexed="81"/>
            <rFont val="Tahoma"/>
            <family val="2"/>
          </rPr>
          <t xml:space="preserve">15 hours of lab &amp; virtual instruction in the Fundamentals of Ladder Logic, compatible with MicroLogix and SLC500. LearnMate® Content .
Includes PLCMotion simulation software. </t>
        </r>
      </text>
    </comment>
    <comment ref="E37" authorId="0">
      <text>
        <r>
          <rPr>
            <b/>
            <sz val="9"/>
            <color indexed="81"/>
            <rFont val="Tahoma"/>
            <family val="2"/>
          </rPr>
          <t xml:space="preserve">15 hours of lab &amp; virtual instruction in Advanced Ladder Logic, compatible with MicroLogix and SLC500. LearnMate® Content . 
Prerequisite: PLC Technology 1 </t>
        </r>
      </text>
    </comment>
    <comment ref="E38" authorId="0">
      <text>
        <r>
          <rPr>
            <b/>
            <sz val="9"/>
            <color indexed="81"/>
            <rFont val="Tahoma"/>
            <family val="2"/>
          </rPr>
          <t>15 hours of lab &amp; virtual instruction in PLC Controlled Pneumatic Systems. - LearnMate® Content . 
Prerequisite: PLC Technology 1 &amp;2, Pneumatics Technology 1, 2 &amp;3</t>
        </r>
      </text>
    </comment>
    <comment ref="E39" authorId="0">
      <text>
        <r>
          <rPr>
            <b/>
            <sz val="9"/>
            <color indexed="81"/>
            <rFont val="Tahoma"/>
            <family val="2"/>
          </rPr>
          <t>15 hours of lab &amp; virtual instruction in PLC Controlled Hydraulic Systems. - LearnMate® Content .
Prerequisite: PLC Technology 1 &amp; 2, Hydraulics Technology 1 &amp;2</t>
        </r>
      </text>
    </comment>
    <comment ref="E41" authorId="0">
      <text>
        <r>
          <rPr>
            <b/>
            <sz val="9"/>
            <color indexed="81"/>
            <rFont val="Tahoma"/>
            <family val="2"/>
          </rPr>
          <t>Analog and Digital Sensors Aluminum Training Panel.
Dimensions: 23.6"w x 22" H (600mmW x 560mm H).
Inductive proximity sensor, contact sensor, magnetic reed sensor, light sensor, pressure sensor, mounting plate, buzzer, (2) lamps, relay unit.</t>
        </r>
      </text>
    </comment>
    <comment ref="E42" authorId="0">
      <text>
        <r>
          <rPr>
            <b/>
            <sz val="9"/>
            <color indexed="81"/>
            <rFont val="Tahoma"/>
            <family val="2"/>
          </rPr>
          <t xml:space="preserve">15 hours of virtual instruction in design and assembly of basic control circuits- LearnMate® Content  . </t>
        </r>
      </text>
    </comment>
    <comment ref="E44" authorId="0">
      <text>
        <r>
          <rPr>
            <b/>
            <sz val="9"/>
            <color indexed="81"/>
            <rFont val="Tahoma"/>
            <family val="2"/>
          </rPr>
          <t xml:space="preserve">JobMaster instrumentation trainer 110V covers level, flow, temperature and pressure processes.   Please Allow 20 Weeks for Delivery. </t>
        </r>
      </text>
    </comment>
    <comment ref="E45" authorId="0">
      <text>
        <r>
          <rPr>
            <b/>
            <sz val="9"/>
            <color indexed="81"/>
            <rFont val="Tahoma"/>
            <family val="2"/>
          </rPr>
          <t xml:space="preserve">JobMaster instrumentation trainer 220V covers level, flow, temperature and pressure processes. Please Allow 20 Weeks for Delivery. </t>
        </r>
      </text>
    </comment>
    <comment ref="E47" authorId="0">
      <text>
        <r>
          <rPr>
            <b/>
            <sz val="9"/>
            <color indexed="81"/>
            <rFont val="Tahoma"/>
            <family val="2"/>
          </rPr>
          <t>Table top format process control training system for Liquid Level process control.  Please allow 20 weeks for delivery.</t>
        </r>
      </text>
    </comment>
    <comment ref="E48" authorId="0">
      <text>
        <r>
          <rPr>
            <b/>
            <sz val="9"/>
            <color indexed="81"/>
            <rFont val="Tahoma"/>
            <family val="2"/>
          </rPr>
          <t>Table top format process control training system for Liquid Level process control.  Please allow 20 weeks for delivery.</t>
        </r>
      </text>
    </comment>
    <comment ref="E49" authorId="0">
      <text>
        <r>
          <rPr>
            <b/>
            <sz val="9"/>
            <color indexed="81"/>
            <rFont val="Tahoma"/>
            <family val="2"/>
          </rPr>
          <t>Table top format process control training system for Liquid Flow process control.  Please allow 20 weeks for delivery.</t>
        </r>
      </text>
    </comment>
    <comment ref="E50" authorId="0">
      <text>
        <r>
          <rPr>
            <b/>
            <sz val="9"/>
            <color indexed="81"/>
            <rFont val="Tahoma"/>
            <family val="2"/>
          </rPr>
          <t>Table top format process control training system for Liquid Flow process control.  Please allow 20 weeks for delivery.</t>
        </r>
      </text>
    </comment>
    <comment ref="E51" authorId="0">
      <text>
        <r>
          <rPr>
            <b/>
            <sz val="9"/>
            <color indexed="81"/>
            <rFont val="Tahoma"/>
            <family val="2"/>
          </rPr>
          <t>Table top format process control training system for Air Pressure process control.  Please allow 20 weeks for delivery.</t>
        </r>
      </text>
    </comment>
    <comment ref="E52" authorId="0">
      <text>
        <r>
          <rPr>
            <b/>
            <sz val="9"/>
            <color indexed="81"/>
            <rFont val="Tahoma"/>
            <family val="2"/>
          </rPr>
          <t>Table top format process control training system for Air Pressure process control.  Please allow 20 weeks for delivery.</t>
        </r>
      </text>
    </comment>
    <comment ref="E53" authorId="0">
      <text>
        <r>
          <rPr>
            <b/>
            <sz val="9"/>
            <color indexed="81"/>
            <rFont val="Tahoma"/>
            <family val="2"/>
          </rPr>
          <t>Table top format process control training system for Air Temperature process control.  Please allow 20 weeks for delivery.</t>
        </r>
      </text>
    </comment>
    <comment ref="E54" authorId="0">
      <text>
        <r>
          <rPr>
            <b/>
            <sz val="9"/>
            <color indexed="81"/>
            <rFont val="Tahoma"/>
            <family val="2"/>
          </rPr>
          <t>Table top format process control training system for Air Temperature process control.  Please allow 20 weeks for delivery.</t>
        </r>
      </text>
    </comment>
    <comment ref="E56" authorId="0">
      <text>
        <r>
          <rPr>
            <b/>
            <sz val="9"/>
            <color indexed="81"/>
            <rFont val="Tahoma"/>
            <family val="2"/>
          </rPr>
          <t xml:space="preserve">Liquid level self assembly process plant system with PID Control, 110V. Please Allow 20 Weeks for Delivery. </t>
        </r>
      </text>
    </comment>
    <comment ref="E57" authorId="0">
      <text>
        <r>
          <rPr>
            <b/>
            <sz val="9"/>
            <color indexed="81"/>
            <rFont val="Tahoma"/>
            <family val="2"/>
          </rPr>
          <t xml:space="preserve">Liquid level self assembly process plant system with PID Control, 220V. Please Allow 20 Weeks for Delivery. </t>
        </r>
      </text>
    </comment>
    <comment ref="E58" authorId="0">
      <text>
        <r>
          <rPr>
            <b/>
            <sz val="9"/>
            <color indexed="81"/>
            <rFont val="Tahoma"/>
            <family val="2"/>
          </rPr>
          <t xml:space="preserve">Liquid flow self assembly process plant system with PID Control. Please Allow 20 Weeks for Delivery. </t>
        </r>
      </text>
    </comment>
    <comment ref="E59" authorId="0">
      <text>
        <r>
          <rPr>
            <b/>
            <sz val="9"/>
            <color indexed="81"/>
            <rFont val="Tahoma"/>
            <family val="2"/>
          </rPr>
          <t xml:space="preserve">Liquid flow self assembly process plant system with PID Control. Please Allow 20 Weeks for Delivery. </t>
        </r>
      </text>
    </comment>
    <comment ref="E60" authorId="0">
      <text>
        <r>
          <rPr>
            <b/>
            <sz val="9"/>
            <color indexed="81"/>
            <rFont val="Tahoma"/>
            <family val="2"/>
          </rPr>
          <t xml:space="preserve">Air Temperature self assembly process plant system with PID Control. Please Allow 20 Weeks for Delivery. </t>
        </r>
      </text>
    </comment>
    <comment ref="E61" authorId="0">
      <text>
        <r>
          <rPr>
            <b/>
            <sz val="9"/>
            <color indexed="81"/>
            <rFont val="Tahoma"/>
            <family val="2"/>
          </rPr>
          <t xml:space="preserve">Air Temperature self assembly process plant system with PID Control. Please Allow 20 Weeks for Delivery. </t>
        </r>
      </text>
    </comment>
    <comment ref="E62" authorId="0">
      <text>
        <r>
          <rPr>
            <b/>
            <sz val="9"/>
            <color indexed="81"/>
            <rFont val="Tahoma"/>
            <family val="2"/>
          </rPr>
          <t xml:space="preserve">Air Pressure self assembly process plant system with PID Control. Please Allow 20 Weeks for Delivery. </t>
        </r>
      </text>
    </comment>
    <comment ref="E63" authorId="0">
      <text>
        <r>
          <rPr>
            <b/>
            <sz val="9"/>
            <color indexed="81"/>
            <rFont val="Tahoma"/>
            <family val="2"/>
          </rPr>
          <t xml:space="preserve">Air Pressure self assembly process plant system with PID Control. Please Allow 20 Weeks for Delivery. </t>
        </r>
      </text>
    </comment>
    <comment ref="E64" authorId="0">
      <text>
        <r>
          <rPr>
            <b/>
            <sz val="9"/>
            <color indexed="81"/>
            <rFont val="Tahoma"/>
            <family val="2"/>
          </rPr>
          <t xml:space="preserve">Chemical Analytical self assembly process plant system with PID Control. Please Allow 20 Weeks for Delivery. </t>
        </r>
      </text>
    </comment>
    <comment ref="E65" authorId="0">
      <text>
        <r>
          <rPr>
            <b/>
            <sz val="9"/>
            <color indexed="81"/>
            <rFont val="Tahoma"/>
            <family val="2"/>
          </rPr>
          <t xml:space="preserve">Chemical Analytical self assembly process plant system with PID Control. Please Allow 20 Weeks for Delivery. </t>
        </r>
      </text>
    </comment>
    <comment ref="E67" authorId="0">
      <text>
        <r>
          <rPr>
            <b/>
            <sz val="9"/>
            <color indexed="81"/>
            <rFont val="Tahoma"/>
            <family val="2"/>
          </rPr>
          <t>ProcessMotion is virtual Process training software; single seat license</t>
        </r>
      </text>
    </comment>
    <comment ref="E68" authorId="0">
      <text>
        <r>
          <rPr>
            <b/>
            <sz val="9"/>
            <color indexed="81"/>
            <rFont val="Tahoma"/>
            <family val="2"/>
          </rPr>
          <t>20 hours of virtual instruction in Temperature Process Control.
Includes ProcessMotion virtual software</t>
        </r>
      </text>
    </comment>
    <comment ref="E69" authorId="0">
      <text>
        <r>
          <rPr>
            <b/>
            <sz val="9"/>
            <color indexed="81"/>
            <rFont val="Tahoma"/>
            <family val="2"/>
          </rPr>
          <t>20 hours of virtual instruction inflow Process Control.    
Includes ProcessMotion virtual software</t>
        </r>
      </text>
    </comment>
    <comment ref="E70" authorId="0">
      <text>
        <r>
          <rPr>
            <b/>
            <sz val="9"/>
            <color indexed="81"/>
            <rFont val="Tahoma"/>
            <family val="2"/>
          </rPr>
          <t>20 hours of virtual instruction in Pressure Process Control.    
Includes ProcessMotion virtual software</t>
        </r>
      </text>
    </comment>
    <comment ref="E71" authorId="0">
      <text>
        <r>
          <rPr>
            <b/>
            <sz val="9"/>
            <color indexed="81"/>
            <rFont val="Tahoma"/>
            <family val="2"/>
          </rPr>
          <t>20 hours of virtual instruction in Level Process Control.   
Includes ProcessMotion virtual software</t>
        </r>
      </text>
    </comment>
  </commentList>
</comments>
</file>

<file path=xl/comments5.xml><?xml version="1.0" encoding="utf-8"?>
<comments xmlns="http://schemas.openxmlformats.org/spreadsheetml/2006/main">
  <authors>
    <author>Hernan Aronson</author>
  </authors>
  <commentList>
    <comment ref="E3" authorId="0">
      <text>
        <r>
          <rPr>
            <b/>
            <sz val="9"/>
            <color indexed="81"/>
            <rFont val="Tahoma"/>
            <family val="2"/>
          </rPr>
          <t xml:space="preserve">BenchRouter 1000 (24"x16" MDF cutting area): 800W high speed spindle, USB connection, Mac3 Control Software, Shop Vacuum &amp; Dust Foot, Starter Bit Kit; 30 seats of V-Carve Pro; 2 spare pieces of 24" x 16" MDF; 8 hours of "Getting Started Curriculum " (1-Year Shared Hosted Access); G-code Projects.  Specify on the order 110V or 220V.  Substitutions Available: Perpetual Content License (requires LMS Add On). </t>
        </r>
      </text>
    </comment>
    <comment ref="E4" authorId="0">
      <text>
        <r>
          <rPr>
            <b/>
            <sz val="9"/>
            <color indexed="81"/>
            <rFont val="Tahoma"/>
            <family val="2"/>
          </rPr>
          <t>ProRouter 2000 (4' x 4' MDF cutting area): 20V 3HP spindle PC Controlled, Windows 7 64bit computer, Ethernet Connection, Mac3 Control Software, 7 piece starter bit kit, 220V 2Hp 30 micron dust collector &amp; dust foot, 30 seats of V-Carve Pro; 2 spare pieces of 4'x4'MDF; 8 hours of "Getting Started Curriculum"(1-Year Shared Hosted Access); G-code Projects. Substitutions Available: Perpetual Content License (requires LMS Add On).</t>
        </r>
      </text>
    </comment>
    <comment ref="E5" authorId="0">
      <text>
        <r>
          <rPr>
            <b/>
            <sz val="9"/>
            <color indexed="81"/>
            <rFont val="Tahoma"/>
            <family val="2"/>
          </rPr>
          <t>ProRouter 2100 (4' x 8' MDF cutting area): 20V 3HP spindle PC Controlled, Windows 7 64bit computer, Ethernet Connection, Mac3 Control Software, 7 piece starter bit kit, 220V 2Hp 30 micron dust collector &amp; dust foot, 30 seats of V-Carve Pro; 1 spare piece of 4'x8'MDF; 8 hours of "Getting Started Curriculum" (1-Year Shared Hosted Access);  G-code Projects.   Substitutions Available: Perpetual Content License (requires LMS Add On).</t>
        </r>
      </text>
    </comment>
    <comment ref="E7" authorId="0">
      <text>
        <r>
          <rPr>
            <b/>
            <sz val="9"/>
            <color indexed="81"/>
            <rFont val="Tahoma"/>
            <family val="2"/>
          </rPr>
          <t>Starter Bundle: Imperial/Metric; Specify on the order 110V (Imperial Accessories) or 220V (Metric Accessories)
CNC BenchMill 6000 110V (00-5505-0110) for Imperial or CNC BenchMill 6000 220V (00-5505-0220) for Metric 
 4"(100 mm) Precision Vise (10-1111-6000)
ER16 Collet Set-8 pieces(3,4,5,6,7,8,9 and 10mm) (10-1112-2000)
Advanced End Mill Package (10-1113-5000 for Imperial or 10-1113-4000 for Metric)
58 Piece Clamping Kit (10-1111-5000)
CNC Curriculum (77-8140-0001 for Imperial or 77-8140-0002 for Metric) 
* Curriculum requires access to LearnMate (see LearnMate tab)</t>
        </r>
      </text>
    </comment>
    <comment ref="E8" authorId="0">
      <text>
        <r>
          <rPr>
            <b/>
            <sz val="9"/>
            <color indexed="81"/>
            <rFont val="Tahoma"/>
            <family val="2"/>
          </rPr>
          <t>Standard Bundle, Imperial 
CNC BenchMill 6000 110V (00-5505-0110)
4"(100 mm) Precision Vise (10-1111-6000)
ER16 Collet Set-8 pieces (3,4,5,6,7,8,9 and 10mm) (10-1112-2000)
Advanced End Mill Package (10-1113-5000)  
58 Piece Clamping Kit (10-1111-5000)
ISO20 Tool Holder with Nut (10-1111-9000)   
Table Mounted 4 Tool Automatic Tool Changer (10-1115-2000)
Jog Pendant Handwheel (10-1111-1000)
Machinable Wax for Milling  50 Pieces (10-9120-0000)
CNC Curriculum (77-8140-0001) 
* Curriculum requires access to LearnMate (see LearnMate tab)</t>
        </r>
      </text>
    </comment>
    <comment ref="E9" authorId="0">
      <text>
        <r>
          <rPr>
            <b/>
            <sz val="9"/>
            <color indexed="81"/>
            <rFont val="Tahoma"/>
            <family val="2"/>
          </rPr>
          <t>Standard Bundle, Metric
CNC BenchMill 6000 220V (00-5505-0220
4"(100 mm) Precision Vise (10-1111-6000)
ER16 Collet Set-8 pieces (2x 3,6,8,10mm) (10-1115-0000)
Advanced End Mill Package (10-1113-4000)    
58 Piece Clamping Kit (10-1111-5000)
ISO20 Tool Holder with Nut (10-1111-9000)  
Table Mounted 4 Tool Automatic Tool Changer (10-1115-2000) 
Jog Pendant Handwheel (10-1111-1000) 
Machinable Wax for Milling - 50 Pieces (10-9120-0000)
CNC Curriculum (77-8140-0002)
* Curriculum requires access to LearnMate (see LearnMate tab)</t>
        </r>
      </text>
    </comment>
    <comment ref="E10" authorId="0">
      <text>
        <r>
          <rPr>
            <b/>
            <sz val="9"/>
            <color indexed="81"/>
            <rFont val="Tahoma"/>
            <family val="2"/>
          </rPr>
          <t>Advanced Bundle, Imperial
CNC BenchMill 6000 110V (00-5505-0110) 
4"(100 mm) Precision Vise (10-1111-6000)
ER16 Collet Set-8 pieces(3,4,5,6,7,8,9 and 10mm)  (10-1112-2000) 
Advanced End Mill Package (10-1113-5000) 
58 Piece Clamping Kit (10-1111-5000)
ISO20 Tool Holder with Nut (10-1111-9000)
Table Mounted 4 Tool Automatic Tool Changer (10-1115-2000)
Jog Pendant Handwheel (10-1111-1000) 
Coolant System (10-1108-1110) 
100 mm (4") Rotary Worktable (4th axis) with Tailstock (10-1108-8000) 
(3 1/8") 3 Jaw Chuck (10-1109-3000) 
3 pieces Engraving Tool Set 3 pieces (10-1113-7000)
CNC Curriculum (77-8140-0001) * Requires access to LearnMate</t>
        </r>
      </text>
    </comment>
    <comment ref="E11" authorId="0">
      <text>
        <r>
          <rPr>
            <b/>
            <sz val="9"/>
            <color indexed="81"/>
            <rFont val="Tahoma"/>
            <family val="2"/>
          </rPr>
          <t>Advanced Bundle, Metric  
CNC Machine (00-5505-0220)
100mm (4") Precision Vise (10-1111-6000)
ER16 Collet Set-8 pieces (2x 3,6,8,10mm) (10-1115-0000)
ER16  Collet Set-8 pieces(3,4,5,6,7,8,9 and 10mm)  (10-1112-2000)
Advanced End Mill Package (10-1113-4000)  
58 Piece Clamping Kit (10-1111-5000)   
ISO20 Tool Holder with Nut (10-1111-9000)   
Table Mounted 4 Tool Automatic Tool Changer (10-1115-2000) 
Jog Pendant Handwheel (10-1111-1000)
Machinable Wax for Milling 50 Pieces (10-9120-0000)           
Coolant System (10-1108-1220 ) 100 mm (4") 
Rotary Worktable (4th axis) with tailstock (10-1108-8000) 
80mm (3 1/8") 3 Jaw Chuck (10-1109-3000)   
3 Pieces Engraving Tool Set (10-1113-6000)
7 Pieces 6mm Engraving Tool Set (10-1108-6000)
CNC Curriculum (77-8140-0002 Metric)</t>
        </r>
      </text>
    </comment>
    <comment ref="E12" authorId="0">
      <text>
        <r>
          <rPr>
            <b/>
            <sz val="9"/>
            <color indexed="81"/>
            <rFont val="Tahoma"/>
            <family val="2"/>
          </rPr>
          <t>Starter Bundle: Imperial/Metric; Specify on the order 110V (Imperial Accessories) or 220V (Metric Accessories)
ProMill 8000 AC with 12 Tool ATC (00-5509-0110) for Imperial or ProMill 8000 AC with 12 Tool ATC 220V (00-5509-0220) for Metric 
To remove 4"(100mm) Precision Vise (10-1111-6000)
ER16 Collet Set-8 pieces (3,4,5,6,7,8,9 and 10mm)  (10-1112-2000)
Advanced End Mill Package (10-1113-5000 Imperial or 10-1113-4000 Metric)
58 Piece Clamping Kit (10-1111-5000)
ISO20 Tool Holder with Nuts (10-1111-9000)
CNC Curriculum (77-8142-0001 Imperial or 77-8142-0002 Metric)  * Requires access to LearnMate</t>
        </r>
      </text>
    </comment>
    <comment ref="E13" authorId="0">
      <text>
        <r>
          <rPr>
            <b/>
            <sz val="9"/>
            <color indexed="81"/>
            <rFont val="Tahoma"/>
            <family val="2"/>
          </rPr>
          <t>Standard Bundle, Imperial
ProMill 8000 AC with 12 Tool ATC (00-5509-0110) 
Advanced End Mill Package (10-1113-5000)
58 Piece Clamping Kit (10-1111-5000)
4 ISO20 Tool Holder Set (10-1117-4000)
Jog Pendant Handwheel (10-1111-1000)
Machinable Wax for Milling  50 Pieces (10-9120-0000)
CNC Curriculum (77-8142-0001) 
* Curriculum requires access to LearnMate (see LearnMate tab)</t>
        </r>
      </text>
    </comment>
    <comment ref="E14" authorId="0">
      <text>
        <r>
          <rPr>
            <b/>
            <sz val="9"/>
            <color indexed="81"/>
            <rFont val="Tahoma"/>
            <family val="2"/>
          </rPr>
          <t>Standard Bundle, Metric
CNC Machine with 12 Tool ATC, 
4"(100 mm) Precision Vise (10-1111-6000)
ER16 Collet Set-8 pieces (3,4,5,6,7,8,9 and 10mm) (10-1112-2000)
ER16 Collet Set-8 pieces (2x 3,6,8,10mm) (10-1115-0000)
Advanced End Mill Package 14 tools (10-1113-4000)
58 Piece Clamping Kit (10-1111-5000)
ISO20 Tool Holder with Nut (10-1111-9000)
Jog Pendant Handwheel  (10-1111-1000) 
Machinable Wax for Milling  50 Pieces (10-9120-0000)
CNC Curriculum (77-8142-000)
* Curriculum requires access to LearnMate (see LearnMate tab)</t>
        </r>
      </text>
    </comment>
    <comment ref="E15" authorId="0">
      <text>
        <r>
          <rPr>
            <b/>
            <sz val="9"/>
            <color indexed="81"/>
            <rFont val="Tahoma"/>
            <family val="2"/>
          </rPr>
          <t>Imperial
Includes CNC Machine with 12 Tool ATC
4"(100mm) Precision Vise (10-1111-6000)
ER16 Collet Set-8 pieces (3,4,5,6,7,8,9 and 10mm) (10-1112-2000)
Advanced End Mill Package 14 tools (10-1113-5000)
58 Piece Clamping Kit (10-1111-5000)
ISO20 Tool Holders with Nut (10-1111-9000)
4 Tool ISO20 Tool Holder Package (10-1111-7000)
Jog Pendant Handwheel (10-1111-1000)
Machinable Wax for Milling  50 Pieces (10-9120-0000)
100 mm (4") Rotary Worktable (4th axis) with tailstock (10-1108-8000)
80mm (3 1/8") 3-Jaw Chuck for Rotary Table (10-1109-3000) 
3 Piece Engraving Tool Set (10-1113-6000
Machine Mounted Monitor or CPU stand (8000/9000)
CNC Curriculum (77-8142-0001)
* Curriculum requires access to LearnMate (see LearnMate tab)</t>
        </r>
      </text>
    </comment>
    <comment ref="E16" authorId="0">
      <text>
        <r>
          <rPr>
            <b/>
            <sz val="9"/>
            <color indexed="81"/>
            <rFont val="Tahoma"/>
            <family val="2"/>
          </rPr>
          <t xml:space="preserve">Advanced Bundle, Metric
ProMill 8000 AC with 12 Tool ATC 220V (00-5509-0220)
4"(100mm) Precision Vise (10-1111-6000)
ER16 Collet Set-8 pieces (3,4,5,6,7,8,9 and 10mm) (10-1112-2000)
ER16 Collet Set-8 pieces(2x3,6,8,10mm)(10-1115-0000)
Advanced End Mill Package (10-1113-5000)
58 Piece Clamping Kit (10-1111-5000)
ISO20 Tool Holder (10-1111-9000)
Jog Pendant Handwheel  (10-1111-1000)
Machinable Wax for Milling  50 Pieces (10-9120-0000)
100 mm (4") Rotary Worktable (4th axis) with tailstock (10-1108-8000)
80mm (3 1/8") 3-Jaw Chuck for Rotary Table (10-1109-3000) 
3 Piece Engraving Tool Set (10-1113-7000)
7 Piece Engraving Tool Set, Metric (10-1108-6000)
CNC Curriculum (77-8142-000) </t>
        </r>
      </text>
    </comment>
    <comment ref="E18" authorId="0">
      <text>
        <r>
          <rPr>
            <b/>
            <sz val="9"/>
            <color indexed="81"/>
            <rFont val="Tahoma"/>
            <family val="2"/>
          </rPr>
          <t>Starter Bundle: Imperial/Metric; Specify on the order 110V (Imperial Accessories) or 220V (Metric Accessories)
CNC BenchTurn 7000 110V (00-5505-0110) for Imperial or CNC BenchMill 6000 220V (00-5505-0220) for Metric  
Tailstock Chuck MT2 Taper 0- 1/2" (13mm)  (10-1105-7000) 
7 Piece Turning Tool Set with Inserts 10 mm x 10 mm (10-1110-1000)
7 Piece Insert Replacement Set  (10-1110-2000 )
Rolling Center Tailstock MT2  (10-1106-6000)
CNC Curriculum (77-8141-0001) Imperial or (77-8141-0002 Metric)
* Curriculum requires access to LearnMate (see LearnMate tab)</t>
        </r>
      </text>
    </comment>
    <comment ref="E19" authorId="0">
      <text>
        <r>
          <rPr>
            <b/>
            <sz val="9"/>
            <color indexed="81"/>
            <rFont val="Tahoma"/>
            <family val="2"/>
          </rPr>
          <t>Advanced Bundle: Imperial/Metric; Specify on the order 110V (Imperial Accessories) or 220V (Metric Accessories)
CNC BenchTurn 7000 110V (00-5505-0110 for Imperial) or CNC BenchMill 6000 220V (00-5505-0220 for Metric)  Tailstock Chuck MT2 taper 1/2" (13mm) (10-1105-7000)  
7 Piece Turning Tool Set with Inserts 10 mm x 10 mm (10-1110-1000)   
7 piece insert replacement set  (10-1110-2000)  
Rolling Center Tailstock MT2  (10-1106-6000)
4 Jaw Chuck with 3.9" (100mm) Flange with Key (10-1106-7000)
Jog Pendant Handwheel (10-1111-1000)    
Coolant System-110 VAC (10-1108-1110 for Imperial) or Coolant System-220 VAC (10-1108-1220 for Metric) 
Machinable Wax for Turning 20 pieces (10-9350-000) 
CNC Curriculum (77-8141-0001) Imperial or 77-8141-0002 (Metric) 
* Curriculum requires access to LearnMate (see LearnMate tab)</t>
        </r>
      </text>
    </comment>
    <comment ref="E20" authorId="0">
      <text>
        <r>
          <rPr>
            <b/>
            <sz val="9"/>
            <color indexed="81"/>
            <rFont val="Tahoma"/>
            <family val="2"/>
          </rPr>
          <t>Starter Bundle: Imperial/Metric; Specify on the order 110V (Imperial Accessories) or 220V (Metric Accessories)
CNC ProTurn 9000 AC 110V (00-5501-0110) for Imperial or CNC ProTurn 9000 AC 220V (00-5501-0220) for Metric
Rolling Center Tailstock MT2  (10-1106-6000) 
7 Piece Turning Tool Set with Inserts 10 mm x 10 mm (10-1110-1000) 
7 Piece Insert Replacement Set  (10-1110-2000)
CNC Curriculum (77-8143-0001 for Imperial or 77-8143-0002 for Metric) 
* Curriculum requires access to LearnMate (see LearnMate tab)</t>
        </r>
      </text>
    </comment>
    <comment ref="E21" authorId="0">
      <text>
        <r>
          <rPr>
            <b/>
            <sz val="9"/>
            <color indexed="81"/>
            <rFont val="Tahoma"/>
            <family val="2"/>
          </rPr>
          <t>Advanced Bundle: Imperial/Metric; Specify on the order 110V (Imperial Accessories) or 220V (Metric Accessories)
CNC ProTurn 9000 AC 110V (00-5501-0110) for Imperial or CNC ProTurn 9000 AC 220V (00-5501-0220) for Metric, 
7 Piece Turning Tool Set with Inserts 10 mm x 10 mm (10-1110-1000)
7 Piece Insert Replacement Set  (10-1110-2000)
Rolling Center  Tailstock MT2 taper (10-1106-6000)
Tailstock Chuck MT2 taper 1/2" (13mm) (10-1105-7000)
4 Jaw Chuck with 3.9" (100mm) Flange (10-1106-7000)
Jog Pendant Handwheel  (10-1111-1000)
Coolant System-110 VAC (10-1108-1110 for Imperial) or Coolant System-220 VAC (10-1108-1220 for Metric)
Machine Mounted Monitor or CPU Stand (10-1105-5000)
CNC Curriculum (77-8143-0001 for Imperial or 77-8143-0002 for Metric)
* Curriculum requires access to LearnMate (see LearnMate tab)</t>
        </r>
      </text>
    </comment>
    <comment ref="E23" authorId="0">
      <text>
        <r>
          <rPr>
            <b/>
            <sz val="9"/>
            <color indexed="81"/>
            <rFont val="Tahoma"/>
            <family val="2"/>
          </rPr>
          <t xml:space="preserve">All in one compact training center emulates six basic plastic processes:  Vacuum forming, Free dome blowing, Plastic welding, Plastic drip coating, Injection molding and Extrusion.  NOT STOCKED, Please allow 18 Weeks for delivery.  Includes Thermoforming center, 15 hours of lab instruction in each of the 6 processes and safety LM7 content, Consumable materials. </t>
        </r>
      </text>
    </comment>
    <comment ref="E25" authorId="0">
      <text>
        <r>
          <rPr>
            <b/>
            <sz val="9"/>
            <color indexed="81"/>
            <rFont val="Tahoma"/>
            <family val="2"/>
          </rPr>
          <t>Plastic plexi-glass enclosure shield with handles for the BenchRouter 1000.</t>
        </r>
      </text>
    </comment>
    <comment ref="E27" authorId="0">
      <text>
        <r>
          <rPr>
            <b/>
            <sz val="9"/>
            <color indexed="81"/>
            <rFont val="Tahoma"/>
            <family val="2"/>
          </rPr>
          <t xml:space="preserve">3 Axis Stepper Based Machining Center with Pneumatic Shield Opener (110 VAC)
CNCBase Software
Accessory Kit with:
- ISO20 tool holder
- 1/8" collet
- 1/8" End Mill with 1/8" Shank 
- Hold Down Set
Doesn't include vise, recommended to add 4" (100 mm) Precision Vise  (10-1111-6000)
*Requires 90 PSI Air pressure  </t>
        </r>
      </text>
    </comment>
    <comment ref="E28" authorId="0">
      <text>
        <r>
          <rPr>
            <b/>
            <sz val="9"/>
            <color indexed="81"/>
            <rFont val="Tahoma"/>
            <family val="2"/>
          </rPr>
          <t xml:space="preserve">220V Version of CNC BenchMill 6000 with Metric Tooling
 Doesn't include vise, recommended to add 4" (100 mm) Precision Vise  (10-1111-6000)
 *Requires 6 BAR Air pressure  </t>
        </r>
      </text>
    </comment>
    <comment ref="E29" authorId="0">
      <text>
        <r>
          <rPr>
            <b/>
            <sz val="9"/>
            <color indexed="81"/>
            <rFont val="Tahoma"/>
            <family val="2"/>
          </rPr>
          <t>Stepper Based Turning Center with 4 station Automatic Tool Turret (110 VAC)
CNCBase Software  
Accessory Kit with:
- 2x Dead Center(1long, 1 short)
- Allen Wrench Set (4 keys)
- 8-10 mm Wrench
- 12-14 mm Wrench
- Electrical Panel Keys
- 5x20 mm Fuse- 10 Amp
- Chuck Key-T Handle
- 2 Chuck Jaws
- Ethernet Cable
- Cutting Tool 10mm x 10mm</t>
        </r>
      </text>
    </comment>
    <comment ref="E30" authorId="0">
      <text>
        <r>
          <rPr>
            <b/>
            <sz val="9"/>
            <color indexed="81"/>
            <rFont val="Tahoma"/>
            <family val="2"/>
          </rPr>
          <t xml:space="preserve">220 Version of CNC BenchTurn 7000 with Metric Tooling
</t>
        </r>
      </text>
    </comment>
    <comment ref="E31" authorId="0">
      <text>
        <r>
          <rPr>
            <b/>
            <sz val="9"/>
            <color indexed="81"/>
            <rFont val="Tahoma"/>
            <family val="2"/>
          </rPr>
          <t xml:space="preserve">3 Axis AC Servo Machining Center with 12 Station Automatic Tool Changer (110 VAC)
Pneumatic Power Draw 2bar 
CNCBase Software 
Accessory Kit with:                                                                    
- ISO20 tool holder                                                                        
- 1/8" collet 
- 1/8" End Mill with 1/8" Shank
- Hold Down Set
Doesn't include vise, recommended to add 4" (100 mm) Precision Vise (10-1111-6000)
 *Requires 90 PSI Air pressure </t>
        </r>
      </text>
    </comment>
    <comment ref="E32" authorId="0">
      <text>
        <r>
          <rPr>
            <b/>
            <sz val="9"/>
            <color indexed="81"/>
            <rFont val="Tahoma"/>
            <family val="2"/>
          </rPr>
          <t xml:space="preserve">220 Version of ProMill 8000 AC with 12 Tool Changer and Metric Tooling
Doesn't include vise, recommended to add 4" (100 mm) Precision Vise (10-1111-6000)
 *Requires 6 BAR Air pressure </t>
        </r>
      </text>
    </comment>
    <comment ref="E33" authorId="0">
      <text>
        <r>
          <rPr>
            <b/>
            <sz val="9"/>
            <color indexed="81"/>
            <rFont val="Tahoma"/>
            <family val="2"/>
          </rPr>
          <t>AC Servo Turning Center with 4 station Automatic Tool Turret (110VAC)
CNCBase Software
Accessory Kit with:
- 2x Dead Center(1long, 1 short)
- Allen Wrench Set (4 keys)
- 8-10 mm Wrench
- 4x Open Ended Wrench ( 5.5-7mm, 8-10mm, 12-14mm, 17-19mm)
- Spanner Wrench 
- Electrical Panel Keys
- 5x20 mm Fuse- 10 Amp
- Chuck Key-T Handle
- 3x Chuck Jaw
- Ethernet Cable
- Cutting Tool 10mm x 10mm</t>
        </r>
      </text>
    </comment>
    <comment ref="E34" authorId="0">
      <text>
        <r>
          <rPr>
            <b/>
            <sz val="9"/>
            <color indexed="81"/>
            <rFont val="Tahoma"/>
            <family val="2"/>
          </rPr>
          <t xml:space="preserve">220 Version of ProTurn 9000 with Metric Tooling
</t>
        </r>
      </text>
    </comment>
    <comment ref="E36" authorId="0">
      <text>
        <r>
          <rPr>
            <b/>
            <sz val="9"/>
            <color indexed="81"/>
            <rFont val="Tahoma"/>
            <family val="2"/>
          </rPr>
          <t>4" (100mm) Precision Machine Vise (6000 / 8000)</t>
        </r>
      </text>
    </comment>
    <comment ref="E37" authorId="0">
      <text>
        <r>
          <rPr>
            <b/>
            <sz val="9"/>
            <color indexed="81"/>
            <rFont val="Tahoma"/>
            <family val="2"/>
          </rPr>
          <t>4" (100mm) Vise with Angle Adjustment for Mill (6000 / 8000), allows for Angle adjustments.</t>
        </r>
      </text>
    </comment>
    <comment ref="E38" authorId="0">
      <text>
        <r>
          <rPr>
            <b/>
            <sz val="9"/>
            <color indexed="81"/>
            <rFont val="Tahoma"/>
            <family val="2"/>
          </rPr>
          <t>8 Piece ER16 Collet Set, 2 each of the following:
(0.078 - 0.118", 2mm - 3mm)
(0.197 - 0.236", 5mm - 6mm)
(0.276 - 0.315", 7mm - 8mm)
(0.354 - 0.394", 9mm - 10mm) (6000 / 8000)</t>
        </r>
      </text>
    </comment>
    <comment ref="E39" authorId="0">
      <text>
        <r>
          <rPr>
            <b/>
            <sz val="9"/>
            <color indexed="81"/>
            <rFont val="Tahoma"/>
            <family val="2"/>
          </rPr>
          <t>(6000/8000)</t>
        </r>
      </text>
    </comment>
    <comment ref="E40" authorId="0">
      <text>
        <r>
          <rPr>
            <b/>
            <sz val="9"/>
            <color indexed="81"/>
            <rFont val="Tahoma"/>
            <family val="2"/>
          </rPr>
          <t>14 Piece Advanced End Mill Set, Imperial, (2 Each of the following):
1/8" Dia. 4 Flute End Mill
3/16" Dia. 4 Flute End Mill
1/4" Dia. 4 Flute End Mill
5/16" Dia. 4 Flute End Mill
3/8" Dia. 4 Flute End Mill 
1/8" Dia. 2 Flute Ball Mill 
1/4" Dia. 2 Flute Ball Mill (Straight Shank) (6000/8000)</t>
        </r>
      </text>
    </comment>
    <comment ref="E41" authorId="0">
      <text>
        <r>
          <rPr>
            <b/>
            <sz val="9"/>
            <color indexed="81"/>
            <rFont val="Tahoma"/>
            <family val="2"/>
          </rPr>
          <t>12 Piece Advanced End Mill Set, Metric, (2 Each of the following):
3mm Dia. 4 Flute End Mill 
6mm Dia. 4 Flute End Mill
8mm Dia. 4 Flute End Mill 
10 mm Dia. 4 Flute End Mill
4 mm Dia. 2 Flute Ball Mill
6mm Dia. 2 Flute Ball Mill (Straight Shank) (6000/8000)</t>
        </r>
      </text>
    </comment>
    <comment ref="E42" authorId="0">
      <text>
        <r>
          <rPr>
            <b/>
            <sz val="9"/>
            <color indexed="81"/>
            <rFont val="Tahoma"/>
            <family val="2"/>
          </rPr>
          <t>(6000/8000)</t>
        </r>
      </text>
    </comment>
    <comment ref="E43" authorId="0">
      <text>
        <r>
          <rPr>
            <b/>
            <sz val="9"/>
            <color indexed="81"/>
            <rFont val="Tahoma"/>
            <family val="2"/>
          </rPr>
          <t>(6000/8000)</t>
        </r>
      </text>
    </comment>
    <comment ref="E44" authorId="0">
      <text>
        <r>
          <rPr>
            <b/>
            <sz val="9"/>
            <color indexed="81"/>
            <rFont val="Tahoma"/>
            <family val="2"/>
          </rPr>
          <t>Tool Holder Set to include: 
Four ISO20 Tool Holders with Nuts
6 piece ER16 Collet Set: 
Three 3/8" (10mm)
One 1/4" (7mm)
One 1/8" (4mm) Collet
One Tool Holder Rack for 8 Tools (6000/8000)</t>
        </r>
      </text>
    </comment>
    <comment ref="E45" authorId="0">
      <text>
        <r>
          <rPr>
            <b/>
            <sz val="9"/>
            <color indexed="81"/>
            <rFont val="Tahoma"/>
            <family val="2"/>
          </rPr>
          <t>Table Mounted 4 Station Automatic Tool Changer 
8 holder tool rack
4 tool holders
Tool holder wrench
8 collets(6000/8000)</t>
        </r>
      </text>
    </comment>
    <comment ref="E46" authorId="0">
      <text>
        <r>
          <rPr>
            <b/>
            <sz val="9"/>
            <color indexed="81"/>
            <rFont val="Tahoma"/>
            <family val="2"/>
          </rPr>
          <t>Jog Pendant Handwheel Control (6000/8000)</t>
        </r>
      </text>
    </comment>
    <comment ref="E47" authorId="0">
      <text>
        <r>
          <rPr>
            <b/>
            <sz val="9"/>
            <color indexed="81"/>
            <rFont val="Tahoma"/>
            <family val="2"/>
          </rPr>
          <t>(6000/8000)</t>
        </r>
      </text>
    </comment>
    <comment ref="E48" authorId="0">
      <text>
        <r>
          <rPr>
            <b/>
            <sz val="9"/>
            <color indexed="81"/>
            <rFont val="Tahoma"/>
            <family val="2"/>
          </rPr>
          <t>(6000/8000)</t>
        </r>
      </text>
    </comment>
    <comment ref="E49" authorId="0">
      <text>
        <r>
          <rPr>
            <b/>
            <sz val="9"/>
            <color indexed="81"/>
            <rFont val="Tahoma"/>
            <family val="2"/>
          </rPr>
          <t>4th Axis Rotary Positioner with Tailstock (6000/8000) *requires chuck</t>
        </r>
      </text>
    </comment>
    <comment ref="E50" authorId="0">
      <text>
        <r>
          <rPr>
            <b/>
            <sz val="9"/>
            <color indexed="81"/>
            <rFont val="Tahoma"/>
            <family val="2"/>
          </rPr>
          <t>80 mm (3 1/8") 3-Jaw Chuck for Rotary Positioner (6000 / 8000)</t>
        </r>
      </text>
    </comment>
    <comment ref="E51" authorId="0">
      <text>
        <r>
          <rPr>
            <b/>
            <sz val="9"/>
            <color indexed="81"/>
            <rFont val="Tahoma"/>
            <family val="2"/>
          </rPr>
          <t>3 Piece Engraving tool Set, Imperial
Conical Nose Engraving Bit with 1/4" Shank
1/16" End Mill with 1/8" Shank
1/32" End Mill with 1/8" Shank (6000/8000)</t>
        </r>
      </text>
    </comment>
    <comment ref="E52" authorId="0">
      <text>
        <r>
          <rPr>
            <b/>
            <sz val="9"/>
            <color indexed="81"/>
            <rFont val="Tahoma"/>
            <family val="2"/>
          </rPr>
          <t>3 Piece Engraving Tool Set, Metric
1mm Dia. 4 Flute End Mill 3mm Shank
1.5mm Dia. 4 Flute End Mill 3mm Shank 
2 mm Dia. 4 Flute End Mill 3mm Shank (6000/8000)</t>
        </r>
      </text>
    </comment>
    <comment ref="E53" authorId="0">
      <text>
        <r>
          <rPr>
            <b/>
            <sz val="9"/>
            <color indexed="81"/>
            <rFont val="Tahoma"/>
            <family val="2"/>
          </rPr>
          <t>7 Piece Engraving Tool Set, Metric (6mm) (6000/8000)</t>
        </r>
      </text>
    </comment>
    <comment ref="E54" authorId="0">
      <text>
        <r>
          <rPr>
            <b/>
            <sz val="9"/>
            <color indexed="81"/>
            <rFont val="Tahoma"/>
            <family val="2"/>
          </rPr>
          <t>8000 Only</t>
        </r>
      </text>
    </comment>
    <comment ref="E55" authorId="0">
      <text>
        <r>
          <rPr>
            <b/>
            <sz val="9"/>
            <color indexed="81"/>
            <rFont val="Tahoma"/>
            <family val="2"/>
          </rPr>
          <t>3" (80mm) 4 Jaw Chuck (independent) for Rotary Positioner (6000 / 8000)</t>
        </r>
      </text>
    </comment>
    <comment ref="E56" authorId="0">
      <text>
        <r>
          <rPr>
            <b/>
            <sz val="9"/>
            <color indexed="81"/>
            <rFont val="Tahoma"/>
            <family val="2"/>
          </rPr>
          <t>Table Mounted 4 Station Automatic Tool Changer (6000 / 8000)</t>
        </r>
      </text>
    </comment>
    <comment ref="E57" authorId="0">
      <text>
        <r>
          <rPr>
            <b/>
            <sz val="9"/>
            <color indexed="81"/>
            <rFont val="Tahoma"/>
            <family val="2"/>
          </rPr>
          <t>6000 / 8000</t>
        </r>
      </text>
    </comment>
    <comment ref="E58" authorId="0">
      <text>
        <r>
          <rPr>
            <b/>
            <sz val="9"/>
            <color indexed="81"/>
            <rFont val="Tahoma"/>
            <family val="2"/>
          </rPr>
          <t>6000 / 8000</t>
        </r>
      </text>
    </comment>
    <comment ref="E59" authorId="0">
      <text>
        <r>
          <rPr>
            <b/>
            <sz val="9"/>
            <color indexed="81"/>
            <rFont val="Tahoma"/>
            <family val="2"/>
          </rPr>
          <t>6000 / 8000</t>
        </r>
      </text>
    </comment>
    <comment ref="E60" authorId="0">
      <text>
        <r>
          <rPr>
            <b/>
            <sz val="9"/>
            <color indexed="81"/>
            <rFont val="Tahoma"/>
            <family val="2"/>
          </rPr>
          <t>6000 / 8000</t>
        </r>
      </text>
    </comment>
    <comment ref="E61" authorId="0">
      <text>
        <r>
          <rPr>
            <b/>
            <sz val="9"/>
            <color indexed="81"/>
            <rFont val="Tahoma"/>
            <family val="2"/>
          </rPr>
          <t>Quiet Operation Industrial Air Compressor and Conditioning System 6000/8000</t>
        </r>
      </text>
    </comment>
    <comment ref="E62" authorId="0">
      <text>
        <r>
          <rPr>
            <b/>
            <sz val="9"/>
            <color indexed="81"/>
            <rFont val="Tahoma"/>
            <family val="2"/>
          </rPr>
          <t>3 Piece End Mill Set, Imperial
1/8" Dia. 4 Flute End Mill with 1/8" Shank 
1/4" Dia. 4 Flute End Mill with 1/4" Shank 
3/8" Dia. 4 Flute End Mill with 3/8" Shank (6000/8000)</t>
        </r>
      </text>
    </comment>
    <comment ref="E63" authorId="0">
      <text>
        <r>
          <rPr>
            <b/>
            <sz val="9"/>
            <color indexed="81"/>
            <rFont val="Tahoma"/>
            <family val="2"/>
          </rPr>
          <t>3 Piece End Mill Set, Metric
2mm Dia. 4 Flute End Mill with 3mm Shank 
3mm Dia. 4 Flute End Mill with 3mm Shank
6mm Dia. 4 Flute End Mill with 6mm Shank (6000/8000)</t>
        </r>
      </text>
    </comment>
    <comment ref="E64" authorId="0">
      <text>
        <r>
          <rPr>
            <b/>
            <sz val="9"/>
            <color indexed="81"/>
            <rFont val="Tahoma"/>
            <family val="2"/>
          </rPr>
          <t>Machinists Kit : 
One -10-1111-6000 - 4" (100mm) Precision Vise
Four- 10-1111-9000 ISO20 Tool Holder with Nut
One - 10-1112-1000 - Storage rack for ISO 20 Tool Holder
One -10-1112-2000 - ER 16 Collet set 8 pieces (3,4,5,6,7,8,9 and 10mm)
One- 10-1111-5000 - 58 Piece Clamping Kit
One - 10-1113-5000 - Advanced End Mill Package (14 tools) (6000/8000)</t>
        </r>
      </text>
    </comment>
    <comment ref="E65" authorId="0">
      <text>
        <r>
          <rPr>
            <b/>
            <sz val="9"/>
            <color indexed="81"/>
            <rFont val="Tahoma"/>
            <family val="2"/>
          </rPr>
          <t>Mobile workbench with Storage Cabinet, 60" (1.5m ) long x 30" (0.76m) deep x 31" (0.79m) high (6000)</t>
        </r>
      </text>
    </comment>
    <comment ref="E66" authorId="0">
      <text>
        <r>
          <rPr>
            <b/>
            <sz val="9"/>
            <color indexed="81"/>
            <rFont val="Tahoma"/>
            <family val="2"/>
          </rPr>
          <t>Mobile workbench  with 3 Drawer storage 60" (1.5m ) long x 30" (0.76m) deep x 31" (0.79m) high. 
Desk Style with 3 drawer cabinets.  (6000)</t>
        </r>
      </text>
    </comment>
    <comment ref="E67" authorId="0">
      <text>
        <r>
          <rPr>
            <b/>
            <sz val="9"/>
            <color indexed="81"/>
            <rFont val="Tahoma"/>
            <family val="2"/>
          </rPr>
          <t>Mobile workbench with 3 Drawer Storage  96" (2.4m ) long x 30" (0.76m) deep x 31" (0.79m) high. 
Desk Style (6000)</t>
        </r>
      </text>
    </comment>
    <comment ref="E69" authorId="0">
      <text>
        <r>
          <rPr>
            <b/>
            <sz val="9"/>
            <color indexed="81"/>
            <rFont val="Tahoma"/>
            <family val="2"/>
          </rPr>
          <t>7000/9000</t>
        </r>
      </text>
    </comment>
    <comment ref="E70" authorId="0">
      <text>
        <r>
          <rPr>
            <b/>
            <sz val="9"/>
            <color indexed="81"/>
            <rFont val="Tahoma"/>
            <family val="2"/>
          </rPr>
          <t>7000/9000</t>
        </r>
      </text>
    </comment>
    <comment ref="E71" authorId="0">
      <text>
        <r>
          <rPr>
            <b/>
            <sz val="9"/>
            <color indexed="81"/>
            <rFont val="Tahoma"/>
            <family val="2"/>
          </rPr>
          <t>Tin Coated Cutter with Inserts  (7000/9000)</t>
        </r>
      </text>
    </comment>
    <comment ref="E72" authorId="0">
      <text>
        <r>
          <rPr>
            <b/>
            <sz val="9"/>
            <color indexed="81"/>
            <rFont val="Tahoma"/>
            <family val="2"/>
          </rPr>
          <t>Insert replacements for 7 piece set 10-1110-1000 (7000/9000)</t>
        </r>
      </text>
    </comment>
    <comment ref="E73" authorId="0">
      <text>
        <r>
          <rPr>
            <b/>
            <sz val="9"/>
            <color indexed="81"/>
            <rFont val="Tahoma"/>
            <family val="2"/>
          </rPr>
          <t>4 Jaw Chuck with 3.9" (100mm) flange with key (7000 only)</t>
        </r>
      </text>
    </comment>
    <comment ref="E74" authorId="0">
      <text>
        <r>
          <rPr>
            <b/>
            <sz val="9"/>
            <color indexed="81"/>
            <rFont val="Tahoma"/>
            <family val="2"/>
          </rPr>
          <t>Jog Pendant Handwheel Control (7000/9000)</t>
        </r>
      </text>
    </comment>
    <comment ref="E75" authorId="0">
      <text>
        <r>
          <rPr>
            <b/>
            <sz val="9"/>
            <color indexed="81"/>
            <rFont val="Tahoma"/>
            <family val="2"/>
          </rPr>
          <t>7000/9000</t>
        </r>
      </text>
    </comment>
    <comment ref="E76" authorId="0">
      <text>
        <r>
          <rPr>
            <b/>
            <sz val="9"/>
            <color indexed="81"/>
            <rFont val="Tahoma"/>
            <family val="2"/>
          </rPr>
          <t>7000/9000</t>
        </r>
      </text>
    </comment>
    <comment ref="E77" authorId="0">
      <text>
        <r>
          <rPr>
            <b/>
            <sz val="9"/>
            <color indexed="81"/>
            <rFont val="Tahoma"/>
            <family val="2"/>
          </rPr>
          <t>4 Jaw Chuck with 4.9" (125mm) flange with key (9000 only)</t>
        </r>
      </text>
    </comment>
    <comment ref="E78" authorId="0">
      <text>
        <r>
          <rPr>
            <b/>
            <sz val="9"/>
            <color indexed="81"/>
            <rFont val="Tahoma"/>
            <family val="2"/>
          </rPr>
          <t>Basic Air Compressor and Conditioning System7000/9000</t>
        </r>
      </text>
    </comment>
    <comment ref="E79" authorId="0">
      <text>
        <r>
          <rPr>
            <b/>
            <sz val="9"/>
            <color indexed="81"/>
            <rFont val="Tahoma"/>
            <family val="2"/>
          </rPr>
          <t>Quiet Operation Industrial Air Compressor and Conditioning System (7000/9000)</t>
        </r>
      </text>
    </comment>
    <comment ref="E80" authorId="0">
      <text>
        <r>
          <rPr>
            <b/>
            <sz val="9"/>
            <color indexed="81"/>
            <rFont val="Tahoma"/>
            <family val="2"/>
          </rPr>
          <t>9000 only</t>
        </r>
      </text>
    </comment>
    <comment ref="E81" authorId="0">
      <text>
        <r>
          <rPr>
            <b/>
            <sz val="9"/>
            <color indexed="81"/>
            <rFont val="Tahoma"/>
            <family val="2"/>
          </rPr>
          <t>9000 only</t>
        </r>
      </text>
    </comment>
    <comment ref="E82" authorId="0">
      <text>
        <r>
          <rPr>
            <b/>
            <sz val="9"/>
            <color indexed="81"/>
            <rFont val="Tahoma"/>
            <family val="2"/>
          </rPr>
          <t>9000 only</t>
        </r>
      </text>
    </comment>
    <comment ref="E83" authorId="0">
      <text>
        <r>
          <rPr>
            <b/>
            <sz val="9"/>
            <color indexed="81"/>
            <rFont val="Tahoma"/>
            <family val="2"/>
          </rPr>
          <t>Mobile workbench with Storage Cabinet, 60" (1.5m ) long x 30" (0.76m) deep x 31" (0.79m) high (7000)</t>
        </r>
      </text>
    </comment>
    <comment ref="E84" authorId="0">
      <text>
        <r>
          <rPr>
            <b/>
            <sz val="9"/>
            <color indexed="81"/>
            <rFont val="Tahoma"/>
            <family val="2"/>
          </rPr>
          <t xml:space="preserve">Mobile workbench  with 3 Drawer storage 60" (1.5m ) long x 30" (0.76m) deep x 31" (0.79m) high. 
Desk Style with 3 drawer cabinets (7000).   </t>
        </r>
      </text>
    </comment>
    <comment ref="E85" authorId="0">
      <text>
        <r>
          <rPr>
            <b/>
            <sz val="9"/>
            <color indexed="81"/>
            <rFont val="Tahoma"/>
            <family val="2"/>
          </rPr>
          <t>Mobile workbench with 3 Drawer Storage  96" (2.4m ) long x 30" (0.76m) deep x 31" (0.79m) high. 
Desk Style (7000)</t>
        </r>
      </text>
    </comment>
    <comment ref="E87" authorId="0">
      <text>
        <r>
          <rPr>
            <b/>
            <sz val="9"/>
            <color indexed="81"/>
            <rFont val="Tahoma"/>
            <family val="2"/>
          </rPr>
          <t>6000 / 8000</t>
        </r>
      </text>
    </comment>
    <comment ref="E88" authorId="0">
      <text>
        <r>
          <rPr>
            <b/>
            <sz val="9"/>
            <color indexed="81"/>
            <rFont val="Tahoma"/>
            <family val="2"/>
          </rPr>
          <t>6000 / 8000</t>
        </r>
      </text>
    </comment>
    <comment ref="E89" authorId="0">
      <text>
        <r>
          <rPr>
            <b/>
            <sz val="9"/>
            <color indexed="81"/>
            <rFont val="Tahoma"/>
            <family val="2"/>
          </rPr>
          <t>7000 only</t>
        </r>
      </text>
    </comment>
    <comment ref="E90" authorId="0">
      <text>
        <r>
          <rPr>
            <b/>
            <sz val="9"/>
            <color indexed="81"/>
            <rFont val="Tahoma"/>
            <family val="2"/>
          </rPr>
          <t>9000 only</t>
        </r>
      </text>
    </comment>
    <comment ref="E91" authorId="0">
      <text>
        <r>
          <rPr>
            <b/>
            <sz val="9"/>
            <color indexed="81"/>
            <rFont val="Tahoma"/>
            <family val="2"/>
          </rPr>
          <t>8000 only</t>
        </r>
      </text>
    </comment>
    <comment ref="E92" authorId="0">
      <text>
        <r>
          <rPr>
            <b/>
            <sz val="9"/>
            <color indexed="81"/>
            <rFont val="Tahoma"/>
            <family val="2"/>
          </rPr>
          <t>Pneumatic shield opener with sensors (7000 only)</t>
        </r>
      </text>
    </comment>
    <comment ref="E93" authorId="0">
      <text>
        <r>
          <rPr>
            <b/>
            <sz val="9"/>
            <color indexed="81"/>
            <rFont val="Tahoma"/>
            <family val="2"/>
          </rPr>
          <t>Pneumatic shield opener with sensors (9000 only)</t>
        </r>
      </text>
    </comment>
    <comment ref="E95" authorId="0">
      <text>
        <r>
          <rPr>
            <b/>
            <sz val="9"/>
            <color indexed="81"/>
            <rFont val="Tahoma"/>
            <family val="2"/>
          </rPr>
          <t xml:space="preserve">Imperial version.15 hours of virtual instruction in CNC based on the BenchMill 6000. LM7 content. Includes CNCMotion simulation software launched from within LearnMate.  </t>
        </r>
      </text>
    </comment>
    <comment ref="E96" authorId="0">
      <text>
        <r>
          <rPr>
            <b/>
            <sz val="9"/>
            <color indexed="81"/>
            <rFont val="Tahoma"/>
            <family val="2"/>
          </rPr>
          <t>Metric Version. 15 hours of virtual instruction in CNC based on the BenchMill 6000. LM7 content. Includes CNCMotion simulation software launched from within LearnMate.</t>
        </r>
      </text>
    </comment>
    <comment ref="E97" authorId="0">
      <text>
        <r>
          <rPr>
            <b/>
            <sz val="9"/>
            <color indexed="81"/>
            <rFont val="Tahoma"/>
            <family val="2"/>
          </rPr>
          <t xml:space="preserve">Imperial version. 15 hours of virtual instruction in CNC based on the BenchTurn 7000. LM7 content.  Includes CNCMotion simulation software  launched from within LearnMate. 
</t>
        </r>
      </text>
    </comment>
    <comment ref="E98" authorId="0">
      <text>
        <r>
          <rPr>
            <b/>
            <sz val="9"/>
            <color indexed="81"/>
            <rFont val="Tahoma"/>
            <family val="2"/>
          </rPr>
          <t xml:space="preserve">Metric version 15 hours of virtual instruction in CNC based on the BenchTurn 7000. LM7 content. The CNC turning technology course introduces the student to the use of BenchTurn 7000. Includes CNCMotion simulation software  launched from within LearnMate. </t>
        </r>
      </text>
    </comment>
    <comment ref="E99" authorId="0">
      <text>
        <r>
          <rPr>
            <b/>
            <sz val="9"/>
            <color indexed="81"/>
            <rFont val="Tahoma"/>
            <family val="2"/>
          </rPr>
          <t>Imperial version. 15 hours of virtual instruction in CNC, based on the ProMill 8000. LM7 content. Includes CNCMotion simulation software launched from within LearnMate.</t>
        </r>
      </text>
    </comment>
    <comment ref="E100" authorId="0">
      <text>
        <r>
          <rPr>
            <b/>
            <sz val="9"/>
            <color indexed="81"/>
            <rFont val="Tahoma"/>
            <family val="2"/>
          </rPr>
          <t>Metric Version. 15 hours of virtual instruction in CNC, based on the ProMill 8000. LM7 content. Includes CNCMotion simulation software launched from within LearnMate.</t>
        </r>
      </text>
    </comment>
    <comment ref="E101" authorId="0">
      <text>
        <r>
          <rPr>
            <b/>
            <sz val="9"/>
            <color indexed="81"/>
            <rFont val="Tahoma"/>
            <family val="2"/>
          </rPr>
          <t>Imperial version.15 hours of virtual instruction in CNC, based on the ProTurn 9000.  LMT content. Includes CNCMotion simulation software  launched from within LearnMate.</t>
        </r>
      </text>
    </comment>
    <comment ref="E102" authorId="0">
      <text>
        <r>
          <rPr>
            <b/>
            <sz val="9"/>
            <color indexed="81"/>
            <rFont val="Tahoma"/>
            <family val="2"/>
          </rPr>
          <t>Metric version.15 hours of virtual instruction in CNC, based on the ProTurn 9000. LM7 content.  Includes CNCMotion simulation software  launched from within LearnMate.</t>
        </r>
      </text>
    </comment>
    <comment ref="E103" authorId="0">
      <text>
        <r>
          <rPr>
            <b/>
            <sz val="9"/>
            <color indexed="81"/>
            <rFont val="Tahoma"/>
            <family val="2"/>
          </rPr>
          <t xml:space="preserve">Imperial version. 15 hours of lab instruction in CNC based on the BenchMill 6000. LM7 content.  Includes CNCMotion simulation software launched from within the curriculum.  Requires the BenchMill 6000.   </t>
        </r>
      </text>
    </comment>
    <comment ref="E104" authorId="0">
      <text>
        <r>
          <rPr>
            <b/>
            <sz val="9"/>
            <color indexed="81"/>
            <rFont val="Tahoma"/>
            <family val="2"/>
          </rPr>
          <t xml:space="preserve">Metric version.  15 hours of lab instruction in CNC based on the BenchMill 6000.  LM7 content. Requires the BenchMill 6000.   </t>
        </r>
      </text>
    </comment>
    <comment ref="E105" authorId="0">
      <text>
        <r>
          <rPr>
            <b/>
            <sz val="9"/>
            <color indexed="81"/>
            <rFont val="Tahoma"/>
            <family val="2"/>
          </rPr>
          <t>Imperial version. 15 hours of lab instruction in CNC. LM7 content. Requires the BenchTurn 7000.</t>
        </r>
      </text>
    </comment>
    <comment ref="E106" authorId="0">
      <text>
        <r>
          <rPr>
            <b/>
            <sz val="9"/>
            <color indexed="81"/>
            <rFont val="Tahoma"/>
            <family val="2"/>
          </rPr>
          <t>Metric Version. 15 hours of lab instruction in CNC. LM7 content. Requires the BenchTurn 7000.</t>
        </r>
      </text>
    </comment>
    <comment ref="E107" authorId="0">
      <text>
        <r>
          <rPr>
            <b/>
            <sz val="9"/>
            <color indexed="81"/>
            <rFont val="Tahoma"/>
            <family val="2"/>
          </rPr>
          <t xml:space="preserve">Imperial version. 15 hours of lab instruction in CNC. LM7 content. Requires the ProMill 8000. </t>
        </r>
      </text>
    </comment>
    <comment ref="E108" authorId="0">
      <text>
        <r>
          <rPr>
            <b/>
            <sz val="9"/>
            <color indexed="81"/>
            <rFont val="Tahoma"/>
            <family val="2"/>
          </rPr>
          <t xml:space="preserve">Metric Version. 15 hours of lab instruction in CNC. LM7 content. Requires the ProMill 8000. </t>
        </r>
      </text>
    </comment>
    <comment ref="E109" authorId="0">
      <text>
        <r>
          <rPr>
            <b/>
            <sz val="9"/>
            <color indexed="81"/>
            <rFont val="Tahoma"/>
            <family val="2"/>
          </rPr>
          <t xml:space="preserve">Imperial version. 15 hours of lab instruction in CNC. LM7 content. Requires the ProTurn 9000.    </t>
        </r>
      </text>
    </comment>
    <comment ref="E110" authorId="0">
      <text>
        <r>
          <rPr>
            <b/>
            <sz val="9"/>
            <color indexed="81"/>
            <rFont val="Tahoma"/>
            <family val="2"/>
          </rPr>
          <t xml:space="preserve">Metric version.  Imperial version. 15 hours of lab instruction in CNC. LM7 content. Requires the ProTurn 9000.    </t>
        </r>
      </text>
    </comment>
    <comment ref="E111" authorId="0">
      <text>
        <r>
          <rPr>
            <b/>
            <sz val="9"/>
            <color indexed="81"/>
            <rFont val="Tahoma"/>
            <family val="2"/>
          </rPr>
          <t xml:space="preserve">Imperial version. 15 hours of virtual instruction in Computer Aided Drafting (CAD) with spectraCAD Engraving. LM7 content.  Includes SpectraCAD/Engraving Software.   </t>
        </r>
      </text>
    </comment>
    <comment ref="E112" authorId="0">
      <text>
        <r>
          <rPr>
            <b/>
            <sz val="9"/>
            <color indexed="81"/>
            <rFont val="Tahoma"/>
            <family val="2"/>
          </rPr>
          <t xml:space="preserve">Metric version. 15 hours of virtual  instruction in Computer Aided Drafting (CAD) with spectraCAD Engraving. LM7 content. Includes SpectraCAD/Engraving Software.   </t>
        </r>
      </text>
    </comment>
    <comment ref="E113" authorId="0">
      <text>
        <r>
          <rPr>
            <b/>
            <sz val="9"/>
            <color indexed="81"/>
            <rFont val="Tahoma"/>
            <family val="2"/>
          </rPr>
          <t xml:space="preserve">Imperial version. 15 hours of virtual instruction in Computer Aided Manufacturing (CAM) milling.  LM7 content. Includes CAM Software.  </t>
        </r>
      </text>
    </comment>
    <comment ref="E114" authorId="0">
      <text>
        <r>
          <rPr>
            <b/>
            <sz val="9"/>
            <color indexed="81"/>
            <rFont val="Tahoma"/>
            <family val="2"/>
          </rPr>
          <t xml:space="preserve">Metric version. 15 hours of virtual instruction in Computer Aided Manufacturing (CAM) milling . Includes CAM Software.  </t>
        </r>
      </text>
    </comment>
    <comment ref="E115" authorId="0">
      <text>
        <r>
          <rPr>
            <b/>
            <sz val="9"/>
            <color indexed="81"/>
            <rFont val="Tahoma"/>
            <family val="2"/>
          </rPr>
          <t xml:space="preserve">Imperial version.  15 hours of virtual instruction in Computer Aided Manufacturing (CAM) turning. Includes CAM Software.  </t>
        </r>
      </text>
    </comment>
    <comment ref="E116" authorId="0">
      <text>
        <r>
          <rPr>
            <b/>
            <sz val="9"/>
            <color indexed="81"/>
            <rFont val="Tahoma"/>
            <family val="2"/>
          </rPr>
          <t xml:space="preserve">Metric version. 15 hours of virtual instruction in Computer Aided Manufacturing (CAM) turning.  Includes CAM Software.  </t>
        </r>
      </text>
    </comment>
    <comment ref="E117" authorId="0">
      <text>
        <r>
          <rPr>
            <b/>
            <sz val="9"/>
            <color indexed="81"/>
            <rFont val="Tahoma"/>
            <family val="2"/>
          </rPr>
          <t>6 hours of lab instruction. Lab, CNC Programing with FANUC Controller(Mill). LM7 Content</t>
        </r>
      </text>
    </comment>
    <comment ref="E118" authorId="0">
      <text>
        <r>
          <rPr>
            <b/>
            <sz val="9"/>
            <color indexed="81"/>
            <rFont val="Tahoma"/>
            <family val="2"/>
          </rPr>
          <t>6 hours of lab instruction. CNC Programing with FANUC Controller (Turn). LM7 Content</t>
        </r>
      </text>
    </comment>
    <comment ref="E120" authorId="0">
      <text>
        <r>
          <rPr>
            <b/>
            <sz val="9"/>
            <color indexed="81"/>
            <rFont val="Tahoma"/>
            <family val="2"/>
          </rPr>
          <t>15 hours of virtual instruction in Flexible Manufacturing Systems including virtual experience with SCORBOT-ER 9Pro and CNC.</t>
        </r>
      </text>
    </comment>
    <comment ref="E121" authorId="0">
      <text>
        <r>
          <rPr>
            <b/>
            <sz val="9"/>
            <color indexed="81"/>
            <rFont val="Tahoma"/>
            <family val="2"/>
          </rPr>
          <t>15 hours of virtual instruction in Computer Integrated Manufacturing.  Includes OpenCIM virtual software and CIM Cell set up when launched within LearnMate</t>
        </r>
      </text>
    </comment>
    <comment ref="E122" authorId="0">
      <text>
        <r>
          <rPr>
            <b/>
            <sz val="9"/>
            <color indexed="81"/>
            <rFont val="Tahoma"/>
            <family val="2"/>
          </rPr>
          <t>15 hours of virtual instruction in Computer Integrated Manufacturing.   Includes OpenCIM virtual software and CIM Cell set up when launched within LearnMate</t>
        </r>
      </text>
    </comment>
    <comment ref="E124" authorId="0">
      <text>
        <r>
          <rPr>
            <b/>
            <sz val="9"/>
            <color indexed="81"/>
            <rFont val="Tahoma"/>
            <family val="2"/>
          </rPr>
          <t xml:space="preserve">1- Seat License of CNCMotion On-line Control and Virtual Simulation Software (6000) -Download Only. 
</t>
        </r>
      </text>
    </comment>
    <comment ref="E125" authorId="0">
      <text>
        <r>
          <rPr>
            <b/>
            <sz val="9"/>
            <color indexed="81"/>
            <rFont val="Tahoma"/>
            <family val="2"/>
          </rPr>
          <t>10- Seat License of CNCMotion On-line Control and Virtual Simulation Software (6000)- Download Only.</t>
        </r>
      </text>
    </comment>
    <comment ref="E126" authorId="0">
      <text>
        <r>
          <rPr>
            <b/>
            <sz val="9"/>
            <color indexed="81"/>
            <rFont val="Tahoma"/>
            <family val="2"/>
          </rPr>
          <t xml:space="preserve">30 -Seat License of CNCMotion On-line Control and Virtual Simulation Software (6000) -Download Only. </t>
        </r>
      </text>
    </comment>
    <comment ref="E127" authorId="0">
      <text>
        <r>
          <rPr>
            <b/>
            <sz val="9"/>
            <color indexed="81"/>
            <rFont val="Tahoma"/>
            <family val="2"/>
          </rPr>
          <t xml:space="preserve">1- Seat License of CNCMotion On-line Control and Virtual Simulation Software (7000) -Download Only. </t>
        </r>
      </text>
    </comment>
    <comment ref="E128" authorId="0">
      <text>
        <r>
          <rPr>
            <b/>
            <sz val="9"/>
            <color indexed="81"/>
            <rFont val="Tahoma"/>
            <family val="2"/>
          </rPr>
          <t xml:space="preserve">10- Seat License of CNCMotion On-line Control and Virtual Simulation Software (7000) -Download Only. </t>
        </r>
      </text>
    </comment>
    <comment ref="E129" authorId="0">
      <text>
        <r>
          <rPr>
            <b/>
            <sz val="9"/>
            <color indexed="81"/>
            <rFont val="Tahoma"/>
            <family val="2"/>
          </rPr>
          <t xml:space="preserve">30 -Seat License of CNCMotion On-line Control and Virtual Simulation Software (7000) -Download Only. </t>
        </r>
      </text>
    </comment>
    <comment ref="E130" authorId="0">
      <text>
        <r>
          <rPr>
            <b/>
            <sz val="9"/>
            <color indexed="81"/>
            <rFont val="Tahoma"/>
            <family val="2"/>
          </rPr>
          <t xml:space="preserve">1- Seat License of CNCMotion On-line Control and Virtual Simulation Software (8000) -Download Only. </t>
        </r>
      </text>
    </comment>
    <comment ref="E131" authorId="0">
      <text>
        <r>
          <rPr>
            <b/>
            <sz val="9"/>
            <color indexed="81"/>
            <rFont val="Tahoma"/>
            <family val="2"/>
          </rPr>
          <t xml:space="preserve">10- Seat License of CNCMotion On-line Control and Virtual Simulation Software (8000) -Download Only. </t>
        </r>
      </text>
    </comment>
    <comment ref="E132" authorId="0">
      <text>
        <r>
          <rPr>
            <b/>
            <sz val="9"/>
            <color indexed="81"/>
            <rFont val="Tahoma"/>
            <family val="2"/>
          </rPr>
          <t xml:space="preserve">30 -Seat License of CNCMotion On-line Control and Virtual Simulation Software (8000) -Download Only. </t>
        </r>
      </text>
    </comment>
    <comment ref="E133" authorId="0">
      <text>
        <r>
          <rPr>
            <b/>
            <sz val="9"/>
            <color indexed="81"/>
            <rFont val="Tahoma"/>
            <family val="2"/>
          </rPr>
          <t xml:space="preserve">1- Seat License of CNCMotion On-line Control and Virtual Simulation Software (9000) -Download Only. </t>
        </r>
      </text>
    </comment>
    <comment ref="E134" authorId="0">
      <text>
        <r>
          <rPr>
            <b/>
            <sz val="9"/>
            <color indexed="81"/>
            <rFont val="Tahoma"/>
            <family val="2"/>
          </rPr>
          <t>10- Seat License of CNCMotion On-line Control and Virtual Simulation Software (9000) -Download Only.</t>
        </r>
      </text>
    </comment>
    <comment ref="E135" authorId="0">
      <text>
        <r>
          <rPr>
            <b/>
            <sz val="9"/>
            <color indexed="81"/>
            <rFont val="Tahoma"/>
            <family val="2"/>
          </rPr>
          <t xml:space="preserve">30 -Seat License of CNCMotion On-line Control and Virtual Simulation Software (9000) -Download Only. </t>
        </r>
      </text>
    </comment>
    <comment ref="E136" authorId="0">
      <text>
        <r>
          <rPr>
            <b/>
            <sz val="9"/>
            <color indexed="81"/>
            <rFont val="Tahoma"/>
            <family val="2"/>
          </rPr>
          <t>1- Seat License of FANUC Simulator with CNCMotion On-line Control and Virtual Simulation Software (6000/7000/8000/9000) - Download Only</t>
        </r>
      </text>
    </comment>
    <comment ref="E137" authorId="0">
      <text>
        <r>
          <rPr>
            <b/>
            <sz val="9"/>
            <color indexed="81"/>
            <rFont val="Tahoma"/>
            <family val="2"/>
          </rPr>
          <t>10 -Seat License of FANUC Simulator with CNCMotion On-line Control and Virtual Simulation Software (6000/7000/8000/9000) - Download Only</t>
        </r>
      </text>
    </comment>
    <comment ref="E138" authorId="0">
      <text>
        <r>
          <rPr>
            <b/>
            <sz val="9"/>
            <color indexed="81"/>
            <rFont val="Tahoma"/>
            <family val="2"/>
          </rPr>
          <t>30 -License of FANUC Simulator with CNCMotion On-line Control and Virtual Simulation Software (6000/7000/8000/9000) - Download Only</t>
        </r>
      </text>
    </comment>
    <comment ref="E139" authorId="0">
      <text>
        <r>
          <rPr>
            <b/>
            <sz val="9"/>
            <color indexed="81"/>
            <rFont val="Tahoma"/>
            <family val="2"/>
          </rPr>
          <t>License of SpectraCAD Engraver to create 2D drawings using an industrial Strength CAD program built for education. Download Only.</t>
        </r>
      </text>
    </comment>
    <comment ref="E140" authorId="0">
      <text>
        <r>
          <rPr>
            <b/>
            <sz val="9"/>
            <color indexed="81"/>
            <rFont val="Tahoma"/>
            <family val="2"/>
          </rPr>
          <t xml:space="preserve">1- Seat License of SpectraCAM Milling software - Convert CAD Drawings into Numeric Control (NC) files, Includes 10-6723-0000 SpectraCAD - Download Only. </t>
        </r>
      </text>
    </comment>
    <comment ref="E141" authorId="0">
      <text>
        <r>
          <rPr>
            <b/>
            <sz val="9"/>
            <color indexed="81"/>
            <rFont val="Tahoma"/>
            <family val="2"/>
          </rPr>
          <t xml:space="preserve">10- Seat License of SpectraCAM Milling software - Convert CAD Drawings into Numeric Control (NC) files, Includes 63-6723-0000 SpectraCAD - Download Only. </t>
        </r>
      </text>
    </comment>
    <comment ref="E142" authorId="0">
      <text>
        <r>
          <rPr>
            <b/>
            <sz val="9"/>
            <color indexed="81"/>
            <rFont val="Tahoma"/>
            <family val="2"/>
          </rPr>
          <t xml:space="preserve">30- Seat License of SpectraCAM Milling software - Convert CAD Drawings into Numeric Control (NC) files, Includes 67-6723-0000 SpectraCAD Engraver - Download Only. </t>
        </r>
      </text>
    </comment>
    <comment ref="E143" authorId="0">
      <text>
        <r>
          <rPr>
            <b/>
            <sz val="9"/>
            <color indexed="81"/>
            <rFont val="Tahoma"/>
            <family val="2"/>
          </rPr>
          <t xml:space="preserve">1- Seat License of SpectraCAM Turning software - Create and Convert CAD Drawings into Numeric Control (NC) files - Download Only. </t>
        </r>
      </text>
    </comment>
    <comment ref="E144" authorId="0">
      <text>
        <r>
          <rPr>
            <b/>
            <sz val="9"/>
            <color indexed="81"/>
            <rFont val="Tahoma"/>
            <family val="2"/>
          </rPr>
          <t xml:space="preserve">10-Seat License of SpectraCAM Turning software - Create and Convert CAD Drawings into Numeric Control (NC) files - Download Only. </t>
        </r>
      </text>
    </comment>
    <comment ref="E145" authorId="0">
      <text>
        <r>
          <rPr>
            <b/>
            <sz val="9"/>
            <color indexed="81"/>
            <rFont val="Tahoma"/>
            <family val="2"/>
          </rPr>
          <t xml:space="preserve">30-Seat License of SpectraCAM Turning software - Create and Convert CAD Drawings into Numeric Control (NC) files - Download Only. </t>
        </r>
      </text>
    </comment>
    <comment ref="E147" authorId="0">
      <text>
        <r>
          <rPr>
            <b/>
            <sz val="9"/>
            <color indexed="81"/>
            <rFont val="Tahoma"/>
            <family val="2"/>
          </rPr>
          <t>Project Kit to complete production of one Brass Cannon (6000/8000/7000/9000)</t>
        </r>
      </text>
    </comment>
    <comment ref="E148" authorId="0">
      <text>
        <r>
          <rPr>
            <b/>
            <sz val="9"/>
            <color indexed="81"/>
            <rFont val="Tahoma"/>
            <family val="2"/>
          </rPr>
          <t xml:space="preserve">This project is based on the design and manufacture of a CO2 car. Includes consumable replacement package for 50 students (6000/8000) </t>
        </r>
      </text>
    </comment>
    <comment ref="E149" authorId="0">
      <text>
        <r>
          <rPr>
            <b/>
            <sz val="9"/>
            <color indexed="81"/>
            <rFont val="Tahoma"/>
            <family val="2"/>
          </rPr>
          <t>Consumables for CO2 car project,  50 student package.</t>
        </r>
      </text>
    </comment>
    <comment ref="E150" authorId="0">
      <text>
        <r>
          <rPr>
            <b/>
            <sz val="9"/>
            <color indexed="81"/>
            <rFont val="Tahoma"/>
            <family val="2"/>
          </rPr>
          <t>This project challenges students to manufacture a golf putter.  Includes consumable replacement package for 50 students (6000/8000)</t>
        </r>
      </text>
    </comment>
    <comment ref="E151" authorId="0">
      <text>
        <r>
          <rPr>
            <b/>
            <sz val="9"/>
            <color indexed="81"/>
            <rFont val="Tahoma"/>
            <family val="2"/>
          </rPr>
          <t>Consumables for Golf Putter project, 50 student package</t>
        </r>
      </text>
    </comment>
    <comment ref="E152" authorId="0">
      <text>
        <r>
          <rPr>
            <b/>
            <sz val="9"/>
            <color indexed="81"/>
            <rFont val="Tahoma"/>
            <family val="2"/>
          </rPr>
          <t>In this project, students design a device with software design programs and create it using automated industrial machines.  Includes consumable replacement package for 50 students (6000/8000)</t>
        </r>
      </text>
    </comment>
    <comment ref="E153" authorId="0">
      <text>
        <r>
          <rPr>
            <b/>
            <sz val="9"/>
            <color indexed="81"/>
            <rFont val="Tahoma"/>
            <family val="2"/>
          </rPr>
          <t>This project challenges students to design and manufacture a Yo-Yo using plastics technology(6000/8000). Includes consumable replacement package for 50 students</t>
        </r>
      </text>
    </comment>
    <comment ref="E154" authorId="0">
      <text>
        <r>
          <rPr>
            <b/>
            <sz val="9"/>
            <color indexed="81"/>
            <rFont val="Tahoma"/>
            <family val="2"/>
          </rPr>
          <t xml:space="preserve">Project Kit to complete production of one Sterling Train Engine (6000/8000) </t>
        </r>
      </text>
    </comment>
    <comment ref="E155" authorId="0">
      <text>
        <r>
          <rPr>
            <b/>
            <sz val="9"/>
            <color indexed="81"/>
            <rFont val="Tahoma"/>
            <family val="2"/>
          </rPr>
          <t>Students create all the pieces for a full chess set using CAD, CAM, and CNC technologies. Includes consumables for 1 Chess set (7000/9000)</t>
        </r>
      </text>
    </comment>
    <comment ref="E156" authorId="0">
      <text>
        <r>
          <rPr>
            <b/>
            <sz val="9"/>
            <color indexed="81"/>
            <rFont val="Tahoma"/>
            <family val="2"/>
          </rPr>
          <t>Students create a 4 cavity mold using CAD, CAM, and CNC technologies based on a rough dimensioned, concept drawing for the prototype.  This mold has a three plate concept and the students goal is to machine this mold prototype as quickly and efficiently as possible. Includes LearnMate e-Learning Content Four Cavity Mold project with teacher supplement and one complete documented solution.  (Does not include stock or tooling)  (6000/8000)</t>
        </r>
      </text>
    </comment>
    <comment ref="E157" authorId="0">
      <text>
        <r>
          <rPr>
            <b/>
            <sz val="9"/>
            <color indexed="81"/>
            <rFont val="Tahoma"/>
            <family val="2"/>
          </rPr>
          <t>Students create a Planetary gearbox using CAD, CAM, and CNC technologies based on a rough dimensioned, concept drawing for the prototype.  This fully functional gearbox consists of 5 meshing gears within a multi-pieced housing. The students goal is to machine this gearbox prototype as quickly and efficiently as possible. Includes LearnMate e-Learning Content Planetary Gear Box project with teacher supplement and one complete documented solution. (Does not include stock or tooling) (6000/8000)</t>
        </r>
      </text>
    </comment>
    <comment ref="E159" authorId="0">
      <text>
        <r>
          <rPr>
            <b/>
            <sz val="9"/>
            <color indexed="81"/>
            <rFont val="Tahoma"/>
            <family val="2"/>
          </rPr>
          <t>Aluminum for Milling , 3" (76mm) x 1.5" (38mm) x 0.25" (0.6 mm) - 50 Pieces</t>
        </r>
      </text>
    </comment>
    <comment ref="E160" authorId="0">
      <text>
        <r>
          <rPr>
            <b/>
            <sz val="9"/>
            <color indexed="81"/>
            <rFont val="Tahoma"/>
            <family val="2"/>
          </rPr>
          <t>Name Badge , 3" (76mm) x 1.5" (38mm) x 0.125" (0.3 mm) comes with a pin attachment  - 50 Pieces</t>
        </r>
      </text>
    </comment>
    <comment ref="E161" authorId="0">
      <text>
        <r>
          <rPr>
            <b/>
            <sz val="9"/>
            <color indexed="81"/>
            <rFont val="Tahoma"/>
            <family val="2"/>
          </rPr>
          <t>Name Plate , 8" (200mm) x 1.5" (38mm) x 0.125" (0.3 mm) - 50 Pieces</t>
        </r>
      </text>
    </comment>
    <comment ref="E162" authorId="0">
      <text>
        <r>
          <rPr>
            <b/>
            <sz val="9"/>
            <color indexed="81"/>
            <rFont val="Tahoma"/>
            <family val="2"/>
          </rPr>
          <t>Machinable Wax for Milling S, 3" x 2" x 1.5" (76mm x 50mm x 38mm) - 50 Pieces</t>
        </r>
      </text>
    </comment>
    <comment ref="E163" authorId="0">
      <text>
        <r>
          <rPr>
            <b/>
            <sz val="9"/>
            <color indexed="81"/>
            <rFont val="Tahoma"/>
            <family val="2"/>
          </rPr>
          <t>Machinable Wax  for Turning .  1" (25mm) diameter x 12" (305mm) long - 20 pieces</t>
        </r>
      </text>
    </comment>
    <comment ref="E164" authorId="0">
      <text>
        <r>
          <rPr>
            <b/>
            <sz val="9"/>
            <color indexed="81"/>
            <rFont val="Tahoma"/>
            <family val="2"/>
          </rPr>
          <t>Brass Turning , 50 Pieces, 3/4" (19mm) diameter x 3" (76mm) long</t>
        </r>
      </text>
    </comment>
    <comment ref="E165" authorId="0">
      <text>
        <r>
          <rPr>
            <b/>
            <sz val="9"/>
            <color indexed="81"/>
            <rFont val="Tahoma"/>
            <family val="2"/>
          </rPr>
          <t>Consumable Material for 1 complete Chess Set</t>
        </r>
      </text>
    </comment>
    <comment ref="E166" authorId="0">
      <text>
        <r>
          <rPr>
            <b/>
            <sz val="9"/>
            <color indexed="81"/>
            <rFont val="Tahoma"/>
            <family val="2"/>
          </rPr>
          <t xml:space="preserve">Delrin Turning , 50 Pieces, 3/4" (19mm) diameter x 3" (76mm) long. </t>
        </r>
      </text>
    </comment>
    <comment ref="E167" authorId="0">
      <text>
        <r>
          <rPr>
            <b/>
            <sz val="9"/>
            <color indexed="81"/>
            <rFont val="Tahoma"/>
            <family val="2"/>
          </rPr>
          <t>Delrin Turning Stock, 50 Pieces, Assorted Sizes: White Delrin 1/2"x 2" (20 pcs); 3/4" x 2" (20 pcs); 3/4" x 3" (16 pcs); 1/2" x 3" (16 pcs).</t>
        </r>
      </text>
    </comment>
    <comment ref="E169" authorId="0">
      <text>
        <r>
          <rPr>
            <b/>
            <sz val="9"/>
            <color indexed="81"/>
            <rFont val="Tahoma"/>
            <family val="2"/>
          </rPr>
          <t>Consumables</t>
        </r>
      </text>
    </comment>
    <comment ref="E170" authorId="0">
      <text>
        <r>
          <rPr>
            <b/>
            <sz val="9"/>
            <color indexed="81"/>
            <rFont val="Tahoma"/>
            <family val="2"/>
          </rPr>
          <t>Consumables</t>
        </r>
      </text>
    </comment>
    <comment ref="E171" authorId="0">
      <text>
        <r>
          <rPr>
            <b/>
            <sz val="9"/>
            <color indexed="81"/>
            <rFont val="Tahoma"/>
            <family val="2"/>
          </rPr>
          <t>Consumables</t>
        </r>
      </text>
    </comment>
    <comment ref="E172" authorId="0">
      <text>
        <r>
          <rPr>
            <b/>
            <sz val="9"/>
            <color indexed="81"/>
            <rFont val="Tahoma"/>
            <family val="2"/>
          </rPr>
          <t>Consumables</t>
        </r>
      </text>
    </comment>
    <comment ref="E173" authorId="0">
      <text>
        <r>
          <rPr>
            <b/>
            <sz val="9"/>
            <color indexed="81"/>
            <rFont val="Tahoma"/>
            <family val="2"/>
          </rPr>
          <t>Consumables</t>
        </r>
      </text>
    </comment>
    <comment ref="E174" authorId="0">
      <text>
        <r>
          <rPr>
            <b/>
            <sz val="9"/>
            <color indexed="81"/>
            <rFont val="Tahoma"/>
            <family val="2"/>
          </rPr>
          <t>Consumables</t>
        </r>
      </text>
    </comment>
    <comment ref="E175" authorId="0">
      <text>
        <r>
          <rPr>
            <b/>
            <sz val="9"/>
            <color indexed="81"/>
            <rFont val="Tahoma"/>
            <family val="2"/>
          </rPr>
          <t>Consumables</t>
        </r>
      </text>
    </comment>
    <comment ref="E176" authorId="0">
      <text>
        <r>
          <rPr>
            <b/>
            <sz val="9"/>
            <color indexed="81"/>
            <rFont val="Tahoma"/>
            <family val="2"/>
          </rPr>
          <t>Consumables</t>
        </r>
      </text>
    </comment>
    <comment ref="E177" authorId="0">
      <text>
        <r>
          <rPr>
            <b/>
            <sz val="9"/>
            <color indexed="81"/>
            <rFont val="Tahoma"/>
            <family val="2"/>
          </rPr>
          <t>Consumables</t>
        </r>
      </text>
    </comment>
    <comment ref="E178" authorId="0">
      <text>
        <r>
          <rPr>
            <b/>
            <sz val="9"/>
            <color indexed="81"/>
            <rFont val="Tahoma"/>
            <family val="2"/>
          </rPr>
          <t>Consumables</t>
        </r>
      </text>
    </comment>
  </commentList>
</comments>
</file>

<file path=xl/comments6.xml><?xml version="1.0" encoding="utf-8"?>
<comments xmlns="http://schemas.openxmlformats.org/spreadsheetml/2006/main">
  <authors>
    <author>Hernan Aronson</author>
  </authors>
  <commentList>
    <comment ref="C108" authorId="0">
      <text>
        <r>
          <rPr>
            <b/>
            <sz val="9"/>
            <color indexed="81"/>
            <rFont val="Tahoma"/>
            <family val="2"/>
          </rPr>
          <t>For Stand Alone FMS remove buffer</t>
        </r>
      </text>
    </comment>
    <comment ref="C142" authorId="0">
      <text>
        <r>
          <rPr>
            <b/>
            <sz val="9"/>
            <color indexed="81"/>
            <rFont val="Tahoma"/>
            <family val="2"/>
          </rPr>
          <t>For Stand Alone FMS remove buffer</t>
        </r>
      </text>
    </comment>
    <comment ref="C202" authorId="0">
      <text>
        <r>
          <rPr>
            <b/>
            <sz val="9"/>
            <color indexed="81"/>
            <rFont val="Tahoma"/>
            <family val="2"/>
          </rPr>
          <t>For Stand Alone FMS remove buffer</t>
        </r>
      </text>
    </comment>
    <comment ref="C241" authorId="0">
      <text>
        <r>
          <rPr>
            <b/>
            <sz val="9"/>
            <color indexed="81"/>
            <rFont val="Tahoma"/>
            <family val="2"/>
          </rPr>
          <t>For Stand Alone FMS remove buffer</t>
        </r>
      </text>
    </comment>
    <comment ref="C267" authorId="0">
      <text>
        <r>
          <rPr>
            <b/>
            <sz val="9"/>
            <color indexed="81"/>
            <rFont val="Tahoma"/>
            <family val="2"/>
          </rPr>
          <t>For Stand Alone FMS remove buffer</t>
        </r>
      </text>
    </comment>
    <comment ref="C304" authorId="0">
      <text>
        <r>
          <rPr>
            <b/>
            <sz val="9"/>
            <color indexed="81"/>
            <rFont val="Tahoma"/>
            <family val="2"/>
          </rPr>
          <t>For Stand Alone FMS remove buffer</t>
        </r>
      </text>
    </comment>
    <comment ref="C327" authorId="0">
      <text>
        <r>
          <rPr>
            <b/>
            <sz val="9"/>
            <color indexed="81"/>
            <rFont val="Tahoma"/>
            <family val="2"/>
          </rPr>
          <t>For Stand Alone FMS remove buffer</t>
        </r>
      </text>
    </comment>
    <comment ref="C348" authorId="0">
      <text>
        <r>
          <rPr>
            <b/>
            <sz val="9"/>
            <color indexed="81"/>
            <rFont val="Tahoma"/>
            <family val="2"/>
          </rPr>
          <t>For Stand Alone FMS remove buffer</t>
        </r>
      </text>
    </comment>
    <comment ref="C365" authorId="0">
      <text>
        <r>
          <rPr>
            <b/>
            <sz val="9"/>
            <color indexed="81"/>
            <rFont val="Tahoma"/>
            <family val="2"/>
          </rPr>
          <t>For Stand Alone FMS remove buffer</t>
        </r>
      </text>
    </comment>
    <comment ref="C377" authorId="0">
      <text>
        <r>
          <rPr>
            <b/>
            <sz val="9"/>
            <color indexed="81"/>
            <rFont val="Tahoma"/>
            <family val="2"/>
          </rPr>
          <t>For Stand Alone FMS remove buffer</t>
        </r>
      </text>
    </comment>
    <comment ref="C401" authorId="0">
      <text>
        <r>
          <rPr>
            <b/>
            <sz val="9"/>
            <color indexed="81"/>
            <rFont val="Tahoma"/>
            <family val="2"/>
          </rPr>
          <t>For Stand Alone FMS remove buffer</t>
        </r>
      </text>
    </comment>
    <comment ref="C441" authorId="0">
      <text>
        <r>
          <rPr>
            <b/>
            <sz val="9"/>
            <color indexed="81"/>
            <rFont val="Tahoma"/>
            <family val="2"/>
          </rPr>
          <t>For Stand Alone FMS remove buffer</t>
        </r>
      </text>
    </comment>
    <comment ref="C500" authorId="0">
      <text>
        <r>
          <rPr>
            <b/>
            <sz val="9"/>
            <color indexed="81"/>
            <rFont val="Tahoma"/>
            <family val="2"/>
          </rPr>
          <t>For Stand Alone FMS remove buffer</t>
        </r>
      </text>
    </comment>
    <comment ref="C543" authorId="0">
      <text>
        <r>
          <rPr>
            <b/>
            <sz val="9"/>
            <color indexed="81"/>
            <rFont val="Tahoma"/>
            <family val="2"/>
          </rPr>
          <t>For Stand Alone FMS remove buffer</t>
        </r>
      </text>
    </comment>
    <comment ref="C582" authorId="0">
      <text>
        <r>
          <rPr>
            <b/>
            <sz val="9"/>
            <color indexed="81"/>
            <rFont val="Tahoma"/>
            <family val="2"/>
          </rPr>
          <t>For Stand Alone FMS remove buffer</t>
        </r>
      </text>
    </comment>
    <comment ref="C600" authorId="0">
      <text>
        <r>
          <rPr>
            <b/>
            <sz val="9"/>
            <color indexed="81"/>
            <rFont val="Tahoma"/>
            <family val="2"/>
          </rPr>
          <t>For Stand Alone FMS remove buffer</t>
        </r>
      </text>
    </comment>
    <comment ref="C633" authorId="0">
      <text>
        <r>
          <rPr>
            <b/>
            <sz val="9"/>
            <color indexed="81"/>
            <rFont val="Tahoma"/>
            <family val="2"/>
          </rPr>
          <t>For Stand Alone FMS remove buffer</t>
        </r>
      </text>
    </comment>
    <comment ref="C650" authorId="0">
      <text>
        <r>
          <rPr>
            <b/>
            <sz val="9"/>
            <color indexed="81"/>
            <rFont val="Tahoma"/>
            <family val="2"/>
          </rPr>
          <t>For Stand Alone FMS remove buffer</t>
        </r>
      </text>
    </comment>
    <comment ref="C706" authorId="0">
      <text>
        <r>
          <rPr>
            <b/>
            <sz val="9"/>
            <color indexed="81"/>
            <rFont val="Tahoma"/>
            <family val="2"/>
          </rPr>
          <t>For Stand Alone FMS remove buffer</t>
        </r>
      </text>
    </comment>
    <comment ref="C743" authorId="0">
      <text>
        <r>
          <rPr>
            <b/>
            <sz val="9"/>
            <color indexed="81"/>
            <rFont val="Tahoma"/>
            <family val="2"/>
          </rPr>
          <t>For Stand Alone FMS remove buffer</t>
        </r>
      </text>
    </comment>
    <comment ref="C773" authorId="0">
      <text>
        <r>
          <rPr>
            <b/>
            <sz val="9"/>
            <color indexed="81"/>
            <rFont val="Tahoma"/>
            <family val="2"/>
          </rPr>
          <t>For Stand Alone FMS remove buffer</t>
        </r>
      </text>
    </comment>
    <comment ref="C785" authorId="0">
      <text>
        <r>
          <rPr>
            <b/>
            <sz val="9"/>
            <color indexed="81"/>
            <rFont val="Tahoma"/>
            <family val="2"/>
          </rPr>
          <t>For Stand Alone FMS remove buffer</t>
        </r>
      </text>
    </comment>
    <comment ref="C800" authorId="0">
      <text>
        <r>
          <rPr>
            <b/>
            <sz val="9"/>
            <color indexed="81"/>
            <rFont val="Tahoma"/>
            <family val="2"/>
          </rPr>
          <t>For Stand Alone FMS remove buffer</t>
        </r>
      </text>
    </comment>
    <comment ref="C815" authorId="0">
      <text>
        <r>
          <rPr>
            <b/>
            <sz val="9"/>
            <color indexed="81"/>
            <rFont val="Tahoma"/>
            <family val="2"/>
          </rPr>
          <t>For Stand Alone FMS remove buffer</t>
        </r>
      </text>
    </comment>
    <comment ref="C832" authorId="0">
      <text>
        <r>
          <rPr>
            <b/>
            <sz val="9"/>
            <color indexed="81"/>
            <rFont val="Tahoma"/>
            <family val="2"/>
          </rPr>
          <t>For Stand Alone FMS remove buffer</t>
        </r>
      </text>
    </comment>
    <comment ref="C850" authorId="0">
      <text>
        <r>
          <rPr>
            <b/>
            <sz val="9"/>
            <color indexed="81"/>
            <rFont val="Tahoma"/>
            <family val="2"/>
          </rPr>
          <t>For Stand Alone FMS remove buffer</t>
        </r>
      </text>
    </comment>
    <comment ref="C874" authorId="0">
      <text>
        <r>
          <rPr>
            <b/>
            <sz val="9"/>
            <color indexed="81"/>
            <rFont val="Tahoma"/>
            <family val="2"/>
          </rPr>
          <t>For Stand Alone FMS remove buffer</t>
        </r>
      </text>
    </comment>
    <comment ref="C903" authorId="0">
      <text>
        <r>
          <rPr>
            <b/>
            <sz val="9"/>
            <color indexed="81"/>
            <rFont val="Tahoma"/>
            <family val="2"/>
          </rPr>
          <t>For Stand Alone FMS remove buffer</t>
        </r>
      </text>
    </comment>
    <comment ref="C922" authorId="0">
      <text>
        <r>
          <rPr>
            <b/>
            <sz val="9"/>
            <color indexed="81"/>
            <rFont val="Tahoma"/>
            <family val="2"/>
          </rPr>
          <t>For Stand Alone FMS remove buffer</t>
        </r>
      </text>
    </comment>
    <comment ref="C940" authorId="0">
      <text>
        <r>
          <rPr>
            <b/>
            <sz val="9"/>
            <color indexed="81"/>
            <rFont val="Tahoma"/>
            <family val="2"/>
          </rPr>
          <t>For Stand Alone FMS remove buffer</t>
        </r>
      </text>
    </comment>
    <comment ref="C951" authorId="0">
      <text>
        <r>
          <rPr>
            <b/>
            <sz val="9"/>
            <color indexed="81"/>
            <rFont val="Tahoma"/>
            <family val="2"/>
          </rPr>
          <t>For Stand Alone FMS remove buffer</t>
        </r>
      </text>
    </comment>
    <comment ref="C1009" authorId="0">
      <text>
        <r>
          <rPr>
            <b/>
            <sz val="9"/>
            <color indexed="81"/>
            <rFont val="Tahoma"/>
            <family val="2"/>
          </rPr>
          <t>For Stand Alone FMS remove buffer</t>
        </r>
      </text>
    </comment>
    <comment ref="C1048" authorId="0">
      <text>
        <r>
          <rPr>
            <b/>
            <sz val="9"/>
            <color indexed="81"/>
            <rFont val="Tahoma"/>
            <family val="2"/>
          </rPr>
          <t>For Stand Alone FMS remove buffer</t>
        </r>
      </text>
    </comment>
    <comment ref="C1095" authorId="0">
      <text>
        <r>
          <rPr>
            <b/>
            <sz val="9"/>
            <color indexed="81"/>
            <rFont val="Tahoma"/>
            <family val="2"/>
          </rPr>
          <t>For Stand Alone FMS remove buffer</t>
        </r>
      </text>
    </comment>
    <comment ref="C1147" authorId="0">
      <text>
        <r>
          <rPr>
            <b/>
            <sz val="9"/>
            <color indexed="81"/>
            <rFont val="Tahoma"/>
            <family val="2"/>
          </rPr>
          <t>For Stand Alone FMS remove buffer</t>
        </r>
      </text>
    </comment>
    <comment ref="C1184" authorId="0">
      <text>
        <r>
          <rPr>
            <b/>
            <sz val="9"/>
            <color indexed="81"/>
            <rFont val="Tahoma"/>
            <family val="2"/>
          </rPr>
          <t>For Stand Alone FMS remove buffer</t>
        </r>
      </text>
    </comment>
    <comment ref="C2104" authorId="0">
      <text>
        <r>
          <rPr>
            <b/>
            <sz val="9"/>
            <color indexed="81"/>
            <rFont val="Tahoma"/>
            <family val="2"/>
          </rPr>
          <t>Remove for ER4u</t>
        </r>
      </text>
    </comment>
    <comment ref="C2107" authorId="0">
      <text>
        <r>
          <rPr>
            <b/>
            <sz val="9"/>
            <color indexed="81"/>
            <rFont val="Tahoma"/>
            <family val="2"/>
          </rPr>
          <t>Remove for ER4u or MH5F</t>
        </r>
      </text>
    </comment>
  </commentList>
</comments>
</file>

<file path=xl/comments7.xml><?xml version="1.0" encoding="utf-8"?>
<comments xmlns="http://schemas.openxmlformats.org/spreadsheetml/2006/main">
  <authors>
    <author>Hernan Aronson</author>
  </authors>
  <commentList>
    <comment ref="E3" authorId="0">
      <text>
        <r>
          <rPr>
            <b/>
            <sz val="9"/>
            <color indexed="81"/>
            <rFont val="Tahoma"/>
            <family val="2"/>
          </rPr>
          <t xml:space="preserve">180 hours of virtual instruction, covering 12 Foundation Skills course modules. All 12 courses required for Certified Manufacturing Associate (CMA) certificate. </t>
        </r>
      </text>
    </comment>
    <comment ref="E4" authorId="0">
      <text>
        <r>
          <rPr>
            <b/>
            <sz val="9"/>
            <color indexed="81"/>
            <rFont val="Tahoma"/>
            <family val="2"/>
          </rPr>
          <t xml:space="preserve">180 hours of virtual instruction, covering 12 Foundation Skills course modules. All 12 courses required for Certified Manufacturing Associate (CMA) certificate. </t>
        </r>
      </text>
    </comment>
  </commentList>
</comments>
</file>

<file path=xl/sharedStrings.xml><?xml version="1.0" encoding="utf-8"?>
<sst xmlns="http://schemas.openxmlformats.org/spreadsheetml/2006/main" count="5928" uniqueCount="1439">
  <si>
    <t>Y</t>
  </si>
  <si>
    <t>Part Number</t>
  </si>
  <si>
    <t>Part Description</t>
  </si>
  <si>
    <t>Obs</t>
  </si>
  <si>
    <t>Qty</t>
  </si>
  <si>
    <t>Alt</t>
  </si>
  <si>
    <t>Status</t>
  </si>
  <si>
    <t>Description</t>
  </si>
  <si>
    <t>Price</t>
  </si>
  <si>
    <t>PL Price</t>
  </si>
  <si>
    <t xml:space="preserve">Electrical Circuits teaches 14 skills in 21 hours of LearnMate® lab instruction, includes 5 Flexponent Panels: Switch, Lamp &amp; Buzzer (E040); </t>
  </si>
  <si>
    <t>Product Description</t>
  </si>
  <si>
    <t>Additional EA01A Panels</t>
  </si>
  <si>
    <t>BASIC POWER ELECTRICITY - JOBMASTER ELECTRICAL SERIES PANELS</t>
  </si>
  <si>
    <t>JM-BASE-EA01B</t>
  </si>
  <si>
    <t>JM Resistors &amp; Conductors, EA01B, LMS LAB</t>
  </si>
  <si>
    <t>Additional EA01B Panels</t>
  </si>
  <si>
    <t>Resistors and Conductors teaches 9 skills in 15 hours of LearnMate® lab instruction, includes (1) Flexponent Panel: - Resistance (E042). 
Prerequisite Electrical Circuits (EA01A)</t>
  </si>
  <si>
    <t>JM-BASE-EA01C</t>
  </si>
  <si>
    <t>JM LCR Circuits, EA01C, LMS Lab</t>
  </si>
  <si>
    <t>Additional EA01C Panels</t>
  </si>
  <si>
    <t>LCR Circuits teaches 14 skills in 21 hours of LearnMate® lab instruction, includes (5) Flexponent Panel: Magnetism (E029);
 Capacitance (E043);
 Inductance (E044);
 Motor/Generator (E057);
 Relay/Contactor (E150);
 Prerequisite Resistors &amp; Conductors (EA01B).</t>
  </si>
  <si>
    <t>JM-BASE-EA01D</t>
  </si>
  <si>
    <t>JM Motors &amp; Generators, EA01D, LMS Lab</t>
  </si>
  <si>
    <t>Motors &amp; Generators teaches 8 skills in 15 hours of LearnMate® lab instruction.
 Prerequisite LCR Circuits (EA01C)</t>
  </si>
  <si>
    <t>JM-BASE-ELEC</t>
  </si>
  <si>
    <t>Basic Electrical Two-Sided Bench 110 V</t>
  </si>
  <si>
    <t xml:space="preserve">Mobile training bench with single phase (120V) power of each side can accommodates 4 students at once. 
LearnMate Content and all panels for:
- Electrical Circuits
- Resistors and Conductors
- LCR Circuits
- Motors &amp; Generators
</t>
  </si>
  <si>
    <t>JOBMASTER ELECTRICAL SERIES BUNDLES</t>
  </si>
  <si>
    <t>Requirements</t>
  </si>
  <si>
    <t>JM-BASE-ELEC-2</t>
  </si>
  <si>
    <t>Basic Electrical Two-Sided Bench 220 V</t>
  </si>
  <si>
    <t xml:space="preserve">Mobile training bench with single phase  power of each side can accommodates 4 students at once. 
LearnMate Content and all panels for:
- Electrical Circuits
- Resistors and Conductors
- LCR Circuits
- Motors &amp; Generators
- Includes step-down transformer package for 220V (10-PC09-0000) required for international applications. </t>
  </si>
  <si>
    <t>JM-BASE-EA01A</t>
  </si>
  <si>
    <t>JM-CMPL-ELEC</t>
  </si>
  <si>
    <t xml:space="preserve">Mobile training bench with two (2) single phase power controls and two (2) three phase power controls, accommodates 4 students at once.  LearnMate Content and all panels for:
- Basic Electric, 
- Electrical Control Systems
- Industrial Power Electronics
Also includes two (2) storage rack for placement of panels not currently in use. 
This bundle includes all 3 bundles in one package                                                            </t>
  </si>
  <si>
    <t>JM-CMPL-ELEC-2</t>
  </si>
  <si>
    <t>Complete Industrial Electronics Program 110 V</t>
  </si>
  <si>
    <t>Complete Industrial Electronics Program 220 V</t>
  </si>
  <si>
    <t xml:space="preserve">Mobile training bench with two (2) single phase power controls and two (2) three phase power controls, accommodates 4 students at once.  LearnMate Content and all panels for:
- Basic Electric, 
- Electrical Control Systems
- Industrial Power Electronics
Also includes two (2) storage rack for placement of panels not currently in use. 
This bundle includes all 3 bundles in one package - Includes step-down transformer package for 220V (10-PC09-0000) required for international applications. </t>
  </si>
  <si>
    <t>JM-CTRL-EA02</t>
  </si>
  <si>
    <t>ELECTRICAL CONTROL SYSTEMS - JOBMASTER ELECTRICAL SERIES PANELS</t>
  </si>
  <si>
    <t>JM Electric Circuit Protection &amp; Monitoring, EA02, LMS Lab</t>
  </si>
  <si>
    <t>Additional EA02 Panels</t>
  </si>
  <si>
    <t>Electric Circuit Protection &amp; Monitoring teaches 10 skills in 15 hours of LearnMate® lab instruction, includes (2) Flexponent Panel:
 Manual Starter (E022);
 Circuit Overload Protection &amp; Monitoring (E030). 
Prerequisite Electromagnetic Motor Starters (EA07) &amp; Electric Motors (EA04).</t>
  </si>
  <si>
    <t>JM-CTRL-EA03</t>
  </si>
  <si>
    <t>JM, Three Phase Transformers, EA03, LMS Lab</t>
  </si>
  <si>
    <t>Additional EA03 Panels</t>
  </si>
  <si>
    <t>Three-Phase Transformers teaches 8 skills in 15 hours of LearnMate® lab instruction, includes (1) Flexponent Panel:
Three-Phase Transformer (E003)</t>
  </si>
  <si>
    <t>Pr Price</t>
  </si>
  <si>
    <t>JM-CTRL-EA04</t>
  </si>
  <si>
    <t>JM Electric Motors, EA04, LMS Lab</t>
  </si>
  <si>
    <t>Additional EA04 Panels</t>
  </si>
  <si>
    <t xml:space="preserve">Electric Motors teaches 14 skills in 21 hours of LearnMate® lab instruction, includes (10) Flexponent Panels: SCR Speed Controller (E007);
Transformer (E012);
Shaded-Pole Motor (E027);
Lamps &amp; Switches (E154);
Dissectible Motor (E156); 
Three-phase motor (E010); 
Capacitor-Start Motor (E019); 
DC Motor (E034); 
Split-Phase Motor (E065);
Adjustable Motor Load (E066).  </t>
  </si>
  <si>
    <t>JM-CTRL-EA07</t>
  </si>
  <si>
    <t>JM Electromagnetic Starters</t>
  </si>
  <si>
    <t>Electromagnetic Motor Starters teaches 8 skills in 15 hours of LearnMate® lab instruction, includes (9) Flexponent Panels:
Start-Stop Control (E002);
Single Magnetic Starter (E004);
Start-Reverse-Stop Switch (E005);
Reversing Magnetic Starter (E006);
Three-Phase Motor (E010);
Transformer (E012);
Analog Relay (E016);
Lamps&amp; Switches (E154);
HOA Switch (E155).</t>
  </si>
  <si>
    <t>JM-CTRL-EA08</t>
  </si>
  <si>
    <t>JM, Relays &amp; Timers, EA08, LMS Lab</t>
  </si>
  <si>
    <t>Additional EA08 Panels</t>
  </si>
  <si>
    <t>Additional EA07 Panels</t>
  </si>
  <si>
    <t>Timers &amp; Time - Delay Relays teaches 8 skills in 15 hours of LearnMate® lab instruction, includes (2) Flexponent Panels:
Digital Relay (E017);
Electric Timer (E041).
Prerequisite Electromagnetic Motor Starters (EA07)</t>
  </si>
  <si>
    <t>JM-CTRL-EA09</t>
  </si>
  <si>
    <t>JM Electronic Sensors, EA09, LMS Lab</t>
  </si>
  <si>
    <t>Additional EA09 Panels</t>
  </si>
  <si>
    <t>Pilot Devices teaches 10 skills in 15 hours of LearnMate® lab instruction, includes (4) Flexponent Panel: Limit Switch (E011);
Liquid Level &amp; Pressure Switch (E018);
Proximity &amp; Photoelectric Switch (E126);
AC/DC Circuit (E153).
Prerequisite Electromagnetic Motor Starters (EA07) and Electric Motors (EA04)</t>
  </si>
  <si>
    <t>JM-CTRL-EA11</t>
  </si>
  <si>
    <t>JM Solid State Voltage Starter, EA11, LMS Lab</t>
  </si>
  <si>
    <t>Additional EA11 Panels</t>
  </si>
  <si>
    <t>Solid-State Reduced Voltage Starter teaches 5 skills in 15 hours of LearnMate® lab instruction, includes (1) Flexponent Panel:
Solid State Starter (E024).
Prerequisite Electromagnetic Motor Starters. (EA07)</t>
  </si>
  <si>
    <t>JM-CTRL-EA12</t>
  </si>
  <si>
    <t>JM Variable Frequency Crive, EA12, LMS Lab</t>
  </si>
  <si>
    <t>Additional EA12 Panels</t>
  </si>
  <si>
    <t>Variable Frequency Drives teaches 6 skills in 15 hours of LearnMate® lab instruction, includes (1) Flexponent Panel:
Variable Frequency Drive (E067).
Prerequisite  Electric Motors (EA04)</t>
  </si>
  <si>
    <t>JM-CTRL-EA16</t>
  </si>
  <si>
    <t>JM DC Motor Drives, EA16, LMS Lab</t>
  </si>
  <si>
    <t>Additional EA16 Panels</t>
  </si>
  <si>
    <t>DC Motor Control teaches 8 skills in 15 hours of LearnMate® lab instruction, includes (7) Flexponent Panels: SCR Speed Control (E007);
Digital Relay (E017);
F-O-R Switch and Potentiometer (E025);
DC Motor (E034);
PWM Motor Control (E038);
Inertial Load (E048);
Regenerative Four Quadrant DC Drive (E071).
Prerequisite Electromagnetic Motor Starters (EA07) &amp; Electric Motors (EA04)</t>
  </si>
  <si>
    <t>JM-CTRL-SYSM</t>
  </si>
  <si>
    <t xml:space="preserve">Mobile training bench with two (2) single phase power controls and two (2) three phase power controls, accommodates 4 students at once.  LearnMate Content and all panels for:
- Electric Circuit Protection, Transformers, Electric Motors, Electromagnetic Motor Starters, Relays &amp; Timers - Pilot Devices
- Solid State Starters
- Variable Frequency Drives (VFDs)
- DC Motor Control
Also includes a storage rack for placement of panels not currently in use.   </t>
  </si>
  <si>
    <t>Additionals/Optionals</t>
  </si>
  <si>
    <t>JM-CTRL-SYSM-2</t>
  </si>
  <si>
    <t>Electrical Control Systems Two Sided Bench 220 V</t>
  </si>
  <si>
    <t>Electrical Control Systems Two Sided Bench 110 V</t>
  </si>
  <si>
    <t xml:space="preserve">Mobile training bench with two (2) single phase power controls and two (2) three phase power controls, accommodates 4 students at once.  LearnMate Content and all panels for:
- Electric Circuit Protection, Transformers, Electric Motors, Electromagnetic Motor Starters, Relays &amp; Timers - Pilot Devices
- Solid State Starters
- Variable Frequency Drives (VFDs)
- DC Motor Control
Also includes a storage rack for placement of panels not currently in use.                               - Includes step-down transformer package for 220V (10-PC09-0000) required for international applications. </t>
  </si>
  <si>
    <t>JM-EMMC-1600</t>
  </si>
  <si>
    <t>JM 1600 Maintenance Cell, LMS Lab 110 V</t>
  </si>
  <si>
    <t>ELECTROMECHANICAL MAINTENANCE CELL</t>
  </si>
  <si>
    <t xml:space="preserve">Electro-mechanical Maintenance Cell KIT teaches 79 skills in over 120 hours of LearnMate® lab instruction, includes Basic Maintenance Cell, Industrial Lighting, Plant Infrastructure, Conveyor, Drive and Control, Part Manipulator, Paint, Bake and Cool, Variable Frequency Drive, Advanced Infrastructure and Fault Insertion, Instructor Fault Insertion, DC Motor and Drive.  Students receive 'work orders' to completely build the Maintenance Cell.                 </t>
  </si>
  <si>
    <t>JM-EMMC-1600-2</t>
  </si>
  <si>
    <t>JM 1600 Maintenance Cell, LMS Lab 220 V</t>
  </si>
  <si>
    <t xml:space="preserve">Electro-mechanical Maintenance Cell KIT teaches 79 skills in over 120 hours of LearnMate® lab instruction, includes Basic Maintenance Cell, Industrial Lighting, Plant Infrastructure, Conveyor, Drive and Control, Part Manipulator, Paint, Bake and Cool, Variable Frequency Drive, Advanced Infrastructure and Fault Insertion, Instructor Fault Insertion, DC Motor and Drive.  Students receive 'work orders' to completely build the Maintenance Cell. 
Includes step-down transformer package for 220V (10-PC09-0000) required for international applications. </t>
  </si>
  <si>
    <t>JM-MBLM-0000</t>
  </si>
  <si>
    <t>Complete Mechanical System Two Sided Bench: 110V/220V</t>
  </si>
  <si>
    <t>JOBMASTER MECHANICAL SERIES</t>
  </si>
  <si>
    <t xml:space="preserve">Mechanical Training Bench, Bearing Service Cart, Laser Alignment and Vibration Analysis,   Accommodates 4 Students at a time.
LM7 Content - over 135 hours of lab Instruction. </t>
  </si>
  <si>
    <t>JM-MBLM-00X2</t>
  </si>
  <si>
    <t>Mechanical System Two Sided Bench: 110V/220V</t>
  </si>
  <si>
    <t>Mechanical Training Bench (48"x60"x29"), double sided (accommodates 4 students at once) 110V or 220V, Imperial Hardware.  Includes 10 curriculum modules Basic Machines, Machine Statistics &amp; Dynamics, Machine Shafts &amp; Keys, Bearings, Belt Drives, Chain Drives, Machine Shaft Coupling, Gear Drives, Machine Speed Reducers and Electric Brakes</t>
  </si>
  <si>
    <t>JM-MBLM-ME10</t>
  </si>
  <si>
    <t>Mechanical Bench Single Sided; 110V/220V</t>
  </si>
  <si>
    <t>Mechanical Training Bench (48"x60"x29"), single sided (accommodates 2 students at once) 110V or 220V, Imperial Hardware.  Includes 10 curriculum modules Basic Machines, Machine Statistics &amp; Dynamics, Machine Shafts &amp; Keys, Bearings, Belt Drives, Chain Drives, Machine Shaft Coupling, Gear Drives, Machine Speed Reducers and Electric Brakes</t>
  </si>
  <si>
    <t>INDUSTRIAL POWER ELECTRONICS - JOBMASTER ELECTRICAL SERIES PANELS</t>
  </si>
  <si>
    <t>JM-POWR-EB01A</t>
  </si>
  <si>
    <t>JM, Oscilloscope, EB01A, LMS Lab</t>
  </si>
  <si>
    <t>Oscilloscope teaches 8 skills in 15 hours of LearnMate® lab instruction, includes Oscilloscope and (2) Flexponent Panels:
Adjustable Power Supply (E087);
AC/DC Circuit (E153).</t>
  </si>
  <si>
    <t>JM-POWR-EB01B</t>
  </si>
  <si>
    <t>JM, Digital Multimeter, EB01B, LMS Lab</t>
  </si>
  <si>
    <t>Digital Multimeter teaches 17 skills in 26 hours of LearnMate® lab instruction, includes Digital Multimeter and (2) Flexponent Panels:
Resistors (E052);
Filters/Capacitors (E055).
Prerequisite Oscilloscope (EB01A)</t>
  </si>
  <si>
    <t>JM-POWR-EB01C</t>
  </si>
  <si>
    <t>JM Hand Held Digital Oscilloscope, EB01C, LMS Lab</t>
  </si>
  <si>
    <t>Hand Held Digital Oscilloscope teaches 8 skills in 15 hours of LearnMate® lab instruction, includes Hand-held Digital Oscilloscope and (2) Flexponent Panels:
Adjustable Power Supply (E087) and AC/DC Circuit (E153).
Prerequisite Digital Multimeter (EB01B)</t>
  </si>
  <si>
    <t>JM-POWR-EB02A</t>
  </si>
  <si>
    <t>JM DC Power Supplies, EB02A, LMS Lab</t>
  </si>
  <si>
    <t>DC Power Supplies teaches 11 skills in 17 hours of LearnMate® lab instruction, includes (3) Flexponent Panels:
Single-Phase Bridge Rectifier (E039);
Low-voltage Transformer (E061);
Diode Rectifiers (E062).
Prerequisite Hand Held Digital Oscilloscope (EB01C)</t>
  </si>
  <si>
    <t>JM-POWR-EB02B</t>
  </si>
  <si>
    <t>JM AC Power Supplies, EB02B, LMS Lab</t>
  </si>
  <si>
    <t>Single Phase &amp; Three Phase Power Supplies teaches 13 skills in 20 hours of LearnMate® lab instruction, includes (3) Flexponent Panels:
Zener Diode (E049);
Regulated Power Supply (E050);
Three-Phase Bridge Rectifier (E053).
Prerequisite DC Power Supplies (EB02A)</t>
  </si>
  <si>
    <t>JM-POWR-EB03</t>
  </si>
  <si>
    <t>JM Thyristor Motor Drives, EB03, LMS Lab</t>
  </si>
  <si>
    <t>Thyristor Electric Motor Drives teaches 15 skills in 23 hours of LearnMate® lab instruction, includes (8) Flexponent Panels:
DC Motor (E034);
SCR (E081);
Full-wave SCR Drive (E082);
TRIAC (E083);
DIAC Adjustable Resistors (E084);
TRIAC with Schmidt Trigger (E085);
Pulse Width Modulation (PWM) Motor Driver (E088);
Universal AC/DC Motor and PMDC Motor.
Prerequisite Single Phase &amp; Three Phase Power Supplies (EB02B)</t>
  </si>
  <si>
    <t>JM-POWR-EB04</t>
  </si>
  <si>
    <t>JM Electronic Timers &amp; Triggers, EB04, LMS Lab</t>
  </si>
  <si>
    <t>Electronic Timers &amp; Triggers teaches 7 skills in 15 hours of LearnMate® lab instruction, includes (1) Flexponent Panel:
Timers &amp; Triggers (E089).
Prerequisite Thyristor Electric Motor Drives (EB03)</t>
  </si>
  <si>
    <t>JM-POWR-EB05</t>
  </si>
  <si>
    <t>JM Basic Stepper Motors &amp; Drives, EB05, LMS Lab</t>
  </si>
  <si>
    <t>Stepper Motors &amp; Drivers teaches 7 skills in 15 hours of LearnMate® lab instruction, includes (1) Flexponent Panel:
Stepper Motor and Drive (E090).
Prerequisite Electronic Timers &amp; Triggers (EB04)</t>
  </si>
  <si>
    <t>JM-POWR-EB06</t>
  </si>
  <si>
    <t>JM Basic Servo Motor Drives</t>
  </si>
  <si>
    <t>Servo Motor Drives teaches 7 skills in 15 hours of LearnMate® lab instruction, includes (1) Flexponent Panel: Servo Motor and Drive (E091).  Prerequisite Stepper Motors and Drivers (EB05)</t>
  </si>
  <si>
    <t>JM-POWR-ELEC</t>
  </si>
  <si>
    <t>Industrial Power Electronics Two Sided Bench 110 v</t>
  </si>
  <si>
    <t xml:space="preserve">Mobile training bench with 120V power one side and 220V power one side and accommodates 4 students at once.  LearnMate Content and all panels  for Industrial Power Electronics: 
- Oscilloscope
- Digital Multimeter
- Hand Held Digital Oscilloscope
- DC Power Supplies
- Single-Phase &amp; 3 Phase Power Supplies
- Thyristor Electric Motors
- Electronic Timers
- Stepper Motor Drives
- Servo Motor Drives
Also includes a storage rack for placement of panels not currently in use.   </t>
  </si>
  <si>
    <t>JM-POWR-ELEC-2</t>
  </si>
  <si>
    <t>Industrial Power Electronics Two Sided Bench 220 V</t>
  </si>
  <si>
    <t xml:space="preserve">Mobile training bench with single Phase power one side and three Phase power one side and accommodates 4 students at once.  LearnMate Content and all panels  for Industrial Power Electronics: 
- Oscilloscope
- Digital Multimeter
- Hand Held Digital Oscilloscope
- DC Power Supplies
- Single-Phase &amp; 3 Phase Power Supplies
- Thyristor Electric Motors
- Electronic Timers
- Stepper Motor Drives
- Servo Motor Drives
Also includes a storage rack for placement of panels not currently in use.                               - Includes step-down transformer package for 220V (10-PC09-0000) required for international applications. </t>
  </si>
  <si>
    <t>JOBMASTER BENCH HARDWARE</t>
  </si>
  <si>
    <t>10-LS00-0200</t>
  </si>
  <si>
    <t>Mobile Learning Station</t>
  </si>
  <si>
    <t>10-PC04-0000</t>
  </si>
  <si>
    <t>10-PC06-0000</t>
  </si>
  <si>
    <t>10-PC09-0000</t>
  </si>
  <si>
    <t>10-PPSU-0001</t>
  </si>
  <si>
    <t>Power Supply</t>
  </si>
  <si>
    <t>JM, PC09, Inter. Transformer Pack, LS200 Bench</t>
  </si>
  <si>
    <t>Panel Storage Rack</t>
  </si>
  <si>
    <t>00-ME10-1000</t>
  </si>
  <si>
    <t>Mechanical Bench Single-sided; 110V/220V</t>
  </si>
  <si>
    <t>LearnMate 7 Bundles</t>
  </si>
  <si>
    <t>LM-HOSTED</t>
  </si>
  <si>
    <t>LearnMate 7 Hosting w/1 Class LM Live; 2 years, 100 students</t>
  </si>
  <si>
    <t>LM7 dedicated hosting for a single school - 2 years. Includes hosting and set up for up to 100 users</t>
  </si>
  <si>
    <t>LM-LOCAL</t>
  </si>
  <si>
    <t>LearnMate 7 Local Server Install &amp; Annual Maintenance - 4 yrs</t>
  </si>
  <si>
    <t>LearnMate 7, Local Server Setup and User Support and maintenance for 1+3 years</t>
  </si>
  <si>
    <t>LearnMate 7 Items for Hosting</t>
  </si>
  <si>
    <t>77-1201-0000</t>
  </si>
  <si>
    <t>LearnMate 7 Items for Local Server</t>
  </si>
  <si>
    <t>77-1200-0000</t>
  </si>
  <si>
    <t>LearnMate 7, Local Server Setup and Activation</t>
  </si>
  <si>
    <t>77-1200-0001</t>
  </si>
  <si>
    <t>LM7 Local Server Setup without support agreement</t>
  </si>
  <si>
    <t>77-1200-1ADD</t>
  </si>
  <si>
    <t>LM7, Add 1 Local School</t>
  </si>
  <si>
    <t>LM7 1st year hosting, setup &amp; support</t>
  </si>
  <si>
    <t>77-1201-0ADD</t>
  </si>
  <si>
    <t>LM7, Add 100 Users, Hosted Only</t>
  </si>
  <si>
    <t>77-1201-1ADD</t>
  </si>
  <si>
    <t>LM7, Add 1 Hosted School</t>
  </si>
  <si>
    <t>77-1202-RPT</t>
  </si>
  <si>
    <t>LM7, Adv. Reporting, Hosted Only</t>
  </si>
  <si>
    <t>77-1207-1010</t>
  </si>
  <si>
    <t>LearnMate 7, Single Class Hosted Flat Fee</t>
  </si>
  <si>
    <t>50-1200-0001</t>
  </si>
  <si>
    <t>LM7 Local Server Support- 1 year agreement</t>
  </si>
  <si>
    <t>50-1200-0003</t>
  </si>
  <si>
    <t>LM7 Local support- additional 3 years agreement</t>
  </si>
  <si>
    <t>50-1201-0001</t>
  </si>
  <si>
    <t>LM7 Add’l 1 Yr hosting for 100 users (Renewal)</t>
  </si>
  <si>
    <t>50-1201-0003</t>
  </si>
  <si>
    <t>LM7 Add’l 3 Yrs hosting for 100 users (Renewal)</t>
  </si>
  <si>
    <t>CYT-ACTN-0300</t>
  </si>
  <si>
    <t>CytonE 300 &amp; ACTIN control software, Lab ONLY</t>
  </si>
  <si>
    <t>CytonE 300 &amp; 5 seats Actin plus 6 lessons in "Introduction to Robotics with CytonE" (1 Year Leased Access)</t>
  </si>
  <si>
    <t>CYT-ACTN-1500</t>
  </si>
  <si>
    <t>CytonE 1500 &amp; ACTIN control software, Lab ONLY</t>
  </si>
  <si>
    <t>10 seats Actin plus 6 lessons in "Introduction to Robotics with CytonE" (1 Year Leased Access)</t>
  </si>
  <si>
    <t>30 seats Actin plus 6 lessons in "Introduction to Robotics with CytonE" (1 Year Leased Access)</t>
  </si>
  <si>
    <t>CytonE 1500 &amp; Actin 10 seat  plus 6 lessons in "Introduction to Robotics with CytonE" (1 Year Leased Access)</t>
  </si>
  <si>
    <t>CYT-ACTN-1502</t>
  </si>
  <si>
    <t>CytonE 1500 (2 ROBOTS) &amp; Classroom license ACTIN control software, Lab ONLY</t>
  </si>
  <si>
    <t>Two (2) CytonE 300 &amp; Actin 10 seat License plus 6 lessons in "Introduction to Robotics with CytonE" (1 Year Leased Access).</t>
  </si>
  <si>
    <t>CYT-ACTN-3002</t>
  </si>
  <si>
    <t>CytonE 300 (2 ROBOTS) &amp; ACTIN control software, Lab ONLY</t>
  </si>
  <si>
    <t>Two (2) CytonE 1500 &amp; Actin 25 Seat License plus  6 lessons in "Introduction to Robotics with CytonE" (1 Year Leased Access).</t>
  </si>
  <si>
    <t>ROB-ER4U-PACK</t>
  </si>
  <si>
    <t>Introductory robotics hardware package for the ER9. 
Includes: Scorbot ER9, Pneumatic Gripper (2 parallel fingers) w/solenoid valve and fittings, Teach Pendant, Palletizing Rack (w/ pins for creating jigs), Gravity Parts Feeder w/microswitch, RoboCell Control Software. 
(Need 90 PSI / 6BAR Compressed Air)</t>
  </si>
  <si>
    <t>Introductory robotics hardware package for the ER4</t>
  </si>
  <si>
    <t>ROB-ER4U-STND</t>
  </si>
  <si>
    <t>Scorbot-ER4U robot - Standard Package</t>
  </si>
  <si>
    <t>Scorbot-ER4U robot - Introductory Package</t>
  </si>
  <si>
    <t>Standard robotics hardware package for the ER4u. 
Includes: Scorbot ER4u, multi-purpose gripper for rectangular pieces, Teach Pendant for USB/USB Pro Controllers, I/O Experiment Table, Conveyor Belt w/Proximity sensor, Gravity Parts Feeder with MicroSwitch Sensor, Rotary Index Table (24V) w/ Proximity Sensor, Workbench with Formica Tabletop (1800mm L x 800mm W), RoboCell Control Software.</t>
  </si>
  <si>
    <t>ROB-ER4U-ADV</t>
  </si>
  <si>
    <t>Scorbot-ER4U robot- Advanced Package</t>
  </si>
  <si>
    <t>Advanced robotics hardware package for the ER4u.
Includes: Scorbot ER4u, multi-purpose gripper for rectangular pieces, Teach Pendant for USB/USB Pro Controllers, I/O Experiment Table (includes blocks &amp; shapes for experiments), Conveyor Belt w/Proximity sensor, Gravity Parts Feeder with MicroSwitch Sensor, Rotary Index Table (24V) w/ Proximity Sensor, ViewFlex Machine Vision (software, stand, camera &amp; color PC), Parts Bin, Workbench with Aluminum Tabletop (1800mm L x 800mm W) &amp; Adapter plate for ER4u, RoboCell Control Software.</t>
  </si>
  <si>
    <t>ROB-ER9-PACK</t>
  </si>
  <si>
    <t>Scorbot-ER9Pro Robot - Introductory Package</t>
  </si>
  <si>
    <t>ROB-ER9-STND</t>
  </si>
  <si>
    <t>Scorbot-ER9Pro Robot - Standard Package</t>
  </si>
  <si>
    <t>Standard robotics hardware package for the ER9. 
Includes: Scorbot ER9, Pneumatic Gripper (2 parallel fingers) w/solenoid valve and fittings, Teach Pendant, Palletizing Rack (w/ pins for creating jigs), Gravity Parts Feeder w/microswitch, Conveyor Belt w/ proximity sensor,  Workbench with Aluminum Tabletop (1800mm L x 800mm W) &amp; Adapter plate for ER9, RoboCell Control Software.
(Need 90 PSI/6 BAR Compressed Air)</t>
  </si>
  <si>
    <t>ROB-ER9-ADV</t>
  </si>
  <si>
    <t>Scorbot-ER9Pro Robot - Advanced Package</t>
  </si>
  <si>
    <t>Advanced robotics hardware package for the ER9. Includes: Scorbot ER9, Pneumatic Gripper (2 parallel fingers) w/solenoid valve and fittings, Teach Pendant, Palletizing Rack (w/ pins for creating jigs), Gravity Parts Feeder w/microswitch, Conveyor Belt w/ proximity sensor,  Rotary Index Table w/proximity sensor; Workbench with Aluminum Tabletop (1800mm L x 800mm W) &amp; Adapter plate for ER9, RoboCell Control Software. (Need Compressed Air)</t>
  </si>
  <si>
    <t>00-0413-0000</t>
  </si>
  <si>
    <t>00-0430-0000</t>
  </si>
  <si>
    <t>00-0436-0000</t>
  </si>
  <si>
    <t>00-0432-0000</t>
  </si>
  <si>
    <t>MH5F compact high-speed 6-axis Robot</t>
  </si>
  <si>
    <t>77-3046-0000</t>
  </si>
  <si>
    <t>77-3048-0000</t>
  </si>
  <si>
    <t>77-3047-0000</t>
  </si>
  <si>
    <t>77-3049-0000</t>
  </si>
  <si>
    <t>LM7 Content, Vir, Fundamentals w/ER4U</t>
  </si>
  <si>
    <t>LM7 Content, Vir, Fundamentals w/ER9</t>
  </si>
  <si>
    <t>LM7 Content, Vir, Advanced w/ER4U</t>
  </si>
  <si>
    <t>LM7 Content, Vir, Advanced w/ER9</t>
  </si>
  <si>
    <t>00-0609-0000</t>
  </si>
  <si>
    <t>00-0613-0000</t>
  </si>
  <si>
    <t>00-0633-0000</t>
  </si>
  <si>
    <t>00-0634-0000</t>
  </si>
  <si>
    <t>00-0646-0000</t>
  </si>
  <si>
    <t>00-0647-0000</t>
  </si>
  <si>
    <t>DC Servo Gripper (ER 9Pro, ER 14Pro and ER 7Pro)</t>
  </si>
  <si>
    <t>Pneumatic Gripper for ER9-Pro</t>
  </si>
  <si>
    <t>Pneumatic Gripper for ER 14Pro</t>
  </si>
  <si>
    <t>Pneumatic Gripper with I/O Box for Motoman MH5F</t>
  </si>
  <si>
    <t>00-1710-0000</t>
  </si>
  <si>
    <t>00-1010-0000</t>
  </si>
  <si>
    <t>00-1009-0000</t>
  </si>
  <si>
    <t>00-1020-0000</t>
  </si>
  <si>
    <t>00-1021-0000</t>
  </si>
  <si>
    <t>00-1013-0000</t>
  </si>
  <si>
    <t>00-1014-0000</t>
  </si>
  <si>
    <t>00-1016-0000</t>
  </si>
  <si>
    <t>00-1293-0000</t>
  </si>
  <si>
    <t>Rotary Index Table (24V)</t>
  </si>
  <si>
    <t>XY Positioning Table (24V)</t>
  </si>
  <si>
    <t>Mobile Workbench 1500x1140mm (incl. Wheels)</t>
  </si>
  <si>
    <t>Spa</t>
  </si>
  <si>
    <t>Por</t>
  </si>
  <si>
    <t>SPA</t>
  </si>
  <si>
    <t>POR</t>
  </si>
  <si>
    <t>JM-PNEU-000I</t>
  </si>
  <si>
    <t>Automation Bundles</t>
  </si>
  <si>
    <t>Fundamentals of Pneumatics I: Trainer &amp; LMS Lab</t>
  </si>
  <si>
    <t xml:space="preserve">PneuFlex Pneumatic T-slot training panel and 15 hours of lab &amp; virtual instruction in the Fundamentals of Pneumatics, 
Includes PneuMotion pneumatic simulation software. </t>
  </si>
  <si>
    <t>JM-PNEU-00II</t>
  </si>
  <si>
    <t>Advanced Pneumatics II: Trainer, PneuFlex and LMS Lab</t>
  </si>
  <si>
    <t>Advanced Pneumatics Components and 15 hours of lab &amp; virtual instruction in Advanced Pneumatics,
 Prerequisite - Basic Pneumatics I</t>
  </si>
  <si>
    <t>JM-HYDR-000I</t>
  </si>
  <si>
    <t>Fundamentals of Hydraulics I:  LMS Lab, Hydraulics 1 w/HydraFlex</t>
  </si>
  <si>
    <t>JM-HYDR-000I-2</t>
  </si>
  <si>
    <t xml:space="preserve">HydraFlex Hydraulics slotted aluminum training panel and 15 hours of lab &amp; virtual instruction in the Fundamentals of Hydraulics,    Includes HydraMotion hydraulics simulation software. </t>
  </si>
  <si>
    <t>Fundamentals of Hydraulics I:  LMS Lab, Hydraulics 1 w/HydraFlex 220V</t>
  </si>
  <si>
    <t>JM-HYDR-00II</t>
  </si>
  <si>
    <t>Advanced Hydraulics II</t>
  </si>
  <si>
    <t>Advanced Hydraulic Components and 15 hours of lab &amp; virtual instruction in Advanced Hydraulic,    Prerequisite - Fundamentals of Hydraulics I</t>
  </si>
  <si>
    <t>JM-PLC-MLOGIX</t>
  </si>
  <si>
    <t>MicroLogix PLC Trainer &amp; Curriculum, LMS Lab</t>
  </si>
  <si>
    <t xml:space="preserve">PLC Aluminum Table Top Trainer for teaching basic and advanced training in MicroLogix Programmable Logic Controller.
Dimensions: 23.6"w x 22" H (600mmW x 560mm H). 
Includes: DC Servo Motor, optical encoder unit, lead screw, output lamps, buzzer, push button/toggle switches, limit switch (small and large), inductive proximity sensor.  Includes 15 hours of lab &amp; virtual instruction in MicroLogix PLC.   </t>
  </si>
  <si>
    <t>JM-PLC-SLC500</t>
  </si>
  <si>
    <t>SLC 500 PLC Trainer &amp; Curriculum</t>
  </si>
  <si>
    <t xml:space="preserve">PLC Aluminum Table Top Trainer for teaching basic and advanced training in Allen Bradley SLC 500 Programmable Logic Controller.
Dimensions: 23.6"w x 22" H (600mmW x 560mm H).
Includes: DC Servo Motor, optical encoder unit, lead screw, output lamps, buzzer, push button/toggle switches, limit switch (small and large), inductive proximity sensor.  Includes 15 hours of lab &amp; virtual instruction in SLC500 PLC.    </t>
  </si>
  <si>
    <t>JM-SNSR-PANEL</t>
  </si>
  <si>
    <t>Sensor Line Training Panel, LMS Lab</t>
  </si>
  <si>
    <t xml:space="preserve">SensorLine - Analog and Digital Sensors Aluminum Training Panel. 
15 hours of virtual instruction in design and assembly of basic control circuits.   </t>
  </si>
  <si>
    <t>00-1904-0000</t>
  </si>
  <si>
    <t>00-1905-0000</t>
  </si>
  <si>
    <t>00-1906-0000</t>
  </si>
  <si>
    <t>63-9239-0000</t>
  </si>
  <si>
    <t>77-8068-0000</t>
  </si>
  <si>
    <t>77-8069-0000</t>
  </si>
  <si>
    <t>77-3039-0000</t>
  </si>
  <si>
    <t>77-3040-0000</t>
  </si>
  <si>
    <t>77-3061-0000</t>
  </si>
  <si>
    <t>77-3062-0000</t>
  </si>
  <si>
    <t>PneuFlex 1 - Pneumatic Trainer w T-slot panel</t>
  </si>
  <si>
    <t>PneuFlex 2 - Advanced Pneumatics Component set</t>
  </si>
  <si>
    <t>PneuFlex 3 - Electro - Pneumatics Component set</t>
  </si>
  <si>
    <t>PneuMotion Pneumatic Simulation Software</t>
  </si>
  <si>
    <t>Pneumatics Items and Content</t>
  </si>
  <si>
    <t>LM7 Content, Lab/Vir, Pneumatics 1 w/PneuFlex</t>
  </si>
  <si>
    <t>LM7 Content, Lab/Vir, Pneumatics 2 w/PneuFlex</t>
  </si>
  <si>
    <t>LM7 Content, Vir, Electro Pneumatics 3</t>
  </si>
  <si>
    <t>LM7 Content, Vir, Advanced&amp;Electro Pneumatics 4</t>
  </si>
  <si>
    <t>LM7 Content, Vir, Basic Pneumatics</t>
  </si>
  <si>
    <t>LM7 Content, Vir, Advanced Pneumatics</t>
  </si>
  <si>
    <t>Hydraulics Items and Content</t>
  </si>
  <si>
    <t>00-2105-0000</t>
  </si>
  <si>
    <t>22-0004-0001</t>
  </si>
  <si>
    <t xml:space="preserve">10-2540-1000  </t>
  </si>
  <si>
    <t>00-2106-0000</t>
  </si>
  <si>
    <t>00-2107-0000</t>
  </si>
  <si>
    <t>63-9240-0000</t>
  </si>
  <si>
    <t>77-8008-0000</t>
  </si>
  <si>
    <t>77-3025-0000</t>
  </si>
  <si>
    <t>77-3026-0000</t>
  </si>
  <si>
    <t>HydraFlex H1 Basic Hydraulics incl. panel</t>
  </si>
  <si>
    <t>Assembly, Hydraulic Pump w/Control Switch, 110V</t>
  </si>
  <si>
    <t>Hydraulic Pump with Oil Tank</t>
  </si>
  <si>
    <t>HydraFlex H2 - Advanced Hydraulic add-on kit</t>
  </si>
  <si>
    <t>HydraFlex H3 - Electro-Hydraulics add-on kit</t>
  </si>
  <si>
    <t>HydraMotion - Hydraulics Simulation Software</t>
  </si>
  <si>
    <t>LM7 Content, Lab/Vir, Hydraulics 1 w/HydraFlex</t>
  </si>
  <si>
    <t>LM7 Content, Vir, Hydraulics 2</t>
  </si>
  <si>
    <t>LM7 Content, Vir, Advanced  Electro-hydraulics 3</t>
  </si>
  <si>
    <t>PLC Items and Content</t>
  </si>
  <si>
    <t>00-3075-0000</t>
  </si>
  <si>
    <t>00-3053-0000</t>
  </si>
  <si>
    <t>63-9241-0000</t>
  </si>
  <si>
    <t>77-3032-0000</t>
  </si>
  <si>
    <t>77-3033-0000</t>
  </si>
  <si>
    <t>77-3034-0000</t>
  </si>
  <si>
    <t>77-3035-0000</t>
  </si>
  <si>
    <t>PLCLine Panel with A/B MicroLogix PLC</t>
  </si>
  <si>
    <t>PLC Line Panel A/B SLC 500, 115V</t>
  </si>
  <si>
    <t>PLC Motion Simulation Software</t>
  </si>
  <si>
    <t>LM7 Content, Lab/Vir, PLC Technology 1</t>
  </si>
  <si>
    <t>LM7 Content, Lab/Vir, PLC Technology 2</t>
  </si>
  <si>
    <t>LM7 Content, Vir, PLC Technology 3</t>
  </si>
  <si>
    <t>LM7 Content, Vir, PLC Technology 4</t>
  </si>
  <si>
    <t>SensorLine Items and Content</t>
  </si>
  <si>
    <t>00-3014-0000</t>
  </si>
  <si>
    <t>77-8012-0000</t>
  </si>
  <si>
    <t>SensorLine - Sensor Technology Training Panel</t>
  </si>
  <si>
    <t>LM7 Content, Lab/Vir, Sensor Technology</t>
  </si>
  <si>
    <t>00-0107-0110</t>
  </si>
  <si>
    <t>00-0107-0220</t>
  </si>
  <si>
    <t>Process Control  -  All in One</t>
  </si>
  <si>
    <t>Multivariable Instrumentation Control Trainer 110V</t>
  </si>
  <si>
    <t>Multivariable Instrumentation Control Trainer 220V</t>
  </si>
  <si>
    <t>00-0303-0110</t>
  </si>
  <si>
    <t>00-0303-0220</t>
  </si>
  <si>
    <t>00-0310-0110</t>
  </si>
  <si>
    <t>00-0310-0220</t>
  </si>
  <si>
    <t>00-0304-0110</t>
  </si>
  <si>
    <t>00-0304-0220</t>
  </si>
  <si>
    <t>00-0309-0110</t>
  </si>
  <si>
    <t>00-0309-0220</t>
  </si>
  <si>
    <t>Process Control  -  Nano Training System</t>
  </si>
  <si>
    <t>Liquid Level NANO Training System; 110V</t>
  </si>
  <si>
    <t>Liquid Level NANO Training System; 220V</t>
  </si>
  <si>
    <t>Liquid Flow NANO Training System; 110V</t>
  </si>
  <si>
    <t>Liquid Flow NANO Training System; 220V</t>
  </si>
  <si>
    <t>Air Pressure NANO Training System; 110V</t>
  </si>
  <si>
    <t>Air Pressure NANO Training System; 220V</t>
  </si>
  <si>
    <t>Air Temperature NANO Training System; 110V</t>
  </si>
  <si>
    <t>Air Temperature NANO Training System; 220V</t>
  </si>
  <si>
    <t>Process Control  -  Self Assembly Plant Process</t>
  </si>
  <si>
    <t>00-0301-0110</t>
  </si>
  <si>
    <t>00-0301-0220</t>
  </si>
  <si>
    <t>00-0302-0110</t>
  </si>
  <si>
    <t>00-0302-0220</t>
  </si>
  <si>
    <t>00-0305-0110</t>
  </si>
  <si>
    <t>00-0305-0220</t>
  </si>
  <si>
    <t>00-0306-0110</t>
  </si>
  <si>
    <t>00-0306-0220</t>
  </si>
  <si>
    <t>00-0307-0110</t>
  </si>
  <si>
    <t>00-0307-0220</t>
  </si>
  <si>
    <t>Process Control  -  Software and Content</t>
  </si>
  <si>
    <t>63-9238-0000</t>
  </si>
  <si>
    <t>77-3041-0002</t>
  </si>
  <si>
    <t>77-3044-0002</t>
  </si>
  <si>
    <t>77-3045-0002</t>
  </si>
  <si>
    <t>77-3043-0002</t>
  </si>
  <si>
    <t>SAPP Liquid Level Process Plant; 110V</t>
  </si>
  <si>
    <t>SAPP Liquid Level Process Plant; 220V</t>
  </si>
  <si>
    <t>SAPP Liquid Flow Process Plant; 110V</t>
  </si>
  <si>
    <t>SAPP Liquid Flow Process Plant; 220V</t>
  </si>
  <si>
    <t>SAPP Air Temperature Process Plant; 110V</t>
  </si>
  <si>
    <t>SAPP Air Temperature Process Plant; 220V</t>
  </si>
  <si>
    <t>SAPP Air Pressure Process Plant; 110V</t>
  </si>
  <si>
    <t>SAPP Air Pressure Process Plant; 220V</t>
  </si>
  <si>
    <t>Chemical Analytical Process Training System;110V</t>
  </si>
  <si>
    <t>Chemical Analytical Process Training System;220V</t>
  </si>
  <si>
    <t>ProcessMotion Process Control</t>
  </si>
  <si>
    <t>LM7 Content, Vir, Process Control, Temp</t>
  </si>
  <si>
    <t>LM7 Content, Vir, Process Control, Flow</t>
  </si>
  <si>
    <t>LM7 Content, Vir, Process Cntrl, Pressure</t>
  </si>
  <si>
    <t>LM7 Content, Vir, Process Control, Level</t>
  </si>
  <si>
    <t>77-ZA00-1600ES</t>
  </si>
  <si>
    <t>LM7 Content, JM,  Maintenance Cell, ESPANOL</t>
  </si>
  <si>
    <t>Router Bundles</t>
  </si>
  <si>
    <t>CNC-1000-STND</t>
  </si>
  <si>
    <t>BenchRouter 1000 Starter Bundle 110V/220V, 16"" x 24"" HSS, Curriculum, 40 seats VCarvePro</t>
  </si>
  <si>
    <t xml:space="preserve">BenchRouter 1000 (24"x16" MDF cutting area): 800W high speed spindle, USB connection, Mac3 Control Software, Shop Vacuum &amp; Dust Foot, Starter Bit Kit; 30 seats of V-Carve Pro; 2 spare pieces of 24" x 16" MDF; 8 hours of "Getting Started Curriculum " (1-Year Shared Hosted Access); G-code Projects.  Specify on the order 110V or 220V.  Substitutions Available: Perpetual Content License (requires LMS Add On). </t>
  </si>
  <si>
    <t>CNC-2000-STND</t>
  </si>
  <si>
    <t>ProRouter 2000 (4' x 4' MDF cutting area): 20V 3HP spindle PC Controlled, Windows 7 64bit computer, Ethernet Connection, Mac3 Control Software, 7 piece starter bit kit, 220V 2Hp 30 micron dust collector &amp; dust foot, 30 seats of V-Carve Pro; 2 spare pieces of 4'x4'MDF; 8 hours of "Getting Started Curriculum"(1-Year Shared Hosted Access); G-code Projects. Substitutions Available: Perpetual Content License (requires LMS Add On).</t>
  </si>
  <si>
    <t>CNC-2100-STND</t>
  </si>
  <si>
    <t>ProRouter 2100 Starter Bundle 220V; 4X8 Router HSS, Curriculum &amp; 40 seats VCarvePro</t>
  </si>
  <si>
    <t>ProRouter 2100 (4' x 8' MDF cutting area): 20V 3HP spindle PC Controlled, Windows 7 64bit computer, Ethernet Connection, Mac3 Control Software, 7 piece starter bit kit, 220V 2Hp 30 micron dust collector &amp; dust foot, 30 seats of V-Carve Pro; 1 spare piece of 4'x8'MDF; 8 hours of "Getting Started Curriculum" (1-Year Shared Hosted Access);  G-code Projects.   Substitutions Available: Perpetual Content License (requires LMS Add On).</t>
  </si>
  <si>
    <t>10-1200-1000</t>
  </si>
  <si>
    <t>BenchRouter 1000 Shield</t>
  </si>
  <si>
    <t>Router Addons</t>
  </si>
  <si>
    <t>ProRouter 2000 Starter Bundle 220v: 4x4 Router HSS, Curriculum and 40 seats VCarvePro</t>
  </si>
  <si>
    <t>Milling Bundles</t>
  </si>
  <si>
    <t>CNC-6000-STRT</t>
  </si>
  <si>
    <t>BenchMILL 6000 Starter Bundle, Imp/Met, 110/220 VAC</t>
  </si>
  <si>
    <t>Starter Bundle: Imperial/Metric; Specify on the order 110V (Imperial Accessories) or 220V (Metric Accessories)
CNC BenchMill 6000 110V (00-5505-0110) for Imperial or CNC BenchMill 6000 220V (00-5505-0220) for Metric 
 4"(100 mm) Precision Vise (10-1111-6000)
ER16 Collet Set-8 pieces(3,4,5,6,7,8,9 and 10mm) (10-1112-2000)
Advanced End Mill Package (10-1113-5000 for Imperial or 10-1113-4000 for Metric)
58 Piece Clamping Kit (10-1111-5000)
CNC Curriculum (77-8140-0001 for Imperial or 77-8140-0002 for Metric) 
* Curriculum requires access to LearnMate (see LearnMate tab)</t>
  </si>
  <si>
    <t>CNC-6000-STND-I</t>
  </si>
  <si>
    <t>BenchMILL 6000 Standard Bundle, Imperial, 110/220 VAC</t>
  </si>
  <si>
    <t>Standard Bundle, Imperial 
CNC BenchMill 6000 110V (00-5505-0110)
4"(100 mm) Precision Vise (10-1111-6000)
ER16 Collet Set-8 pieces (3,4,5,6,7,8,9 and 10mm) (10-1112-2000)
Advanced End Mill Package (10-1113-5000)  
58 Piece Clamping Kit (10-1111-5000)
ISO20 Tool Holder with Nut (10-1111-9000)   
Table Mounted 4 Tool Automatic Tool Changer (10-1115-2000)
Jog Pendant Handwheel (10-1111-1000)
Machinable Wax for Milling  50 Pieces (10-9120-0000)
CNC Curriculum (77-8140-0001) 
* Curriculum requires access to LearnMate (see LearnMate tab)</t>
  </si>
  <si>
    <t>CNC-6000-STND-M</t>
  </si>
  <si>
    <t>BenchMILL 6000 Standard Bundle, Metric, 110/220 VAC</t>
  </si>
  <si>
    <t>Standard Bundle, Metric
CNC BenchMill 6000 220V (00-5505-0220
4"(100 mm) Precision Vise (10-1111-6000)
ER16 Collet Set-8 pieces (2x 3,6,8,10mm) (10-1115-0000)
Advanced End Mill Package (10-1113-4000)    
58 Piece Clamping Kit (10-1111-5000)
ISO20 Tool Holder with Nut (10-1111-9000)  
Table Mounted 4 Tool Automatic Tool Changer (10-1115-2000) 
Jog Pendant Handwheel (10-1111-1000) 
Machinable Wax for Milling - 50 Pieces (10-9120-0000)
CNC Curriculum (77-8140-0002)
* Curriculum requires access to LearnMate (see LearnMate tab)</t>
  </si>
  <si>
    <t>CNC-6000-ADV-I</t>
  </si>
  <si>
    <t>BenchMILL 6000 Advanced Bundle, Imperial, 110/220 VAC</t>
  </si>
  <si>
    <t>Advanced Bundle, Imperial
CNC BenchMill 6000 110V (00-5505-0110) 
4"(100 mm) Precision Vise (10-1111-6000)
ER16 Collet Set-8 pieces(3,4,5,6,7,8,9 and 10mm)  (10-1112-2000) 
Advanced End Mill Package (10-1113-5000) 
58 Piece Clamping Kit (10-1111-5000)
ISO20 Tool Holder with Nut (10-1111-9000)
Table Mounted 4 Tool Automatic Tool Changer (10-1115-2000)
Jog Pendant Handwheel (10-1111-1000) 
Coolant System (10-1108-1110) 
100 mm (4") Rotary Worktable (4th axis) with Tailstock (10-1108-8000) 
(3 1/8") 3 Jaw Chuck (10-1109-3000) 
3 pieces Engraving Tool Set 3 pieces (10-1113-7000)
CNC Curriculum (77-8140-0001) * Requires access to LearnMate</t>
  </si>
  <si>
    <t>CNC-6000-ADV-M</t>
  </si>
  <si>
    <t>BenchMILL 6000 Advanced Bundle, Metric, 110/220 VAC</t>
  </si>
  <si>
    <t>Advanced Bundle, Metric  
CNC Machine (00-5505-0220)
100mm (4") Precision Vise (10-1111-6000)
ER16 Collet Set-8 pieces (2x 3,6,8,10mm) (10-1115-0000)
ER16  Collet Set-8 pieces(3,4,5,6,7,8,9 and 10mm)  (10-1112-2000)
Advanced End Mill Package (10-1113-4000)  
58 Piece Clamping Kit (10-1111-5000)   
ISO20 Tool Holder with Nut (10-1111-9000)   
Table Mounted 4 Tool Automatic Tool Changer (10-1115-2000) 
Jog Pendant Handwheel (10-1111-1000)
Machinable Wax for Milling 50 Pieces (10-9120-0000)           
Coolant System (10-1108-1220 ) 100 mm (4") 
Rotary Worktable (4th axis) with tailstock (10-1108-8000) 
80mm (3 1/8") 3 Jaw Chuck (10-1109-3000)   
3 Pieces Engraving Tool Set (10-1113-6000)
7 Pieces 6mm Engraving Tool Set (10-1108-6000)
CNC Curriculum (77-8140-0002 Metric)</t>
  </si>
  <si>
    <t>CNC-8000-STRT</t>
  </si>
  <si>
    <t>ProMILL 8000 Starter Bundle, Imp/Met, 110/220 VAC</t>
  </si>
  <si>
    <t>Starter Bundle: Imperial/Metric; Specify on the order 110V (Imperial Accessories) or 220V (Metric Accessories)
ProMill 8000 AC with 12 Tool ATC (00-5509-0110) for Imperial or ProMill 8000 AC with 12 Tool ATC 220V (00-5509-0220) for Metric 
To remove 4"(100mm) Precision Vise (10-1111-6000)
ER16 Collet Set-8 pieces (3,4,5,6,7,8,9 and 10mm)  (10-1112-2000)
Advanced End Mill Package (10-1113-5000 Imperial or 10-1113-4000 Metric)
58 Piece Clamping Kit (10-1111-5000)
ISO20 Tool Holder with Nuts (10-1111-9000)
CNC Curriculum (77-8142-0001 Imperial or 77-8142-0002 Metric)  * Requires access to LearnMate</t>
  </si>
  <si>
    <t>CNC-8000-STND-I</t>
  </si>
  <si>
    <t>ProMILL 8000 Standard Bundle, Imperial, 110/220 VAC</t>
  </si>
  <si>
    <t>Standard Bundle, Imperial
ProMill 8000 AC with 12 Tool ATC (00-5509-0110) 
Advanced End Mill Package (10-1113-5000)
58 Piece Clamping Kit (10-1111-5000)
4 ISO20 Tool Holder Set (10-1117-4000)
Jog Pendant Handwheel (10-1111-1000)
Machinable Wax for Milling  50 Pieces (10-9120-0000)
CNC Curriculum (77-8142-0001) 
* Curriculum requires access to LearnMate (see LearnMate tab)</t>
  </si>
  <si>
    <t>CNC-8000-STND-M</t>
  </si>
  <si>
    <t>ProMILL 8000 Standard Bundle, Metric, 110/220 VAC</t>
  </si>
  <si>
    <t>Standard Bundle, Metric
CNC Machine with 12 Tool ATC, 
4"(100 mm) Precision Vise (10-1111-6000)
ER16 Collet Set-8 pieces (3,4,5,6,7,8,9 and 10mm) (10-1112-2000)
ER16 Collet Set-8 pieces (2x 3,6,8,10mm) (10-1115-0000)
Advanced End Mill Package 14 tools (10-1113-4000)
58 Piece Clamping Kit (10-1111-5000)
ISO20 Tool Holder with Nut (10-1111-9000)
Jog Pendant Handwheel  (10-1111-1000) 
Machinable Wax for Milling  50 Pieces (10-9120-0000)
CNC Curriculum (77-8142-000)
* Curriculum requires access to LearnMate (see LearnMate tab)</t>
  </si>
  <si>
    <t>CNC-8000-ADV-I</t>
  </si>
  <si>
    <t>ProMILL 8000 Advanced Bundle, Imperial, 110/220 VAC</t>
  </si>
  <si>
    <t>Imperial
Includes CNC Machine with 12 Tool ATC
4"(100mm) Precision Vise (10-1111-6000)
ER16 Collet Set-8 pieces (3,4,5,6,7,8,9 and 10mm) (10-1112-2000)
Advanced End Mill Package 14 tools (10-1113-5000)
58 Piece Clamping Kit (10-1111-5000)
ISO20 Tool Holders with Nut (10-1111-9000)
4 Tool ISO20 Tool Holder Package (10-1111-7000)
Jog Pendant Handwheel (10-1111-1000)
Machinable Wax for Milling  50 Pieces (10-9120-0000)
100 mm (4") Rotary Worktable (4th axis) with tailstock (10-1108-8000)
80mm (3 1/8") 3-Jaw Chuck for Rotary Table (10-1109-3000) 
3 Piece Engraving Tool Set (10-1113-6000
Machine Mounted Monitor or CPU stand (8000/9000)
CNC Curriculum (77-8142-0001)
* Curriculum requires access to LearnMate (see LearnMate tab)</t>
  </si>
  <si>
    <t>CNC-8000-ADV-M</t>
  </si>
  <si>
    <t>ProMILL 8000 Advanced Bundle, Metric, 110/220 VAC</t>
  </si>
  <si>
    <t xml:space="preserve">Advanced Bundle, Metric
ProMill 8000 AC with 12 Tool ATC 220V (00-5509-0220)
4"(100mm) Precision Vise (10-1111-6000)
ER16 Collet Set-8 pieces (3,4,5,6,7,8,9 and 10mm) (10-1112-2000)
ER16 Collet Set-8 pieces(2x3,6,8,10mm)(10-1115-0000)
Advanced End Mill Package (10-1113-5000)
58 Piece Clamping Kit (10-1111-5000)
ISO20 Tool Holder (10-1111-9000)
Jog Pendant Handwheel  (10-1111-1000)
Machinable Wax for Milling  50 Pieces (10-9120-0000)
100 mm (4") Rotary Worktable (4th axis) with tailstock (10-1108-8000)
80mm (3 1/8") 3-Jaw Chuck for Rotary Table (10-1109-3000) 
3 Piece Engraving Tool Set (10-1113-7000)
7 Piece Engraving Tool Set, Metric (10-1108-6000)
CNC Curriculum (77-8142-000) </t>
  </si>
  <si>
    <t>Turning Bundles</t>
  </si>
  <si>
    <t>CNC-7000-STRT</t>
  </si>
  <si>
    <t>Starter Bundle: Imperial/Metric; Specify on the order 110V (Imperial Accessories) or 220V (Metric Accessories)
CNC BenchTurn 7000 110V (00-5505-0110) for Imperial or CNC BenchMill 6000 220V (00-5505-0220) for Metric  
Tailstock Chuck MT2 Taper 0- 1/2" (13mm)  (10-1105-7000) 
7 Piece Turning Tool Set with Inserts 10 mm x 10 mm (10-1110-1000)
7 Piece Insert Replacement Set  (10-1110-2000 )
Rolling Center Tailstock MT2  (10-1106-6000)
CNC Curriculum (77-8141-0001) Imperial or (77-8141-0002 Metric)
* Curriculum requires access to LearnMate (see LearnMate tab)</t>
  </si>
  <si>
    <t>BenchTURN 7000 Starter Bundle, Imp/Met, 110/220 VAC</t>
  </si>
  <si>
    <t>CNC-7000-ADV</t>
  </si>
  <si>
    <t>BenchTURN 7000 Advanced Bundle, Imp/Met, 110/220 VAC</t>
  </si>
  <si>
    <t>Advanced Bundle: Imperial/Metric; Specify on the order 110V (Imperial Accessories) or 220V (Metric Accessories)
CNC BenchTurn 7000 110V (00-5505-0110 for Imperial) or CNC BenchMill 6000 220V (00-5505-0220 for Metric)  Tailstock Chuck MT2 taper 1/2" (13mm) (10-1105-7000)  
7 Piece Turning Tool Set with Inserts 10 mm x 10 mm (10-1110-1000)   
7 piece insert replacement set  (10-1110-2000)  
Rolling Center Tailstock MT2  (10-1106-6000)
4 Jaw Chuck with 3.9" (100mm) Flange with Key (10-1106-7000)
Jog Pendant Handwheel (10-1111-1000)    
Coolant System-110 VAC (10-1108-1110 for Imperial) or Coolant System-220 VAC (10-1108-1220 for Metric) 
Machinable Wax for Turning 20 pieces (10-9350-000) 
CNC Curriculum (77-8141-0001) Imperial or 77-8141-0002 (Metric) 
* Curriculum requires access to LearnMate (see LearnMate tab)</t>
  </si>
  <si>
    <t>CNC-9000-STRT</t>
  </si>
  <si>
    <t>ProTURN 9000 Starter Bundle, Imp/Met, 110/220 VAC</t>
  </si>
  <si>
    <t>Starter Bundle: Imperial/Metric; Specify on the order 110V (Imperial Accessories) or 220V (Metric Accessories)
CNC ProTurn 9000 AC 110V (00-5501-0110) for Imperial or CNC ProTurn 9000 AC 220V (00-5501-0220) for Metric
Rolling Center Tailstock MT2  (10-1106-6000) 
7 Piece Turning Tool Set with Inserts 10 mm x 10 mm (10-1110-1000) 
7 Piece Insert Replacement Set  (10-1110-2000)
CNC Curriculum (77-8143-0001 for Imperial or 77-8143-0002 for Metric) 
* Curriculum requires access to LearnMate (see LearnMate tab)</t>
  </si>
  <si>
    <t>CNC-9000-ADV</t>
  </si>
  <si>
    <t>ProTURN 9000 Advanced Bundle, Imp/Met, 110/220 VAC</t>
  </si>
  <si>
    <t>Advanced Bundle: Imperial/Metric; Specify on the order 110V (Imperial Accessories) or 220V (Metric Accessories)
CNC ProTurn 9000 AC 110V (00-5501-0110) for Imperial or CNC ProTurn 9000 AC 220V (00-5501-0220) for Metric, 
7 Piece Turning Tool Set with Inserts 10 mm x 10 mm (10-1110-1000)
7 Piece Insert Replacement Set  (10-1110-2000)
Rolling Center  Tailstock MT2 taper (10-1106-6000)
Tailstock Chuck MT2 taper 1/2" (13mm) (10-1105-7000)
4 Jaw Chuck with 3.9" (100mm) Flange (10-1106-7000)
Jog Pendant Handwheel  (10-1111-1000)
Coolant System-110 VAC (10-1108-1110 for Imperial) or Coolant System-220 VAC (10-1108-1220 for Metric)
Machine Mounted Monitor or CPU Stand (10-1105-5000)
CNC Curriculum (77-8143-0001 for Imperial or 77-8143-0002 for Metric)
* Curriculum requires access to LearnMate (see LearnMate tab)</t>
  </si>
  <si>
    <t>CNC Machines</t>
  </si>
  <si>
    <t>00-5505-0110</t>
  </si>
  <si>
    <t>00-5505-0220</t>
  </si>
  <si>
    <t>00-5504-0110</t>
  </si>
  <si>
    <t>00-5504-0220</t>
  </si>
  <si>
    <t>00-5509-0110</t>
  </si>
  <si>
    <t>00-5509-0220</t>
  </si>
  <si>
    <t>00-5501-0110</t>
  </si>
  <si>
    <t>00-5501-0220</t>
  </si>
  <si>
    <t>CNC BenchMILL 6000, 110 VAC</t>
  </si>
  <si>
    <t xml:space="preserve"> 90 PSI Air pressure</t>
  </si>
  <si>
    <t>CNC BenchMILL 6000, 220 VAC</t>
  </si>
  <si>
    <t>6 BAR Air pressure</t>
  </si>
  <si>
    <t>CNC BenchTurn 7000  110V</t>
  </si>
  <si>
    <t>CNC BenchTurn 7000 220V</t>
  </si>
  <si>
    <t>ProMill 8000 AC with 12 Tool ATC</t>
  </si>
  <si>
    <t>CNC ProTurn 9000 AC 110V</t>
  </si>
  <si>
    <t>CNC ProTurn 9000 AC 220V</t>
  </si>
  <si>
    <t>Accessories for Milling Center (6000/8000)</t>
  </si>
  <si>
    <t>10-1111-6000</t>
  </si>
  <si>
    <t>10-1108-2000</t>
  </si>
  <si>
    <t>10-1115-0000</t>
  </si>
  <si>
    <t>10-1112-2000</t>
  </si>
  <si>
    <t>10-1113-5000</t>
  </si>
  <si>
    <t>10-1113-4000</t>
  </si>
  <si>
    <t>10-1111-5000</t>
  </si>
  <si>
    <t>10-1111-9000</t>
  </si>
  <si>
    <t>10-1111-7000</t>
  </si>
  <si>
    <t>10-1115-2000</t>
  </si>
  <si>
    <t>10-1111-1000</t>
  </si>
  <si>
    <t>10-1108-1110</t>
  </si>
  <si>
    <t>10-1108-1220</t>
  </si>
  <si>
    <t xml:space="preserve">10-1108-8000 </t>
  </si>
  <si>
    <t>10-1109-3000</t>
  </si>
  <si>
    <t>10-1113-7000</t>
  </si>
  <si>
    <t>10-1113-6000</t>
  </si>
  <si>
    <t>10-1108-6000</t>
  </si>
  <si>
    <t>10-1105-5000</t>
  </si>
  <si>
    <t>10-1106-3000</t>
  </si>
  <si>
    <t>10-1113-1000</t>
  </si>
  <si>
    <t>10-1113-0000</t>
  </si>
  <si>
    <t>10-1112-4000</t>
  </si>
  <si>
    <t>10-1112-7000</t>
  </si>
  <si>
    <t>10-4526-0000</t>
  </si>
  <si>
    <t>10-4527-0000</t>
  </si>
  <si>
    <t>10-1113-3000</t>
  </si>
  <si>
    <t>10-1113-2000</t>
  </si>
  <si>
    <t>10-5810-0000</t>
  </si>
  <si>
    <t>10-5590-0000</t>
  </si>
  <si>
    <t>10-5591-0000</t>
  </si>
  <si>
    <t>10-5592-0000</t>
  </si>
  <si>
    <t>4' Vise</t>
  </si>
  <si>
    <t>Accessories for Turning Center (7000/9000)</t>
  </si>
  <si>
    <t>10-1106-6000</t>
  </si>
  <si>
    <t>10-1105-7000</t>
  </si>
  <si>
    <t>10-1110-1000</t>
  </si>
  <si>
    <t>10-1110-2000</t>
  </si>
  <si>
    <t>10-1106-7000</t>
  </si>
  <si>
    <t>10-1105-9000</t>
  </si>
  <si>
    <t>10-1106-5000</t>
  </si>
  <si>
    <t>10-1106-4000</t>
  </si>
  <si>
    <t>Follow Rest (9000)</t>
  </si>
  <si>
    <t>Steady Rest (9000)</t>
  </si>
  <si>
    <t>Accessories for FMS (Combination with ER Robotic Arm)</t>
  </si>
  <si>
    <t>10-1110-7000</t>
  </si>
  <si>
    <t>10-1110-8000</t>
  </si>
  <si>
    <t>10-1110-9000</t>
  </si>
  <si>
    <t>10-1111-0000</t>
  </si>
  <si>
    <t>10-1110-4000</t>
  </si>
  <si>
    <t>10-1110-5000</t>
  </si>
  <si>
    <t>10-1110-6000</t>
  </si>
  <si>
    <t>CNC Curriculum</t>
  </si>
  <si>
    <t>77-3140-0001</t>
  </si>
  <si>
    <t>77-3140-0002</t>
  </si>
  <si>
    <t>77-3141-0001</t>
  </si>
  <si>
    <t>77-3141-0002</t>
  </si>
  <si>
    <t>77-3142-0001</t>
  </si>
  <si>
    <t>77-3142-0002</t>
  </si>
  <si>
    <t>77-3143-0001</t>
  </si>
  <si>
    <t>77-3143-0002</t>
  </si>
  <si>
    <t>77-8140-0001</t>
  </si>
  <si>
    <t>77-8140-0002</t>
  </si>
  <si>
    <t>77-8141-0001</t>
  </si>
  <si>
    <t>77-8141-0002</t>
  </si>
  <si>
    <t>77-8142-0001</t>
  </si>
  <si>
    <t>77-8142-0002</t>
  </si>
  <si>
    <t>77-8143-0001</t>
  </si>
  <si>
    <t>77-8143-0002</t>
  </si>
  <si>
    <t>77-3004-0001</t>
  </si>
  <si>
    <t>77-3004-0002</t>
  </si>
  <si>
    <t>77-3005-0001</t>
  </si>
  <si>
    <t>77-3007-0001</t>
  </si>
  <si>
    <t>77-3007-0002</t>
  </si>
  <si>
    <t>77-3144-0001</t>
  </si>
  <si>
    <t>77-3146-0001</t>
  </si>
  <si>
    <t>77-3005-0002</t>
  </si>
  <si>
    <t>FMS Curriculum</t>
  </si>
  <si>
    <t>77-3022-0000</t>
  </si>
  <si>
    <t>77-3015-0000</t>
  </si>
  <si>
    <t>77-3016-0000</t>
  </si>
  <si>
    <t>LM7 Content, Vir, Flexible Manufacturing Sys</t>
  </si>
  <si>
    <t>LM7 Content, Vir, CIM 1</t>
  </si>
  <si>
    <t>LM7 Content, Vir, CIM 2</t>
  </si>
  <si>
    <t>CNC Software - Can be purchased as stand alone</t>
  </si>
  <si>
    <t>63-6001-1000</t>
  </si>
  <si>
    <t>63-6001-1010</t>
  </si>
  <si>
    <t>63-6001-1030</t>
  </si>
  <si>
    <t>63-7001-1000</t>
  </si>
  <si>
    <t>63-7001-1010</t>
  </si>
  <si>
    <t>63-7001-1030</t>
  </si>
  <si>
    <t>63-8001-1000</t>
  </si>
  <si>
    <t>63-8001-1010</t>
  </si>
  <si>
    <t>63-8001-1030</t>
  </si>
  <si>
    <t>63-9001-1000</t>
  </si>
  <si>
    <t>63-9001-1010</t>
  </si>
  <si>
    <t>63-9001-1030</t>
  </si>
  <si>
    <t>63-6001-2000</t>
  </si>
  <si>
    <t>63-6001-2010</t>
  </si>
  <si>
    <t>63-6001-2030</t>
  </si>
  <si>
    <t>63-6723-0000</t>
  </si>
  <si>
    <t>63-6733-0000</t>
  </si>
  <si>
    <t>63-6733-0010</t>
  </si>
  <si>
    <t>63-6733-0030</t>
  </si>
  <si>
    <t>63-6743-0000</t>
  </si>
  <si>
    <t>63-6743-0010</t>
  </si>
  <si>
    <t>63-6743-0030</t>
  </si>
  <si>
    <t>SpectraCAM Milling, 10 Seat License</t>
  </si>
  <si>
    <t>SpectraCAM Milling, 30 Seat License</t>
  </si>
  <si>
    <t>SpectraCAM Turning, 10 Seat Licenses</t>
  </si>
  <si>
    <t>SpectraCAM Turning, 30 Seat Licenses</t>
  </si>
  <si>
    <t>CNC Projects</t>
  </si>
  <si>
    <t>10-9307-0000</t>
  </si>
  <si>
    <t>10-7016-1000</t>
  </si>
  <si>
    <t>10-9301-0000</t>
  </si>
  <si>
    <t>10-7007-1000</t>
  </si>
  <si>
    <t>10-9302-0000</t>
  </si>
  <si>
    <t>10-7006-1000</t>
  </si>
  <si>
    <t>10-7001-1000</t>
  </si>
  <si>
    <t>10-9603-0000</t>
  </si>
  <si>
    <t>10-7551-0000</t>
  </si>
  <si>
    <t>77-7022-0001</t>
  </si>
  <si>
    <t>10-7023-9000</t>
  </si>
  <si>
    <t>Precision Measuring Device Project</t>
  </si>
  <si>
    <t>Yo-Yo Project</t>
  </si>
  <si>
    <t>CNC Material Supplies (Raw materials for CNC classes)</t>
  </si>
  <si>
    <t>10-9130-0000</t>
  </si>
  <si>
    <t>10-9160-0000</t>
  </si>
  <si>
    <t>10-9170-0000</t>
  </si>
  <si>
    <t>10-9120-0000</t>
  </si>
  <si>
    <t>10-9350-0000</t>
  </si>
  <si>
    <t>10-9140-0000</t>
  </si>
  <si>
    <t>10-9360-0000</t>
  </si>
  <si>
    <t>10-9330-0000</t>
  </si>
  <si>
    <t xml:space="preserve">10-9340-0000 </t>
  </si>
  <si>
    <t xml:space="preserve">Chess Set </t>
  </si>
  <si>
    <t>Plastic Technology Bundles</t>
  </si>
  <si>
    <t>PL-THERMO-FRM</t>
  </si>
  <si>
    <t>Thermoforming Center Bundle, Includes machine 15 hours curriculum and accessories</t>
  </si>
  <si>
    <t xml:space="preserve">All in one compact training center emulates six basic plastic processes:  Vacuum forming, Free dome blowing, Plastic welding, Plastic drip coating, Injection molding and Extrusion.  NOT STOCKED, Please allow 18 Weeks for delivery.  Includes Thermoforming center, 15 hours of lab instruction in each of the 6 processes and safety LM7 content, Consumable materials. </t>
  </si>
  <si>
    <t>Plastics Technology Items</t>
  </si>
  <si>
    <t>10-9401-0000</t>
  </si>
  <si>
    <t>10-9402-0000</t>
  </si>
  <si>
    <t>10-9403-0000</t>
  </si>
  <si>
    <t>10-9404-0000</t>
  </si>
  <si>
    <t>10-9405-0000</t>
  </si>
  <si>
    <t>10-9406-0000</t>
  </si>
  <si>
    <t>10-9407-0000</t>
  </si>
  <si>
    <t>10-9408-0000</t>
  </si>
  <si>
    <t>10-9409-0000</t>
  </si>
  <si>
    <t>10-9411-0000</t>
  </si>
  <si>
    <t>ASRS Stations</t>
  </si>
  <si>
    <t>ASRS-36U</t>
  </si>
  <si>
    <t>ASRS (Automated Storage and Retrieval System)-36 Shelves &amp; with teach pendant</t>
  </si>
  <si>
    <t>ASRS-36U-RDR</t>
  </si>
  <si>
    <t>ASRS (Automated Storage and Retrieval System)-36 Shelves &amp; RFID Reader</t>
  </si>
  <si>
    <t>00-0420-0000</t>
  </si>
  <si>
    <t>ASRS-36u (36-bay Storage Unit)</t>
  </si>
  <si>
    <t>Teach Pendant for USB/USB Pro Controllers</t>
  </si>
  <si>
    <t>10-2119-8000</t>
  </si>
  <si>
    <t>RFID Reader  System, 115/230V</t>
  </si>
  <si>
    <t>RFID Tag Diam. 20mm</t>
  </si>
  <si>
    <t>50-0094-0000</t>
  </si>
  <si>
    <t>Pre-Engineering, Design and Testing</t>
  </si>
  <si>
    <t>ASRS-36Ux2</t>
  </si>
  <si>
    <t>ASRS (Automated Storage and Retrieval System)-72 Shelves &amp; Cartesian Robot</t>
  </si>
  <si>
    <t>ASRS-36Ux2-RDR</t>
  </si>
  <si>
    <t>ASRS (Automated Storage and Retrieval System)-72 Shelves &amp; RFID Reader</t>
  </si>
  <si>
    <t>00-0424-0000</t>
  </si>
  <si>
    <t>ASRS-36x2 (72-bay Storage Unit)</t>
  </si>
  <si>
    <t>ASRS-ER4U-06</t>
  </si>
  <si>
    <t>ASRS (Automated Storage and Retrieval System)-6 Shelves &amp; Scorbot-ER4U robot</t>
  </si>
  <si>
    <t>SCORBOT-ER 4u (Package)</t>
  </si>
  <si>
    <t>End Effector Attachment for ER4U Gripper</t>
  </si>
  <si>
    <t>00-1121-0000</t>
  </si>
  <si>
    <t>MicroASRS (6-bay Storage Rack)</t>
  </si>
  <si>
    <t>00-1251-0000</t>
  </si>
  <si>
    <t>Workbench 1500x800mm (Formica Top)</t>
  </si>
  <si>
    <t>ASRS-ER4U-06-RDR</t>
  </si>
  <si>
    <t>ASRS (Aut.Storage &amp; Retrieval Sys)-6 Shelves, Scorbot-ER4U robot &amp; RFID Reader</t>
  </si>
  <si>
    <t>ASRS-ER4U-12</t>
  </si>
  <si>
    <t>ASRS (Automated Storage and Retrieval System)-12 Shelves &amp; B72ER4U</t>
  </si>
  <si>
    <t>ASRS-ER4U-12-RDR</t>
  </si>
  <si>
    <t>ASRS (Aut.Storage &amp; Retrieval Sys)-12 Shelves, Scorbot-ER4U robot &amp; RFID Reader</t>
  </si>
  <si>
    <t>ASRS-ER9P-06</t>
  </si>
  <si>
    <t>ASRS (Automated Storage and Retrieval System)-6 Shelves &amp; Scorbot-ER9Pro</t>
  </si>
  <si>
    <t>SCORBOT-ER 9Pro (incl. USB-Pro Controller)</t>
  </si>
  <si>
    <t>Pneumatic Gripper for ER 9Pro</t>
  </si>
  <si>
    <t>ASRS-RDR-ADD-ON</t>
  </si>
  <si>
    <t>Add On RFID Reader for existing ASRS</t>
  </si>
  <si>
    <t>RFID Reader System, 115/230</t>
  </si>
  <si>
    <t>תג שקוף עם מדבקה RFID Tag 125KHz Diam.=20mm</t>
  </si>
  <si>
    <t>ASRS-UPG-ACL-USB</t>
  </si>
  <si>
    <t>Upgrade ASRS36/72 from ACL controller to USB controller</t>
  </si>
  <si>
    <t>10-1032-3000</t>
  </si>
  <si>
    <t>Upgrade Package ASRS36/72 to ASRS36/72 U</t>
  </si>
  <si>
    <t>ASRS-ER4U-18</t>
  </si>
  <si>
    <t>ASRS - 18 Shelves &amp; ER4U</t>
  </si>
  <si>
    <t>LSB 1.0m (Belt, Table-Top)</t>
  </si>
  <si>
    <t>97mm Height Adapter -Rack 001110 on formica 19mm</t>
  </si>
  <si>
    <t>00-1260-0000</t>
  </si>
  <si>
    <t>PC Extension Shelf  600x800mm</t>
  </si>
  <si>
    <t>021181</t>
  </si>
  <si>
    <t>ASRS-ER4U-18-RDR</t>
  </si>
  <si>
    <t>ASRS - 18 Shelves &amp; ER4U &amp; RFID Reader</t>
  </si>
  <si>
    <t>MTS-ER4U-2CNC-EM</t>
  </si>
  <si>
    <t>FMS - Scorbot ER4U Robot for EMCO Mill &amp; Turn</t>
  </si>
  <si>
    <t>MTS Stations</t>
  </si>
  <si>
    <t>LSB 1.8 m (Belt, Table-Top)</t>
  </si>
  <si>
    <t>10-1003-8000</t>
  </si>
  <si>
    <t>Stand for table's LSB</t>
  </si>
  <si>
    <t>מכלול- מדף בפר סטנדרטי OPEN-CIM</t>
  </si>
  <si>
    <t>10-2521-7000</t>
  </si>
  <si>
    <t>Pneumatic Feeder for Rectangular Parts</t>
  </si>
  <si>
    <t>10-1007-4000</t>
  </si>
  <si>
    <t>Gravity Parts Feeder (incl.microswitch sensor)</t>
  </si>
  <si>
    <t>00-1110-0000</t>
  </si>
  <si>
    <t>Palletizing Rack (incl. Pins for creating Jigs)</t>
  </si>
  <si>
    <t>97mm Height Adapter -Rack 001110 on formica 28mm</t>
  </si>
  <si>
    <t>10-2118-9000</t>
  </si>
  <si>
    <t>CNC Interface Option USB to I/O</t>
  </si>
  <si>
    <t>10-2116-2000</t>
  </si>
  <si>
    <t>Pneumatic Flip Device</t>
  </si>
  <si>
    <t>10-2118-6000</t>
  </si>
  <si>
    <t>CNC Interface with EMCO MILL</t>
  </si>
  <si>
    <t>10-2118-7000</t>
  </si>
  <si>
    <t>CNC Interface with EMCO TURN</t>
  </si>
  <si>
    <t>Raw Material Stock - Perspex Block</t>
  </si>
  <si>
    <t>Raw Material Stock - Brass  Rod</t>
  </si>
  <si>
    <t>00-1290-0000</t>
  </si>
  <si>
    <t>PC Table 630x800mm (with Keyboard Drawer)</t>
  </si>
  <si>
    <t>021152</t>
  </si>
  <si>
    <t>021182</t>
  </si>
  <si>
    <t>MTS-ER4U-3rdPCNC</t>
  </si>
  <si>
    <t>FMS - Scorbot ER4U Robot for 3rd Party CNC Machine</t>
  </si>
  <si>
    <t>LSB 1.0m, Belt, Table-Top</t>
  </si>
  <si>
    <t>50-0092-0000</t>
  </si>
  <si>
    <t>Interface Programming for 3rd Party CNC Machine</t>
  </si>
  <si>
    <t>MTS-ER4U-BM-BT</t>
  </si>
  <si>
    <t>FMS - Scorbot ER4U Robot with BenchMill 6000 &amp; BenchTurn 7000 CNC machines</t>
  </si>
  <si>
    <t>10-2120-0000</t>
  </si>
  <si>
    <t>CNC Interface with BenchMILL 6000</t>
  </si>
  <si>
    <t>CNC BenchMill 6000 220V</t>
  </si>
  <si>
    <t>Dual Axis Vise (BenchMill 6000/ ProMill 8000)</t>
  </si>
  <si>
    <t>Table mounted ATC package</t>
  </si>
  <si>
    <t>ER16 Collet set-8 pieces(2)3,(2)6,(2)8,(2)10mm</t>
  </si>
  <si>
    <t>Metric Advanced End Mill Package 5121</t>
  </si>
  <si>
    <t>Imperial Advanced End Mill Package 5120</t>
  </si>
  <si>
    <t>Hand wheel</t>
  </si>
  <si>
    <t>4" Precision Maching Vise</t>
  </si>
  <si>
    <t>clamping kit 58 pcs set</t>
  </si>
  <si>
    <t>10-1108-8000</t>
  </si>
  <si>
    <t>100mm rotary worktable (4th axis) with tailstock</t>
  </si>
  <si>
    <t>80mm 3-jaw chuck</t>
  </si>
  <si>
    <t>ER16 Collet set-8 pieces(3,4,5,6,7,8,9 and 10mm)</t>
  </si>
  <si>
    <t>Coolant system 27L</t>
  </si>
  <si>
    <t>ISO 20 tool holder with nut</t>
  </si>
  <si>
    <t>Metric Engraving Package 5711</t>
  </si>
  <si>
    <t>Imperial Engraving Package 5710</t>
  </si>
  <si>
    <t>10-1111-3000</t>
  </si>
  <si>
    <t>Fanuc simulator with software</t>
  </si>
  <si>
    <t>10-1108-9000</t>
  </si>
  <si>
    <t>Computer stand</t>
  </si>
  <si>
    <t>SpectraCAD Engraver software – Download Only</t>
  </si>
  <si>
    <t>Software, SpectraCAM Milling</t>
  </si>
  <si>
    <t>CNCMotion Sim. Sftwr, BenchMill 6000</t>
  </si>
  <si>
    <t>Fanuc Simulation Sftwr, BenchMill 6000</t>
  </si>
  <si>
    <t>10-2120-1000</t>
  </si>
  <si>
    <t>CNC Interface with BenchTurn 7000</t>
  </si>
  <si>
    <t>CNC BenchTurn 7000 110V</t>
  </si>
  <si>
    <t>Pneumatic Shield with Sensors (BenchTurn 7000)</t>
  </si>
  <si>
    <t>Pneumatic Chuck (BenchTurn 7000)</t>
  </si>
  <si>
    <t>10-1106-0000</t>
  </si>
  <si>
    <t>10 x 10mm cutter 11pcs set</t>
  </si>
  <si>
    <t>10x10mm TiN coated cutter set (replaceable tip)</t>
  </si>
  <si>
    <t>TiN coated tip for 011101</t>
  </si>
  <si>
    <t>Rolling center</t>
  </si>
  <si>
    <t>Tailstock extender MT2 13mm tailstock chuck</t>
  </si>
  <si>
    <t>100mm 4-jaw chuck (independent)</t>
  </si>
  <si>
    <t>10-6741-0000</t>
  </si>
  <si>
    <t>spectraCAM Turning, First Copy</t>
  </si>
  <si>
    <t>Software, SpectraCAM Turning</t>
  </si>
  <si>
    <t>CNCMotion Sim. Sftwr, BenchTurn 7000</t>
  </si>
  <si>
    <t>63-7001-2000</t>
  </si>
  <si>
    <t>Fanuc Simulation Sftwr, BenchTurn 7000</t>
  </si>
  <si>
    <t>00-1261-0000</t>
  </si>
  <si>
    <t>Workbench 1800x900mm (Heavy duty for CNC)</t>
  </si>
  <si>
    <t>00-1265-0000</t>
  </si>
  <si>
    <t>PC Extension Shelf  600x900mm</t>
  </si>
  <si>
    <t>MTS-ER4U-BM6000</t>
  </si>
  <si>
    <t>FMS - Scorbot ER4U Robot with BenchMill 6000 CNC Milling machine (4 tool ATC)</t>
  </si>
  <si>
    <t>113034</t>
  </si>
  <si>
    <t>112496</t>
  </si>
  <si>
    <t>MTS-ER4U-BT7000</t>
  </si>
  <si>
    <t>FMS - Scorbot ER4U Robot with BenchTurn 7000 CNC Turning machine</t>
  </si>
  <si>
    <t>MTS-ER4U-LSREN</t>
  </si>
  <si>
    <t>FMS - Scorbot ER4U Robot on stand with Laser Engraver</t>
  </si>
  <si>
    <t>00-4040-0000</t>
  </si>
  <si>
    <t>Laser Engraver VLS 3.60</t>
  </si>
  <si>
    <t>Automatic Shield Opener for Laser Engraver, 24V</t>
  </si>
  <si>
    <t>00-1299-0000</t>
  </si>
  <si>
    <t>Stand for ER4, (ITEM, higth=665mm)</t>
  </si>
  <si>
    <t>MTS-ER4U-LSREN-L</t>
  </si>
  <si>
    <t>FMS - Scorbot ER4U Robot on LSB with Laser Engraver</t>
  </si>
  <si>
    <t>00-1017-0000</t>
  </si>
  <si>
    <t>LSB 1.8m, Belt, Floor Mounted incl. Stand</t>
  </si>
  <si>
    <t>MTS-ER9P-2CNC-BF</t>
  </si>
  <si>
    <t>FMS - Scorbot ER9Pro Robot for Boxford Mill &amp; Turn CNC machines</t>
  </si>
  <si>
    <t>LSB 1.8m (Belt, Floor Mounted incl. Stand)</t>
  </si>
  <si>
    <t>I/O Interface Box for Controller USB-PRO</t>
  </si>
  <si>
    <t>10-2118-4000</t>
  </si>
  <si>
    <t>CNC Interface with Boxford Mill</t>
  </si>
  <si>
    <t>10-2118-5000</t>
  </si>
  <si>
    <t>CNC Interface with Boxford Turn</t>
  </si>
  <si>
    <t>MTS-ER9P-2CNC-EM</t>
  </si>
  <si>
    <t>FMS - Scorbot ER9Pro Robot for EMCO CNC Mill &amp; Turn machines</t>
  </si>
  <si>
    <t>00-1024-0000</t>
  </si>
  <si>
    <t>LSB 3.0m, Belt, Floor Mounted incl. Stand</t>
  </si>
  <si>
    <t>10-2118-8000</t>
  </si>
  <si>
    <t>CNC Interface Option USB Relay Box (5OUT/5IN)</t>
  </si>
  <si>
    <t>MTS-ER9P-3rd-P-M</t>
  </si>
  <si>
    <t>FMS - Scorbot ER9Pro Robot for 3rd Party CNC Milling machine</t>
  </si>
  <si>
    <t>LSB 1.0m (Belt, Floor Mounted incl. Stand)</t>
  </si>
  <si>
    <t>MTS-ER9P-3rd-P-T</t>
  </si>
  <si>
    <t>FMS - Scorbot ER9Pro Robot for 3rd Party CNC Turning machine</t>
  </si>
  <si>
    <t>MTS-ER9P-3rd-PMT</t>
  </si>
  <si>
    <t>FMS - Scorbot ER9Pro Robot for 3rd Party CNC Mill &amp; Turn machines</t>
  </si>
  <si>
    <t>MTS-ER9P-BM&amp;PT</t>
  </si>
  <si>
    <t>FMS - Scorbot ER9Pro Robot with BenchMill 6000 (4 tool ATC) &amp; ProTurn 9000 CNC machines</t>
  </si>
  <si>
    <t>00-1023-0000</t>
  </si>
  <si>
    <t>LSB 2.5m, Belt, Floor Mounted incl. Stand</t>
  </si>
  <si>
    <t>קופסת 2+Interface Box I/O כבלים לבקר USBPRO</t>
  </si>
  <si>
    <t>Jog Pendant Handwheel</t>
  </si>
  <si>
    <t>10-2120-3000</t>
  </si>
  <si>
    <t>CNC Interface with ProTurn 9000</t>
  </si>
  <si>
    <t>Pneumatic Shield with Sensors (ProTurn 9000)</t>
  </si>
  <si>
    <t>Pneumatic Chuck (ProTurn 9000)</t>
  </si>
  <si>
    <t>Drill Chuck for Tailstock MT2 13mm</t>
  </si>
  <si>
    <t>Computer and monitor stand (attached to machine)</t>
  </si>
  <si>
    <t>CNCMotion Sim. Sftwr, ProTurn 9000</t>
  </si>
  <si>
    <t>MTS-ER9P-BM-BT</t>
  </si>
  <si>
    <t>FMS - Scorbot ER9Pro Robot with BenchMill 6000 (4 tool ATC) &amp; BenchTurn 7000 CNC machines</t>
  </si>
  <si>
    <t>Coolant system 27L - 110V</t>
  </si>
  <si>
    <t>MTS-ER9P-BM6000</t>
  </si>
  <si>
    <t>FMS - Scorbot ER9Pro Robot with BenchMill 6000 (4 tool ATC) CNC Milling machine</t>
  </si>
  <si>
    <t>10-1110-3000</t>
  </si>
  <si>
    <t>Pneumatic Shield with Sensors (BenchMill 6000)</t>
  </si>
  <si>
    <t>00-1270-0000</t>
  </si>
  <si>
    <t>PC Extension Vertical 600x900mm</t>
  </si>
  <si>
    <t>MTS-ER9P-BT7000</t>
  </si>
  <si>
    <t>FMS - Scorbot ER9Pro Robot with BenchTurn 7000 CNC Turning machine</t>
  </si>
  <si>
    <t>MTS-ER9P-CNC-CM</t>
  </si>
  <si>
    <t>FMS - Scorbot ER9Pro Robot for EMCO CNC Milling machine</t>
  </si>
  <si>
    <t>MTS-ER9P-CNC-CT</t>
  </si>
  <si>
    <t>FMS - Scorbot ER9Pro Robot for EMCO CNC Turning machine</t>
  </si>
  <si>
    <t>MTS-ER9P-LSREN</t>
  </si>
  <si>
    <t>FMS - Scorbot ER9Pro Robot with Laser Engraver</t>
  </si>
  <si>
    <t>Laser Engraver</t>
  </si>
  <si>
    <t>מכלול-בוכנה דו-כיווני 300mm עם שסתום</t>
  </si>
  <si>
    <t>00-1280-0000</t>
  </si>
  <si>
    <t>Stand for ER9/ER14 (ITEM Profiles)</t>
  </si>
  <si>
    <t>MTS-ER9P-MILL-BF</t>
  </si>
  <si>
    <t>FMS - Scorbot ER9Pro Robot for Boxford Mill</t>
  </si>
  <si>
    <t>LSB 1.0m, Belt, Floor Mounted incl. Stand</t>
  </si>
  <si>
    <t>MTS-ER9P-PM&amp;PT</t>
  </si>
  <si>
    <t>FMS - Scorbot ER9Pro Robot with ProMill 8000 (12 tool ATC) &amp; ProTurn 9000 CNC machines</t>
  </si>
  <si>
    <t>I/O Interface Box for Controller USB-PRO+2cables</t>
  </si>
  <si>
    <t>10-2120-2000</t>
  </si>
  <si>
    <t>CNC Interface with ProMill 8000</t>
  </si>
  <si>
    <t>ProMill 8000 AC with 12 Tool ATC 220V</t>
  </si>
  <si>
    <t>ProMill 8000 AC with 12 Tool ATC 110V</t>
  </si>
  <si>
    <t>Pneumatic Shield with Sensors (ProMill 8000)</t>
  </si>
  <si>
    <t>CNCMotion Sim. Sftwr, ProMill 8000</t>
  </si>
  <si>
    <t>63-8001-2000</t>
  </si>
  <si>
    <t>Fanuc Simulation Sftwr, ProMill 8000</t>
  </si>
  <si>
    <t>125mm 4-jaw chuck (independent) with flange</t>
  </si>
  <si>
    <t>TiN coated tip for 011102</t>
  </si>
  <si>
    <t>63-9001-2000</t>
  </si>
  <si>
    <t>Fanuc Simulation Sftwr, ProTurn 9000</t>
  </si>
  <si>
    <t>MTS-ER9P-PM8000</t>
  </si>
  <si>
    <t>FMS - Scorbot ER9Pro Robot with ProMill 8000 (12 tool ATC) CNC Milling machine</t>
  </si>
  <si>
    <t>MTS-ER9P-PT9000</t>
  </si>
  <si>
    <t>FMS - Scorbot ER9Pro Robot with ProTurn 9000 CNC Turning machine</t>
  </si>
  <si>
    <t>MTS-ER9P-TURN-BF</t>
  </si>
  <si>
    <t>FMS - Scorbot ER9Pro Robot for Boxford Turn</t>
  </si>
  <si>
    <t>MTS-IROB-IM</t>
  </si>
  <si>
    <t>FMS - for industrial robot &amp; for industrial Mill</t>
  </si>
  <si>
    <t>10-2119-9000</t>
  </si>
  <si>
    <t>Interface with industrial robot</t>
  </si>
  <si>
    <t>Pneumatic Gripper for small industrial robots</t>
  </si>
  <si>
    <t>00-1027-0000</t>
  </si>
  <si>
    <t>LSB 1.8m incl. USB-Pro(Industr. robot max. 50kg)</t>
  </si>
  <si>
    <t>MTS-IROB-IM&amp;IT</t>
  </si>
  <si>
    <t>FMS - for industrial robot &amp; for industrial Mill&amp;Turn</t>
  </si>
  <si>
    <t>MTS-IROB-IT</t>
  </si>
  <si>
    <t>FMS - for industrial robot &amp; for industrial Turn</t>
  </si>
  <si>
    <t>MTS-IROBH-IM&amp;IT</t>
  </si>
  <si>
    <t>FMS - for heavy industrial robot &amp; for industrial Mill&amp;Turn</t>
  </si>
  <si>
    <t>00-1034-0000</t>
  </si>
  <si>
    <t>LSB 4.5m,Belt,Under ground &amp;XDrive08 for Fanuc10</t>
  </si>
  <si>
    <t>00-1038-0000</t>
  </si>
  <si>
    <t>LSB 1.8m, Screw,FloorM,XD, for ind. robot&lt; 50kg</t>
  </si>
  <si>
    <t>00-1030-0000</t>
  </si>
  <si>
    <t>LSB 3.0m, Belt, UnderGr, XD, for ind. robot&lt;50kg</t>
  </si>
  <si>
    <t>MTS-KUKA-CM&amp;CT</t>
  </si>
  <si>
    <t>FMS - for KUKA robot &amp; for EMCO CONCEPT Mill&amp;Turn</t>
  </si>
  <si>
    <t>Pneum.Gripper for small industrial Robots</t>
  </si>
  <si>
    <t>MTS-KUKA-LSREN</t>
  </si>
  <si>
    <t>FMS - for KUKA robot with Laser Engraver</t>
  </si>
  <si>
    <t>MTS-MH5F-2CNC-EM</t>
  </si>
  <si>
    <t>FMS - MOTOMAN MH5F robot for EMCO CNC Mill &amp; Turn</t>
  </si>
  <si>
    <t>LSB 1.8m, Belt, USB-Pro, for ind. robot &lt; 35kg</t>
  </si>
  <si>
    <t>MTS-MH5F-3rd-MIL</t>
  </si>
  <si>
    <t>FMS - MOTOMAN MH5F robot for 3rd Party Mill</t>
  </si>
  <si>
    <t>00-1026-0000</t>
  </si>
  <si>
    <t>LSB 1.0m, Belt, USB-Pro, for ind. robot &lt; 35kg</t>
  </si>
  <si>
    <t>00-1028-0000</t>
  </si>
  <si>
    <t>LSB 1.8m, Screw, FloorM,XD, for ind. robot &lt;50kg</t>
  </si>
  <si>
    <t>00-1029-0000</t>
  </si>
  <si>
    <t>LSB 1.0m, Screw, FM, XD, for ind. robot &lt; 50kg</t>
  </si>
  <si>
    <t>MTS-MH5F-3rd-PMT</t>
  </si>
  <si>
    <t>FMS - MOTOMAN MH5F robot for 3rd Party Mill &amp; Turn</t>
  </si>
  <si>
    <t>MTS-MH5F-3rd-TRN</t>
  </si>
  <si>
    <t>FMS - MOTOMAN MH5F robot for 3rd Party Turn</t>
  </si>
  <si>
    <t>MTS-MH5F-BM-BT</t>
  </si>
  <si>
    <t>FMS - Motoman MH5F Robot with BenchMill 6000 (4 tool ATC) &amp; BenchTurn 7000 CNC machines</t>
  </si>
  <si>
    <t>Coolant system 27L - 220V</t>
  </si>
  <si>
    <t>MTS-MH5F-BM6000</t>
  </si>
  <si>
    <t>FMS - MOTOMAN MH5F robot with BenchMill 6000 (4 tool ATC) CNC machine</t>
  </si>
  <si>
    <t>LSB 1m incl. USB-Pro(Industr. robot max. 50kg)</t>
  </si>
  <si>
    <t>MTS-MH5F-BT7000</t>
  </si>
  <si>
    <t>FMS - Motoman MH5F Robot with BenchTurn 7000 CNC Turning machine</t>
  </si>
  <si>
    <t>MTS-MH5F-LSREN</t>
  </si>
  <si>
    <t>FMS - MOTOMAN MH5F robot with Laser Engraver</t>
  </si>
  <si>
    <t>00-1284-0000</t>
  </si>
  <si>
    <t>Robot Pedestal Welded for ER9/14Pro&amp;MH5</t>
  </si>
  <si>
    <t>MTS-MH5F-PM&amp;PT</t>
  </si>
  <si>
    <t>FMS - MOTOMAN MH5F robot with ProMill 8000(12 tool ATC) &amp; ProTurn 9000 CNC machines</t>
  </si>
  <si>
    <t>MTS-MH5F-PM-12T</t>
  </si>
  <si>
    <t>FMS - MOTOMAN MH5F robot with ProMill 8000 (12 tool ATC) CNC machine</t>
  </si>
  <si>
    <t>MTS-MH5F-PT9000</t>
  </si>
  <si>
    <t>FMS - MOTOMAN MH5F robot with ProTurn 9000 CNC machine</t>
  </si>
  <si>
    <t>Assembly Stations</t>
  </si>
  <si>
    <t>ASM-ER14P-01</t>
  </si>
  <si>
    <t>Assembly Station with Scora-ER14 Scara robot (Ballgame)</t>
  </si>
  <si>
    <t>SCORA-ER 14Pro (incl. USB-Pro Controller)</t>
  </si>
  <si>
    <t>10-2104-9000</t>
  </si>
  <si>
    <t>Single Buffer for Slotted Table(+height adapter)</t>
  </si>
  <si>
    <t>30mm Height Adapter -Rack 001110 on table 001249</t>
  </si>
  <si>
    <t>21-0004-0000</t>
  </si>
  <si>
    <t>Pneumatic Dual-Axis Vise</t>
  </si>
  <si>
    <t>10-2523-4000</t>
  </si>
  <si>
    <t>Solenoid Valve (24V) for Dual Axis Vise 025207</t>
  </si>
  <si>
    <t>00-1230-0000</t>
  </si>
  <si>
    <t>Ball Feeder (incl. sensor for ball counting)</t>
  </si>
  <si>
    <t>00-1243-0000</t>
  </si>
  <si>
    <t>Ball Game Set (Assembly with Plastic Pins)</t>
  </si>
  <si>
    <t>00-1249-0000</t>
  </si>
  <si>
    <t>Workbench 1500x800mm (slotted aluminum top)</t>
  </si>
  <si>
    <t>00-1241-0000</t>
  </si>
  <si>
    <t>Adapter Mounting Plate for ER9/14Pro &amp; HP3</t>
  </si>
  <si>
    <t>ASM-ER14P-02</t>
  </si>
  <si>
    <t>Assembly Station - with Scora-ER14 Scara Robot (Ballgame &amp; Glueing Machine)</t>
  </si>
  <si>
    <t>00-1236-0000</t>
  </si>
  <si>
    <t>Automatic Glue Dispenser</t>
  </si>
  <si>
    <t>ASM-ER14P-03</t>
  </si>
  <si>
    <t>Assembly Station - with Scora-ER14 Robot (Ballgame &amp; Automatic Screwdriver)</t>
  </si>
  <si>
    <t>00-1221-0000</t>
  </si>
  <si>
    <t>Ball Game Set (Assembly with screws)</t>
  </si>
  <si>
    <t>00-1239-0000</t>
  </si>
  <si>
    <t>Automatic Screwdriver &amp; Screw Feeder, 110V</t>
  </si>
  <si>
    <t>ASM-ER4U-01</t>
  </si>
  <si>
    <t>Assembly Station - Scorbot-ER4U Robot (Basic Assembly)</t>
  </si>
  <si>
    <t>10-1010-9000</t>
  </si>
  <si>
    <t>Adapter Mounting Plate for ER4u</t>
  </si>
  <si>
    <t>Plexiglass Cylinders Base MicroCIM</t>
  </si>
  <si>
    <t>Mark Al. Cylinder Diam. 35x28 MicroCIM</t>
  </si>
  <si>
    <t>ASM-ER9P-01</t>
  </si>
  <si>
    <t>Assembly Station - Scorbot-ER9Pro Robot (Ballgame)</t>
  </si>
  <si>
    <t>ASM-ER9P-03</t>
  </si>
  <si>
    <t>Assembly - Scorbot-ER9Pro Robot (Ballgame &amp; Automatic Screwdriver)</t>
  </si>
  <si>
    <t>ASM-ER9P-GEAR</t>
  </si>
  <si>
    <t>Assembly Robot ER9 (Gear Assembly)</t>
  </si>
  <si>
    <t>Assembly, Dual Axis Air Vise Mechanicals</t>
  </si>
  <si>
    <t>Solenoid Valve (24V) for Pipe 3 mm</t>
  </si>
  <si>
    <t>Gear set for assembly application</t>
  </si>
  <si>
    <t>Stand 150 mm for assembly appli</t>
  </si>
  <si>
    <t>ASM-IROB-01</t>
  </si>
  <si>
    <t>Assembly Station - for Industrial Robot (Ballgame)</t>
  </si>
  <si>
    <t>ASM-IROB-02</t>
  </si>
  <si>
    <t>Assembly Station - for Industrial Robot (Ballgame and Glue)</t>
  </si>
  <si>
    <t>30mm Height Adapter -Rack 001110 on formica 19mm</t>
  </si>
  <si>
    <t>ASM-KUKA-01</t>
  </si>
  <si>
    <t>Assembly FOR KUKA KR5 SCARA (Ballgame)</t>
  </si>
  <si>
    <t>Heavy Duty Stand for ER9/14Pro&amp;HP3</t>
  </si>
  <si>
    <t>ASM-MANUAL-01</t>
  </si>
  <si>
    <t>Assembly Manual on mobile Table (Ballgame)</t>
  </si>
  <si>
    <t>ASM-MH5F-01</t>
  </si>
  <si>
    <t>Assembly for MOTOMAN MH5F (Ballgame)</t>
  </si>
  <si>
    <t>Robot MOTOMAN MH5F(incl. FS100 controller, 220V)</t>
  </si>
  <si>
    <t>ASM-MH5F-02</t>
  </si>
  <si>
    <t>Assembly for MOTOMAN MH5F (Ballgame &amp; Glue)</t>
  </si>
  <si>
    <t>ASM-MH5F-GEAR</t>
  </si>
  <si>
    <t>Assembly for MOTOMAN MH5F (Gear Assembly)</t>
  </si>
  <si>
    <t>Stand 150mm for assembly application</t>
  </si>
  <si>
    <t>ASM&amp;QC-ER14P-01</t>
  </si>
  <si>
    <t>Assembly &amp; QC Robot ER14 (Ballgame &amp; Vision)</t>
  </si>
  <si>
    <t>Assembly &amp; QC Stations</t>
  </si>
  <si>
    <t>Linear Positioning Table 300mm (Belt Drive, 24V)</t>
  </si>
  <si>
    <t>00-1422-0000</t>
  </si>
  <si>
    <t>Viewflex for QC (Stand 400mm)</t>
  </si>
  <si>
    <t>Parts Bin; Plastic Box</t>
  </si>
  <si>
    <t>ASM&amp;QC-ER14P-02</t>
  </si>
  <si>
    <t>Assembly&amp;QC Robot ER14 (Ballgame &amp; Vision &amp; Caliper)</t>
  </si>
  <si>
    <t>00-1254-0000</t>
  </si>
  <si>
    <t>Automat Stationary Caliper  Unit</t>
  </si>
  <si>
    <t>ASM&amp;QC-ER14P-03</t>
  </si>
  <si>
    <t>Assembly&amp;QC Robot ER14 (Ballgame &amp; Vision &amp; LSM)</t>
  </si>
  <si>
    <t>ASM&amp;QC-ER14P-04</t>
  </si>
  <si>
    <t>Assembly&amp;QC Robot ER14 (Ballgame &amp; Glue &amp; Vision)</t>
  </si>
  <si>
    <t>ASM&amp;QC-ER14P-05</t>
  </si>
  <si>
    <t>Assembly&amp;QC Robot ER14 (Ballgame &amp; Screw &amp; Vision)</t>
  </si>
  <si>
    <t>ASM&amp;QC-ER14P-06</t>
  </si>
  <si>
    <t>Assembly &amp; QC Robot ER14 (Ballgame &amp; Glue &amp; Vision &amp; Caliper &amp; ATC)</t>
  </si>
  <si>
    <t>00-0644-0000</t>
  </si>
  <si>
    <t>Automatic Tool Changer for ER 14Pro</t>
  </si>
  <si>
    <t>ASM&amp;QC-ER14P-07</t>
  </si>
  <si>
    <t>Assembly&amp;QC Robot ER14 (Ballgame &amp; Glue &amp; Vision &amp; Caliper)</t>
  </si>
  <si>
    <t>ASM&amp;QC-ER4U-04</t>
  </si>
  <si>
    <t>Assembly&amp;Quality Control ER4U (Basic Assembly &amp; ViewFlex Machine Vision System)</t>
  </si>
  <si>
    <t>00-1426-0000</t>
  </si>
  <si>
    <t>Viewflex for Robot Guidance (Stand 1000mm)</t>
  </si>
  <si>
    <t>ASM&amp;QC-ER9P-01</t>
  </si>
  <si>
    <t>Assembly&amp;Quality Control ER9Pro (Ballgame &amp; ViewFlex Machine Vision System)</t>
  </si>
  <si>
    <t>ASM&amp;QC-ER9P-02</t>
  </si>
  <si>
    <t>Assembly&amp;Quality Control ER9Pro (Ballgame &amp; Caliper)</t>
  </si>
  <si>
    <t>ASM&amp;QC-ER9P-03</t>
  </si>
  <si>
    <t>Assembly &amp;Quality Control ER9P(Ballgame&amp;ViewFlex Machine Vision System &amp;Caliper)</t>
  </si>
  <si>
    <t>ASM&amp;QC-IROB-01</t>
  </si>
  <si>
    <t>Assembly&amp;Quality Control Light Industrial Robot (Ballgame &amp; Vision)</t>
  </si>
  <si>
    <t>מכלול- בסיס לטמפלט CIM</t>
  </si>
  <si>
    <t>10-2523-6000</t>
  </si>
  <si>
    <t>Pneumatic Shifter (155mm stroke w. solenoid 24V)</t>
  </si>
  <si>
    <t>Plexiglass Cylinders Base</t>
  </si>
  <si>
    <t>Mark Al. Cylinder Diam. 35x28</t>
  </si>
  <si>
    <t>ASM&amp;QC-IROB-02</t>
  </si>
  <si>
    <t>Assembly&amp;Quality Control Light Industrial Robot (Ballgame &amp; Gluing &amp; Vision)</t>
  </si>
  <si>
    <t>ASM&amp;QC-MH5F-01</t>
  </si>
  <si>
    <t>Assembly&amp;Quality Control MOTOMAN  MH5F (Ballgame &amp; Vision)</t>
  </si>
  <si>
    <t>ASM&amp;QC-MH5F-02</t>
  </si>
  <si>
    <t>Assembly&amp;Quality Control MOTOMAN MH5F (Ballgame &amp; Gluing &amp; Vision)</t>
  </si>
  <si>
    <t>ASM&amp;QC-MH5F-03</t>
  </si>
  <si>
    <t>Assembly&amp;Quality Control MOTOMAN  MH5F (Ballgame &amp; Vision &amp; Caliper)</t>
  </si>
  <si>
    <t>QC Stations</t>
  </si>
  <si>
    <t>QC-CNV-VSN</t>
  </si>
  <si>
    <t>Quality Control with ViewFlex Machine Vision System on Pallet Conveyor</t>
  </si>
  <si>
    <t>QC-ER14P-01</t>
  </si>
  <si>
    <t>Quality Control with Scora-ER14, Scara Robot and ViewFlex Machine Vision System</t>
  </si>
  <si>
    <t>QC-ER14P-02</t>
  </si>
  <si>
    <t>QC: Robot ER14 (Vision &amp; Caliper)</t>
  </si>
  <si>
    <t>QC-ER14P-03</t>
  </si>
  <si>
    <t>QC: Robot ER14 (Vision &amp; Caliper &amp; LSM)</t>
  </si>
  <si>
    <t>00-4039-0000</t>
  </si>
  <si>
    <t>LSM - Laser Scan Meter</t>
  </si>
  <si>
    <t>QC-ER4U-01</t>
  </si>
  <si>
    <t>Quality Control: Quality Control with Scorbot-ER4U Robot (with Caliper)</t>
  </si>
  <si>
    <t>QC-ER4U-02</t>
  </si>
  <si>
    <t>Quality Control: Scorbot-ER4U Robot (with ViewFlex Machine Vision System)</t>
  </si>
  <si>
    <t>QC-ER4U-03</t>
  </si>
  <si>
    <t>Quality Control: Scorbot-ER4U Robot (w ViewFlex Machine Vision System &amp; Caliper)</t>
  </si>
  <si>
    <t>QC-ER9P-01</t>
  </si>
  <si>
    <t>Quality Control: Scorbot-ER9Pro (w ViewFlex Machine Vision System &amp;Caliper)</t>
  </si>
  <si>
    <t>QC-ER9P-CMM</t>
  </si>
  <si>
    <t>Quality Control with Scorbot ER9 Pro Robot  (For CMM)</t>
  </si>
  <si>
    <t>general part</t>
  </si>
  <si>
    <t>0000</t>
  </si>
  <si>
    <t>000</t>
  </si>
  <si>
    <t>QC-ER9P-ZEISS</t>
  </si>
  <si>
    <t>Quality Control with Scorbot ER9 Pro Robot for CMM DURAMAX</t>
  </si>
  <si>
    <t>QC-KUKA-ZEISS</t>
  </si>
  <si>
    <t>Quality Control: FOR KUKA Robot WITH DURAMAX CMM</t>
  </si>
  <si>
    <t>QC-KUKA-ZEISS-L</t>
  </si>
  <si>
    <t>Quality Control: FOR KUKA Robot (on Linear Slide Base [LSB]) WITH DURAMAX CMM</t>
  </si>
  <si>
    <t>QC-MH5F-01</t>
  </si>
  <si>
    <t>Quality Control: MOTOMAN MH5F (with ViewFlex Machine Vision System)</t>
  </si>
  <si>
    <t>QC-MH5F-02</t>
  </si>
  <si>
    <t>Quality Control: MOTOMAN MH5F (with ViewFlex Machine Vision System &amp; Caliper)</t>
  </si>
  <si>
    <t>QC-MH5F-CMM</t>
  </si>
  <si>
    <t>Quality Control: MOTOMAN MH5F on 1.8m LSB FOR CMM</t>
  </si>
  <si>
    <t>QC-MH5F-ZEISS</t>
  </si>
  <si>
    <t>Quality Control: MOTOMAN MH5F on 1.8m LSB FOR CMM DURAMAX</t>
  </si>
  <si>
    <t>QC-OPT-VSN-1</t>
  </si>
  <si>
    <t>Quality Control: Vision Control Option (low stand)</t>
  </si>
  <si>
    <t>00-1425-0000</t>
  </si>
  <si>
    <t>Viewflex for QC on Conveyor (Stand 400mm)</t>
  </si>
  <si>
    <t>QC-OPT-VSN-2</t>
  </si>
  <si>
    <t>Quality Control: Vision Control Option (high stand)</t>
  </si>
  <si>
    <t>WELD-ER9P</t>
  </si>
  <si>
    <t>Automated Welding: Scorbot-ER9Pro &amp; Welding Booth</t>
  </si>
  <si>
    <t>00-3085-0000</t>
  </si>
  <si>
    <t>Automated Welding for ER9Pro/HP3 (CIM)</t>
  </si>
  <si>
    <t>MIG Welder unit  220 V</t>
  </si>
  <si>
    <t>Millermatic 140 AutoSet, 115V,20A,60Hz,single-ph</t>
  </si>
  <si>
    <t>WELD-IROB-IWLD</t>
  </si>
  <si>
    <t>Automated Welding: FOR Industrial Robot &amp; Industrial WELDING System</t>
  </si>
  <si>
    <t>מוצר כללי</t>
  </si>
  <si>
    <t>WELD-MH5F</t>
  </si>
  <si>
    <t>Automated Welding: MOTOMAN MH5F Robot &amp; Welding Booth</t>
  </si>
  <si>
    <t>Automated Welding Stations</t>
  </si>
  <si>
    <t>Projects Stations</t>
  </si>
  <si>
    <t>PROJ-EMMC-1600</t>
  </si>
  <si>
    <t>Projects Station: Industrial Maintenance Cell EMMC 1600 in CIM</t>
  </si>
  <si>
    <t>10-1600-1000</t>
  </si>
  <si>
    <t>EMMC1600 Maintenance Cell, Hardware Package</t>
  </si>
  <si>
    <t>17-ZA01-0000</t>
  </si>
  <si>
    <t>LM5.X Content, JM, Basic Maintenance Cell</t>
  </si>
  <si>
    <t>17-ZA02-0000</t>
  </si>
  <si>
    <t>LM5.X Content, JM, Conveyor, Drive and Control</t>
  </si>
  <si>
    <t>17-ZA03-0000</t>
  </si>
  <si>
    <t>LM5.X Content, JM, Part Manipulation</t>
  </si>
  <si>
    <t>17-ZA04-0000</t>
  </si>
  <si>
    <t>LM5.X Content, JM, Industrial Lighting</t>
  </si>
  <si>
    <t>17-ZA05-0000</t>
  </si>
  <si>
    <t>LM5.X Content, JM, Variable Frequency Drive</t>
  </si>
  <si>
    <t>17-ZA06-0000</t>
  </si>
  <si>
    <t>LM5.X Content, JM, DC Motor Drive</t>
  </si>
  <si>
    <t>17-ZA07-0000</t>
  </si>
  <si>
    <t>LM5.X Content, JM, Fault Insertion System</t>
  </si>
  <si>
    <t>17-EMMC-0000</t>
  </si>
  <si>
    <t>LM5.X Content, JM, Instructor's Guide</t>
  </si>
  <si>
    <t>50-0095-0000</t>
  </si>
  <si>
    <t>Installation at Customer Site (Days)</t>
  </si>
  <si>
    <t>PROJ-ER14P-BASE</t>
  </si>
  <si>
    <t>Projects Station: SCORA-ER14Pro Base</t>
  </si>
  <si>
    <t>PROJ-ER9P-BASE</t>
  </si>
  <si>
    <t>Projects Station: Scorbot-ER9Pro Robot</t>
  </si>
  <si>
    <t>PROJ-IROB-USBPRO</t>
  </si>
  <si>
    <t>Projects Station: Industrial Robot Rotary table Gray conveyor</t>
  </si>
  <si>
    <t>Conveyor Belt (24V)</t>
  </si>
  <si>
    <t>00-1203-0000</t>
  </si>
  <si>
    <t>Photoelectric Sensor for Belt Conveyor</t>
  </si>
  <si>
    <t>00-1209-0000</t>
  </si>
  <si>
    <t>Photoelectric Sensor for Rotary Index Table</t>
  </si>
  <si>
    <t>Controller-USB PRO</t>
  </si>
  <si>
    <t>63-9248-0000</t>
  </si>
  <si>
    <t>Robotic Software for Controller USB Pro</t>
  </si>
  <si>
    <t>Robot By-pass plug - USB Pro</t>
  </si>
  <si>
    <t>ספר למשתמש Controller USB-PRO</t>
  </si>
  <si>
    <t>כבל 3m full speed A-A W.2 FERRITE UL Only ,USB</t>
  </si>
  <si>
    <t>PROJ-MH5F-BASE</t>
  </si>
  <si>
    <t>Projects Station: MOTOMAN  MH5F</t>
  </si>
  <si>
    <t>Conveyors</t>
  </si>
  <si>
    <t>CNV-10440x2040</t>
  </si>
  <si>
    <t>Pallet Conveyor - Max. 8 Stations (10440mm x 2040mm)</t>
  </si>
  <si>
    <t>10-2110-9000</t>
  </si>
  <si>
    <t>Pallet Conveyor Drive Assembly</t>
  </si>
  <si>
    <t>10-2110-4000</t>
  </si>
  <si>
    <t>Pallet Conveyor Corner Section 90°</t>
  </si>
  <si>
    <t>10-2111-0000</t>
  </si>
  <si>
    <t>Pallet Conveyor Middle Leg Assembly</t>
  </si>
  <si>
    <t>10-2110-1000</t>
  </si>
  <si>
    <t>Pallet Conveyor Straight Section 1400mm</t>
  </si>
  <si>
    <t>סט חומרים מתכלים למתקינים Installation KIT</t>
  </si>
  <si>
    <t>CNV-2040x1400</t>
  </si>
  <si>
    <t>Pallet Conveyor - Max. 3 Stations (2040mm x 1400mm)</t>
  </si>
  <si>
    <t>10-2110-2000</t>
  </si>
  <si>
    <t>Pallet Conveyor Straight Section 760mm</t>
  </si>
  <si>
    <t>CNV-2040x700</t>
  </si>
  <si>
    <t>Pallet Conveyor - Max. 2 Stations (2040mm x 700mm)</t>
  </si>
  <si>
    <t>10-2110-5000</t>
  </si>
  <si>
    <t>Pallet Conveyor Corner Section 180°</t>
  </si>
  <si>
    <t>CNV-3440x1400</t>
  </si>
  <si>
    <t>Pallet Conveyor - Max .5 Stations (3440mm x 1400mm)</t>
  </si>
  <si>
    <t>CNV-3440x700</t>
  </si>
  <si>
    <t>Pallet Conveyor - Max. 3 Stations (3440mm x 700mm)</t>
  </si>
  <si>
    <t>CNV-4840x1400</t>
  </si>
  <si>
    <t>Pallet Conveyor - Max. 7 Stations (4840mm x 1400mm)</t>
  </si>
  <si>
    <t>CNV-4840x700</t>
  </si>
  <si>
    <t>Pallet Conveyor - Max. 5 Stations (4840mm x 700mm)</t>
  </si>
  <si>
    <t>CNV-6240x1400</t>
  </si>
  <si>
    <t>Pallet Conveyor - Max. 8 Stations (6240mm x 1400mm)</t>
  </si>
  <si>
    <t>CNV-6240x700</t>
  </si>
  <si>
    <t>Pallet Conveyor - Max. 7 Stations (6240mm x 700mm)</t>
  </si>
  <si>
    <t>CNV-7640x1400</t>
  </si>
  <si>
    <t>Pallet Conveyor - Max. 8 Stations (7640mm x 1400mm)</t>
  </si>
  <si>
    <t>CNV-7640x700</t>
  </si>
  <si>
    <t>Pallet Conveyor - Max. 6 Stations (7640mm x 700mm)</t>
  </si>
  <si>
    <t>CNV-9040x700</t>
  </si>
  <si>
    <t>Pallet Conveyor - Max. 8 Stations (9040mm x 700mm)</t>
  </si>
  <si>
    <t>CNV-EXP-1400</t>
  </si>
  <si>
    <t>Pallet Conveyor Expansion Set (1400mm)</t>
  </si>
  <si>
    <t>PLC Stations</t>
  </si>
  <si>
    <t>PLC-AB-5ST</t>
  </si>
  <si>
    <t>Allen Bradley PLC &amp; Cabinet (max. 5 Stations)</t>
  </si>
  <si>
    <t>10-2113-3000</t>
  </si>
  <si>
    <t>CIM PLC Cabinet (A/B PLC - 5 Stations)</t>
  </si>
  <si>
    <t>כבל מתח אמריקאי שחור 2מ', 10A  UL</t>
  </si>
  <si>
    <t>10-2111-9000</t>
  </si>
  <si>
    <t>Cable Duct to Ctrl. Cabinet</t>
  </si>
  <si>
    <t>European Power cable 220 V</t>
  </si>
  <si>
    <t>PLC-AB-8ST</t>
  </si>
  <si>
    <t>Allen Bradley PLC &amp; Cabinet (max. 8 Stations)</t>
  </si>
  <si>
    <t>10-2113-9000</t>
  </si>
  <si>
    <t>CIM PLC Cabinet (A/B PLC - 8 Stations)</t>
  </si>
  <si>
    <t>PLC-OMRON-5ST</t>
  </si>
  <si>
    <t>Omron PLC &amp; Cabinet (max. 5 Stations)</t>
  </si>
  <si>
    <t>10-2113-4000</t>
  </si>
  <si>
    <t>CIM PLC Cabinet (OMRON PLC - 5 Stations)</t>
  </si>
  <si>
    <t>PLC-OMRON-7ST</t>
  </si>
  <si>
    <t>Omron PLC &amp; Cabinet (max. 7 Stations)</t>
  </si>
  <si>
    <t>10-2116-0000</t>
  </si>
  <si>
    <t>CIM PLC Cabinet (OMRON PLC - 7 Stations)</t>
  </si>
  <si>
    <t>PLC-SIEMENS-5ST</t>
  </si>
  <si>
    <t>Siemens S7 PLC &amp; Cabinet (max. 5 Stations)</t>
  </si>
  <si>
    <t>10-2114-4000</t>
  </si>
  <si>
    <t>CIM PLC Cabinet (Siemens PLC - 5 Stations)</t>
  </si>
  <si>
    <t>PLC-SIEMENS-8ST</t>
  </si>
  <si>
    <t>Siemens S7 PLC &amp; Cabinet (max. 8 Stations)</t>
  </si>
  <si>
    <t>10-2114-9000</t>
  </si>
  <si>
    <t>CIM PLC Cabinet (Siemens PLC - 8 Stations)</t>
  </si>
  <si>
    <t>PLC-SIEMENS-ASI</t>
  </si>
  <si>
    <t>Siemens S7 PLC &amp; Cabinet (ASI BUS)</t>
  </si>
  <si>
    <t>PLC-SIEMENS-PN</t>
  </si>
  <si>
    <t>Siemens S7 PLC &amp; Cabinet (PROFINET)</t>
  </si>
  <si>
    <t>10-2115-5000</t>
  </si>
  <si>
    <t>CIM PLC Cabinet S7-1211C PROFINET</t>
  </si>
  <si>
    <t>PLC-SIEMENS-PRO</t>
  </si>
  <si>
    <t>Siemens S7 PLC &amp; Cabinet (PROFIBUS)</t>
  </si>
  <si>
    <t>PLTR-AB-12M</t>
  </si>
  <si>
    <t>Stop Station - ALLEN BRADLEY (12m cable)</t>
  </si>
  <si>
    <t>10-2113-6000</t>
  </si>
  <si>
    <t>Conveyor stop assembly for work station</t>
  </si>
  <si>
    <t>10-2112-2000</t>
  </si>
  <si>
    <t>Stop Station Status Light</t>
  </si>
  <si>
    <t>10-2111-3000</t>
  </si>
  <si>
    <t>Pallet (with magnetic code)</t>
  </si>
  <si>
    <t>10-4049-2000</t>
  </si>
  <si>
    <t>12m Stop Station I/O Cable</t>
  </si>
  <si>
    <t>50-0053-0000</t>
  </si>
  <si>
    <t>Pallet Tracking Stop Station Wiring</t>
  </si>
  <si>
    <t>PLTR-AB-15M</t>
  </si>
  <si>
    <t>Stop Station - ALLEN BRADLEY (15m cable)</t>
  </si>
  <si>
    <t>10-4049-3000</t>
  </si>
  <si>
    <t>15m Stop Station I/O Cable</t>
  </si>
  <si>
    <t>PLTR-AB-6M</t>
  </si>
  <si>
    <t>Stop Station - ALLEN BRADLEY (6m cable)</t>
  </si>
  <si>
    <t>10-4024-1000</t>
  </si>
  <si>
    <t>6m Stop Station I/O Cable</t>
  </si>
  <si>
    <t>PLTR-AB-9M</t>
  </si>
  <si>
    <t>Stop Station - ALLEN BRADLEY (9m cable)</t>
  </si>
  <si>
    <t>10-4024-5000</t>
  </si>
  <si>
    <t>9m Stop Station I/O Cable</t>
  </si>
  <si>
    <t>PLTR-OMRON-12M</t>
  </si>
  <si>
    <t>Stop Station - OMRON (12m cable)</t>
  </si>
  <si>
    <t>PLTR-OMRON-15M</t>
  </si>
  <si>
    <t>Stop Station - OMRON (15m cable)</t>
  </si>
  <si>
    <t>PLTR-OMRON-6M</t>
  </si>
  <si>
    <t>Stop Station - OMRON (6m cable)</t>
  </si>
  <si>
    <t>Pallet trackings - Stop Stations</t>
  </si>
  <si>
    <t>PLTR-OMRON-9M</t>
  </si>
  <si>
    <t>Stop Station - OMRON (9m cable)</t>
  </si>
  <si>
    <t>PLTR-S7-PRO_COM</t>
  </si>
  <si>
    <t>SIEMENS S7 - Communication Module (Profibus)</t>
  </si>
  <si>
    <t>10-2119-7000</t>
  </si>
  <si>
    <t>Profibus Module (ET200L) for Stop Station</t>
  </si>
  <si>
    <t>PLTR-SIEMENS-12M</t>
  </si>
  <si>
    <t>Stop Station - SIEMENS S7 (12m cable)</t>
  </si>
  <si>
    <t>10-2117-6000</t>
  </si>
  <si>
    <t>Stop Station Assembly for Siemens PLC</t>
  </si>
  <si>
    <t>PLTR-SIEMENS-15M</t>
  </si>
  <si>
    <t>Stop Station - SIEMENS S7 (15m cable)</t>
  </si>
  <si>
    <t>PLTR-SIEMENS-6M</t>
  </si>
  <si>
    <t>Stop Station - SIEMENS S7 (6m cable)</t>
  </si>
  <si>
    <t>PLTR-SIEMENS-9M</t>
  </si>
  <si>
    <t>Stop Station - SIEMENS S7 (9m cable)</t>
  </si>
  <si>
    <t>PLTR-SIEMENS-ASI</t>
  </si>
  <si>
    <t>Stop Station - SIEMENS S7 ASI BUS</t>
  </si>
  <si>
    <t>TMP0002</t>
  </si>
  <si>
    <t>Pallet Tracking with ASI-bus</t>
  </si>
  <si>
    <t>PLTR-SIEMENS-PRO</t>
  </si>
  <si>
    <t>Stop Station - SIEMENS S7 PROFIBUS</t>
  </si>
  <si>
    <t>10-2119-6000</t>
  </si>
  <si>
    <t>Stop Station Assembly for PROFIBUS</t>
  </si>
  <si>
    <t>CIM Manager Station</t>
  </si>
  <si>
    <t>CIM-MANAGER-ST</t>
  </si>
  <si>
    <t>CIM System Management Station including OpenCIM online Software</t>
  </si>
  <si>
    <t>63-9072-0000</t>
  </si>
  <si>
    <t>OpenCIM/FMS Software Package</t>
  </si>
  <si>
    <t>63-7000-1200</t>
  </si>
  <si>
    <t>License Key For OpenCIM Online Software</t>
  </si>
  <si>
    <t>63-7000-1400</t>
  </si>
  <si>
    <t>License Key For OpenFMS Software</t>
  </si>
  <si>
    <t>00-1250-0000</t>
  </si>
  <si>
    <t>Workbench 1800x800mm (Formica Top)</t>
  </si>
  <si>
    <t>OCIM-OFFLINE 10</t>
  </si>
  <si>
    <t>OpenCIM Software</t>
  </si>
  <si>
    <t>OpenCIM Software OffLine - 10 Licenses</t>
  </si>
  <si>
    <t>OCIM-ONLINE</t>
  </si>
  <si>
    <t>OpenCIM OnLine Software</t>
  </si>
  <si>
    <t>CIM-LM7-BUND</t>
  </si>
  <si>
    <t>CIM Complete Virtual Content, Classroom License, LM7</t>
  </si>
  <si>
    <t>LearnMate 7 Curriculum</t>
  </si>
  <si>
    <t>LM7 Content, Vir, spectraCAM Milling (M)</t>
  </si>
  <si>
    <t>LM7 Content, Vir, spectraCAD Engraving (M)</t>
  </si>
  <si>
    <t>LM7 Content, Vir, spectraCAM Turning (M)</t>
  </si>
  <si>
    <t>LM7 Content, Vir, CNCMilling w/BenchMill 6000(M)</t>
  </si>
  <si>
    <t>LM7 Content, Vir, CNCTurning w/BenchTurn 7000(M)</t>
  </si>
  <si>
    <t>LM7 Content, Vir, CNC Milling w/ProMill 8000 (M)</t>
  </si>
  <si>
    <t>LM7 Content, Vir, CNC Turning w/ProTurn 9000 (M)</t>
  </si>
  <si>
    <t>77-3027-0000</t>
  </si>
  <si>
    <t>LM7 Content, Vir, Vision &amp; Image Process.</t>
  </si>
  <si>
    <t>77-8084-0000</t>
  </si>
  <si>
    <t>LM7 Content, Lab, Machine Vision &amp; QC 1</t>
  </si>
  <si>
    <t>77-3096-0000</t>
  </si>
  <si>
    <t>LM7 Content, Vir, Intro to Advanced Mfg</t>
  </si>
  <si>
    <t>Installation &amp; Training for CIM Systems</t>
  </si>
  <si>
    <t>INST&amp;TRAIN-CIM-1</t>
  </si>
  <si>
    <t>On Site Installation &amp; Training for additional CIM Station</t>
  </si>
  <si>
    <t>50-0096-0000</t>
  </si>
  <si>
    <t>Training at Customer Site (Days)</t>
  </si>
  <si>
    <t>INST&amp;TRAIN-CIM-2</t>
  </si>
  <si>
    <t>On Site Installation &amp; Training for 2 Station CIM</t>
  </si>
  <si>
    <t>INST&amp;TRAIN-CIM-3</t>
  </si>
  <si>
    <t>On Site Installation &amp; Training for 3 Station CIM</t>
  </si>
  <si>
    <t>INST&amp;TRAIN-CIM-4</t>
  </si>
  <si>
    <t>On Site Installation &amp; Training for 4 Station CIM</t>
  </si>
  <si>
    <t>INST&amp;TRAIN-CIM-5</t>
  </si>
  <si>
    <t>On Site Installation &amp; Training for 5 Station CIM</t>
  </si>
  <si>
    <t>INST&amp;TRAIN-CIM-6</t>
  </si>
  <si>
    <t>On Site Installation &amp; Training for 6 Station CIM</t>
  </si>
  <si>
    <t>INST&amp;TRAIN-CIM-7</t>
  </si>
  <si>
    <t>On Site Installation &amp; Training for 7 Station CIM</t>
  </si>
  <si>
    <t>INST&amp;TRAIN-CIM-8</t>
  </si>
  <si>
    <t>On Site Installation &amp; Training for 8 Station CIM</t>
  </si>
  <si>
    <t>INST-CIM-1</t>
  </si>
  <si>
    <t>On Site Installation - additional CIM Station</t>
  </si>
  <si>
    <t>On Site Installation - 2 Station CIM</t>
  </si>
  <si>
    <t>INST-CIM-2</t>
  </si>
  <si>
    <t>INST-CIM-3</t>
  </si>
  <si>
    <t>On Site Installation - 3 Station CIM</t>
  </si>
  <si>
    <t>On Site Installation - 4 Station CIM</t>
  </si>
  <si>
    <t>On Site Installation - 5 Station CIM</t>
  </si>
  <si>
    <t>On Site Installation - 6 Station CIM</t>
  </si>
  <si>
    <t>On Site Installation - 7 Station CIM</t>
  </si>
  <si>
    <t>On Site Installation - 8 Station CIM</t>
  </si>
  <si>
    <t>INST-CIM-4</t>
  </si>
  <si>
    <t>INST-CIM-5</t>
  </si>
  <si>
    <t>INST-CIM-6</t>
  </si>
  <si>
    <t>INST-CIM-7</t>
  </si>
  <si>
    <t>INST-CIM-8</t>
  </si>
  <si>
    <t>TRAIN-CIM-1</t>
  </si>
  <si>
    <t>On Site Training - additional CIM Station</t>
  </si>
  <si>
    <t>TRAIN-CIM-2</t>
  </si>
  <si>
    <t>On Site Training - 2 Station CIM</t>
  </si>
  <si>
    <t>TRAIN-CIM-3</t>
  </si>
  <si>
    <t>TRAIN-CIM-4</t>
  </si>
  <si>
    <t>TRAIN-CIM-5</t>
  </si>
  <si>
    <t>TRAIN-CIM-6</t>
  </si>
  <si>
    <t>TRAIN-CIM-7</t>
  </si>
  <si>
    <t>TRAIN-CIM-8</t>
  </si>
  <si>
    <t>On Site Training - 3 Station CIM</t>
  </si>
  <si>
    <t>On Site Training - 4 Station CIM</t>
  </si>
  <si>
    <t>On Site Training - 5 Station CIM</t>
  </si>
  <si>
    <t>On Site Training - 6 Station CIM</t>
  </si>
  <si>
    <t>On Site Training - 7 Station CIM</t>
  </si>
  <si>
    <t>On Site Training - 8 Station CIM</t>
  </si>
  <si>
    <t>TRAVEL-EXPENSES</t>
  </si>
  <si>
    <t>Air Fare (Non Commissionable)</t>
  </si>
  <si>
    <t>50-0079-0000</t>
  </si>
  <si>
    <t>Travel expenses</t>
  </si>
  <si>
    <t>50-0080-0000</t>
  </si>
  <si>
    <t>Travel expenses (short distance)</t>
  </si>
  <si>
    <t>50-0081-0000</t>
  </si>
  <si>
    <t>Travel expenses - (long distance)</t>
  </si>
  <si>
    <t>Foundation Skills Bundles</t>
  </si>
  <si>
    <t>JM-FOUN-SKILS-HS</t>
  </si>
  <si>
    <t>JM Complete Foundations Program, Virtual, High School Only License</t>
  </si>
  <si>
    <t>77-3097-0000</t>
  </si>
  <si>
    <t>LM7 Content, Vir, Employability</t>
  </si>
  <si>
    <t>77-3109-0000</t>
  </si>
  <si>
    <t>LM7 Content, Vir, Lean Manufacturing</t>
  </si>
  <si>
    <t>77-LOTO-0000</t>
  </si>
  <si>
    <t>LM7 Content, JM, Safety, Lock Out/Tag Out</t>
  </si>
  <si>
    <t>77-BA01A-0001</t>
  </si>
  <si>
    <t>LM7 Content, JM, Math for Technicians I</t>
  </si>
  <si>
    <t>77-BA01B-0001</t>
  </si>
  <si>
    <t>LM7 Content, JM, Math For Technicians II</t>
  </si>
  <si>
    <t>77-BA02-0001</t>
  </si>
  <si>
    <t>LM7 Content, JM, Blue Print Reading</t>
  </si>
  <si>
    <t>77-BA03-0001</t>
  </si>
  <si>
    <t>LM7 Content, JM, Lubrication for Technicians</t>
  </si>
  <si>
    <t>77-BA04-0001</t>
  </si>
  <si>
    <t>LM7 Content, JM, Fasteners</t>
  </si>
  <si>
    <t>77-BA05-0001</t>
  </si>
  <si>
    <t>LM7 Content, JM, Hand Tools</t>
  </si>
  <si>
    <t>77-BA06-0001</t>
  </si>
  <si>
    <t>LM7 Content, JM, Power Tools</t>
  </si>
  <si>
    <t>77-8014-0001</t>
  </si>
  <si>
    <t>LM7 Content, Lab/Vir, MMQC</t>
  </si>
  <si>
    <t xml:space="preserve">180 hours of virtual instruction, covering 12 Foundation Skills course modules. All 12 courses required for Certified Manufacturing Associate (CMA) certificate. </t>
  </si>
  <si>
    <t>JM-FOUN-SKILS</t>
  </si>
  <si>
    <t>Foundation Skills Virtual Content, Complete Set</t>
  </si>
  <si>
    <t>QTY</t>
  </si>
  <si>
    <t>Bundle/Cat.N.</t>
  </si>
  <si>
    <t>Unit Price</t>
  </si>
  <si>
    <t>Extended Price</t>
  </si>
  <si>
    <t>TOTAL EXTENDED PRICE</t>
  </si>
  <si>
    <t>TOTAL NET PRICE</t>
  </si>
  <si>
    <t>Commission</t>
  </si>
  <si>
    <t>COMMISSION</t>
  </si>
  <si>
    <t>End Client Discount</t>
  </si>
  <si>
    <t>Discounted Price</t>
  </si>
  <si>
    <t>Price After Commission</t>
  </si>
  <si>
    <t>END CLIENT DISCOUNT</t>
  </si>
  <si>
    <t>DISCOUNTED PRICE</t>
  </si>
  <si>
    <t>4" Vise</t>
  </si>
  <si>
    <t>- Handwheel - Manual Control</t>
  </si>
  <si>
    <t>- 4th Axis rotary worktable with tailstock</t>
  </si>
  <si>
    <t>- 80mm 3-jaw chuck</t>
  </si>
  <si>
    <t>ISO 20 tool holder</t>
  </si>
  <si>
    <t>Teach Pendant</t>
  </si>
  <si>
    <t>SCORBOT-ER9Pro</t>
  </si>
  <si>
    <t>LSB 2.5m, Belt, FM</t>
  </si>
  <si>
    <t>034025</t>
  </si>
  <si>
    <t>Shelf Buffer for CIM conveyor</t>
  </si>
  <si>
    <t>Pneumatic Feeder for Rectangular products</t>
  </si>
  <si>
    <t>Gravity Parts Feeder (with microswitch sensor)</t>
  </si>
  <si>
    <t>Palletizing Rack</t>
  </si>
  <si>
    <t>97mm Height Adapter</t>
  </si>
  <si>
    <t>-CNCMotion Simulation Sftwr for BenchMill 6000</t>
  </si>
  <si>
    <t>--Dual Axis Vise (for FMS)</t>
  </si>
  <si>
    <t>- Table mounted ATC package</t>
  </si>
  <si>
    <t>ER16 Collet set - 2 x (3,6,8,10mm)</t>
  </si>
  <si>
    <t>Metric End Mill Package(2X 3,6,8,10End,4,6 Ball)</t>
  </si>
  <si>
    <t>- Coolant system 27L -220V</t>
  </si>
  <si>
    <t>- Metric Engraving Package (1,1.5,2 mm End mill)</t>
  </si>
  <si>
    <t>- Fanuc Emulator Panel with software</t>
  </si>
  <si>
    <t>- Fanuc panel / Computer stand</t>
  </si>
  <si>
    <t>Raw Material - Perspex Block</t>
  </si>
  <si>
    <t>-- Pneumatic Shield (BenchTurn 7000 for FMS))</t>
  </si>
  <si>
    <t>-- Pneumatic Chuck (BenchTurn 7000 for FMS)</t>
  </si>
  <si>
    <t>-CNCMotion for BenchTurn 7000</t>
  </si>
  <si>
    <t>10 x 10mm cutter tool holder</t>
  </si>
  <si>
    <t>- Rolling center</t>
  </si>
  <si>
    <t>Drill Chuck for Tailstock</t>
  </si>
  <si>
    <t>- 100mm 4 independent jaw chuck</t>
  </si>
  <si>
    <t>Raw Material - Brass  Rod</t>
  </si>
  <si>
    <t>021031</t>
  </si>
  <si>
    <t>Buffer for Template</t>
  </si>
  <si>
    <t>021177</t>
  </si>
  <si>
    <t>SCORA-ER 14Pro</t>
  </si>
  <si>
    <t>Single Buffer for Slotted Table</t>
  </si>
  <si>
    <t>021172</t>
  </si>
  <si>
    <t>Linear Positioning Table 300mm</t>
  </si>
  <si>
    <t>113316</t>
  </si>
  <si>
    <t>Parts Bin</t>
  </si>
  <si>
    <t>112713</t>
  </si>
  <si>
    <t>Marked Aluminum Cylinder</t>
  </si>
  <si>
    <t>113096</t>
  </si>
  <si>
    <t>Automated Welding booth for ER9Pro/MH5</t>
  </si>
  <si>
    <t>434004</t>
  </si>
  <si>
    <t>Welder-Millwermatic 180 Auto-Set, 230V, 60Hz</t>
  </si>
  <si>
    <t>021041</t>
  </si>
  <si>
    <t>Installation KIT</t>
  </si>
  <si>
    <t>411803</t>
  </si>
  <si>
    <t>Conveyor stop assembly</t>
  </si>
  <si>
    <t>CIM Station Indicator Lights</t>
  </si>
  <si>
    <t>OpenCIM/FMS Software</t>
  </si>
  <si>
    <t>License Key For OpenCIM Online</t>
  </si>
  <si>
    <t>Installation at Customer Site</t>
  </si>
  <si>
    <t>Flight Ticket</t>
  </si>
</sst>
</file>

<file path=xl/styles.xml><?xml version="1.0" encoding="utf-8"?>
<styleSheet xmlns="http://schemas.openxmlformats.org/spreadsheetml/2006/main">
  <numFmts count="2">
    <numFmt numFmtId="44" formatCode="_(&quot;$&quot;* #,##0.00_);_(&quot;$&quot;* \(#,##0.00\);_(&quot;$&quot;* &quot;-&quot;??_);_(@_)"/>
    <numFmt numFmtId="43" formatCode="_(* #,##0.00_);_(* \(#,##0.00\);_(* &quot;-&quot;??_);_(@_)"/>
  </numFmts>
  <fonts count="11">
    <font>
      <sz val="11"/>
      <color theme="1"/>
      <name val="Calibri"/>
      <family val="2"/>
      <scheme val="minor"/>
    </font>
    <font>
      <sz val="11"/>
      <color theme="1"/>
      <name val="Calibri"/>
      <family val="2"/>
      <scheme val="minor"/>
    </font>
    <font>
      <sz val="11"/>
      <color rgb="FF9C0006"/>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9"/>
      <color indexed="81"/>
      <name val="Tahoma"/>
      <family val="2"/>
    </font>
    <font>
      <b/>
      <sz val="14"/>
      <color theme="1"/>
      <name val="Calibri"/>
      <family val="2"/>
      <scheme val="minor"/>
    </font>
    <font>
      <sz val="10"/>
      <color theme="1" tint="0.24994659260841701"/>
      <name val="Cambria"/>
      <family val="1"/>
    </font>
    <font>
      <sz val="16"/>
      <name val="Arial"/>
      <family val="2"/>
    </font>
    <font>
      <sz val="11"/>
      <color rgb="FF000000"/>
      <name val="Calibri"/>
      <family val="2"/>
      <scheme val="minor"/>
    </font>
  </fonts>
  <fills count="11">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1"/>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tint="0.79998168889431442"/>
        <bgColor indexed="64"/>
      </patternFill>
    </fill>
  </fills>
  <borders count="3">
    <border>
      <left/>
      <right/>
      <top/>
      <bottom/>
      <diagonal/>
    </border>
    <border>
      <left/>
      <right/>
      <top style="thin">
        <color rgb="FFA7C4FF"/>
      </top>
      <bottom style="thin">
        <color rgb="FFA7C4FF"/>
      </bottom>
      <diagonal/>
    </border>
    <border>
      <left style="thin">
        <color indexed="64"/>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0" fontId="2" fillId="2" borderId="0" applyNumberFormat="0" applyBorder="0" applyAlignment="0" applyProtection="0"/>
    <xf numFmtId="0" fontId="5" fillId="0" borderId="0" applyNumberFormat="0" applyFill="0" applyBorder="0" applyAlignment="0" applyProtection="0"/>
    <xf numFmtId="0" fontId="8" fillId="0" borderId="1">
      <alignment vertical="top" wrapText="1"/>
    </xf>
    <xf numFmtId="44" fontId="9" fillId="0" borderId="0" applyFont="0" applyFill="0" applyBorder="0" applyAlignment="0" applyProtection="0"/>
  </cellStyleXfs>
  <cellXfs count="69">
    <xf numFmtId="0" fontId="0" fillId="0" borderId="0" xfId="0"/>
    <xf numFmtId="0" fontId="0" fillId="3" borderId="0" xfId="0" applyFill="1"/>
    <xf numFmtId="0" fontId="0" fillId="4" borderId="0" xfId="0" applyFill="1"/>
    <xf numFmtId="43" fontId="0" fillId="0" borderId="0" xfId="1" applyFont="1"/>
    <xf numFmtId="0" fontId="0" fillId="0" borderId="0" xfId="0" applyAlignment="1">
      <alignment horizontal="center"/>
    </xf>
    <xf numFmtId="0" fontId="0" fillId="4" borderId="0" xfId="0" applyFill="1" applyAlignment="1">
      <alignment horizontal="center"/>
    </xf>
    <xf numFmtId="0" fontId="0" fillId="3" borderId="0" xfId="0" applyFill="1" applyAlignment="1">
      <alignment horizontal="center"/>
    </xf>
    <xf numFmtId="0" fontId="4" fillId="0" borderId="0" xfId="0" applyFont="1"/>
    <xf numFmtId="0" fontId="3" fillId="6" borderId="0" xfId="0" applyFont="1" applyFill="1"/>
    <xf numFmtId="0" fontId="3" fillId="6" borderId="0" xfId="0" applyFont="1" applyFill="1" applyAlignment="1">
      <alignment horizontal="center"/>
    </xf>
    <xf numFmtId="0" fontId="0" fillId="0" borderId="0" xfId="0" applyFill="1"/>
    <xf numFmtId="43" fontId="0" fillId="0" borderId="0" xfId="1" applyFont="1" applyFill="1"/>
    <xf numFmtId="43" fontId="0" fillId="0" borderId="0" xfId="0" applyNumberFormat="1"/>
    <xf numFmtId="0" fontId="4" fillId="5" borderId="0" xfId="0" applyFont="1" applyFill="1" applyAlignment="1"/>
    <xf numFmtId="43" fontId="4" fillId="5" borderId="0" xfId="1" applyFont="1" applyFill="1"/>
    <xf numFmtId="0" fontId="5" fillId="0" borderId="0" xfId="3" applyFill="1"/>
    <xf numFmtId="0" fontId="2" fillId="2" borderId="0" xfId="2" applyAlignment="1">
      <alignment horizontal="center"/>
    </xf>
    <xf numFmtId="0" fontId="5" fillId="0" borderId="0" xfId="3"/>
    <xf numFmtId="0" fontId="2" fillId="2" borderId="0" xfId="2"/>
    <xf numFmtId="0" fontId="3" fillId="6" borderId="0" xfId="0" applyFont="1" applyFill="1"/>
    <xf numFmtId="0" fontId="3" fillId="6" borderId="0" xfId="0" applyFont="1" applyFill="1" applyAlignment="1">
      <alignment horizontal="center"/>
    </xf>
    <xf numFmtId="0" fontId="3" fillId="6" borderId="0" xfId="0" applyFont="1" applyFill="1"/>
    <xf numFmtId="0" fontId="3" fillId="6" borderId="0" xfId="0" applyFont="1" applyFill="1" applyAlignment="1">
      <alignment horizontal="center"/>
    </xf>
    <xf numFmtId="0" fontId="3" fillId="6" borderId="0" xfId="0" applyFont="1" applyFill="1"/>
    <xf numFmtId="0" fontId="3" fillId="6" borderId="0" xfId="0" applyFont="1" applyFill="1" applyAlignment="1">
      <alignment horizontal="center"/>
    </xf>
    <xf numFmtId="0" fontId="0" fillId="8" borderId="0" xfId="0" applyFill="1"/>
    <xf numFmtId="0" fontId="0" fillId="9" borderId="0" xfId="0" applyFill="1"/>
    <xf numFmtId="0" fontId="3" fillId="6" borderId="0" xfId="0" applyFont="1" applyFill="1"/>
    <xf numFmtId="0" fontId="3" fillId="6" borderId="0" xfId="0" applyFont="1" applyFill="1" applyAlignment="1">
      <alignment horizontal="center"/>
    </xf>
    <xf numFmtId="0" fontId="5" fillId="0" borderId="0" xfId="3" applyAlignment="1">
      <alignment horizontal="center"/>
    </xf>
    <xf numFmtId="0" fontId="3" fillId="6" borderId="0" xfId="0" applyFont="1" applyFill="1"/>
    <xf numFmtId="0" fontId="3" fillId="6" borderId="0" xfId="0" applyFont="1" applyFill="1" applyAlignment="1">
      <alignment horizontal="center"/>
    </xf>
    <xf numFmtId="3" fontId="3" fillId="6" borderId="0" xfId="0" applyNumberFormat="1" applyFont="1" applyFill="1"/>
    <xf numFmtId="3" fontId="0" fillId="0" borderId="0" xfId="0" applyNumberFormat="1"/>
    <xf numFmtId="3" fontId="2" fillId="2" borderId="0" xfId="2" applyNumberFormat="1"/>
    <xf numFmtId="0" fontId="3" fillId="6" borderId="0" xfId="0" applyFont="1" applyFill="1"/>
    <xf numFmtId="0" fontId="3" fillId="6" borderId="0" xfId="0" applyFont="1" applyFill="1" applyAlignment="1">
      <alignment horizontal="center"/>
    </xf>
    <xf numFmtId="39" fontId="0" fillId="0" borderId="0" xfId="1" applyNumberFormat="1" applyFont="1"/>
    <xf numFmtId="39" fontId="0" fillId="0" borderId="0" xfId="1" applyNumberFormat="1" applyFont="1" applyFill="1"/>
    <xf numFmtId="0" fontId="3" fillId="6" borderId="0" xfId="0" applyFont="1" applyFill="1"/>
    <xf numFmtId="0" fontId="3" fillId="6" borderId="0" xfId="0" applyFont="1" applyFill="1" applyAlignment="1">
      <alignment horizontal="center"/>
    </xf>
    <xf numFmtId="0" fontId="0" fillId="0" borderId="0" xfId="0" applyAlignment="1">
      <alignment horizontal="left"/>
    </xf>
    <xf numFmtId="14" fontId="0" fillId="0" borderId="0" xfId="0" applyNumberFormat="1"/>
    <xf numFmtId="22" fontId="0" fillId="0" borderId="0" xfId="0" applyNumberFormat="1"/>
    <xf numFmtId="4" fontId="0" fillId="0" borderId="0" xfId="0" applyNumberFormat="1"/>
    <xf numFmtId="49" fontId="0" fillId="0" borderId="0" xfId="0" applyNumberFormat="1"/>
    <xf numFmtId="43" fontId="2" fillId="2" borderId="0" xfId="2" applyNumberFormat="1"/>
    <xf numFmtId="0" fontId="3" fillId="6" borderId="0" xfId="0" applyFont="1" applyFill="1"/>
    <xf numFmtId="0" fontId="3" fillId="6" borderId="0" xfId="0" applyFont="1" applyFill="1" applyAlignment="1">
      <alignment horizontal="center"/>
    </xf>
    <xf numFmtId="49" fontId="0" fillId="3" borderId="0" xfId="0" applyNumberFormat="1" applyFill="1"/>
    <xf numFmtId="0" fontId="0" fillId="4" borderId="0" xfId="0" applyFill="1" applyAlignment="1">
      <alignment horizontal="left"/>
    </xf>
    <xf numFmtId="0" fontId="0" fillId="0" borderId="0" xfId="0" applyAlignment="1"/>
    <xf numFmtId="0" fontId="3" fillId="6" borderId="0" xfId="0" applyFont="1" applyFill="1" applyAlignment="1">
      <alignment horizontal="center" vertical="center" wrapText="1"/>
    </xf>
    <xf numFmtId="0" fontId="0" fillId="0" borderId="2" xfId="0" applyBorder="1"/>
    <xf numFmtId="43" fontId="0" fillId="0" borderId="2" xfId="1" applyFont="1" applyBorder="1"/>
    <xf numFmtId="0" fontId="0" fillId="10" borderId="2" xfId="0" applyFill="1" applyBorder="1"/>
    <xf numFmtId="43" fontId="0" fillId="10" borderId="2" xfId="1" applyFont="1" applyFill="1" applyBorder="1"/>
    <xf numFmtId="43" fontId="4" fillId="7" borderId="2" xfId="0" applyNumberFormat="1" applyFont="1" applyFill="1" applyBorder="1"/>
    <xf numFmtId="10" fontId="0" fillId="0" borderId="2" xfId="1" applyNumberFormat="1" applyFont="1" applyBorder="1" applyAlignment="1">
      <alignment horizontal="center"/>
    </xf>
    <xf numFmtId="0" fontId="7" fillId="4" borderId="0" xfId="0" applyFont="1" applyFill="1"/>
    <xf numFmtId="0" fontId="3" fillId="6" borderId="0" xfId="0" applyFont="1" applyFill="1"/>
    <xf numFmtId="0" fontId="7" fillId="5" borderId="0" xfId="0" applyFont="1" applyFill="1"/>
    <xf numFmtId="0" fontId="4" fillId="7" borderId="2" xfId="0" applyFont="1" applyFill="1" applyBorder="1"/>
    <xf numFmtId="0" fontId="7" fillId="4" borderId="0" xfId="0" applyFont="1" applyFill="1"/>
    <xf numFmtId="0" fontId="3" fillId="6" borderId="0" xfId="0" applyFont="1" applyFill="1"/>
    <xf numFmtId="0" fontId="7" fillId="5" borderId="0" xfId="0" applyFont="1" applyFill="1"/>
    <xf numFmtId="0" fontId="0" fillId="7" borderId="0" xfId="0" applyFill="1" applyAlignment="1">
      <alignment vertical="top"/>
    </xf>
    <xf numFmtId="0" fontId="3" fillId="6" borderId="0" xfId="0" applyFont="1" applyFill="1" applyAlignment="1">
      <alignment horizontal="center"/>
    </xf>
    <xf numFmtId="0" fontId="0" fillId="7" borderId="0" xfId="0" applyFill="1" applyAlignment="1">
      <alignment vertical="top" wrapText="1"/>
    </xf>
  </cellXfs>
  <cellStyles count="6">
    <cellStyle name="Currency 2" xfId="5"/>
    <cellStyle name="Hipervínculo" xfId="3" builtinId="8"/>
    <cellStyle name="Incorrecto" xfId="2" builtinId="27"/>
    <cellStyle name="INTK_Descriptions" xfId="4"/>
    <cellStyle name="Millares" xfId="1" builtinId="3"/>
    <cellStyle name="Normal" xfId="0" builtinId="0"/>
  </cellStyles>
  <dxfs count="456">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5" tint="0.79998168889431442"/>
        </patternFill>
      </fill>
    </dxf>
    <dxf>
      <fill>
        <patternFill>
          <bgColor theme="6"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5"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trlProp" Target="../ctrlProps/ctrlProp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6" Type="http://schemas.openxmlformats.org/officeDocument/2006/relationships/ctrlProp" Target="../ctrlProps/ctrlProp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8" Type="http://schemas.openxmlformats.org/officeDocument/2006/relationships/ctrlProp" Target="../ctrlProps/ctrlProp5.xml"/><Relationship Id="rId3" Type="http://schemas.openxmlformats.org/officeDocument/2006/relationships/control" Target="../activeX/activeX2.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vmlDrawing" Target="../drawings/vmlDrawing2.v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omments" Target="../comments2.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comments" Target="../comments3.x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control" Target="../activeX/activeX3.xml"/><Relationship Id="rId1" Type="http://schemas.openxmlformats.org/officeDocument/2006/relationships/vmlDrawing" Target="../drawings/vmlDrawing3.vml"/><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0" Type="http://schemas.openxmlformats.org/officeDocument/2006/relationships/ctrlProp" Target="../ctrlProps/ctrlProp43.xml"/><Relationship Id="rId9" Type="http://schemas.openxmlformats.org/officeDocument/2006/relationships/ctrlProp" Target="../ctrlProps/ctrlProp42.xml"/><Relationship Id="rId14" Type="http://schemas.openxmlformats.org/officeDocument/2006/relationships/ctrlProp" Target="../ctrlProps/ctrlProp4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comments" Target="../comments4.xml"/><Relationship Id="rId7" Type="http://schemas.openxmlformats.org/officeDocument/2006/relationships/ctrlProp" Target="../ctrlProps/ctrlProp50.xml"/><Relationship Id="rId12" Type="http://schemas.openxmlformats.org/officeDocument/2006/relationships/ctrlProp" Target="../ctrlProps/ctrlProp55.xml"/><Relationship Id="rId2" Type="http://schemas.openxmlformats.org/officeDocument/2006/relationships/control" Target="../activeX/activeX4.xml"/><Relationship Id="rId1" Type="http://schemas.openxmlformats.org/officeDocument/2006/relationships/vmlDrawing" Target="../drawings/vmlDrawing4.v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0" Type="http://schemas.openxmlformats.org/officeDocument/2006/relationships/ctrlProp" Target="../ctrlProps/ctrlProp53.xml"/><Relationship Id="rId9" Type="http://schemas.openxmlformats.org/officeDocument/2006/relationships/ctrlProp" Target="../ctrlProps/ctrlProp5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3" Type="http://schemas.openxmlformats.org/officeDocument/2006/relationships/control" Target="../activeX/activeX5.xml"/><Relationship Id="rId21" Type="http://schemas.openxmlformats.org/officeDocument/2006/relationships/ctrlProp" Target="../ctrlProps/ctrlProp71.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 Type="http://schemas.openxmlformats.org/officeDocument/2006/relationships/vmlDrawing" Target="../drawings/vmlDrawing5.vml"/><Relationship Id="rId16" Type="http://schemas.openxmlformats.org/officeDocument/2006/relationships/ctrlProp" Target="../ctrlProps/ctrlProp66.xml"/><Relationship Id="rId20" Type="http://schemas.openxmlformats.org/officeDocument/2006/relationships/ctrlProp" Target="../ctrlProps/ctrlProp70.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15" Type="http://schemas.openxmlformats.org/officeDocument/2006/relationships/ctrlProp" Target="../ctrlProps/ctrlProp65.xml"/><Relationship Id="rId23" Type="http://schemas.openxmlformats.org/officeDocument/2006/relationships/ctrlProp" Target="../ctrlProps/ctrlProp73.xml"/><Relationship Id="rId10" Type="http://schemas.openxmlformats.org/officeDocument/2006/relationships/ctrlProp" Target="../ctrlProps/ctrlProp60.xml"/><Relationship Id="rId19" Type="http://schemas.openxmlformats.org/officeDocument/2006/relationships/ctrlProp" Target="../ctrlProps/ctrlProp69.xml"/><Relationship Id="rId4" Type="http://schemas.openxmlformats.org/officeDocument/2006/relationships/comments" Target="../comments5.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s>
</file>

<file path=xl/worksheets/_rels/sheet7.xml.rels><?xml version="1.0" encoding="UTF-8" standalone="yes"?>
<Relationships xmlns="http://schemas.openxmlformats.org/package/2006/relationships"><Relationship Id="rId117" Type="http://schemas.openxmlformats.org/officeDocument/2006/relationships/ctrlProp" Target="../ctrlProps/ctrlProp186.xml"/><Relationship Id="rId26" Type="http://schemas.openxmlformats.org/officeDocument/2006/relationships/ctrlProp" Target="../ctrlProps/ctrlProp95.xml"/><Relationship Id="rId21" Type="http://schemas.openxmlformats.org/officeDocument/2006/relationships/ctrlProp" Target="../ctrlProps/ctrlProp90.xml"/><Relationship Id="rId42" Type="http://schemas.openxmlformats.org/officeDocument/2006/relationships/ctrlProp" Target="../ctrlProps/ctrlProp111.xml"/><Relationship Id="rId63" Type="http://schemas.openxmlformats.org/officeDocument/2006/relationships/ctrlProp" Target="../ctrlProps/ctrlProp132.xml"/><Relationship Id="rId84" Type="http://schemas.openxmlformats.org/officeDocument/2006/relationships/ctrlProp" Target="../ctrlProps/ctrlProp153.xml"/><Relationship Id="rId138" Type="http://schemas.openxmlformats.org/officeDocument/2006/relationships/ctrlProp" Target="../ctrlProps/ctrlProp207.xml"/><Relationship Id="rId159" Type="http://schemas.openxmlformats.org/officeDocument/2006/relationships/ctrlProp" Target="../ctrlProps/ctrlProp228.xml"/><Relationship Id="rId47" Type="http://schemas.openxmlformats.org/officeDocument/2006/relationships/ctrlProp" Target="../ctrlProps/ctrlProp116.xml"/><Relationship Id="rId68" Type="http://schemas.openxmlformats.org/officeDocument/2006/relationships/ctrlProp" Target="../ctrlProps/ctrlProp137.xml"/><Relationship Id="rId89" Type="http://schemas.openxmlformats.org/officeDocument/2006/relationships/ctrlProp" Target="../ctrlProps/ctrlProp158.xml"/><Relationship Id="rId112" Type="http://schemas.openxmlformats.org/officeDocument/2006/relationships/ctrlProp" Target="../ctrlProps/ctrlProp181.xml"/><Relationship Id="rId133" Type="http://schemas.openxmlformats.org/officeDocument/2006/relationships/ctrlProp" Target="../ctrlProps/ctrlProp202.xml"/><Relationship Id="rId154" Type="http://schemas.openxmlformats.org/officeDocument/2006/relationships/ctrlProp" Target="../ctrlProps/ctrlProp223.xml"/><Relationship Id="rId175" Type="http://schemas.openxmlformats.org/officeDocument/2006/relationships/ctrlProp" Target="../ctrlProps/ctrlProp244.xml"/><Relationship Id="rId170" Type="http://schemas.openxmlformats.org/officeDocument/2006/relationships/ctrlProp" Target="../ctrlProps/ctrlProp239.xml"/><Relationship Id="rId107" Type="http://schemas.openxmlformats.org/officeDocument/2006/relationships/ctrlProp" Target="../ctrlProps/ctrlProp176.xml"/><Relationship Id="rId16" Type="http://schemas.openxmlformats.org/officeDocument/2006/relationships/ctrlProp" Target="../ctrlProps/ctrlProp85.xml"/><Relationship Id="rId11" Type="http://schemas.openxmlformats.org/officeDocument/2006/relationships/ctrlProp" Target="../ctrlProps/ctrlProp80.xml"/><Relationship Id="rId32" Type="http://schemas.openxmlformats.org/officeDocument/2006/relationships/ctrlProp" Target="../ctrlProps/ctrlProp101.xml"/><Relationship Id="rId53" Type="http://schemas.openxmlformats.org/officeDocument/2006/relationships/ctrlProp" Target="../ctrlProps/ctrlProp122.xml"/><Relationship Id="rId74" Type="http://schemas.openxmlformats.org/officeDocument/2006/relationships/ctrlProp" Target="../ctrlProps/ctrlProp143.xml"/><Relationship Id="rId128" Type="http://schemas.openxmlformats.org/officeDocument/2006/relationships/ctrlProp" Target="../ctrlProps/ctrlProp197.xml"/><Relationship Id="rId149" Type="http://schemas.openxmlformats.org/officeDocument/2006/relationships/ctrlProp" Target="../ctrlProps/ctrlProp218.xml"/><Relationship Id="rId37" Type="http://schemas.openxmlformats.org/officeDocument/2006/relationships/ctrlProp" Target="../ctrlProps/ctrlProp106.xml"/><Relationship Id="rId58" Type="http://schemas.openxmlformats.org/officeDocument/2006/relationships/ctrlProp" Target="../ctrlProps/ctrlProp127.xml"/><Relationship Id="rId79" Type="http://schemas.openxmlformats.org/officeDocument/2006/relationships/ctrlProp" Target="../ctrlProps/ctrlProp148.xml"/><Relationship Id="rId102" Type="http://schemas.openxmlformats.org/officeDocument/2006/relationships/ctrlProp" Target="../ctrlProps/ctrlProp171.xml"/><Relationship Id="rId123" Type="http://schemas.openxmlformats.org/officeDocument/2006/relationships/ctrlProp" Target="../ctrlProps/ctrlProp192.xml"/><Relationship Id="rId144" Type="http://schemas.openxmlformats.org/officeDocument/2006/relationships/ctrlProp" Target="../ctrlProps/ctrlProp213.xml"/><Relationship Id="rId5" Type="http://schemas.openxmlformats.org/officeDocument/2006/relationships/ctrlProp" Target="../ctrlProps/ctrlProp74.xml"/><Relationship Id="rId95" Type="http://schemas.openxmlformats.org/officeDocument/2006/relationships/ctrlProp" Target="../ctrlProps/ctrlProp164.xml"/><Relationship Id="rId160" Type="http://schemas.openxmlformats.org/officeDocument/2006/relationships/ctrlProp" Target="../ctrlProps/ctrlProp229.xml"/><Relationship Id="rId90" Type="http://schemas.openxmlformats.org/officeDocument/2006/relationships/ctrlProp" Target="../ctrlProps/ctrlProp159.xml"/><Relationship Id="rId165" Type="http://schemas.openxmlformats.org/officeDocument/2006/relationships/ctrlProp" Target="../ctrlProps/ctrlProp234.xml"/><Relationship Id="rId22" Type="http://schemas.openxmlformats.org/officeDocument/2006/relationships/ctrlProp" Target="../ctrlProps/ctrlProp91.xml"/><Relationship Id="rId43" Type="http://schemas.openxmlformats.org/officeDocument/2006/relationships/ctrlProp" Target="../ctrlProps/ctrlProp112.xml"/><Relationship Id="rId64" Type="http://schemas.openxmlformats.org/officeDocument/2006/relationships/ctrlProp" Target="../ctrlProps/ctrlProp133.xml"/><Relationship Id="rId118" Type="http://schemas.openxmlformats.org/officeDocument/2006/relationships/ctrlProp" Target="../ctrlProps/ctrlProp187.xml"/><Relationship Id="rId139" Type="http://schemas.openxmlformats.org/officeDocument/2006/relationships/ctrlProp" Target="../ctrlProps/ctrlProp208.xml"/><Relationship Id="rId27" Type="http://schemas.openxmlformats.org/officeDocument/2006/relationships/ctrlProp" Target="../ctrlProps/ctrlProp96.xml"/><Relationship Id="rId48" Type="http://schemas.openxmlformats.org/officeDocument/2006/relationships/ctrlProp" Target="../ctrlProps/ctrlProp117.xml"/><Relationship Id="rId69" Type="http://schemas.openxmlformats.org/officeDocument/2006/relationships/ctrlProp" Target="../ctrlProps/ctrlProp138.xml"/><Relationship Id="rId113" Type="http://schemas.openxmlformats.org/officeDocument/2006/relationships/ctrlProp" Target="../ctrlProps/ctrlProp182.xml"/><Relationship Id="rId134" Type="http://schemas.openxmlformats.org/officeDocument/2006/relationships/ctrlProp" Target="../ctrlProps/ctrlProp203.xml"/><Relationship Id="rId85" Type="http://schemas.openxmlformats.org/officeDocument/2006/relationships/ctrlProp" Target="../ctrlProps/ctrlProp154.xml"/><Relationship Id="rId150" Type="http://schemas.openxmlformats.org/officeDocument/2006/relationships/ctrlProp" Target="../ctrlProps/ctrlProp219.xml"/><Relationship Id="rId171" Type="http://schemas.openxmlformats.org/officeDocument/2006/relationships/ctrlProp" Target="../ctrlProps/ctrlProp240.xml"/><Relationship Id="rId80" Type="http://schemas.openxmlformats.org/officeDocument/2006/relationships/ctrlProp" Target="../ctrlProps/ctrlProp149.xml"/><Relationship Id="rId155" Type="http://schemas.openxmlformats.org/officeDocument/2006/relationships/ctrlProp" Target="../ctrlProps/ctrlProp224.xml"/><Relationship Id="rId176" Type="http://schemas.openxmlformats.org/officeDocument/2006/relationships/ctrlProp" Target="../ctrlProps/ctrlProp245.xml"/><Relationship Id="rId12" Type="http://schemas.openxmlformats.org/officeDocument/2006/relationships/ctrlProp" Target="../ctrlProps/ctrlProp81.xml"/><Relationship Id="rId33" Type="http://schemas.openxmlformats.org/officeDocument/2006/relationships/ctrlProp" Target="../ctrlProps/ctrlProp102.xml"/><Relationship Id="rId108" Type="http://schemas.openxmlformats.org/officeDocument/2006/relationships/ctrlProp" Target="../ctrlProps/ctrlProp177.xml"/><Relationship Id="rId129" Type="http://schemas.openxmlformats.org/officeDocument/2006/relationships/ctrlProp" Target="../ctrlProps/ctrlProp198.xml"/><Relationship Id="rId17" Type="http://schemas.openxmlformats.org/officeDocument/2006/relationships/ctrlProp" Target="../ctrlProps/ctrlProp86.xml"/><Relationship Id="rId38" Type="http://schemas.openxmlformats.org/officeDocument/2006/relationships/ctrlProp" Target="../ctrlProps/ctrlProp107.xml"/><Relationship Id="rId59" Type="http://schemas.openxmlformats.org/officeDocument/2006/relationships/ctrlProp" Target="../ctrlProps/ctrlProp128.xml"/><Relationship Id="rId103" Type="http://schemas.openxmlformats.org/officeDocument/2006/relationships/ctrlProp" Target="../ctrlProps/ctrlProp172.xml"/><Relationship Id="rId124" Type="http://schemas.openxmlformats.org/officeDocument/2006/relationships/ctrlProp" Target="../ctrlProps/ctrlProp193.xml"/><Relationship Id="rId54" Type="http://schemas.openxmlformats.org/officeDocument/2006/relationships/ctrlProp" Target="../ctrlProps/ctrlProp123.xml"/><Relationship Id="rId75" Type="http://schemas.openxmlformats.org/officeDocument/2006/relationships/ctrlProp" Target="../ctrlProps/ctrlProp144.xml"/><Relationship Id="rId96" Type="http://schemas.openxmlformats.org/officeDocument/2006/relationships/ctrlProp" Target="../ctrlProps/ctrlProp165.xml"/><Relationship Id="rId140" Type="http://schemas.openxmlformats.org/officeDocument/2006/relationships/ctrlProp" Target="../ctrlProps/ctrlProp209.xml"/><Relationship Id="rId161" Type="http://schemas.openxmlformats.org/officeDocument/2006/relationships/ctrlProp" Target="../ctrlProps/ctrlProp230.xml"/><Relationship Id="rId70" Type="http://schemas.openxmlformats.org/officeDocument/2006/relationships/ctrlProp" Target="../ctrlProps/ctrlProp139.xml"/><Relationship Id="rId91" Type="http://schemas.openxmlformats.org/officeDocument/2006/relationships/ctrlProp" Target="../ctrlProps/ctrlProp160.xml"/><Relationship Id="rId145" Type="http://schemas.openxmlformats.org/officeDocument/2006/relationships/ctrlProp" Target="../ctrlProps/ctrlProp214.xml"/><Relationship Id="rId166" Type="http://schemas.openxmlformats.org/officeDocument/2006/relationships/ctrlProp" Target="../ctrlProps/ctrlProp235.xml"/><Relationship Id="rId1" Type="http://schemas.openxmlformats.org/officeDocument/2006/relationships/vmlDrawing" Target="../drawings/vmlDrawing6.vml"/><Relationship Id="rId6" Type="http://schemas.openxmlformats.org/officeDocument/2006/relationships/ctrlProp" Target="../ctrlProps/ctrlProp75.xml"/><Relationship Id="rId23" Type="http://schemas.openxmlformats.org/officeDocument/2006/relationships/ctrlProp" Target="../ctrlProps/ctrlProp92.xml"/><Relationship Id="rId28" Type="http://schemas.openxmlformats.org/officeDocument/2006/relationships/ctrlProp" Target="../ctrlProps/ctrlProp97.xml"/><Relationship Id="rId49" Type="http://schemas.openxmlformats.org/officeDocument/2006/relationships/ctrlProp" Target="../ctrlProps/ctrlProp118.xml"/><Relationship Id="rId114" Type="http://schemas.openxmlformats.org/officeDocument/2006/relationships/ctrlProp" Target="../ctrlProps/ctrlProp183.xml"/><Relationship Id="rId119" Type="http://schemas.openxmlformats.org/officeDocument/2006/relationships/ctrlProp" Target="../ctrlProps/ctrlProp188.xml"/><Relationship Id="rId44" Type="http://schemas.openxmlformats.org/officeDocument/2006/relationships/ctrlProp" Target="../ctrlProps/ctrlProp113.xml"/><Relationship Id="rId60" Type="http://schemas.openxmlformats.org/officeDocument/2006/relationships/ctrlProp" Target="../ctrlProps/ctrlProp129.xml"/><Relationship Id="rId65" Type="http://schemas.openxmlformats.org/officeDocument/2006/relationships/ctrlProp" Target="../ctrlProps/ctrlProp134.xml"/><Relationship Id="rId81" Type="http://schemas.openxmlformats.org/officeDocument/2006/relationships/ctrlProp" Target="../ctrlProps/ctrlProp150.xml"/><Relationship Id="rId86" Type="http://schemas.openxmlformats.org/officeDocument/2006/relationships/ctrlProp" Target="../ctrlProps/ctrlProp155.xml"/><Relationship Id="rId130" Type="http://schemas.openxmlformats.org/officeDocument/2006/relationships/ctrlProp" Target="../ctrlProps/ctrlProp199.xml"/><Relationship Id="rId135" Type="http://schemas.openxmlformats.org/officeDocument/2006/relationships/ctrlProp" Target="../ctrlProps/ctrlProp204.xml"/><Relationship Id="rId151" Type="http://schemas.openxmlformats.org/officeDocument/2006/relationships/ctrlProp" Target="../ctrlProps/ctrlProp220.xml"/><Relationship Id="rId156" Type="http://schemas.openxmlformats.org/officeDocument/2006/relationships/ctrlProp" Target="../ctrlProps/ctrlProp225.xml"/><Relationship Id="rId177" Type="http://schemas.openxmlformats.org/officeDocument/2006/relationships/ctrlProp" Target="../ctrlProps/ctrlProp246.xml"/><Relationship Id="rId10" Type="http://schemas.openxmlformats.org/officeDocument/2006/relationships/ctrlProp" Target="../ctrlProps/ctrlProp79.xml"/><Relationship Id="rId31" Type="http://schemas.openxmlformats.org/officeDocument/2006/relationships/ctrlProp" Target="../ctrlProps/ctrlProp100.xml"/><Relationship Id="rId52" Type="http://schemas.openxmlformats.org/officeDocument/2006/relationships/ctrlProp" Target="../ctrlProps/ctrlProp121.xml"/><Relationship Id="rId73" Type="http://schemas.openxmlformats.org/officeDocument/2006/relationships/ctrlProp" Target="../ctrlProps/ctrlProp142.xml"/><Relationship Id="rId78" Type="http://schemas.openxmlformats.org/officeDocument/2006/relationships/ctrlProp" Target="../ctrlProps/ctrlProp147.xml"/><Relationship Id="rId94" Type="http://schemas.openxmlformats.org/officeDocument/2006/relationships/ctrlProp" Target="../ctrlProps/ctrlProp163.xml"/><Relationship Id="rId99" Type="http://schemas.openxmlformats.org/officeDocument/2006/relationships/ctrlProp" Target="../ctrlProps/ctrlProp168.xml"/><Relationship Id="rId101" Type="http://schemas.openxmlformats.org/officeDocument/2006/relationships/ctrlProp" Target="../ctrlProps/ctrlProp170.xml"/><Relationship Id="rId122" Type="http://schemas.openxmlformats.org/officeDocument/2006/relationships/ctrlProp" Target="../ctrlProps/ctrlProp191.xml"/><Relationship Id="rId143" Type="http://schemas.openxmlformats.org/officeDocument/2006/relationships/ctrlProp" Target="../ctrlProps/ctrlProp212.xml"/><Relationship Id="rId148" Type="http://schemas.openxmlformats.org/officeDocument/2006/relationships/ctrlProp" Target="../ctrlProps/ctrlProp217.xml"/><Relationship Id="rId164" Type="http://schemas.openxmlformats.org/officeDocument/2006/relationships/ctrlProp" Target="../ctrlProps/ctrlProp233.xml"/><Relationship Id="rId169" Type="http://schemas.openxmlformats.org/officeDocument/2006/relationships/ctrlProp" Target="../ctrlProps/ctrlProp238.xml"/><Relationship Id="rId172" Type="http://schemas.openxmlformats.org/officeDocument/2006/relationships/ctrlProp" Target="../ctrlProps/ctrlProp241.xml"/><Relationship Id="rId9" Type="http://schemas.openxmlformats.org/officeDocument/2006/relationships/ctrlProp" Target="../ctrlProps/ctrlProp78.xml"/><Relationship Id="rId180" Type="http://schemas.openxmlformats.org/officeDocument/2006/relationships/ctrlProp" Target="../ctrlProps/ctrlProp249.xml"/><Relationship Id="rId13" Type="http://schemas.openxmlformats.org/officeDocument/2006/relationships/ctrlProp" Target="../ctrlProps/ctrlProp82.xml"/><Relationship Id="rId18" Type="http://schemas.openxmlformats.org/officeDocument/2006/relationships/ctrlProp" Target="../ctrlProps/ctrlProp87.xml"/><Relationship Id="rId39" Type="http://schemas.openxmlformats.org/officeDocument/2006/relationships/ctrlProp" Target="../ctrlProps/ctrlProp108.xml"/><Relationship Id="rId109" Type="http://schemas.openxmlformats.org/officeDocument/2006/relationships/ctrlProp" Target="../ctrlProps/ctrlProp178.xml"/><Relationship Id="rId34" Type="http://schemas.openxmlformats.org/officeDocument/2006/relationships/ctrlProp" Target="../ctrlProps/ctrlProp103.xml"/><Relationship Id="rId50" Type="http://schemas.openxmlformats.org/officeDocument/2006/relationships/ctrlProp" Target="../ctrlProps/ctrlProp119.xml"/><Relationship Id="rId55" Type="http://schemas.openxmlformats.org/officeDocument/2006/relationships/ctrlProp" Target="../ctrlProps/ctrlProp124.xml"/><Relationship Id="rId76" Type="http://schemas.openxmlformats.org/officeDocument/2006/relationships/ctrlProp" Target="../ctrlProps/ctrlProp145.xml"/><Relationship Id="rId97" Type="http://schemas.openxmlformats.org/officeDocument/2006/relationships/ctrlProp" Target="../ctrlProps/ctrlProp166.xml"/><Relationship Id="rId104" Type="http://schemas.openxmlformats.org/officeDocument/2006/relationships/ctrlProp" Target="../ctrlProps/ctrlProp173.xml"/><Relationship Id="rId120" Type="http://schemas.openxmlformats.org/officeDocument/2006/relationships/ctrlProp" Target="../ctrlProps/ctrlProp189.xml"/><Relationship Id="rId125" Type="http://schemas.openxmlformats.org/officeDocument/2006/relationships/ctrlProp" Target="../ctrlProps/ctrlProp194.xml"/><Relationship Id="rId141" Type="http://schemas.openxmlformats.org/officeDocument/2006/relationships/ctrlProp" Target="../ctrlProps/ctrlProp210.xml"/><Relationship Id="rId146" Type="http://schemas.openxmlformats.org/officeDocument/2006/relationships/ctrlProp" Target="../ctrlProps/ctrlProp215.xml"/><Relationship Id="rId167" Type="http://schemas.openxmlformats.org/officeDocument/2006/relationships/ctrlProp" Target="../ctrlProps/ctrlProp236.xml"/><Relationship Id="rId7" Type="http://schemas.openxmlformats.org/officeDocument/2006/relationships/ctrlProp" Target="../ctrlProps/ctrlProp76.xml"/><Relationship Id="rId71" Type="http://schemas.openxmlformats.org/officeDocument/2006/relationships/ctrlProp" Target="../ctrlProps/ctrlProp140.xml"/><Relationship Id="rId92" Type="http://schemas.openxmlformats.org/officeDocument/2006/relationships/ctrlProp" Target="../ctrlProps/ctrlProp161.xml"/><Relationship Id="rId162" Type="http://schemas.openxmlformats.org/officeDocument/2006/relationships/ctrlProp" Target="../ctrlProps/ctrlProp231.xml"/><Relationship Id="rId2" Type="http://schemas.openxmlformats.org/officeDocument/2006/relationships/control" Target="../activeX/activeX6.xml"/><Relationship Id="rId29" Type="http://schemas.openxmlformats.org/officeDocument/2006/relationships/ctrlProp" Target="../ctrlProps/ctrlProp98.xml"/><Relationship Id="rId24" Type="http://schemas.openxmlformats.org/officeDocument/2006/relationships/ctrlProp" Target="../ctrlProps/ctrlProp93.xml"/><Relationship Id="rId40" Type="http://schemas.openxmlformats.org/officeDocument/2006/relationships/ctrlProp" Target="../ctrlProps/ctrlProp109.xml"/><Relationship Id="rId45" Type="http://schemas.openxmlformats.org/officeDocument/2006/relationships/ctrlProp" Target="../ctrlProps/ctrlProp114.xml"/><Relationship Id="rId66" Type="http://schemas.openxmlformats.org/officeDocument/2006/relationships/ctrlProp" Target="../ctrlProps/ctrlProp135.xml"/><Relationship Id="rId87" Type="http://schemas.openxmlformats.org/officeDocument/2006/relationships/ctrlProp" Target="../ctrlProps/ctrlProp156.xml"/><Relationship Id="rId110" Type="http://schemas.openxmlformats.org/officeDocument/2006/relationships/ctrlProp" Target="../ctrlProps/ctrlProp179.xml"/><Relationship Id="rId115" Type="http://schemas.openxmlformats.org/officeDocument/2006/relationships/ctrlProp" Target="../ctrlProps/ctrlProp184.xml"/><Relationship Id="rId131" Type="http://schemas.openxmlformats.org/officeDocument/2006/relationships/ctrlProp" Target="../ctrlProps/ctrlProp200.xml"/><Relationship Id="rId136" Type="http://schemas.openxmlformats.org/officeDocument/2006/relationships/ctrlProp" Target="../ctrlProps/ctrlProp205.xml"/><Relationship Id="rId157" Type="http://schemas.openxmlformats.org/officeDocument/2006/relationships/ctrlProp" Target="../ctrlProps/ctrlProp226.xml"/><Relationship Id="rId178" Type="http://schemas.openxmlformats.org/officeDocument/2006/relationships/ctrlProp" Target="../ctrlProps/ctrlProp247.xml"/><Relationship Id="rId61" Type="http://schemas.openxmlformats.org/officeDocument/2006/relationships/ctrlProp" Target="../ctrlProps/ctrlProp130.xml"/><Relationship Id="rId82" Type="http://schemas.openxmlformats.org/officeDocument/2006/relationships/ctrlProp" Target="../ctrlProps/ctrlProp151.xml"/><Relationship Id="rId152" Type="http://schemas.openxmlformats.org/officeDocument/2006/relationships/ctrlProp" Target="../ctrlProps/ctrlProp221.xml"/><Relationship Id="rId173" Type="http://schemas.openxmlformats.org/officeDocument/2006/relationships/ctrlProp" Target="../ctrlProps/ctrlProp242.xml"/><Relationship Id="rId19" Type="http://schemas.openxmlformats.org/officeDocument/2006/relationships/ctrlProp" Target="../ctrlProps/ctrlProp88.xml"/><Relationship Id="rId14" Type="http://schemas.openxmlformats.org/officeDocument/2006/relationships/ctrlProp" Target="../ctrlProps/ctrlProp83.xml"/><Relationship Id="rId30" Type="http://schemas.openxmlformats.org/officeDocument/2006/relationships/ctrlProp" Target="../ctrlProps/ctrlProp99.xml"/><Relationship Id="rId35" Type="http://schemas.openxmlformats.org/officeDocument/2006/relationships/ctrlProp" Target="../ctrlProps/ctrlProp104.xml"/><Relationship Id="rId56" Type="http://schemas.openxmlformats.org/officeDocument/2006/relationships/ctrlProp" Target="../ctrlProps/ctrlProp125.xml"/><Relationship Id="rId77" Type="http://schemas.openxmlformats.org/officeDocument/2006/relationships/ctrlProp" Target="../ctrlProps/ctrlProp146.xml"/><Relationship Id="rId100" Type="http://schemas.openxmlformats.org/officeDocument/2006/relationships/ctrlProp" Target="../ctrlProps/ctrlProp169.xml"/><Relationship Id="rId105" Type="http://schemas.openxmlformats.org/officeDocument/2006/relationships/ctrlProp" Target="../ctrlProps/ctrlProp174.xml"/><Relationship Id="rId126" Type="http://schemas.openxmlformats.org/officeDocument/2006/relationships/ctrlProp" Target="../ctrlProps/ctrlProp195.xml"/><Relationship Id="rId147" Type="http://schemas.openxmlformats.org/officeDocument/2006/relationships/ctrlProp" Target="../ctrlProps/ctrlProp216.xml"/><Relationship Id="rId168" Type="http://schemas.openxmlformats.org/officeDocument/2006/relationships/ctrlProp" Target="../ctrlProps/ctrlProp237.xml"/><Relationship Id="rId8" Type="http://schemas.openxmlformats.org/officeDocument/2006/relationships/ctrlProp" Target="../ctrlProps/ctrlProp77.xml"/><Relationship Id="rId51" Type="http://schemas.openxmlformats.org/officeDocument/2006/relationships/ctrlProp" Target="../ctrlProps/ctrlProp120.xml"/><Relationship Id="rId72" Type="http://schemas.openxmlformats.org/officeDocument/2006/relationships/ctrlProp" Target="../ctrlProps/ctrlProp141.xml"/><Relationship Id="rId93" Type="http://schemas.openxmlformats.org/officeDocument/2006/relationships/ctrlProp" Target="../ctrlProps/ctrlProp162.xml"/><Relationship Id="rId98" Type="http://schemas.openxmlformats.org/officeDocument/2006/relationships/ctrlProp" Target="../ctrlProps/ctrlProp167.xml"/><Relationship Id="rId121" Type="http://schemas.openxmlformats.org/officeDocument/2006/relationships/ctrlProp" Target="../ctrlProps/ctrlProp190.xml"/><Relationship Id="rId142" Type="http://schemas.openxmlformats.org/officeDocument/2006/relationships/ctrlProp" Target="../ctrlProps/ctrlProp211.xml"/><Relationship Id="rId163" Type="http://schemas.openxmlformats.org/officeDocument/2006/relationships/ctrlProp" Target="../ctrlProps/ctrlProp232.xml"/><Relationship Id="rId25" Type="http://schemas.openxmlformats.org/officeDocument/2006/relationships/ctrlProp" Target="../ctrlProps/ctrlProp94.xml"/><Relationship Id="rId46" Type="http://schemas.openxmlformats.org/officeDocument/2006/relationships/ctrlProp" Target="../ctrlProps/ctrlProp115.xml"/><Relationship Id="rId67" Type="http://schemas.openxmlformats.org/officeDocument/2006/relationships/ctrlProp" Target="../ctrlProps/ctrlProp136.xml"/><Relationship Id="rId116" Type="http://schemas.openxmlformats.org/officeDocument/2006/relationships/ctrlProp" Target="../ctrlProps/ctrlProp185.xml"/><Relationship Id="rId137" Type="http://schemas.openxmlformats.org/officeDocument/2006/relationships/ctrlProp" Target="../ctrlProps/ctrlProp206.xml"/><Relationship Id="rId158" Type="http://schemas.openxmlformats.org/officeDocument/2006/relationships/ctrlProp" Target="../ctrlProps/ctrlProp227.xml"/><Relationship Id="rId20" Type="http://schemas.openxmlformats.org/officeDocument/2006/relationships/ctrlProp" Target="../ctrlProps/ctrlProp89.xml"/><Relationship Id="rId41" Type="http://schemas.openxmlformats.org/officeDocument/2006/relationships/ctrlProp" Target="../ctrlProps/ctrlProp110.xml"/><Relationship Id="rId62" Type="http://schemas.openxmlformats.org/officeDocument/2006/relationships/ctrlProp" Target="../ctrlProps/ctrlProp131.xml"/><Relationship Id="rId83" Type="http://schemas.openxmlformats.org/officeDocument/2006/relationships/ctrlProp" Target="../ctrlProps/ctrlProp152.xml"/><Relationship Id="rId88" Type="http://schemas.openxmlformats.org/officeDocument/2006/relationships/ctrlProp" Target="../ctrlProps/ctrlProp157.xml"/><Relationship Id="rId111" Type="http://schemas.openxmlformats.org/officeDocument/2006/relationships/ctrlProp" Target="../ctrlProps/ctrlProp180.xml"/><Relationship Id="rId132" Type="http://schemas.openxmlformats.org/officeDocument/2006/relationships/ctrlProp" Target="../ctrlProps/ctrlProp201.xml"/><Relationship Id="rId153" Type="http://schemas.openxmlformats.org/officeDocument/2006/relationships/ctrlProp" Target="../ctrlProps/ctrlProp222.xml"/><Relationship Id="rId174" Type="http://schemas.openxmlformats.org/officeDocument/2006/relationships/ctrlProp" Target="../ctrlProps/ctrlProp243.xml"/><Relationship Id="rId179" Type="http://schemas.openxmlformats.org/officeDocument/2006/relationships/ctrlProp" Target="../ctrlProps/ctrlProp248.xml"/><Relationship Id="rId15" Type="http://schemas.openxmlformats.org/officeDocument/2006/relationships/ctrlProp" Target="../ctrlProps/ctrlProp84.xml"/><Relationship Id="rId36" Type="http://schemas.openxmlformats.org/officeDocument/2006/relationships/ctrlProp" Target="../ctrlProps/ctrlProp105.xml"/><Relationship Id="rId57" Type="http://schemas.openxmlformats.org/officeDocument/2006/relationships/ctrlProp" Target="../ctrlProps/ctrlProp126.xml"/><Relationship Id="rId106" Type="http://schemas.openxmlformats.org/officeDocument/2006/relationships/ctrlProp" Target="../ctrlProps/ctrlProp175.xml"/><Relationship Id="rId127" Type="http://schemas.openxmlformats.org/officeDocument/2006/relationships/ctrlProp" Target="../ctrlProps/ctrlProp19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sheetPr codeName="Sheet2">
    <tabColor rgb="FFC00000"/>
  </sheetPr>
  <dimension ref="A1:I182"/>
  <sheetViews>
    <sheetView tabSelected="1" workbookViewId="0">
      <selection activeCell="H15" sqref="H15"/>
    </sheetView>
  </sheetViews>
  <sheetFormatPr baseColWidth="10" defaultColWidth="9" defaultRowHeight="15"/>
  <cols>
    <col min="1" max="1" width="17.375" bestFit="1" customWidth="1"/>
    <col min="2" max="2" width="68" bestFit="1" customWidth="1"/>
    <col min="3" max="3" width="6.625" customWidth="1"/>
    <col min="4" max="5" width="12.75" customWidth="1"/>
    <col min="6" max="6" width="11.875" customWidth="1"/>
    <col min="7" max="7" width="12.75" customWidth="1"/>
    <col min="8" max="8" width="11.875" customWidth="1"/>
    <col min="9" max="9" width="12.75" customWidth="1"/>
  </cols>
  <sheetData>
    <row r="1" spans="1:9" ht="30">
      <c r="A1" s="52" t="s">
        <v>1371</v>
      </c>
      <c r="B1" s="52" t="s">
        <v>7</v>
      </c>
      <c r="C1" s="52" t="s">
        <v>1370</v>
      </c>
      <c r="D1" s="52" t="s">
        <v>1372</v>
      </c>
      <c r="E1" s="52" t="s">
        <v>1373</v>
      </c>
      <c r="F1" s="52" t="s">
        <v>1378</v>
      </c>
      <c r="G1" s="52" t="s">
        <v>1379</v>
      </c>
      <c r="H1" s="52" t="s">
        <v>1376</v>
      </c>
      <c r="I1" s="52" t="s">
        <v>1380</v>
      </c>
    </row>
    <row r="2" spans="1:9">
      <c r="A2" s="53" t="s">
        <v>632</v>
      </c>
      <c r="B2" s="55" t="str">
        <f>IF($A2="","",IFERROR(VLOOKUP($A2,LearnMate7!$A:$E,2,FALSE),IFERROR(VLOOKUP($A2,Jobmaster!$A:$E,2,FALSE),IFERROR(VLOOKUP($A2,Robotics!$A:$E,2,FALSE),IFERROR(VLOOKUP($A2,'Automation &amp; Process Control'!$A:$E,2,FALSE),IFERROR(VLOOKUP($A2,Machining!$A:$E,2,FALSE),IFERROR(VLOOKUP($A2,'CIM&amp;FMS'!$A:$E,2,FALSE),"Item not found")))))))</f>
        <v>ASRS (Automated Storage and Retrieval System)-72 Shelves &amp; Cartesian Robot</v>
      </c>
      <c r="C2" s="54">
        <v>1</v>
      </c>
      <c r="D2" s="56">
        <f>IF($A2="","",IFERROR(VLOOKUP($A2,LearnMate7!$A:$E,5,FALSE),IFERROR(VLOOKUP($A2,Jobmaster!$A:$E,5,FALSE),IFERROR(VLOOKUP($A2,Robotics!$A:$E,5,FALSE),IFERROR(VLOOKUP($A2,'Automation &amp; Process Control'!$A:$E,5,FALSE),IFERROR(VLOOKUP($A2,Machining!$A:$E,5,FALSE),IFERROR(VLOOKUP($A2,'CIM&amp;FMS'!$A:$E,5,FALSE),"Item not found")))))))</f>
        <v>44065</v>
      </c>
      <c r="E2" s="56">
        <f>IF($A2="","",C2*D2)</f>
        <v>44065</v>
      </c>
      <c r="F2" s="58">
        <v>0.05</v>
      </c>
      <c r="G2" s="56">
        <f>IF($A2="","",E2*(1-F2))</f>
        <v>41861.75</v>
      </c>
      <c r="H2" s="58">
        <v>0.2</v>
      </c>
      <c r="I2" s="56">
        <f>IF($A2="","",G2*(1-H2))</f>
        <v>33489.4</v>
      </c>
    </row>
    <row r="3" spans="1:9">
      <c r="A3" s="53" t="s">
        <v>808</v>
      </c>
      <c r="B3" s="55" t="str">
        <f>IF($A3="","",IFERROR(VLOOKUP($A3,LearnMate7!$A:$E,2,FALSE),IFERROR(VLOOKUP($A3,Jobmaster!$A:$E,2,FALSE),IFERROR(VLOOKUP($A3,Robotics!$A:$E,2,FALSE),IFERROR(VLOOKUP($A3,'Automation &amp; Process Control'!$A:$E,2,FALSE),IFERROR(VLOOKUP($A3,Machining!$A:$E,2,FALSE),IFERROR(VLOOKUP($A3,'CIM&amp;FMS'!$A:$E,2,FALSE),"Item not found")))))))</f>
        <v>FMS - Scorbot ER9Pro Robot with BenchMill 6000 (4 tool ATC) &amp; BenchTurn 7000 CNC machines</v>
      </c>
      <c r="C3" s="54">
        <v>1</v>
      </c>
      <c r="D3" s="56">
        <f>IF($A3="","",IFERROR(VLOOKUP($A3,LearnMate7!$A:$E,5,FALSE),IFERROR(VLOOKUP($A3,Jobmaster!$A:$E,5,FALSE),IFERROR(VLOOKUP($A3,Robotics!$A:$E,5,FALSE),IFERROR(VLOOKUP($A3,'Automation &amp; Process Control'!$A:$E,5,FALSE),IFERROR(VLOOKUP($A3,Machining!$A:$E,5,FALSE),IFERROR(VLOOKUP($A3,'CIM&amp;FMS'!$A:$E,5,FALSE),"Item not found")))))))</f>
        <v>95505</v>
      </c>
      <c r="E3" s="56">
        <f t="shared" ref="E3:E24" si="0">IF($A3="","",C3*D3)</f>
        <v>95505</v>
      </c>
      <c r="F3" s="58">
        <v>0.05</v>
      </c>
      <c r="G3" s="56">
        <f t="shared" ref="G3:G24" si="1">IF($A3="","",E3*(1-F3))</f>
        <v>90729.75</v>
      </c>
      <c r="H3" s="58">
        <v>0.2</v>
      </c>
      <c r="I3" s="56">
        <f t="shared" ref="I3:I24" si="2">IF($A3="","",G3*(1-H3))</f>
        <v>72583.8</v>
      </c>
    </row>
    <row r="4" spans="1:9">
      <c r="A4" s="53" t="s">
        <v>968</v>
      </c>
      <c r="B4" s="55" t="str">
        <f>IF($A4="","",IFERROR(VLOOKUP($A4,LearnMate7!$A:$E,2,FALSE),IFERROR(VLOOKUP($A4,Jobmaster!$A:$E,2,FALSE),IFERROR(VLOOKUP($A4,Robotics!$A:$E,2,FALSE),IFERROR(VLOOKUP($A4,'Automation &amp; Process Control'!$A:$E,2,FALSE),IFERROR(VLOOKUP($A4,Machining!$A:$E,2,FALSE),IFERROR(VLOOKUP($A4,'CIM&amp;FMS'!$A:$E,2,FALSE),"Item not found")))))))</f>
        <v>Assembly for MOTOMAN MH5F (Ballgame &amp; Glue)</v>
      </c>
      <c r="C4" s="54">
        <v>1</v>
      </c>
      <c r="D4" s="56">
        <f>IF($A4="","",IFERROR(VLOOKUP($A4,LearnMate7!$A:$E,5,FALSE),IFERROR(VLOOKUP($A4,Jobmaster!$A:$E,5,FALSE),IFERROR(VLOOKUP($A4,Robotics!$A:$E,5,FALSE),IFERROR(VLOOKUP($A4,'Automation &amp; Process Control'!$A:$E,5,FALSE),IFERROR(VLOOKUP($A4,Machining!$A:$E,5,FALSE),IFERROR(VLOOKUP($A4,'CIM&amp;FMS'!$A:$E,5,FALSE),"Item not found")))))))</f>
        <v>59099</v>
      </c>
      <c r="E4" s="56">
        <f t="shared" si="0"/>
        <v>59099</v>
      </c>
      <c r="F4" s="58">
        <v>0.05</v>
      </c>
      <c r="G4" s="56">
        <f t="shared" si="1"/>
        <v>56144.049999999996</v>
      </c>
      <c r="H4" s="58">
        <v>0.2</v>
      </c>
      <c r="I4" s="56">
        <f t="shared" si="2"/>
        <v>44915.24</v>
      </c>
    </row>
    <row r="5" spans="1:9">
      <c r="A5" s="53" t="s">
        <v>973</v>
      </c>
      <c r="B5" s="55" t="str">
        <f>IF($A5="","",IFERROR(VLOOKUP($A5,LearnMate7!$A:$E,2,FALSE),IFERROR(VLOOKUP($A5,Jobmaster!$A:$E,2,FALSE),IFERROR(VLOOKUP($A5,Robotics!$A:$E,2,FALSE),IFERROR(VLOOKUP($A5,'Automation &amp; Process Control'!$A:$E,2,FALSE),IFERROR(VLOOKUP($A5,Machining!$A:$E,2,FALSE),IFERROR(VLOOKUP($A5,'CIM&amp;FMS'!$A:$E,2,FALSE),"Item not found")))))))</f>
        <v>Assembly &amp; QC Robot ER14 (Ballgame &amp; Vision)</v>
      </c>
      <c r="C5" s="54">
        <v>1</v>
      </c>
      <c r="D5" s="56">
        <f>IF($A5="","",IFERROR(VLOOKUP($A5,LearnMate7!$A:$E,5,FALSE),IFERROR(VLOOKUP($A5,Jobmaster!$A:$E,5,FALSE),IFERROR(VLOOKUP($A5,Robotics!$A:$E,5,FALSE),IFERROR(VLOOKUP($A5,'Automation &amp; Process Control'!$A:$E,5,FALSE),IFERROR(VLOOKUP($A5,Machining!$A:$E,5,FALSE),IFERROR(VLOOKUP($A5,'CIM&amp;FMS'!$A:$E,5,FALSE),"Item not found")))))))</f>
        <v>52994</v>
      </c>
      <c r="E5" s="56">
        <f t="shared" si="0"/>
        <v>52994</v>
      </c>
      <c r="F5" s="58">
        <v>0.05</v>
      </c>
      <c r="G5" s="56">
        <f t="shared" si="1"/>
        <v>50344.299999999996</v>
      </c>
      <c r="H5" s="58">
        <v>0.2</v>
      </c>
      <c r="I5" s="56">
        <f t="shared" si="2"/>
        <v>40275.440000000002</v>
      </c>
    </row>
    <row r="6" spans="1:9">
      <c r="A6" s="53" t="s">
        <v>1065</v>
      </c>
      <c r="B6" s="55" t="str">
        <f>IF($A6="","",IFERROR(VLOOKUP($A6,LearnMate7!$A:$E,2,FALSE),IFERROR(VLOOKUP($A6,Jobmaster!$A:$E,2,FALSE),IFERROR(VLOOKUP($A6,Robotics!$A:$E,2,FALSE),IFERROR(VLOOKUP($A6,'Automation &amp; Process Control'!$A:$E,2,FALSE),IFERROR(VLOOKUP($A6,Machining!$A:$E,2,FALSE),IFERROR(VLOOKUP($A6,'CIM&amp;FMS'!$A:$E,2,FALSE),"Item not found")))))))</f>
        <v>Automated Welding: Scorbot-ER9Pro &amp; Welding Booth</v>
      </c>
      <c r="C6" s="54">
        <v>1</v>
      </c>
      <c r="D6" s="56">
        <f>IF($A6="","",IFERROR(VLOOKUP($A6,LearnMate7!$A:$E,5,FALSE),IFERROR(VLOOKUP($A6,Jobmaster!$A:$E,5,FALSE),IFERROR(VLOOKUP($A6,Robotics!$A:$E,5,FALSE),IFERROR(VLOOKUP($A6,'Automation &amp; Process Control'!$A:$E,5,FALSE),IFERROR(VLOOKUP($A6,Machining!$A:$E,5,FALSE),IFERROR(VLOOKUP($A6,'CIM&amp;FMS'!$A:$E,5,FALSE),"Item not found")))))))</f>
        <v>50470</v>
      </c>
      <c r="E6" s="56">
        <f t="shared" si="0"/>
        <v>50470</v>
      </c>
      <c r="F6" s="58">
        <v>0.05</v>
      </c>
      <c r="G6" s="56">
        <f t="shared" si="1"/>
        <v>47946.5</v>
      </c>
      <c r="H6" s="58">
        <v>0.2</v>
      </c>
      <c r="I6" s="56">
        <f t="shared" si="2"/>
        <v>38357.200000000004</v>
      </c>
    </row>
    <row r="7" spans="1:9">
      <c r="A7" s="53" t="s">
        <v>1139</v>
      </c>
      <c r="B7" s="55" t="str">
        <f>IF($A7="","",IFERROR(VLOOKUP($A7,LearnMate7!$A:$E,2,FALSE),IFERROR(VLOOKUP($A7,Jobmaster!$A:$E,2,FALSE),IFERROR(VLOOKUP($A7,Robotics!$A:$E,2,FALSE),IFERROR(VLOOKUP($A7,'Automation &amp; Process Control'!$A:$E,2,FALSE),IFERROR(VLOOKUP($A7,Machining!$A:$E,2,FALSE),IFERROR(VLOOKUP($A7,'CIM&amp;FMS'!$A:$E,2,FALSE),"Item not found")))))))</f>
        <v>Pallet Conveyor - Max .5 Stations (3440mm x 1400mm)</v>
      </c>
      <c r="C7" s="54">
        <v>1</v>
      </c>
      <c r="D7" s="56">
        <f>IF($A7="","",IFERROR(VLOOKUP($A7,LearnMate7!$A:$E,5,FALSE),IFERROR(VLOOKUP($A7,Jobmaster!$A:$E,5,FALSE),IFERROR(VLOOKUP($A7,Robotics!$A:$E,5,FALSE),IFERROR(VLOOKUP($A7,'Automation &amp; Process Control'!$A:$E,5,FALSE),IFERROR(VLOOKUP($A7,Machining!$A:$E,5,FALSE),IFERROR(VLOOKUP($A7,'CIM&amp;FMS'!$A:$E,5,FALSE),"Item not found")))))))</f>
        <v>34005</v>
      </c>
      <c r="E7" s="56">
        <f t="shared" si="0"/>
        <v>34005</v>
      </c>
      <c r="F7" s="58">
        <v>0.05</v>
      </c>
      <c r="G7" s="56">
        <f t="shared" si="1"/>
        <v>32304.75</v>
      </c>
      <c r="H7" s="58">
        <v>0.2</v>
      </c>
      <c r="I7" s="56">
        <f t="shared" si="2"/>
        <v>25843.800000000003</v>
      </c>
    </row>
    <row r="8" spans="1:9">
      <c r="A8" s="53" t="s">
        <v>1180</v>
      </c>
      <c r="B8" s="55" t="str">
        <f>IF($A8="","",IFERROR(VLOOKUP($A8,LearnMate7!$A:$E,2,FALSE),IFERROR(VLOOKUP($A8,Jobmaster!$A:$E,2,FALSE),IFERROR(VLOOKUP($A8,Robotics!$A:$E,2,FALSE),IFERROR(VLOOKUP($A8,'Automation &amp; Process Control'!$A:$E,2,FALSE),IFERROR(VLOOKUP($A8,Machining!$A:$E,2,FALSE),IFERROR(VLOOKUP($A8,'CIM&amp;FMS'!$A:$E,2,FALSE),"Item not found")))))))</f>
        <v>Siemens S7 PLC &amp; Cabinet (max. 5 Stations)</v>
      </c>
      <c r="C8" s="54">
        <v>1</v>
      </c>
      <c r="D8" s="56">
        <f>IF($A8="","",IFERROR(VLOOKUP($A8,LearnMate7!$A:$E,5,FALSE),IFERROR(VLOOKUP($A8,Jobmaster!$A:$E,5,FALSE),IFERROR(VLOOKUP($A8,Robotics!$A:$E,5,FALSE),IFERROR(VLOOKUP($A8,'Automation &amp; Process Control'!$A:$E,5,FALSE),IFERROR(VLOOKUP($A8,Machining!$A:$E,5,FALSE),IFERROR(VLOOKUP($A8,'CIM&amp;FMS'!$A:$E,5,FALSE),"Item not found")))))))</f>
        <v>8309</v>
      </c>
      <c r="E8" s="56">
        <f t="shared" si="0"/>
        <v>8309</v>
      </c>
      <c r="F8" s="58">
        <v>0.05</v>
      </c>
      <c r="G8" s="56">
        <f t="shared" si="1"/>
        <v>7893.5499999999993</v>
      </c>
      <c r="H8" s="58">
        <v>0.2</v>
      </c>
      <c r="I8" s="56">
        <f t="shared" si="2"/>
        <v>6314.84</v>
      </c>
    </row>
    <row r="9" spans="1:9">
      <c r="A9" s="53" t="s">
        <v>1196</v>
      </c>
      <c r="B9" s="55" t="str">
        <f>IF($A9="","",IFERROR(VLOOKUP($A9,LearnMate7!$A:$E,2,FALSE),IFERROR(VLOOKUP($A9,Jobmaster!$A:$E,2,FALSE),IFERROR(VLOOKUP($A9,Robotics!$A:$E,2,FALSE),IFERROR(VLOOKUP($A9,'Automation &amp; Process Control'!$A:$E,2,FALSE),IFERROR(VLOOKUP($A9,Machining!$A:$E,2,FALSE),IFERROR(VLOOKUP($A9,'CIM&amp;FMS'!$A:$E,2,FALSE),"Item not found")))))))</f>
        <v>Stop Station - ALLEN BRADLEY (12m cable)</v>
      </c>
      <c r="C9" s="54">
        <v>2</v>
      </c>
      <c r="D9" s="56">
        <f>IF($A9="","",IFERROR(VLOOKUP($A9,LearnMate7!$A:$E,5,FALSE),IFERROR(VLOOKUP($A9,Jobmaster!$A:$E,5,FALSE),IFERROR(VLOOKUP($A9,Robotics!$A:$E,5,FALSE),IFERROR(VLOOKUP($A9,'Automation &amp; Process Control'!$A:$E,5,FALSE),IFERROR(VLOOKUP($A9,Machining!$A:$E,5,FALSE),IFERROR(VLOOKUP($A9,'CIM&amp;FMS'!$A:$E,5,FALSE),"Item not found")))))))</f>
        <v>2928</v>
      </c>
      <c r="E9" s="56">
        <f t="shared" si="0"/>
        <v>5856</v>
      </c>
      <c r="F9" s="58">
        <v>0.05</v>
      </c>
      <c r="G9" s="56">
        <f t="shared" si="1"/>
        <v>5563.2</v>
      </c>
      <c r="H9" s="58">
        <v>0.2</v>
      </c>
      <c r="I9" s="56">
        <f t="shared" si="2"/>
        <v>4450.5600000000004</v>
      </c>
    </row>
    <row r="10" spans="1:9">
      <c r="A10" s="53" t="s">
        <v>1212</v>
      </c>
      <c r="B10" s="55" t="str">
        <f>IF($A10="","",IFERROR(VLOOKUP($A10,LearnMate7!$A:$E,2,FALSE),IFERROR(VLOOKUP($A10,Jobmaster!$A:$E,2,FALSE),IFERROR(VLOOKUP($A10,Robotics!$A:$E,2,FALSE),IFERROR(VLOOKUP($A10,'Automation &amp; Process Control'!$A:$E,2,FALSE),IFERROR(VLOOKUP($A10,Machining!$A:$E,2,FALSE),IFERROR(VLOOKUP($A10,'CIM&amp;FMS'!$A:$E,2,FALSE),"Item not found")))))))</f>
        <v>Stop Station - ALLEN BRADLEY (6m cable)</v>
      </c>
      <c r="C10" s="54">
        <v>2</v>
      </c>
      <c r="D10" s="56">
        <f>IF($A10="","",IFERROR(VLOOKUP($A10,LearnMate7!$A:$E,5,FALSE),IFERROR(VLOOKUP($A10,Jobmaster!$A:$E,5,FALSE),IFERROR(VLOOKUP($A10,Robotics!$A:$E,5,FALSE),IFERROR(VLOOKUP($A10,'Automation &amp; Process Control'!$A:$E,5,FALSE),IFERROR(VLOOKUP($A10,Machining!$A:$E,5,FALSE),IFERROR(VLOOKUP($A10,'CIM&amp;FMS'!$A:$E,5,FALSE),"Item not found")))))))</f>
        <v>3048</v>
      </c>
      <c r="E10" s="56">
        <f t="shared" si="0"/>
        <v>6096</v>
      </c>
      <c r="F10" s="58">
        <v>0.05</v>
      </c>
      <c r="G10" s="56">
        <f t="shared" si="1"/>
        <v>5791.2</v>
      </c>
      <c r="H10" s="58">
        <v>0.2</v>
      </c>
      <c r="I10" s="56">
        <f t="shared" si="2"/>
        <v>4632.96</v>
      </c>
    </row>
    <row r="11" spans="1:9">
      <c r="A11" s="53" t="s">
        <v>1252</v>
      </c>
      <c r="B11" s="55" t="str">
        <f>IF($A11="","",IFERROR(VLOOKUP($A11,LearnMate7!$A:$E,2,FALSE),IFERROR(VLOOKUP($A11,Jobmaster!$A:$E,2,FALSE),IFERROR(VLOOKUP($A11,Robotics!$A:$E,2,FALSE),IFERROR(VLOOKUP($A11,'Automation &amp; Process Control'!$A:$E,2,FALSE),IFERROR(VLOOKUP($A11,Machining!$A:$E,2,FALSE),IFERROR(VLOOKUP($A11,'CIM&amp;FMS'!$A:$E,2,FALSE),"Item not found")))))))</f>
        <v>CIM System Management Station including OpenCIM online Software</v>
      </c>
      <c r="C11" s="54">
        <v>1</v>
      </c>
      <c r="D11" s="56">
        <f>IF($A11="","",IFERROR(VLOOKUP($A11,LearnMate7!$A:$E,5,FALSE),IFERROR(VLOOKUP($A11,Jobmaster!$A:$E,5,FALSE),IFERROR(VLOOKUP($A11,Robotics!$A:$E,5,FALSE),IFERROR(VLOOKUP($A11,'Automation &amp; Process Control'!$A:$E,5,FALSE),IFERROR(VLOOKUP($A11,Machining!$A:$E,5,FALSE),IFERROR(VLOOKUP($A11,'CIM&amp;FMS'!$A:$E,5,FALSE),"Item not found")))))))</f>
        <v>23078</v>
      </c>
      <c r="E11" s="56">
        <f t="shared" si="0"/>
        <v>23078</v>
      </c>
      <c r="F11" s="58">
        <v>0.05</v>
      </c>
      <c r="G11" s="56">
        <f t="shared" si="1"/>
        <v>21924.1</v>
      </c>
      <c r="H11" s="58">
        <v>0.2</v>
      </c>
      <c r="I11" s="56">
        <f t="shared" si="2"/>
        <v>17539.28</v>
      </c>
    </row>
    <row r="12" spans="1:9">
      <c r="A12" s="53" t="s">
        <v>1267</v>
      </c>
      <c r="B12" s="55" t="str">
        <f>IF($A12="","",IFERROR(VLOOKUP($A12,LearnMate7!$A:$E,2,FALSE),IFERROR(VLOOKUP($A12,Jobmaster!$A:$E,2,FALSE),IFERROR(VLOOKUP($A12,Robotics!$A:$E,2,FALSE),IFERROR(VLOOKUP($A12,'Automation &amp; Process Control'!$A:$E,2,FALSE),IFERROR(VLOOKUP($A12,Machining!$A:$E,2,FALSE),IFERROR(VLOOKUP($A12,'CIM&amp;FMS'!$A:$E,2,FALSE),"Item not found")))))))</f>
        <v>CIM Complete Virtual Content, Classroom License, LM7</v>
      </c>
      <c r="C12" s="54">
        <v>1</v>
      </c>
      <c r="D12" s="56">
        <f>IF($A12="","",IFERROR(VLOOKUP($A12,LearnMate7!$A:$E,5,FALSE),IFERROR(VLOOKUP($A12,Jobmaster!$A:$E,5,FALSE),IFERROR(VLOOKUP($A12,Robotics!$A:$E,5,FALSE),IFERROR(VLOOKUP($A12,'Automation &amp; Process Control'!$A:$E,5,FALSE),IFERROR(VLOOKUP($A12,Machining!$A:$E,5,FALSE),IFERROR(VLOOKUP($A12,'CIM&amp;FMS'!$A:$E,5,FALSE),"Item not found")))))))</f>
        <v>48415</v>
      </c>
      <c r="E12" s="56">
        <f t="shared" si="0"/>
        <v>48415</v>
      </c>
      <c r="F12" s="58">
        <v>0.05</v>
      </c>
      <c r="G12" s="56">
        <f t="shared" si="1"/>
        <v>45994.25</v>
      </c>
      <c r="H12" s="58">
        <v>0.2</v>
      </c>
      <c r="I12" s="56">
        <f t="shared" si="2"/>
        <v>36795.4</v>
      </c>
    </row>
    <row r="13" spans="1:9">
      <c r="A13" s="53" t="s">
        <v>1294</v>
      </c>
      <c r="B13" s="55" t="str">
        <f>IF($A13="","",IFERROR(VLOOKUP($A13,LearnMate7!$A:$E,2,FALSE),IFERROR(VLOOKUP($A13,Jobmaster!$A:$E,2,FALSE),IFERROR(VLOOKUP($A13,Robotics!$A:$E,2,FALSE),IFERROR(VLOOKUP($A13,'Automation &amp; Process Control'!$A:$E,2,FALSE),IFERROR(VLOOKUP($A13,Machining!$A:$E,2,FALSE),IFERROR(VLOOKUP($A13,'CIM&amp;FMS'!$A:$E,2,FALSE),"Item not found")))))))</f>
        <v>On Site Installation &amp; Training for 5 Station CIM</v>
      </c>
      <c r="C13" s="54">
        <v>1</v>
      </c>
      <c r="D13" s="56">
        <f>IF($A13="","",IFERROR(VLOOKUP($A13,LearnMate7!$A:$E,5,FALSE),IFERROR(VLOOKUP($A13,Jobmaster!$A:$E,5,FALSE),IFERROR(VLOOKUP($A13,Robotics!$A:$E,5,FALSE),IFERROR(VLOOKUP($A13,'Automation &amp; Process Control'!$A:$E,5,FALSE),IFERROR(VLOOKUP($A13,Machining!$A:$E,5,FALSE),IFERROR(VLOOKUP($A13,'CIM&amp;FMS'!$A:$E,5,FALSE),"Item not found")))))))</f>
        <v>33000</v>
      </c>
      <c r="E13" s="56">
        <f t="shared" si="0"/>
        <v>33000</v>
      </c>
      <c r="F13" s="58">
        <v>0.05</v>
      </c>
      <c r="G13" s="56">
        <f t="shared" si="1"/>
        <v>31350</v>
      </c>
      <c r="H13" s="58">
        <v>0.2</v>
      </c>
      <c r="I13" s="56">
        <f t="shared" si="2"/>
        <v>25080</v>
      </c>
    </row>
    <row r="14" spans="1:9">
      <c r="A14" s="53" t="s">
        <v>1334</v>
      </c>
      <c r="B14" s="55" t="str">
        <f>IF($A14="","",IFERROR(VLOOKUP($A14,LearnMate7!$A:$E,2,FALSE),IFERROR(VLOOKUP($A14,Jobmaster!$A:$E,2,FALSE),IFERROR(VLOOKUP($A14,Robotics!$A:$E,2,FALSE),IFERROR(VLOOKUP($A14,'Automation &amp; Process Control'!$A:$E,2,FALSE),IFERROR(VLOOKUP($A14,Machining!$A:$E,2,FALSE),IFERROR(VLOOKUP($A14,'CIM&amp;FMS'!$A:$E,2,FALSE),"Item not found")))))))</f>
        <v>Air Fare (Non Commissionable)</v>
      </c>
      <c r="C14" s="54">
        <v>1</v>
      </c>
      <c r="D14" s="56">
        <f>IF($A14="","",IFERROR(VLOOKUP($A14,LearnMate7!$A:$E,5,FALSE),IFERROR(VLOOKUP($A14,Jobmaster!$A:$E,5,FALSE),IFERROR(VLOOKUP($A14,Robotics!$A:$E,5,FALSE),IFERROR(VLOOKUP($A14,'Automation &amp; Process Control'!$A:$E,5,FALSE),IFERROR(VLOOKUP($A14,Machining!$A:$E,5,FALSE),IFERROR(VLOOKUP($A14,'CIM&amp;FMS'!$A:$E,5,FALSE),"Item not found")))))))</f>
        <v>2500</v>
      </c>
      <c r="E14" s="56">
        <f t="shared" si="0"/>
        <v>2500</v>
      </c>
      <c r="F14" s="58">
        <v>0</v>
      </c>
      <c r="G14" s="56">
        <f t="shared" si="1"/>
        <v>2500</v>
      </c>
      <c r="H14" s="58">
        <v>0</v>
      </c>
      <c r="I14" s="56">
        <f t="shared" si="2"/>
        <v>2500</v>
      </c>
    </row>
    <row r="15" spans="1:9">
      <c r="A15" s="53"/>
      <c r="B15" s="55" t="str">
        <f>IF($A15="","",IFERROR(VLOOKUP($A15,LearnMate7!$A:$E,2,FALSE),IFERROR(VLOOKUP($A15,Jobmaster!$A:$E,2,FALSE),IFERROR(VLOOKUP($A15,Robotics!$A:$E,2,FALSE),IFERROR(VLOOKUP($A15,'Automation &amp; Process Control'!$A:$E,2,FALSE),IFERROR(VLOOKUP($A15,Machining!$A:$E,2,FALSE),IFERROR(VLOOKUP($A15,'CIM&amp;FMS'!$A:$E,2,FALSE),"Item not found")))))))</f>
        <v/>
      </c>
      <c r="C15" s="54"/>
      <c r="D15" s="56" t="str">
        <f>IF($A15="","",IFERROR(VLOOKUP($A15,LearnMate7!$A:$E,5,FALSE),IFERROR(VLOOKUP($A15,Jobmaster!$A:$E,5,FALSE),IFERROR(VLOOKUP($A15,Robotics!$A:$E,5,FALSE),IFERROR(VLOOKUP($A15,'Automation &amp; Process Control'!$A:$E,5,FALSE),IFERROR(VLOOKUP($A15,Machining!$A:$E,5,FALSE),IFERROR(VLOOKUP($A15,'CIM&amp;FMS'!$A:$E,5,FALSE),"Item not found")))))))</f>
        <v/>
      </c>
      <c r="E15" s="56" t="str">
        <f t="shared" si="0"/>
        <v/>
      </c>
      <c r="F15" s="58"/>
      <c r="G15" s="56" t="str">
        <f t="shared" si="1"/>
        <v/>
      </c>
      <c r="H15" s="58"/>
      <c r="I15" s="56" t="str">
        <f t="shared" si="2"/>
        <v/>
      </c>
    </row>
    <row r="16" spans="1:9">
      <c r="A16" s="53"/>
      <c r="B16" s="55" t="str">
        <f>IF($A16="","",IFERROR(VLOOKUP($A16,LearnMate7!$A:$E,2,FALSE),IFERROR(VLOOKUP($A16,Jobmaster!$A:$E,2,FALSE),IFERROR(VLOOKUP($A16,Robotics!$A:$E,2,FALSE),IFERROR(VLOOKUP($A16,'Automation &amp; Process Control'!$A:$E,2,FALSE),IFERROR(VLOOKUP($A16,Machining!$A:$E,2,FALSE),IFERROR(VLOOKUP($A16,'CIM&amp;FMS'!$A:$E,2,FALSE),"Item not found")))))))</f>
        <v/>
      </c>
      <c r="C16" s="54"/>
      <c r="D16" s="56" t="str">
        <f>IF($A16="","",IFERROR(VLOOKUP($A16,LearnMate7!$A:$E,5,FALSE),IFERROR(VLOOKUP($A16,Jobmaster!$A:$E,5,FALSE),IFERROR(VLOOKUP($A16,Robotics!$A:$E,5,FALSE),IFERROR(VLOOKUP($A16,'Automation &amp; Process Control'!$A:$E,5,FALSE),IFERROR(VLOOKUP($A16,Machining!$A:$E,5,FALSE),IFERROR(VLOOKUP($A16,'CIM&amp;FMS'!$A:$E,5,FALSE),"Item not found")))))))</f>
        <v/>
      </c>
      <c r="E16" s="56" t="str">
        <f t="shared" si="0"/>
        <v/>
      </c>
      <c r="F16" s="58"/>
      <c r="G16" s="56" t="str">
        <f t="shared" si="1"/>
        <v/>
      </c>
      <c r="H16" s="58"/>
      <c r="I16" s="56" t="str">
        <f t="shared" si="2"/>
        <v/>
      </c>
    </row>
    <row r="17" spans="1:9">
      <c r="A17" s="53"/>
      <c r="B17" s="55" t="str">
        <f>IF($A17="","",IFERROR(VLOOKUP($A17,LearnMate7!$A:$E,2,FALSE),IFERROR(VLOOKUP($A17,Jobmaster!$A:$E,2,FALSE),IFERROR(VLOOKUP($A17,Robotics!$A:$E,2,FALSE),IFERROR(VLOOKUP($A17,'Automation &amp; Process Control'!$A:$E,2,FALSE),IFERROR(VLOOKUP($A17,Machining!$A:$E,2,FALSE),IFERROR(VLOOKUP($A17,'CIM&amp;FMS'!$A:$E,2,FALSE),"Item not found")))))))</f>
        <v/>
      </c>
      <c r="C17" s="54"/>
      <c r="D17" s="56" t="str">
        <f>IF($A17="","",IFERROR(VLOOKUP($A17,LearnMate7!$A:$E,5,FALSE),IFERROR(VLOOKUP($A17,Jobmaster!$A:$E,5,FALSE),IFERROR(VLOOKUP($A17,Robotics!$A:$E,5,FALSE),IFERROR(VLOOKUP($A17,'Automation &amp; Process Control'!$A:$E,5,FALSE),IFERROR(VLOOKUP($A17,Machining!$A:$E,5,FALSE),IFERROR(VLOOKUP($A17,'CIM&amp;FMS'!$A:$E,5,FALSE),"Item not found")))))))</f>
        <v/>
      </c>
      <c r="E17" s="56" t="str">
        <f t="shared" si="0"/>
        <v/>
      </c>
      <c r="F17" s="58"/>
      <c r="G17" s="56" t="str">
        <f t="shared" si="1"/>
        <v/>
      </c>
      <c r="H17" s="58"/>
      <c r="I17" s="56" t="str">
        <f t="shared" si="2"/>
        <v/>
      </c>
    </row>
    <row r="18" spans="1:9">
      <c r="A18" s="53"/>
      <c r="B18" s="55" t="str">
        <f>IF($A18="","",IFERROR(VLOOKUP($A18,LearnMate7!$A:$E,2,FALSE),IFERROR(VLOOKUP($A18,Jobmaster!$A:$E,2,FALSE),IFERROR(VLOOKUP($A18,Robotics!$A:$E,2,FALSE),IFERROR(VLOOKUP($A18,'Automation &amp; Process Control'!$A:$E,2,FALSE),IFERROR(VLOOKUP($A18,Machining!$A:$E,2,FALSE),IFERROR(VLOOKUP($A18,'CIM&amp;FMS'!$A:$E,2,FALSE),"Item not found")))))))</f>
        <v/>
      </c>
      <c r="C18" s="54"/>
      <c r="D18" s="56" t="str">
        <f>IF($A18="","",IFERROR(VLOOKUP($A18,LearnMate7!$A:$E,5,FALSE),IFERROR(VLOOKUP($A18,Jobmaster!$A:$E,5,FALSE),IFERROR(VLOOKUP($A18,Robotics!$A:$E,5,FALSE),IFERROR(VLOOKUP($A18,'Automation &amp; Process Control'!$A:$E,5,FALSE),IFERROR(VLOOKUP($A18,Machining!$A:$E,5,FALSE),IFERROR(VLOOKUP($A18,'CIM&amp;FMS'!$A:$E,5,FALSE),"Item not found")))))))</f>
        <v/>
      </c>
      <c r="E18" s="56" t="str">
        <f t="shared" si="0"/>
        <v/>
      </c>
      <c r="F18" s="58"/>
      <c r="G18" s="56" t="str">
        <f t="shared" si="1"/>
        <v/>
      </c>
      <c r="H18" s="58"/>
      <c r="I18" s="56" t="str">
        <f t="shared" si="2"/>
        <v/>
      </c>
    </row>
    <row r="19" spans="1:9">
      <c r="A19" s="53"/>
      <c r="B19" s="55" t="str">
        <f>IF($A19="","",IFERROR(VLOOKUP($A19,LearnMate7!$A:$E,2,FALSE),IFERROR(VLOOKUP($A19,Jobmaster!$A:$E,2,FALSE),IFERROR(VLOOKUP($A19,Robotics!$A:$E,2,FALSE),IFERROR(VLOOKUP($A19,'Automation &amp; Process Control'!$A:$E,2,FALSE),IFERROR(VLOOKUP($A19,Machining!$A:$E,2,FALSE),IFERROR(VLOOKUP($A19,'CIM&amp;FMS'!$A:$E,2,FALSE),"Item not found")))))))</f>
        <v/>
      </c>
      <c r="C19" s="54"/>
      <c r="D19" s="56" t="str">
        <f>IF($A19="","",IFERROR(VLOOKUP($A19,LearnMate7!$A:$E,5,FALSE),IFERROR(VLOOKUP($A19,Jobmaster!$A:$E,5,FALSE),IFERROR(VLOOKUP($A19,Robotics!$A:$E,5,FALSE),IFERROR(VLOOKUP($A19,'Automation &amp; Process Control'!$A:$E,5,FALSE),IFERROR(VLOOKUP($A19,Machining!$A:$E,5,FALSE),IFERROR(VLOOKUP($A19,'CIM&amp;FMS'!$A:$E,5,FALSE),"Item not found")))))))</f>
        <v/>
      </c>
      <c r="E19" s="56" t="str">
        <f t="shared" si="0"/>
        <v/>
      </c>
      <c r="F19" s="58"/>
      <c r="G19" s="56" t="str">
        <f t="shared" si="1"/>
        <v/>
      </c>
      <c r="H19" s="58"/>
      <c r="I19" s="56" t="str">
        <f t="shared" si="2"/>
        <v/>
      </c>
    </row>
    <row r="20" spans="1:9">
      <c r="A20" s="53"/>
      <c r="B20" s="55" t="str">
        <f>IF($A20="","",IFERROR(VLOOKUP($A20,LearnMate7!$A:$E,2,FALSE),IFERROR(VLOOKUP($A20,Jobmaster!$A:$E,2,FALSE),IFERROR(VLOOKUP($A20,Robotics!$A:$E,2,FALSE),IFERROR(VLOOKUP($A20,'Automation &amp; Process Control'!$A:$E,2,FALSE),IFERROR(VLOOKUP($A20,Machining!$A:$E,2,FALSE),IFERROR(VLOOKUP($A20,'CIM&amp;FMS'!$A:$E,2,FALSE),"Item not found")))))))</f>
        <v/>
      </c>
      <c r="C20" s="54"/>
      <c r="D20" s="56" t="str">
        <f>IF($A20="","",IFERROR(VLOOKUP($A20,LearnMate7!$A:$E,5,FALSE),IFERROR(VLOOKUP($A20,Jobmaster!$A:$E,5,FALSE),IFERROR(VLOOKUP($A20,Robotics!$A:$E,5,FALSE),IFERROR(VLOOKUP($A20,'Automation &amp; Process Control'!$A:$E,5,FALSE),IFERROR(VLOOKUP($A20,Machining!$A:$E,5,FALSE),IFERROR(VLOOKUP($A20,'CIM&amp;FMS'!$A:$E,5,FALSE),"Item not found")))))))</f>
        <v/>
      </c>
      <c r="E20" s="56" t="str">
        <f t="shared" si="0"/>
        <v/>
      </c>
      <c r="F20" s="58"/>
      <c r="G20" s="56" t="str">
        <f t="shared" si="1"/>
        <v/>
      </c>
      <c r="H20" s="58"/>
      <c r="I20" s="56" t="str">
        <f t="shared" si="2"/>
        <v/>
      </c>
    </row>
    <row r="21" spans="1:9">
      <c r="A21" s="53"/>
      <c r="B21" s="55" t="str">
        <f>IF($A21="","",IFERROR(VLOOKUP($A21,LearnMate7!$A:$E,2,FALSE),IFERROR(VLOOKUP($A21,Jobmaster!$A:$E,2,FALSE),IFERROR(VLOOKUP($A21,Robotics!$A:$E,2,FALSE),IFERROR(VLOOKUP($A21,'Automation &amp; Process Control'!$A:$E,2,FALSE),IFERROR(VLOOKUP($A21,Machining!$A:$E,2,FALSE),IFERROR(VLOOKUP($A21,'CIM&amp;FMS'!$A:$E,2,FALSE),"Item not found")))))))</f>
        <v/>
      </c>
      <c r="C21" s="54"/>
      <c r="D21" s="56" t="str">
        <f>IF($A21="","",IFERROR(VLOOKUP($A21,LearnMate7!$A:$E,5,FALSE),IFERROR(VLOOKUP($A21,Jobmaster!$A:$E,5,FALSE),IFERROR(VLOOKUP($A21,Robotics!$A:$E,5,FALSE),IFERROR(VLOOKUP($A21,'Automation &amp; Process Control'!$A:$E,5,FALSE),IFERROR(VLOOKUP($A21,Machining!$A:$E,5,FALSE),IFERROR(VLOOKUP($A21,'CIM&amp;FMS'!$A:$E,5,FALSE),"Item not found")))))))</f>
        <v/>
      </c>
      <c r="E21" s="56" t="str">
        <f t="shared" si="0"/>
        <v/>
      </c>
      <c r="F21" s="58"/>
      <c r="G21" s="56" t="str">
        <f t="shared" si="1"/>
        <v/>
      </c>
      <c r="H21" s="58"/>
      <c r="I21" s="56" t="str">
        <f t="shared" si="2"/>
        <v/>
      </c>
    </row>
    <row r="22" spans="1:9">
      <c r="A22" s="53"/>
      <c r="B22" s="55" t="str">
        <f>IF($A22="","",IFERROR(VLOOKUP($A22,LearnMate7!$A:$E,2,FALSE),IFERROR(VLOOKUP($A22,Jobmaster!$A:$E,2,FALSE),IFERROR(VLOOKUP($A22,Robotics!$A:$E,2,FALSE),IFERROR(VLOOKUP($A22,'Automation &amp; Process Control'!$A:$E,2,FALSE),IFERROR(VLOOKUP($A22,Machining!$A:$E,2,FALSE),IFERROR(VLOOKUP($A22,'CIM&amp;FMS'!$A:$E,2,FALSE),"Item not found")))))))</f>
        <v/>
      </c>
      <c r="C22" s="54"/>
      <c r="D22" s="56" t="str">
        <f>IF($A22="","",IFERROR(VLOOKUP($A22,LearnMate7!$A:$E,5,FALSE),IFERROR(VLOOKUP($A22,Jobmaster!$A:$E,5,FALSE),IFERROR(VLOOKUP($A22,Robotics!$A:$E,5,FALSE),IFERROR(VLOOKUP($A22,'Automation &amp; Process Control'!$A:$E,5,FALSE),IFERROR(VLOOKUP($A22,Machining!$A:$E,5,FALSE),IFERROR(VLOOKUP($A22,'CIM&amp;FMS'!$A:$E,5,FALSE),"Item not found")))))))</f>
        <v/>
      </c>
      <c r="E22" s="56" t="str">
        <f t="shared" si="0"/>
        <v/>
      </c>
      <c r="F22" s="58"/>
      <c r="G22" s="56" t="str">
        <f t="shared" si="1"/>
        <v/>
      </c>
      <c r="H22" s="58"/>
      <c r="I22" s="56" t="str">
        <f t="shared" si="2"/>
        <v/>
      </c>
    </row>
    <row r="23" spans="1:9">
      <c r="A23" s="53"/>
      <c r="B23" s="55" t="str">
        <f>IF($A23="","",IFERROR(VLOOKUP($A23,LearnMate7!$A:$E,2,FALSE),IFERROR(VLOOKUP($A23,Jobmaster!$A:$E,2,FALSE),IFERROR(VLOOKUP($A23,Robotics!$A:$E,2,FALSE),IFERROR(VLOOKUP($A23,'Automation &amp; Process Control'!$A:$E,2,FALSE),IFERROR(VLOOKUP($A23,Machining!$A:$E,2,FALSE),IFERROR(VLOOKUP($A23,'CIM&amp;FMS'!$A:$E,2,FALSE),"Item not found")))))))</f>
        <v/>
      </c>
      <c r="C23" s="54"/>
      <c r="D23" s="56" t="str">
        <f>IF($A23="","",IFERROR(VLOOKUP($A23,LearnMate7!$A:$E,5,FALSE),IFERROR(VLOOKUP($A23,Jobmaster!$A:$E,5,FALSE),IFERROR(VLOOKUP($A23,Robotics!$A:$E,5,FALSE),IFERROR(VLOOKUP($A23,'Automation &amp; Process Control'!$A:$E,5,FALSE),IFERROR(VLOOKUP($A23,Machining!$A:$E,5,FALSE),IFERROR(VLOOKUP($A23,'CIM&amp;FMS'!$A:$E,5,FALSE),"Item not found")))))))</f>
        <v/>
      </c>
      <c r="E23" s="56" t="str">
        <f t="shared" si="0"/>
        <v/>
      </c>
      <c r="F23" s="58"/>
      <c r="G23" s="56" t="str">
        <f t="shared" si="1"/>
        <v/>
      </c>
      <c r="H23" s="58"/>
      <c r="I23" s="56" t="str">
        <f t="shared" si="2"/>
        <v/>
      </c>
    </row>
    <row r="24" spans="1:9">
      <c r="A24" s="53"/>
      <c r="B24" s="55" t="str">
        <f>IF($A24="","",IFERROR(VLOOKUP($A24,LearnMate7!$A:$E,2,FALSE),IFERROR(VLOOKUP($A24,Jobmaster!$A:$E,2,FALSE),IFERROR(VLOOKUP($A24,Robotics!$A:$E,2,FALSE),IFERROR(VLOOKUP($A24,'Automation &amp; Process Control'!$A:$E,2,FALSE),IFERROR(VLOOKUP($A24,Machining!$A:$E,2,FALSE),IFERROR(VLOOKUP($A24,'CIM&amp;FMS'!$A:$E,2,FALSE),"Item not found")))))))</f>
        <v/>
      </c>
      <c r="C24" s="54"/>
      <c r="D24" s="56" t="str">
        <f>IF($A24="","",IFERROR(VLOOKUP($A24,LearnMate7!$A:$E,5,FALSE),IFERROR(VLOOKUP($A24,Jobmaster!$A:$E,5,FALSE),IFERROR(VLOOKUP($A24,Robotics!$A:$E,5,FALSE),IFERROR(VLOOKUP($A24,'Automation &amp; Process Control'!$A:$E,5,FALSE),IFERROR(VLOOKUP($A24,Machining!$A:$E,5,FALSE),IFERROR(VLOOKUP($A24,'CIM&amp;FMS'!$A:$E,5,FALSE),"Item not found")))))))</f>
        <v/>
      </c>
      <c r="E24" s="56" t="str">
        <f t="shared" si="0"/>
        <v/>
      </c>
      <c r="F24" s="58"/>
      <c r="G24" s="56" t="str">
        <f t="shared" si="1"/>
        <v/>
      </c>
      <c r="H24" s="58"/>
      <c r="I24" s="56" t="str">
        <f t="shared" si="2"/>
        <v/>
      </c>
    </row>
    <row r="25" spans="1:9">
      <c r="G25" s="62" t="s">
        <v>1374</v>
      </c>
      <c r="H25" s="62"/>
      <c r="I25" s="57">
        <f>SUM(E2:E24)</f>
        <v>463392</v>
      </c>
    </row>
    <row r="26" spans="1:9">
      <c r="G26" s="62" t="s">
        <v>1381</v>
      </c>
      <c r="H26" s="62"/>
      <c r="I26" s="57">
        <f>I25-I27</f>
        <v>23044.600000000035</v>
      </c>
    </row>
    <row r="27" spans="1:9">
      <c r="G27" s="62" t="s">
        <v>1382</v>
      </c>
      <c r="H27" s="62"/>
      <c r="I27" s="57">
        <f>SUM(G2:G24)</f>
        <v>440347.39999999997</v>
      </c>
    </row>
    <row r="28" spans="1:9">
      <c r="G28" s="62" t="s">
        <v>1377</v>
      </c>
      <c r="H28" s="62"/>
      <c r="I28" s="57">
        <f>I27-I29</f>
        <v>87569.479999999923</v>
      </c>
    </row>
    <row r="29" spans="1:9">
      <c r="G29" s="62" t="s">
        <v>1375</v>
      </c>
      <c r="H29" s="62"/>
      <c r="I29" s="57">
        <f>SUM(I2:I24)</f>
        <v>352777.92000000004</v>
      </c>
    </row>
    <row r="33" spans="1:3">
      <c r="A33" t="s">
        <v>632</v>
      </c>
      <c r="B33" t="s">
        <v>633</v>
      </c>
    </row>
    <row r="34" spans="1:3">
      <c r="A34" t="s">
        <v>636</v>
      </c>
      <c r="B34" t="s">
        <v>637</v>
      </c>
      <c r="C34">
        <v>1</v>
      </c>
    </row>
    <row r="35" spans="1:3">
      <c r="A35" t="s">
        <v>236</v>
      </c>
      <c r="B35" t="s">
        <v>1388</v>
      </c>
      <c r="C35">
        <v>1</v>
      </c>
    </row>
    <row r="36" spans="1:3">
      <c r="A36" t="s">
        <v>630</v>
      </c>
      <c r="B36" t="s">
        <v>631</v>
      </c>
      <c r="C36">
        <v>1</v>
      </c>
    </row>
    <row r="37" spans="1:3">
      <c r="A37" t="s">
        <v>808</v>
      </c>
      <c r="B37" t="s">
        <v>809</v>
      </c>
    </row>
    <row r="38" spans="1:3">
      <c r="A38" t="s">
        <v>214</v>
      </c>
      <c r="B38" t="s">
        <v>1389</v>
      </c>
      <c r="C38">
        <v>1</v>
      </c>
    </row>
    <row r="39" spans="1:3">
      <c r="A39" t="s">
        <v>228</v>
      </c>
      <c r="B39" t="s">
        <v>233</v>
      </c>
      <c r="C39">
        <v>1</v>
      </c>
    </row>
    <row r="40" spans="1:3">
      <c r="A40" t="s">
        <v>236</v>
      </c>
      <c r="B40" t="s">
        <v>1388</v>
      </c>
      <c r="C40">
        <v>1</v>
      </c>
    </row>
    <row r="41" spans="1:3">
      <c r="A41" t="s">
        <v>797</v>
      </c>
      <c r="B41" t="s">
        <v>1390</v>
      </c>
      <c r="C41">
        <v>1</v>
      </c>
    </row>
    <row r="42" spans="1:3">
      <c r="A42" t="s">
        <v>1391</v>
      </c>
      <c r="B42" t="s">
        <v>777</v>
      </c>
      <c r="C42">
        <v>1</v>
      </c>
    </row>
    <row r="43" spans="1:3">
      <c r="A43" t="s">
        <v>699</v>
      </c>
      <c r="B43" t="s">
        <v>1392</v>
      </c>
      <c r="C43">
        <v>2</v>
      </c>
    </row>
    <row r="44" spans="1:3">
      <c r="A44" t="s">
        <v>680</v>
      </c>
      <c r="B44" t="s">
        <v>1393</v>
      </c>
      <c r="C44">
        <v>1</v>
      </c>
    </row>
    <row r="45" spans="1:3">
      <c r="A45" t="s">
        <v>682</v>
      </c>
      <c r="B45" t="s">
        <v>1394</v>
      </c>
      <c r="C45">
        <v>1</v>
      </c>
    </row>
    <row r="46" spans="1:3">
      <c r="A46" t="s">
        <v>684</v>
      </c>
      <c r="B46" t="s">
        <v>1395</v>
      </c>
      <c r="C46">
        <v>2</v>
      </c>
    </row>
    <row r="47" spans="1:3">
      <c r="A47" t="s">
        <v>700</v>
      </c>
      <c r="B47" t="s">
        <v>1396</v>
      </c>
      <c r="C47">
        <v>2</v>
      </c>
    </row>
    <row r="48" spans="1:3">
      <c r="A48" t="s">
        <v>708</v>
      </c>
      <c r="B48" t="s">
        <v>709</v>
      </c>
      <c r="C48">
        <v>1</v>
      </c>
    </row>
    <row r="49" spans="1:3">
      <c r="A49" t="s">
        <v>451</v>
      </c>
      <c r="B49" t="s">
        <v>460</v>
      </c>
      <c r="C49">
        <v>1</v>
      </c>
    </row>
    <row r="50" spans="1:3">
      <c r="A50" t="s">
        <v>553</v>
      </c>
      <c r="B50" t="s">
        <v>1397</v>
      </c>
      <c r="C50">
        <v>1</v>
      </c>
    </row>
    <row r="51" spans="1:3">
      <c r="A51" t="s">
        <v>568</v>
      </c>
      <c r="B51" t="s">
        <v>731</v>
      </c>
      <c r="C51">
        <v>1</v>
      </c>
    </row>
    <row r="52" spans="1:3">
      <c r="A52" t="s">
        <v>569</v>
      </c>
      <c r="B52" t="s">
        <v>732</v>
      </c>
      <c r="C52">
        <v>1</v>
      </c>
    </row>
    <row r="53" spans="1:3">
      <c r="A53" t="s">
        <v>513</v>
      </c>
      <c r="B53" t="s">
        <v>1398</v>
      </c>
      <c r="C53">
        <v>1</v>
      </c>
    </row>
    <row r="54" spans="1:3">
      <c r="A54" t="s">
        <v>477</v>
      </c>
      <c r="B54" t="s">
        <v>1399</v>
      </c>
      <c r="C54">
        <v>1</v>
      </c>
    </row>
    <row r="55" spans="1:3">
      <c r="A55" t="s">
        <v>470</v>
      </c>
      <c r="B55" t="s">
        <v>1400</v>
      </c>
      <c r="C55">
        <v>1</v>
      </c>
    </row>
    <row r="56" spans="1:3">
      <c r="A56" t="s">
        <v>473</v>
      </c>
      <c r="B56" t="s">
        <v>1401</v>
      </c>
      <c r="C56">
        <v>1</v>
      </c>
    </row>
    <row r="57" spans="1:3">
      <c r="A57" t="s">
        <v>478</v>
      </c>
      <c r="B57" t="s">
        <v>1384</v>
      </c>
      <c r="C57">
        <v>1</v>
      </c>
    </row>
    <row r="58" spans="1:3">
      <c r="A58" t="s">
        <v>468</v>
      </c>
      <c r="B58" t="s">
        <v>1383</v>
      </c>
      <c r="C58">
        <v>1</v>
      </c>
    </row>
    <row r="59" spans="1:3">
      <c r="A59" t="s">
        <v>474</v>
      </c>
      <c r="B59" t="s">
        <v>718</v>
      </c>
      <c r="C59">
        <v>1</v>
      </c>
    </row>
    <row r="60" spans="1:3">
      <c r="A60" t="s">
        <v>719</v>
      </c>
      <c r="B60" t="s">
        <v>1385</v>
      </c>
      <c r="C60">
        <v>1</v>
      </c>
    </row>
    <row r="61" spans="1:3">
      <c r="A61" t="s">
        <v>482</v>
      </c>
      <c r="B61" t="s">
        <v>1386</v>
      </c>
      <c r="C61">
        <v>1</v>
      </c>
    </row>
    <row r="62" spans="1:3">
      <c r="A62" t="s">
        <v>471</v>
      </c>
      <c r="B62" t="s">
        <v>722</v>
      </c>
      <c r="C62">
        <v>1</v>
      </c>
    </row>
    <row r="63" spans="1:3">
      <c r="A63" t="s">
        <v>480</v>
      </c>
      <c r="B63" t="s">
        <v>1402</v>
      </c>
      <c r="C63">
        <v>1</v>
      </c>
    </row>
    <row r="64" spans="1:3">
      <c r="A64" t="s">
        <v>475</v>
      </c>
      <c r="B64" t="s">
        <v>1387</v>
      </c>
      <c r="C64">
        <v>4</v>
      </c>
    </row>
    <row r="65" spans="1:3">
      <c r="A65" t="s">
        <v>484</v>
      </c>
      <c r="B65" t="s">
        <v>1403</v>
      </c>
      <c r="C65">
        <v>1</v>
      </c>
    </row>
    <row r="66" spans="1:3">
      <c r="A66" t="s">
        <v>727</v>
      </c>
      <c r="B66" t="s">
        <v>1404</v>
      </c>
      <c r="C66">
        <v>1</v>
      </c>
    </row>
    <row r="67" spans="1:3">
      <c r="A67" t="s">
        <v>729</v>
      </c>
      <c r="B67" t="s">
        <v>1405</v>
      </c>
      <c r="C67">
        <v>1</v>
      </c>
    </row>
    <row r="68" spans="1:3">
      <c r="A68" t="s">
        <v>759</v>
      </c>
      <c r="B68" t="s">
        <v>1406</v>
      </c>
      <c r="C68">
        <v>50</v>
      </c>
    </row>
    <row r="69" spans="1:3">
      <c r="A69" t="s">
        <v>735</v>
      </c>
      <c r="B69" t="s">
        <v>736</v>
      </c>
      <c r="C69">
        <v>1</v>
      </c>
    </row>
    <row r="70" spans="1:3">
      <c r="A70" t="s">
        <v>453</v>
      </c>
      <c r="B70" t="s">
        <v>463</v>
      </c>
      <c r="C70">
        <v>1</v>
      </c>
    </row>
    <row r="71" spans="1:3">
      <c r="A71" t="s">
        <v>518</v>
      </c>
      <c r="B71" t="s">
        <v>1407</v>
      </c>
      <c r="C71">
        <v>1</v>
      </c>
    </row>
    <row r="72" spans="1:3">
      <c r="A72" t="s">
        <v>572</v>
      </c>
      <c r="B72" t="s">
        <v>749</v>
      </c>
      <c r="C72">
        <v>1</v>
      </c>
    </row>
    <row r="73" spans="1:3">
      <c r="A73" t="s">
        <v>515</v>
      </c>
      <c r="B73" t="s">
        <v>1408</v>
      </c>
      <c r="C73">
        <v>1</v>
      </c>
    </row>
    <row r="74" spans="1:3">
      <c r="A74" t="s">
        <v>556</v>
      </c>
      <c r="B74" t="s">
        <v>1409</v>
      </c>
      <c r="C74">
        <v>1</v>
      </c>
    </row>
    <row r="75" spans="1:3">
      <c r="A75" t="s">
        <v>504</v>
      </c>
      <c r="B75" t="s">
        <v>1410</v>
      </c>
      <c r="C75">
        <v>1</v>
      </c>
    </row>
    <row r="76" spans="1:3">
      <c r="A76" t="s">
        <v>505</v>
      </c>
      <c r="B76" t="s">
        <v>743</v>
      </c>
      <c r="C76">
        <v>1</v>
      </c>
    </row>
    <row r="77" spans="1:3">
      <c r="A77" t="s">
        <v>502</v>
      </c>
      <c r="B77" t="s">
        <v>1411</v>
      </c>
      <c r="C77">
        <v>1</v>
      </c>
    </row>
    <row r="78" spans="1:3">
      <c r="A78" t="s">
        <v>503</v>
      </c>
      <c r="B78" t="s">
        <v>1412</v>
      </c>
      <c r="C78">
        <v>1</v>
      </c>
    </row>
    <row r="79" spans="1:3">
      <c r="A79" t="s">
        <v>478</v>
      </c>
      <c r="B79" t="s">
        <v>1384</v>
      </c>
      <c r="C79">
        <v>1</v>
      </c>
    </row>
    <row r="80" spans="1:3">
      <c r="A80" t="s">
        <v>506</v>
      </c>
      <c r="B80" t="s">
        <v>1413</v>
      </c>
      <c r="C80">
        <v>1</v>
      </c>
    </row>
    <row r="81" spans="1:3">
      <c r="A81" t="s">
        <v>480</v>
      </c>
      <c r="B81" t="s">
        <v>1402</v>
      </c>
      <c r="C81">
        <v>1</v>
      </c>
    </row>
    <row r="82" spans="1:3">
      <c r="A82" t="s">
        <v>727</v>
      </c>
      <c r="B82" t="s">
        <v>1404</v>
      </c>
      <c r="C82">
        <v>1</v>
      </c>
    </row>
    <row r="83" spans="1:3">
      <c r="A83" t="s">
        <v>729</v>
      </c>
      <c r="B83" t="s">
        <v>1405</v>
      </c>
      <c r="C83">
        <v>1</v>
      </c>
    </row>
    <row r="84" spans="1:3">
      <c r="A84" t="s">
        <v>760</v>
      </c>
      <c r="B84" t="s">
        <v>1414</v>
      </c>
      <c r="C84">
        <v>50</v>
      </c>
    </row>
    <row r="85" spans="1:3">
      <c r="A85" t="s">
        <v>753</v>
      </c>
      <c r="B85" t="s">
        <v>754</v>
      </c>
      <c r="C85">
        <v>2</v>
      </c>
    </row>
    <row r="86" spans="1:3">
      <c r="A86" t="s">
        <v>755</v>
      </c>
      <c r="B86" t="s">
        <v>756</v>
      </c>
      <c r="C86">
        <v>2</v>
      </c>
    </row>
    <row r="87" spans="1:3">
      <c r="A87" t="s">
        <v>630</v>
      </c>
      <c r="B87" t="s">
        <v>631</v>
      </c>
      <c r="C87">
        <v>1</v>
      </c>
    </row>
    <row r="88" spans="1:3">
      <c r="A88" t="s">
        <v>968</v>
      </c>
      <c r="B88" t="s">
        <v>969</v>
      </c>
    </row>
    <row r="89" spans="1:3">
      <c r="A89" t="s">
        <v>215</v>
      </c>
      <c r="B89" t="s">
        <v>217</v>
      </c>
      <c r="C89">
        <v>1</v>
      </c>
    </row>
    <row r="90" spans="1:3">
      <c r="A90" t="s">
        <v>230</v>
      </c>
      <c r="B90" t="s">
        <v>235</v>
      </c>
      <c r="C90">
        <v>1</v>
      </c>
    </row>
    <row r="91" spans="1:3">
      <c r="A91" t="s">
        <v>1415</v>
      </c>
      <c r="B91" t="s">
        <v>1416</v>
      </c>
      <c r="C91">
        <v>4</v>
      </c>
    </row>
    <row r="92" spans="1:3">
      <c r="A92" t="s">
        <v>684</v>
      </c>
      <c r="B92" t="s">
        <v>1395</v>
      </c>
      <c r="C92">
        <v>2</v>
      </c>
    </row>
    <row r="93" spans="1:3">
      <c r="A93" t="s">
        <v>1417</v>
      </c>
      <c r="B93" t="s">
        <v>959</v>
      </c>
      <c r="C93">
        <v>2</v>
      </c>
    </row>
    <row r="94" spans="1:3">
      <c r="A94" t="s">
        <v>917</v>
      </c>
      <c r="B94" t="s">
        <v>951</v>
      </c>
      <c r="C94">
        <v>1</v>
      </c>
    </row>
    <row r="95" spans="1:3">
      <c r="A95" t="s">
        <v>919</v>
      </c>
      <c r="B95" t="s">
        <v>952</v>
      </c>
      <c r="C95">
        <v>1</v>
      </c>
    </row>
    <row r="96" spans="1:3">
      <c r="A96" t="s">
        <v>921</v>
      </c>
      <c r="B96" t="s">
        <v>922</v>
      </c>
      <c r="C96">
        <v>1</v>
      </c>
    </row>
    <row r="97" spans="1:3">
      <c r="A97" t="s">
        <v>923</v>
      </c>
      <c r="B97" t="s">
        <v>924</v>
      </c>
      <c r="C97">
        <v>12</v>
      </c>
    </row>
    <row r="98" spans="1:3">
      <c r="A98" t="s">
        <v>931</v>
      </c>
      <c r="B98" t="s">
        <v>932</v>
      </c>
      <c r="C98">
        <v>1</v>
      </c>
    </row>
    <row r="99" spans="1:3">
      <c r="A99" t="s">
        <v>902</v>
      </c>
      <c r="B99" t="s">
        <v>903</v>
      </c>
      <c r="C99">
        <v>1</v>
      </c>
    </row>
    <row r="100" spans="1:3">
      <c r="A100" t="s">
        <v>244</v>
      </c>
      <c r="B100" t="s">
        <v>247</v>
      </c>
      <c r="C100">
        <v>1</v>
      </c>
    </row>
    <row r="101" spans="1:3">
      <c r="A101" t="s">
        <v>697</v>
      </c>
      <c r="B101" t="s">
        <v>698</v>
      </c>
      <c r="C101">
        <v>1</v>
      </c>
    </row>
    <row r="102" spans="1:3">
      <c r="A102" t="s">
        <v>630</v>
      </c>
      <c r="B102" t="s">
        <v>631</v>
      </c>
      <c r="C102">
        <v>1</v>
      </c>
    </row>
    <row r="103" spans="1:3">
      <c r="A103" t="s">
        <v>973</v>
      </c>
      <c r="B103" t="s">
        <v>974</v>
      </c>
    </row>
    <row r="104" spans="1:3">
      <c r="A104" t="s">
        <v>216</v>
      </c>
      <c r="B104" t="s">
        <v>1418</v>
      </c>
      <c r="C104">
        <v>1</v>
      </c>
    </row>
    <row r="105" spans="1:3">
      <c r="A105" t="s">
        <v>229</v>
      </c>
      <c r="B105" t="s">
        <v>234</v>
      </c>
      <c r="C105">
        <v>1</v>
      </c>
    </row>
    <row r="106" spans="1:3">
      <c r="A106" t="s">
        <v>236</v>
      </c>
      <c r="B106" t="s">
        <v>1388</v>
      </c>
      <c r="C106">
        <v>1</v>
      </c>
    </row>
    <row r="107" spans="1:3">
      <c r="A107" t="s">
        <v>1391</v>
      </c>
      <c r="B107" t="s">
        <v>777</v>
      </c>
      <c r="C107">
        <v>1</v>
      </c>
    </row>
    <row r="108" spans="1:3">
      <c r="A108" t="s">
        <v>914</v>
      </c>
      <c r="B108" t="s">
        <v>1419</v>
      </c>
      <c r="C108">
        <v>3</v>
      </c>
    </row>
    <row r="109" spans="1:3">
      <c r="A109" t="s">
        <v>684</v>
      </c>
      <c r="B109" t="s">
        <v>1395</v>
      </c>
      <c r="C109">
        <v>2</v>
      </c>
    </row>
    <row r="110" spans="1:3">
      <c r="A110" t="s">
        <v>1420</v>
      </c>
      <c r="B110" t="s">
        <v>916</v>
      </c>
      <c r="C110">
        <v>2</v>
      </c>
    </row>
    <row r="111" spans="1:3">
      <c r="A111" t="s">
        <v>917</v>
      </c>
      <c r="B111" t="s">
        <v>951</v>
      </c>
      <c r="C111">
        <v>1</v>
      </c>
    </row>
    <row r="112" spans="1:3">
      <c r="A112" t="s">
        <v>919</v>
      </c>
      <c r="B112" t="s">
        <v>952</v>
      </c>
      <c r="C112">
        <v>1</v>
      </c>
    </row>
    <row r="113" spans="1:3">
      <c r="A113" t="s">
        <v>921</v>
      </c>
      <c r="B113" t="s">
        <v>922</v>
      </c>
      <c r="C113">
        <v>1</v>
      </c>
    </row>
    <row r="114" spans="1:3">
      <c r="A114" t="s">
        <v>923</v>
      </c>
      <c r="B114" t="s">
        <v>924</v>
      </c>
      <c r="C114">
        <v>12</v>
      </c>
    </row>
    <row r="115" spans="1:3">
      <c r="A115" t="s">
        <v>241</v>
      </c>
      <c r="B115" t="s">
        <v>1421</v>
      </c>
      <c r="C115">
        <v>1</v>
      </c>
    </row>
    <row r="116" spans="1:3">
      <c r="A116" t="s">
        <v>977</v>
      </c>
      <c r="B116" t="s">
        <v>978</v>
      </c>
      <c r="C116">
        <v>1</v>
      </c>
    </row>
    <row r="117" spans="1:3">
      <c r="A117" t="s">
        <v>1422</v>
      </c>
      <c r="B117" t="s">
        <v>1423</v>
      </c>
      <c r="C117">
        <v>1</v>
      </c>
    </row>
    <row r="118" spans="1:3">
      <c r="A118" t="s">
        <v>1424</v>
      </c>
      <c r="B118" t="s">
        <v>1425</v>
      </c>
      <c r="C118">
        <v>3</v>
      </c>
    </row>
    <row r="119" spans="1:3">
      <c r="A119" t="s">
        <v>1426</v>
      </c>
      <c r="B119" t="s">
        <v>1011</v>
      </c>
      <c r="C119">
        <v>3</v>
      </c>
    </row>
    <row r="120" spans="1:3">
      <c r="A120" t="s">
        <v>925</v>
      </c>
      <c r="B120" t="s">
        <v>926</v>
      </c>
      <c r="C120">
        <v>1</v>
      </c>
    </row>
    <row r="121" spans="1:3">
      <c r="A121" t="s">
        <v>927</v>
      </c>
      <c r="B121" t="s">
        <v>928</v>
      </c>
      <c r="C121">
        <v>1</v>
      </c>
    </row>
    <row r="122" spans="1:3">
      <c r="A122" t="s">
        <v>668</v>
      </c>
      <c r="B122" t="s">
        <v>669</v>
      </c>
      <c r="C122">
        <v>1</v>
      </c>
    </row>
    <row r="123" spans="1:3">
      <c r="A123" t="s">
        <v>630</v>
      </c>
      <c r="B123" t="s">
        <v>631</v>
      </c>
      <c r="C123">
        <v>1</v>
      </c>
    </row>
    <row r="124" spans="1:3">
      <c r="A124" t="s">
        <v>1065</v>
      </c>
      <c r="B124" t="s">
        <v>1066</v>
      </c>
    </row>
    <row r="125" spans="1:3">
      <c r="A125" t="s">
        <v>214</v>
      </c>
      <c r="B125" t="s">
        <v>1389</v>
      </c>
      <c r="C125">
        <v>1</v>
      </c>
    </row>
    <row r="126" spans="1:3">
      <c r="A126" t="s">
        <v>228</v>
      </c>
      <c r="B126" t="s">
        <v>233</v>
      </c>
      <c r="C126">
        <v>1</v>
      </c>
    </row>
    <row r="127" spans="1:3">
      <c r="A127" t="s">
        <v>236</v>
      </c>
      <c r="B127" t="s">
        <v>1388</v>
      </c>
      <c r="C127">
        <v>1</v>
      </c>
    </row>
    <row r="128" spans="1:3">
      <c r="A128" t="s">
        <v>1391</v>
      </c>
      <c r="B128" t="s">
        <v>777</v>
      </c>
      <c r="C128">
        <v>1</v>
      </c>
    </row>
    <row r="129" spans="1:3">
      <c r="A129" t="s">
        <v>1067</v>
      </c>
      <c r="B129" t="s">
        <v>1427</v>
      </c>
      <c r="C129">
        <v>1</v>
      </c>
    </row>
    <row r="130" spans="1:3">
      <c r="A130" t="s">
        <v>1428</v>
      </c>
      <c r="B130" t="s">
        <v>1429</v>
      </c>
      <c r="C130">
        <v>1</v>
      </c>
    </row>
    <row r="131" spans="1:3">
      <c r="A131" t="s">
        <v>697</v>
      </c>
      <c r="B131" t="s">
        <v>698</v>
      </c>
      <c r="C131">
        <v>1</v>
      </c>
    </row>
    <row r="132" spans="1:3">
      <c r="A132" t="s">
        <v>630</v>
      </c>
      <c r="B132" t="s">
        <v>631</v>
      </c>
      <c r="C132">
        <v>1</v>
      </c>
    </row>
    <row r="133" spans="1:3">
      <c r="A133" t="s">
        <v>1139</v>
      </c>
      <c r="B133" t="s">
        <v>1140</v>
      </c>
    </row>
    <row r="134" spans="1:3">
      <c r="A134" t="s">
        <v>1122</v>
      </c>
      <c r="B134" t="s">
        <v>1123</v>
      </c>
      <c r="C134">
        <v>1</v>
      </c>
    </row>
    <row r="135" spans="1:3">
      <c r="A135" t="s">
        <v>1124</v>
      </c>
      <c r="B135" t="s">
        <v>1125</v>
      </c>
      <c r="C135">
        <v>4</v>
      </c>
    </row>
    <row r="136" spans="1:3">
      <c r="A136" t="s">
        <v>1126</v>
      </c>
      <c r="B136" t="s">
        <v>1127</v>
      </c>
      <c r="C136">
        <v>2</v>
      </c>
    </row>
    <row r="137" spans="1:3">
      <c r="A137" t="s">
        <v>1128</v>
      </c>
      <c r="B137" t="s">
        <v>1129</v>
      </c>
      <c r="C137">
        <v>3</v>
      </c>
    </row>
    <row r="138" spans="1:3">
      <c r="A138" t="s">
        <v>1133</v>
      </c>
      <c r="B138" t="s">
        <v>1134</v>
      </c>
      <c r="C138">
        <v>2</v>
      </c>
    </row>
    <row r="139" spans="1:3">
      <c r="A139" t="s">
        <v>1430</v>
      </c>
      <c r="B139" t="s">
        <v>1431</v>
      </c>
      <c r="C139">
        <v>1</v>
      </c>
    </row>
    <row r="140" spans="1:3">
      <c r="A140" t="s">
        <v>1180</v>
      </c>
      <c r="B140" t="s">
        <v>1181</v>
      </c>
    </row>
    <row r="141" spans="1:3">
      <c r="A141" t="s">
        <v>1182</v>
      </c>
      <c r="B141" t="s">
        <v>1183</v>
      </c>
      <c r="C141">
        <v>1</v>
      </c>
    </row>
    <row r="142" spans="1:3">
      <c r="A142" t="s">
        <v>1165</v>
      </c>
      <c r="B142" t="s">
        <v>1166</v>
      </c>
      <c r="C142">
        <v>1</v>
      </c>
    </row>
    <row r="143" spans="1:3">
      <c r="A143" t="s">
        <v>1432</v>
      </c>
      <c r="B143" t="s">
        <v>1167</v>
      </c>
      <c r="C143">
        <v>1</v>
      </c>
    </row>
    <row r="144" spans="1:3">
      <c r="A144" t="s">
        <v>1196</v>
      </c>
      <c r="B144" t="s">
        <v>1197</v>
      </c>
    </row>
    <row r="145" spans="1:3">
      <c r="A145" t="s">
        <v>1198</v>
      </c>
      <c r="B145" t="s">
        <v>1433</v>
      </c>
      <c r="C145">
        <v>1</v>
      </c>
    </row>
    <row r="146" spans="1:3">
      <c r="A146" t="s">
        <v>1200</v>
      </c>
      <c r="B146" t="s">
        <v>1434</v>
      </c>
      <c r="C146">
        <v>1</v>
      </c>
    </row>
    <row r="147" spans="1:3">
      <c r="A147" t="s">
        <v>1202</v>
      </c>
      <c r="B147" t="s">
        <v>1203</v>
      </c>
      <c r="C147">
        <v>2</v>
      </c>
    </row>
    <row r="148" spans="1:3">
      <c r="A148" t="s">
        <v>1204</v>
      </c>
      <c r="B148" t="s">
        <v>1205</v>
      </c>
      <c r="C148">
        <v>1</v>
      </c>
    </row>
    <row r="149" spans="1:3">
      <c r="A149" t="s">
        <v>1206</v>
      </c>
      <c r="B149" t="s">
        <v>1207</v>
      </c>
      <c r="C149">
        <v>1</v>
      </c>
    </row>
    <row r="150" spans="1:3">
      <c r="A150" t="s">
        <v>1212</v>
      </c>
      <c r="B150" t="s">
        <v>1213</v>
      </c>
    </row>
    <row r="151" spans="1:3">
      <c r="A151" t="s">
        <v>1198</v>
      </c>
      <c r="B151" t="s">
        <v>1433</v>
      </c>
      <c r="C151">
        <v>1</v>
      </c>
    </row>
    <row r="152" spans="1:3">
      <c r="A152" t="s">
        <v>1200</v>
      </c>
      <c r="B152" t="s">
        <v>1434</v>
      </c>
      <c r="C152">
        <v>1</v>
      </c>
    </row>
    <row r="153" spans="1:3">
      <c r="A153" t="s">
        <v>1202</v>
      </c>
      <c r="B153" t="s">
        <v>1203</v>
      </c>
      <c r="C153">
        <v>2</v>
      </c>
    </row>
    <row r="154" spans="1:3">
      <c r="A154" t="s">
        <v>1214</v>
      </c>
      <c r="B154" t="s">
        <v>1215</v>
      </c>
      <c r="C154">
        <v>1</v>
      </c>
    </row>
    <row r="155" spans="1:3">
      <c r="A155" t="s">
        <v>1206</v>
      </c>
      <c r="B155" t="s">
        <v>1207</v>
      </c>
      <c r="C155">
        <v>1</v>
      </c>
    </row>
    <row r="156" spans="1:3">
      <c r="A156" t="s">
        <v>1252</v>
      </c>
      <c r="B156" t="s">
        <v>1253</v>
      </c>
    </row>
    <row r="157" spans="1:3">
      <c r="A157" t="s">
        <v>1254</v>
      </c>
      <c r="B157" t="s">
        <v>1435</v>
      </c>
      <c r="C157">
        <v>1</v>
      </c>
    </row>
    <row r="158" spans="1:3">
      <c r="A158" t="s">
        <v>1256</v>
      </c>
      <c r="B158" t="s">
        <v>1436</v>
      </c>
      <c r="C158">
        <v>1</v>
      </c>
    </row>
    <row r="159" spans="1:3">
      <c r="A159" t="s">
        <v>1260</v>
      </c>
      <c r="B159" t="s">
        <v>1261</v>
      </c>
      <c r="C159">
        <v>1</v>
      </c>
    </row>
    <row r="160" spans="1:3">
      <c r="A160" t="s">
        <v>1267</v>
      </c>
      <c r="B160" t="s">
        <v>1268</v>
      </c>
    </row>
    <row r="161" spans="1:3">
      <c r="A161" t="s">
        <v>544</v>
      </c>
      <c r="B161" t="s">
        <v>1270</v>
      </c>
      <c r="C161">
        <v>1</v>
      </c>
    </row>
    <row r="162" spans="1:3">
      <c r="A162" t="s">
        <v>538</v>
      </c>
      <c r="B162" t="s">
        <v>1271</v>
      </c>
      <c r="C162">
        <v>1</v>
      </c>
    </row>
    <row r="163" spans="1:3">
      <c r="A163" t="s">
        <v>541</v>
      </c>
      <c r="B163" t="s">
        <v>1272</v>
      </c>
      <c r="C163">
        <v>1</v>
      </c>
    </row>
    <row r="164" spans="1:3">
      <c r="A164" t="s">
        <v>522</v>
      </c>
      <c r="B164" t="s">
        <v>1273</v>
      </c>
      <c r="C164">
        <v>1</v>
      </c>
    </row>
    <row r="165" spans="1:3">
      <c r="A165" t="s">
        <v>524</v>
      </c>
      <c r="B165" t="s">
        <v>1274</v>
      </c>
      <c r="C165">
        <v>1</v>
      </c>
    </row>
    <row r="166" spans="1:3">
      <c r="A166" t="s">
        <v>526</v>
      </c>
      <c r="B166" t="s">
        <v>1275</v>
      </c>
      <c r="C166">
        <v>1</v>
      </c>
    </row>
    <row r="167" spans="1:3">
      <c r="A167" t="s">
        <v>528</v>
      </c>
      <c r="B167" t="s">
        <v>1276</v>
      </c>
      <c r="C167">
        <v>1</v>
      </c>
    </row>
    <row r="168" spans="1:3">
      <c r="A168" t="s">
        <v>218</v>
      </c>
      <c r="B168" t="s">
        <v>222</v>
      </c>
      <c r="C168">
        <v>1</v>
      </c>
    </row>
    <row r="169" spans="1:3">
      <c r="A169" t="s">
        <v>219</v>
      </c>
      <c r="B169" t="s">
        <v>224</v>
      </c>
      <c r="C169">
        <v>1</v>
      </c>
    </row>
    <row r="170" spans="1:3">
      <c r="A170" t="s">
        <v>220</v>
      </c>
      <c r="B170" t="s">
        <v>223</v>
      </c>
      <c r="C170">
        <v>1</v>
      </c>
    </row>
    <row r="171" spans="1:3">
      <c r="A171" t="s">
        <v>221</v>
      </c>
      <c r="B171" t="s">
        <v>225</v>
      </c>
      <c r="C171">
        <v>1</v>
      </c>
    </row>
    <row r="172" spans="1:3">
      <c r="A172" t="s">
        <v>1277</v>
      </c>
      <c r="B172" t="s">
        <v>1278</v>
      </c>
      <c r="C172">
        <v>1</v>
      </c>
    </row>
    <row r="173" spans="1:3">
      <c r="A173" t="s">
        <v>1279</v>
      </c>
      <c r="B173" t="s">
        <v>1280</v>
      </c>
      <c r="C173">
        <v>1</v>
      </c>
    </row>
    <row r="174" spans="1:3">
      <c r="A174" t="s">
        <v>547</v>
      </c>
      <c r="B174" t="s">
        <v>550</v>
      </c>
      <c r="C174">
        <v>1</v>
      </c>
    </row>
    <row r="175" spans="1:3">
      <c r="A175" t="s">
        <v>548</v>
      </c>
      <c r="B175" t="s">
        <v>551</v>
      </c>
      <c r="C175">
        <v>1</v>
      </c>
    </row>
    <row r="176" spans="1:3">
      <c r="A176" t="s">
        <v>1281</v>
      </c>
      <c r="B176" t="s">
        <v>1282</v>
      </c>
      <c r="C176">
        <v>1</v>
      </c>
    </row>
    <row r="177" spans="1:3">
      <c r="A177" t="s">
        <v>546</v>
      </c>
      <c r="B177" t="s">
        <v>549</v>
      </c>
      <c r="C177">
        <v>1</v>
      </c>
    </row>
    <row r="178" spans="1:3">
      <c r="A178" t="s">
        <v>1294</v>
      </c>
      <c r="B178" t="s">
        <v>1295</v>
      </c>
    </row>
    <row r="179" spans="1:3">
      <c r="A179" t="s">
        <v>1098</v>
      </c>
      <c r="B179" t="s">
        <v>1437</v>
      </c>
      <c r="C179">
        <v>12</v>
      </c>
    </row>
    <row r="180" spans="1:3">
      <c r="A180" t="s">
        <v>1286</v>
      </c>
      <c r="B180" t="s">
        <v>1287</v>
      </c>
      <c r="C180">
        <v>8</v>
      </c>
    </row>
    <row r="181" spans="1:3">
      <c r="A181" t="s">
        <v>1334</v>
      </c>
      <c r="B181" t="s">
        <v>1335</v>
      </c>
    </row>
    <row r="182" spans="1:3">
      <c r="A182" t="s">
        <v>1336</v>
      </c>
      <c r="B182" t="s">
        <v>1438</v>
      </c>
      <c r="C182">
        <v>1</v>
      </c>
    </row>
  </sheetData>
  <mergeCells count="5">
    <mergeCell ref="G25:H25"/>
    <mergeCell ref="G28:H28"/>
    <mergeCell ref="G29:H29"/>
    <mergeCell ref="G26:H26"/>
    <mergeCell ref="G27:H27"/>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Sheet1">
    <tabColor rgb="FF00B050"/>
  </sheetPr>
  <dimension ref="A1:M554"/>
  <sheetViews>
    <sheetView zoomScale="115" zoomScaleNormal="115" workbookViewId="0">
      <pane ySplit="1" topLeftCell="A2" activePane="bottomLeft" state="frozen"/>
      <selection pane="bottomLeft" activeCell="H17" sqref="H17"/>
    </sheetView>
  </sheetViews>
  <sheetFormatPr baseColWidth="10" defaultColWidth="9" defaultRowHeight="18" customHeight="1"/>
  <cols>
    <col min="1" max="1" width="15.75" customWidth="1"/>
    <col min="2" max="2" width="51.875" bestFit="1" customWidth="1"/>
    <col min="3" max="3" width="4.375" bestFit="1" customWidth="1"/>
    <col min="4" max="4" width="4.375" customWidth="1"/>
    <col min="5" max="5" width="11.125" bestFit="1" customWidth="1"/>
    <col min="6" max="6" width="9.125" bestFit="1" customWidth="1"/>
    <col min="7" max="7" width="8.25" customWidth="1"/>
    <col min="8" max="8" width="20.75" bestFit="1" customWidth="1"/>
    <col min="9" max="9" width="9.125" bestFit="1" customWidth="1"/>
    <col min="11" max="13" width="15.75" customWidth="1"/>
  </cols>
  <sheetData>
    <row r="1" spans="1:13" ht="18" customHeight="1">
      <c r="A1" s="19"/>
      <c r="B1" s="19" t="s">
        <v>7</v>
      </c>
      <c r="C1" s="23" t="s">
        <v>250</v>
      </c>
      <c r="D1" s="23" t="s">
        <v>251</v>
      </c>
      <c r="E1" s="19" t="s">
        <v>49</v>
      </c>
      <c r="F1" s="19" t="s">
        <v>9</v>
      </c>
      <c r="G1" s="11"/>
      <c r="H1" s="19" t="s">
        <v>80</v>
      </c>
      <c r="I1" s="19"/>
      <c r="K1" s="64" t="s">
        <v>29</v>
      </c>
      <c r="L1" s="64"/>
      <c r="M1" s="64"/>
    </row>
    <row r="2" spans="1:13" ht="18" customHeight="1">
      <c r="A2" s="65" t="s">
        <v>148</v>
      </c>
      <c r="B2" s="65"/>
      <c r="C2" s="65"/>
      <c r="D2" s="65"/>
      <c r="E2" s="65"/>
      <c r="F2" s="65"/>
      <c r="G2" s="65"/>
      <c r="H2" s="65"/>
      <c r="I2" s="65"/>
      <c r="J2" s="65"/>
      <c r="K2" s="65"/>
      <c r="L2" s="65"/>
      <c r="M2" s="65"/>
    </row>
    <row r="3" spans="1:13" ht="18" customHeight="1">
      <c r="A3" s="10" t="s">
        <v>149</v>
      </c>
      <c r="B3" s="15" t="str">
        <f>HYPERLINK("#"&amp;ADDRESS(MATCH(A3,'LearnMate7-Detailed'!$A$1:$A$5000,0),1,,,"LearnMate7-Detailed"),VLOOKUP(A3,'LearnMate7-Detailed'!A:C,3,FALSE))</f>
        <v>LearnMate 7 Hosting w/1 Class LM Live; 2 years, 100 students</v>
      </c>
      <c r="C3" s="29" t="str">
        <f>IFERROR(HYPERLINK("#"&amp;ADDRESS(MATCH(A3&amp;"ES",'LM7 Non-ENG'!$A$1:$A$5000,0),1,,,"LM7 Non-ENG"),IF(IFERROR(VLOOKUP(A3&amp;"ES",'LM7 Non-ENG'!$A$1:$A$4999,1,FALSE),"ERROR")=A3&amp;"ES","Y","")),"")</f>
        <v/>
      </c>
      <c r="D3" s="29" t="str">
        <f>IFERROR(HYPERLINK("#"&amp;ADDRESS(MATCH(A3&amp;"PT",'LM7 Non-ENG'!$A$1:$A$5000,0),1,,,"LM7 Non-ENG"),IF(IFERROR(VLOOKUP(A3&amp;"PT",'LM7 Non-ENG'!$A$1:$A$5000,1,FALSE),"ERROR")=A3&amp;"PT","Y","")),"")</f>
        <v/>
      </c>
      <c r="E3" s="37">
        <f>'LearnMate7-Detailed'!J2</f>
        <v>3260</v>
      </c>
      <c r="F3" s="11">
        <v>0</v>
      </c>
      <c r="G3" s="11"/>
    </row>
    <row r="4" spans="1:13" ht="18" customHeight="1">
      <c r="A4" t="s">
        <v>152</v>
      </c>
      <c r="B4" s="15" t="str">
        <f>HYPERLINK("#"&amp;ADDRESS(MATCH(A4,'LearnMate7-Detailed'!$A$1:$A$5000,0),1,,,"LearnMate7-Detailed"),VLOOKUP(A4,'LearnMate7-Detailed'!A:C,3,FALSE))</f>
        <v>LearnMate 7 Local Server Install &amp; Annual Maintenance - 4 yrs</v>
      </c>
      <c r="C4" s="29" t="str">
        <f>IFERROR(HYPERLINK("#"&amp;ADDRESS(MATCH(A4&amp;"ES",'LM7 Non-ENG'!$A$1:$A$5000,0),1,,,"LM7 Non-ENG"),IF(IFERROR(VLOOKUP(A4&amp;"ES",'LM7 Non-ENG'!$A$1:$A$4999,1,FALSE),"ERROR")=A4&amp;"ES","Y","")),"")</f>
        <v/>
      </c>
      <c r="D4" s="29" t="str">
        <f>IFERROR(HYPERLINK("#"&amp;ADDRESS(MATCH(A4&amp;"PT",'LM7 Non-ENG'!$A$1:$A$5000,0),1,,,"LM7 Non-ENG"),IF(IFERROR(VLOOKUP(A4&amp;"PT",'LM7 Non-ENG'!$A$1:$A$5000,1,FALSE),"ERROR")=A4&amp;"PT","Y","")),"")</f>
        <v/>
      </c>
      <c r="E4" s="37">
        <f>'LearnMate7-Detailed'!J9</f>
        <v>3850</v>
      </c>
      <c r="F4" s="11">
        <v>0</v>
      </c>
      <c r="G4" s="11"/>
    </row>
    <row r="5" spans="1:13" ht="18" customHeight="1">
      <c r="A5" s="63" t="s">
        <v>155</v>
      </c>
      <c r="B5" s="63"/>
      <c r="C5" s="63"/>
      <c r="D5" s="63"/>
      <c r="E5" s="63"/>
      <c r="F5" s="63"/>
      <c r="G5" s="63"/>
      <c r="H5" s="63"/>
      <c r="I5" s="63"/>
      <c r="J5" s="63"/>
      <c r="K5" s="63"/>
      <c r="L5" s="63"/>
      <c r="M5" s="63"/>
    </row>
    <row r="6" spans="1:13" ht="18" customHeight="1">
      <c r="A6" s="10" t="s">
        <v>156</v>
      </c>
      <c r="B6" s="10" t="s">
        <v>164</v>
      </c>
      <c r="C6" s="29" t="str">
        <f>IFERROR(HYPERLINK("#"&amp;ADDRESS(MATCH(A6&amp;"ES",'LM7 Non-ENG'!$A$1:$A$5000,0),1,,,"LM7 Non-ENG"),IF(IFERROR(VLOOKUP(A6&amp;"ES",'LM7 Non-ENG'!$A$1:$A$4999,1,FALSE),"ERROR")=A6&amp;"ES","Y","")),"")</f>
        <v/>
      </c>
      <c r="D6" s="29" t="str">
        <f>IFERROR(HYPERLINK("#"&amp;ADDRESS(MATCH(A6&amp;"PT",'LM7 Non-ENG'!$A$1:$A$5000,0),1,,,"LM7 Non-ENG"),IF(IFERROR(VLOOKUP(A6&amp;"PT",'LM7 Non-ENG'!$A$1:$A$5000,1,FALSE),"ERROR")=A6&amp;"PT","Y","")),"")</f>
        <v/>
      </c>
      <c r="E6" s="37">
        <f>IFERROR(VLOOKUP(A6,PLInter!A:D,3,FALSE),IF(VLOOKUP(A6,PN!A:C,3,FALSE)&lt;&gt;"Inactive",0,"Inactive"))</f>
        <v>1700</v>
      </c>
      <c r="F6" s="11">
        <v>800</v>
      </c>
      <c r="G6" s="11"/>
    </row>
    <row r="7" spans="1:13" ht="18" customHeight="1">
      <c r="A7" s="10" t="s">
        <v>165</v>
      </c>
      <c r="B7" s="10" t="s">
        <v>166</v>
      </c>
      <c r="C7" s="29" t="str">
        <f>IFERROR(HYPERLINK("#"&amp;ADDRESS(MATCH(A7&amp;"ES",'LM7 Non-ENG'!$A$1:$A$5000,0),1,,,"LM7 Non-ENG"),IF(IFERROR(VLOOKUP(A7&amp;"ES",'LM7 Non-ENG'!$A$1:$A$4999,1,FALSE),"ERROR")=A7&amp;"ES","Y","")),"")</f>
        <v/>
      </c>
      <c r="D7" s="29" t="str">
        <f>IFERROR(HYPERLINK("#"&amp;ADDRESS(MATCH(A7&amp;"PT",'LM7 Non-ENG'!$A$1:$A$5000,0),1,,,"LM7 Non-ENG"),IF(IFERROR(VLOOKUP(A7&amp;"PT",'LM7 Non-ENG'!$A$1:$A$5000,1,FALSE),"ERROR")=A7&amp;"PT","Y","")),"")</f>
        <v/>
      </c>
      <c r="E7" s="37">
        <f>IFERROR(VLOOKUP(A7,PLInter!A:D,3,FALSE),IF(VLOOKUP(A7,PN!A:C,3,FALSE)&lt;&gt;"Inactive",0,"Inactive"))</f>
        <v>0</v>
      </c>
      <c r="F7" s="11">
        <v>600</v>
      </c>
      <c r="G7" s="11"/>
    </row>
    <row r="8" spans="1:13" ht="18" customHeight="1">
      <c r="A8" s="10" t="s">
        <v>167</v>
      </c>
      <c r="B8" s="10" t="s">
        <v>168</v>
      </c>
      <c r="C8" s="29" t="str">
        <f>IFERROR(HYPERLINK("#"&amp;ADDRESS(MATCH(A8&amp;"ES",'LM7 Non-ENG'!$A$1:$A$5000,0),1,,,"LM7 Non-ENG"),IF(IFERROR(VLOOKUP(A8&amp;"ES",'LM7 Non-ENG'!$A$1:$A$4999,1,FALSE),"ERROR")=A8&amp;"ES","Y","")),"")</f>
        <v/>
      </c>
      <c r="D8" s="29" t="str">
        <f>IFERROR(HYPERLINK("#"&amp;ADDRESS(MATCH(A8&amp;"PT",'LM7 Non-ENG'!$A$1:$A$5000,0),1,,,"LM7 Non-ENG"),IF(IFERROR(VLOOKUP(A8&amp;"PT",'LM7 Non-ENG'!$A$1:$A$5000,1,FALSE),"ERROR")=A8&amp;"PT","Y","")),"")</f>
        <v/>
      </c>
      <c r="E8" s="37">
        <f>IFERROR(VLOOKUP(A8,PLInter!A:D,3,FALSE),IF(VLOOKUP(A8,PN!A:C,3,FALSE)&lt;&gt;"Inactive",0,"Inactive"))</f>
        <v>0</v>
      </c>
      <c r="F8" s="11">
        <v>600</v>
      </c>
      <c r="G8" s="11"/>
      <c r="L8" s="12"/>
    </row>
    <row r="9" spans="1:13" ht="18" customHeight="1">
      <c r="A9" s="10" t="s">
        <v>169</v>
      </c>
      <c r="B9" s="10" t="s">
        <v>170</v>
      </c>
      <c r="C9" s="29" t="str">
        <f>IFERROR(HYPERLINK("#"&amp;ADDRESS(MATCH(A9&amp;"ES",'LM7 Non-ENG'!$A$1:$A$5000,0),1,,,"LM7 Non-ENG"),IF(IFERROR(VLOOKUP(A9&amp;"ES",'LM7 Non-ENG'!$A$1:$A$4999,1,FALSE),"ERROR")=A9&amp;"ES","Y","")),"")</f>
        <v/>
      </c>
      <c r="D9" s="29" t="str">
        <f>IFERROR(HYPERLINK("#"&amp;ADDRESS(MATCH(A9&amp;"PT",'LM7 Non-ENG'!$A$1:$A$5000,0),1,,,"LM7 Non-ENG"),IF(IFERROR(VLOOKUP(A9&amp;"PT",'LM7 Non-ENG'!$A$1:$A$5000,1,FALSE),"ERROR")=A9&amp;"PT","Y","")),"")</f>
        <v/>
      </c>
      <c r="E9" s="37">
        <f>IFERROR(VLOOKUP(A9,PLInter!A:D,3,FALSE),IF(VLOOKUP(A9,PN!A:C,3,FALSE)&lt;&gt;"Inactive",0,"Inactive"))</f>
        <v>0</v>
      </c>
      <c r="F9" s="11">
        <v>240</v>
      </c>
      <c r="G9" s="11"/>
    </row>
    <row r="10" spans="1:13" ht="18" customHeight="1">
      <c r="A10" s="10" t="s">
        <v>171</v>
      </c>
      <c r="B10" s="10" t="s">
        <v>172</v>
      </c>
      <c r="C10" s="29" t="str">
        <f>IFERROR(HYPERLINK("#"&amp;ADDRESS(MATCH(A10&amp;"ES",'LM7 Non-ENG'!$A$1:$A$5000,0),1,,,"LM7 Non-ENG"),IF(IFERROR(VLOOKUP(A10&amp;"ES",'LM7 Non-ENG'!$A$1:$A$4999,1,FALSE),"ERROR")=A10&amp;"ES","Y","")),"")</f>
        <v/>
      </c>
      <c r="D10" s="29" t="str">
        <f>IFERROR(HYPERLINK("#"&amp;ADDRESS(MATCH(A10&amp;"PT",'LM7 Non-ENG'!$A$1:$A$5000,0),1,,,"LM7 Non-ENG"),IF(IFERROR(VLOOKUP(A10&amp;"PT",'LM7 Non-ENG'!$A$1:$A$5000,1,FALSE),"ERROR")=A10&amp;"PT","Y","")),"")</f>
        <v/>
      </c>
      <c r="E10" s="37">
        <f>IFERROR(VLOOKUP(A10,PLInter!A:D,3,FALSE),IF(VLOOKUP(A10,PN!A:C,3,FALSE)&lt;&gt;"Inactive",0,"Inactive"))</f>
        <v>300</v>
      </c>
      <c r="F10" s="11">
        <v>300</v>
      </c>
      <c r="G10" s="11"/>
    </row>
    <row r="11" spans="1:13" ht="18" customHeight="1">
      <c r="A11" s="10" t="s">
        <v>177</v>
      </c>
      <c r="B11" s="10" t="s">
        <v>178</v>
      </c>
      <c r="C11" s="29" t="str">
        <f>IFERROR(HYPERLINK("#"&amp;ADDRESS(MATCH(A11&amp;"ES",'LM7 Non-ENG'!$A$1:$A$5000,0),1,,,"LM7 Non-ENG"),IF(IFERROR(VLOOKUP(A11&amp;"ES",'LM7 Non-ENG'!$A$1:$A$4999,1,FALSE),"ERROR")=A11&amp;"ES","Y","")),"")</f>
        <v/>
      </c>
      <c r="D11" s="29" t="str">
        <f>IFERROR(HYPERLINK("#"&amp;ADDRESS(MATCH(A11&amp;"PT",'LM7 Non-ENG'!$A$1:$A$5000,0),1,,,"LM7 Non-ENG"),IF(IFERROR(VLOOKUP(A11&amp;"PT",'LM7 Non-ENG'!$A$1:$A$5000,1,FALSE),"ERROR")=A11&amp;"PT","Y","")),"")</f>
        <v/>
      </c>
      <c r="E11" s="37">
        <f>IFERROR(VLOOKUP(A11,PLInter!A:D,3,FALSE),IF(VLOOKUP(A11,PN!A:C,3,FALSE)&lt;&gt;"Inactive",0,"Inactive"))</f>
        <v>900</v>
      </c>
      <c r="F11" s="11">
        <v>600</v>
      </c>
      <c r="G11" s="11"/>
    </row>
    <row r="12" spans="1:13" ht="18" customHeight="1">
      <c r="A12" s="10" t="s">
        <v>179</v>
      </c>
      <c r="B12" s="10" t="s">
        <v>180</v>
      </c>
      <c r="C12" s="29" t="str">
        <f>IFERROR(HYPERLINK("#"&amp;ADDRESS(MATCH(A12&amp;"ES",'LM7 Non-ENG'!$A$1:$A$5000,0),1,,,"LM7 Non-ENG"),IF(IFERROR(VLOOKUP(A12&amp;"ES",'LM7 Non-ENG'!$A$1:$A$4999,1,FALSE),"ERROR")=A12&amp;"ES","Y","")),"")</f>
        <v/>
      </c>
      <c r="D12" s="29" t="str">
        <f>IFERROR(HYPERLINK("#"&amp;ADDRESS(MATCH(A12&amp;"PT",'LM7 Non-ENG'!$A$1:$A$5000,0),1,,,"LM7 Non-ENG"),IF(IFERROR(VLOOKUP(A12&amp;"PT",'LM7 Non-ENG'!$A$1:$A$5000,1,FALSE),"ERROR")=A12&amp;"PT","Y","")),"")</f>
        <v/>
      </c>
      <c r="E12" s="37">
        <f>IFERROR(VLOOKUP(A12,PLInter!A:D,3,FALSE),IF(VLOOKUP(A12,PN!A:C,3,FALSE)&lt;&gt;"Inactive",0,"Inactive"))</f>
        <v>900</v>
      </c>
      <c r="F12" s="11">
        <v>1500</v>
      </c>
      <c r="G12" s="11"/>
    </row>
    <row r="13" spans="1:13" ht="18" customHeight="1">
      <c r="A13" s="63" t="s">
        <v>157</v>
      </c>
      <c r="B13" s="63"/>
      <c r="C13" s="63"/>
      <c r="D13" s="63"/>
      <c r="E13" s="63"/>
      <c r="F13" s="63"/>
      <c r="G13" s="63"/>
      <c r="H13" s="63"/>
      <c r="I13" s="63"/>
      <c r="J13" s="63"/>
      <c r="K13" s="63"/>
      <c r="L13" s="63"/>
      <c r="M13" s="63"/>
    </row>
    <row r="14" spans="1:13" ht="18" customHeight="1">
      <c r="A14" t="s">
        <v>158</v>
      </c>
      <c r="B14" s="10" t="s">
        <v>159</v>
      </c>
      <c r="C14" s="29" t="str">
        <f>IFERROR(HYPERLINK("#"&amp;ADDRESS(MATCH(A14&amp;"ES",'LM7 Non-ENG'!$A$1:$A$5000,0),1,,,"LM7 Non-ENG"),IF(IFERROR(VLOOKUP(A14&amp;"ES",'LM7 Non-ENG'!$A$1:$A$4999,1,FALSE),"ERROR")=A14&amp;"ES","Y","")),"")</f>
        <v/>
      </c>
      <c r="D14" s="29" t="str">
        <f>IFERROR(HYPERLINK("#"&amp;ADDRESS(MATCH(A14&amp;"PT",'LM7 Non-ENG'!$A$1:$A$5000,0),1,,,"LM7 Non-ENG"),IF(IFERROR(VLOOKUP(A14&amp;"PT",'LM7 Non-ENG'!$A$1:$A$5000,1,FALSE),"ERROR")=A14&amp;"PT","Y","")),"")</f>
        <v/>
      </c>
      <c r="E14" s="37">
        <f>IFERROR(VLOOKUP(A14,PLInter!A:D,3,FALSE),IF(VLOOKUP(A14,PN!A:C,3,FALSE)&lt;&gt;"Inactive",0,"Inactive"))</f>
        <v>2500</v>
      </c>
      <c r="F14" s="11">
        <v>0</v>
      </c>
      <c r="G14" s="11"/>
    </row>
    <row r="15" spans="1:13" ht="18" customHeight="1">
      <c r="A15" t="s">
        <v>160</v>
      </c>
      <c r="B15" s="10" t="s">
        <v>161</v>
      </c>
      <c r="C15" s="29" t="str">
        <f>IFERROR(HYPERLINK("#"&amp;ADDRESS(MATCH(A15&amp;"ES",'LM7 Non-ENG'!$A$1:$A$5000,0),1,,,"LM7 Non-ENG"),IF(IFERROR(VLOOKUP(A15&amp;"ES",'LM7 Non-ENG'!$A$1:$A$4999,1,FALSE),"ERROR")=A15&amp;"ES","Y","")),"")</f>
        <v/>
      </c>
      <c r="D15" s="29" t="str">
        <f>IFERROR(HYPERLINK("#"&amp;ADDRESS(MATCH(A15&amp;"PT",'LM7 Non-ENG'!$A$1:$A$5000,0),1,,,"LM7 Non-ENG"),IF(IFERROR(VLOOKUP(A15&amp;"PT",'LM7 Non-ENG'!$A$1:$A$5000,1,FALSE),"ERROR")=A15&amp;"PT","Y","")),"")</f>
        <v/>
      </c>
      <c r="E15" s="37">
        <f>IFERROR(VLOOKUP(A15,PLInter!A:D,3,FALSE),IF(VLOOKUP(A15,PN!A:C,3,FALSE)&lt;&gt;"Inactive",0,"Inactive"))</f>
        <v>3995</v>
      </c>
      <c r="F15" s="11">
        <v>0</v>
      </c>
      <c r="G15" s="11"/>
    </row>
    <row r="16" spans="1:13" ht="18" customHeight="1">
      <c r="A16" t="s">
        <v>162</v>
      </c>
      <c r="B16" s="10" t="s">
        <v>163</v>
      </c>
      <c r="C16" s="29" t="str">
        <f>IFERROR(HYPERLINK("#"&amp;ADDRESS(MATCH(A16&amp;"ES",'LM7 Non-ENG'!$A$1:$A$5000,0),1,,,"LM7 Non-ENG"),IF(IFERROR(VLOOKUP(A16&amp;"ES",'LM7 Non-ENG'!$A$1:$A$4999,1,FALSE),"ERROR")=A16&amp;"ES","Y","")),"")</f>
        <v/>
      </c>
      <c r="D16" s="29" t="str">
        <f>IFERROR(HYPERLINK("#"&amp;ADDRESS(MATCH(A16&amp;"PT",'LM7 Non-ENG'!$A$1:$A$5000,0),1,,,"LM7 Non-ENG"),IF(IFERROR(VLOOKUP(A16&amp;"PT",'LM7 Non-ENG'!$A$1:$A$5000,1,FALSE),"ERROR")=A16&amp;"PT","Y","")),"")</f>
        <v/>
      </c>
      <c r="E16" s="37">
        <f>IFERROR(VLOOKUP(A16,PLInter!A:D,3,FALSE),IF(VLOOKUP(A16,PN!A:C,3,FALSE)&lt;&gt;"Inactive",0,"Inactive"))</f>
        <v>0</v>
      </c>
      <c r="F16" s="11">
        <v>0</v>
      </c>
      <c r="G16" s="11"/>
    </row>
    <row r="17" spans="1:7" ht="18" customHeight="1">
      <c r="A17" t="s">
        <v>173</v>
      </c>
      <c r="B17" s="10" t="s">
        <v>174</v>
      </c>
      <c r="C17" s="29" t="str">
        <f>IFERROR(HYPERLINK("#"&amp;ADDRESS(MATCH(A17&amp;"ES",'LM7 Non-ENG'!$A$1:$A$5000,0),1,,,"LM7 Non-ENG"),IF(IFERROR(VLOOKUP(A17&amp;"ES",'LM7 Non-ENG'!$A$1:$A$4999,1,FALSE),"ERROR")=A17&amp;"ES","Y","")),"")</f>
        <v/>
      </c>
      <c r="D17" s="29" t="str">
        <f>IFERROR(HYPERLINK("#"&amp;ADDRESS(MATCH(A17&amp;"PT",'LM7 Non-ENG'!$A$1:$A$5000,0),1,,,"LM7 Non-ENG"),IF(IFERROR(VLOOKUP(A17&amp;"PT",'LM7 Non-ENG'!$A$1:$A$5000,1,FALSE),"ERROR")=A17&amp;"PT","Y","")),"")</f>
        <v/>
      </c>
      <c r="E17" s="37">
        <f>IFERROR(VLOOKUP(A17,PLInter!A:D,3,FALSE),IF(VLOOKUP(A17,PN!A:C,3,FALSE)&lt;&gt;"Inactive",0,"Inactive"))</f>
        <v>500</v>
      </c>
      <c r="F17" s="11">
        <v>0</v>
      </c>
      <c r="G17" s="11"/>
    </row>
    <row r="18" spans="1:7" ht="18" customHeight="1">
      <c r="A18" t="s">
        <v>175</v>
      </c>
      <c r="B18" s="10" t="s">
        <v>176</v>
      </c>
      <c r="C18" s="29" t="str">
        <f>IFERROR(HYPERLINK("#"&amp;ADDRESS(MATCH(A18&amp;"ES",'LM7 Non-ENG'!$A$1:$A$5000,0),1,,,"LM7 Non-ENG"),IF(IFERROR(VLOOKUP(A18&amp;"ES",'LM7 Non-ENG'!$A$1:$A$4999,1,FALSE),"ERROR")=A18&amp;"ES","Y","")),"")</f>
        <v/>
      </c>
      <c r="D18" s="29" t="str">
        <f>IFERROR(HYPERLINK("#"&amp;ADDRESS(MATCH(A18&amp;"PT",'LM7 Non-ENG'!$A$1:$A$5000,0),1,,,"LM7 Non-ENG"),IF(IFERROR(VLOOKUP(A18&amp;"PT",'LM7 Non-ENG'!$A$1:$A$5000,1,FALSE),"ERROR")=A18&amp;"PT","Y","")),"")</f>
        <v/>
      </c>
      <c r="E18" s="37">
        <f>IFERROR(VLOOKUP(A18,PLInter!A:D,3,FALSE),IF(VLOOKUP(A18,PN!A:C,3,FALSE)&lt;&gt;"Inactive",0,"Inactive"))</f>
        <v>450</v>
      </c>
      <c r="F18" s="11">
        <v>0</v>
      </c>
      <c r="G18" s="11"/>
    </row>
    <row r="19" spans="1:7" ht="18" customHeight="1">
      <c r="B19" s="10"/>
      <c r="C19" s="10"/>
      <c r="D19" s="10"/>
      <c r="E19" s="3"/>
    </row>
    <row r="20" spans="1:7" ht="18" customHeight="1">
      <c r="B20" s="10"/>
      <c r="C20" s="10"/>
      <c r="D20" s="10"/>
      <c r="E20" s="3"/>
    </row>
    <row r="21" spans="1:7" ht="18" customHeight="1">
      <c r="B21" s="10"/>
      <c r="C21" s="10"/>
      <c r="D21" s="10"/>
      <c r="E21" s="3"/>
    </row>
    <row r="22" spans="1:7" ht="18" customHeight="1">
      <c r="B22" s="10"/>
      <c r="C22" s="10"/>
      <c r="D22" s="10"/>
      <c r="E22" s="3"/>
    </row>
    <row r="23" spans="1:7" ht="18" customHeight="1">
      <c r="B23" s="10"/>
      <c r="C23" s="10"/>
      <c r="D23" s="10"/>
      <c r="E23" s="3"/>
    </row>
    <row r="24" spans="1:7" ht="18" customHeight="1">
      <c r="B24" s="10"/>
      <c r="C24" s="10"/>
      <c r="D24" s="10"/>
      <c r="E24" s="3"/>
    </row>
    <row r="25" spans="1:7" ht="18" customHeight="1">
      <c r="B25" s="10"/>
      <c r="C25" s="10"/>
      <c r="D25" s="10"/>
      <c r="E25" s="3"/>
    </row>
    <row r="26" spans="1:7" ht="18" customHeight="1">
      <c r="B26" s="10"/>
      <c r="C26" s="10"/>
      <c r="D26" s="10"/>
      <c r="E26" s="3"/>
    </row>
    <row r="27" spans="1:7" ht="18" customHeight="1">
      <c r="B27" s="10"/>
      <c r="C27" s="10"/>
      <c r="D27" s="10"/>
      <c r="E27" s="3"/>
    </row>
    <row r="28" spans="1:7" ht="18" customHeight="1">
      <c r="B28" s="10"/>
      <c r="C28" s="10"/>
      <c r="D28" s="10"/>
      <c r="E28" s="3"/>
    </row>
    <row r="29" spans="1:7" ht="18" customHeight="1">
      <c r="B29" s="10"/>
      <c r="C29" s="10"/>
      <c r="D29" s="10"/>
      <c r="E29" s="3"/>
    </row>
    <row r="30" spans="1:7" ht="18" customHeight="1">
      <c r="B30" s="10"/>
      <c r="C30" s="10"/>
      <c r="D30" s="10"/>
      <c r="E30" s="3"/>
    </row>
    <row r="31" spans="1:7" ht="18" customHeight="1">
      <c r="B31" s="10"/>
      <c r="C31" s="10"/>
      <c r="D31" s="10"/>
      <c r="E31" s="3"/>
    </row>
    <row r="32" spans="1:7" ht="18" customHeight="1">
      <c r="B32" s="10"/>
      <c r="C32" s="10"/>
      <c r="D32" s="10"/>
    </row>
    <row r="33" spans="2:4" ht="18" customHeight="1">
      <c r="B33" s="10"/>
      <c r="C33" s="10"/>
      <c r="D33" s="10"/>
    </row>
    <row r="34" spans="2:4" ht="18" customHeight="1">
      <c r="B34" s="10"/>
      <c r="C34" s="10"/>
      <c r="D34" s="10"/>
    </row>
    <row r="35" spans="2:4" ht="18" customHeight="1">
      <c r="B35" s="10"/>
      <c r="C35" s="10"/>
      <c r="D35" s="10"/>
    </row>
    <row r="36" spans="2:4" ht="18" customHeight="1">
      <c r="B36" s="10"/>
      <c r="C36" s="10"/>
      <c r="D36" s="10"/>
    </row>
    <row r="37" spans="2:4" ht="18" customHeight="1">
      <c r="B37" s="10"/>
      <c r="C37" s="10"/>
      <c r="D37" s="10"/>
    </row>
    <row r="38" spans="2:4" ht="18" customHeight="1">
      <c r="B38" s="10"/>
      <c r="C38" s="10"/>
      <c r="D38" s="10"/>
    </row>
    <row r="39" spans="2:4" ht="18" customHeight="1">
      <c r="B39" s="10"/>
      <c r="C39" s="10"/>
      <c r="D39" s="10"/>
    </row>
    <row r="40" spans="2:4" ht="18" customHeight="1">
      <c r="B40" s="10"/>
      <c r="C40" s="10"/>
      <c r="D40" s="10"/>
    </row>
    <row r="41" spans="2:4" ht="18" customHeight="1">
      <c r="B41" s="10"/>
      <c r="C41" s="10"/>
      <c r="D41" s="10"/>
    </row>
    <row r="42" spans="2:4" ht="18" customHeight="1">
      <c r="B42" s="10"/>
      <c r="C42" s="10"/>
      <c r="D42" s="10"/>
    </row>
    <row r="43" spans="2:4" ht="18" customHeight="1">
      <c r="B43" s="10"/>
      <c r="C43" s="10"/>
      <c r="D43" s="10"/>
    </row>
    <row r="44" spans="2:4" ht="18" customHeight="1">
      <c r="B44" s="10"/>
      <c r="C44" s="10"/>
      <c r="D44" s="10"/>
    </row>
    <row r="45" spans="2:4" ht="18" customHeight="1">
      <c r="B45" s="10"/>
      <c r="C45" s="10"/>
      <c r="D45" s="10"/>
    </row>
    <row r="46" spans="2:4" ht="18" customHeight="1">
      <c r="B46" s="10"/>
      <c r="C46" s="10"/>
      <c r="D46" s="10"/>
    </row>
    <row r="47" spans="2:4" ht="18" customHeight="1">
      <c r="B47" s="10"/>
      <c r="C47" s="10"/>
      <c r="D47" s="10"/>
    </row>
    <row r="48" spans="2:4" ht="18" customHeight="1">
      <c r="B48" s="10"/>
      <c r="C48" s="10"/>
      <c r="D48" s="10"/>
    </row>
    <row r="49" spans="2:4" ht="18" customHeight="1">
      <c r="B49" s="10"/>
      <c r="C49" s="10"/>
      <c r="D49" s="10"/>
    </row>
    <row r="50" spans="2:4" ht="18" customHeight="1">
      <c r="B50" s="10"/>
      <c r="C50" s="10"/>
      <c r="D50" s="10"/>
    </row>
    <row r="51" spans="2:4" ht="18" customHeight="1">
      <c r="B51" s="10"/>
      <c r="C51" s="10"/>
      <c r="D51" s="10"/>
    </row>
    <row r="52" spans="2:4" ht="18" customHeight="1">
      <c r="B52" s="10"/>
      <c r="C52" s="10"/>
      <c r="D52" s="10"/>
    </row>
    <row r="53" spans="2:4" ht="18" customHeight="1">
      <c r="B53" s="10"/>
      <c r="C53" s="10"/>
      <c r="D53" s="10"/>
    </row>
    <row r="54" spans="2:4" ht="18" customHeight="1">
      <c r="B54" s="10"/>
      <c r="C54" s="10"/>
      <c r="D54" s="10"/>
    </row>
    <row r="55" spans="2:4" ht="18" customHeight="1">
      <c r="B55" s="10"/>
      <c r="C55" s="10"/>
      <c r="D55" s="10"/>
    </row>
    <row r="56" spans="2:4" ht="18" customHeight="1">
      <c r="B56" s="10"/>
      <c r="C56" s="10"/>
      <c r="D56" s="10"/>
    </row>
    <row r="57" spans="2:4" ht="18" customHeight="1">
      <c r="B57" s="10"/>
      <c r="C57" s="10"/>
      <c r="D57" s="10"/>
    </row>
    <row r="58" spans="2:4" ht="18" customHeight="1">
      <c r="B58" s="10"/>
      <c r="C58" s="10"/>
      <c r="D58" s="10"/>
    </row>
    <row r="59" spans="2:4" ht="18" customHeight="1">
      <c r="B59" s="10"/>
      <c r="C59" s="10"/>
      <c r="D59" s="10"/>
    </row>
    <row r="60" spans="2:4" ht="18" customHeight="1">
      <c r="B60" s="10"/>
      <c r="C60" s="10"/>
      <c r="D60" s="10"/>
    </row>
    <row r="61" spans="2:4" ht="18" customHeight="1">
      <c r="B61" s="10"/>
      <c r="C61" s="10"/>
      <c r="D61" s="10"/>
    </row>
    <row r="62" spans="2:4" ht="18" customHeight="1">
      <c r="B62" s="10"/>
      <c r="C62" s="10"/>
      <c r="D62" s="10"/>
    </row>
    <row r="63" spans="2:4" ht="18" customHeight="1">
      <c r="B63" s="10"/>
      <c r="C63" s="10"/>
      <c r="D63" s="10"/>
    </row>
    <row r="64" spans="2:4" ht="18" customHeight="1">
      <c r="B64" s="10"/>
      <c r="C64" s="10"/>
      <c r="D64" s="10"/>
    </row>
    <row r="65" spans="2:4" ht="18" customHeight="1">
      <c r="B65" s="10"/>
      <c r="C65" s="10"/>
      <c r="D65" s="10"/>
    </row>
    <row r="66" spans="2:4" ht="18" customHeight="1">
      <c r="B66" s="10"/>
      <c r="C66" s="10"/>
      <c r="D66" s="10"/>
    </row>
    <row r="67" spans="2:4" ht="18" customHeight="1">
      <c r="B67" s="10"/>
      <c r="C67" s="10"/>
      <c r="D67" s="10"/>
    </row>
    <row r="68" spans="2:4" ht="18" customHeight="1">
      <c r="B68" s="10"/>
      <c r="C68" s="10"/>
      <c r="D68" s="10"/>
    </row>
    <row r="69" spans="2:4" ht="18" customHeight="1">
      <c r="B69" s="10"/>
      <c r="C69" s="10"/>
      <c r="D69" s="10"/>
    </row>
    <row r="70" spans="2:4" ht="18" customHeight="1">
      <c r="B70" s="10"/>
      <c r="C70" s="10"/>
      <c r="D70" s="10"/>
    </row>
    <row r="71" spans="2:4" ht="18" customHeight="1">
      <c r="B71" s="10"/>
      <c r="C71" s="10"/>
      <c r="D71" s="10"/>
    </row>
    <row r="72" spans="2:4" ht="18" customHeight="1">
      <c r="B72" s="10"/>
      <c r="C72" s="10"/>
      <c r="D72" s="10"/>
    </row>
    <row r="73" spans="2:4" ht="18" customHeight="1">
      <c r="B73" s="10"/>
      <c r="C73" s="10"/>
      <c r="D73" s="10"/>
    </row>
    <row r="74" spans="2:4" ht="18" customHeight="1">
      <c r="B74" s="10"/>
      <c r="C74" s="10"/>
      <c r="D74" s="10"/>
    </row>
    <row r="75" spans="2:4" ht="18" customHeight="1">
      <c r="B75" s="10"/>
      <c r="C75" s="10"/>
      <c r="D75" s="10"/>
    </row>
    <row r="76" spans="2:4" ht="18" customHeight="1">
      <c r="B76" s="10"/>
      <c r="C76" s="10"/>
      <c r="D76" s="10"/>
    </row>
    <row r="77" spans="2:4" ht="18" customHeight="1">
      <c r="B77" s="10"/>
      <c r="C77" s="10"/>
      <c r="D77" s="10"/>
    </row>
    <row r="78" spans="2:4" ht="18" customHeight="1">
      <c r="B78" s="10"/>
      <c r="C78" s="10"/>
      <c r="D78" s="10"/>
    </row>
    <row r="79" spans="2:4" ht="18" customHeight="1">
      <c r="B79" s="10"/>
      <c r="C79" s="10"/>
      <c r="D79" s="10"/>
    </row>
    <row r="80" spans="2:4" ht="18" customHeight="1">
      <c r="B80" s="10"/>
      <c r="C80" s="10"/>
      <c r="D80" s="10"/>
    </row>
    <row r="81" spans="2:4" ht="18" customHeight="1">
      <c r="B81" s="10"/>
      <c r="C81" s="10"/>
      <c r="D81" s="10"/>
    </row>
    <row r="82" spans="2:4" ht="18" customHeight="1">
      <c r="B82" s="10"/>
      <c r="C82" s="10"/>
      <c r="D82" s="10"/>
    </row>
    <row r="83" spans="2:4" ht="18" customHeight="1">
      <c r="B83" s="10"/>
      <c r="C83" s="10"/>
      <c r="D83" s="10"/>
    </row>
    <row r="84" spans="2:4" ht="18" customHeight="1">
      <c r="B84" s="10"/>
      <c r="C84" s="10"/>
      <c r="D84" s="10"/>
    </row>
    <row r="85" spans="2:4" ht="18" customHeight="1">
      <c r="B85" s="10"/>
      <c r="C85" s="10"/>
      <c r="D85" s="10"/>
    </row>
    <row r="86" spans="2:4" ht="18" customHeight="1">
      <c r="B86" s="10"/>
      <c r="C86" s="10"/>
      <c r="D86" s="10"/>
    </row>
    <row r="87" spans="2:4" ht="18" customHeight="1">
      <c r="B87" s="10"/>
      <c r="C87" s="10"/>
      <c r="D87" s="10"/>
    </row>
    <row r="88" spans="2:4" ht="18" customHeight="1">
      <c r="B88" s="10"/>
      <c r="C88" s="10"/>
      <c r="D88" s="10"/>
    </row>
    <row r="89" spans="2:4" ht="18" customHeight="1">
      <c r="B89" s="10"/>
      <c r="C89" s="10"/>
      <c r="D89" s="10"/>
    </row>
    <row r="90" spans="2:4" ht="18" customHeight="1">
      <c r="B90" s="10"/>
      <c r="C90" s="10"/>
      <c r="D90" s="10"/>
    </row>
    <row r="91" spans="2:4" ht="18" customHeight="1">
      <c r="B91" s="10"/>
      <c r="C91" s="10"/>
      <c r="D91" s="10"/>
    </row>
    <row r="92" spans="2:4" ht="18" customHeight="1">
      <c r="B92" s="10"/>
      <c r="C92" s="10"/>
      <c r="D92" s="10"/>
    </row>
    <row r="93" spans="2:4" ht="18" customHeight="1">
      <c r="B93" s="10"/>
      <c r="C93" s="10"/>
      <c r="D93" s="10"/>
    </row>
    <row r="94" spans="2:4" ht="18" customHeight="1">
      <c r="B94" s="10"/>
      <c r="C94" s="10"/>
      <c r="D94" s="10"/>
    </row>
    <row r="95" spans="2:4" ht="18" customHeight="1">
      <c r="B95" s="10"/>
      <c r="C95" s="10"/>
      <c r="D95" s="10"/>
    </row>
    <row r="96" spans="2:4" ht="18" customHeight="1">
      <c r="B96" s="10"/>
      <c r="C96" s="10"/>
      <c r="D96" s="10"/>
    </row>
    <row r="97" spans="2:4" ht="18" customHeight="1">
      <c r="B97" s="10"/>
      <c r="C97" s="10"/>
      <c r="D97" s="10"/>
    </row>
    <row r="98" spans="2:4" ht="18" customHeight="1">
      <c r="B98" s="10"/>
      <c r="C98" s="10"/>
      <c r="D98" s="10"/>
    </row>
    <row r="99" spans="2:4" ht="18" customHeight="1">
      <c r="B99" s="10"/>
      <c r="C99" s="10"/>
      <c r="D99" s="10"/>
    </row>
    <row r="100" spans="2:4" ht="18" customHeight="1">
      <c r="B100" s="10"/>
      <c r="C100" s="10"/>
      <c r="D100" s="10"/>
    </row>
    <row r="101" spans="2:4" ht="18" customHeight="1">
      <c r="B101" s="10"/>
      <c r="C101" s="10"/>
      <c r="D101" s="10"/>
    </row>
    <row r="102" spans="2:4" ht="18" customHeight="1">
      <c r="B102" s="10"/>
      <c r="C102" s="10"/>
      <c r="D102" s="10"/>
    </row>
    <row r="103" spans="2:4" ht="18" customHeight="1">
      <c r="B103" s="10"/>
      <c r="C103" s="10"/>
      <c r="D103" s="10"/>
    </row>
    <row r="104" spans="2:4" ht="18" customHeight="1">
      <c r="B104" s="10"/>
      <c r="C104" s="10"/>
      <c r="D104" s="10"/>
    </row>
    <row r="105" spans="2:4" ht="18" customHeight="1">
      <c r="B105" s="10"/>
      <c r="C105" s="10"/>
      <c r="D105" s="10"/>
    </row>
    <row r="106" spans="2:4" ht="18" customHeight="1">
      <c r="B106" s="10"/>
      <c r="C106" s="10"/>
      <c r="D106" s="10"/>
    </row>
    <row r="107" spans="2:4" ht="18" customHeight="1">
      <c r="B107" s="10"/>
      <c r="C107" s="10"/>
      <c r="D107" s="10"/>
    </row>
    <row r="108" spans="2:4" ht="18" customHeight="1">
      <c r="B108" s="10"/>
      <c r="C108" s="10"/>
      <c r="D108" s="10"/>
    </row>
    <row r="109" spans="2:4" ht="18" customHeight="1">
      <c r="B109" s="10"/>
      <c r="C109" s="10"/>
      <c r="D109" s="10"/>
    </row>
    <row r="110" spans="2:4" ht="18" customHeight="1">
      <c r="B110" s="10"/>
      <c r="C110" s="10"/>
      <c r="D110" s="10"/>
    </row>
    <row r="111" spans="2:4" ht="18" customHeight="1">
      <c r="B111" s="10"/>
      <c r="C111" s="10"/>
      <c r="D111" s="10"/>
    </row>
    <row r="112" spans="2:4" ht="18" customHeight="1">
      <c r="B112" s="10"/>
      <c r="C112" s="10"/>
      <c r="D112" s="10"/>
    </row>
    <row r="113" spans="2:4" ht="18" customHeight="1">
      <c r="B113" s="10"/>
      <c r="C113" s="10"/>
      <c r="D113" s="10"/>
    </row>
    <row r="114" spans="2:4" ht="18" customHeight="1">
      <c r="B114" s="10"/>
      <c r="C114" s="10"/>
      <c r="D114" s="10"/>
    </row>
    <row r="115" spans="2:4" ht="18" customHeight="1">
      <c r="B115" s="10"/>
      <c r="C115" s="10"/>
      <c r="D115" s="10"/>
    </row>
    <row r="116" spans="2:4" ht="18" customHeight="1">
      <c r="B116" s="10"/>
      <c r="C116" s="10"/>
      <c r="D116" s="10"/>
    </row>
    <row r="117" spans="2:4" ht="18" customHeight="1">
      <c r="B117" s="10"/>
      <c r="C117" s="10"/>
      <c r="D117" s="10"/>
    </row>
    <row r="118" spans="2:4" ht="18" customHeight="1">
      <c r="B118" s="10"/>
      <c r="C118" s="10"/>
      <c r="D118" s="10"/>
    </row>
    <row r="119" spans="2:4" ht="18" customHeight="1">
      <c r="B119" s="10"/>
      <c r="C119" s="10"/>
      <c r="D119" s="10"/>
    </row>
    <row r="120" spans="2:4" ht="18" customHeight="1">
      <c r="B120" s="10"/>
      <c r="C120" s="10"/>
      <c r="D120" s="10"/>
    </row>
    <row r="121" spans="2:4" ht="18" customHeight="1">
      <c r="B121" s="10"/>
      <c r="C121" s="10"/>
      <c r="D121" s="10"/>
    </row>
    <row r="122" spans="2:4" ht="18" customHeight="1">
      <c r="B122" s="10"/>
      <c r="C122" s="10"/>
      <c r="D122" s="10"/>
    </row>
    <row r="123" spans="2:4" ht="18" customHeight="1">
      <c r="B123" s="10"/>
      <c r="C123" s="10"/>
      <c r="D123" s="10"/>
    </row>
    <row r="124" spans="2:4" ht="18" customHeight="1">
      <c r="B124" s="10"/>
      <c r="C124" s="10"/>
      <c r="D124" s="10"/>
    </row>
    <row r="125" spans="2:4" ht="18" customHeight="1">
      <c r="B125" s="10"/>
      <c r="C125" s="10"/>
      <c r="D125" s="10"/>
    </row>
    <row r="126" spans="2:4" ht="18" customHeight="1">
      <c r="B126" s="10"/>
      <c r="C126" s="10"/>
      <c r="D126" s="10"/>
    </row>
    <row r="127" spans="2:4" ht="18" customHeight="1">
      <c r="B127" s="10"/>
      <c r="C127" s="10"/>
      <c r="D127" s="10"/>
    </row>
    <row r="128" spans="2:4" ht="18" customHeight="1">
      <c r="B128" s="10"/>
      <c r="C128" s="10"/>
      <c r="D128" s="10"/>
    </row>
    <row r="129" spans="2:4" ht="18" customHeight="1">
      <c r="B129" s="10"/>
      <c r="C129" s="10"/>
      <c r="D129" s="10"/>
    </row>
    <row r="130" spans="2:4" ht="18" customHeight="1">
      <c r="B130" s="10"/>
      <c r="C130" s="10"/>
      <c r="D130" s="10"/>
    </row>
    <row r="131" spans="2:4" ht="18" customHeight="1">
      <c r="B131" s="10"/>
      <c r="C131" s="10"/>
      <c r="D131" s="10"/>
    </row>
    <row r="132" spans="2:4" ht="18" customHeight="1">
      <c r="B132" s="10"/>
      <c r="C132" s="10"/>
      <c r="D132" s="10"/>
    </row>
    <row r="133" spans="2:4" ht="18" customHeight="1">
      <c r="B133" s="10"/>
      <c r="C133" s="10"/>
      <c r="D133" s="10"/>
    </row>
    <row r="134" spans="2:4" ht="18" customHeight="1">
      <c r="B134" s="10"/>
      <c r="C134" s="10"/>
      <c r="D134" s="10"/>
    </row>
    <row r="135" spans="2:4" ht="18" customHeight="1">
      <c r="B135" s="10"/>
      <c r="C135" s="10"/>
      <c r="D135" s="10"/>
    </row>
    <row r="136" spans="2:4" ht="18" customHeight="1">
      <c r="B136" s="10"/>
      <c r="C136" s="10"/>
      <c r="D136" s="10"/>
    </row>
    <row r="137" spans="2:4" ht="18" customHeight="1">
      <c r="B137" s="10"/>
      <c r="C137" s="10"/>
      <c r="D137" s="10"/>
    </row>
    <row r="138" spans="2:4" ht="18" customHeight="1">
      <c r="B138" s="10"/>
      <c r="C138" s="10"/>
      <c r="D138" s="10"/>
    </row>
    <row r="139" spans="2:4" ht="18" customHeight="1">
      <c r="B139" s="10"/>
      <c r="C139" s="10"/>
      <c r="D139" s="10"/>
    </row>
    <row r="140" spans="2:4" ht="18" customHeight="1">
      <c r="B140" s="10"/>
      <c r="C140" s="10"/>
      <c r="D140" s="10"/>
    </row>
    <row r="141" spans="2:4" ht="18" customHeight="1">
      <c r="B141" s="10"/>
      <c r="C141" s="10"/>
      <c r="D141" s="10"/>
    </row>
    <row r="142" spans="2:4" ht="18" customHeight="1">
      <c r="B142" s="10"/>
      <c r="C142" s="10"/>
      <c r="D142" s="10"/>
    </row>
    <row r="143" spans="2:4" ht="18" customHeight="1">
      <c r="B143" s="10"/>
      <c r="C143" s="10"/>
      <c r="D143" s="10"/>
    </row>
    <row r="144" spans="2:4" ht="18" customHeight="1">
      <c r="B144" s="10"/>
      <c r="C144" s="10"/>
      <c r="D144" s="10"/>
    </row>
    <row r="145" spans="2:4" ht="18" customHeight="1">
      <c r="B145" s="10"/>
      <c r="C145" s="10"/>
      <c r="D145" s="10"/>
    </row>
    <row r="146" spans="2:4" ht="18" customHeight="1">
      <c r="B146" s="10"/>
      <c r="C146" s="10"/>
      <c r="D146" s="10"/>
    </row>
    <row r="147" spans="2:4" ht="18" customHeight="1">
      <c r="B147" s="10"/>
      <c r="C147" s="10"/>
      <c r="D147" s="10"/>
    </row>
    <row r="148" spans="2:4" ht="18" customHeight="1">
      <c r="B148" s="10"/>
      <c r="C148" s="10"/>
      <c r="D148" s="10"/>
    </row>
    <row r="149" spans="2:4" ht="18" customHeight="1">
      <c r="B149" s="10"/>
      <c r="C149" s="10"/>
      <c r="D149" s="10"/>
    </row>
    <row r="150" spans="2:4" ht="18" customHeight="1">
      <c r="B150" s="10"/>
      <c r="C150" s="10"/>
      <c r="D150" s="10"/>
    </row>
    <row r="151" spans="2:4" ht="18" customHeight="1">
      <c r="B151" s="10"/>
      <c r="C151" s="10"/>
      <c r="D151" s="10"/>
    </row>
    <row r="152" spans="2:4" ht="18" customHeight="1">
      <c r="B152" s="10"/>
      <c r="C152" s="10"/>
      <c r="D152" s="10"/>
    </row>
    <row r="153" spans="2:4" ht="18" customHeight="1">
      <c r="B153" s="10"/>
      <c r="C153" s="10"/>
      <c r="D153" s="10"/>
    </row>
    <row r="154" spans="2:4" ht="18" customHeight="1">
      <c r="B154" s="10"/>
      <c r="C154" s="10"/>
      <c r="D154" s="10"/>
    </row>
    <row r="155" spans="2:4" ht="18" customHeight="1">
      <c r="B155" s="10"/>
      <c r="C155" s="10"/>
      <c r="D155" s="10"/>
    </row>
    <row r="156" spans="2:4" ht="18" customHeight="1">
      <c r="B156" s="10"/>
      <c r="C156" s="10"/>
      <c r="D156" s="10"/>
    </row>
    <row r="157" spans="2:4" ht="18" customHeight="1">
      <c r="B157" s="10"/>
      <c r="C157" s="10"/>
      <c r="D157" s="10"/>
    </row>
    <row r="158" spans="2:4" ht="18" customHeight="1">
      <c r="B158" s="10"/>
      <c r="C158" s="10"/>
      <c r="D158" s="10"/>
    </row>
    <row r="159" spans="2:4" ht="18" customHeight="1">
      <c r="B159" s="10"/>
      <c r="C159" s="10"/>
      <c r="D159" s="10"/>
    </row>
    <row r="160" spans="2:4" ht="18" customHeight="1">
      <c r="B160" s="10"/>
      <c r="C160" s="10"/>
      <c r="D160" s="10"/>
    </row>
    <row r="161" spans="2:4" ht="18" customHeight="1">
      <c r="B161" s="10"/>
      <c r="C161" s="10"/>
      <c r="D161" s="10"/>
    </row>
    <row r="162" spans="2:4" ht="18" customHeight="1">
      <c r="B162" s="10"/>
      <c r="C162" s="10"/>
      <c r="D162" s="10"/>
    </row>
    <row r="163" spans="2:4" ht="18" customHeight="1">
      <c r="B163" s="10"/>
      <c r="C163" s="10"/>
      <c r="D163" s="10"/>
    </row>
    <row r="164" spans="2:4" ht="18" customHeight="1">
      <c r="B164" s="10"/>
      <c r="C164" s="10"/>
      <c r="D164" s="10"/>
    </row>
    <row r="165" spans="2:4" ht="18" customHeight="1">
      <c r="B165" s="10"/>
      <c r="C165" s="10"/>
      <c r="D165" s="10"/>
    </row>
    <row r="166" spans="2:4" ht="18" customHeight="1">
      <c r="B166" s="10"/>
      <c r="C166" s="10"/>
      <c r="D166" s="10"/>
    </row>
    <row r="167" spans="2:4" ht="18" customHeight="1">
      <c r="B167" s="10"/>
      <c r="C167" s="10"/>
      <c r="D167" s="10"/>
    </row>
    <row r="168" spans="2:4" ht="18" customHeight="1">
      <c r="B168" s="10"/>
      <c r="C168" s="10"/>
      <c r="D168" s="10"/>
    </row>
    <row r="169" spans="2:4" ht="18" customHeight="1">
      <c r="B169" s="10"/>
      <c r="C169" s="10"/>
      <c r="D169" s="10"/>
    </row>
    <row r="170" spans="2:4" ht="18" customHeight="1">
      <c r="B170" s="10"/>
      <c r="C170" s="10"/>
      <c r="D170" s="10"/>
    </row>
    <row r="171" spans="2:4" ht="18" customHeight="1">
      <c r="B171" s="10"/>
      <c r="C171" s="10"/>
      <c r="D171" s="10"/>
    </row>
    <row r="172" spans="2:4" ht="18" customHeight="1">
      <c r="B172" s="10"/>
      <c r="C172" s="10"/>
      <c r="D172" s="10"/>
    </row>
    <row r="173" spans="2:4" ht="18" customHeight="1">
      <c r="B173" s="10"/>
      <c r="C173" s="10"/>
      <c r="D173" s="10"/>
    </row>
    <row r="174" spans="2:4" ht="18" customHeight="1">
      <c r="B174" s="10"/>
      <c r="C174" s="10"/>
      <c r="D174" s="10"/>
    </row>
    <row r="175" spans="2:4" ht="18" customHeight="1">
      <c r="B175" s="10"/>
      <c r="C175" s="10"/>
      <c r="D175" s="10"/>
    </row>
    <row r="176" spans="2:4" ht="18" customHeight="1">
      <c r="B176" s="10"/>
      <c r="C176" s="10"/>
      <c r="D176" s="10"/>
    </row>
    <row r="177" spans="2:4" ht="18" customHeight="1">
      <c r="B177" s="10"/>
      <c r="C177" s="10"/>
      <c r="D177" s="10"/>
    </row>
    <row r="178" spans="2:4" ht="18" customHeight="1">
      <c r="B178" s="10"/>
      <c r="C178" s="10"/>
      <c r="D178" s="10"/>
    </row>
    <row r="179" spans="2:4" ht="18" customHeight="1">
      <c r="B179" s="10"/>
      <c r="C179" s="10"/>
      <c r="D179" s="10"/>
    </row>
    <row r="180" spans="2:4" ht="18" customHeight="1">
      <c r="B180" s="10"/>
      <c r="C180" s="10"/>
      <c r="D180" s="10"/>
    </row>
    <row r="181" spans="2:4" ht="18" customHeight="1">
      <c r="B181" s="10"/>
      <c r="C181" s="10"/>
      <c r="D181" s="10"/>
    </row>
    <row r="182" spans="2:4" ht="18" customHeight="1">
      <c r="B182" s="10"/>
      <c r="C182" s="10"/>
      <c r="D182" s="10"/>
    </row>
    <row r="183" spans="2:4" ht="18" customHeight="1">
      <c r="B183" s="10"/>
      <c r="C183" s="10"/>
      <c r="D183" s="10"/>
    </row>
    <row r="184" spans="2:4" ht="18" customHeight="1">
      <c r="B184" s="10"/>
      <c r="C184" s="10"/>
      <c r="D184" s="10"/>
    </row>
    <row r="185" spans="2:4" ht="18" customHeight="1">
      <c r="B185" s="10"/>
      <c r="C185" s="10"/>
      <c r="D185" s="10"/>
    </row>
    <row r="186" spans="2:4" ht="18" customHeight="1">
      <c r="B186" s="10"/>
      <c r="C186" s="10"/>
      <c r="D186" s="10"/>
    </row>
    <row r="187" spans="2:4" ht="18" customHeight="1">
      <c r="B187" s="10"/>
      <c r="C187" s="10"/>
      <c r="D187" s="10"/>
    </row>
    <row r="188" spans="2:4" ht="18" customHeight="1">
      <c r="B188" s="10"/>
      <c r="C188" s="10"/>
      <c r="D188" s="10"/>
    </row>
    <row r="189" spans="2:4" ht="18" customHeight="1">
      <c r="B189" s="10"/>
      <c r="C189" s="10"/>
      <c r="D189" s="10"/>
    </row>
    <row r="190" spans="2:4" ht="18" customHeight="1">
      <c r="B190" s="10"/>
      <c r="C190" s="10"/>
      <c r="D190" s="10"/>
    </row>
    <row r="191" spans="2:4" ht="18" customHeight="1">
      <c r="B191" s="10"/>
      <c r="C191" s="10"/>
      <c r="D191" s="10"/>
    </row>
    <row r="192" spans="2:4" ht="18" customHeight="1">
      <c r="B192" s="10"/>
      <c r="C192" s="10"/>
      <c r="D192" s="10"/>
    </row>
    <row r="193" spans="2:4" ht="18" customHeight="1">
      <c r="B193" s="10"/>
      <c r="C193" s="10"/>
      <c r="D193" s="10"/>
    </row>
    <row r="194" spans="2:4" ht="18" customHeight="1">
      <c r="B194" s="10"/>
      <c r="C194" s="10"/>
      <c r="D194" s="10"/>
    </row>
    <row r="195" spans="2:4" ht="18" customHeight="1">
      <c r="B195" s="10"/>
      <c r="C195" s="10"/>
      <c r="D195" s="10"/>
    </row>
    <row r="196" spans="2:4" ht="18" customHeight="1">
      <c r="B196" s="10"/>
      <c r="C196" s="10"/>
      <c r="D196" s="10"/>
    </row>
    <row r="197" spans="2:4" ht="18" customHeight="1">
      <c r="B197" s="10"/>
      <c r="C197" s="10"/>
      <c r="D197" s="10"/>
    </row>
    <row r="198" spans="2:4" ht="18" customHeight="1">
      <c r="B198" s="10"/>
      <c r="C198" s="10"/>
      <c r="D198" s="10"/>
    </row>
    <row r="199" spans="2:4" ht="18" customHeight="1">
      <c r="B199" s="10"/>
      <c r="C199" s="10"/>
      <c r="D199" s="10"/>
    </row>
    <row r="200" spans="2:4" ht="18" customHeight="1">
      <c r="B200" s="10"/>
      <c r="C200" s="10"/>
      <c r="D200" s="10"/>
    </row>
    <row r="201" spans="2:4" ht="18" customHeight="1">
      <c r="B201" s="10"/>
      <c r="C201" s="10"/>
      <c r="D201" s="10"/>
    </row>
    <row r="202" spans="2:4" ht="18" customHeight="1">
      <c r="B202" s="10"/>
      <c r="C202" s="10"/>
      <c r="D202" s="10"/>
    </row>
    <row r="203" spans="2:4" ht="18" customHeight="1">
      <c r="B203" s="10"/>
      <c r="C203" s="10"/>
      <c r="D203" s="10"/>
    </row>
    <row r="204" spans="2:4" ht="18" customHeight="1">
      <c r="B204" s="10"/>
      <c r="C204" s="10"/>
      <c r="D204" s="10"/>
    </row>
    <row r="205" spans="2:4" ht="18" customHeight="1">
      <c r="B205" s="10"/>
      <c r="C205" s="10"/>
      <c r="D205" s="10"/>
    </row>
    <row r="206" spans="2:4" ht="18" customHeight="1">
      <c r="B206" s="10"/>
      <c r="C206" s="10"/>
      <c r="D206" s="10"/>
    </row>
    <row r="207" spans="2:4" ht="18" customHeight="1">
      <c r="B207" s="10"/>
      <c r="C207" s="10"/>
      <c r="D207" s="10"/>
    </row>
    <row r="208" spans="2:4" ht="18" customHeight="1">
      <c r="B208" s="10"/>
      <c r="C208" s="10"/>
      <c r="D208" s="10"/>
    </row>
    <row r="209" spans="2:4" ht="18" customHeight="1">
      <c r="B209" s="10"/>
      <c r="C209" s="10"/>
      <c r="D209" s="10"/>
    </row>
    <row r="210" spans="2:4" ht="18" customHeight="1">
      <c r="B210" s="10"/>
      <c r="C210" s="10"/>
      <c r="D210" s="10"/>
    </row>
    <row r="211" spans="2:4" ht="18" customHeight="1">
      <c r="B211" s="10"/>
      <c r="C211" s="10"/>
      <c r="D211" s="10"/>
    </row>
    <row r="212" spans="2:4" ht="18" customHeight="1">
      <c r="B212" s="10"/>
      <c r="C212" s="10"/>
      <c r="D212" s="10"/>
    </row>
    <row r="213" spans="2:4" ht="18" customHeight="1">
      <c r="B213" s="10"/>
      <c r="C213" s="10"/>
      <c r="D213" s="10"/>
    </row>
    <row r="214" spans="2:4" ht="18" customHeight="1">
      <c r="B214" s="10"/>
      <c r="C214" s="10"/>
      <c r="D214" s="10"/>
    </row>
    <row r="215" spans="2:4" ht="18" customHeight="1">
      <c r="B215" s="10"/>
      <c r="C215" s="10"/>
      <c r="D215" s="10"/>
    </row>
    <row r="216" spans="2:4" ht="18" customHeight="1">
      <c r="B216" s="10"/>
      <c r="C216" s="10"/>
      <c r="D216" s="10"/>
    </row>
    <row r="217" spans="2:4" ht="18" customHeight="1">
      <c r="B217" s="10"/>
      <c r="C217" s="10"/>
      <c r="D217" s="10"/>
    </row>
    <row r="218" spans="2:4" ht="18" customHeight="1">
      <c r="B218" s="10"/>
      <c r="C218" s="10"/>
      <c r="D218" s="10"/>
    </row>
    <row r="219" spans="2:4" ht="18" customHeight="1">
      <c r="B219" s="10"/>
      <c r="C219" s="10"/>
      <c r="D219" s="10"/>
    </row>
    <row r="220" spans="2:4" ht="18" customHeight="1">
      <c r="B220" s="10"/>
      <c r="C220" s="10"/>
      <c r="D220" s="10"/>
    </row>
    <row r="221" spans="2:4" ht="18" customHeight="1">
      <c r="B221" s="10"/>
      <c r="C221" s="10"/>
      <c r="D221" s="10"/>
    </row>
    <row r="222" spans="2:4" ht="18" customHeight="1">
      <c r="B222" s="10"/>
      <c r="C222" s="10"/>
      <c r="D222" s="10"/>
    </row>
    <row r="223" spans="2:4" ht="18" customHeight="1">
      <c r="B223" s="10"/>
      <c r="C223" s="10"/>
      <c r="D223" s="10"/>
    </row>
    <row r="224" spans="2:4" ht="18" customHeight="1">
      <c r="B224" s="10"/>
      <c r="C224" s="10"/>
      <c r="D224" s="10"/>
    </row>
    <row r="225" spans="2:4" ht="18" customHeight="1">
      <c r="B225" s="10"/>
      <c r="C225" s="10"/>
      <c r="D225" s="10"/>
    </row>
    <row r="226" spans="2:4" ht="18" customHeight="1">
      <c r="B226" s="10"/>
      <c r="C226" s="10"/>
      <c r="D226" s="10"/>
    </row>
    <row r="227" spans="2:4" ht="18" customHeight="1">
      <c r="B227" s="10"/>
      <c r="C227" s="10"/>
      <c r="D227" s="10"/>
    </row>
    <row r="228" spans="2:4" ht="18" customHeight="1">
      <c r="B228" s="10"/>
      <c r="C228" s="10"/>
      <c r="D228" s="10"/>
    </row>
    <row r="229" spans="2:4" ht="18" customHeight="1">
      <c r="B229" s="10"/>
      <c r="C229" s="10"/>
      <c r="D229" s="10"/>
    </row>
    <row r="230" spans="2:4" ht="18" customHeight="1">
      <c r="B230" s="10"/>
      <c r="C230" s="10"/>
      <c r="D230" s="10"/>
    </row>
    <row r="231" spans="2:4" ht="18" customHeight="1">
      <c r="B231" s="10"/>
      <c r="C231" s="10"/>
      <c r="D231" s="10"/>
    </row>
    <row r="232" spans="2:4" ht="18" customHeight="1">
      <c r="B232" s="10"/>
      <c r="C232" s="10"/>
      <c r="D232" s="10"/>
    </row>
    <row r="233" spans="2:4" ht="18" customHeight="1">
      <c r="B233" s="10"/>
      <c r="C233" s="10"/>
      <c r="D233" s="10"/>
    </row>
    <row r="234" spans="2:4" ht="18" customHeight="1">
      <c r="B234" s="10"/>
      <c r="C234" s="10"/>
      <c r="D234" s="10"/>
    </row>
    <row r="235" spans="2:4" ht="18" customHeight="1">
      <c r="B235" s="10"/>
      <c r="C235" s="10"/>
      <c r="D235" s="10"/>
    </row>
    <row r="236" spans="2:4" ht="18" customHeight="1">
      <c r="B236" s="10"/>
      <c r="C236" s="10"/>
      <c r="D236" s="10"/>
    </row>
    <row r="237" spans="2:4" ht="18" customHeight="1">
      <c r="B237" s="10"/>
      <c r="C237" s="10"/>
      <c r="D237" s="10"/>
    </row>
    <row r="238" spans="2:4" ht="18" customHeight="1">
      <c r="B238" s="10"/>
      <c r="C238" s="10"/>
      <c r="D238" s="10"/>
    </row>
    <row r="239" spans="2:4" ht="18" customHeight="1">
      <c r="B239" s="10"/>
      <c r="C239" s="10"/>
      <c r="D239" s="10"/>
    </row>
    <row r="240" spans="2:4" ht="18" customHeight="1">
      <c r="B240" s="10"/>
      <c r="C240" s="10"/>
      <c r="D240" s="10"/>
    </row>
    <row r="241" spans="2:4" ht="18" customHeight="1">
      <c r="B241" s="10"/>
      <c r="C241" s="10"/>
      <c r="D241" s="10"/>
    </row>
    <row r="242" spans="2:4" ht="18" customHeight="1">
      <c r="B242" s="10"/>
      <c r="C242" s="10"/>
      <c r="D242" s="10"/>
    </row>
    <row r="243" spans="2:4" ht="18" customHeight="1">
      <c r="B243" s="10"/>
      <c r="C243" s="10"/>
      <c r="D243" s="10"/>
    </row>
    <row r="244" spans="2:4" ht="18" customHeight="1">
      <c r="B244" s="10"/>
      <c r="C244" s="10"/>
      <c r="D244" s="10"/>
    </row>
    <row r="245" spans="2:4" ht="18" customHeight="1">
      <c r="B245" s="10"/>
      <c r="C245" s="10"/>
      <c r="D245" s="10"/>
    </row>
    <row r="246" spans="2:4" ht="18" customHeight="1">
      <c r="B246" s="10"/>
      <c r="C246" s="10"/>
      <c r="D246" s="10"/>
    </row>
    <row r="247" spans="2:4" ht="18" customHeight="1">
      <c r="B247" s="10"/>
      <c r="C247" s="10"/>
      <c r="D247" s="10"/>
    </row>
    <row r="248" spans="2:4" ht="18" customHeight="1">
      <c r="B248" s="10"/>
      <c r="C248" s="10"/>
      <c r="D248" s="10"/>
    </row>
    <row r="249" spans="2:4" ht="18" customHeight="1">
      <c r="B249" s="10"/>
      <c r="C249" s="10"/>
      <c r="D249" s="10"/>
    </row>
    <row r="250" spans="2:4" ht="18" customHeight="1">
      <c r="B250" s="10"/>
      <c r="C250" s="10"/>
      <c r="D250" s="10"/>
    </row>
    <row r="251" spans="2:4" ht="18" customHeight="1">
      <c r="B251" s="10"/>
      <c r="C251" s="10"/>
      <c r="D251" s="10"/>
    </row>
    <row r="252" spans="2:4" ht="18" customHeight="1">
      <c r="B252" s="10"/>
      <c r="C252" s="10"/>
      <c r="D252" s="10"/>
    </row>
    <row r="253" spans="2:4" ht="18" customHeight="1">
      <c r="B253" s="10"/>
      <c r="C253" s="10"/>
      <c r="D253" s="10"/>
    </row>
    <row r="254" spans="2:4" ht="18" customHeight="1">
      <c r="B254" s="10"/>
      <c r="C254" s="10"/>
      <c r="D254" s="10"/>
    </row>
    <row r="255" spans="2:4" ht="18" customHeight="1">
      <c r="B255" s="10"/>
      <c r="C255" s="10"/>
      <c r="D255" s="10"/>
    </row>
    <row r="256" spans="2:4" ht="18" customHeight="1">
      <c r="B256" s="10"/>
      <c r="C256" s="10"/>
      <c r="D256" s="10"/>
    </row>
    <row r="257" spans="2:4" ht="18" customHeight="1">
      <c r="B257" s="10"/>
      <c r="C257" s="10"/>
      <c r="D257" s="10"/>
    </row>
    <row r="258" spans="2:4" ht="18" customHeight="1">
      <c r="B258" s="10"/>
      <c r="C258" s="10"/>
      <c r="D258" s="10"/>
    </row>
    <row r="259" spans="2:4" ht="18" customHeight="1">
      <c r="B259" s="10"/>
      <c r="C259" s="10"/>
      <c r="D259" s="10"/>
    </row>
    <row r="260" spans="2:4" ht="18" customHeight="1">
      <c r="B260" s="10"/>
      <c r="C260" s="10"/>
      <c r="D260" s="10"/>
    </row>
    <row r="261" spans="2:4" ht="18" customHeight="1">
      <c r="B261" s="10"/>
      <c r="C261" s="10"/>
      <c r="D261" s="10"/>
    </row>
    <row r="262" spans="2:4" ht="18" customHeight="1">
      <c r="B262" s="10"/>
      <c r="C262" s="10"/>
      <c r="D262" s="10"/>
    </row>
    <row r="263" spans="2:4" ht="18" customHeight="1">
      <c r="B263" s="10"/>
      <c r="C263" s="10"/>
      <c r="D263" s="10"/>
    </row>
    <row r="264" spans="2:4" ht="18" customHeight="1">
      <c r="B264" s="10"/>
      <c r="C264" s="10"/>
      <c r="D264" s="10"/>
    </row>
    <row r="265" spans="2:4" ht="18" customHeight="1">
      <c r="B265" s="10"/>
      <c r="C265" s="10"/>
      <c r="D265" s="10"/>
    </row>
    <row r="266" spans="2:4" ht="18" customHeight="1">
      <c r="B266" s="10"/>
      <c r="C266" s="10"/>
      <c r="D266" s="10"/>
    </row>
    <row r="267" spans="2:4" ht="18" customHeight="1">
      <c r="B267" s="10"/>
      <c r="C267" s="10"/>
      <c r="D267" s="10"/>
    </row>
    <row r="268" spans="2:4" ht="18" customHeight="1">
      <c r="B268" s="10"/>
      <c r="C268" s="10"/>
      <c r="D268" s="10"/>
    </row>
    <row r="269" spans="2:4" ht="18" customHeight="1">
      <c r="B269" s="10"/>
      <c r="C269" s="10"/>
      <c r="D269" s="10"/>
    </row>
    <row r="270" spans="2:4" ht="18" customHeight="1">
      <c r="B270" s="10"/>
      <c r="C270" s="10"/>
      <c r="D270" s="10"/>
    </row>
    <row r="271" spans="2:4" ht="18" customHeight="1">
      <c r="B271" s="10"/>
      <c r="C271" s="10"/>
      <c r="D271" s="10"/>
    </row>
    <row r="272" spans="2:4" ht="18" customHeight="1">
      <c r="B272" s="10"/>
      <c r="C272" s="10"/>
      <c r="D272" s="10"/>
    </row>
    <row r="273" spans="2:4" ht="18" customHeight="1">
      <c r="B273" s="10"/>
      <c r="C273" s="10"/>
      <c r="D273" s="10"/>
    </row>
    <row r="274" spans="2:4" ht="18" customHeight="1">
      <c r="B274" s="10"/>
      <c r="C274" s="10"/>
      <c r="D274" s="10"/>
    </row>
    <row r="275" spans="2:4" ht="18" customHeight="1">
      <c r="B275" s="10"/>
      <c r="C275" s="10"/>
      <c r="D275" s="10"/>
    </row>
    <row r="276" spans="2:4" ht="18" customHeight="1">
      <c r="B276" s="10"/>
      <c r="C276" s="10"/>
      <c r="D276" s="10"/>
    </row>
    <row r="277" spans="2:4" ht="18" customHeight="1">
      <c r="B277" s="10"/>
      <c r="C277" s="10"/>
      <c r="D277" s="10"/>
    </row>
    <row r="278" spans="2:4" ht="18" customHeight="1">
      <c r="B278" s="10"/>
      <c r="C278" s="10"/>
      <c r="D278" s="10"/>
    </row>
    <row r="279" spans="2:4" ht="18" customHeight="1">
      <c r="B279" s="10"/>
      <c r="C279" s="10"/>
      <c r="D279" s="10"/>
    </row>
    <row r="280" spans="2:4" ht="18" customHeight="1">
      <c r="B280" s="10"/>
      <c r="C280" s="10"/>
      <c r="D280" s="10"/>
    </row>
    <row r="281" spans="2:4" ht="18" customHeight="1">
      <c r="B281" s="10"/>
      <c r="C281" s="10"/>
      <c r="D281" s="10"/>
    </row>
    <row r="282" spans="2:4" ht="18" customHeight="1">
      <c r="B282" s="10"/>
      <c r="C282" s="10"/>
      <c r="D282" s="10"/>
    </row>
    <row r="283" spans="2:4" ht="18" customHeight="1">
      <c r="B283" s="10"/>
      <c r="C283" s="10"/>
      <c r="D283" s="10"/>
    </row>
    <row r="284" spans="2:4" ht="18" customHeight="1">
      <c r="B284" s="10"/>
      <c r="C284" s="10"/>
      <c r="D284" s="10"/>
    </row>
    <row r="285" spans="2:4" ht="18" customHeight="1">
      <c r="B285" s="10"/>
      <c r="C285" s="10"/>
      <c r="D285" s="10"/>
    </row>
    <row r="286" spans="2:4" ht="18" customHeight="1">
      <c r="B286" s="10"/>
      <c r="C286" s="10"/>
      <c r="D286" s="10"/>
    </row>
    <row r="287" spans="2:4" ht="18" customHeight="1">
      <c r="B287" s="10"/>
      <c r="C287" s="10"/>
      <c r="D287" s="10"/>
    </row>
    <row r="288" spans="2:4" ht="18" customHeight="1">
      <c r="B288" s="10"/>
      <c r="C288" s="10"/>
      <c r="D288" s="10"/>
    </row>
    <row r="289" spans="2:4" ht="18" customHeight="1">
      <c r="B289" s="10"/>
      <c r="C289" s="10"/>
      <c r="D289" s="10"/>
    </row>
    <row r="290" spans="2:4" ht="18" customHeight="1">
      <c r="B290" s="10"/>
      <c r="C290" s="10"/>
      <c r="D290" s="10"/>
    </row>
    <row r="291" spans="2:4" ht="18" customHeight="1">
      <c r="B291" s="10"/>
      <c r="C291" s="10"/>
      <c r="D291" s="10"/>
    </row>
    <row r="292" spans="2:4" ht="18" customHeight="1">
      <c r="B292" s="10"/>
      <c r="C292" s="10"/>
      <c r="D292" s="10"/>
    </row>
    <row r="293" spans="2:4" ht="18" customHeight="1">
      <c r="B293" s="10"/>
      <c r="C293" s="10"/>
      <c r="D293" s="10"/>
    </row>
    <row r="294" spans="2:4" ht="18" customHeight="1">
      <c r="B294" s="10"/>
      <c r="C294" s="10"/>
      <c r="D294" s="10"/>
    </row>
    <row r="295" spans="2:4" ht="18" customHeight="1">
      <c r="B295" s="10"/>
      <c r="C295" s="10"/>
      <c r="D295" s="10"/>
    </row>
    <row r="296" spans="2:4" ht="18" customHeight="1">
      <c r="B296" s="10"/>
      <c r="C296" s="10"/>
      <c r="D296" s="10"/>
    </row>
    <row r="297" spans="2:4" ht="18" customHeight="1">
      <c r="B297" s="10"/>
      <c r="C297" s="10"/>
      <c r="D297" s="10"/>
    </row>
    <row r="298" spans="2:4" ht="18" customHeight="1">
      <c r="B298" s="10"/>
      <c r="C298" s="10"/>
      <c r="D298" s="10"/>
    </row>
    <row r="299" spans="2:4" ht="18" customHeight="1">
      <c r="B299" s="10"/>
      <c r="C299" s="10"/>
      <c r="D299" s="10"/>
    </row>
    <row r="300" spans="2:4" ht="18" customHeight="1">
      <c r="B300" s="10"/>
      <c r="C300" s="10"/>
      <c r="D300" s="10"/>
    </row>
    <row r="301" spans="2:4" ht="18" customHeight="1">
      <c r="B301" s="10"/>
      <c r="C301" s="10"/>
      <c r="D301" s="10"/>
    </row>
    <row r="302" spans="2:4" ht="18" customHeight="1">
      <c r="B302" s="10"/>
      <c r="C302" s="10"/>
      <c r="D302" s="10"/>
    </row>
    <row r="303" spans="2:4" ht="18" customHeight="1">
      <c r="B303" s="10"/>
      <c r="C303" s="10"/>
      <c r="D303" s="10"/>
    </row>
    <row r="304" spans="2:4" ht="18" customHeight="1">
      <c r="B304" s="10"/>
      <c r="C304" s="10"/>
      <c r="D304" s="10"/>
    </row>
    <row r="305" spans="2:4" ht="18" customHeight="1">
      <c r="B305" s="10"/>
      <c r="C305" s="10"/>
      <c r="D305" s="10"/>
    </row>
    <row r="306" spans="2:4" ht="18" customHeight="1">
      <c r="B306" s="10"/>
      <c r="C306" s="10"/>
      <c r="D306" s="10"/>
    </row>
    <row r="307" spans="2:4" ht="18" customHeight="1">
      <c r="B307" s="10"/>
      <c r="C307" s="10"/>
      <c r="D307" s="10"/>
    </row>
    <row r="308" spans="2:4" ht="18" customHeight="1">
      <c r="B308" s="10"/>
      <c r="C308" s="10"/>
      <c r="D308" s="10"/>
    </row>
    <row r="309" spans="2:4" ht="18" customHeight="1">
      <c r="B309" s="10"/>
      <c r="C309" s="10"/>
      <c r="D309" s="10"/>
    </row>
    <row r="310" spans="2:4" ht="18" customHeight="1">
      <c r="B310" s="10"/>
      <c r="C310" s="10"/>
      <c r="D310" s="10"/>
    </row>
    <row r="311" spans="2:4" ht="18" customHeight="1">
      <c r="B311" s="10"/>
      <c r="C311" s="10"/>
      <c r="D311" s="10"/>
    </row>
    <row r="312" spans="2:4" ht="18" customHeight="1">
      <c r="B312" s="10"/>
      <c r="C312" s="10"/>
      <c r="D312" s="10"/>
    </row>
    <row r="313" spans="2:4" ht="18" customHeight="1">
      <c r="B313" s="10"/>
      <c r="C313" s="10"/>
      <c r="D313" s="10"/>
    </row>
    <row r="314" spans="2:4" ht="18" customHeight="1">
      <c r="B314" s="10"/>
      <c r="C314" s="10"/>
      <c r="D314" s="10"/>
    </row>
    <row r="315" spans="2:4" ht="18" customHeight="1">
      <c r="B315" s="10"/>
      <c r="C315" s="10"/>
      <c r="D315" s="10"/>
    </row>
    <row r="316" spans="2:4" ht="18" customHeight="1">
      <c r="B316" s="10"/>
      <c r="C316" s="10"/>
      <c r="D316" s="10"/>
    </row>
    <row r="317" spans="2:4" ht="18" customHeight="1">
      <c r="B317" s="10"/>
      <c r="C317" s="10"/>
      <c r="D317" s="10"/>
    </row>
    <row r="318" spans="2:4" ht="18" customHeight="1">
      <c r="B318" s="10"/>
      <c r="C318" s="10"/>
      <c r="D318" s="10"/>
    </row>
    <row r="319" spans="2:4" ht="18" customHeight="1">
      <c r="B319" s="10"/>
      <c r="C319" s="10"/>
      <c r="D319" s="10"/>
    </row>
    <row r="320" spans="2:4" ht="18" customHeight="1">
      <c r="B320" s="10"/>
      <c r="C320" s="10"/>
      <c r="D320" s="10"/>
    </row>
    <row r="321" spans="2:4" ht="18" customHeight="1">
      <c r="B321" s="10"/>
      <c r="C321" s="10"/>
      <c r="D321" s="10"/>
    </row>
    <row r="322" spans="2:4" ht="18" customHeight="1">
      <c r="B322" s="10"/>
      <c r="C322" s="10"/>
      <c r="D322" s="10"/>
    </row>
    <row r="323" spans="2:4" ht="18" customHeight="1">
      <c r="B323" s="10"/>
      <c r="C323" s="10"/>
      <c r="D323" s="10"/>
    </row>
    <row r="324" spans="2:4" ht="18" customHeight="1">
      <c r="B324" s="10"/>
      <c r="C324" s="10"/>
      <c r="D324" s="10"/>
    </row>
    <row r="325" spans="2:4" ht="18" customHeight="1">
      <c r="B325" s="10"/>
      <c r="C325" s="10"/>
      <c r="D325" s="10"/>
    </row>
    <row r="326" spans="2:4" ht="18" customHeight="1">
      <c r="B326" s="10"/>
      <c r="C326" s="10"/>
      <c r="D326" s="10"/>
    </row>
    <row r="327" spans="2:4" ht="18" customHeight="1">
      <c r="B327" s="10"/>
      <c r="C327" s="10"/>
      <c r="D327" s="10"/>
    </row>
    <row r="328" spans="2:4" ht="18" customHeight="1">
      <c r="B328" s="10"/>
      <c r="C328" s="10"/>
      <c r="D328" s="10"/>
    </row>
    <row r="329" spans="2:4" ht="18" customHeight="1">
      <c r="B329" s="10"/>
      <c r="C329" s="10"/>
      <c r="D329" s="10"/>
    </row>
    <row r="330" spans="2:4" ht="18" customHeight="1">
      <c r="B330" s="10"/>
      <c r="C330" s="10"/>
      <c r="D330" s="10"/>
    </row>
    <row r="331" spans="2:4" ht="18" customHeight="1">
      <c r="B331" s="10"/>
      <c r="C331" s="10"/>
      <c r="D331" s="10"/>
    </row>
    <row r="332" spans="2:4" ht="18" customHeight="1">
      <c r="B332" s="10"/>
      <c r="C332" s="10"/>
      <c r="D332" s="10"/>
    </row>
    <row r="333" spans="2:4" ht="18" customHeight="1">
      <c r="B333" s="10"/>
      <c r="C333" s="10"/>
      <c r="D333" s="10"/>
    </row>
    <row r="334" spans="2:4" ht="18" customHeight="1">
      <c r="B334" s="10"/>
      <c r="C334" s="10"/>
      <c r="D334" s="10"/>
    </row>
    <row r="335" spans="2:4" ht="18" customHeight="1">
      <c r="B335" s="10"/>
      <c r="C335" s="10"/>
      <c r="D335" s="10"/>
    </row>
    <row r="336" spans="2:4" ht="18" customHeight="1">
      <c r="B336" s="10"/>
      <c r="C336" s="10"/>
      <c r="D336" s="10"/>
    </row>
    <row r="337" spans="2:4" ht="18" customHeight="1">
      <c r="B337" s="10"/>
      <c r="C337" s="10"/>
      <c r="D337" s="10"/>
    </row>
    <row r="338" spans="2:4" ht="18" customHeight="1">
      <c r="B338" s="10"/>
      <c r="C338" s="10"/>
      <c r="D338" s="10"/>
    </row>
    <row r="339" spans="2:4" ht="18" customHeight="1">
      <c r="B339" s="10"/>
      <c r="C339" s="10"/>
      <c r="D339" s="10"/>
    </row>
    <row r="340" spans="2:4" ht="18" customHeight="1">
      <c r="B340" s="10"/>
      <c r="C340" s="10"/>
      <c r="D340" s="10"/>
    </row>
    <row r="341" spans="2:4" ht="18" customHeight="1">
      <c r="B341" s="10"/>
      <c r="C341" s="10"/>
      <c r="D341" s="10"/>
    </row>
    <row r="342" spans="2:4" ht="18" customHeight="1">
      <c r="B342" s="10"/>
      <c r="C342" s="10"/>
      <c r="D342" s="10"/>
    </row>
    <row r="343" spans="2:4" ht="18" customHeight="1">
      <c r="B343" s="10"/>
      <c r="C343" s="10"/>
      <c r="D343" s="10"/>
    </row>
    <row r="344" spans="2:4" ht="18" customHeight="1">
      <c r="B344" s="10"/>
      <c r="C344" s="10"/>
      <c r="D344" s="10"/>
    </row>
    <row r="345" spans="2:4" ht="18" customHeight="1">
      <c r="B345" s="10"/>
      <c r="C345" s="10"/>
      <c r="D345" s="10"/>
    </row>
    <row r="346" spans="2:4" ht="18" customHeight="1">
      <c r="B346" s="10"/>
      <c r="C346" s="10"/>
      <c r="D346" s="10"/>
    </row>
    <row r="347" spans="2:4" ht="18" customHeight="1">
      <c r="B347" s="10"/>
      <c r="C347" s="10"/>
      <c r="D347" s="10"/>
    </row>
    <row r="348" spans="2:4" ht="18" customHeight="1">
      <c r="B348" s="10"/>
      <c r="C348" s="10"/>
      <c r="D348" s="10"/>
    </row>
    <row r="349" spans="2:4" ht="18" customHeight="1">
      <c r="B349" s="10"/>
      <c r="C349" s="10"/>
      <c r="D349" s="10"/>
    </row>
    <row r="350" spans="2:4" ht="18" customHeight="1">
      <c r="B350" s="10"/>
      <c r="C350" s="10"/>
      <c r="D350" s="10"/>
    </row>
    <row r="351" spans="2:4" ht="18" customHeight="1">
      <c r="B351" s="10"/>
      <c r="C351" s="10"/>
      <c r="D351" s="10"/>
    </row>
    <row r="352" spans="2:4" ht="18" customHeight="1">
      <c r="B352" s="10"/>
      <c r="C352" s="10"/>
      <c r="D352" s="10"/>
    </row>
    <row r="353" spans="2:4" ht="18" customHeight="1">
      <c r="B353" s="10"/>
      <c r="C353" s="10"/>
      <c r="D353" s="10"/>
    </row>
    <row r="354" spans="2:4" ht="18" customHeight="1">
      <c r="B354" s="10"/>
      <c r="C354" s="10"/>
      <c r="D354" s="10"/>
    </row>
    <row r="355" spans="2:4" ht="18" customHeight="1">
      <c r="B355" s="10"/>
      <c r="C355" s="10"/>
      <c r="D355" s="10"/>
    </row>
    <row r="356" spans="2:4" ht="18" customHeight="1">
      <c r="B356" s="10"/>
      <c r="C356" s="10"/>
      <c r="D356" s="10"/>
    </row>
    <row r="357" spans="2:4" ht="18" customHeight="1">
      <c r="B357" s="10"/>
      <c r="C357" s="10"/>
      <c r="D357" s="10"/>
    </row>
    <row r="358" spans="2:4" ht="18" customHeight="1">
      <c r="B358" s="10"/>
      <c r="C358" s="10"/>
      <c r="D358" s="10"/>
    </row>
    <row r="359" spans="2:4" ht="18" customHeight="1">
      <c r="B359" s="10"/>
      <c r="C359" s="10"/>
      <c r="D359" s="10"/>
    </row>
    <row r="360" spans="2:4" ht="18" customHeight="1">
      <c r="B360" s="10"/>
      <c r="C360" s="10"/>
      <c r="D360" s="10"/>
    </row>
    <row r="361" spans="2:4" ht="18" customHeight="1">
      <c r="B361" s="10"/>
      <c r="C361" s="10"/>
      <c r="D361" s="10"/>
    </row>
    <row r="362" spans="2:4" ht="18" customHeight="1">
      <c r="B362" s="10"/>
      <c r="C362" s="10"/>
      <c r="D362" s="10"/>
    </row>
    <row r="363" spans="2:4" ht="18" customHeight="1">
      <c r="B363" s="10"/>
      <c r="C363" s="10"/>
      <c r="D363" s="10"/>
    </row>
    <row r="364" spans="2:4" ht="18" customHeight="1">
      <c r="B364" s="10"/>
      <c r="C364" s="10"/>
      <c r="D364" s="10"/>
    </row>
    <row r="365" spans="2:4" ht="18" customHeight="1">
      <c r="B365" s="10"/>
      <c r="C365" s="10"/>
      <c r="D365" s="10"/>
    </row>
    <row r="366" spans="2:4" ht="18" customHeight="1">
      <c r="B366" s="10"/>
      <c r="C366" s="10"/>
      <c r="D366" s="10"/>
    </row>
    <row r="367" spans="2:4" ht="18" customHeight="1">
      <c r="B367" s="10"/>
      <c r="C367" s="10"/>
      <c r="D367" s="10"/>
    </row>
    <row r="368" spans="2:4" ht="18" customHeight="1">
      <c r="B368" s="10"/>
      <c r="C368" s="10"/>
      <c r="D368" s="10"/>
    </row>
    <row r="369" spans="2:4" ht="18" customHeight="1">
      <c r="B369" s="10"/>
      <c r="C369" s="10"/>
      <c r="D369" s="10"/>
    </row>
    <row r="370" spans="2:4" ht="18" customHeight="1">
      <c r="B370" s="10"/>
      <c r="C370" s="10"/>
      <c r="D370" s="10"/>
    </row>
    <row r="371" spans="2:4" ht="18" customHeight="1">
      <c r="B371" s="10"/>
      <c r="C371" s="10"/>
      <c r="D371" s="10"/>
    </row>
    <row r="372" spans="2:4" ht="18" customHeight="1">
      <c r="B372" s="10"/>
      <c r="C372" s="10"/>
      <c r="D372" s="10"/>
    </row>
    <row r="373" spans="2:4" ht="18" customHeight="1">
      <c r="B373" s="10"/>
      <c r="C373" s="10"/>
      <c r="D373" s="10"/>
    </row>
    <row r="374" spans="2:4" ht="18" customHeight="1">
      <c r="B374" s="10"/>
      <c r="C374" s="10"/>
      <c r="D374" s="10"/>
    </row>
    <row r="375" spans="2:4" ht="18" customHeight="1">
      <c r="B375" s="10"/>
      <c r="C375" s="10"/>
      <c r="D375" s="10"/>
    </row>
    <row r="376" spans="2:4" ht="18" customHeight="1">
      <c r="B376" s="10"/>
      <c r="C376" s="10"/>
      <c r="D376" s="10"/>
    </row>
    <row r="377" spans="2:4" ht="18" customHeight="1">
      <c r="B377" s="10"/>
      <c r="C377" s="10"/>
      <c r="D377" s="10"/>
    </row>
    <row r="378" spans="2:4" ht="18" customHeight="1">
      <c r="B378" s="10"/>
      <c r="C378" s="10"/>
      <c r="D378" s="10"/>
    </row>
    <row r="379" spans="2:4" ht="18" customHeight="1">
      <c r="B379" s="10"/>
      <c r="C379" s="10"/>
      <c r="D379" s="10"/>
    </row>
    <row r="380" spans="2:4" ht="18" customHeight="1">
      <c r="B380" s="10"/>
      <c r="C380" s="10"/>
      <c r="D380" s="10"/>
    </row>
    <row r="381" spans="2:4" ht="18" customHeight="1">
      <c r="B381" s="10"/>
      <c r="C381" s="10"/>
      <c r="D381" s="10"/>
    </row>
    <row r="382" spans="2:4" ht="18" customHeight="1">
      <c r="B382" s="10"/>
      <c r="C382" s="10"/>
      <c r="D382" s="10"/>
    </row>
    <row r="383" spans="2:4" ht="18" customHeight="1">
      <c r="B383" s="10"/>
      <c r="C383" s="10"/>
      <c r="D383" s="10"/>
    </row>
    <row r="384" spans="2:4" ht="18" customHeight="1">
      <c r="B384" s="10"/>
      <c r="C384" s="10"/>
      <c r="D384" s="10"/>
    </row>
    <row r="385" spans="2:4" ht="18" customHeight="1">
      <c r="B385" s="10"/>
      <c r="C385" s="10"/>
      <c r="D385" s="10"/>
    </row>
    <row r="386" spans="2:4" ht="18" customHeight="1">
      <c r="B386" s="10"/>
      <c r="C386" s="10"/>
      <c r="D386" s="10"/>
    </row>
    <row r="387" spans="2:4" ht="18" customHeight="1">
      <c r="B387" s="10"/>
      <c r="C387" s="10"/>
      <c r="D387" s="10"/>
    </row>
    <row r="388" spans="2:4" ht="18" customHeight="1">
      <c r="B388" s="10"/>
      <c r="C388" s="10"/>
      <c r="D388" s="10"/>
    </row>
    <row r="389" spans="2:4" ht="18" customHeight="1">
      <c r="B389" s="10"/>
      <c r="C389" s="10"/>
      <c r="D389" s="10"/>
    </row>
    <row r="390" spans="2:4" ht="18" customHeight="1">
      <c r="B390" s="10"/>
      <c r="C390" s="10"/>
      <c r="D390" s="10"/>
    </row>
    <row r="391" spans="2:4" ht="18" customHeight="1">
      <c r="B391" s="10"/>
      <c r="C391" s="10"/>
      <c r="D391" s="10"/>
    </row>
    <row r="392" spans="2:4" ht="18" customHeight="1">
      <c r="B392" s="10"/>
      <c r="C392" s="10"/>
      <c r="D392" s="10"/>
    </row>
    <row r="393" spans="2:4" ht="18" customHeight="1">
      <c r="B393" s="10"/>
      <c r="C393" s="10"/>
      <c r="D393" s="10"/>
    </row>
    <row r="394" spans="2:4" ht="18" customHeight="1">
      <c r="B394" s="10"/>
      <c r="C394" s="10"/>
      <c r="D394" s="10"/>
    </row>
    <row r="395" spans="2:4" ht="18" customHeight="1">
      <c r="B395" s="10"/>
      <c r="C395" s="10"/>
      <c r="D395" s="10"/>
    </row>
    <row r="396" spans="2:4" ht="18" customHeight="1">
      <c r="B396" s="10"/>
      <c r="C396" s="10"/>
      <c r="D396" s="10"/>
    </row>
    <row r="397" spans="2:4" ht="18" customHeight="1">
      <c r="B397" s="10"/>
      <c r="C397" s="10"/>
      <c r="D397" s="10"/>
    </row>
    <row r="398" spans="2:4" ht="18" customHeight="1">
      <c r="B398" s="10"/>
      <c r="C398" s="10"/>
      <c r="D398" s="10"/>
    </row>
    <row r="399" spans="2:4" ht="18" customHeight="1">
      <c r="B399" s="10"/>
      <c r="C399" s="10"/>
      <c r="D399" s="10"/>
    </row>
    <row r="400" spans="2:4" ht="18" customHeight="1">
      <c r="B400" s="10"/>
      <c r="C400" s="10"/>
      <c r="D400" s="10"/>
    </row>
    <row r="401" spans="2:4" ht="18" customHeight="1">
      <c r="B401" s="10"/>
      <c r="C401" s="10"/>
      <c r="D401" s="10"/>
    </row>
    <row r="402" spans="2:4" ht="18" customHeight="1">
      <c r="B402" s="10"/>
      <c r="C402" s="10"/>
      <c r="D402" s="10"/>
    </row>
    <row r="403" spans="2:4" ht="18" customHeight="1">
      <c r="B403" s="10"/>
      <c r="C403" s="10"/>
      <c r="D403" s="10"/>
    </row>
    <row r="404" spans="2:4" ht="18" customHeight="1">
      <c r="B404" s="10"/>
      <c r="C404" s="10"/>
      <c r="D404" s="10"/>
    </row>
    <row r="405" spans="2:4" ht="18" customHeight="1">
      <c r="B405" s="10"/>
      <c r="C405" s="10"/>
      <c r="D405" s="10"/>
    </row>
    <row r="406" spans="2:4" ht="18" customHeight="1">
      <c r="B406" s="10"/>
      <c r="C406" s="10"/>
      <c r="D406" s="10"/>
    </row>
    <row r="407" spans="2:4" ht="18" customHeight="1">
      <c r="B407" s="10"/>
      <c r="C407" s="10"/>
      <c r="D407" s="10"/>
    </row>
    <row r="408" spans="2:4" ht="18" customHeight="1">
      <c r="B408" s="10"/>
      <c r="C408" s="10"/>
      <c r="D408" s="10"/>
    </row>
    <row r="409" spans="2:4" ht="18" customHeight="1">
      <c r="B409" s="10"/>
      <c r="C409" s="10"/>
      <c r="D409" s="10"/>
    </row>
    <row r="410" spans="2:4" ht="18" customHeight="1">
      <c r="B410" s="10"/>
      <c r="C410" s="10"/>
      <c r="D410" s="10"/>
    </row>
    <row r="411" spans="2:4" ht="18" customHeight="1">
      <c r="B411" s="10"/>
      <c r="C411" s="10"/>
      <c r="D411" s="10"/>
    </row>
    <row r="412" spans="2:4" ht="18" customHeight="1">
      <c r="B412" s="10"/>
      <c r="C412" s="10"/>
      <c r="D412" s="10"/>
    </row>
    <row r="413" spans="2:4" ht="18" customHeight="1">
      <c r="B413" s="10"/>
      <c r="C413" s="10"/>
      <c r="D413" s="10"/>
    </row>
    <row r="414" spans="2:4" ht="18" customHeight="1">
      <c r="B414" s="10"/>
      <c r="C414" s="10"/>
      <c r="D414" s="10"/>
    </row>
    <row r="415" spans="2:4" ht="18" customHeight="1">
      <c r="B415" s="10"/>
      <c r="C415" s="10"/>
      <c r="D415" s="10"/>
    </row>
    <row r="416" spans="2:4" ht="18" customHeight="1">
      <c r="B416" s="10"/>
      <c r="C416" s="10"/>
      <c r="D416" s="10"/>
    </row>
    <row r="417" spans="2:4" ht="18" customHeight="1">
      <c r="B417" s="10"/>
      <c r="C417" s="10"/>
      <c r="D417" s="10"/>
    </row>
    <row r="418" spans="2:4" ht="18" customHeight="1">
      <c r="B418" s="10"/>
      <c r="C418" s="10"/>
      <c r="D418" s="10"/>
    </row>
    <row r="419" spans="2:4" ht="18" customHeight="1">
      <c r="B419" s="10"/>
      <c r="C419" s="10"/>
      <c r="D419" s="10"/>
    </row>
    <row r="420" spans="2:4" ht="18" customHeight="1">
      <c r="B420" s="10"/>
      <c r="C420" s="10"/>
      <c r="D420" s="10"/>
    </row>
    <row r="421" spans="2:4" ht="18" customHeight="1">
      <c r="B421" s="10"/>
      <c r="C421" s="10"/>
      <c r="D421" s="10"/>
    </row>
    <row r="422" spans="2:4" ht="18" customHeight="1">
      <c r="B422" s="10"/>
      <c r="C422" s="10"/>
      <c r="D422" s="10"/>
    </row>
    <row r="423" spans="2:4" ht="18" customHeight="1">
      <c r="B423" s="10"/>
      <c r="C423" s="10"/>
      <c r="D423" s="10"/>
    </row>
    <row r="424" spans="2:4" ht="18" customHeight="1">
      <c r="B424" s="10"/>
      <c r="C424" s="10"/>
      <c r="D424" s="10"/>
    </row>
    <row r="425" spans="2:4" ht="18" customHeight="1">
      <c r="B425" s="10"/>
      <c r="C425" s="10"/>
      <c r="D425" s="10"/>
    </row>
    <row r="426" spans="2:4" ht="18" customHeight="1">
      <c r="B426" s="10"/>
      <c r="C426" s="10"/>
      <c r="D426" s="10"/>
    </row>
    <row r="427" spans="2:4" ht="18" customHeight="1">
      <c r="B427" s="10"/>
      <c r="C427" s="10"/>
      <c r="D427" s="10"/>
    </row>
    <row r="428" spans="2:4" ht="18" customHeight="1">
      <c r="B428" s="10"/>
      <c r="C428" s="10"/>
      <c r="D428" s="10"/>
    </row>
    <row r="429" spans="2:4" ht="18" customHeight="1">
      <c r="B429" s="10"/>
      <c r="C429" s="10"/>
      <c r="D429" s="10"/>
    </row>
    <row r="430" spans="2:4" ht="18" customHeight="1">
      <c r="B430" s="10"/>
      <c r="C430" s="10"/>
      <c r="D430" s="10"/>
    </row>
    <row r="431" spans="2:4" ht="18" customHeight="1">
      <c r="B431" s="10"/>
      <c r="C431" s="10"/>
      <c r="D431" s="10"/>
    </row>
    <row r="432" spans="2:4" ht="18" customHeight="1">
      <c r="B432" s="10"/>
      <c r="C432" s="10"/>
      <c r="D432" s="10"/>
    </row>
    <row r="433" spans="2:4" ht="18" customHeight="1">
      <c r="B433" s="10"/>
      <c r="C433" s="10"/>
      <c r="D433" s="10"/>
    </row>
    <row r="434" spans="2:4" ht="18" customHeight="1">
      <c r="B434" s="10"/>
      <c r="C434" s="10"/>
      <c r="D434" s="10"/>
    </row>
    <row r="435" spans="2:4" ht="18" customHeight="1">
      <c r="B435" s="10"/>
      <c r="C435" s="10"/>
      <c r="D435" s="10"/>
    </row>
    <row r="436" spans="2:4" ht="18" customHeight="1">
      <c r="B436" s="10"/>
      <c r="C436" s="10"/>
      <c r="D436" s="10"/>
    </row>
    <row r="437" spans="2:4" ht="18" customHeight="1">
      <c r="B437" s="10"/>
      <c r="C437" s="10"/>
      <c r="D437" s="10"/>
    </row>
    <row r="438" spans="2:4" ht="18" customHeight="1">
      <c r="B438" s="10"/>
      <c r="C438" s="10"/>
      <c r="D438" s="10"/>
    </row>
    <row r="439" spans="2:4" ht="18" customHeight="1">
      <c r="B439" s="10"/>
      <c r="C439" s="10"/>
      <c r="D439" s="10"/>
    </row>
    <row r="440" spans="2:4" ht="18" customHeight="1">
      <c r="B440" s="10"/>
      <c r="C440" s="10"/>
      <c r="D440" s="10"/>
    </row>
    <row r="441" spans="2:4" ht="18" customHeight="1">
      <c r="B441" s="10"/>
      <c r="C441" s="10"/>
      <c r="D441" s="10"/>
    </row>
    <row r="442" spans="2:4" ht="18" customHeight="1">
      <c r="B442" s="10"/>
      <c r="C442" s="10"/>
      <c r="D442" s="10"/>
    </row>
    <row r="443" spans="2:4" ht="18" customHeight="1">
      <c r="B443" s="10"/>
      <c r="C443" s="10"/>
      <c r="D443" s="10"/>
    </row>
    <row r="444" spans="2:4" ht="18" customHeight="1">
      <c r="B444" s="10"/>
      <c r="C444" s="10"/>
      <c r="D444" s="10"/>
    </row>
    <row r="445" spans="2:4" ht="18" customHeight="1">
      <c r="B445" s="10"/>
      <c r="C445" s="10"/>
      <c r="D445" s="10"/>
    </row>
    <row r="446" spans="2:4" ht="18" customHeight="1">
      <c r="B446" s="10"/>
      <c r="C446" s="10"/>
      <c r="D446" s="10"/>
    </row>
    <row r="447" spans="2:4" ht="18" customHeight="1">
      <c r="B447" s="10"/>
      <c r="C447" s="10"/>
      <c r="D447" s="10"/>
    </row>
    <row r="448" spans="2:4" ht="18" customHeight="1">
      <c r="B448" s="10"/>
      <c r="C448" s="10"/>
      <c r="D448" s="10"/>
    </row>
    <row r="449" spans="2:4" ht="18" customHeight="1">
      <c r="B449" s="10"/>
      <c r="C449" s="10"/>
      <c r="D449" s="10"/>
    </row>
    <row r="450" spans="2:4" ht="18" customHeight="1">
      <c r="B450" s="10"/>
      <c r="C450" s="10"/>
      <c r="D450" s="10"/>
    </row>
    <row r="451" spans="2:4" ht="18" customHeight="1">
      <c r="B451" s="10"/>
      <c r="C451" s="10"/>
      <c r="D451" s="10"/>
    </row>
    <row r="452" spans="2:4" ht="18" customHeight="1">
      <c r="B452" s="10"/>
      <c r="C452" s="10"/>
      <c r="D452" s="10"/>
    </row>
    <row r="453" spans="2:4" ht="18" customHeight="1">
      <c r="B453" s="10"/>
      <c r="C453" s="10"/>
      <c r="D453" s="10"/>
    </row>
    <row r="454" spans="2:4" ht="18" customHeight="1">
      <c r="B454" s="10"/>
      <c r="C454" s="10"/>
      <c r="D454" s="10"/>
    </row>
    <row r="455" spans="2:4" ht="18" customHeight="1">
      <c r="B455" s="10"/>
      <c r="C455" s="10"/>
      <c r="D455" s="10"/>
    </row>
    <row r="456" spans="2:4" ht="18" customHeight="1">
      <c r="B456" s="10"/>
      <c r="C456" s="10"/>
      <c r="D456" s="10"/>
    </row>
    <row r="457" spans="2:4" ht="18" customHeight="1">
      <c r="B457" s="10"/>
      <c r="C457" s="10"/>
      <c r="D457" s="10"/>
    </row>
    <row r="458" spans="2:4" ht="18" customHeight="1">
      <c r="B458" s="10"/>
      <c r="C458" s="10"/>
      <c r="D458" s="10"/>
    </row>
    <row r="459" spans="2:4" ht="18" customHeight="1">
      <c r="B459" s="10"/>
      <c r="C459" s="10"/>
      <c r="D459" s="10"/>
    </row>
    <row r="460" spans="2:4" ht="18" customHeight="1">
      <c r="B460" s="10"/>
      <c r="C460" s="10"/>
      <c r="D460" s="10"/>
    </row>
    <row r="461" spans="2:4" ht="18" customHeight="1">
      <c r="B461" s="10"/>
      <c r="C461" s="10"/>
      <c r="D461" s="10"/>
    </row>
    <row r="462" spans="2:4" ht="18" customHeight="1">
      <c r="B462" s="10"/>
      <c r="C462" s="10"/>
      <c r="D462" s="10"/>
    </row>
    <row r="463" spans="2:4" ht="18" customHeight="1">
      <c r="B463" s="10"/>
      <c r="C463" s="10"/>
      <c r="D463" s="10"/>
    </row>
    <row r="464" spans="2:4" ht="18" customHeight="1">
      <c r="B464" s="10"/>
      <c r="C464" s="10"/>
      <c r="D464" s="10"/>
    </row>
    <row r="465" spans="2:4" ht="18" customHeight="1">
      <c r="B465" s="10"/>
      <c r="C465" s="10"/>
      <c r="D465" s="10"/>
    </row>
    <row r="466" spans="2:4" ht="18" customHeight="1">
      <c r="B466" s="10"/>
      <c r="C466" s="10"/>
      <c r="D466" s="10"/>
    </row>
    <row r="467" spans="2:4" ht="18" customHeight="1">
      <c r="B467" s="10"/>
      <c r="C467" s="10"/>
      <c r="D467" s="10"/>
    </row>
    <row r="468" spans="2:4" ht="18" customHeight="1">
      <c r="B468" s="10"/>
      <c r="C468" s="10"/>
      <c r="D468" s="10"/>
    </row>
    <row r="469" spans="2:4" ht="18" customHeight="1">
      <c r="B469" s="10"/>
      <c r="C469" s="10"/>
      <c r="D469" s="10"/>
    </row>
    <row r="470" spans="2:4" ht="18" customHeight="1">
      <c r="B470" s="10"/>
      <c r="C470" s="10"/>
      <c r="D470" s="10"/>
    </row>
    <row r="471" spans="2:4" ht="18" customHeight="1">
      <c r="B471" s="10"/>
      <c r="C471" s="10"/>
      <c r="D471" s="10"/>
    </row>
    <row r="472" spans="2:4" ht="18" customHeight="1">
      <c r="B472" s="10"/>
      <c r="C472" s="10"/>
      <c r="D472" s="10"/>
    </row>
    <row r="473" spans="2:4" ht="18" customHeight="1">
      <c r="B473" s="10"/>
      <c r="C473" s="10"/>
      <c r="D473" s="10"/>
    </row>
    <row r="474" spans="2:4" ht="18" customHeight="1">
      <c r="B474" s="10"/>
      <c r="C474" s="10"/>
      <c r="D474" s="10"/>
    </row>
    <row r="475" spans="2:4" ht="18" customHeight="1">
      <c r="B475" s="10"/>
      <c r="C475" s="10"/>
      <c r="D475" s="10"/>
    </row>
    <row r="476" spans="2:4" ht="18" customHeight="1">
      <c r="B476" s="10"/>
      <c r="C476" s="10"/>
      <c r="D476" s="10"/>
    </row>
    <row r="477" spans="2:4" ht="18" customHeight="1">
      <c r="B477" s="10"/>
      <c r="C477" s="10"/>
      <c r="D477" s="10"/>
    </row>
    <row r="478" spans="2:4" ht="18" customHeight="1">
      <c r="B478" s="10"/>
      <c r="C478" s="10"/>
      <c r="D478" s="10"/>
    </row>
    <row r="479" spans="2:4" ht="18" customHeight="1">
      <c r="B479" s="10"/>
      <c r="C479" s="10"/>
      <c r="D479" s="10"/>
    </row>
    <row r="480" spans="2:4" ht="18" customHeight="1">
      <c r="B480" s="10"/>
      <c r="C480" s="10"/>
      <c r="D480" s="10"/>
    </row>
    <row r="481" spans="2:4" ht="18" customHeight="1">
      <c r="B481" s="10"/>
      <c r="C481" s="10"/>
      <c r="D481" s="10"/>
    </row>
    <row r="482" spans="2:4" ht="18" customHeight="1">
      <c r="B482" s="10"/>
      <c r="C482" s="10"/>
      <c r="D482" s="10"/>
    </row>
    <row r="483" spans="2:4" ht="18" customHeight="1">
      <c r="B483" s="10"/>
      <c r="C483" s="10"/>
      <c r="D483" s="10"/>
    </row>
    <row r="484" spans="2:4" ht="18" customHeight="1">
      <c r="B484" s="10"/>
      <c r="C484" s="10"/>
      <c r="D484" s="10"/>
    </row>
    <row r="485" spans="2:4" ht="18" customHeight="1">
      <c r="B485" s="10"/>
      <c r="C485" s="10"/>
      <c r="D485" s="10"/>
    </row>
    <row r="486" spans="2:4" ht="18" customHeight="1">
      <c r="B486" s="10"/>
      <c r="C486" s="10"/>
      <c r="D486" s="10"/>
    </row>
    <row r="487" spans="2:4" ht="18" customHeight="1">
      <c r="B487" s="10"/>
      <c r="C487" s="10"/>
      <c r="D487" s="10"/>
    </row>
    <row r="488" spans="2:4" ht="18" customHeight="1">
      <c r="B488" s="10"/>
      <c r="C488" s="10"/>
      <c r="D488" s="10"/>
    </row>
    <row r="489" spans="2:4" ht="18" customHeight="1">
      <c r="B489" s="10"/>
      <c r="C489" s="10"/>
      <c r="D489" s="10"/>
    </row>
    <row r="490" spans="2:4" ht="18" customHeight="1">
      <c r="B490" s="10"/>
      <c r="C490" s="10"/>
      <c r="D490" s="10"/>
    </row>
    <row r="491" spans="2:4" ht="18" customHeight="1">
      <c r="B491" s="10"/>
      <c r="C491" s="10"/>
      <c r="D491" s="10"/>
    </row>
    <row r="492" spans="2:4" ht="18" customHeight="1">
      <c r="B492" s="10"/>
      <c r="C492" s="10"/>
      <c r="D492" s="10"/>
    </row>
    <row r="493" spans="2:4" ht="18" customHeight="1">
      <c r="B493" s="10"/>
      <c r="C493" s="10"/>
      <c r="D493" s="10"/>
    </row>
    <row r="494" spans="2:4" ht="18" customHeight="1">
      <c r="B494" s="10"/>
      <c r="C494" s="10"/>
      <c r="D494" s="10"/>
    </row>
    <row r="495" spans="2:4" ht="18" customHeight="1">
      <c r="B495" s="10"/>
      <c r="C495" s="10"/>
      <c r="D495" s="10"/>
    </row>
    <row r="496" spans="2:4" ht="18" customHeight="1">
      <c r="B496" s="10"/>
      <c r="C496" s="10"/>
      <c r="D496" s="10"/>
    </row>
    <row r="497" spans="2:4" ht="18" customHeight="1">
      <c r="B497" s="10"/>
      <c r="C497" s="10"/>
      <c r="D497" s="10"/>
    </row>
    <row r="498" spans="2:4" ht="18" customHeight="1">
      <c r="B498" s="10"/>
      <c r="C498" s="10"/>
      <c r="D498" s="10"/>
    </row>
    <row r="499" spans="2:4" ht="18" customHeight="1">
      <c r="B499" s="10"/>
      <c r="C499" s="10"/>
      <c r="D499" s="10"/>
    </row>
    <row r="500" spans="2:4" ht="18" customHeight="1">
      <c r="B500" s="10"/>
      <c r="C500" s="10"/>
      <c r="D500" s="10"/>
    </row>
    <row r="501" spans="2:4" ht="18" customHeight="1">
      <c r="B501" s="10"/>
      <c r="C501" s="10"/>
      <c r="D501" s="10"/>
    </row>
    <row r="502" spans="2:4" ht="18" customHeight="1">
      <c r="B502" s="10"/>
      <c r="C502" s="10"/>
      <c r="D502" s="10"/>
    </row>
    <row r="503" spans="2:4" ht="18" customHeight="1">
      <c r="B503" s="10"/>
      <c r="C503" s="10"/>
      <c r="D503" s="10"/>
    </row>
    <row r="504" spans="2:4" ht="18" customHeight="1">
      <c r="B504" s="10"/>
      <c r="C504" s="10"/>
      <c r="D504" s="10"/>
    </row>
    <row r="505" spans="2:4" ht="18" customHeight="1">
      <c r="B505" s="10"/>
      <c r="C505" s="10"/>
      <c r="D505" s="10"/>
    </row>
    <row r="506" spans="2:4" ht="18" customHeight="1">
      <c r="B506" s="10"/>
      <c r="C506" s="10"/>
      <c r="D506" s="10"/>
    </row>
    <row r="507" spans="2:4" ht="18" customHeight="1">
      <c r="B507" s="10"/>
      <c r="C507" s="10"/>
      <c r="D507" s="10"/>
    </row>
    <row r="508" spans="2:4" ht="18" customHeight="1">
      <c r="B508" s="10"/>
      <c r="C508" s="10"/>
      <c r="D508" s="10"/>
    </row>
    <row r="509" spans="2:4" ht="18" customHeight="1">
      <c r="B509" s="10"/>
      <c r="C509" s="10"/>
      <c r="D509" s="10"/>
    </row>
    <row r="510" spans="2:4" ht="18" customHeight="1">
      <c r="B510" s="10"/>
      <c r="C510" s="10"/>
      <c r="D510" s="10"/>
    </row>
    <row r="511" spans="2:4" ht="18" customHeight="1">
      <c r="B511" s="10"/>
      <c r="C511" s="10"/>
      <c r="D511" s="10"/>
    </row>
    <row r="512" spans="2:4" ht="18" customHeight="1">
      <c r="B512" s="10"/>
      <c r="C512" s="10"/>
      <c r="D512" s="10"/>
    </row>
    <row r="513" spans="2:4" ht="18" customHeight="1">
      <c r="B513" s="10"/>
      <c r="C513" s="10"/>
      <c r="D513" s="10"/>
    </row>
    <row r="514" spans="2:4" ht="18" customHeight="1">
      <c r="B514" s="10"/>
      <c r="C514" s="10"/>
      <c r="D514" s="10"/>
    </row>
    <row r="515" spans="2:4" ht="18" customHeight="1">
      <c r="B515" s="10"/>
      <c r="C515" s="10"/>
      <c r="D515" s="10"/>
    </row>
    <row r="516" spans="2:4" ht="18" customHeight="1">
      <c r="B516" s="10"/>
      <c r="C516" s="10"/>
      <c r="D516" s="10"/>
    </row>
    <row r="517" spans="2:4" ht="18" customHeight="1">
      <c r="B517" s="10"/>
      <c r="C517" s="10"/>
      <c r="D517" s="10"/>
    </row>
    <row r="518" spans="2:4" ht="18" customHeight="1">
      <c r="B518" s="10"/>
      <c r="C518" s="10"/>
      <c r="D518" s="10"/>
    </row>
    <row r="519" spans="2:4" ht="18" customHeight="1">
      <c r="B519" s="10"/>
      <c r="C519" s="10"/>
      <c r="D519" s="10"/>
    </row>
    <row r="520" spans="2:4" ht="18" customHeight="1">
      <c r="B520" s="10"/>
      <c r="C520" s="10"/>
      <c r="D520" s="10"/>
    </row>
    <row r="521" spans="2:4" ht="18" customHeight="1">
      <c r="B521" s="10"/>
      <c r="C521" s="10"/>
      <c r="D521" s="10"/>
    </row>
    <row r="522" spans="2:4" ht="18" customHeight="1">
      <c r="B522" s="10"/>
      <c r="C522" s="10"/>
      <c r="D522" s="10"/>
    </row>
    <row r="523" spans="2:4" ht="18" customHeight="1">
      <c r="B523" s="10"/>
      <c r="C523" s="10"/>
      <c r="D523" s="10"/>
    </row>
    <row r="524" spans="2:4" ht="18" customHeight="1">
      <c r="B524" s="10"/>
      <c r="C524" s="10"/>
      <c r="D524" s="10"/>
    </row>
    <row r="525" spans="2:4" ht="18" customHeight="1">
      <c r="B525" s="10"/>
      <c r="C525" s="10"/>
      <c r="D525" s="10"/>
    </row>
    <row r="526" spans="2:4" ht="18" customHeight="1">
      <c r="B526" s="10"/>
      <c r="C526" s="10"/>
      <c r="D526" s="10"/>
    </row>
    <row r="527" spans="2:4" ht="18" customHeight="1">
      <c r="B527" s="10"/>
      <c r="C527" s="10"/>
      <c r="D527" s="10"/>
    </row>
    <row r="528" spans="2:4" ht="18" customHeight="1">
      <c r="B528" s="10"/>
      <c r="C528" s="10"/>
      <c r="D528" s="10"/>
    </row>
    <row r="529" spans="2:4" ht="18" customHeight="1">
      <c r="B529" s="10"/>
      <c r="C529" s="10"/>
      <c r="D529" s="10"/>
    </row>
    <row r="530" spans="2:4" ht="18" customHeight="1">
      <c r="B530" s="10"/>
      <c r="C530" s="10"/>
      <c r="D530" s="10"/>
    </row>
    <row r="531" spans="2:4" ht="18" customHeight="1">
      <c r="B531" s="10"/>
      <c r="C531" s="10"/>
      <c r="D531" s="10"/>
    </row>
    <row r="532" spans="2:4" ht="18" customHeight="1">
      <c r="B532" s="10"/>
      <c r="C532" s="10"/>
      <c r="D532" s="10"/>
    </row>
    <row r="533" spans="2:4" ht="18" customHeight="1">
      <c r="B533" s="10"/>
      <c r="C533" s="10"/>
      <c r="D533" s="10"/>
    </row>
    <row r="534" spans="2:4" ht="18" customHeight="1">
      <c r="B534" s="10"/>
      <c r="C534" s="10"/>
      <c r="D534" s="10"/>
    </row>
    <row r="535" spans="2:4" ht="18" customHeight="1">
      <c r="B535" s="10"/>
      <c r="C535" s="10"/>
      <c r="D535" s="10"/>
    </row>
    <row r="536" spans="2:4" ht="18" customHeight="1">
      <c r="B536" s="10"/>
      <c r="C536" s="10"/>
      <c r="D536" s="10"/>
    </row>
    <row r="537" spans="2:4" ht="18" customHeight="1">
      <c r="B537" s="10"/>
      <c r="C537" s="10"/>
      <c r="D537" s="10"/>
    </row>
    <row r="538" spans="2:4" ht="18" customHeight="1">
      <c r="B538" s="10"/>
      <c r="C538" s="10"/>
      <c r="D538" s="10"/>
    </row>
    <row r="539" spans="2:4" ht="18" customHeight="1">
      <c r="B539" s="10"/>
      <c r="C539" s="10"/>
      <c r="D539" s="10"/>
    </row>
    <row r="540" spans="2:4" ht="18" customHeight="1">
      <c r="B540" s="10"/>
      <c r="C540" s="10"/>
      <c r="D540" s="10"/>
    </row>
    <row r="541" spans="2:4" ht="18" customHeight="1">
      <c r="B541" s="10"/>
      <c r="C541" s="10"/>
      <c r="D541" s="10"/>
    </row>
    <row r="542" spans="2:4" ht="18" customHeight="1">
      <c r="B542" s="10"/>
      <c r="C542" s="10"/>
      <c r="D542" s="10"/>
    </row>
    <row r="543" spans="2:4" ht="18" customHeight="1">
      <c r="B543" s="10"/>
      <c r="C543" s="10"/>
      <c r="D543" s="10"/>
    </row>
    <row r="544" spans="2:4" ht="18" customHeight="1">
      <c r="B544" s="10"/>
      <c r="C544" s="10"/>
      <c r="D544" s="10"/>
    </row>
    <row r="545" spans="2:4" ht="18" customHeight="1">
      <c r="B545" s="10"/>
      <c r="C545" s="10"/>
      <c r="D545" s="10"/>
    </row>
    <row r="546" spans="2:4" ht="18" customHeight="1">
      <c r="B546" s="10"/>
      <c r="C546" s="10"/>
      <c r="D546" s="10"/>
    </row>
    <row r="547" spans="2:4" ht="18" customHeight="1">
      <c r="B547" s="10"/>
      <c r="C547" s="10"/>
      <c r="D547" s="10"/>
    </row>
    <row r="548" spans="2:4" ht="18" customHeight="1">
      <c r="B548" s="10"/>
      <c r="C548" s="10"/>
      <c r="D548" s="10"/>
    </row>
    <row r="549" spans="2:4" ht="18" customHeight="1">
      <c r="B549" s="10"/>
      <c r="C549" s="10"/>
      <c r="D549" s="10"/>
    </row>
    <row r="550" spans="2:4" ht="18" customHeight="1">
      <c r="B550" s="10"/>
      <c r="C550" s="10"/>
      <c r="D550" s="10"/>
    </row>
    <row r="551" spans="2:4" ht="18" customHeight="1">
      <c r="B551" s="10"/>
      <c r="C551" s="10"/>
      <c r="D551" s="10"/>
    </row>
    <row r="552" spans="2:4" ht="18" customHeight="1">
      <c r="B552" s="10"/>
      <c r="C552" s="10"/>
      <c r="D552" s="10"/>
    </row>
    <row r="553" spans="2:4" ht="18" customHeight="1">
      <c r="B553" s="10"/>
      <c r="C553" s="10"/>
      <c r="D553" s="10"/>
    </row>
    <row r="554" spans="2:4" ht="18" customHeight="1">
      <c r="B554" s="10"/>
      <c r="C554" s="10"/>
      <c r="D554" s="10"/>
    </row>
  </sheetData>
  <mergeCells count="4">
    <mergeCell ref="A5:M5"/>
    <mergeCell ref="A13:M13"/>
    <mergeCell ref="K1:M1"/>
    <mergeCell ref="A2:M2"/>
  </mergeCells>
  <conditionalFormatting sqref="F3:F4">
    <cfRule type="cellIs" dxfId="455" priority="45" operator="equal">
      <formula>E3</formula>
    </cfRule>
  </conditionalFormatting>
  <conditionalFormatting sqref="F3">
    <cfRule type="cellIs" dxfId="454" priority="44" operator="notEqual">
      <formula>E3</formula>
    </cfRule>
  </conditionalFormatting>
  <conditionalFormatting sqref="F4">
    <cfRule type="cellIs" dxfId="453" priority="41" operator="notEqual">
      <formula>E4</formula>
    </cfRule>
  </conditionalFormatting>
  <conditionalFormatting sqref="F9">
    <cfRule type="cellIs" dxfId="452" priority="40" operator="equal">
      <formula>E9</formula>
    </cfRule>
  </conditionalFormatting>
  <conditionalFormatting sqref="F9">
    <cfRule type="cellIs" dxfId="451" priority="39" operator="notEqual">
      <formula>E9</formula>
    </cfRule>
  </conditionalFormatting>
  <conditionalFormatting sqref="F10:F11">
    <cfRule type="cellIs" dxfId="450" priority="38" operator="equal">
      <formula>E10</formula>
    </cfRule>
  </conditionalFormatting>
  <conditionalFormatting sqref="F10:F11">
    <cfRule type="cellIs" dxfId="449" priority="37" operator="notEqual">
      <formula>E10</formula>
    </cfRule>
  </conditionalFormatting>
  <conditionalFormatting sqref="F6">
    <cfRule type="cellIs" dxfId="448" priority="16" operator="equal">
      <formula>E6</formula>
    </cfRule>
  </conditionalFormatting>
  <conditionalFormatting sqref="F6">
    <cfRule type="cellIs" dxfId="447" priority="15" operator="notEqual">
      <formula>E6</formula>
    </cfRule>
  </conditionalFormatting>
  <conditionalFormatting sqref="F7:F8">
    <cfRule type="cellIs" dxfId="446" priority="14" operator="equal">
      <formula>E7</formula>
    </cfRule>
  </conditionalFormatting>
  <conditionalFormatting sqref="F7:F8">
    <cfRule type="cellIs" dxfId="445" priority="13" operator="notEqual">
      <formula>E7</formula>
    </cfRule>
  </conditionalFormatting>
  <conditionalFormatting sqref="F12">
    <cfRule type="cellIs" dxfId="444" priority="6" operator="equal">
      <formula>E12</formula>
    </cfRule>
  </conditionalFormatting>
  <conditionalFormatting sqref="F12">
    <cfRule type="cellIs" dxfId="443" priority="5" operator="notEqual">
      <formula>E12</formula>
    </cfRule>
  </conditionalFormatting>
  <conditionalFormatting sqref="F14:F16">
    <cfRule type="cellIs" dxfId="442" priority="4" operator="equal">
      <formula>E14</formula>
    </cfRule>
  </conditionalFormatting>
  <conditionalFormatting sqref="F14:F16">
    <cfRule type="cellIs" dxfId="441" priority="3" operator="notEqual">
      <formula>E14</formula>
    </cfRule>
  </conditionalFormatting>
  <conditionalFormatting sqref="F17:F18">
    <cfRule type="cellIs" dxfId="440" priority="2" operator="equal">
      <formula>E17</formula>
    </cfRule>
  </conditionalFormatting>
  <conditionalFormatting sqref="F17:F18">
    <cfRule type="cellIs" dxfId="439" priority="1" operator="notEqual">
      <formula>E17</formula>
    </cfRule>
  </conditionalFormatting>
  <pageMargins left="0.7" right="0.7" top="0.75" bottom="0.75" header="0.3" footer="0.3"/>
  <pageSetup paperSize="9" orientation="portrait" r:id="rId1"/>
  <legacyDrawing r:id="rId2"/>
  <controls>
    <control shapeId="4130" r:id="rId3" name="CommandButton1"/>
  </controls>
</worksheet>
</file>

<file path=xl/worksheets/sheet3.xml><?xml version="1.0" encoding="utf-8"?>
<worksheet xmlns="http://schemas.openxmlformats.org/spreadsheetml/2006/main" xmlns:r="http://schemas.openxmlformats.org/officeDocument/2006/relationships">
  <sheetPr codeName="Sheet3">
    <tabColor rgb="FF00B050"/>
  </sheetPr>
  <dimension ref="A1:M604"/>
  <sheetViews>
    <sheetView zoomScale="115" zoomScaleNormal="115" workbookViewId="0">
      <pane ySplit="1" topLeftCell="A2" activePane="bottomLeft" state="frozen"/>
      <selection pane="bottomLeft" activeCell="H4" sqref="H4"/>
    </sheetView>
  </sheetViews>
  <sheetFormatPr baseColWidth="10" defaultColWidth="9" defaultRowHeight="15"/>
  <cols>
    <col min="1" max="1" width="15.75" customWidth="1"/>
    <col min="2" max="2" width="49.375" bestFit="1" customWidth="1"/>
    <col min="3" max="4" width="4.375" customWidth="1"/>
    <col min="5" max="6" width="11.125" bestFit="1" customWidth="1"/>
    <col min="7" max="7" width="8.25" customWidth="1"/>
    <col min="8" max="8" width="20.75" bestFit="1" customWidth="1"/>
    <col min="9" max="9" width="9.125" bestFit="1" customWidth="1"/>
    <col min="11" max="13" width="15.75" customWidth="1"/>
  </cols>
  <sheetData>
    <row r="1" spans="1:13">
      <c r="A1" s="8"/>
      <c r="B1" s="8" t="s">
        <v>7</v>
      </c>
      <c r="C1" s="39" t="s">
        <v>250</v>
      </c>
      <c r="D1" s="39" t="s">
        <v>251</v>
      </c>
      <c r="E1" s="8" t="s">
        <v>49</v>
      </c>
      <c r="F1" s="8" t="s">
        <v>9</v>
      </c>
      <c r="G1" s="11"/>
      <c r="H1" s="8" t="s">
        <v>80</v>
      </c>
      <c r="I1" s="8" t="s">
        <v>8</v>
      </c>
      <c r="K1" s="64" t="s">
        <v>29</v>
      </c>
      <c r="L1" s="64"/>
      <c r="M1" s="64"/>
    </row>
    <row r="2" spans="1:13" ht="18.75">
      <c r="A2" s="65" t="s">
        <v>28</v>
      </c>
      <c r="B2" s="65"/>
      <c r="C2" s="65"/>
      <c r="D2" s="65"/>
      <c r="E2" s="65"/>
      <c r="F2" s="65"/>
      <c r="G2" s="65"/>
      <c r="H2" s="65"/>
      <c r="I2" s="65"/>
      <c r="J2" s="65"/>
      <c r="K2" s="65"/>
      <c r="L2" s="65"/>
      <c r="M2" s="65"/>
    </row>
    <row r="3" spans="1:13" ht="18" customHeight="1">
      <c r="A3" s="10" t="s">
        <v>25</v>
      </c>
      <c r="B3" s="15" t="str">
        <f>HYPERLINK("#"&amp;ADDRESS(MATCH(A3,'Jobmaster-Detailed'!$A$1:$A$4998,0),1,,,"Jobmaster-Detailed"),VLOOKUP(A3,'Jobmaster-Detailed'!A:C,3,FALSE))</f>
        <v>Basic Electrical Two-Sided Bench 110 V</v>
      </c>
      <c r="C3" s="15"/>
      <c r="D3" s="15"/>
      <c r="E3" s="3">
        <f>'Jobmaster-Detailed'!J34</f>
        <v>26663</v>
      </c>
      <c r="F3" s="11">
        <v>26663</v>
      </c>
      <c r="G3" s="11"/>
      <c r="K3" s="17" t="str">
        <f>HYPERLINK("#"&amp;ADDRESS(MATCH("LearnMate 7 Bundles",LearnMate7!$A$1:$A$5000,0),1,,,"LearnMate7"),"LMS")</f>
        <v>LMS</v>
      </c>
    </row>
    <row r="4" spans="1:13" ht="18" customHeight="1">
      <c r="A4" t="s">
        <v>30</v>
      </c>
      <c r="B4" s="15" t="str">
        <f>HYPERLINK("#"&amp;ADDRESS(MATCH(A4,'Jobmaster-Detailed'!$A$1:$A$4998,0),1,,,"Jobmaster-Detailed"),VLOOKUP(A4,'Jobmaster-Detailed'!A:C,3,FALSE))</f>
        <v>Basic Electrical Two-Sided Bench 220 V</v>
      </c>
      <c r="C4" s="15"/>
      <c r="D4" s="15"/>
      <c r="E4" s="3">
        <f>'Jobmaster-Detailed'!J62</f>
        <v>26113</v>
      </c>
      <c r="F4" s="11">
        <v>30997</v>
      </c>
      <c r="G4" s="11"/>
      <c r="K4" s="17" t="str">
        <f>HYPERLINK("#"&amp;ADDRESS(MATCH("LearnMate 7 Bundles",LearnMate7!$A$1:$A$5000,0),1,,,"LearnMate7"),"LMS")</f>
        <v>LMS</v>
      </c>
    </row>
    <row r="5" spans="1:13" ht="18" customHeight="1">
      <c r="A5" s="10" t="s">
        <v>78</v>
      </c>
      <c r="B5" s="15" t="str">
        <f>HYPERLINK("#"&amp;ADDRESS(MATCH(A5,'Jobmaster-Detailed'!$A$1:$A$4998,0),1,,,"Jobmaster-Detailed"),VLOOKUP(A5,'Jobmaster-Detailed'!A:C,3,FALSE))</f>
        <v>Electrical Control Systems Two Sided Bench 110 V</v>
      </c>
      <c r="C5" s="15"/>
      <c r="D5" s="15"/>
      <c r="E5" s="11">
        <f>'Jobmaster-Detailed'!J405</f>
        <v>82786</v>
      </c>
      <c r="F5" s="11">
        <v>82786</v>
      </c>
      <c r="G5" s="11"/>
      <c r="K5" s="17" t="str">
        <f>HYPERLINK("#"&amp;ADDRESS(MATCH("LearnMate 7 Bundles",LearnMate7!$A$1:$A$5000,0),1,,,"LearnMate7"),"LMS")</f>
        <v>LMS</v>
      </c>
    </row>
    <row r="6" spans="1:13" ht="18" customHeight="1">
      <c r="A6" s="10" t="s">
        <v>81</v>
      </c>
      <c r="B6" s="15" t="str">
        <f>HYPERLINK("#"&amp;ADDRESS(MATCH(A6,'Jobmaster-Detailed'!$A$1:$A$4998,0),1,,,"Jobmaster-Detailed"),VLOOKUP(A6,'Jobmaster-Detailed'!A:C,3,FALSE))</f>
        <v>Electrical Control Systems Two Sided Bench 220 V</v>
      </c>
      <c r="C6" s="15"/>
      <c r="D6" s="15"/>
      <c r="E6" s="11">
        <f>'Jobmaster-Detailed'!J474</f>
        <v>74182</v>
      </c>
      <c r="F6" s="11">
        <v>87120</v>
      </c>
      <c r="G6" s="11"/>
      <c r="K6" s="17" t="str">
        <f>HYPERLINK("#"&amp;ADDRESS(MATCH("LearnMate 7 Bundles",LearnMate7!$A$1:$A$5000,0),1,,,"LearnMate7"),"LMS")</f>
        <v>LMS</v>
      </c>
    </row>
    <row r="7" spans="1:13" ht="18" customHeight="1">
      <c r="A7" s="10" t="s">
        <v>130</v>
      </c>
      <c r="B7" s="15" t="str">
        <f>HYPERLINK("#"&amp;ADDRESS(MATCH(A7,'Jobmaster-Detailed'!$A$1:$A$4998,0),1,,,"Jobmaster-Detailed"),VLOOKUP(A7,'Jobmaster-Detailed'!A:C,3,FALSE))</f>
        <v>Industrial Power Electronics Two Sided Bench 110 v</v>
      </c>
      <c r="C7" s="15"/>
      <c r="D7" s="15"/>
      <c r="E7" s="11">
        <f>'Jobmaster-Detailed'!J692</f>
        <v>57266</v>
      </c>
      <c r="F7" s="11">
        <v>57266</v>
      </c>
      <c r="G7" s="11"/>
      <c r="K7" s="17" t="str">
        <f>HYPERLINK("#"&amp;ADDRESS(MATCH("LearnMate 7 Bundles",LearnMate7!$A$1:$A$5000,0),1,,,"LearnMate7"),"LMS")</f>
        <v>LMS</v>
      </c>
    </row>
    <row r="8" spans="1:13" ht="18" customHeight="1">
      <c r="A8" s="10" t="s">
        <v>133</v>
      </c>
      <c r="B8" s="15" t="str">
        <f>HYPERLINK("#"&amp;ADDRESS(MATCH(A8,'Jobmaster-Detailed'!$A$1:$A$4998,0),1,,,"Jobmaster-Detailed"),VLOOKUP(A8,'Jobmaster-Detailed'!A:C,3,FALSE))</f>
        <v>Industrial Power Electronics Two Sided Bench 220 V</v>
      </c>
      <c r="C8" s="15"/>
      <c r="D8" s="15"/>
      <c r="E8" s="11">
        <f>'Jobmaster-Detailed'!J751</f>
        <v>52834</v>
      </c>
      <c r="F8" s="11">
        <v>52834</v>
      </c>
      <c r="G8" s="11"/>
      <c r="K8" s="17" t="str">
        <f>HYPERLINK("#"&amp;ADDRESS(MATCH("LearnMate 7 Bundles",LearnMate7!$A$1:$A$5000,0),1,,,"LearnMate7"),"LMS")</f>
        <v>LMS</v>
      </c>
    </row>
    <row r="9" spans="1:13" ht="18" customHeight="1">
      <c r="A9" s="10" t="s">
        <v>34</v>
      </c>
      <c r="B9" s="15" t="str">
        <f>HYPERLINK("#"&amp;ADDRESS(MATCH(A9,'Jobmaster-Detailed'!$A$1:$A$4998,0),1,,,"Jobmaster-Detailed"),VLOOKUP(A9,'Jobmaster-Detailed'!A:C,3,FALSE))</f>
        <v>Complete Industrial Electronics Program 110 V</v>
      </c>
      <c r="C9" s="15"/>
      <c r="D9" s="15"/>
      <c r="E9" s="11">
        <f>'Jobmaster-Detailed'!J83</f>
        <v>147806</v>
      </c>
      <c r="F9" s="11">
        <v>147806</v>
      </c>
      <c r="G9" s="11"/>
      <c r="K9" s="17" t="str">
        <f>HYPERLINK("#"&amp;ADDRESS(MATCH("LearnMate 7 Bundles",LearnMate7!$A$1:$A$5000,0),1,,,"LearnMate7"),"LMS")</f>
        <v>LMS</v>
      </c>
    </row>
    <row r="10" spans="1:13" ht="18" customHeight="1">
      <c r="A10" s="10" t="s">
        <v>36</v>
      </c>
      <c r="B10" s="15" t="str">
        <f>HYPERLINK("#"&amp;ADDRESS(MATCH(A10,'Jobmaster-Detailed'!$A$1:$A$4998,0),1,,,"Jobmaster-Detailed"),VLOOKUP(A10,'Jobmaster-Detailed'!A:C,3,FALSE))</f>
        <v>Complete Industrial Electronics Program 220 V</v>
      </c>
      <c r="C10" s="15"/>
      <c r="D10" s="15"/>
      <c r="E10" s="11">
        <f>'Jobmaster-Detailed'!J229</f>
        <v>113697</v>
      </c>
      <c r="F10" s="11">
        <v>150873</v>
      </c>
      <c r="G10" s="11"/>
      <c r="K10" s="17" t="str">
        <f>HYPERLINK("#"&amp;ADDRESS(MATCH("LearnMate 7 Bundles",LearnMate7!$A$1:$A$5000,0),1,,,"LearnMate7"),"LMS")</f>
        <v>LMS</v>
      </c>
    </row>
    <row r="11" spans="1:13" ht="18.75">
      <c r="A11" s="65" t="s">
        <v>13</v>
      </c>
      <c r="B11" s="65"/>
      <c r="C11" s="65"/>
      <c r="D11" s="65"/>
      <c r="E11" s="65"/>
      <c r="F11" s="65"/>
      <c r="G11" s="65"/>
      <c r="H11" s="65"/>
      <c r="I11" s="65"/>
      <c r="J11" s="65"/>
      <c r="K11" s="65"/>
      <c r="L11" s="65"/>
      <c r="M11" s="65"/>
    </row>
    <row r="12" spans="1:13" ht="18" customHeight="1">
      <c r="A12" s="10" t="str">
        <f>"JM-BASE-EA01A"</f>
        <v>JM-BASE-EA01A</v>
      </c>
      <c r="B12" s="15" t="str">
        <f>HYPERLINK("#"&amp;ADDRESS(MATCH(A12,'Jobmaster-Detailed'!$A$1:$A$4998,0),1,,,"Jobmaster-Detailed"),VLOOKUP(A12,'Jobmaster-Detailed'!A:C,3,FALSE))</f>
        <v>JM Electrical Circuits, EA01A, LMS Lab</v>
      </c>
      <c r="C12" s="29" t="str">
        <f>IFERROR(HYPERLINK("#"&amp;ADDRESS(MATCH(A12&amp;"ES",'LM7 Non-ENG'!$A$1:$A$5000,0),1,,,"LM7 Non-ENG"),IF(IFERROR(VLOOKUP(A12&amp;"ES",'LM7 Non-ENG'!$A$1:$A$4999,1,FALSE),"ERROR")=A12&amp;"ES","Y","")),"")</f>
        <v/>
      </c>
      <c r="D12" s="29" t="str">
        <f>IFERROR(HYPERLINK("#"&amp;ADDRESS(MATCH(A12&amp;"PT",'LM7 Non-ENG'!$A$1:$A$5000,0),1,,,"LM7 Non-ENG"),IF(IFERROR(VLOOKUP(A12&amp;"PT",'LM7 Non-ENG'!$A$1:$A$5000,1,FALSE),"ERROR")=A12&amp;"PT","Y","")),"")</f>
        <v/>
      </c>
      <c r="E12" s="3">
        <f>'Jobmaster-Detailed'!J2</f>
        <v>4092</v>
      </c>
      <c r="F12" s="11">
        <v>4092</v>
      </c>
      <c r="G12" s="11"/>
      <c r="H12" t="s">
        <v>12</v>
      </c>
      <c r="I12" s="12">
        <f>E12-700</f>
        <v>3392</v>
      </c>
      <c r="K12" s="17" t="str">
        <f>HYPERLINK("#"&amp;ADDRESS(MATCH("LearnMate 7 Bundles",LearnMate7!$A$1:$A$5000,0),1,,,"LearnMate7"),"LMS")</f>
        <v>LMS</v>
      </c>
      <c r="L12" s="17" t="str">
        <f>HYPERLINK("#"&amp;ADDRESS(MATCH("Mobile Learning Station",$B$1:$B$5000,0),1,,,"Jobmaster"),"Mobile Training Bench")</f>
        <v>Mobile Training Bench</v>
      </c>
    </row>
    <row r="13" spans="1:13" ht="18" customHeight="1">
      <c r="A13" s="10" t="s">
        <v>14</v>
      </c>
      <c r="B13" s="15" t="str">
        <f>HYPERLINK("#"&amp;ADDRESS(MATCH(A13,'Jobmaster-Detailed'!$A$1:$A$4998,0),1,,,"Jobmaster-Detailed"),VLOOKUP(A13,'Jobmaster-Detailed'!A:C,3,FALSE))</f>
        <v>JM Resistors &amp; Conductors, EA01B, LMS LAB</v>
      </c>
      <c r="C13" s="29" t="str">
        <f>IFERROR(HYPERLINK("#"&amp;ADDRESS(MATCH(A13&amp;"ES",'LM7 Non-ENG'!$A$1:$A$5000,0),1,,,"LM7 Non-ENG"),IF(IFERROR(VLOOKUP(A13&amp;"ES",'LM7 Non-ENG'!$A$1:$A$4999,1,FALSE),"ERROR")=A13&amp;"ES","Y","")),"")</f>
        <v/>
      </c>
      <c r="D13" s="29" t="str">
        <f>IFERROR(HYPERLINK("#"&amp;ADDRESS(MATCH(A13&amp;"PT",'LM7 Non-ENG'!$A$1:$A$5000,0),1,,,"LM7 Non-ENG"),IF(IFERROR(VLOOKUP(A13&amp;"PT",'LM7 Non-ENG'!$A$1:$A$5000,1,FALSE),"ERROR")=A13&amp;"PT","Y","")),"")</f>
        <v/>
      </c>
      <c r="E13" s="3">
        <f>'Jobmaster-Detailed'!J13</f>
        <v>1700</v>
      </c>
      <c r="F13" s="11">
        <v>1700</v>
      </c>
      <c r="G13" s="11"/>
      <c r="H13" t="s">
        <v>16</v>
      </c>
      <c r="I13" s="12">
        <f>E13-700</f>
        <v>1000</v>
      </c>
      <c r="K13" s="17" t="str">
        <f>HYPERLINK("#"&amp;ADDRESS(MATCH("LearnMate 7 Bundles",LearnMate7!$A$1:$A$5000,0),1,,,"LearnMate7"),"LMS")</f>
        <v>LMS</v>
      </c>
      <c r="L13" s="17" t="str">
        <f t="shared" ref="L13:L15" si="0">HYPERLINK("#"&amp;ADDRESS(MATCH("Mobile Learning Station",$B$1:$B$5000,0),1,,,"Jobmaster"),"Mobile Training Bench")</f>
        <v>Mobile Training Bench</v>
      </c>
    </row>
    <row r="14" spans="1:13" ht="18" customHeight="1">
      <c r="A14" s="10" t="s">
        <v>18</v>
      </c>
      <c r="B14" s="15" t="str">
        <f>HYPERLINK("#"&amp;ADDRESS(MATCH(A14,'Jobmaster-Detailed'!$A$1:$A$4998,0),1,,,"Jobmaster-Detailed"),VLOOKUP(A14,'Jobmaster-Detailed'!A:C,3,FALSE))</f>
        <v>JM LCR Circuits, EA01C, LMS Lab</v>
      </c>
      <c r="C14" s="29" t="str">
        <f>IFERROR(HYPERLINK("#"&amp;ADDRESS(MATCH(A14&amp;"ES",'LM7 Non-ENG'!$A$1:$A$5000,0),1,,,"LM7 Non-ENG"),IF(IFERROR(VLOOKUP(A14&amp;"ES",'LM7 Non-ENG'!$A$1:$A$4999,1,FALSE),"ERROR")=A14&amp;"ES","Y","")),"")</f>
        <v/>
      </c>
      <c r="D14" s="29" t="str">
        <f>IFERROR(HYPERLINK("#"&amp;ADDRESS(MATCH(A14&amp;"PT",'LM7 Non-ENG'!$A$1:$A$5000,0),1,,,"LM7 Non-ENG"),IF(IFERROR(VLOOKUP(A14&amp;"PT",'LM7 Non-ENG'!$A$1:$A$5000,1,FALSE),"ERROR")=A14&amp;"PT","Y","")),"")</f>
        <v/>
      </c>
      <c r="E14" s="3">
        <f>'Jobmaster-Detailed'!J19</f>
        <v>3992</v>
      </c>
      <c r="F14" s="11">
        <v>3992</v>
      </c>
      <c r="G14" s="11"/>
      <c r="H14" t="s">
        <v>20</v>
      </c>
      <c r="I14" s="12">
        <f>E14-700</f>
        <v>3292</v>
      </c>
      <c r="K14" s="17" t="str">
        <f>HYPERLINK("#"&amp;ADDRESS(MATCH("LearnMate 7 Bundles",LearnMate7!$A$1:$A$5000,0),1,,,"LearnMate7"),"LMS")</f>
        <v>LMS</v>
      </c>
      <c r="L14" s="17" t="str">
        <f t="shared" si="0"/>
        <v>Mobile Training Bench</v>
      </c>
    </row>
    <row r="15" spans="1:13" ht="18" customHeight="1">
      <c r="A15" s="10" t="s">
        <v>22</v>
      </c>
      <c r="B15" s="15" t="str">
        <f>HYPERLINK("#"&amp;ADDRESS(MATCH(A15,'Jobmaster-Detailed'!$A$1:$A$4998,0),1,,,"Jobmaster-Detailed"),VLOOKUP(A15,'Jobmaster-Detailed'!A:C,3,FALSE))</f>
        <v>JM Motors &amp; Generators, EA01D, LMS Lab</v>
      </c>
      <c r="C15" s="29" t="str">
        <f>IFERROR(HYPERLINK("#"&amp;ADDRESS(MATCH(A15&amp;"ES",'LM7 Non-ENG'!$A$1:$A$5000,0),1,,,"LM7 Non-ENG"),IF(IFERROR(VLOOKUP(A15&amp;"ES",'LM7 Non-ENG'!$A$1:$A$4999,1,FALSE),"ERROR")=A15&amp;"ES","Y","")),"")</f>
        <v/>
      </c>
      <c r="D15" s="29" t="str">
        <f>IFERROR(HYPERLINK("#"&amp;ADDRESS(MATCH(A15&amp;"PT",'LM7 Non-ENG'!$A$1:$A$5000,0),1,,,"LM7 Non-ENG"),IF(IFERROR(VLOOKUP(A15&amp;"PT",'LM7 Non-ENG'!$A$1:$A$5000,1,FALSE),"ERROR")=A15&amp;"PT","Y","")),"")</f>
        <v/>
      </c>
      <c r="E15" s="3">
        <f>'Jobmaster-Detailed'!J29</f>
        <v>1295</v>
      </c>
      <c r="F15" s="11">
        <v>1295</v>
      </c>
      <c r="G15" s="11"/>
      <c r="K15" s="17" t="str">
        <f>HYPERLINK("#"&amp;ADDRESS(MATCH("LearnMate 7 Bundles",LearnMate7!$A$1:$A$5000,0),1,,,"LearnMate7"),"LMS")</f>
        <v>LMS</v>
      </c>
      <c r="L15" s="17" t="str">
        <f t="shared" si="0"/>
        <v>Mobile Training Bench</v>
      </c>
    </row>
    <row r="16" spans="1:13" ht="18.75">
      <c r="A16" s="65" t="s">
        <v>41</v>
      </c>
      <c r="B16" s="65"/>
      <c r="C16" s="65"/>
      <c r="D16" s="65"/>
      <c r="E16" s="65"/>
      <c r="F16" s="65"/>
      <c r="G16" s="65"/>
      <c r="H16" s="65"/>
      <c r="I16" s="65"/>
      <c r="J16" s="65"/>
      <c r="K16" s="65"/>
      <c r="L16" s="65"/>
      <c r="M16" s="65"/>
    </row>
    <row r="17" spans="1:13" ht="18" customHeight="1">
      <c r="A17" s="10" t="s">
        <v>40</v>
      </c>
      <c r="B17" s="15" t="str">
        <f>HYPERLINK("#"&amp;ADDRESS(MATCH(A17,'Jobmaster-Detailed'!$A$1:$A$4998,0),1,,,"Jobmaster-Detailed"),VLOOKUP(A17,'Jobmaster-Detailed'!A:C,3,FALSE))</f>
        <v>JM Electric Circuit Protection &amp; Monitoring, EA02, LMS Lab</v>
      </c>
      <c r="C17" s="29" t="str">
        <f>IFERROR(HYPERLINK("#"&amp;ADDRESS(MATCH(A17&amp;"ES",'LM7 Non-ENG'!$A$1:$A$5000,0),1,,,"LM7 Non-ENG"),IF(IFERROR(VLOOKUP(A17&amp;"ES",'LM7 Non-ENG'!$A$1:$A$4999,1,FALSE),"ERROR")=A17&amp;"ES","Y","")),"")</f>
        <v/>
      </c>
      <c r="D17" s="29" t="str">
        <f>IFERROR(HYPERLINK("#"&amp;ADDRESS(MATCH(A17&amp;"PT",'LM7 Non-ENG'!$A$1:$A$5000,0),1,,,"LM7 Non-ENG"),IF(IFERROR(VLOOKUP(A17&amp;"PT",'LM7 Non-ENG'!$A$1:$A$5000,1,FALSE),"ERROR")=A17&amp;"PT","Y","")),"")</f>
        <v/>
      </c>
      <c r="E17" s="11">
        <f>'Jobmaster-Detailed'!J322</f>
        <v>3134</v>
      </c>
      <c r="F17" s="11">
        <v>3134</v>
      </c>
      <c r="G17" s="11"/>
      <c r="H17" t="s">
        <v>43</v>
      </c>
      <c r="I17" s="12">
        <f t="shared" ref="I17:I25" si="1">E17-700</f>
        <v>2434</v>
      </c>
      <c r="K17" s="17" t="str">
        <f>HYPERLINK("#"&amp;ADDRESS(MATCH("LearnMate 7 Bundles",LearnMate7!$A$1:$A$5000,0),1,,,"LearnMate7"),"LMS")</f>
        <v>LMS</v>
      </c>
      <c r="L17" s="17" t="str">
        <f t="shared" ref="L17:L25" si="2">HYPERLINK("#"&amp;ADDRESS(MATCH("Mobile Learning Station",$B$1:$B$5000,0),1,,,"Jobmaster"),"Mobile Training Bench")</f>
        <v>Mobile Training Bench</v>
      </c>
    </row>
    <row r="18" spans="1:13" ht="18" customHeight="1">
      <c r="A18" s="10" t="s">
        <v>45</v>
      </c>
      <c r="B18" s="15" t="str">
        <f>HYPERLINK("#"&amp;ADDRESS(MATCH(A18,'Jobmaster-Detailed'!$A$1:$A$4998,0),1,,,"Jobmaster-Detailed"),VLOOKUP(A18,'Jobmaster-Detailed'!A:C,3,FALSE))</f>
        <v>JM, Three Phase Transformers, EA03, LMS Lab</v>
      </c>
      <c r="C18" s="29" t="str">
        <f>IFERROR(HYPERLINK("#"&amp;ADDRESS(MATCH(A18&amp;"ES",'LM7 Non-ENG'!$A$1:$A$5000,0),1,,,"LM7 Non-ENG"),IF(IFERROR(VLOOKUP(A18&amp;"ES",'LM7 Non-ENG'!$A$1:$A$4999,1,FALSE),"ERROR")=A18&amp;"ES","Y","")),"")</f>
        <v/>
      </c>
      <c r="D18" s="29" t="str">
        <f>IFERROR(HYPERLINK("#"&amp;ADDRESS(MATCH(A18&amp;"PT",'LM7 Non-ENG'!$A$1:$A$5000,0),1,,,"LM7 Non-ENG"),IF(IFERROR(VLOOKUP(A18&amp;"PT",'LM7 Non-ENG'!$A$1:$A$5000,1,FALSE),"ERROR")=A18&amp;"PT","Y","")),"")</f>
        <v/>
      </c>
      <c r="E18" s="11">
        <f>'Jobmaster-Detailed'!J329</f>
        <v>1600</v>
      </c>
      <c r="F18" s="11">
        <v>1600</v>
      </c>
      <c r="G18" s="11"/>
      <c r="H18" t="s">
        <v>47</v>
      </c>
      <c r="I18" s="12">
        <f t="shared" si="1"/>
        <v>900</v>
      </c>
      <c r="K18" s="17" t="str">
        <f>HYPERLINK("#"&amp;ADDRESS(MATCH("LearnMate 7 Bundles",LearnMate7!$A$1:$A$5000,0),1,,,"LearnMate7"),"LMS")</f>
        <v>LMS</v>
      </c>
      <c r="L18" s="17" t="str">
        <f t="shared" si="2"/>
        <v>Mobile Training Bench</v>
      </c>
    </row>
    <row r="19" spans="1:13" ht="18" customHeight="1">
      <c r="A19" s="10" t="s">
        <v>50</v>
      </c>
      <c r="B19" s="15" t="str">
        <f>HYPERLINK("#"&amp;ADDRESS(MATCH(A19,'Jobmaster-Detailed'!$A$1:$A$4998,0),1,,,"Jobmaster-Detailed"),VLOOKUP(A19,'Jobmaster-Detailed'!A:C,3,FALSE))</f>
        <v>JM Electric Motors, EA04, LMS Lab</v>
      </c>
      <c r="C19" s="29" t="str">
        <f>IFERROR(HYPERLINK("#"&amp;ADDRESS(MATCH(A19&amp;"ES",'LM7 Non-ENG'!$A$1:$A$5000,0),1,,,"LM7 Non-ENG"),IF(IFERROR(VLOOKUP(A19&amp;"ES",'LM7 Non-ENG'!$A$1:$A$4999,1,FALSE),"ERROR")=A19&amp;"ES","Y","")),"")</f>
        <v/>
      </c>
      <c r="D19" s="29" t="str">
        <f>IFERROR(HYPERLINK("#"&amp;ADDRESS(MATCH(A19&amp;"PT",'LM7 Non-ENG'!$A$1:$A$5000,0),1,,,"LM7 Non-ENG"),IF(IFERROR(VLOOKUP(A19&amp;"PT",'LM7 Non-ENG'!$A$1:$A$5000,1,FALSE),"ERROR")=A19&amp;"PT","Y","")),"")</f>
        <v/>
      </c>
      <c r="E19" s="11">
        <f>'Jobmaster-Detailed'!J335</f>
        <v>10133</v>
      </c>
      <c r="F19" s="11">
        <v>10133</v>
      </c>
      <c r="G19" s="11"/>
      <c r="H19" t="s">
        <v>52</v>
      </c>
      <c r="I19" s="12">
        <f t="shared" si="1"/>
        <v>9433</v>
      </c>
      <c r="K19" s="17" t="str">
        <f>HYPERLINK("#"&amp;ADDRESS(MATCH("LearnMate 7 Bundles",LearnMate7!$A$1:$A$5000,0),1,,,"LearnMate7"),"LMS")</f>
        <v>LMS</v>
      </c>
      <c r="L19" s="17" t="str">
        <f t="shared" si="2"/>
        <v>Mobile Training Bench</v>
      </c>
    </row>
    <row r="20" spans="1:13" ht="18" customHeight="1">
      <c r="A20" s="10" t="s">
        <v>54</v>
      </c>
      <c r="B20" s="15" t="str">
        <f>HYPERLINK("#"&amp;ADDRESS(MATCH(A20,'Jobmaster-Detailed'!$A$1:$A$4998,0),1,,,"Jobmaster-Detailed"),VLOOKUP(A20,'Jobmaster-Detailed'!A:C,3,FALSE))</f>
        <v>JM Electromagnetic Starters</v>
      </c>
      <c r="C20" s="29" t="str">
        <f>IFERROR(HYPERLINK("#"&amp;ADDRESS(MATCH(A20&amp;"ES",'LM7 Non-ENG'!$A$1:$A$5000,0),1,,,"LM7 Non-ENG"),IF(IFERROR(VLOOKUP(A20&amp;"ES",'LM7 Non-ENG'!$A$1:$A$4999,1,FALSE),"ERROR")=A20&amp;"ES","Y","")),"")</f>
        <v/>
      </c>
      <c r="D20" s="29" t="str">
        <f>IFERROR(HYPERLINK("#"&amp;ADDRESS(MATCH(A20&amp;"PT",'LM7 Non-ENG'!$A$1:$A$5000,0),1,,,"LM7 Non-ENG"),IF(IFERROR(VLOOKUP(A20&amp;"PT",'LM7 Non-ENG'!$A$1:$A$5000,1,FALSE),"ERROR")=A20&amp;"PT","Y","")),"")</f>
        <v/>
      </c>
      <c r="E20" s="11">
        <f>'Jobmaster-Detailed'!J350</f>
        <v>5971</v>
      </c>
      <c r="F20" s="11">
        <v>5971</v>
      </c>
      <c r="G20" s="11"/>
      <c r="H20" t="s">
        <v>60</v>
      </c>
      <c r="I20" s="12">
        <f t="shared" si="1"/>
        <v>5271</v>
      </c>
      <c r="K20" s="17" t="str">
        <f>HYPERLINK("#"&amp;ADDRESS(MATCH("LearnMate 7 Bundles",LearnMate7!$A$1:$A$5000,0),1,,,"LearnMate7"),"LMS")</f>
        <v>LMS</v>
      </c>
      <c r="L20" s="17" t="str">
        <f t="shared" si="2"/>
        <v>Mobile Training Bench</v>
      </c>
    </row>
    <row r="21" spans="1:13" ht="18" customHeight="1">
      <c r="A21" s="10" t="s">
        <v>57</v>
      </c>
      <c r="B21" s="15" t="str">
        <f>HYPERLINK("#"&amp;ADDRESS(MATCH(A21,'Jobmaster-Detailed'!$A$1:$A$4998,0),1,,,"Jobmaster-Detailed"),VLOOKUP(A21,'Jobmaster-Detailed'!A:C,3,FALSE))</f>
        <v>JM, Relays &amp; Timers, EA08, LMS Lab</v>
      </c>
      <c r="C21" s="29" t="str">
        <f>IFERROR(HYPERLINK("#"&amp;ADDRESS(MATCH(A21&amp;"ES",'LM7 Non-ENG'!$A$1:$A$5000,0),1,,,"LM7 Non-ENG"),IF(IFERROR(VLOOKUP(A21&amp;"ES",'LM7 Non-ENG'!$A$1:$A$4999,1,FALSE),"ERROR")=A21&amp;"ES","Y","")),"")</f>
        <v/>
      </c>
      <c r="D21" s="29" t="str">
        <f>IFERROR(HYPERLINK("#"&amp;ADDRESS(MATCH(A21&amp;"PT",'LM7 Non-ENG'!$A$1:$A$5000,0),1,,,"LM7 Non-ENG"),IF(IFERROR(VLOOKUP(A21&amp;"PT",'LM7 Non-ENG'!$A$1:$A$5000,1,FALSE),"ERROR")=A21&amp;"PT","Y","")),"")</f>
        <v/>
      </c>
      <c r="E21" s="11">
        <f>'Jobmaster-Detailed'!J364</f>
        <v>2367</v>
      </c>
      <c r="F21" s="11">
        <v>2367</v>
      </c>
      <c r="G21" s="11"/>
      <c r="H21" t="s">
        <v>59</v>
      </c>
      <c r="I21" s="12">
        <f t="shared" si="1"/>
        <v>1667</v>
      </c>
      <c r="K21" s="17" t="str">
        <f>HYPERLINK("#"&amp;ADDRESS(MATCH("LearnMate 7 Bundles",LearnMate7!$A$1:$A$5000,0),1,,,"LearnMate7"),"LMS")</f>
        <v>LMS</v>
      </c>
      <c r="L21" s="17" t="str">
        <f t="shared" si="2"/>
        <v>Mobile Training Bench</v>
      </c>
    </row>
    <row r="22" spans="1:13" ht="18" customHeight="1">
      <c r="A22" s="10" t="s">
        <v>62</v>
      </c>
      <c r="B22" s="15" t="str">
        <f>HYPERLINK("#"&amp;ADDRESS(MATCH(A22,'Jobmaster-Detailed'!$A$1:$A$4998,0),1,,,"Jobmaster-Detailed"),VLOOKUP(A22,'Jobmaster-Detailed'!A:C,3,FALSE))</f>
        <v>JM Electronic Sensors, EA09, LMS Lab</v>
      </c>
      <c r="C22" s="29" t="str">
        <f>IFERROR(HYPERLINK("#"&amp;ADDRESS(MATCH(A22&amp;"ES",'LM7 Non-ENG'!$A$1:$A$5000,0),1,,,"LM7 Non-ENG"),IF(IFERROR(VLOOKUP(A22&amp;"ES",'LM7 Non-ENG'!$A$1:$A$4999,1,FALSE),"ERROR")=A22&amp;"ES","Y","")),"")</f>
        <v/>
      </c>
      <c r="D22" s="29" t="str">
        <f>IFERROR(HYPERLINK("#"&amp;ADDRESS(MATCH(A22&amp;"PT",'LM7 Non-ENG'!$A$1:$A$5000,0),1,,,"LM7 Non-ENG"),IF(IFERROR(VLOOKUP(A22&amp;"PT",'LM7 Non-ENG'!$A$1:$A$5000,1,FALSE),"ERROR")=A22&amp;"PT","Y","")),"")</f>
        <v/>
      </c>
      <c r="E22" s="11">
        <v>4669</v>
      </c>
      <c r="F22" s="11">
        <v>4669</v>
      </c>
      <c r="G22" s="11"/>
      <c r="H22" t="s">
        <v>64</v>
      </c>
      <c r="I22" s="12">
        <f t="shared" si="1"/>
        <v>3969</v>
      </c>
      <c r="K22" s="17" t="str">
        <f>HYPERLINK("#"&amp;ADDRESS(MATCH("LearnMate 7 Bundles",LearnMate7!$A$1:$A$5000,0),1,,,"LearnMate7"),"LMS")</f>
        <v>LMS</v>
      </c>
      <c r="L22" s="17" t="str">
        <f t="shared" si="2"/>
        <v>Mobile Training Bench</v>
      </c>
    </row>
    <row r="23" spans="1:13" ht="18" customHeight="1">
      <c r="A23" s="10" t="s">
        <v>66</v>
      </c>
      <c r="B23" s="15" t="str">
        <f>HYPERLINK("#"&amp;ADDRESS(MATCH(A23,'Jobmaster-Detailed'!$A$1:$A$4998,0),1,,,"Jobmaster-Detailed"),VLOOKUP(A23,'Jobmaster-Detailed'!A:C,3,FALSE))</f>
        <v>JM Solid State Voltage Starter, EA11, LMS Lab</v>
      </c>
      <c r="C23" s="29" t="str">
        <f>IFERROR(HYPERLINK("#"&amp;ADDRESS(MATCH(A23&amp;"ES",'LM7 Non-ENG'!$A$1:$A$5000,0),1,,,"LM7 Non-ENG"),IF(IFERROR(VLOOKUP(A23&amp;"ES",'LM7 Non-ENG'!$A$1:$A$4999,1,FALSE),"ERROR")=A23&amp;"ES","Y","")),"")</f>
        <v/>
      </c>
      <c r="D23" s="29" t="str">
        <f>IFERROR(HYPERLINK("#"&amp;ADDRESS(MATCH(A23&amp;"PT",'LM7 Non-ENG'!$A$1:$A$5000,0),1,,,"LM7 Non-ENG"),IF(IFERROR(VLOOKUP(A23&amp;"PT",'LM7 Non-ENG'!$A$1:$A$5000,1,FALSE),"ERROR")=A23&amp;"PT","Y","")),"")</f>
        <v/>
      </c>
      <c r="E23" s="11">
        <f>'Jobmaster-Detailed'!J380</f>
        <v>2500</v>
      </c>
      <c r="F23" s="11">
        <v>2500</v>
      </c>
      <c r="G23" s="11"/>
      <c r="H23" t="s">
        <v>68</v>
      </c>
      <c r="I23" s="12">
        <f t="shared" si="1"/>
        <v>1800</v>
      </c>
      <c r="K23" s="17" t="str">
        <f>HYPERLINK("#"&amp;ADDRESS(MATCH("LearnMate 7 Bundles",LearnMate7!$A$1:$A$5000,0),1,,,"LearnMate7"),"LMS")</f>
        <v>LMS</v>
      </c>
      <c r="L23" s="17" t="str">
        <f t="shared" si="2"/>
        <v>Mobile Training Bench</v>
      </c>
    </row>
    <row r="24" spans="1:13" ht="18" customHeight="1">
      <c r="A24" s="10" t="s">
        <v>70</v>
      </c>
      <c r="B24" s="15" t="str">
        <f>HYPERLINK("#"&amp;ADDRESS(MATCH(A24,'Jobmaster-Detailed'!$A$1:$A$4998,0),1,,,"Jobmaster-Detailed"),VLOOKUP(A24,'Jobmaster-Detailed'!A:C,3,FALSE))</f>
        <v>JM Variable Frequency Crive, EA12, LMS Lab</v>
      </c>
      <c r="C24" s="29" t="str">
        <f>IFERROR(HYPERLINK("#"&amp;ADDRESS(MATCH(A24&amp;"ES",'LM7 Non-ENG'!$A$1:$A$5000,0),1,,,"LM7 Non-ENG"),IF(IFERROR(VLOOKUP(A24&amp;"ES",'LM7 Non-ENG'!$A$1:$A$4999,1,FALSE),"ERROR")=A24&amp;"ES","Y","")),"")</f>
        <v/>
      </c>
      <c r="D24" s="29" t="str">
        <f>IFERROR(HYPERLINK("#"&amp;ADDRESS(MATCH(A24&amp;"PT",'LM7 Non-ENG'!$A$1:$A$5000,0),1,,,"LM7 Non-ENG"),IF(IFERROR(VLOOKUP(A24&amp;"PT",'LM7 Non-ENG'!$A$1:$A$5000,1,FALSE),"ERROR")=A24&amp;"PT","Y","")),"")</f>
        <v/>
      </c>
      <c r="E24" s="11">
        <f>'Jobmaster-Detailed'!J386</f>
        <v>2384</v>
      </c>
      <c r="F24" s="11">
        <v>2384</v>
      </c>
      <c r="G24" s="11"/>
      <c r="H24" t="s">
        <v>72</v>
      </c>
      <c r="I24" s="12">
        <f t="shared" si="1"/>
        <v>1684</v>
      </c>
      <c r="K24" s="17" t="str">
        <f>HYPERLINK("#"&amp;ADDRESS(MATCH("LearnMate 7 Bundles",LearnMate7!$A$1:$A$5000,0),1,,,"LearnMate7"),"LMS")</f>
        <v>LMS</v>
      </c>
      <c r="L24" s="17" t="str">
        <f t="shared" si="2"/>
        <v>Mobile Training Bench</v>
      </c>
    </row>
    <row r="25" spans="1:13" ht="18" customHeight="1">
      <c r="A25" s="10" t="s">
        <v>74</v>
      </c>
      <c r="B25" s="15" t="str">
        <f>HYPERLINK("#"&amp;ADDRESS(MATCH(A25,'Jobmaster-Detailed'!$A$1:$A$4998,0),1,,,"Jobmaster-Detailed"),VLOOKUP(A25,'Jobmaster-Detailed'!A:C,3,FALSE))</f>
        <v>JM DC Motor Drives, EA16, LMS Lab</v>
      </c>
      <c r="C25" s="29" t="str">
        <f>IFERROR(HYPERLINK("#"&amp;ADDRESS(MATCH(A25&amp;"ES",'LM7 Non-ENG'!$A$1:$A$5000,0),1,,,"LM7 Non-ENG"),IF(IFERROR(VLOOKUP(A25&amp;"ES",'LM7 Non-ENG'!$A$1:$A$4999,1,FALSE),"ERROR")=A25&amp;"ES","Y","")),"")</f>
        <v/>
      </c>
      <c r="D25" s="29" t="str">
        <f>IFERROR(HYPERLINK("#"&amp;ADDRESS(MATCH(A25&amp;"PT",'LM7 Non-ENG'!$A$1:$A$5000,0),1,,,"LM7 Non-ENG"),IF(IFERROR(VLOOKUP(A25&amp;"PT",'LM7 Non-ENG'!$A$1:$A$5000,1,FALSE),"ERROR")=A25&amp;"PT","Y","")),"")</f>
        <v/>
      </c>
      <c r="E25" s="11">
        <f>'Jobmaster-Detailed'!J393</f>
        <v>6818</v>
      </c>
      <c r="F25" s="11">
        <v>6818</v>
      </c>
      <c r="G25" s="11"/>
      <c r="H25" t="s">
        <v>76</v>
      </c>
      <c r="I25" s="12">
        <f t="shared" si="1"/>
        <v>6118</v>
      </c>
      <c r="K25" s="17" t="str">
        <f>HYPERLINK("#"&amp;ADDRESS(MATCH("LearnMate 7 Bundles",LearnMate7!$A$1:$A$5000,0),1,,,"LearnMate7"),"LMS")</f>
        <v>LMS</v>
      </c>
      <c r="L25" s="17" t="str">
        <f t="shared" si="2"/>
        <v>Mobile Training Bench</v>
      </c>
    </row>
    <row r="26" spans="1:13" ht="18.75">
      <c r="A26" s="65" t="s">
        <v>102</v>
      </c>
      <c r="B26" s="65"/>
      <c r="C26" s="65"/>
      <c r="D26" s="65"/>
      <c r="E26" s="65"/>
      <c r="F26" s="65"/>
      <c r="G26" s="65"/>
      <c r="H26" s="65"/>
      <c r="I26" s="65"/>
      <c r="J26" s="65"/>
      <c r="K26" s="65"/>
      <c r="L26" s="65"/>
      <c r="M26" s="65"/>
    </row>
    <row r="27" spans="1:13" ht="18" customHeight="1">
      <c r="A27" s="10" t="s">
        <v>103</v>
      </c>
      <c r="B27" s="15" t="str">
        <f>HYPERLINK("#"&amp;ADDRESS(MATCH(A27,'Jobmaster-Detailed'!$A$1:$A$4998,0),1,,,"Jobmaster-Detailed"),VLOOKUP(A27,'Jobmaster-Detailed'!A:C,3,FALSE))</f>
        <v>JM, Oscilloscope, EB01A, LMS Lab</v>
      </c>
      <c r="C27" s="29" t="str">
        <f>IFERROR(HYPERLINK("#"&amp;ADDRESS(MATCH(A27&amp;"ES",'LM7 Non-ENG'!$A$1:$A$5000,0),1,,,"LM7 Non-ENG"),IF(IFERROR(VLOOKUP(A27&amp;"ES",'LM7 Non-ENG'!$A$1:$A$4999,1,FALSE),"ERROR")=A27&amp;"ES","Y","")),"")</f>
        <v/>
      </c>
      <c r="D27" s="29" t="str">
        <f>IFERROR(HYPERLINK("#"&amp;ADDRESS(MATCH(A27&amp;"PT",'LM7 Non-ENG'!$A$1:$A$5000,0),1,,,"LM7 Non-ENG"),IF(IFERROR(VLOOKUP(A27&amp;"PT",'LM7 Non-ENG'!$A$1:$A$5000,1,FALSE),"ERROR")=A27&amp;"PT","Y","")),"")</f>
        <v/>
      </c>
      <c r="E27" s="11">
        <f>'Jobmaster-Detailed'!J622</f>
        <v>3514</v>
      </c>
      <c r="F27" s="11">
        <v>3514</v>
      </c>
      <c r="G27" s="11"/>
      <c r="H27" t="s">
        <v>47</v>
      </c>
      <c r="I27" s="12">
        <f t="shared" ref="I27:I35" si="3">E27-700</f>
        <v>2814</v>
      </c>
      <c r="K27" s="17" t="str">
        <f>HYPERLINK("#"&amp;ADDRESS(MATCH("LearnMate 7 Bundles",LearnMate7!$A$1:$A$5000,0),1,,,"LearnMate7"),"LMS")</f>
        <v>LMS</v>
      </c>
      <c r="L27" s="17" t="str">
        <f t="shared" ref="L27:L35" si="4">HYPERLINK("#"&amp;ADDRESS(MATCH("Mobile Learning Station",$B$1:$B$5000,0),1,,,"Jobmaster"),"Mobile Training Bench")</f>
        <v>Mobile Training Bench</v>
      </c>
    </row>
    <row r="28" spans="1:13" ht="18" customHeight="1">
      <c r="A28" s="10" t="s">
        <v>106</v>
      </c>
      <c r="B28" s="15" t="str">
        <f>HYPERLINK("#"&amp;ADDRESS(MATCH(A28,'Jobmaster-Detailed'!$A$1:$A$4998,0),1,,,"Jobmaster-Detailed"),VLOOKUP(A28,'Jobmaster-Detailed'!A:C,3,FALSE))</f>
        <v>JM, Digital Multimeter, EB01B, LMS Lab</v>
      </c>
      <c r="C28" s="29" t="str">
        <f>IFERROR(HYPERLINK("#"&amp;ADDRESS(MATCH(A28&amp;"ES",'LM7 Non-ENG'!$A$1:$A$5000,0),1,,,"LM7 Non-ENG"),IF(IFERROR(VLOOKUP(A28&amp;"ES",'LM7 Non-ENG'!$A$1:$A$4999,1,FALSE),"ERROR")=A28&amp;"ES","Y","")),"")</f>
        <v/>
      </c>
      <c r="D28" s="29" t="str">
        <f>IFERROR(HYPERLINK("#"&amp;ADDRESS(MATCH(A28&amp;"PT",'LM7 Non-ENG'!$A$1:$A$5000,0),1,,,"LM7 Non-ENG"),IF(IFERROR(VLOOKUP(A28&amp;"PT",'LM7 Non-ENG'!$A$1:$A$5000,1,FALSE),"ERROR")=A28&amp;"PT","Y","")),"")</f>
        <v/>
      </c>
      <c r="E28" s="11">
        <f>'Jobmaster-Detailed'!J630</f>
        <v>2392</v>
      </c>
      <c r="F28" s="11">
        <v>2392</v>
      </c>
      <c r="G28" s="11"/>
      <c r="H28" t="s">
        <v>52</v>
      </c>
      <c r="I28" s="12">
        <f t="shared" si="3"/>
        <v>1692</v>
      </c>
      <c r="K28" s="17" t="str">
        <f>HYPERLINK("#"&amp;ADDRESS(MATCH("LearnMate 7 Bundles",LearnMate7!$A$1:$A$5000,0),1,,,"LearnMate7"),"LMS")</f>
        <v>LMS</v>
      </c>
      <c r="L28" s="17" t="str">
        <f t="shared" si="4"/>
        <v>Mobile Training Bench</v>
      </c>
    </row>
    <row r="29" spans="1:13" ht="18" customHeight="1">
      <c r="A29" s="10" t="s">
        <v>109</v>
      </c>
      <c r="B29" s="15" t="str">
        <f>HYPERLINK("#"&amp;ADDRESS(MATCH(A29,'Jobmaster-Detailed'!$A$1:$A$4998,0),1,,,"Jobmaster-Detailed"),VLOOKUP(A29,'Jobmaster-Detailed'!A:C,3,FALSE))</f>
        <v>JM Hand Held Digital Oscilloscope, EB01C, LMS Lab</v>
      </c>
      <c r="C29" s="29" t="str">
        <f>IFERROR(HYPERLINK("#"&amp;ADDRESS(MATCH(A29&amp;"ES",'LM7 Non-ENG'!$A$1:$A$5000,0),1,,,"LM7 Non-ENG"),IF(IFERROR(VLOOKUP(A29&amp;"ES",'LM7 Non-ENG'!$A$1:$A$4999,1,FALSE),"ERROR")=A29&amp;"ES","Y","")),"")</f>
        <v/>
      </c>
      <c r="D29" s="29" t="str">
        <f>IFERROR(HYPERLINK("#"&amp;ADDRESS(MATCH(A29&amp;"PT",'LM7 Non-ENG'!$A$1:$A$5000,0),1,,,"LM7 Non-ENG"),IF(IFERROR(VLOOKUP(A29&amp;"PT",'LM7 Non-ENG'!$A$1:$A$5000,1,FALSE),"ERROR")=A29&amp;"PT","Y","")),"")</f>
        <v/>
      </c>
      <c r="E29" s="11">
        <f>'Jobmaster-Detailed'!J638</f>
        <v>3514</v>
      </c>
      <c r="F29" s="11">
        <v>3514</v>
      </c>
      <c r="G29" s="11"/>
      <c r="H29" t="s">
        <v>60</v>
      </c>
      <c r="I29" s="12">
        <f t="shared" si="3"/>
        <v>2814</v>
      </c>
      <c r="K29" s="17" t="str">
        <f>HYPERLINK("#"&amp;ADDRESS(MATCH("LearnMate 7 Bundles",LearnMate7!$A$1:$A$5000,0),1,,,"LearnMate7"),"LMS")</f>
        <v>LMS</v>
      </c>
      <c r="L29" s="17" t="str">
        <f t="shared" si="4"/>
        <v>Mobile Training Bench</v>
      </c>
    </row>
    <row r="30" spans="1:13" ht="18" customHeight="1">
      <c r="A30" s="10" t="s">
        <v>112</v>
      </c>
      <c r="B30" s="15" t="str">
        <f>HYPERLINK("#"&amp;ADDRESS(MATCH(A30,'Jobmaster-Detailed'!$A$1:$A$4998,0),1,,,"Jobmaster-Detailed"),VLOOKUP(A30,'Jobmaster-Detailed'!A:C,3,FALSE))</f>
        <v>JM DC Power Supplies, EB02A, LMS Lab</v>
      </c>
      <c r="C30" s="29" t="str">
        <f>IFERROR(HYPERLINK("#"&amp;ADDRESS(MATCH(A30&amp;"ES",'LM7 Non-ENG'!$A$1:$A$5000,0),1,,,"LM7 Non-ENG"),IF(IFERROR(VLOOKUP(A30&amp;"ES",'LM7 Non-ENG'!$A$1:$A$4999,1,FALSE),"ERROR")=A30&amp;"ES","Y","")),"")</f>
        <v/>
      </c>
      <c r="D30" s="29" t="str">
        <f>IFERROR(HYPERLINK("#"&amp;ADDRESS(MATCH(A30&amp;"PT",'LM7 Non-ENG'!$A$1:$A$5000,0),1,,,"LM7 Non-ENG"),IF(IFERROR(VLOOKUP(A30&amp;"PT",'LM7 Non-ENG'!$A$1:$A$5000,1,FALSE),"ERROR")=A30&amp;"PT","Y","")),"")</f>
        <v/>
      </c>
      <c r="E30" s="11">
        <f>'Jobmaster-Detailed'!J645</f>
        <v>2330</v>
      </c>
      <c r="F30" s="11">
        <v>2330</v>
      </c>
      <c r="G30" s="11"/>
      <c r="H30" t="s">
        <v>59</v>
      </c>
      <c r="I30" s="12">
        <f t="shared" si="3"/>
        <v>1630</v>
      </c>
      <c r="K30" s="17" t="str">
        <f>HYPERLINK("#"&amp;ADDRESS(MATCH("LearnMate 7 Bundles",LearnMate7!$A$1:$A$5000,0),1,,,"LearnMate7"),"LMS")</f>
        <v>LMS</v>
      </c>
      <c r="L30" s="17" t="str">
        <f t="shared" si="4"/>
        <v>Mobile Training Bench</v>
      </c>
    </row>
    <row r="31" spans="1:13" ht="18" customHeight="1">
      <c r="A31" s="10" t="s">
        <v>115</v>
      </c>
      <c r="B31" s="15" t="str">
        <f>HYPERLINK("#"&amp;ADDRESS(MATCH(A31,'Jobmaster-Detailed'!$A$1:$A$4998,0),1,,,"Jobmaster-Detailed"),VLOOKUP(A31,'Jobmaster-Detailed'!A:C,3,FALSE))</f>
        <v>JM AC Power Supplies, EB02B, LMS Lab</v>
      </c>
      <c r="C31" s="29" t="str">
        <f>IFERROR(HYPERLINK("#"&amp;ADDRESS(MATCH(A31&amp;"ES",'LM7 Non-ENG'!$A$1:$A$5000,0),1,,,"LM7 Non-ENG"),IF(IFERROR(VLOOKUP(A31&amp;"ES",'LM7 Non-ENG'!$A$1:$A$4999,1,FALSE),"ERROR")=A31&amp;"ES","Y","")),"")</f>
        <v/>
      </c>
      <c r="D31" s="29" t="str">
        <f>IFERROR(HYPERLINK("#"&amp;ADDRESS(MATCH(A31&amp;"PT",'LM7 Non-ENG'!$A$1:$A$5000,0),1,,,"LM7 Non-ENG"),IF(IFERROR(VLOOKUP(A31&amp;"PT",'LM7 Non-ENG'!$A$1:$A$5000,1,FALSE),"ERROR")=A31&amp;"PT","Y","")),"")</f>
        <v/>
      </c>
      <c r="E31" s="11">
        <f>'Jobmaster-Detailed'!J653</f>
        <v>2166</v>
      </c>
      <c r="F31" s="11">
        <v>2166</v>
      </c>
      <c r="G31" s="11"/>
      <c r="H31" t="s">
        <v>64</v>
      </c>
      <c r="I31" s="12">
        <f t="shared" si="3"/>
        <v>1466</v>
      </c>
      <c r="K31" s="17" t="str">
        <f>HYPERLINK("#"&amp;ADDRESS(MATCH("LearnMate 7 Bundles",LearnMate7!$A$1:$A$5000,0),1,,,"LearnMate7"),"LMS")</f>
        <v>LMS</v>
      </c>
      <c r="L31" s="17" t="str">
        <f t="shared" si="4"/>
        <v>Mobile Training Bench</v>
      </c>
    </row>
    <row r="32" spans="1:13" ht="18" customHeight="1">
      <c r="A32" s="10" t="s">
        <v>118</v>
      </c>
      <c r="B32" s="15" t="str">
        <f>HYPERLINK("#"&amp;ADDRESS(MATCH(A32,'Jobmaster-Detailed'!$A$1:$A$4998,0),1,,,"Jobmaster-Detailed"),VLOOKUP(A32,'Jobmaster-Detailed'!A:C,3,FALSE))</f>
        <v>JM Thyristor Motor Drives, EB03, LMS Lab</v>
      </c>
      <c r="C32" s="29" t="str">
        <f>IFERROR(HYPERLINK("#"&amp;ADDRESS(MATCH(A32&amp;"ES",'LM7 Non-ENG'!$A$1:$A$5000,0),1,,,"LM7 Non-ENG"),IF(IFERROR(VLOOKUP(A32&amp;"ES",'LM7 Non-ENG'!$A$1:$A$4999,1,FALSE),"ERROR")=A32&amp;"ES","Y","")),"")</f>
        <v/>
      </c>
      <c r="D32" s="29" t="str">
        <f>IFERROR(HYPERLINK("#"&amp;ADDRESS(MATCH(A32&amp;"PT",'LM7 Non-ENG'!$A$1:$A$5000,0),1,,,"LM7 Non-ENG"),IF(IFERROR(VLOOKUP(A32&amp;"PT",'LM7 Non-ENG'!$A$1:$A$5000,1,FALSE),"ERROR")=A32&amp;"PT","Y","")),"")</f>
        <v/>
      </c>
      <c r="E32" s="11">
        <f>'Jobmaster-Detailed'!J661</f>
        <v>6083</v>
      </c>
      <c r="F32" s="11">
        <v>6083</v>
      </c>
      <c r="G32" s="11"/>
      <c r="H32" t="s">
        <v>68</v>
      </c>
      <c r="I32" s="12">
        <f t="shared" si="3"/>
        <v>5383</v>
      </c>
      <c r="K32" s="17" t="str">
        <f>HYPERLINK("#"&amp;ADDRESS(MATCH("LearnMate 7 Bundles",LearnMate7!$A$1:$A$5000,0),1,,,"LearnMate7"),"LMS")</f>
        <v>LMS</v>
      </c>
      <c r="L32" s="17" t="str">
        <f>HYPERLINK("#"&amp;ADDRESS(MATCH("Mobile Learning Station",$B$1:$B$5000,0),1,,,"Jobmaster"),"Mobile Training Bench")</f>
        <v>Mobile Training Bench</v>
      </c>
    </row>
    <row r="33" spans="1:13" ht="18" customHeight="1">
      <c r="A33" s="10" t="s">
        <v>121</v>
      </c>
      <c r="B33" s="15" t="str">
        <f>HYPERLINK("#"&amp;ADDRESS(MATCH(A33,'Jobmaster-Detailed'!$A$1:$A$4998,0),1,,,"Jobmaster-Detailed"),VLOOKUP(A33,'Jobmaster-Detailed'!A:C,3,FALSE))</f>
        <v>JM Electronic Timers &amp; Triggers, EB04, LMS Lab</v>
      </c>
      <c r="C33" s="29" t="str">
        <f>IFERROR(HYPERLINK("#"&amp;ADDRESS(MATCH(A33&amp;"ES",'LM7 Non-ENG'!$A$1:$A$5000,0),1,,,"LM7 Non-ENG"),IF(IFERROR(VLOOKUP(A33&amp;"ES",'LM7 Non-ENG'!$A$1:$A$4999,1,FALSE),"ERROR")=A33&amp;"ES","Y","")),"")</f>
        <v/>
      </c>
      <c r="D33" s="29" t="str">
        <f>IFERROR(HYPERLINK("#"&amp;ADDRESS(MATCH(A33&amp;"PT",'LM7 Non-ENG'!$A$1:$A$5000,0),1,,,"LM7 Non-ENG"),IF(IFERROR(VLOOKUP(A33&amp;"PT",'LM7 Non-ENG'!$A$1:$A$5000,1,FALSE),"ERROR")=A33&amp;"PT","Y","")),"")</f>
        <v/>
      </c>
      <c r="E33" s="11">
        <f>'Jobmaster-Detailed'!J674</f>
        <v>1700</v>
      </c>
      <c r="F33" s="11">
        <v>1700</v>
      </c>
      <c r="G33" s="11"/>
      <c r="H33" t="s">
        <v>72</v>
      </c>
      <c r="I33" s="12">
        <f t="shared" si="3"/>
        <v>1000</v>
      </c>
      <c r="K33" s="17" t="str">
        <f>HYPERLINK("#"&amp;ADDRESS(MATCH("LearnMate 7 Bundles",LearnMate7!$A$1:$A$5000,0),1,,,"LearnMate7"),"LMS")</f>
        <v>LMS</v>
      </c>
      <c r="L33" s="17" t="str">
        <f t="shared" si="4"/>
        <v>Mobile Training Bench</v>
      </c>
    </row>
    <row r="34" spans="1:13" ht="18" customHeight="1">
      <c r="A34" s="10" t="s">
        <v>124</v>
      </c>
      <c r="B34" s="15" t="str">
        <f>HYPERLINK("#"&amp;ADDRESS(MATCH(A34,'Jobmaster-Detailed'!$A$1:$A$4998,0),1,,,"Jobmaster-Detailed"),VLOOKUP(A34,'Jobmaster-Detailed'!A:C,3,FALSE))</f>
        <v>JM Basic Stepper Motors &amp; Drives, EB05, LMS Lab</v>
      </c>
      <c r="C34" s="29" t="str">
        <f>IFERROR(HYPERLINK("#"&amp;ADDRESS(MATCH(A34&amp;"ES",'LM7 Non-ENG'!$A$1:$A$5000,0),1,,,"LM7 Non-ENG"),IF(IFERROR(VLOOKUP(A34&amp;"ES",'LM7 Non-ENG'!$A$1:$A$4999,1,FALSE),"ERROR")=A34&amp;"ES","Y","")),"")</f>
        <v/>
      </c>
      <c r="D34" s="29" t="str">
        <f>IFERROR(HYPERLINK("#"&amp;ADDRESS(MATCH(A34&amp;"PT",'LM7 Non-ENG'!$A$1:$A$5000,0),1,,,"LM7 Non-ENG"),IF(IFERROR(VLOOKUP(A34&amp;"PT",'LM7 Non-ENG'!$A$1:$A$5000,1,FALSE),"ERROR")=A34&amp;"PT","Y","")),"")</f>
        <v/>
      </c>
      <c r="E34" s="11">
        <f>'Jobmaster-Detailed'!J680</f>
        <v>2300</v>
      </c>
      <c r="F34" s="11">
        <v>2300</v>
      </c>
      <c r="G34" s="11"/>
      <c r="H34" t="s">
        <v>76</v>
      </c>
      <c r="I34" s="12">
        <f t="shared" si="3"/>
        <v>1600</v>
      </c>
      <c r="K34" s="17" t="str">
        <f>HYPERLINK("#"&amp;ADDRESS(MATCH("LearnMate 7 Bundles",LearnMate7!$A$1:$A$5000,0),1,,,"LearnMate7"),"LMS")</f>
        <v>LMS</v>
      </c>
      <c r="L34" s="17" t="str">
        <f t="shared" si="4"/>
        <v>Mobile Training Bench</v>
      </c>
    </row>
    <row r="35" spans="1:13" ht="18" customHeight="1">
      <c r="A35" s="10" t="s">
        <v>127</v>
      </c>
      <c r="B35" s="15" t="str">
        <f>HYPERLINK("#"&amp;ADDRESS(MATCH(A35,'Jobmaster-Detailed'!$A$1:$A$4998,0),1,,,"Jobmaster-Detailed"),VLOOKUP(A35,'Jobmaster-Detailed'!A:C,3,FALSE))</f>
        <v>JM Basic Servo Motor Drives</v>
      </c>
      <c r="C35" s="29" t="str">
        <f>IFERROR(HYPERLINK("#"&amp;ADDRESS(MATCH(A35&amp;"ES",'LM7 Non-ENG'!$A$1:$A$5000,0),1,,,"LM7 Non-ENG"),IF(IFERROR(VLOOKUP(A35&amp;"ES",'LM7 Non-ENG'!$A$1:$A$4999,1,FALSE),"ERROR")=A35&amp;"ES","Y","")),"")</f>
        <v/>
      </c>
      <c r="D35" s="29" t="str">
        <f>IFERROR(HYPERLINK("#"&amp;ADDRESS(MATCH(A35&amp;"PT",'LM7 Non-ENG'!$A$1:$A$5000,0),1,,,"LM7 Non-ENG"),IF(IFERROR(VLOOKUP(A35&amp;"PT",'LM7 Non-ENG'!$A$1:$A$5000,1,FALSE),"ERROR")=A35&amp;"PT","Y","")),"")</f>
        <v/>
      </c>
      <c r="E35" s="11">
        <f>'Jobmaster-Detailed'!J686</f>
        <v>1467</v>
      </c>
      <c r="F35" s="11">
        <v>1467</v>
      </c>
      <c r="G35" s="11"/>
      <c r="H35" t="s">
        <v>76</v>
      </c>
      <c r="I35" s="12">
        <f t="shared" si="3"/>
        <v>767</v>
      </c>
      <c r="K35" s="17" t="str">
        <f>HYPERLINK("#"&amp;ADDRESS(MATCH("LearnMate 7 Bundles",LearnMate7!$A$1:$A$5000,0),1,,,"LearnMate7"),"LMS")</f>
        <v>LMS</v>
      </c>
      <c r="L35" s="17" t="str">
        <f t="shared" si="4"/>
        <v>Mobile Training Bench</v>
      </c>
    </row>
    <row r="36" spans="1:13" ht="18.75">
      <c r="A36" s="65" t="s">
        <v>94</v>
      </c>
      <c r="B36" s="65"/>
      <c r="C36" s="65"/>
      <c r="D36" s="65"/>
      <c r="E36" s="65"/>
      <c r="F36" s="65"/>
      <c r="G36" s="65"/>
      <c r="H36" s="65"/>
      <c r="I36" s="65"/>
      <c r="J36" s="65"/>
      <c r="K36" s="65"/>
      <c r="L36" s="65"/>
      <c r="M36" s="65"/>
    </row>
    <row r="37" spans="1:13" ht="18" customHeight="1">
      <c r="A37" s="10" t="s">
        <v>92</v>
      </c>
      <c r="B37" s="15" t="str">
        <f>HYPERLINK("#"&amp;ADDRESS(MATCH(A37,'Jobmaster-Detailed'!$A$1:$A$4998,0),1,,,"Jobmaster-Detailed"),VLOOKUP(A37,'Jobmaster-Detailed'!A:C,3,FALSE))</f>
        <v>Complete Mechanical System Two Sided Bench: 110V/220V</v>
      </c>
      <c r="C37" s="29" t="str">
        <f>IFERROR(HYPERLINK("#"&amp;ADDRESS(MATCH(A37&amp;"ES",'LM7 Non-ENG'!$A$1:$A$5000,0),1,,,"LM7 Non-ENG"),IF(IFERROR(VLOOKUP(A37&amp;"ES",'LM7 Non-ENG'!$A$1:$A$4999,1,FALSE),"ERROR")=A37&amp;"ES","Y","")),"")</f>
        <v/>
      </c>
      <c r="D37" s="29" t="str">
        <f>IFERROR(HYPERLINK("#"&amp;ADDRESS(MATCH(A37&amp;"PT",'LM7 Non-ENG'!$A$1:$A$5000,0),1,,,"LM7 Non-ENG"),IF(IFERROR(VLOOKUP(A37&amp;"PT",'LM7 Non-ENG'!$A$1:$A$5000,1,FALSE),"ERROR")=A37&amp;"PT","Y","")),"")</f>
        <v/>
      </c>
      <c r="E37" s="11">
        <f>'Jobmaster-Detailed'!J534</f>
        <v>95835</v>
      </c>
      <c r="F37" s="11">
        <v>77200</v>
      </c>
      <c r="G37" s="11"/>
      <c r="K37" s="17" t="str">
        <f>HYPERLINK("#"&amp;ADDRESS(MATCH("LearnMate 7 Bundles",LearnMate7!$A$1:$A$5000,0),1,,,"LearnMate7"),"LMS")</f>
        <v>LMS</v>
      </c>
    </row>
    <row r="38" spans="1:13" ht="18" customHeight="1">
      <c r="A38" s="10" t="s">
        <v>96</v>
      </c>
      <c r="B38" s="15" t="str">
        <f>HYPERLINK("#"&amp;ADDRESS(MATCH(A38,'Jobmaster-Detailed'!$A$1:$A$4998,0),1,,,"Jobmaster-Detailed"),VLOOKUP(A38,'Jobmaster-Detailed'!A:C,3,FALSE))</f>
        <v>Mechanical System Two Sided Bench: 110V/220V</v>
      </c>
      <c r="C38" s="29" t="str">
        <f>IFERROR(HYPERLINK("#"&amp;ADDRESS(MATCH(A38&amp;"ES",'LM7 Non-ENG'!$A$1:$A$5000,0),1,,,"LM7 Non-ENG"),IF(IFERROR(VLOOKUP(A38&amp;"ES",'LM7 Non-ENG'!$A$1:$A$4999,1,FALSE),"ERROR")=A38&amp;"ES","Y","")),"")</f>
        <v/>
      </c>
      <c r="D38" s="29" t="str">
        <f>IFERROR(HYPERLINK("#"&amp;ADDRESS(MATCH(A38&amp;"PT",'LM7 Non-ENG'!$A$1:$A$5000,0),1,,,"LM7 Non-ENG"),IF(IFERROR(VLOOKUP(A38&amp;"PT",'LM7 Non-ENG'!$A$1:$A$5000,1,FALSE),"ERROR")=A38&amp;"PT","Y","")),"")</f>
        <v/>
      </c>
      <c r="E38" s="11">
        <f>'Jobmaster-Detailed'!J572</f>
        <v>56468</v>
      </c>
      <c r="F38" s="11">
        <v>45000</v>
      </c>
      <c r="G38" s="11"/>
      <c r="K38" s="17" t="str">
        <f>HYPERLINK("#"&amp;ADDRESS(MATCH("LearnMate 7 Bundles",LearnMate7!$A$1:$A$5000,0),1,,,"LearnMate7"),"LMS")</f>
        <v>LMS</v>
      </c>
    </row>
    <row r="39" spans="1:13" ht="18" customHeight="1">
      <c r="A39" t="s">
        <v>99</v>
      </c>
      <c r="B39" s="15" t="str">
        <f>HYPERLINK("#"&amp;ADDRESS(MATCH(A39,'Jobmaster-Detailed'!$A$1:$A$4998,0),1,,,"Jobmaster-Detailed"),VLOOKUP(A39,'Jobmaster-Detailed'!A:C,3,FALSE))</f>
        <v>Mechanical Bench Single Sided; 110V/220V</v>
      </c>
      <c r="C39" s="29" t="str">
        <f>IFERROR(HYPERLINK("#"&amp;ADDRESS(MATCH(A39&amp;"ES",'LM7 Non-ENG'!$A$1:$A$5000,0),1,,,"LM7 Non-ENG"),IF(IFERROR(VLOOKUP(A39&amp;"ES",'LM7 Non-ENG'!$A$1:$A$4999,1,FALSE),"ERROR")=A39&amp;"ES","Y","")),"")</f>
        <v/>
      </c>
      <c r="D39" s="29" t="str">
        <f>IFERROR(HYPERLINK("#"&amp;ADDRESS(MATCH(A39&amp;"PT",'LM7 Non-ENG'!$A$1:$A$5000,0),1,,,"LM7 Non-ENG"),IF(IFERROR(VLOOKUP(A39&amp;"PT",'LM7 Non-ENG'!$A$1:$A$5000,1,FALSE),"ERROR")=A39&amp;"PT","Y","")),"")</f>
        <v/>
      </c>
      <c r="E39" s="11">
        <f>'Jobmaster-Detailed'!J598</f>
        <v>33134</v>
      </c>
      <c r="F39" s="11">
        <v>27000</v>
      </c>
      <c r="G39" s="11"/>
      <c r="K39" s="17" t="str">
        <f>HYPERLINK("#"&amp;ADDRESS(MATCH("LearnMate 7 Bundles",LearnMate7!$A$1:$A$5000,0),1,,,"LearnMate7"),"LMS")</f>
        <v>LMS</v>
      </c>
    </row>
    <row r="40" spans="1:13" ht="18.75">
      <c r="A40" s="65" t="s">
        <v>87</v>
      </c>
      <c r="B40" s="65"/>
      <c r="C40" s="65"/>
      <c r="D40" s="65"/>
      <c r="E40" s="65"/>
      <c r="F40" s="65"/>
      <c r="G40" s="65"/>
      <c r="H40" s="65"/>
      <c r="I40" s="65"/>
      <c r="J40" s="65"/>
      <c r="K40" s="65"/>
      <c r="L40" s="65"/>
      <c r="M40" s="65"/>
    </row>
    <row r="41" spans="1:13" ht="18" customHeight="1">
      <c r="A41" t="s">
        <v>85</v>
      </c>
      <c r="B41" s="15" t="str">
        <f>HYPERLINK("#"&amp;ADDRESS(MATCH(A41,'Jobmaster-Detailed'!$A$1:$A$4998,0),1,,,"Jobmaster-Detailed"),VLOOKUP(A41,'Jobmaster-Detailed'!A:C,3,FALSE))</f>
        <v>JM 1600 Maintenance Cell, LMS Lab 110 V</v>
      </c>
      <c r="C41" s="29" t="str">
        <f>IFERROR(HYPERLINK("#"&amp;ADDRESS(MATCH(A41&amp;"ES",'LM7 Non-ENG'!$A$1:$A$5000,0),1,,,"LM7 Non-ENG"),IF(IFERROR(VLOOKUP(A41&amp;"ES",'LM7 Non-ENG'!$A$1:$A$4999,1,FALSE),"ERROR")=A41&amp;"ES","Y","")),"")</f>
        <v/>
      </c>
      <c r="D41" s="29" t="str">
        <f>IFERROR(HYPERLINK("#"&amp;ADDRESS(MATCH(A41&amp;"PT",'LM7 Non-ENG'!$A$1:$A$5000,0),1,,,"LM7 Non-ENG"),IF(IFERROR(VLOOKUP(A41&amp;"PT",'LM7 Non-ENG'!$A$1:$A$5000,1,FALSE),"ERROR")=A41&amp;"PT","Y","")),"")</f>
        <v/>
      </c>
      <c r="E41" s="11">
        <f>'Jobmaster-Detailed'!J521</f>
        <v>74162</v>
      </c>
      <c r="F41" s="11">
        <v>74162</v>
      </c>
      <c r="G41" s="11"/>
      <c r="K41" s="17" t="str">
        <f>HYPERLINK("#"&amp;ADDRESS(MATCH("LearnMate 7 Bundles",LearnMate7!$A$1:$A$5000,0),1,,,"LearnMate7"),"LMS")</f>
        <v>LMS</v>
      </c>
    </row>
    <row r="42" spans="1:13" ht="18" customHeight="1">
      <c r="A42" t="s">
        <v>89</v>
      </c>
      <c r="B42" s="15" t="str">
        <f>HYPERLINK("#"&amp;ADDRESS(MATCH(A42,'Jobmaster-Detailed'!$A$1:$A$4998,0),1,,,"Jobmaster-Detailed"),VLOOKUP(A42,'Jobmaster-Detailed'!A:C,3,FALSE))</f>
        <v>JM 1600 Maintenance Cell, LMS Lab 220 V</v>
      </c>
      <c r="C42" s="29" t="str">
        <f>IFERROR(HYPERLINK("#"&amp;ADDRESS(MATCH(A42&amp;"ES",'LM7 Non-ENG'!$A$1:$A$5000,0),1,,,"LM7 Non-ENG"),IF(IFERROR(VLOOKUP(A42&amp;"ES",'LM7 Non-ENG'!$A$1:$A$4999,1,FALSE),"ERROR")=A42&amp;"ES","Y","")),"")</f>
        <v/>
      </c>
      <c r="D42" s="29" t="str">
        <f>IFERROR(HYPERLINK("#"&amp;ADDRESS(MATCH(A42&amp;"PT",'LM7 Non-ENG'!$A$1:$A$5000,0),1,,,"LM7 Non-ENG"),IF(IFERROR(VLOOKUP(A42&amp;"PT",'LM7 Non-ENG'!$A$1:$A$5000,1,FALSE),"ERROR")=A42&amp;"PT","Y","")),"")</f>
        <v/>
      </c>
      <c r="E42" s="11">
        <f>'Jobmaster-Detailed'!J527</f>
        <v>78496</v>
      </c>
      <c r="F42" s="11">
        <v>78496</v>
      </c>
      <c r="G42" s="11"/>
      <c r="K42" s="17" t="str">
        <f>HYPERLINK("#"&amp;ADDRESS(MATCH("LearnMate 7 Bundles",LearnMate7!$A$1:$A$5000,0),1,,,"LearnMate7"),"LMS")</f>
        <v>LMS</v>
      </c>
    </row>
    <row r="43" spans="1:13" ht="18.75">
      <c r="A43" s="63" t="s">
        <v>136</v>
      </c>
      <c r="B43" s="63"/>
      <c r="C43" s="63"/>
      <c r="D43" s="63"/>
      <c r="E43" s="63"/>
      <c r="F43" s="63"/>
      <c r="G43" s="63"/>
      <c r="H43" s="63"/>
      <c r="I43" s="63"/>
      <c r="J43" s="63"/>
      <c r="K43" s="63"/>
      <c r="L43" s="63"/>
      <c r="M43" s="63"/>
    </row>
    <row r="44" spans="1:13" ht="18" customHeight="1">
      <c r="A44" t="s">
        <v>137</v>
      </c>
      <c r="B44" s="10" t="s">
        <v>138</v>
      </c>
      <c r="C44" s="29" t="str">
        <f>IFERROR(HYPERLINK("#"&amp;ADDRESS(MATCH(A44&amp;"ES",'LM7 Non-ENG'!$A$1:$A$5000,0),1,,,"LM7 Non-ENG"),IF(IFERROR(VLOOKUP(A44&amp;"ES",'LM7 Non-ENG'!$A$1:$A$4999,1,FALSE),"ERROR")=A44&amp;"ES","Y","")),"")</f>
        <v/>
      </c>
      <c r="D44" s="29" t="str">
        <f>IFERROR(HYPERLINK("#"&amp;ADDRESS(MATCH(A44&amp;"PT",'LM7 Non-ENG'!$A$1:$A$5000,0),1,,,"LM7 Non-ENG"),IF(IFERROR(VLOOKUP(A44&amp;"PT",'LM7 Non-ENG'!$A$1:$A$5000,1,FALSE),"ERROR")=A44&amp;"PT","Y","")),"")</f>
        <v/>
      </c>
      <c r="E44" s="3">
        <f>IFERROR(VLOOKUP(A44,PLInter!A:D,3,FALSE),"")</f>
        <v>5500</v>
      </c>
      <c r="F44" s="11">
        <v>5500</v>
      </c>
      <c r="G44" s="11"/>
    </row>
    <row r="45" spans="1:13" ht="18" customHeight="1">
      <c r="A45" t="s">
        <v>139</v>
      </c>
      <c r="B45" s="10" t="s">
        <v>143</v>
      </c>
      <c r="C45" s="29" t="str">
        <f>IFERROR(HYPERLINK("#"&amp;ADDRESS(MATCH(A45&amp;"ES",'LM7 Non-ENG'!$A$1:$A$5000,0),1,,,"LM7 Non-ENG"),IF(IFERROR(VLOOKUP(A45&amp;"ES",'LM7 Non-ENG'!$A$1:$A$4999,1,FALSE),"ERROR")=A45&amp;"ES","Y","")),"")</f>
        <v/>
      </c>
      <c r="D45" s="29" t="str">
        <f>IFERROR(HYPERLINK("#"&amp;ADDRESS(MATCH(A45&amp;"PT",'LM7 Non-ENG'!$A$1:$A$5000,0),1,,,"LM7 Non-ENG"),IF(IFERROR(VLOOKUP(A45&amp;"PT",'LM7 Non-ENG'!$A$1:$A$5000,1,FALSE),"ERROR")=A45&amp;"PT","Y","")),"")</f>
        <v/>
      </c>
      <c r="E45" s="3">
        <f>IFERROR(VLOOKUP(A45,PLInter!A:D,3,FALSE),"")</f>
        <v>1200</v>
      </c>
      <c r="F45" s="11">
        <v>1200</v>
      </c>
      <c r="G45" s="11"/>
    </row>
    <row r="46" spans="1:13" ht="18" customHeight="1">
      <c r="A46" t="s">
        <v>140</v>
      </c>
      <c r="B46" s="10" t="s">
        <v>143</v>
      </c>
      <c r="C46" s="29" t="str">
        <f>IFERROR(HYPERLINK("#"&amp;ADDRESS(MATCH(A46&amp;"ES",'LM7 Non-ENG'!$A$1:$A$5000,0),1,,,"LM7 Non-ENG"),IF(IFERROR(VLOOKUP(A46&amp;"ES",'LM7 Non-ENG'!$A$1:$A$4999,1,FALSE),"ERROR")=A46&amp;"ES","Y","")),"")</f>
        <v/>
      </c>
      <c r="D46" s="29" t="str">
        <f>IFERROR(HYPERLINK("#"&amp;ADDRESS(MATCH(A46&amp;"PT",'LM7 Non-ENG'!$A$1:$A$5000,0),1,,,"LM7 Non-ENG"),IF(IFERROR(VLOOKUP(A46&amp;"PT",'LM7 Non-ENG'!$A$1:$A$5000,1,FALSE),"ERROR")=A46&amp;"PT","Y","")),"")</f>
        <v/>
      </c>
      <c r="E46" s="3">
        <f>IFERROR(VLOOKUP(A46,PLInter!A:D,3,FALSE),"")</f>
        <v>1267</v>
      </c>
      <c r="F46" s="11">
        <v>1267</v>
      </c>
      <c r="G46" s="11"/>
    </row>
    <row r="47" spans="1:13" ht="18" customHeight="1">
      <c r="A47" t="s">
        <v>141</v>
      </c>
      <c r="B47" s="10" t="s">
        <v>144</v>
      </c>
      <c r="C47" s="29" t="str">
        <f>IFERROR(HYPERLINK("#"&amp;ADDRESS(MATCH(A47&amp;"ES",'LM7 Non-ENG'!$A$1:$A$5000,0),1,,,"LM7 Non-ENG"),IF(IFERROR(VLOOKUP(A47&amp;"ES",'LM7 Non-ENG'!$A$1:$A$4999,1,FALSE),"ERROR")=A47&amp;"ES","Y","")),"")</f>
        <v/>
      </c>
      <c r="D47" s="29" t="str">
        <f>IFERROR(HYPERLINK("#"&amp;ADDRESS(MATCH(A47&amp;"PT",'LM7 Non-ENG'!$A$1:$A$5000,0),1,,,"LM7 Non-ENG"),IF(IFERROR(VLOOKUP(A47&amp;"PT",'LM7 Non-ENG'!$A$1:$A$5000,1,FALSE),"ERROR")=A47&amp;"PT","Y","")),"")</f>
        <v/>
      </c>
      <c r="E47" s="3">
        <f>IFERROR(VLOOKUP(A47,PLInter!A:D,3,FALSE),"")</f>
        <v>4334</v>
      </c>
      <c r="F47" s="11">
        <v>4334</v>
      </c>
      <c r="G47" s="11"/>
    </row>
    <row r="48" spans="1:13" ht="18" customHeight="1">
      <c r="A48" t="s">
        <v>142</v>
      </c>
      <c r="B48" s="10" t="s">
        <v>145</v>
      </c>
      <c r="C48" s="29" t="str">
        <f>IFERROR(HYPERLINK("#"&amp;ADDRESS(MATCH(A48&amp;"ES",'LM7 Non-ENG'!$A$1:$A$5000,0),1,,,"LM7 Non-ENG"),IF(IFERROR(VLOOKUP(A48&amp;"ES",'LM7 Non-ENG'!$A$1:$A$4999,1,FALSE),"ERROR")=A48&amp;"ES","Y","")),"")</f>
        <v/>
      </c>
      <c r="D48" s="29" t="str">
        <f>IFERROR(HYPERLINK("#"&amp;ADDRESS(MATCH(A48&amp;"PT",'LM7 Non-ENG'!$A$1:$A$5000,0),1,,,"LM7 Non-ENG"),IF(IFERROR(VLOOKUP(A48&amp;"PT",'LM7 Non-ENG'!$A$1:$A$5000,1,FALSE),"ERROR")=A48&amp;"PT","Y","")),"")</f>
        <v/>
      </c>
      <c r="E48" s="3">
        <f>IFERROR(VLOOKUP(A48,PLInter!A:D,3,FALSE),"")</f>
        <v>2200</v>
      </c>
      <c r="F48" s="11">
        <v>2300</v>
      </c>
      <c r="G48" s="11"/>
    </row>
    <row r="49" spans="1:7" ht="18" customHeight="1">
      <c r="A49" t="s">
        <v>146</v>
      </c>
      <c r="B49" s="10" t="s">
        <v>147</v>
      </c>
      <c r="C49" s="29" t="str">
        <f>IFERROR(HYPERLINK("#"&amp;ADDRESS(MATCH(A49&amp;"ES",'LM7 Non-ENG'!$A$1:$A$5000,0),1,,,"LM7 Non-ENG"),IF(IFERROR(VLOOKUP(A49&amp;"ES",'LM7 Non-ENG'!$A$1:$A$4999,1,FALSE),"ERROR")=A49&amp;"ES","Y","")),"")</f>
        <v/>
      </c>
      <c r="D49" s="29" t="str">
        <f>IFERROR(HYPERLINK("#"&amp;ADDRESS(MATCH(A49&amp;"PT",'LM7 Non-ENG'!$A$1:$A$5000,0),1,,,"LM7 Non-ENG"),IF(IFERROR(VLOOKUP(A49&amp;"PT",'LM7 Non-ENG'!$A$1:$A$5000,1,FALSE),"ERROR")=A49&amp;"PT","Y","")),"")</f>
        <v/>
      </c>
      <c r="E49" s="3">
        <f>IFERROR(VLOOKUP(A49,PLInter!A:D,3,FALSE),"")</f>
        <v>26134</v>
      </c>
      <c r="F49" s="11">
        <v>20000</v>
      </c>
      <c r="G49" s="11"/>
    </row>
    <row r="50" spans="1:7" ht="18" customHeight="1">
      <c r="B50" s="10"/>
      <c r="C50" s="10"/>
      <c r="D50" s="10"/>
      <c r="E50" s="3"/>
    </row>
    <row r="51" spans="1:7" ht="18" customHeight="1">
      <c r="B51" s="10"/>
      <c r="C51" s="10"/>
      <c r="D51" s="10"/>
    </row>
    <row r="52" spans="1:7" ht="18" customHeight="1">
      <c r="B52" s="10"/>
      <c r="C52" s="10"/>
      <c r="D52" s="10"/>
    </row>
    <row r="53" spans="1:7" ht="18" customHeight="1">
      <c r="B53" s="10"/>
      <c r="C53" s="10"/>
      <c r="D53" s="10"/>
    </row>
    <row r="54" spans="1:7" ht="18" customHeight="1">
      <c r="B54" s="10"/>
      <c r="C54" s="10"/>
      <c r="D54" s="10"/>
    </row>
    <row r="55" spans="1:7" ht="18" customHeight="1">
      <c r="B55" s="10"/>
      <c r="C55" s="10"/>
      <c r="D55" s="10"/>
    </row>
    <row r="56" spans="1:7" ht="18" customHeight="1">
      <c r="B56" s="10"/>
      <c r="C56" s="10"/>
      <c r="D56" s="10"/>
    </row>
    <row r="57" spans="1:7" ht="18" customHeight="1">
      <c r="B57" s="10"/>
      <c r="C57" s="10"/>
      <c r="D57" s="10"/>
    </row>
    <row r="58" spans="1:7" ht="18" customHeight="1">
      <c r="B58" s="10"/>
      <c r="C58" s="10"/>
      <c r="D58" s="10"/>
    </row>
    <row r="59" spans="1:7" ht="18" customHeight="1">
      <c r="B59" s="10"/>
      <c r="C59" s="10"/>
      <c r="D59" s="10"/>
    </row>
    <row r="60" spans="1:7" ht="18" customHeight="1">
      <c r="B60" s="10"/>
      <c r="C60" s="10"/>
      <c r="D60" s="10"/>
    </row>
    <row r="61" spans="1:7" ht="18" customHeight="1">
      <c r="B61" s="10"/>
      <c r="C61" s="10"/>
      <c r="D61" s="10"/>
    </row>
    <row r="62" spans="1:7" ht="18" customHeight="1">
      <c r="B62" s="10"/>
      <c r="C62" s="10"/>
      <c r="D62" s="10"/>
    </row>
    <row r="63" spans="1:7" ht="18" customHeight="1">
      <c r="B63" s="10"/>
      <c r="C63" s="10"/>
      <c r="D63" s="10"/>
    </row>
    <row r="64" spans="1:7" ht="18" customHeight="1">
      <c r="B64" s="10"/>
      <c r="C64" s="10"/>
      <c r="D64" s="10"/>
    </row>
    <row r="65" spans="2:4" ht="18" customHeight="1">
      <c r="B65" s="10"/>
      <c r="C65" s="10"/>
      <c r="D65" s="10"/>
    </row>
    <row r="66" spans="2:4" ht="18" customHeight="1">
      <c r="B66" s="10"/>
      <c r="C66" s="10"/>
      <c r="D66" s="10"/>
    </row>
    <row r="67" spans="2:4" ht="18" customHeight="1">
      <c r="B67" s="10"/>
      <c r="C67" s="10"/>
      <c r="D67" s="10"/>
    </row>
    <row r="68" spans="2:4" ht="18" customHeight="1">
      <c r="B68" s="10"/>
      <c r="C68" s="10"/>
      <c r="D68" s="10"/>
    </row>
    <row r="69" spans="2:4" ht="18" customHeight="1">
      <c r="B69" s="10"/>
      <c r="C69" s="10"/>
      <c r="D69" s="10"/>
    </row>
    <row r="70" spans="2:4" ht="18" customHeight="1">
      <c r="B70" s="10"/>
      <c r="C70" s="10"/>
      <c r="D70" s="10"/>
    </row>
    <row r="71" spans="2:4" ht="18" customHeight="1">
      <c r="B71" s="10"/>
      <c r="C71" s="10"/>
      <c r="D71" s="10"/>
    </row>
    <row r="72" spans="2:4" ht="18" customHeight="1">
      <c r="B72" s="10"/>
      <c r="C72" s="10"/>
      <c r="D72" s="10"/>
    </row>
    <row r="73" spans="2:4" ht="18" customHeight="1">
      <c r="B73" s="10"/>
      <c r="C73" s="10"/>
      <c r="D73" s="10"/>
    </row>
    <row r="74" spans="2:4" ht="18" customHeight="1">
      <c r="B74" s="10"/>
      <c r="C74" s="10"/>
      <c r="D74" s="10"/>
    </row>
    <row r="75" spans="2:4" ht="18" customHeight="1">
      <c r="B75" s="10"/>
      <c r="C75" s="10"/>
      <c r="D75" s="10"/>
    </row>
    <row r="76" spans="2:4" ht="18" customHeight="1">
      <c r="B76" s="10"/>
      <c r="C76" s="10"/>
      <c r="D76" s="10"/>
    </row>
    <row r="77" spans="2:4" ht="18" customHeight="1">
      <c r="B77" s="10"/>
      <c r="C77" s="10"/>
      <c r="D77" s="10"/>
    </row>
    <row r="78" spans="2:4" ht="18" customHeight="1">
      <c r="B78" s="10"/>
      <c r="C78" s="10"/>
      <c r="D78" s="10"/>
    </row>
    <row r="79" spans="2:4" ht="18" customHeight="1">
      <c r="B79" s="10"/>
      <c r="C79" s="10"/>
      <c r="D79" s="10"/>
    </row>
    <row r="80" spans="2:4" ht="18" customHeight="1">
      <c r="B80" s="10"/>
      <c r="C80" s="10"/>
      <c r="D80" s="10"/>
    </row>
    <row r="81" spans="2:4" ht="18" customHeight="1">
      <c r="B81" s="10"/>
      <c r="C81" s="10"/>
      <c r="D81" s="10"/>
    </row>
    <row r="82" spans="2:4" ht="18" customHeight="1">
      <c r="B82" s="10"/>
      <c r="C82" s="10"/>
      <c r="D82" s="10"/>
    </row>
    <row r="83" spans="2:4" ht="18" customHeight="1">
      <c r="B83" s="10"/>
      <c r="C83" s="10"/>
      <c r="D83" s="10"/>
    </row>
    <row r="84" spans="2:4" ht="18" customHeight="1">
      <c r="B84" s="10"/>
      <c r="C84" s="10"/>
      <c r="D84" s="10"/>
    </row>
    <row r="85" spans="2:4" ht="18" customHeight="1">
      <c r="B85" s="10"/>
      <c r="C85" s="10"/>
      <c r="D85" s="10"/>
    </row>
    <row r="86" spans="2:4" ht="18" customHeight="1">
      <c r="B86" s="10"/>
      <c r="C86" s="10"/>
      <c r="D86" s="10"/>
    </row>
    <row r="87" spans="2:4" ht="18" customHeight="1">
      <c r="B87" s="10"/>
      <c r="C87" s="10"/>
      <c r="D87" s="10"/>
    </row>
    <row r="88" spans="2:4" ht="18" customHeight="1">
      <c r="B88" s="10"/>
      <c r="C88" s="10"/>
      <c r="D88" s="10"/>
    </row>
    <row r="89" spans="2:4" ht="18" customHeight="1">
      <c r="B89" s="10"/>
      <c r="C89" s="10"/>
      <c r="D89" s="10"/>
    </row>
    <row r="90" spans="2:4" ht="18" customHeight="1">
      <c r="B90" s="10"/>
      <c r="C90" s="10"/>
      <c r="D90" s="10"/>
    </row>
    <row r="91" spans="2:4" ht="18" customHeight="1">
      <c r="B91" s="10"/>
      <c r="C91" s="10"/>
      <c r="D91" s="10"/>
    </row>
    <row r="92" spans="2:4" ht="18" customHeight="1">
      <c r="B92" s="10"/>
      <c r="C92" s="10"/>
      <c r="D92" s="10"/>
    </row>
    <row r="93" spans="2:4" ht="18" customHeight="1">
      <c r="B93" s="10"/>
      <c r="C93" s="10"/>
      <c r="D93" s="10"/>
    </row>
    <row r="94" spans="2:4" ht="18" customHeight="1">
      <c r="B94" s="10"/>
      <c r="C94" s="10"/>
      <c r="D94" s="10"/>
    </row>
    <row r="95" spans="2:4" ht="18" customHeight="1">
      <c r="B95" s="10"/>
      <c r="C95" s="10"/>
      <c r="D95" s="10"/>
    </row>
    <row r="96" spans="2:4" ht="18" customHeight="1">
      <c r="B96" s="10"/>
      <c r="C96" s="10"/>
      <c r="D96" s="10"/>
    </row>
    <row r="97" spans="2:4" ht="18" customHeight="1">
      <c r="B97" s="10"/>
      <c r="C97" s="10"/>
      <c r="D97" s="10"/>
    </row>
    <row r="98" spans="2:4" ht="18" customHeight="1">
      <c r="B98" s="10"/>
      <c r="C98" s="10"/>
      <c r="D98" s="10"/>
    </row>
    <row r="99" spans="2:4" ht="18" customHeight="1">
      <c r="B99" s="10"/>
      <c r="C99" s="10"/>
      <c r="D99" s="10"/>
    </row>
    <row r="100" spans="2:4" ht="18" customHeight="1">
      <c r="B100" s="10"/>
      <c r="C100" s="10"/>
      <c r="D100" s="10"/>
    </row>
    <row r="101" spans="2:4" ht="18" customHeight="1">
      <c r="B101" s="10"/>
      <c r="C101" s="10"/>
      <c r="D101" s="10"/>
    </row>
    <row r="102" spans="2:4" ht="18" customHeight="1">
      <c r="B102" s="10"/>
      <c r="C102" s="10"/>
      <c r="D102" s="10"/>
    </row>
    <row r="103" spans="2:4" ht="18" customHeight="1">
      <c r="B103" s="10"/>
      <c r="C103" s="10"/>
      <c r="D103" s="10"/>
    </row>
    <row r="104" spans="2:4" ht="18" customHeight="1">
      <c r="B104" s="10"/>
      <c r="C104" s="10"/>
      <c r="D104" s="10"/>
    </row>
    <row r="105" spans="2:4" ht="18" customHeight="1">
      <c r="B105" s="10"/>
      <c r="C105" s="10"/>
      <c r="D105" s="10"/>
    </row>
    <row r="106" spans="2:4" ht="18" customHeight="1">
      <c r="B106" s="10"/>
      <c r="C106" s="10"/>
      <c r="D106" s="10"/>
    </row>
    <row r="107" spans="2:4" ht="18" customHeight="1">
      <c r="B107" s="10"/>
      <c r="C107" s="10"/>
      <c r="D107" s="10"/>
    </row>
    <row r="108" spans="2:4" ht="18" customHeight="1">
      <c r="B108" s="10"/>
      <c r="C108" s="10"/>
      <c r="D108" s="10"/>
    </row>
    <row r="109" spans="2:4" ht="18" customHeight="1">
      <c r="B109" s="10"/>
      <c r="C109" s="10"/>
      <c r="D109" s="10"/>
    </row>
    <row r="110" spans="2:4" ht="18" customHeight="1">
      <c r="B110" s="10"/>
      <c r="C110" s="10"/>
      <c r="D110" s="10"/>
    </row>
    <row r="111" spans="2:4" ht="18" customHeight="1">
      <c r="B111" s="10"/>
      <c r="C111" s="10"/>
      <c r="D111" s="10"/>
    </row>
    <row r="112" spans="2:4" ht="18" customHeight="1">
      <c r="B112" s="10"/>
      <c r="C112" s="10"/>
      <c r="D112" s="10"/>
    </row>
    <row r="113" spans="2:4" ht="18" customHeight="1">
      <c r="B113" s="10"/>
      <c r="C113" s="10"/>
      <c r="D113" s="10"/>
    </row>
    <row r="114" spans="2:4" ht="18" customHeight="1">
      <c r="B114" s="10"/>
      <c r="C114" s="10"/>
      <c r="D114" s="10"/>
    </row>
    <row r="115" spans="2:4" ht="18" customHeight="1">
      <c r="B115" s="10"/>
      <c r="C115" s="10"/>
      <c r="D115" s="10"/>
    </row>
    <row r="116" spans="2:4" ht="18" customHeight="1">
      <c r="B116" s="10"/>
      <c r="C116" s="10"/>
      <c r="D116" s="10"/>
    </row>
    <row r="117" spans="2:4" ht="18" customHeight="1">
      <c r="B117" s="10"/>
      <c r="C117" s="10"/>
      <c r="D117" s="10"/>
    </row>
    <row r="118" spans="2:4" ht="18" customHeight="1">
      <c r="B118" s="10"/>
      <c r="C118" s="10"/>
      <c r="D118" s="10"/>
    </row>
    <row r="119" spans="2:4" ht="18" customHeight="1">
      <c r="B119" s="10"/>
      <c r="C119" s="10"/>
      <c r="D119" s="10"/>
    </row>
    <row r="120" spans="2:4" ht="18" customHeight="1">
      <c r="B120" s="10"/>
      <c r="C120" s="10"/>
      <c r="D120" s="10"/>
    </row>
    <row r="121" spans="2:4" ht="18" customHeight="1">
      <c r="B121" s="10"/>
      <c r="C121" s="10"/>
      <c r="D121" s="10"/>
    </row>
    <row r="122" spans="2:4" ht="18" customHeight="1">
      <c r="B122" s="10"/>
      <c r="C122" s="10"/>
      <c r="D122" s="10"/>
    </row>
    <row r="123" spans="2:4" ht="18" customHeight="1">
      <c r="B123" s="10"/>
      <c r="C123" s="10"/>
      <c r="D123" s="10"/>
    </row>
    <row r="124" spans="2:4" ht="18" customHeight="1">
      <c r="B124" s="10"/>
      <c r="C124" s="10"/>
      <c r="D124" s="10"/>
    </row>
    <row r="125" spans="2:4" ht="18" customHeight="1">
      <c r="B125" s="10"/>
      <c r="C125" s="10"/>
      <c r="D125" s="10"/>
    </row>
    <row r="126" spans="2:4" ht="18" customHeight="1">
      <c r="B126" s="10"/>
      <c r="C126" s="10"/>
      <c r="D126" s="10"/>
    </row>
    <row r="127" spans="2:4" ht="18" customHeight="1">
      <c r="B127" s="10"/>
      <c r="C127" s="10"/>
      <c r="D127" s="10"/>
    </row>
    <row r="128" spans="2:4" ht="18" customHeight="1">
      <c r="B128" s="10"/>
      <c r="C128" s="10"/>
      <c r="D128" s="10"/>
    </row>
    <row r="129" spans="2:4" ht="18" customHeight="1">
      <c r="B129" s="10"/>
      <c r="C129" s="10"/>
      <c r="D129" s="10"/>
    </row>
    <row r="130" spans="2:4" ht="18" customHeight="1">
      <c r="B130" s="10"/>
      <c r="C130" s="10"/>
      <c r="D130" s="10"/>
    </row>
    <row r="131" spans="2:4" ht="18" customHeight="1">
      <c r="B131" s="10"/>
      <c r="C131" s="10"/>
      <c r="D131" s="10"/>
    </row>
    <row r="132" spans="2:4" ht="18" customHeight="1">
      <c r="B132" s="10"/>
      <c r="C132" s="10"/>
      <c r="D132" s="10"/>
    </row>
    <row r="133" spans="2:4" ht="18" customHeight="1">
      <c r="B133" s="10"/>
      <c r="C133" s="10"/>
      <c r="D133" s="10"/>
    </row>
    <row r="134" spans="2:4" ht="18" customHeight="1">
      <c r="B134" s="10"/>
      <c r="C134" s="10"/>
      <c r="D134" s="10"/>
    </row>
    <row r="135" spans="2:4" ht="18" customHeight="1">
      <c r="B135" s="10"/>
      <c r="C135" s="10"/>
      <c r="D135" s="10"/>
    </row>
    <row r="136" spans="2:4" ht="18" customHeight="1">
      <c r="B136" s="10"/>
      <c r="C136" s="10"/>
      <c r="D136" s="10"/>
    </row>
    <row r="137" spans="2:4" ht="18" customHeight="1">
      <c r="B137" s="10"/>
      <c r="C137" s="10"/>
      <c r="D137" s="10"/>
    </row>
    <row r="138" spans="2:4" ht="18" customHeight="1">
      <c r="B138" s="10"/>
      <c r="C138" s="10"/>
      <c r="D138" s="10"/>
    </row>
    <row r="139" spans="2:4" ht="18" customHeight="1">
      <c r="B139" s="10"/>
      <c r="C139" s="10"/>
      <c r="D139" s="10"/>
    </row>
    <row r="140" spans="2:4" ht="18" customHeight="1">
      <c r="B140" s="10"/>
      <c r="C140" s="10"/>
      <c r="D140" s="10"/>
    </row>
    <row r="141" spans="2:4" ht="18" customHeight="1">
      <c r="B141" s="10"/>
      <c r="C141" s="10"/>
      <c r="D141" s="10"/>
    </row>
    <row r="142" spans="2:4" ht="18" customHeight="1">
      <c r="B142" s="10"/>
      <c r="C142" s="10"/>
      <c r="D142" s="10"/>
    </row>
    <row r="143" spans="2:4" ht="18" customHeight="1">
      <c r="B143" s="10"/>
      <c r="C143" s="10"/>
      <c r="D143" s="10"/>
    </row>
    <row r="144" spans="2:4" ht="18" customHeight="1">
      <c r="B144" s="10"/>
      <c r="C144" s="10"/>
      <c r="D144" s="10"/>
    </row>
    <row r="145" spans="2:4" ht="18" customHeight="1">
      <c r="B145" s="10"/>
      <c r="C145" s="10"/>
      <c r="D145" s="10"/>
    </row>
    <row r="146" spans="2:4" ht="18" customHeight="1">
      <c r="B146" s="10"/>
      <c r="C146" s="10"/>
      <c r="D146" s="10"/>
    </row>
    <row r="147" spans="2:4" ht="18" customHeight="1">
      <c r="B147" s="10"/>
      <c r="C147" s="10"/>
      <c r="D147" s="10"/>
    </row>
    <row r="148" spans="2:4" ht="18" customHeight="1">
      <c r="B148" s="10"/>
      <c r="C148" s="10"/>
      <c r="D148" s="10"/>
    </row>
    <row r="149" spans="2:4" ht="18" customHeight="1">
      <c r="B149" s="10"/>
      <c r="C149" s="10"/>
      <c r="D149" s="10"/>
    </row>
    <row r="150" spans="2:4" ht="18" customHeight="1">
      <c r="B150" s="10"/>
      <c r="C150" s="10"/>
      <c r="D150" s="10"/>
    </row>
    <row r="151" spans="2:4" ht="18" customHeight="1">
      <c r="B151" s="10"/>
      <c r="C151" s="10"/>
      <c r="D151" s="10"/>
    </row>
    <row r="152" spans="2:4" ht="18" customHeight="1">
      <c r="B152" s="10"/>
      <c r="C152" s="10"/>
      <c r="D152" s="10"/>
    </row>
    <row r="153" spans="2:4" ht="18" customHeight="1">
      <c r="B153" s="10"/>
      <c r="C153" s="10"/>
      <c r="D153" s="10"/>
    </row>
    <row r="154" spans="2:4" ht="18" customHeight="1">
      <c r="B154" s="10"/>
      <c r="C154" s="10"/>
      <c r="D154" s="10"/>
    </row>
    <row r="155" spans="2:4" ht="18" customHeight="1">
      <c r="B155" s="10"/>
      <c r="C155" s="10"/>
      <c r="D155" s="10"/>
    </row>
    <row r="156" spans="2:4" ht="18" customHeight="1">
      <c r="B156" s="10"/>
      <c r="C156" s="10"/>
      <c r="D156" s="10"/>
    </row>
    <row r="157" spans="2:4" ht="18" customHeight="1">
      <c r="B157" s="10"/>
      <c r="C157" s="10"/>
      <c r="D157" s="10"/>
    </row>
    <row r="158" spans="2:4" ht="18" customHeight="1">
      <c r="B158" s="10"/>
      <c r="C158" s="10"/>
      <c r="D158" s="10"/>
    </row>
    <row r="159" spans="2:4" ht="18" customHeight="1">
      <c r="B159" s="10"/>
      <c r="C159" s="10"/>
      <c r="D159" s="10"/>
    </row>
    <row r="160" spans="2:4" ht="18" customHeight="1">
      <c r="B160" s="10"/>
      <c r="C160" s="10"/>
      <c r="D160" s="10"/>
    </row>
    <row r="161" spans="2:4" ht="18" customHeight="1">
      <c r="B161" s="10"/>
      <c r="C161" s="10"/>
      <c r="D161" s="10"/>
    </row>
    <row r="162" spans="2:4" ht="18" customHeight="1">
      <c r="B162" s="10"/>
      <c r="C162" s="10"/>
      <c r="D162" s="10"/>
    </row>
    <row r="163" spans="2:4" ht="18" customHeight="1">
      <c r="B163" s="10"/>
      <c r="C163" s="10"/>
      <c r="D163" s="10"/>
    </row>
    <row r="164" spans="2:4" ht="18" customHeight="1">
      <c r="B164" s="10"/>
      <c r="C164" s="10"/>
      <c r="D164" s="10"/>
    </row>
    <row r="165" spans="2:4" ht="18" customHeight="1">
      <c r="B165" s="10"/>
      <c r="C165" s="10"/>
      <c r="D165" s="10"/>
    </row>
    <row r="166" spans="2:4" ht="18" customHeight="1">
      <c r="B166" s="10"/>
      <c r="C166" s="10"/>
      <c r="D166" s="10"/>
    </row>
    <row r="167" spans="2:4" ht="18" customHeight="1">
      <c r="B167" s="10"/>
      <c r="C167" s="10"/>
      <c r="D167" s="10"/>
    </row>
    <row r="168" spans="2:4" ht="18" customHeight="1">
      <c r="B168" s="10"/>
      <c r="C168" s="10"/>
      <c r="D168" s="10"/>
    </row>
    <row r="169" spans="2:4" ht="18" customHeight="1">
      <c r="B169" s="10"/>
      <c r="C169" s="10"/>
      <c r="D169" s="10"/>
    </row>
    <row r="170" spans="2:4" ht="18" customHeight="1">
      <c r="B170" s="10"/>
      <c r="C170" s="10"/>
      <c r="D170" s="10"/>
    </row>
    <row r="171" spans="2:4" ht="18" customHeight="1">
      <c r="B171" s="10"/>
      <c r="C171" s="10"/>
      <c r="D171" s="10"/>
    </row>
    <row r="172" spans="2:4" ht="18" customHeight="1">
      <c r="B172" s="10"/>
      <c r="C172" s="10"/>
      <c r="D172" s="10"/>
    </row>
    <row r="173" spans="2:4" ht="18" customHeight="1">
      <c r="B173" s="10"/>
      <c r="C173" s="10"/>
      <c r="D173" s="10"/>
    </row>
    <row r="174" spans="2:4" ht="18" customHeight="1">
      <c r="B174" s="10"/>
      <c r="C174" s="10"/>
      <c r="D174" s="10"/>
    </row>
    <row r="175" spans="2:4" ht="18" customHeight="1">
      <c r="B175" s="10"/>
      <c r="C175" s="10"/>
      <c r="D175" s="10"/>
    </row>
    <row r="176" spans="2:4" ht="18" customHeight="1">
      <c r="B176" s="10"/>
      <c r="C176" s="10"/>
      <c r="D176" s="10"/>
    </row>
    <row r="177" spans="2:4" ht="18" customHeight="1">
      <c r="B177" s="10"/>
      <c r="C177" s="10"/>
      <c r="D177" s="10"/>
    </row>
    <row r="178" spans="2:4" ht="18" customHeight="1">
      <c r="B178" s="10"/>
      <c r="C178" s="10"/>
      <c r="D178" s="10"/>
    </row>
    <row r="179" spans="2:4" ht="18" customHeight="1">
      <c r="B179" s="10"/>
      <c r="C179" s="10"/>
      <c r="D179" s="10"/>
    </row>
    <row r="180" spans="2:4" ht="18" customHeight="1">
      <c r="B180" s="10"/>
      <c r="C180" s="10"/>
      <c r="D180" s="10"/>
    </row>
    <row r="181" spans="2:4" ht="18" customHeight="1">
      <c r="B181" s="10"/>
      <c r="C181" s="10"/>
      <c r="D181" s="10"/>
    </row>
    <row r="182" spans="2:4" ht="18" customHeight="1">
      <c r="B182" s="10"/>
      <c r="C182" s="10"/>
      <c r="D182" s="10"/>
    </row>
    <row r="183" spans="2:4" ht="18" customHeight="1">
      <c r="B183" s="10"/>
      <c r="C183" s="10"/>
      <c r="D183" s="10"/>
    </row>
    <row r="184" spans="2:4" ht="18" customHeight="1">
      <c r="B184" s="10"/>
      <c r="C184" s="10"/>
      <c r="D184" s="10"/>
    </row>
    <row r="185" spans="2:4" ht="18" customHeight="1">
      <c r="B185" s="10"/>
      <c r="C185" s="10"/>
      <c r="D185" s="10"/>
    </row>
    <row r="186" spans="2:4" ht="18" customHeight="1">
      <c r="B186" s="10"/>
      <c r="C186" s="10"/>
      <c r="D186" s="10"/>
    </row>
    <row r="187" spans="2:4" ht="18" customHeight="1">
      <c r="B187" s="10"/>
      <c r="C187" s="10"/>
      <c r="D187" s="10"/>
    </row>
    <row r="188" spans="2:4" ht="18" customHeight="1">
      <c r="B188" s="10"/>
      <c r="C188" s="10"/>
      <c r="D188" s="10"/>
    </row>
    <row r="189" spans="2:4" ht="18" customHeight="1">
      <c r="B189" s="10"/>
      <c r="C189" s="10"/>
      <c r="D189" s="10"/>
    </row>
    <row r="190" spans="2:4" ht="18" customHeight="1">
      <c r="B190" s="10"/>
      <c r="C190" s="10"/>
      <c r="D190" s="10"/>
    </row>
    <row r="191" spans="2:4" ht="18" customHeight="1">
      <c r="B191" s="10"/>
      <c r="C191" s="10"/>
      <c r="D191" s="10"/>
    </row>
    <row r="192" spans="2:4" ht="18" customHeight="1">
      <c r="B192" s="10"/>
      <c r="C192" s="10"/>
      <c r="D192" s="10"/>
    </row>
    <row r="193" spans="2:4" ht="18" customHeight="1">
      <c r="B193" s="10"/>
      <c r="C193" s="10"/>
      <c r="D193" s="10"/>
    </row>
    <row r="194" spans="2:4" ht="18" customHeight="1">
      <c r="B194" s="10"/>
      <c r="C194" s="10"/>
      <c r="D194" s="10"/>
    </row>
    <row r="195" spans="2:4" ht="18" customHeight="1">
      <c r="B195" s="10"/>
      <c r="C195" s="10"/>
      <c r="D195" s="10"/>
    </row>
    <row r="196" spans="2:4" ht="18" customHeight="1">
      <c r="B196" s="10"/>
      <c r="C196" s="10"/>
      <c r="D196" s="10"/>
    </row>
    <row r="197" spans="2:4" ht="18" customHeight="1">
      <c r="B197" s="10"/>
      <c r="C197" s="10"/>
      <c r="D197" s="10"/>
    </row>
    <row r="198" spans="2:4" ht="18" customHeight="1">
      <c r="B198" s="10"/>
      <c r="C198" s="10"/>
      <c r="D198" s="10"/>
    </row>
    <row r="199" spans="2:4" ht="18" customHeight="1">
      <c r="B199" s="10"/>
      <c r="C199" s="10"/>
      <c r="D199" s="10"/>
    </row>
    <row r="200" spans="2:4" ht="18" customHeight="1">
      <c r="B200" s="10"/>
      <c r="C200" s="10"/>
      <c r="D200" s="10"/>
    </row>
    <row r="201" spans="2:4" ht="18" customHeight="1">
      <c r="B201" s="10"/>
      <c r="C201" s="10"/>
      <c r="D201" s="10"/>
    </row>
    <row r="202" spans="2:4" ht="18" customHeight="1">
      <c r="B202" s="10"/>
      <c r="C202" s="10"/>
      <c r="D202" s="10"/>
    </row>
    <row r="203" spans="2:4" ht="18" customHeight="1">
      <c r="B203" s="10"/>
      <c r="C203" s="10"/>
      <c r="D203" s="10"/>
    </row>
    <row r="204" spans="2:4" ht="18" customHeight="1">
      <c r="B204" s="10"/>
      <c r="C204" s="10"/>
      <c r="D204" s="10"/>
    </row>
    <row r="205" spans="2:4" ht="18" customHeight="1">
      <c r="B205" s="10"/>
      <c r="C205" s="10"/>
      <c r="D205" s="10"/>
    </row>
    <row r="206" spans="2:4" ht="18" customHeight="1">
      <c r="B206" s="10"/>
      <c r="C206" s="10"/>
      <c r="D206" s="10"/>
    </row>
    <row r="207" spans="2:4" ht="18" customHeight="1">
      <c r="B207" s="10"/>
      <c r="C207" s="10"/>
      <c r="D207" s="10"/>
    </row>
    <row r="208" spans="2:4" ht="18" customHeight="1">
      <c r="B208" s="10"/>
      <c r="C208" s="10"/>
      <c r="D208" s="10"/>
    </row>
    <row r="209" spans="2:4" ht="18" customHeight="1">
      <c r="B209" s="10"/>
      <c r="C209" s="10"/>
      <c r="D209" s="10"/>
    </row>
    <row r="210" spans="2:4" ht="18" customHeight="1">
      <c r="B210" s="10"/>
      <c r="C210" s="10"/>
      <c r="D210" s="10"/>
    </row>
    <row r="211" spans="2:4" ht="18" customHeight="1">
      <c r="B211" s="10"/>
      <c r="C211" s="10"/>
      <c r="D211" s="10"/>
    </row>
    <row r="212" spans="2:4">
      <c r="B212" s="10"/>
      <c r="C212" s="10"/>
      <c r="D212" s="10"/>
    </row>
    <row r="213" spans="2:4">
      <c r="B213" s="10"/>
      <c r="C213" s="10"/>
      <c r="D213" s="10"/>
    </row>
    <row r="214" spans="2:4">
      <c r="B214" s="10"/>
      <c r="C214" s="10"/>
      <c r="D214" s="10"/>
    </row>
    <row r="215" spans="2:4">
      <c r="B215" s="10"/>
      <c r="C215" s="10"/>
      <c r="D215" s="10"/>
    </row>
    <row r="216" spans="2:4">
      <c r="B216" s="10"/>
      <c r="C216" s="10"/>
      <c r="D216" s="10"/>
    </row>
    <row r="217" spans="2:4">
      <c r="B217" s="10"/>
      <c r="C217" s="10"/>
      <c r="D217" s="10"/>
    </row>
    <row r="218" spans="2:4">
      <c r="B218" s="10"/>
      <c r="C218" s="10"/>
      <c r="D218" s="10"/>
    </row>
    <row r="219" spans="2:4">
      <c r="B219" s="10"/>
      <c r="C219" s="10"/>
      <c r="D219" s="10"/>
    </row>
    <row r="220" spans="2:4">
      <c r="B220" s="10"/>
      <c r="C220" s="10"/>
      <c r="D220" s="10"/>
    </row>
    <row r="221" spans="2:4">
      <c r="B221" s="10"/>
      <c r="C221" s="10"/>
      <c r="D221" s="10"/>
    </row>
    <row r="222" spans="2:4">
      <c r="B222" s="10"/>
      <c r="C222" s="10"/>
      <c r="D222" s="10"/>
    </row>
    <row r="223" spans="2:4">
      <c r="B223" s="10"/>
      <c r="C223" s="10"/>
      <c r="D223" s="10"/>
    </row>
    <row r="224" spans="2:4">
      <c r="B224" s="10"/>
      <c r="C224" s="10"/>
      <c r="D224" s="10"/>
    </row>
    <row r="225" spans="2:4">
      <c r="B225" s="10"/>
      <c r="C225" s="10"/>
      <c r="D225" s="10"/>
    </row>
    <row r="226" spans="2:4">
      <c r="B226" s="10"/>
      <c r="C226" s="10"/>
      <c r="D226" s="10"/>
    </row>
    <row r="227" spans="2:4">
      <c r="B227" s="10"/>
      <c r="C227" s="10"/>
      <c r="D227" s="10"/>
    </row>
    <row r="228" spans="2:4">
      <c r="B228" s="10"/>
      <c r="C228" s="10"/>
      <c r="D228" s="10"/>
    </row>
    <row r="229" spans="2:4">
      <c r="B229" s="10"/>
      <c r="C229" s="10"/>
      <c r="D229" s="10"/>
    </row>
    <row r="230" spans="2:4">
      <c r="B230" s="10"/>
      <c r="C230" s="10"/>
      <c r="D230" s="10"/>
    </row>
    <row r="231" spans="2:4">
      <c r="B231" s="10"/>
      <c r="C231" s="10"/>
      <c r="D231" s="10"/>
    </row>
    <row r="232" spans="2:4">
      <c r="B232" s="10"/>
      <c r="C232" s="10"/>
      <c r="D232" s="10"/>
    </row>
    <row r="233" spans="2:4">
      <c r="B233" s="10"/>
      <c r="C233" s="10"/>
      <c r="D233" s="10"/>
    </row>
    <row r="234" spans="2:4">
      <c r="B234" s="10"/>
      <c r="C234" s="10"/>
      <c r="D234" s="10"/>
    </row>
    <row r="235" spans="2:4">
      <c r="B235" s="10"/>
      <c r="C235" s="10"/>
      <c r="D235" s="10"/>
    </row>
    <row r="236" spans="2:4">
      <c r="B236" s="10"/>
      <c r="C236" s="10"/>
      <c r="D236" s="10"/>
    </row>
    <row r="237" spans="2:4">
      <c r="B237" s="10"/>
      <c r="C237" s="10"/>
      <c r="D237" s="10"/>
    </row>
    <row r="238" spans="2:4">
      <c r="B238" s="10"/>
      <c r="C238" s="10"/>
      <c r="D238" s="10"/>
    </row>
    <row r="239" spans="2:4">
      <c r="B239" s="10"/>
      <c r="C239" s="10"/>
      <c r="D239" s="10"/>
    </row>
    <row r="240" spans="2:4">
      <c r="B240" s="10"/>
      <c r="C240" s="10"/>
      <c r="D240" s="10"/>
    </row>
    <row r="241" spans="2:4">
      <c r="B241" s="10"/>
      <c r="C241" s="10"/>
      <c r="D241" s="10"/>
    </row>
    <row r="242" spans="2:4">
      <c r="B242" s="10"/>
      <c r="C242" s="10"/>
      <c r="D242" s="10"/>
    </row>
    <row r="243" spans="2:4">
      <c r="B243" s="10"/>
      <c r="C243" s="10"/>
      <c r="D243" s="10"/>
    </row>
    <row r="244" spans="2:4">
      <c r="B244" s="10"/>
      <c r="C244" s="10"/>
      <c r="D244" s="10"/>
    </row>
    <row r="245" spans="2:4">
      <c r="B245" s="10"/>
      <c r="C245" s="10"/>
      <c r="D245" s="10"/>
    </row>
    <row r="246" spans="2:4">
      <c r="B246" s="10"/>
      <c r="C246" s="10"/>
      <c r="D246" s="10"/>
    </row>
    <row r="247" spans="2:4">
      <c r="B247" s="10"/>
      <c r="C247" s="10"/>
      <c r="D247" s="10"/>
    </row>
    <row r="248" spans="2:4">
      <c r="B248" s="10"/>
      <c r="C248" s="10"/>
      <c r="D248" s="10"/>
    </row>
    <row r="249" spans="2:4">
      <c r="B249" s="10"/>
      <c r="C249" s="10"/>
      <c r="D249" s="10"/>
    </row>
    <row r="250" spans="2:4">
      <c r="B250" s="10"/>
      <c r="C250" s="10"/>
      <c r="D250" s="10"/>
    </row>
    <row r="251" spans="2:4">
      <c r="B251" s="10"/>
      <c r="C251" s="10"/>
      <c r="D251" s="10"/>
    </row>
    <row r="252" spans="2:4">
      <c r="B252" s="10"/>
      <c r="C252" s="10"/>
      <c r="D252" s="10"/>
    </row>
    <row r="253" spans="2:4">
      <c r="B253" s="10"/>
      <c r="C253" s="10"/>
      <c r="D253" s="10"/>
    </row>
    <row r="254" spans="2:4">
      <c r="B254" s="10"/>
      <c r="C254" s="10"/>
      <c r="D254" s="10"/>
    </row>
    <row r="255" spans="2:4">
      <c r="B255" s="10"/>
      <c r="C255" s="10"/>
      <c r="D255" s="10"/>
    </row>
    <row r="256" spans="2:4">
      <c r="B256" s="10"/>
      <c r="C256" s="10"/>
      <c r="D256" s="10"/>
    </row>
    <row r="257" spans="2:4">
      <c r="B257" s="10"/>
      <c r="C257" s="10"/>
      <c r="D257" s="10"/>
    </row>
    <row r="258" spans="2:4">
      <c r="B258" s="10"/>
      <c r="C258" s="10"/>
      <c r="D258" s="10"/>
    </row>
    <row r="259" spans="2:4">
      <c r="B259" s="10"/>
      <c r="C259" s="10"/>
      <c r="D259" s="10"/>
    </row>
    <row r="260" spans="2:4">
      <c r="B260" s="10"/>
      <c r="C260" s="10"/>
      <c r="D260" s="10"/>
    </row>
    <row r="261" spans="2:4">
      <c r="B261" s="10"/>
      <c r="C261" s="10"/>
      <c r="D261" s="10"/>
    </row>
    <row r="262" spans="2:4">
      <c r="B262" s="10"/>
      <c r="C262" s="10"/>
      <c r="D262" s="10"/>
    </row>
    <row r="263" spans="2:4">
      <c r="B263" s="10"/>
      <c r="C263" s="10"/>
      <c r="D263" s="10"/>
    </row>
    <row r="264" spans="2:4">
      <c r="B264" s="10"/>
      <c r="C264" s="10"/>
      <c r="D264" s="10"/>
    </row>
    <row r="265" spans="2:4">
      <c r="B265" s="10"/>
      <c r="C265" s="10"/>
      <c r="D265" s="10"/>
    </row>
    <row r="266" spans="2:4">
      <c r="B266" s="10"/>
      <c r="C266" s="10"/>
      <c r="D266" s="10"/>
    </row>
    <row r="267" spans="2:4">
      <c r="B267" s="10"/>
      <c r="C267" s="10"/>
      <c r="D267" s="10"/>
    </row>
    <row r="268" spans="2:4">
      <c r="B268" s="10"/>
      <c r="C268" s="10"/>
      <c r="D268" s="10"/>
    </row>
    <row r="269" spans="2:4">
      <c r="B269" s="10"/>
      <c r="C269" s="10"/>
      <c r="D269" s="10"/>
    </row>
    <row r="270" spans="2:4">
      <c r="B270" s="10"/>
      <c r="C270" s="10"/>
      <c r="D270" s="10"/>
    </row>
    <row r="271" spans="2:4">
      <c r="B271" s="10"/>
      <c r="C271" s="10"/>
      <c r="D271" s="10"/>
    </row>
    <row r="272" spans="2:4">
      <c r="B272" s="10"/>
      <c r="C272" s="10"/>
      <c r="D272" s="10"/>
    </row>
    <row r="273" spans="2:4">
      <c r="B273" s="10"/>
      <c r="C273" s="10"/>
      <c r="D273" s="10"/>
    </row>
    <row r="274" spans="2:4">
      <c r="B274" s="10"/>
      <c r="C274" s="10"/>
      <c r="D274" s="10"/>
    </row>
    <row r="275" spans="2:4">
      <c r="B275" s="10"/>
      <c r="C275" s="10"/>
      <c r="D275" s="10"/>
    </row>
    <row r="276" spans="2:4">
      <c r="B276" s="10"/>
      <c r="C276" s="10"/>
      <c r="D276" s="10"/>
    </row>
    <row r="277" spans="2:4">
      <c r="B277" s="10"/>
      <c r="C277" s="10"/>
      <c r="D277" s="10"/>
    </row>
    <row r="278" spans="2:4">
      <c r="B278" s="10"/>
      <c r="C278" s="10"/>
      <c r="D278" s="10"/>
    </row>
    <row r="279" spans="2:4">
      <c r="B279" s="10"/>
      <c r="C279" s="10"/>
      <c r="D279" s="10"/>
    </row>
    <row r="280" spans="2:4">
      <c r="B280" s="10"/>
      <c r="C280" s="10"/>
      <c r="D280" s="10"/>
    </row>
    <row r="281" spans="2:4">
      <c r="B281" s="10"/>
      <c r="C281" s="10"/>
      <c r="D281" s="10"/>
    </row>
    <row r="282" spans="2:4">
      <c r="B282" s="10"/>
      <c r="C282" s="10"/>
      <c r="D282" s="10"/>
    </row>
    <row r="283" spans="2:4">
      <c r="B283" s="10"/>
      <c r="C283" s="10"/>
      <c r="D283" s="10"/>
    </row>
    <row r="284" spans="2:4">
      <c r="B284" s="10"/>
      <c r="C284" s="10"/>
      <c r="D284" s="10"/>
    </row>
    <row r="285" spans="2:4">
      <c r="B285" s="10"/>
      <c r="C285" s="10"/>
      <c r="D285" s="10"/>
    </row>
    <row r="286" spans="2:4">
      <c r="B286" s="10"/>
      <c r="C286" s="10"/>
      <c r="D286" s="10"/>
    </row>
    <row r="287" spans="2:4">
      <c r="B287" s="10"/>
      <c r="C287" s="10"/>
      <c r="D287" s="10"/>
    </row>
    <row r="288" spans="2:4">
      <c r="B288" s="10"/>
      <c r="C288" s="10"/>
      <c r="D288" s="10"/>
    </row>
    <row r="289" spans="2:4">
      <c r="B289" s="10"/>
      <c r="C289" s="10"/>
      <c r="D289" s="10"/>
    </row>
    <row r="290" spans="2:4">
      <c r="B290" s="10"/>
      <c r="C290" s="10"/>
      <c r="D290" s="10"/>
    </row>
    <row r="291" spans="2:4">
      <c r="B291" s="10"/>
      <c r="C291" s="10"/>
      <c r="D291" s="10"/>
    </row>
    <row r="292" spans="2:4">
      <c r="B292" s="10"/>
      <c r="C292" s="10"/>
      <c r="D292" s="10"/>
    </row>
    <row r="293" spans="2:4">
      <c r="B293" s="10"/>
      <c r="C293" s="10"/>
      <c r="D293" s="10"/>
    </row>
    <row r="294" spans="2:4">
      <c r="B294" s="10"/>
      <c r="C294" s="10"/>
      <c r="D294" s="10"/>
    </row>
    <row r="295" spans="2:4">
      <c r="B295" s="10"/>
      <c r="C295" s="10"/>
      <c r="D295" s="10"/>
    </row>
    <row r="296" spans="2:4">
      <c r="B296" s="10"/>
      <c r="C296" s="10"/>
      <c r="D296" s="10"/>
    </row>
    <row r="297" spans="2:4">
      <c r="B297" s="10"/>
      <c r="C297" s="10"/>
      <c r="D297" s="10"/>
    </row>
    <row r="298" spans="2:4">
      <c r="B298" s="10"/>
      <c r="C298" s="10"/>
      <c r="D298" s="10"/>
    </row>
    <row r="299" spans="2:4">
      <c r="B299" s="10"/>
      <c r="C299" s="10"/>
      <c r="D299" s="10"/>
    </row>
    <row r="300" spans="2:4">
      <c r="B300" s="10"/>
      <c r="C300" s="10"/>
      <c r="D300" s="10"/>
    </row>
    <row r="301" spans="2:4">
      <c r="B301" s="10"/>
      <c r="C301" s="10"/>
      <c r="D301" s="10"/>
    </row>
    <row r="302" spans="2:4">
      <c r="B302" s="10"/>
      <c r="C302" s="10"/>
      <c r="D302" s="10"/>
    </row>
    <row r="303" spans="2:4">
      <c r="B303" s="10"/>
      <c r="C303" s="10"/>
      <c r="D303" s="10"/>
    </row>
    <row r="304" spans="2:4">
      <c r="B304" s="10"/>
      <c r="C304" s="10"/>
      <c r="D304" s="10"/>
    </row>
    <row r="305" spans="2:4">
      <c r="B305" s="10"/>
      <c r="C305" s="10"/>
      <c r="D305" s="10"/>
    </row>
    <row r="306" spans="2:4">
      <c r="B306" s="10"/>
      <c r="C306" s="10"/>
      <c r="D306" s="10"/>
    </row>
    <row r="307" spans="2:4">
      <c r="B307" s="10"/>
      <c r="C307" s="10"/>
      <c r="D307" s="10"/>
    </row>
    <row r="308" spans="2:4">
      <c r="B308" s="10"/>
      <c r="C308" s="10"/>
      <c r="D308" s="10"/>
    </row>
    <row r="309" spans="2:4">
      <c r="B309" s="10"/>
      <c r="C309" s="10"/>
      <c r="D309" s="10"/>
    </row>
    <row r="310" spans="2:4">
      <c r="B310" s="10"/>
      <c r="C310" s="10"/>
      <c r="D310" s="10"/>
    </row>
    <row r="311" spans="2:4">
      <c r="B311" s="10"/>
      <c r="C311" s="10"/>
      <c r="D311" s="10"/>
    </row>
    <row r="312" spans="2:4">
      <c r="B312" s="10"/>
      <c r="C312" s="10"/>
      <c r="D312" s="10"/>
    </row>
    <row r="313" spans="2:4">
      <c r="B313" s="10"/>
      <c r="C313" s="10"/>
      <c r="D313" s="10"/>
    </row>
    <row r="314" spans="2:4">
      <c r="B314" s="10"/>
      <c r="C314" s="10"/>
      <c r="D314" s="10"/>
    </row>
    <row r="315" spans="2:4">
      <c r="B315" s="10"/>
      <c r="C315" s="10"/>
      <c r="D315" s="10"/>
    </row>
    <row r="316" spans="2:4">
      <c r="B316" s="10"/>
      <c r="C316" s="10"/>
      <c r="D316" s="10"/>
    </row>
    <row r="317" spans="2:4">
      <c r="B317" s="10"/>
      <c r="C317" s="10"/>
      <c r="D317" s="10"/>
    </row>
    <row r="318" spans="2:4">
      <c r="B318" s="10"/>
      <c r="C318" s="10"/>
      <c r="D318" s="10"/>
    </row>
    <row r="319" spans="2:4">
      <c r="B319" s="10"/>
      <c r="C319" s="10"/>
      <c r="D319" s="10"/>
    </row>
    <row r="320" spans="2:4">
      <c r="B320" s="10"/>
      <c r="C320" s="10"/>
      <c r="D320" s="10"/>
    </row>
    <row r="321" spans="2:4">
      <c r="B321" s="10"/>
      <c r="C321" s="10"/>
      <c r="D321" s="10"/>
    </row>
    <row r="322" spans="2:4">
      <c r="B322" s="10"/>
      <c r="C322" s="10"/>
      <c r="D322" s="10"/>
    </row>
    <row r="323" spans="2:4">
      <c r="B323" s="10"/>
      <c r="C323" s="10"/>
      <c r="D323" s="10"/>
    </row>
    <row r="324" spans="2:4">
      <c r="B324" s="10"/>
      <c r="C324" s="10"/>
      <c r="D324" s="10"/>
    </row>
    <row r="325" spans="2:4">
      <c r="B325" s="10"/>
      <c r="C325" s="10"/>
      <c r="D325" s="10"/>
    </row>
    <row r="326" spans="2:4">
      <c r="B326" s="10"/>
      <c r="C326" s="10"/>
      <c r="D326" s="10"/>
    </row>
    <row r="327" spans="2:4">
      <c r="B327" s="10"/>
      <c r="C327" s="10"/>
      <c r="D327" s="10"/>
    </row>
    <row r="328" spans="2:4">
      <c r="B328" s="10"/>
      <c r="C328" s="10"/>
      <c r="D328" s="10"/>
    </row>
    <row r="329" spans="2:4">
      <c r="B329" s="10"/>
      <c r="C329" s="10"/>
      <c r="D329" s="10"/>
    </row>
    <row r="330" spans="2:4">
      <c r="B330" s="10"/>
      <c r="C330" s="10"/>
      <c r="D330" s="10"/>
    </row>
    <row r="331" spans="2:4">
      <c r="B331" s="10"/>
      <c r="C331" s="10"/>
      <c r="D331" s="10"/>
    </row>
    <row r="332" spans="2:4">
      <c r="B332" s="10"/>
      <c r="C332" s="10"/>
      <c r="D332" s="10"/>
    </row>
    <row r="333" spans="2:4">
      <c r="B333" s="10"/>
      <c r="C333" s="10"/>
      <c r="D333" s="10"/>
    </row>
    <row r="334" spans="2:4">
      <c r="B334" s="10"/>
      <c r="C334" s="10"/>
      <c r="D334" s="10"/>
    </row>
    <row r="335" spans="2:4">
      <c r="B335" s="10"/>
      <c r="C335" s="10"/>
      <c r="D335" s="10"/>
    </row>
    <row r="336" spans="2:4">
      <c r="B336" s="10"/>
      <c r="C336" s="10"/>
      <c r="D336" s="10"/>
    </row>
    <row r="337" spans="2:4">
      <c r="B337" s="10"/>
      <c r="C337" s="10"/>
      <c r="D337" s="10"/>
    </row>
    <row r="338" spans="2:4">
      <c r="B338" s="10"/>
      <c r="C338" s="10"/>
      <c r="D338" s="10"/>
    </row>
    <row r="339" spans="2:4">
      <c r="B339" s="10"/>
      <c r="C339" s="10"/>
      <c r="D339" s="10"/>
    </row>
    <row r="340" spans="2:4">
      <c r="B340" s="10"/>
      <c r="C340" s="10"/>
      <c r="D340" s="10"/>
    </row>
    <row r="341" spans="2:4">
      <c r="B341" s="10"/>
      <c r="C341" s="10"/>
      <c r="D341" s="10"/>
    </row>
    <row r="342" spans="2:4">
      <c r="B342" s="10"/>
      <c r="C342" s="10"/>
      <c r="D342" s="10"/>
    </row>
    <row r="343" spans="2:4">
      <c r="B343" s="10"/>
      <c r="C343" s="10"/>
      <c r="D343" s="10"/>
    </row>
    <row r="344" spans="2:4">
      <c r="B344" s="10"/>
      <c r="C344" s="10"/>
      <c r="D344" s="10"/>
    </row>
    <row r="345" spans="2:4">
      <c r="B345" s="10"/>
      <c r="C345" s="10"/>
      <c r="D345" s="10"/>
    </row>
    <row r="346" spans="2:4">
      <c r="B346" s="10"/>
      <c r="C346" s="10"/>
      <c r="D346" s="10"/>
    </row>
    <row r="347" spans="2:4">
      <c r="B347" s="10"/>
      <c r="C347" s="10"/>
      <c r="D347" s="10"/>
    </row>
    <row r="348" spans="2:4">
      <c r="B348" s="10"/>
      <c r="C348" s="10"/>
      <c r="D348" s="10"/>
    </row>
    <row r="349" spans="2:4">
      <c r="B349" s="10"/>
      <c r="C349" s="10"/>
      <c r="D349" s="10"/>
    </row>
    <row r="350" spans="2:4">
      <c r="B350" s="10"/>
      <c r="C350" s="10"/>
      <c r="D350" s="10"/>
    </row>
    <row r="351" spans="2:4">
      <c r="B351" s="10"/>
      <c r="C351" s="10"/>
      <c r="D351" s="10"/>
    </row>
    <row r="352" spans="2:4">
      <c r="B352" s="10"/>
      <c r="C352" s="10"/>
      <c r="D352" s="10"/>
    </row>
    <row r="353" spans="2:4">
      <c r="B353" s="10"/>
      <c r="C353" s="10"/>
      <c r="D353" s="10"/>
    </row>
    <row r="354" spans="2:4">
      <c r="B354" s="10"/>
      <c r="C354" s="10"/>
      <c r="D354" s="10"/>
    </row>
    <row r="355" spans="2:4">
      <c r="B355" s="10"/>
      <c r="C355" s="10"/>
      <c r="D355" s="10"/>
    </row>
    <row r="356" spans="2:4">
      <c r="B356" s="10"/>
      <c r="C356" s="10"/>
      <c r="D356" s="10"/>
    </row>
    <row r="357" spans="2:4">
      <c r="B357" s="10"/>
      <c r="C357" s="10"/>
      <c r="D357" s="10"/>
    </row>
    <row r="358" spans="2:4">
      <c r="B358" s="10"/>
      <c r="C358" s="10"/>
      <c r="D358" s="10"/>
    </row>
    <row r="359" spans="2:4">
      <c r="B359" s="10"/>
      <c r="C359" s="10"/>
      <c r="D359" s="10"/>
    </row>
    <row r="360" spans="2:4">
      <c r="B360" s="10"/>
      <c r="C360" s="10"/>
      <c r="D360" s="10"/>
    </row>
    <row r="361" spans="2:4">
      <c r="B361" s="10"/>
      <c r="C361" s="10"/>
      <c r="D361" s="10"/>
    </row>
    <row r="362" spans="2:4">
      <c r="B362" s="10"/>
      <c r="C362" s="10"/>
      <c r="D362" s="10"/>
    </row>
    <row r="363" spans="2:4">
      <c r="B363" s="10"/>
      <c r="C363" s="10"/>
      <c r="D363" s="10"/>
    </row>
    <row r="364" spans="2:4">
      <c r="B364" s="10"/>
      <c r="C364" s="10"/>
      <c r="D364" s="10"/>
    </row>
    <row r="365" spans="2:4">
      <c r="B365" s="10"/>
      <c r="C365" s="10"/>
      <c r="D365" s="10"/>
    </row>
    <row r="366" spans="2:4">
      <c r="B366" s="10"/>
      <c r="C366" s="10"/>
      <c r="D366" s="10"/>
    </row>
    <row r="367" spans="2:4">
      <c r="B367" s="10"/>
      <c r="C367" s="10"/>
      <c r="D367" s="10"/>
    </row>
    <row r="368" spans="2:4">
      <c r="B368" s="10"/>
      <c r="C368" s="10"/>
      <c r="D368" s="10"/>
    </row>
    <row r="369" spans="2:4">
      <c r="B369" s="10"/>
      <c r="C369" s="10"/>
      <c r="D369" s="10"/>
    </row>
    <row r="370" spans="2:4">
      <c r="B370" s="10"/>
      <c r="C370" s="10"/>
      <c r="D370" s="10"/>
    </row>
    <row r="371" spans="2:4">
      <c r="B371" s="10"/>
      <c r="C371" s="10"/>
      <c r="D371" s="10"/>
    </row>
    <row r="372" spans="2:4">
      <c r="B372" s="10"/>
      <c r="C372" s="10"/>
      <c r="D372" s="10"/>
    </row>
    <row r="373" spans="2:4">
      <c r="B373" s="10"/>
      <c r="C373" s="10"/>
      <c r="D373" s="10"/>
    </row>
    <row r="374" spans="2:4">
      <c r="B374" s="10"/>
      <c r="C374" s="10"/>
      <c r="D374" s="10"/>
    </row>
    <row r="375" spans="2:4">
      <c r="B375" s="10"/>
      <c r="C375" s="10"/>
      <c r="D375" s="10"/>
    </row>
    <row r="376" spans="2:4">
      <c r="B376" s="10"/>
      <c r="C376" s="10"/>
      <c r="D376" s="10"/>
    </row>
    <row r="377" spans="2:4">
      <c r="B377" s="10"/>
      <c r="C377" s="10"/>
      <c r="D377" s="10"/>
    </row>
    <row r="378" spans="2:4">
      <c r="B378" s="10"/>
      <c r="C378" s="10"/>
      <c r="D378" s="10"/>
    </row>
    <row r="379" spans="2:4">
      <c r="B379" s="10"/>
      <c r="C379" s="10"/>
      <c r="D379" s="10"/>
    </row>
    <row r="380" spans="2:4">
      <c r="B380" s="10"/>
      <c r="C380" s="10"/>
      <c r="D380" s="10"/>
    </row>
    <row r="381" spans="2:4">
      <c r="B381" s="10"/>
      <c r="C381" s="10"/>
      <c r="D381" s="10"/>
    </row>
    <row r="382" spans="2:4">
      <c r="B382" s="10"/>
      <c r="C382" s="10"/>
      <c r="D382" s="10"/>
    </row>
    <row r="383" spans="2:4">
      <c r="B383" s="10"/>
      <c r="C383" s="10"/>
      <c r="D383" s="10"/>
    </row>
    <row r="384" spans="2:4">
      <c r="B384" s="10"/>
      <c r="C384" s="10"/>
      <c r="D384" s="10"/>
    </row>
    <row r="385" spans="2:4">
      <c r="B385" s="10"/>
      <c r="C385" s="10"/>
      <c r="D385" s="10"/>
    </row>
    <row r="386" spans="2:4">
      <c r="B386" s="10"/>
      <c r="C386" s="10"/>
      <c r="D386" s="10"/>
    </row>
    <row r="387" spans="2:4">
      <c r="B387" s="10"/>
      <c r="C387" s="10"/>
      <c r="D387" s="10"/>
    </row>
    <row r="388" spans="2:4">
      <c r="B388" s="10"/>
      <c r="C388" s="10"/>
      <c r="D388" s="10"/>
    </row>
    <row r="389" spans="2:4">
      <c r="B389" s="10"/>
      <c r="C389" s="10"/>
      <c r="D389" s="10"/>
    </row>
    <row r="390" spans="2:4">
      <c r="B390" s="10"/>
      <c r="C390" s="10"/>
      <c r="D390" s="10"/>
    </row>
    <row r="391" spans="2:4">
      <c r="B391" s="10"/>
      <c r="C391" s="10"/>
      <c r="D391" s="10"/>
    </row>
    <row r="392" spans="2:4">
      <c r="B392" s="10"/>
      <c r="C392" s="10"/>
      <c r="D392" s="10"/>
    </row>
    <row r="393" spans="2:4">
      <c r="B393" s="10"/>
      <c r="C393" s="10"/>
      <c r="D393" s="10"/>
    </row>
    <row r="394" spans="2:4">
      <c r="B394" s="10"/>
      <c r="C394" s="10"/>
      <c r="D394" s="10"/>
    </row>
    <row r="395" spans="2:4">
      <c r="B395" s="10"/>
      <c r="C395" s="10"/>
      <c r="D395" s="10"/>
    </row>
    <row r="396" spans="2:4">
      <c r="B396" s="10"/>
      <c r="C396" s="10"/>
      <c r="D396" s="10"/>
    </row>
    <row r="397" spans="2:4">
      <c r="B397" s="10"/>
      <c r="C397" s="10"/>
      <c r="D397" s="10"/>
    </row>
    <row r="398" spans="2:4">
      <c r="B398" s="10"/>
      <c r="C398" s="10"/>
      <c r="D398" s="10"/>
    </row>
    <row r="399" spans="2:4">
      <c r="B399" s="10"/>
      <c r="C399" s="10"/>
      <c r="D399" s="10"/>
    </row>
    <row r="400" spans="2:4">
      <c r="B400" s="10"/>
      <c r="C400" s="10"/>
      <c r="D400" s="10"/>
    </row>
    <row r="401" spans="2:4">
      <c r="B401" s="10"/>
      <c r="C401" s="10"/>
      <c r="D401" s="10"/>
    </row>
    <row r="402" spans="2:4">
      <c r="B402" s="10"/>
      <c r="C402" s="10"/>
      <c r="D402" s="10"/>
    </row>
    <row r="403" spans="2:4">
      <c r="B403" s="10"/>
      <c r="C403" s="10"/>
      <c r="D403" s="10"/>
    </row>
    <row r="404" spans="2:4">
      <c r="B404" s="10"/>
      <c r="C404" s="10"/>
      <c r="D404" s="10"/>
    </row>
    <row r="405" spans="2:4">
      <c r="B405" s="10"/>
      <c r="C405" s="10"/>
      <c r="D405" s="10"/>
    </row>
    <row r="406" spans="2:4">
      <c r="B406" s="10"/>
      <c r="C406" s="10"/>
      <c r="D406" s="10"/>
    </row>
    <row r="407" spans="2:4">
      <c r="B407" s="10"/>
      <c r="C407" s="10"/>
      <c r="D407" s="10"/>
    </row>
    <row r="408" spans="2:4">
      <c r="B408" s="10"/>
      <c r="C408" s="10"/>
      <c r="D408" s="10"/>
    </row>
    <row r="409" spans="2:4">
      <c r="B409" s="10"/>
      <c r="C409" s="10"/>
      <c r="D409" s="10"/>
    </row>
    <row r="410" spans="2:4">
      <c r="B410" s="10"/>
      <c r="C410" s="10"/>
      <c r="D410" s="10"/>
    </row>
    <row r="411" spans="2:4">
      <c r="B411" s="10"/>
      <c r="C411" s="10"/>
      <c r="D411" s="10"/>
    </row>
    <row r="412" spans="2:4">
      <c r="B412" s="10"/>
      <c r="C412" s="10"/>
      <c r="D412" s="10"/>
    </row>
    <row r="413" spans="2:4">
      <c r="B413" s="10"/>
      <c r="C413" s="10"/>
      <c r="D413" s="10"/>
    </row>
    <row r="414" spans="2:4">
      <c r="B414" s="10"/>
      <c r="C414" s="10"/>
      <c r="D414" s="10"/>
    </row>
    <row r="415" spans="2:4">
      <c r="B415" s="10"/>
      <c r="C415" s="10"/>
      <c r="D415" s="10"/>
    </row>
    <row r="416" spans="2:4">
      <c r="B416" s="10"/>
      <c r="C416" s="10"/>
      <c r="D416" s="10"/>
    </row>
    <row r="417" spans="2:4">
      <c r="B417" s="10"/>
      <c r="C417" s="10"/>
      <c r="D417" s="10"/>
    </row>
    <row r="418" spans="2:4">
      <c r="B418" s="10"/>
      <c r="C418" s="10"/>
      <c r="D418" s="10"/>
    </row>
    <row r="419" spans="2:4">
      <c r="B419" s="10"/>
      <c r="C419" s="10"/>
      <c r="D419" s="10"/>
    </row>
    <row r="420" spans="2:4">
      <c r="B420" s="10"/>
      <c r="C420" s="10"/>
      <c r="D420" s="10"/>
    </row>
    <row r="421" spans="2:4">
      <c r="B421" s="10"/>
      <c r="C421" s="10"/>
      <c r="D421" s="10"/>
    </row>
    <row r="422" spans="2:4">
      <c r="B422" s="10"/>
      <c r="C422" s="10"/>
      <c r="D422" s="10"/>
    </row>
    <row r="423" spans="2:4">
      <c r="B423" s="10"/>
      <c r="C423" s="10"/>
      <c r="D423" s="10"/>
    </row>
    <row r="424" spans="2:4">
      <c r="B424" s="10"/>
      <c r="C424" s="10"/>
      <c r="D424" s="10"/>
    </row>
    <row r="425" spans="2:4">
      <c r="B425" s="10"/>
      <c r="C425" s="10"/>
      <c r="D425" s="10"/>
    </row>
    <row r="426" spans="2:4">
      <c r="B426" s="10"/>
      <c r="C426" s="10"/>
      <c r="D426" s="10"/>
    </row>
    <row r="427" spans="2:4">
      <c r="B427" s="10"/>
      <c r="C427" s="10"/>
      <c r="D427" s="10"/>
    </row>
    <row r="428" spans="2:4">
      <c r="B428" s="10"/>
      <c r="C428" s="10"/>
      <c r="D428" s="10"/>
    </row>
    <row r="429" spans="2:4">
      <c r="B429" s="10"/>
      <c r="C429" s="10"/>
      <c r="D429" s="10"/>
    </row>
    <row r="430" spans="2:4">
      <c r="B430" s="10"/>
      <c r="C430" s="10"/>
      <c r="D430" s="10"/>
    </row>
    <row r="431" spans="2:4">
      <c r="B431" s="10"/>
      <c r="C431" s="10"/>
      <c r="D431" s="10"/>
    </row>
    <row r="432" spans="2:4">
      <c r="B432" s="10"/>
      <c r="C432" s="10"/>
      <c r="D432" s="10"/>
    </row>
    <row r="433" spans="2:4">
      <c r="B433" s="10"/>
      <c r="C433" s="10"/>
      <c r="D433" s="10"/>
    </row>
    <row r="434" spans="2:4">
      <c r="B434" s="10"/>
      <c r="C434" s="10"/>
      <c r="D434" s="10"/>
    </row>
    <row r="435" spans="2:4">
      <c r="B435" s="10"/>
      <c r="C435" s="10"/>
      <c r="D435" s="10"/>
    </row>
    <row r="436" spans="2:4">
      <c r="B436" s="10"/>
      <c r="C436" s="10"/>
      <c r="D436" s="10"/>
    </row>
    <row r="437" spans="2:4">
      <c r="B437" s="10"/>
      <c r="C437" s="10"/>
      <c r="D437" s="10"/>
    </row>
    <row r="438" spans="2:4">
      <c r="B438" s="10"/>
      <c r="C438" s="10"/>
      <c r="D438" s="10"/>
    </row>
    <row r="439" spans="2:4">
      <c r="B439" s="10"/>
      <c r="C439" s="10"/>
      <c r="D439" s="10"/>
    </row>
    <row r="440" spans="2:4">
      <c r="B440" s="10"/>
      <c r="C440" s="10"/>
      <c r="D440" s="10"/>
    </row>
    <row r="441" spans="2:4">
      <c r="B441" s="10"/>
      <c r="C441" s="10"/>
      <c r="D441" s="10"/>
    </row>
    <row r="442" spans="2:4">
      <c r="B442" s="10"/>
      <c r="C442" s="10"/>
      <c r="D442" s="10"/>
    </row>
    <row r="443" spans="2:4">
      <c r="B443" s="10"/>
      <c r="C443" s="10"/>
      <c r="D443" s="10"/>
    </row>
    <row r="444" spans="2:4">
      <c r="B444" s="10"/>
      <c r="C444" s="10"/>
      <c r="D444" s="10"/>
    </row>
    <row r="445" spans="2:4">
      <c r="B445" s="10"/>
      <c r="C445" s="10"/>
      <c r="D445" s="10"/>
    </row>
    <row r="446" spans="2:4">
      <c r="B446" s="10"/>
      <c r="C446" s="10"/>
      <c r="D446" s="10"/>
    </row>
    <row r="447" spans="2:4">
      <c r="B447" s="10"/>
      <c r="C447" s="10"/>
      <c r="D447" s="10"/>
    </row>
    <row r="448" spans="2:4">
      <c r="B448" s="10"/>
      <c r="C448" s="10"/>
      <c r="D448" s="10"/>
    </row>
    <row r="449" spans="2:4">
      <c r="B449" s="10"/>
      <c r="C449" s="10"/>
      <c r="D449" s="10"/>
    </row>
    <row r="450" spans="2:4">
      <c r="B450" s="10"/>
      <c r="C450" s="10"/>
      <c r="D450" s="10"/>
    </row>
    <row r="451" spans="2:4">
      <c r="B451" s="10"/>
      <c r="C451" s="10"/>
      <c r="D451" s="10"/>
    </row>
    <row r="452" spans="2:4">
      <c r="B452" s="10"/>
      <c r="C452" s="10"/>
      <c r="D452" s="10"/>
    </row>
    <row r="453" spans="2:4">
      <c r="B453" s="10"/>
      <c r="C453" s="10"/>
      <c r="D453" s="10"/>
    </row>
    <row r="454" spans="2:4">
      <c r="B454" s="10"/>
      <c r="C454" s="10"/>
      <c r="D454" s="10"/>
    </row>
    <row r="455" spans="2:4">
      <c r="B455" s="10"/>
      <c r="C455" s="10"/>
      <c r="D455" s="10"/>
    </row>
    <row r="456" spans="2:4">
      <c r="B456" s="10"/>
      <c r="C456" s="10"/>
      <c r="D456" s="10"/>
    </row>
    <row r="457" spans="2:4">
      <c r="B457" s="10"/>
      <c r="C457" s="10"/>
      <c r="D457" s="10"/>
    </row>
    <row r="458" spans="2:4">
      <c r="B458" s="10"/>
      <c r="C458" s="10"/>
      <c r="D458" s="10"/>
    </row>
    <row r="459" spans="2:4">
      <c r="B459" s="10"/>
      <c r="C459" s="10"/>
      <c r="D459" s="10"/>
    </row>
    <row r="460" spans="2:4">
      <c r="B460" s="10"/>
      <c r="C460" s="10"/>
      <c r="D460" s="10"/>
    </row>
    <row r="461" spans="2:4">
      <c r="B461" s="10"/>
      <c r="C461" s="10"/>
      <c r="D461" s="10"/>
    </row>
    <row r="462" spans="2:4">
      <c r="B462" s="10"/>
      <c r="C462" s="10"/>
      <c r="D462" s="10"/>
    </row>
    <row r="463" spans="2:4">
      <c r="B463" s="10"/>
      <c r="C463" s="10"/>
      <c r="D463" s="10"/>
    </row>
    <row r="464" spans="2:4">
      <c r="B464" s="10"/>
      <c r="C464" s="10"/>
      <c r="D464" s="10"/>
    </row>
    <row r="465" spans="2:4">
      <c r="B465" s="10"/>
      <c r="C465" s="10"/>
      <c r="D465" s="10"/>
    </row>
    <row r="466" spans="2:4">
      <c r="B466" s="10"/>
      <c r="C466" s="10"/>
      <c r="D466" s="10"/>
    </row>
    <row r="467" spans="2:4">
      <c r="B467" s="10"/>
      <c r="C467" s="10"/>
      <c r="D467" s="10"/>
    </row>
    <row r="468" spans="2:4">
      <c r="B468" s="10"/>
      <c r="C468" s="10"/>
      <c r="D468" s="10"/>
    </row>
    <row r="469" spans="2:4">
      <c r="B469" s="10"/>
      <c r="C469" s="10"/>
      <c r="D469" s="10"/>
    </row>
    <row r="470" spans="2:4">
      <c r="B470" s="10"/>
      <c r="C470" s="10"/>
      <c r="D470" s="10"/>
    </row>
    <row r="471" spans="2:4">
      <c r="B471" s="10"/>
      <c r="C471" s="10"/>
      <c r="D471" s="10"/>
    </row>
    <row r="472" spans="2:4">
      <c r="B472" s="10"/>
      <c r="C472" s="10"/>
      <c r="D472" s="10"/>
    </row>
    <row r="473" spans="2:4">
      <c r="B473" s="10"/>
      <c r="C473" s="10"/>
      <c r="D473" s="10"/>
    </row>
    <row r="474" spans="2:4">
      <c r="B474" s="10"/>
      <c r="C474" s="10"/>
      <c r="D474" s="10"/>
    </row>
    <row r="475" spans="2:4">
      <c r="B475" s="10"/>
      <c r="C475" s="10"/>
      <c r="D475" s="10"/>
    </row>
    <row r="476" spans="2:4">
      <c r="B476" s="10"/>
      <c r="C476" s="10"/>
      <c r="D476" s="10"/>
    </row>
    <row r="477" spans="2:4">
      <c r="B477" s="10"/>
      <c r="C477" s="10"/>
      <c r="D477" s="10"/>
    </row>
    <row r="478" spans="2:4">
      <c r="B478" s="10"/>
      <c r="C478" s="10"/>
      <c r="D478" s="10"/>
    </row>
    <row r="479" spans="2:4">
      <c r="B479" s="10"/>
      <c r="C479" s="10"/>
      <c r="D479" s="10"/>
    </row>
    <row r="480" spans="2:4">
      <c r="B480" s="10"/>
      <c r="C480" s="10"/>
      <c r="D480" s="10"/>
    </row>
    <row r="481" spans="2:4">
      <c r="B481" s="10"/>
      <c r="C481" s="10"/>
      <c r="D481" s="10"/>
    </row>
    <row r="482" spans="2:4">
      <c r="B482" s="10"/>
      <c r="C482" s="10"/>
      <c r="D482" s="10"/>
    </row>
    <row r="483" spans="2:4">
      <c r="B483" s="10"/>
      <c r="C483" s="10"/>
      <c r="D483" s="10"/>
    </row>
    <row r="484" spans="2:4">
      <c r="B484" s="10"/>
      <c r="C484" s="10"/>
      <c r="D484" s="10"/>
    </row>
    <row r="485" spans="2:4">
      <c r="B485" s="10"/>
      <c r="C485" s="10"/>
      <c r="D485" s="10"/>
    </row>
    <row r="486" spans="2:4">
      <c r="B486" s="10"/>
      <c r="C486" s="10"/>
      <c r="D486" s="10"/>
    </row>
    <row r="487" spans="2:4">
      <c r="B487" s="10"/>
      <c r="C487" s="10"/>
      <c r="D487" s="10"/>
    </row>
    <row r="488" spans="2:4">
      <c r="B488" s="10"/>
      <c r="C488" s="10"/>
      <c r="D488" s="10"/>
    </row>
    <row r="489" spans="2:4">
      <c r="B489" s="10"/>
      <c r="C489" s="10"/>
      <c r="D489" s="10"/>
    </row>
    <row r="490" spans="2:4">
      <c r="B490" s="10"/>
      <c r="C490" s="10"/>
      <c r="D490" s="10"/>
    </row>
    <row r="491" spans="2:4">
      <c r="B491" s="10"/>
      <c r="C491" s="10"/>
      <c r="D491" s="10"/>
    </row>
    <row r="492" spans="2:4">
      <c r="B492" s="10"/>
      <c r="C492" s="10"/>
      <c r="D492" s="10"/>
    </row>
    <row r="493" spans="2:4">
      <c r="B493" s="10"/>
      <c r="C493" s="10"/>
      <c r="D493" s="10"/>
    </row>
    <row r="494" spans="2:4">
      <c r="B494" s="10"/>
      <c r="C494" s="10"/>
      <c r="D494" s="10"/>
    </row>
    <row r="495" spans="2:4">
      <c r="B495" s="10"/>
      <c r="C495" s="10"/>
      <c r="D495" s="10"/>
    </row>
    <row r="496" spans="2:4">
      <c r="B496" s="10"/>
      <c r="C496" s="10"/>
      <c r="D496" s="10"/>
    </row>
    <row r="497" spans="2:4">
      <c r="B497" s="10"/>
      <c r="C497" s="10"/>
      <c r="D497" s="10"/>
    </row>
    <row r="498" spans="2:4">
      <c r="B498" s="10"/>
      <c r="C498" s="10"/>
      <c r="D498" s="10"/>
    </row>
    <row r="499" spans="2:4">
      <c r="B499" s="10"/>
      <c r="C499" s="10"/>
      <c r="D499" s="10"/>
    </row>
    <row r="500" spans="2:4">
      <c r="B500" s="10"/>
      <c r="C500" s="10"/>
      <c r="D500" s="10"/>
    </row>
    <row r="501" spans="2:4">
      <c r="B501" s="10"/>
      <c r="C501" s="10"/>
      <c r="D501" s="10"/>
    </row>
    <row r="502" spans="2:4">
      <c r="B502" s="10"/>
      <c r="C502" s="10"/>
      <c r="D502" s="10"/>
    </row>
    <row r="503" spans="2:4">
      <c r="B503" s="10"/>
      <c r="C503" s="10"/>
      <c r="D503" s="10"/>
    </row>
    <row r="504" spans="2:4">
      <c r="B504" s="10"/>
      <c r="C504" s="10"/>
      <c r="D504" s="10"/>
    </row>
    <row r="505" spans="2:4">
      <c r="B505" s="10"/>
      <c r="C505" s="10"/>
      <c r="D505" s="10"/>
    </row>
    <row r="506" spans="2:4">
      <c r="B506" s="10"/>
      <c r="C506" s="10"/>
      <c r="D506" s="10"/>
    </row>
    <row r="507" spans="2:4">
      <c r="B507" s="10"/>
      <c r="C507" s="10"/>
      <c r="D507" s="10"/>
    </row>
    <row r="508" spans="2:4">
      <c r="B508" s="10"/>
      <c r="C508" s="10"/>
      <c r="D508" s="10"/>
    </row>
    <row r="509" spans="2:4">
      <c r="B509" s="10"/>
      <c r="C509" s="10"/>
      <c r="D509" s="10"/>
    </row>
    <row r="510" spans="2:4">
      <c r="B510" s="10"/>
      <c r="C510" s="10"/>
      <c r="D510" s="10"/>
    </row>
    <row r="511" spans="2:4">
      <c r="B511" s="10"/>
      <c r="C511" s="10"/>
      <c r="D511" s="10"/>
    </row>
    <row r="512" spans="2:4">
      <c r="B512" s="10"/>
      <c r="C512" s="10"/>
      <c r="D512" s="10"/>
    </row>
    <row r="513" spans="2:4">
      <c r="B513" s="10"/>
      <c r="C513" s="10"/>
      <c r="D513" s="10"/>
    </row>
    <row r="514" spans="2:4">
      <c r="B514" s="10"/>
      <c r="C514" s="10"/>
      <c r="D514" s="10"/>
    </row>
    <row r="515" spans="2:4">
      <c r="B515" s="10"/>
      <c r="C515" s="10"/>
      <c r="D515" s="10"/>
    </row>
    <row r="516" spans="2:4">
      <c r="B516" s="10"/>
      <c r="C516" s="10"/>
      <c r="D516" s="10"/>
    </row>
    <row r="517" spans="2:4">
      <c r="B517" s="10"/>
      <c r="C517" s="10"/>
      <c r="D517" s="10"/>
    </row>
    <row r="518" spans="2:4">
      <c r="B518" s="10"/>
      <c r="C518" s="10"/>
      <c r="D518" s="10"/>
    </row>
    <row r="519" spans="2:4">
      <c r="B519" s="10"/>
      <c r="C519" s="10"/>
      <c r="D519" s="10"/>
    </row>
    <row r="520" spans="2:4">
      <c r="B520" s="10"/>
      <c r="C520" s="10"/>
      <c r="D520" s="10"/>
    </row>
    <row r="521" spans="2:4">
      <c r="B521" s="10"/>
      <c r="C521" s="10"/>
      <c r="D521" s="10"/>
    </row>
    <row r="522" spans="2:4">
      <c r="B522" s="10"/>
      <c r="C522" s="10"/>
      <c r="D522" s="10"/>
    </row>
    <row r="523" spans="2:4">
      <c r="B523" s="10"/>
      <c r="C523" s="10"/>
      <c r="D523" s="10"/>
    </row>
    <row r="524" spans="2:4">
      <c r="B524" s="10"/>
      <c r="C524" s="10"/>
      <c r="D524" s="10"/>
    </row>
    <row r="525" spans="2:4">
      <c r="B525" s="10"/>
      <c r="C525" s="10"/>
      <c r="D525" s="10"/>
    </row>
    <row r="526" spans="2:4">
      <c r="B526" s="10"/>
      <c r="C526" s="10"/>
      <c r="D526" s="10"/>
    </row>
    <row r="527" spans="2:4">
      <c r="B527" s="10"/>
      <c r="C527" s="10"/>
      <c r="D527" s="10"/>
    </row>
    <row r="528" spans="2:4">
      <c r="B528" s="10"/>
      <c r="C528" s="10"/>
      <c r="D528" s="10"/>
    </row>
    <row r="529" spans="2:4">
      <c r="B529" s="10"/>
      <c r="C529" s="10"/>
      <c r="D529" s="10"/>
    </row>
    <row r="530" spans="2:4">
      <c r="B530" s="10"/>
      <c r="C530" s="10"/>
      <c r="D530" s="10"/>
    </row>
    <row r="531" spans="2:4">
      <c r="B531" s="10"/>
      <c r="C531" s="10"/>
      <c r="D531" s="10"/>
    </row>
    <row r="532" spans="2:4">
      <c r="B532" s="10"/>
      <c r="C532" s="10"/>
      <c r="D532" s="10"/>
    </row>
    <row r="533" spans="2:4">
      <c r="B533" s="10"/>
      <c r="C533" s="10"/>
      <c r="D533" s="10"/>
    </row>
    <row r="534" spans="2:4">
      <c r="B534" s="10"/>
      <c r="C534" s="10"/>
      <c r="D534" s="10"/>
    </row>
    <row r="535" spans="2:4">
      <c r="B535" s="10"/>
      <c r="C535" s="10"/>
      <c r="D535" s="10"/>
    </row>
    <row r="536" spans="2:4">
      <c r="B536" s="10"/>
      <c r="C536" s="10"/>
      <c r="D536" s="10"/>
    </row>
    <row r="537" spans="2:4">
      <c r="B537" s="10"/>
      <c r="C537" s="10"/>
      <c r="D537" s="10"/>
    </row>
    <row r="538" spans="2:4">
      <c r="B538" s="10"/>
      <c r="C538" s="10"/>
      <c r="D538" s="10"/>
    </row>
    <row r="539" spans="2:4">
      <c r="B539" s="10"/>
      <c r="C539" s="10"/>
      <c r="D539" s="10"/>
    </row>
    <row r="540" spans="2:4">
      <c r="B540" s="10"/>
      <c r="C540" s="10"/>
      <c r="D540" s="10"/>
    </row>
    <row r="541" spans="2:4">
      <c r="B541" s="10"/>
      <c r="C541" s="10"/>
      <c r="D541" s="10"/>
    </row>
    <row r="542" spans="2:4">
      <c r="B542" s="10"/>
      <c r="C542" s="10"/>
      <c r="D542" s="10"/>
    </row>
    <row r="543" spans="2:4">
      <c r="B543" s="10"/>
      <c r="C543" s="10"/>
      <c r="D543" s="10"/>
    </row>
    <row r="544" spans="2:4">
      <c r="B544" s="10"/>
      <c r="C544" s="10"/>
      <c r="D544" s="10"/>
    </row>
    <row r="545" spans="2:4">
      <c r="B545" s="10"/>
      <c r="C545" s="10"/>
      <c r="D545" s="10"/>
    </row>
    <row r="546" spans="2:4">
      <c r="B546" s="10"/>
      <c r="C546" s="10"/>
      <c r="D546" s="10"/>
    </row>
    <row r="547" spans="2:4">
      <c r="B547" s="10"/>
      <c r="C547" s="10"/>
      <c r="D547" s="10"/>
    </row>
    <row r="548" spans="2:4">
      <c r="B548" s="10"/>
      <c r="C548" s="10"/>
      <c r="D548" s="10"/>
    </row>
    <row r="549" spans="2:4">
      <c r="B549" s="10"/>
      <c r="C549" s="10"/>
      <c r="D549" s="10"/>
    </row>
    <row r="550" spans="2:4">
      <c r="B550" s="10"/>
      <c r="C550" s="10"/>
      <c r="D550" s="10"/>
    </row>
    <row r="551" spans="2:4">
      <c r="B551" s="10"/>
      <c r="C551" s="10"/>
      <c r="D551" s="10"/>
    </row>
    <row r="552" spans="2:4">
      <c r="B552" s="10"/>
      <c r="C552" s="10"/>
      <c r="D552" s="10"/>
    </row>
    <row r="553" spans="2:4">
      <c r="B553" s="10"/>
      <c r="C553" s="10"/>
      <c r="D553" s="10"/>
    </row>
    <row r="554" spans="2:4">
      <c r="B554" s="10"/>
      <c r="C554" s="10"/>
      <c r="D554" s="10"/>
    </row>
    <row r="555" spans="2:4">
      <c r="B555" s="10"/>
      <c r="C555" s="10"/>
      <c r="D555" s="10"/>
    </row>
    <row r="556" spans="2:4">
      <c r="B556" s="10"/>
      <c r="C556" s="10"/>
      <c r="D556" s="10"/>
    </row>
    <row r="557" spans="2:4">
      <c r="B557" s="10"/>
      <c r="C557" s="10"/>
      <c r="D557" s="10"/>
    </row>
    <row r="558" spans="2:4">
      <c r="B558" s="10"/>
      <c r="C558" s="10"/>
      <c r="D558" s="10"/>
    </row>
    <row r="559" spans="2:4">
      <c r="B559" s="10"/>
      <c r="C559" s="10"/>
      <c r="D559" s="10"/>
    </row>
    <row r="560" spans="2:4">
      <c r="B560" s="10"/>
      <c r="C560" s="10"/>
      <c r="D560" s="10"/>
    </row>
    <row r="561" spans="2:4">
      <c r="B561" s="10"/>
      <c r="C561" s="10"/>
      <c r="D561" s="10"/>
    </row>
    <row r="562" spans="2:4">
      <c r="B562" s="10"/>
      <c r="C562" s="10"/>
      <c r="D562" s="10"/>
    </row>
    <row r="563" spans="2:4">
      <c r="B563" s="10"/>
      <c r="C563" s="10"/>
      <c r="D563" s="10"/>
    </row>
    <row r="564" spans="2:4">
      <c r="B564" s="10"/>
      <c r="C564" s="10"/>
      <c r="D564" s="10"/>
    </row>
    <row r="565" spans="2:4">
      <c r="B565" s="10"/>
      <c r="C565" s="10"/>
      <c r="D565" s="10"/>
    </row>
    <row r="566" spans="2:4">
      <c r="B566" s="10"/>
      <c r="C566" s="10"/>
      <c r="D566" s="10"/>
    </row>
    <row r="567" spans="2:4">
      <c r="B567" s="10"/>
      <c r="C567" s="10"/>
      <c r="D567" s="10"/>
    </row>
    <row r="568" spans="2:4">
      <c r="B568" s="10"/>
      <c r="C568" s="10"/>
      <c r="D568" s="10"/>
    </row>
    <row r="569" spans="2:4">
      <c r="B569" s="10"/>
      <c r="C569" s="10"/>
      <c r="D569" s="10"/>
    </row>
    <row r="570" spans="2:4">
      <c r="B570" s="10"/>
      <c r="C570" s="10"/>
      <c r="D570" s="10"/>
    </row>
    <row r="571" spans="2:4">
      <c r="B571" s="10"/>
      <c r="C571" s="10"/>
      <c r="D571" s="10"/>
    </row>
    <row r="572" spans="2:4">
      <c r="B572" s="10"/>
      <c r="C572" s="10"/>
      <c r="D572" s="10"/>
    </row>
    <row r="573" spans="2:4">
      <c r="B573" s="10"/>
      <c r="C573" s="10"/>
      <c r="D573" s="10"/>
    </row>
    <row r="574" spans="2:4">
      <c r="B574" s="10"/>
      <c r="C574" s="10"/>
      <c r="D574" s="10"/>
    </row>
    <row r="575" spans="2:4">
      <c r="B575" s="10"/>
      <c r="C575" s="10"/>
      <c r="D575" s="10"/>
    </row>
    <row r="576" spans="2:4">
      <c r="B576" s="10"/>
      <c r="C576" s="10"/>
      <c r="D576" s="10"/>
    </row>
    <row r="577" spans="2:4">
      <c r="B577" s="10"/>
      <c r="C577" s="10"/>
      <c r="D577" s="10"/>
    </row>
    <row r="578" spans="2:4">
      <c r="B578" s="10"/>
      <c r="C578" s="10"/>
      <c r="D578" s="10"/>
    </row>
    <row r="579" spans="2:4">
      <c r="B579" s="10"/>
      <c r="C579" s="10"/>
      <c r="D579" s="10"/>
    </row>
    <row r="580" spans="2:4">
      <c r="B580" s="10"/>
      <c r="C580" s="10"/>
      <c r="D580" s="10"/>
    </row>
    <row r="581" spans="2:4">
      <c r="B581" s="10"/>
      <c r="C581" s="10"/>
      <c r="D581" s="10"/>
    </row>
    <row r="582" spans="2:4">
      <c r="B582" s="10"/>
      <c r="C582" s="10"/>
      <c r="D582" s="10"/>
    </row>
    <row r="583" spans="2:4">
      <c r="B583" s="10"/>
      <c r="C583" s="10"/>
      <c r="D583" s="10"/>
    </row>
    <row r="584" spans="2:4">
      <c r="B584" s="10"/>
      <c r="C584" s="10"/>
      <c r="D584" s="10"/>
    </row>
    <row r="585" spans="2:4">
      <c r="B585" s="10"/>
      <c r="C585" s="10"/>
      <c r="D585" s="10"/>
    </row>
    <row r="586" spans="2:4">
      <c r="B586" s="10"/>
      <c r="C586" s="10"/>
      <c r="D586" s="10"/>
    </row>
    <row r="587" spans="2:4">
      <c r="B587" s="10"/>
      <c r="C587" s="10"/>
      <c r="D587" s="10"/>
    </row>
    <row r="588" spans="2:4">
      <c r="B588" s="10"/>
      <c r="C588" s="10"/>
      <c r="D588" s="10"/>
    </row>
    <row r="589" spans="2:4">
      <c r="B589" s="10"/>
      <c r="C589" s="10"/>
      <c r="D589" s="10"/>
    </row>
    <row r="590" spans="2:4">
      <c r="B590" s="10"/>
      <c r="C590" s="10"/>
      <c r="D590" s="10"/>
    </row>
    <row r="591" spans="2:4">
      <c r="B591" s="10"/>
      <c r="C591" s="10"/>
      <c r="D591" s="10"/>
    </row>
    <row r="592" spans="2:4">
      <c r="B592" s="10"/>
      <c r="C592" s="10"/>
      <c r="D592" s="10"/>
    </row>
    <row r="593" spans="2:4">
      <c r="B593" s="10"/>
      <c r="C593" s="10"/>
      <c r="D593" s="10"/>
    </row>
    <row r="594" spans="2:4">
      <c r="B594" s="10"/>
      <c r="C594" s="10"/>
      <c r="D594" s="10"/>
    </row>
    <row r="595" spans="2:4">
      <c r="B595" s="10"/>
      <c r="C595" s="10"/>
      <c r="D595" s="10"/>
    </row>
    <row r="596" spans="2:4">
      <c r="B596" s="10"/>
      <c r="C596" s="10"/>
      <c r="D596" s="10"/>
    </row>
    <row r="597" spans="2:4">
      <c r="B597" s="10"/>
      <c r="C597" s="10"/>
      <c r="D597" s="10"/>
    </row>
    <row r="598" spans="2:4">
      <c r="B598" s="10"/>
      <c r="C598" s="10"/>
      <c r="D598" s="10"/>
    </row>
    <row r="599" spans="2:4">
      <c r="B599" s="10"/>
      <c r="C599" s="10"/>
      <c r="D599" s="10"/>
    </row>
    <row r="600" spans="2:4">
      <c r="B600" s="10"/>
      <c r="C600" s="10"/>
      <c r="D600" s="10"/>
    </row>
    <row r="601" spans="2:4">
      <c r="B601" s="10"/>
      <c r="C601" s="10"/>
      <c r="D601" s="10"/>
    </row>
    <row r="602" spans="2:4">
      <c r="B602" s="10"/>
      <c r="C602" s="10"/>
      <c r="D602" s="10"/>
    </row>
    <row r="603" spans="2:4">
      <c r="B603" s="10"/>
      <c r="C603" s="10"/>
      <c r="D603" s="10"/>
    </row>
    <row r="604" spans="2:4">
      <c r="B604" s="10"/>
      <c r="C604" s="10"/>
      <c r="D604" s="10"/>
    </row>
  </sheetData>
  <mergeCells count="8">
    <mergeCell ref="A36:M36"/>
    <mergeCell ref="A40:M40"/>
    <mergeCell ref="A43:M43"/>
    <mergeCell ref="A16:M16"/>
    <mergeCell ref="K1:M1"/>
    <mergeCell ref="A2:M2"/>
    <mergeCell ref="A11:M11"/>
    <mergeCell ref="A26:M26"/>
  </mergeCells>
  <conditionalFormatting sqref="F3:F4 F37:F39 F27:F35">
    <cfRule type="cellIs" dxfId="438" priority="45" operator="equal">
      <formula>E3</formula>
    </cfRule>
  </conditionalFormatting>
  <conditionalFormatting sqref="F3 F37:F39 F27:F35">
    <cfRule type="cellIs" dxfId="437" priority="44" operator="notEqual">
      <formula>E3</formula>
    </cfRule>
  </conditionalFormatting>
  <conditionalFormatting sqref="F12:F15">
    <cfRule type="cellIs" dxfId="436" priority="43" operator="equal">
      <formula>E12</formula>
    </cfRule>
  </conditionalFormatting>
  <conditionalFormatting sqref="F12:F15">
    <cfRule type="cellIs" dxfId="435" priority="42" operator="notEqual">
      <formula>E12</formula>
    </cfRule>
  </conditionalFormatting>
  <conditionalFormatting sqref="F4">
    <cfRule type="cellIs" dxfId="434" priority="41" operator="notEqual">
      <formula>E4</formula>
    </cfRule>
  </conditionalFormatting>
  <conditionalFormatting sqref="F9">
    <cfRule type="cellIs" dxfId="433" priority="40" operator="equal">
      <formula>E9</formula>
    </cfRule>
  </conditionalFormatting>
  <conditionalFormatting sqref="F9">
    <cfRule type="cellIs" dxfId="432" priority="39" operator="notEqual">
      <formula>E9</formula>
    </cfRule>
  </conditionalFormatting>
  <conditionalFormatting sqref="F10">
    <cfRule type="cellIs" dxfId="431" priority="38" operator="equal">
      <formula>E10</formula>
    </cfRule>
  </conditionalFormatting>
  <conditionalFormatting sqref="F10">
    <cfRule type="cellIs" dxfId="430" priority="37" operator="notEqual">
      <formula>E10</formula>
    </cfRule>
  </conditionalFormatting>
  <conditionalFormatting sqref="F17">
    <cfRule type="cellIs" dxfId="429" priority="36" operator="equal">
      <formula>E17</formula>
    </cfRule>
  </conditionalFormatting>
  <conditionalFormatting sqref="F17">
    <cfRule type="cellIs" dxfId="428" priority="35" operator="notEqual">
      <formula>E17</formula>
    </cfRule>
  </conditionalFormatting>
  <conditionalFormatting sqref="F18">
    <cfRule type="cellIs" dxfId="427" priority="34" operator="equal">
      <formula>E18</formula>
    </cfRule>
  </conditionalFormatting>
  <conditionalFormatting sqref="F18">
    <cfRule type="cellIs" dxfId="426" priority="33" operator="notEqual">
      <formula>E18</formula>
    </cfRule>
  </conditionalFormatting>
  <conditionalFormatting sqref="F19">
    <cfRule type="cellIs" dxfId="425" priority="32" operator="equal">
      <formula>E19</formula>
    </cfRule>
  </conditionalFormatting>
  <conditionalFormatting sqref="F19">
    <cfRule type="cellIs" dxfId="424" priority="31" operator="notEqual">
      <formula>E19</formula>
    </cfRule>
  </conditionalFormatting>
  <conditionalFormatting sqref="F20">
    <cfRule type="cellIs" dxfId="423" priority="30" operator="equal">
      <formula>E20</formula>
    </cfRule>
  </conditionalFormatting>
  <conditionalFormatting sqref="F20">
    <cfRule type="cellIs" dxfId="422" priority="29" operator="notEqual">
      <formula>E20</formula>
    </cfRule>
  </conditionalFormatting>
  <conditionalFormatting sqref="F21">
    <cfRule type="cellIs" dxfId="421" priority="28" operator="equal">
      <formula>E21</formula>
    </cfRule>
  </conditionalFormatting>
  <conditionalFormatting sqref="F21">
    <cfRule type="cellIs" dxfId="420" priority="27" operator="notEqual">
      <formula>E21</formula>
    </cfRule>
  </conditionalFormatting>
  <conditionalFormatting sqref="F22">
    <cfRule type="cellIs" dxfId="419" priority="26" operator="equal">
      <formula>E22</formula>
    </cfRule>
  </conditionalFormatting>
  <conditionalFormatting sqref="F22">
    <cfRule type="cellIs" dxfId="418" priority="25" operator="notEqual">
      <formula>E22</formula>
    </cfRule>
  </conditionalFormatting>
  <conditionalFormatting sqref="F23">
    <cfRule type="cellIs" dxfId="417" priority="24" operator="equal">
      <formula>E23</formula>
    </cfRule>
  </conditionalFormatting>
  <conditionalFormatting sqref="F23">
    <cfRule type="cellIs" dxfId="416" priority="23" operator="notEqual">
      <formula>E23</formula>
    </cfRule>
  </conditionalFormatting>
  <conditionalFormatting sqref="F24">
    <cfRule type="cellIs" dxfId="415" priority="22" operator="equal">
      <formula>E24</formula>
    </cfRule>
  </conditionalFormatting>
  <conditionalFormatting sqref="F24">
    <cfRule type="cellIs" dxfId="414" priority="21" operator="notEqual">
      <formula>E24</formula>
    </cfRule>
  </conditionalFormatting>
  <conditionalFormatting sqref="F25">
    <cfRule type="cellIs" dxfId="413" priority="20" operator="equal">
      <formula>E25</formula>
    </cfRule>
  </conditionalFormatting>
  <conditionalFormatting sqref="F25">
    <cfRule type="cellIs" dxfId="412" priority="19" operator="notEqual">
      <formula>E25</formula>
    </cfRule>
  </conditionalFormatting>
  <conditionalFormatting sqref="F5">
    <cfRule type="cellIs" dxfId="411" priority="18" operator="equal">
      <formula>E5</formula>
    </cfRule>
  </conditionalFormatting>
  <conditionalFormatting sqref="F5">
    <cfRule type="cellIs" dxfId="410" priority="17" operator="notEqual">
      <formula>E5</formula>
    </cfRule>
  </conditionalFormatting>
  <conditionalFormatting sqref="F6">
    <cfRule type="cellIs" dxfId="409" priority="16" operator="equal">
      <formula>E6</formula>
    </cfRule>
  </conditionalFormatting>
  <conditionalFormatting sqref="F6">
    <cfRule type="cellIs" dxfId="408" priority="15" operator="notEqual">
      <formula>E6</formula>
    </cfRule>
  </conditionalFormatting>
  <conditionalFormatting sqref="F7:F8">
    <cfRule type="cellIs" dxfId="407" priority="12" operator="equal">
      <formula>E7</formula>
    </cfRule>
  </conditionalFormatting>
  <conditionalFormatting sqref="F7:F8">
    <cfRule type="cellIs" dxfId="406" priority="11" operator="notEqual">
      <formula>E7</formula>
    </cfRule>
  </conditionalFormatting>
  <conditionalFormatting sqref="F41:F42">
    <cfRule type="cellIs" dxfId="405" priority="6" operator="equal">
      <formula>E41</formula>
    </cfRule>
  </conditionalFormatting>
  <conditionalFormatting sqref="F41:F42">
    <cfRule type="cellIs" dxfId="404" priority="5" operator="notEqual">
      <formula>E41</formula>
    </cfRule>
  </conditionalFormatting>
  <conditionalFormatting sqref="F44:F48">
    <cfRule type="cellIs" dxfId="403" priority="4" operator="equal">
      <formula>E44</formula>
    </cfRule>
  </conditionalFormatting>
  <conditionalFormatting sqref="F44:F48">
    <cfRule type="cellIs" dxfId="402" priority="3" operator="notEqual">
      <formula>E44</formula>
    </cfRule>
  </conditionalFormatting>
  <conditionalFormatting sqref="F49">
    <cfRule type="cellIs" dxfId="401" priority="2" operator="equal">
      <formula>E49</formula>
    </cfRule>
  </conditionalFormatting>
  <conditionalFormatting sqref="F49">
    <cfRule type="cellIs" dxfId="400" priority="1" operator="notEqual">
      <formula>E49</formula>
    </cfRule>
  </conditionalFormatting>
  <pageMargins left="0.7" right="0.7" top="0.75" bottom="0.75" header="0.3" footer="0.3"/>
  <pageSetup paperSize="9" orientation="portrait" r:id="rId1"/>
  <legacyDrawing r:id="rId2"/>
  <controls>
    <control shapeId="1086" r:id="rId3" name="CommandButton1"/>
  </controls>
</worksheet>
</file>

<file path=xl/worksheets/sheet4.xml><?xml version="1.0" encoding="utf-8"?>
<worksheet xmlns="http://schemas.openxmlformats.org/spreadsheetml/2006/main" xmlns:r="http://schemas.openxmlformats.org/officeDocument/2006/relationships">
  <sheetPr codeName="Sheet4">
    <tabColor rgb="FF00B050"/>
  </sheetPr>
  <dimension ref="A1:M564"/>
  <sheetViews>
    <sheetView zoomScaleNormal="100" workbookViewId="0">
      <pane ySplit="1" topLeftCell="A2" activePane="bottomLeft" state="frozen"/>
      <selection pane="bottomLeft" activeCell="B23" sqref="B23"/>
    </sheetView>
  </sheetViews>
  <sheetFormatPr baseColWidth="10" defaultColWidth="9" defaultRowHeight="18" customHeight="1"/>
  <cols>
    <col min="1" max="1" width="15.75" customWidth="1"/>
    <col min="2" max="2" width="57.5" customWidth="1"/>
    <col min="3" max="3" width="4.375" bestFit="1" customWidth="1"/>
    <col min="4" max="4" width="4.375" customWidth="1"/>
    <col min="5" max="6" width="11.125" bestFit="1" customWidth="1"/>
    <col min="7" max="7" width="8.375" customWidth="1"/>
    <col min="8" max="8" width="37.5" bestFit="1" customWidth="1"/>
    <col min="9" max="9" width="9.125" bestFit="1" customWidth="1"/>
    <col min="10" max="10" width="4.5" customWidth="1"/>
    <col min="11" max="13" width="15.75" customWidth="1"/>
  </cols>
  <sheetData>
    <row r="1" spans="1:13" ht="18" customHeight="1">
      <c r="A1" s="60"/>
      <c r="B1" s="60"/>
      <c r="C1" s="60"/>
      <c r="D1" s="60"/>
      <c r="E1" s="60"/>
      <c r="F1" s="60"/>
      <c r="G1" s="11"/>
      <c r="H1" s="60"/>
      <c r="I1" s="60"/>
      <c r="K1" s="60"/>
      <c r="L1" s="60"/>
      <c r="M1" s="60"/>
    </row>
    <row r="2" spans="1:13" ht="18" customHeight="1">
      <c r="A2" s="61"/>
      <c r="B2" s="61"/>
      <c r="C2" s="61"/>
      <c r="D2" s="61"/>
      <c r="E2" s="61"/>
      <c r="F2" s="61"/>
      <c r="G2" s="61"/>
      <c r="H2" s="61"/>
      <c r="I2" s="61"/>
      <c r="J2" s="61"/>
      <c r="K2" s="61"/>
      <c r="L2" s="61"/>
      <c r="M2" s="61"/>
    </row>
    <row r="3" spans="1:13" ht="18" customHeight="1">
      <c r="A3" s="10"/>
      <c r="B3" s="15"/>
      <c r="C3" s="29"/>
      <c r="D3" s="29"/>
      <c r="E3" s="3"/>
      <c r="F3" s="11"/>
      <c r="G3" s="11"/>
      <c r="H3" s="15"/>
    </row>
    <row r="4" spans="1:13" ht="18" customHeight="1">
      <c r="A4" s="10"/>
      <c r="B4" s="15"/>
      <c r="C4" s="29"/>
      <c r="D4" s="29"/>
      <c r="E4" s="3"/>
      <c r="F4" s="11"/>
      <c r="G4" s="11"/>
      <c r="H4" s="15"/>
    </row>
    <row r="5" spans="1:13" ht="18" customHeight="1">
      <c r="A5" s="10"/>
      <c r="B5" s="15"/>
      <c r="C5" s="29"/>
      <c r="D5" s="29"/>
      <c r="E5" s="3"/>
      <c r="F5" s="11"/>
      <c r="G5" s="11"/>
      <c r="H5" s="15"/>
    </row>
    <row r="6" spans="1:13" ht="18" customHeight="1">
      <c r="A6" s="10"/>
      <c r="B6" s="15"/>
      <c r="C6" s="29"/>
      <c r="D6" s="29"/>
      <c r="E6" s="3"/>
      <c r="F6" s="11"/>
      <c r="G6" s="11"/>
      <c r="H6" s="15"/>
    </row>
    <row r="7" spans="1:13" ht="18" customHeight="1">
      <c r="A7" s="10"/>
      <c r="B7" s="15"/>
      <c r="C7" s="29"/>
      <c r="D7" s="29"/>
      <c r="E7" s="3"/>
      <c r="F7" s="11"/>
      <c r="G7" s="11"/>
      <c r="H7" s="15"/>
    </row>
    <row r="8" spans="1:13" ht="18" customHeight="1">
      <c r="A8" s="10"/>
      <c r="B8" s="15"/>
      <c r="C8" s="29"/>
      <c r="D8" s="29"/>
      <c r="E8" s="3"/>
      <c r="F8" s="11"/>
      <c r="G8" s="11"/>
      <c r="H8" s="15"/>
    </row>
    <row r="9" spans="1:13" ht="18" customHeight="1">
      <c r="A9" s="10"/>
      <c r="B9" s="15"/>
      <c r="C9" s="29"/>
      <c r="D9" s="29"/>
      <c r="E9" s="3"/>
      <c r="F9" s="11"/>
      <c r="G9" s="11"/>
      <c r="H9" s="15"/>
    </row>
    <row r="10" spans="1:13" ht="18" customHeight="1">
      <c r="A10" s="10"/>
      <c r="B10" s="15"/>
      <c r="C10" s="29"/>
      <c r="D10" s="29"/>
      <c r="E10" s="3"/>
      <c r="F10" s="11"/>
      <c r="G10" s="11"/>
      <c r="H10" s="15"/>
    </row>
    <row r="11" spans="1:13" ht="18" customHeight="1">
      <c r="A11" s="61"/>
      <c r="B11" s="61"/>
      <c r="C11" s="61"/>
      <c r="D11" s="61"/>
      <c r="E11" s="61"/>
      <c r="F11" s="61"/>
      <c r="G11" s="61"/>
      <c r="H11" s="61"/>
      <c r="I11" s="61"/>
      <c r="J11" s="61"/>
      <c r="K11" s="61"/>
      <c r="L11" s="61"/>
      <c r="M11" s="61"/>
    </row>
    <row r="12" spans="1:13" ht="18" customHeight="1">
      <c r="A12" s="10"/>
      <c r="B12" s="15"/>
      <c r="C12" s="29"/>
      <c r="D12" s="29"/>
      <c r="E12" s="3"/>
      <c r="F12" s="11"/>
      <c r="G12" s="11"/>
      <c r="H12" s="15"/>
    </row>
    <row r="13" spans="1:13" ht="18" customHeight="1">
      <c r="A13" s="10"/>
      <c r="B13" s="15"/>
      <c r="C13" s="29"/>
      <c r="D13" s="29"/>
      <c r="E13" s="3"/>
      <c r="F13" s="11"/>
      <c r="G13" s="11"/>
      <c r="H13" s="15"/>
    </row>
    <row r="14" spans="1:13" ht="18" customHeight="1">
      <c r="A14" s="10"/>
      <c r="B14" s="15"/>
      <c r="C14" s="29"/>
      <c r="D14" s="29"/>
      <c r="E14" s="3"/>
      <c r="F14" s="11"/>
      <c r="G14" s="11"/>
      <c r="H14" s="15"/>
    </row>
    <row r="15" spans="1:13" ht="18" customHeight="1">
      <c r="A15" s="10"/>
      <c r="B15" s="15"/>
      <c r="C15" s="29"/>
      <c r="D15" s="29"/>
      <c r="E15" s="3"/>
      <c r="F15" s="11"/>
      <c r="G15" s="11"/>
      <c r="H15" s="15"/>
    </row>
    <row r="16" spans="1:13" ht="18" customHeight="1">
      <c r="A16" s="10"/>
      <c r="B16" s="15"/>
      <c r="C16" s="29"/>
      <c r="D16" s="29"/>
      <c r="E16" s="3"/>
      <c r="F16" s="11"/>
      <c r="G16" s="11"/>
      <c r="H16" s="15"/>
    </row>
    <row r="17" spans="1:13" ht="18" customHeight="1">
      <c r="A17" s="10"/>
      <c r="B17" s="15"/>
      <c r="C17" s="29"/>
      <c r="D17" s="29"/>
      <c r="E17" s="3"/>
      <c r="F17" s="11"/>
      <c r="G17" s="11"/>
      <c r="H17" s="15"/>
    </row>
    <row r="18" spans="1:13" ht="18" customHeight="1">
      <c r="A18" s="59"/>
      <c r="B18" s="59"/>
      <c r="C18" s="59"/>
      <c r="D18" s="59"/>
      <c r="E18" s="59"/>
      <c r="F18" s="59"/>
      <c r="G18" s="59"/>
      <c r="H18" s="59"/>
      <c r="I18" s="59"/>
      <c r="J18" s="59"/>
      <c r="K18" s="59"/>
      <c r="L18" s="59"/>
      <c r="M18" s="59"/>
    </row>
    <row r="19" spans="1:13" ht="18" customHeight="1">
      <c r="A19" s="10"/>
      <c r="B19" s="10"/>
      <c r="C19" s="29"/>
      <c r="D19" s="29"/>
      <c r="E19" s="3"/>
      <c r="F19" s="11"/>
      <c r="G19" s="11"/>
      <c r="K19" s="17"/>
    </row>
    <row r="20" spans="1:13" ht="18" customHeight="1">
      <c r="A20" s="10"/>
      <c r="B20" s="10"/>
      <c r="C20" s="29"/>
      <c r="D20" s="29"/>
      <c r="E20" s="3"/>
      <c r="F20" s="11"/>
      <c r="G20" s="11"/>
      <c r="K20" s="17"/>
    </row>
    <row r="21" spans="1:13" ht="18" customHeight="1">
      <c r="A21" s="10"/>
      <c r="B21" s="10"/>
      <c r="C21" s="29"/>
      <c r="D21" s="29"/>
      <c r="E21" s="3"/>
      <c r="F21" s="11"/>
      <c r="G21" s="11"/>
      <c r="K21" s="17"/>
    </row>
    <row r="22" spans="1:13" ht="18" customHeight="1">
      <c r="A22" s="10"/>
      <c r="B22" s="10"/>
      <c r="C22" s="29"/>
      <c r="D22" s="29"/>
      <c r="E22" s="3"/>
      <c r="F22" s="11"/>
      <c r="G22" s="11"/>
      <c r="K22" s="17"/>
    </row>
    <row r="23" spans="1:13" ht="18" customHeight="1">
      <c r="A23" s="10"/>
      <c r="B23" s="10"/>
      <c r="C23" s="29"/>
      <c r="D23" s="29"/>
      <c r="E23" s="3"/>
      <c r="F23" s="11"/>
      <c r="G23" s="11"/>
    </row>
    <row r="24" spans="1:13" ht="18" customHeight="1">
      <c r="A24" s="10"/>
      <c r="B24" s="10"/>
      <c r="C24" s="29"/>
      <c r="D24" s="29"/>
      <c r="E24" s="3"/>
      <c r="F24" s="11"/>
      <c r="G24" s="11"/>
    </row>
    <row r="25" spans="1:13" ht="18" customHeight="1">
      <c r="A25" s="18"/>
      <c r="B25" s="10"/>
      <c r="C25" s="29"/>
      <c r="D25" s="29"/>
      <c r="E25" s="3"/>
      <c r="F25" s="11"/>
      <c r="G25" s="11"/>
    </row>
    <row r="26" spans="1:13" ht="18" customHeight="1">
      <c r="A26" s="10"/>
      <c r="B26" s="15"/>
      <c r="C26" s="29"/>
      <c r="D26" s="29"/>
      <c r="E26" s="3"/>
      <c r="G26" s="11"/>
    </row>
    <row r="27" spans="1:13" ht="18" customHeight="1">
      <c r="A27" s="59"/>
      <c r="B27" s="59"/>
      <c r="C27" s="59"/>
      <c r="D27" s="59"/>
      <c r="E27" s="59"/>
      <c r="F27" s="59"/>
      <c r="G27" s="59"/>
      <c r="H27" s="59"/>
      <c r="I27" s="59"/>
      <c r="J27" s="59"/>
      <c r="K27" s="59"/>
      <c r="L27" s="59"/>
      <c r="M27" s="59"/>
    </row>
    <row r="28" spans="1:13" ht="18" customHeight="1">
      <c r="A28" s="10"/>
      <c r="B28" s="10"/>
      <c r="C28" s="29"/>
      <c r="D28" s="29"/>
      <c r="E28" s="3"/>
      <c r="F28" s="11"/>
    </row>
    <row r="29" spans="1:13" ht="18" customHeight="1">
      <c r="A29" s="10"/>
      <c r="B29" s="10"/>
      <c r="C29" s="29"/>
      <c r="D29" s="29"/>
      <c r="E29" s="3"/>
      <c r="F29" s="11"/>
      <c r="H29" s="15"/>
    </row>
    <row r="30" spans="1:13" ht="18" customHeight="1">
      <c r="A30" s="10"/>
      <c r="B30" s="10"/>
      <c r="C30" s="29"/>
      <c r="D30" s="29"/>
      <c r="E30" s="3"/>
      <c r="F30" s="11"/>
      <c r="H30" s="15"/>
    </row>
    <row r="31" spans="1:13" ht="18" customHeight="1">
      <c r="A31" s="10"/>
      <c r="B31" s="10"/>
      <c r="C31" s="29"/>
      <c r="D31" s="29"/>
      <c r="E31" s="3"/>
      <c r="F31" s="11"/>
    </row>
    <row r="32" spans="1:13" ht="18" customHeight="1">
      <c r="A32" s="59"/>
      <c r="B32" s="59"/>
      <c r="C32" s="59"/>
      <c r="D32" s="59"/>
      <c r="E32" s="59"/>
      <c r="F32" s="59"/>
      <c r="G32" s="59"/>
      <c r="H32" s="59"/>
      <c r="I32" s="59"/>
      <c r="J32" s="59"/>
      <c r="K32" s="59"/>
      <c r="L32" s="59"/>
      <c r="M32" s="59"/>
    </row>
    <row r="33" spans="1:13" ht="18" customHeight="1">
      <c r="A33" s="10"/>
      <c r="B33" s="10"/>
      <c r="C33" s="29"/>
      <c r="D33" s="29"/>
      <c r="E33" s="3"/>
      <c r="F33" s="11"/>
      <c r="K33" s="17"/>
    </row>
    <row r="34" spans="1:13" ht="18" customHeight="1">
      <c r="A34" s="10"/>
      <c r="B34" s="10"/>
      <c r="C34" s="29"/>
      <c r="D34" s="29"/>
      <c r="E34" s="3"/>
      <c r="F34" s="11"/>
      <c r="K34" s="17"/>
    </row>
    <row r="35" spans="1:13" ht="18" customHeight="1">
      <c r="A35" s="10"/>
      <c r="B35" s="10"/>
      <c r="C35" s="29"/>
      <c r="D35" s="29"/>
      <c r="E35" s="3"/>
      <c r="F35" s="11"/>
      <c r="K35" s="17"/>
    </row>
    <row r="36" spans="1:13" ht="18" customHeight="1">
      <c r="A36" s="10"/>
      <c r="B36" s="10"/>
      <c r="C36" s="29"/>
      <c r="D36" s="29"/>
      <c r="E36" s="3"/>
      <c r="F36" s="11"/>
      <c r="K36" s="17"/>
    </row>
    <row r="37" spans="1:13" ht="18" customHeight="1">
      <c r="A37" s="10"/>
      <c r="B37" s="10"/>
      <c r="C37" s="29"/>
      <c r="D37" s="29"/>
      <c r="E37" s="3"/>
      <c r="F37" s="11"/>
      <c r="K37" s="17"/>
    </row>
    <row r="38" spans="1:13" ht="18" customHeight="1">
      <c r="A38" s="10"/>
      <c r="B38" s="10"/>
      <c r="C38" s="29"/>
      <c r="D38" s="29"/>
      <c r="E38" s="3"/>
      <c r="F38" s="11"/>
      <c r="K38" s="17"/>
    </row>
    <row r="39" spans="1:13" ht="18" customHeight="1">
      <c r="A39" s="10"/>
      <c r="B39" s="10"/>
      <c r="C39" s="29"/>
      <c r="D39" s="29"/>
      <c r="E39" s="3"/>
      <c r="F39" s="11"/>
      <c r="K39" s="17"/>
    </row>
    <row r="40" spans="1:13" ht="18" customHeight="1">
      <c r="A40" s="10"/>
      <c r="B40" s="10"/>
      <c r="C40" s="29"/>
      <c r="D40" s="29"/>
      <c r="E40" s="3"/>
      <c r="F40" s="11"/>
      <c r="K40" s="17"/>
    </row>
    <row r="41" spans="1:13" ht="18" customHeight="1">
      <c r="A41" s="10"/>
      <c r="B41" s="10"/>
      <c r="C41" s="29"/>
      <c r="D41" s="29"/>
      <c r="E41" s="3"/>
      <c r="F41" s="11"/>
      <c r="K41" s="17"/>
    </row>
    <row r="42" spans="1:13" ht="18" customHeight="1">
      <c r="B42" s="15"/>
      <c r="C42" s="29"/>
      <c r="D42" s="29"/>
    </row>
    <row r="43" spans="1:13" ht="18" customHeight="1">
      <c r="A43" s="59"/>
      <c r="B43" s="59"/>
      <c r="C43" s="59"/>
      <c r="D43" s="59"/>
      <c r="E43" s="59"/>
      <c r="F43" s="59"/>
      <c r="G43" s="59"/>
      <c r="H43" s="59"/>
      <c r="I43" s="59"/>
      <c r="J43" s="59"/>
      <c r="K43" s="59"/>
      <c r="L43" s="59"/>
      <c r="M43" s="59"/>
    </row>
    <row r="44" spans="1:13" ht="18" customHeight="1">
      <c r="A44" s="10"/>
      <c r="B44" s="10"/>
      <c r="C44" s="29"/>
      <c r="D44" s="29"/>
      <c r="E44" s="3"/>
      <c r="F44" s="11"/>
    </row>
    <row r="45" spans="1:13" ht="18" customHeight="1">
      <c r="A45" s="10"/>
      <c r="B45" s="10"/>
      <c r="C45" s="29"/>
      <c r="D45" s="29"/>
      <c r="E45" s="3"/>
      <c r="F45" s="11"/>
    </row>
    <row r="46" spans="1:13" ht="18" customHeight="1">
      <c r="A46" s="10"/>
      <c r="B46" s="10"/>
      <c r="C46" s="29"/>
      <c r="D46" s="29"/>
      <c r="E46" s="3"/>
      <c r="F46" s="11"/>
    </row>
    <row r="47" spans="1:13" ht="18" customHeight="1">
      <c r="A47" s="10"/>
      <c r="B47" s="10"/>
      <c r="C47" s="29"/>
      <c r="D47" s="29"/>
      <c r="E47" s="3"/>
      <c r="F47" s="11"/>
    </row>
    <row r="48" spans="1:13" ht="18" customHeight="1">
      <c r="A48" s="10"/>
      <c r="B48" s="10"/>
      <c r="C48" s="29"/>
      <c r="D48" s="29"/>
      <c r="E48" s="3"/>
      <c r="F48" s="11"/>
    </row>
    <row r="49" spans="1:13" ht="18" customHeight="1">
      <c r="A49" s="10"/>
      <c r="B49" s="10"/>
      <c r="C49" s="29"/>
      <c r="D49" s="29"/>
      <c r="E49" s="3"/>
      <c r="F49" s="11"/>
    </row>
    <row r="50" spans="1:13" ht="18" customHeight="1">
      <c r="A50" s="10"/>
      <c r="B50" s="10"/>
      <c r="C50" s="29"/>
      <c r="D50" s="29"/>
      <c r="E50" s="3"/>
      <c r="F50" s="11"/>
    </row>
    <row r="51" spans="1:13" ht="18" customHeight="1">
      <c r="A51" s="59"/>
      <c r="B51" s="59"/>
      <c r="C51" s="59"/>
      <c r="D51" s="59"/>
      <c r="E51" s="59"/>
      <c r="F51" s="59"/>
      <c r="G51" s="59"/>
      <c r="H51" s="59"/>
      <c r="I51" s="59"/>
      <c r="J51" s="59"/>
      <c r="K51" s="59"/>
      <c r="L51" s="59"/>
      <c r="M51" s="59"/>
    </row>
    <row r="52" spans="1:13" ht="18" customHeight="1">
      <c r="A52" s="10"/>
      <c r="B52" s="10"/>
      <c r="C52" s="29"/>
      <c r="D52" s="29"/>
      <c r="E52" s="3"/>
      <c r="F52" s="11"/>
    </row>
    <row r="53" spans="1:13" ht="18" customHeight="1">
      <c r="A53" s="10"/>
      <c r="B53" s="10"/>
      <c r="C53" s="29"/>
      <c r="D53" s="29"/>
      <c r="E53" s="3"/>
      <c r="F53" s="11"/>
    </row>
    <row r="54" spans="1:13" ht="18" customHeight="1">
      <c r="A54" s="10"/>
      <c r="B54" s="10"/>
      <c r="C54" s="29"/>
      <c r="D54" s="29"/>
      <c r="E54" s="3"/>
      <c r="F54" s="11"/>
    </row>
    <row r="55" spans="1:13" ht="18" customHeight="1">
      <c r="A55" s="10"/>
      <c r="B55" s="10"/>
      <c r="C55" s="29"/>
      <c r="D55" s="29"/>
      <c r="E55" s="3"/>
      <c r="F55" s="11"/>
    </row>
    <row r="56" spans="1:13" ht="18" customHeight="1">
      <c r="A56" s="10"/>
      <c r="B56" s="10"/>
      <c r="C56" s="29"/>
      <c r="D56" s="29"/>
      <c r="E56" s="3"/>
      <c r="F56" s="11"/>
    </row>
    <row r="57" spans="1:13" ht="18" customHeight="1">
      <c r="A57" s="10"/>
      <c r="B57" s="10"/>
      <c r="C57" s="29"/>
      <c r="D57" s="29"/>
      <c r="E57" s="3"/>
      <c r="F57" s="11"/>
    </row>
    <row r="58" spans="1:13" ht="18" customHeight="1">
      <c r="A58" s="10"/>
      <c r="B58" s="10"/>
      <c r="C58" s="29"/>
      <c r="D58" s="29"/>
      <c r="E58" s="3"/>
      <c r="F58" s="11"/>
    </row>
    <row r="59" spans="1:13" ht="18" customHeight="1">
      <c r="B59" s="15"/>
      <c r="C59" s="29"/>
      <c r="D59" s="29"/>
    </row>
    <row r="60" spans="1:13" ht="18" customHeight="1">
      <c r="A60" s="59"/>
      <c r="B60" s="59"/>
      <c r="C60" s="59"/>
      <c r="D60" s="59"/>
      <c r="E60" s="59"/>
      <c r="F60" s="59"/>
      <c r="G60" s="59"/>
      <c r="H60" s="59"/>
      <c r="I60" s="59"/>
      <c r="J60" s="59"/>
      <c r="K60" s="59"/>
      <c r="L60" s="59"/>
      <c r="M60" s="59"/>
    </row>
    <row r="61" spans="1:13" ht="18" customHeight="1">
      <c r="A61" s="10"/>
      <c r="B61" s="10"/>
      <c r="C61" s="29"/>
      <c r="D61" s="29"/>
      <c r="E61" s="3"/>
      <c r="F61" s="11"/>
    </row>
    <row r="62" spans="1:13" ht="18" customHeight="1">
      <c r="A62" s="10"/>
      <c r="B62" s="10"/>
      <c r="C62" s="29"/>
      <c r="D62" s="29"/>
      <c r="E62" s="3"/>
      <c r="F62" s="11"/>
    </row>
    <row r="63" spans="1:13" ht="18" customHeight="1">
      <c r="A63" s="10"/>
      <c r="B63" s="10"/>
      <c r="C63" s="29"/>
      <c r="D63" s="29"/>
      <c r="E63" s="3"/>
      <c r="F63" s="11"/>
    </row>
    <row r="64" spans="1:13" ht="18" customHeight="1">
      <c r="A64" s="10"/>
      <c r="B64" s="10"/>
      <c r="C64" s="29"/>
      <c r="D64" s="29"/>
      <c r="E64" s="3"/>
      <c r="F64" s="11"/>
    </row>
    <row r="65" spans="1:6" ht="18" customHeight="1">
      <c r="A65" s="10"/>
      <c r="B65" s="10"/>
      <c r="C65" s="29"/>
      <c r="D65" s="29"/>
      <c r="E65" s="3"/>
      <c r="F65" s="11"/>
    </row>
    <row r="66" spans="1:6" ht="18" customHeight="1">
      <c r="A66" s="10"/>
      <c r="B66" s="10"/>
      <c r="C66" s="29"/>
      <c r="D66" s="29"/>
      <c r="E66" s="3"/>
      <c r="F66" s="11"/>
    </row>
    <row r="67" spans="1:6" ht="18" customHeight="1">
      <c r="A67" s="10"/>
      <c r="B67" s="10"/>
      <c r="C67" s="29"/>
      <c r="D67" s="29"/>
      <c r="E67" s="3"/>
      <c r="F67" s="11"/>
    </row>
    <row r="68" spans="1:6" ht="18" customHeight="1">
      <c r="A68" s="10"/>
      <c r="B68" s="10"/>
      <c r="C68" s="29"/>
      <c r="D68" s="29"/>
      <c r="E68" s="3"/>
      <c r="F68" s="11"/>
    </row>
    <row r="69" spans="1:6" ht="18" customHeight="1">
      <c r="A69" s="10"/>
      <c r="B69" s="10"/>
      <c r="C69" s="29"/>
      <c r="D69" s="29"/>
      <c r="E69" s="3"/>
      <c r="F69" s="11"/>
    </row>
    <row r="70" spans="1:6" ht="18" customHeight="1">
      <c r="B70" s="10"/>
      <c r="C70" s="10"/>
      <c r="D70" s="10"/>
    </row>
    <row r="71" spans="1:6" ht="18" customHeight="1">
      <c r="B71" s="10"/>
      <c r="C71" s="10"/>
      <c r="D71" s="10"/>
    </row>
    <row r="72" spans="1:6" ht="18" customHeight="1">
      <c r="B72" s="10"/>
      <c r="C72" s="10"/>
      <c r="D72" s="10"/>
    </row>
    <row r="73" spans="1:6" ht="18" customHeight="1">
      <c r="B73" s="10"/>
      <c r="C73" s="10"/>
      <c r="D73" s="10"/>
    </row>
    <row r="74" spans="1:6" ht="18" customHeight="1">
      <c r="B74" s="10"/>
      <c r="C74" s="10"/>
      <c r="D74" s="10"/>
    </row>
    <row r="75" spans="1:6" ht="18" customHeight="1">
      <c r="B75" s="10"/>
      <c r="C75" s="10"/>
      <c r="D75" s="10"/>
    </row>
    <row r="76" spans="1:6" ht="18" customHeight="1">
      <c r="B76" s="10"/>
      <c r="C76" s="10"/>
      <c r="D76" s="10"/>
    </row>
    <row r="77" spans="1:6" ht="18" customHeight="1">
      <c r="B77" s="10"/>
      <c r="C77" s="10"/>
      <c r="D77" s="10"/>
    </row>
    <row r="78" spans="1:6" ht="18" customHeight="1">
      <c r="B78" s="10"/>
      <c r="C78" s="10"/>
      <c r="D78" s="10"/>
    </row>
    <row r="79" spans="1:6" ht="18" customHeight="1">
      <c r="B79" s="10"/>
      <c r="C79" s="10"/>
      <c r="D79" s="10"/>
    </row>
    <row r="80" spans="1:6" ht="18" customHeight="1">
      <c r="B80" s="10"/>
      <c r="C80" s="10"/>
      <c r="D80" s="10"/>
    </row>
    <row r="81" spans="2:4" ht="18" customHeight="1">
      <c r="B81" s="10"/>
      <c r="C81" s="10"/>
      <c r="D81" s="10"/>
    </row>
    <row r="82" spans="2:4" ht="18" customHeight="1">
      <c r="B82" s="10"/>
      <c r="C82" s="10"/>
      <c r="D82" s="10"/>
    </row>
    <row r="83" spans="2:4" ht="18" customHeight="1">
      <c r="B83" s="10"/>
      <c r="C83" s="10"/>
      <c r="D83" s="10"/>
    </row>
    <row r="84" spans="2:4" ht="18" customHeight="1">
      <c r="B84" s="10"/>
      <c r="C84" s="10"/>
      <c r="D84" s="10"/>
    </row>
    <row r="85" spans="2:4" ht="18" customHeight="1">
      <c r="B85" s="10"/>
      <c r="C85" s="10"/>
      <c r="D85" s="10"/>
    </row>
    <row r="86" spans="2:4" ht="18" customHeight="1">
      <c r="B86" s="10"/>
      <c r="C86" s="10"/>
      <c r="D86" s="10"/>
    </row>
    <row r="87" spans="2:4" ht="18" customHeight="1">
      <c r="B87" s="10"/>
      <c r="C87" s="10"/>
      <c r="D87" s="10"/>
    </row>
    <row r="88" spans="2:4" ht="18" customHeight="1">
      <c r="B88" s="10"/>
      <c r="C88" s="10"/>
      <c r="D88" s="10"/>
    </row>
    <row r="89" spans="2:4" ht="18" customHeight="1">
      <c r="B89" s="10"/>
      <c r="C89" s="10"/>
      <c r="D89" s="10"/>
    </row>
    <row r="90" spans="2:4" ht="18" customHeight="1">
      <c r="B90" s="10"/>
      <c r="C90" s="10"/>
      <c r="D90" s="10"/>
    </row>
    <row r="91" spans="2:4" ht="18" customHeight="1">
      <c r="B91" s="10"/>
      <c r="C91" s="10"/>
      <c r="D91" s="10"/>
    </row>
    <row r="92" spans="2:4" ht="18" customHeight="1">
      <c r="B92" s="10"/>
      <c r="C92" s="10"/>
      <c r="D92" s="10"/>
    </row>
    <row r="93" spans="2:4" ht="18" customHeight="1">
      <c r="B93" s="10"/>
      <c r="C93" s="10"/>
      <c r="D93" s="10"/>
    </row>
    <row r="94" spans="2:4" ht="18" customHeight="1">
      <c r="B94" s="10"/>
      <c r="C94" s="10"/>
      <c r="D94" s="10"/>
    </row>
    <row r="95" spans="2:4" ht="18" customHeight="1">
      <c r="B95" s="10"/>
      <c r="C95" s="10"/>
      <c r="D95" s="10"/>
    </row>
    <row r="96" spans="2:4" ht="18" customHeight="1">
      <c r="B96" s="10"/>
      <c r="C96" s="10"/>
      <c r="D96" s="10"/>
    </row>
    <row r="97" spans="2:4" ht="18" customHeight="1">
      <c r="B97" s="10"/>
      <c r="C97" s="10"/>
      <c r="D97" s="10"/>
    </row>
    <row r="98" spans="2:4" ht="18" customHeight="1">
      <c r="B98" s="10"/>
      <c r="C98" s="10"/>
      <c r="D98" s="10"/>
    </row>
    <row r="99" spans="2:4" ht="18" customHeight="1">
      <c r="B99" s="10"/>
      <c r="C99" s="10"/>
      <c r="D99" s="10"/>
    </row>
    <row r="100" spans="2:4" ht="18" customHeight="1">
      <c r="B100" s="10"/>
      <c r="C100" s="10"/>
      <c r="D100" s="10"/>
    </row>
    <row r="101" spans="2:4" ht="18" customHeight="1">
      <c r="B101" s="10"/>
      <c r="C101" s="10"/>
      <c r="D101" s="10"/>
    </row>
    <row r="102" spans="2:4" ht="18" customHeight="1">
      <c r="B102" s="10"/>
      <c r="C102" s="10"/>
      <c r="D102" s="10"/>
    </row>
    <row r="103" spans="2:4" ht="18" customHeight="1">
      <c r="B103" s="10"/>
      <c r="C103" s="10"/>
      <c r="D103" s="10"/>
    </row>
    <row r="104" spans="2:4" ht="18" customHeight="1">
      <c r="B104" s="10"/>
      <c r="C104" s="10"/>
      <c r="D104" s="10"/>
    </row>
    <row r="105" spans="2:4" ht="18" customHeight="1">
      <c r="B105" s="10"/>
      <c r="C105" s="10"/>
      <c r="D105" s="10"/>
    </row>
    <row r="106" spans="2:4" ht="18" customHeight="1">
      <c r="B106" s="10"/>
      <c r="C106" s="10"/>
      <c r="D106" s="10"/>
    </row>
    <row r="107" spans="2:4" ht="18" customHeight="1">
      <c r="B107" s="10"/>
      <c r="C107" s="10"/>
      <c r="D107" s="10"/>
    </row>
    <row r="108" spans="2:4" ht="18" customHeight="1">
      <c r="B108" s="10"/>
      <c r="C108" s="10"/>
      <c r="D108" s="10"/>
    </row>
    <row r="109" spans="2:4" ht="18" customHeight="1">
      <c r="B109" s="10"/>
      <c r="C109" s="10"/>
      <c r="D109" s="10"/>
    </row>
    <row r="110" spans="2:4" ht="18" customHeight="1">
      <c r="B110" s="10"/>
      <c r="C110" s="10"/>
      <c r="D110" s="10"/>
    </row>
    <row r="111" spans="2:4" ht="18" customHeight="1">
      <c r="B111" s="10"/>
      <c r="C111" s="10"/>
      <c r="D111" s="10"/>
    </row>
    <row r="112" spans="2:4" ht="18" customHeight="1">
      <c r="B112" s="10"/>
      <c r="C112" s="10"/>
      <c r="D112" s="10"/>
    </row>
    <row r="113" spans="2:4" ht="18" customHeight="1">
      <c r="B113" s="10"/>
      <c r="C113" s="10"/>
      <c r="D113" s="10"/>
    </row>
    <row r="114" spans="2:4" ht="18" customHeight="1">
      <c r="B114" s="10"/>
      <c r="C114" s="10"/>
      <c r="D114" s="10"/>
    </row>
    <row r="115" spans="2:4" ht="18" customHeight="1">
      <c r="B115" s="10"/>
      <c r="C115" s="10"/>
      <c r="D115" s="10"/>
    </row>
    <row r="116" spans="2:4" ht="18" customHeight="1">
      <c r="B116" s="10"/>
      <c r="C116" s="10"/>
      <c r="D116" s="10"/>
    </row>
    <row r="117" spans="2:4" ht="18" customHeight="1">
      <c r="B117" s="10"/>
      <c r="C117" s="10"/>
      <c r="D117" s="10"/>
    </row>
    <row r="118" spans="2:4" ht="18" customHeight="1">
      <c r="B118" s="10"/>
      <c r="C118" s="10"/>
      <c r="D118" s="10"/>
    </row>
    <row r="119" spans="2:4" ht="18" customHeight="1">
      <c r="B119" s="10"/>
      <c r="C119" s="10"/>
      <c r="D119" s="10"/>
    </row>
    <row r="120" spans="2:4" ht="18" customHeight="1">
      <c r="B120" s="10"/>
      <c r="C120" s="10"/>
      <c r="D120" s="10"/>
    </row>
    <row r="121" spans="2:4" ht="18" customHeight="1">
      <c r="B121" s="10"/>
      <c r="C121" s="10"/>
      <c r="D121" s="10"/>
    </row>
    <row r="122" spans="2:4" ht="18" customHeight="1">
      <c r="B122" s="10"/>
      <c r="C122" s="10"/>
      <c r="D122" s="10"/>
    </row>
    <row r="123" spans="2:4" ht="18" customHeight="1">
      <c r="B123" s="10"/>
      <c r="C123" s="10"/>
      <c r="D123" s="10"/>
    </row>
    <row r="124" spans="2:4" ht="18" customHeight="1">
      <c r="B124" s="10"/>
      <c r="C124" s="10"/>
      <c r="D124" s="10"/>
    </row>
    <row r="125" spans="2:4" ht="18" customHeight="1">
      <c r="B125" s="10"/>
      <c r="C125" s="10"/>
      <c r="D125" s="10"/>
    </row>
    <row r="126" spans="2:4" ht="18" customHeight="1">
      <c r="B126" s="10"/>
      <c r="C126" s="10"/>
      <c r="D126" s="10"/>
    </row>
    <row r="127" spans="2:4" ht="18" customHeight="1">
      <c r="B127" s="10"/>
      <c r="C127" s="10"/>
      <c r="D127" s="10"/>
    </row>
    <row r="128" spans="2:4" ht="18" customHeight="1">
      <c r="B128" s="10"/>
      <c r="C128" s="10"/>
      <c r="D128" s="10"/>
    </row>
    <row r="129" spans="2:4" ht="18" customHeight="1">
      <c r="B129" s="10"/>
      <c r="C129" s="10"/>
      <c r="D129" s="10"/>
    </row>
    <row r="130" spans="2:4" ht="18" customHeight="1">
      <c r="B130" s="10"/>
      <c r="C130" s="10"/>
      <c r="D130" s="10"/>
    </row>
    <row r="131" spans="2:4" ht="18" customHeight="1">
      <c r="B131" s="10"/>
      <c r="C131" s="10"/>
      <c r="D131" s="10"/>
    </row>
    <row r="132" spans="2:4" ht="18" customHeight="1">
      <c r="B132" s="10"/>
      <c r="C132" s="10"/>
      <c r="D132" s="10"/>
    </row>
    <row r="133" spans="2:4" ht="18" customHeight="1">
      <c r="B133" s="10"/>
      <c r="C133" s="10"/>
      <c r="D133" s="10"/>
    </row>
    <row r="134" spans="2:4" ht="18" customHeight="1">
      <c r="B134" s="10"/>
      <c r="C134" s="10"/>
      <c r="D134" s="10"/>
    </row>
    <row r="135" spans="2:4" ht="18" customHeight="1">
      <c r="B135" s="10"/>
      <c r="C135" s="10"/>
      <c r="D135" s="10"/>
    </row>
    <row r="136" spans="2:4" ht="18" customHeight="1">
      <c r="B136" s="10"/>
      <c r="C136" s="10"/>
      <c r="D136" s="10"/>
    </row>
    <row r="137" spans="2:4" ht="18" customHeight="1">
      <c r="B137" s="10"/>
      <c r="C137" s="10"/>
      <c r="D137" s="10"/>
    </row>
    <row r="138" spans="2:4" ht="18" customHeight="1">
      <c r="B138" s="10"/>
      <c r="C138" s="10"/>
      <c r="D138" s="10"/>
    </row>
    <row r="139" spans="2:4" ht="18" customHeight="1">
      <c r="B139" s="10"/>
      <c r="C139" s="10"/>
      <c r="D139" s="10"/>
    </row>
    <row r="140" spans="2:4" ht="18" customHeight="1">
      <c r="B140" s="10"/>
      <c r="C140" s="10"/>
      <c r="D140" s="10"/>
    </row>
    <row r="141" spans="2:4" ht="18" customHeight="1">
      <c r="B141" s="10"/>
      <c r="C141" s="10"/>
      <c r="D141" s="10"/>
    </row>
    <row r="142" spans="2:4" ht="18" customHeight="1">
      <c r="B142" s="10"/>
      <c r="C142" s="10"/>
      <c r="D142" s="10"/>
    </row>
    <row r="143" spans="2:4" ht="18" customHeight="1">
      <c r="B143" s="10"/>
      <c r="C143" s="10"/>
      <c r="D143" s="10"/>
    </row>
    <row r="144" spans="2:4" ht="18" customHeight="1">
      <c r="B144" s="10"/>
      <c r="C144" s="10"/>
      <c r="D144" s="10"/>
    </row>
    <row r="145" spans="2:4" ht="18" customHeight="1">
      <c r="B145" s="10"/>
      <c r="C145" s="10"/>
      <c r="D145" s="10"/>
    </row>
    <row r="146" spans="2:4" ht="18" customHeight="1">
      <c r="B146" s="10"/>
      <c r="C146" s="10"/>
      <c r="D146" s="10"/>
    </row>
    <row r="147" spans="2:4" ht="18" customHeight="1">
      <c r="B147" s="10"/>
      <c r="C147" s="10"/>
      <c r="D147" s="10"/>
    </row>
    <row r="148" spans="2:4" ht="18" customHeight="1">
      <c r="B148" s="10"/>
      <c r="C148" s="10"/>
      <c r="D148" s="10"/>
    </row>
    <row r="149" spans="2:4" ht="18" customHeight="1">
      <c r="B149" s="10"/>
      <c r="C149" s="10"/>
      <c r="D149" s="10"/>
    </row>
    <row r="150" spans="2:4" ht="18" customHeight="1">
      <c r="B150" s="10"/>
      <c r="C150" s="10"/>
      <c r="D150" s="10"/>
    </row>
    <row r="151" spans="2:4" ht="18" customHeight="1">
      <c r="B151" s="10"/>
      <c r="C151" s="10"/>
      <c r="D151" s="10"/>
    </row>
    <row r="152" spans="2:4" ht="18" customHeight="1">
      <c r="B152" s="10"/>
      <c r="C152" s="10"/>
      <c r="D152" s="10"/>
    </row>
    <row r="153" spans="2:4" ht="18" customHeight="1">
      <c r="B153" s="10"/>
      <c r="C153" s="10"/>
      <c r="D153" s="10"/>
    </row>
    <row r="154" spans="2:4" ht="18" customHeight="1">
      <c r="B154" s="10"/>
      <c r="C154" s="10"/>
      <c r="D154" s="10"/>
    </row>
    <row r="155" spans="2:4" ht="18" customHeight="1">
      <c r="B155" s="10"/>
      <c r="C155" s="10"/>
      <c r="D155" s="10"/>
    </row>
    <row r="156" spans="2:4" ht="18" customHeight="1">
      <c r="B156" s="10"/>
      <c r="C156" s="10"/>
      <c r="D156" s="10"/>
    </row>
    <row r="157" spans="2:4" ht="18" customHeight="1">
      <c r="B157" s="10"/>
      <c r="C157" s="10"/>
      <c r="D157" s="10"/>
    </row>
    <row r="158" spans="2:4" ht="18" customHeight="1">
      <c r="B158" s="10"/>
      <c r="C158" s="10"/>
      <c r="D158" s="10"/>
    </row>
    <row r="159" spans="2:4" ht="18" customHeight="1">
      <c r="B159" s="10"/>
      <c r="C159" s="10"/>
      <c r="D159" s="10"/>
    </row>
    <row r="160" spans="2:4" ht="18" customHeight="1">
      <c r="B160" s="10"/>
      <c r="C160" s="10"/>
      <c r="D160" s="10"/>
    </row>
    <row r="161" spans="2:4" ht="18" customHeight="1">
      <c r="B161" s="10"/>
      <c r="C161" s="10"/>
      <c r="D161" s="10"/>
    </row>
    <row r="162" spans="2:4" ht="18" customHeight="1">
      <c r="B162" s="10"/>
      <c r="C162" s="10"/>
      <c r="D162" s="10"/>
    </row>
    <row r="163" spans="2:4" ht="18" customHeight="1">
      <c r="B163" s="10"/>
      <c r="C163" s="10"/>
      <c r="D163" s="10"/>
    </row>
    <row r="164" spans="2:4" ht="18" customHeight="1">
      <c r="B164" s="10"/>
      <c r="C164" s="10"/>
      <c r="D164" s="10"/>
    </row>
    <row r="165" spans="2:4" ht="18" customHeight="1">
      <c r="B165" s="10"/>
      <c r="C165" s="10"/>
      <c r="D165" s="10"/>
    </row>
    <row r="166" spans="2:4" ht="18" customHeight="1">
      <c r="B166" s="10"/>
      <c r="C166" s="10"/>
      <c r="D166" s="10"/>
    </row>
    <row r="167" spans="2:4" ht="18" customHeight="1">
      <c r="B167" s="10"/>
      <c r="C167" s="10"/>
      <c r="D167" s="10"/>
    </row>
    <row r="168" spans="2:4" ht="18" customHeight="1">
      <c r="B168" s="10"/>
      <c r="C168" s="10"/>
      <c r="D168" s="10"/>
    </row>
    <row r="169" spans="2:4" ht="18" customHeight="1">
      <c r="B169" s="10"/>
      <c r="C169" s="10"/>
      <c r="D169" s="10"/>
    </row>
    <row r="170" spans="2:4" ht="18" customHeight="1">
      <c r="B170" s="10"/>
      <c r="C170" s="10"/>
      <c r="D170" s="10"/>
    </row>
    <row r="171" spans="2:4" ht="18" customHeight="1">
      <c r="B171" s="10"/>
      <c r="C171" s="10"/>
      <c r="D171" s="10"/>
    </row>
    <row r="172" spans="2:4" ht="18" customHeight="1">
      <c r="B172" s="10"/>
      <c r="C172" s="10"/>
      <c r="D172" s="10"/>
    </row>
    <row r="173" spans="2:4" ht="18" customHeight="1">
      <c r="B173" s="10"/>
      <c r="C173" s="10"/>
      <c r="D173" s="10"/>
    </row>
    <row r="174" spans="2:4" ht="18" customHeight="1">
      <c r="B174" s="10"/>
      <c r="C174" s="10"/>
      <c r="D174" s="10"/>
    </row>
    <row r="175" spans="2:4" ht="18" customHeight="1">
      <c r="B175" s="10"/>
      <c r="C175" s="10"/>
      <c r="D175" s="10"/>
    </row>
    <row r="176" spans="2:4" ht="18" customHeight="1">
      <c r="B176" s="10"/>
      <c r="C176" s="10"/>
      <c r="D176" s="10"/>
    </row>
    <row r="177" spans="2:4" ht="18" customHeight="1">
      <c r="B177" s="10"/>
      <c r="C177" s="10"/>
      <c r="D177" s="10"/>
    </row>
    <row r="178" spans="2:4" ht="18" customHeight="1">
      <c r="B178" s="10"/>
      <c r="C178" s="10"/>
      <c r="D178" s="10"/>
    </row>
    <row r="179" spans="2:4" ht="18" customHeight="1">
      <c r="B179" s="10"/>
      <c r="C179" s="10"/>
      <c r="D179" s="10"/>
    </row>
    <row r="180" spans="2:4" ht="18" customHeight="1">
      <c r="B180" s="10"/>
      <c r="C180" s="10"/>
      <c r="D180" s="10"/>
    </row>
    <row r="181" spans="2:4" ht="18" customHeight="1">
      <c r="B181" s="10"/>
      <c r="C181" s="10"/>
      <c r="D181" s="10"/>
    </row>
    <row r="182" spans="2:4" ht="18" customHeight="1">
      <c r="B182" s="10"/>
      <c r="C182" s="10"/>
      <c r="D182" s="10"/>
    </row>
    <row r="183" spans="2:4" ht="18" customHeight="1">
      <c r="B183" s="10"/>
      <c r="C183" s="10"/>
      <c r="D183" s="10"/>
    </row>
    <row r="184" spans="2:4" ht="18" customHeight="1">
      <c r="B184" s="10"/>
      <c r="C184" s="10"/>
      <c r="D184" s="10"/>
    </row>
    <row r="185" spans="2:4" ht="18" customHeight="1">
      <c r="B185" s="10"/>
      <c r="C185" s="10"/>
      <c r="D185" s="10"/>
    </row>
    <row r="186" spans="2:4" ht="18" customHeight="1">
      <c r="B186" s="10"/>
      <c r="C186" s="10"/>
      <c r="D186" s="10"/>
    </row>
    <row r="187" spans="2:4" ht="18" customHeight="1">
      <c r="B187" s="10"/>
      <c r="C187" s="10"/>
      <c r="D187" s="10"/>
    </row>
    <row r="188" spans="2:4" ht="18" customHeight="1">
      <c r="B188" s="10"/>
      <c r="C188" s="10"/>
      <c r="D188" s="10"/>
    </row>
    <row r="189" spans="2:4" ht="18" customHeight="1">
      <c r="B189" s="10"/>
      <c r="C189" s="10"/>
      <c r="D189" s="10"/>
    </row>
    <row r="190" spans="2:4" ht="18" customHeight="1">
      <c r="B190" s="10"/>
      <c r="C190" s="10"/>
      <c r="D190" s="10"/>
    </row>
    <row r="191" spans="2:4" ht="18" customHeight="1">
      <c r="B191" s="10"/>
      <c r="C191" s="10"/>
      <c r="D191" s="10"/>
    </row>
    <row r="192" spans="2:4" ht="18" customHeight="1">
      <c r="B192" s="10"/>
      <c r="C192" s="10"/>
      <c r="D192" s="10"/>
    </row>
    <row r="193" spans="2:4" ht="18" customHeight="1">
      <c r="B193" s="10"/>
      <c r="C193" s="10"/>
      <c r="D193" s="10"/>
    </row>
    <row r="194" spans="2:4" ht="18" customHeight="1">
      <c r="B194" s="10"/>
      <c r="C194" s="10"/>
      <c r="D194" s="10"/>
    </row>
    <row r="195" spans="2:4" ht="18" customHeight="1">
      <c r="B195" s="10"/>
      <c r="C195" s="10"/>
      <c r="D195" s="10"/>
    </row>
    <row r="196" spans="2:4" ht="18" customHeight="1">
      <c r="B196" s="10"/>
      <c r="C196" s="10"/>
      <c r="D196" s="10"/>
    </row>
    <row r="197" spans="2:4" ht="18" customHeight="1">
      <c r="B197" s="10"/>
      <c r="C197" s="10"/>
      <c r="D197" s="10"/>
    </row>
    <row r="198" spans="2:4" ht="18" customHeight="1">
      <c r="B198" s="10"/>
      <c r="C198" s="10"/>
      <c r="D198" s="10"/>
    </row>
    <row r="199" spans="2:4" ht="18" customHeight="1">
      <c r="B199" s="10"/>
      <c r="C199" s="10"/>
      <c r="D199" s="10"/>
    </row>
    <row r="200" spans="2:4" ht="18" customHeight="1">
      <c r="B200" s="10"/>
      <c r="C200" s="10"/>
      <c r="D200" s="10"/>
    </row>
    <row r="201" spans="2:4" ht="18" customHeight="1">
      <c r="B201" s="10"/>
      <c r="C201" s="10"/>
      <c r="D201" s="10"/>
    </row>
    <row r="202" spans="2:4" ht="18" customHeight="1">
      <c r="B202" s="10"/>
      <c r="C202" s="10"/>
      <c r="D202" s="10"/>
    </row>
    <row r="203" spans="2:4" ht="18" customHeight="1">
      <c r="B203" s="10"/>
      <c r="C203" s="10"/>
      <c r="D203" s="10"/>
    </row>
    <row r="204" spans="2:4" ht="18" customHeight="1">
      <c r="B204" s="10"/>
      <c r="C204" s="10"/>
      <c r="D204" s="10"/>
    </row>
    <row r="205" spans="2:4" ht="18" customHeight="1">
      <c r="B205" s="10"/>
      <c r="C205" s="10"/>
      <c r="D205" s="10"/>
    </row>
    <row r="206" spans="2:4" ht="18" customHeight="1">
      <c r="B206" s="10"/>
      <c r="C206" s="10"/>
      <c r="D206" s="10"/>
    </row>
    <row r="207" spans="2:4" ht="18" customHeight="1">
      <c r="B207" s="10"/>
      <c r="C207" s="10"/>
      <c r="D207" s="10"/>
    </row>
    <row r="208" spans="2:4" ht="18" customHeight="1">
      <c r="B208" s="10"/>
      <c r="C208" s="10"/>
      <c r="D208" s="10"/>
    </row>
    <row r="209" spans="2:4" ht="18" customHeight="1">
      <c r="B209" s="10"/>
      <c r="C209" s="10"/>
      <c r="D209" s="10"/>
    </row>
    <row r="210" spans="2:4" ht="18" customHeight="1">
      <c r="B210" s="10"/>
      <c r="C210" s="10"/>
      <c r="D210" s="10"/>
    </row>
    <row r="211" spans="2:4" ht="18" customHeight="1">
      <c r="B211" s="10"/>
      <c r="C211" s="10"/>
      <c r="D211" s="10"/>
    </row>
    <row r="212" spans="2:4" ht="18" customHeight="1">
      <c r="B212" s="10"/>
      <c r="C212" s="10"/>
      <c r="D212" s="10"/>
    </row>
    <row r="213" spans="2:4" ht="18" customHeight="1">
      <c r="B213" s="10"/>
      <c r="C213" s="10"/>
      <c r="D213" s="10"/>
    </row>
    <row r="214" spans="2:4" ht="18" customHeight="1">
      <c r="B214" s="10"/>
      <c r="C214" s="10"/>
      <c r="D214" s="10"/>
    </row>
    <row r="215" spans="2:4" ht="18" customHeight="1">
      <c r="B215" s="10"/>
      <c r="C215" s="10"/>
      <c r="D215" s="10"/>
    </row>
    <row r="216" spans="2:4" ht="18" customHeight="1">
      <c r="B216" s="10"/>
      <c r="C216" s="10"/>
      <c r="D216" s="10"/>
    </row>
    <row r="217" spans="2:4" ht="18" customHeight="1">
      <c r="B217" s="10"/>
      <c r="C217" s="10"/>
      <c r="D217" s="10"/>
    </row>
    <row r="218" spans="2:4" ht="18" customHeight="1">
      <c r="B218" s="10"/>
      <c r="C218" s="10"/>
      <c r="D218" s="10"/>
    </row>
    <row r="219" spans="2:4" ht="18" customHeight="1">
      <c r="B219" s="10"/>
      <c r="C219" s="10"/>
      <c r="D219" s="10"/>
    </row>
    <row r="220" spans="2:4" ht="18" customHeight="1">
      <c r="B220" s="10"/>
      <c r="C220" s="10"/>
      <c r="D220" s="10"/>
    </row>
    <row r="221" spans="2:4" ht="18" customHeight="1">
      <c r="B221" s="10"/>
      <c r="C221" s="10"/>
      <c r="D221" s="10"/>
    </row>
    <row r="222" spans="2:4" ht="18" customHeight="1">
      <c r="B222" s="10"/>
      <c r="C222" s="10"/>
      <c r="D222" s="10"/>
    </row>
    <row r="223" spans="2:4" ht="18" customHeight="1">
      <c r="B223" s="10"/>
      <c r="C223" s="10"/>
      <c r="D223" s="10"/>
    </row>
    <row r="224" spans="2:4" ht="18" customHeight="1">
      <c r="B224" s="10"/>
      <c r="C224" s="10"/>
      <c r="D224" s="10"/>
    </row>
    <row r="225" spans="2:4" ht="18" customHeight="1">
      <c r="B225" s="10"/>
      <c r="C225" s="10"/>
      <c r="D225" s="10"/>
    </row>
    <row r="226" spans="2:4" ht="18" customHeight="1">
      <c r="B226" s="10"/>
      <c r="C226" s="10"/>
      <c r="D226" s="10"/>
    </row>
    <row r="227" spans="2:4" ht="18" customHeight="1">
      <c r="B227" s="10"/>
      <c r="C227" s="10"/>
      <c r="D227" s="10"/>
    </row>
    <row r="228" spans="2:4" ht="18" customHeight="1">
      <c r="B228" s="10"/>
      <c r="C228" s="10"/>
      <c r="D228" s="10"/>
    </row>
    <row r="229" spans="2:4" ht="18" customHeight="1">
      <c r="B229" s="10"/>
      <c r="C229" s="10"/>
      <c r="D229" s="10"/>
    </row>
    <row r="230" spans="2:4" ht="18" customHeight="1">
      <c r="B230" s="10"/>
      <c r="C230" s="10"/>
      <c r="D230" s="10"/>
    </row>
    <row r="231" spans="2:4" ht="18" customHeight="1">
      <c r="B231" s="10"/>
      <c r="C231" s="10"/>
      <c r="D231" s="10"/>
    </row>
    <row r="232" spans="2:4" ht="18" customHeight="1">
      <c r="B232" s="10"/>
      <c r="C232" s="10"/>
      <c r="D232" s="10"/>
    </row>
    <row r="233" spans="2:4" ht="18" customHeight="1">
      <c r="B233" s="10"/>
      <c r="C233" s="10"/>
      <c r="D233" s="10"/>
    </row>
    <row r="234" spans="2:4" ht="18" customHeight="1">
      <c r="B234" s="10"/>
      <c r="C234" s="10"/>
      <c r="D234" s="10"/>
    </row>
    <row r="235" spans="2:4" ht="18" customHeight="1">
      <c r="B235" s="10"/>
      <c r="C235" s="10"/>
      <c r="D235" s="10"/>
    </row>
    <row r="236" spans="2:4" ht="18" customHeight="1">
      <c r="B236" s="10"/>
      <c r="C236" s="10"/>
      <c r="D236" s="10"/>
    </row>
    <row r="237" spans="2:4" ht="18" customHeight="1">
      <c r="B237" s="10"/>
      <c r="C237" s="10"/>
      <c r="D237" s="10"/>
    </row>
    <row r="238" spans="2:4" ht="18" customHeight="1">
      <c r="B238" s="10"/>
      <c r="C238" s="10"/>
      <c r="D238" s="10"/>
    </row>
    <row r="239" spans="2:4" ht="18" customHeight="1">
      <c r="B239" s="10"/>
      <c r="C239" s="10"/>
      <c r="D239" s="10"/>
    </row>
    <row r="240" spans="2:4" ht="18" customHeight="1">
      <c r="B240" s="10"/>
      <c r="C240" s="10"/>
      <c r="D240" s="10"/>
    </row>
    <row r="241" spans="2:4" ht="18" customHeight="1">
      <c r="B241" s="10"/>
      <c r="C241" s="10"/>
      <c r="D241" s="10"/>
    </row>
    <row r="242" spans="2:4" ht="18" customHeight="1">
      <c r="B242" s="10"/>
      <c r="C242" s="10"/>
      <c r="D242" s="10"/>
    </row>
    <row r="243" spans="2:4" ht="18" customHeight="1">
      <c r="B243" s="10"/>
      <c r="C243" s="10"/>
      <c r="D243" s="10"/>
    </row>
    <row r="244" spans="2:4" ht="18" customHeight="1">
      <c r="B244" s="10"/>
      <c r="C244" s="10"/>
      <c r="D244" s="10"/>
    </row>
    <row r="245" spans="2:4" ht="18" customHeight="1">
      <c r="B245" s="10"/>
      <c r="C245" s="10"/>
      <c r="D245" s="10"/>
    </row>
    <row r="246" spans="2:4" ht="18" customHeight="1">
      <c r="B246" s="10"/>
      <c r="C246" s="10"/>
      <c r="D246" s="10"/>
    </row>
    <row r="247" spans="2:4" ht="18" customHeight="1">
      <c r="B247" s="10"/>
      <c r="C247" s="10"/>
      <c r="D247" s="10"/>
    </row>
    <row r="248" spans="2:4" ht="18" customHeight="1">
      <c r="B248" s="10"/>
      <c r="C248" s="10"/>
      <c r="D248" s="10"/>
    </row>
    <row r="249" spans="2:4" ht="18" customHeight="1">
      <c r="B249" s="10"/>
      <c r="C249" s="10"/>
      <c r="D249" s="10"/>
    </row>
    <row r="250" spans="2:4" ht="18" customHeight="1">
      <c r="B250" s="10"/>
      <c r="C250" s="10"/>
      <c r="D250" s="10"/>
    </row>
    <row r="251" spans="2:4" ht="18" customHeight="1">
      <c r="B251" s="10"/>
      <c r="C251" s="10"/>
      <c r="D251" s="10"/>
    </row>
    <row r="252" spans="2:4" ht="18" customHeight="1">
      <c r="B252" s="10"/>
      <c r="C252" s="10"/>
      <c r="D252" s="10"/>
    </row>
    <row r="253" spans="2:4" ht="18" customHeight="1">
      <c r="B253" s="10"/>
      <c r="C253" s="10"/>
      <c r="D253" s="10"/>
    </row>
    <row r="254" spans="2:4" ht="18" customHeight="1">
      <c r="B254" s="10"/>
      <c r="C254" s="10"/>
      <c r="D254" s="10"/>
    </row>
    <row r="255" spans="2:4" ht="18" customHeight="1">
      <c r="B255" s="10"/>
      <c r="C255" s="10"/>
      <c r="D255" s="10"/>
    </row>
    <row r="256" spans="2:4" ht="18" customHeight="1">
      <c r="B256" s="10"/>
      <c r="C256" s="10"/>
      <c r="D256" s="10"/>
    </row>
    <row r="257" spans="2:4" ht="18" customHeight="1">
      <c r="B257" s="10"/>
      <c r="C257" s="10"/>
      <c r="D257" s="10"/>
    </row>
    <row r="258" spans="2:4" ht="18" customHeight="1">
      <c r="B258" s="10"/>
      <c r="C258" s="10"/>
      <c r="D258" s="10"/>
    </row>
    <row r="259" spans="2:4" ht="18" customHeight="1">
      <c r="B259" s="10"/>
      <c r="C259" s="10"/>
      <c r="D259" s="10"/>
    </row>
    <row r="260" spans="2:4" ht="18" customHeight="1">
      <c r="B260" s="10"/>
      <c r="C260" s="10"/>
      <c r="D260" s="10"/>
    </row>
    <row r="261" spans="2:4" ht="18" customHeight="1">
      <c r="B261" s="10"/>
      <c r="C261" s="10"/>
      <c r="D261" s="10"/>
    </row>
    <row r="262" spans="2:4" ht="18" customHeight="1">
      <c r="B262" s="10"/>
      <c r="C262" s="10"/>
      <c r="D262" s="10"/>
    </row>
    <row r="263" spans="2:4" ht="18" customHeight="1">
      <c r="B263" s="10"/>
      <c r="C263" s="10"/>
      <c r="D263" s="10"/>
    </row>
    <row r="264" spans="2:4" ht="18" customHeight="1">
      <c r="B264" s="10"/>
      <c r="C264" s="10"/>
      <c r="D264" s="10"/>
    </row>
    <row r="265" spans="2:4" ht="18" customHeight="1">
      <c r="B265" s="10"/>
      <c r="C265" s="10"/>
      <c r="D265" s="10"/>
    </row>
    <row r="266" spans="2:4" ht="18" customHeight="1">
      <c r="B266" s="10"/>
      <c r="C266" s="10"/>
      <c r="D266" s="10"/>
    </row>
    <row r="267" spans="2:4" ht="18" customHeight="1">
      <c r="B267" s="10"/>
      <c r="C267" s="10"/>
      <c r="D267" s="10"/>
    </row>
    <row r="268" spans="2:4" ht="18" customHeight="1">
      <c r="B268" s="10"/>
      <c r="C268" s="10"/>
      <c r="D268" s="10"/>
    </row>
    <row r="269" spans="2:4" ht="18" customHeight="1">
      <c r="B269" s="10"/>
      <c r="C269" s="10"/>
      <c r="D269" s="10"/>
    </row>
    <row r="270" spans="2:4" ht="18" customHeight="1">
      <c r="B270" s="10"/>
      <c r="C270" s="10"/>
      <c r="D270" s="10"/>
    </row>
    <row r="271" spans="2:4" ht="18" customHeight="1">
      <c r="B271" s="10"/>
      <c r="C271" s="10"/>
      <c r="D271" s="10"/>
    </row>
    <row r="272" spans="2:4" ht="18" customHeight="1">
      <c r="B272" s="10"/>
      <c r="C272" s="10"/>
      <c r="D272" s="10"/>
    </row>
    <row r="273" spans="2:4" ht="18" customHeight="1">
      <c r="B273" s="10"/>
      <c r="C273" s="10"/>
      <c r="D273" s="10"/>
    </row>
    <row r="274" spans="2:4" ht="18" customHeight="1">
      <c r="B274" s="10"/>
      <c r="C274" s="10"/>
      <c r="D274" s="10"/>
    </row>
    <row r="275" spans="2:4" ht="18" customHeight="1">
      <c r="B275" s="10"/>
      <c r="C275" s="10"/>
      <c r="D275" s="10"/>
    </row>
    <row r="276" spans="2:4" ht="18" customHeight="1">
      <c r="B276" s="10"/>
      <c r="C276" s="10"/>
      <c r="D276" s="10"/>
    </row>
    <row r="277" spans="2:4" ht="18" customHeight="1">
      <c r="B277" s="10"/>
      <c r="C277" s="10"/>
      <c r="D277" s="10"/>
    </row>
    <row r="278" spans="2:4" ht="18" customHeight="1">
      <c r="B278" s="10"/>
      <c r="C278" s="10"/>
      <c r="D278" s="10"/>
    </row>
    <row r="279" spans="2:4" ht="18" customHeight="1">
      <c r="B279" s="10"/>
      <c r="C279" s="10"/>
      <c r="D279" s="10"/>
    </row>
    <row r="280" spans="2:4" ht="18" customHeight="1">
      <c r="B280" s="10"/>
      <c r="C280" s="10"/>
      <c r="D280" s="10"/>
    </row>
    <row r="281" spans="2:4" ht="18" customHeight="1">
      <c r="B281" s="10"/>
      <c r="C281" s="10"/>
      <c r="D281" s="10"/>
    </row>
    <row r="282" spans="2:4" ht="18" customHeight="1">
      <c r="B282" s="10"/>
      <c r="C282" s="10"/>
      <c r="D282" s="10"/>
    </row>
    <row r="283" spans="2:4" ht="18" customHeight="1">
      <c r="B283" s="10"/>
      <c r="C283" s="10"/>
      <c r="D283" s="10"/>
    </row>
    <row r="284" spans="2:4" ht="18" customHeight="1">
      <c r="B284" s="10"/>
      <c r="C284" s="10"/>
      <c r="D284" s="10"/>
    </row>
    <row r="285" spans="2:4" ht="18" customHeight="1">
      <c r="B285" s="10"/>
      <c r="C285" s="10"/>
      <c r="D285" s="10"/>
    </row>
    <row r="286" spans="2:4" ht="18" customHeight="1">
      <c r="B286" s="10"/>
      <c r="C286" s="10"/>
      <c r="D286" s="10"/>
    </row>
    <row r="287" spans="2:4" ht="18" customHeight="1">
      <c r="B287" s="10"/>
      <c r="C287" s="10"/>
      <c r="D287" s="10"/>
    </row>
    <row r="288" spans="2:4" ht="18" customHeight="1">
      <c r="B288" s="10"/>
      <c r="C288" s="10"/>
      <c r="D288" s="10"/>
    </row>
    <row r="289" spans="2:4" ht="18" customHeight="1">
      <c r="B289" s="10"/>
      <c r="C289" s="10"/>
      <c r="D289" s="10"/>
    </row>
    <row r="290" spans="2:4" ht="18" customHeight="1">
      <c r="B290" s="10"/>
      <c r="C290" s="10"/>
      <c r="D290" s="10"/>
    </row>
    <row r="291" spans="2:4" ht="18" customHeight="1">
      <c r="B291" s="10"/>
      <c r="C291" s="10"/>
      <c r="D291" s="10"/>
    </row>
    <row r="292" spans="2:4" ht="18" customHeight="1">
      <c r="B292" s="10"/>
      <c r="C292" s="10"/>
      <c r="D292" s="10"/>
    </row>
    <row r="293" spans="2:4" ht="18" customHeight="1">
      <c r="B293" s="10"/>
      <c r="C293" s="10"/>
      <c r="D293" s="10"/>
    </row>
    <row r="294" spans="2:4" ht="18" customHeight="1">
      <c r="B294" s="10"/>
      <c r="C294" s="10"/>
      <c r="D294" s="10"/>
    </row>
    <row r="295" spans="2:4" ht="18" customHeight="1">
      <c r="B295" s="10"/>
      <c r="C295" s="10"/>
      <c r="D295" s="10"/>
    </row>
    <row r="296" spans="2:4" ht="18" customHeight="1">
      <c r="B296" s="10"/>
      <c r="C296" s="10"/>
      <c r="D296" s="10"/>
    </row>
    <row r="297" spans="2:4" ht="18" customHeight="1">
      <c r="B297" s="10"/>
      <c r="C297" s="10"/>
      <c r="D297" s="10"/>
    </row>
    <row r="298" spans="2:4" ht="18" customHeight="1">
      <c r="B298" s="10"/>
      <c r="C298" s="10"/>
      <c r="D298" s="10"/>
    </row>
    <row r="299" spans="2:4" ht="18" customHeight="1">
      <c r="B299" s="10"/>
      <c r="C299" s="10"/>
      <c r="D299" s="10"/>
    </row>
    <row r="300" spans="2:4" ht="18" customHeight="1">
      <c r="B300" s="10"/>
      <c r="C300" s="10"/>
      <c r="D300" s="10"/>
    </row>
    <row r="301" spans="2:4" ht="18" customHeight="1">
      <c r="B301" s="10"/>
      <c r="C301" s="10"/>
      <c r="D301" s="10"/>
    </row>
    <row r="302" spans="2:4" ht="18" customHeight="1">
      <c r="B302" s="10"/>
      <c r="C302" s="10"/>
      <c r="D302" s="10"/>
    </row>
    <row r="303" spans="2:4" ht="18" customHeight="1">
      <c r="B303" s="10"/>
      <c r="C303" s="10"/>
      <c r="D303" s="10"/>
    </row>
    <row r="304" spans="2:4" ht="18" customHeight="1">
      <c r="B304" s="10"/>
      <c r="C304" s="10"/>
      <c r="D304" s="10"/>
    </row>
    <row r="305" spans="2:4" ht="18" customHeight="1">
      <c r="B305" s="10"/>
      <c r="C305" s="10"/>
      <c r="D305" s="10"/>
    </row>
    <row r="306" spans="2:4" ht="18" customHeight="1">
      <c r="B306" s="10"/>
      <c r="C306" s="10"/>
      <c r="D306" s="10"/>
    </row>
    <row r="307" spans="2:4" ht="18" customHeight="1">
      <c r="B307" s="10"/>
      <c r="C307" s="10"/>
      <c r="D307" s="10"/>
    </row>
    <row r="308" spans="2:4" ht="18" customHeight="1">
      <c r="B308" s="10"/>
      <c r="C308" s="10"/>
      <c r="D308" s="10"/>
    </row>
    <row r="309" spans="2:4" ht="18" customHeight="1">
      <c r="B309" s="10"/>
      <c r="C309" s="10"/>
      <c r="D309" s="10"/>
    </row>
    <row r="310" spans="2:4" ht="18" customHeight="1">
      <c r="B310" s="10"/>
      <c r="C310" s="10"/>
      <c r="D310" s="10"/>
    </row>
    <row r="311" spans="2:4" ht="18" customHeight="1">
      <c r="B311" s="10"/>
      <c r="C311" s="10"/>
      <c r="D311" s="10"/>
    </row>
    <row r="312" spans="2:4" ht="18" customHeight="1">
      <c r="B312" s="10"/>
      <c r="C312" s="10"/>
      <c r="D312" s="10"/>
    </row>
    <row r="313" spans="2:4" ht="18" customHeight="1">
      <c r="B313" s="10"/>
      <c r="C313" s="10"/>
      <c r="D313" s="10"/>
    </row>
    <row r="314" spans="2:4" ht="18" customHeight="1">
      <c r="B314" s="10"/>
      <c r="C314" s="10"/>
      <c r="D314" s="10"/>
    </row>
    <row r="315" spans="2:4" ht="18" customHeight="1">
      <c r="B315" s="10"/>
      <c r="C315" s="10"/>
      <c r="D315" s="10"/>
    </row>
    <row r="316" spans="2:4" ht="18" customHeight="1">
      <c r="B316" s="10"/>
      <c r="C316" s="10"/>
      <c r="D316" s="10"/>
    </row>
    <row r="317" spans="2:4" ht="18" customHeight="1">
      <c r="B317" s="10"/>
      <c r="C317" s="10"/>
      <c r="D317" s="10"/>
    </row>
    <row r="318" spans="2:4" ht="18" customHeight="1">
      <c r="B318" s="10"/>
      <c r="C318" s="10"/>
      <c r="D318" s="10"/>
    </row>
    <row r="319" spans="2:4" ht="18" customHeight="1">
      <c r="B319" s="10"/>
      <c r="C319" s="10"/>
      <c r="D319" s="10"/>
    </row>
    <row r="320" spans="2:4" ht="18" customHeight="1">
      <c r="B320" s="10"/>
      <c r="C320" s="10"/>
      <c r="D320" s="10"/>
    </row>
    <row r="321" spans="2:4" ht="18" customHeight="1">
      <c r="B321" s="10"/>
      <c r="C321" s="10"/>
      <c r="D321" s="10"/>
    </row>
    <row r="322" spans="2:4" ht="18" customHeight="1">
      <c r="B322" s="10"/>
      <c r="C322" s="10"/>
      <c r="D322" s="10"/>
    </row>
    <row r="323" spans="2:4" ht="18" customHeight="1">
      <c r="B323" s="10"/>
      <c r="C323" s="10"/>
      <c r="D323" s="10"/>
    </row>
    <row r="324" spans="2:4" ht="18" customHeight="1">
      <c r="B324" s="10"/>
      <c r="C324" s="10"/>
      <c r="D324" s="10"/>
    </row>
    <row r="325" spans="2:4" ht="18" customHeight="1">
      <c r="B325" s="10"/>
      <c r="C325" s="10"/>
      <c r="D325" s="10"/>
    </row>
    <row r="326" spans="2:4" ht="18" customHeight="1">
      <c r="B326" s="10"/>
      <c r="C326" s="10"/>
      <c r="D326" s="10"/>
    </row>
    <row r="327" spans="2:4" ht="18" customHeight="1">
      <c r="B327" s="10"/>
      <c r="C327" s="10"/>
      <c r="D327" s="10"/>
    </row>
    <row r="328" spans="2:4" ht="18" customHeight="1">
      <c r="B328" s="10"/>
      <c r="C328" s="10"/>
      <c r="D328" s="10"/>
    </row>
    <row r="329" spans="2:4" ht="18" customHeight="1">
      <c r="B329" s="10"/>
      <c r="C329" s="10"/>
      <c r="D329" s="10"/>
    </row>
    <row r="330" spans="2:4" ht="18" customHeight="1">
      <c r="B330" s="10"/>
      <c r="C330" s="10"/>
      <c r="D330" s="10"/>
    </row>
    <row r="331" spans="2:4" ht="18" customHeight="1">
      <c r="B331" s="10"/>
      <c r="C331" s="10"/>
      <c r="D331" s="10"/>
    </row>
    <row r="332" spans="2:4" ht="18" customHeight="1">
      <c r="B332" s="10"/>
      <c r="C332" s="10"/>
      <c r="D332" s="10"/>
    </row>
    <row r="333" spans="2:4" ht="18" customHeight="1">
      <c r="B333" s="10"/>
      <c r="C333" s="10"/>
      <c r="D333" s="10"/>
    </row>
    <row r="334" spans="2:4" ht="18" customHeight="1">
      <c r="B334" s="10"/>
      <c r="C334" s="10"/>
      <c r="D334" s="10"/>
    </row>
    <row r="335" spans="2:4" ht="18" customHeight="1">
      <c r="B335" s="10"/>
      <c r="C335" s="10"/>
      <c r="D335" s="10"/>
    </row>
    <row r="336" spans="2:4" ht="18" customHeight="1">
      <c r="B336" s="10"/>
      <c r="C336" s="10"/>
      <c r="D336" s="10"/>
    </row>
    <row r="337" spans="2:4" ht="18" customHeight="1">
      <c r="B337" s="10"/>
      <c r="C337" s="10"/>
      <c r="D337" s="10"/>
    </row>
    <row r="338" spans="2:4" ht="18" customHeight="1">
      <c r="B338" s="10"/>
      <c r="C338" s="10"/>
      <c r="D338" s="10"/>
    </row>
    <row r="339" spans="2:4" ht="18" customHeight="1">
      <c r="B339" s="10"/>
      <c r="C339" s="10"/>
      <c r="D339" s="10"/>
    </row>
    <row r="340" spans="2:4" ht="18" customHeight="1">
      <c r="B340" s="10"/>
      <c r="C340" s="10"/>
      <c r="D340" s="10"/>
    </row>
    <row r="341" spans="2:4" ht="18" customHeight="1">
      <c r="B341" s="10"/>
      <c r="C341" s="10"/>
      <c r="D341" s="10"/>
    </row>
    <row r="342" spans="2:4" ht="18" customHeight="1">
      <c r="B342" s="10"/>
      <c r="C342" s="10"/>
      <c r="D342" s="10"/>
    </row>
    <row r="343" spans="2:4" ht="18" customHeight="1">
      <c r="B343" s="10"/>
      <c r="C343" s="10"/>
      <c r="D343" s="10"/>
    </row>
    <row r="344" spans="2:4" ht="18" customHeight="1">
      <c r="B344" s="10"/>
      <c r="C344" s="10"/>
      <c r="D344" s="10"/>
    </row>
    <row r="345" spans="2:4" ht="18" customHeight="1">
      <c r="B345" s="10"/>
      <c r="C345" s="10"/>
      <c r="D345" s="10"/>
    </row>
    <row r="346" spans="2:4" ht="18" customHeight="1">
      <c r="B346" s="10"/>
      <c r="C346" s="10"/>
      <c r="D346" s="10"/>
    </row>
    <row r="347" spans="2:4" ht="18" customHeight="1">
      <c r="B347" s="10"/>
      <c r="C347" s="10"/>
      <c r="D347" s="10"/>
    </row>
    <row r="348" spans="2:4" ht="18" customHeight="1">
      <c r="B348" s="10"/>
      <c r="C348" s="10"/>
      <c r="D348" s="10"/>
    </row>
    <row r="349" spans="2:4" ht="18" customHeight="1">
      <c r="B349" s="10"/>
      <c r="C349" s="10"/>
      <c r="D349" s="10"/>
    </row>
    <row r="350" spans="2:4" ht="18" customHeight="1">
      <c r="B350" s="10"/>
      <c r="C350" s="10"/>
      <c r="D350" s="10"/>
    </row>
    <row r="351" spans="2:4" ht="18" customHeight="1">
      <c r="B351" s="10"/>
      <c r="C351" s="10"/>
      <c r="D351" s="10"/>
    </row>
    <row r="352" spans="2:4" ht="18" customHeight="1">
      <c r="B352" s="10"/>
      <c r="C352" s="10"/>
      <c r="D352" s="10"/>
    </row>
    <row r="353" spans="2:4" ht="18" customHeight="1">
      <c r="B353" s="10"/>
      <c r="C353" s="10"/>
      <c r="D353" s="10"/>
    </row>
    <row r="354" spans="2:4" ht="18" customHeight="1">
      <c r="B354" s="10"/>
      <c r="C354" s="10"/>
      <c r="D354" s="10"/>
    </row>
    <row r="355" spans="2:4" ht="18" customHeight="1">
      <c r="B355" s="10"/>
      <c r="C355" s="10"/>
      <c r="D355" s="10"/>
    </row>
    <row r="356" spans="2:4" ht="18" customHeight="1">
      <c r="B356" s="10"/>
      <c r="C356" s="10"/>
      <c r="D356" s="10"/>
    </row>
    <row r="357" spans="2:4" ht="18" customHeight="1">
      <c r="B357" s="10"/>
      <c r="C357" s="10"/>
      <c r="D357" s="10"/>
    </row>
    <row r="358" spans="2:4" ht="18" customHeight="1">
      <c r="B358" s="10"/>
      <c r="C358" s="10"/>
      <c r="D358" s="10"/>
    </row>
    <row r="359" spans="2:4" ht="18" customHeight="1">
      <c r="B359" s="10"/>
      <c r="C359" s="10"/>
      <c r="D359" s="10"/>
    </row>
    <row r="360" spans="2:4" ht="18" customHeight="1">
      <c r="B360" s="10"/>
      <c r="C360" s="10"/>
      <c r="D360" s="10"/>
    </row>
    <row r="361" spans="2:4" ht="18" customHeight="1">
      <c r="B361" s="10"/>
      <c r="C361" s="10"/>
      <c r="D361" s="10"/>
    </row>
    <row r="362" spans="2:4" ht="18" customHeight="1">
      <c r="B362" s="10"/>
      <c r="C362" s="10"/>
      <c r="D362" s="10"/>
    </row>
    <row r="363" spans="2:4" ht="18" customHeight="1">
      <c r="B363" s="10"/>
      <c r="C363" s="10"/>
      <c r="D363" s="10"/>
    </row>
    <row r="364" spans="2:4" ht="18" customHeight="1">
      <c r="B364" s="10"/>
      <c r="C364" s="10"/>
      <c r="D364" s="10"/>
    </row>
    <row r="365" spans="2:4" ht="18" customHeight="1">
      <c r="B365" s="10"/>
      <c r="C365" s="10"/>
      <c r="D365" s="10"/>
    </row>
    <row r="366" spans="2:4" ht="18" customHeight="1">
      <c r="B366" s="10"/>
      <c r="C366" s="10"/>
      <c r="D366" s="10"/>
    </row>
    <row r="367" spans="2:4" ht="18" customHeight="1">
      <c r="B367" s="10"/>
      <c r="C367" s="10"/>
      <c r="D367" s="10"/>
    </row>
    <row r="368" spans="2:4" ht="18" customHeight="1">
      <c r="B368" s="10"/>
      <c r="C368" s="10"/>
      <c r="D368" s="10"/>
    </row>
    <row r="369" spans="2:4" ht="18" customHeight="1">
      <c r="B369" s="10"/>
      <c r="C369" s="10"/>
      <c r="D369" s="10"/>
    </row>
    <row r="370" spans="2:4" ht="18" customHeight="1">
      <c r="B370" s="10"/>
      <c r="C370" s="10"/>
      <c r="D370" s="10"/>
    </row>
    <row r="371" spans="2:4" ht="18" customHeight="1">
      <c r="B371" s="10"/>
      <c r="C371" s="10"/>
      <c r="D371" s="10"/>
    </row>
    <row r="372" spans="2:4" ht="18" customHeight="1">
      <c r="B372" s="10"/>
      <c r="C372" s="10"/>
      <c r="D372" s="10"/>
    </row>
    <row r="373" spans="2:4" ht="18" customHeight="1">
      <c r="B373" s="10"/>
      <c r="C373" s="10"/>
      <c r="D373" s="10"/>
    </row>
    <row r="374" spans="2:4" ht="18" customHeight="1">
      <c r="B374" s="10"/>
      <c r="C374" s="10"/>
      <c r="D374" s="10"/>
    </row>
    <row r="375" spans="2:4" ht="18" customHeight="1">
      <c r="B375" s="10"/>
      <c r="C375" s="10"/>
      <c r="D375" s="10"/>
    </row>
    <row r="376" spans="2:4" ht="18" customHeight="1">
      <c r="B376" s="10"/>
      <c r="C376" s="10"/>
      <c r="D376" s="10"/>
    </row>
    <row r="377" spans="2:4" ht="18" customHeight="1">
      <c r="B377" s="10"/>
      <c r="C377" s="10"/>
      <c r="D377" s="10"/>
    </row>
    <row r="378" spans="2:4" ht="18" customHeight="1">
      <c r="B378" s="10"/>
      <c r="C378" s="10"/>
      <c r="D378" s="10"/>
    </row>
    <row r="379" spans="2:4" ht="18" customHeight="1">
      <c r="B379" s="10"/>
      <c r="C379" s="10"/>
      <c r="D379" s="10"/>
    </row>
    <row r="380" spans="2:4" ht="18" customHeight="1">
      <c r="B380" s="10"/>
      <c r="C380" s="10"/>
      <c r="D380" s="10"/>
    </row>
    <row r="381" spans="2:4" ht="18" customHeight="1">
      <c r="B381" s="10"/>
      <c r="C381" s="10"/>
      <c r="D381" s="10"/>
    </row>
    <row r="382" spans="2:4" ht="18" customHeight="1">
      <c r="B382" s="10"/>
      <c r="C382" s="10"/>
      <c r="D382" s="10"/>
    </row>
    <row r="383" spans="2:4" ht="18" customHeight="1">
      <c r="B383" s="10"/>
      <c r="C383" s="10"/>
      <c r="D383" s="10"/>
    </row>
    <row r="384" spans="2:4" ht="18" customHeight="1">
      <c r="B384" s="10"/>
      <c r="C384" s="10"/>
      <c r="D384" s="10"/>
    </row>
    <row r="385" spans="2:4" ht="18" customHeight="1">
      <c r="B385" s="10"/>
      <c r="C385" s="10"/>
      <c r="D385" s="10"/>
    </row>
    <row r="386" spans="2:4" ht="18" customHeight="1">
      <c r="B386" s="10"/>
      <c r="C386" s="10"/>
      <c r="D386" s="10"/>
    </row>
    <row r="387" spans="2:4" ht="18" customHeight="1">
      <c r="B387" s="10"/>
      <c r="C387" s="10"/>
      <c r="D387" s="10"/>
    </row>
    <row r="388" spans="2:4" ht="18" customHeight="1">
      <c r="B388" s="10"/>
      <c r="C388" s="10"/>
      <c r="D388" s="10"/>
    </row>
    <row r="389" spans="2:4" ht="18" customHeight="1">
      <c r="B389" s="10"/>
      <c r="C389" s="10"/>
      <c r="D389" s="10"/>
    </row>
    <row r="390" spans="2:4" ht="18" customHeight="1">
      <c r="B390" s="10"/>
      <c r="C390" s="10"/>
      <c r="D390" s="10"/>
    </row>
    <row r="391" spans="2:4" ht="18" customHeight="1">
      <c r="B391" s="10"/>
      <c r="C391" s="10"/>
      <c r="D391" s="10"/>
    </row>
    <row r="392" spans="2:4" ht="18" customHeight="1">
      <c r="B392" s="10"/>
      <c r="C392" s="10"/>
      <c r="D392" s="10"/>
    </row>
    <row r="393" spans="2:4" ht="18" customHeight="1">
      <c r="B393" s="10"/>
      <c r="C393" s="10"/>
      <c r="D393" s="10"/>
    </row>
    <row r="394" spans="2:4" ht="18" customHeight="1">
      <c r="B394" s="10"/>
      <c r="C394" s="10"/>
      <c r="D394" s="10"/>
    </row>
    <row r="395" spans="2:4" ht="18" customHeight="1">
      <c r="B395" s="10"/>
      <c r="C395" s="10"/>
      <c r="D395" s="10"/>
    </row>
    <row r="396" spans="2:4" ht="18" customHeight="1">
      <c r="B396" s="10"/>
      <c r="C396" s="10"/>
      <c r="D396" s="10"/>
    </row>
    <row r="397" spans="2:4" ht="18" customHeight="1">
      <c r="B397" s="10"/>
      <c r="C397" s="10"/>
      <c r="D397" s="10"/>
    </row>
    <row r="398" spans="2:4" ht="18" customHeight="1">
      <c r="B398" s="10"/>
      <c r="C398" s="10"/>
      <c r="D398" s="10"/>
    </row>
    <row r="399" spans="2:4" ht="18" customHeight="1">
      <c r="B399" s="10"/>
      <c r="C399" s="10"/>
      <c r="D399" s="10"/>
    </row>
    <row r="400" spans="2:4" ht="18" customHeight="1">
      <c r="B400" s="10"/>
      <c r="C400" s="10"/>
      <c r="D400" s="10"/>
    </row>
    <row r="401" spans="2:4" ht="18" customHeight="1">
      <c r="B401" s="10"/>
      <c r="C401" s="10"/>
      <c r="D401" s="10"/>
    </row>
    <row r="402" spans="2:4" ht="18" customHeight="1">
      <c r="B402" s="10"/>
      <c r="C402" s="10"/>
      <c r="D402" s="10"/>
    </row>
    <row r="403" spans="2:4" ht="18" customHeight="1">
      <c r="B403" s="10"/>
      <c r="C403" s="10"/>
      <c r="D403" s="10"/>
    </row>
    <row r="404" spans="2:4" ht="18" customHeight="1">
      <c r="B404" s="10"/>
      <c r="C404" s="10"/>
      <c r="D404" s="10"/>
    </row>
    <row r="405" spans="2:4" ht="18" customHeight="1">
      <c r="B405" s="10"/>
      <c r="C405" s="10"/>
      <c r="D405" s="10"/>
    </row>
    <row r="406" spans="2:4" ht="18" customHeight="1">
      <c r="B406" s="10"/>
      <c r="C406" s="10"/>
      <c r="D406" s="10"/>
    </row>
    <row r="407" spans="2:4" ht="18" customHeight="1">
      <c r="B407" s="10"/>
      <c r="C407" s="10"/>
      <c r="D407" s="10"/>
    </row>
    <row r="408" spans="2:4" ht="18" customHeight="1">
      <c r="B408" s="10"/>
      <c r="C408" s="10"/>
      <c r="D408" s="10"/>
    </row>
    <row r="409" spans="2:4" ht="18" customHeight="1">
      <c r="B409" s="10"/>
      <c r="C409" s="10"/>
      <c r="D409" s="10"/>
    </row>
    <row r="410" spans="2:4" ht="18" customHeight="1">
      <c r="B410" s="10"/>
      <c r="C410" s="10"/>
      <c r="D410" s="10"/>
    </row>
    <row r="411" spans="2:4" ht="18" customHeight="1">
      <c r="B411" s="10"/>
      <c r="C411" s="10"/>
      <c r="D411" s="10"/>
    </row>
    <row r="412" spans="2:4" ht="18" customHeight="1">
      <c r="B412" s="10"/>
      <c r="C412" s="10"/>
      <c r="D412" s="10"/>
    </row>
    <row r="413" spans="2:4" ht="18" customHeight="1">
      <c r="B413" s="10"/>
      <c r="C413" s="10"/>
      <c r="D413" s="10"/>
    </row>
    <row r="414" spans="2:4" ht="18" customHeight="1">
      <c r="B414" s="10"/>
      <c r="C414" s="10"/>
      <c r="D414" s="10"/>
    </row>
    <row r="415" spans="2:4" ht="18" customHeight="1">
      <c r="B415" s="10"/>
      <c r="C415" s="10"/>
      <c r="D415" s="10"/>
    </row>
    <row r="416" spans="2:4" ht="18" customHeight="1">
      <c r="B416" s="10"/>
      <c r="C416" s="10"/>
      <c r="D416" s="10"/>
    </row>
    <row r="417" spans="2:4" ht="18" customHeight="1">
      <c r="B417" s="10"/>
      <c r="C417" s="10"/>
      <c r="D417" s="10"/>
    </row>
    <row r="418" spans="2:4" ht="18" customHeight="1">
      <c r="B418" s="10"/>
      <c r="C418" s="10"/>
      <c r="D418" s="10"/>
    </row>
    <row r="419" spans="2:4" ht="18" customHeight="1">
      <c r="B419" s="10"/>
      <c r="C419" s="10"/>
      <c r="D419" s="10"/>
    </row>
    <row r="420" spans="2:4" ht="18" customHeight="1">
      <c r="B420" s="10"/>
      <c r="C420" s="10"/>
      <c r="D420" s="10"/>
    </row>
    <row r="421" spans="2:4" ht="18" customHeight="1">
      <c r="B421" s="10"/>
      <c r="C421" s="10"/>
      <c r="D421" s="10"/>
    </row>
    <row r="422" spans="2:4" ht="18" customHeight="1">
      <c r="B422" s="10"/>
      <c r="C422" s="10"/>
      <c r="D422" s="10"/>
    </row>
    <row r="423" spans="2:4" ht="18" customHeight="1">
      <c r="B423" s="10"/>
      <c r="C423" s="10"/>
      <c r="D423" s="10"/>
    </row>
    <row r="424" spans="2:4" ht="18" customHeight="1">
      <c r="B424" s="10"/>
      <c r="C424" s="10"/>
      <c r="D424" s="10"/>
    </row>
    <row r="425" spans="2:4" ht="18" customHeight="1">
      <c r="B425" s="10"/>
      <c r="C425" s="10"/>
      <c r="D425" s="10"/>
    </row>
    <row r="426" spans="2:4" ht="18" customHeight="1">
      <c r="B426" s="10"/>
      <c r="C426" s="10"/>
      <c r="D426" s="10"/>
    </row>
    <row r="427" spans="2:4" ht="18" customHeight="1">
      <c r="B427" s="10"/>
      <c r="C427" s="10"/>
      <c r="D427" s="10"/>
    </row>
    <row r="428" spans="2:4" ht="18" customHeight="1">
      <c r="B428" s="10"/>
      <c r="C428" s="10"/>
      <c r="D428" s="10"/>
    </row>
    <row r="429" spans="2:4" ht="18" customHeight="1">
      <c r="B429" s="10"/>
      <c r="C429" s="10"/>
      <c r="D429" s="10"/>
    </row>
    <row r="430" spans="2:4" ht="18" customHeight="1">
      <c r="B430" s="10"/>
      <c r="C430" s="10"/>
      <c r="D430" s="10"/>
    </row>
    <row r="431" spans="2:4" ht="18" customHeight="1">
      <c r="B431" s="10"/>
      <c r="C431" s="10"/>
      <c r="D431" s="10"/>
    </row>
    <row r="432" spans="2:4" ht="18" customHeight="1">
      <c r="B432" s="10"/>
      <c r="C432" s="10"/>
      <c r="D432" s="10"/>
    </row>
    <row r="433" spans="2:4" ht="18" customHeight="1">
      <c r="B433" s="10"/>
      <c r="C433" s="10"/>
      <c r="D433" s="10"/>
    </row>
    <row r="434" spans="2:4" ht="18" customHeight="1">
      <c r="B434" s="10"/>
      <c r="C434" s="10"/>
      <c r="D434" s="10"/>
    </row>
    <row r="435" spans="2:4" ht="18" customHeight="1">
      <c r="B435" s="10"/>
      <c r="C435" s="10"/>
      <c r="D435" s="10"/>
    </row>
    <row r="436" spans="2:4" ht="18" customHeight="1">
      <c r="B436" s="10"/>
      <c r="C436" s="10"/>
      <c r="D436" s="10"/>
    </row>
    <row r="437" spans="2:4" ht="18" customHeight="1">
      <c r="B437" s="10"/>
      <c r="C437" s="10"/>
      <c r="D437" s="10"/>
    </row>
    <row r="438" spans="2:4" ht="18" customHeight="1">
      <c r="B438" s="10"/>
      <c r="C438" s="10"/>
      <c r="D438" s="10"/>
    </row>
    <row r="439" spans="2:4" ht="18" customHeight="1">
      <c r="B439" s="10"/>
      <c r="C439" s="10"/>
      <c r="D439" s="10"/>
    </row>
    <row r="440" spans="2:4" ht="18" customHeight="1">
      <c r="B440" s="10"/>
      <c r="C440" s="10"/>
      <c r="D440" s="10"/>
    </row>
    <row r="441" spans="2:4" ht="18" customHeight="1">
      <c r="B441" s="10"/>
      <c r="C441" s="10"/>
      <c r="D441" s="10"/>
    </row>
    <row r="442" spans="2:4" ht="18" customHeight="1">
      <c r="B442" s="10"/>
      <c r="C442" s="10"/>
      <c r="D442" s="10"/>
    </row>
    <row r="443" spans="2:4" ht="18" customHeight="1">
      <c r="B443" s="10"/>
      <c r="C443" s="10"/>
      <c r="D443" s="10"/>
    </row>
    <row r="444" spans="2:4" ht="18" customHeight="1">
      <c r="B444" s="10"/>
      <c r="C444" s="10"/>
      <c r="D444" s="10"/>
    </row>
    <row r="445" spans="2:4" ht="18" customHeight="1">
      <c r="B445" s="10"/>
      <c r="C445" s="10"/>
      <c r="D445" s="10"/>
    </row>
    <row r="446" spans="2:4" ht="18" customHeight="1">
      <c r="B446" s="10"/>
      <c r="C446" s="10"/>
      <c r="D446" s="10"/>
    </row>
    <row r="447" spans="2:4" ht="18" customHeight="1">
      <c r="B447" s="10"/>
      <c r="C447" s="10"/>
      <c r="D447" s="10"/>
    </row>
    <row r="448" spans="2:4" ht="18" customHeight="1">
      <c r="B448" s="10"/>
      <c r="C448" s="10"/>
      <c r="D448" s="10"/>
    </row>
    <row r="449" spans="2:4" ht="18" customHeight="1">
      <c r="B449" s="10"/>
      <c r="C449" s="10"/>
      <c r="D449" s="10"/>
    </row>
    <row r="450" spans="2:4" ht="18" customHeight="1">
      <c r="B450" s="10"/>
      <c r="C450" s="10"/>
      <c r="D450" s="10"/>
    </row>
    <row r="451" spans="2:4" ht="18" customHeight="1">
      <c r="B451" s="10"/>
      <c r="C451" s="10"/>
      <c r="D451" s="10"/>
    </row>
    <row r="452" spans="2:4" ht="18" customHeight="1">
      <c r="B452" s="10"/>
      <c r="C452" s="10"/>
      <c r="D452" s="10"/>
    </row>
    <row r="453" spans="2:4" ht="18" customHeight="1">
      <c r="B453" s="10"/>
      <c r="C453" s="10"/>
      <c r="D453" s="10"/>
    </row>
    <row r="454" spans="2:4" ht="18" customHeight="1">
      <c r="B454" s="10"/>
      <c r="C454" s="10"/>
      <c r="D454" s="10"/>
    </row>
    <row r="455" spans="2:4" ht="18" customHeight="1">
      <c r="B455" s="10"/>
      <c r="C455" s="10"/>
      <c r="D455" s="10"/>
    </row>
    <row r="456" spans="2:4" ht="18" customHeight="1">
      <c r="B456" s="10"/>
      <c r="C456" s="10"/>
      <c r="D456" s="10"/>
    </row>
    <row r="457" spans="2:4" ht="18" customHeight="1">
      <c r="B457" s="10"/>
      <c r="C457" s="10"/>
      <c r="D457" s="10"/>
    </row>
    <row r="458" spans="2:4" ht="18" customHeight="1">
      <c r="B458" s="10"/>
      <c r="C458" s="10"/>
      <c r="D458" s="10"/>
    </row>
    <row r="459" spans="2:4" ht="18" customHeight="1">
      <c r="B459" s="10"/>
      <c r="C459" s="10"/>
      <c r="D459" s="10"/>
    </row>
    <row r="460" spans="2:4" ht="18" customHeight="1">
      <c r="B460" s="10"/>
      <c r="C460" s="10"/>
      <c r="D460" s="10"/>
    </row>
    <row r="461" spans="2:4" ht="18" customHeight="1">
      <c r="B461" s="10"/>
      <c r="C461" s="10"/>
      <c r="D461" s="10"/>
    </row>
    <row r="462" spans="2:4" ht="18" customHeight="1">
      <c r="B462" s="10"/>
      <c r="C462" s="10"/>
      <c r="D462" s="10"/>
    </row>
    <row r="463" spans="2:4" ht="18" customHeight="1">
      <c r="B463" s="10"/>
      <c r="C463" s="10"/>
      <c r="D463" s="10"/>
    </row>
    <row r="464" spans="2:4" ht="18" customHeight="1">
      <c r="B464" s="10"/>
      <c r="C464" s="10"/>
      <c r="D464" s="10"/>
    </row>
    <row r="465" spans="2:4" ht="18" customHeight="1">
      <c r="B465" s="10"/>
      <c r="C465" s="10"/>
      <c r="D465" s="10"/>
    </row>
    <row r="466" spans="2:4" ht="18" customHeight="1">
      <c r="B466" s="10"/>
      <c r="C466" s="10"/>
      <c r="D466" s="10"/>
    </row>
    <row r="467" spans="2:4" ht="18" customHeight="1">
      <c r="B467" s="10"/>
      <c r="C467" s="10"/>
      <c r="D467" s="10"/>
    </row>
    <row r="468" spans="2:4" ht="18" customHeight="1">
      <c r="B468" s="10"/>
      <c r="C468" s="10"/>
      <c r="D468" s="10"/>
    </row>
    <row r="469" spans="2:4" ht="18" customHeight="1">
      <c r="B469" s="10"/>
      <c r="C469" s="10"/>
      <c r="D469" s="10"/>
    </row>
    <row r="470" spans="2:4" ht="18" customHeight="1">
      <c r="B470" s="10"/>
      <c r="C470" s="10"/>
      <c r="D470" s="10"/>
    </row>
    <row r="471" spans="2:4" ht="18" customHeight="1">
      <c r="B471" s="10"/>
      <c r="C471" s="10"/>
      <c r="D471" s="10"/>
    </row>
    <row r="472" spans="2:4" ht="18" customHeight="1">
      <c r="B472" s="10"/>
      <c r="C472" s="10"/>
      <c r="D472" s="10"/>
    </row>
    <row r="473" spans="2:4" ht="18" customHeight="1">
      <c r="B473" s="10"/>
      <c r="C473" s="10"/>
      <c r="D473" s="10"/>
    </row>
    <row r="474" spans="2:4" ht="18" customHeight="1">
      <c r="B474" s="10"/>
      <c r="C474" s="10"/>
      <c r="D474" s="10"/>
    </row>
    <row r="475" spans="2:4" ht="18" customHeight="1">
      <c r="B475" s="10"/>
      <c r="C475" s="10"/>
      <c r="D475" s="10"/>
    </row>
    <row r="476" spans="2:4" ht="18" customHeight="1">
      <c r="B476" s="10"/>
      <c r="C476" s="10"/>
      <c r="D476" s="10"/>
    </row>
    <row r="477" spans="2:4" ht="18" customHeight="1">
      <c r="B477" s="10"/>
      <c r="C477" s="10"/>
      <c r="D477" s="10"/>
    </row>
    <row r="478" spans="2:4" ht="18" customHeight="1">
      <c r="B478" s="10"/>
      <c r="C478" s="10"/>
      <c r="D478" s="10"/>
    </row>
    <row r="479" spans="2:4" ht="18" customHeight="1">
      <c r="B479" s="10"/>
      <c r="C479" s="10"/>
      <c r="D479" s="10"/>
    </row>
    <row r="480" spans="2:4" ht="18" customHeight="1">
      <c r="B480" s="10"/>
      <c r="C480" s="10"/>
      <c r="D480" s="10"/>
    </row>
    <row r="481" spans="2:4" ht="18" customHeight="1">
      <c r="B481" s="10"/>
      <c r="C481" s="10"/>
      <c r="D481" s="10"/>
    </row>
    <row r="482" spans="2:4" ht="18" customHeight="1">
      <c r="B482" s="10"/>
      <c r="C482" s="10"/>
      <c r="D482" s="10"/>
    </row>
    <row r="483" spans="2:4" ht="18" customHeight="1">
      <c r="B483" s="10"/>
      <c r="C483" s="10"/>
      <c r="D483" s="10"/>
    </row>
    <row r="484" spans="2:4" ht="18" customHeight="1">
      <c r="B484" s="10"/>
      <c r="C484" s="10"/>
      <c r="D484" s="10"/>
    </row>
    <row r="485" spans="2:4" ht="18" customHeight="1">
      <c r="B485" s="10"/>
      <c r="C485" s="10"/>
      <c r="D485" s="10"/>
    </row>
    <row r="486" spans="2:4" ht="18" customHeight="1">
      <c r="B486" s="10"/>
      <c r="C486" s="10"/>
      <c r="D486" s="10"/>
    </row>
    <row r="487" spans="2:4" ht="18" customHeight="1">
      <c r="B487" s="10"/>
      <c r="C487" s="10"/>
      <c r="D487" s="10"/>
    </row>
    <row r="488" spans="2:4" ht="18" customHeight="1">
      <c r="B488" s="10"/>
      <c r="C488" s="10"/>
      <c r="D488" s="10"/>
    </row>
    <row r="489" spans="2:4" ht="18" customHeight="1">
      <c r="B489" s="10"/>
      <c r="C489" s="10"/>
      <c r="D489" s="10"/>
    </row>
    <row r="490" spans="2:4" ht="18" customHeight="1">
      <c r="B490" s="10"/>
      <c r="C490" s="10"/>
      <c r="D490" s="10"/>
    </row>
    <row r="491" spans="2:4" ht="18" customHeight="1">
      <c r="B491" s="10"/>
      <c r="C491" s="10"/>
      <c r="D491" s="10"/>
    </row>
    <row r="492" spans="2:4" ht="18" customHeight="1">
      <c r="B492" s="10"/>
      <c r="C492" s="10"/>
      <c r="D492" s="10"/>
    </row>
    <row r="493" spans="2:4" ht="18" customHeight="1">
      <c r="B493" s="10"/>
      <c r="C493" s="10"/>
      <c r="D493" s="10"/>
    </row>
    <row r="494" spans="2:4" ht="18" customHeight="1">
      <c r="B494" s="10"/>
      <c r="C494" s="10"/>
      <c r="D494" s="10"/>
    </row>
    <row r="495" spans="2:4" ht="18" customHeight="1">
      <c r="B495" s="10"/>
      <c r="C495" s="10"/>
      <c r="D495" s="10"/>
    </row>
    <row r="496" spans="2:4" ht="18" customHeight="1">
      <c r="B496" s="10"/>
      <c r="C496" s="10"/>
      <c r="D496" s="10"/>
    </row>
    <row r="497" spans="2:4" ht="18" customHeight="1">
      <c r="B497" s="10"/>
      <c r="C497" s="10"/>
      <c r="D497" s="10"/>
    </row>
    <row r="498" spans="2:4" ht="18" customHeight="1">
      <c r="B498" s="10"/>
      <c r="C498" s="10"/>
      <c r="D498" s="10"/>
    </row>
    <row r="499" spans="2:4" ht="18" customHeight="1">
      <c r="B499" s="10"/>
      <c r="C499" s="10"/>
      <c r="D499" s="10"/>
    </row>
    <row r="500" spans="2:4" ht="18" customHeight="1">
      <c r="B500" s="10"/>
      <c r="C500" s="10"/>
      <c r="D500" s="10"/>
    </row>
    <row r="501" spans="2:4" ht="18" customHeight="1">
      <c r="B501" s="10"/>
      <c r="C501" s="10"/>
      <c r="D501" s="10"/>
    </row>
    <row r="502" spans="2:4" ht="18" customHeight="1">
      <c r="B502" s="10"/>
      <c r="C502" s="10"/>
      <c r="D502" s="10"/>
    </row>
    <row r="503" spans="2:4" ht="18" customHeight="1">
      <c r="B503" s="10"/>
      <c r="C503" s="10"/>
      <c r="D503" s="10"/>
    </row>
    <row r="504" spans="2:4" ht="18" customHeight="1">
      <c r="B504" s="10"/>
      <c r="C504" s="10"/>
      <c r="D504" s="10"/>
    </row>
    <row r="505" spans="2:4" ht="18" customHeight="1">
      <c r="B505" s="10"/>
      <c r="C505" s="10"/>
      <c r="D505" s="10"/>
    </row>
    <row r="506" spans="2:4" ht="18" customHeight="1">
      <c r="B506" s="10"/>
      <c r="C506" s="10"/>
      <c r="D506" s="10"/>
    </row>
    <row r="507" spans="2:4" ht="18" customHeight="1">
      <c r="B507" s="10"/>
      <c r="C507" s="10"/>
      <c r="D507" s="10"/>
    </row>
    <row r="508" spans="2:4" ht="18" customHeight="1">
      <c r="B508" s="10"/>
      <c r="C508" s="10"/>
      <c r="D508" s="10"/>
    </row>
    <row r="509" spans="2:4" ht="18" customHeight="1">
      <c r="B509" s="10"/>
      <c r="C509" s="10"/>
      <c r="D509" s="10"/>
    </row>
    <row r="510" spans="2:4" ht="18" customHeight="1">
      <c r="B510" s="10"/>
      <c r="C510" s="10"/>
      <c r="D510" s="10"/>
    </row>
    <row r="511" spans="2:4" ht="18" customHeight="1">
      <c r="B511" s="10"/>
      <c r="C511" s="10"/>
      <c r="D511" s="10"/>
    </row>
    <row r="512" spans="2:4" ht="18" customHeight="1">
      <c r="B512" s="10"/>
      <c r="C512" s="10"/>
      <c r="D512" s="10"/>
    </row>
    <row r="513" spans="2:4" ht="18" customHeight="1">
      <c r="B513" s="10"/>
      <c r="C513" s="10"/>
      <c r="D513" s="10"/>
    </row>
    <row r="514" spans="2:4" ht="18" customHeight="1">
      <c r="B514" s="10"/>
      <c r="C514" s="10"/>
      <c r="D514" s="10"/>
    </row>
    <row r="515" spans="2:4" ht="18" customHeight="1">
      <c r="B515" s="10"/>
      <c r="C515" s="10"/>
      <c r="D515" s="10"/>
    </row>
    <row r="516" spans="2:4" ht="18" customHeight="1">
      <c r="B516" s="10"/>
      <c r="C516" s="10"/>
      <c r="D516" s="10"/>
    </row>
    <row r="517" spans="2:4" ht="18" customHeight="1">
      <c r="B517" s="10"/>
      <c r="C517" s="10"/>
      <c r="D517" s="10"/>
    </row>
    <row r="518" spans="2:4" ht="18" customHeight="1">
      <c r="B518" s="10"/>
      <c r="C518" s="10"/>
      <c r="D518" s="10"/>
    </row>
    <row r="519" spans="2:4" ht="18" customHeight="1">
      <c r="B519" s="10"/>
      <c r="C519" s="10"/>
      <c r="D519" s="10"/>
    </row>
    <row r="520" spans="2:4" ht="18" customHeight="1">
      <c r="B520" s="10"/>
      <c r="C520" s="10"/>
      <c r="D520" s="10"/>
    </row>
    <row r="521" spans="2:4" ht="18" customHeight="1">
      <c r="B521" s="10"/>
      <c r="C521" s="10"/>
      <c r="D521" s="10"/>
    </row>
    <row r="522" spans="2:4" ht="18" customHeight="1">
      <c r="B522" s="10"/>
      <c r="C522" s="10"/>
      <c r="D522" s="10"/>
    </row>
    <row r="523" spans="2:4" ht="18" customHeight="1">
      <c r="B523" s="10"/>
      <c r="C523" s="10"/>
      <c r="D523" s="10"/>
    </row>
    <row r="524" spans="2:4" ht="18" customHeight="1">
      <c r="B524" s="10"/>
      <c r="C524" s="10"/>
      <c r="D524" s="10"/>
    </row>
    <row r="525" spans="2:4" ht="18" customHeight="1">
      <c r="B525" s="10"/>
      <c r="C525" s="10"/>
      <c r="D525" s="10"/>
    </row>
    <row r="526" spans="2:4" ht="18" customHeight="1">
      <c r="B526" s="10"/>
      <c r="C526" s="10"/>
      <c r="D526" s="10"/>
    </row>
    <row r="527" spans="2:4" ht="18" customHeight="1">
      <c r="B527" s="10"/>
      <c r="C527" s="10"/>
      <c r="D527" s="10"/>
    </row>
    <row r="528" spans="2:4" ht="18" customHeight="1">
      <c r="B528" s="10"/>
      <c r="C528" s="10"/>
      <c r="D528" s="10"/>
    </row>
    <row r="529" spans="2:4" ht="18" customHeight="1">
      <c r="B529" s="10"/>
      <c r="C529" s="10"/>
      <c r="D529" s="10"/>
    </row>
    <row r="530" spans="2:4" ht="18" customHeight="1">
      <c r="B530" s="10"/>
      <c r="C530" s="10"/>
      <c r="D530" s="10"/>
    </row>
    <row r="531" spans="2:4" ht="18" customHeight="1">
      <c r="B531" s="10"/>
      <c r="C531" s="10"/>
      <c r="D531" s="10"/>
    </row>
    <row r="532" spans="2:4" ht="18" customHeight="1">
      <c r="B532" s="10"/>
      <c r="C532" s="10"/>
      <c r="D532" s="10"/>
    </row>
    <row r="533" spans="2:4" ht="18" customHeight="1">
      <c r="B533" s="10"/>
      <c r="C533" s="10"/>
      <c r="D533" s="10"/>
    </row>
    <row r="534" spans="2:4" ht="18" customHeight="1">
      <c r="B534" s="10"/>
      <c r="C534" s="10"/>
      <c r="D534" s="10"/>
    </row>
    <row r="535" spans="2:4" ht="18" customHeight="1">
      <c r="B535" s="10"/>
      <c r="C535" s="10"/>
      <c r="D535" s="10"/>
    </row>
    <row r="536" spans="2:4" ht="18" customHeight="1">
      <c r="B536" s="10"/>
      <c r="C536" s="10"/>
      <c r="D536" s="10"/>
    </row>
    <row r="537" spans="2:4" ht="18" customHeight="1">
      <c r="B537" s="10"/>
      <c r="C537" s="10"/>
      <c r="D537" s="10"/>
    </row>
    <row r="538" spans="2:4" ht="18" customHeight="1">
      <c r="B538" s="10"/>
      <c r="C538" s="10"/>
      <c r="D538" s="10"/>
    </row>
    <row r="539" spans="2:4" ht="18" customHeight="1">
      <c r="B539" s="10"/>
      <c r="C539" s="10"/>
      <c r="D539" s="10"/>
    </row>
    <row r="540" spans="2:4" ht="18" customHeight="1">
      <c r="B540" s="10"/>
      <c r="C540" s="10"/>
      <c r="D540" s="10"/>
    </row>
    <row r="541" spans="2:4" ht="18" customHeight="1">
      <c r="B541" s="10"/>
      <c r="C541" s="10"/>
      <c r="D541" s="10"/>
    </row>
    <row r="542" spans="2:4" ht="18" customHeight="1">
      <c r="B542" s="10"/>
      <c r="C542" s="10"/>
      <c r="D542" s="10"/>
    </row>
    <row r="543" spans="2:4" ht="18" customHeight="1">
      <c r="B543" s="10"/>
      <c r="C543" s="10"/>
      <c r="D543" s="10"/>
    </row>
    <row r="544" spans="2:4" ht="18" customHeight="1">
      <c r="B544" s="10"/>
      <c r="C544" s="10"/>
      <c r="D544" s="10"/>
    </row>
    <row r="545" spans="2:4" ht="18" customHeight="1">
      <c r="B545" s="10"/>
      <c r="C545" s="10"/>
      <c r="D545" s="10"/>
    </row>
    <row r="546" spans="2:4" ht="18" customHeight="1">
      <c r="B546" s="10"/>
      <c r="C546" s="10"/>
      <c r="D546" s="10"/>
    </row>
    <row r="547" spans="2:4" ht="18" customHeight="1">
      <c r="B547" s="10"/>
      <c r="C547" s="10"/>
      <c r="D547" s="10"/>
    </row>
    <row r="548" spans="2:4" ht="18" customHeight="1">
      <c r="B548" s="10"/>
      <c r="C548" s="10"/>
      <c r="D548" s="10"/>
    </row>
    <row r="549" spans="2:4" ht="18" customHeight="1">
      <c r="B549" s="10"/>
      <c r="C549" s="10"/>
      <c r="D549" s="10"/>
    </row>
    <row r="550" spans="2:4" ht="18" customHeight="1">
      <c r="B550" s="10"/>
      <c r="C550" s="10"/>
      <c r="D550" s="10"/>
    </row>
    <row r="551" spans="2:4" ht="18" customHeight="1">
      <c r="B551" s="10"/>
      <c r="C551" s="10"/>
      <c r="D551" s="10"/>
    </row>
    <row r="552" spans="2:4" ht="18" customHeight="1">
      <c r="B552" s="10"/>
      <c r="C552" s="10"/>
      <c r="D552" s="10"/>
    </row>
    <row r="553" spans="2:4" ht="18" customHeight="1">
      <c r="B553" s="10"/>
      <c r="C553" s="10"/>
      <c r="D553" s="10"/>
    </row>
    <row r="554" spans="2:4" ht="18" customHeight="1">
      <c r="B554" s="10"/>
      <c r="C554" s="10"/>
      <c r="D554" s="10"/>
    </row>
    <row r="555" spans="2:4" ht="18" customHeight="1">
      <c r="B555" s="10"/>
      <c r="C555" s="10"/>
      <c r="D555" s="10"/>
    </row>
    <row r="556" spans="2:4" ht="18" customHeight="1">
      <c r="B556" s="10"/>
      <c r="C556" s="10"/>
      <c r="D556" s="10"/>
    </row>
    <row r="557" spans="2:4" ht="18" customHeight="1">
      <c r="B557" s="10"/>
      <c r="C557" s="10"/>
      <c r="D557" s="10"/>
    </row>
    <row r="558" spans="2:4" ht="18" customHeight="1">
      <c r="B558" s="10"/>
      <c r="C558" s="10"/>
      <c r="D558" s="10"/>
    </row>
    <row r="559" spans="2:4" ht="18" customHeight="1">
      <c r="B559" s="10"/>
      <c r="C559" s="10"/>
      <c r="D559" s="10"/>
    </row>
    <row r="560" spans="2:4" ht="18" customHeight="1">
      <c r="B560" s="10"/>
      <c r="C560" s="10"/>
      <c r="D560" s="10"/>
    </row>
    <row r="561" spans="2:4" ht="18" customHeight="1">
      <c r="B561" s="10"/>
      <c r="C561" s="10"/>
      <c r="D561" s="10"/>
    </row>
    <row r="562" spans="2:4" ht="18" customHeight="1">
      <c r="B562" s="10"/>
      <c r="C562" s="10"/>
      <c r="D562" s="10"/>
    </row>
    <row r="563" spans="2:4" ht="18" customHeight="1">
      <c r="B563" s="10"/>
      <c r="C563" s="10"/>
      <c r="D563" s="10"/>
    </row>
    <row r="564" spans="2:4" ht="18" customHeight="1">
      <c r="B564" s="10"/>
      <c r="C564" s="10"/>
      <c r="D564" s="10"/>
    </row>
  </sheetData>
  <conditionalFormatting sqref="F12:F17 F3:F9 F31">
    <cfRule type="cellIs" dxfId="22" priority="29" operator="equal">
      <formula>E3</formula>
    </cfRule>
  </conditionalFormatting>
  <conditionalFormatting sqref="F12:F16 F3:F9 F31">
    <cfRule type="cellIs" dxfId="21" priority="28" operator="notEqual">
      <formula>E3</formula>
    </cfRule>
  </conditionalFormatting>
  <conditionalFormatting sqref="F17">
    <cfRule type="cellIs" dxfId="20" priority="27" operator="notEqual">
      <formula>E17</formula>
    </cfRule>
  </conditionalFormatting>
  <conditionalFormatting sqref="F22">
    <cfRule type="cellIs" dxfId="19" priority="26" operator="equal">
      <formula>E22</formula>
    </cfRule>
  </conditionalFormatting>
  <conditionalFormatting sqref="F22">
    <cfRule type="cellIs" dxfId="18" priority="25" operator="notEqual">
      <formula>E22</formula>
    </cfRule>
  </conditionalFormatting>
  <conditionalFormatting sqref="F23:F25">
    <cfRule type="cellIs" dxfId="17" priority="24" operator="equal">
      <formula>E23</formula>
    </cfRule>
  </conditionalFormatting>
  <conditionalFormatting sqref="F23:F25">
    <cfRule type="cellIs" dxfId="16" priority="23" operator="notEqual">
      <formula>E23</formula>
    </cfRule>
  </conditionalFormatting>
  <conditionalFormatting sqref="F19">
    <cfRule type="cellIs" dxfId="15" priority="22" operator="equal">
      <formula>E19</formula>
    </cfRule>
  </conditionalFormatting>
  <conditionalFormatting sqref="F19">
    <cfRule type="cellIs" dxfId="14" priority="21" operator="notEqual">
      <formula>E19</formula>
    </cfRule>
  </conditionalFormatting>
  <conditionalFormatting sqref="F20:F21">
    <cfRule type="cellIs" dxfId="13" priority="20" operator="equal">
      <formula>E20</formula>
    </cfRule>
  </conditionalFormatting>
  <conditionalFormatting sqref="F20:F21">
    <cfRule type="cellIs" dxfId="12" priority="19" operator="notEqual">
      <formula>E20</formula>
    </cfRule>
  </conditionalFormatting>
  <conditionalFormatting sqref="F28:F30">
    <cfRule type="cellIs" dxfId="11" priority="16" operator="equal">
      <formula>E28</formula>
    </cfRule>
  </conditionalFormatting>
  <conditionalFormatting sqref="F28:F30">
    <cfRule type="cellIs" dxfId="10" priority="15" operator="notEqual">
      <formula>E28</formula>
    </cfRule>
  </conditionalFormatting>
  <conditionalFormatting sqref="F10">
    <cfRule type="cellIs" dxfId="9" priority="12" operator="equal">
      <formula>E10</formula>
    </cfRule>
  </conditionalFormatting>
  <conditionalFormatting sqref="F10">
    <cfRule type="cellIs" dxfId="8" priority="11" operator="notEqual">
      <formula>E10</formula>
    </cfRule>
  </conditionalFormatting>
  <conditionalFormatting sqref="F33:F41">
    <cfRule type="cellIs" dxfId="7" priority="10" operator="equal">
      <formula>E33</formula>
    </cfRule>
  </conditionalFormatting>
  <conditionalFormatting sqref="F33:F41">
    <cfRule type="cellIs" dxfId="6" priority="9" operator="notEqual">
      <formula>E33</formula>
    </cfRule>
  </conditionalFormatting>
  <conditionalFormatting sqref="F44:F50">
    <cfRule type="cellIs" dxfId="5" priority="8" operator="equal">
      <formula>E44</formula>
    </cfRule>
  </conditionalFormatting>
  <conditionalFormatting sqref="F44:F50">
    <cfRule type="cellIs" dxfId="4" priority="7" operator="notEqual">
      <formula>E44</formula>
    </cfRule>
  </conditionalFormatting>
  <conditionalFormatting sqref="F61:F69">
    <cfRule type="cellIs" dxfId="3" priority="2" operator="equal">
      <formula>E61</formula>
    </cfRule>
  </conditionalFormatting>
  <conditionalFormatting sqref="F61:F69">
    <cfRule type="cellIs" dxfId="2" priority="1" operator="notEqual">
      <formula>E61</formula>
    </cfRule>
  </conditionalFormatting>
  <conditionalFormatting sqref="F52:F58">
    <cfRule type="cellIs" dxfId="1" priority="4" operator="equal">
      <formula>E52</formula>
    </cfRule>
  </conditionalFormatting>
  <conditionalFormatting sqref="F52:F58">
    <cfRule type="cellIs" dxfId="0" priority="3" operator="notEqual">
      <formula>E52</formula>
    </cfRule>
  </conditionalFormatting>
  <pageMargins left="0.7" right="0.7" top="0.75" bottom="0.75" header="0.3" footer="0.3"/>
  <legacyDrawing r:id="rId1"/>
  <controls>
    <control shapeId="5179" r:id="rId2" name="CommandButton1"/>
  </controls>
</worksheet>
</file>

<file path=xl/worksheets/sheet5.xml><?xml version="1.0" encoding="utf-8"?>
<worksheet xmlns="http://schemas.openxmlformats.org/spreadsheetml/2006/main" xmlns:r="http://schemas.openxmlformats.org/officeDocument/2006/relationships">
  <sheetPr codeName="Sheet5">
    <tabColor rgb="FF00B050"/>
  </sheetPr>
  <dimension ref="A1:M531"/>
  <sheetViews>
    <sheetView zoomScaleNormal="100" workbookViewId="0">
      <pane ySplit="1" topLeftCell="A2" activePane="bottomLeft" state="frozen"/>
      <selection pane="bottomLeft" activeCell="H14" sqref="H14"/>
    </sheetView>
  </sheetViews>
  <sheetFormatPr baseColWidth="10" defaultColWidth="9" defaultRowHeight="18" customHeight="1"/>
  <cols>
    <col min="1" max="1" width="15.75" customWidth="1"/>
    <col min="2" max="2" width="59.75" bestFit="1" customWidth="1"/>
    <col min="3" max="3" width="4.375" bestFit="1" customWidth="1"/>
    <col min="4" max="4" width="4.375" customWidth="1"/>
    <col min="5" max="6" width="11.125" bestFit="1" customWidth="1"/>
    <col min="7" max="7" width="8.375" customWidth="1"/>
    <col min="8" max="8" width="20.75" bestFit="1" customWidth="1"/>
    <col min="9" max="9" width="19.5" customWidth="1"/>
    <col min="11" max="11" width="18.875" bestFit="1" customWidth="1"/>
    <col min="12" max="12" width="16.125" customWidth="1"/>
    <col min="13" max="13" width="9.375" customWidth="1"/>
  </cols>
  <sheetData>
    <row r="1" spans="1:13" ht="18" customHeight="1">
      <c r="A1" s="27"/>
      <c r="B1" s="27" t="s">
        <v>7</v>
      </c>
      <c r="C1" s="27" t="s">
        <v>250</v>
      </c>
      <c r="D1" s="27" t="s">
        <v>251</v>
      </c>
      <c r="E1" s="27" t="s">
        <v>49</v>
      </c>
      <c r="F1" s="27" t="s">
        <v>9</v>
      </c>
      <c r="G1" s="11"/>
      <c r="H1" s="27" t="s">
        <v>80</v>
      </c>
      <c r="I1" s="27"/>
      <c r="K1" s="64" t="s">
        <v>29</v>
      </c>
      <c r="L1" s="64"/>
      <c r="M1" s="64"/>
    </row>
    <row r="2" spans="1:13" ht="18" customHeight="1">
      <c r="A2" s="65" t="s">
        <v>253</v>
      </c>
      <c r="B2" s="65"/>
      <c r="C2" s="65"/>
      <c r="D2" s="65"/>
      <c r="E2" s="65"/>
      <c r="F2" s="65"/>
      <c r="G2" s="65"/>
      <c r="H2" s="65"/>
      <c r="I2" s="65"/>
      <c r="J2" s="65"/>
      <c r="K2" s="65"/>
      <c r="L2" s="65"/>
      <c r="M2" s="65"/>
    </row>
    <row r="3" spans="1:13" ht="18" customHeight="1">
      <c r="A3" s="10" t="s">
        <v>252</v>
      </c>
      <c r="B3" s="15" t="str">
        <f>HYPERLINK("#"&amp;ADDRESS(MATCH(A3,'Automation &amp; P. Cntrl-Deteailed'!$A$1:$A$4996,0),1,,,"Automation &amp; P. Cntrl-Deteailed"),VLOOKUP(A3,'Automation &amp; P. Cntrl-Deteailed'!A:C,3,FALSE))</f>
        <v>Fundamentals of Pneumatics I: Trainer &amp; LMS Lab</v>
      </c>
      <c r="C3" s="29" t="str">
        <f>IFERROR(HYPERLINK("#"&amp;ADDRESS(MATCH(A3&amp;"ES",'LM7 Non-ENG'!$A$1:$A$5000,0),1,,,"LM7 Non-ENG"),IF(IFERROR(VLOOKUP(A3&amp;"ES",'LM7 Non-ENG'!$A$1:$A$4999,1,FALSE),"ERROR")=A3&amp;"ES","Y","")),"")</f>
        <v/>
      </c>
      <c r="D3" s="29" t="str">
        <f>IFERROR(HYPERLINK("#"&amp;ADDRESS(MATCH(A3&amp;"PT",'LM7 Non-ENG'!$A$1:$A$5000,0),1,,,"LM7 Non-ENG"),IF(IFERROR(VLOOKUP(A3&amp;"PT",'LM7 Non-ENG'!$A$1:$A$5000,1,FALSE),"ERROR")=A3&amp;"PT","Y","")),"")</f>
        <v/>
      </c>
      <c r="E3" s="3">
        <f>'Automation &amp; P. Cntrl-Deteailed'!J2</f>
        <v>9890</v>
      </c>
      <c r="F3" s="11">
        <v>9890</v>
      </c>
      <c r="G3" s="11"/>
      <c r="K3" s="17" t="str">
        <f>HYPERLINK("#"&amp;ADDRESS(MATCH("LearnMate 7 Bundles",LearnMate7!$A$1:$A$5000,0),1,,,"LearnMate7"),"LMS")</f>
        <v>LMS</v>
      </c>
    </row>
    <row r="4" spans="1:13" ht="18" customHeight="1">
      <c r="A4" t="s">
        <v>256</v>
      </c>
      <c r="B4" s="15" t="str">
        <f>HYPERLINK("#"&amp;ADDRESS(MATCH(A4,'Automation &amp; P. Cntrl-Deteailed'!$A$1:$A$4996,0),1,,,"Automation &amp; P. Cntrl-Deteailed"),VLOOKUP(A4,'Automation &amp; P. Cntrl-Deteailed'!A:C,3,FALSE))</f>
        <v>Advanced Pneumatics II: Trainer, PneuFlex and LMS Lab</v>
      </c>
      <c r="C4" s="29" t="str">
        <f>IFERROR(HYPERLINK("#"&amp;ADDRESS(MATCH(A4&amp;"ES",'LM7 Non-ENG'!$A$1:$A$5000,0),1,,,"LM7 Non-ENG"),IF(IFERROR(VLOOKUP(A4&amp;"ES",'LM7 Non-ENG'!$A$1:$A$4999,1,FALSE),"ERROR")=A4&amp;"ES","Y","")),"")</f>
        <v/>
      </c>
      <c r="D4" s="29" t="str">
        <f>IFERROR(HYPERLINK("#"&amp;ADDRESS(MATCH(A4&amp;"PT",'LM7 Non-ENG'!$A$1:$A$5000,0),1,,,"LM7 Non-ENG"),IF(IFERROR(VLOOKUP(A4&amp;"PT",'LM7 Non-ENG'!$A$1:$A$5000,1,FALSE),"ERROR")=A4&amp;"PT","Y","")),"")</f>
        <v/>
      </c>
      <c r="E4" s="3">
        <f>'Automation &amp; P. Cntrl-Deteailed'!J10</f>
        <v>2667</v>
      </c>
      <c r="F4" s="11">
        <v>5162</v>
      </c>
      <c r="G4" s="11"/>
      <c r="K4" s="17" t="str">
        <f>HYPERLINK("#"&amp;ADDRESS(MATCH("LearnMate 7 Bundles",LearnMate7!$A$1:$A$5000,0),1,,,"LearnMate7"),"LMS")</f>
        <v>LMS</v>
      </c>
    </row>
    <row r="5" spans="1:13" ht="18" customHeight="1">
      <c r="A5" t="s">
        <v>259</v>
      </c>
      <c r="B5" s="15" t="str">
        <f>HYPERLINK("#"&amp;ADDRESS(MATCH(A5,'Automation &amp; P. Cntrl-Deteailed'!$A$1:$A$4996,0),1,,,"Automation &amp; P. Cntrl-Deteailed"),VLOOKUP(A5,'Automation &amp; P. Cntrl-Deteailed'!A:C,3,FALSE))</f>
        <v>Fundamentals of Hydraulics I:  LMS Lab, Hydraulics 1 w/HydraFlex</v>
      </c>
      <c r="C5" s="29" t="str">
        <f>IFERROR(HYPERLINK("#"&amp;ADDRESS(MATCH(A5&amp;"ES",'LM7 Non-ENG'!$A$1:$A$5000,0),1,,,"LM7 Non-ENG"),IF(IFERROR(VLOOKUP(A5&amp;"ES",'LM7 Non-ENG'!$A$1:$A$4999,1,FALSE),"ERROR")=A5&amp;"ES","Y","")),"")</f>
        <v/>
      </c>
      <c r="D5" s="29" t="str">
        <f>IFERROR(HYPERLINK("#"&amp;ADDRESS(MATCH(A5&amp;"PT",'LM7 Non-ENG'!$A$1:$A$5000,0),1,,,"LM7 Non-ENG"),IF(IFERROR(VLOOKUP(A5&amp;"PT",'LM7 Non-ENG'!$A$1:$A$5000,1,FALSE),"ERROR")=A5&amp;"PT","Y","")),"")</f>
        <v/>
      </c>
      <c r="E5" s="3">
        <f>'Automation &amp; P. Cntrl-Deteailed'!J14</f>
        <v>13590</v>
      </c>
      <c r="F5" s="11">
        <v>14678</v>
      </c>
      <c r="G5" s="11"/>
      <c r="K5" s="17" t="str">
        <f>HYPERLINK("#"&amp;ADDRESS(MATCH("LearnMate 7 Bundles",LearnMate7!$A$1:$A$5000,0),1,,,"LearnMate7"),"LMS")</f>
        <v>LMS</v>
      </c>
    </row>
    <row r="6" spans="1:13" ht="18" customHeight="1">
      <c r="A6" t="s">
        <v>261</v>
      </c>
      <c r="B6" s="15" t="str">
        <f>HYPERLINK("#"&amp;ADDRESS(MATCH(A6,'Automation &amp; P. Cntrl-Deteailed'!$A$1:$A$4996,0),1,,,"Automation &amp; P. Cntrl-Deteailed"),VLOOKUP(A6,'Automation &amp; P. Cntrl-Deteailed'!A:C,3,FALSE))</f>
        <v>Fundamentals of Hydraulics I:  LMS Lab, Hydraulics 1 w/HydraFlex 220V</v>
      </c>
      <c r="C6" s="29" t="str">
        <f>IFERROR(HYPERLINK("#"&amp;ADDRESS(MATCH(A6&amp;"ES",'LM7 Non-ENG'!$A$1:$A$5000,0),1,,,"LM7 Non-ENG"),IF(IFERROR(VLOOKUP(A6&amp;"ES",'LM7 Non-ENG'!$A$1:$A$4999,1,FALSE),"ERROR")=A6&amp;"ES","Y","")),"")</f>
        <v/>
      </c>
      <c r="D6" s="29" t="str">
        <f>IFERROR(HYPERLINK("#"&amp;ADDRESS(MATCH(A6&amp;"PT",'LM7 Non-ENG'!$A$1:$A$5000,0),1,,,"LM7 Non-ENG"),IF(IFERROR(VLOOKUP(A6&amp;"PT",'LM7 Non-ENG'!$A$1:$A$5000,1,FALSE),"ERROR")=A6&amp;"PT","Y","")),"")</f>
        <v/>
      </c>
      <c r="E6" s="3">
        <f>'Automation &amp; P. Cntrl-Deteailed'!J22</f>
        <v>16030.25</v>
      </c>
      <c r="F6" s="11">
        <v>16324</v>
      </c>
      <c r="G6" s="11"/>
      <c r="K6" s="17" t="str">
        <f>HYPERLINK("#"&amp;ADDRESS(MATCH("LearnMate 7 Bundles",LearnMate7!$A$1:$A$5000,0),1,,,"LearnMate7"),"LMS")</f>
        <v>LMS</v>
      </c>
    </row>
    <row r="7" spans="1:13" ht="18" customHeight="1">
      <c r="A7" t="s">
        <v>264</v>
      </c>
      <c r="B7" s="15" t="str">
        <f>HYPERLINK("#"&amp;ADDRESS(MATCH(A7,'Automation &amp; P. Cntrl-Deteailed'!$A$1:$A$4996,0),1,,,"Automation &amp; P. Cntrl-Deteailed"),VLOOKUP(A7,'Automation &amp; P. Cntrl-Deteailed'!A:C,3,FALSE))</f>
        <v>Advanced Hydraulics II</v>
      </c>
      <c r="C7" s="29" t="str">
        <f>IFERROR(HYPERLINK("#"&amp;ADDRESS(MATCH(A7&amp;"ES",'LM7 Non-ENG'!$A$1:$A$5000,0),1,,,"LM7 Non-ENG"),IF(IFERROR(VLOOKUP(A7&amp;"ES",'LM7 Non-ENG'!$A$1:$A$4999,1,FALSE),"ERROR")=A7&amp;"ES","Y","")),"")</f>
        <v/>
      </c>
      <c r="D7" s="29" t="str">
        <f>IFERROR(HYPERLINK("#"&amp;ADDRESS(MATCH(A7&amp;"PT",'LM7 Non-ENG'!$A$1:$A$5000,0),1,,,"LM7 Non-ENG"),IF(IFERROR(VLOOKUP(A7&amp;"PT",'LM7 Non-ENG'!$A$1:$A$5000,1,FALSE),"ERROR")=A7&amp;"PT","Y","")),"")</f>
        <v/>
      </c>
      <c r="E7" s="3">
        <f>'Automation &amp; P. Cntrl-Deteailed'!J31</f>
        <v>6229</v>
      </c>
      <c r="F7" s="11">
        <v>6229</v>
      </c>
      <c r="G7" s="11"/>
      <c r="K7" s="17" t="str">
        <f>HYPERLINK("#"&amp;ADDRESS(MATCH("LearnMate 7 Bundles",LearnMate7!$A$1:$A$5000,0),1,,,"LearnMate7"),"LMS")</f>
        <v>LMS</v>
      </c>
    </row>
    <row r="8" spans="1:13" ht="18" customHeight="1">
      <c r="A8" t="s">
        <v>267</v>
      </c>
      <c r="B8" s="15" t="str">
        <f>HYPERLINK("#"&amp;ADDRESS(MATCH(A8,'Automation &amp; P. Cntrl-Deteailed'!$A$1:$A$4996,0),1,,,"Automation &amp; P. Cntrl-Deteailed"),VLOOKUP(A8,'Automation &amp; P. Cntrl-Deteailed'!A:C,3,FALSE))</f>
        <v>MicroLogix PLC Trainer &amp; Curriculum, LMS Lab</v>
      </c>
      <c r="C8" s="29" t="str">
        <f>IFERROR(HYPERLINK("#"&amp;ADDRESS(MATCH(A8&amp;"ES",'LM7 Non-ENG'!$A$1:$A$5000,0),1,,,"LM7 Non-ENG"),IF(IFERROR(VLOOKUP(A8&amp;"ES",'LM7 Non-ENG'!$A$1:$A$4999,1,FALSE),"ERROR")=A8&amp;"ES","Y","")),"")</f>
        <v/>
      </c>
      <c r="D8" s="29" t="str">
        <f>IFERROR(HYPERLINK("#"&amp;ADDRESS(MATCH(A8&amp;"PT",'LM7 Non-ENG'!$A$1:$A$5000,0),1,,,"LM7 Non-ENG"),IF(IFERROR(VLOOKUP(A8&amp;"PT",'LM7 Non-ENG'!$A$1:$A$5000,1,FALSE),"ERROR")=A8&amp;"PT","Y","")),"")</f>
        <v/>
      </c>
      <c r="E8" s="3">
        <f>'Automation &amp; P. Cntrl-Deteailed'!J36</f>
        <v>5867</v>
      </c>
      <c r="F8" s="11">
        <v>8862</v>
      </c>
      <c r="G8" s="11"/>
      <c r="K8" s="17" t="str">
        <f>HYPERLINK("#"&amp;ADDRESS(MATCH("LearnMate 7 Bundles",LearnMate7!$A$1:$A$5000,0),1,,,"LearnMate7"),"LMS")</f>
        <v>LMS</v>
      </c>
    </row>
    <row r="9" spans="1:13" ht="18" customHeight="1">
      <c r="A9" t="s">
        <v>270</v>
      </c>
      <c r="B9" s="15" t="str">
        <f>HYPERLINK("#"&amp;ADDRESS(MATCH(A9,'Automation &amp; P. Cntrl-Deteailed'!$A$1:$A$4996,0),1,,,"Automation &amp; P. Cntrl-Deteailed"),VLOOKUP(A9,'Automation &amp; P. Cntrl-Deteailed'!A:C,3,FALSE))</f>
        <v>SLC 500 PLC Trainer &amp; Curriculum</v>
      </c>
      <c r="C9" s="29" t="str">
        <f>IFERROR(HYPERLINK("#"&amp;ADDRESS(MATCH(A9&amp;"ES",'LM7 Non-ENG'!$A$1:$A$5000,0),1,,,"LM7 Non-ENG"),IF(IFERROR(VLOOKUP(A9&amp;"ES",'LM7 Non-ENG'!$A$1:$A$4999,1,FALSE),"ERROR")=A9&amp;"ES","Y","")),"")</f>
        <v/>
      </c>
      <c r="D9" s="29" t="str">
        <f>IFERROR(HYPERLINK("#"&amp;ADDRESS(MATCH(A9&amp;"PT",'LM7 Non-ENG'!$A$1:$A$5000,0),1,,,"LM7 Non-ENG"),IF(IFERROR(VLOOKUP(A9&amp;"PT",'LM7 Non-ENG'!$A$1:$A$5000,1,FALSE),"ERROR")=A9&amp;"PT","Y","")),"")</f>
        <v/>
      </c>
      <c r="E9" s="3">
        <f>'Automation &amp; P. Cntrl-Deteailed'!J44</f>
        <v>10400</v>
      </c>
      <c r="F9" s="11">
        <v>13395</v>
      </c>
      <c r="G9" s="11"/>
      <c r="K9" s="17" t="str">
        <f>HYPERLINK("#"&amp;ADDRESS(MATCH("LearnMate 7 Bundles",LearnMate7!$A$1:$A$5000,0),1,,,"LearnMate7"),"LMS")</f>
        <v>LMS</v>
      </c>
    </row>
    <row r="10" spans="1:13" ht="18" customHeight="1">
      <c r="A10" t="s">
        <v>273</v>
      </c>
      <c r="B10" s="15" t="str">
        <f>HYPERLINK("#"&amp;ADDRESS(MATCH(A10,'Automation &amp; P. Cntrl-Deteailed'!$A$1:$A$4996,0),1,,,"Automation &amp; P. Cntrl-Deteailed"),VLOOKUP(A10,'Automation &amp; P. Cntrl-Deteailed'!A:C,3,FALSE))</f>
        <v>Sensor Line Training Panel, LMS Lab</v>
      </c>
      <c r="C10" s="29" t="str">
        <f>IFERROR(HYPERLINK("#"&amp;ADDRESS(MATCH(A10&amp;"ES",'LM7 Non-ENG'!$A$1:$A$5000,0),1,,,"LM7 Non-ENG"),IF(IFERROR(VLOOKUP(A10&amp;"ES",'LM7 Non-ENG'!$A$1:$A$4999,1,FALSE),"ERROR")=A10&amp;"ES","Y","")),"")</f>
        <v/>
      </c>
      <c r="D10" s="29" t="str">
        <f>IFERROR(HYPERLINK("#"&amp;ADDRESS(MATCH(A10&amp;"PT",'LM7 Non-ENG'!$A$1:$A$5000,0),1,,,"LM7 Non-ENG"),IF(IFERROR(VLOOKUP(A10&amp;"PT",'LM7 Non-ENG'!$A$1:$A$5000,1,FALSE),"ERROR")=A10&amp;"PT","Y","")),"")</f>
        <v/>
      </c>
      <c r="E10" s="3">
        <f>'Automation &amp; P. Cntrl-Deteailed'!J52</f>
        <v>4267</v>
      </c>
      <c r="F10" s="11">
        <v>6762</v>
      </c>
      <c r="G10" s="11"/>
      <c r="K10" s="17" t="str">
        <f>HYPERLINK("#"&amp;ADDRESS(MATCH("LearnMate 7 Bundles",LearnMate7!$A$1:$A$5000,0),1,,,"LearnMate7"),"LMS")</f>
        <v>LMS</v>
      </c>
    </row>
    <row r="11" spans="1:13" ht="18" customHeight="1">
      <c r="A11" s="63" t="s">
        <v>290</v>
      </c>
      <c r="B11" s="63"/>
      <c r="C11" s="63" t="str">
        <f>IFERROR(HYPERLINK("#"&amp;ADDRESS(MATCH(A11&amp;"ES",'LM7 Non-ENG'!$A$1:$A$5000,0),1,,,"LM7 Non-ENG"),IF(IFERROR(VLOOKUP(A11&amp;"ES",'LM7 Non-ENG'!$A$1:$A$4999,1,FALSE),"ERROR")=A11&amp;"ES","Y","")),"")</f>
        <v/>
      </c>
      <c r="D11" s="63" t="str">
        <f>IFERROR(HYPERLINK("#"&amp;ADDRESS(MATCH(A11&amp;"PT",'LM7 Non-ENG'!$A$1:$A$5000,0),1,,,"LM7 Non-ENG"),IF(IFERROR(VLOOKUP(A11&amp;"PT",'LM7 Non-ENG'!$A$1:$A$5000,1,FALSE),"ERROR")=A11&amp;"PT","Y","")),"")</f>
        <v/>
      </c>
      <c r="E11" s="63"/>
      <c r="F11" s="63"/>
      <c r="G11" s="63"/>
      <c r="H11" s="63"/>
      <c r="I11" s="63"/>
      <c r="J11" s="63"/>
      <c r="K11" s="63"/>
      <c r="L11" s="63"/>
      <c r="M11" s="63"/>
    </row>
    <row r="12" spans="1:13" ht="18" customHeight="1">
      <c r="A12" s="10" t="s">
        <v>276</v>
      </c>
      <c r="B12" s="10" t="s">
        <v>286</v>
      </c>
      <c r="C12" s="29" t="str">
        <f>IFERROR(HYPERLINK("#"&amp;ADDRESS(MATCH(A12&amp;"ES",'LM7 Non-ENG'!$A$1:$A$5000,0),1,,,"LM7 Non-ENG"),IF(IFERROR(VLOOKUP(A12&amp;"ES",'LM7 Non-ENG'!$A$1:$A$4999,1,FALSE),"ERROR")=A12&amp;"ES","Y","")),"")</f>
        <v/>
      </c>
      <c r="D12" s="29" t="str">
        <f>IFERROR(HYPERLINK("#"&amp;ADDRESS(MATCH(A12&amp;"PT",'LM7 Non-ENG'!$A$1:$A$5000,0),1,,,"LM7 Non-ENG"),IF(IFERROR(VLOOKUP(A12&amp;"PT",'LM7 Non-ENG'!$A$1:$A$5000,1,FALSE),"ERROR")=A12&amp;"PT","Y","")),"")</f>
        <v/>
      </c>
      <c r="E12" s="3">
        <f>IFERROR(VLOOKUP(A12,PLInter!A:D,3,FALSE),"")</f>
        <v>6395</v>
      </c>
      <c r="F12" s="11">
        <v>6395</v>
      </c>
    </row>
    <row r="13" spans="1:13" ht="18" customHeight="1">
      <c r="A13" s="10" t="s">
        <v>277</v>
      </c>
      <c r="B13" s="10" t="s">
        <v>287</v>
      </c>
      <c r="C13" s="29" t="str">
        <f>IFERROR(HYPERLINK("#"&amp;ADDRESS(MATCH(A13&amp;"ES",'LM7 Non-ENG'!$A$1:$A$5000,0),1,,,"LM7 Non-ENG"),IF(IFERROR(VLOOKUP(A13&amp;"ES",'LM7 Non-ENG'!$A$1:$A$4999,1,FALSE),"ERROR")=A13&amp;"ES","Y","")),"")</f>
        <v/>
      </c>
      <c r="D13" s="29" t="str">
        <f>IFERROR(HYPERLINK("#"&amp;ADDRESS(MATCH(A13&amp;"PT",'LM7 Non-ENG'!$A$1:$A$5000,0),1,,,"LM7 Non-ENG"),IF(IFERROR(VLOOKUP(A13&amp;"PT",'LM7 Non-ENG'!$A$1:$A$5000,1,FALSE),"ERROR")=A13&amp;"PT","Y","")),"")</f>
        <v/>
      </c>
      <c r="E13" s="3">
        <f>IFERROR(VLOOKUP(A13,PLInter!A:D,3,FALSE),"")</f>
        <v>2667</v>
      </c>
      <c r="F13" s="11">
        <v>2667</v>
      </c>
      <c r="K13" s="17" t="str">
        <f>HYPERLINK("#"&amp;ADDRESS(MATCH("PneuFlex 1 - Pneumatic Trainer w T-slot panel",$B$1:$B$4995,0),1,,,"Automation &amp; Process Control"),"PneuFlex T-slot panel")</f>
        <v>PneuFlex T-slot panel</v>
      </c>
    </row>
    <row r="14" spans="1:13" ht="18" customHeight="1">
      <c r="A14" s="10" t="s">
        <v>278</v>
      </c>
      <c r="B14" s="10" t="s">
        <v>288</v>
      </c>
      <c r="C14" s="29" t="str">
        <f>IFERROR(HYPERLINK("#"&amp;ADDRESS(MATCH(A14&amp;"ES",'LM7 Non-ENG'!$A$1:$A$5000,0),1,,,"LM7 Non-ENG"),IF(IFERROR(VLOOKUP(A14&amp;"ES",'LM7 Non-ENG'!$A$1:$A$4999,1,FALSE),"ERROR")=A14&amp;"ES","Y","")),"")</f>
        <v/>
      </c>
      <c r="D14" s="29" t="str">
        <f>IFERROR(HYPERLINK("#"&amp;ADDRESS(MATCH(A14&amp;"PT",'LM7 Non-ENG'!$A$1:$A$5000,0),1,,,"LM7 Non-ENG"),IF(IFERROR(VLOOKUP(A14&amp;"PT",'LM7 Non-ENG'!$A$1:$A$5000,1,FALSE),"ERROR")=A14&amp;"PT","Y","")),"")</f>
        <v/>
      </c>
      <c r="E14" s="3">
        <f>IFERROR(VLOOKUP(A14,PLInter!A:D,3,FALSE),"")</f>
        <v>2934</v>
      </c>
      <c r="F14" s="11">
        <v>2934</v>
      </c>
      <c r="K14" s="17" t="str">
        <f>HYPERLINK("#"&amp;ADDRESS(MATCH("PneuFlex 2 - Advanced Pneumatics Component set",$B$1:$B$4995,0),1,,,"Automation &amp; Process Control"),"Advanced Pneumatics")</f>
        <v>Advanced Pneumatics</v>
      </c>
    </row>
    <row r="15" spans="1:13" ht="18" customHeight="1">
      <c r="A15" s="10" t="s">
        <v>279</v>
      </c>
      <c r="B15" s="10" t="s">
        <v>289</v>
      </c>
      <c r="C15" s="29" t="str">
        <f>IFERROR(HYPERLINK("#"&amp;ADDRESS(MATCH(A15&amp;"ES",'LM7 Non-ENG'!$A$1:$A$5000,0),1,,,"LM7 Non-ENG"),IF(IFERROR(VLOOKUP(A15&amp;"ES",'LM7 Non-ENG'!$A$1:$A$4999,1,FALSE),"ERROR")=A15&amp;"ES","Y","")),"")</f>
        <v/>
      </c>
      <c r="D15" s="29" t="str">
        <f>IFERROR(HYPERLINK("#"&amp;ADDRESS(MATCH(A15&amp;"PT",'LM7 Non-ENG'!$A$1:$A$5000,0),1,,,"LM7 Non-ENG"),IF(IFERROR(VLOOKUP(A15&amp;"PT",'LM7 Non-ENG'!$A$1:$A$5000,1,FALSE),"ERROR")=A15&amp;"PT","Y","")),"")</f>
        <v/>
      </c>
      <c r="E15" s="3">
        <f>IFERROR(VLOOKUP(A15,PLInter!A:D,3,FALSE),"")</f>
        <v>500</v>
      </c>
      <c r="F15" s="11">
        <v>500</v>
      </c>
    </row>
    <row r="16" spans="1:13" ht="18" customHeight="1">
      <c r="A16" s="10" t="s">
        <v>280</v>
      </c>
      <c r="B16" s="10" t="s">
        <v>291</v>
      </c>
      <c r="C16" s="29" t="str">
        <f>IFERROR(HYPERLINK("#"&amp;ADDRESS(MATCH(A16&amp;"ES",'LM7 Non-ENG'!$A$1:$A$5000,0),1,,,"LM7 Non-ENG"),IF(IFERROR(VLOOKUP(A16&amp;"ES",'LM7 Non-ENG'!$A$1:$A$4999,1,FALSE),"ERROR")=A16&amp;"ES","Y","")),"")</f>
        <v>Y</v>
      </c>
      <c r="D16" s="29" t="str">
        <f>IFERROR(HYPERLINK("#"&amp;ADDRESS(MATCH(A16&amp;"PT",'LM7 Non-ENG'!$A$1:$A$5000,0),1,,,"LM7 Non-ENG"),IF(IFERROR(VLOOKUP(A16&amp;"PT",'LM7 Non-ENG'!$A$1:$A$5000,1,FALSE),"ERROR")=A16&amp;"PT","Y","")),"")</f>
        <v>Y</v>
      </c>
      <c r="E16" s="3">
        <f>IFERROR(VLOOKUP(A16,PLInter!A:D,3,FALSE),"")</f>
        <v>2995</v>
      </c>
      <c r="F16" s="11">
        <v>2995</v>
      </c>
      <c r="K16" s="17" t="str">
        <f>HYPERLINK("#"&amp;ADDRESS(MATCH("LearnMate 7 Bundles",LearnMate7!$A$1:$A$5000,0),1,,,"LearnMate7"),"LMS")</f>
        <v>LMS</v>
      </c>
    </row>
    <row r="17" spans="1:13" ht="18" customHeight="1">
      <c r="A17" s="10" t="s">
        <v>281</v>
      </c>
      <c r="B17" s="10" t="s">
        <v>292</v>
      </c>
      <c r="C17" s="29" t="str">
        <f>IFERROR(HYPERLINK("#"&amp;ADDRESS(MATCH(A17&amp;"ES",'LM7 Non-ENG'!$A$1:$A$5000,0),1,,,"LM7 Non-ENG"),IF(IFERROR(VLOOKUP(A17&amp;"ES",'LM7 Non-ENG'!$A$1:$A$4999,1,FALSE),"ERROR")=A17&amp;"ES","Y","")),"")</f>
        <v>Y</v>
      </c>
      <c r="D17" s="29" t="str">
        <f>IFERROR(HYPERLINK("#"&amp;ADDRESS(MATCH(A17&amp;"PT",'LM7 Non-ENG'!$A$1:$A$5000,0),1,,,"LM7 Non-ENG"),IF(IFERROR(VLOOKUP(A17&amp;"PT",'LM7 Non-ENG'!$A$1:$A$5000,1,FALSE),"ERROR")=A17&amp;"PT","Y","")),"")</f>
        <v>Y</v>
      </c>
      <c r="E17" s="3">
        <f>IFERROR(VLOOKUP(A17,PLInter!A:D,3,FALSE),"")</f>
        <v>2495</v>
      </c>
      <c r="F17" s="11">
        <v>2495</v>
      </c>
      <c r="K17" s="17" t="str">
        <f>HYPERLINK("#"&amp;ADDRESS(MATCH("LearnMate 7 Bundles",LearnMate7!$A$1:$A$5000,0),1,,,"LearnMate7"),"LMS")</f>
        <v>LMS</v>
      </c>
    </row>
    <row r="18" spans="1:13" ht="18" customHeight="1">
      <c r="A18" s="10" t="s">
        <v>282</v>
      </c>
      <c r="B18" s="10" t="s">
        <v>293</v>
      </c>
      <c r="C18" s="29" t="str">
        <f>IFERROR(HYPERLINK("#"&amp;ADDRESS(MATCH(A18&amp;"ES",'LM7 Non-ENG'!$A$1:$A$5000,0),1,,,"LM7 Non-ENG"),IF(IFERROR(VLOOKUP(A18&amp;"ES",'LM7 Non-ENG'!$A$1:$A$4999,1,FALSE),"ERROR")=A18&amp;"ES","Y","")),"")</f>
        <v>Y</v>
      </c>
      <c r="D18" s="29" t="str">
        <f>IFERROR(HYPERLINK("#"&amp;ADDRESS(MATCH(A18&amp;"PT",'LM7 Non-ENG'!$A$1:$A$5000,0),1,,,"LM7 Non-ENG"),IF(IFERROR(VLOOKUP(A18&amp;"PT",'LM7 Non-ENG'!$A$1:$A$5000,1,FALSE),"ERROR")=A18&amp;"PT","Y","")),"")</f>
        <v>Y</v>
      </c>
      <c r="E18" s="3">
        <f>IFERROR(VLOOKUP(A18,PLInter!A:D,3,FALSE),"")</f>
        <v>2495</v>
      </c>
      <c r="F18" s="11">
        <v>2495</v>
      </c>
      <c r="K18" s="17" t="str">
        <f>HYPERLINK("#"&amp;ADDRESS(MATCH("LearnMate 7 Bundles",LearnMate7!$A$1:$A$5000,0),1,,,"LearnMate7"),"LMS")</f>
        <v>LMS</v>
      </c>
    </row>
    <row r="19" spans="1:13" ht="18" customHeight="1">
      <c r="A19" s="10" t="s">
        <v>283</v>
      </c>
      <c r="B19" s="10" t="s">
        <v>294</v>
      </c>
      <c r="C19" s="29" t="str">
        <f>IFERROR(HYPERLINK("#"&amp;ADDRESS(MATCH(A19&amp;"ES",'LM7 Non-ENG'!$A$1:$A$5000,0),1,,,"LM7 Non-ENG"),IF(IFERROR(VLOOKUP(A19&amp;"ES",'LM7 Non-ENG'!$A$1:$A$4999,1,FALSE),"ERROR")=A19&amp;"ES","Y","")),"")</f>
        <v>Y</v>
      </c>
      <c r="D19" s="29" t="str">
        <f>IFERROR(HYPERLINK("#"&amp;ADDRESS(MATCH(A19&amp;"PT",'LM7 Non-ENG'!$A$1:$A$5000,0),1,,,"LM7 Non-ENG"),IF(IFERROR(VLOOKUP(A19&amp;"PT",'LM7 Non-ENG'!$A$1:$A$5000,1,FALSE),"ERROR")=A19&amp;"PT","Y","")),"")</f>
        <v/>
      </c>
      <c r="E19" s="3">
        <f>IFERROR(VLOOKUP(A19,PLInter!A:D,3,FALSE),"")</f>
        <v>2495</v>
      </c>
      <c r="F19" s="11">
        <v>2495</v>
      </c>
      <c r="K19" s="17" t="str">
        <f>HYPERLINK("#"&amp;ADDRESS(MATCH("LearnMate 7 Bundles",LearnMate7!$A$1:$A$5000,0),1,,,"LearnMate7"),"LMS")</f>
        <v>LMS</v>
      </c>
    </row>
    <row r="20" spans="1:13" ht="18" customHeight="1">
      <c r="A20" s="10" t="s">
        <v>284</v>
      </c>
      <c r="B20" s="10" t="s">
        <v>295</v>
      </c>
      <c r="C20" s="29" t="str">
        <f>IFERROR(HYPERLINK("#"&amp;ADDRESS(MATCH(A20&amp;"ES",'LM7 Non-ENG'!$A$1:$A$5000,0),1,,,"LM7 Non-ENG"),IF(IFERROR(VLOOKUP(A20&amp;"ES",'LM7 Non-ENG'!$A$1:$A$4999,1,FALSE),"ERROR")=A20&amp;"ES","Y","")),"")</f>
        <v/>
      </c>
      <c r="D20" s="29" t="str">
        <f>IFERROR(HYPERLINK("#"&amp;ADDRESS(MATCH(A20&amp;"PT",'LM7 Non-ENG'!$A$1:$A$5000,0),1,,,"LM7 Non-ENG"),IF(IFERROR(VLOOKUP(A20&amp;"PT",'LM7 Non-ENG'!$A$1:$A$5000,1,FALSE),"ERROR")=A20&amp;"PT","Y","")),"")</f>
        <v/>
      </c>
      <c r="E20" s="3">
        <f>IFERROR(VLOOKUP(A20,PLInter!A:D,3,FALSE),"")</f>
        <v>2495</v>
      </c>
      <c r="F20" s="11">
        <v>2995</v>
      </c>
      <c r="K20" s="17" t="str">
        <f>HYPERLINK("#"&amp;ADDRESS(MATCH("LearnMate 7 Bundles",LearnMate7!$A$1:$A$5000,0),1,,,"LearnMate7"),"LMS")</f>
        <v>LMS</v>
      </c>
    </row>
    <row r="21" spans="1:13" ht="18" customHeight="1">
      <c r="A21" s="10" t="s">
        <v>285</v>
      </c>
      <c r="B21" s="10" t="s">
        <v>296</v>
      </c>
      <c r="C21" s="29" t="str">
        <f>IFERROR(HYPERLINK("#"&amp;ADDRESS(MATCH(A21&amp;"ES",'LM7 Non-ENG'!$A$1:$A$5000,0),1,,,"LM7 Non-ENG"),IF(IFERROR(VLOOKUP(A21&amp;"ES",'LM7 Non-ENG'!$A$1:$A$4999,1,FALSE),"ERROR")=A21&amp;"ES","Y","")),"")</f>
        <v/>
      </c>
      <c r="D21" s="29" t="str">
        <f>IFERROR(HYPERLINK("#"&amp;ADDRESS(MATCH(A21&amp;"PT",'LM7 Non-ENG'!$A$1:$A$5000,0),1,,,"LM7 Non-ENG"),IF(IFERROR(VLOOKUP(A21&amp;"PT",'LM7 Non-ENG'!$A$1:$A$5000,1,FALSE),"ERROR")=A21&amp;"PT","Y","")),"")</f>
        <v/>
      </c>
      <c r="E21" s="3">
        <f>IFERROR(VLOOKUP(A21,PLInter!A:D,3,FALSE),"")</f>
        <v>2495</v>
      </c>
      <c r="F21" s="11">
        <v>2495</v>
      </c>
      <c r="K21" s="17" t="str">
        <f>HYPERLINK("#"&amp;ADDRESS(MATCH("LearnMate 7 Bundles",LearnMate7!$A$1:$A$5000,0),1,,,"LearnMate7"),"LMS")</f>
        <v>LMS</v>
      </c>
    </row>
    <row r="22" spans="1:13" ht="18" customHeight="1">
      <c r="A22" s="63" t="s">
        <v>297</v>
      </c>
      <c r="B22" s="63"/>
      <c r="C22" s="63" t="str">
        <f>IFERROR(HYPERLINK("#"&amp;ADDRESS(MATCH(A22&amp;"ES",'LM7 Non-ENG'!$A$1:$A$5000,0),1,,,"LM7 Non-ENG"),IF(IFERROR(VLOOKUP(A22&amp;"ES",'LM7 Non-ENG'!$A$1:$A$4999,1,FALSE),"ERROR")=A22&amp;"ES","Y","")),"")</f>
        <v/>
      </c>
      <c r="D22" s="63" t="str">
        <f>IFERROR(HYPERLINK("#"&amp;ADDRESS(MATCH(A22&amp;"PT",'LM7 Non-ENG'!$A$1:$A$5000,0),1,,,"LM7 Non-ENG"),IF(IFERROR(VLOOKUP(A22&amp;"PT",'LM7 Non-ENG'!$A$1:$A$5000,1,FALSE),"ERROR")=A22&amp;"PT","Y","")),"")</f>
        <v/>
      </c>
      <c r="E22" s="63"/>
      <c r="F22" s="63"/>
      <c r="G22" s="63"/>
      <c r="H22" s="63"/>
      <c r="I22" s="63"/>
      <c r="J22" s="63"/>
      <c r="K22" s="63"/>
      <c r="L22" s="63"/>
      <c r="M22" s="63"/>
    </row>
    <row r="23" spans="1:13" ht="18" customHeight="1">
      <c r="A23" s="10" t="s">
        <v>298</v>
      </c>
      <c r="B23" s="10" t="s">
        <v>307</v>
      </c>
      <c r="C23" s="29" t="str">
        <f>IFERROR(HYPERLINK("#"&amp;ADDRESS(MATCH(A23&amp;"ES",'LM7 Non-ENG'!$A$1:$A$5000,0),1,,,"LM7 Non-ENG"),IF(IFERROR(VLOOKUP(A23&amp;"ES",'LM7 Non-ENG'!$A$1:$A$4999,1,FALSE),"ERROR")=A23&amp;"ES","Y","")),"")</f>
        <v/>
      </c>
      <c r="D23" s="29" t="str">
        <f>IFERROR(HYPERLINK("#"&amp;ADDRESS(MATCH(A23&amp;"PT",'LM7 Non-ENG'!$A$1:$A$5000,0),1,,,"LM7 Non-ENG"),IF(IFERROR(VLOOKUP(A23&amp;"PT",'LM7 Non-ENG'!$A$1:$A$5000,1,FALSE),"ERROR")=A23&amp;"PT","Y","")),"")</f>
        <v/>
      </c>
      <c r="E23" s="3">
        <f>IFERROR(VLOOKUP(A23,PLInter!A:D,3,FALSE),"")</f>
        <v>8435</v>
      </c>
      <c r="F23" s="11">
        <v>8729</v>
      </c>
      <c r="H23" s="15" t="str">
        <f>HYPERLINK("#"&amp;ADDRESS(MATCH("Assembly, Hydraulic Pump w/Control Switch, 110V",$B$1:$B$4997,0),1,,,),"Hydraulic Pump 110V")</f>
        <v>Hydraulic Pump 110V</v>
      </c>
      <c r="I23" s="15" t="str">
        <f>HYPERLINK("#"&amp;ADDRESS(MATCH("Hydraulic Pump with Oil Tank",$B$1:$B$4997,0),1,,,),"Hydraulic Pump 220V")</f>
        <v>Hydraulic Pump 220V</v>
      </c>
    </row>
    <row r="24" spans="1:13" ht="18" customHeight="1">
      <c r="A24" s="10" t="s">
        <v>299</v>
      </c>
      <c r="B24" s="10" t="s">
        <v>308</v>
      </c>
      <c r="C24" s="29" t="str">
        <f>IFERROR(HYPERLINK("#"&amp;ADDRESS(MATCH(A24&amp;"ES",'LM7 Non-ENG'!$A$1:$A$5000,0),1,,,"LM7 Non-ENG"),IF(IFERROR(VLOOKUP(A24&amp;"ES",'LM7 Non-ENG'!$A$1:$A$4999,1,FALSE),"ERROR")=A24&amp;"ES","Y","")),"")</f>
        <v/>
      </c>
      <c r="D24" s="29" t="str">
        <f>IFERROR(HYPERLINK("#"&amp;ADDRESS(MATCH(A24&amp;"PT",'LM7 Non-ENG'!$A$1:$A$5000,0),1,,,"LM7 Non-ENG"),IF(IFERROR(VLOOKUP(A24&amp;"PT",'LM7 Non-ENG'!$A$1:$A$5000,1,FALSE),"ERROR")=A24&amp;"PT","Y","")),"")</f>
        <v/>
      </c>
      <c r="E24" s="3">
        <f>IFERROR(VLOOKUP(A24,PLInter!A:D,3,FALSE),"")</f>
        <v>2160</v>
      </c>
      <c r="F24" s="11">
        <v>2160</v>
      </c>
    </row>
    <row r="25" spans="1:13" ht="18" customHeight="1">
      <c r="A25" s="10" t="s">
        <v>300</v>
      </c>
      <c r="B25" s="10" t="s">
        <v>309</v>
      </c>
      <c r="C25" s="29" t="str">
        <f>IFERROR(HYPERLINK("#"&amp;ADDRESS(MATCH(A25&amp;"ES",'LM7 Non-ENG'!$A$1:$A$5000,0),1,,,"LM7 Non-ENG"),IF(IFERROR(VLOOKUP(A25&amp;"ES",'LM7 Non-ENG'!$A$1:$A$4999,1,FALSE),"ERROR")=A25&amp;"ES","Y","")),"")</f>
        <v/>
      </c>
      <c r="D25" s="29" t="str">
        <f>IFERROR(HYPERLINK("#"&amp;ADDRESS(MATCH(A25&amp;"PT",'LM7 Non-ENG'!$A$1:$A$5000,0),1,,,"LM7 Non-ENG"),IF(IFERROR(VLOOKUP(A25&amp;"PT",'LM7 Non-ENG'!$A$1:$A$5000,1,FALSE),"ERROR")=A25&amp;"PT","Y","")),"")</f>
        <v/>
      </c>
      <c r="E25" s="3" t="str">
        <f>IFERROR(VLOOKUP(A25,PLInter!A:D,3,FALSE),"")</f>
        <v/>
      </c>
      <c r="F25" s="11">
        <v>3806.25</v>
      </c>
    </row>
    <row r="26" spans="1:13" ht="18" customHeight="1">
      <c r="A26" s="10" t="s">
        <v>301</v>
      </c>
      <c r="B26" s="10" t="s">
        <v>310</v>
      </c>
      <c r="C26" s="29" t="str">
        <f>IFERROR(HYPERLINK("#"&amp;ADDRESS(MATCH(A26&amp;"ES",'LM7 Non-ENG'!$A$1:$A$5000,0),1,,,"LM7 Non-ENG"),IF(IFERROR(VLOOKUP(A26&amp;"ES",'LM7 Non-ENG'!$A$1:$A$4999,1,FALSE),"ERROR")=A26&amp;"ES","Y","")),"")</f>
        <v/>
      </c>
      <c r="D26" s="29" t="str">
        <f>IFERROR(HYPERLINK("#"&amp;ADDRESS(MATCH(A26&amp;"PT",'LM7 Non-ENG'!$A$1:$A$5000,0),1,,,"LM7 Non-ENG"),IF(IFERROR(VLOOKUP(A26&amp;"PT",'LM7 Non-ENG'!$A$1:$A$5000,1,FALSE),"ERROR")=A26&amp;"PT","Y","")),"")</f>
        <v/>
      </c>
      <c r="E26" s="3">
        <f>IFERROR(VLOOKUP(A26,PLInter!A:D,3,FALSE),"")</f>
        <v>3734</v>
      </c>
      <c r="F26" s="11">
        <v>3734</v>
      </c>
      <c r="K26" s="17" t="str">
        <f>HYPERLINK("#"&amp;ADDRESS(MATCH("HydraFlex H1 Basic Hydraulics incl. panel",$B$1:$B$4995,0),1,,,"Automation &amp; Process Control"),"H1 Basic Training Panel")</f>
        <v>H1 Basic Training Panel</v>
      </c>
    </row>
    <row r="27" spans="1:13" ht="18" customHeight="1">
      <c r="A27" s="10" t="s">
        <v>302</v>
      </c>
      <c r="B27" s="10" t="s">
        <v>311</v>
      </c>
      <c r="C27" s="29" t="str">
        <f>IFERROR(HYPERLINK("#"&amp;ADDRESS(MATCH(A27&amp;"ES",'LM7 Non-ENG'!$A$1:$A$5000,0),1,,,"LM7 Non-ENG"),IF(IFERROR(VLOOKUP(A27&amp;"ES",'LM7 Non-ENG'!$A$1:$A$4999,1,FALSE),"ERROR")=A27&amp;"ES","Y","")),"")</f>
        <v/>
      </c>
      <c r="D27" s="29" t="str">
        <f>IFERROR(HYPERLINK("#"&amp;ADDRESS(MATCH(A27&amp;"PT",'LM7 Non-ENG'!$A$1:$A$5000,0),1,,,"LM7 Non-ENG"),IF(IFERROR(VLOOKUP(A27&amp;"PT",'LM7 Non-ENG'!$A$1:$A$5000,1,FALSE),"ERROR")=A27&amp;"PT","Y","")),"")</f>
        <v/>
      </c>
      <c r="E27" s="3">
        <f>IFERROR(VLOOKUP(A27,PLInter!A:D,3,FALSE),"")</f>
        <v>2000</v>
      </c>
      <c r="F27" s="11">
        <v>2000</v>
      </c>
      <c r="L27" s="15"/>
    </row>
    <row r="28" spans="1:13" ht="18" customHeight="1">
      <c r="A28" s="10" t="s">
        <v>303</v>
      </c>
      <c r="B28" s="10" t="s">
        <v>312</v>
      </c>
      <c r="C28" s="29" t="str">
        <f>IFERROR(HYPERLINK("#"&amp;ADDRESS(MATCH(A28&amp;"ES",'LM7 Non-ENG'!$A$1:$A$5000,0),1,,,"LM7 Non-ENG"),IF(IFERROR(VLOOKUP(A28&amp;"ES",'LM7 Non-ENG'!$A$1:$A$4999,1,FALSE),"ERROR")=A28&amp;"ES","Y","")),"")</f>
        <v/>
      </c>
      <c r="D28" s="29" t="str">
        <f>IFERROR(HYPERLINK("#"&amp;ADDRESS(MATCH(A28&amp;"PT",'LM7 Non-ENG'!$A$1:$A$5000,0),1,,,"LM7 Non-ENG"),IF(IFERROR(VLOOKUP(A28&amp;"PT",'LM7 Non-ENG'!$A$1:$A$5000,1,FALSE),"ERROR")=A28&amp;"PT","Y","")),"")</f>
        <v/>
      </c>
      <c r="E28" s="3">
        <f>IFERROR(VLOOKUP(A28,PLInter!A:D,3,FALSE),"")</f>
        <v>500</v>
      </c>
      <c r="F28" s="11">
        <v>500</v>
      </c>
    </row>
    <row r="29" spans="1:13" ht="18" customHeight="1">
      <c r="A29" s="10" t="s">
        <v>304</v>
      </c>
      <c r="B29" s="10" t="s">
        <v>313</v>
      </c>
      <c r="C29" s="29" t="str">
        <f>IFERROR(HYPERLINK("#"&amp;ADDRESS(MATCH(A29&amp;"ES",'LM7 Non-ENG'!$A$1:$A$5000,0),1,,,"LM7 Non-ENG"),IF(IFERROR(VLOOKUP(A29&amp;"ES",'LM7 Non-ENG'!$A$1:$A$4999,1,FALSE),"ERROR")=A29&amp;"ES","Y","")),"")</f>
        <v>Y</v>
      </c>
      <c r="D29" s="29" t="str">
        <f>IFERROR(HYPERLINK("#"&amp;ADDRESS(MATCH(A29&amp;"PT",'LM7 Non-ENG'!$A$1:$A$5000,0),1,,,"LM7 Non-ENG"),IF(IFERROR(VLOOKUP(A29&amp;"PT",'LM7 Non-ENG'!$A$1:$A$5000,1,FALSE),"ERROR")=A29&amp;"PT","Y","")),"")</f>
        <v>Y</v>
      </c>
      <c r="E29" s="3">
        <f>IFERROR(VLOOKUP(A29,PLInter!A:D,3,FALSE),"")</f>
        <v>2995</v>
      </c>
      <c r="F29" s="11">
        <v>2995</v>
      </c>
      <c r="K29" s="17" t="str">
        <f>HYPERLINK("#"&amp;ADDRESS(MATCH("LearnMate 7 Bundles",LearnMate7!$A$1:$A$5000,0),1,,,"LearnMate7"),"LMS")</f>
        <v>LMS</v>
      </c>
    </row>
    <row r="30" spans="1:13" ht="18" customHeight="1">
      <c r="A30" s="10" t="s">
        <v>305</v>
      </c>
      <c r="B30" s="10" t="s">
        <v>314</v>
      </c>
      <c r="C30" s="29" t="str">
        <f>IFERROR(HYPERLINK("#"&amp;ADDRESS(MATCH(A30&amp;"ES",'LM7 Non-ENG'!$A$1:$A$5000,0),1,,,"LM7 Non-ENG"),IF(IFERROR(VLOOKUP(A30&amp;"ES",'LM7 Non-ENG'!$A$1:$A$4999,1,FALSE),"ERROR")=A30&amp;"ES","Y","")),"")</f>
        <v>Y</v>
      </c>
      <c r="D30" s="29" t="str">
        <f>IFERROR(HYPERLINK("#"&amp;ADDRESS(MATCH(A30&amp;"PT",'LM7 Non-ENG'!$A$1:$A$5000,0),1,,,"LM7 Non-ENG"),IF(IFERROR(VLOOKUP(A30&amp;"PT",'LM7 Non-ENG'!$A$1:$A$5000,1,FALSE),"ERROR")=A30&amp;"PT","Y","")),"")</f>
        <v>Y</v>
      </c>
      <c r="E30" s="3">
        <f>IFERROR(VLOOKUP(A30,PLInter!A:D,3,FALSE),"")</f>
        <v>2495</v>
      </c>
      <c r="F30" s="11">
        <v>2495</v>
      </c>
      <c r="K30" s="17" t="str">
        <f>HYPERLINK("#"&amp;ADDRESS(MATCH("LearnMate 7 Bundles",LearnMate7!$A$1:$A$5000,0),1,,,"LearnMate7"),"LMS")</f>
        <v>LMS</v>
      </c>
    </row>
    <row r="31" spans="1:13" ht="18" customHeight="1">
      <c r="A31" s="10" t="s">
        <v>306</v>
      </c>
      <c r="B31" s="10" t="s">
        <v>315</v>
      </c>
      <c r="C31" s="29" t="str">
        <f>IFERROR(HYPERLINK("#"&amp;ADDRESS(MATCH(A31&amp;"ES",'LM7 Non-ENG'!$A$1:$A$5000,0),1,,,"LM7 Non-ENG"),IF(IFERROR(VLOOKUP(A31&amp;"ES",'LM7 Non-ENG'!$A$1:$A$4999,1,FALSE),"ERROR")=A31&amp;"ES","Y","")),"")</f>
        <v>Y</v>
      </c>
      <c r="D31" s="29" t="str">
        <f>IFERROR(HYPERLINK("#"&amp;ADDRESS(MATCH(A31&amp;"PT",'LM7 Non-ENG'!$A$1:$A$5000,0),1,,,"LM7 Non-ENG"),IF(IFERROR(VLOOKUP(A31&amp;"PT",'LM7 Non-ENG'!$A$1:$A$5000,1,FALSE),"ERROR")=A31&amp;"PT","Y","")),"")</f>
        <v/>
      </c>
      <c r="E31" s="3">
        <f>IFERROR(VLOOKUP(A31,PLInter!A:D,3,FALSE),"")</f>
        <v>2495</v>
      </c>
      <c r="F31" s="11">
        <v>2495</v>
      </c>
      <c r="K31" s="17" t="str">
        <f>HYPERLINK("#"&amp;ADDRESS(MATCH("LearnMate 7 Bundles",LearnMate7!$A$1:$A$5000,0),1,,,"LearnMate7"),"LMS")</f>
        <v>LMS</v>
      </c>
    </row>
    <row r="32" spans="1:13" ht="18" customHeight="1">
      <c r="A32" s="63" t="s">
        <v>316</v>
      </c>
      <c r="B32" s="63"/>
      <c r="C32" s="63" t="str">
        <f>IFERROR(HYPERLINK("#"&amp;ADDRESS(MATCH(A32&amp;"ES",'LM7 Non-ENG'!$A$1:$A$5000,0),1,,,"LM7 Non-ENG"),IF(IFERROR(VLOOKUP(A32&amp;"ES",'LM7 Non-ENG'!$A$1:$A$4999,1,FALSE),"ERROR")=A32&amp;"ES","Y","")),"")</f>
        <v/>
      </c>
      <c r="D32" s="63" t="str">
        <f>IFERROR(HYPERLINK("#"&amp;ADDRESS(MATCH(A32&amp;"PT",'LM7 Non-ENG'!$A$1:$A$5000,0),1,,,"LM7 Non-ENG"),IF(IFERROR(VLOOKUP(A32&amp;"PT",'LM7 Non-ENG'!$A$1:$A$5000,1,FALSE),"ERROR")=A32&amp;"PT","Y","")),"")</f>
        <v/>
      </c>
      <c r="E32" s="63"/>
      <c r="F32" s="63"/>
      <c r="G32" s="63"/>
      <c r="H32" s="63"/>
      <c r="I32" s="63"/>
      <c r="J32" s="63"/>
      <c r="K32" s="63"/>
      <c r="L32" s="63"/>
      <c r="M32" s="63"/>
    </row>
    <row r="33" spans="1:13" ht="18" customHeight="1">
      <c r="A33" s="10" t="s">
        <v>317</v>
      </c>
      <c r="B33" s="10" t="s">
        <v>324</v>
      </c>
      <c r="C33" s="29" t="str">
        <f>IFERROR(HYPERLINK("#"&amp;ADDRESS(MATCH(A33&amp;"ES",'LM7 Non-ENG'!$A$1:$A$5000,0),1,,,"LM7 Non-ENG"),IF(IFERROR(VLOOKUP(A33&amp;"ES",'LM7 Non-ENG'!$A$1:$A$4999,1,FALSE),"ERROR")=A33&amp;"ES","Y","")),"")</f>
        <v/>
      </c>
      <c r="D33" s="29" t="str">
        <f>IFERROR(HYPERLINK("#"&amp;ADDRESS(MATCH(A33&amp;"PT",'LM7 Non-ENG'!$A$1:$A$5000,0),1,,,"LM7 Non-ENG"),IF(IFERROR(VLOOKUP(A33&amp;"PT",'LM7 Non-ENG'!$A$1:$A$5000,1,FALSE),"ERROR")=A33&amp;"PT","Y","")),"")</f>
        <v/>
      </c>
      <c r="E33" s="3">
        <f>IFERROR(VLOOKUP(A33,PLInter!A:D,3,FALSE),"")</f>
        <v>5867</v>
      </c>
      <c r="F33" s="11">
        <v>5867</v>
      </c>
    </row>
    <row r="34" spans="1:13" ht="18" customHeight="1">
      <c r="A34" s="10" t="s">
        <v>318</v>
      </c>
      <c r="B34" s="10" t="s">
        <v>325</v>
      </c>
      <c r="C34" s="29" t="str">
        <f>IFERROR(HYPERLINK("#"&amp;ADDRESS(MATCH(A34&amp;"ES",'LM7 Non-ENG'!$A$1:$A$5000,0),1,,,"LM7 Non-ENG"),IF(IFERROR(VLOOKUP(A34&amp;"ES",'LM7 Non-ENG'!$A$1:$A$4999,1,FALSE),"ERROR")=A34&amp;"ES","Y","")),"")</f>
        <v/>
      </c>
      <c r="D34" s="29" t="str">
        <f>IFERROR(HYPERLINK("#"&amp;ADDRESS(MATCH(A34&amp;"PT",'LM7 Non-ENG'!$A$1:$A$5000,0),1,,,"LM7 Non-ENG"),IF(IFERROR(VLOOKUP(A34&amp;"PT",'LM7 Non-ENG'!$A$1:$A$5000,1,FALSE),"ERROR")=A34&amp;"PT","Y","")),"")</f>
        <v/>
      </c>
      <c r="E34" s="3">
        <f>IFERROR(VLOOKUP(A34,PLInter!A:D,3,FALSE),"")</f>
        <v>10400</v>
      </c>
      <c r="F34" s="11">
        <v>10400</v>
      </c>
    </row>
    <row r="35" spans="1:13" ht="18" customHeight="1">
      <c r="A35" s="10" t="s">
        <v>319</v>
      </c>
      <c r="B35" s="10" t="s">
        <v>326</v>
      </c>
      <c r="C35" s="29" t="str">
        <f>IFERROR(HYPERLINK("#"&amp;ADDRESS(MATCH(A35&amp;"ES",'LM7 Non-ENG'!$A$1:$A$5000,0),1,,,"LM7 Non-ENG"),IF(IFERROR(VLOOKUP(A35&amp;"ES",'LM7 Non-ENG'!$A$1:$A$4999,1,FALSE),"ERROR")=A35&amp;"ES","Y","")),"")</f>
        <v/>
      </c>
      <c r="D35" s="29" t="str">
        <f>IFERROR(HYPERLINK("#"&amp;ADDRESS(MATCH(A35&amp;"PT",'LM7 Non-ENG'!$A$1:$A$5000,0),1,,,"LM7 Non-ENG"),IF(IFERROR(VLOOKUP(A35&amp;"PT",'LM7 Non-ENG'!$A$1:$A$5000,1,FALSE),"ERROR")=A35&amp;"PT","Y","")),"")</f>
        <v/>
      </c>
      <c r="E35" s="3">
        <f>IFERROR(VLOOKUP(A35,PLInter!A:D,3,FALSE),"")</f>
        <v>500</v>
      </c>
      <c r="F35" s="11">
        <v>500</v>
      </c>
    </row>
    <row r="36" spans="1:13" ht="18" customHeight="1">
      <c r="A36" s="10" t="s">
        <v>320</v>
      </c>
      <c r="B36" s="10" t="s">
        <v>327</v>
      </c>
      <c r="C36" s="29" t="str">
        <f>IFERROR(HYPERLINK("#"&amp;ADDRESS(MATCH(A36&amp;"ES",'LM7 Non-ENG'!$A$1:$A$5000,0),1,,,"LM7 Non-ENG"),IF(IFERROR(VLOOKUP(A36&amp;"ES",'LM7 Non-ENG'!$A$1:$A$4999,1,FALSE),"ERROR")=A36&amp;"ES","Y","")),"")</f>
        <v>Y</v>
      </c>
      <c r="D36" s="29" t="str">
        <f>IFERROR(HYPERLINK("#"&amp;ADDRESS(MATCH(A36&amp;"PT",'LM7 Non-ENG'!$A$1:$A$5000,0),1,,,"LM7 Non-ENG"),IF(IFERROR(VLOOKUP(A36&amp;"PT",'LM7 Non-ENG'!$A$1:$A$5000,1,FALSE),"ERROR")=A36&amp;"PT","Y","")),"")</f>
        <v>Y</v>
      </c>
      <c r="E36" s="3">
        <f>IFERROR(VLOOKUP(A36,PLInter!A:D,3,FALSE),"")</f>
        <v>2995</v>
      </c>
      <c r="F36" s="11">
        <v>2995</v>
      </c>
      <c r="K36" s="17" t="str">
        <f>HYPERLINK("#"&amp;ADDRESS(MATCH("LearnMate 7 Bundles",LearnMate7!$A$1:$A$5000,0),1,,,"LearnMate7"),"LMS")</f>
        <v>LMS</v>
      </c>
    </row>
    <row r="37" spans="1:13" ht="18" customHeight="1">
      <c r="A37" s="10" t="s">
        <v>321</v>
      </c>
      <c r="B37" s="10" t="s">
        <v>328</v>
      </c>
      <c r="C37" s="29" t="str">
        <f>IFERROR(HYPERLINK("#"&amp;ADDRESS(MATCH(A37&amp;"ES",'LM7 Non-ENG'!$A$1:$A$5000,0),1,,,"LM7 Non-ENG"),IF(IFERROR(VLOOKUP(A37&amp;"ES",'LM7 Non-ENG'!$A$1:$A$4999,1,FALSE),"ERROR")=A37&amp;"ES","Y","")),"")</f>
        <v>Y</v>
      </c>
      <c r="D37" s="29" t="str">
        <f>IFERROR(HYPERLINK("#"&amp;ADDRESS(MATCH(A37&amp;"PT",'LM7 Non-ENG'!$A$1:$A$5000,0),1,,,"LM7 Non-ENG"),IF(IFERROR(VLOOKUP(A37&amp;"PT",'LM7 Non-ENG'!$A$1:$A$5000,1,FALSE),"ERROR")=A37&amp;"PT","Y","")),"")</f>
        <v>Y</v>
      </c>
      <c r="E37" s="3">
        <f>IFERROR(VLOOKUP(A37,PLInter!A:D,3,FALSE),"")</f>
        <v>2495</v>
      </c>
      <c r="F37" s="11">
        <v>2495</v>
      </c>
      <c r="K37" s="17" t="str">
        <f>HYPERLINK("#"&amp;ADDRESS(MATCH("LearnMate 7 Bundles",LearnMate7!$A$1:$A$5000,0),1,,,"LearnMate7"),"LMS")</f>
        <v>LMS</v>
      </c>
    </row>
    <row r="38" spans="1:13" ht="18" customHeight="1">
      <c r="A38" s="10" t="s">
        <v>322</v>
      </c>
      <c r="B38" s="10" t="s">
        <v>329</v>
      </c>
      <c r="C38" s="29" t="str">
        <f>IFERROR(HYPERLINK("#"&amp;ADDRESS(MATCH(A38&amp;"ES",'LM7 Non-ENG'!$A$1:$A$5000,0),1,,,"LM7 Non-ENG"),IF(IFERROR(VLOOKUP(A38&amp;"ES",'LM7 Non-ENG'!$A$1:$A$4999,1,FALSE),"ERROR")=A38&amp;"ES","Y","")),"")</f>
        <v/>
      </c>
      <c r="D38" s="29" t="str">
        <f>IFERROR(HYPERLINK("#"&amp;ADDRESS(MATCH(A38&amp;"PT",'LM7 Non-ENG'!$A$1:$A$5000,0),1,,,"LM7 Non-ENG"),IF(IFERROR(VLOOKUP(A38&amp;"PT",'LM7 Non-ENG'!$A$1:$A$5000,1,FALSE),"ERROR")=A38&amp;"PT","Y","")),"")</f>
        <v>Y</v>
      </c>
      <c r="E38" s="3">
        <f>IFERROR(VLOOKUP(A38,PLInter!A:D,3,FALSE),"")</f>
        <v>2495</v>
      </c>
      <c r="F38" s="11">
        <v>2495</v>
      </c>
      <c r="K38" s="17" t="str">
        <f>HYPERLINK("#"&amp;ADDRESS(MATCH("LearnMate 7 Bundles",LearnMate7!$A$1:$A$5000,0),1,,,"LearnMate7"),"LMS")</f>
        <v>LMS</v>
      </c>
    </row>
    <row r="39" spans="1:13" ht="18" customHeight="1">
      <c r="A39" s="10" t="s">
        <v>323</v>
      </c>
      <c r="B39" s="10" t="s">
        <v>330</v>
      </c>
      <c r="C39" s="29" t="str">
        <f>IFERROR(HYPERLINK("#"&amp;ADDRESS(MATCH(A39&amp;"ES",'LM7 Non-ENG'!$A$1:$A$5000,0),1,,,"LM7 Non-ENG"),IF(IFERROR(VLOOKUP(A39&amp;"ES",'LM7 Non-ENG'!$A$1:$A$4999,1,FALSE),"ERROR")=A39&amp;"ES","Y","")),"")</f>
        <v/>
      </c>
      <c r="D39" s="29" t="str">
        <f>IFERROR(HYPERLINK("#"&amp;ADDRESS(MATCH(A39&amp;"PT",'LM7 Non-ENG'!$A$1:$A$5000,0),1,,,"LM7 Non-ENG"),IF(IFERROR(VLOOKUP(A39&amp;"PT",'LM7 Non-ENG'!$A$1:$A$5000,1,FALSE),"ERROR")=A39&amp;"PT","Y","")),"")</f>
        <v>Y</v>
      </c>
      <c r="E39" s="3">
        <f>IFERROR(VLOOKUP(A39,PLInter!A:D,3,FALSE),"")</f>
        <v>2495</v>
      </c>
      <c r="F39" s="11">
        <v>2495</v>
      </c>
      <c r="K39" s="17" t="str">
        <f>HYPERLINK("#"&amp;ADDRESS(MATCH("LearnMate 7 Bundles",LearnMate7!$A$1:$A$5000,0),1,,,"LearnMate7"),"LMS")</f>
        <v>LMS</v>
      </c>
    </row>
    <row r="40" spans="1:13" ht="18" customHeight="1">
      <c r="A40" s="63" t="s">
        <v>331</v>
      </c>
      <c r="B40" s="63"/>
      <c r="C40" s="63" t="str">
        <f>IFERROR(HYPERLINK("#"&amp;ADDRESS(MATCH(A40&amp;"ES",'LM7 Non-ENG'!$A$1:$A$5000,0),1,,,"LM7 Non-ENG"),IF(IFERROR(VLOOKUP(A40&amp;"ES",'LM7 Non-ENG'!$A$1:$A$4999,1,FALSE),"ERROR")=A40&amp;"ES","Y","")),"")</f>
        <v/>
      </c>
      <c r="D40" s="63" t="str">
        <f>IFERROR(HYPERLINK("#"&amp;ADDRESS(MATCH(A40&amp;"PT",'LM7 Non-ENG'!$A$1:$A$5000,0),1,,,"LM7 Non-ENG"),IF(IFERROR(VLOOKUP(A40&amp;"PT",'LM7 Non-ENG'!$A$1:$A$5000,1,FALSE),"ERROR")=A40&amp;"PT","Y","")),"")</f>
        <v/>
      </c>
      <c r="E40" s="63"/>
      <c r="F40" s="63"/>
      <c r="G40" s="63"/>
      <c r="H40" s="63"/>
      <c r="I40" s="63"/>
      <c r="J40" s="63"/>
      <c r="K40" s="63"/>
      <c r="L40" s="63"/>
      <c r="M40" s="63"/>
    </row>
    <row r="41" spans="1:13" ht="18" customHeight="1">
      <c r="A41" s="10" t="s">
        <v>332</v>
      </c>
      <c r="B41" s="10" t="s">
        <v>334</v>
      </c>
      <c r="C41" s="29" t="str">
        <f>IFERROR(HYPERLINK("#"&amp;ADDRESS(MATCH(A41&amp;"ES",'LM7 Non-ENG'!$A$1:$A$5000,0),1,,,"LM7 Non-ENG"),IF(IFERROR(VLOOKUP(A41&amp;"ES",'LM7 Non-ENG'!$A$1:$A$4999,1,FALSE),"ERROR")=A41&amp;"ES","Y","")),"")</f>
        <v/>
      </c>
      <c r="D41" s="29" t="str">
        <f>IFERROR(HYPERLINK("#"&amp;ADDRESS(MATCH(A41&amp;"PT",'LM7 Non-ENG'!$A$1:$A$5000,0),1,,,"LM7 Non-ENG"),IF(IFERROR(VLOOKUP(A41&amp;"PT",'LM7 Non-ENG'!$A$1:$A$5000,1,FALSE),"ERROR")=A41&amp;"PT","Y","")),"")</f>
        <v/>
      </c>
      <c r="E41" s="3">
        <f>IFERROR(VLOOKUP(A41,PLInter!A:D,3,FALSE),"")</f>
        <v>4267</v>
      </c>
      <c r="F41" s="11">
        <v>4267</v>
      </c>
    </row>
    <row r="42" spans="1:13" ht="18" customHeight="1">
      <c r="A42" s="10" t="s">
        <v>333</v>
      </c>
      <c r="B42" s="10" t="s">
        <v>335</v>
      </c>
      <c r="C42" s="29" t="str">
        <f>IFERROR(HYPERLINK("#"&amp;ADDRESS(MATCH(A42&amp;"ES",'LM7 Non-ENG'!$A$1:$A$5000,0),1,,,"LM7 Non-ENG"),IF(IFERROR(VLOOKUP(A42&amp;"ES",'LM7 Non-ENG'!$A$1:$A$4999,1,FALSE),"ERROR")=A42&amp;"ES","Y","")),"")</f>
        <v>Y</v>
      </c>
      <c r="D42" s="29" t="str">
        <f>IFERROR(HYPERLINK("#"&amp;ADDRESS(MATCH(A42&amp;"PT",'LM7 Non-ENG'!$A$1:$A$5000,0),1,,,"LM7 Non-ENG"),IF(IFERROR(VLOOKUP(A42&amp;"PT",'LM7 Non-ENG'!$A$1:$A$5000,1,FALSE),"ERROR")=A42&amp;"PT","Y","")),"")</f>
        <v/>
      </c>
      <c r="E42" s="3">
        <f>IFERROR(VLOOKUP(A42,PLInter!A:D,3,FALSE),"")</f>
        <v>2495</v>
      </c>
      <c r="F42" s="11">
        <v>2495</v>
      </c>
      <c r="K42" s="17" t="str">
        <f>HYPERLINK("#"&amp;ADDRESS(MATCH("LearnMate 7 Bundles",LearnMate7!$A$1:$A$5000,0),1,,,"LearnMate7"),"LMS")</f>
        <v>LMS</v>
      </c>
    </row>
    <row r="43" spans="1:13" ht="18" customHeight="1">
      <c r="A43" s="63" t="s">
        <v>338</v>
      </c>
      <c r="B43" s="63"/>
      <c r="C43" s="63"/>
      <c r="D43" s="63"/>
      <c r="E43" s="63"/>
      <c r="F43" s="63"/>
      <c r="G43" s="63"/>
      <c r="H43" s="63"/>
      <c r="I43" s="63"/>
      <c r="J43" s="63"/>
      <c r="K43" s="63"/>
      <c r="L43" s="63"/>
      <c r="M43" s="63"/>
    </row>
    <row r="44" spans="1:13" ht="18" customHeight="1">
      <c r="A44" s="10" t="s">
        <v>336</v>
      </c>
      <c r="B44" s="10" t="s">
        <v>339</v>
      </c>
      <c r="C44" s="29" t="str">
        <f>IFERROR(HYPERLINK("#"&amp;ADDRESS(MATCH(A44&amp;"ES",'LM7 Non-ENG'!$A$1:$A$5000,0),1,,,"LM7 Non-ENG"),IF(IFERROR(VLOOKUP(A44&amp;"ES",'LM7 Non-ENG'!$A$1:$A$4999,1,FALSE),"ERROR")=A44&amp;"ES","Y","")),"")</f>
        <v/>
      </c>
      <c r="D44" s="29" t="str">
        <f>IFERROR(HYPERLINK("#"&amp;ADDRESS(MATCH(A44&amp;"PT",'LM7 Non-ENG'!$A$1:$A$5000,0),1,,,"LM7 Non-ENG"),IF(IFERROR(VLOOKUP(A44&amp;"PT",'LM7 Non-ENG'!$A$1:$A$5000,1,FALSE),"ERROR")=A44&amp;"PT","Y","")),"")</f>
        <v/>
      </c>
      <c r="E44" s="3">
        <f>IFERROR(VLOOKUP(A44,PLInter!A:D,3,FALSE),"")</f>
        <v>49000</v>
      </c>
      <c r="F44" s="11">
        <v>49000</v>
      </c>
    </row>
    <row r="45" spans="1:13" ht="18" customHeight="1">
      <c r="A45" s="10" t="s">
        <v>337</v>
      </c>
      <c r="B45" s="10" t="s">
        <v>340</v>
      </c>
      <c r="C45" s="29" t="str">
        <f>IFERROR(HYPERLINK("#"&amp;ADDRESS(MATCH(A45&amp;"ES",'LM7 Non-ENG'!$A$1:$A$5000,0),1,,,"LM7 Non-ENG"),IF(IFERROR(VLOOKUP(A45&amp;"ES",'LM7 Non-ENG'!$A$1:$A$4999,1,FALSE),"ERROR")=A45&amp;"ES","Y","")),"")</f>
        <v/>
      </c>
      <c r="D45" s="29" t="str">
        <f>IFERROR(HYPERLINK("#"&amp;ADDRESS(MATCH(A45&amp;"PT",'LM7 Non-ENG'!$A$1:$A$5000,0),1,,,"LM7 Non-ENG"),IF(IFERROR(VLOOKUP(A45&amp;"PT",'LM7 Non-ENG'!$A$1:$A$5000,1,FALSE),"ERROR")=A45&amp;"PT","Y","")),"")</f>
        <v/>
      </c>
      <c r="E45" s="3">
        <f>IFERROR(VLOOKUP(A45,PLInter!A:D,3,FALSE),"")</f>
        <v>49000</v>
      </c>
      <c r="F45" s="11">
        <v>49000</v>
      </c>
    </row>
    <row r="46" spans="1:13" ht="18" customHeight="1">
      <c r="A46" s="63" t="s">
        <v>349</v>
      </c>
      <c r="B46" s="63"/>
      <c r="C46" s="63"/>
      <c r="D46" s="63"/>
      <c r="E46" s="63"/>
      <c r="F46" s="63"/>
      <c r="G46" s="63"/>
      <c r="H46" s="63"/>
      <c r="I46" s="63"/>
      <c r="J46" s="63"/>
      <c r="K46" s="63"/>
      <c r="L46" s="63"/>
      <c r="M46" s="63"/>
    </row>
    <row r="47" spans="1:13" ht="18" customHeight="1">
      <c r="A47" s="10" t="s">
        <v>341</v>
      </c>
      <c r="B47" s="10" t="s">
        <v>350</v>
      </c>
      <c r="C47" s="29" t="str">
        <f>IFERROR(HYPERLINK("#"&amp;ADDRESS(MATCH(A47&amp;"ES",'LM7 Non-ENG'!$A$1:$A$5000,0),1,,,"LM7 Non-ENG"),IF(IFERROR(VLOOKUP(A47&amp;"ES",'LM7 Non-ENG'!$A$1:$A$4999,1,FALSE),"ERROR")=A47&amp;"ES","Y","")),"")</f>
        <v/>
      </c>
      <c r="D47" s="29" t="str">
        <f>IFERROR(HYPERLINK("#"&amp;ADDRESS(MATCH(A47&amp;"PT",'LM7 Non-ENG'!$A$1:$A$5000,0),1,,,"LM7 Non-ENG"),IF(IFERROR(VLOOKUP(A47&amp;"PT",'LM7 Non-ENG'!$A$1:$A$5000,1,FALSE),"ERROR")=A47&amp;"PT","Y","")),"")</f>
        <v/>
      </c>
      <c r="E47" s="3">
        <f>IFERROR(VLOOKUP(A47,PLInter!A:D,3,FALSE),"")</f>
        <v>17500</v>
      </c>
      <c r="F47" s="11">
        <v>17500</v>
      </c>
    </row>
    <row r="48" spans="1:13" ht="18" customHeight="1">
      <c r="A48" s="10" t="s">
        <v>342</v>
      </c>
      <c r="B48" s="10" t="s">
        <v>351</v>
      </c>
      <c r="C48" s="29" t="str">
        <f>IFERROR(HYPERLINK("#"&amp;ADDRESS(MATCH(A48&amp;"ES",'LM7 Non-ENG'!$A$1:$A$5000,0),1,,,"LM7 Non-ENG"),IF(IFERROR(VLOOKUP(A48&amp;"ES",'LM7 Non-ENG'!$A$1:$A$4999,1,FALSE),"ERROR")=A48&amp;"ES","Y","")),"")</f>
        <v/>
      </c>
      <c r="D48" s="29" t="str">
        <f>IFERROR(HYPERLINK("#"&amp;ADDRESS(MATCH(A48&amp;"PT",'LM7 Non-ENG'!$A$1:$A$5000,0),1,,,"LM7 Non-ENG"),IF(IFERROR(VLOOKUP(A48&amp;"PT",'LM7 Non-ENG'!$A$1:$A$5000,1,FALSE),"ERROR")=A48&amp;"PT","Y","")),"")</f>
        <v/>
      </c>
      <c r="E48" s="3">
        <f>IFERROR(VLOOKUP(A48,PLInter!A:D,3,FALSE),"")</f>
        <v>17500</v>
      </c>
      <c r="F48" s="11">
        <v>17500</v>
      </c>
    </row>
    <row r="49" spans="1:13" ht="18" customHeight="1">
      <c r="A49" s="10" t="s">
        <v>343</v>
      </c>
      <c r="B49" s="10" t="s">
        <v>352</v>
      </c>
      <c r="C49" s="29" t="str">
        <f>IFERROR(HYPERLINK("#"&amp;ADDRESS(MATCH(A49&amp;"ES",'LM7 Non-ENG'!$A$1:$A$5000,0),1,,,"LM7 Non-ENG"),IF(IFERROR(VLOOKUP(A49&amp;"ES",'LM7 Non-ENG'!$A$1:$A$4999,1,FALSE),"ERROR")=A49&amp;"ES","Y","")),"")</f>
        <v/>
      </c>
      <c r="D49" s="29" t="str">
        <f>IFERROR(HYPERLINK("#"&amp;ADDRESS(MATCH(A49&amp;"PT",'LM7 Non-ENG'!$A$1:$A$5000,0),1,,,"LM7 Non-ENG"),IF(IFERROR(VLOOKUP(A49&amp;"PT",'LM7 Non-ENG'!$A$1:$A$5000,1,FALSE),"ERROR")=A49&amp;"PT","Y","")),"")</f>
        <v/>
      </c>
      <c r="E49" s="3">
        <f>IFERROR(VLOOKUP(A49,PLInter!A:D,3,FALSE),"")</f>
        <v>17500</v>
      </c>
      <c r="F49" s="11">
        <v>17500</v>
      </c>
    </row>
    <row r="50" spans="1:13" ht="18" customHeight="1">
      <c r="A50" s="10" t="s">
        <v>344</v>
      </c>
      <c r="B50" s="10" t="s">
        <v>353</v>
      </c>
      <c r="C50" s="29" t="str">
        <f>IFERROR(HYPERLINK("#"&amp;ADDRESS(MATCH(A50&amp;"ES",'LM7 Non-ENG'!$A$1:$A$5000,0),1,,,"LM7 Non-ENG"),IF(IFERROR(VLOOKUP(A50&amp;"ES",'LM7 Non-ENG'!$A$1:$A$4999,1,FALSE),"ERROR")=A50&amp;"ES","Y","")),"")</f>
        <v/>
      </c>
      <c r="D50" s="29" t="str">
        <f>IFERROR(HYPERLINK("#"&amp;ADDRESS(MATCH(A50&amp;"PT",'LM7 Non-ENG'!$A$1:$A$5000,0),1,,,"LM7 Non-ENG"),IF(IFERROR(VLOOKUP(A50&amp;"PT",'LM7 Non-ENG'!$A$1:$A$5000,1,FALSE),"ERROR")=A50&amp;"PT","Y","")),"")</f>
        <v/>
      </c>
      <c r="E50" s="3">
        <f>IFERROR(VLOOKUP(A50,PLInter!A:D,3,FALSE),"")</f>
        <v>17500</v>
      </c>
      <c r="F50" s="11">
        <v>17500</v>
      </c>
    </row>
    <row r="51" spans="1:13" ht="18" customHeight="1">
      <c r="A51" s="10" t="s">
        <v>345</v>
      </c>
      <c r="B51" s="10" t="s">
        <v>354</v>
      </c>
      <c r="C51" s="29" t="str">
        <f>IFERROR(HYPERLINK("#"&amp;ADDRESS(MATCH(A51&amp;"ES",'LM7 Non-ENG'!$A$1:$A$5000,0),1,,,"LM7 Non-ENG"),IF(IFERROR(VLOOKUP(A51&amp;"ES",'LM7 Non-ENG'!$A$1:$A$4999,1,FALSE),"ERROR")=A51&amp;"ES","Y","")),"")</f>
        <v/>
      </c>
      <c r="D51" s="29" t="str">
        <f>IFERROR(HYPERLINK("#"&amp;ADDRESS(MATCH(A51&amp;"PT",'LM7 Non-ENG'!$A$1:$A$5000,0),1,,,"LM7 Non-ENG"),IF(IFERROR(VLOOKUP(A51&amp;"PT",'LM7 Non-ENG'!$A$1:$A$5000,1,FALSE),"ERROR")=A51&amp;"PT","Y","")),"")</f>
        <v/>
      </c>
      <c r="E51" s="3">
        <f>IFERROR(VLOOKUP(A51,PLInter!A:D,3,FALSE),"")</f>
        <v>17500</v>
      </c>
      <c r="F51" s="11">
        <v>17500</v>
      </c>
    </row>
    <row r="52" spans="1:13" ht="18" customHeight="1">
      <c r="A52" s="10" t="s">
        <v>346</v>
      </c>
      <c r="B52" s="10" t="s">
        <v>355</v>
      </c>
      <c r="C52" s="29" t="str">
        <f>IFERROR(HYPERLINK("#"&amp;ADDRESS(MATCH(A52&amp;"ES",'LM7 Non-ENG'!$A$1:$A$5000,0),1,,,"LM7 Non-ENG"),IF(IFERROR(VLOOKUP(A52&amp;"ES",'LM7 Non-ENG'!$A$1:$A$4999,1,FALSE),"ERROR")=A52&amp;"ES","Y","")),"")</f>
        <v/>
      </c>
      <c r="D52" s="29" t="str">
        <f>IFERROR(HYPERLINK("#"&amp;ADDRESS(MATCH(A52&amp;"PT",'LM7 Non-ENG'!$A$1:$A$5000,0),1,,,"LM7 Non-ENG"),IF(IFERROR(VLOOKUP(A52&amp;"PT",'LM7 Non-ENG'!$A$1:$A$5000,1,FALSE),"ERROR")=A52&amp;"PT","Y","")),"")</f>
        <v/>
      </c>
      <c r="E52" s="3">
        <f>IFERROR(VLOOKUP(A52,PLInter!A:D,3,FALSE),"")</f>
        <v>17500</v>
      </c>
      <c r="F52" s="11">
        <v>17500</v>
      </c>
    </row>
    <row r="53" spans="1:13" ht="18" customHeight="1">
      <c r="A53" s="10" t="s">
        <v>347</v>
      </c>
      <c r="B53" s="10" t="s">
        <v>356</v>
      </c>
      <c r="C53" s="29" t="str">
        <f>IFERROR(HYPERLINK("#"&amp;ADDRESS(MATCH(A53&amp;"ES",'LM7 Non-ENG'!$A$1:$A$5000,0),1,,,"LM7 Non-ENG"),IF(IFERROR(VLOOKUP(A53&amp;"ES",'LM7 Non-ENG'!$A$1:$A$4999,1,FALSE),"ERROR")=A53&amp;"ES","Y","")),"")</f>
        <v/>
      </c>
      <c r="D53" s="29" t="str">
        <f>IFERROR(HYPERLINK("#"&amp;ADDRESS(MATCH(A53&amp;"PT",'LM7 Non-ENG'!$A$1:$A$5000,0),1,,,"LM7 Non-ENG"),IF(IFERROR(VLOOKUP(A53&amp;"PT",'LM7 Non-ENG'!$A$1:$A$5000,1,FALSE),"ERROR")=A53&amp;"PT","Y","")),"")</f>
        <v/>
      </c>
      <c r="E53" s="3">
        <f>IFERROR(VLOOKUP(A53,PLInter!A:D,3,FALSE),"")</f>
        <v>17500</v>
      </c>
      <c r="F53" s="11">
        <v>17500</v>
      </c>
    </row>
    <row r="54" spans="1:13" ht="18" customHeight="1">
      <c r="A54" s="10" t="s">
        <v>348</v>
      </c>
      <c r="B54" s="10" t="s">
        <v>357</v>
      </c>
      <c r="C54" s="29" t="str">
        <f>IFERROR(HYPERLINK("#"&amp;ADDRESS(MATCH(A54&amp;"ES",'LM7 Non-ENG'!$A$1:$A$5000,0),1,,,"LM7 Non-ENG"),IF(IFERROR(VLOOKUP(A54&amp;"ES",'LM7 Non-ENG'!$A$1:$A$4999,1,FALSE),"ERROR")=A54&amp;"ES","Y","")),"")</f>
        <v/>
      </c>
      <c r="D54" s="29" t="str">
        <f>IFERROR(HYPERLINK("#"&amp;ADDRESS(MATCH(A54&amp;"PT",'LM7 Non-ENG'!$A$1:$A$5000,0),1,,,"LM7 Non-ENG"),IF(IFERROR(VLOOKUP(A54&amp;"PT",'LM7 Non-ENG'!$A$1:$A$5000,1,FALSE),"ERROR")=A54&amp;"PT","Y","")),"")</f>
        <v/>
      </c>
      <c r="E54" s="3">
        <f>IFERROR(VLOOKUP(A54,PLInter!A:D,3,FALSE),"")</f>
        <v>17500</v>
      </c>
      <c r="F54" s="11">
        <v>17500</v>
      </c>
    </row>
    <row r="55" spans="1:13" ht="18" customHeight="1">
      <c r="A55" s="63" t="s">
        <v>358</v>
      </c>
      <c r="B55" s="63"/>
      <c r="C55" s="63"/>
      <c r="D55" s="63"/>
      <c r="E55" s="63"/>
      <c r="F55" s="63"/>
      <c r="G55" s="63"/>
      <c r="H55" s="63"/>
      <c r="I55" s="63"/>
      <c r="J55" s="63"/>
      <c r="K55" s="63"/>
      <c r="L55" s="63"/>
      <c r="M55" s="63"/>
    </row>
    <row r="56" spans="1:13" ht="18" customHeight="1">
      <c r="A56" s="10" t="s">
        <v>359</v>
      </c>
      <c r="B56" s="10" t="s">
        <v>375</v>
      </c>
      <c r="C56" s="29" t="str">
        <f>IFERROR(HYPERLINK("#"&amp;ADDRESS(MATCH(A56&amp;"ES",'LM7 Non-ENG'!$A$1:$A$5000,0),1,,,"LM7 Non-ENG"),IF(IFERROR(VLOOKUP(A56&amp;"ES",'LM7 Non-ENG'!$A$1:$A$4999,1,FALSE),"ERROR")=A56&amp;"ES","Y","")),"")</f>
        <v/>
      </c>
      <c r="D56" s="29" t="str">
        <f>IFERROR(HYPERLINK("#"&amp;ADDRESS(MATCH(A56&amp;"PT",'LM7 Non-ENG'!$A$1:$A$5000,0),1,,,"LM7 Non-ENG"),IF(IFERROR(VLOOKUP(A56&amp;"PT",'LM7 Non-ENG'!$A$1:$A$5000,1,FALSE),"ERROR")=A56&amp;"PT","Y","")),"")</f>
        <v/>
      </c>
      <c r="E56" s="3">
        <f>IFERROR(VLOOKUP(A56,PLInter!A:D,3,FALSE),"")</f>
        <v>45000</v>
      </c>
      <c r="F56" s="11">
        <v>45000</v>
      </c>
    </row>
    <row r="57" spans="1:13" ht="18" customHeight="1">
      <c r="A57" s="10" t="s">
        <v>360</v>
      </c>
      <c r="B57" s="10" t="s">
        <v>376</v>
      </c>
      <c r="C57" s="29" t="str">
        <f>IFERROR(HYPERLINK("#"&amp;ADDRESS(MATCH(A57&amp;"ES",'LM7 Non-ENG'!$A$1:$A$5000,0),1,,,"LM7 Non-ENG"),IF(IFERROR(VLOOKUP(A57&amp;"ES",'LM7 Non-ENG'!$A$1:$A$4999,1,FALSE),"ERROR")=A57&amp;"ES","Y","")),"")</f>
        <v/>
      </c>
      <c r="D57" s="29" t="str">
        <f>IFERROR(HYPERLINK("#"&amp;ADDRESS(MATCH(A57&amp;"PT",'LM7 Non-ENG'!$A$1:$A$5000,0),1,,,"LM7 Non-ENG"),IF(IFERROR(VLOOKUP(A57&amp;"PT",'LM7 Non-ENG'!$A$1:$A$5000,1,FALSE),"ERROR")=A57&amp;"PT","Y","")),"")</f>
        <v/>
      </c>
      <c r="E57" s="3">
        <f>IFERROR(VLOOKUP(A57,PLInter!A:D,3,FALSE),"")</f>
        <v>45000</v>
      </c>
      <c r="F57" s="11">
        <v>45000</v>
      </c>
    </row>
    <row r="58" spans="1:13" ht="18" customHeight="1">
      <c r="A58" s="10" t="s">
        <v>361</v>
      </c>
      <c r="B58" s="10" t="s">
        <v>377</v>
      </c>
      <c r="C58" s="29" t="str">
        <f>IFERROR(HYPERLINK("#"&amp;ADDRESS(MATCH(A58&amp;"ES",'LM7 Non-ENG'!$A$1:$A$5000,0),1,,,"LM7 Non-ENG"),IF(IFERROR(VLOOKUP(A58&amp;"ES",'LM7 Non-ENG'!$A$1:$A$4999,1,FALSE),"ERROR")=A58&amp;"ES","Y","")),"")</f>
        <v/>
      </c>
      <c r="D58" s="29" t="str">
        <f>IFERROR(HYPERLINK("#"&amp;ADDRESS(MATCH(A58&amp;"PT",'LM7 Non-ENG'!$A$1:$A$5000,0),1,,,"LM7 Non-ENG"),IF(IFERROR(VLOOKUP(A58&amp;"PT",'LM7 Non-ENG'!$A$1:$A$5000,1,FALSE),"ERROR")=A58&amp;"PT","Y","")),"")</f>
        <v/>
      </c>
      <c r="E58" s="3">
        <f>IFERROR(VLOOKUP(A58,PLInter!A:D,3,FALSE),"")</f>
        <v>45000</v>
      </c>
      <c r="F58" s="11">
        <v>45000</v>
      </c>
    </row>
    <row r="59" spans="1:13" ht="18" customHeight="1">
      <c r="A59" s="10" t="s">
        <v>362</v>
      </c>
      <c r="B59" s="10" t="s">
        <v>378</v>
      </c>
      <c r="C59" s="29" t="str">
        <f>IFERROR(HYPERLINK("#"&amp;ADDRESS(MATCH(A59&amp;"ES",'LM7 Non-ENG'!$A$1:$A$5000,0),1,,,"LM7 Non-ENG"),IF(IFERROR(VLOOKUP(A59&amp;"ES",'LM7 Non-ENG'!$A$1:$A$4999,1,FALSE),"ERROR")=A59&amp;"ES","Y","")),"")</f>
        <v/>
      </c>
      <c r="D59" s="29" t="str">
        <f>IFERROR(HYPERLINK("#"&amp;ADDRESS(MATCH(A59&amp;"PT",'LM7 Non-ENG'!$A$1:$A$5000,0),1,,,"LM7 Non-ENG"),IF(IFERROR(VLOOKUP(A59&amp;"PT",'LM7 Non-ENG'!$A$1:$A$5000,1,FALSE),"ERROR")=A59&amp;"PT","Y","")),"")</f>
        <v/>
      </c>
      <c r="E59" s="3">
        <f>IFERROR(VLOOKUP(A59,PLInter!A:D,3,FALSE),"")</f>
        <v>45000</v>
      </c>
      <c r="F59" s="11">
        <v>45000</v>
      </c>
    </row>
    <row r="60" spans="1:13" ht="18" customHeight="1">
      <c r="A60" s="10" t="s">
        <v>363</v>
      </c>
      <c r="B60" s="10" t="s">
        <v>379</v>
      </c>
      <c r="C60" s="29" t="str">
        <f>IFERROR(HYPERLINK("#"&amp;ADDRESS(MATCH(A60&amp;"ES",'LM7 Non-ENG'!$A$1:$A$5000,0),1,,,"LM7 Non-ENG"),IF(IFERROR(VLOOKUP(A60&amp;"ES",'LM7 Non-ENG'!$A$1:$A$4999,1,FALSE),"ERROR")=A60&amp;"ES","Y","")),"")</f>
        <v/>
      </c>
      <c r="D60" s="29" t="str">
        <f>IFERROR(HYPERLINK("#"&amp;ADDRESS(MATCH(A60&amp;"PT",'LM7 Non-ENG'!$A$1:$A$5000,0),1,,,"LM7 Non-ENG"),IF(IFERROR(VLOOKUP(A60&amp;"PT",'LM7 Non-ENG'!$A$1:$A$5000,1,FALSE),"ERROR")=A60&amp;"PT","Y","")),"")</f>
        <v/>
      </c>
      <c r="E60" s="3">
        <f>IFERROR(VLOOKUP(A60,PLInter!A:D,3,FALSE),"")</f>
        <v>45000</v>
      </c>
      <c r="F60" s="11">
        <v>45000</v>
      </c>
    </row>
    <row r="61" spans="1:13" ht="18" customHeight="1">
      <c r="A61" s="10" t="s">
        <v>364</v>
      </c>
      <c r="B61" s="10" t="s">
        <v>380</v>
      </c>
      <c r="C61" s="29" t="str">
        <f>IFERROR(HYPERLINK("#"&amp;ADDRESS(MATCH(A61&amp;"ES",'LM7 Non-ENG'!$A$1:$A$5000,0),1,,,"LM7 Non-ENG"),IF(IFERROR(VLOOKUP(A61&amp;"ES",'LM7 Non-ENG'!$A$1:$A$4999,1,FALSE),"ERROR")=A61&amp;"ES","Y","")),"")</f>
        <v/>
      </c>
      <c r="D61" s="29" t="str">
        <f>IFERROR(HYPERLINK("#"&amp;ADDRESS(MATCH(A61&amp;"PT",'LM7 Non-ENG'!$A$1:$A$5000,0),1,,,"LM7 Non-ENG"),IF(IFERROR(VLOOKUP(A61&amp;"PT",'LM7 Non-ENG'!$A$1:$A$5000,1,FALSE),"ERROR")=A61&amp;"PT","Y","")),"")</f>
        <v/>
      </c>
      <c r="E61" s="3">
        <f>IFERROR(VLOOKUP(A61,PLInter!A:D,3,FALSE),"")</f>
        <v>45000</v>
      </c>
      <c r="F61" s="11">
        <v>45000</v>
      </c>
    </row>
    <row r="62" spans="1:13" ht="18" customHeight="1">
      <c r="A62" s="10" t="s">
        <v>365</v>
      </c>
      <c r="B62" s="10" t="s">
        <v>381</v>
      </c>
      <c r="C62" s="29" t="str">
        <f>IFERROR(HYPERLINK("#"&amp;ADDRESS(MATCH(A62&amp;"ES",'LM7 Non-ENG'!$A$1:$A$5000,0),1,,,"LM7 Non-ENG"),IF(IFERROR(VLOOKUP(A62&amp;"ES",'LM7 Non-ENG'!$A$1:$A$4999,1,FALSE),"ERROR")=A62&amp;"ES","Y","")),"")</f>
        <v/>
      </c>
      <c r="D62" s="29" t="str">
        <f>IFERROR(HYPERLINK("#"&amp;ADDRESS(MATCH(A62&amp;"PT",'LM7 Non-ENG'!$A$1:$A$5000,0),1,,,"LM7 Non-ENG"),IF(IFERROR(VLOOKUP(A62&amp;"PT",'LM7 Non-ENG'!$A$1:$A$5000,1,FALSE),"ERROR")=A62&amp;"PT","Y","")),"")</f>
        <v/>
      </c>
      <c r="E62" s="3">
        <f>IFERROR(VLOOKUP(A62,PLInter!A:D,3,FALSE),"")</f>
        <v>45000</v>
      </c>
      <c r="F62" s="11">
        <v>45000</v>
      </c>
    </row>
    <row r="63" spans="1:13" ht="18" customHeight="1">
      <c r="A63" s="10" t="s">
        <v>366</v>
      </c>
      <c r="B63" s="10" t="s">
        <v>382</v>
      </c>
      <c r="C63" s="29" t="str">
        <f>IFERROR(HYPERLINK("#"&amp;ADDRESS(MATCH(A63&amp;"ES",'LM7 Non-ENG'!$A$1:$A$5000,0),1,,,"LM7 Non-ENG"),IF(IFERROR(VLOOKUP(A63&amp;"ES",'LM7 Non-ENG'!$A$1:$A$4999,1,FALSE),"ERROR")=A63&amp;"ES","Y","")),"")</f>
        <v/>
      </c>
      <c r="D63" s="29" t="str">
        <f>IFERROR(HYPERLINK("#"&amp;ADDRESS(MATCH(A63&amp;"PT",'LM7 Non-ENG'!$A$1:$A$5000,0),1,,,"LM7 Non-ENG"),IF(IFERROR(VLOOKUP(A63&amp;"PT",'LM7 Non-ENG'!$A$1:$A$5000,1,FALSE),"ERROR")=A63&amp;"PT","Y","")),"")</f>
        <v/>
      </c>
      <c r="E63" s="3">
        <f>IFERROR(VLOOKUP(A63,PLInter!A:D,3,FALSE),"")</f>
        <v>45000</v>
      </c>
      <c r="F63" s="11">
        <v>45000</v>
      </c>
    </row>
    <row r="64" spans="1:13" ht="18" customHeight="1">
      <c r="A64" s="10" t="s">
        <v>367</v>
      </c>
      <c r="B64" s="10" t="s">
        <v>383</v>
      </c>
      <c r="C64" s="29" t="str">
        <f>IFERROR(HYPERLINK("#"&amp;ADDRESS(MATCH(A64&amp;"ES",'LM7 Non-ENG'!$A$1:$A$5000,0),1,,,"LM7 Non-ENG"),IF(IFERROR(VLOOKUP(A64&amp;"ES",'LM7 Non-ENG'!$A$1:$A$4999,1,FALSE),"ERROR")=A64&amp;"ES","Y","")),"")</f>
        <v/>
      </c>
      <c r="D64" s="29" t="str">
        <f>IFERROR(HYPERLINK("#"&amp;ADDRESS(MATCH(A64&amp;"PT",'LM7 Non-ENG'!$A$1:$A$5000,0),1,,,"LM7 Non-ENG"),IF(IFERROR(VLOOKUP(A64&amp;"PT",'LM7 Non-ENG'!$A$1:$A$5000,1,FALSE),"ERROR")=A64&amp;"PT","Y","")),"")</f>
        <v/>
      </c>
      <c r="E64" s="3">
        <f>IFERROR(VLOOKUP(A64,PLInter!A:D,3,FALSE),"")</f>
        <v>99000</v>
      </c>
      <c r="F64" s="11">
        <v>99000</v>
      </c>
    </row>
    <row r="65" spans="1:13" ht="18" customHeight="1">
      <c r="A65" s="10" t="s">
        <v>368</v>
      </c>
      <c r="B65" s="10" t="s">
        <v>384</v>
      </c>
      <c r="C65" s="29" t="str">
        <f>IFERROR(HYPERLINK("#"&amp;ADDRESS(MATCH(A65&amp;"ES",'LM7 Non-ENG'!$A$1:$A$5000,0),1,,,"LM7 Non-ENG"),IF(IFERROR(VLOOKUP(A65&amp;"ES",'LM7 Non-ENG'!$A$1:$A$4999,1,FALSE),"ERROR")=A65&amp;"ES","Y","")),"")</f>
        <v/>
      </c>
      <c r="D65" s="29" t="str">
        <f>IFERROR(HYPERLINK("#"&amp;ADDRESS(MATCH(A65&amp;"PT",'LM7 Non-ENG'!$A$1:$A$5000,0),1,,,"LM7 Non-ENG"),IF(IFERROR(VLOOKUP(A65&amp;"PT",'LM7 Non-ENG'!$A$1:$A$5000,1,FALSE),"ERROR")=A65&amp;"PT","Y","")),"")</f>
        <v/>
      </c>
      <c r="E65" s="3">
        <f>IFERROR(VLOOKUP(A65,PLInter!A:D,3,FALSE),"")</f>
        <v>99000</v>
      </c>
      <c r="F65" s="11">
        <v>99000</v>
      </c>
    </row>
    <row r="66" spans="1:13" ht="18" customHeight="1">
      <c r="A66" s="63" t="s">
        <v>369</v>
      </c>
      <c r="B66" s="63"/>
      <c r="C66" s="63"/>
      <c r="D66" s="63"/>
      <c r="E66" s="63"/>
      <c r="F66" s="63"/>
      <c r="G66" s="63"/>
      <c r="H66" s="63"/>
      <c r="I66" s="63"/>
      <c r="J66" s="63"/>
      <c r="K66" s="63"/>
      <c r="L66" s="63"/>
      <c r="M66" s="63"/>
    </row>
    <row r="67" spans="1:13" ht="18" customHeight="1">
      <c r="A67" s="10" t="s">
        <v>370</v>
      </c>
      <c r="B67" s="10" t="s">
        <v>385</v>
      </c>
      <c r="C67" s="29" t="str">
        <f>IFERROR(HYPERLINK("#"&amp;ADDRESS(MATCH(A67&amp;"ES",'LM7 Non-ENG'!$A$1:$A$5000,0),1,,,"LM7 Non-ENG"),IF(IFERROR(VLOOKUP(A67&amp;"ES",'LM7 Non-ENG'!$A$1:$A$4999,1,FALSE),"ERROR")=A67&amp;"ES","Y","")),"")</f>
        <v/>
      </c>
      <c r="D67" s="29" t="str">
        <f>IFERROR(HYPERLINK("#"&amp;ADDRESS(MATCH(A67&amp;"PT",'LM7 Non-ENG'!$A$1:$A$5000,0),1,,,"LM7 Non-ENG"),IF(IFERROR(VLOOKUP(A67&amp;"PT",'LM7 Non-ENG'!$A$1:$A$5000,1,FALSE),"ERROR")=A67&amp;"PT","Y","")),"")</f>
        <v/>
      </c>
      <c r="E67" s="3">
        <f>IFERROR(VLOOKUP(A67,PLInter!A:D,3,FALSE),"")</f>
        <v>500</v>
      </c>
      <c r="F67" s="11">
        <v>500</v>
      </c>
    </row>
    <row r="68" spans="1:13" ht="18" customHeight="1">
      <c r="A68" s="10" t="s">
        <v>371</v>
      </c>
      <c r="B68" s="10" t="s">
        <v>386</v>
      </c>
      <c r="C68" s="29" t="str">
        <f>IFERROR(HYPERLINK("#"&amp;ADDRESS(MATCH(A68&amp;"ES",'LM7 Non-ENG'!$A$1:$A$5000,0),1,,,"LM7 Non-ENG"),IF(IFERROR(VLOOKUP(A68&amp;"ES",'LM7 Non-ENG'!$A$1:$A$4999,1,FALSE),"ERROR")=A68&amp;"ES","Y","")),"")</f>
        <v/>
      </c>
      <c r="D68" s="29" t="str">
        <f>IFERROR(HYPERLINK("#"&amp;ADDRESS(MATCH(A68&amp;"PT",'LM7 Non-ENG'!$A$1:$A$5000,0),1,,,"LM7 Non-ENG"),IF(IFERROR(VLOOKUP(A68&amp;"PT",'LM7 Non-ENG'!$A$1:$A$5000,1,FALSE),"ERROR")=A68&amp;"PT","Y","")),"")</f>
        <v/>
      </c>
      <c r="E68" s="3">
        <f>IFERROR(VLOOKUP(A68,PLInter!A:D,3,FALSE),"")</f>
        <v>2995</v>
      </c>
      <c r="F68" s="11">
        <v>2995</v>
      </c>
      <c r="K68" s="17" t="str">
        <f>HYPERLINK("#"&amp;ADDRESS(MATCH("LearnMate 7 Bundles",LearnMate7!$A$1:$A$5000,0),1,,,"LearnMate7"),"LMS")</f>
        <v>LMS</v>
      </c>
    </row>
    <row r="69" spans="1:13" ht="18" customHeight="1">
      <c r="A69" s="10" t="s">
        <v>374</v>
      </c>
      <c r="B69" s="10" t="s">
        <v>387</v>
      </c>
      <c r="C69" s="29" t="str">
        <f>IFERROR(HYPERLINK("#"&amp;ADDRESS(MATCH(A69&amp;"ES",'LM7 Non-ENG'!$A$1:$A$5000,0),1,,,"LM7 Non-ENG"),IF(IFERROR(VLOOKUP(A69&amp;"ES",'LM7 Non-ENG'!$A$1:$A$4999,1,FALSE),"ERROR")=A69&amp;"ES","Y","")),"")</f>
        <v>Y</v>
      </c>
      <c r="D69" s="29" t="str">
        <f>IFERROR(HYPERLINK("#"&amp;ADDRESS(MATCH(A69&amp;"PT",'LM7 Non-ENG'!$A$1:$A$5000,0),1,,,"LM7 Non-ENG"),IF(IFERROR(VLOOKUP(A69&amp;"PT",'LM7 Non-ENG'!$A$1:$A$5000,1,FALSE),"ERROR")=A69&amp;"PT","Y","")),"")</f>
        <v/>
      </c>
      <c r="E69" s="3">
        <f>IFERROR(VLOOKUP(A69,PLInter!A:D,3,FALSE),"")</f>
        <v>2995</v>
      </c>
      <c r="F69" s="11">
        <v>2995</v>
      </c>
      <c r="K69" s="17" t="str">
        <f>HYPERLINK("#"&amp;ADDRESS(MATCH("LearnMate 7 Bundles",LearnMate7!$A$1:$A$5000,0),1,,,"LearnMate7"),"LMS")</f>
        <v>LMS</v>
      </c>
    </row>
    <row r="70" spans="1:13" ht="18" customHeight="1">
      <c r="A70" s="10" t="s">
        <v>372</v>
      </c>
      <c r="B70" s="10" t="s">
        <v>388</v>
      </c>
      <c r="C70" s="29" t="str">
        <f>IFERROR(HYPERLINK("#"&amp;ADDRESS(MATCH(A70&amp;"ES",'LM7 Non-ENG'!$A$1:$A$5000,0),1,,,"LM7 Non-ENG"),IF(IFERROR(VLOOKUP(A70&amp;"ES",'LM7 Non-ENG'!$A$1:$A$4999,1,FALSE),"ERROR")=A70&amp;"ES","Y","")),"")</f>
        <v>Y</v>
      </c>
      <c r="D70" s="29" t="str">
        <f>IFERROR(HYPERLINK("#"&amp;ADDRESS(MATCH(A70&amp;"PT",'LM7 Non-ENG'!$A$1:$A$5000,0),1,,,"LM7 Non-ENG"),IF(IFERROR(VLOOKUP(A70&amp;"PT",'LM7 Non-ENG'!$A$1:$A$5000,1,FALSE),"ERROR")=A70&amp;"PT","Y","")),"")</f>
        <v/>
      </c>
      <c r="E70" s="3">
        <f>IFERROR(VLOOKUP(A70,PLInter!A:D,3,FALSE),"")</f>
        <v>2995</v>
      </c>
      <c r="F70" s="11">
        <v>2995</v>
      </c>
      <c r="K70" s="17" t="str">
        <f>HYPERLINK("#"&amp;ADDRESS(MATCH("LearnMate 7 Bundles",LearnMate7!$A$1:$A$5000,0),1,,,"LearnMate7"),"LMS")</f>
        <v>LMS</v>
      </c>
    </row>
    <row r="71" spans="1:13" ht="18" customHeight="1">
      <c r="A71" s="10" t="s">
        <v>373</v>
      </c>
      <c r="B71" s="10" t="s">
        <v>389</v>
      </c>
      <c r="C71" s="29" t="str">
        <f>IFERROR(HYPERLINK("#"&amp;ADDRESS(MATCH(A71&amp;"ES",'LM7 Non-ENG'!$A$1:$A$5000,0),1,,,"LM7 Non-ENG"),IF(IFERROR(VLOOKUP(A71&amp;"ES",'LM7 Non-ENG'!$A$1:$A$4999,1,FALSE),"ERROR")=A71&amp;"ES","Y","")),"")</f>
        <v/>
      </c>
      <c r="D71" s="29" t="str">
        <f>IFERROR(HYPERLINK("#"&amp;ADDRESS(MATCH(A71&amp;"PT",'LM7 Non-ENG'!$A$1:$A$5000,0),1,,,"LM7 Non-ENG"),IF(IFERROR(VLOOKUP(A71&amp;"PT",'LM7 Non-ENG'!$A$1:$A$5000,1,FALSE),"ERROR")=A71&amp;"PT","Y","")),"")</f>
        <v/>
      </c>
      <c r="E71" s="3">
        <f>IFERROR(VLOOKUP(A71,PLInter!A:D,3,FALSE),"")</f>
        <v>2995</v>
      </c>
      <c r="F71" s="11">
        <v>2995</v>
      </c>
      <c r="K71" s="17" t="str">
        <f>HYPERLINK("#"&amp;ADDRESS(MATCH("LearnMate 7 Bundles",LearnMate7!$A$1:$A$5000,0),1,,,"LearnMate7"),"LMS")</f>
        <v>LMS</v>
      </c>
    </row>
    <row r="72" spans="1:13" ht="18" customHeight="1">
      <c r="A72" s="10"/>
      <c r="B72" s="10"/>
      <c r="C72" s="10"/>
      <c r="D72" s="10"/>
      <c r="E72" s="3"/>
    </row>
    <row r="73" spans="1:13" ht="18" customHeight="1">
      <c r="A73" s="10"/>
      <c r="B73" s="10"/>
      <c r="C73" s="10"/>
      <c r="D73" s="10"/>
    </row>
    <row r="74" spans="1:13" ht="18" customHeight="1">
      <c r="A74" s="10"/>
      <c r="B74" s="10"/>
      <c r="C74" s="10"/>
      <c r="D74" s="10"/>
    </row>
    <row r="75" spans="1:13" ht="18" customHeight="1">
      <c r="A75" s="10"/>
      <c r="B75" s="10"/>
      <c r="C75" s="10"/>
      <c r="D75" s="10"/>
    </row>
    <row r="76" spans="1:13" ht="18" customHeight="1">
      <c r="A76" s="10"/>
      <c r="B76" s="10"/>
      <c r="C76" s="10"/>
      <c r="D76" s="10"/>
    </row>
    <row r="77" spans="1:13" ht="18" customHeight="1">
      <c r="A77" s="10"/>
      <c r="B77" s="10"/>
      <c r="C77" s="10"/>
      <c r="D77" s="10"/>
    </row>
    <row r="78" spans="1:13" ht="18" customHeight="1">
      <c r="B78" s="10"/>
      <c r="C78" s="10"/>
      <c r="D78" s="10"/>
    </row>
    <row r="79" spans="1:13" ht="18" customHeight="1">
      <c r="B79" s="10"/>
      <c r="C79" s="10"/>
      <c r="D79" s="10"/>
    </row>
    <row r="80" spans="1:13" ht="18" customHeight="1">
      <c r="B80" s="10"/>
      <c r="C80" s="10"/>
      <c r="D80" s="10"/>
    </row>
    <row r="81" spans="2:4" ht="18" customHeight="1">
      <c r="B81" s="10"/>
      <c r="C81" s="10"/>
      <c r="D81" s="10"/>
    </row>
    <row r="82" spans="2:4" ht="18" customHeight="1">
      <c r="B82" s="10"/>
      <c r="C82" s="10"/>
      <c r="D82" s="10"/>
    </row>
    <row r="83" spans="2:4" ht="18" customHeight="1">
      <c r="B83" s="10"/>
      <c r="C83" s="10"/>
      <c r="D83" s="10"/>
    </row>
    <row r="84" spans="2:4" ht="18" customHeight="1">
      <c r="B84" s="10"/>
      <c r="C84" s="10"/>
      <c r="D84" s="10"/>
    </row>
    <row r="85" spans="2:4" ht="18" customHeight="1">
      <c r="B85" s="10"/>
      <c r="C85" s="10"/>
      <c r="D85" s="10"/>
    </row>
    <row r="86" spans="2:4" ht="18" customHeight="1">
      <c r="B86" s="10"/>
      <c r="C86" s="10"/>
      <c r="D86" s="10"/>
    </row>
    <row r="87" spans="2:4" ht="18" customHeight="1">
      <c r="B87" s="10"/>
      <c r="C87" s="10"/>
      <c r="D87" s="10"/>
    </row>
    <row r="88" spans="2:4" ht="18" customHeight="1">
      <c r="B88" s="10"/>
      <c r="C88" s="10"/>
      <c r="D88" s="10"/>
    </row>
    <row r="89" spans="2:4" ht="18" customHeight="1">
      <c r="B89" s="10"/>
      <c r="C89" s="10"/>
      <c r="D89" s="10"/>
    </row>
    <row r="90" spans="2:4" ht="18" customHeight="1">
      <c r="B90" s="10"/>
      <c r="C90" s="10"/>
      <c r="D90" s="10"/>
    </row>
    <row r="91" spans="2:4" ht="18" customHeight="1">
      <c r="B91" s="10"/>
      <c r="C91" s="10"/>
      <c r="D91" s="10"/>
    </row>
    <row r="92" spans="2:4" ht="18" customHeight="1">
      <c r="B92" s="10"/>
      <c r="C92" s="10"/>
      <c r="D92" s="10"/>
    </row>
    <row r="93" spans="2:4" ht="18" customHeight="1">
      <c r="B93" s="10"/>
      <c r="C93" s="10"/>
      <c r="D93" s="10"/>
    </row>
    <row r="94" spans="2:4" ht="18" customHeight="1">
      <c r="B94" s="10"/>
      <c r="C94" s="10"/>
      <c r="D94" s="10"/>
    </row>
    <row r="95" spans="2:4" ht="18" customHeight="1">
      <c r="B95" s="10"/>
      <c r="C95" s="10"/>
      <c r="D95" s="10"/>
    </row>
    <row r="96" spans="2:4" ht="18" customHeight="1">
      <c r="B96" s="10"/>
      <c r="C96" s="10"/>
      <c r="D96" s="10"/>
    </row>
    <row r="97" spans="2:4" ht="18" customHeight="1">
      <c r="B97" s="10"/>
      <c r="C97" s="10"/>
      <c r="D97" s="10"/>
    </row>
    <row r="98" spans="2:4" ht="18" customHeight="1">
      <c r="B98" s="10"/>
      <c r="C98" s="10"/>
      <c r="D98" s="10"/>
    </row>
    <row r="99" spans="2:4" ht="18" customHeight="1">
      <c r="B99" s="10"/>
      <c r="C99" s="10"/>
      <c r="D99" s="10"/>
    </row>
    <row r="100" spans="2:4" ht="18" customHeight="1">
      <c r="B100" s="10"/>
      <c r="C100" s="10"/>
      <c r="D100" s="10"/>
    </row>
    <row r="101" spans="2:4" ht="18" customHeight="1">
      <c r="B101" s="10"/>
      <c r="C101" s="10"/>
      <c r="D101" s="10"/>
    </row>
    <row r="102" spans="2:4" ht="18" customHeight="1">
      <c r="B102" s="10"/>
      <c r="C102" s="10"/>
      <c r="D102" s="10"/>
    </row>
    <row r="103" spans="2:4" ht="18" customHeight="1">
      <c r="B103" s="10"/>
      <c r="C103" s="10"/>
      <c r="D103" s="10"/>
    </row>
    <row r="104" spans="2:4" ht="18" customHeight="1">
      <c r="B104" s="10"/>
      <c r="C104" s="10"/>
      <c r="D104" s="10"/>
    </row>
    <row r="105" spans="2:4" ht="18" customHeight="1">
      <c r="B105" s="10"/>
      <c r="C105" s="10"/>
      <c r="D105" s="10"/>
    </row>
    <row r="106" spans="2:4" ht="18" customHeight="1">
      <c r="B106" s="10"/>
      <c r="C106" s="10"/>
      <c r="D106" s="10"/>
    </row>
    <row r="107" spans="2:4" ht="18" customHeight="1">
      <c r="B107" s="10"/>
      <c r="C107" s="10"/>
      <c r="D107" s="10"/>
    </row>
    <row r="108" spans="2:4" ht="18" customHeight="1">
      <c r="B108" s="10"/>
      <c r="C108" s="10"/>
      <c r="D108" s="10"/>
    </row>
    <row r="109" spans="2:4" ht="18" customHeight="1">
      <c r="B109" s="10"/>
      <c r="C109" s="10"/>
      <c r="D109" s="10"/>
    </row>
    <row r="110" spans="2:4" ht="18" customHeight="1">
      <c r="B110" s="10"/>
      <c r="C110" s="10"/>
      <c r="D110" s="10"/>
    </row>
    <row r="111" spans="2:4" ht="18" customHeight="1">
      <c r="B111" s="10"/>
      <c r="C111" s="10"/>
      <c r="D111" s="10"/>
    </row>
    <row r="112" spans="2:4" ht="18" customHeight="1">
      <c r="B112" s="10"/>
      <c r="C112" s="10"/>
      <c r="D112" s="10"/>
    </row>
    <row r="113" spans="2:4" ht="18" customHeight="1">
      <c r="B113" s="10"/>
      <c r="C113" s="10"/>
      <c r="D113" s="10"/>
    </row>
    <row r="114" spans="2:4" ht="18" customHeight="1">
      <c r="B114" s="10"/>
      <c r="C114" s="10"/>
      <c r="D114" s="10"/>
    </row>
    <row r="115" spans="2:4" ht="18" customHeight="1">
      <c r="B115" s="10"/>
      <c r="C115" s="10"/>
      <c r="D115" s="10"/>
    </row>
    <row r="116" spans="2:4" ht="18" customHeight="1">
      <c r="B116" s="10"/>
      <c r="C116" s="10"/>
      <c r="D116" s="10"/>
    </row>
    <row r="117" spans="2:4" ht="18" customHeight="1">
      <c r="B117" s="10"/>
      <c r="C117" s="10"/>
      <c r="D117" s="10"/>
    </row>
    <row r="118" spans="2:4" ht="18" customHeight="1">
      <c r="B118" s="10"/>
      <c r="C118" s="10"/>
      <c r="D118" s="10"/>
    </row>
    <row r="119" spans="2:4" ht="18" customHeight="1">
      <c r="B119" s="10"/>
      <c r="C119" s="10"/>
      <c r="D119" s="10"/>
    </row>
    <row r="120" spans="2:4" ht="18" customHeight="1">
      <c r="B120" s="10"/>
      <c r="C120" s="10"/>
      <c r="D120" s="10"/>
    </row>
    <row r="121" spans="2:4" ht="18" customHeight="1">
      <c r="B121" s="10"/>
      <c r="C121" s="10"/>
      <c r="D121" s="10"/>
    </row>
    <row r="122" spans="2:4" ht="18" customHeight="1">
      <c r="B122" s="10"/>
      <c r="C122" s="10"/>
      <c r="D122" s="10"/>
    </row>
    <row r="123" spans="2:4" ht="18" customHeight="1">
      <c r="B123" s="10"/>
      <c r="C123" s="10"/>
      <c r="D123" s="10"/>
    </row>
    <row r="124" spans="2:4" ht="18" customHeight="1">
      <c r="B124" s="10"/>
      <c r="C124" s="10"/>
      <c r="D124" s="10"/>
    </row>
    <row r="125" spans="2:4" ht="18" customHeight="1">
      <c r="B125" s="10"/>
      <c r="C125" s="10"/>
      <c r="D125" s="10"/>
    </row>
    <row r="126" spans="2:4" ht="18" customHeight="1">
      <c r="B126" s="10"/>
      <c r="C126" s="10"/>
      <c r="D126" s="10"/>
    </row>
    <row r="127" spans="2:4" ht="18" customHeight="1">
      <c r="B127" s="10"/>
      <c r="C127" s="10"/>
      <c r="D127" s="10"/>
    </row>
    <row r="128" spans="2:4" ht="18" customHeight="1">
      <c r="B128" s="10"/>
      <c r="C128" s="10"/>
      <c r="D128" s="10"/>
    </row>
    <row r="129" spans="2:4" ht="18" customHeight="1">
      <c r="B129" s="10"/>
      <c r="C129" s="10"/>
      <c r="D129" s="10"/>
    </row>
    <row r="130" spans="2:4" ht="18" customHeight="1">
      <c r="B130" s="10"/>
      <c r="C130" s="10"/>
      <c r="D130" s="10"/>
    </row>
    <row r="131" spans="2:4" ht="18" customHeight="1">
      <c r="B131" s="10"/>
      <c r="C131" s="10"/>
      <c r="D131" s="10"/>
    </row>
    <row r="132" spans="2:4" ht="18" customHeight="1">
      <c r="B132" s="10"/>
      <c r="C132" s="10"/>
      <c r="D132" s="10"/>
    </row>
    <row r="133" spans="2:4" ht="18" customHeight="1">
      <c r="B133" s="10"/>
      <c r="C133" s="10"/>
      <c r="D133" s="10"/>
    </row>
    <row r="134" spans="2:4" ht="18" customHeight="1">
      <c r="B134" s="10"/>
      <c r="C134" s="10"/>
      <c r="D134" s="10"/>
    </row>
    <row r="135" spans="2:4" ht="18" customHeight="1">
      <c r="B135" s="10"/>
      <c r="C135" s="10"/>
      <c r="D135" s="10"/>
    </row>
    <row r="136" spans="2:4" ht="18" customHeight="1">
      <c r="B136" s="10"/>
      <c r="C136" s="10"/>
      <c r="D136" s="10"/>
    </row>
    <row r="137" spans="2:4" ht="18" customHeight="1">
      <c r="B137" s="10"/>
      <c r="C137" s="10"/>
      <c r="D137" s="10"/>
    </row>
    <row r="138" spans="2:4" ht="18" customHeight="1">
      <c r="B138" s="10"/>
      <c r="C138" s="10"/>
      <c r="D138" s="10"/>
    </row>
    <row r="139" spans="2:4" ht="18" customHeight="1">
      <c r="B139" s="10"/>
      <c r="C139" s="10"/>
      <c r="D139" s="10"/>
    </row>
    <row r="140" spans="2:4" ht="18" customHeight="1">
      <c r="B140" s="10"/>
      <c r="C140" s="10"/>
      <c r="D140" s="10"/>
    </row>
    <row r="141" spans="2:4" ht="18" customHeight="1">
      <c r="B141" s="10"/>
      <c r="C141" s="10"/>
      <c r="D141" s="10"/>
    </row>
    <row r="142" spans="2:4" ht="18" customHeight="1">
      <c r="B142" s="10"/>
      <c r="C142" s="10"/>
      <c r="D142" s="10"/>
    </row>
    <row r="143" spans="2:4" ht="18" customHeight="1">
      <c r="B143" s="10"/>
      <c r="C143" s="10"/>
      <c r="D143" s="10"/>
    </row>
    <row r="144" spans="2:4" ht="18" customHeight="1">
      <c r="B144" s="10"/>
      <c r="C144" s="10"/>
      <c r="D144" s="10"/>
    </row>
    <row r="145" spans="2:4" ht="18" customHeight="1">
      <c r="B145" s="10"/>
      <c r="C145" s="10"/>
      <c r="D145" s="10"/>
    </row>
    <row r="146" spans="2:4" ht="18" customHeight="1">
      <c r="B146" s="10"/>
      <c r="C146" s="10"/>
      <c r="D146" s="10"/>
    </row>
    <row r="147" spans="2:4" ht="18" customHeight="1">
      <c r="B147" s="10"/>
      <c r="C147" s="10"/>
      <c r="D147" s="10"/>
    </row>
    <row r="148" spans="2:4" ht="18" customHeight="1">
      <c r="B148" s="10"/>
      <c r="C148" s="10"/>
      <c r="D148" s="10"/>
    </row>
    <row r="149" spans="2:4" ht="18" customHeight="1">
      <c r="B149" s="10"/>
      <c r="C149" s="10"/>
      <c r="D149" s="10"/>
    </row>
    <row r="150" spans="2:4" ht="18" customHeight="1">
      <c r="B150" s="10"/>
      <c r="C150" s="10"/>
      <c r="D150" s="10"/>
    </row>
    <row r="151" spans="2:4" ht="18" customHeight="1">
      <c r="B151" s="10"/>
      <c r="C151" s="10"/>
      <c r="D151" s="10"/>
    </row>
    <row r="152" spans="2:4" ht="18" customHeight="1">
      <c r="B152" s="10"/>
      <c r="C152" s="10"/>
      <c r="D152" s="10"/>
    </row>
    <row r="153" spans="2:4" ht="18" customHeight="1">
      <c r="B153" s="10"/>
      <c r="C153" s="10"/>
      <c r="D153" s="10"/>
    </row>
    <row r="154" spans="2:4" ht="18" customHeight="1">
      <c r="B154" s="10"/>
      <c r="C154" s="10"/>
      <c r="D154" s="10"/>
    </row>
    <row r="155" spans="2:4" ht="18" customHeight="1">
      <c r="B155" s="10"/>
      <c r="C155" s="10"/>
      <c r="D155" s="10"/>
    </row>
    <row r="156" spans="2:4" ht="18" customHeight="1">
      <c r="B156" s="10"/>
      <c r="C156" s="10"/>
      <c r="D156" s="10"/>
    </row>
    <row r="157" spans="2:4" ht="18" customHeight="1">
      <c r="B157" s="10"/>
      <c r="C157" s="10"/>
      <c r="D157" s="10"/>
    </row>
    <row r="158" spans="2:4" ht="18" customHeight="1">
      <c r="B158" s="10"/>
      <c r="C158" s="10"/>
      <c r="D158" s="10"/>
    </row>
    <row r="159" spans="2:4" ht="18" customHeight="1">
      <c r="B159" s="10"/>
      <c r="C159" s="10"/>
      <c r="D159" s="10"/>
    </row>
    <row r="160" spans="2:4" ht="18" customHeight="1">
      <c r="B160" s="10"/>
      <c r="C160" s="10"/>
      <c r="D160" s="10"/>
    </row>
    <row r="161" spans="2:4" ht="18" customHeight="1">
      <c r="B161" s="10"/>
      <c r="C161" s="10"/>
      <c r="D161" s="10"/>
    </row>
    <row r="162" spans="2:4" ht="18" customHeight="1">
      <c r="B162" s="10"/>
      <c r="C162" s="10"/>
      <c r="D162" s="10"/>
    </row>
    <row r="163" spans="2:4" ht="18" customHeight="1">
      <c r="B163" s="10"/>
      <c r="C163" s="10"/>
      <c r="D163" s="10"/>
    </row>
    <row r="164" spans="2:4" ht="18" customHeight="1">
      <c r="B164" s="10"/>
      <c r="C164" s="10"/>
      <c r="D164" s="10"/>
    </row>
    <row r="165" spans="2:4" ht="18" customHeight="1">
      <c r="B165" s="10"/>
      <c r="C165" s="10"/>
      <c r="D165" s="10"/>
    </row>
    <row r="166" spans="2:4" ht="18" customHeight="1">
      <c r="B166" s="10"/>
      <c r="C166" s="10"/>
      <c r="D166" s="10"/>
    </row>
    <row r="167" spans="2:4" ht="18" customHeight="1">
      <c r="B167" s="10"/>
      <c r="C167" s="10"/>
      <c r="D167" s="10"/>
    </row>
    <row r="168" spans="2:4" ht="18" customHeight="1">
      <c r="B168" s="10"/>
      <c r="C168" s="10"/>
      <c r="D168" s="10"/>
    </row>
    <row r="169" spans="2:4" ht="18" customHeight="1">
      <c r="B169" s="10"/>
      <c r="C169" s="10"/>
      <c r="D169" s="10"/>
    </row>
    <row r="170" spans="2:4" ht="18" customHeight="1">
      <c r="B170" s="10"/>
      <c r="C170" s="10"/>
      <c r="D170" s="10"/>
    </row>
    <row r="171" spans="2:4" ht="18" customHeight="1">
      <c r="B171" s="10"/>
      <c r="C171" s="10"/>
      <c r="D171" s="10"/>
    </row>
    <row r="172" spans="2:4" ht="18" customHeight="1">
      <c r="B172" s="10"/>
      <c r="C172" s="10"/>
      <c r="D172" s="10"/>
    </row>
    <row r="173" spans="2:4" ht="18" customHeight="1">
      <c r="B173" s="10"/>
      <c r="C173" s="10"/>
      <c r="D173" s="10"/>
    </row>
    <row r="174" spans="2:4" ht="18" customHeight="1">
      <c r="B174" s="10"/>
      <c r="C174" s="10"/>
      <c r="D174" s="10"/>
    </row>
    <row r="175" spans="2:4" ht="18" customHeight="1">
      <c r="B175" s="10"/>
      <c r="C175" s="10"/>
      <c r="D175" s="10"/>
    </row>
    <row r="176" spans="2:4" ht="18" customHeight="1">
      <c r="B176" s="10"/>
      <c r="C176" s="10"/>
      <c r="D176" s="10"/>
    </row>
    <row r="177" spans="2:4" ht="18" customHeight="1">
      <c r="B177" s="10"/>
      <c r="C177" s="10"/>
      <c r="D177" s="10"/>
    </row>
    <row r="178" spans="2:4" ht="18" customHeight="1">
      <c r="B178" s="10"/>
      <c r="C178" s="10"/>
      <c r="D178" s="10"/>
    </row>
    <row r="179" spans="2:4" ht="18" customHeight="1">
      <c r="B179" s="10"/>
      <c r="C179" s="10"/>
      <c r="D179" s="10"/>
    </row>
    <row r="180" spans="2:4" ht="18" customHeight="1">
      <c r="B180" s="10"/>
      <c r="C180" s="10"/>
      <c r="D180" s="10"/>
    </row>
    <row r="181" spans="2:4" ht="18" customHeight="1">
      <c r="B181" s="10"/>
      <c r="C181" s="10"/>
      <c r="D181" s="10"/>
    </row>
    <row r="182" spans="2:4" ht="18" customHeight="1">
      <c r="B182" s="10"/>
      <c r="C182" s="10"/>
      <c r="D182" s="10"/>
    </row>
    <row r="183" spans="2:4" ht="18" customHeight="1">
      <c r="B183" s="10"/>
      <c r="C183" s="10"/>
      <c r="D183" s="10"/>
    </row>
    <row r="184" spans="2:4" ht="18" customHeight="1">
      <c r="B184" s="10"/>
      <c r="C184" s="10"/>
      <c r="D184" s="10"/>
    </row>
    <row r="185" spans="2:4" ht="18" customHeight="1">
      <c r="B185" s="10"/>
      <c r="C185" s="10"/>
      <c r="D185" s="10"/>
    </row>
    <row r="186" spans="2:4" ht="18" customHeight="1">
      <c r="B186" s="10"/>
      <c r="C186" s="10"/>
      <c r="D186" s="10"/>
    </row>
    <row r="187" spans="2:4" ht="18" customHeight="1">
      <c r="B187" s="10"/>
      <c r="C187" s="10"/>
      <c r="D187" s="10"/>
    </row>
    <row r="188" spans="2:4" ht="18" customHeight="1">
      <c r="B188" s="10"/>
      <c r="C188" s="10"/>
      <c r="D188" s="10"/>
    </row>
    <row r="189" spans="2:4" ht="18" customHeight="1">
      <c r="B189" s="10"/>
      <c r="C189" s="10"/>
      <c r="D189" s="10"/>
    </row>
    <row r="190" spans="2:4" ht="18" customHeight="1">
      <c r="B190" s="10"/>
      <c r="C190" s="10"/>
      <c r="D190" s="10"/>
    </row>
    <row r="191" spans="2:4" ht="18" customHeight="1">
      <c r="B191" s="10"/>
      <c r="C191" s="10"/>
      <c r="D191" s="10"/>
    </row>
    <row r="192" spans="2:4" ht="18" customHeight="1">
      <c r="B192" s="10"/>
      <c r="C192" s="10"/>
      <c r="D192" s="10"/>
    </row>
    <row r="193" spans="2:4" ht="18" customHeight="1">
      <c r="B193" s="10"/>
      <c r="C193" s="10"/>
      <c r="D193" s="10"/>
    </row>
    <row r="194" spans="2:4" ht="18" customHeight="1">
      <c r="B194" s="10"/>
      <c r="C194" s="10"/>
      <c r="D194" s="10"/>
    </row>
    <row r="195" spans="2:4" ht="18" customHeight="1">
      <c r="B195" s="10"/>
      <c r="C195" s="10"/>
      <c r="D195" s="10"/>
    </row>
    <row r="196" spans="2:4" ht="18" customHeight="1">
      <c r="B196" s="10"/>
      <c r="C196" s="10"/>
      <c r="D196" s="10"/>
    </row>
    <row r="197" spans="2:4" ht="18" customHeight="1">
      <c r="B197" s="10"/>
      <c r="C197" s="10"/>
      <c r="D197" s="10"/>
    </row>
    <row r="198" spans="2:4" ht="18" customHeight="1">
      <c r="B198" s="10"/>
      <c r="C198" s="10"/>
      <c r="D198" s="10"/>
    </row>
    <row r="199" spans="2:4" ht="18" customHeight="1">
      <c r="B199" s="10"/>
      <c r="C199" s="10"/>
      <c r="D199" s="10"/>
    </row>
    <row r="200" spans="2:4" ht="18" customHeight="1">
      <c r="B200" s="10"/>
      <c r="C200" s="10"/>
      <c r="D200" s="10"/>
    </row>
    <row r="201" spans="2:4" ht="18" customHeight="1">
      <c r="B201" s="10"/>
      <c r="C201" s="10"/>
      <c r="D201" s="10"/>
    </row>
    <row r="202" spans="2:4" ht="18" customHeight="1">
      <c r="B202" s="10"/>
      <c r="C202" s="10"/>
      <c r="D202" s="10"/>
    </row>
    <row r="203" spans="2:4" ht="18" customHeight="1">
      <c r="B203" s="10"/>
      <c r="C203" s="10"/>
      <c r="D203" s="10"/>
    </row>
    <row r="204" spans="2:4" ht="18" customHeight="1">
      <c r="B204" s="10"/>
      <c r="C204" s="10"/>
      <c r="D204" s="10"/>
    </row>
    <row r="205" spans="2:4" ht="18" customHeight="1">
      <c r="B205" s="10"/>
      <c r="C205" s="10"/>
      <c r="D205" s="10"/>
    </row>
    <row r="206" spans="2:4" ht="18" customHeight="1">
      <c r="B206" s="10"/>
      <c r="C206" s="10"/>
      <c r="D206" s="10"/>
    </row>
    <row r="207" spans="2:4" ht="18" customHeight="1">
      <c r="B207" s="10"/>
      <c r="C207" s="10"/>
      <c r="D207" s="10"/>
    </row>
    <row r="208" spans="2:4" ht="18" customHeight="1">
      <c r="B208" s="10"/>
      <c r="C208" s="10"/>
      <c r="D208" s="10"/>
    </row>
    <row r="209" spans="2:4" ht="18" customHeight="1">
      <c r="B209" s="10"/>
      <c r="C209" s="10"/>
      <c r="D209" s="10"/>
    </row>
    <row r="210" spans="2:4" ht="18" customHeight="1">
      <c r="B210" s="10"/>
      <c r="C210" s="10"/>
      <c r="D210" s="10"/>
    </row>
    <row r="211" spans="2:4" ht="18" customHeight="1">
      <c r="B211" s="10"/>
      <c r="C211" s="10"/>
      <c r="D211" s="10"/>
    </row>
    <row r="212" spans="2:4" ht="18" customHeight="1">
      <c r="B212" s="10"/>
      <c r="C212" s="10"/>
      <c r="D212" s="10"/>
    </row>
    <row r="213" spans="2:4" ht="18" customHeight="1">
      <c r="B213" s="10"/>
      <c r="C213" s="10"/>
      <c r="D213" s="10"/>
    </row>
    <row r="214" spans="2:4" ht="18" customHeight="1">
      <c r="B214" s="10"/>
      <c r="C214" s="10"/>
      <c r="D214" s="10"/>
    </row>
    <row r="215" spans="2:4" ht="18" customHeight="1">
      <c r="B215" s="10"/>
      <c r="C215" s="10"/>
      <c r="D215" s="10"/>
    </row>
    <row r="216" spans="2:4" ht="18" customHeight="1">
      <c r="B216" s="10"/>
      <c r="C216" s="10"/>
      <c r="D216" s="10"/>
    </row>
    <row r="217" spans="2:4" ht="18" customHeight="1">
      <c r="B217" s="10"/>
      <c r="C217" s="10"/>
      <c r="D217" s="10"/>
    </row>
    <row r="218" spans="2:4" ht="18" customHeight="1">
      <c r="B218" s="10"/>
      <c r="C218" s="10"/>
      <c r="D218" s="10"/>
    </row>
    <row r="219" spans="2:4" ht="18" customHeight="1">
      <c r="B219" s="10"/>
      <c r="C219" s="10"/>
      <c r="D219" s="10"/>
    </row>
    <row r="220" spans="2:4" ht="18" customHeight="1">
      <c r="B220" s="10"/>
      <c r="C220" s="10"/>
      <c r="D220" s="10"/>
    </row>
    <row r="221" spans="2:4" ht="18" customHeight="1">
      <c r="B221" s="10"/>
      <c r="C221" s="10"/>
      <c r="D221" s="10"/>
    </row>
    <row r="222" spans="2:4" ht="18" customHeight="1">
      <c r="B222" s="10"/>
      <c r="C222" s="10"/>
      <c r="D222" s="10"/>
    </row>
    <row r="223" spans="2:4" ht="18" customHeight="1">
      <c r="B223" s="10"/>
      <c r="C223" s="10"/>
      <c r="D223" s="10"/>
    </row>
    <row r="224" spans="2:4" ht="18" customHeight="1">
      <c r="B224" s="10"/>
      <c r="C224" s="10"/>
      <c r="D224" s="10"/>
    </row>
    <row r="225" spans="2:4" ht="18" customHeight="1">
      <c r="B225" s="10"/>
      <c r="C225" s="10"/>
      <c r="D225" s="10"/>
    </row>
    <row r="226" spans="2:4" ht="18" customHeight="1">
      <c r="B226" s="10"/>
      <c r="C226" s="10"/>
      <c r="D226" s="10"/>
    </row>
    <row r="227" spans="2:4" ht="18" customHeight="1">
      <c r="B227" s="10"/>
      <c r="C227" s="10"/>
      <c r="D227" s="10"/>
    </row>
    <row r="228" spans="2:4" ht="18" customHeight="1">
      <c r="B228" s="10"/>
      <c r="C228" s="10"/>
      <c r="D228" s="10"/>
    </row>
    <row r="229" spans="2:4" ht="18" customHeight="1">
      <c r="B229" s="10"/>
      <c r="C229" s="10"/>
      <c r="D229" s="10"/>
    </row>
    <row r="230" spans="2:4" ht="18" customHeight="1">
      <c r="B230" s="10"/>
      <c r="C230" s="10"/>
      <c r="D230" s="10"/>
    </row>
    <row r="231" spans="2:4" ht="18" customHeight="1">
      <c r="B231" s="10"/>
      <c r="C231" s="10"/>
      <c r="D231" s="10"/>
    </row>
    <row r="232" spans="2:4" ht="18" customHeight="1">
      <c r="B232" s="10"/>
      <c r="C232" s="10"/>
      <c r="D232" s="10"/>
    </row>
    <row r="233" spans="2:4" ht="18" customHeight="1">
      <c r="B233" s="10"/>
      <c r="C233" s="10"/>
      <c r="D233" s="10"/>
    </row>
    <row r="234" spans="2:4" ht="18" customHeight="1">
      <c r="B234" s="10"/>
      <c r="C234" s="10"/>
      <c r="D234" s="10"/>
    </row>
    <row r="235" spans="2:4" ht="18" customHeight="1">
      <c r="B235" s="10"/>
      <c r="C235" s="10"/>
      <c r="D235" s="10"/>
    </row>
    <row r="236" spans="2:4" ht="18" customHeight="1">
      <c r="B236" s="10"/>
      <c r="C236" s="10"/>
      <c r="D236" s="10"/>
    </row>
    <row r="237" spans="2:4" ht="18" customHeight="1">
      <c r="B237" s="10"/>
      <c r="C237" s="10"/>
      <c r="D237" s="10"/>
    </row>
    <row r="238" spans="2:4" ht="18" customHeight="1">
      <c r="B238" s="10"/>
      <c r="C238" s="10"/>
      <c r="D238" s="10"/>
    </row>
    <row r="239" spans="2:4" ht="18" customHeight="1">
      <c r="B239" s="10"/>
      <c r="C239" s="10"/>
      <c r="D239" s="10"/>
    </row>
    <row r="240" spans="2:4" ht="18" customHeight="1">
      <c r="B240" s="10"/>
      <c r="C240" s="10"/>
      <c r="D240" s="10"/>
    </row>
    <row r="241" spans="2:4" ht="18" customHeight="1">
      <c r="B241" s="10"/>
      <c r="C241" s="10"/>
      <c r="D241" s="10"/>
    </row>
    <row r="242" spans="2:4" ht="18" customHeight="1">
      <c r="B242" s="10"/>
      <c r="C242" s="10"/>
      <c r="D242" s="10"/>
    </row>
    <row r="243" spans="2:4" ht="18" customHeight="1">
      <c r="B243" s="10"/>
      <c r="C243" s="10"/>
      <c r="D243" s="10"/>
    </row>
    <row r="244" spans="2:4" ht="18" customHeight="1">
      <c r="B244" s="10"/>
      <c r="C244" s="10"/>
      <c r="D244" s="10"/>
    </row>
    <row r="245" spans="2:4" ht="18" customHeight="1">
      <c r="B245" s="10"/>
      <c r="C245" s="10"/>
      <c r="D245" s="10"/>
    </row>
    <row r="246" spans="2:4" ht="18" customHeight="1">
      <c r="B246" s="10"/>
      <c r="C246" s="10"/>
      <c r="D246" s="10"/>
    </row>
    <row r="247" spans="2:4" ht="18" customHeight="1">
      <c r="B247" s="10"/>
      <c r="C247" s="10"/>
      <c r="D247" s="10"/>
    </row>
    <row r="248" spans="2:4" ht="18" customHeight="1">
      <c r="B248" s="10"/>
      <c r="C248" s="10"/>
      <c r="D248" s="10"/>
    </row>
    <row r="249" spans="2:4" ht="18" customHeight="1">
      <c r="B249" s="10"/>
      <c r="C249" s="10"/>
      <c r="D249" s="10"/>
    </row>
    <row r="250" spans="2:4" ht="18" customHeight="1">
      <c r="B250" s="10"/>
      <c r="C250" s="10"/>
      <c r="D250" s="10"/>
    </row>
    <row r="251" spans="2:4" ht="18" customHeight="1">
      <c r="B251" s="10"/>
      <c r="C251" s="10"/>
      <c r="D251" s="10"/>
    </row>
    <row r="252" spans="2:4" ht="18" customHeight="1">
      <c r="B252" s="10"/>
      <c r="C252" s="10"/>
      <c r="D252" s="10"/>
    </row>
    <row r="253" spans="2:4" ht="18" customHeight="1">
      <c r="B253" s="10"/>
      <c r="C253" s="10"/>
      <c r="D253" s="10"/>
    </row>
    <row r="254" spans="2:4" ht="18" customHeight="1">
      <c r="B254" s="10"/>
      <c r="C254" s="10"/>
      <c r="D254" s="10"/>
    </row>
    <row r="255" spans="2:4" ht="18" customHeight="1">
      <c r="B255" s="10"/>
      <c r="C255" s="10"/>
      <c r="D255" s="10"/>
    </row>
    <row r="256" spans="2:4" ht="18" customHeight="1">
      <c r="B256" s="10"/>
      <c r="C256" s="10"/>
      <c r="D256" s="10"/>
    </row>
    <row r="257" spans="2:4" ht="18" customHeight="1">
      <c r="B257" s="10"/>
      <c r="C257" s="10"/>
      <c r="D257" s="10"/>
    </row>
    <row r="258" spans="2:4" ht="18" customHeight="1">
      <c r="B258" s="10"/>
      <c r="C258" s="10"/>
      <c r="D258" s="10"/>
    </row>
    <row r="259" spans="2:4" ht="18" customHeight="1">
      <c r="B259" s="10"/>
      <c r="C259" s="10"/>
      <c r="D259" s="10"/>
    </row>
    <row r="260" spans="2:4" ht="18" customHeight="1">
      <c r="B260" s="10"/>
      <c r="C260" s="10"/>
      <c r="D260" s="10"/>
    </row>
    <row r="261" spans="2:4" ht="18" customHeight="1">
      <c r="B261" s="10"/>
      <c r="C261" s="10"/>
      <c r="D261" s="10"/>
    </row>
    <row r="262" spans="2:4" ht="18" customHeight="1">
      <c r="B262" s="10"/>
      <c r="C262" s="10"/>
      <c r="D262" s="10"/>
    </row>
    <row r="263" spans="2:4" ht="18" customHeight="1">
      <c r="B263" s="10"/>
      <c r="C263" s="10"/>
      <c r="D263" s="10"/>
    </row>
    <row r="264" spans="2:4" ht="18" customHeight="1">
      <c r="B264" s="10"/>
      <c r="C264" s="10"/>
      <c r="D264" s="10"/>
    </row>
    <row r="265" spans="2:4" ht="18" customHeight="1">
      <c r="B265" s="10"/>
      <c r="C265" s="10"/>
      <c r="D265" s="10"/>
    </row>
    <row r="266" spans="2:4" ht="18" customHeight="1">
      <c r="B266" s="10"/>
      <c r="C266" s="10"/>
      <c r="D266" s="10"/>
    </row>
    <row r="267" spans="2:4" ht="18" customHeight="1">
      <c r="B267" s="10"/>
      <c r="C267" s="10"/>
      <c r="D267" s="10"/>
    </row>
    <row r="268" spans="2:4" ht="18" customHeight="1">
      <c r="B268" s="10"/>
      <c r="C268" s="10"/>
      <c r="D268" s="10"/>
    </row>
    <row r="269" spans="2:4" ht="18" customHeight="1">
      <c r="B269" s="10"/>
      <c r="C269" s="10"/>
      <c r="D269" s="10"/>
    </row>
    <row r="270" spans="2:4" ht="18" customHeight="1">
      <c r="B270" s="10"/>
      <c r="C270" s="10"/>
      <c r="D270" s="10"/>
    </row>
    <row r="271" spans="2:4" ht="18" customHeight="1">
      <c r="B271" s="10"/>
      <c r="C271" s="10"/>
      <c r="D271" s="10"/>
    </row>
    <row r="272" spans="2:4" ht="18" customHeight="1">
      <c r="B272" s="10"/>
      <c r="C272" s="10"/>
      <c r="D272" s="10"/>
    </row>
    <row r="273" spans="2:4" ht="18" customHeight="1">
      <c r="B273" s="10"/>
      <c r="C273" s="10"/>
      <c r="D273" s="10"/>
    </row>
    <row r="274" spans="2:4" ht="18" customHeight="1">
      <c r="B274" s="10"/>
      <c r="C274" s="10"/>
      <c r="D274" s="10"/>
    </row>
    <row r="275" spans="2:4" ht="18" customHeight="1">
      <c r="B275" s="10"/>
      <c r="C275" s="10"/>
      <c r="D275" s="10"/>
    </row>
    <row r="276" spans="2:4" ht="18" customHeight="1">
      <c r="B276" s="10"/>
      <c r="C276" s="10"/>
      <c r="D276" s="10"/>
    </row>
    <row r="277" spans="2:4" ht="18" customHeight="1">
      <c r="B277" s="10"/>
      <c r="C277" s="10"/>
      <c r="D277" s="10"/>
    </row>
    <row r="278" spans="2:4" ht="18" customHeight="1">
      <c r="B278" s="10"/>
      <c r="C278" s="10"/>
      <c r="D278" s="10"/>
    </row>
    <row r="279" spans="2:4" ht="18" customHeight="1">
      <c r="B279" s="10"/>
      <c r="C279" s="10"/>
      <c r="D279" s="10"/>
    </row>
    <row r="280" spans="2:4" ht="18" customHeight="1">
      <c r="B280" s="10"/>
      <c r="C280" s="10"/>
      <c r="D280" s="10"/>
    </row>
    <row r="281" spans="2:4" ht="18" customHeight="1">
      <c r="B281" s="10"/>
      <c r="C281" s="10"/>
      <c r="D281" s="10"/>
    </row>
    <row r="282" spans="2:4" ht="18" customHeight="1">
      <c r="B282" s="10"/>
      <c r="C282" s="10"/>
      <c r="D282" s="10"/>
    </row>
    <row r="283" spans="2:4" ht="18" customHeight="1">
      <c r="B283" s="10"/>
      <c r="C283" s="10"/>
      <c r="D283" s="10"/>
    </row>
    <row r="284" spans="2:4" ht="18" customHeight="1">
      <c r="B284" s="10"/>
      <c r="C284" s="10"/>
      <c r="D284" s="10"/>
    </row>
    <row r="285" spans="2:4" ht="18" customHeight="1">
      <c r="B285" s="10"/>
      <c r="C285" s="10"/>
      <c r="D285" s="10"/>
    </row>
    <row r="286" spans="2:4" ht="18" customHeight="1">
      <c r="B286" s="10"/>
      <c r="C286" s="10"/>
      <c r="D286" s="10"/>
    </row>
    <row r="287" spans="2:4" ht="18" customHeight="1">
      <c r="B287" s="10"/>
      <c r="C287" s="10"/>
      <c r="D287" s="10"/>
    </row>
    <row r="288" spans="2:4" ht="18" customHeight="1">
      <c r="B288" s="10"/>
      <c r="C288" s="10"/>
      <c r="D288" s="10"/>
    </row>
    <row r="289" spans="2:4" ht="18" customHeight="1">
      <c r="B289" s="10"/>
      <c r="C289" s="10"/>
      <c r="D289" s="10"/>
    </row>
    <row r="290" spans="2:4" ht="18" customHeight="1">
      <c r="B290" s="10"/>
      <c r="C290" s="10"/>
      <c r="D290" s="10"/>
    </row>
    <row r="291" spans="2:4" ht="18" customHeight="1">
      <c r="B291" s="10"/>
      <c r="C291" s="10"/>
      <c r="D291" s="10"/>
    </row>
    <row r="292" spans="2:4" ht="18" customHeight="1">
      <c r="B292" s="10"/>
      <c r="C292" s="10"/>
      <c r="D292" s="10"/>
    </row>
    <row r="293" spans="2:4" ht="18" customHeight="1">
      <c r="B293" s="10"/>
      <c r="C293" s="10"/>
      <c r="D293" s="10"/>
    </row>
    <row r="294" spans="2:4" ht="18" customHeight="1">
      <c r="B294" s="10"/>
      <c r="C294" s="10"/>
      <c r="D294" s="10"/>
    </row>
    <row r="295" spans="2:4" ht="18" customHeight="1">
      <c r="B295" s="10"/>
      <c r="C295" s="10"/>
      <c r="D295" s="10"/>
    </row>
    <row r="296" spans="2:4" ht="18" customHeight="1">
      <c r="B296" s="10"/>
      <c r="C296" s="10"/>
      <c r="D296" s="10"/>
    </row>
    <row r="297" spans="2:4" ht="18" customHeight="1">
      <c r="B297" s="10"/>
      <c r="C297" s="10"/>
      <c r="D297" s="10"/>
    </row>
    <row r="298" spans="2:4" ht="18" customHeight="1">
      <c r="B298" s="10"/>
      <c r="C298" s="10"/>
      <c r="D298" s="10"/>
    </row>
    <row r="299" spans="2:4" ht="18" customHeight="1">
      <c r="B299" s="10"/>
      <c r="C299" s="10"/>
      <c r="D299" s="10"/>
    </row>
    <row r="300" spans="2:4" ht="18" customHeight="1">
      <c r="B300" s="10"/>
      <c r="C300" s="10"/>
      <c r="D300" s="10"/>
    </row>
    <row r="301" spans="2:4" ht="18" customHeight="1">
      <c r="B301" s="10"/>
      <c r="C301" s="10"/>
      <c r="D301" s="10"/>
    </row>
    <row r="302" spans="2:4" ht="18" customHeight="1">
      <c r="B302" s="10"/>
      <c r="C302" s="10"/>
      <c r="D302" s="10"/>
    </row>
    <row r="303" spans="2:4" ht="18" customHeight="1">
      <c r="B303" s="10"/>
      <c r="C303" s="10"/>
      <c r="D303" s="10"/>
    </row>
    <row r="304" spans="2:4" ht="18" customHeight="1">
      <c r="B304" s="10"/>
      <c r="C304" s="10"/>
      <c r="D304" s="10"/>
    </row>
    <row r="305" spans="2:4" ht="18" customHeight="1">
      <c r="B305" s="10"/>
      <c r="C305" s="10"/>
      <c r="D305" s="10"/>
    </row>
    <row r="306" spans="2:4" ht="18" customHeight="1">
      <c r="B306" s="10"/>
      <c r="C306" s="10"/>
      <c r="D306" s="10"/>
    </row>
    <row r="307" spans="2:4" ht="18" customHeight="1">
      <c r="B307" s="10"/>
      <c r="C307" s="10"/>
      <c r="D307" s="10"/>
    </row>
    <row r="308" spans="2:4" ht="18" customHeight="1">
      <c r="B308" s="10"/>
      <c r="C308" s="10"/>
      <c r="D308" s="10"/>
    </row>
    <row r="309" spans="2:4" ht="18" customHeight="1">
      <c r="B309" s="10"/>
      <c r="C309" s="10"/>
      <c r="D309" s="10"/>
    </row>
    <row r="310" spans="2:4" ht="18" customHeight="1">
      <c r="B310" s="10"/>
      <c r="C310" s="10"/>
      <c r="D310" s="10"/>
    </row>
    <row r="311" spans="2:4" ht="18" customHeight="1">
      <c r="B311" s="10"/>
      <c r="C311" s="10"/>
      <c r="D311" s="10"/>
    </row>
    <row r="312" spans="2:4" ht="18" customHeight="1">
      <c r="B312" s="10"/>
      <c r="C312" s="10"/>
      <c r="D312" s="10"/>
    </row>
    <row r="313" spans="2:4" ht="18" customHeight="1">
      <c r="B313" s="10"/>
      <c r="C313" s="10"/>
      <c r="D313" s="10"/>
    </row>
    <row r="314" spans="2:4" ht="18" customHeight="1">
      <c r="B314" s="10"/>
      <c r="C314" s="10"/>
      <c r="D314" s="10"/>
    </row>
    <row r="315" spans="2:4" ht="18" customHeight="1">
      <c r="B315" s="10"/>
      <c r="C315" s="10"/>
      <c r="D315" s="10"/>
    </row>
    <row r="316" spans="2:4" ht="18" customHeight="1">
      <c r="B316" s="10"/>
      <c r="C316" s="10"/>
      <c r="D316" s="10"/>
    </row>
    <row r="317" spans="2:4" ht="18" customHeight="1">
      <c r="B317" s="10"/>
      <c r="C317" s="10"/>
      <c r="D317" s="10"/>
    </row>
    <row r="318" spans="2:4" ht="18" customHeight="1">
      <c r="B318" s="10"/>
      <c r="C318" s="10"/>
      <c r="D318" s="10"/>
    </row>
    <row r="319" spans="2:4" ht="18" customHeight="1">
      <c r="B319" s="10"/>
      <c r="C319" s="10"/>
      <c r="D319" s="10"/>
    </row>
    <row r="320" spans="2:4" ht="18" customHeight="1">
      <c r="B320" s="10"/>
      <c r="C320" s="10"/>
      <c r="D320" s="10"/>
    </row>
    <row r="321" spans="2:4" ht="18" customHeight="1">
      <c r="B321" s="10"/>
      <c r="C321" s="10"/>
      <c r="D321" s="10"/>
    </row>
    <row r="322" spans="2:4" ht="18" customHeight="1">
      <c r="B322" s="10"/>
      <c r="C322" s="10"/>
      <c r="D322" s="10"/>
    </row>
    <row r="323" spans="2:4" ht="18" customHeight="1">
      <c r="B323" s="10"/>
      <c r="C323" s="10"/>
      <c r="D323" s="10"/>
    </row>
    <row r="324" spans="2:4" ht="18" customHeight="1">
      <c r="B324" s="10"/>
      <c r="C324" s="10"/>
      <c r="D324" s="10"/>
    </row>
    <row r="325" spans="2:4" ht="18" customHeight="1">
      <c r="B325" s="10"/>
      <c r="C325" s="10"/>
      <c r="D325" s="10"/>
    </row>
    <row r="326" spans="2:4" ht="18" customHeight="1">
      <c r="B326" s="10"/>
      <c r="C326" s="10"/>
      <c r="D326" s="10"/>
    </row>
    <row r="327" spans="2:4" ht="18" customHeight="1">
      <c r="B327" s="10"/>
      <c r="C327" s="10"/>
      <c r="D327" s="10"/>
    </row>
    <row r="328" spans="2:4" ht="18" customHeight="1">
      <c r="B328" s="10"/>
      <c r="C328" s="10"/>
      <c r="D328" s="10"/>
    </row>
    <row r="329" spans="2:4" ht="18" customHeight="1">
      <c r="B329" s="10"/>
      <c r="C329" s="10"/>
      <c r="D329" s="10"/>
    </row>
    <row r="330" spans="2:4" ht="18" customHeight="1">
      <c r="B330" s="10"/>
      <c r="C330" s="10"/>
      <c r="D330" s="10"/>
    </row>
    <row r="331" spans="2:4" ht="18" customHeight="1">
      <c r="B331" s="10"/>
      <c r="C331" s="10"/>
      <c r="D331" s="10"/>
    </row>
    <row r="332" spans="2:4" ht="18" customHeight="1">
      <c r="B332" s="10"/>
      <c r="C332" s="10"/>
      <c r="D332" s="10"/>
    </row>
    <row r="333" spans="2:4" ht="18" customHeight="1">
      <c r="B333" s="10"/>
      <c r="C333" s="10"/>
      <c r="D333" s="10"/>
    </row>
    <row r="334" spans="2:4" ht="18" customHeight="1">
      <c r="B334" s="10"/>
      <c r="C334" s="10"/>
      <c r="D334" s="10"/>
    </row>
    <row r="335" spans="2:4" ht="18" customHeight="1">
      <c r="B335" s="10"/>
      <c r="C335" s="10"/>
      <c r="D335" s="10"/>
    </row>
    <row r="336" spans="2:4" ht="18" customHeight="1">
      <c r="B336" s="10"/>
      <c r="C336" s="10"/>
      <c r="D336" s="10"/>
    </row>
    <row r="337" spans="2:4" ht="18" customHeight="1">
      <c r="B337" s="10"/>
      <c r="C337" s="10"/>
      <c r="D337" s="10"/>
    </row>
    <row r="338" spans="2:4" ht="18" customHeight="1">
      <c r="B338" s="10"/>
      <c r="C338" s="10"/>
      <c r="D338" s="10"/>
    </row>
    <row r="339" spans="2:4" ht="18" customHeight="1">
      <c r="B339" s="10"/>
      <c r="C339" s="10"/>
      <c r="D339" s="10"/>
    </row>
    <row r="340" spans="2:4" ht="18" customHeight="1">
      <c r="B340" s="10"/>
      <c r="C340" s="10"/>
      <c r="D340" s="10"/>
    </row>
    <row r="341" spans="2:4" ht="18" customHeight="1">
      <c r="B341" s="10"/>
      <c r="C341" s="10"/>
      <c r="D341" s="10"/>
    </row>
    <row r="342" spans="2:4" ht="18" customHeight="1">
      <c r="B342" s="10"/>
      <c r="C342" s="10"/>
      <c r="D342" s="10"/>
    </row>
    <row r="343" spans="2:4" ht="18" customHeight="1">
      <c r="B343" s="10"/>
      <c r="C343" s="10"/>
      <c r="D343" s="10"/>
    </row>
    <row r="344" spans="2:4" ht="18" customHeight="1">
      <c r="B344" s="10"/>
      <c r="C344" s="10"/>
      <c r="D344" s="10"/>
    </row>
    <row r="345" spans="2:4" ht="18" customHeight="1">
      <c r="B345" s="10"/>
      <c r="C345" s="10"/>
      <c r="D345" s="10"/>
    </row>
    <row r="346" spans="2:4" ht="18" customHeight="1">
      <c r="B346" s="10"/>
      <c r="C346" s="10"/>
      <c r="D346" s="10"/>
    </row>
    <row r="347" spans="2:4" ht="18" customHeight="1">
      <c r="B347" s="10"/>
      <c r="C347" s="10"/>
      <c r="D347" s="10"/>
    </row>
    <row r="348" spans="2:4" ht="18" customHeight="1">
      <c r="B348" s="10"/>
      <c r="C348" s="10"/>
      <c r="D348" s="10"/>
    </row>
    <row r="349" spans="2:4" ht="18" customHeight="1">
      <c r="B349" s="10"/>
      <c r="C349" s="10"/>
      <c r="D349" s="10"/>
    </row>
    <row r="350" spans="2:4" ht="18" customHeight="1">
      <c r="B350" s="10"/>
      <c r="C350" s="10"/>
      <c r="D350" s="10"/>
    </row>
    <row r="351" spans="2:4" ht="18" customHeight="1">
      <c r="B351" s="10"/>
      <c r="C351" s="10"/>
      <c r="D351" s="10"/>
    </row>
    <row r="352" spans="2:4" ht="18" customHeight="1">
      <c r="B352" s="10"/>
      <c r="C352" s="10"/>
      <c r="D352" s="10"/>
    </row>
    <row r="353" spans="2:4" ht="18" customHeight="1">
      <c r="B353" s="10"/>
      <c r="C353" s="10"/>
      <c r="D353" s="10"/>
    </row>
    <row r="354" spans="2:4" ht="18" customHeight="1">
      <c r="B354" s="10"/>
      <c r="C354" s="10"/>
      <c r="D354" s="10"/>
    </row>
    <row r="355" spans="2:4" ht="18" customHeight="1">
      <c r="B355" s="10"/>
      <c r="C355" s="10"/>
      <c r="D355" s="10"/>
    </row>
    <row r="356" spans="2:4" ht="18" customHeight="1">
      <c r="B356" s="10"/>
      <c r="C356" s="10"/>
      <c r="D356" s="10"/>
    </row>
    <row r="357" spans="2:4" ht="18" customHeight="1">
      <c r="B357" s="10"/>
      <c r="C357" s="10"/>
      <c r="D357" s="10"/>
    </row>
    <row r="358" spans="2:4" ht="18" customHeight="1">
      <c r="B358" s="10"/>
      <c r="C358" s="10"/>
      <c r="D358" s="10"/>
    </row>
    <row r="359" spans="2:4" ht="18" customHeight="1">
      <c r="B359" s="10"/>
      <c r="C359" s="10"/>
      <c r="D359" s="10"/>
    </row>
    <row r="360" spans="2:4" ht="18" customHeight="1">
      <c r="B360" s="10"/>
      <c r="C360" s="10"/>
      <c r="D360" s="10"/>
    </row>
    <row r="361" spans="2:4" ht="18" customHeight="1">
      <c r="B361" s="10"/>
      <c r="C361" s="10"/>
      <c r="D361" s="10"/>
    </row>
    <row r="362" spans="2:4" ht="18" customHeight="1">
      <c r="B362" s="10"/>
      <c r="C362" s="10"/>
      <c r="D362" s="10"/>
    </row>
    <row r="363" spans="2:4" ht="18" customHeight="1">
      <c r="B363" s="10"/>
      <c r="C363" s="10"/>
      <c r="D363" s="10"/>
    </row>
    <row r="364" spans="2:4" ht="18" customHeight="1">
      <c r="B364" s="10"/>
      <c r="C364" s="10"/>
      <c r="D364" s="10"/>
    </row>
    <row r="365" spans="2:4" ht="18" customHeight="1">
      <c r="B365" s="10"/>
      <c r="C365" s="10"/>
      <c r="D365" s="10"/>
    </row>
    <row r="366" spans="2:4" ht="18" customHeight="1">
      <c r="B366" s="10"/>
      <c r="C366" s="10"/>
      <c r="D366" s="10"/>
    </row>
    <row r="367" spans="2:4" ht="18" customHeight="1">
      <c r="B367" s="10"/>
      <c r="C367" s="10"/>
      <c r="D367" s="10"/>
    </row>
    <row r="368" spans="2:4" ht="18" customHeight="1">
      <c r="B368" s="10"/>
      <c r="C368" s="10"/>
      <c r="D368" s="10"/>
    </row>
    <row r="369" spans="2:4" ht="18" customHeight="1">
      <c r="B369" s="10"/>
      <c r="C369" s="10"/>
      <c r="D369" s="10"/>
    </row>
    <row r="370" spans="2:4" ht="18" customHeight="1">
      <c r="B370" s="10"/>
      <c r="C370" s="10"/>
      <c r="D370" s="10"/>
    </row>
    <row r="371" spans="2:4" ht="18" customHeight="1">
      <c r="B371" s="10"/>
      <c r="C371" s="10"/>
      <c r="D371" s="10"/>
    </row>
    <row r="372" spans="2:4" ht="18" customHeight="1">
      <c r="B372" s="10"/>
      <c r="C372" s="10"/>
      <c r="D372" s="10"/>
    </row>
    <row r="373" spans="2:4" ht="18" customHeight="1">
      <c r="B373" s="10"/>
      <c r="C373" s="10"/>
      <c r="D373" s="10"/>
    </row>
    <row r="374" spans="2:4" ht="18" customHeight="1">
      <c r="B374" s="10"/>
      <c r="C374" s="10"/>
      <c r="D374" s="10"/>
    </row>
    <row r="375" spans="2:4" ht="18" customHeight="1">
      <c r="B375" s="10"/>
      <c r="C375" s="10"/>
      <c r="D375" s="10"/>
    </row>
    <row r="376" spans="2:4" ht="18" customHeight="1">
      <c r="B376" s="10"/>
      <c r="C376" s="10"/>
      <c r="D376" s="10"/>
    </row>
    <row r="377" spans="2:4" ht="18" customHeight="1">
      <c r="B377" s="10"/>
      <c r="C377" s="10"/>
      <c r="D377" s="10"/>
    </row>
    <row r="378" spans="2:4" ht="18" customHeight="1">
      <c r="B378" s="10"/>
      <c r="C378" s="10"/>
      <c r="D378" s="10"/>
    </row>
    <row r="379" spans="2:4" ht="18" customHeight="1">
      <c r="B379" s="10"/>
      <c r="C379" s="10"/>
      <c r="D379" s="10"/>
    </row>
    <row r="380" spans="2:4" ht="18" customHeight="1">
      <c r="B380" s="10"/>
      <c r="C380" s="10"/>
      <c r="D380" s="10"/>
    </row>
    <row r="381" spans="2:4" ht="18" customHeight="1">
      <c r="B381" s="10"/>
      <c r="C381" s="10"/>
      <c r="D381" s="10"/>
    </row>
    <row r="382" spans="2:4" ht="18" customHeight="1">
      <c r="B382" s="10"/>
      <c r="C382" s="10"/>
      <c r="D382" s="10"/>
    </row>
    <row r="383" spans="2:4" ht="18" customHeight="1">
      <c r="B383" s="10"/>
      <c r="C383" s="10"/>
      <c r="D383" s="10"/>
    </row>
    <row r="384" spans="2:4" ht="18" customHeight="1">
      <c r="B384" s="10"/>
      <c r="C384" s="10"/>
      <c r="D384" s="10"/>
    </row>
    <row r="385" spans="2:4" ht="18" customHeight="1">
      <c r="B385" s="10"/>
      <c r="C385" s="10"/>
      <c r="D385" s="10"/>
    </row>
    <row r="386" spans="2:4" ht="18" customHeight="1">
      <c r="B386" s="10"/>
      <c r="C386" s="10"/>
      <c r="D386" s="10"/>
    </row>
    <row r="387" spans="2:4" ht="18" customHeight="1">
      <c r="B387" s="10"/>
      <c r="C387" s="10"/>
      <c r="D387" s="10"/>
    </row>
    <row r="388" spans="2:4" ht="18" customHeight="1">
      <c r="B388" s="10"/>
      <c r="C388" s="10"/>
      <c r="D388" s="10"/>
    </row>
    <row r="389" spans="2:4" ht="18" customHeight="1">
      <c r="B389" s="10"/>
      <c r="C389" s="10"/>
      <c r="D389" s="10"/>
    </row>
    <row r="390" spans="2:4" ht="18" customHeight="1">
      <c r="B390" s="10"/>
      <c r="C390" s="10"/>
      <c r="D390" s="10"/>
    </row>
    <row r="391" spans="2:4" ht="18" customHeight="1">
      <c r="B391" s="10"/>
      <c r="C391" s="10"/>
      <c r="D391" s="10"/>
    </row>
    <row r="392" spans="2:4" ht="18" customHeight="1">
      <c r="B392" s="10"/>
      <c r="C392" s="10"/>
      <c r="D392" s="10"/>
    </row>
    <row r="393" spans="2:4" ht="18" customHeight="1">
      <c r="B393" s="10"/>
      <c r="C393" s="10"/>
      <c r="D393" s="10"/>
    </row>
    <row r="394" spans="2:4" ht="18" customHeight="1">
      <c r="B394" s="10"/>
      <c r="C394" s="10"/>
      <c r="D394" s="10"/>
    </row>
    <row r="395" spans="2:4" ht="18" customHeight="1">
      <c r="B395" s="10"/>
      <c r="C395" s="10"/>
      <c r="D395" s="10"/>
    </row>
    <row r="396" spans="2:4" ht="18" customHeight="1">
      <c r="B396" s="10"/>
      <c r="C396" s="10"/>
      <c r="D396" s="10"/>
    </row>
    <row r="397" spans="2:4" ht="18" customHeight="1">
      <c r="B397" s="10"/>
      <c r="C397" s="10"/>
      <c r="D397" s="10"/>
    </row>
    <row r="398" spans="2:4" ht="18" customHeight="1">
      <c r="B398" s="10"/>
      <c r="C398" s="10"/>
      <c r="D398" s="10"/>
    </row>
    <row r="399" spans="2:4" ht="18" customHeight="1">
      <c r="B399" s="10"/>
      <c r="C399" s="10"/>
      <c r="D399" s="10"/>
    </row>
    <row r="400" spans="2:4" ht="18" customHeight="1">
      <c r="B400" s="10"/>
      <c r="C400" s="10"/>
      <c r="D400" s="10"/>
    </row>
    <row r="401" spans="2:4" ht="18" customHeight="1">
      <c r="B401" s="10"/>
      <c r="C401" s="10"/>
      <c r="D401" s="10"/>
    </row>
    <row r="402" spans="2:4" ht="18" customHeight="1">
      <c r="B402" s="10"/>
      <c r="C402" s="10"/>
      <c r="D402" s="10"/>
    </row>
    <row r="403" spans="2:4" ht="18" customHeight="1">
      <c r="B403" s="10"/>
      <c r="C403" s="10"/>
      <c r="D403" s="10"/>
    </row>
    <row r="404" spans="2:4" ht="18" customHeight="1">
      <c r="B404" s="10"/>
      <c r="C404" s="10"/>
      <c r="D404" s="10"/>
    </row>
    <row r="405" spans="2:4" ht="18" customHeight="1">
      <c r="B405" s="10"/>
      <c r="C405" s="10"/>
      <c r="D405" s="10"/>
    </row>
    <row r="406" spans="2:4" ht="18" customHeight="1">
      <c r="B406" s="10"/>
      <c r="C406" s="10"/>
      <c r="D406" s="10"/>
    </row>
    <row r="407" spans="2:4" ht="18" customHeight="1">
      <c r="B407" s="10"/>
      <c r="C407" s="10"/>
      <c r="D407" s="10"/>
    </row>
    <row r="408" spans="2:4" ht="18" customHeight="1">
      <c r="B408" s="10"/>
      <c r="C408" s="10"/>
      <c r="D408" s="10"/>
    </row>
    <row r="409" spans="2:4" ht="18" customHeight="1">
      <c r="B409" s="10"/>
      <c r="C409" s="10"/>
      <c r="D409" s="10"/>
    </row>
    <row r="410" spans="2:4" ht="18" customHeight="1">
      <c r="B410" s="10"/>
      <c r="C410" s="10"/>
      <c r="D410" s="10"/>
    </row>
    <row r="411" spans="2:4" ht="18" customHeight="1">
      <c r="B411" s="10"/>
      <c r="C411" s="10"/>
      <c r="D411" s="10"/>
    </row>
    <row r="412" spans="2:4" ht="18" customHeight="1">
      <c r="B412" s="10"/>
      <c r="C412" s="10"/>
      <c r="D412" s="10"/>
    </row>
    <row r="413" spans="2:4" ht="18" customHeight="1">
      <c r="B413" s="10"/>
      <c r="C413" s="10"/>
      <c r="D413" s="10"/>
    </row>
    <row r="414" spans="2:4" ht="18" customHeight="1">
      <c r="B414" s="10"/>
      <c r="C414" s="10"/>
      <c r="D414" s="10"/>
    </row>
    <row r="415" spans="2:4" ht="18" customHeight="1">
      <c r="B415" s="10"/>
      <c r="C415" s="10"/>
      <c r="D415" s="10"/>
    </row>
    <row r="416" spans="2:4" ht="18" customHeight="1">
      <c r="B416" s="10"/>
      <c r="C416" s="10"/>
      <c r="D416" s="10"/>
    </row>
    <row r="417" spans="2:4" ht="18" customHeight="1">
      <c r="B417" s="10"/>
      <c r="C417" s="10"/>
      <c r="D417" s="10"/>
    </row>
    <row r="418" spans="2:4" ht="18" customHeight="1">
      <c r="B418" s="10"/>
      <c r="C418" s="10"/>
      <c r="D418" s="10"/>
    </row>
    <row r="419" spans="2:4" ht="18" customHeight="1">
      <c r="B419" s="10"/>
      <c r="C419" s="10"/>
      <c r="D419" s="10"/>
    </row>
    <row r="420" spans="2:4" ht="18" customHeight="1">
      <c r="B420" s="10"/>
      <c r="C420" s="10"/>
      <c r="D420" s="10"/>
    </row>
    <row r="421" spans="2:4" ht="18" customHeight="1">
      <c r="B421" s="10"/>
      <c r="C421" s="10"/>
      <c r="D421" s="10"/>
    </row>
    <row r="422" spans="2:4" ht="18" customHeight="1">
      <c r="B422" s="10"/>
      <c r="C422" s="10"/>
      <c r="D422" s="10"/>
    </row>
    <row r="423" spans="2:4" ht="18" customHeight="1">
      <c r="B423" s="10"/>
      <c r="C423" s="10"/>
      <c r="D423" s="10"/>
    </row>
    <row r="424" spans="2:4" ht="18" customHeight="1">
      <c r="B424" s="10"/>
      <c r="C424" s="10"/>
      <c r="D424" s="10"/>
    </row>
    <row r="425" spans="2:4" ht="18" customHeight="1">
      <c r="B425" s="10"/>
      <c r="C425" s="10"/>
      <c r="D425" s="10"/>
    </row>
    <row r="426" spans="2:4" ht="18" customHeight="1">
      <c r="B426" s="10"/>
      <c r="C426" s="10"/>
      <c r="D426" s="10"/>
    </row>
    <row r="427" spans="2:4" ht="18" customHeight="1">
      <c r="B427" s="10"/>
      <c r="C427" s="10"/>
      <c r="D427" s="10"/>
    </row>
    <row r="428" spans="2:4" ht="18" customHeight="1">
      <c r="B428" s="10"/>
      <c r="C428" s="10"/>
      <c r="D428" s="10"/>
    </row>
    <row r="429" spans="2:4" ht="18" customHeight="1">
      <c r="B429" s="10"/>
      <c r="C429" s="10"/>
      <c r="D429" s="10"/>
    </row>
    <row r="430" spans="2:4" ht="18" customHeight="1">
      <c r="B430" s="10"/>
      <c r="C430" s="10"/>
      <c r="D430" s="10"/>
    </row>
    <row r="431" spans="2:4" ht="18" customHeight="1">
      <c r="B431" s="10"/>
      <c r="C431" s="10"/>
      <c r="D431" s="10"/>
    </row>
    <row r="432" spans="2:4" ht="18" customHeight="1">
      <c r="B432" s="10"/>
      <c r="C432" s="10"/>
      <c r="D432" s="10"/>
    </row>
    <row r="433" spans="2:4" ht="18" customHeight="1">
      <c r="B433" s="10"/>
      <c r="C433" s="10"/>
      <c r="D433" s="10"/>
    </row>
    <row r="434" spans="2:4" ht="18" customHeight="1">
      <c r="B434" s="10"/>
      <c r="C434" s="10"/>
      <c r="D434" s="10"/>
    </row>
    <row r="435" spans="2:4" ht="18" customHeight="1">
      <c r="B435" s="10"/>
      <c r="C435" s="10"/>
      <c r="D435" s="10"/>
    </row>
    <row r="436" spans="2:4" ht="18" customHeight="1">
      <c r="B436" s="10"/>
      <c r="C436" s="10"/>
      <c r="D436" s="10"/>
    </row>
    <row r="437" spans="2:4" ht="18" customHeight="1">
      <c r="B437" s="10"/>
      <c r="C437" s="10"/>
      <c r="D437" s="10"/>
    </row>
    <row r="438" spans="2:4" ht="18" customHeight="1">
      <c r="B438" s="10"/>
      <c r="C438" s="10"/>
      <c r="D438" s="10"/>
    </row>
    <row r="439" spans="2:4" ht="18" customHeight="1">
      <c r="B439" s="10"/>
      <c r="C439" s="10"/>
      <c r="D439" s="10"/>
    </row>
    <row r="440" spans="2:4" ht="18" customHeight="1">
      <c r="B440" s="10"/>
      <c r="C440" s="10"/>
      <c r="D440" s="10"/>
    </row>
    <row r="441" spans="2:4" ht="18" customHeight="1">
      <c r="B441" s="10"/>
      <c r="C441" s="10"/>
      <c r="D441" s="10"/>
    </row>
    <row r="442" spans="2:4" ht="18" customHeight="1">
      <c r="B442" s="10"/>
      <c r="C442" s="10"/>
      <c r="D442" s="10"/>
    </row>
    <row r="443" spans="2:4" ht="18" customHeight="1">
      <c r="B443" s="10"/>
      <c r="C443" s="10"/>
      <c r="D443" s="10"/>
    </row>
    <row r="444" spans="2:4" ht="18" customHeight="1">
      <c r="B444" s="10"/>
      <c r="C444" s="10"/>
      <c r="D444" s="10"/>
    </row>
    <row r="445" spans="2:4" ht="18" customHeight="1">
      <c r="B445" s="10"/>
      <c r="C445" s="10"/>
      <c r="D445" s="10"/>
    </row>
    <row r="446" spans="2:4" ht="18" customHeight="1">
      <c r="B446" s="10"/>
      <c r="C446" s="10"/>
      <c r="D446" s="10"/>
    </row>
    <row r="447" spans="2:4" ht="18" customHeight="1">
      <c r="B447" s="10"/>
      <c r="C447" s="10"/>
      <c r="D447" s="10"/>
    </row>
    <row r="448" spans="2:4" ht="18" customHeight="1">
      <c r="B448" s="10"/>
      <c r="C448" s="10"/>
      <c r="D448" s="10"/>
    </row>
    <row r="449" spans="2:4" ht="18" customHeight="1">
      <c r="B449" s="10"/>
      <c r="C449" s="10"/>
      <c r="D449" s="10"/>
    </row>
    <row r="450" spans="2:4" ht="18" customHeight="1">
      <c r="B450" s="10"/>
      <c r="C450" s="10"/>
      <c r="D450" s="10"/>
    </row>
    <row r="451" spans="2:4" ht="18" customHeight="1">
      <c r="B451" s="10"/>
      <c r="C451" s="10"/>
      <c r="D451" s="10"/>
    </row>
    <row r="452" spans="2:4" ht="18" customHeight="1">
      <c r="B452" s="10"/>
      <c r="C452" s="10"/>
      <c r="D452" s="10"/>
    </row>
    <row r="453" spans="2:4" ht="18" customHeight="1">
      <c r="B453" s="10"/>
      <c r="C453" s="10"/>
      <c r="D453" s="10"/>
    </row>
    <row r="454" spans="2:4" ht="18" customHeight="1">
      <c r="B454" s="10"/>
      <c r="C454" s="10"/>
      <c r="D454" s="10"/>
    </row>
    <row r="455" spans="2:4" ht="18" customHeight="1">
      <c r="B455" s="10"/>
      <c r="C455" s="10"/>
      <c r="D455" s="10"/>
    </row>
    <row r="456" spans="2:4" ht="18" customHeight="1">
      <c r="B456" s="10"/>
      <c r="C456" s="10"/>
      <c r="D456" s="10"/>
    </row>
    <row r="457" spans="2:4" ht="18" customHeight="1">
      <c r="B457" s="10"/>
      <c r="C457" s="10"/>
      <c r="D457" s="10"/>
    </row>
    <row r="458" spans="2:4" ht="18" customHeight="1">
      <c r="B458" s="10"/>
      <c r="C458" s="10"/>
      <c r="D458" s="10"/>
    </row>
    <row r="459" spans="2:4" ht="18" customHeight="1">
      <c r="B459" s="10"/>
      <c r="C459" s="10"/>
      <c r="D459" s="10"/>
    </row>
    <row r="460" spans="2:4" ht="18" customHeight="1">
      <c r="B460" s="10"/>
      <c r="C460" s="10"/>
      <c r="D460" s="10"/>
    </row>
    <row r="461" spans="2:4" ht="18" customHeight="1">
      <c r="B461" s="10"/>
      <c r="C461" s="10"/>
      <c r="D461" s="10"/>
    </row>
    <row r="462" spans="2:4" ht="18" customHeight="1">
      <c r="B462" s="10"/>
      <c r="C462" s="10"/>
      <c r="D462" s="10"/>
    </row>
    <row r="463" spans="2:4" ht="18" customHeight="1">
      <c r="B463" s="10"/>
      <c r="C463" s="10"/>
      <c r="D463" s="10"/>
    </row>
    <row r="464" spans="2:4" ht="18" customHeight="1">
      <c r="B464" s="10"/>
      <c r="C464" s="10"/>
      <c r="D464" s="10"/>
    </row>
    <row r="465" spans="2:4" ht="18" customHeight="1">
      <c r="B465" s="10"/>
      <c r="C465" s="10"/>
      <c r="D465" s="10"/>
    </row>
    <row r="466" spans="2:4" ht="18" customHeight="1">
      <c r="B466" s="10"/>
      <c r="C466" s="10"/>
      <c r="D466" s="10"/>
    </row>
    <row r="467" spans="2:4" ht="18" customHeight="1">
      <c r="B467" s="10"/>
      <c r="C467" s="10"/>
      <c r="D467" s="10"/>
    </row>
    <row r="468" spans="2:4" ht="18" customHeight="1">
      <c r="B468" s="10"/>
      <c r="C468" s="10"/>
      <c r="D468" s="10"/>
    </row>
    <row r="469" spans="2:4" ht="18" customHeight="1">
      <c r="B469" s="10"/>
      <c r="C469" s="10"/>
      <c r="D469" s="10"/>
    </row>
    <row r="470" spans="2:4" ht="18" customHeight="1">
      <c r="B470" s="10"/>
      <c r="C470" s="10"/>
      <c r="D470" s="10"/>
    </row>
    <row r="471" spans="2:4" ht="18" customHeight="1">
      <c r="B471" s="10"/>
      <c r="C471" s="10"/>
      <c r="D471" s="10"/>
    </row>
    <row r="472" spans="2:4" ht="18" customHeight="1">
      <c r="B472" s="10"/>
      <c r="C472" s="10"/>
      <c r="D472" s="10"/>
    </row>
    <row r="473" spans="2:4" ht="18" customHeight="1">
      <c r="B473" s="10"/>
      <c r="C473" s="10"/>
      <c r="D473" s="10"/>
    </row>
    <row r="474" spans="2:4" ht="18" customHeight="1">
      <c r="B474" s="10"/>
      <c r="C474" s="10"/>
      <c r="D474" s="10"/>
    </row>
    <row r="475" spans="2:4" ht="18" customHeight="1">
      <c r="B475" s="10"/>
      <c r="C475" s="10"/>
      <c r="D475" s="10"/>
    </row>
    <row r="476" spans="2:4" ht="18" customHeight="1">
      <c r="B476" s="10"/>
      <c r="C476" s="10"/>
      <c r="D476" s="10"/>
    </row>
    <row r="477" spans="2:4" ht="18" customHeight="1">
      <c r="B477" s="10"/>
      <c r="C477" s="10"/>
      <c r="D477" s="10"/>
    </row>
    <row r="478" spans="2:4" ht="18" customHeight="1">
      <c r="B478" s="10"/>
      <c r="C478" s="10"/>
      <c r="D478" s="10"/>
    </row>
    <row r="479" spans="2:4" ht="18" customHeight="1">
      <c r="B479" s="10"/>
      <c r="C479" s="10"/>
      <c r="D479" s="10"/>
    </row>
    <row r="480" spans="2:4" ht="18" customHeight="1">
      <c r="B480" s="10"/>
      <c r="C480" s="10"/>
      <c r="D480" s="10"/>
    </row>
    <row r="481" spans="2:4" ht="18" customHeight="1">
      <c r="B481" s="10"/>
      <c r="C481" s="10"/>
      <c r="D481" s="10"/>
    </row>
    <row r="482" spans="2:4" ht="18" customHeight="1">
      <c r="B482" s="10"/>
      <c r="C482" s="10"/>
      <c r="D482" s="10"/>
    </row>
    <row r="483" spans="2:4" ht="18" customHeight="1">
      <c r="B483" s="10"/>
      <c r="C483" s="10"/>
      <c r="D483" s="10"/>
    </row>
    <row r="484" spans="2:4" ht="18" customHeight="1">
      <c r="B484" s="10"/>
      <c r="C484" s="10"/>
      <c r="D484" s="10"/>
    </row>
    <row r="485" spans="2:4" ht="18" customHeight="1">
      <c r="B485" s="10"/>
      <c r="C485" s="10"/>
      <c r="D485" s="10"/>
    </row>
    <row r="486" spans="2:4" ht="18" customHeight="1">
      <c r="B486" s="10"/>
      <c r="C486" s="10"/>
      <c r="D486" s="10"/>
    </row>
    <row r="487" spans="2:4" ht="18" customHeight="1">
      <c r="B487" s="10"/>
      <c r="C487" s="10"/>
      <c r="D487" s="10"/>
    </row>
    <row r="488" spans="2:4" ht="18" customHeight="1">
      <c r="B488" s="10"/>
      <c r="C488" s="10"/>
      <c r="D488" s="10"/>
    </row>
    <row r="489" spans="2:4" ht="18" customHeight="1">
      <c r="B489" s="10"/>
      <c r="C489" s="10"/>
      <c r="D489" s="10"/>
    </row>
    <row r="490" spans="2:4" ht="18" customHeight="1">
      <c r="B490" s="10"/>
      <c r="C490" s="10"/>
      <c r="D490" s="10"/>
    </row>
    <row r="491" spans="2:4" ht="18" customHeight="1">
      <c r="B491" s="10"/>
      <c r="C491" s="10"/>
      <c r="D491" s="10"/>
    </row>
    <row r="492" spans="2:4" ht="18" customHeight="1">
      <c r="B492" s="10"/>
      <c r="C492" s="10"/>
      <c r="D492" s="10"/>
    </row>
    <row r="493" spans="2:4" ht="18" customHeight="1">
      <c r="B493" s="10"/>
      <c r="C493" s="10"/>
      <c r="D493" s="10"/>
    </row>
    <row r="494" spans="2:4" ht="18" customHeight="1">
      <c r="B494" s="10"/>
      <c r="C494" s="10"/>
      <c r="D494" s="10"/>
    </row>
    <row r="495" spans="2:4" ht="18" customHeight="1">
      <c r="B495" s="10"/>
      <c r="C495" s="10"/>
      <c r="D495" s="10"/>
    </row>
    <row r="496" spans="2:4" ht="18" customHeight="1">
      <c r="B496" s="10"/>
      <c r="C496" s="10"/>
      <c r="D496" s="10"/>
    </row>
    <row r="497" spans="2:4" ht="18" customHeight="1">
      <c r="B497" s="10"/>
      <c r="C497" s="10"/>
      <c r="D497" s="10"/>
    </row>
    <row r="498" spans="2:4" ht="18" customHeight="1">
      <c r="B498" s="10"/>
      <c r="C498" s="10"/>
      <c r="D498" s="10"/>
    </row>
    <row r="499" spans="2:4" ht="18" customHeight="1">
      <c r="B499" s="10"/>
      <c r="C499" s="10"/>
      <c r="D499" s="10"/>
    </row>
    <row r="500" spans="2:4" ht="18" customHeight="1">
      <c r="B500" s="10"/>
      <c r="C500" s="10"/>
      <c r="D500" s="10"/>
    </row>
    <row r="501" spans="2:4" ht="18" customHeight="1">
      <c r="B501" s="10"/>
      <c r="C501" s="10"/>
      <c r="D501" s="10"/>
    </row>
    <row r="502" spans="2:4" ht="18" customHeight="1">
      <c r="B502" s="10"/>
      <c r="C502" s="10"/>
      <c r="D502" s="10"/>
    </row>
    <row r="503" spans="2:4" ht="18" customHeight="1">
      <c r="B503" s="10"/>
      <c r="C503" s="10"/>
      <c r="D503" s="10"/>
    </row>
    <row r="504" spans="2:4" ht="18" customHeight="1">
      <c r="B504" s="10"/>
      <c r="C504" s="10"/>
      <c r="D504" s="10"/>
    </row>
    <row r="505" spans="2:4" ht="18" customHeight="1">
      <c r="B505" s="10"/>
      <c r="C505" s="10"/>
      <c r="D505" s="10"/>
    </row>
    <row r="506" spans="2:4" ht="18" customHeight="1">
      <c r="B506" s="10"/>
      <c r="C506" s="10"/>
      <c r="D506" s="10"/>
    </row>
    <row r="507" spans="2:4" ht="18" customHeight="1">
      <c r="B507" s="10"/>
      <c r="C507" s="10"/>
      <c r="D507" s="10"/>
    </row>
    <row r="508" spans="2:4" ht="18" customHeight="1">
      <c r="B508" s="10"/>
      <c r="C508" s="10"/>
      <c r="D508" s="10"/>
    </row>
    <row r="509" spans="2:4" ht="18" customHeight="1">
      <c r="B509" s="10"/>
      <c r="C509" s="10"/>
      <c r="D509" s="10"/>
    </row>
    <row r="510" spans="2:4" ht="18" customHeight="1">
      <c r="B510" s="10"/>
      <c r="C510" s="10"/>
      <c r="D510" s="10"/>
    </row>
    <row r="511" spans="2:4" ht="18" customHeight="1">
      <c r="B511" s="10"/>
      <c r="C511" s="10"/>
      <c r="D511" s="10"/>
    </row>
    <row r="512" spans="2:4" ht="18" customHeight="1">
      <c r="B512" s="10"/>
      <c r="C512" s="10"/>
      <c r="D512" s="10"/>
    </row>
    <row r="513" spans="2:4" ht="18" customHeight="1">
      <c r="B513" s="10"/>
      <c r="C513" s="10"/>
      <c r="D513" s="10"/>
    </row>
    <row r="514" spans="2:4" ht="18" customHeight="1">
      <c r="B514" s="10"/>
      <c r="C514" s="10"/>
      <c r="D514" s="10"/>
    </row>
    <row r="515" spans="2:4" ht="18" customHeight="1">
      <c r="B515" s="10"/>
      <c r="C515" s="10"/>
      <c r="D515" s="10"/>
    </row>
    <row r="516" spans="2:4" ht="18" customHeight="1">
      <c r="B516" s="10"/>
      <c r="C516" s="10"/>
      <c r="D516" s="10"/>
    </row>
    <row r="517" spans="2:4" ht="18" customHeight="1">
      <c r="B517" s="10"/>
      <c r="C517" s="10"/>
      <c r="D517" s="10"/>
    </row>
    <row r="518" spans="2:4" ht="18" customHeight="1">
      <c r="B518" s="10"/>
      <c r="C518" s="10"/>
      <c r="D518" s="10"/>
    </row>
    <row r="519" spans="2:4" ht="18" customHeight="1">
      <c r="B519" s="10"/>
      <c r="C519" s="10"/>
      <c r="D519" s="10"/>
    </row>
    <row r="520" spans="2:4" ht="18" customHeight="1">
      <c r="B520" s="10"/>
      <c r="C520" s="10"/>
      <c r="D520" s="10"/>
    </row>
    <row r="521" spans="2:4" ht="18" customHeight="1">
      <c r="B521" s="10"/>
      <c r="C521" s="10"/>
      <c r="D521" s="10"/>
    </row>
    <row r="522" spans="2:4" ht="18" customHeight="1">
      <c r="B522" s="10"/>
      <c r="C522" s="10"/>
      <c r="D522" s="10"/>
    </row>
    <row r="523" spans="2:4" ht="18" customHeight="1">
      <c r="B523" s="10"/>
      <c r="C523" s="10"/>
      <c r="D523" s="10"/>
    </row>
    <row r="524" spans="2:4" ht="18" customHeight="1">
      <c r="B524" s="10"/>
      <c r="C524" s="10"/>
      <c r="D524" s="10"/>
    </row>
    <row r="525" spans="2:4" ht="18" customHeight="1">
      <c r="B525" s="10"/>
      <c r="C525" s="10"/>
      <c r="D525" s="10"/>
    </row>
    <row r="526" spans="2:4" ht="18" customHeight="1">
      <c r="B526" s="10"/>
      <c r="C526" s="10"/>
      <c r="D526" s="10"/>
    </row>
    <row r="527" spans="2:4" ht="18" customHeight="1">
      <c r="B527" s="10"/>
      <c r="C527" s="10"/>
      <c r="D527" s="10"/>
    </row>
    <row r="528" spans="2:4" ht="18" customHeight="1">
      <c r="B528" s="10"/>
      <c r="C528" s="10"/>
      <c r="D528" s="10"/>
    </row>
    <row r="529" spans="2:4" ht="18" customHeight="1">
      <c r="B529" s="10"/>
      <c r="C529" s="10"/>
      <c r="D529" s="10"/>
    </row>
    <row r="530" spans="2:4" ht="18" customHeight="1">
      <c r="B530" s="10"/>
      <c r="C530" s="10"/>
      <c r="D530" s="10"/>
    </row>
    <row r="531" spans="2:4" ht="18" customHeight="1">
      <c r="B531" s="10"/>
      <c r="C531" s="10"/>
      <c r="D531" s="10"/>
    </row>
  </sheetData>
  <mergeCells count="10">
    <mergeCell ref="A40:M40"/>
    <mergeCell ref="A43:M43"/>
    <mergeCell ref="A46:M46"/>
    <mergeCell ref="A55:M55"/>
    <mergeCell ref="A66:M66"/>
    <mergeCell ref="K1:M1"/>
    <mergeCell ref="A2:M2"/>
    <mergeCell ref="A11:M11"/>
    <mergeCell ref="A22:M22"/>
    <mergeCell ref="A32:M32"/>
  </mergeCells>
  <conditionalFormatting sqref="F3:F4 F69:F71">
    <cfRule type="cellIs" dxfId="399" priority="58" operator="equal">
      <formula>E3</formula>
    </cfRule>
  </conditionalFormatting>
  <conditionalFormatting sqref="F3 F69:F71">
    <cfRule type="cellIs" dxfId="398" priority="57" operator="notEqual">
      <formula>E3</formula>
    </cfRule>
  </conditionalFormatting>
  <conditionalFormatting sqref="F4">
    <cfRule type="cellIs" dxfId="397" priority="56" operator="notEqual">
      <formula>E4</formula>
    </cfRule>
  </conditionalFormatting>
  <conditionalFormatting sqref="F5">
    <cfRule type="cellIs" dxfId="396" priority="41" operator="equal">
      <formula>E5</formula>
    </cfRule>
  </conditionalFormatting>
  <conditionalFormatting sqref="F5">
    <cfRule type="cellIs" dxfId="395" priority="40" operator="notEqual">
      <formula>E5</formula>
    </cfRule>
  </conditionalFormatting>
  <conditionalFormatting sqref="F6">
    <cfRule type="cellIs" dxfId="394" priority="39" operator="equal">
      <formula>E6</formula>
    </cfRule>
  </conditionalFormatting>
  <conditionalFormatting sqref="F6">
    <cfRule type="cellIs" dxfId="393" priority="38" operator="notEqual">
      <formula>E6</formula>
    </cfRule>
  </conditionalFormatting>
  <conditionalFormatting sqref="F7">
    <cfRule type="cellIs" dxfId="392" priority="37" operator="equal">
      <formula>E7</formula>
    </cfRule>
  </conditionalFormatting>
  <conditionalFormatting sqref="F7">
    <cfRule type="cellIs" dxfId="391" priority="36" operator="notEqual">
      <formula>E7</formula>
    </cfRule>
  </conditionalFormatting>
  <conditionalFormatting sqref="F8">
    <cfRule type="cellIs" dxfId="390" priority="35" operator="equal">
      <formula>E8</formula>
    </cfRule>
  </conditionalFormatting>
  <conditionalFormatting sqref="F8">
    <cfRule type="cellIs" dxfId="389" priority="34" operator="notEqual">
      <formula>E8</formula>
    </cfRule>
  </conditionalFormatting>
  <conditionalFormatting sqref="F9">
    <cfRule type="cellIs" dxfId="388" priority="33" operator="equal">
      <formula>E9</formula>
    </cfRule>
  </conditionalFormatting>
  <conditionalFormatting sqref="F9">
    <cfRule type="cellIs" dxfId="387" priority="32" operator="notEqual">
      <formula>E9</formula>
    </cfRule>
  </conditionalFormatting>
  <conditionalFormatting sqref="F10">
    <cfRule type="cellIs" dxfId="386" priority="31" operator="equal">
      <formula>E10</formula>
    </cfRule>
  </conditionalFormatting>
  <conditionalFormatting sqref="F10">
    <cfRule type="cellIs" dxfId="385" priority="30" operator="notEqual">
      <formula>E10</formula>
    </cfRule>
  </conditionalFormatting>
  <conditionalFormatting sqref="F12:F21">
    <cfRule type="cellIs" dxfId="384" priority="26" operator="equal">
      <formula>E12</formula>
    </cfRule>
  </conditionalFormatting>
  <conditionalFormatting sqref="F12:F21">
    <cfRule type="cellIs" dxfId="383" priority="25" operator="notEqual">
      <formula>E12</formula>
    </cfRule>
  </conditionalFormatting>
  <conditionalFormatting sqref="F23:F31">
    <cfRule type="cellIs" dxfId="382" priority="21" operator="equal">
      <formula>E23</formula>
    </cfRule>
  </conditionalFormatting>
  <conditionalFormatting sqref="F23:F31">
    <cfRule type="cellIs" dxfId="381" priority="20" operator="notEqual">
      <formula>E23</formula>
    </cfRule>
  </conditionalFormatting>
  <conditionalFormatting sqref="F33:F39">
    <cfRule type="cellIs" dxfId="380" priority="18" operator="equal">
      <formula>E33</formula>
    </cfRule>
  </conditionalFormatting>
  <conditionalFormatting sqref="F33:F39">
    <cfRule type="cellIs" dxfId="379" priority="17" operator="notEqual">
      <formula>E33</formula>
    </cfRule>
  </conditionalFormatting>
  <conditionalFormatting sqref="F41:F42">
    <cfRule type="cellIs" dxfId="378" priority="16" operator="equal">
      <formula>E41</formula>
    </cfRule>
  </conditionalFormatting>
  <conditionalFormatting sqref="F41:F42">
    <cfRule type="cellIs" dxfId="377" priority="15" operator="notEqual">
      <formula>E41</formula>
    </cfRule>
  </conditionalFormatting>
  <conditionalFormatting sqref="F44:F45">
    <cfRule type="cellIs" dxfId="376" priority="14" operator="equal">
      <formula>E44</formula>
    </cfRule>
  </conditionalFormatting>
  <conditionalFormatting sqref="F44:F45">
    <cfRule type="cellIs" dxfId="375" priority="13" operator="notEqual">
      <formula>E44</formula>
    </cfRule>
  </conditionalFormatting>
  <conditionalFormatting sqref="F47:F54">
    <cfRule type="cellIs" dxfId="374" priority="12" operator="equal">
      <formula>E47</formula>
    </cfRule>
  </conditionalFormatting>
  <conditionalFormatting sqref="F47:F54">
    <cfRule type="cellIs" dxfId="373" priority="11" operator="notEqual">
      <formula>E47</formula>
    </cfRule>
  </conditionalFormatting>
  <conditionalFormatting sqref="F56 F64">
    <cfRule type="cellIs" dxfId="372" priority="10" operator="equal">
      <formula>E56</formula>
    </cfRule>
  </conditionalFormatting>
  <conditionalFormatting sqref="F56 F64">
    <cfRule type="cellIs" dxfId="371" priority="9" operator="notEqual">
      <formula>E56</formula>
    </cfRule>
  </conditionalFormatting>
  <conditionalFormatting sqref="F67:F68">
    <cfRule type="cellIs" dxfId="370" priority="8" operator="equal">
      <formula>E67</formula>
    </cfRule>
  </conditionalFormatting>
  <conditionalFormatting sqref="F67:F68">
    <cfRule type="cellIs" dxfId="369" priority="7" operator="notEqual">
      <formula>E67</formula>
    </cfRule>
  </conditionalFormatting>
  <conditionalFormatting sqref="F57:F63">
    <cfRule type="cellIs" dxfId="368" priority="6" operator="equal">
      <formula>E57</formula>
    </cfRule>
  </conditionalFormatting>
  <conditionalFormatting sqref="F57:F63">
    <cfRule type="cellIs" dxfId="367" priority="5" operator="notEqual">
      <formula>E57</formula>
    </cfRule>
  </conditionalFormatting>
  <conditionalFormatting sqref="F65">
    <cfRule type="cellIs" dxfId="366" priority="4" operator="equal">
      <formula>E65</formula>
    </cfRule>
  </conditionalFormatting>
  <conditionalFormatting sqref="F65">
    <cfRule type="cellIs" dxfId="365" priority="3" operator="notEqual">
      <formula>E65</formula>
    </cfRule>
  </conditionalFormatting>
  <pageMargins left="0.7" right="0.7" top="0.75" bottom="0.75" header="0.3" footer="0.3"/>
  <legacyDrawing r:id="rId1"/>
  <controls>
    <control shapeId="12350" r:id="rId2" name="CommandButton1"/>
  </controls>
</worksheet>
</file>

<file path=xl/worksheets/sheet6.xml><?xml version="1.0" encoding="utf-8"?>
<worksheet xmlns="http://schemas.openxmlformats.org/spreadsheetml/2006/main" xmlns:r="http://schemas.openxmlformats.org/officeDocument/2006/relationships">
  <sheetPr codeName="Sheet6">
    <tabColor rgb="FF00B050"/>
  </sheetPr>
  <dimension ref="A1:M534"/>
  <sheetViews>
    <sheetView zoomScaleNormal="100" workbookViewId="0">
      <pane ySplit="1" topLeftCell="A2" activePane="bottomLeft" state="frozen"/>
      <selection pane="bottomLeft" activeCell="A36" sqref="A36"/>
    </sheetView>
  </sheetViews>
  <sheetFormatPr baseColWidth="10" defaultColWidth="9" defaultRowHeight="18" customHeight="1"/>
  <cols>
    <col min="1" max="1" width="16.75" bestFit="1" customWidth="1"/>
    <col min="2" max="2" width="51.875" bestFit="1" customWidth="1"/>
    <col min="3" max="3" width="4.375" bestFit="1" customWidth="1"/>
    <col min="4" max="4" width="4.375" customWidth="1"/>
    <col min="5" max="6" width="11.125" bestFit="1" customWidth="1"/>
    <col min="7" max="7" width="8.375" customWidth="1"/>
    <col min="8" max="8" width="20.75" bestFit="1" customWidth="1"/>
    <col min="9" max="9" width="24.625" customWidth="1"/>
    <col min="11" max="11" width="16.5" bestFit="1" customWidth="1"/>
    <col min="12" max="13" width="15.75" customWidth="1"/>
  </cols>
  <sheetData>
    <row r="1" spans="1:13" ht="18" customHeight="1">
      <c r="A1" s="30"/>
      <c r="B1" s="30" t="s">
        <v>7</v>
      </c>
      <c r="C1" s="30" t="s">
        <v>250</v>
      </c>
      <c r="D1" s="30" t="s">
        <v>251</v>
      </c>
      <c r="E1" s="30" t="s">
        <v>49</v>
      </c>
      <c r="F1" s="30" t="s">
        <v>9</v>
      </c>
      <c r="G1" s="11"/>
      <c r="H1" s="30" t="s">
        <v>80</v>
      </c>
      <c r="I1" s="30"/>
      <c r="K1" s="64" t="s">
        <v>29</v>
      </c>
      <c r="L1" s="64"/>
      <c r="M1" s="64"/>
    </row>
    <row r="2" spans="1:13" ht="18" customHeight="1">
      <c r="A2" s="65" t="s">
        <v>392</v>
      </c>
      <c r="B2" s="65"/>
      <c r="C2" s="65"/>
      <c r="D2" s="65"/>
      <c r="E2" s="65"/>
      <c r="F2" s="65"/>
      <c r="G2" s="65"/>
      <c r="H2" s="65"/>
      <c r="I2" s="65"/>
      <c r="J2" s="65"/>
      <c r="K2" s="65"/>
      <c r="L2" s="65"/>
      <c r="M2" s="65"/>
    </row>
    <row r="3" spans="1:13" ht="18" customHeight="1">
      <c r="A3" s="10" t="s">
        <v>393</v>
      </c>
      <c r="B3" s="15" t="str">
        <f>HYPERLINK("#"&amp;ADDRESS(MATCH(A3,'Machining-Detailed'!$A$1:$A$4989,0),1,,,"Machining-Detailed"),VLOOKUP(A3,'Machining-Detailed'!A:C,3,FALSE))</f>
        <v>BenchRouter 1000 Starter Bundle 110V/220V, 16"" x 24"" HSS, Curriculum, 40 seats VCarvePro</v>
      </c>
      <c r="C3" s="29" t="str">
        <f>IFERROR(HYPERLINK("#"&amp;ADDRESS(MATCH(A3&amp;"ES",'LM7 Non-ENG'!$A$1:$A$5000,0),1,,,"LM7 Non-ENG"),IF(IFERROR(VLOOKUP(A3&amp;"ES",'LM7 Non-ENG'!$A$1:$A$4999,1,FALSE),"ERROR")=A3&amp;"ES","Y","")),"")</f>
        <v/>
      </c>
      <c r="D3" s="29" t="str">
        <f>IFERROR(HYPERLINK("#"&amp;ADDRESS(MATCH(A3&amp;"PT",'LM7 Non-ENG'!$A$1:$A$5000,0),1,,,"LM7 Non-ENG"),IF(IFERROR(VLOOKUP(A3&amp;"PT",'LM7 Non-ENG'!$A$1:$A$5000,1,FALSE),"ERROR")=A3&amp;"PT","Y","")),"")</f>
        <v/>
      </c>
      <c r="E3" s="37">
        <f>'Machining-Detailed'!J2</f>
        <v>6700</v>
      </c>
      <c r="F3" s="38">
        <v>7995</v>
      </c>
      <c r="G3" s="11"/>
      <c r="H3" s="15" t="str">
        <f>HYPERLINK("#"&amp;ADDRESS(MATCH("BenchRouter 1000 Shield",$B$1:$B$4995,0),1,,,),"BenchRouter 1000 Shield")</f>
        <v>BenchRouter 1000 Shield</v>
      </c>
      <c r="K3" s="17" t="str">
        <f>HYPERLINK("#"&amp;ADDRESS(MATCH("LearnMate 7 Bundles",LearnMate7!$A$1:$A$5000,0),1,,,"LearnMate7"),"LMS")</f>
        <v>LMS</v>
      </c>
    </row>
    <row r="4" spans="1:13" ht="18" customHeight="1">
      <c r="A4" t="s">
        <v>396</v>
      </c>
      <c r="B4" s="15" t="str">
        <f>HYPERLINK("#"&amp;ADDRESS(MATCH(A4,'Machining-Detailed'!$A$1:$A$4989,0),1,,,"Machining-Detailed"),VLOOKUP(A4,'Machining-Detailed'!A:C,3,FALSE))</f>
        <v>ProRouter 2000 Starter Bundle 220v: 4x4 Router HSS, Curriculum and 40 seats VCarvePro</v>
      </c>
      <c r="C4" s="29" t="str">
        <f>IFERROR(HYPERLINK("#"&amp;ADDRESS(MATCH(A4&amp;"ES",'LM7 Non-ENG'!$A$1:$A$5000,0),1,,,"LM7 Non-ENG"),IF(IFERROR(VLOOKUP(A4&amp;"ES",'LM7 Non-ENG'!$A$1:$A$4999,1,FALSE),"ERROR")=A4&amp;"ES","Y","")),"")</f>
        <v/>
      </c>
      <c r="D4" s="29" t="str">
        <f>IFERROR(HYPERLINK("#"&amp;ADDRESS(MATCH(A4&amp;"PT",'LM7 Non-ENG'!$A$1:$A$5000,0),1,,,"LM7 Non-ENG"),IF(IFERROR(VLOOKUP(A4&amp;"PT",'LM7 Non-ENG'!$A$1:$A$5000,1,FALSE),"ERROR")=A4&amp;"PT","Y","")),"")</f>
        <v/>
      </c>
      <c r="E4" s="37">
        <f>'Machining-Detailed'!J10</f>
        <v>18700</v>
      </c>
      <c r="F4" s="38">
        <v>19995</v>
      </c>
      <c r="G4" s="11"/>
      <c r="H4" s="15"/>
      <c r="K4" s="17" t="str">
        <f>HYPERLINK("#"&amp;ADDRESS(MATCH("LearnMate 7 Bundles",LearnMate7!$A$1:$A$5000,0),1,,,"LearnMate7"),"LMS")</f>
        <v>LMS</v>
      </c>
    </row>
    <row r="5" spans="1:13" ht="18" customHeight="1">
      <c r="A5" t="s">
        <v>398</v>
      </c>
      <c r="B5" s="15" t="str">
        <f>HYPERLINK("#"&amp;ADDRESS(MATCH(A5,'Machining-Detailed'!$A$1:$A$4989,0),1,,,"Machining-Detailed"),VLOOKUP(A5,'Machining-Detailed'!A:C,3,FALSE))</f>
        <v>ProRouter 2100 Starter Bundle 220V; 4X8 Router HSS, Curriculum &amp; 40 seats VCarvePro</v>
      </c>
      <c r="C5" s="29" t="str">
        <f>IFERROR(HYPERLINK("#"&amp;ADDRESS(MATCH(A5&amp;"ES",'LM7 Non-ENG'!$A$1:$A$5000,0),1,,,"LM7 Non-ENG"),IF(IFERROR(VLOOKUP(A5&amp;"ES",'LM7 Non-ENG'!$A$1:$A$4999,1,FALSE),"ERROR")=A5&amp;"ES","Y","")),"")</f>
        <v/>
      </c>
      <c r="D5" s="29" t="str">
        <f>IFERROR(HYPERLINK("#"&amp;ADDRESS(MATCH(A5&amp;"PT",'LM7 Non-ENG'!$A$1:$A$5000,0),1,,,"LM7 Non-ENG"),IF(IFERROR(VLOOKUP(A5&amp;"PT",'LM7 Non-ENG'!$A$1:$A$5000,1,FALSE),"ERROR")=A5&amp;"PT","Y","")),"")</f>
        <v/>
      </c>
      <c r="E5" s="37">
        <f>'Machining-Detailed'!J16</f>
        <v>20700</v>
      </c>
      <c r="F5" s="38">
        <v>21995</v>
      </c>
      <c r="G5" s="11"/>
      <c r="H5" s="15"/>
      <c r="K5" s="17" t="str">
        <f>HYPERLINK("#"&amp;ADDRESS(MATCH("LearnMate 7 Bundles",LearnMate7!$A$1:$A$5000,0),1,,,"LearnMate7"),"LMS")</f>
        <v>LMS</v>
      </c>
    </row>
    <row r="6" spans="1:13" ht="18" customHeight="1">
      <c r="A6" s="65" t="s">
        <v>405</v>
      </c>
      <c r="B6" s="65"/>
      <c r="C6" s="65" t="str">
        <f>IFERROR(HYPERLINK("#"&amp;ADDRESS(MATCH(A6&amp;"ES",'LM7 Non-ENG'!$A$1:$A$5000,0),1,,,"LM7 Non-ENG"),IF(IFERROR(VLOOKUP(A6&amp;"ES",'LM7 Non-ENG'!$A$1:$A$4999,1,FALSE),"ERROR")=A6&amp;"ES","Y","")),"")</f>
        <v/>
      </c>
      <c r="D6" s="65" t="str">
        <f>IFERROR(HYPERLINK("#"&amp;ADDRESS(MATCH(A6&amp;"PT",'LM7 Non-ENG'!$A$1:$A$5000,0),1,,,"LM7 Non-ENG"),IF(IFERROR(VLOOKUP(A6&amp;"PT",'LM7 Non-ENG'!$A$1:$A$5000,1,FALSE),"ERROR")=A6&amp;"PT","Y","")),"")</f>
        <v/>
      </c>
      <c r="E6" s="65"/>
      <c r="F6" s="65"/>
      <c r="G6" s="65"/>
      <c r="H6" s="65"/>
      <c r="I6" s="65"/>
      <c r="J6" s="65"/>
      <c r="K6" s="65"/>
      <c r="L6" s="65"/>
      <c r="M6" s="65"/>
    </row>
    <row r="7" spans="1:13" ht="18" customHeight="1">
      <c r="A7" t="s">
        <v>406</v>
      </c>
      <c r="B7" s="15" t="str">
        <f>HYPERLINK("#"&amp;ADDRESS(MATCH(A7,'Machining-Detailed'!$A$1:$A$4989,0),1,,,"Machining-Detailed"),VLOOKUP(A7,'Machining-Detailed'!A:C,3,FALSE))</f>
        <v>BenchMILL 6000 Starter Bundle, Imp/Met, 110/220 VAC</v>
      </c>
      <c r="C7" s="29" t="str">
        <f>IFERROR(HYPERLINK("#"&amp;ADDRESS(MATCH(A7&amp;"ES",'LM7 Non-ENG'!$A$1:$A$5000,0),1,,,"LM7 Non-ENG"),IF(IFERROR(VLOOKUP(A7&amp;"ES",'LM7 Non-ENG'!$A$1:$A$4999,1,FALSE),"ERROR")=A7&amp;"ES","Y","")),"")</f>
        <v/>
      </c>
      <c r="D7" s="29" t="str">
        <f>IFERROR(HYPERLINK("#"&amp;ADDRESS(MATCH(A7&amp;"PT",'LM7 Non-ENG'!$A$1:$A$5000,0),1,,,"LM7 Non-ENG"),IF(IFERROR(VLOOKUP(A7&amp;"PT",'LM7 Non-ENG'!$A$1:$A$5000,1,FALSE),"ERROR")=A7&amp;"PT","Y","")),"")</f>
        <v/>
      </c>
      <c r="E7" s="37">
        <f>'Machining-Detailed'!J23</f>
        <v>18736</v>
      </c>
      <c r="F7" s="38">
        <v>18736</v>
      </c>
      <c r="G7" s="11"/>
      <c r="K7" s="17" t="str">
        <f>HYPERLINK("#"&amp;ADDRESS(MATCH("LearnMate 7 Bundles",LearnMate7!$A$1:$A$5000,0),1,,,"LearnMate7"),"LMS")</f>
        <v>LMS</v>
      </c>
    </row>
    <row r="8" spans="1:13" ht="18" customHeight="1">
      <c r="A8" t="s">
        <v>409</v>
      </c>
      <c r="B8" s="15" t="str">
        <f>HYPERLINK("#"&amp;ADDRESS(MATCH(A8,'Machining-Detailed'!$A$1:$A$4989,0),1,,,"Machining-Detailed"),VLOOKUP(A8,'Machining-Detailed'!A:C,3,FALSE))</f>
        <v>BenchMILL 6000 Standard Bundle, Imperial, 110/220 VAC</v>
      </c>
      <c r="C8" s="29" t="str">
        <f>IFERROR(HYPERLINK("#"&amp;ADDRESS(MATCH(A8&amp;"ES",'LM7 Non-ENG'!$A$1:$A$5000,0),1,,,"LM7 Non-ENG"),IF(IFERROR(VLOOKUP(A8&amp;"ES",'LM7 Non-ENG'!$A$1:$A$4999,1,FALSE),"ERROR")=A8&amp;"ES","Y","")),"")</f>
        <v/>
      </c>
      <c r="D8" s="29" t="str">
        <f>IFERROR(HYPERLINK("#"&amp;ADDRESS(MATCH(A8&amp;"PT",'LM7 Non-ENG'!$A$1:$A$5000,0),1,,,"LM7 Non-ENG"),IF(IFERROR(VLOOKUP(A8&amp;"PT",'LM7 Non-ENG'!$A$1:$A$5000,1,FALSE),"ERROR")=A8&amp;"PT","Y","")),"")</f>
        <v/>
      </c>
      <c r="E8" s="37">
        <f>'Machining-Detailed'!J36</f>
        <v>22736</v>
      </c>
      <c r="F8" s="38">
        <v>22736</v>
      </c>
      <c r="G8" s="11"/>
      <c r="K8" s="17" t="str">
        <f>HYPERLINK("#"&amp;ADDRESS(MATCH("LearnMate 7 Bundles",LearnMate7!$A$1:$A$5000,0),1,,,"LearnMate7"),"LMS")</f>
        <v>LMS</v>
      </c>
    </row>
    <row r="9" spans="1:13" ht="18" customHeight="1">
      <c r="A9" t="s">
        <v>412</v>
      </c>
      <c r="B9" s="15" t="str">
        <f>HYPERLINK("#"&amp;ADDRESS(MATCH(A9,'Machining-Detailed'!$A$1:$A$4989,0),1,,,"Machining-Detailed"),VLOOKUP(A9,'Machining-Detailed'!A:C,3,FALSE))</f>
        <v>BenchMILL 6000 Standard Bundle, Metric, 110/220 VAC</v>
      </c>
      <c r="C9" s="29" t="str">
        <f>IFERROR(HYPERLINK("#"&amp;ADDRESS(MATCH(A9&amp;"ES",'LM7 Non-ENG'!$A$1:$A$5000,0),1,,,"LM7 Non-ENG"),IF(IFERROR(VLOOKUP(A9&amp;"ES",'LM7 Non-ENG'!$A$1:$A$4999,1,FALSE),"ERROR")=A9&amp;"ES","Y","")),"")</f>
        <v/>
      </c>
      <c r="D9" s="29" t="str">
        <f>IFERROR(HYPERLINK("#"&amp;ADDRESS(MATCH(A9&amp;"PT",'LM7 Non-ENG'!$A$1:$A$5000,0),1,,,"LM7 Non-ENG"),IF(IFERROR(VLOOKUP(A9&amp;"PT",'LM7 Non-ENG'!$A$1:$A$5000,1,FALSE),"ERROR")=A9&amp;"PT","Y","")),"")</f>
        <v/>
      </c>
      <c r="E9" s="37">
        <f>'Machining-Detailed'!J50</f>
        <v>22943</v>
      </c>
      <c r="F9" s="38">
        <v>22717</v>
      </c>
      <c r="G9" s="11"/>
      <c r="K9" s="17" t="str">
        <f>HYPERLINK("#"&amp;ADDRESS(MATCH("LearnMate 7 Bundles",LearnMate7!$A$1:$A$5000,0),1,,,"LearnMate7"),"LMS")</f>
        <v>LMS</v>
      </c>
    </row>
    <row r="10" spans="1:13" ht="18" customHeight="1">
      <c r="A10" t="s">
        <v>415</v>
      </c>
      <c r="B10" s="15" t="str">
        <f>HYPERLINK("#"&amp;ADDRESS(MATCH(A10,'Machining-Detailed'!$A$1:$A$4989,0),1,,,"Machining-Detailed"),VLOOKUP(A10,'Machining-Detailed'!A:C,3,FALSE))</f>
        <v>BenchMILL 6000 Advanced Bundle, Imperial, 110/220 VAC</v>
      </c>
      <c r="C10" s="29" t="str">
        <f>IFERROR(HYPERLINK("#"&amp;ADDRESS(MATCH(A10&amp;"ES",'LM7 Non-ENG'!$A$1:$A$5000,0),1,,,"LM7 Non-ENG"),IF(IFERROR(VLOOKUP(A10&amp;"ES",'LM7 Non-ENG'!$A$1:$A$4999,1,FALSE),"ERROR")=A10&amp;"ES","Y","")),"")</f>
        <v/>
      </c>
      <c r="D10" s="29" t="str">
        <f>IFERROR(HYPERLINK("#"&amp;ADDRESS(MATCH(A10&amp;"PT",'LM7 Non-ENG'!$A$1:$A$5000,0),1,,,"LM7 Non-ENG"),IF(IFERROR(VLOOKUP(A10&amp;"PT",'LM7 Non-ENG'!$A$1:$A$5000,1,FALSE),"ERROR")=A10&amp;"PT","Y","")),"")</f>
        <v/>
      </c>
      <c r="E10" s="37">
        <f>'Machining-Detailed'!J65</f>
        <v>25612</v>
      </c>
      <c r="F10" s="38">
        <v>25612</v>
      </c>
      <c r="G10" s="11"/>
      <c r="K10" s="17" t="str">
        <f>HYPERLINK("#"&amp;ADDRESS(MATCH("LearnMate 7 Bundles",LearnMate7!$A$1:$A$5000,0),1,,,"LearnMate7"),"LMS")</f>
        <v>LMS</v>
      </c>
    </row>
    <row r="11" spans="1:13" ht="18" customHeight="1">
      <c r="A11" t="s">
        <v>418</v>
      </c>
      <c r="B11" s="15" t="str">
        <f>HYPERLINK("#"&amp;ADDRESS(MATCH(A11,'Machining-Detailed'!$A$1:$A$4989,0),1,,,"Machining-Detailed"),VLOOKUP(A11,'Machining-Detailed'!A:C,3,FALSE))</f>
        <v>BenchMILL 6000 Advanced Bundle, Metric, 110/220 VAC</v>
      </c>
      <c r="C11" s="29" t="str">
        <f>IFERROR(HYPERLINK("#"&amp;ADDRESS(MATCH(A11&amp;"ES",'LM7 Non-ENG'!$A$1:$A$5000,0),1,,,"LM7 Non-ENG"),IF(IFERROR(VLOOKUP(A11&amp;"ES",'LM7 Non-ENG'!$A$1:$A$4999,1,FALSE),"ERROR")=A11&amp;"ES","Y","")),"")</f>
        <v/>
      </c>
      <c r="D11" s="29" t="str">
        <f>IFERROR(HYPERLINK("#"&amp;ADDRESS(MATCH(A11&amp;"PT",'LM7 Non-ENG'!$A$1:$A$5000,0),1,,,"LM7 Non-ENG"),IF(IFERROR(VLOOKUP(A11&amp;"PT",'LM7 Non-ENG'!$A$1:$A$5000,1,FALSE),"ERROR")=A11&amp;"PT","Y","")),"")</f>
        <v/>
      </c>
      <c r="E11" s="37">
        <f>'Machining-Detailed'!J84</f>
        <v>26019</v>
      </c>
      <c r="F11" s="38">
        <v>26019</v>
      </c>
      <c r="G11" s="11"/>
      <c r="K11" s="17" t="str">
        <f>HYPERLINK("#"&amp;ADDRESS(MATCH("LearnMate 7 Bundles",LearnMate7!$A$1:$A$5000,0),1,,,"LearnMate7"),"LMS")</f>
        <v>LMS</v>
      </c>
    </row>
    <row r="12" spans="1:13" ht="18" customHeight="1">
      <c r="A12" t="s">
        <v>421</v>
      </c>
      <c r="B12" s="15" t="str">
        <f>HYPERLINK("#"&amp;ADDRESS(MATCH(A12,'Machining-Detailed'!$A$1:$A$4989,0),1,,,"Machining-Detailed"),VLOOKUP(A12,'Machining-Detailed'!A:C,3,FALSE))</f>
        <v>ProMILL 8000 Starter Bundle, Imp/Met, 110/220 VAC</v>
      </c>
      <c r="C12" s="29" t="str">
        <f>IFERROR(HYPERLINK("#"&amp;ADDRESS(MATCH(A12&amp;"ES",'LM7 Non-ENG'!$A$1:$A$5000,0),1,,,"LM7 Non-ENG"),IF(IFERROR(VLOOKUP(A12&amp;"ES",'LM7 Non-ENG'!$A$1:$A$4999,1,FALSE),"ERROR")=A12&amp;"ES","Y","")),"")</f>
        <v/>
      </c>
      <c r="D12" s="29" t="str">
        <f>IFERROR(HYPERLINK("#"&amp;ADDRESS(MATCH(A12&amp;"PT",'LM7 Non-ENG'!$A$1:$A$5000,0),1,,,"LM7 Non-ENG"),IF(IFERROR(VLOOKUP(A12&amp;"PT",'LM7 Non-ENG'!$A$1:$A$5000,1,FALSE),"ERROR")=A12&amp;"PT","Y","")),"")</f>
        <v/>
      </c>
      <c r="E12" s="37">
        <f>'Machining-Detailed'!J105</f>
        <v>30829</v>
      </c>
      <c r="F12" s="38">
        <v>30829</v>
      </c>
      <c r="G12" s="11"/>
      <c r="K12" s="17" t="str">
        <f>HYPERLINK("#"&amp;ADDRESS(MATCH("LearnMate 7 Bundles",LearnMate7!$A$1:$A$5000,0),1,,,"LearnMate7"),"LMS")</f>
        <v>LMS</v>
      </c>
    </row>
    <row r="13" spans="1:13" ht="18" customHeight="1">
      <c r="A13" t="s">
        <v>424</v>
      </c>
      <c r="B13" s="15" t="str">
        <f>HYPERLINK("#"&amp;ADDRESS(MATCH(A13,'Machining-Detailed'!$A$1:$A$4989,0),1,,,"Machining-Detailed"),VLOOKUP(A13,'Machining-Detailed'!A:C,3,FALSE))</f>
        <v>ProMILL 8000 Standard Bundle, Imperial, 110/220 VAC</v>
      </c>
      <c r="C13" s="29" t="str">
        <f>IFERROR(HYPERLINK("#"&amp;ADDRESS(MATCH(A13&amp;"ES",'LM7 Non-ENG'!$A$1:$A$5000,0),1,,,"LM7 Non-ENG"),IF(IFERROR(VLOOKUP(A13&amp;"ES",'LM7 Non-ENG'!$A$1:$A$4999,1,FALSE),"ERROR")=A13&amp;"ES","Y","")),"")</f>
        <v/>
      </c>
      <c r="D13" s="29" t="str">
        <f>IFERROR(HYPERLINK("#"&amp;ADDRESS(MATCH(A13&amp;"PT",'LM7 Non-ENG'!$A$1:$A$5000,0),1,,,"LM7 Non-ENG"),IF(IFERROR(VLOOKUP(A13&amp;"PT",'LM7 Non-ENG'!$A$1:$A$5000,1,FALSE),"ERROR")=A13&amp;"PT","Y","")),"")</f>
        <v/>
      </c>
      <c r="E13" s="37">
        <f>'Machining-Detailed'!J119</f>
        <v>33352</v>
      </c>
      <c r="F13" s="38">
        <v>33352</v>
      </c>
      <c r="G13" s="11"/>
      <c r="K13" s="17" t="str">
        <f>HYPERLINK("#"&amp;ADDRESS(MATCH("LearnMate 7 Bundles",LearnMate7!$A$1:$A$5000,0),1,,,"LearnMate7"),"LMS")</f>
        <v>LMS</v>
      </c>
    </row>
    <row r="14" spans="1:13" ht="18" customHeight="1">
      <c r="A14" t="s">
        <v>427</v>
      </c>
      <c r="B14" s="15" t="str">
        <f>HYPERLINK("#"&amp;ADDRESS(MATCH(A14,'Machining-Detailed'!$A$1:$A$4989,0),1,,,"Machining-Detailed"),VLOOKUP(A14,'Machining-Detailed'!A:C,3,FALSE))</f>
        <v>ProMILL 8000 Standard Bundle, Metric, 110/220 VAC</v>
      </c>
      <c r="C14" s="29" t="str">
        <f>IFERROR(HYPERLINK("#"&amp;ADDRESS(MATCH(A14&amp;"ES",'LM7 Non-ENG'!$A$1:$A$5000,0),1,,,"LM7 Non-ENG"),IF(IFERROR(VLOOKUP(A14&amp;"ES",'LM7 Non-ENG'!$A$1:$A$4999,1,FALSE),"ERROR")=A14&amp;"ES","Y","")),"")</f>
        <v/>
      </c>
      <c r="D14" s="29" t="str">
        <f>IFERROR(HYPERLINK("#"&amp;ADDRESS(MATCH(A14&amp;"PT",'LM7 Non-ENG'!$A$1:$A$5000,0),1,,,"LM7 Non-ENG"),IF(IFERROR(VLOOKUP(A14&amp;"PT",'LM7 Non-ENG'!$A$1:$A$5000,1,FALSE),"ERROR")=A14&amp;"PT","Y","")),"")</f>
        <v/>
      </c>
      <c r="E14" s="37">
        <f>'Machining-Detailed'!J131</f>
        <v>33568</v>
      </c>
      <c r="F14" s="38">
        <v>33568</v>
      </c>
      <c r="G14" s="11"/>
      <c r="K14" s="17" t="str">
        <f>HYPERLINK("#"&amp;ADDRESS(MATCH("LearnMate 7 Bundles",LearnMate7!$A$1:$A$5000,0),1,,,"LearnMate7"),"LMS")</f>
        <v>LMS</v>
      </c>
    </row>
    <row r="15" spans="1:13" ht="18" customHeight="1">
      <c r="A15" t="s">
        <v>430</v>
      </c>
      <c r="B15" s="15" t="str">
        <f>HYPERLINK("#"&amp;ADDRESS(MATCH(A15,'Machining-Detailed'!$A$1:$A$4989,0),1,,,"Machining-Detailed"),VLOOKUP(A15,'Machining-Detailed'!A:C,3,FALSE))</f>
        <v>ProMILL 8000 Advanced Bundle, Imperial, 110/220 VAC</v>
      </c>
      <c r="C15" s="29" t="str">
        <f>IFERROR(HYPERLINK("#"&amp;ADDRESS(MATCH(A15&amp;"ES",'LM7 Non-ENG'!$A$1:$A$5000,0),1,,,"LM7 Non-ENG"),IF(IFERROR(VLOOKUP(A15&amp;"ES",'LM7 Non-ENG'!$A$1:$A$4999,1,FALSE),"ERROR")=A15&amp;"ES","Y","")),"")</f>
        <v/>
      </c>
      <c r="D15" s="29" t="str">
        <f>IFERROR(HYPERLINK("#"&amp;ADDRESS(MATCH(A15&amp;"PT",'LM7 Non-ENG'!$A$1:$A$5000,0),1,,,"LM7 Non-ENG"),IF(IFERROR(VLOOKUP(A15&amp;"PT",'LM7 Non-ENG'!$A$1:$A$5000,1,FALSE),"ERROR")=A15&amp;"PT","Y","")),"")</f>
        <v/>
      </c>
      <c r="E15" s="37">
        <f>'Machining-Detailed'!J145</f>
        <v>38207</v>
      </c>
      <c r="F15" s="38">
        <v>38207</v>
      </c>
      <c r="G15" s="11"/>
      <c r="K15" s="17" t="str">
        <f>HYPERLINK("#"&amp;ADDRESS(MATCH("LearnMate 7 Bundles",LearnMate7!$A$1:$A$5000,0),1,,,"LearnMate7"),"LMS")</f>
        <v>LMS</v>
      </c>
    </row>
    <row r="16" spans="1:13" ht="18" customHeight="1">
      <c r="A16" t="s">
        <v>433</v>
      </c>
      <c r="B16" s="15" t="str">
        <f>HYPERLINK("#"&amp;ADDRESS(MATCH(A16,'Machining-Detailed'!$A$1:$A$4989,0),1,,,"Machining-Detailed"),VLOOKUP(A16,'Machining-Detailed'!A:C,3,FALSE))</f>
        <v>ProMILL 8000 Advanced Bundle, Metric, 110/220 VAC</v>
      </c>
      <c r="C16" s="29" t="str">
        <f>IFERROR(HYPERLINK("#"&amp;ADDRESS(MATCH(A16&amp;"ES",'LM7 Non-ENG'!$A$1:$A$5000,0),1,,,"LM7 Non-ENG"),IF(IFERROR(VLOOKUP(A16&amp;"ES",'LM7 Non-ENG'!$A$1:$A$4999,1,FALSE),"ERROR")=A16&amp;"ES","Y","")),"")</f>
        <v/>
      </c>
      <c r="D16" s="29" t="str">
        <f>IFERROR(HYPERLINK("#"&amp;ADDRESS(MATCH(A16&amp;"PT",'LM7 Non-ENG'!$A$1:$A$5000,0),1,,,"LM7 Non-ENG"),IF(IFERROR(VLOOKUP(A16&amp;"PT",'LM7 Non-ENG'!$A$1:$A$5000,1,FALSE),"ERROR")=A16&amp;"PT","Y","")),"")</f>
        <v/>
      </c>
      <c r="E16" s="37">
        <f>'Machining-Detailed'!J165</f>
        <v>38397</v>
      </c>
      <c r="F16" s="38">
        <v>38397</v>
      </c>
      <c r="G16" s="11"/>
      <c r="K16" s="17" t="str">
        <f>HYPERLINK("#"&amp;ADDRESS(MATCH("LearnMate 7 Bundles",LearnMate7!$A$1:$A$5000,0),1,,,"LearnMate7"),"LMS")</f>
        <v>LMS</v>
      </c>
    </row>
    <row r="17" spans="1:13" ht="18" customHeight="1">
      <c r="A17" s="65" t="s">
        <v>436</v>
      </c>
      <c r="B17" s="65"/>
      <c r="C17" s="65" t="str">
        <f>IFERROR(HYPERLINK("#"&amp;ADDRESS(MATCH(A17&amp;"ES",'LM7 Non-ENG'!$A$1:$A$5000,0),1,,,"LM7 Non-ENG"),IF(IFERROR(VLOOKUP(A17&amp;"ES",'LM7 Non-ENG'!$A$1:$A$4999,1,FALSE),"ERROR")=A17&amp;"ES","Y","")),"")</f>
        <v/>
      </c>
      <c r="D17" s="65" t="str">
        <f>IFERROR(HYPERLINK("#"&amp;ADDRESS(MATCH(A17&amp;"PT",'LM7 Non-ENG'!$A$1:$A$5000,0),1,,,"LM7 Non-ENG"),IF(IFERROR(VLOOKUP(A17&amp;"PT",'LM7 Non-ENG'!$A$1:$A$5000,1,FALSE),"ERROR")=A17&amp;"PT","Y","")),"")</f>
        <v/>
      </c>
      <c r="E17" s="65"/>
      <c r="F17" s="65"/>
      <c r="G17" s="65"/>
      <c r="H17" s="65"/>
      <c r="I17" s="65"/>
      <c r="J17" s="65"/>
      <c r="K17" s="65"/>
      <c r="L17" s="65"/>
      <c r="M17" s="65"/>
    </row>
    <row r="18" spans="1:13" ht="18" customHeight="1">
      <c r="A18" t="s">
        <v>437</v>
      </c>
      <c r="B18" s="15" t="str">
        <f>HYPERLINK("#"&amp;ADDRESS(MATCH(A18,'Machining-Detailed'!$A$1:$A$4989,0),1,,,"Machining-Detailed"),VLOOKUP(A18,'Machining-Detailed'!A:C,3,FALSE))</f>
        <v>BenchTURN 7000 Starter Bundle, Imp/Met, 110/220 VAC</v>
      </c>
      <c r="C18" s="29" t="str">
        <f>IFERROR(HYPERLINK("#"&amp;ADDRESS(MATCH(A18&amp;"ES",'LM7 Non-ENG'!$A$1:$A$5000,0),1,,,"LM7 Non-ENG"),IF(IFERROR(VLOOKUP(A18&amp;"ES",'LM7 Non-ENG'!$A$1:$A$4999,1,FALSE),"ERROR")=A18&amp;"ES","Y","")),"")</f>
        <v/>
      </c>
      <c r="D18" s="29" t="str">
        <f>IFERROR(HYPERLINK("#"&amp;ADDRESS(MATCH(A18&amp;"PT",'LM7 Non-ENG'!$A$1:$A$5000,0),1,,,"LM7 Non-ENG"),IF(IFERROR(VLOOKUP(A18&amp;"PT",'LM7 Non-ENG'!$A$1:$A$5000,1,FALSE),"ERROR")=A18&amp;"PT","Y","")),"")</f>
        <v/>
      </c>
      <c r="E18" s="37">
        <f>'Machining-Detailed'!J186</f>
        <v>18517</v>
      </c>
      <c r="F18" s="38">
        <v>18517</v>
      </c>
      <c r="G18" s="11"/>
      <c r="K18" s="17" t="str">
        <f>HYPERLINK("#"&amp;ADDRESS(MATCH("LearnMate 7 Bundles",LearnMate7!$A$1:$A$5000,0),1,,,"LearnMate7"),"LMS")</f>
        <v>LMS</v>
      </c>
    </row>
    <row r="19" spans="1:13" ht="18" customHeight="1">
      <c r="A19" t="s">
        <v>440</v>
      </c>
      <c r="B19" s="15" t="str">
        <f>HYPERLINK("#"&amp;ADDRESS(MATCH(A19,'Machining-Detailed'!$A$1:$A$4989,0),1,,,"Machining-Detailed"),VLOOKUP(A19,'Machining-Detailed'!A:C,3,FALSE))</f>
        <v>BenchTURN 7000 Advanced Bundle, Imp/Met, 110/220 VAC</v>
      </c>
      <c r="C19" s="29" t="str">
        <f>IFERROR(HYPERLINK("#"&amp;ADDRESS(MATCH(A19&amp;"ES",'LM7 Non-ENG'!$A$1:$A$5000,0),1,,,"LM7 Non-ENG"),IF(IFERROR(VLOOKUP(A19&amp;"ES",'LM7 Non-ENG'!$A$1:$A$4999,1,FALSE),"ERROR")=A19&amp;"ES","Y","")),"")</f>
        <v/>
      </c>
      <c r="D19" s="29" t="str">
        <f>IFERROR(HYPERLINK("#"&amp;ADDRESS(MATCH(A19&amp;"PT",'LM7 Non-ENG'!$A$1:$A$5000,0),1,,,"LM7 Non-ENG"),IF(IFERROR(VLOOKUP(A19&amp;"PT",'LM7 Non-ENG'!$A$1:$A$5000,1,FALSE),"ERROR")=A19&amp;"PT","Y","")),"")</f>
        <v/>
      </c>
      <c r="E19" s="37">
        <f>'Machining-Detailed'!J198</f>
        <v>20200</v>
      </c>
      <c r="F19" s="38">
        <v>20350</v>
      </c>
      <c r="G19" s="11"/>
      <c r="K19" s="17" t="str">
        <f>HYPERLINK("#"&amp;ADDRESS(MATCH("LearnMate 7 Bundles",LearnMate7!$A$1:$A$5000,0),1,,,"LearnMate7"),"LMS")</f>
        <v>LMS</v>
      </c>
    </row>
    <row r="20" spans="1:13" ht="18" customHeight="1">
      <c r="A20" t="s">
        <v>443</v>
      </c>
      <c r="B20" s="15" t="str">
        <f>HYPERLINK("#"&amp;ADDRESS(MATCH(A20,'Machining-Detailed'!$A$1:$A$4989,0),1,,,"Machining-Detailed"),VLOOKUP(A20,'Machining-Detailed'!A:C,3,FALSE))</f>
        <v>ProTURN 9000 Starter Bundle, Imp/Met, 110/220 VAC</v>
      </c>
      <c r="C20" s="29" t="str">
        <f>IFERROR(HYPERLINK("#"&amp;ADDRESS(MATCH(A20&amp;"ES",'LM7 Non-ENG'!$A$1:$A$5000,0),1,,,"LM7 Non-ENG"),IF(IFERROR(VLOOKUP(A20&amp;"ES",'LM7 Non-ENG'!$A$1:$A$4999,1,FALSE),"ERROR")=A20&amp;"ES","Y","")),"")</f>
        <v/>
      </c>
      <c r="D20" s="29" t="str">
        <f>IFERROR(HYPERLINK("#"&amp;ADDRESS(MATCH(A20&amp;"PT",'LM7 Non-ENG'!$A$1:$A$5000,0),1,,,"LM7 Non-ENG"),IF(IFERROR(VLOOKUP(A20&amp;"PT",'LM7 Non-ENG'!$A$1:$A$5000,1,FALSE),"ERROR")=A20&amp;"PT","Y","")),"")</f>
        <v/>
      </c>
      <c r="E20" s="37">
        <f>'Machining-Detailed'!J215</f>
        <v>24577</v>
      </c>
      <c r="F20" s="38">
        <v>24577</v>
      </c>
      <c r="G20" s="11"/>
      <c r="K20" s="17" t="str">
        <f>HYPERLINK("#"&amp;ADDRESS(MATCH("LearnMate 7 Bundles",LearnMate7!$A$1:$A$5000,0),1,,,"LearnMate7"),"LMS")</f>
        <v>LMS</v>
      </c>
    </row>
    <row r="21" spans="1:13" ht="18" customHeight="1">
      <c r="A21" t="s">
        <v>446</v>
      </c>
      <c r="B21" s="15" t="str">
        <f>HYPERLINK("#"&amp;ADDRESS(MATCH(A21,'Machining-Detailed'!$A$1:$A$4989,0),1,,,"Machining-Detailed"),VLOOKUP(A21,'Machining-Detailed'!A:C,3,FALSE))</f>
        <v>ProTURN 9000 Advanced Bundle, Imp/Met, 110/220 VAC</v>
      </c>
      <c r="C21" s="29" t="str">
        <f>IFERROR(HYPERLINK("#"&amp;ADDRESS(MATCH(A21&amp;"ES",'LM7 Non-ENG'!$A$1:$A$5000,0),1,,,"LM7 Non-ENG"),IF(IFERROR(VLOOKUP(A21&amp;"ES",'LM7 Non-ENG'!$A$1:$A$4999,1,FALSE),"ERROR")=A21&amp;"ES","Y","")),"")</f>
        <v/>
      </c>
      <c r="D21" s="29" t="str">
        <f>IFERROR(HYPERLINK("#"&amp;ADDRESS(MATCH(A21&amp;"PT",'LM7 Non-ENG'!$A$1:$A$5000,0),1,,,"LM7 Non-ENG"),IF(IFERROR(VLOOKUP(A21&amp;"PT",'LM7 Non-ENG'!$A$1:$A$5000,1,FALSE),"ERROR")=A21&amp;"PT","Y","")),"")</f>
        <v/>
      </c>
      <c r="E21" s="37">
        <f>'Machining-Detailed'!J227</f>
        <v>26323</v>
      </c>
      <c r="F21" s="38">
        <v>26323</v>
      </c>
      <c r="G21" s="11"/>
      <c r="K21" s="17" t="str">
        <f>HYPERLINK("#"&amp;ADDRESS(MATCH("LearnMate 7 Bundles",LearnMate7!$A$1:$A$5000,0),1,,,"LearnMate7"),"LMS")</f>
        <v>LMS</v>
      </c>
    </row>
    <row r="22" spans="1:13" ht="18" customHeight="1">
      <c r="A22" s="65" t="s">
        <v>604</v>
      </c>
      <c r="B22" s="65"/>
      <c r="C22" s="65"/>
      <c r="D22" s="65"/>
      <c r="E22" s="65"/>
      <c r="F22" s="65"/>
      <c r="G22" s="65"/>
      <c r="H22" s="65"/>
      <c r="I22" s="65"/>
      <c r="J22" s="65"/>
      <c r="K22" s="65"/>
      <c r="L22" s="65"/>
      <c r="M22" s="65"/>
    </row>
    <row r="23" spans="1:13" ht="18" customHeight="1">
      <c r="A23" t="s">
        <v>605</v>
      </c>
      <c r="B23" s="15" t="str">
        <f>HYPERLINK("#"&amp;ADDRESS(MATCH(A23,'Machining-Detailed'!$A$1:$A$4989,0),1,,,"Machining-Detailed"),VLOOKUP(A23,'Machining-Detailed'!A:C,3,FALSE))</f>
        <v>Thermoforming Center Bundle, Includes machine 15 hours curriculum and accessories</v>
      </c>
      <c r="C23" s="29"/>
      <c r="D23" s="29"/>
      <c r="E23" s="37">
        <f>'Machining-Detailed'!J244</f>
        <v>27495</v>
      </c>
      <c r="F23" s="38">
        <v>27595</v>
      </c>
      <c r="G23" s="11"/>
      <c r="K23" s="17" t="str">
        <f>HYPERLINK("#"&amp;ADDRESS(MATCH("LearnMate 7 Bundles",LearnMate7!$A$1:$A$5000,0),1,,,"LearnMate7"),"LMS")</f>
        <v>LMS</v>
      </c>
    </row>
    <row r="24" spans="1:13" ht="18" customHeight="1">
      <c r="A24" s="63" t="s">
        <v>403</v>
      </c>
      <c r="B24" s="63"/>
      <c r="C24" s="63" t="str">
        <f>IFERROR(HYPERLINK("#"&amp;ADDRESS(MATCH(A24&amp;"ES",'LM7 Non-ENG'!$A$1:$A$5000,0),1,,,"LM7 Non-ENG"),IF(IFERROR(VLOOKUP(A24&amp;"ES",'LM7 Non-ENG'!$A$1:$A$4999,1,FALSE),"ERROR")=A24&amp;"ES","Y","")),"")</f>
        <v/>
      </c>
      <c r="D24" s="63" t="str">
        <f>IFERROR(HYPERLINK("#"&amp;ADDRESS(MATCH(A24&amp;"PT",'LM7 Non-ENG'!$A$1:$A$5000,0),1,,,"LM7 Non-ENG"),IF(IFERROR(VLOOKUP(A24&amp;"PT",'LM7 Non-ENG'!$A$1:$A$5000,1,FALSE),"ERROR")=A24&amp;"PT","Y","")),"")</f>
        <v/>
      </c>
      <c r="E24" s="63"/>
      <c r="F24" s="63"/>
      <c r="G24" s="63"/>
      <c r="H24" s="63"/>
      <c r="I24" s="63"/>
      <c r="J24" s="63"/>
      <c r="K24" s="63"/>
      <c r="L24" s="63"/>
      <c r="M24" s="63"/>
    </row>
    <row r="25" spans="1:13" ht="18" customHeight="1">
      <c r="A25" t="s">
        <v>401</v>
      </c>
      <c r="B25" s="10" t="s">
        <v>402</v>
      </c>
      <c r="C25" s="29" t="str">
        <f>IFERROR(HYPERLINK("#"&amp;ADDRESS(MATCH(A25&amp;"ES",'LM7 Non-ENG'!$A$1:$A$5000,0),1,,,"LM7 Non-ENG"),IF(IFERROR(VLOOKUP(A25&amp;"ES",'LM7 Non-ENG'!$A$1:$A$4999,1,FALSE),"ERROR")=A25&amp;"ES","Y","")),"")</f>
        <v/>
      </c>
      <c r="D25" s="29" t="str">
        <f>IFERROR(HYPERLINK("#"&amp;ADDRESS(MATCH(A25&amp;"PT",'LM7 Non-ENG'!$A$1:$A$5000,0),1,,,"LM7 Non-ENG"),IF(IFERROR(VLOOKUP(A25&amp;"PT",'LM7 Non-ENG'!$A$1:$A$5000,1,FALSE),"ERROR")=A25&amp;"PT","Y","")),"")</f>
        <v/>
      </c>
      <c r="E25" s="3" t="str">
        <f>IFERROR(VLOOKUP(A25,PLInter!A:D,3,FALSE),"")</f>
        <v/>
      </c>
      <c r="F25" s="38">
        <v>500</v>
      </c>
    </row>
    <row r="26" spans="1:13" ht="18" customHeight="1">
      <c r="A26" s="63" t="s">
        <v>449</v>
      </c>
      <c r="B26" s="63"/>
      <c r="C26" s="63"/>
      <c r="D26" s="63"/>
      <c r="E26" s="63"/>
      <c r="F26" s="63"/>
      <c r="G26" s="63"/>
      <c r="H26" s="63"/>
      <c r="I26" s="63"/>
      <c r="J26" s="63"/>
      <c r="K26" s="63"/>
      <c r="L26" s="63"/>
      <c r="M26" s="63"/>
    </row>
    <row r="27" spans="1:13" ht="18" customHeight="1">
      <c r="A27" t="s">
        <v>450</v>
      </c>
      <c r="B27" s="10" t="s">
        <v>458</v>
      </c>
      <c r="C27" s="29" t="str">
        <f>IFERROR(HYPERLINK("#"&amp;ADDRESS(MATCH(A27&amp;"ES",'LM7 Non-ENG'!$A$1:$A$5000,0),1,,,"LM7 Non-ENG"),IF(IFERROR(VLOOKUP(A27&amp;"ES",'LM7 Non-ENG'!$A$1:$A$4999,1,FALSE),"ERROR")=A27&amp;"ES","Y","")),"")</f>
        <v/>
      </c>
      <c r="D27" s="29" t="str">
        <f>IFERROR(HYPERLINK("#"&amp;ADDRESS(MATCH(A27&amp;"PT",'LM7 Non-ENG'!$A$1:$A$5000,0),1,,,"LM7 Non-ENG"),IF(IFERROR(VLOOKUP(A27&amp;"PT",'LM7 Non-ENG'!$A$1:$A$5000,1,FALSE),"ERROR")=A27&amp;"PT","Y","")),"")</f>
        <v/>
      </c>
      <c r="E27" s="3">
        <f>IFERROR(VLOOKUP(A27,PLInter!A:D,3,FALSE),"")</f>
        <v>14934</v>
      </c>
      <c r="F27" s="38">
        <v>14934</v>
      </c>
      <c r="H27" s="15" t="str">
        <f>HYPERLINK("#"&amp;ADDRESS(MATCH("4' Vise",$B$1:$B$5002,0),1,,,),"Vise")</f>
        <v>Vise</v>
      </c>
      <c r="K27" t="s">
        <v>459</v>
      </c>
    </row>
    <row r="28" spans="1:13" ht="18" customHeight="1">
      <c r="A28" t="s">
        <v>451</v>
      </c>
      <c r="B28" s="10" t="s">
        <v>460</v>
      </c>
      <c r="C28" s="29" t="str">
        <f>IFERROR(HYPERLINK("#"&amp;ADDRESS(MATCH(A28&amp;"ES",'LM7 Non-ENG'!$A$1:$A$5000,0),1,,,"LM7 Non-ENG"),IF(IFERROR(VLOOKUP(A28&amp;"ES",'LM7 Non-ENG'!$A$1:$A$4999,1,FALSE),"ERROR")=A28&amp;"ES","Y","")),"")</f>
        <v/>
      </c>
      <c r="D28" s="29" t="str">
        <f>IFERROR(HYPERLINK("#"&amp;ADDRESS(MATCH(A28&amp;"PT",'LM7 Non-ENG'!$A$1:$A$5000,0),1,,,"LM7 Non-ENG"),IF(IFERROR(VLOOKUP(A28&amp;"PT",'LM7 Non-ENG'!$A$1:$A$5000,1,FALSE),"ERROR")=A28&amp;"PT","Y","")),"")</f>
        <v/>
      </c>
      <c r="E28" s="3">
        <f>IFERROR(VLOOKUP(A28,PLInter!A:D,3,FALSE),"")</f>
        <v>14934</v>
      </c>
      <c r="F28" s="38">
        <v>14934</v>
      </c>
      <c r="H28" s="15" t="str">
        <f>HYPERLINK("#"&amp;ADDRESS(MATCH("4' Vise",$B$1:$B$5002,0),1,,,),"Vise")</f>
        <v>Vise</v>
      </c>
      <c r="K28" t="s">
        <v>461</v>
      </c>
    </row>
    <row r="29" spans="1:13" ht="18" customHeight="1">
      <c r="A29" t="s">
        <v>452</v>
      </c>
      <c r="B29" s="10" t="s">
        <v>462</v>
      </c>
      <c r="C29" s="29" t="str">
        <f>IFERROR(HYPERLINK("#"&amp;ADDRESS(MATCH(A29&amp;"ES",'LM7 Non-ENG'!$A$1:$A$5000,0),1,,,"LM7 Non-ENG"),IF(IFERROR(VLOOKUP(A29&amp;"ES",'LM7 Non-ENG'!$A$1:$A$4999,1,FALSE),"ERROR")=A29&amp;"ES","Y","")),"")</f>
        <v/>
      </c>
      <c r="D29" s="29" t="str">
        <f>IFERROR(HYPERLINK("#"&amp;ADDRESS(MATCH(A29&amp;"PT",'LM7 Non-ENG'!$A$1:$A$5000,0),1,,,"LM7 Non-ENG"),IF(IFERROR(VLOOKUP(A29&amp;"PT",'LM7 Non-ENG'!$A$1:$A$5000,1,FALSE),"ERROR")=A29&amp;"PT","Y","")),"")</f>
        <v/>
      </c>
      <c r="E29" s="3">
        <f>IFERROR(VLOOKUP(A29,PLInter!A:D,3,FALSE),"")</f>
        <v>14934</v>
      </c>
      <c r="F29" s="38">
        <v>14934</v>
      </c>
    </row>
    <row r="30" spans="1:13" ht="18" customHeight="1">
      <c r="A30" t="s">
        <v>453</v>
      </c>
      <c r="B30" s="10" t="s">
        <v>463</v>
      </c>
      <c r="C30" s="29" t="str">
        <f>IFERROR(HYPERLINK("#"&amp;ADDRESS(MATCH(A30&amp;"ES",'LM7 Non-ENG'!$A$1:$A$5000,0),1,,,"LM7 Non-ENG"),IF(IFERROR(VLOOKUP(A30&amp;"ES",'LM7 Non-ENG'!$A$1:$A$4999,1,FALSE),"ERROR")=A30&amp;"ES","Y","")),"")</f>
        <v/>
      </c>
      <c r="D30" s="29" t="str">
        <f>IFERROR(HYPERLINK("#"&amp;ADDRESS(MATCH(A30&amp;"PT",'LM7 Non-ENG'!$A$1:$A$5000,0),1,,,"LM7 Non-ENG"),IF(IFERROR(VLOOKUP(A30&amp;"PT",'LM7 Non-ENG'!$A$1:$A$5000,1,FALSE),"ERROR")=A30&amp;"PT","Y","")),"")</f>
        <v/>
      </c>
      <c r="E30" s="3">
        <f>IFERROR(VLOOKUP(A30,PLInter!A:D,3,FALSE),"")</f>
        <v>14934</v>
      </c>
      <c r="F30" s="38">
        <v>14934</v>
      </c>
    </row>
    <row r="31" spans="1:13" ht="18" customHeight="1">
      <c r="A31" t="s">
        <v>454</v>
      </c>
      <c r="B31" s="10" t="s">
        <v>464</v>
      </c>
      <c r="C31" s="29" t="str">
        <f>IFERROR(HYPERLINK("#"&amp;ADDRESS(MATCH(A31&amp;"ES",'LM7 Non-ENG'!$A$1:$A$5000,0),1,,,"LM7 Non-ENG"),IF(IFERROR(VLOOKUP(A31&amp;"ES",'LM7 Non-ENG'!$A$1:$A$4999,1,FALSE),"ERROR")=A31&amp;"ES","Y","")),"")</f>
        <v/>
      </c>
      <c r="D31" s="29" t="str">
        <f>IFERROR(HYPERLINK("#"&amp;ADDRESS(MATCH(A31&amp;"PT",'LM7 Non-ENG'!$A$1:$A$5000,0),1,,,"LM7 Non-ENG"),IF(IFERROR(VLOOKUP(A31&amp;"PT",'LM7 Non-ENG'!$A$1:$A$5000,1,FALSE),"ERROR")=A31&amp;"PT","Y","")),"")</f>
        <v/>
      </c>
      <c r="E31" s="3">
        <f>IFERROR(VLOOKUP(A31,PLInter!A:D,3,FALSE),"")</f>
        <v>26667</v>
      </c>
      <c r="F31" s="38">
        <v>26667</v>
      </c>
      <c r="H31" s="15" t="str">
        <f>HYPERLINK("#"&amp;ADDRESS(MATCH("4' Vise",$B$1:$B$5002,0),1,,,),"Vise")</f>
        <v>Vise</v>
      </c>
      <c r="K31" t="s">
        <v>459</v>
      </c>
    </row>
    <row r="32" spans="1:13" ht="18" customHeight="1">
      <c r="A32" t="s">
        <v>455</v>
      </c>
      <c r="B32" s="10" t="s">
        <v>464</v>
      </c>
      <c r="C32" s="29" t="str">
        <f>IFERROR(HYPERLINK("#"&amp;ADDRESS(MATCH(A32&amp;"ES",'LM7 Non-ENG'!$A$1:$A$5000,0),1,,,"LM7 Non-ENG"),IF(IFERROR(VLOOKUP(A32&amp;"ES",'LM7 Non-ENG'!$A$1:$A$4999,1,FALSE),"ERROR")=A32&amp;"ES","Y","")),"")</f>
        <v/>
      </c>
      <c r="D32" s="29" t="str">
        <f>IFERROR(HYPERLINK("#"&amp;ADDRESS(MATCH(A32&amp;"PT",'LM7 Non-ENG'!$A$1:$A$5000,0),1,,,"LM7 Non-ENG"),IF(IFERROR(VLOOKUP(A32&amp;"PT",'LM7 Non-ENG'!$A$1:$A$5000,1,FALSE),"ERROR")=A32&amp;"PT","Y","")),"")</f>
        <v/>
      </c>
      <c r="E32" s="3">
        <f>IFERROR(VLOOKUP(A32,PLInter!A:D,3,FALSE),"")</f>
        <v>26667</v>
      </c>
      <c r="F32" s="38">
        <v>26667</v>
      </c>
      <c r="H32" s="15" t="str">
        <f>HYPERLINK("#"&amp;ADDRESS(MATCH("4' Vise",$B$1:$B$5002,0),1,,,),"Vise")</f>
        <v>Vise</v>
      </c>
      <c r="K32" t="s">
        <v>461</v>
      </c>
    </row>
    <row r="33" spans="1:13" ht="18" customHeight="1">
      <c r="A33" t="s">
        <v>456</v>
      </c>
      <c r="B33" s="10" t="s">
        <v>465</v>
      </c>
      <c r="C33" s="29" t="str">
        <f>IFERROR(HYPERLINK("#"&amp;ADDRESS(MATCH(A33&amp;"ES",'LM7 Non-ENG'!$A$1:$A$5000,0),1,,,"LM7 Non-ENG"),IF(IFERROR(VLOOKUP(A33&amp;"ES",'LM7 Non-ENG'!$A$1:$A$4999,1,FALSE),"ERROR")=A33&amp;"ES","Y","")),"")</f>
        <v/>
      </c>
      <c r="D33" s="29" t="str">
        <f>IFERROR(HYPERLINK("#"&amp;ADDRESS(MATCH(A33&amp;"PT",'LM7 Non-ENG'!$A$1:$A$5000,0),1,,,"LM7 Non-ENG"),IF(IFERROR(VLOOKUP(A33&amp;"PT",'LM7 Non-ENG'!$A$1:$A$5000,1,FALSE),"ERROR")=A33&amp;"PT","Y","")),"")</f>
        <v/>
      </c>
      <c r="E33" s="3">
        <f>IFERROR(VLOOKUP(A33,PLInter!A:D,3,FALSE),"")</f>
        <v>20994</v>
      </c>
      <c r="F33" s="38">
        <v>20994</v>
      </c>
    </row>
    <row r="34" spans="1:13" ht="18" customHeight="1">
      <c r="A34" t="s">
        <v>457</v>
      </c>
      <c r="B34" s="10" t="s">
        <v>466</v>
      </c>
      <c r="C34" s="29" t="str">
        <f>IFERROR(HYPERLINK("#"&amp;ADDRESS(MATCH(A34&amp;"ES",'LM7 Non-ENG'!$A$1:$A$5000,0),1,,,"LM7 Non-ENG"),IF(IFERROR(VLOOKUP(A34&amp;"ES",'LM7 Non-ENG'!$A$1:$A$4999,1,FALSE),"ERROR")=A34&amp;"ES","Y","")),"")</f>
        <v/>
      </c>
      <c r="D34" s="29" t="str">
        <f>IFERROR(HYPERLINK("#"&amp;ADDRESS(MATCH(A34&amp;"PT",'LM7 Non-ENG'!$A$1:$A$5000,0),1,,,"LM7 Non-ENG"),IF(IFERROR(VLOOKUP(A34&amp;"PT",'LM7 Non-ENG'!$A$1:$A$5000,1,FALSE),"ERROR")=A34&amp;"PT","Y","")),"")</f>
        <v/>
      </c>
      <c r="E34" s="3">
        <f>IFERROR(VLOOKUP(A34,PLInter!A:D,3,FALSE),"")</f>
        <v>20994</v>
      </c>
      <c r="F34" s="38">
        <v>20994</v>
      </c>
    </row>
    <row r="35" spans="1:13" ht="18" customHeight="1">
      <c r="A35" s="63" t="s">
        <v>467</v>
      </c>
      <c r="B35" s="63"/>
      <c r="C35" s="63"/>
      <c r="D35" s="63"/>
      <c r="E35" s="63"/>
      <c r="F35" s="63"/>
      <c r="G35" s="63"/>
      <c r="H35" s="63"/>
      <c r="I35" s="63"/>
      <c r="J35" s="63"/>
      <c r="K35" s="63"/>
      <c r="L35" s="63"/>
      <c r="M35" s="63"/>
    </row>
    <row r="36" spans="1:13" ht="18" customHeight="1">
      <c r="A36" t="s">
        <v>468</v>
      </c>
      <c r="B36" s="10" t="s">
        <v>500</v>
      </c>
      <c r="C36" s="29" t="str">
        <f>IFERROR(HYPERLINK("#"&amp;ADDRESS(MATCH(A36&amp;"ES",'LM7 Non-ENG'!$A$1:$A$5000,0),1,,,"LM7 Non-ENG"),IF(IFERROR(VLOOKUP(A36&amp;"ES",'LM7 Non-ENG'!$A$1:$A$4999,1,FALSE),"ERROR")=A36&amp;"ES","Y","")),"")</f>
        <v/>
      </c>
      <c r="D36" s="29" t="str">
        <f>IFERROR(HYPERLINK("#"&amp;ADDRESS(MATCH(A36&amp;"PT",'LM7 Non-ENG'!$A$1:$A$5000,0),1,,,"LM7 Non-ENG"),IF(IFERROR(VLOOKUP(A36&amp;"PT",'LM7 Non-ENG'!$A$1:$A$5000,1,FALSE),"ERROR")=A36&amp;"PT","Y","")),"")</f>
        <v/>
      </c>
      <c r="E36" s="3">
        <f>IFERROR(VLOOKUP(A36,PLInter!A:D,3,FALSE),"")</f>
        <v>206</v>
      </c>
      <c r="F36" s="38">
        <v>206</v>
      </c>
    </row>
    <row r="37" spans="1:13" ht="18" customHeight="1">
      <c r="A37" t="s">
        <v>469</v>
      </c>
      <c r="B37" s="10" t="str">
        <f>"- 100mm vice with angle adjustment"</f>
        <v>- 100mm vice with angle adjustment</v>
      </c>
      <c r="C37" s="29" t="str">
        <f>IFERROR(HYPERLINK("#"&amp;ADDRESS(MATCH(A37&amp;"ES",'LM7 Non-ENG'!$A$1:$A$5000,0),1,,,"LM7 Non-ENG"),IF(IFERROR(VLOOKUP(A37&amp;"ES",'LM7 Non-ENG'!$A$1:$A$4999,1,FALSE),"ERROR")=A37&amp;"ES","Y","")),"")</f>
        <v/>
      </c>
      <c r="D37" s="29" t="str">
        <f>IFERROR(HYPERLINK("#"&amp;ADDRESS(MATCH(A37&amp;"PT",'LM7 Non-ENG'!$A$1:$A$5000,0),1,,,"LM7 Non-ENG"),IF(IFERROR(VLOOKUP(A37&amp;"PT",'LM7 Non-ENG'!$A$1:$A$5000,1,FALSE),"ERROR")=A37&amp;"PT","Y","")),"")</f>
        <v/>
      </c>
      <c r="E37" s="3">
        <f>IFERROR(VLOOKUP(A37,PLInter!A:D,3,FALSE),"")</f>
        <v>298</v>
      </c>
      <c r="F37" s="38">
        <v>298</v>
      </c>
    </row>
    <row r="38" spans="1:13" ht="18" customHeight="1">
      <c r="A38" t="s">
        <v>470</v>
      </c>
      <c r="B38" s="10" t="str">
        <f>"ER16 Collet set - 2 x (3,6,8,10mm)"</f>
        <v>ER16 Collet set - 2 x (3,6,8,10mm)</v>
      </c>
      <c r="C38" s="29" t="str">
        <f>IFERROR(HYPERLINK("#"&amp;ADDRESS(MATCH(A38&amp;"ES",'LM7 Non-ENG'!$A$1:$A$5000,0),1,,,"LM7 Non-ENG"),IF(IFERROR(VLOOKUP(A38&amp;"ES",'LM7 Non-ENG'!$A$1:$A$4999,1,FALSE),"ERROR")=A38&amp;"ES","Y","")),"")</f>
        <v/>
      </c>
      <c r="D38" s="29" t="str">
        <f>IFERROR(HYPERLINK("#"&amp;ADDRESS(MATCH(A38&amp;"PT",'LM7 Non-ENG'!$A$1:$A$5000,0),1,,,"LM7 Non-ENG"),IF(IFERROR(VLOOKUP(A38&amp;"PT",'LM7 Non-ENG'!$A$1:$A$5000,1,FALSE),"ERROR")=A38&amp;"PT","Y","")),"")</f>
        <v/>
      </c>
      <c r="E38" s="3">
        <f>IFERROR(VLOOKUP(A38,PLInter!A:D,3,FALSE),"")</f>
        <v>207</v>
      </c>
      <c r="F38" s="38">
        <v>207</v>
      </c>
    </row>
    <row r="39" spans="1:13" ht="18" customHeight="1">
      <c r="A39" t="s">
        <v>471</v>
      </c>
      <c r="B39" s="10" t="str">
        <f>"ER16 Collet set-8 pieces(3,4,5,6,7,8,9 and 10mm)"</f>
        <v>ER16 Collet set-8 pieces(3,4,5,6,7,8,9 and 10mm)</v>
      </c>
      <c r="C39" s="29" t="str">
        <f>IFERROR(HYPERLINK("#"&amp;ADDRESS(MATCH(A39&amp;"ES",'LM7 Non-ENG'!$A$1:$A$5000,0),1,,,"LM7 Non-ENG"),IF(IFERROR(VLOOKUP(A39&amp;"ES",'LM7 Non-ENG'!$A$1:$A$4999,1,FALSE),"ERROR")=A39&amp;"ES","Y","")),"")</f>
        <v/>
      </c>
      <c r="D39" s="29" t="str">
        <f>IFERROR(HYPERLINK("#"&amp;ADDRESS(MATCH(A39&amp;"PT",'LM7 Non-ENG'!$A$1:$A$5000,0),1,,,"LM7 Non-ENG"),IF(IFERROR(VLOOKUP(A39&amp;"PT",'LM7 Non-ENG'!$A$1:$A$5000,1,FALSE),"ERROR")=A39&amp;"PT","Y","")),"")</f>
        <v/>
      </c>
      <c r="E39" s="3">
        <f>IFERROR(VLOOKUP(A39,PLInter!A:D,3,FALSE),"")</f>
        <v>226</v>
      </c>
      <c r="F39" s="38">
        <v>226</v>
      </c>
    </row>
    <row r="40" spans="1:13" ht="18" customHeight="1">
      <c r="A40" t="s">
        <v>472</v>
      </c>
      <c r="B40" s="10" t="str">
        <f>"Imperial Advanced End Mill Package 5120"</f>
        <v>Imperial Advanced End Mill Package 5120</v>
      </c>
      <c r="C40" s="29" t="str">
        <f>IFERROR(HYPERLINK("#"&amp;ADDRESS(MATCH(A40&amp;"ES",'LM7 Non-ENG'!$A$1:$A$5000,0),1,,,"LM7 Non-ENG"),IF(IFERROR(VLOOKUP(A40&amp;"ES",'LM7 Non-ENG'!$A$1:$A$4999,1,FALSE),"ERROR")=A40&amp;"ES","Y","")),"")</f>
        <v/>
      </c>
      <c r="D40" s="29" t="str">
        <f>IFERROR(HYPERLINK("#"&amp;ADDRESS(MATCH(A40&amp;"PT",'LM7 Non-ENG'!$A$1:$A$5000,0),1,,,"LM7 Non-ENG"),IF(IFERROR(VLOOKUP(A40&amp;"PT",'LM7 Non-ENG'!$A$1:$A$5000,1,FALSE),"ERROR")=A40&amp;"PT","Y","")),"")</f>
        <v/>
      </c>
      <c r="E40" s="3">
        <f>IFERROR(VLOOKUP(A40,PLInter!A:D,3,FALSE),"")</f>
        <v>200</v>
      </c>
      <c r="F40" s="38">
        <v>200</v>
      </c>
    </row>
    <row r="41" spans="1:13" ht="18" customHeight="1">
      <c r="A41" t="s">
        <v>473</v>
      </c>
      <c r="B41" s="10" t="str">
        <f>"Metric End Mill Package(2X 3,6,8,10End,4,6 Ball)"</f>
        <v>Metric End Mill Package(2X 3,6,8,10End,4,6 Ball)</v>
      </c>
      <c r="C41" s="29" t="str">
        <f>IFERROR(HYPERLINK("#"&amp;ADDRESS(MATCH(A41&amp;"ES",'LM7 Non-ENG'!$A$1:$A$5000,0),1,,,"LM7 Non-ENG"),IF(IFERROR(VLOOKUP(A41&amp;"ES",'LM7 Non-ENG'!$A$1:$A$4999,1,FALSE),"ERROR")=A41&amp;"ES","Y","")),"")</f>
        <v/>
      </c>
      <c r="D41" s="29" t="str">
        <f>IFERROR(HYPERLINK("#"&amp;ADDRESS(MATCH(A41&amp;"PT",'LM7 Non-ENG'!$A$1:$A$5000,0),1,,,"LM7 Non-ENG"),IF(IFERROR(VLOOKUP(A41&amp;"PT",'LM7 Non-ENG'!$A$1:$A$5000,1,FALSE),"ERROR")=A41&amp;"PT","Y","")),"")</f>
        <v/>
      </c>
      <c r="E41" s="3">
        <f>IFERROR(VLOOKUP(A41,PLInter!A:D,3,FALSE),"")</f>
        <v>200</v>
      </c>
      <c r="F41" s="38">
        <v>200</v>
      </c>
    </row>
    <row r="42" spans="1:13" ht="18" customHeight="1">
      <c r="A42" t="s">
        <v>474</v>
      </c>
      <c r="B42" s="10" t="str">
        <f>"clamping kit 58 pcs set"</f>
        <v>clamping kit 58 pcs set</v>
      </c>
      <c r="C42" s="29" t="str">
        <f>IFERROR(HYPERLINK("#"&amp;ADDRESS(MATCH(A42&amp;"ES",'LM7 Non-ENG'!$A$1:$A$5000,0),1,,,"LM7 Non-ENG"),IF(IFERROR(VLOOKUP(A42&amp;"ES",'LM7 Non-ENG'!$A$1:$A$4999,1,FALSE),"ERROR")=A42&amp;"ES","Y","")),"")</f>
        <v/>
      </c>
      <c r="D42" s="29" t="str">
        <f>IFERROR(HYPERLINK("#"&amp;ADDRESS(MATCH(A42&amp;"PT",'LM7 Non-ENG'!$A$1:$A$5000,0),1,,,"LM7 Non-ENG"),IF(IFERROR(VLOOKUP(A42&amp;"PT",'LM7 Non-ENG'!$A$1:$A$5000,1,FALSE),"ERROR")=A42&amp;"PT","Y","")),"")</f>
        <v/>
      </c>
      <c r="E42" s="3">
        <f>IFERROR(VLOOKUP(A42,PLInter!A:D,3,FALSE),"")</f>
        <v>175</v>
      </c>
      <c r="F42" s="38">
        <v>175</v>
      </c>
    </row>
    <row r="43" spans="1:13" ht="18" customHeight="1">
      <c r="A43" t="s">
        <v>475</v>
      </c>
      <c r="B43" s="10" t="str">
        <f>"ISO 20 tool holder"</f>
        <v>ISO 20 tool holder</v>
      </c>
      <c r="C43" s="29" t="str">
        <f>IFERROR(HYPERLINK("#"&amp;ADDRESS(MATCH(A43&amp;"ES",'LM7 Non-ENG'!$A$1:$A$5000,0),1,,,"LM7 Non-ENG"),IF(IFERROR(VLOOKUP(A43&amp;"ES",'LM7 Non-ENG'!$A$1:$A$4999,1,FALSE),"ERROR")=A43&amp;"ES","Y","")),"")</f>
        <v/>
      </c>
      <c r="D43" s="29" t="str">
        <f>IFERROR(HYPERLINK("#"&amp;ADDRESS(MATCH(A43&amp;"PT",'LM7 Non-ENG'!$A$1:$A$5000,0),1,,,"LM7 Non-ENG"),IF(IFERROR(VLOOKUP(A43&amp;"PT",'LM7 Non-ENG'!$A$1:$A$5000,1,FALSE),"ERROR")=A43&amp;"PT","Y","")),"")</f>
        <v/>
      </c>
      <c r="E43" s="3">
        <f>IFERROR(VLOOKUP(A43,PLInter!A:D,3,FALSE),"")</f>
        <v>360</v>
      </c>
      <c r="F43" s="38">
        <v>360</v>
      </c>
    </row>
    <row r="44" spans="1:13" ht="18" customHeight="1">
      <c r="A44" t="s">
        <v>476</v>
      </c>
      <c r="B44" s="10" t="str">
        <f>"- Imperial 4 tool ISO 20 tool holder package"</f>
        <v>- Imperial 4 tool ISO 20 tool holder package</v>
      </c>
      <c r="C44" s="29" t="str">
        <f>IFERROR(HYPERLINK("#"&amp;ADDRESS(MATCH(A44&amp;"ES",'LM7 Non-ENG'!$A$1:$A$5000,0),1,,,"LM7 Non-ENG"),IF(IFERROR(VLOOKUP(A44&amp;"ES",'LM7 Non-ENG'!$A$1:$A$4999,1,FALSE),"ERROR")=A44&amp;"ES","Y","")),"")</f>
        <v/>
      </c>
      <c r="D44" s="29" t="str">
        <f>IFERROR(HYPERLINK("#"&amp;ADDRESS(MATCH(A44&amp;"PT",'LM7 Non-ENG'!$A$1:$A$5000,0),1,,,"LM7 Non-ENG"),IF(IFERROR(VLOOKUP(A44&amp;"PT",'LM7 Non-ENG'!$A$1:$A$5000,1,FALSE),"ERROR")=A44&amp;"PT","Y","")),"")</f>
        <v/>
      </c>
      <c r="E44" s="3">
        <f>IFERROR(VLOOKUP(A44,PLInter!A:D,3,FALSE),"")</f>
        <v>1657</v>
      </c>
      <c r="F44" s="38">
        <v>1657</v>
      </c>
    </row>
    <row r="45" spans="1:13" ht="18" customHeight="1">
      <c r="A45" t="s">
        <v>477</v>
      </c>
      <c r="B45" s="10" t="str">
        <f>"- Table mounted ATC package"</f>
        <v>- Table mounted ATC package</v>
      </c>
      <c r="C45" s="29" t="str">
        <f>IFERROR(HYPERLINK("#"&amp;ADDRESS(MATCH(A45&amp;"ES",'LM7 Non-ENG'!$A$1:$A$5000,0),1,,,"LM7 Non-ENG"),IF(IFERROR(VLOOKUP(A45&amp;"ES",'LM7 Non-ENG'!$A$1:$A$4999,1,FALSE),"ERROR")=A45&amp;"ES","Y","")),"")</f>
        <v/>
      </c>
      <c r="D45" s="29" t="str">
        <f>IFERROR(HYPERLINK("#"&amp;ADDRESS(MATCH(A45&amp;"PT",'LM7 Non-ENG'!$A$1:$A$5000,0),1,,,"LM7 Non-ENG"),IF(IFERROR(VLOOKUP(A45&amp;"PT",'LM7 Non-ENG'!$A$1:$A$5000,1,FALSE),"ERROR")=A45&amp;"PT","Y","")),"")</f>
        <v/>
      </c>
      <c r="E45" s="3">
        <f>IFERROR(VLOOKUP(A45,PLInter!A:D,3,FALSE),"")</f>
        <v>2188</v>
      </c>
      <c r="F45" s="38">
        <v>2188</v>
      </c>
    </row>
    <row r="46" spans="1:13" ht="18" customHeight="1">
      <c r="A46" t="s">
        <v>478</v>
      </c>
      <c r="B46" s="10" t="str">
        <f>"- Handwheel - Manual Control"</f>
        <v>- Handwheel - Manual Control</v>
      </c>
      <c r="C46" s="29" t="str">
        <f>IFERROR(HYPERLINK("#"&amp;ADDRESS(MATCH(A46&amp;"ES",'LM7 Non-ENG'!$A$1:$A$5000,0),1,,,"LM7 Non-ENG"),IF(IFERROR(VLOOKUP(A46&amp;"ES",'LM7 Non-ENG'!$A$1:$A$4999,1,FALSE),"ERROR")=A46&amp;"ES","Y","")),"")</f>
        <v/>
      </c>
      <c r="D46" s="29" t="str">
        <f>IFERROR(HYPERLINK("#"&amp;ADDRESS(MATCH(A46&amp;"PT",'LM7 Non-ENG'!$A$1:$A$5000,0),1,,,"LM7 Non-ENG"),IF(IFERROR(VLOOKUP(A46&amp;"PT",'LM7 Non-ENG'!$A$1:$A$5000,1,FALSE),"ERROR")=A46&amp;"PT","Y","")),"")</f>
        <v/>
      </c>
      <c r="E46" s="3">
        <f>IFERROR(VLOOKUP(A46,PLInter!A:D,3,FALSE),"")</f>
        <v>795</v>
      </c>
      <c r="F46" s="38">
        <v>795</v>
      </c>
    </row>
    <row r="47" spans="1:13" ht="18" customHeight="1">
      <c r="A47" t="s">
        <v>479</v>
      </c>
      <c r="B47" s="10" t="str">
        <f>"- Coolant system 27L - 110V"</f>
        <v>- Coolant system 27L - 110V</v>
      </c>
      <c r="C47" s="29" t="str">
        <f>IFERROR(HYPERLINK("#"&amp;ADDRESS(MATCH(A47&amp;"ES",'LM7 Non-ENG'!$A$1:$A$5000,0),1,,,"LM7 Non-ENG"),IF(IFERROR(VLOOKUP(A47&amp;"ES",'LM7 Non-ENG'!$A$1:$A$4999,1,FALSE),"ERROR")=A47&amp;"ES","Y","")),"")</f>
        <v/>
      </c>
      <c r="D47" s="29" t="str">
        <f>IFERROR(HYPERLINK("#"&amp;ADDRESS(MATCH(A47&amp;"PT",'LM7 Non-ENG'!$A$1:$A$5000,0),1,,,"LM7 Non-ENG"),IF(IFERROR(VLOOKUP(A47&amp;"PT",'LM7 Non-ENG'!$A$1:$A$5000,1,FALSE),"ERROR")=A47&amp;"PT","Y","")),"")</f>
        <v/>
      </c>
      <c r="E47" s="3">
        <f>IFERROR(VLOOKUP(A47,PLInter!A:D,3,FALSE),"")</f>
        <v>407</v>
      </c>
      <c r="F47" s="38">
        <v>407</v>
      </c>
    </row>
    <row r="48" spans="1:13" ht="18" customHeight="1">
      <c r="A48" t="s">
        <v>480</v>
      </c>
      <c r="B48" s="10" t="str">
        <f>"- Coolant system 27L -220V"</f>
        <v>- Coolant system 27L -220V</v>
      </c>
      <c r="C48" s="29" t="str">
        <f>IFERROR(HYPERLINK("#"&amp;ADDRESS(MATCH(A48&amp;"ES",'LM7 Non-ENG'!$A$1:$A$5000,0),1,,,"LM7 Non-ENG"),IF(IFERROR(VLOOKUP(A48&amp;"ES",'LM7 Non-ENG'!$A$1:$A$4999,1,FALSE),"ERROR")=A48&amp;"ES","Y","")),"")</f>
        <v/>
      </c>
      <c r="D48" s="29" t="str">
        <f>IFERROR(HYPERLINK("#"&amp;ADDRESS(MATCH(A48&amp;"PT",'LM7 Non-ENG'!$A$1:$A$5000,0),1,,,"LM7 Non-ENG"),IF(IFERROR(VLOOKUP(A48&amp;"PT",'LM7 Non-ENG'!$A$1:$A$5000,1,FALSE),"ERROR")=A48&amp;"PT","Y","")),"")</f>
        <v/>
      </c>
      <c r="E48" s="3">
        <f>IFERROR(VLOOKUP(A48,PLInter!A:D,3,FALSE),"")</f>
        <v>407</v>
      </c>
      <c r="F48" s="38">
        <v>407</v>
      </c>
    </row>
    <row r="49" spans="1:11" ht="18" customHeight="1">
      <c r="A49" t="s">
        <v>481</v>
      </c>
      <c r="B49" s="10" t="str">
        <f>"- 4th Axis rotary worktable with tailstock"</f>
        <v>- 4th Axis rotary worktable with tailstock</v>
      </c>
      <c r="C49" s="29" t="str">
        <f>IFERROR(HYPERLINK("#"&amp;ADDRESS(MATCH(A49&amp;"ES",'LM7 Non-ENG'!$A$1:$A$5000,0),1,,,"LM7 Non-ENG"),IF(IFERROR(VLOOKUP(A49&amp;"ES",'LM7 Non-ENG'!$A$1:$A$4999,1,FALSE),"ERROR")=A49&amp;"ES","Y","")),"")</f>
        <v/>
      </c>
      <c r="D49" s="29" t="str">
        <f>IFERROR(HYPERLINK("#"&amp;ADDRESS(MATCH(A49&amp;"PT",'LM7 Non-ENG'!$A$1:$A$5000,0),1,,,"LM7 Non-ENG"),IF(IFERROR(VLOOKUP(A49&amp;"PT",'LM7 Non-ENG'!$A$1:$A$5000,1,FALSE),"ERROR")=A49&amp;"PT","Y","")),"")</f>
        <v/>
      </c>
      <c r="E49" s="3" t="str">
        <f>IFERROR(VLOOKUP(A49,PLInter!A:D,3,FALSE),"")</f>
        <v/>
      </c>
      <c r="F49" s="38">
        <v>2125.3333333333335</v>
      </c>
      <c r="K49" s="15" t="str">
        <f>HYPERLINK("#"&amp;ADDRESS(MATCH("- 80mm 3-jaw chuck",$B$1:$B$5002,0),1,,,),"Chuck")</f>
        <v>Chuck</v>
      </c>
    </row>
    <row r="50" spans="1:11" ht="18" customHeight="1">
      <c r="A50" t="s">
        <v>482</v>
      </c>
      <c r="B50" s="10" t="str">
        <f>"- 80mm 3-jaw chuck"</f>
        <v>- 80mm 3-jaw chuck</v>
      </c>
      <c r="C50" s="29" t="str">
        <f>IFERROR(HYPERLINK("#"&amp;ADDRESS(MATCH(A50&amp;"ES",'LM7 Non-ENG'!$A$1:$A$5000,0),1,,,"LM7 Non-ENG"),IF(IFERROR(VLOOKUP(A50&amp;"ES",'LM7 Non-ENG'!$A$1:$A$4999,1,FALSE),"ERROR")=A50&amp;"ES","Y","")),"")</f>
        <v/>
      </c>
      <c r="D50" s="29" t="str">
        <f>IFERROR(HYPERLINK("#"&amp;ADDRESS(MATCH(A50&amp;"PT",'LM7 Non-ENG'!$A$1:$A$5000,0),1,,,"LM7 Non-ENG"),IF(IFERROR(VLOOKUP(A50&amp;"PT",'LM7 Non-ENG'!$A$1:$A$5000,1,FALSE),"ERROR")=A50&amp;"PT","Y","")),"")</f>
        <v/>
      </c>
      <c r="E50" s="3">
        <f>IFERROR(VLOOKUP(A50,PLInter!A:D,3,FALSE),"")</f>
        <v>186</v>
      </c>
      <c r="F50" s="38">
        <v>186</v>
      </c>
    </row>
    <row r="51" spans="1:11" ht="18" customHeight="1">
      <c r="A51" t="s">
        <v>483</v>
      </c>
      <c r="B51" s="10" t="str">
        <f>"- Imperial Engraving Package 5710"</f>
        <v>- Imperial Engraving Package 5710</v>
      </c>
      <c r="C51" s="29" t="str">
        <f>IFERROR(HYPERLINK("#"&amp;ADDRESS(MATCH(A51&amp;"ES",'LM7 Non-ENG'!$A$1:$A$5000,0),1,,,"LM7 Non-ENG"),IF(IFERROR(VLOOKUP(A51&amp;"ES",'LM7 Non-ENG'!$A$1:$A$4999,1,FALSE),"ERROR")=A51&amp;"ES","Y","")),"")</f>
        <v/>
      </c>
      <c r="D51" s="29" t="str">
        <f>IFERROR(HYPERLINK("#"&amp;ADDRESS(MATCH(A51&amp;"PT",'LM7 Non-ENG'!$A$1:$A$5000,0),1,,,"LM7 Non-ENG"),IF(IFERROR(VLOOKUP(A51&amp;"PT",'LM7 Non-ENG'!$A$1:$A$5000,1,FALSE),"ERROR")=A51&amp;"PT","Y","")),"")</f>
        <v/>
      </c>
      <c r="E51" s="3">
        <f>IFERROR(VLOOKUP(A51,PLInter!A:D,3,FALSE),"")</f>
        <v>157</v>
      </c>
      <c r="F51" s="38">
        <v>157</v>
      </c>
    </row>
    <row r="52" spans="1:11" ht="18" customHeight="1">
      <c r="A52" t="s">
        <v>484</v>
      </c>
      <c r="B52" s="10" t="str">
        <f>"- Metric Engraving Package (1,1.5,2 mm End mill)"</f>
        <v>- Metric Engraving Package (1,1.5,2 mm End mill)</v>
      </c>
      <c r="C52" s="29" t="str">
        <f>IFERROR(HYPERLINK("#"&amp;ADDRESS(MATCH(A52&amp;"ES",'LM7 Non-ENG'!$A$1:$A$5000,0),1,,,"LM7 Non-ENG"),IF(IFERROR(VLOOKUP(A52&amp;"ES",'LM7 Non-ENG'!$A$1:$A$4999,1,FALSE),"ERROR")=A52&amp;"ES","Y","")),"")</f>
        <v/>
      </c>
      <c r="D52" s="29" t="str">
        <f>IFERROR(HYPERLINK("#"&amp;ADDRESS(MATCH(A52&amp;"PT",'LM7 Non-ENG'!$A$1:$A$5000,0),1,,,"LM7 Non-ENG"),IF(IFERROR(VLOOKUP(A52&amp;"PT",'LM7 Non-ENG'!$A$1:$A$5000,1,FALSE),"ERROR")=A52&amp;"PT","Y","")),"")</f>
        <v/>
      </c>
      <c r="E52" s="3">
        <f>IFERROR(VLOOKUP(A52,PLInter!A:D,3,FALSE),"")</f>
        <v>157</v>
      </c>
      <c r="F52" s="38">
        <v>157</v>
      </c>
    </row>
    <row r="53" spans="1:11" ht="18" customHeight="1">
      <c r="A53" t="s">
        <v>485</v>
      </c>
      <c r="B53" s="10" t="str">
        <f>"- 6mm engraving tool set"</f>
        <v>- 6mm engraving tool set</v>
      </c>
      <c r="C53" s="29" t="str">
        <f>IFERROR(HYPERLINK("#"&amp;ADDRESS(MATCH(A53&amp;"ES",'LM7 Non-ENG'!$A$1:$A$5000,0),1,,,"LM7 Non-ENG"),IF(IFERROR(VLOOKUP(A53&amp;"ES",'LM7 Non-ENG'!$A$1:$A$4999,1,FALSE),"ERROR")=A53&amp;"ES","Y","")),"")</f>
        <v/>
      </c>
      <c r="D53" s="29" t="str">
        <f>IFERROR(HYPERLINK("#"&amp;ADDRESS(MATCH(A53&amp;"PT",'LM7 Non-ENG'!$A$1:$A$5000,0),1,,,"LM7 Non-ENG"),IF(IFERROR(VLOOKUP(A53&amp;"PT",'LM7 Non-ENG'!$A$1:$A$5000,1,FALSE),"ERROR")=A53&amp;"PT","Y","")),"")</f>
        <v/>
      </c>
      <c r="E53" s="3">
        <f>IFERROR(VLOOKUP(A53,PLInter!A:D,3,FALSE),"")</f>
        <v>200</v>
      </c>
      <c r="F53" s="38">
        <v>200</v>
      </c>
    </row>
    <row r="54" spans="1:11" ht="18" customHeight="1">
      <c r="A54" t="s">
        <v>486</v>
      </c>
      <c r="B54" s="10" t="str">
        <f>"Computer and monitor attachment"</f>
        <v>Computer and monitor attachment</v>
      </c>
      <c r="C54" s="29" t="str">
        <f>IFERROR(HYPERLINK("#"&amp;ADDRESS(MATCH(A54&amp;"ES",'LM7 Non-ENG'!$A$1:$A$5000,0),1,,,"LM7 Non-ENG"),IF(IFERROR(VLOOKUP(A54&amp;"ES",'LM7 Non-ENG'!$A$1:$A$4999,1,FALSE),"ERROR")=A54&amp;"ES","Y","")),"")</f>
        <v/>
      </c>
      <c r="D54" s="29" t="str">
        <f>IFERROR(HYPERLINK("#"&amp;ADDRESS(MATCH(A54&amp;"PT",'LM7 Non-ENG'!$A$1:$A$5000,0),1,,,"LM7 Non-ENG"),IF(IFERROR(VLOOKUP(A54&amp;"PT",'LM7 Non-ENG'!$A$1:$A$5000,1,FALSE),"ERROR")=A54&amp;"PT","Y","")),"")</f>
        <v/>
      </c>
      <c r="E54" s="3">
        <f>IFERROR(VLOOKUP(A54,PLInter!A:D,3,FALSE),"")</f>
        <v>313</v>
      </c>
      <c r="F54" s="38">
        <v>313</v>
      </c>
    </row>
    <row r="55" spans="1:11" ht="18" customHeight="1">
      <c r="A55" t="s">
        <v>487</v>
      </c>
      <c r="B55" s="10" t="str">
        <f>"- 80mm 4 independent jaw chuck"</f>
        <v>- 80mm 4 independent jaw chuck</v>
      </c>
      <c r="C55" s="29" t="str">
        <f>IFERROR(HYPERLINK("#"&amp;ADDRESS(MATCH(A55&amp;"ES",'LM7 Non-ENG'!$A$1:$A$5000,0),1,,,"LM7 Non-ENG"),IF(IFERROR(VLOOKUP(A55&amp;"ES",'LM7 Non-ENG'!$A$1:$A$4999,1,FALSE),"ERROR")=A55&amp;"ES","Y","")),"")</f>
        <v/>
      </c>
      <c r="D55" s="29" t="str">
        <f>IFERROR(HYPERLINK("#"&amp;ADDRESS(MATCH(A55&amp;"PT",'LM7 Non-ENG'!$A$1:$A$5000,0),1,,,"LM7 Non-ENG"),IF(IFERROR(VLOOKUP(A55&amp;"PT",'LM7 Non-ENG'!$A$1:$A$5000,1,FALSE),"ERROR")=A55&amp;"PT","Y","")),"")</f>
        <v/>
      </c>
      <c r="E55" s="3">
        <f>IFERROR(VLOOKUP(A55,PLInter!A:D,3,FALSE),"")</f>
        <v>200</v>
      </c>
      <c r="F55" s="38">
        <v>200</v>
      </c>
    </row>
    <row r="56" spans="1:11" ht="18" customHeight="1">
      <c r="A56" t="s">
        <v>488</v>
      </c>
      <c r="B56" s="10" t="str">
        <f>"- 4 Tool  ATC (Table Mounted)"</f>
        <v>- 4 Tool  ATC (Table Mounted)</v>
      </c>
      <c r="C56" s="29" t="str">
        <f>IFERROR(HYPERLINK("#"&amp;ADDRESS(MATCH(A56&amp;"ES",'LM7 Non-ENG'!$A$1:$A$5000,0),1,,,"LM7 Non-ENG"),IF(IFERROR(VLOOKUP(A56&amp;"ES",'LM7 Non-ENG'!$A$1:$A$4999,1,FALSE),"ERROR")=A56&amp;"ES","Y","")),"")</f>
        <v/>
      </c>
      <c r="D56" s="29" t="str">
        <f>IFERROR(HYPERLINK("#"&amp;ADDRESS(MATCH(A56&amp;"PT",'LM7 Non-ENG'!$A$1:$A$5000,0),1,,,"LM7 Non-ENG"),IF(IFERROR(VLOOKUP(A56&amp;"PT",'LM7 Non-ENG'!$A$1:$A$5000,1,FALSE),"ERROR")=A56&amp;"PT","Y","")),"")</f>
        <v/>
      </c>
      <c r="E56" s="3">
        <f>IFERROR(VLOOKUP(A56,PLInter!A:D,3,FALSE),"")</f>
        <v>534</v>
      </c>
      <c r="F56" s="38">
        <v>534</v>
      </c>
    </row>
    <row r="57" spans="1:11" ht="18" customHeight="1">
      <c r="A57" t="s">
        <v>489</v>
      </c>
      <c r="B57" s="10" t="str">
        <f>"- ER16 Collet - 10mm"</f>
        <v>- ER16 Collet - 10mm</v>
      </c>
      <c r="C57" s="29" t="str">
        <f>IFERROR(HYPERLINK("#"&amp;ADDRESS(MATCH(A57&amp;"ES",'LM7 Non-ENG'!$A$1:$A$5000,0),1,,,"LM7 Non-ENG"),IF(IFERROR(VLOOKUP(A57&amp;"ES",'LM7 Non-ENG'!$A$1:$A$4999,1,FALSE),"ERROR")=A57&amp;"ES","Y","")),"")</f>
        <v/>
      </c>
      <c r="D57" s="29" t="str">
        <f>IFERROR(HYPERLINK("#"&amp;ADDRESS(MATCH(A57&amp;"PT",'LM7 Non-ENG'!$A$1:$A$5000,0),1,,,"LM7 Non-ENG"),IF(IFERROR(VLOOKUP(A57&amp;"PT",'LM7 Non-ENG'!$A$1:$A$5000,1,FALSE),"ERROR")=A57&amp;"PT","Y","")),"")</f>
        <v/>
      </c>
      <c r="E57" s="3">
        <f>IFERROR(VLOOKUP(A57,PLInter!A:D,3,FALSE),"")</f>
        <v>35</v>
      </c>
      <c r="F57" s="38">
        <v>35</v>
      </c>
    </row>
    <row r="58" spans="1:11" ht="18" customHeight="1">
      <c r="A58" t="s">
        <v>490</v>
      </c>
      <c r="B58" s="10" t="str">
        <f>"- ER16 Collet - 4mm"</f>
        <v>- ER16 Collet - 4mm</v>
      </c>
      <c r="C58" s="29" t="str">
        <f>IFERROR(HYPERLINK("#"&amp;ADDRESS(MATCH(A58&amp;"ES",'LM7 Non-ENG'!$A$1:$A$5000,0),1,,,"LM7 Non-ENG"),IF(IFERROR(VLOOKUP(A58&amp;"ES",'LM7 Non-ENG'!$A$1:$A$4999,1,FALSE),"ERROR")=A58&amp;"ES","Y","")),"")</f>
        <v/>
      </c>
      <c r="D58" s="29" t="str">
        <f>IFERROR(HYPERLINK("#"&amp;ADDRESS(MATCH(A58&amp;"PT",'LM7 Non-ENG'!$A$1:$A$5000,0),1,,,"LM7 Non-ENG"),IF(IFERROR(VLOOKUP(A58&amp;"PT",'LM7 Non-ENG'!$A$1:$A$5000,1,FALSE),"ERROR")=A58&amp;"PT","Y","")),"")</f>
        <v/>
      </c>
      <c r="E58" s="3">
        <f>IFERROR(VLOOKUP(A58,PLInter!A:D,3,FALSE),"")</f>
        <v>35</v>
      </c>
      <c r="F58" s="38">
        <v>35</v>
      </c>
    </row>
    <row r="59" spans="1:11" ht="18" customHeight="1">
      <c r="A59" t="s">
        <v>491</v>
      </c>
      <c r="B59" s="10" t="str">
        <f>"- ER16 Collet - 7mm"</f>
        <v>- ER16 Collet - 7mm</v>
      </c>
      <c r="C59" s="29" t="str">
        <f>IFERROR(HYPERLINK("#"&amp;ADDRESS(MATCH(A59&amp;"ES",'LM7 Non-ENG'!$A$1:$A$5000,0),1,,,"LM7 Non-ENG"),IF(IFERROR(VLOOKUP(A59&amp;"ES",'LM7 Non-ENG'!$A$1:$A$4999,1,FALSE),"ERROR")=A59&amp;"ES","Y","")),"")</f>
        <v/>
      </c>
      <c r="D59" s="29" t="str">
        <f>IFERROR(HYPERLINK("#"&amp;ADDRESS(MATCH(A59&amp;"PT",'LM7 Non-ENG'!$A$1:$A$5000,0),1,,,"LM7 Non-ENG"),IF(IFERROR(VLOOKUP(A59&amp;"PT",'LM7 Non-ENG'!$A$1:$A$5000,1,FALSE),"ERROR")=A59&amp;"PT","Y","")),"")</f>
        <v/>
      </c>
      <c r="E59" s="3">
        <f>IFERROR(VLOOKUP(A59,PLInter!A:D,3,FALSE),"")</f>
        <v>35</v>
      </c>
      <c r="F59" s="38">
        <v>35</v>
      </c>
    </row>
    <row r="60" spans="1:11" ht="18" customHeight="1">
      <c r="A60" t="s">
        <v>492</v>
      </c>
      <c r="B60" s="10" t="str">
        <f>"Basic Compressor &amp; Conditioning System"</f>
        <v>Basic Compressor &amp; Conditioning System</v>
      </c>
      <c r="C60" s="29" t="str">
        <f>IFERROR(HYPERLINK("#"&amp;ADDRESS(MATCH(A60&amp;"ES",'LM7 Non-ENG'!$A$1:$A$5000,0),1,,,"LM7 Non-ENG"),IF(IFERROR(VLOOKUP(A60&amp;"ES",'LM7 Non-ENG'!$A$1:$A$4999,1,FALSE),"ERROR")=A60&amp;"ES","Y","")),"")</f>
        <v/>
      </c>
      <c r="D60" s="29" t="str">
        <f>IFERROR(HYPERLINK("#"&amp;ADDRESS(MATCH(A60&amp;"PT",'LM7 Non-ENG'!$A$1:$A$5000,0),1,,,"LM7 Non-ENG"),IF(IFERROR(VLOOKUP(A60&amp;"PT",'LM7 Non-ENG'!$A$1:$A$5000,1,FALSE),"ERROR")=A60&amp;"PT","Y","")),"")</f>
        <v/>
      </c>
      <c r="E60" s="3">
        <f>IFERROR(VLOOKUP(A60,PLInter!A:D,3,FALSE),"")</f>
        <v>938</v>
      </c>
      <c r="F60" s="38">
        <v>938</v>
      </c>
    </row>
    <row r="61" spans="1:11" ht="18" customHeight="1">
      <c r="A61" t="s">
        <v>493</v>
      </c>
      <c r="B61" s="10" t="str">
        <f>"Industrial Compressor &amp; Conditioning System"</f>
        <v>Industrial Compressor &amp; Conditioning System</v>
      </c>
      <c r="C61" s="29" t="str">
        <f>IFERROR(HYPERLINK("#"&amp;ADDRESS(MATCH(A61&amp;"ES",'LM7 Non-ENG'!$A$1:$A$5000,0),1,,,"LM7 Non-ENG"),IF(IFERROR(VLOOKUP(A61&amp;"ES",'LM7 Non-ENG'!$A$1:$A$4999,1,FALSE),"ERROR")=A61&amp;"ES","Y","")),"")</f>
        <v/>
      </c>
      <c r="D61" s="29" t="str">
        <f>IFERROR(HYPERLINK("#"&amp;ADDRESS(MATCH(A61&amp;"PT",'LM7 Non-ENG'!$A$1:$A$5000,0),1,,,"LM7 Non-ENG"),IF(IFERROR(VLOOKUP(A61&amp;"PT",'LM7 Non-ENG'!$A$1:$A$5000,1,FALSE),"ERROR")=A61&amp;"PT","Y","")),"")</f>
        <v/>
      </c>
      <c r="E61" s="3">
        <f>IFERROR(VLOOKUP(A61,PLInter!A:D,3,FALSE),"")</f>
        <v>3125</v>
      </c>
      <c r="F61" s="38">
        <v>3125</v>
      </c>
    </row>
    <row r="62" spans="1:11" ht="18" customHeight="1">
      <c r="A62" t="s">
        <v>494</v>
      </c>
      <c r="B62" s="10" t="str">
        <f>"- Imperial Standard End Mill Package 5530"</f>
        <v>- Imperial Standard End Mill Package 5530</v>
      </c>
      <c r="C62" s="29" t="str">
        <f>IFERROR(HYPERLINK("#"&amp;ADDRESS(MATCH(A62&amp;"ES",'LM7 Non-ENG'!$A$1:$A$5000,0),1,,,"LM7 Non-ENG"),IF(IFERROR(VLOOKUP(A62&amp;"ES",'LM7 Non-ENG'!$A$1:$A$4999,1,FALSE),"ERROR")=A62&amp;"ES","Y","")),"")</f>
        <v/>
      </c>
      <c r="D62" s="29" t="str">
        <f>IFERROR(HYPERLINK("#"&amp;ADDRESS(MATCH(A62&amp;"PT",'LM7 Non-ENG'!$A$1:$A$5000,0),1,,,"LM7 Non-ENG"),IF(IFERROR(VLOOKUP(A62&amp;"PT",'LM7 Non-ENG'!$A$1:$A$5000,1,FALSE),"ERROR")=A62&amp;"PT","Y","")),"")</f>
        <v/>
      </c>
      <c r="E62" s="3">
        <f>IFERROR(VLOOKUP(A62,PLInter!A:D,3,FALSE),"")</f>
        <v>50</v>
      </c>
      <c r="F62" s="38">
        <v>50</v>
      </c>
    </row>
    <row r="63" spans="1:11" ht="18" customHeight="1">
      <c r="A63" t="s">
        <v>495</v>
      </c>
      <c r="B63" s="10" t="str">
        <f>"- Metric End Mill Package(2,3,6 mm End mill)"</f>
        <v>- Metric End Mill Package(2,3,6 mm End mill)</v>
      </c>
      <c r="C63" s="29" t="str">
        <f>IFERROR(HYPERLINK("#"&amp;ADDRESS(MATCH(A63&amp;"ES",'LM7 Non-ENG'!$A$1:$A$5000,0),1,,,"LM7 Non-ENG"),IF(IFERROR(VLOOKUP(A63&amp;"ES",'LM7 Non-ENG'!$A$1:$A$4999,1,FALSE),"ERROR")=A63&amp;"ES","Y","")),"")</f>
        <v/>
      </c>
      <c r="D63" s="29" t="str">
        <f>IFERROR(HYPERLINK("#"&amp;ADDRESS(MATCH(A63&amp;"PT",'LM7 Non-ENG'!$A$1:$A$5000,0),1,,,"LM7 Non-ENG"),IF(IFERROR(VLOOKUP(A63&amp;"PT",'LM7 Non-ENG'!$A$1:$A$5000,1,FALSE),"ERROR")=A63&amp;"PT","Y","")),"")</f>
        <v/>
      </c>
      <c r="E63" s="3">
        <f>IFERROR(VLOOKUP(A63,PLInter!A:D,3,FALSE),"")</f>
        <v>50</v>
      </c>
      <c r="F63" s="38">
        <v>50</v>
      </c>
    </row>
    <row r="64" spans="1:11" ht="18" customHeight="1">
      <c r="A64" t="s">
        <v>496</v>
      </c>
      <c r="B64" s="10" t="str">
        <f>"Machinist Kit - BenchMill and ProMill"</f>
        <v>Machinist Kit - BenchMill and ProMill</v>
      </c>
      <c r="C64" s="29" t="str">
        <f>IFERROR(HYPERLINK("#"&amp;ADDRESS(MATCH(A64&amp;"ES",'LM7 Non-ENG'!$A$1:$A$5000,0),1,,,"LM7 Non-ENG"),IF(IFERROR(VLOOKUP(A64&amp;"ES",'LM7 Non-ENG'!$A$1:$A$4999,1,FALSE),"ERROR")=A64&amp;"ES","Y","")),"")</f>
        <v/>
      </c>
      <c r="D64" s="29" t="str">
        <f>IFERROR(HYPERLINK("#"&amp;ADDRESS(MATCH(A64&amp;"PT",'LM7 Non-ENG'!$A$1:$A$5000,0),1,,,"LM7 Non-ENG"),IF(IFERROR(VLOOKUP(A64&amp;"PT",'LM7 Non-ENG'!$A$1:$A$5000,1,FALSE),"ERROR")=A64&amp;"PT","Y","")),"")</f>
        <v/>
      </c>
      <c r="E64" s="3">
        <f>IFERROR(VLOOKUP(A64,PLInter!A:D,3,FALSE),"")</f>
        <v>2125</v>
      </c>
      <c r="F64" s="38">
        <v>2125</v>
      </c>
    </row>
    <row r="65" spans="1:13" ht="18" customHeight="1">
      <c r="A65" t="s">
        <v>497</v>
      </c>
      <c r="B65" s="10" t="str">
        <f>"Mobile Workstation, 5ft, Cabinet Style"</f>
        <v>Mobile Workstation, 5ft, Cabinet Style</v>
      </c>
      <c r="C65" s="29" t="str">
        <f>IFERROR(HYPERLINK("#"&amp;ADDRESS(MATCH(A65&amp;"ES",'LM7 Non-ENG'!$A$1:$A$5000,0),1,,,"LM7 Non-ENG"),IF(IFERROR(VLOOKUP(A65&amp;"ES",'LM7 Non-ENG'!$A$1:$A$4999,1,FALSE),"ERROR")=A65&amp;"ES","Y","")),"")</f>
        <v/>
      </c>
      <c r="D65" s="29" t="str">
        <f>IFERROR(HYPERLINK("#"&amp;ADDRESS(MATCH(A65&amp;"PT",'LM7 Non-ENG'!$A$1:$A$5000,0),1,,,"LM7 Non-ENG"),IF(IFERROR(VLOOKUP(A65&amp;"PT",'LM7 Non-ENG'!$A$1:$A$5000,1,FALSE),"ERROR")=A65&amp;"PT","Y","")),"")</f>
        <v/>
      </c>
      <c r="E65" s="3">
        <f>IFERROR(VLOOKUP(A65,PLInter!A:D,3,FALSE),"")</f>
        <v>2400</v>
      </c>
      <c r="F65" s="38">
        <v>2400</v>
      </c>
    </row>
    <row r="66" spans="1:13" ht="18" customHeight="1">
      <c r="A66" t="s">
        <v>498</v>
      </c>
      <c r="B66" s="10" t="str">
        <f>"Mobile Workstation, 5ft, Desk Style"</f>
        <v>Mobile Workstation, 5ft, Desk Style</v>
      </c>
      <c r="C66" s="29" t="str">
        <f>IFERROR(HYPERLINK("#"&amp;ADDRESS(MATCH(A66&amp;"ES",'LM7 Non-ENG'!$A$1:$A$5000,0),1,,,"LM7 Non-ENG"),IF(IFERROR(VLOOKUP(A66&amp;"ES",'LM7 Non-ENG'!$A$1:$A$4999,1,FALSE),"ERROR")=A66&amp;"ES","Y","")),"")</f>
        <v/>
      </c>
      <c r="D66" s="29" t="str">
        <f>IFERROR(HYPERLINK("#"&amp;ADDRESS(MATCH(A66&amp;"PT",'LM7 Non-ENG'!$A$1:$A$5000,0),1,,,"LM7 Non-ENG"),IF(IFERROR(VLOOKUP(A66&amp;"PT",'LM7 Non-ENG'!$A$1:$A$5000,1,FALSE),"ERROR")=A66&amp;"PT","Y","")),"")</f>
        <v/>
      </c>
      <c r="E66" s="3">
        <f>IFERROR(VLOOKUP(A66,PLInter!A:D,3,FALSE),"")</f>
        <v>2400</v>
      </c>
      <c r="F66" s="38">
        <v>2400</v>
      </c>
    </row>
    <row r="67" spans="1:13" ht="18" customHeight="1">
      <c r="A67" t="s">
        <v>499</v>
      </c>
      <c r="B67" s="10" t="str">
        <f>"Mobile Workstation, 8ft, Desk Style, Wood Top"</f>
        <v>Mobile Workstation, 8ft, Desk Style, Wood Top</v>
      </c>
      <c r="C67" s="29" t="str">
        <f>IFERROR(HYPERLINK("#"&amp;ADDRESS(MATCH(A67&amp;"ES",'LM7 Non-ENG'!$A$1:$A$5000,0),1,,,"LM7 Non-ENG"),IF(IFERROR(VLOOKUP(A67&amp;"ES",'LM7 Non-ENG'!$A$1:$A$4999,1,FALSE),"ERROR")=A67&amp;"ES","Y","")),"")</f>
        <v/>
      </c>
      <c r="D67" s="29" t="str">
        <f>IFERROR(HYPERLINK("#"&amp;ADDRESS(MATCH(A67&amp;"PT",'LM7 Non-ENG'!$A$1:$A$5000,0),1,,,"LM7 Non-ENG"),IF(IFERROR(VLOOKUP(A67&amp;"PT",'LM7 Non-ENG'!$A$1:$A$5000,1,FALSE),"ERROR")=A67&amp;"PT","Y","")),"")</f>
        <v/>
      </c>
      <c r="E67" s="3">
        <f>IFERROR(VLOOKUP(A67,PLInter!A:D,3,FALSE),"")</f>
        <v>2700</v>
      </c>
      <c r="F67" s="38">
        <v>2700</v>
      </c>
    </row>
    <row r="68" spans="1:13" ht="18" customHeight="1">
      <c r="A68" s="63" t="s">
        <v>501</v>
      </c>
      <c r="B68" s="63"/>
      <c r="C68" s="63"/>
      <c r="D68" s="63"/>
      <c r="E68" s="63"/>
      <c r="F68" s="63"/>
      <c r="G68" s="63"/>
      <c r="H68" s="63"/>
      <c r="I68" s="63"/>
      <c r="J68" s="63"/>
      <c r="K68" s="63"/>
      <c r="L68" s="63"/>
      <c r="M68" s="63"/>
    </row>
    <row r="69" spans="1:13" ht="18" customHeight="1">
      <c r="A69" t="s">
        <v>502</v>
      </c>
      <c r="B69" s="10" t="str">
        <f>"- Rolling center"</f>
        <v>- Rolling center</v>
      </c>
      <c r="C69" s="29" t="str">
        <f>IFERROR(HYPERLINK("#"&amp;ADDRESS(MATCH(A69&amp;"ES",'LM7 Non-ENG'!$A$1:$A$5000,0),1,,,"LM7 Non-ENG"),IF(IFERROR(VLOOKUP(A69&amp;"ES",'LM7 Non-ENG'!$A$1:$A$4999,1,FALSE),"ERROR")=A69&amp;"ES","Y","")),"")</f>
        <v/>
      </c>
      <c r="D69" s="29" t="str">
        <f>IFERROR(HYPERLINK("#"&amp;ADDRESS(MATCH(A69&amp;"PT",'LM7 Non-ENG'!$A$1:$A$5000,0),1,,,"LM7 Non-ENG"),IF(IFERROR(VLOOKUP(A69&amp;"PT",'LM7 Non-ENG'!$A$1:$A$5000,1,FALSE),"ERROR")=A69&amp;"PT","Y","")),"")</f>
        <v/>
      </c>
      <c r="E69" s="3">
        <f>IFERROR(VLOOKUP(A69,PLInter!A:D,3,FALSE),"")</f>
        <v>87</v>
      </c>
      <c r="F69" s="38">
        <v>87</v>
      </c>
    </row>
    <row r="70" spans="1:13" ht="18" customHeight="1">
      <c r="A70" t="s">
        <v>503</v>
      </c>
      <c r="B70" s="10" t="str">
        <f>"Drill Chuck for Tailstock"</f>
        <v>Drill Chuck for Tailstock</v>
      </c>
      <c r="C70" s="29" t="str">
        <f>IFERROR(HYPERLINK("#"&amp;ADDRESS(MATCH(A70&amp;"ES",'LM7 Non-ENG'!$A$1:$A$5000,0),1,,,"LM7 Non-ENG"),IF(IFERROR(VLOOKUP(A70&amp;"ES",'LM7 Non-ENG'!$A$1:$A$4999,1,FALSE),"ERROR")=A70&amp;"ES","Y","")),"")</f>
        <v/>
      </c>
      <c r="D70" s="29" t="str">
        <f>IFERROR(HYPERLINK("#"&amp;ADDRESS(MATCH(A70&amp;"PT",'LM7 Non-ENG'!$A$1:$A$5000,0),1,,,"LM7 Non-ENG"),IF(IFERROR(VLOOKUP(A70&amp;"PT",'LM7 Non-ENG'!$A$1:$A$5000,1,FALSE),"ERROR")=A70&amp;"PT","Y","")),"")</f>
        <v/>
      </c>
      <c r="E70" s="3">
        <f>IFERROR(VLOOKUP(A70,PLInter!A:D,3,FALSE),"")</f>
        <v>74</v>
      </c>
      <c r="F70" s="38">
        <v>74</v>
      </c>
    </row>
    <row r="71" spans="1:13" ht="18" customHeight="1">
      <c r="A71" t="s">
        <v>504</v>
      </c>
      <c r="B71" s="10" t="str">
        <f>"10 x 10mm cutter tool holder"</f>
        <v>10 x 10mm cutter tool holder</v>
      </c>
      <c r="C71" s="29" t="str">
        <f>IFERROR(HYPERLINK("#"&amp;ADDRESS(MATCH(A71&amp;"ES",'LM7 Non-ENG'!$A$1:$A$5000,0),1,,,"LM7 Non-ENG"),IF(IFERROR(VLOOKUP(A71&amp;"ES",'LM7 Non-ENG'!$A$1:$A$4999,1,FALSE),"ERROR")=A71&amp;"ES","Y","")),"")</f>
        <v/>
      </c>
      <c r="D71" s="29" t="str">
        <f>IFERROR(HYPERLINK("#"&amp;ADDRESS(MATCH(A71&amp;"PT",'LM7 Non-ENG'!$A$1:$A$5000,0),1,,,"LM7 Non-ENG"),IF(IFERROR(VLOOKUP(A71&amp;"PT",'LM7 Non-ENG'!$A$1:$A$5000,1,FALSE),"ERROR")=A71&amp;"PT","Y","")),"")</f>
        <v/>
      </c>
      <c r="E71" s="3">
        <f>IFERROR(VLOOKUP(A71,PLInter!A:D,3,FALSE),"")</f>
        <v>227</v>
      </c>
      <c r="F71" s="38">
        <v>227</v>
      </c>
    </row>
    <row r="72" spans="1:13" ht="18" customHeight="1">
      <c r="A72" t="s">
        <v>505</v>
      </c>
      <c r="B72" s="10" t="str">
        <f>"TiN coated tip for 011101"</f>
        <v>TiN coated tip for 011101</v>
      </c>
      <c r="C72" s="29" t="str">
        <f>IFERROR(HYPERLINK("#"&amp;ADDRESS(MATCH(A72&amp;"ES",'LM7 Non-ENG'!$A$1:$A$5000,0),1,,,"LM7 Non-ENG"),IF(IFERROR(VLOOKUP(A72&amp;"ES",'LM7 Non-ENG'!$A$1:$A$4999,1,FALSE),"ERROR")=A72&amp;"ES","Y","")),"")</f>
        <v/>
      </c>
      <c r="D72" s="29" t="str">
        <f>IFERROR(HYPERLINK("#"&amp;ADDRESS(MATCH(A72&amp;"PT",'LM7 Non-ENG'!$A$1:$A$5000,0),1,,,"LM7 Non-ENG"),IF(IFERROR(VLOOKUP(A72&amp;"PT",'LM7 Non-ENG'!$A$1:$A$5000,1,FALSE),"ERROR")=A72&amp;"PT","Y","")),"")</f>
        <v/>
      </c>
      <c r="E72" s="3">
        <f>IFERROR(VLOOKUP(A72,PLInter!A:D,3,FALSE),"")</f>
        <v>200</v>
      </c>
      <c r="F72" s="38">
        <v>200</v>
      </c>
    </row>
    <row r="73" spans="1:13" ht="18" customHeight="1">
      <c r="A73" t="s">
        <v>506</v>
      </c>
      <c r="B73" s="10" t="str">
        <f>"- 100mm 4 independent jaw chuck"</f>
        <v>- 100mm 4 independent jaw chuck</v>
      </c>
      <c r="C73" s="29" t="str">
        <f>IFERROR(HYPERLINK("#"&amp;ADDRESS(MATCH(A73&amp;"ES",'LM7 Non-ENG'!$A$1:$A$5000,0),1,,,"LM7 Non-ENG"),IF(IFERROR(VLOOKUP(A73&amp;"ES",'LM7 Non-ENG'!$A$1:$A$4999,1,FALSE),"ERROR")=A73&amp;"ES","Y","")),"")</f>
        <v/>
      </c>
      <c r="D73" s="29" t="str">
        <f>IFERROR(HYPERLINK("#"&amp;ADDRESS(MATCH(A73&amp;"PT",'LM7 Non-ENG'!$A$1:$A$5000,0),1,,,"LM7 Non-ENG"),IF(IFERROR(VLOOKUP(A73&amp;"PT",'LM7 Non-ENG'!$A$1:$A$5000,1,FALSE),"ERROR")=A73&amp;"PT","Y","")),"")</f>
        <v/>
      </c>
      <c r="E73" s="3">
        <f>IFERROR(VLOOKUP(A73,PLInter!A:D,3,FALSE),"")</f>
        <v>231</v>
      </c>
      <c r="F73" s="38">
        <v>231</v>
      </c>
    </row>
    <row r="74" spans="1:13" ht="18" customHeight="1">
      <c r="A74" t="s">
        <v>478</v>
      </c>
      <c r="B74" s="10" t="str">
        <f>"- Handwheel - Manual Control"</f>
        <v>- Handwheel - Manual Control</v>
      </c>
      <c r="C74" s="29" t="str">
        <f>IFERROR(HYPERLINK("#"&amp;ADDRESS(MATCH(A74&amp;"ES",'LM7 Non-ENG'!$A$1:$A$5000,0),1,,,"LM7 Non-ENG"),IF(IFERROR(VLOOKUP(A74&amp;"ES",'LM7 Non-ENG'!$A$1:$A$4999,1,FALSE),"ERROR")=A74&amp;"ES","Y","")),"")</f>
        <v/>
      </c>
      <c r="D74" s="29" t="str">
        <f>IFERROR(HYPERLINK("#"&amp;ADDRESS(MATCH(A74&amp;"PT",'LM7 Non-ENG'!$A$1:$A$5000,0),1,,,"LM7 Non-ENG"),IF(IFERROR(VLOOKUP(A74&amp;"PT",'LM7 Non-ENG'!$A$1:$A$5000,1,FALSE),"ERROR")=A74&amp;"PT","Y","")),"")</f>
        <v/>
      </c>
      <c r="E74" s="3">
        <f>IFERROR(VLOOKUP(A74,PLInter!A:D,3,FALSE),"")</f>
        <v>795</v>
      </c>
      <c r="F74" s="38">
        <v>795</v>
      </c>
    </row>
    <row r="75" spans="1:13" ht="18" customHeight="1">
      <c r="A75" t="s">
        <v>479</v>
      </c>
      <c r="B75" s="10" t="str">
        <f>"- Coolant system 27L - 110V"</f>
        <v>- Coolant system 27L - 110V</v>
      </c>
      <c r="C75" s="29" t="str">
        <f>IFERROR(HYPERLINK("#"&amp;ADDRESS(MATCH(A75&amp;"ES",'LM7 Non-ENG'!$A$1:$A$5000,0),1,,,"LM7 Non-ENG"),IF(IFERROR(VLOOKUP(A75&amp;"ES",'LM7 Non-ENG'!$A$1:$A$4999,1,FALSE),"ERROR")=A75&amp;"ES","Y","")),"")</f>
        <v/>
      </c>
      <c r="D75" s="29" t="str">
        <f>IFERROR(HYPERLINK("#"&amp;ADDRESS(MATCH(A75&amp;"PT",'LM7 Non-ENG'!$A$1:$A$5000,0),1,,,"LM7 Non-ENG"),IF(IFERROR(VLOOKUP(A75&amp;"PT",'LM7 Non-ENG'!$A$1:$A$5000,1,FALSE),"ERROR")=A75&amp;"PT","Y","")),"")</f>
        <v/>
      </c>
      <c r="E75" s="3">
        <f>IFERROR(VLOOKUP(A75,PLInter!A:D,3,FALSE),"")</f>
        <v>407</v>
      </c>
      <c r="F75" s="38">
        <v>407</v>
      </c>
    </row>
    <row r="76" spans="1:13" ht="18" customHeight="1">
      <c r="A76" t="s">
        <v>480</v>
      </c>
      <c r="B76" s="10" t="str">
        <f>"- Coolant system 27L -220V"</f>
        <v>- Coolant system 27L -220V</v>
      </c>
      <c r="C76" s="29" t="str">
        <f>IFERROR(HYPERLINK("#"&amp;ADDRESS(MATCH(A76&amp;"ES",'LM7 Non-ENG'!$A$1:$A$5000,0),1,,,"LM7 Non-ENG"),IF(IFERROR(VLOOKUP(A76&amp;"ES",'LM7 Non-ENG'!$A$1:$A$4999,1,FALSE),"ERROR")=A76&amp;"ES","Y","")),"")</f>
        <v/>
      </c>
      <c r="D76" s="29" t="str">
        <f>IFERROR(HYPERLINK("#"&amp;ADDRESS(MATCH(A76&amp;"PT",'LM7 Non-ENG'!$A$1:$A$5000,0),1,,,"LM7 Non-ENG"),IF(IFERROR(VLOOKUP(A76&amp;"PT",'LM7 Non-ENG'!$A$1:$A$5000,1,FALSE),"ERROR")=A76&amp;"PT","Y","")),"")</f>
        <v/>
      </c>
      <c r="E76" s="3">
        <f>IFERROR(VLOOKUP(A76,PLInter!A:D,3,FALSE),"")</f>
        <v>407</v>
      </c>
      <c r="F76" s="38">
        <v>407</v>
      </c>
    </row>
    <row r="77" spans="1:13" ht="18" customHeight="1">
      <c r="A77" t="s">
        <v>507</v>
      </c>
      <c r="B77" s="10" t="str">
        <f>"- 125mm 4 independent jaw chuck"</f>
        <v>- 125mm 4 independent jaw chuck</v>
      </c>
      <c r="C77" s="29" t="str">
        <f>IFERROR(HYPERLINK("#"&amp;ADDRESS(MATCH(A77&amp;"ES",'LM7 Non-ENG'!$A$1:$A$5000,0),1,,,"LM7 Non-ENG"),IF(IFERROR(VLOOKUP(A77&amp;"ES",'LM7 Non-ENG'!$A$1:$A$4999,1,FALSE),"ERROR")=A77&amp;"ES","Y","")),"")</f>
        <v/>
      </c>
      <c r="D77" s="29" t="str">
        <f>IFERROR(HYPERLINK("#"&amp;ADDRESS(MATCH(A77&amp;"PT",'LM7 Non-ENG'!$A$1:$A$5000,0),1,,,"LM7 Non-ENG"),IF(IFERROR(VLOOKUP(A77&amp;"PT",'LM7 Non-ENG'!$A$1:$A$5000,1,FALSE),"ERROR")=A77&amp;"PT","Y","")),"")</f>
        <v/>
      </c>
      <c r="E77" s="3">
        <f>IFERROR(VLOOKUP(A77,PLInter!A:D,3,FALSE),"")</f>
        <v>244</v>
      </c>
      <c r="F77" s="38">
        <v>244</v>
      </c>
    </row>
    <row r="78" spans="1:13" ht="18" customHeight="1">
      <c r="A78" t="s">
        <v>492</v>
      </c>
      <c r="B78" s="10" t="str">
        <f>"Basic Compressor &amp; Conditioning System"</f>
        <v>Basic Compressor &amp; Conditioning System</v>
      </c>
      <c r="C78" s="29" t="str">
        <f>IFERROR(HYPERLINK("#"&amp;ADDRESS(MATCH(A78&amp;"ES",'LM7 Non-ENG'!$A$1:$A$5000,0),1,,,"LM7 Non-ENG"),IF(IFERROR(VLOOKUP(A78&amp;"ES",'LM7 Non-ENG'!$A$1:$A$4999,1,FALSE),"ERROR")=A78&amp;"ES","Y","")),"")</f>
        <v/>
      </c>
      <c r="D78" s="29" t="str">
        <f>IFERROR(HYPERLINK("#"&amp;ADDRESS(MATCH(A78&amp;"PT",'LM7 Non-ENG'!$A$1:$A$5000,0),1,,,"LM7 Non-ENG"),IF(IFERROR(VLOOKUP(A78&amp;"PT",'LM7 Non-ENG'!$A$1:$A$5000,1,FALSE),"ERROR")=A78&amp;"PT","Y","")),"")</f>
        <v/>
      </c>
      <c r="E78" s="3">
        <f>IFERROR(VLOOKUP(A78,PLInter!A:D,3,FALSE),"")</f>
        <v>938</v>
      </c>
      <c r="F78" s="38">
        <v>938</v>
      </c>
    </row>
    <row r="79" spans="1:13" ht="18" customHeight="1">
      <c r="A79" t="s">
        <v>493</v>
      </c>
      <c r="B79" s="10" t="str">
        <f>"Industrial Compressor &amp; Conditioning System"</f>
        <v>Industrial Compressor &amp; Conditioning System</v>
      </c>
      <c r="C79" s="29" t="str">
        <f>IFERROR(HYPERLINK("#"&amp;ADDRESS(MATCH(A79&amp;"ES",'LM7 Non-ENG'!$A$1:$A$5000,0),1,,,"LM7 Non-ENG"),IF(IFERROR(VLOOKUP(A79&amp;"ES",'LM7 Non-ENG'!$A$1:$A$4999,1,FALSE),"ERROR")=A79&amp;"ES","Y","")),"")</f>
        <v/>
      </c>
      <c r="D79" s="29" t="str">
        <f>IFERROR(HYPERLINK("#"&amp;ADDRESS(MATCH(A79&amp;"PT",'LM7 Non-ENG'!$A$1:$A$5000,0),1,,,"LM7 Non-ENG"),IF(IFERROR(VLOOKUP(A79&amp;"PT",'LM7 Non-ENG'!$A$1:$A$5000,1,FALSE),"ERROR")=A79&amp;"PT","Y","")),"")</f>
        <v/>
      </c>
      <c r="E79" s="3">
        <f>IFERROR(VLOOKUP(A79,PLInter!A:D,3,FALSE),"")</f>
        <v>3125</v>
      </c>
      <c r="F79" s="38">
        <v>3125</v>
      </c>
    </row>
    <row r="80" spans="1:13" ht="18" customHeight="1">
      <c r="A80" s="18" t="s">
        <v>508</v>
      </c>
      <c r="B80" s="10" t="s">
        <v>510</v>
      </c>
      <c r="C80" s="29" t="str">
        <f>IFERROR(HYPERLINK("#"&amp;ADDRESS(MATCH(A80&amp;"ES",'LM7 Non-ENG'!$A$1:$A$5000,0),1,,,"LM7 Non-ENG"),IF(IFERROR(VLOOKUP(A80&amp;"ES",'LM7 Non-ENG'!$A$1:$A$4999,1,FALSE),"ERROR")=A80&amp;"ES","Y","")),"")</f>
        <v/>
      </c>
      <c r="D80" s="29" t="str">
        <f>IFERROR(HYPERLINK("#"&amp;ADDRESS(MATCH(A80&amp;"PT",'LM7 Non-ENG'!$A$1:$A$5000,0),1,,,"LM7 Non-ENG"),IF(IFERROR(VLOOKUP(A80&amp;"PT",'LM7 Non-ENG'!$A$1:$A$5000,1,FALSE),"ERROR")=A80&amp;"PT","Y","")),"")</f>
        <v/>
      </c>
      <c r="E80" s="3">
        <f>IFERROR(VLOOKUP(A80,PLInter!A:D,3,FALSE),"")</f>
        <v>107</v>
      </c>
      <c r="F80" s="38">
        <v>107</v>
      </c>
    </row>
    <row r="81" spans="1:13" ht="18" customHeight="1">
      <c r="A81" s="18" t="s">
        <v>509</v>
      </c>
      <c r="B81" s="10" t="s">
        <v>511</v>
      </c>
      <c r="C81" s="29" t="str">
        <f>IFERROR(HYPERLINK("#"&amp;ADDRESS(MATCH(A81&amp;"ES",'LM7 Non-ENG'!$A$1:$A$5000,0),1,,,"LM7 Non-ENG"),IF(IFERROR(VLOOKUP(A81&amp;"ES",'LM7 Non-ENG'!$A$1:$A$4999,1,FALSE),"ERROR")=A81&amp;"ES","Y","")),"")</f>
        <v/>
      </c>
      <c r="D81" s="29" t="str">
        <f>IFERROR(HYPERLINK("#"&amp;ADDRESS(MATCH(A81&amp;"PT",'LM7 Non-ENG'!$A$1:$A$5000,0),1,,,"LM7 Non-ENG"),IF(IFERROR(VLOOKUP(A81&amp;"PT",'LM7 Non-ENG'!$A$1:$A$5000,1,FALSE),"ERROR")=A81&amp;"PT","Y","")),"")</f>
        <v/>
      </c>
      <c r="E81" s="3">
        <f>IFERROR(VLOOKUP(A81,PLInter!A:D,3,FALSE),"")</f>
        <v>134</v>
      </c>
      <c r="F81" s="38">
        <v>134</v>
      </c>
    </row>
    <row r="82" spans="1:13" ht="18" customHeight="1">
      <c r="A82" t="s">
        <v>486</v>
      </c>
      <c r="B82" s="10" t="str">
        <f>"Computer and monitor attachment"</f>
        <v>Computer and monitor attachment</v>
      </c>
      <c r="C82" s="29" t="str">
        <f>IFERROR(HYPERLINK("#"&amp;ADDRESS(MATCH(A82&amp;"ES",'LM7 Non-ENG'!$A$1:$A$5000,0),1,,,"LM7 Non-ENG"),IF(IFERROR(VLOOKUP(A82&amp;"ES",'LM7 Non-ENG'!$A$1:$A$4999,1,FALSE),"ERROR")=A82&amp;"ES","Y","")),"")</f>
        <v/>
      </c>
      <c r="D82" s="29" t="str">
        <f>IFERROR(HYPERLINK("#"&amp;ADDRESS(MATCH(A82&amp;"PT",'LM7 Non-ENG'!$A$1:$A$5000,0),1,,,"LM7 Non-ENG"),IF(IFERROR(VLOOKUP(A82&amp;"PT",'LM7 Non-ENG'!$A$1:$A$5000,1,FALSE),"ERROR")=A82&amp;"PT","Y","")),"")</f>
        <v/>
      </c>
      <c r="E82" s="3">
        <f>IFERROR(VLOOKUP(A82,PLInter!A:D,3,FALSE),"")</f>
        <v>313</v>
      </c>
      <c r="F82" s="38">
        <v>313</v>
      </c>
    </row>
    <row r="83" spans="1:13" ht="18" customHeight="1">
      <c r="A83" t="s">
        <v>497</v>
      </c>
      <c r="B83" s="10" t="str">
        <f>"Mobile Workstation, 5ft, Cabinet Style"</f>
        <v>Mobile Workstation, 5ft, Cabinet Style</v>
      </c>
      <c r="C83" s="29" t="str">
        <f>IFERROR(HYPERLINK("#"&amp;ADDRESS(MATCH(A83&amp;"ES",'LM7 Non-ENG'!$A$1:$A$5000,0),1,,,"LM7 Non-ENG"),IF(IFERROR(VLOOKUP(A83&amp;"ES",'LM7 Non-ENG'!$A$1:$A$4999,1,FALSE),"ERROR")=A83&amp;"ES","Y","")),"")</f>
        <v/>
      </c>
      <c r="D83" s="29" t="str">
        <f>IFERROR(HYPERLINK("#"&amp;ADDRESS(MATCH(A83&amp;"PT",'LM7 Non-ENG'!$A$1:$A$5000,0),1,,,"LM7 Non-ENG"),IF(IFERROR(VLOOKUP(A83&amp;"PT",'LM7 Non-ENG'!$A$1:$A$5000,1,FALSE),"ERROR")=A83&amp;"PT","Y","")),"")</f>
        <v/>
      </c>
      <c r="E83" s="3">
        <f>IFERROR(VLOOKUP(A83,PLInter!A:D,3,FALSE),"")</f>
        <v>2400</v>
      </c>
      <c r="F83" s="38">
        <v>2400</v>
      </c>
    </row>
    <row r="84" spans="1:13" ht="18" customHeight="1">
      <c r="A84" t="s">
        <v>498</v>
      </c>
      <c r="B84" s="10" t="str">
        <f>"Mobile Workstation, 5ft, Desk Style"</f>
        <v>Mobile Workstation, 5ft, Desk Style</v>
      </c>
      <c r="C84" s="29" t="str">
        <f>IFERROR(HYPERLINK("#"&amp;ADDRESS(MATCH(A84&amp;"ES",'LM7 Non-ENG'!$A$1:$A$5000,0),1,,,"LM7 Non-ENG"),IF(IFERROR(VLOOKUP(A84&amp;"ES",'LM7 Non-ENG'!$A$1:$A$4999,1,FALSE),"ERROR")=A84&amp;"ES","Y","")),"")</f>
        <v/>
      </c>
      <c r="D84" s="29" t="str">
        <f>IFERROR(HYPERLINK("#"&amp;ADDRESS(MATCH(A84&amp;"PT",'LM7 Non-ENG'!$A$1:$A$5000,0),1,,,"LM7 Non-ENG"),IF(IFERROR(VLOOKUP(A84&amp;"PT",'LM7 Non-ENG'!$A$1:$A$5000,1,FALSE),"ERROR")=A84&amp;"PT","Y","")),"")</f>
        <v/>
      </c>
      <c r="E84" s="3">
        <f>IFERROR(VLOOKUP(A84,PLInter!A:D,3,FALSE),"")</f>
        <v>2400</v>
      </c>
      <c r="F84" s="38">
        <v>2400</v>
      </c>
    </row>
    <row r="85" spans="1:13" ht="18" customHeight="1">
      <c r="A85" t="s">
        <v>499</v>
      </c>
      <c r="B85" s="10" t="str">
        <f>"Mobile Workstation, 8ft, Desk Style, Wood Top"</f>
        <v>Mobile Workstation, 8ft, Desk Style, Wood Top</v>
      </c>
      <c r="C85" s="29" t="str">
        <f>IFERROR(HYPERLINK("#"&amp;ADDRESS(MATCH(A85&amp;"ES",'LM7 Non-ENG'!$A$1:$A$5000,0),1,,,"LM7 Non-ENG"),IF(IFERROR(VLOOKUP(A85&amp;"ES",'LM7 Non-ENG'!$A$1:$A$4999,1,FALSE),"ERROR")=A85&amp;"ES","Y","")),"")</f>
        <v/>
      </c>
      <c r="D85" s="29" t="str">
        <f>IFERROR(HYPERLINK("#"&amp;ADDRESS(MATCH(A85&amp;"PT",'LM7 Non-ENG'!$A$1:$A$5000,0),1,,,"LM7 Non-ENG"),IF(IFERROR(VLOOKUP(A85&amp;"PT",'LM7 Non-ENG'!$A$1:$A$5000,1,FALSE),"ERROR")=A85&amp;"PT","Y","")),"")</f>
        <v/>
      </c>
      <c r="E85" s="3">
        <f>IFERROR(VLOOKUP(A85,PLInter!A:D,3,FALSE),"")</f>
        <v>2700</v>
      </c>
      <c r="F85" s="38">
        <v>2700</v>
      </c>
    </row>
    <row r="86" spans="1:13" ht="18" customHeight="1">
      <c r="A86" s="63" t="s">
        <v>512</v>
      </c>
      <c r="B86" s="63"/>
      <c r="C86" s="63"/>
      <c r="D86" s="63"/>
      <c r="E86" s="63"/>
      <c r="F86" s="63"/>
      <c r="G86" s="63"/>
      <c r="H86" s="63"/>
      <c r="I86" s="63"/>
      <c r="J86" s="63"/>
      <c r="K86" s="63"/>
      <c r="L86" s="63"/>
      <c r="M86" s="63"/>
    </row>
    <row r="87" spans="1:13" ht="18" customHeight="1">
      <c r="A87" t="s">
        <v>513</v>
      </c>
      <c r="B87" s="10" t="str">
        <f>"--Dual Axis Vise (for FMS)"</f>
        <v>--Dual Axis Vise (for FMS)</v>
      </c>
      <c r="C87" s="29" t="str">
        <f>IFERROR(HYPERLINK("#"&amp;ADDRESS(MATCH(A87&amp;"ES",'LM7 Non-ENG'!$A$1:$A$5000,0),1,,,"LM7 Non-ENG"),IF(IFERROR(VLOOKUP(A87&amp;"ES",'LM7 Non-ENG'!$A$1:$A$4999,1,FALSE),"ERROR")=A87&amp;"ES","Y","")),"")</f>
        <v/>
      </c>
      <c r="D87" s="29" t="str">
        <f>IFERROR(HYPERLINK("#"&amp;ADDRESS(MATCH(A87&amp;"PT",'LM7 Non-ENG'!$A$1:$A$5000,0),1,,,"LM7 Non-ENG"),IF(IFERROR(VLOOKUP(A87&amp;"PT",'LM7 Non-ENG'!$A$1:$A$5000,1,FALSE),"ERROR")=A87&amp;"PT","Y","")),"")</f>
        <v/>
      </c>
      <c r="E87" s="3">
        <f>IFERROR(VLOOKUP(A87,PLInter!A:D,3,FALSE),"")</f>
        <v>740</v>
      </c>
      <c r="F87" s="38">
        <v>740</v>
      </c>
    </row>
    <row r="88" spans="1:13" ht="18" customHeight="1">
      <c r="A88" t="s">
        <v>514</v>
      </c>
      <c r="B88" s="10" t="str">
        <f>"-- Single Axis Vise(for FMS)"</f>
        <v>-- Single Axis Vise(for FMS)</v>
      </c>
      <c r="C88" s="29" t="str">
        <f>IFERROR(HYPERLINK("#"&amp;ADDRESS(MATCH(A88&amp;"ES",'LM7 Non-ENG'!$A$1:$A$5000,0),1,,,"LM7 Non-ENG"),IF(IFERROR(VLOOKUP(A88&amp;"ES",'LM7 Non-ENG'!$A$1:$A$4999,1,FALSE),"ERROR")=A88&amp;"ES","Y","")),"")</f>
        <v/>
      </c>
      <c r="D88" s="29" t="str">
        <f>IFERROR(HYPERLINK("#"&amp;ADDRESS(MATCH(A88&amp;"PT",'LM7 Non-ENG'!$A$1:$A$5000,0),1,,,"LM7 Non-ENG"),IF(IFERROR(VLOOKUP(A88&amp;"PT",'LM7 Non-ENG'!$A$1:$A$5000,1,FALSE),"ERROR")=A88&amp;"PT","Y","")),"")</f>
        <v/>
      </c>
      <c r="E88" s="3">
        <f>IFERROR(VLOOKUP(A88,PLInter!A:D,3,FALSE),"")</f>
        <v>586</v>
      </c>
      <c r="F88" s="38">
        <v>586</v>
      </c>
    </row>
    <row r="89" spans="1:13" ht="18" customHeight="1">
      <c r="A89" t="s">
        <v>515</v>
      </c>
      <c r="B89" s="10" t="str">
        <f>"-- Pneumatic Chuck (BenchTurn 7000 for FMS)"</f>
        <v>-- Pneumatic Chuck (BenchTurn 7000 for FMS)</v>
      </c>
      <c r="C89" s="29" t="str">
        <f>IFERROR(HYPERLINK("#"&amp;ADDRESS(MATCH(A89&amp;"ES",'LM7 Non-ENG'!$A$1:$A$5000,0),1,,,"LM7 Non-ENG"),IF(IFERROR(VLOOKUP(A89&amp;"ES",'LM7 Non-ENG'!$A$1:$A$4999,1,FALSE),"ERROR")=A89&amp;"ES","Y","")),"")</f>
        <v/>
      </c>
      <c r="D89" s="29" t="str">
        <f>IFERROR(HYPERLINK("#"&amp;ADDRESS(MATCH(A89&amp;"PT",'LM7 Non-ENG'!$A$1:$A$5000,0),1,,,"LM7 Non-ENG"),IF(IFERROR(VLOOKUP(A89&amp;"PT",'LM7 Non-ENG'!$A$1:$A$5000,1,FALSE),"ERROR")=A89&amp;"PT","Y","")),"")</f>
        <v/>
      </c>
      <c r="E89" s="3">
        <f>IFERROR(VLOOKUP(A89,PLInter!A:D,3,FALSE),"")</f>
        <v>1895</v>
      </c>
      <c r="F89" s="38">
        <v>1895</v>
      </c>
    </row>
    <row r="90" spans="1:13" ht="18" customHeight="1">
      <c r="A90" t="s">
        <v>516</v>
      </c>
      <c r="B90" s="10" t="str">
        <f>"-- Pneumatic Chuck (ProTurn 9000 for FMS)"</f>
        <v>-- Pneumatic Chuck (ProTurn 9000 for FMS)</v>
      </c>
      <c r="C90" s="29" t="str">
        <f>IFERROR(HYPERLINK("#"&amp;ADDRESS(MATCH(A90&amp;"ES",'LM7 Non-ENG'!$A$1:$A$5000,0),1,,,"LM7 Non-ENG"),IF(IFERROR(VLOOKUP(A90&amp;"ES",'LM7 Non-ENG'!$A$1:$A$4999,1,FALSE),"ERROR")=A90&amp;"ES","Y","")),"")</f>
        <v/>
      </c>
      <c r="D90" s="29" t="str">
        <f>IFERROR(HYPERLINK("#"&amp;ADDRESS(MATCH(A90&amp;"PT",'LM7 Non-ENG'!$A$1:$A$5000,0),1,,,"LM7 Non-ENG"),IF(IFERROR(VLOOKUP(A90&amp;"PT",'LM7 Non-ENG'!$A$1:$A$5000,1,FALSE),"ERROR")=A90&amp;"PT","Y","")),"")</f>
        <v/>
      </c>
      <c r="E90" s="3">
        <f>IFERROR(VLOOKUP(A90,PLInter!A:D,3,FALSE),"")</f>
        <v>2126</v>
      </c>
      <c r="F90" s="38">
        <v>2126</v>
      </c>
    </row>
    <row r="91" spans="1:13" ht="18" customHeight="1">
      <c r="A91" t="s">
        <v>517</v>
      </c>
      <c r="B91" s="10" t="str">
        <f>"-- Pneumatic Shield (ProMill 8000 for FMS)"</f>
        <v>-- Pneumatic Shield (ProMill 8000 for FMS)</v>
      </c>
      <c r="C91" s="29" t="str">
        <f>IFERROR(HYPERLINK("#"&amp;ADDRESS(MATCH(A91&amp;"ES",'LM7 Non-ENG'!$A$1:$A$5000,0),1,,,"LM7 Non-ENG"),IF(IFERROR(VLOOKUP(A91&amp;"ES",'LM7 Non-ENG'!$A$1:$A$4999,1,FALSE),"ERROR")=A91&amp;"ES","Y","")),"")</f>
        <v/>
      </c>
      <c r="D91" s="29" t="str">
        <f>IFERROR(HYPERLINK("#"&amp;ADDRESS(MATCH(A91&amp;"PT",'LM7 Non-ENG'!$A$1:$A$5000,0),1,,,"LM7 Non-ENG"),IF(IFERROR(VLOOKUP(A91&amp;"PT",'LM7 Non-ENG'!$A$1:$A$5000,1,FALSE),"ERROR")=A91&amp;"PT","Y","")),"")</f>
        <v/>
      </c>
      <c r="E91" s="3">
        <f>IFERROR(VLOOKUP(A91,PLInter!A:D,3,FALSE),"")</f>
        <v>1334</v>
      </c>
      <c r="F91" s="38">
        <v>1334</v>
      </c>
    </row>
    <row r="92" spans="1:13" ht="18" customHeight="1">
      <c r="A92" t="s">
        <v>518</v>
      </c>
      <c r="B92" s="10" t="str">
        <f>"-- Pneumatic Shield (BenchTurn 7000 for FMS))"</f>
        <v>-- Pneumatic Shield (BenchTurn 7000 for FMS))</v>
      </c>
      <c r="C92" s="29" t="str">
        <f>IFERROR(HYPERLINK("#"&amp;ADDRESS(MATCH(A92&amp;"ES",'LM7 Non-ENG'!$A$1:$A$5000,0),1,,,"LM7 Non-ENG"),IF(IFERROR(VLOOKUP(A92&amp;"ES",'LM7 Non-ENG'!$A$1:$A$4999,1,FALSE),"ERROR")=A92&amp;"ES","Y","")),"")</f>
        <v/>
      </c>
      <c r="D92" s="29" t="str">
        <f>IFERROR(HYPERLINK("#"&amp;ADDRESS(MATCH(A92&amp;"PT",'LM7 Non-ENG'!$A$1:$A$5000,0),1,,,"LM7 Non-ENG"),IF(IFERROR(VLOOKUP(A92&amp;"PT",'LM7 Non-ENG'!$A$1:$A$5000,1,FALSE),"ERROR")=A92&amp;"PT","Y","")),"")</f>
        <v/>
      </c>
      <c r="E92" s="3">
        <f>IFERROR(VLOOKUP(A92,PLInter!A:D,3,FALSE),"")</f>
        <v>534</v>
      </c>
      <c r="F92" s="38">
        <v>534</v>
      </c>
    </row>
    <row r="93" spans="1:13" ht="18" customHeight="1">
      <c r="A93" t="s">
        <v>519</v>
      </c>
      <c r="B93" s="10" t="str">
        <f>"-- Pneumatic Shield (ProTurn 9000 for FMS)"</f>
        <v>-- Pneumatic Shield (ProTurn 9000 for FMS)</v>
      </c>
      <c r="C93" s="29" t="str">
        <f>IFERROR(HYPERLINK("#"&amp;ADDRESS(MATCH(A93&amp;"ES",'LM7 Non-ENG'!$A$1:$A$5000,0),1,,,"LM7 Non-ENG"),IF(IFERROR(VLOOKUP(A93&amp;"ES",'LM7 Non-ENG'!$A$1:$A$4999,1,FALSE),"ERROR")=A93&amp;"ES","Y","")),"")</f>
        <v/>
      </c>
      <c r="D93" s="29" t="str">
        <f>IFERROR(HYPERLINK("#"&amp;ADDRESS(MATCH(A93&amp;"PT",'LM7 Non-ENG'!$A$1:$A$5000,0),1,,,"LM7 Non-ENG"),IF(IFERROR(VLOOKUP(A93&amp;"PT",'LM7 Non-ENG'!$A$1:$A$5000,1,FALSE),"ERROR")=A93&amp;"PT","Y","")),"")</f>
        <v/>
      </c>
      <c r="E93" s="3">
        <f>IFERROR(VLOOKUP(A93,PLInter!A:D,3,FALSE),"")</f>
        <v>1595</v>
      </c>
      <c r="F93" s="38">
        <v>1595</v>
      </c>
    </row>
    <row r="94" spans="1:13" ht="18" customHeight="1">
      <c r="A94" s="63" t="s">
        <v>520</v>
      </c>
      <c r="B94" s="63"/>
      <c r="C94" s="63"/>
      <c r="D94" s="63"/>
      <c r="E94" s="63"/>
      <c r="F94" s="63"/>
      <c r="G94" s="63"/>
      <c r="H94" s="63"/>
      <c r="I94" s="63"/>
      <c r="J94" s="63"/>
      <c r="K94" s="63"/>
      <c r="L94" s="63"/>
      <c r="M94" s="63"/>
    </row>
    <row r="95" spans="1:13" ht="18" customHeight="1">
      <c r="A95" t="s">
        <v>521</v>
      </c>
      <c r="B95" s="10" t="str">
        <f>"LM7 Content, Vir, CNC Milling w/BenchMill 6000"</f>
        <v>LM7 Content, Vir, CNC Milling w/BenchMill 6000</v>
      </c>
      <c r="C95" s="29" t="str">
        <f>IFERROR(HYPERLINK("#"&amp;ADDRESS(MATCH(A95&amp;"ES",'LM7 Non-ENG'!$A$1:$A$5000,0),1,,,"LM7 Non-ENG"),IF(IFERROR(VLOOKUP(A95&amp;"ES",'LM7 Non-ENG'!$A$1:$A$4999,1,FALSE),"ERROR")=A95&amp;"ES","Y","")),"")</f>
        <v/>
      </c>
      <c r="D95" s="29" t="str">
        <f>IFERROR(HYPERLINK("#"&amp;ADDRESS(MATCH(A95&amp;"PT",'LM7 Non-ENG'!$A$1:$A$5000,0),1,,,"LM7 Non-ENG"),IF(IFERROR(VLOOKUP(A95&amp;"PT",'LM7 Non-ENG'!$A$1:$A$5000,1,FALSE),"ERROR")=A95&amp;"PT","Y","")),"")</f>
        <v/>
      </c>
      <c r="E95" s="3">
        <f>IFERROR(VLOOKUP(A95,PLInter!A:D,3,FALSE),"")</f>
        <v>2995</v>
      </c>
      <c r="F95" s="38">
        <v>2995</v>
      </c>
      <c r="K95" s="17" t="str">
        <f>HYPERLINK("#"&amp;ADDRESS(MATCH("LearnMate 7 Bundles",LearnMate7!$A$1:$A$5000,0),1,,,"LearnMate7"),"LMS")</f>
        <v>LMS</v>
      </c>
    </row>
    <row r="96" spans="1:13" ht="18" customHeight="1">
      <c r="A96" t="s">
        <v>522</v>
      </c>
      <c r="B96" s="10" t="str">
        <f>"LM7 Content, Vir, CNCMilling w/BenchMill 6000(M)"</f>
        <v>LM7 Content, Vir, CNCMilling w/BenchMill 6000(M)</v>
      </c>
      <c r="C96" s="29" t="str">
        <f>IFERROR(HYPERLINK("#"&amp;ADDRESS(MATCH(A96&amp;"ES",'LM7 Non-ENG'!$A$1:$A$5000,0),1,,,"LM7 Non-ENG"),IF(IFERROR(VLOOKUP(A96&amp;"ES",'LM7 Non-ENG'!$A$1:$A$4999,1,FALSE),"ERROR")=A96&amp;"ES","Y","")),"")</f>
        <v>Y</v>
      </c>
      <c r="D96" s="29" t="str">
        <f>IFERROR(HYPERLINK("#"&amp;ADDRESS(MATCH(A96&amp;"PT",'LM7 Non-ENG'!$A$1:$A$5000,0),1,,,"LM7 Non-ENG"),IF(IFERROR(VLOOKUP(A96&amp;"PT",'LM7 Non-ENG'!$A$1:$A$5000,1,FALSE),"ERROR")=A96&amp;"PT","Y","")),"")</f>
        <v>Y</v>
      </c>
      <c r="E96" s="3">
        <f>IFERROR(VLOOKUP(A96,PLInter!A:D,3,FALSE),"")</f>
        <v>2995</v>
      </c>
      <c r="F96" s="38">
        <v>2995</v>
      </c>
      <c r="K96" s="17" t="str">
        <f>HYPERLINK("#"&amp;ADDRESS(MATCH("LearnMate 7 Bundles",LearnMate7!$A$1:$A$5000,0),1,,,"LearnMate7"),"LMS")</f>
        <v>LMS</v>
      </c>
    </row>
    <row r="97" spans="1:11" ht="18" customHeight="1">
      <c r="A97" t="s">
        <v>523</v>
      </c>
      <c r="B97" s="10" t="str">
        <f>"LM7 Content, Vir, CNC Turning w/BenchTurn 7000"</f>
        <v>LM7 Content, Vir, CNC Turning w/BenchTurn 7000</v>
      </c>
      <c r="C97" s="29" t="str">
        <f>IFERROR(HYPERLINK("#"&amp;ADDRESS(MATCH(A97&amp;"ES",'LM7 Non-ENG'!$A$1:$A$5000,0),1,,,"LM7 Non-ENG"),IF(IFERROR(VLOOKUP(A97&amp;"ES",'LM7 Non-ENG'!$A$1:$A$4999,1,FALSE),"ERROR")=A97&amp;"ES","Y","")),"")</f>
        <v/>
      </c>
      <c r="D97" s="29" t="str">
        <f>IFERROR(HYPERLINK("#"&amp;ADDRESS(MATCH(A97&amp;"PT",'LM7 Non-ENG'!$A$1:$A$5000,0),1,,,"LM7 Non-ENG"),IF(IFERROR(VLOOKUP(A97&amp;"PT",'LM7 Non-ENG'!$A$1:$A$5000,1,FALSE),"ERROR")=A97&amp;"PT","Y","")),"")</f>
        <v/>
      </c>
      <c r="E97" s="3">
        <f>IFERROR(VLOOKUP(A97,PLInter!A:D,3,FALSE),"")</f>
        <v>2995</v>
      </c>
      <c r="F97" s="38">
        <v>2995</v>
      </c>
      <c r="K97" s="17" t="str">
        <f>HYPERLINK("#"&amp;ADDRESS(MATCH("LearnMate 7 Bundles",LearnMate7!$A$1:$A$5000,0),1,,,"LearnMate7"),"LMS")</f>
        <v>LMS</v>
      </c>
    </row>
    <row r="98" spans="1:11" ht="18" customHeight="1">
      <c r="A98" t="s">
        <v>524</v>
      </c>
      <c r="B98" s="10" t="str">
        <f>"LM7 Content, Vir, CNCTurning w/BenchTurn 7000(M)"</f>
        <v>LM7 Content, Vir, CNCTurning w/BenchTurn 7000(M)</v>
      </c>
      <c r="C98" s="29" t="str">
        <f>IFERROR(HYPERLINK("#"&amp;ADDRESS(MATCH(A98&amp;"ES",'LM7 Non-ENG'!$A$1:$A$5000,0),1,,,"LM7 Non-ENG"),IF(IFERROR(VLOOKUP(A98&amp;"ES",'LM7 Non-ENG'!$A$1:$A$4999,1,FALSE),"ERROR")=A98&amp;"ES","Y","")),"")</f>
        <v>Y</v>
      </c>
      <c r="D98" s="29" t="str">
        <f>IFERROR(HYPERLINK("#"&amp;ADDRESS(MATCH(A98&amp;"PT",'LM7 Non-ENG'!$A$1:$A$5000,0),1,,,"LM7 Non-ENG"),IF(IFERROR(VLOOKUP(A98&amp;"PT",'LM7 Non-ENG'!$A$1:$A$5000,1,FALSE),"ERROR")=A98&amp;"PT","Y","")),"")</f>
        <v>Y</v>
      </c>
      <c r="E98" s="3">
        <f>IFERROR(VLOOKUP(A98,PLInter!A:D,3,FALSE),"")</f>
        <v>2995</v>
      </c>
      <c r="F98" s="38">
        <v>2995</v>
      </c>
      <c r="K98" s="17" t="str">
        <f>HYPERLINK("#"&amp;ADDRESS(MATCH("LearnMate 7 Bundles",LearnMate7!$A$1:$A$5000,0),1,,,"LearnMate7"),"LMS")</f>
        <v>LMS</v>
      </c>
    </row>
    <row r="99" spans="1:11" ht="18" customHeight="1">
      <c r="A99" t="s">
        <v>525</v>
      </c>
      <c r="B99" s="10" t="str">
        <f>"LM7 Content, Vir, CNC Milling w/ProMill 8000"</f>
        <v>LM7 Content, Vir, CNC Milling w/ProMill 8000</v>
      </c>
      <c r="C99" s="29" t="str">
        <f>IFERROR(HYPERLINK("#"&amp;ADDRESS(MATCH(A99&amp;"ES",'LM7 Non-ENG'!$A$1:$A$5000,0),1,,,"LM7 Non-ENG"),IF(IFERROR(VLOOKUP(A99&amp;"ES",'LM7 Non-ENG'!$A$1:$A$4999,1,FALSE),"ERROR")=A99&amp;"ES","Y","")),"")</f>
        <v/>
      </c>
      <c r="D99" s="29" t="str">
        <f>IFERROR(HYPERLINK("#"&amp;ADDRESS(MATCH(A99&amp;"PT",'LM7 Non-ENG'!$A$1:$A$5000,0),1,,,"LM7 Non-ENG"),IF(IFERROR(VLOOKUP(A99&amp;"PT",'LM7 Non-ENG'!$A$1:$A$5000,1,FALSE),"ERROR")=A99&amp;"PT","Y","")),"")</f>
        <v/>
      </c>
      <c r="E99" s="3">
        <f>IFERROR(VLOOKUP(A99,PLInter!A:D,3,FALSE),"")</f>
        <v>2995</v>
      </c>
      <c r="F99" s="38">
        <v>2995</v>
      </c>
      <c r="K99" s="17" t="str">
        <f>HYPERLINK("#"&amp;ADDRESS(MATCH("LearnMate 7 Bundles",LearnMate7!$A$1:$A$5000,0),1,,,"LearnMate7"),"LMS")</f>
        <v>LMS</v>
      </c>
    </row>
    <row r="100" spans="1:11" ht="18" customHeight="1">
      <c r="A100" t="s">
        <v>526</v>
      </c>
      <c r="B100" s="10" t="str">
        <f>"LM7 Content, Vir, CNC Milling w/ProMill 8000 (M)"</f>
        <v>LM7 Content, Vir, CNC Milling w/ProMill 8000 (M)</v>
      </c>
      <c r="C100" s="29" t="str">
        <f>IFERROR(HYPERLINK("#"&amp;ADDRESS(MATCH(A100&amp;"ES",'LM7 Non-ENG'!$A$1:$A$5000,0),1,,,"LM7 Non-ENG"),IF(IFERROR(VLOOKUP(A100&amp;"ES",'LM7 Non-ENG'!$A$1:$A$4999,1,FALSE),"ERROR")=A100&amp;"ES","Y","")),"")</f>
        <v/>
      </c>
      <c r="D100" s="29" t="str">
        <f>IFERROR(HYPERLINK("#"&amp;ADDRESS(MATCH(A100&amp;"PT",'LM7 Non-ENG'!$A$1:$A$5000,0),1,,,"LM7 Non-ENG"),IF(IFERROR(VLOOKUP(A100&amp;"PT",'LM7 Non-ENG'!$A$1:$A$5000,1,FALSE),"ERROR")=A100&amp;"PT","Y","")),"")</f>
        <v/>
      </c>
      <c r="E100" s="3">
        <f>IFERROR(VLOOKUP(A100,PLInter!A:D,3,FALSE),"")</f>
        <v>2995</v>
      </c>
      <c r="F100" s="38">
        <v>2995</v>
      </c>
      <c r="K100" s="17" t="str">
        <f>HYPERLINK("#"&amp;ADDRESS(MATCH("LearnMate 7 Bundles",LearnMate7!$A$1:$A$5000,0),1,,,"LearnMate7"),"LMS")</f>
        <v>LMS</v>
      </c>
    </row>
    <row r="101" spans="1:11" ht="18" customHeight="1">
      <c r="A101" t="s">
        <v>527</v>
      </c>
      <c r="B101" s="10" t="str">
        <f>"LM7 Content, Vir, CNC Turning w/ProTurn 9000"</f>
        <v>LM7 Content, Vir, CNC Turning w/ProTurn 9000</v>
      </c>
      <c r="C101" s="29" t="str">
        <f>IFERROR(HYPERLINK("#"&amp;ADDRESS(MATCH(A101&amp;"ES",'LM7 Non-ENG'!$A$1:$A$5000,0),1,,,"LM7 Non-ENG"),IF(IFERROR(VLOOKUP(A101&amp;"ES",'LM7 Non-ENG'!$A$1:$A$4999,1,FALSE),"ERROR")=A101&amp;"ES","Y","")),"")</f>
        <v/>
      </c>
      <c r="D101" s="29" t="str">
        <f>IFERROR(HYPERLINK("#"&amp;ADDRESS(MATCH(A101&amp;"PT",'LM7 Non-ENG'!$A$1:$A$5000,0),1,,,"LM7 Non-ENG"),IF(IFERROR(VLOOKUP(A101&amp;"PT",'LM7 Non-ENG'!$A$1:$A$5000,1,FALSE),"ERROR")=A101&amp;"PT","Y","")),"")</f>
        <v/>
      </c>
      <c r="E101" s="3">
        <f>IFERROR(VLOOKUP(A101,PLInter!A:D,3,FALSE),"")</f>
        <v>2995</v>
      </c>
      <c r="F101" s="38">
        <v>2995</v>
      </c>
      <c r="K101" s="17" t="str">
        <f>HYPERLINK("#"&amp;ADDRESS(MATCH("LearnMate 7 Bundles",LearnMate7!$A$1:$A$5000,0),1,,,"LearnMate7"),"LMS")</f>
        <v>LMS</v>
      </c>
    </row>
    <row r="102" spans="1:11" ht="18" customHeight="1">
      <c r="A102" t="s">
        <v>528</v>
      </c>
      <c r="B102" s="10" t="str">
        <f>"LM7 Content, Vir, CNC Turning w/ProTurn 9000 (M)"</f>
        <v>LM7 Content, Vir, CNC Turning w/ProTurn 9000 (M)</v>
      </c>
      <c r="C102" s="29" t="str">
        <f>IFERROR(HYPERLINK("#"&amp;ADDRESS(MATCH(A102&amp;"ES",'LM7 Non-ENG'!$A$1:$A$5000,0),1,,,"LM7 Non-ENG"),IF(IFERROR(VLOOKUP(A102&amp;"ES",'LM7 Non-ENG'!$A$1:$A$4999,1,FALSE),"ERROR")=A102&amp;"ES","Y","")),"")</f>
        <v/>
      </c>
      <c r="D102" s="29" t="str">
        <f>IFERROR(HYPERLINK("#"&amp;ADDRESS(MATCH(A102&amp;"PT",'LM7 Non-ENG'!$A$1:$A$5000,0),1,,,"LM7 Non-ENG"),IF(IFERROR(VLOOKUP(A102&amp;"PT",'LM7 Non-ENG'!$A$1:$A$5000,1,FALSE),"ERROR")=A102&amp;"PT","Y","")),"")</f>
        <v/>
      </c>
      <c r="E102" s="3">
        <f>IFERROR(VLOOKUP(A102,PLInter!A:D,3,FALSE),"")</f>
        <v>2995</v>
      </c>
      <c r="F102" s="38">
        <v>2995</v>
      </c>
      <c r="K102" s="17" t="str">
        <f>HYPERLINK("#"&amp;ADDRESS(MATCH("LearnMate 7 Bundles",LearnMate7!$A$1:$A$5000,0),1,,,"LearnMate7"),"LMS")</f>
        <v>LMS</v>
      </c>
    </row>
    <row r="103" spans="1:11" ht="18" customHeight="1">
      <c r="A103" t="s">
        <v>529</v>
      </c>
      <c r="B103" s="10" t="str">
        <f>"LM7 Content, Lab, CNC Milling w/BenchMill 6000"</f>
        <v>LM7 Content, Lab, CNC Milling w/BenchMill 6000</v>
      </c>
      <c r="C103" s="29" t="str">
        <f>IFERROR(HYPERLINK("#"&amp;ADDRESS(MATCH(A103&amp;"ES",'LM7 Non-ENG'!$A$1:$A$5000,0),1,,,"LM7 Non-ENG"),IF(IFERROR(VLOOKUP(A103&amp;"ES",'LM7 Non-ENG'!$A$1:$A$4999,1,FALSE),"ERROR")=A103&amp;"ES","Y","")),"")</f>
        <v/>
      </c>
      <c r="D103" s="29" t="str">
        <f>IFERROR(HYPERLINK("#"&amp;ADDRESS(MATCH(A103&amp;"PT",'LM7 Non-ENG'!$A$1:$A$5000,0),1,,,"LM7 Non-ENG"),IF(IFERROR(VLOOKUP(A103&amp;"PT",'LM7 Non-ENG'!$A$1:$A$5000,1,FALSE),"ERROR")=A103&amp;"PT","Y","")),"")</f>
        <v/>
      </c>
      <c r="E103" s="3">
        <f>IFERROR(VLOOKUP(A103,PLInter!A:D,3,FALSE),"")</f>
        <v>2495</v>
      </c>
      <c r="F103" s="38">
        <v>2495</v>
      </c>
      <c r="K103" s="17" t="str">
        <f>HYPERLINK("#"&amp;ADDRESS(MATCH("LearnMate 7 Bundles",LearnMate7!$A$1:$A$5000,0),1,,,"LearnMate7"),"LMS")</f>
        <v>LMS</v>
      </c>
    </row>
    <row r="104" spans="1:11" ht="18" customHeight="1">
      <c r="A104" t="s">
        <v>530</v>
      </c>
      <c r="B104" s="10" t="str">
        <f>"LM7 Content, Lab, CNCMilling w/BenchMill 6000(M)"</f>
        <v>LM7 Content, Lab, CNCMilling w/BenchMill 6000(M)</v>
      </c>
      <c r="C104" s="29" t="str">
        <f>IFERROR(HYPERLINK("#"&amp;ADDRESS(MATCH(A104&amp;"ES",'LM7 Non-ENG'!$A$1:$A$5000,0),1,,,"LM7 Non-ENG"),IF(IFERROR(VLOOKUP(A104&amp;"ES",'LM7 Non-ENG'!$A$1:$A$4999,1,FALSE),"ERROR")=A104&amp;"ES","Y","")),"")</f>
        <v/>
      </c>
      <c r="D104" s="29" t="str">
        <f>IFERROR(HYPERLINK("#"&amp;ADDRESS(MATCH(A104&amp;"PT",'LM7 Non-ENG'!$A$1:$A$5000,0),1,,,"LM7 Non-ENG"),IF(IFERROR(VLOOKUP(A104&amp;"PT",'LM7 Non-ENG'!$A$1:$A$5000,1,FALSE),"ERROR")=A104&amp;"PT","Y","")),"")</f>
        <v/>
      </c>
      <c r="E104" s="3">
        <f>IFERROR(VLOOKUP(A104,PLInter!A:D,3,FALSE),"")</f>
        <v>2495</v>
      </c>
      <c r="F104" s="38">
        <v>2495</v>
      </c>
      <c r="K104" s="17" t="str">
        <f>HYPERLINK("#"&amp;ADDRESS(MATCH("LearnMate 7 Bundles",LearnMate7!$A$1:$A$5000,0),1,,,"LearnMate7"),"LMS")</f>
        <v>LMS</v>
      </c>
    </row>
    <row r="105" spans="1:11" ht="18" customHeight="1">
      <c r="A105" t="s">
        <v>531</v>
      </c>
      <c r="B105" s="10" t="str">
        <f>"LM7 Content, Lab, CNC Turning w/BenchTurn 7000"</f>
        <v>LM7 Content, Lab, CNC Turning w/BenchTurn 7000</v>
      </c>
      <c r="C105" s="29" t="str">
        <f>IFERROR(HYPERLINK("#"&amp;ADDRESS(MATCH(A105&amp;"ES",'LM7 Non-ENG'!$A$1:$A$5000,0),1,,,"LM7 Non-ENG"),IF(IFERROR(VLOOKUP(A105&amp;"ES",'LM7 Non-ENG'!$A$1:$A$4999,1,FALSE),"ERROR")=A105&amp;"ES","Y","")),"")</f>
        <v/>
      </c>
      <c r="D105" s="29" t="str">
        <f>IFERROR(HYPERLINK("#"&amp;ADDRESS(MATCH(A105&amp;"PT",'LM7 Non-ENG'!$A$1:$A$5000,0),1,,,"LM7 Non-ENG"),IF(IFERROR(VLOOKUP(A105&amp;"PT",'LM7 Non-ENG'!$A$1:$A$5000,1,FALSE),"ERROR")=A105&amp;"PT","Y","")),"")</f>
        <v/>
      </c>
      <c r="E105" s="3">
        <f>IFERROR(VLOOKUP(A105,PLInter!A:D,3,FALSE),"")</f>
        <v>2495</v>
      </c>
      <c r="F105" s="38">
        <v>2495</v>
      </c>
      <c r="K105" s="17" t="str">
        <f>HYPERLINK("#"&amp;ADDRESS(MATCH("LearnMate 7 Bundles",LearnMate7!$A$1:$A$5000,0),1,,,"LearnMate7"),"LMS")</f>
        <v>LMS</v>
      </c>
    </row>
    <row r="106" spans="1:11" ht="18" customHeight="1">
      <c r="A106" t="s">
        <v>532</v>
      </c>
      <c r="B106" s="10" t="str">
        <f>"LM7 Content, Lab, CNCTurning w/BenchTurn 7000(M)"</f>
        <v>LM7 Content, Lab, CNCTurning w/BenchTurn 7000(M)</v>
      </c>
      <c r="C106" s="29" t="str">
        <f>IFERROR(HYPERLINK("#"&amp;ADDRESS(MATCH(A106&amp;"ES",'LM7 Non-ENG'!$A$1:$A$5000,0),1,,,"LM7 Non-ENG"),IF(IFERROR(VLOOKUP(A106&amp;"ES",'LM7 Non-ENG'!$A$1:$A$4999,1,FALSE),"ERROR")=A106&amp;"ES","Y","")),"")</f>
        <v/>
      </c>
      <c r="D106" s="29" t="str">
        <f>IFERROR(HYPERLINK("#"&amp;ADDRESS(MATCH(A106&amp;"PT",'LM7 Non-ENG'!$A$1:$A$5000,0),1,,,"LM7 Non-ENG"),IF(IFERROR(VLOOKUP(A106&amp;"PT",'LM7 Non-ENG'!$A$1:$A$5000,1,FALSE),"ERROR")=A106&amp;"PT","Y","")),"")</f>
        <v/>
      </c>
      <c r="E106" s="3">
        <f>IFERROR(VLOOKUP(A106,PLInter!A:D,3,FALSE),"")</f>
        <v>2495</v>
      </c>
      <c r="F106" s="38">
        <v>2495</v>
      </c>
      <c r="K106" s="17" t="str">
        <f>HYPERLINK("#"&amp;ADDRESS(MATCH("LearnMate 7 Bundles",LearnMate7!$A$1:$A$5000,0),1,,,"LearnMate7"),"LMS")</f>
        <v>LMS</v>
      </c>
    </row>
    <row r="107" spans="1:11" ht="18" customHeight="1">
      <c r="A107" t="s">
        <v>533</v>
      </c>
      <c r="B107" s="10" t="str">
        <f>"LM7 Content, Lab, CNC Milling w/ProMill 8000"</f>
        <v>LM7 Content, Lab, CNC Milling w/ProMill 8000</v>
      </c>
      <c r="C107" s="29" t="str">
        <f>IFERROR(HYPERLINK("#"&amp;ADDRESS(MATCH(A107&amp;"ES",'LM7 Non-ENG'!$A$1:$A$5000,0),1,,,"LM7 Non-ENG"),IF(IFERROR(VLOOKUP(A107&amp;"ES",'LM7 Non-ENG'!$A$1:$A$4999,1,FALSE),"ERROR")=A107&amp;"ES","Y","")),"")</f>
        <v/>
      </c>
      <c r="D107" s="29" t="str">
        <f>IFERROR(HYPERLINK("#"&amp;ADDRESS(MATCH(A107&amp;"PT",'LM7 Non-ENG'!$A$1:$A$5000,0),1,,,"LM7 Non-ENG"),IF(IFERROR(VLOOKUP(A107&amp;"PT",'LM7 Non-ENG'!$A$1:$A$5000,1,FALSE),"ERROR")=A107&amp;"PT","Y","")),"")</f>
        <v/>
      </c>
      <c r="E107" s="3">
        <f>IFERROR(VLOOKUP(A107,PLInter!A:D,3,FALSE),"")</f>
        <v>2495</v>
      </c>
      <c r="F107" s="38">
        <v>2495</v>
      </c>
      <c r="K107" s="17" t="str">
        <f>HYPERLINK("#"&amp;ADDRESS(MATCH("LearnMate 7 Bundles",LearnMate7!$A$1:$A$5000,0),1,,,"LearnMate7"),"LMS")</f>
        <v>LMS</v>
      </c>
    </row>
    <row r="108" spans="1:11" ht="18" customHeight="1">
      <c r="A108" t="s">
        <v>534</v>
      </c>
      <c r="B108" s="10" t="str">
        <f>"LM7 Content, Lab, CNC Milling w/ProMill 8000 (M)"</f>
        <v>LM7 Content, Lab, CNC Milling w/ProMill 8000 (M)</v>
      </c>
      <c r="C108" s="29" t="str">
        <f>IFERROR(HYPERLINK("#"&amp;ADDRESS(MATCH(A108&amp;"ES",'LM7 Non-ENG'!$A$1:$A$5000,0),1,,,"LM7 Non-ENG"),IF(IFERROR(VLOOKUP(A108&amp;"ES",'LM7 Non-ENG'!$A$1:$A$4999,1,FALSE),"ERROR")=A108&amp;"ES","Y","")),"")</f>
        <v>Y</v>
      </c>
      <c r="D108" s="29" t="str">
        <f>IFERROR(HYPERLINK("#"&amp;ADDRESS(MATCH(A108&amp;"PT",'LM7 Non-ENG'!$A$1:$A$5000,0),1,,,"LM7 Non-ENG"),IF(IFERROR(VLOOKUP(A108&amp;"PT",'LM7 Non-ENG'!$A$1:$A$5000,1,FALSE),"ERROR")=A108&amp;"PT","Y","")),"")</f>
        <v/>
      </c>
      <c r="E108" s="3">
        <f>IFERROR(VLOOKUP(A108,PLInter!A:D,3,FALSE),"")</f>
        <v>2495</v>
      </c>
      <c r="F108" s="38">
        <v>2495</v>
      </c>
      <c r="K108" s="17" t="str">
        <f>HYPERLINK("#"&amp;ADDRESS(MATCH("LearnMate 7 Bundles",LearnMate7!$A$1:$A$5000,0),1,,,"LearnMate7"),"LMS")</f>
        <v>LMS</v>
      </c>
    </row>
    <row r="109" spans="1:11" ht="18" customHeight="1">
      <c r="A109" t="s">
        <v>535</v>
      </c>
      <c r="B109" s="10" t="str">
        <f>"LM7 Content, Lab, CNC Turning w/ProTurn 9000"</f>
        <v>LM7 Content, Lab, CNC Turning w/ProTurn 9000</v>
      </c>
      <c r="C109" s="29" t="str">
        <f>IFERROR(HYPERLINK("#"&amp;ADDRESS(MATCH(A109&amp;"ES",'LM7 Non-ENG'!$A$1:$A$5000,0),1,,,"LM7 Non-ENG"),IF(IFERROR(VLOOKUP(A109&amp;"ES",'LM7 Non-ENG'!$A$1:$A$4999,1,FALSE),"ERROR")=A109&amp;"ES","Y","")),"")</f>
        <v/>
      </c>
      <c r="D109" s="29" t="str">
        <f>IFERROR(HYPERLINK("#"&amp;ADDRESS(MATCH(A109&amp;"PT",'LM7 Non-ENG'!$A$1:$A$5000,0),1,,,"LM7 Non-ENG"),IF(IFERROR(VLOOKUP(A109&amp;"PT",'LM7 Non-ENG'!$A$1:$A$5000,1,FALSE),"ERROR")=A109&amp;"PT","Y","")),"")</f>
        <v/>
      </c>
      <c r="E109" s="3">
        <f>IFERROR(VLOOKUP(A109,PLInter!A:D,3,FALSE),"")</f>
        <v>2495</v>
      </c>
      <c r="F109" s="38">
        <v>2495</v>
      </c>
      <c r="K109" s="17" t="str">
        <f>HYPERLINK("#"&amp;ADDRESS(MATCH("LearnMate 7 Bundles",LearnMate7!$A$1:$A$5000,0),1,,,"LearnMate7"),"LMS")</f>
        <v>LMS</v>
      </c>
    </row>
    <row r="110" spans="1:11" ht="18" customHeight="1">
      <c r="A110" t="s">
        <v>536</v>
      </c>
      <c r="B110" s="10" t="str">
        <f>"LM7 Content, Lab, CNC Turning w/ProTurn 9000 (M)"</f>
        <v>LM7 Content, Lab, CNC Turning w/ProTurn 9000 (M)</v>
      </c>
      <c r="C110" s="29" t="str">
        <f>IFERROR(HYPERLINK("#"&amp;ADDRESS(MATCH(A110&amp;"ES",'LM7 Non-ENG'!$A$1:$A$5000,0),1,,,"LM7 Non-ENG"),IF(IFERROR(VLOOKUP(A110&amp;"ES",'LM7 Non-ENG'!$A$1:$A$4999,1,FALSE),"ERROR")=A110&amp;"ES","Y","")),"")</f>
        <v/>
      </c>
      <c r="D110" s="29" t="str">
        <f>IFERROR(HYPERLINK("#"&amp;ADDRESS(MATCH(A110&amp;"PT",'LM7 Non-ENG'!$A$1:$A$5000,0),1,,,"LM7 Non-ENG"),IF(IFERROR(VLOOKUP(A110&amp;"PT",'LM7 Non-ENG'!$A$1:$A$5000,1,FALSE),"ERROR")=A110&amp;"PT","Y","")),"")</f>
        <v/>
      </c>
      <c r="E110" s="3">
        <f>IFERROR(VLOOKUP(A110,PLInter!A:D,3,FALSE),"")</f>
        <v>2495</v>
      </c>
      <c r="F110" s="38">
        <v>2495</v>
      </c>
      <c r="K110" s="17" t="str">
        <f>HYPERLINK("#"&amp;ADDRESS(MATCH("LearnMate 7 Bundles",LearnMate7!$A$1:$A$5000,0),1,,,"LearnMate7"),"LMS")</f>
        <v>LMS</v>
      </c>
    </row>
    <row r="111" spans="1:11" ht="18" customHeight="1">
      <c r="A111" t="s">
        <v>537</v>
      </c>
      <c r="B111" s="10" t="str">
        <f>"LM7 Content, Vir, spectraCAD Engraving"</f>
        <v>LM7 Content, Vir, spectraCAD Engraving</v>
      </c>
      <c r="C111" s="29" t="str">
        <f>IFERROR(HYPERLINK("#"&amp;ADDRESS(MATCH(A111&amp;"ES",'LM7 Non-ENG'!$A$1:$A$5000,0),1,,,"LM7 Non-ENG"),IF(IFERROR(VLOOKUP(A111&amp;"ES",'LM7 Non-ENG'!$A$1:$A$4999,1,FALSE),"ERROR")=A111&amp;"ES","Y","")),"")</f>
        <v/>
      </c>
      <c r="D111" s="29" t="str">
        <f>IFERROR(HYPERLINK("#"&amp;ADDRESS(MATCH(A111&amp;"PT",'LM7 Non-ENG'!$A$1:$A$5000,0),1,,,"LM7 Non-ENG"),IF(IFERROR(VLOOKUP(A111&amp;"PT",'LM7 Non-ENG'!$A$1:$A$5000,1,FALSE),"ERROR")=A111&amp;"PT","Y","")),"")</f>
        <v/>
      </c>
      <c r="E111" s="3">
        <f>IFERROR(VLOOKUP(A111,PLInter!A:D,3,FALSE),"")</f>
        <v>2995</v>
      </c>
      <c r="F111" s="38">
        <v>2995</v>
      </c>
      <c r="K111" s="17" t="str">
        <f>HYPERLINK("#"&amp;ADDRESS(MATCH("LearnMate 7 Bundles",LearnMate7!$A$1:$A$5000,0),1,,,"LearnMate7"),"LMS")</f>
        <v>LMS</v>
      </c>
    </row>
    <row r="112" spans="1:11" ht="18" customHeight="1">
      <c r="A112" t="s">
        <v>538</v>
      </c>
      <c r="B112" s="10" t="str">
        <f>"LM7 Content, Vir, spectraCAD Engraving (M)"</f>
        <v>LM7 Content, Vir, spectraCAD Engraving (M)</v>
      </c>
      <c r="C112" s="29" t="str">
        <f>IFERROR(HYPERLINK("#"&amp;ADDRESS(MATCH(A112&amp;"ES",'LM7 Non-ENG'!$A$1:$A$5000,0),1,,,"LM7 Non-ENG"),IF(IFERROR(VLOOKUP(A112&amp;"ES",'LM7 Non-ENG'!$A$1:$A$4999,1,FALSE),"ERROR")=A112&amp;"ES","Y","")),"")</f>
        <v>Y</v>
      </c>
      <c r="D112" s="29" t="str">
        <f>IFERROR(HYPERLINK("#"&amp;ADDRESS(MATCH(A112&amp;"PT",'LM7 Non-ENG'!$A$1:$A$5000,0),1,,,"LM7 Non-ENG"),IF(IFERROR(VLOOKUP(A112&amp;"PT",'LM7 Non-ENG'!$A$1:$A$5000,1,FALSE),"ERROR")=A112&amp;"PT","Y","")),"")</f>
        <v>Y</v>
      </c>
      <c r="E112" s="3">
        <f>IFERROR(VLOOKUP(A112,PLInter!A:D,3,FALSE),"")</f>
        <v>2995</v>
      </c>
      <c r="F112" s="38">
        <v>2995</v>
      </c>
      <c r="K112" s="17" t="str">
        <f>HYPERLINK("#"&amp;ADDRESS(MATCH("LearnMate 7 Bundles",LearnMate7!$A$1:$A$5000,0),1,,,"LearnMate7"),"LMS")</f>
        <v>LMS</v>
      </c>
    </row>
    <row r="113" spans="1:13" ht="18" customHeight="1">
      <c r="A113" t="s">
        <v>539</v>
      </c>
      <c r="B113" s="10" t="str">
        <f>"LM7 Content, Vir, spectraCAM Milling"</f>
        <v>LM7 Content, Vir, spectraCAM Milling</v>
      </c>
      <c r="C113" s="29" t="str">
        <f>IFERROR(HYPERLINK("#"&amp;ADDRESS(MATCH(A113&amp;"ES",'LM7 Non-ENG'!$A$1:$A$5000,0),1,,,"LM7 Non-ENG"),IF(IFERROR(VLOOKUP(A113&amp;"ES",'LM7 Non-ENG'!$A$1:$A$4999,1,FALSE),"ERROR")=A113&amp;"ES","Y","")),"")</f>
        <v/>
      </c>
      <c r="D113" s="29" t="str">
        <f>IFERROR(HYPERLINK("#"&amp;ADDRESS(MATCH(A113&amp;"PT",'LM7 Non-ENG'!$A$1:$A$5000,0),1,,,"LM7 Non-ENG"),IF(IFERROR(VLOOKUP(A113&amp;"PT",'LM7 Non-ENG'!$A$1:$A$5000,1,FALSE),"ERROR")=A113&amp;"PT","Y","")),"")</f>
        <v/>
      </c>
      <c r="E113" s="3">
        <f>IFERROR(VLOOKUP(A113,PLInter!A:D,3,FALSE),"")</f>
        <v>2995</v>
      </c>
      <c r="F113" s="38">
        <v>2995</v>
      </c>
      <c r="K113" s="17" t="str">
        <f>HYPERLINK("#"&amp;ADDRESS(MATCH("LearnMate 7 Bundles",LearnMate7!$A$1:$A$5000,0),1,,,"LearnMate7"),"LMS")</f>
        <v>LMS</v>
      </c>
    </row>
    <row r="114" spans="1:13" ht="18" customHeight="1">
      <c r="A114" t="s">
        <v>544</v>
      </c>
      <c r="B114" s="10" t="str">
        <f>"LM7 Content, Vir, spectraCAM Milling (M)"</f>
        <v>LM7 Content, Vir, spectraCAM Milling (M)</v>
      </c>
      <c r="C114" s="29" t="str">
        <f>IFERROR(HYPERLINK("#"&amp;ADDRESS(MATCH(A114&amp;"ES",'LM7 Non-ENG'!$A$1:$A$5000,0),1,,,"LM7 Non-ENG"),IF(IFERROR(VLOOKUP(A114&amp;"ES",'LM7 Non-ENG'!$A$1:$A$4999,1,FALSE),"ERROR")=A114&amp;"ES","Y","")),"")</f>
        <v>Y</v>
      </c>
      <c r="D114" s="29" t="str">
        <f>IFERROR(HYPERLINK("#"&amp;ADDRESS(MATCH(A114&amp;"PT",'LM7 Non-ENG'!$A$1:$A$5000,0),1,,,"LM7 Non-ENG"),IF(IFERROR(VLOOKUP(A114&amp;"PT",'LM7 Non-ENG'!$A$1:$A$5000,1,FALSE),"ERROR")=A114&amp;"PT","Y","")),"")</f>
        <v>Y</v>
      </c>
      <c r="E114" s="3">
        <f>IFERROR(VLOOKUP(A114,PLInter!A:D,3,FALSE),"")</f>
        <v>2995</v>
      </c>
      <c r="F114" s="38">
        <v>2995</v>
      </c>
      <c r="K114" s="17" t="str">
        <f>HYPERLINK("#"&amp;ADDRESS(MATCH("LearnMate 7 Bundles",LearnMate7!$A$1:$A$5000,0),1,,,"LearnMate7"),"LMS")</f>
        <v>LMS</v>
      </c>
    </row>
    <row r="115" spans="1:13" ht="18" customHeight="1">
      <c r="A115" t="s">
        <v>540</v>
      </c>
      <c r="B115" s="10" t="str">
        <f>"LM7 Content, Vir, spectraCAM Turning"</f>
        <v>LM7 Content, Vir, spectraCAM Turning</v>
      </c>
      <c r="C115" s="29" t="str">
        <f>IFERROR(HYPERLINK("#"&amp;ADDRESS(MATCH(A115&amp;"ES",'LM7 Non-ENG'!$A$1:$A$5000,0),1,,,"LM7 Non-ENG"),IF(IFERROR(VLOOKUP(A115&amp;"ES",'LM7 Non-ENG'!$A$1:$A$4999,1,FALSE),"ERROR")=A115&amp;"ES","Y","")),"")</f>
        <v/>
      </c>
      <c r="D115" s="29" t="str">
        <f>IFERROR(HYPERLINK("#"&amp;ADDRESS(MATCH(A115&amp;"PT",'LM7 Non-ENG'!$A$1:$A$5000,0),1,,,"LM7 Non-ENG"),IF(IFERROR(VLOOKUP(A115&amp;"PT",'LM7 Non-ENG'!$A$1:$A$5000,1,FALSE),"ERROR")=A115&amp;"PT","Y","")),"")</f>
        <v/>
      </c>
      <c r="E115" s="3">
        <f>IFERROR(VLOOKUP(A115,PLInter!A:D,3,FALSE),"")</f>
        <v>2995</v>
      </c>
      <c r="F115" s="38">
        <v>2995</v>
      </c>
      <c r="K115" s="17" t="str">
        <f>HYPERLINK("#"&amp;ADDRESS(MATCH("LearnMate 7 Bundles",LearnMate7!$A$1:$A$5000,0),1,,,"LearnMate7"),"LMS")</f>
        <v>LMS</v>
      </c>
    </row>
    <row r="116" spans="1:13" ht="18" customHeight="1">
      <c r="A116" t="s">
        <v>541</v>
      </c>
      <c r="B116" s="10" t="str">
        <f>"LM7 Content, Vir, spectraCAM Turning (M)"</f>
        <v>LM7 Content, Vir, spectraCAM Turning (M)</v>
      </c>
      <c r="C116" s="29" t="str">
        <f>IFERROR(HYPERLINK("#"&amp;ADDRESS(MATCH(A116&amp;"ES",'LM7 Non-ENG'!$A$1:$A$5000,0),1,,,"LM7 Non-ENG"),IF(IFERROR(VLOOKUP(A116&amp;"ES",'LM7 Non-ENG'!$A$1:$A$4999,1,FALSE),"ERROR")=A116&amp;"ES","Y","")),"")</f>
        <v>Y</v>
      </c>
      <c r="D116" s="29" t="str">
        <f>IFERROR(HYPERLINK("#"&amp;ADDRESS(MATCH(A116&amp;"PT",'LM7 Non-ENG'!$A$1:$A$5000,0),1,,,"LM7 Non-ENG"),IF(IFERROR(VLOOKUP(A116&amp;"PT",'LM7 Non-ENG'!$A$1:$A$5000,1,FALSE),"ERROR")=A116&amp;"PT","Y","")),"")</f>
        <v>Y</v>
      </c>
      <c r="E116" s="3">
        <f>IFERROR(VLOOKUP(A116,PLInter!A:D,3,FALSE),"")</f>
        <v>2995</v>
      </c>
      <c r="F116" s="38">
        <v>2995</v>
      </c>
      <c r="K116" s="17" t="str">
        <f>HYPERLINK("#"&amp;ADDRESS(MATCH("LearnMate 7 Bundles",LearnMate7!$A$1:$A$5000,0),1,,,"LearnMate7"),"LMS")</f>
        <v>LMS</v>
      </c>
    </row>
    <row r="117" spans="1:13" ht="18" customHeight="1">
      <c r="A117" t="s">
        <v>542</v>
      </c>
      <c r="B117" s="10" t="str">
        <f>"LM7 Content, CNC Program Mill FANUC Controller"</f>
        <v>LM7 Content, CNC Program Mill FANUC Controller</v>
      </c>
      <c r="C117" s="29" t="str">
        <f>IFERROR(HYPERLINK("#"&amp;ADDRESS(MATCH(A117&amp;"ES",'LM7 Non-ENG'!$A$1:$A$5000,0),1,,,"LM7 Non-ENG"),IF(IFERROR(VLOOKUP(A117&amp;"ES",'LM7 Non-ENG'!$A$1:$A$4999,1,FALSE),"ERROR")=A117&amp;"ES","Y","")),"")</f>
        <v/>
      </c>
      <c r="D117" s="29" t="str">
        <f>IFERROR(HYPERLINK("#"&amp;ADDRESS(MATCH(A117&amp;"PT",'LM7 Non-ENG'!$A$1:$A$5000,0),1,,,"LM7 Non-ENG"),IF(IFERROR(VLOOKUP(A117&amp;"PT",'LM7 Non-ENG'!$A$1:$A$5000,1,FALSE),"ERROR")=A117&amp;"PT","Y","")),"")</f>
        <v/>
      </c>
      <c r="E117" s="3">
        <f>IFERROR(VLOOKUP(A117,PLInter!A:D,3,FALSE),"")</f>
        <v>2495</v>
      </c>
      <c r="F117" s="38">
        <v>595</v>
      </c>
      <c r="K117" s="17" t="str">
        <f>HYPERLINK("#"&amp;ADDRESS(MATCH("LearnMate 7 Bundles",LearnMate7!$A$1:$A$5000,0),1,,,"LearnMate7"),"LMS")</f>
        <v>LMS</v>
      </c>
    </row>
    <row r="118" spans="1:13" ht="18" customHeight="1">
      <c r="A118" t="s">
        <v>543</v>
      </c>
      <c r="B118" s="10" t="str">
        <f>"LM7 Content, CNC Program Turn FANUC Controller"</f>
        <v>LM7 Content, CNC Program Turn FANUC Controller</v>
      </c>
      <c r="C118" s="29" t="str">
        <f>IFERROR(HYPERLINK("#"&amp;ADDRESS(MATCH(A118&amp;"ES",'LM7 Non-ENG'!$A$1:$A$5000,0),1,,,"LM7 Non-ENG"),IF(IFERROR(VLOOKUP(A118&amp;"ES",'LM7 Non-ENG'!$A$1:$A$4999,1,FALSE),"ERROR")=A118&amp;"ES","Y","")),"")</f>
        <v/>
      </c>
      <c r="D118" s="29" t="str">
        <f>IFERROR(HYPERLINK("#"&amp;ADDRESS(MATCH(A118&amp;"PT",'LM7 Non-ENG'!$A$1:$A$5000,0),1,,,"LM7 Non-ENG"),IF(IFERROR(VLOOKUP(A118&amp;"PT",'LM7 Non-ENG'!$A$1:$A$5000,1,FALSE),"ERROR")=A118&amp;"PT","Y","")),"")</f>
        <v/>
      </c>
      <c r="E118" s="3">
        <f>IFERROR(VLOOKUP(A118,PLInter!A:D,3,FALSE),"")</f>
        <v>2495</v>
      </c>
      <c r="F118" s="38">
        <v>595</v>
      </c>
      <c r="K118" s="17" t="str">
        <f>HYPERLINK("#"&amp;ADDRESS(MATCH("LearnMate 7 Bundles",LearnMate7!$A$1:$A$5000,0),1,,,"LearnMate7"),"LMS")</f>
        <v>LMS</v>
      </c>
    </row>
    <row r="119" spans="1:13" ht="18" customHeight="1">
      <c r="A119" s="63" t="s">
        <v>545</v>
      </c>
      <c r="B119" s="63"/>
      <c r="C119" s="63"/>
      <c r="D119" s="63"/>
      <c r="E119" s="63"/>
      <c r="F119" s="63"/>
      <c r="G119" s="63"/>
      <c r="H119" s="63"/>
      <c r="I119" s="63"/>
      <c r="J119" s="63"/>
      <c r="K119" s="63"/>
      <c r="L119" s="63"/>
      <c r="M119" s="63"/>
    </row>
    <row r="120" spans="1:13" ht="18" customHeight="1">
      <c r="A120" t="s">
        <v>546</v>
      </c>
      <c r="B120" s="10" t="s">
        <v>549</v>
      </c>
      <c r="C120" s="29" t="str">
        <f>IFERROR(HYPERLINK("#"&amp;ADDRESS(MATCH(A120&amp;"ES",'LM7 Non-ENG'!$A$1:$A$5000,0),1,,,"LM7 Non-ENG"),IF(IFERROR(VLOOKUP(A120&amp;"ES",'LM7 Non-ENG'!$A$1:$A$4999,1,FALSE),"ERROR")=A120&amp;"ES","Y","")),"")</f>
        <v>Y</v>
      </c>
      <c r="D120" s="29" t="str">
        <f>IFERROR(HYPERLINK("#"&amp;ADDRESS(MATCH(A120&amp;"PT",'LM7 Non-ENG'!$A$1:$A$5000,0),1,,,"LM7 Non-ENG"),IF(IFERROR(VLOOKUP(A120&amp;"PT",'LM7 Non-ENG'!$A$1:$A$5000,1,FALSE),"ERROR")=A120&amp;"PT","Y","")),"")</f>
        <v/>
      </c>
      <c r="E120" s="3">
        <f>IFERROR(VLOOKUP(A120,PLInter!A:D,3,FALSE),"")</f>
        <v>2995</v>
      </c>
      <c r="F120" s="38">
        <v>2995</v>
      </c>
      <c r="K120" s="17" t="str">
        <f>HYPERLINK("#"&amp;ADDRESS(MATCH("LearnMate 7 Bundles",LearnMate7!$A$1:$A$5000,0),1,,,"LearnMate7"),"LMS")</f>
        <v>LMS</v>
      </c>
    </row>
    <row r="121" spans="1:13" ht="18" customHeight="1">
      <c r="A121" t="s">
        <v>547</v>
      </c>
      <c r="B121" s="10" t="s">
        <v>550</v>
      </c>
      <c r="C121" s="29" t="str">
        <f>IFERROR(HYPERLINK("#"&amp;ADDRESS(MATCH(A121&amp;"ES",'LM7 Non-ENG'!$A$1:$A$5000,0),1,,,"LM7 Non-ENG"),IF(IFERROR(VLOOKUP(A121&amp;"ES",'LM7 Non-ENG'!$A$1:$A$4999,1,FALSE),"ERROR")=A121&amp;"ES","Y","")),"")</f>
        <v>Y</v>
      </c>
      <c r="D121" s="29" t="str">
        <f>IFERROR(HYPERLINK("#"&amp;ADDRESS(MATCH(A121&amp;"PT",'LM7 Non-ENG'!$A$1:$A$5000,0),1,,,"LM7 Non-ENG"),IF(IFERROR(VLOOKUP(A121&amp;"PT",'LM7 Non-ENG'!$A$1:$A$5000,1,FALSE),"ERROR")=A121&amp;"PT","Y","")),"")</f>
        <v/>
      </c>
      <c r="E121" s="3">
        <f>IFERROR(VLOOKUP(A121,PLInter!A:D,3,FALSE),"")</f>
        <v>2995</v>
      </c>
      <c r="F121" s="38">
        <v>2995</v>
      </c>
      <c r="K121" s="17" t="str">
        <f>HYPERLINK("#"&amp;ADDRESS(MATCH("LearnMate 7 Bundles",LearnMate7!$A$1:$A$5000,0),1,,,"LearnMate7"),"LMS")</f>
        <v>LMS</v>
      </c>
    </row>
    <row r="122" spans="1:13" ht="18" customHeight="1">
      <c r="A122" t="s">
        <v>548</v>
      </c>
      <c r="B122" s="10" t="s">
        <v>551</v>
      </c>
      <c r="C122" s="29" t="str">
        <f>IFERROR(HYPERLINK("#"&amp;ADDRESS(MATCH(A122&amp;"ES",'LM7 Non-ENG'!$A$1:$A$5000,0),1,,,"LM7 Non-ENG"),IF(IFERROR(VLOOKUP(A122&amp;"ES",'LM7 Non-ENG'!$A$1:$A$4999,1,FALSE),"ERROR")=A122&amp;"ES","Y","")),"")</f>
        <v>Y</v>
      </c>
      <c r="D122" s="29" t="str">
        <f>IFERROR(HYPERLINK("#"&amp;ADDRESS(MATCH(A122&amp;"PT",'LM7 Non-ENG'!$A$1:$A$5000,0),1,,,"LM7 Non-ENG"),IF(IFERROR(VLOOKUP(A122&amp;"PT",'LM7 Non-ENG'!$A$1:$A$5000,1,FALSE),"ERROR")=A122&amp;"PT","Y","")),"")</f>
        <v/>
      </c>
      <c r="E122" s="3">
        <f>IFERROR(VLOOKUP(A122,PLInter!A:D,3,FALSE),"")</f>
        <v>2495</v>
      </c>
      <c r="F122" s="38">
        <v>2495</v>
      </c>
      <c r="K122" s="17" t="str">
        <f>HYPERLINK("#"&amp;ADDRESS(MATCH("LearnMate 7 Bundles",LearnMate7!$A$1:$A$5000,0),1,,,"LearnMate7"),"LMS")</f>
        <v>LMS</v>
      </c>
    </row>
    <row r="123" spans="1:13" ht="18" customHeight="1">
      <c r="A123" s="63" t="s">
        <v>552</v>
      </c>
      <c r="B123" s="63"/>
      <c r="C123" s="63"/>
      <c r="D123" s="63"/>
      <c r="E123" s="63"/>
      <c r="F123" s="63"/>
      <c r="G123" s="63"/>
      <c r="H123" s="63"/>
      <c r="I123" s="63"/>
      <c r="J123" s="63"/>
      <c r="K123" s="63"/>
      <c r="L123" s="63"/>
      <c r="M123" s="63"/>
    </row>
    <row r="124" spans="1:13" ht="18" customHeight="1">
      <c r="A124" t="s">
        <v>553</v>
      </c>
      <c r="B124" s="10" t="str">
        <f>"-CNCMotion Simulation Sftwr for BenchMill 6000"</f>
        <v>-CNCMotion Simulation Sftwr for BenchMill 6000</v>
      </c>
      <c r="C124" s="29" t="str">
        <f>IFERROR(HYPERLINK("#"&amp;ADDRESS(MATCH(A124&amp;"ES",'LM7 Non-ENG'!$A$1:$A$5000,0),1,,,"LM7 Non-ENG"),IF(IFERROR(VLOOKUP(A124&amp;"ES",'LM7 Non-ENG'!$A$1:$A$4999,1,FALSE),"ERROR")=A124&amp;"ES","Y","")),"")</f>
        <v/>
      </c>
      <c r="D124" s="29" t="str">
        <f>IFERROR(HYPERLINK("#"&amp;ADDRESS(MATCH(A124&amp;"PT",'LM7 Non-ENG'!$A$1:$A$5000,0),1,,,"LM7 Non-ENG"),IF(IFERROR(VLOOKUP(A124&amp;"PT",'LM7 Non-ENG'!$A$1:$A$5000,1,FALSE),"ERROR")=A124&amp;"PT","Y","")),"")</f>
        <v/>
      </c>
      <c r="E124" s="3">
        <f>IFERROR(VLOOKUP(A124,PLInter!A:D,3,FALSE),"")</f>
        <v>500</v>
      </c>
      <c r="F124" s="38">
        <v>500</v>
      </c>
    </row>
    <row r="125" spans="1:13" ht="18" customHeight="1">
      <c r="A125" t="s">
        <v>554</v>
      </c>
      <c r="B125" s="10" t="str">
        <f>"Ten seat license for BenchMill6000 vir.sim.cnrl"</f>
        <v>Ten seat license for BenchMill6000 vir.sim.cnrl</v>
      </c>
      <c r="C125" s="29" t="str">
        <f>IFERROR(HYPERLINK("#"&amp;ADDRESS(MATCH(A125&amp;"ES",'LM7 Non-ENG'!$A$1:$A$5000,0),1,,,"LM7 Non-ENG"),IF(IFERROR(VLOOKUP(A125&amp;"ES",'LM7 Non-ENG'!$A$1:$A$4999,1,FALSE),"ERROR")=A125&amp;"ES","Y","")),"")</f>
        <v/>
      </c>
      <c r="D125" s="29" t="str">
        <f>IFERROR(HYPERLINK("#"&amp;ADDRESS(MATCH(A125&amp;"PT",'LM7 Non-ENG'!$A$1:$A$5000,0),1,,,"LM7 Non-ENG"),IF(IFERROR(VLOOKUP(A125&amp;"PT",'LM7 Non-ENG'!$A$1:$A$5000,1,FALSE),"ERROR")=A125&amp;"PT","Y","")),"")</f>
        <v/>
      </c>
      <c r="E125" s="3">
        <f>IFERROR(VLOOKUP(A125,PLInter!A:D,3,FALSE),"")</f>
        <v>1495</v>
      </c>
      <c r="F125" s="38">
        <v>1495</v>
      </c>
    </row>
    <row r="126" spans="1:13" ht="18" customHeight="1">
      <c r="A126" t="s">
        <v>555</v>
      </c>
      <c r="B126" s="10" t="str">
        <f>"Thirty seat license for BenchMill6000 vir.sim.cn"</f>
        <v>Thirty seat license for BenchMill6000 vir.sim.cn</v>
      </c>
      <c r="C126" s="29" t="str">
        <f>IFERROR(HYPERLINK("#"&amp;ADDRESS(MATCH(A126&amp;"ES",'LM7 Non-ENG'!$A$1:$A$5000,0),1,,,"LM7 Non-ENG"),IF(IFERROR(VLOOKUP(A126&amp;"ES",'LM7 Non-ENG'!$A$1:$A$4999,1,FALSE),"ERROR")=A126&amp;"ES","Y","")),"")</f>
        <v/>
      </c>
      <c r="D126" s="29" t="str">
        <f>IFERROR(HYPERLINK("#"&amp;ADDRESS(MATCH(A126&amp;"PT",'LM7 Non-ENG'!$A$1:$A$5000,0),1,,,"LM7 Non-ENG"),IF(IFERROR(VLOOKUP(A126&amp;"PT",'LM7 Non-ENG'!$A$1:$A$5000,1,FALSE),"ERROR")=A126&amp;"PT","Y","")),"")</f>
        <v/>
      </c>
      <c r="E126" s="3">
        <f>IFERROR(VLOOKUP(A126,PLInter!A:D,3,FALSE),"")</f>
        <v>1995</v>
      </c>
      <c r="F126" s="38">
        <v>1995</v>
      </c>
    </row>
    <row r="127" spans="1:13" ht="18" customHeight="1">
      <c r="A127" t="s">
        <v>556</v>
      </c>
      <c r="B127" s="10" t="str">
        <f>"-CNCMotion for BenchTurn 7000"</f>
        <v>-CNCMotion for BenchTurn 7000</v>
      </c>
      <c r="C127" s="29" t="str">
        <f>IFERROR(HYPERLINK("#"&amp;ADDRESS(MATCH(A127&amp;"ES",'LM7 Non-ENG'!$A$1:$A$5000,0),1,,,"LM7 Non-ENG"),IF(IFERROR(VLOOKUP(A127&amp;"ES",'LM7 Non-ENG'!$A$1:$A$4999,1,FALSE),"ERROR")=A127&amp;"ES","Y","")),"")</f>
        <v/>
      </c>
      <c r="D127" s="29" t="str">
        <f>IFERROR(HYPERLINK("#"&amp;ADDRESS(MATCH(A127&amp;"PT",'LM7 Non-ENG'!$A$1:$A$5000,0),1,,,"LM7 Non-ENG"),IF(IFERROR(VLOOKUP(A127&amp;"PT",'LM7 Non-ENG'!$A$1:$A$5000,1,FALSE),"ERROR")=A127&amp;"PT","Y","")),"")</f>
        <v/>
      </c>
      <c r="E127" s="3">
        <f>IFERROR(VLOOKUP(A127,PLInter!A:D,3,FALSE),"")</f>
        <v>500</v>
      </c>
      <c r="F127" s="38">
        <v>500</v>
      </c>
    </row>
    <row r="128" spans="1:13" ht="18" customHeight="1">
      <c r="A128" t="s">
        <v>557</v>
      </c>
      <c r="B128" s="10" t="str">
        <f>"Ten seat license Fanuc Emulator  BenchTurn 7000"</f>
        <v>Ten seat license Fanuc Emulator  BenchTurn 7000</v>
      </c>
      <c r="C128" s="29" t="str">
        <f>IFERROR(HYPERLINK("#"&amp;ADDRESS(MATCH(A128&amp;"ES",'LM7 Non-ENG'!$A$1:$A$5000,0),1,,,"LM7 Non-ENG"),IF(IFERROR(VLOOKUP(A128&amp;"ES",'LM7 Non-ENG'!$A$1:$A$4999,1,FALSE),"ERROR")=A128&amp;"ES","Y","")),"")</f>
        <v/>
      </c>
      <c r="D128" s="29" t="str">
        <f>IFERROR(HYPERLINK("#"&amp;ADDRESS(MATCH(A128&amp;"PT",'LM7 Non-ENG'!$A$1:$A$5000,0),1,,,"LM7 Non-ENG"),IF(IFERROR(VLOOKUP(A128&amp;"PT",'LM7 Non-ENG'!$A$1:$A$5000,1,FALSE),"ERROR")=A128&amp;"PT","Y","")),"")</f>
        <v/>
      </c>
      <c r="E128" s="3">
        <f>IFERROR(VLOOKUP(A128,PLInter!A:D,3,FALSE),"")</f>
        <v>1495</v>
      </c>
      <c r="F128" s="38">
        <v>1495</v>
      </c>
    </row>
    <row r="129" spans="1:6" ht="18" customHeight="1">
      <c r="A129" t="s">
        <v>558</v>
      </c>
      <c r="B129" s="10" t="str">
        <f>"30 Seat License, Fanuc Emulator, BenchTurn 7000"</f>
        <v>30 Seat License, Fanuc Emulator, BenchTurn 7000</v>
      </c>
      <c r="C129" s="29" t="str">
        <f>IFERROR(HYPERLINK("#"&amp;ADDRESS(MATCH(A129&amp;"ES",'LM7 Non-ENG'!$A$1:$A$5000,0),1,,,"LM7 Non-ENG"),IF(IFERROR(VLOOKUP(A129&amp;"ES",'LM7 Non-ENG'!$A$1:$A$4999,1,FALSE),"ERROR")=A129&amp;"ES","Y","")),"")</f>
        <v/>
      </c>
      <c r="D129" s="29" t="str">
        <f>IFERROR(HYPERLINK("#"&amp;ADDRESS(MATCH(A129&amp;"PT",'LM7 Non-ENG'!$A$1:$A$5000,0),1,,,"LM7 Non-ENG"),IF(IFERROR(VLOOKUP(A129&amp;"PT",'LM7 Non-ENG'!$A$1:$A$5000,1,FALSE),"ERROR")=A129&amp;"PT","Y","")),"")</f>
        <v/>
      </c>
      <c r="E129" s="3" t="str">
        <f>IFERROR(VLOOKUP(A129,PLInter!A:D,3,FALSE),"")</f>
        <v/>
      </c>
      <c r="F129" s="38">
        <v>1995</v>
      </c>
    </row>
    <row r="130" spans="1:6" ht="18" customHeight="1">
      <c r="A130" t="s">
        <v>559</v>
      </c>
      <c r="B130" s="10" t="str">
        <f>"-CNCMotion for ProMill 8000"</f>
        <v>-CNCMotion for ProMill 8000</v>
      </c>
      <c r="C130" s="29" t="str">
        <f>IFERROR(HYPERLINK("#"&amp;ADDRESS(MATCH(A130&amp;"ES",'LM7 Non-ENG'!$A$1:$A$5000,0),1,,,"LM7 Non-ENG"),IF(IFERROR(VLOOKUP(A130&amp;"ES",'LM7 Non-ENG'!$A$1:$A$4999,1,FALSE),"ERROR")=A130&amp;"ES","Y","")),"")</f>
        <v/>
      </c>
      <c r="D130" s="29" t="str">
        <f>IFERROR(HYPERLINK("#"&amp;ADDRESS(MATCH(A130&amp;"PT",'LM7 Non-ENG'!$A$1:$A$5000,0),1,,,"LM7 Non-ENG"),IF(IFERROR(VLOOKUP(A130&amp;"PT",'LM7 Non-ENG'!$A$1:$A$5000,1,FALSE),"ERROR")=A130&amp;"PT","Y","")),"")</f>
        <v/>
      </c>
      <c r="E130" s="3">
        <f>IFERROR(VLOOKUP(A130,PLInter!A:D,3,FALSE),"")</f>
        <v>500</v>
      </c>
      <c r="F130" s="38">
        <v>500</v>
      </c>
    </row>
    <row r="131" spans="1:6" ht="18" customHeight="1">
      <c r="A131" t="s">
        <v>560</v>
      </c>
      <c r="B131" s="10" t="str">
        <f>"Ten seat license for ProMill6000 vir.sim.cnrl"</f>
        <v>Ten seat license for ProMill6000 vir.sim.cnrl</v>
      </c>
      <c r="C131" s="29" t="str">
        <f>IFERROR(HYPERLINK("#"&amp;ADDRESS(MATCH(A131&amp;"ES",'LM7 Non-ENG'!$A$1:$A$5000,0),1,,,"LM7 Non-ENG"),IF(IFERROR(VLOOKUP(A131&amp;"ES",'LM7 Non-ENG'!$A$1:$A$4999,1,FALSE),"ERROR")=A131&amp;"ES","Y","")),"")</f>
        <v/>
      </c>
      <c r="D131" s="29" t="str">
        <f>IFERROR(HYPERLINK("#"&amp;ADDRESS(MATCH(A131&amp;"PT",'LM7 Non-ENG'!$A$1:$A$5000,0),1,,,"LM7 Non-ENG"),IF(IFERROR(VLOOKUP(A131&amp;"PT",'LM7 Non-ENG'!$A$1:$A$5000,1,FALSE),"ERROR")=A131&amp;"PT","Y","")),"")</f>
        <v/>
      </c>
      <c r="E131" s="3">
        <f>IFERROR(VLOOKUP(A131,PLInter!A:D,3,FALSE),"")</f>
        <v>1495</v>
      </c>
      <c r="F131" s="38">
        <v>1495</v>
      </c>
    </row>
    <row r="132" spans="1:6" ht="18" customHeight="1">
      <c r="A132" t="s">
        <v>561</v>
      </c>
      <c r="B132" s="10" t="str">
        <f>"Thirty seat license for ProMill6000 vir.sim.cnrl"</f>
        <v>Thirty seat license for ProMill6000 vir.sim.cnrl</v>
      </c>
      <c r="C132" s="29" t="str">
        <f>IFERROR(HYPERLINK("#"&amp;ADDRESS(MATCH(A132&amp;"ES",'LM7 Non-ENG'!$A$1:$A$5000,0),1,,,"LM7 Non-ENG"),IF(IFERROR(VLOOKUP(A132&amp;"ES",'LM7 Non-ENG'!$A$1:$A$4999,1,FALSE),"ERROR")=A132&amp;"ES","Y","")),"")</f>
        <v/>
      </c>
      <c r="D132" s="29" t="str">
        <f>IFERROR(HYPERLINK("#"&amp;ADDRESS(MATCH(A132&amp;"PT",'LM7 Non-ENG'!$A$1:$A$5000,0),1,,,"LM7 Non-ENG"),IF(IFERROR(VLOOKUP(A132&amp;"PT",'LM7 Non-ENG'!$A$1:$A$5000,1,FALSE),"ERROR")=A132&amp;"PT","Y","")),"")</f>
        <v/>
      </c>
      <c r="E132" s="3">
        <f>IFERROR(VLOOKUP(A132,PLInter!A:D,3,FALSE),"")</f>
        <v>1995</v>
      </c>
      <c r="F132" s="38">
        <v>1995</v>
      </c>
    </row>
    <row r="133" spans="1:6" ht="18" customHeight="1">
      <c r="A133" t="s">
        <v>562</v>
      </c>
      <c r="B133" s="10" t="str">
        <f>"-CNCMotion for ProTurn 9000"</f>
        <v>-CNCMotion for ProTurn 9000</v>
      </c>
      <c r="C133" s="29" t="str">
        <f>IFERROR(HYPERLINK("#"&amp;ADDRESS(MATCH(A133&amp;"ES",'LM7 Non-ENG'!$A$1:$A$5000,0),1,,,"LM7 Non-ENG"),IF(IFERROR(VLOOKUP(A133&amp;"ES",'LM7 Non-ENG'!$A$1:$A$4999,1,FALSE),"ERROR")=A133&amp;"ES","Y","")),"")</f>
        <v/>
      </c>
      <c r="D133" s="29" t="str">
        <f>IFERROR(HYPERLINK("#"&amp;ADDRESS(MATCH(A133&amp;"PT",'LM7 Non-ENG'!$A$1:$A$5000,0),1,,,"LM7 Non-ENG"),IF(IFERROR(VLOOKUP(A133&amp;"PT",'LM7 Non-ENG'!$A$1:$A$5000,1,FALSE),"ERROR")=A133&amp;"PT","Y","")),"")</f>
        <v/>
      </c>
      <c r="E133" s="3">
        <f>IFERROR(VLOOKUP(A133,PLInter!A:D,3,FALSE),"")</f>
        <v>500</v>
      </c>
      <c r="F133" s="38">
        <v>500</v>
      </c>
    </row>
    <row r="134" spans="1:6" ht="18" customHeight="1">
      <c r="A134" t="s">
        <v>563</v>
      </c>
      <c r="B134" s="10" t="str">
        <f>"CNCMotion for ProTurn 9000, add-on License"</f>
        <v>CNCMotion for ProTurn 9000, add-on License</v>
      </c>
      <c r="C134" s="29" t="str">
        <f>IFERROR(HYPERLINK("#"&amp;ADDRESS(MATCH(A134&amp;"ES",'LM7 Non-ENG'!$A$1:$A$5000,0),1,,,"LM7 Non-ENG"),IF(IFERROR(VLOOKUP(A134&amp;"ES",'LM7 Non-ENG'!$A$1:$A$4999,1,FALSE),"ERROR")=A134&amp;"ES","Y","")),"")</f>
        <v/>
      </c>
      <c r="D134" s="29" t="str">
        <f>IFERROR(HYPERLINK("#"&amp;ADDRESS(MATCH(A134&amp;"PT",'LM7 Non-ENG'!$A$1:$A$5000,0),1,,,"LM7 Non-ENG"),IF(IFERROR(VLOOKUP(A134&amp;"PT",'LM7 Non-ENG'!$A$1:$A$5000,1,FALSE),"ERROR")=A134&amp;"PT","Y","")),"")</f>
        <v/>
      </c>
      <c r="E134" s="3">
        <f>IFERROR(VLOOKUP(A134,PLInter!A:D,3,FALSE),"")</f>
        <v>1495</v>
      </c>
      <c r="F134" s="38">
        <v>1495</v>
      </c>
    </row>
    <row r="135" spans="1:6" ht="18" customHeight="1">
      <c r="A135" t="s">
        <v>564</v>
      </c>
      <c r="B135" s="10" t="str">
        <f>"Thirty seat license ProTurn 9000 vir.sim.cnrl"</f>
        <v>Thirty seat license ProTurn 9000 vir.sim.cnrl</v>
      </c>
      <c r="C135" s="29" t="str">
        <f>IFERROR(HYPERLINK("#"&amp;ADDRESS(MATCH(A135&amp;"ES",'LM7 Non-ENG'!$A$1:$A$5000,0),1,,,"LM7 Non-ENG"),IF(IFERROR(VLOOKUP(A135&amp;"ES",'LM7 Non-ENG'!$A$1:$A$4999,1,FALSE),"ERROR")=A135&amp;"ES","Y","")),"")</f>
        <v/>
      </c>
      <c r="D135" s="29" t="str">
        <f>IFERROR(HYPERLINK("#"&amp;ADDRESS(MATCH(A135&amp;"PT",'LM7 Non-ENG'!$A$1:$A$5000,0),1,,,"LM7 Non-ENG"),IF(IFERROR(VLOOKUP(A135&amp;"PT",'LM7 Non-ENG'!$A$1:$A$5000,1,FALSE),"ERROR")=A135&amp;"PT","Y","")),"")</f>
        <v/>
      </c>
      <c r="E135" s="3">
        <f>IFERROR(VLOOKUP(A135,PLInter!A:D,3,FALSE),"")</f>
        <v>1995</v>
      </c>
      <c r="F135" s="38">
        <v>1995</v>
      </c>
    </row>
    <row r="136" spans="1:6" ht="18" customHeight="1">
      <c r="A136" t="s">
        <v>565</v>
      </c>
      <c r="B136" s="10" t="str">
        <f>"Fanuc Simulation Sftwr for BenchMill 6000"</f>
        <v>Fanuc Simulation Sftwr for BenchMill 6000</v>
      </c>
      <c r="C136" s="29" t="str">
        <f>IFERROR(HYPERLINK("#"&amp;ADDRESS(MATCH(A136&amp;"ES",'LM7 Non-ENG'!$A$1:$A$5000,0),1,,,"LM7 Non-ENG"),IF(IFERROR(VLOOKUP(A136&amp;"ES",'LM7 Non-ENG'!$A$1:$A$4999,1,FALSE),"ERROR")=A136&amp;"ES","Y","")),"")</f>
        <v/>
      </c>
      <c r="D136" s="29" t="str">
        <f>IFERROR(HYPERLINK("#"&amp;ADDRESS(MATCH(A136&amp;"PT",'LM7 Non-ENG'!$A$1:$A$5000,0),1,,,"LM7 Non-ENG"),IF(IFERROR(VLOOKUP(A136&amp;"PT",'LM7 Non-ENG'!$A$1:$A$5000,1,FALSE),"ERROR")=A136&amp;"PT","Y","")),"")</f>
        <v/>
      </c>
      <c r="E136" s="3">
        <f>IFERROR(VLOOKUP(A136,PLInter!A:D,3,FALSE),"")</f>
        <v>500</v>
      </c>
      <c r="F136" s="38">
        <v>500</v>
      </c>
    </row>
    <row r="137" spans="1:6" ht="18" customHeight="1">
      <c r="A137" t="s">
        <v>566</v>
      </c>
      <c r="B137" s="10" t="str">
        <f>"Ten seat license  Fanuc Emulator BenchMill 6000"</f>
        <v>Ten seat license  Fanuc Emulator BenchMill 6000</v>
      </c>
      <c r="C137" s="29" t="str">
        <f>IFERROR(HYPERLINK("#"&amp;ADDRESS(MATCH(A137&amp;"ES",'LM7 Non-ENG'!$A$1:$A$5000,0),1,,,"LM7 Non-ENG"),IF(IFERROR(VLOOKUP(A137&amp;"ES",'LM7 Non-ENG'!$A$1:$A$4999,1,FALSE),"ERROR")=A137&amp;"ES","Y","")),"")</f>
        <v/>
      </c>
      <c r="D137" s="29" t="str">
        <f>IFERROR(HYPERLINK("#"&amp;ADDRESS(MATCH(A137&amp;"PT",'LM7 Non-ENG'!$A$1:$A$5000,0),1,,,"LM7 Non-ENG"),IF(IFERROR(VLOOKUP(A137&amp;"PT",'LM7 Non-ENG'!$A$1:$A$5000,1,FALSE),"ERROR")=A137&amp;"PT","Y","")),"")</f>
        <v/>
      </c>
      <c r="E137" s="3">
        <f>IFERROR(VLOOKUP(A137,PLInter!A:D,3,FALSE),"")</f>
        <v>1495</v>
      </c>
      <c r="F137" s="38">
        <v>1495</v>
      </c>
    </row>
    <row r="138" spans="1:6" ht="18" customHeight="1">
      <c r="A138" t="s">
        <v>567</v>
      </c>
      <c r="B138" s="10" t="str">
        <f>"Thirty seat license  Fanuc Emulator BenchMill 60"</f>
        <v>Thirty seat license  Fanuc Emulator BenchMill 60</v>
      </c>
      <c r="C138" s="29" t="str">
        <f>IFERROR(HYPERLINK("#"&amp;ADDRESS(MATCH(A138&amp;"ES",'LM7 Non-ENG'!$A$1:$A$5000,0),1,,,"LM7 Non-ENG"),IF(IFERROR(VLOOKUP(A138&amp;"ES",'LM7 Non-ENG'!$A$1:$A$4999,1,FALSE),"ERROR")=A138&amp;"ES","Y","")),"")</f>
        <v/>
      </c>
      <c r="D138" s="29" t="str">
        <f>IFERROR(HYPERLINK("#"&amp;ADDRESS(MATCH(A138&amp;"PT",'LM7 Non-ENG'!$A$1:$A$5000,0),1,,,"LM7 Non-ENG"),IF(IFERROR(VLOOKUP(A138&amp;"PT",'LM7 Non-ENG'!$A$1:$A$5000,1,FALSE),"ERROR")=A138&amp;"PT","Y","")),"")</f>
        <v/>
      </c>
      <c r="E138" s="3">
        <f>IFERROR(VLOOKUP(A138,PLInter!A:D,3,FALSE),"")</f>
        <v>1995</v>
      </c>
      <c r="F138" s="38">
        <v>1995</v>
      </c>
    </row>
    <row r="139" spans="1:6" ht="18" customHeight="1">
      <c r="A139" t="s">
        <v>568</v>
      </c>
      <c r="B139" s="10" t="str">
        <f>"SpectraCAD Engraver software – Download Only"</f>
        <v>SpectraCAD Engraver software – Download Only</v>
      </c>
      <c r="C139" s="29" t="str">
        <f>IFERROR(HYPERLINK("#"&amp;ADDRESS(MATCH(A139&amp;"ES",'LM7 Non-ENG'!$A$1:$A$5000,0),1,,,"LM7 Non-ENG"),IF(IFERROR(VLOOKUP(A139&amp;"ES",'LM7 Non-ENG'!$A$1:$A$4999,1,FALSE),"ERROR")=A139&amp;"ES","Y","")),"")</f>
        <v/>
      </c>
      <c r="D139" s="29" t="str">
        <f>IFERROR(HYPERLINK("#"&amp;ADDRESS(MATCH(A139&amp;"PT",'LM7 Non-ENG'!$A$1:$A$5000,0),1,,,"LM7 Non-ENG"),IF(IFERROR(VLOOKUP(A139&amp;"PT",'LM7 Non-ENG'!$A$1:$A$5000,1,FALSE),"ERROR")=A139&amp;"PT","Y","")),"")</f>
        <v/>
      </c>
      <c r="E139" s="3">
        <f>IFERROR(VLOOKUP(A139,PLInter!A:D,3,FALSE),"")</f>
        <v>500</v>
      </c>
      <c r="F139" s="38">
        <v>500</v>
      </c>
    </row>
    <row r="140" spans="1:6" ht="18" customHeight="1">
      <c r="A140" t="s">
        <v>569</v>
      </c>
      <c r="B140" s="10" t="str">
        <f>"Software, SpectraCAM Milling"</f>
        <v>Software, SpectraCAM Milling</v>
      </c>
      <c r="C140" s="29" t="str">
        <f>IFERROR(HYPERLINK("#"&amp;ADDRESS(MATCH(A140&amp;"ES",'LM7 Non-ENG'!$A$1:$A$5000,0),1,,,"LM7 Non-ENG"),IF(IFERROR(VLOOKUP(A140&amp;"ES",'LM7 Non-ENG'!$A$1:$A$4999,1,FALSE),"ERROR")=A140&amp;"ES","Y","")),"")</f>
        <v/>
      </c>
      <c r="D140" s="29" t="str">
        <f>IFERROR(HYPERLINK("#"&amp;ADDRESS(MATCH(A140&amp;"PT",'LM7 Non-ENG'!$A$1:$A$5000,0),1,,,"LM7 Non-ENG"),IF(IFERROR(VLOOKUP(A140&amp;"PT",'LM7 Non-ENG'!$A$1:$A$5000,1,FALSE),"ERROR")=A140&amp;"PT","Y","")),"")</f>
        <v/>
      </c>
      <c r="E140" s="3">
        <f>IFERROR(VLOOKUP(A140,PLInter!A:D,3,FALSE),"")</f>
        <v>500</v>
      </c>
      <c r="F140" s="38">
        <v>500</v>
      </c>
    </row>
    <row r="141" spans="1:6" ht="18" customHeight="1">
      <c r="A141" s="18" t="s">
        <v>570</v>
      </c>
      <c r="B141" s="10" t="s">
        <v>575</v>
      </c>
      <c r="C141" s="29" t="str">
        <f>IFERROR(HYPERLINK("#"&amp;ADDRESS(MATCH(A141&amp;"ES",'LM7 Non-ENG'!$A$1:$A$5000,0),1,,,"LM7 Non-ENG"),IF(IFERROR(VLOOKUP(A141&amp;"ES",'LM7 Non-ENG'!$A$1:$A$4999,1,FALSE),"ERROR")=A141&amp;"ES","Y","")),"")</f>
        <v/>
      </c>
      <c r="D141" s="29" t="str">
        <f>IFERROR(HYPERLINK("#"&amp;ADDRESS(MATCH(A141&amp;"PT",'LM7 Non-ENG'!$A$1:$A$5000,0),1,,,"LM7 Non-ENG"),IF(IFERROR(VLOOKUP(A141&amp;"PT",'LM7 Non-ENG'!$A$1:$A$5000,1,FALSE),"ERROR")=A141&amp;"PT","Y","")),"")</f>
        <v/>
      </c>
      <c r="E141" s="3" t="str">
        <f>IFERROR(VLOOKUP(A141,PLInter!A:D,3,FALSE),"")</f>
        <v/>
      </c>
      <c r="F141" s="38">
        <v>1495</v>
      </c>
    </row>
    <row r="142" spans="1:6" ht="18" customHeight="1">
      <c r="A142" s="18" t="s">
        <v>571</v>
      </c>
      <c r="B142" s="10" t="s">
        <v>576</v>
      </c>
      <c r="C142" s="29" t="str">
        <f>IFERROR(HYPERLINK("#"&amp;ADDRESS(MATCH(A142&amp;"ES",'LM7 Non-ENG'!$A$1:$A$5000,0),1,,,"LM7 Non-ENG"),IF(IFERROR(VLOOKUP(A142&amp;"ES",'LM7 Non-ENG'!$A$1:$A$4999,1,FALSE),"ERROR")=A142&amp;"ES","Y","")),"")</f>
        <v/>
      </c>
      <c r="D142" s="29" t="str">
        <f>IFERROR(HYPERLINK("#"&amp;ADDRESS(MATCH(A142&amp;"PT",'LM7 Non-ENG'!$A$1:$A$5000,0),1,,,"LM7 Non-ENG"),IF(IFERROR(VLOOKUP(A142&amp;"PT",'LM7 Non-ENG'!$A$1:$A$5000,1,FALSE),"ERROR")=A142&amp;"PT","Y","")),"")</f>
        <v/>
      </c>
      <c r="E142" s="3" t="str">
        <f>IFERROR(VLOOKUP(A142,PLInter!A:D,3,FALSE),"")</f>
        <v/>
      </c>
      <c r="F142" s="38">
        <v>1995</v>
      </c>
    </row>
    <row r="143" spans="1:6" ht="18" customHeight="1">
      <c r="A143" t="s">
        <v>572</v>
      </c>
      <c r="B143" s="10" t="str">
        <f>"Software, SpectraCAM Turning"</f>
        <v>Software, SpectraCAM Turning</v>
      </c>
      <c r="C143" s="29" t="str">
        <f>IFERROR(HYPERLINK("#"&amp;ADDRESS(MATCH(A143&amp;"ES",'LM7 Non-ENG'!$A$1:$A$5000,0),1,,,"LM7 Non-ENG"),IF(IFERROR(VLOOKUP(A143&amp;"ES",'LM7 Non-ENG'!$A$1:$A$4999,1,FALSE),"ERROR")=A143&amp;"ES","Y","")),"")</f>
        <v/>
      </c>
      <c r="D143" s="29" t="str">
        <f>IFERROR(HYPERLINK("#"&amp;ADDRESS(MATCH(A143&amp;"PT",'LM7 Non-ENG'!$A$1:$A$5000,0),1,,,"LM7 Non-ENG"),IF(IFERROR(VLOOKUP(A143&amp;"PT",'LM7 Non-ENG'!$A$1:$A$5000,1,FALSE),"ERROR")=A143&amp;"PT","Y","")),"")</f>
        <v/>
      </c>
      <c r="E143" s="3">
        <f>IFERROR(VLOOKUP(A143,PLInter!A:D,3,FALSE),"")</f>
        <v>500</v>
      </c>
      <c r="F143" s="38">
        <v>500</v>
      </c>
    </row>
    <row r="144" spans="1:6" ht="18" customHeight="1">
      <c r="A144" s="18" t="s">
        <v>573</v>
      </c>
      <c r="B144" s="10" t="s">
        <v>577</v>
      </c>
      <c r="C144" s="29" t="str">
        <f>IFERROR(HYPERLINK("#"&amp;ADDRESS(MATCH(A144&amp;"ES",'LM7 Non-ENG'!$A$1:$A$5000,0),1,,,"LM7 Non-ENG"),IF(IFERROR(VLOOKUP(A144&amp;"ES",'LM7 Non-ENG'!$A$1:$A$4999,1,FALSE),"ERROR")=A144&amp;"ES","Y","")),"")</f>
        <v/>
      </c>
      <c r="D144" s="29" t="str">
        <f>IFERROR(HYPERLINK("#"&amp;ADDRESS(MATCH(A144&amp;"PT",'LM7 Non-ENG'!$A$1:$A$5000,0),1,,,"LM7 Non-ENG"),IF(IFERROR(VLOOKUP(A144&amp;"PT",'LM7 Non-ENG'!$A$1:$A$5000,1,FALSE),"ERROR")=A144&amp;"PT","Y","")),"")</f>
        <v/>
      </c>
      <c r="E144" s="3" t="str">
        <f>IFERROR(VLOOKUP(A144,PLInter!A:D,3,FALSE),"")</f>
        <v/>
      </c>
      <c r="F144" s="38">
        <v>1495</v>
      </c>
    </row>
    <row r="145" spans="1:13" ht="18" customHeight="1">
      <c r="A145" s="18" t="s">
        <v>574</v>
      </c>
      <c r="B145" s="10" t="s">
        <v>578</v>
      </c>
      <c r="C145" s="29" t="str">
        <f>IFERROR(HYPERLINK("#"&amp;ADDRESS(MATCH(A145&amp;"ES",'LM7 Non-ENG'!$A$1:$A$5000,0),1,,,"LM7 Non-ENG"),IF(IFERROR(VLOOKUP(A145&amp;"ES",'LM7 Non-ENG'!$A$1:$A$4999,1,FALSE),"ERROR")=A145&amp;"ES","Y","")),"")</f>
        <v/>
      </c>
      <c r="D145" s="29" t="str">
        <f>IFERROR(HYPERLINK("#"&amp;ADDRESS(MATCH(A145&amp;"PT",'LM7 Non-ENG'!$A$1:$A$5000,0),1,,,"LM7 Non-ENG"),IF(IFERROR(VLOOKUP(A145&amp;"PT",'LM7 Non-ENG'!$A$1:$A$5000,1,FALSE),"ERROR")=A145&amp;"PT","Y","")),"")</f>
        <v/>
      </c>
      <c r="E145" s="3" t="str">
        <f>IFERROR(VLOOKUP(A145,PLInter!A:D,3,FALSE),"")</f>
        <v/>
      </c>
      <c r="F145" s="38">
        <v>1995</v>
      </c>
    </row>
    <row r="146" spans="1:13" ht="18" customHeight="1">
      <c r="A146" s="63" t="s">
        <v>579</v>
      </c>
      <c r="B146" s="63"/>
      <c r="C146" s="63"/>
      <c r="D146" s="63"/>
      <c r="E146" s="63"/>
      <c r="F146" s="63"/>
      <c r="G146" s="63"/>
      <c r="H146" s="63"/>
      <c r="I146" s="63"/>
      <c r="J146" s="63"/>
      <c r="K146" s="63"/>
      <c r="L146" s="63"/>
      <c r="M146" s="63"/>
    </row>
    <row r="147" spans="1:13" ht="18" customHeight="1">
      <c r="A147" t="s">
        <v>580</v>
      </c>
      <c r="B147" s="10" t="str">
        <f>"Brass Cannon Project Raw Materials Kit"</f>
        <v>Brass Cannon Project Raw Materials Kit</v>
      </c>
      <c r="C147" s="29" t="str">
        <f>IFERROR(HYPERLINK("#"&amp;ADDRESS(MATCH(A147&amp;"ES",'LM7 Non-ENG'!$A$1:$A$5000,0),1,,,"LM7 Non-ENG"),IF(IFERROR(VLOOKUP(A147&amp;"ES",'LM7 Non-ENG'!$A$1:$A$4999,1,FALSE),"ERROR")=A147&amp;"ES","Y","")),"")</f>
        <v/>
      </c>
      <c r="D147" s="29" t="str">
        <f>IFERROR(HYPERLINK("#"&amp;ADDRESS(MATCH(A147&amp;"PT",'LM7 Non-ENG'!$A$1:$A$5000,0),1,,,"LM7 Non-ENG"),IF(IFERROR(VLOOKUP(A147&amp;"PT",'LM7 Non-ENG'!$A$1:$A$5000,1,FALSE),"ERROR")=A147&amp;"PT","Y","")),"")</f>
        <v/>
      </c>
      <c r="E147" s="3">
        <f>IFERROR(VLOOKUP(A147,PLInter!A:D,3,FALSE),"")</f>
        <v>160</v>
      </c>
      <c r="F147" s="38">
        <v>160</v>
      </c>
    </row>
    <row r="148" spans="1:13" ht="18" customHeight="1">
      <c r="A148" t="s">
        <v>581</v>
      </c>
      <c r="B148" s="10" t="str">
        <f>"Project, CO2 Car, LMS"</f>
        <v>Project, CO2 Car, LMS</v>
      </c>
      <c r="C148" s="29" t="str">
        <f>IFERROR(HYPERLINK("#"&amp;ADDRESS(MATCH(A148&amp;"ES",'LM7 Non-ENG'!$A$1:$A$5000,0),1,,,"LM7 Non-ENG"),IF(IFERROR(VLOOKUP(A148&amp;"ES",'LM7 Non-ENG'!$A$1:$A$4999,1,FALSE),"ERROR")=A148&amp;"ES","Y","")),"")</f>
        <v/>
      </c>
      <c r="D148" s="29" t="str">
        <f>IFERROR(HYPERLINK("#"&amp;ADDRESS(MATCH(A148&amp;"PT",'LM7 Non-ENG'!$A$1:$A$5000,0),1,,,"LM7 Non-ENG"),IF(IFERROR(VLOOKUP(A148&amp;"PT",'LM7 Non-ENG'!$A$1:$A$5000,1,FALSE),"ERROR")=A148&amp;"PT","Y","")),"")</f>
        <v/>
      </c>
      <c r="E148" s="3">
        <f>IFERROR(VLOOKUP(A148,PLInter!A:D,3,FALSE),"")</f>
        <v>1995</v>
      </c>
      <c r="F148" s="38">
        <v>3333.3333333333335</v>
      </c>
    </row>
    <row r="149" spans="1:13" ht="18" customHeight="1">
      <c r="A149" t="s">
        <v>582</v>
      </c>
      <c r="B149" s="10" t="str">
        <f>"Consumable Package, CO2 Car Project"</f>
        <v>Consumable Package, CO2 Car Project</v>
      </c>
      <c r="C149" s="29" t="str">
        <f>IFERROR(HYPERLINK("#"&amp;ADDRESS(MATCH(A149&amp;"ES",'LM7 Non-ENG'!$A$1:$A$5000,0),1,,,"LM7 Non-ENG"),IF(IFERROR(VLOOKUP(A149&amp;"ES",'LM7 Non-ENG'!$A$1:$A$4999,1,FALSE),"ERROR")=A149&amp;"ES","Y","")),"")</f>
        <v/>
      </c>
      <c r="D149" s="29" t="str">
        <f>IFERROR(HYPERLINK("#"&amp;ADDRESS(MATCH(A149&amp;"PT",'LM7 Non-ENG'!$A$1:$A$5000,0),1,,,"LM7 Non-ENG"),IF(IFERROR(VLOOKUP(A149&amp;"PT",'LM7 Non-ENG'!$A$1:$A$5000,1,FALSE),"ERROR")=A149&amp;"PT","Y","")),"")</f>
        <v/>
      </c>
      <c r="E149" s="3">
        <f>IFERROR(VLOOKUP(A149,PLInter!A:D,3,FALSE),"")</f>
        <v>480</v>
      </c>
      <c r="F149" s="38">
        <v>700</v>
      </c>
    </row>
    <row r="150" spans="1:13" ht="18" customHeight="1">
      <c r="A150" t="s">
        <v>583</v>
      </c>
      <c r="B150" s="10" t="str">
        <f>"Project, Golf Putter, LMS"</f>
        <v>Project, Golf Putter, LMS</v>
      </c>
      <c r="C150" s="29" t="str">
        <f>IFERROR(HYPERLINK("#"&amp;ADDRESS(MATCH(A150&amp;"ES",'LM7 Non-ENG'!$A$1:$A$5000,0),1,,,"LM7 Non-ENG"),IF(IFERROR(VLOOKUP(A150&amp;"ES",'LM7 Non-ENG'!$A$1:$A$4999,1,FALSE),"ERROR")=A150&amp;"ES","Y","")),"")</f>
        <v/>
      </c>
      <c r="D150" s="29" t="str">
        <f>IFERROR(HYPERLINK("#"&amp;ADDRESS(MATCH(A150&amp;"PT",'LM7 Non-ENG'!$A$1:$A$5000,0),1,,,"LM7 Non-ENG"),IF(IFERROR(VLOOKUP(A150&amp;"PT",'LM7 Non-ENG'!$A$1:$A$5000,1,FALSE),"ERROR")=A150&amp;"PT","Y","")),"")</f>
        <v/>
      </c>
      <c r="E150" s="3">
        <f>IFERROR(VLOOKUP(A150,PLInter!A:D,3,FALSE),"")</f>
        <v>2870</v>
      </c>
      <c r="F150" s="38">
        <v>4000</v>
      </c>
    </row>
    <row r="151" spans="1:13" ht="18" customHeight="1">
      <c r="A151" t="s">
        <v>584</v>
      </c>
      <c r="B151" s="10" t="str">
        <f>"Consumable Package, Golf Putter Project"</f>
        <v>Consumable Package, Golf Putter Project</v>
      </c>
      <c r="C151" s="29" t="str">
        <f>IFERROR(HYPERLINK("#"&amp;ADDRESS(MATCH(A151&amp;"ES",'LM7 Non-ENG'!$A$1:$A$5000,0),1,,,"LM7 Non-ENG"),IF(IFERROR(VLOOKUP(A151&amp;"ES",'LM7 Non-ENG'!$A$1:$A$4999,1,FALSE),"ERROR")=A151&amp;"ES","Y","")),"")</f>
        <v/>
      </c>
      <c r="D151" s="29" t="str">
        <f>IFERROR(HYPERLINK("#"&amp;ADDRESS(MATCH(A151&amp;"PT",'LM7 Non-ENG'!$A$1:$A$5000,0),1,,,"LM7 Non-ENG"),IF(IFERROR(VLOOKUP(A151&amp;"PT",'LM7 Non-ENG'!$A$1:$A$5000,1,FALSE),"ERROR")=A151&amp;"PT","Y","")),"")</f>
        <v/>
      </c>
      <c r="E151" s="3">
        <f>IFERROR(VLOOKUP(A151,PLInter!A:D,3,FALSE),"")</f>
        <v>2600</v>
      </c>
      <c r="F151" s="38">
        <v>4000</v>
      </c>
    </row>
    <row r="152" spans="1:13" ht="18" customHeight="1">
      <c r="A152" s="18" t="s">
        <v>585</v>
      </c>
      <c r="B152" s="10" t="s">
        <v>591</v>
      </c>
      <c r="C152" s="29" t="str">
        <f>IFERROR(HYPERLINK("#"&amp;ADDRESS(MATCH(A152&amp;"ES",'LM7 Non-ENG'!$A$1:$A$5000,0),1,,,"LM7 Non-ENG"),IF(IFERROR(VLOOKUP(A152&amp;"ES",'LM7 Non-ENG'!$A$1:$A$4999,1,FALSE),"ERROR")=A152&amp;"ES","Y","")),"")</f>
        <v/>
      </c>
      <c r="D152" s="29" t="str">
        <f>IFERROR(HYPERLINK("#"&amp;ADDRESS(MATCH(A152&amp;"PT",'LM7 Non-ENG'!$A$1:$A$5000,0),1,,,"LM7 Non-ENG"),IF(IFERROR(VLOOKUP(A152&amp;"PT",'LM7 Non-ENG'!$A$1:$A$5000,1,FALSE),"ERROR")=A152&amp;"PT","Y","")),"")</f>
        <v/>
      </c>
      <c r="E152" s="3" t="str">
        <f>IFERROR(VLOOKUP(A152,PLInter!A:D,3,FALSE),"")</f>
        <v/>
      </c>
      <c r="F152" s="38">
        <v>350</v>
      </c>
    </row>
    <row r="153" spans="1:13" ht="18" customHeight="1">
      <c r="A153" s="18" t="s">
        <v>586</v>
      </c>
      <c r="B153" s="10" t="s">
        <v>592</v>
      </c>
      <c r="C153" s="29" t="str">
        <f>IFERROR(HYPERLINK("#"&amp;ADDRESS(MATCH(A153&amp;"ES",'LM7 Non-ENG'!$A$1:$A$5000,0),1,,,"LM7 Non-ENG"),IF(IFERROR(VLOOKUP(A153&amp;"ES",'LM7 Non-ENG'!$A$1:$A$4999,1,FALSE),"ERROR")=A153&amp;"ES","Y","")),"")</f>
        <v/>
      </c>
      <c r="D153" s="29" t="str">
        <f>IFERROR(HYPERLINK("#"&amp;ADDRESS(MATCH(A153&amp;"PT",'LM7 Non-ENG'!$A$1:$A$5000,0),1,,,"LM7 Non-ENG"),IF(IFERROR(VLOOKUP(A153&amp;"PT",'LM7 Non-ENG'!$A$1:$A$5000,1,FALSE),"ERROR")=A153&amp;"PT","Y","")),"")</f>
        <v/>
      </c>
      <c r="E153" s="3" t="str">
        <f>IFERROR(VLOOKUP(A153,PLInter!A:D,3,FALSE),"")</f>
        <v/>
      </c>
      <c r="F153" s="38">
        <v>5600</v>
      </c>
    </row>
    <row r="154" spans="1:13" ht="18" customHeight="1">
      <c r="A154" t="s">
        <v>587</v>
      </c>
      <c r="B154" s="10" t="str">
        <f>"Sterling Engine Project Raw Materials Kit"</f>
        <v>Sterling Engine Project Raw Materials Kit</v>
      </c>
      <c r="C154" s="29" t="str">
        <f>IFERROR(HYPERLINK("#"&amp;ADDRESS(MATCH(A154&amp;"ES",'LM7 Non-ENG'!$A$1:$A$5000,0),1,,,"LM7 Non-ENG"),IF(IFERROR(VLOOKUP(A154&amp;"ES",'LM7 Non-ENG'!$A$1:$A$4999,1,FALSE),"ERROR")=A154&amp;"ES","Y","")),"")</f>
        <v/>
      </c>
      <c r="D154" s="29" t="str">
        <f>IFERROR(HYPERLINK("#"&amp;ADDRESS(MATCH(A154&amp;"PT",'LM7 Non-ENG'!$A$1:$A$5000,0),1,,,"LM7 Non-ENG"),IF(IFERROR(VLOOKUP(A154&amp;"PT",'LM7 Non-ENG'!$A$1:$A$5000,1,FALSE),"ERROR")=A154&amp;"PT","Y","")),"")</f>
        <v/>
      </c>
      <c r="E154" s="3">
        <f>IFERROR(VLOOKUP(A154,PLInter!A:D,3,FALSE),"")</f>
        <v>200</v>
      </c>
      <c r="F154" s="38">
        <v>200</v>
      </c>
    </row>
    <row r="155" spans="1:13" ht="18" customHeight="1">
      <c r="A155" t="s">
        <v>588</v>
      </c>
      <c r="B155" s="10" t="str">
        <f>"Project, Chess Set"</f>
        <v>Project, Chess Set</v>
      </c>
      <c r="C155" s="29" t="str">
        <f>IFERROR(HYPERLINK("#"&amp;ADDRESS(MATCH(A155&amp;"ES",'LM7 Non-ENG'!$A$1:$A$5000,0),1,,,"LM7 Non-ENG"),IF(IFERROR(VLOOKUP(A155&amp;"ES",'LM7 Non-ENG'!$A$1:$A$4999,1,FALSE),"ERROR")=A155&amp;"ES","Y","")),"")</f>
        <v/>
      </c>
      <c r="D155" s="29" t="str">
        <f>IFERROR(HYPERLINK("#"&amp;ADDRESS(MATCH(A155&amp;"PT",'LM7 Non-ENG'!$A$1:$A$5000,0),1,,,"LM7 Non-ENG"),IF(IFERROR(VLOOKUP(A155&amp;"PT",'LM7 Non-ENG'!$A$1:$A$5000,1,FALSE),"ERROR")=A155&amp;"PT","Y","")),"")</f>
        <v/>
      </c>
      <c r="E155" s="3">
        <f>IFERROR(VLOOKUP(A155,PLInter!A:D,3,FALSE),"")</f>
        <v>350</v>
      </c>
      <c r="F155" s="38">
        <v>600</v>
      </c>
    </row>
    <row r="156" spans="1:13" ht="18" customHeight="1">
      <c r="A156" t="s">
        <v>589</v>
      </c>
      <c r="B156" s="10" t="str">
        <f>"LM7 Content, 4 Cavity Mold Project"</f>
        <v>LM7 Content, 4 Cavity Mold Project</v>
      </c>
      <c r="C156" s="29" t="str">
        <f>IFERROR(HYPERLINK("#"&amp;ADDRESS(MATCH(A156&amp;"ES",'LM7 Non-ENG'!$A$1:$A$5000,0),1,,,"LM7 Non-ENG"),IF(IFERROR(VLOOKUP(A156&amp;"ES",'LM7 Non-ENG'!$A$1:$A$4999,1,FALSE),"ERROR")=A156&amp;"ES","Y","")),"")</f>
        <v/>
      </c>
      <c r="D156" s="29" t="str">
        <f>IFERROR(HYPERLINK("#"&amp;ADDRESS(MATCH(A156&amp;"PT",'LM7 Non-ENG'!$A$1:$A$5000,0),1,,,"LM7 Non-ENG"),IF(IFERROR(VLOOKUP(A156&amp;"PT",'LM7 Non-ENG'!$A$1:$A$5000,1,FALSE),"ERROR")=A156&amp;"PT","Y","")),"")</f>
        <v/>
      </c>
      <c r="E156" s="3">
        <f>IFERROR(VLOOKUP(A156,PLInter!A:D,3,FALSE),"")</f>
        <v>195</v>
      </c>
      <c r="F156" s="38">
        <v>195</v>
      </c>
      <c r="K156" s="17" t="str">
        <f>HYPERLINK("#"&amp;ADDRESS(MATCH("LearnMate 7 Bundles",LearnMate7!$A$1:$A$5000,0),1,,,"LearnMate7"),"LMS")</f>
        <v>LMS</v>
      </c>
    </row>
    <row r="157" spans="1:13" ht="18" customHeight="1">
      <c r="A157" t="s">
        <v>590</v>
      </c>
      <c r="B157" s="10" t="str">
        <f>"Project, Planetary Gear Box, SA"</f>
        <v>Project, Planetary Gear Box, SA</v>
      </c>
      <c r="C157" s="29" t="str">
        <f>IFERROR(HYPERLINK("#"&amp;ADDRESS(MATCH(A157&amp;"ES",'LM7 Non-ENG'!$A$1:$A$5000,0),1,,,"LM7 Non-ENG"),IF(IFERROR(VLOOKUP(A157&amp;"ES",'LM7 Non-ENG'!$A$1:$A$4999,1,FALSE),"ERROR")=A157&amp;"ES","Y","")),"")</f>
        <v/>
      </c>
      <c r="D157" s="29" t="str">
        <f>IFERROR(HYPERLINK("#"&amp;ADDRESS(MATCH(A157&amp;"PT",'LM7 Non-ENG'!$A$1:$A$5000,0),1,,,"LM7 Non-ENG"),IF(IFERROR(VLOOKUP(A157&amp;"PT",'LM7 Non-ENG'!$A$1:$A$5000,1,FALSE),"ERROR")=A157&amp;"PT","Y","")),"")</f>
        <v/>
      </c>
      <c r="E157" s="3" t="str">
        <f>IFERROR(VLOOKUP(A157,PLInter!A:D,3,FALSE),"")</f>
        <v/>
      </c>
      <c r="F157" s="38">
        <v>195</v>
      </c>
    </row>
    <row r="158" spans="1:13" ht="18" customHeight="1">
      <c r="A158" s="63" t="s">
        <v>593</v>
      </c>
      <c r="B158" s="63"/>
      <c r="C158" s="63"/>
      <c r="D158" s="63"/>
      <c r="E158" s="63"/>
      <c r="F158" s="63"/>
      <c r="G158" s="63"/>
      <c r="H158" s="63"/>
      <c r="I158" s="63"/>
      <c r="J158" s="63"/>
      <c r="K158" s="63"/>
      <c r="L158" s="63"/>
      <c r="M158" s="63"/>
    </row>
    <row r="159" spans="1:13" ht="18" customHeight="1">
      <c r="A159" t="s">
        <v>594</v>
      </c>
      <c r="B159" s="10" t="str">
        <f>"Stock Package, Aluminum, Mill"</f>
        <v>Stock Package, Aluminum, Mill</v>
      </c>
      <c r="C159" s="29" t="str">
        <f>IFERROR(HYPERLINK("#"&amp;ADDRESS(MATCH(A159&amp;"ES",'LM7 Non-ENG'!$A$1:$A$5000,0),1,,,"LM7 Non-ENG"),IF(IFERROR(VLOOKUP(A159&amp;"ES",'LM7 Non-ENG'!$A$1:$A$4999,1,FALSE),"ERROR")=A159&amp;"ES","Y","")),"")</f>
        <v/>
      </c>
      <c r="D159" s="29" t="str">
        <f>IFERROR(HYPERLINK("#"&amp;ADDRESS(MATCH(A159&amp;"PT",'LM7 Non-ENG'!$A$1:$A$5000,0),1,,,"LM7 Non-ENG"),IF(IFERROR(VLOOKUP(A159&amp;"PT",'LM7 Non-ENG'!$A$1:$A$5000,1,FALSE),"ERROR")=A159&amp;"PT","Y","")),"")</f>
        <v/>
      </c>
      <c r="E159" s="3">
        <f>IFERROR(VLOOKUP(A159,PLInter!A:D,3,FALSE),"")</f>
        <v>266</v>
      </c>
      <c r="F159" s="38">
        <v>266</v>
      </c>
    </row>
    <row r="160" spans="1:13" ht="18" customHeight="1">
      <c r="A160" t="s">
        <v>595</v>
      </c>
      <c r="B160" s="10" t="str">
        <f>"Stock Package, Name Badge, Engrave"</f>
        <v>Stock Package, Name Badge, Engrave</v>
      </c>
      <c r="C160" s="29" t="str">
        <f>IFERROR(HYPERLINK("#"&amp;ADDRESS(MATCH(A160&amp;"ES",'LM7 Non-ENG'!$A$1:$A$5000,0),1,,,"LM7 Non-ENG"),IF(IFERROR(VLOOKUP(A160&amp;"ES",'LM7 Non-ENG'!$A$1:$A$4999,1,FALSE),"ERROR")=A160&amp;"ES","Y","")),"")</f>
        <v/>
      </c>
      <c r="D160" s="29" t="str">
        <f>IFERROR(HYPERLINK("#"&amp;ADDRESS(MATCH(A160&amp;"PT",'LM7 Non-ENG'!$A$1:$A$5000,0),1,,,"LM7 Non-ENG"),IF(IFERROR(VLOOKUP(A160&amp;"PT",'LM7 Non-ENG'!$A$1:$A$5000,1,FALSE),"ERROR")=A160&amp;"PT","Y","")),"")</f>
        <v/>
      </c>
      <c r="E160" s="3">
        <f>IFERROR(VLOOKUP(A160,PLInter!A:D,3,FALSE),"")</f>
        <v>395</v>
      </c>
      <c r="F160" s="38">
        <v>395</v>
      </c>
    </row>
    <row r="161" spans="1:13" ht="18" customHeight="1">
      <c r="A161" t="s">
        <v>596</v>
      </c>
      <c r="B161" s="10" t="str">
        <f>"Stock Package, Name Plate, Engrave"</f>
        <v>Stock Package, Name Plate, Engrave</v>
      </c>
      <c r="C161" s="29" t="str">
        <f>IFERROR(HYPERLINK("#"&amp;ADDRESS(MATCH(A161&amp;"ES",'LM7 Non-ENG'!$A$1:$A$5000,0),1,,,"LM7 Non-ENG"),IF(IFERROR(VLOOKUP(A161&amp;"ES",'LM7 Non-ENG'!$A$1:$A$4999,1,FALSE),"ERROR")=A161&amp;"ES","Y","")),"")</f>
        <v/>
      </c>
      <c r="D161" s="29" t="str">
        <f>IFERROR(HYPERLINK("#"&amp;ADDRESS(MATCH(A161&amp;"PT",'LM7 Non-ENG'!$A$1:$A$5000,0),1,,,"LM7 Non-ENG"),IF(IFERROR(VLOOKUP(A161&amp;"PT",'LM7 Non-ENG'!$A$1:$A$5000,1,FALSE),"ERROR")=A161&amp;"PT","Y","")),"")</f>
        <v/>
      </c>
      <c r="E161" s="3">
        <f>IFERROR(VLOOKUP(A161,PLInter!A:D,3,FALSE),"")</f>
        <v>250</v>
      </c>
      <c r="F161" s="38">
        <v>250</v>
      </c>
    </row>
    <row r="162" spans="1:13" ht="18" customHeight="1">
      <c r="A162" t="s">
        <v>597</v>
      </c>
      <c r="B162" s="10" t="str">
        <f>"Stock Package, Wax, 3” x 2” x 1.5”– 50 Pcs"</f>
        <v>Stock Package, Wax, 3” x 2” x 1.5”– 50 Pcs</v>
      </c>
      <c r="C162" s="29" t="str">
        <f>IFERROR(HYPERLINK("#"&amp;ADDRESS(MATCH(A162&amp;"ES",'LM7 Non-ENG'!$A$1:$A$5000,0),1,,,"LM7 Non-ENG"),IF(IFERROR(VLOOKUP(A162&amp;"ES",'LM7 Non-ENG'!$A$1:$A$4999,1,FALSE),"ERROR")=A162&amp;"ES","Y","")),"")</f>
        <v/>
      </c>
      <c r="D162" s="29" t="str">
        <f>IFERROR(HYPERLINK("#"&amp;ADDRESS(MATCH(A162&amp;"PT",'LM7 Non-ENG'!$A$1:$A$5000,0),1,,,"LM7 Non-ENG"),IF(IFERROR(VLOOKUP(A162&amp;"PT",'LM7 Non-ENG'!$A$1:$A$5000,1,FALSE),"ERROR")=A162&amp;"PT","Y","")),"")</f>
        <v/>
      </c>
      <c r="E162" s="3">
        <f>IFERROR(VLOOKUP(A162,PLInter!A:D,3,FALSE),"")</f>
        <v>657</v>
      </c>
      <c r="F162" s="38">
        <v>657</v>
      </c>
    </row>
    <row r="163" spans="1:13" ht="18" customHeight="1">
      <c r="A163" t="s">
        <v>598</v>
      </c>
      <c r="B163" s="10" t="str">
        <f>"Stock Package, Machinable Wax, Turn, 1""x 12"""</f>
        <v>Stock Package, Machinable Wax, Turn, 1"x 12"</v>
      </c>
      <c r="C163" s="29" t="str">
        <f>IFERROR(HYPERLINK("#"&amp;ADDRESS(MATCH(A163&amp;"ES",'LM7 Non-ENG'!$A$1:$A$5000,0),1,,,"LM7 Non-ENG"),IF(IFERROR(VLOOKUP(A163&amp;"ES",'LM7 Non-ENG'!$A$1:$A$4999,1,FALSE),"ERROR")=A163&amp;"ES","Y","")),"")</f>
        <v/>
      </c>
      <c r="D163" s="29" t="str">
        <f>IFERROR(HYPERLINK("#"&amp;ADDRESS(MATCH(A163&amp;"PT",'LM7 Non-ENG'!$A$1:$A$5000,0),1,,,"LM7 Non-ENG"),IF(IFERROR(VLOOKUP(A163&amp;"PT",'LM7 Non-ENG'!$A$1:$A$5000,1,FALSE),"ERROR")=A163&amp;"PT","Y","")),"")</f>
        <v/>
      </c>
      <c r="E163" s="3">
        <f>IFERROR(VLOOKUP(A163,PLInter!A:D,3,FALSE),"")</f>
        <v>250</v>
      </c>
      <c r="F163" s="38">
        <v>400</v>
      </c>
    </row>
    <row r="164" spans="1:13" ht="18" customHeight="1">
      <c r="A164" t="s">
        <v>599</v>
      </c>
      <c r="B164" s="10" t="str">
        <f>"Stock Package, Brass, Turn"</f>
        <v>Stock Package, Brass, Turn</v>
      </c>
      <c r="C164" s="29" t="str">
        <f>IFERROR(HYPERLINK("#"&amp;ADDRESS(MATCH(A164&amp;"ES",'LM7 Non-ENG'!$A$1:$A$5000,0),1,,,"LM7 Non-ENG"),IF(IFERROR(VLOOKUP(A164&amp;"ES",'LM7 Non-ENG'!$A$1:$A$4999,1,FALSE),"ERROR")=A164&amp;"ES","Y","")),"")</f>
        <v/>
      </c>
      <c r="D164" s="29" t="str">
        <f>IFERROR(HYPERLINK("#"&amp;ADDRESS(MATCH(A164&amp;"PT",'LM7 Non-ENG'!$A$1:$A$5000,0),1,,,"LM7 Non-ENG"),IF(IFERROR(VLOOKUP(A164&amp;"PT",'LM7 Non-ENG'!$A$1:$A$5000,1,FALSE),"ERROR")=A164&amp;"PT","Y","")),"")</f>
        <v/>
      </c>
      <c r="E164" s="3">
        <f>IFERROR(VLOOKUP(A164,PLInter!A:D,3,FALSE),"")</f>
        <v>1250</v>
      </c>
      <c r="F164" s="38">
        <v>1250</v>
      </c>
    </row>
    <row r="165" spans="1:13" ht="18" customHeight="1">
      <c r="A165" s="18" t="s">
        <v>600</v>
      </c>
      <c r="B165" s="10" t="s">
        <v>603</v>
      </c>
      <c r="C165" s="29" t="str">
        <f>IFERROR(HYPERLINK("#"&amp;ADDRESS(MATCH(A165&amp;"ES",'LM7 Non-ENG'!$A$1:$A$5000,0),1,,,"LM7 Non-ENG"),IF(IFERROR(VLOOKUP(A165&amp;"ES",'LM7 Non-ENG'!$A$1:$A$4999,1,FALSE),"ERROR")=A165&amp;"ES","Y","")),"")</f>
        <v/>
      </c>
      <c r="D165" s="29" t="str">
        <f>IFERROR(HYPERLINK("#"&amp;ADDRESS(MATCH(A165&amp;"PT",'LM7 Non-ENG'!$A$1:$A$5000,0),1,,,"LM7 Non-ENG"),IF(IFERROR(VLOOKUP(A165&amp;"PT",'LM7 Non-ENG'!$A$1:$A$5000,1,FALSE),"ERROR")=A165&amp;"PT","Y","")),"")</f>
        <v/>
      </c>
      <c r="E165" s="3">
        <f>IFERROR(VLOOKUP(A165,PLInter!A:D,3,FALSE),"")</f>
        <v>907</v>
      </c>
      <c r="F165" s="38">
        <v>907</v>
      </c>
    </row>
    <row r="166" spans="1:13" ht="18" customHeight="1">
      <c r="A166" t="s">
        <v>601</v>
      </c>
      <c r="B166" s="10" t="str">
        <f>"Stock Package, Delrin, Turn, 3/4""x3"""</f>
        <v>Stock Package, Delrin, Turn, 3/4"x3"</v>
      </c>
      <c r="C166" s="29" t="str">
        <f>IFERROR(HYPERLINK("#"&amp;ADDRESS(MATCH(A166&amp;"ES",'LM7 Non-ENG'!$A$1:$A$5000,0),1,,,"LM7 Non-ENG"),IF(IFERROR(VLOOKUP(A166&amp;"ES",'LM7 Non-ENG'!$A$1:$A$4999,1,FALSE),"ERROR")=A166&amp;"ES","Y","")),"")</f>
        <v/>
      </c>
      <c r="D166" s="29" t="str">
        <f>IFERROR(HYPERLINK("#"&amp;ADDRESS(MATCH(A166&amp;"PT",'LM7 Non-ENG'!$A$1:$A$5000,0),1,,,"LM7 Non-ENG"),IF(IFERROR(VLOOKUP(A166&amp;"PT",'LM7 Non-ENG'!$A$1:$A$5000,1,FALSE),"ERROR")=A166&amp;"PT","Y","")),"")</f>
        <v/>
      </c>
      <c r="E166" s="3">
        <f>IFERROR(VLOOKUP(A166,PLInter!A:D,3,FALSE),"")</f>
        <v>267</v>
      </c>
      <c r="F166" s="38">
        <v>267</v>
      </c>
    </row>
    <row r="167" spans="1:13" ht="18" customHeight="1">
      <c r="A167" t="s">
        <v>602</v>
      </c>
      <c r="B167" s="10" t="str">
        <f>"Stock Package, Delrin, Turn, Assorted Sizes"</f>
        <v>Stock Package, Delrin, Turn, Assorted Sizes</v>
      </c>
      <c r="C167" s="29" t="str">
        <f>IFERROR(HYPERLINK("#"&amp;ADDRESS(MATCH(A167&amp;"ES",'LM7 Non-ENG'!$A$1:$A$5000,0),1,,,"LM7 Non-ENG"),IF(IFERROR(VLOOKUP(A167&amp;"ES",'LM7 Non-ENG'!$A$1:$A$4999,1,FALSE),"ERROR")=A167&amp;"ES","Y","")),"")</f>
        <v/>
      </c>
      <c r="D167" s="29" t="str">
        <f>IFERROR(HYPERLINK("#"&amp;ADDRESS(MATCH(A167&amp;"PT",'LM7 Non-ENG'!$A$1:$A$5000,0),1,,,"LM7 Non-ENG"),IF(IFERROR(VLOOKUP(A167&amp;"PT",'LM7 Non-ENG'!$A$1:$A$5000,1,FALSE),"ERROR")=A167&amp;"PT","Y","")),"")</f>
        <v/>
      </c>
      <c r="E167" s="3" t="str">
        <f>IFERROR(VLOOKUP(A167,PLInter!A:D,3,FALSE),"")</f>
        <v/>
      </c>
      <c r="F167" s="38">
        <v>266.66666666666669</v>
      </c>
    </row>
    <row r="168" spans="1:13" ht="18" customHeight="1">
      <c r="A168" s="63" t="s">
        <v>608</v>
      </c>
      <c r="B168" s="63"/>
      <c r="C168" s="63"/>
      <c r="D168" s="63"/>
      <c r="E168" s="63"/>
      <c r="F168" s="63"/>
      <c r="G168" s="63"/>
      <c r="H168" s="63"/>
      <c r="I168" s="63"/>
      <c r="J168" s="63"/>
      <c r="K168" s="63"/>
      <c r="L168" s="63"/>
      <c r="M168" s="63"/>
    </row>
    <row r="169" spans="1:13" ht="18" customHeight="1">
      <c r="A169" t="s">
        <v>609</v>
      </c>
      <c r="B169" s="10" t="str">
        <f>"Polystyrene Sheet, 12""x12""x1/16"", (20-Pack)"</f>
        <v>Polystyrene Sheet, 12"x12"x1/16", (20-Pack)</v>
      </c>
      <c r="C169" s="29" t="str">
        <f>IFERROR(HYPERLINK("#"&amp;ADDRESS(MATCH(A169&amp;"ES",'LM7 Non-ENG'!$A$1:$A$5000,0),1,,,"LM7 Non-ENG"),IF(IFERROR(VLOOKUP(A169&amp;"ES",'LM7 Non-ENG'!$A$1:$A$4999,1,FALSE),"ERROR")=A169&amp;"ES","Y","")),"")</f>
        <v/>
      </c>
      <c r="D169" s="29" t="str">
        <f>IFERROR(HYPERLINK("#"&amp;ADDRESS(MATCH(A169&amp;"PT",'LM7 Non-ENG'!$A$1:$A$5000,0),1,,,"LM7 Non-ENG"),IF(IFERROR(VLOOKUP(A169&amp;"PT",'LM7 Non-ENG'!$A$1:$A$5000,1,FALSE),"ERROR")=A169&amp;"PT","Y","")),"")</f>
        <v/>
      </c>
      <c r="E169" s="3">
        <f>IFERROR(VLOOKUP(A169,PLInter!A:D,3,FALSE),"")</f>
        <v>100</v>
      </c>
      <c r="F169" s="38">
        <v>100</v>
      </c>
    </row>
    <row r="170" spans="1:13" ht="18" customHeight="1">
      <c r="A170" t="s">
        <v>610</v>
      </c>
      <c r="B170" s="10" t="str">
        <f>"Polystyrene Sheet, 12""x6""x1/16"", (20-Pack)"</f>
        <v>Polystyrene Sheet, 12"x6"x1/16", (20-Pack)</v>
      </c>
      <c r="C170" s="29" t="str">
        <f>IFERROR(HYPERLINK("#"&amp;ADDRESS(MATCH(A170&amp;"ES",'LM7 Non-ENG'!$A$1:$A$5000,0),1,,,"LM7 Non-ENG"),IF(IFERROR(VLOOKUP(A170&amp;"ES",'LM7 Non-ENG'!$A$1:$A$4999,1,FALSE),"ERROR")=A170&amp;"ES","Y","")),"")</f>
        <v/>
      </c>
      <c r="D170" s="29" t="str">
        <f>IFERROR(HYPERLINK("#"&amp;ADDRESS(MATCH(A170&amp;"PT",'LM7 Non-ENG'!$A$1:$A$5000,0),1,,,"LM7 Non-ENG"),IF(IFERROR(VLOOKUP(A170&amp;"PT",'LM7 Non-ENG'!$A$1:$A$5000,1,FALSE),"ERROR")=A170&amp;"PT","Y","")),"")</f>
        <v/>
      </c>
      <c r="E170" s="3">
        <f>IFERROR(VLOOKUP(A170,PLInter!A:D,3,FALSE),"")</f>
        <v>67</v>
      </c>
      <c r="F170" s="38">
        <v>67</v>
      </c>
    </row>
    <row r="171" spans="1:13" ht="18" customHeight="1">
      <c r="A171" t="s">
        <v>611</v>
      </c>
      <c r="B171" s="10" t="str">
        <f>"Cast Acrylic Sheet, Clear,  8""x8""x1/8"", (2-Pack)"</f>
        <v>Cast Acrylic Sheet, Clear,  8"x8"x1/8", (2-Pack)</v>
      </c>
      <c r="C171" s="29" t="str">
        <f>IFERROR(HYPERLINK("#"&amp;ADDRESS(MATCH(A171&amp;"ES",'LM7 Non-ENG'!$A$1:$A$5000,0),1,,,"LM7 Non-ENG"),IF(IFERROR(VLOOKUP(A171&amp;"ES",'LM7 Non-ENG'!$A$1:$A$4999,1,FALSE),"ERROR")=A171&amp;"ES","Y","")),"")</f>
        <v/>
      </c>
      <c r="D171" s="29" t="str">
        <f>IFERROR(HYPERLINK("#"&amp;ADDRESS(MATCH(A171&amp;"PT",'LM7 Non-ENG'!$A$1:$A$5000,0),1,,,"LM7 Non-ENG"),IF(IFERROR(VLOOKUP(A171&amp;"PT",'LM7 Non-ENG'!$A$1:$A$5000,1,FALSE),"ERROR")=A171&amp;"PT","Y","")),"")</f>
        <v/>
      </c>
      <c r="E171" s="3">
        <f>IFERROR(VLOOKUP(A171,PLInter!A:D,3,FALSE),"")</f>
        <v>67</v>
      </c>
      <c r="F171" s="38">
        <v>67</v>
      </c>
    </row>
    <row r="172" spans="1:13" ht="18" customHeight="1">
      <c r="A172" t="s">
        <v>612</v>
      </c>
      <c r="B172" s="10" t="str">
        <f>"Cast Acrylic Sheet, Clear,  11""x11""x1/8,(2-Pack)"</f>
        <v>Cast Acrylic Sheet, Clear,  11"x11"x1/8,(2-Pack)</v>
      </c>
      <c r="C172" s="29" t="str">
        <f>IFERROR(HYPERLINK("#"&amp;ADDRESS(MATCH(A172&amp;"ES",'LM7 Non-ENG'!$A$1:$A$5000,0),1,,,"LM7 Non-ENG"),IF(IFERROR(VLOOKUP(A172&amp;"ES",'LM7 Non-ENG'!$A$1:$A$4999,1,FALSE),"ERROR")=A172&amp;"ES","Y","")),"")</f>
        <v/>
      </c>
      <c r="D172" s="29" t="str">
        <f>IFERROR(HYPERLINK("#"&amp;ADDRESS(MATCH(A172&amp;"PT",'LM7 Non-ENG'!$A$1:$A$5000,0),1,,,"LM7 Non-ENG"),IF(IFERROR(VLOOKUP(A172&amp;"PT",'LM7 Non-ENG'!$A$1:$A$5000,1,FALSE),"ERROR")=A172&amp;"PT","Y","")),"")</f>
        <v/>
      </c>
      <c r="E172" s="3">
        <f>IFERROR(VLOOKUP(A172,PLInter!A:D,3,FALSE),"")</f>
        <v>67</v>
      </c>
      <c r="F172" s="38">
        <v>67</v>
      </c>
    </row>
    <row r="173" spans="1:13" ht="18" customHeight="1">
      <c r="A173" t="s">
        <v>613</v>
      </c>
      <c r="B173" s="10" t="str">
        <f>"Cast Acrylic Sheet, Clear, 14""x14""x1/8"",(2-Pack)"</f>
        <v>Cast Acrylic Sheet, Clear, 14"x14"x1/8",(2-Pack)</v>
      </c>
      <c r="C173" s="29" t="str">
        <f>IFERROR(HYPERLINK("#"&amp;ADDRESS(MATCH(A173&amp;"ES",'LM7 Non-ENG'!$A$1:$A$5000,0),1,,,"LM7 Non-ENG"),IF(IFERROR(VLOOKUP(A173&amp;"ES",'LM7 Non-ENG'!$A$1:$A$4999,1,FALSE),"ERROR")=A173&amp;"ES","Y","")),"")</f>
        <v/>
      </c>
      <c r="D173" s="29" t="str">
        <f>IFERROR(HYPERLINK("#"&amp;ADDRESS(MATCH(A173&amp;"PT",'LM7 Non-ENG'!$A$1:$A$5000,0),1,,,"LM7 Non-ENG"),IF(IFERROR(VLOOKUP(A173&amp;"PT",'LM7 Non-ENG'!$A$1:$A$5000,1,FALSE),"ERROR")=A173&amp;"PT","Y","")),"")</f>
        <v/>
      </c>
      <c r="E173" s="3">
        <f>IFERROR(VLOOKUP(A173,PLInter!A:D,3,FALSE),"")</f>
        <v>67</v>
      </c>
      <c r="F173" s="38">
        <v>67</v>
      </c>
    </row>
    <row r="174" spans="1:13" ht="18" customHeight="1">
      <c r="A174" t="s">
        <v>614</v>
      </c>
      <c r="B174" s="10" t="str">
        <f>"Polypropylene Sheet, 7""x3""x1/4"", (25-Pack)"</f>
        <v>Polypropylene Sheet, 7"x3"x1/4", (25-Pack)</v>
      </c>
      <c r="C174" s="29" t="str">
        <f>IFERROR(HYPERLINK("#"&amp;ADDRESS(MATCH(A174&amp;"ES",'LM7 Non-ENG'!$A$1:$A$5000,0),1,,,"LM7 Non-ENG"),IF(IFERROR(VLOOKUP(A174&amp;"ES",'LM7 Non-ENG'!$A$1:$A$4999,1,FALSE),"ERROR")=A174&amp;"ES","Y","")),"")</f>
        <v/>
      </c>
      <c r="D174" s="29" t="str">
        <f>IFERROR(HYPERLINK("#"&amp;ADDRESS(MATCH(A174&amp;"PT",'LM7 Non-ENG'!$A$1:$A$5000,0),1,,,"LM7 Non-ENG"),IF(IFERROR(VLOOKUP(A174&amp;"PT",'LM7 Non-ENG'!$A$1:$A$5000,1,FALSE),"ERROR")=A174&amp;"PT","Y","")),"")</f>
        <v/>
      </c>
      <c r="E174" s="3">
        <f>IFERROR(VLOOKUP(A174,PLInter!A:D,3,FALSE),"")</f>
        <v>134</v>
      </c>
      <c r="F174" s="38">
        <v>134</v>
      </c>
    </row>
    <row r="175" spans="1:13" ht="18" customHeight="1">
      <c r="A175" t="s">
        <v>615</v>
      </c>
      <c r="B175" s="10" t="str">
        <f>"Polypropylene Rod,  3mm Diameter, 4 lbs."</f>
        <v>Polypropylene Rod,  3mm Diameter, 4 lbs.</v>
      </c>
      <c r="C175" s="29" t="str">
        <f>IFERROR(HYPERLINK("#"&amp;ADDRESS(MATCH(A175&amp;"ES",'LM7 Non-ENG'!$A$1:$A$5000,0),1,,,"LM7 Non-ENG"),IF(IFERROR(VLOOKUP(A175&amp;"ES",'LM7 Non-ENG'!$A$1:$A$4999,1,FALSE),"ERROR")=A175&amp;"ES","Y","")),"")</f>
        <v/>
      </c>
      <c r="D175" s="29" t="str">
        <f>IFERROR(HYPERLINK("#"&amp;ADDRESS(MATCH(A175&amp;"PT",'LM7 Non-ENG'!$A$1:$A$5000,0),1,,,"LM7 Non-ENG"),IF(IFERROR(VLOOKUP(A175&amp;"PT",'LM7 Non-ENG'!$A$1:$A$5000,1,FALSE),"ERROR")=A175&amp;"PT","Y","")),"")</f>
        <v/>
      </c>
      <c r="E175" s="3">
        <f>IFERROR(VLOOKUP(A175,PLInter!A:D,3,FALSE),"")</f>
        <v>67</v>
      </c>
      <c r="F175" s="38">
        <v>300</v>
      </c>
    </row>
    <row r="176" spans="1:13" ht="18" customHeight="1">
      <c r="A176" t="s">
        <v>616</v>
      </c>
      <c r="B176" s="10" t="str">
        <f>"Polystyrene Granules, 4 lbs., Extrusion"</f>
        <v>Polystyrene Granules, 4 lbs., Extrusion</v>
      </c>
      <c r="C176" s="29" t="str">
        <f>IFERROR(HYPERLINK("#"&amp;ADDRESS(MATCH(A176&amp;"ES",'LM7 Non-ENG'!$A$1:$A$5000,0),1,,,"LM7 Non-ENG"),IF(IFERROR(VLOOKUP(A176&amp;"ES",'LM7 Non-ENG'!$A$1:$A$4999,1,FALSE),"ERROR")=A176&amp;"ES","Y","")),"")</f>
        <v/>
      </c>
      <c r="D176" s="29" t="str">
        <f>IFERROR(HYPERLINK("#"&amp;ADDRESS(MATCH(A176&amp;"PT",'LM7 Non-ENG'!$A$1:$A$5000,0),1,,,"LM7 Non-ENG"),IF(IFERROR(VLOOKUP(A176&amp;"PT",'LM7 Non-ENG'!$A$1:$A$5000,1,FALSE),"ERROR")=A176&amp;"PT","Y","")),"")</f>
        <v/>
      </c>
      <c r="E176" s="3">
        <f>IFERROR(VLOOKUP(A176,PLInter!A:D,3,FALSE),"")</f>
        <v>240</v>
      </c>
      <c r="F176" s="38">
        <v>240</v>
      </c>
    </row>
    <row r="177" spans="1:6" ht="18" customHeight="1">
      <c r="A177" t="s">
        <v>617</v>
      </c>
      <c r="B177" s="10" t="str">
        <f>"Nylon Powder, Yellow, 4 lbs, Dip Coating"</f>
        <v>Nylon Powder, Yellow, 4 lbs, Dip Coating</v>
      </c>
      <c r="C177" s="29" t="str">
        <f>IFERROR(HYPERLINK("#"&amp;ADDRESS(MATCH(A177&amp;"ES",'LM7 Non-ENG'!$A$1:$A$5000,0),1,,,"LM7 Non-ENG"),IF(IFERROR(VLOOKUP(A177&amp;"ES",'LM7 Non-ENG'!$A$1:$A$4999,1,FALSE),"ERROR")=A177&amp;"ES","Y","")),"")</f>
        <v/>
      </c>
      <c r="D177" s="29" t="str">
        <f>IFERROR(HYPERLINK("#"&amp;ADDRESS(MATCH(A177&amp;"PT",'LM7 Non-ENG'!$A$1:$A$5000,0),1,,,"LM7 Non-ENG"),IF(IFERROR(VLOOKUP(A177&amp;"PT",'LM7 Non-ENG'!$A$1:$A$5000,1,FALSE),"ERROR")=A177&amp;"PT","Y","")),"")</f>
        <v/>
      </c>
      <c r="E177" s="3">
        <f>IFERROR(VLOOKUP(A177,PLInter!A:D,3,FALSE),"")</f>
        <v>480</v>
      </c>
      <c r="F177" s="38">
        <v>480</v>
      </c>
    </row>
    <row r="178" spans="1:6" ht="18" customHeight="1">
      <c r="A178" t="s">
        <v>618</v>
      </c>
      <c r="B178" s="10" t="str">
        <f>"Polyethylene Powder, 4 lbs, Injection Molding"</f>
        <v>Polyethylene Powder, 4 lbs, Injection Molding</v>
      </c>
      <c r="C178" s="29" t="str">
        <f>IFERROR(HYPERLINK("#"&amp;ADDRESS(MATCH(A178&amp;"ES",'LM7 Non-ENG'!$A$1:$A$5000,0),1,,,"LM7 Non-ENG"),IF(IFERROR(VLOOKUP(A178&amp;"ES",'LM7 Non-ENG'!$A$1:$A$4999,1,FALSE),"ERROR")=A178&amp;"ES","Y","")),"")</f>
        <v/>
      </c>
      <c r="D178" s="29" t="str">
        <f>IFERROR(HYPERLINK("#"&amp;ADDRESS(MATCH(A178&amp;"PT",'LM7 Non-ENG'!$A$1:$A$5000,0),1,,,"LM7 Non-ENG"),IF(IFERROR(VLOOKUP(A178&amp;"PT",'LM7 Non-ENG'!$A$1:$A$5000,1,FALSE),"ERROR")=A178&amp;"PT","Y","")),"")</f>
        <v/>
      </c>
      <c r="E178" s="3">
        <f>IFERROR(VLOOKUP(A178,PLInter!A:D,3,FALSE),"")</f>
        <v>147</v>
      </c>
      <c r="F178" s="38">
        <v>147</v>
      </c>
    </row>
    <row r="179" spans="1:6" ht="18" customHeight="1">
      <c r="B179" s="10"/>
      <c r="C179" s="10"/>
      <c r="D179" s="10"/>
      <c r="E179" s="3"/>
    </row>
    <row r="180" spans="1:6" ht="18" customHeight="1">
      <c r="B180" s="10"/>
      <c r="C180" s="10"/>
      <c r="D180" s="10"/>
    </row>
    <row r="181" spans="1:6" ht="18" customHeight="1">
      <c r="B181" s="10"/>
      <c r="C181" s="10"/>
      <c r="D181" s="10"/>
    </row>
    <row r="182" spans="1:6" ht="18" customHeight="1">
      <c r="B182" s="10"/>
      <c r="C182" s="10"/>
      <c r="D182" s="10"/>
    </row>
    <row r="183" spans="1:6" ht="18" customHeight="1">
      <c r="B183" s="10"/>
      <c r="C183" s="10"/>
      <c r="D183" s="10"/>
    </row>
    <row r="184" spans="1:6" ht="18" customHeight="1">
      <c r="B184" s="10"/>
      <c r="C184" s="10"/>
      <c r="D184" s="10"/>
    </row>
    <row r="185" spans="1:6" ht="18" customHeight="1">
      <c r="B185" s="10"/>
      <c r="C185" s="10"/>
      <c r="D185" s="10"/>
    </row>
    <row r="186" spans="1:6" ht="18" customHeight="1">
      <c r="B186" s="10"/>
      <c r="C186" s="10"/>
      <c r="D186" s="10"/>
    </row>
    <row r="187" spans="1:6" ht="18" customHeight="1">
      <c r="B187" s="10"/>
      <c r="C187" s="10"/>
      <c r="D187" s="10"/>
    </row>
    <row r="188" spans="1:6" ht="18" customHeight="1">
      <c r="B188" s="10"/>
      <c r="C188" s="10"/>
      <c r="D188" s="10"/>
    </row>
    <row r="189" spans="1:6" ht="18" customHeight="1">
      <c r="B189" s="10"/>
      <c r="C189" s="10"/>
      <c r="D189" s="10"/>
    </row>
    <row r="190" spans="1:6" ht="18" customHeight="1">
      <c r="B190" s="10"/>
      <c r="C190" s="10"/>
      <c r="D190" s="10"/>
    </row>
    <row r="191" spans="1:6" ht="18" customHeight="1">
      <c r="B191" s="10"/>
      <c r="C191" s="10"/>
      <c r="D191" s="10"/>
    </row>
    <row r="192" spans="1:6" ht="18" customHeight="1">
      <c r="B192" s="10"/>
      <c r="C192" s="10"/>
      <c r="D192" s="10"/>
    </row>
    <row r="193" spans="2:4" ht="18" customHeight="1">
      <c r="B193" s="10"/>
      <c r="C193" s="10"/>
      <c r="D193" s="10"/>
    </row>
    <row r="194" spans="2:4" ht="18" customHeight="1">
      <c r="B194" s="10"/>
      <c r="C194" s="10"/>
      <c r="D194" s="10"/>
    </row>
    <row r="195" spans="2:4" ht="18" customHeight="1">
      <c r="B195" s="10"/>
      <c r="C195" s="10"/>
      <c r="D195" s="10"/>
    </row>
    <row r="196" spans="2:4" ht="18" customHeight="1">
      <c r="B196" s="10"/>
      <c r="C196" s="10"/>
      <c r="D196" s="10"/>
    </row>
    <row r="197" spans="2:4" ht="18" customHeight="1">
      <c r="B197" s="10"/>
      <c r="C197" s="10"/>
      <c r="D197" s="10"/>
    </row>
    <row r="198" spans="2:4" ht="18" customHeight="1">
      <c r="B198" s="10"/>
      <c r="C198" s="10"/>
      <c r="D198" s="10"/>
    </row>
    <row r="199" spans="2:4" ht="18" customHeight="1">
      <c r="B199" s="10"/>
      <c r="C199" s="10"/>
      <c r="D199" s="10"/>
    </row>
    <row r="200" spans="2:4" ht="18" customHeight="1">
      <c r="B200" s="10"/>
      <c r="C200" s="10"/>
      <c r="D200" s="10"/>
    </row>
    <row r="201" spans="2:4" ht="18" customHeight="1">
      <c r="B201" s="10"/>
      <c r="C201" s="10"/>
      <c r="D201" s="10"/>
    </row>
    <row r="202" spans="2:4" ht="18" customHeight="1">
      <c r="B202" s="10"/>
      <c r="C202" s="10"/>
      <c r="D202" s="10"/>
    </row>
    <row r="203" spans="2:4" ht="18" customHeight="1">
      <c r="B203" s="10"/>
      <c r="C203" s="10"/>
      <c r="D203" s="10"/>
    </row>
    <row r="204" spans="2:4" ht="18" customHeight="1">
      <c r="B204" s="10"/>
      <c r="C204" s="10"/>
      <c r="D204" s="10"/>
    </row>
    <row r="205" spans="2:4" ht="18" customHeight="1">
      <c r="B205" s="10"/>
      <c r="C205" s="10"/>
      <c r="D205" s="10"/>
    </row>
    <row r="206" spans="2:4" ht="18" customHeight="1">
      <c r="B206" s="10"/>
      <c r="C206" s="10"/>
      <c r="D206" s="10"/>
    </row>
    <row r="207" spans="2:4" ht="18" customHeight="1">
      <c r="B207" s="10"/>
      <c r="C207" s="10"/>
      <c r="D207" s="10"/>
    </row>
    <row r="208" spans="2:4" ht="18" customHeight="1">
      <c r="B208" s="10"/>
      <c r="C208" s="10"/>
      <c r="D208" s="10"/>
    </row>
    <row r="209" spans="2:4" ht="18" customHeight="1">
      <c r="B209" s="10"/>
      <c r="C209" s="10"/>
      <c r="D209" s="10"/>
    </row>
    <row r="210" spans="2:4" ht="18" customHeight="1">
      <c r="B210" s="10"/>
      <c r="C210" s="10"/>
      <c r="D210" s="10"/>
    </row>
    <row r="211" spans="2:4" ht="18" customHeight="1">
      <c r="B211" s="10"/>
      <c r="C211" s="10"/>
      <c r="D211" s="10"/>
    </row>
    <row r="212" spans="2:4" ht="18" customHeight="1">
      <c r="B212" s="10"/>
      <c r="C212" s="10"/>
      <c r="D212" s="10"/>
    </row>
    <row r="213" spans="2:4" ht="18" customHeight="1">
      <c r="B213" s="10"/>
      <c r="C213" s="10"/>
      <c r="D213" s="10"/>
    </row>
    <row r="214" spans="2:4" ht="18" customHeight="1">
      <c r="B214" s="10"/>
      <c r="C214" s="10"/>
      <c r="D214" s="10"/>
    </row>
    <row r="215" spans="2:4" ht="18" customHeight="1">
      <c r="B215" s="10"/>
      <c r="C215" s="10"/>
      <c r="D215" s="10"/>
    </row>
    <row r="216" spans="2:4" ht="18" customHeight="1">
      <c r="B216" s="10"/>
      <c r="C216" s="10"/>
      <c r="D216" s="10"/>
    </row>
    <row r="217" spans="2:4" ht="18" customHeight="1">
      <c r="B217" s="10"/>
      <c r="C217" s="10"/>
      <c r="D217" s="10"/>
    </row>
    <row r="218" spans="2:4" ht="18" customHeight="1">
      <c r="B218" s="10"/>
      <c r="C218" s="10"/>
      <c r="D218" s="10"/>
    </row>
    <row r="219" spans="2:4" ht="18" customHeight="1">
      <c r="B219" s="10"/>
      <c r="C219" s="10"/>
      <c r="D219" s="10"/>
    </row>
    <row r="220" spans="2:4" ht="18" customHeight="1">
      <c r="B220" s="10"/>
      <c r="C220" s="10"/>
      <c r="D220" s="10"/>
    </row>
    <row r="221" spans="2:4" ht="18" customHeight="1">
      <c r="B221" s="10"/>
      <c r="C221" s="10"/>
      <c r="D221" s="10"/>
    </row>
    <row r="222" spans="2:4" ht="18" customHeight="1">
      <c r="B222" s="10"/>
      <c r="C222" s="10"/>
      <c r="D222" s="10"/>
    </row>
    <row r="223" spans="2:4" ht="18" customHeight="1">
      <c r="B223" s="10"/>
      <c r="C223" s="10"/>
      <c r="D223" s="10"/>
    </row>
    <row r="224" spans="2:4" ht="18" customHeight="1">
      <c r="B224" s="10"/>
      <c r="C224" s="10"/>
      <c r="D224" s="10"/>
    </row>
    <row r="225" spans="2:4" ht="18" customHeight="1">
      <c r="B225" s="10"/>
      <c r="C225" s="10"/>
      <c r="D225" s="10"/>
    </row>
    <row r="226" spans="2:4" ht="18" customHeight="1">
      <c r="B226" s="10"/>
      <c r="C226" s="10"/>
      <c r="D226" s="10"/>
    </row>
    <row r="227" spans="2:4" ht="18" customHeight="1">
      <c r="B227" s="10"/>
      <c r="C227" s="10"/>
      <c r="D227" s="10"/>
    </row>
    <row r="228" spans="2:4" ht="18" customHeight="1">
      <c r="B228" s="10"/>
      <c r="C228" s="10"/>
      <c r="D228" s="10"/>
    </row>
    <row r="229" spans="2:4" ht="18" customHeight="1">
      <c r="B229" s="10"/>
      <c r="C229" s="10"/>
      <c r="D229" s="10"/>
    </row>
    <row r="230" spans="2:4" ht="18" customHeight="1">
      <c r="B230" s="10"/>
      <c r="C230" s="10"/>
      <c r="D230" s="10"/>
    </row>
    <row r="231" spans="2:4" ht="18" customHeight="1">
      <c r="B231" s="10"/>
      <c r="C231" s="10"/>
      <c r="D231" s="10"/>
    </row>
    <row r="232" spans="2:4" ht="18" customHeight="1">
      <c r="B232" s="10"/>
      <c r="C232" s="10"/>
      <c r="D232" s="10"/>
    </row>
    <row r="233" spans="2:4" ht="18" customHeight="1">
      <c r="B233" s="10"/>
      <c r="C233" s="10"/>
      <c r="D233" s="10"/>
    </row>
    <row r="234" spans="2:4" ht="18" customHeight="1">
      <c r="B234" s="10"/>
      <c r="C234" s="10"/>
      <c r="D234" s="10"/>
    </row>
    <row r="235" spans="2:4" ht="18" customHeight="1">
      <c r="B235" s="10"/>
      <c r="C235" s="10"/>
      <c r="D235" s="10"/>
    </row>
    <row r="236" spans="2:4" ht="18" customHeight="1">
      <c r="B236" s="10"/>
      <c r="C236" s="10"/>
      <c r="D236" s="10"/>
    </row>
    <row r="237" spans="2:4" ht="18" customHeight="1">
      <c r="B237" s="10"/>
      <c r="C237" s="10"/>
      <c r="D237" s="10"/>
    </row>
    <row r="238" spans="2:4" ht="18" customHeight="1">
      <c r="B238" s="10"/>
      <c r="C238" s="10"/>
      <c r="D238" s="10"/>
    </row>
    <row r="239" spans="2:4" ht="18" customHeight="1">
      <c r="B239" s="10"/>
      <c r="C239" s="10"/>
      <c r="D239" s="10"/>
    </row>
    <row r="240" spans="2:4" ht="18" customHeight="1">
      <c r="B240" s="10"/>
      <c r="C240" s="10"/>
      <c r="D240" s="10"/>
    </row>
    <row r="241" spans="2:4" ht="18" customHeight="1">
      <c r="B241" s="10"/>
      <c r="C241" s="10"/>
      <c r="D241" s="10"/>
    </row>
    <row r="242" spans="2:4" ht="18" customHeight="1">
      <c r="B242" s="10"/>
      <c r="C242" s="10"/>
      <c r="D242" s="10"/>
    </row>
    <row r="243" spans="2:4" ht="18" customHeight="1">
      <c r="B243" s="10"/>
      <c r="C243" s="10"/>
      <c r="D243" s="10"/>
    </row>
    <row r="244" spans="2:4" ht="18" customHeight="1">
      <c r="B244" s="10"/>
      <c r="C244" s="10"/>
      <c r="D244" s="10"/>
    </row>
    <row r="245" spans="2:4" ht="18" customHeight="1">
      <c r="B245" s="10"/>
      <c r="C245" s="10"/>
      <c r="D245" s="10"/>
    </row>
    <row r="246" spans="2:4" ht="18" customHeight="1">
      <c r="B246" s="10"/>
      <c r="C246" s="10"/>
      <c r="D246" s="10"/>
    </row>
    <row r="247" spans="2:4" ht="18" customHeight="1">
      <c r="B247" s="10"/>
      <c r="C247" s="10"/>
      <c r="D247" s="10"/>
    </row>
    <row r="248" spans="2:4" ht="18" customHeight="1">
      <c r="B248" s="10"/>
      <c r="C248" s="10"/>
      <c r="D248" s="10"/>
    </row>
    <row r="249" spans="2:4" ht="18" customHeight="1">
      <c r="B249" s="10"/>
      <c r="C249" s="10"/>
      <c r="D249" s="10"/>
    </row>
    <row r="250" spans="2:4" ht="18" customHeight="1">
      <c r="B250" s="10"/>
      <c r="C250" s="10"/>
      <c r="D250" s="10"/>
    </row>
    <row r="251" spans="2:4" ht="18" customHeight="1">
      <c r="B251" s="10"/>
      <c r="C251" s="10"/>
      <c r="D251" s="10"/>
    </row>
    <row r="252" spans="2:4" ht="18" customHeight="1">
      <c r="B252" s="10"/>
      <c r="C252" s="10"/>
      <c r="D252" s="10"/>
    </row>
    <row r="253" spans="2:4" ht="18" customHeight="1">
      <c r="B253" s="10"/>
      <c r="C253" s="10"/>
      <c r="D253" s="10"/>
    </row>
    <row r="254" spans="2:4" ht="18" customHeight="1">
      <c r="B254" s="10"/>
      <c r="C254" s="10"/>
      <c r="D254" s="10"/>
    </row>
    <row r="255" spans="2:4" ht="18" customHeight="1">
      <c r="B255" s="10"/>
      <c r="C255" s="10"/>
      <c r="D255" s="10"/>
    </row>
    <row r="256" spans="2:4" ht="18" customHeight="1">
      <c r="B256" s="10"/>
      <c r="C256" s="10"/>
      <c r="D256" s="10"/>
    </row>
    <row r="257" spans="2:4" ht="18" customHeight="1">
      <c r="B257" s="10"/>
      <c r="C257" s="10"/>
      <c r="D257" s="10"/>
    </row>
    <row r="258" spans="2:4" ht="18" customHeight="1">
      <c r="B258" s="10"/>
      <c r="C258" s="10"/>
      <c r="D258" s="10"/>
    </row>
    <row r="259" spans="2:4" ht="18" customHeight="1">
      <c r="B259" s="10"/>
      <c r="C259" s="10"/>
      <c r="D259" s="10"/>
    </row>
    <row r="260" spans="2:4" ht="18" customHeight="1">
      <c r="B260" s="10"/>
      <c r="C260" s="10"/>
      <c r="D260" s="10"/>
    </row>
    <row r="261" spans="2:4" ht="18" customHeight="1">
      <c r="B261" s="10"/>
      <c r="C261" s="10"/>
      <c r="D261" s="10"/>
    </row>
    <row r="262" spans="2:4" ht="18" customHeight="1">
      <c r="B262" s="10"/>
      <c r="C262" s="10"/>
      <c r="D262" s="10"/>
    </row>
    <row r="263" spans="2:4" ht="18" customHeight="1">
      <c r="B263" s="10"/>
      <c r="C263" s="10"/>
      <c r="D263" s="10"/>
    </row>
    <row r="264" spans="2:4" ht="18" customHeight="1">
      <c r="B264" s="10"/>
      <c r="C264" s="10"/>
      <c r="D264" s="10"/>
    </row>
    <row r="265" spans="2:4" ht="18" customHeight="1">
      <c r="B265" s="10"/>
      <c r="C265" s="10"/>
      <c r="D265" s="10"/>
    </row>
    <row r="266" spans="2:4" ht="18" customHeight="1">
      <c r="B266" s="10"/>
      <c r="C266" s="10"/>
      <c r="D266" s="10"/>
    </row>
    <row r="267" spans="2:4" ht="18" customHeight="1">
      <c r="B267" s="10"/>
      <c r="C267" s="10"/>
      <c r="D267" s="10"/>
    </row>
    <row r="268" spans="2:4" ht="18" customHeight="1">
      <c r="B268" s="10"/>
      <c r="C268" s="10"/>
      <c r="D268" s="10"/>
    </row>
    <row r="269" spans="2:4" ht="18" customHeight="1">
      <c r="B269" s="10"/>
      <c r="C269" s="10"/>
      <c r="D269" s="10"/>
    </row>
    <row r="270" spans="2:4" ht="18" customHeight="1">
      <c r="B270" s="10"/>
      <c r="C270" s="10"/>
      <c r="D270" s="10"/>
    </row>
    <row r="271" spans="2:4" ht="18" customHeight="1">
      <c r="B271" s="10"/>
      <c r="C271" s="10"/>
      <c r="D271" s="10"/>
    </row>
    <row r="272" spans="2:4" ht="18" customHeight="1">
      <c r="B272" s="10"/>
      <c r="C272" s="10"/>
      <c r="D272" s="10"/>
    </row>
    <row r="273" spans="2:4" ht="18" customHeight="1">
      <c r="B273" s="10"/>
      <c r="C273" s="10"/>
      <c r="D273" s="10"/>
    </row>
    <row r="274" spans="2:4" ht="18" customHeight="1">
      <c r="B274" s="10"/>
      <c r="C274" s="10"/>
      <c r="D274" s="10"/>
    </row>
    <row r="275" spans="2:4" ht="18" customHeight="1">
      <c r="B275" s="10"/>
      <c r="C275" s="10"/>
      <c r="D275" s="10"/>
    </row>
    <row r="276" spans="2:4" ht="18" customHeight="1">
      <c r="B276" s="10"/>
      <c r="C276" s="10"/>
      <c r="D276" s="10"/>
    </row>
    <row r="277" spans="2:4" ht="18" customHeight="1">
      <c r="B277" s="10"/>
      <c r="C277" s="10"/>
      <c r="D277" s="10"/>
    </row>
    <row r="278" spans="2:4" ht="18" customHeight="1">
      <c r="B278" s="10"/>
      <c r="C278" s="10"/>
      <c r="D278" s="10"/>
    </row>
    <row r="279" spans="2:4" ht="18" customHeight="1">
      <c r="B279" s="10"/>
      <c r="C279" s="10"/>
      <c r="D279" s="10"/>
    </row>
    <row r="280" spans="2:4" ht="18" customHeight="1">
      <c r="B280" s="10"/>
      <c r="C280" s="10"/>
      <c r="D280" s="10"/>
    </row>
    <row r="281" spans="2:4" ht="18" customHeight="1">
      <c r="B281" s="10"/>
      <c r="C281" s="10"/>
      <c r="D281" s="10"/>
    </row>
    <row r="282" spans="2:4" ht="18" customHeight="1">
      <c r="B282" s="10"/>
      <c r="C282" s="10"/>
      <c r="D282" s="10"/>
    </row>
    <row r="283" spans="2:4" ht="18" customHeight="1">
      <c r="B283" s="10"/>
      <c r="C283" s="10"/>
      <c r="D283" s="10"/>
    </row>
    <row r="284" spans="2:4" ht="18" customHeight="1">
      <c r="B284" s="10"/>
      <c r="C284" s="10"/>
      <c r="D284" s="10"/>
    </row>
    <row r="285" spans="2:4" ht="18" customHeight="1">
      <c r="B285" s="10"/>
      <c r="C285" s="10"/>
      <c r="D285" s="10"/>
    </row>
    <row r="286" spans="2:4" ht="18" customHeight="1">
      <c r="B286" s="10"/>
      <c r="C286" s="10"/>
      <c r="D286" s="10"/>
    </row>
    <row r="287" spans="2:4" ht="18" customHeight="1">
      <c r="B287" s="10"/>
      <c r="C287" s="10"/>
      <c r="D287" s="10"/>
    </row>
    <row r="288" spans="2:4" ht="18" customHeight="1">
      <c r="B288" s="10"/>
      <c r="C288" s="10"/>
      <c r="D288" s="10"/>
    </row>
    <row r="289" spans="2:4" ht="18" customHeight="1">
      <c r="B289" s="10"/>
      <c r="C289" s="10"/>
      <c r="D289" s="10"/>
    </row>
    <row r="290" spans="2:4" ht="18" customHeight="1">
      <c r="B290" s="10"/>
      <c r="C290" s="10"/>
      <c r="D290" s="10"/>
    </row>
    <row r="291" spans="2:4" ht="18" customHeight="1">
      <c r="B291" s="10"/>
      <c r="C291" s="10"/>
      <c r="D291" s="10"/>
    </row>
    <row r="292" spans="2:4" ht="18" customHeight="1">
      <c r="B292" s="10"/>
      <c r="C292" s="10"/>
      <c r="D292" s="10"/>
    </row>
    <row r="293" spans="2:4" ht="18" customHeight="1">
      <c r="B293" s="10"/>
      <c r="C293" s="10"/>
      <c r="D293" s="10"/>
    </row>
    <row r="294" spans="2:4" ht="18" customHeight="1">
      <c r="B294" s="10"/>
      <c r="C294" s="10"/>
      <c r="D294" s="10"/>
    </row>
    <row r="295" spans="2:4" ht="18" customHeight="1">
      <c r="B295" s="10"/>
      <c r="C295" s="10"/>
      <c r="D295" s="10"/>
    </row>
    <row r="296" spans="2:4" ht="18" customHeight="1">
      <c r="B296" s="10"/>
      <c r="C296" s="10"/>
      <c r="D296" s="10"/>
    </row>
    <row r="297" spans="2:4" ht="18" customHeight="1">
      <c r="B297" s="10"/>
      <c r="C297" s="10"/>
      <c r="D297" s="10"/>
    </row>
    <row r="298" spans="2:4" ht="18" customHeight="1">
      <c r="B298" s="10"/>
      <c r="C298" s="10"/>
      <c r="D298" s="10"/>
    </row>
    <row r="299" spans="2:4" ht="18" customHeight="1">
      <c r="B299" s="10"/>
      <c r="C299" s="10"/>
      <c r="D299" s="10"/>
    </row>
    <row r="300" spans="2:4" ht="18" customHeight="1">
      <c r="B300" s="10"/>
      <c r="C300" s="10"/>
      <c r="D300" s="10"/>
    </row>
    <row r="301" spans="2:4" ht="18" customHeight="1">
      <c r="B301" s="10"/>
      <c r="C301" s="10"/>
      <c r="D301" s="10"/>
    </row>
    <row r="302" spans="2:4" ht="18" customHeight="1">
      <c r="B302" s="10"/>
      <c r="C302" s="10"/>
      <c r="D302" s="10"/>
    </row>
    <row r="303" spans="2:4" ht="18" customHeight="1">
      <c r="B303" s="10"/>
      <c r="C303" s="10"/>
      <c r="D303" s="10"/>
    </row>
    <row r="304" spans="2:4" ht="18" customHeight="1">
      <c r="B304" s="10"/>
      <c r="C304" s="10"/>
      <c r="D304" s="10"/>
    </row>
    <row r="305" spans="2:4" ht="18" customHeight="1">
      <c r="B305" s="10"/>
      <c r="C305" s="10"/>
      <c r="D305" s="10"/>
    </row>
    <row r="306" spans="2:4" ht="18" customHeight="1">
      <c r="B306" s="10"/>
      <c r="C306" s="10"/>
      <c r="D306" s="10"/>
    </row>
    <row r="307" spans="2:4" ht="18" customHeight="1">
      <c r="B307" s="10"/>
      <c r="C307" s="10"/>
      <c r="D307" s="10"/>
    </row>
    <row r="308" spans="2:4" ht="18" customHeight="1">
      <c r="B308" s="10"/>
      <c r="C308" s="10"/>
      <c r="D308" s="10"/>
    </row>
    <row r="309" spans="2:4" ht="18" customHeight="1">
      <c r="B309" s="10"/>
      <c r="C309" s="10"/>
      <c r="D309" s="10"/>
    </row>
    <row r="310" spans="2:4" ht="18" customHeight="1">
      <c r="B310" s="10"/>
      <c r="C310" s="10"/>
      <c r="D310" s="10"/>
    </row>
    <row r="311" spans="2:4" ht="18" customHeight="1">
      <c r="B311" s="10"/>
      <c r="C311" s="10"/>
      <c r="D311" s="10"/>
    </row>
    <row r="312" spans="2:4" ht="18" customHeight="1">
      <c r="B312" s="10"/>
      <c r="C312" s="10"/>
      <c r="D312" s="10"/>
    </row>
    <row r="313" spans="2:4" ht="18" customHeight="1">
      <c r="B313" s="10"/>
      <c r="C313" s="10"/>
      <c r="D313" s="10"/>
    </row>
    <row r="314" spans="2:4" ht="18" customHeight="1">
      <c r="B314" s="10"/>
      <c r="C314" s="10"/>
      <c r="D314" s="10"/>
    </row>
    <row r="315" spans="2:4" ht="18" customHeight="1">
      <c r="B315" s="10"/>
      <c r="C315" s="10"/>
      <c r="D315" s="10"/>
    </row>
    <row r="316" spans="2:4" ht="18" customHeight="1">
      <c r="B316" s="10"/>
      <c r="C316" s="10"/>
      <c r="D316" s="10"/>
    </row>
    <row r="317" spans="2:4" ht="18" customHeight="1">
      <c r="B317" s="10"/>
      <c r="C317" s="10"/>
      <c r="D317" s="10"/>
    </row>
    <row r="318" spans="2:4" ht="18" customHeight="1">
      <c r="B318" s="10"/>
      <c r="C318" s="10"/>
      <c r="D318" s="10"/>
    </row>
    <row r="319" spans="2:4" ht="18" customHeight="1">
      <c r="B319" s="10"/>
      <c r="C319" s="10"/>
      <c r="D319" s="10"/>
    </row>
    <row r="320" spans="2:4" ht="18" customHeight="1">
      <c r="B320" s="10"/>
      <c r="C320" s="10"/>
      <c r="D320" s="10"/>
    </row>
    <row r="321" spans="2:4" ht="18" customHeight="1">
      <c r="B321" s="10"/>
      <c r="C321" s="10"/>
      <c r="D321" s="10"/>
    </row>
    <row r="322" spans="2:4" ht="18" customHeight="1">
      <c r="B322" s="10"/>
      <c r="C322" s="10"/>
      <c r="D322" s="10"/>
    </row>
    <row r="323" spans="2:4" ht="18" customHeight="1">
      <c r="B323" s="10"/>
      <c r="C323" s="10"/>
      <c r="D323" s="10"/>
    </row>
    <row r="324" spans="2:4" ht="18" customHeight="1">
      <c r="B324" s="10"/>
      <c r="C324" s="10"/>
      <c r="D324" s="10"/>
    </row>
    <row r="325" spans="2:4" ht="18" customHeight="1">
      <c r="B325" s="10"/>
      <c r="C325" s="10"/>
      <c r="D325" s="10"/>
    </row>
    <row r="326" spans="2:4" ht="18" customHeight="1">
      <c r="B326" s="10"/>
      <c r="C326" s="10"/>
      <c r="D326" s="10"/>
    </row>
    <row r="327" spans="2:4" ht="18" customHeight="1">
      <c r="B327" s="10"/>
      <c r="C327" s="10"/>
      <c r="D327" s="10"/>
    </row>
    <row r="328" spans="2:4" ht="18" customHeight="1">
      <c r="B328" s="10"/>
      <c r="C328" s="10"/>
      <c r="D328" s="10"/>
    </row>
    <row r="329" spans="2:4" ht="18" customHeight="1">
      <c r="B329" s="10"/>
      <c r="C329" s="10"/>
      <c r="D329" s="10"/>
    </row>
    <row r="330" spans="2:4" ht="18" customHeight="1">
      <c r="B330" s="10"/>
      <c r="C330" s="10"/>
      <c r="D330" s="10"/>
    </row>
    <row r="331" spans="2:4" ht="18" customHeight="1">
      <c r="B331" s="10"/>
      <c r="C331" s="10"/>
      <c r="D331" s="10"/>
    </row>
    <row r="332" spans="2:4" ht="18" customHeight="1">
      <c r="B332" s="10"/>
      <c r="C332" s="10"/>
      <c r="D332" s="10"/>
    </row>
    <row r="333" spans="2:4" ht="18" customHeight="1">
      <c r="B333" s="10"/>
      <c r="C333" s="10"/>
      <c r="D333" s="10"/>
    </row>
    <row r="334" spans="2:4" ht="18" customHeight="1">
      <c r="B334" s="10"/>
      <c r="C334" s="10"/>
      <c r="D334" s="10"/>
    </row>
    <row r="335" spans="2:4" ht="18" customHeight="1">
      <c r="B335" s="10"/>
      <c r="C335" s="10"/>
      <c r="D335" s="10"/>
    </row>
    <row r="336" spans="2:4" ht="18" customHeight="1">
      <c r="B336" s="10"/>
      <c r="C336" s="10"/>
      <c r="D336" s="10"/>
    </row>
    <row r="337" spans="2:4" ht="18" customHeight="1">
      <c r="B337" s="10"/>
      <c r="C337" s="10"/>
      <c r="D337" s="10"/>
    </row>
    <row r="338" spans="2:4" ht="18" customHeight="1">
      <c r="B338" s="10"/>
      <c r="C338" s="10"/>
      <c r="D338" s="10"/>
    </row>
    <row r="339" spans="2:4" ht="18" customHeight="1">
      <c r="B339" s="10"/>
      <c r="C339" s="10"/>
      <c r="D339" s="10"/>
    </row>
    <row r="340" spans="2:4" ht="18" customHeight="1">
      <c r="B340" s="10"/>
      <c r="C340" s="10"/>
      <c r="D340" s="10"/>
    </row>
    <row r="341" spans="2:4" ht="18" customHeight="1">
      <c r="B341" s="10"/>
      <c r="C341" s="10"/>
      <c r="D341" s="10"/>
    </row>
    <row r="342" spans="2:4" ht="18" customHeight="1">
      <c r="B342" s="10"/>
      <c r="C342" s="10"/>
      <c r="D342" s="10"/>
    </row>
    <row r="343" spans="2:4" ht="18" customHeight="1">
      <c r="B343" s="10"/>
      <c r="C343" s="10"/>
      <c r="D343" s="10"/>
    </row>
    <row r="344" spans="2:4" ht="18" customHeight="1">
      <c r="B344" s="10"/>
      <c r="C344" s="10"/>
      <c r="D344" s="10"/>
    </row>
    <row r="345" spans="2:4" ht="18" customHeight="1">
      <c r="B345" s="10"/>
      <c r="C345" s="10"/>
      <c r="D345" s="10"/>
    </row>
    <row r="346" spans="2:4" ht="18" customHeight="1">
      <c r="B346" s="10"/>
      <c r="C346" s="10"/>
      <c r="D346" s="10"/>
    </row>
    <row r="347" spans="2:4" ht="18" customHeight="1">
      <c r="B347" s="10"/>
      <c r="C347" s="10"/>
      <c r="D347" s="10"/>
    </row>
    <row r="348" spans="2:4" ht="18" customHeight="1">
      <c r="B348" s="10"/>
      <c r="C348" s="10"/>
      <c r="D348" s="10"/>
    </row>
    <row r="349" spans="2:4" ht="18" customHeight="1">
      <c r="B349" s="10"/>
      <c r="C349" s="10"/>
      <c r="D349" s="10"/>
    </row>
    <row r="350" spans="2:4" ht="18" customHeight="1">
      <c r="B350" s="10"/>
      <c r="C350" s="10"/>
      <c r="D350" s="10"/>
    </row>
    <row r="351" spans="2:4" ht="18" customHeight="1">
      <c r="B351" s="10"/>
      <c r="C351" s="10"/>
      <c r="D351" s="10"/>
    </row>
    <row r="352" spans="2:4" ht="18" customHeight="1">
      <c r="B352" s="10"/>
      <c r="C352" s="10"/>
      <c r="D352" s="10"/>
    </row>
    <row r="353" spans="2:4" ht="18" customHeight="1">
      <c r="B353" s="10"/>
      <c r="C353" s="10"/>
      <c r="D353" s="10"/>
    </row>
    <row r="354" spans="2:4" ht="18" customHeight="1">
      <c r="B354" s="10"/>
      <c r="C354" s="10"/>
      <c r="D354" s="10"/>
    </row>
    <row r="355" spans="2:4" ht="18" customHeight="1">
      <c r="B355" s="10"/>
      <c r="C355" s="10"/>
      <c r="D355" s="10"/>
    </row>
    <row r="356" spans="2:4" ht="18" customHeight="1">
      <c r="B356" s="10"/>
      <c r="C356" s="10"/>
      <c r="D356" s="10"/>
    </row>
    <row r="357" spans="2:4" ht="18" customHeight="1">
      <c r="B357" s="10"/>
      <c r="C357" s="10"/>
      <c r="D357" s="10"/>
    </row>
    <row r="358" spans="2:4" ht="18" customHeight="1">
      <c r="B358" s="10"/>
      <c r="C358" s="10"/>
      <c r="D358" s="10"/>
    </row>
    <row r="359" spans="2:4" ht="18" customHeight="1">
      <c r="B359" s="10"/>
      <c r="C359" s="10"/>
      <c r="D359" s="10"/>
    </row>
    <row r="360" spans="2:4" ht="18" customHeight="1">
      <c r="B360" s="10"/>
      <c r="C360" s="10"/>
      <c r="D360" s="10"/>
    </row>
    <row r="361" spans="2:4" ht="18" customHeight="1">
      <c r="B361" s="10"/>
      <c r="C361" s="10"/>
      <c r="D361" s="10"/>
    </row>
    <row r="362" spans="2:4" ht="18" customHeight="1">
      <c r="B362" s="10"/>
      <c r="C362" s="10"/>
      <c r="D362" s="10"/>
    </row>
    <row r="363" spans="2:4" ht="18" customHeight="1">
      <c r="B363" s="10"/>
      <c r="C363" s="10"/>
      <c r="D363" s="10"/>
    </row>
    <row r="364" spans="2:4" ht="18" customHeight="1">
      <c r="B364" s="10"/>
      <c r="C364" s="10"/>
      <c r="D364" s="10"/>
    </row>
    <row r="365" spans="2:4" ht="18" customHeight="1">
      <c r="B365" s="10"/>
      <c r="C365" s="10"/>
      <c r="D365" s="10"/>
    </row>
    <row r="366" spans="2:4" ht="18" customHeight="1">
      <c r="B366" s="10"/>
      <c r="C366" s="10"/>
      <c r="D366" s="10"/>
    </row>
    <row r="367" spans="2:4" ht="18" customHeight="1">
      <c r="B367" s="10"/>
      <c r="C367" s="10"/>
      <c r="D367" s="10"/>
    </row>
    <row r="368" spans="2:4" ht="18" customHeight="1">
      <c r="B368" s="10"/>
      <c r="C368" s="10"/>
      <c r="D368" s="10"/>
    </row>
    <row r="369" spans="2:4" ht="18" customHeight="1">
      <c r="B369" s="10"/>
      <c r="C369" s="10"/>
      <c r="D369" s="10"/>
    </row>
    <row r="370" spans="2:4" ht="18" customHeight="1">
      <c r="B370" s="10"/>
      <c r="C370" s="10"/>
      <c r="D370" s="10"/>
    </row>
    <row r="371" spans="2:4" ht="18" customHeight="1">
      <c r="B371" s="10"/>
      <c r="C371" s="10"/>
      <c r="D371" s="10"/>
    </row>
    <row r="372" spans="2:4" ht="18" customHeight="1">
      <c r="B372" s="10"/>
      <c r="C372" s="10"/>
      <c r="D372" s="10"/>
    </row>
    <row r="373" spans="2:4" ht="18" customHeight="1">
      <c r="B373" s="10"/>
      <c r="C373" s="10"/>
      <c r="D373" s="10"/>
    </row>
    <row r="374" spans="2:4" ht="18" customHeight="1">
      <c r="B374" s="10"/>
      <c r="C374" s="10"/>
      <c r="D374" s="10"/>
    </row>
    <row r="375" spans="2:4" ht="18" customHeight="1">
      <c r="B375" s="10"/>
      <c r="C375" s="10"/>
      <c r="D375" s="10"/>
    </row>
    <row r="376" spans="2:4" ht="18" customHeight="1">
      <c r="B376" s="10"/>
      <c r="C376" s="10"/>
      <c r="D376" s="10"/>
    </row>
    <row r="377" spans="2:4" ht="18" customHeight="1">
      <c r="B377" s="10"/>
      <c r="C377" s="10"/>
      <c r="D377" s="10"/>
    </row>
    <row r="378" spans="2:4" ht="18" customHeight="1">
      <c r="B378" s="10"/>
      <c r="C378" s="10"/>
      <c r="D378" s="10"/>
    </row>
    <row r="379" spans="2:4" ht="18" customHeight="1">
      <c r="B379" s="10"/>
      <c r="C379" s="10"/>
      <c r="D379" s="10"/>
    </row>
    <row r="380" spans="2:4" ht="18" customHeight="1">
      <c r="B380" s="10"/>
      <c r="C380" s="10"/>
      <c r="D380" s="10"/>
    </row>
    <row r="381" spans="2:4" ht="18" customHeight="1">
      <c r="B381" s="10"/>
      <c r="C381" s="10"/>
      <c r="D381" s="10"/>
    </row>
    <row r="382" spans="2:4" ht="18" customHeight="1">
      <c r="B382" s="10"/>
      <c r="C382" s="10"/>
      <c r="D382" s="10"/>
    </row>
    <row r="383" spans="2:4" ht="18" customHeight="1">
      <c r="B383" s="10"/>
      <c r="C383" s="10"/>
      <c r="D383" s="10"/>
    </row>
    <row r="384" spans="2:4" ht="18" customHeight="1">
      <c r="B384" s="10"/>
      <c r="C384" s="10"/>
      <c r="D384" s="10"/>
    </row>
    <row r="385" spans="2:4" ht="18" customHeight="1">
      <c r="B385" s="10"/>
      <c r="C385" s="10"/>
      <c r="D385" s="10"/>
    </row>
    <row r="386" spans="2:4" ht="18" customHeight="1">
      <c r="B386" s="10"/>
      <c r="C386" s="10"/>
      <c r="D386" s="10"/>
    </row>
    <row r="387" spans="2:4" ht="18" customHeight="1">
      <c r="B387" s="10"/>
      <c r="C387" s="10"/>
      <c r="D387" s="10"/>
    </row>
    <row r="388" spans="2:4" ht="18" customHeight="1">
      <c r="B388" s="10"/>
      <c r="C388" s="10"/>
      <c r="D388" s="10"/>
    </row>
    <row r="389" spans="2:4" ht="18" customHeight="1">
      <c r="B389" s="10"/>
      <c r="C389" s="10"/>
      <c r="D389" s="10"/>
    </row>
    <row r="390" spans="2:4" ht="18" customHeight="1">
      <c r="B390" s="10"/>
      <c r="C390" s="10"/>
      <c r="D390" s="10"/>
    </row>
    <row r="391" spans="2:4" ht="18" customHeight="1">
      <c r="B391" s="10"/>
      <c r="C391" s="10"/>
      <c r="D391" s="10"/>
    </row>
    <row r="392" spans="2:4" ht="18" customHeight="1">
      <c r="B392" s="10"/>
      <c r="C392" s="10"/>
      <c r="D392" s="10"/>
    </row>
    <row r="393" spans="2:4" ht="18" customHeight="1">
      <c r="B393" s="10"/>
      <c r="C393" s="10"/>
      <c r="D393" s="10"/>
    </row>
    <row r="394" spans="2:4" ht="18" customHeight="1">
      <c r="B394" s="10"/>
      <c r="C394" s="10"/>
      <c r="D394" s="10"/>
    </row>
    <row r="395" spans="2:4" ht="18" customHeight="1">
      <c r="B395" s="10"/>
      <c r="C395" s="10"/>
      <c r="D395" s="10"/>
    </row>
    <row r="396" spans="2:4" ht="18" customHeight="1">
      <c r="B396" s="10"/>
      <c r="C396" s="10"/>
      <c r="D396" s="10"/>
    </row>
    <row r="397" spans="2:4" ht="18" customHeight="1">
      <c r="B397" s="10"/>
      <c r="C397" s="10"/>
      <c r="D397" s="10"/>
    </row>
    <row r="398" spans="2:4" ht="18" customHeight="1">
      <c r="B398" s="10"/>
      <c r="C398" s="10"/>
      <c r="D398" s="10"/>
    </row>
    <row r="399" spans="2:4" ht="18" customHeight="1">
      <c r="B399" s="10"/>
      <c r="C399" s="10"/>
      <c r="D399" s="10"/>
    </row>
    <row r="400" spans="2:4" ht="18" customHeight="1">
      <c r="B400" s="10"/>
      <c r="C400" s="10"/>
      <c r="D400" s="10"/>
    </row>
    <row r="401" spans="2:4" ht="18" customHeight="1">
      <c r="B401" s="10"/>
      <c r="C401" s="10"/>
      <c r="D401" s="10"/>
    </row>
    <row r="402" spans="2:4" ht="18" customHeight="1">
      <c r="B402" s="10"/>
      <c r="C402" s="10"/>
      <c r="D402" s="10"/>
    </row>
    <row r="403" spans="2:4" ht="18" customHeight="1">
      <c r="B403" s="10"/>
      <c r="C403" s="10"/>
      <c r="D403" s="10"/>
    </row>
    <row r="404" spans="2:4" ht="18" customHeight="1">
      <c r="B404" s="10"/>
      <c r="C404" s="10"/>
      <c r="D404" s="10"/>
    </row>
    <row r="405" spans="2:4" ht="18" customHeight="1">
      <c r="B405" s="10"/>
      <c r="C405" s="10"/>
      <c r="D405" s="10"/>
    </row>
    <row r="406" spans="2:4" ht="18" customHeight="1">
      <c r="B406" s="10"/>
      <c r="C406" s="10"/>
      <c r="D406" s="10"/>
    </row>
    <row r="407" spans="2:4" ht="18" customHeight="1">
      <c r="B407" s="10"/>
      <c r="C407" s="10"/>
      <c r="D407" s="10"/>
    </row>
    <row r="408" spans="2:4" ht="18" customHeight="1">
      <c r="B408" s="10"/>
      <c r="C408" s="10"/>
      <c r="D408" s="10"/>
    </row>
    <row r="409" spans="2:4" ht="18" customHeight="1">
      <c r="B409" s="10"/>
      <c r="C409" s="10"/>
      <c r="D409" s="10"/>
    </row>
    <row r="410" spans="2:4" ht="18" customHeight="1">
      <c r="B410" s="10"/>
      <c r="C410" s="10"/>
      <c r="D410" s="10"/>
    </row>
    <row r="411" spans="2:4" ht="18" customHeight="1">
      <c r="B411" s="10"/>
      <c r="C411" s="10"/>
      <c r="D411" s="10"/>
    </row>
    <row r="412" spans="2:4" ht="18" customHeight="1">
      <c r="B412" s="10"/>
      <c r="C412" s="10"/>
      <c r="D412" s="10"/>
    </row>
    <row r="413" spans="2:4" ht="18" customHeight="1">
      <c r="B413" s="10"/>
      <c r="C413" s="10"/>
      <c r="D413" s="10"/>
    </row>
    <row r="414" spans="2:4" ht="18" customHeight="1">
      <c r="B414" s="10"/>
      <c r="C414" s="10"/>
      <c r="D414" s="10"/>
    </row>
    <row r="415" spans="2:4" ht="18" customHeight="1">
      <c r="B415" s="10"/>
      <c r="C415" s="10"/>
      <c r="D415" s="10"/>
    </row>
    <row r="416" spans="2:4" ht="18" customHeight="1">
      <c r="B416" s="10"/>
      <c r="C416" s="10"/>
      <c r="D416" s="10"/>
    </row>
    <row r="417" spans="2:4" ht="18" customHeight="1">
      <c r="B417" s="10"/>
      <c r="C417" s="10"/>
      <c r="D417" s="10"/>
    </row>
    <row r="418" spans="2:4" ht="18" customHeight="1">
      <c r="B418" s="10"/>
      <c r="C418" s="10"/>
      <c r="D418" s="10"/>
    </row>
    <row r="419" spans="2:4" ht="18" customHeight="1">
      <c r="B419" s="10"/>
      <c r="C419" s="10"/>
      <c r="D419" s="10"/>
    </row>
    <row r="420" spans="2:4" ht="18" customHeight="1">
      <c r="B420" s="10"/>
      <c r="C420" s="10"/>
      <c r="D420" s="10"/>
    </row>
    <row r="421" spans="2:4" ht="18" customHeight="1">
      <c r="B421" s="10"/>
      <c r="C421" s="10"/>
      <c r="D421" s="10"/>
    </row>
    <row r="422" spans="2:4" ht="18" customHeight="1">
      <c r="B422" s="10"/>
      <c r="C422" s="10"/>
      <c r="D422" s="10"/>
    </row>
    <row r="423" spans="2:4" ht="18" customHeight="1">
      <c r="B423" s="10"/>
      <c r="C423" s="10"/>
      <c r="D423" s="10"/>
    </row>
    <row r="424" spans="2:4" ht="18" customHeight="1">
      <c r="B424" s="10"/>
      <c r="C424" s="10"/>
      <c r="D424" s="10"/>
    </row>
    <row r="425" spans="2:4" ht="18" customHeight="1">
      <c r="B425" s="10"/>
      <c r="C425" s="10"/>
      <c r="D425" s="10"/>
    </row>
    <row r="426" spans="2:4" ht="18" customHeight="1">
      <c r="B426" s="10"/>
      <c r="C426" s="10"/>
      <c r="D426" s="10"/>
    </row>
    <row r="427" spans="2:4" ht="18" customHeight="1">
      <c r="B427" s="10"/>
      <c r="C427" s="10"/>
      <c r="D427" s="10"/>
    </row>
    <row r="428" spans="2:4" ht="18" customHeight="1">
      <c r="B428" s="10"/>
      <c r="C428" s="10"/>
      <c r="D428" s="10"/>
    </row>
    <row r="429" spans="2:4" ht="18" customHeight="1">
      <c r="B429" s="10"/>
      <c r="C429" s="10"/>
      <c r="D429" s="10"/>
    </row>
    <row r="430" spans="2:4" ht="18" customHeight="1">
      <c r="B430" s="10"/>
      <c r="C430" s="10"/>
      <c r="D430" s="10"/>
    </row>
    <row r="431" spans="2:4" ht="18" customHeight="1">
      <c r="B431" s="10"/>
      <c r="C431" s="10"/>
      <c r="D431" s="10"/>
    </row>
    <row r="432" spans="2:4" ht="18" customHeight="1">
      <c r="B432" s="10"/>
      <c r="C432" s="10"/>
      <c r="D432" s="10"/>
    </row>
    <row r="433" spans="2:4" ht="18" customHeight="1">
      <c r="B433" s="10"/>
      <c r="C433" s="10"/>
      <c r="D433" s="10"/>
    </row>
    <row r="434" spans="2:4" ht="18" customHeight="1">
      <c r="B434" s="10"/>
      <c r="C434" s="10"/>
      <c r="D434" s="10"/>
    </row>
    <row r="435" spans="2:4" ht="18" customHeight="1">
      <c r="B435" s="10"/>
      <c r="C435" s="10"/>
      <c r="D435" s="10"/>
    </row>
    <row r="436" spans="2:4" ht="18" customHeight="1">
      <c r="B436" s="10"/>
      <c r="C436" s="10"/>
      <c r="D436" s="10"/>
    </row>
    <row r="437" spans="2:4" ht="18" customHeight="1">
      <c r="B437" s="10"/>
      <c r="C437" s="10"/>
      <c r="D437" s="10"/>
    </row>
    <row r="438" spans="2:4" ht="18" customHeight="1">
      <c r="B438" s="10"/>
      <c r="C438" s="10"/>
      <c r="D438" s="10"/>
    </row>
    <row r="439" spans="2:4" ht="18" customHeight="1">
      <c r="B439" s="10"/>
      <c r="C439" s="10"/>
      <c r="D439" s="10"/>
    </row>
    <row r="440" spans="2:4" ht="18" customHeight="1">
      <c r="B440" s="10"/>
      <c r="C440" s="10"/>
      <c r="D440" s="10"/>
    </row>
    <row r="441" spans="2:4" ht="18" customHeight="1">
      <c r="B441" s="10"/>
      <c r="C441" s="10"/>
      <c r="D441" s="10"/>
    </row>
    <row r="442" spans="2:4" ht="18" customHeight="1">
      <c r="B442" s="10"/>
      <c r="C442" s="10"/>
      <c r="D442" s="10"/>
    </row>
    <row r="443" spans="2:4" ht="18" customHeight="1">
      <c r="B443" s="10"/>
      <c r="C443" s="10"/>
      <c r="D443" s="10"/>
    </row>
    <row r="444" spans="2:4" ht="18" customHeight="1">
      <c r="B444" s="10"/>
      <c r="C444" s="10"/>
      <c r="D444" s="10"/>
    </row>
    <row r="445" spans="2:4" ht="18" customHeight="1">
      <c r="B445" s="10"/>
      <c r="C445" s="10"/>
      <c r="D445" s="10"/>
    </row>
    <row r="446" spans="2:4" ht="18" customHeight="1">
      <c r="B446" s="10"/>
      <c r="C446" s="10"/>
      <c r="D446" s="10"/>
    </row>
    <row r="447" spans="2:4" ht="18" customHeight="1">
      <c r="B447" s="10"/>
      <c r="C447" s="10"/>
      <c r="D447" s="10"/>
    </row>
    <row r="448" spans="2:4" ht="18" customHeight="1">
      <c r="B448" s="10"/>
      <c r="C448" s="10"/>
      <c r="D448" s="10"/>
    </row>
    <row r="449" spans="2:4" ht="18" customHeight="1">
      <c r="B449" s="10"/>
      <c r="C449" s="10"/>
      <c r="D449" s="10"/>
    </row>
    <row r="450" spans="2:4" ht="18" customHeight="1">
      <c r="B450" s="10"/>
      <c r="C450" s="10"/>
      <c r="D450" s="10"/>
    </row>
    <row r="451" spans="2:4" ht="18" customHeight="1">
      <c r="B451" s="10"/>
      <c r="C451" s="10"/>
      <c r="D451" s="10"/>
    </row>
    <row r="452" spans="2:4" ht="18" customHeight="1">
      <c r="B452" s="10"/>
      <c r="C452" s="10"/>
      <c r="D452" s="10"/>
    </row>
    <row r="453" spans="2:4" ht="18" customHeight="1">
      <c r="B453" s="10"/>
      <c r="C453" s="10"/>
      <c r="D453" s="10"/>
    </row>
    <row r="454" spans="2:4" ht="18" customHeight="1">
      <c r="B454" s="10"/>
      <c r="C454" s="10"/>
      <c r="D454" s="10"/>
    </row>
    <row r="455" spans="2:4" ht="18" customHeight="1">
      <c r="B455" s="10"/>
      <c r="C455" s="10"/>
      <c r="D455" s="10"/>
    </row>
    <row r="456" spans="2:4" ht="18" customHeight="1">
      <c r="B456" s="10"/>
      <c r="C456" s="10"/>
      <c r="D456" s="10"/>
    </row>
    <row r="457" spans="2:4" ht="18" customHeight="1">
      <c r="B457" s="10"/>
      <c r="C457" s="10"/>
      <c r="D457" s="10"/>
    </row>
    <row r="458" spans="2:4" ht="18" customHeight="1">
      <c r="B458" s="10"/>
      <c r="C458" s="10"/>
      <c r="D458" s="10"/>
    </row>
    <row r="459" spans="2:4" ht="18" customHeight="1">
      <c r="B459" s="10"/>
      <c r="C459" s="10"/>
      <c r="D459" s="10"/>
    </row>
    <row r="460" spans="2:4" ht="18" customHeight="1">
      <c r="B460" s="10"/>
      <c r="C460" s="10"/>
      <c r="D460" s="10"/>
    </row>
    <row r="461" spans="2:4" ht="18" customHeight="1">
      <c r="B461" s="10"/>
      <c r="C461" s="10"/>
      <c r="D461" s="10"/>
    </row>
    <row r="462" spans="2:4" ht="18" customHeight="1">
      <c r="B462" s="10"/>
      <c r="C462" s="10"/>
      <c r="D462" s="10"/>
    </row>
    <row r="463" spans="2:4" ht="18" customHeight="1">
      <c r="B463" s="10"/>
      <c r="C463" s="10"/>
      <c r="D463" s="10"/>
    </row>
    <row r="464" spans="2:4" ht="18" customHeight="1">
      <c r="B464" s="10"/>
      <c r="C464" s="10"/>
      <c r="D464" s="10"/>
    </row>
    <row r="465" spans="2:4" ht="18" customHeight="1">
      <c r="B465" s="10"/>
      <c r="C465" s="10"/>
      <c r="D465" s="10"/>
    </row>
    <row r="466" spans="2:4" ht="18" customHeight="1">
      <c r="B466" s="10"/>
      <c r="C466" s="10"/>
      <c r="D466" s="10"/>
    </row>
    <row r="467" spans="2:4" ht="18" customHeight="1">
      <c r="B467" s="10"/>
      <c r="C467" s="10"/>
      <c r="D467" s="10"/>
    </row>
    <row r="468" spans="2:4" ht="18" customHeight="1">
      <c r="B468" s="10"/>
      <c r="C468" s="10"/>
      <c r="D468" s="10"/>
    </row>
    <row r="469" spans="2:4" ht="18" customHeight="1">
      <c r="B469" s="10"/>
      <c r="C469" s="10"/>
      <c r="D469" s="10"/>
    </row>
    <row r="470" spans="2:4" ht="18" customHeight="1">
      <c r="B470" s="10"/>
      <c r="C470" s="10"/>
      <c r="D470" s="10"/>
    </row>
    <row r="471" spans="2:4" ht="18" customHeight="1">
      <c r="B471" s="10"/>
      <c r="C471" s="10"/>
      <c r="D471" s="10"/>
    </row>
    <row r="472" spans="2:4" ht="18" customHeight="1">
      <c r="B472" s="10"/>
      <c r="C472" s="10"/>
      <c r="D472" s="10"/>
    </row>
    <row r="473" spans="2:4" ht="18" customHeight="1">
      <c r="B473" s="10"/>
      <c r="C473" s="10"/>
      <c r="D473" s="10"/>
    </row>
    <row r="474" spans="2:4" ht="18" customHeight="1">
      <c r="B474" s="10"/>
      <c r="C474" s="10"/>
      <c r="D474" s="10"/>
    </row>
    <row r="475" spans="2:4" ht="18" customHeight="1">
      <c r="B475" s="10"/>
      <c r="C475" s="10"/>
      <c r="D475" s="10"/>
    </row>
    <row r="476" spans="2:4" ht="18" customHeight="1">
      <c r="B476" s="10"/>
      <c r="C476" s="10"/>
      <c r="D476" s="10"/>
    </row>
    <row r="477" spans="2:4" ht="18" customHeight="1">
      <c r="B477" s="10"/>
      <c r="C477" s="10"/>
      <c r="D477" s="10"/>
    </row>
    <row r="478" spans="2:4" ht="18" customHeight="1">
      <c r="B478" s="10"/>
      <c r="C478" s="10"/>
      <c r="D478" s="10"/>
    </row>
    <row r="479" spans="2:4" ht="18" customHeight="1">
      <c r="B479" s="10"/>
      <c r="C479" s="10"/>
      <c r="D479" s="10"/>
    </row>
    <row r="480" spans="2:4" ht="18" customHeight="1">
      <c r="B480" s="10"/>
      <c r="C480" s="10"/>
      <c r="D480" s="10"/>
    </row>
    <row r="481" spans="2:4" ht="18" customHeight="1">
      <c r="B481" s="10"/>
      <c r="C481" s="10"/>
      <c r="D481" s="10"/>
    </row>
    <row r="482" spans="2:4" ht="18" customHeight="1">
      <c r="B482" s="10"/>
      <c r="C482" s="10"/>
      <c r="D482" s="10"/>
    </row>
    <row r="483" spans="2:4" ht="18" customHeight="1">
      <c r="B483" s="10"/>
      <c r="C483" s="10"/>
      <c r="D483" s="10"/>
    </row>
    <row r="484" spans="2:4" ht="18" customHeight="1">
      <c r="B484" s="10"/>
      <c r="C484" s="10"/>
      <c r="D484" s="10"/>
    </row>
    <row r="485" spans="2:4" ht="18" customHeight="1">
      <c r="B485" s="10"/>
      <c r="C485" s="10"/>
      <c r="D485" s="10"/>
    </row>
    <row r="486" spans="2:4" ht="18" customHeight="1">
      <c r="B486" s="10"/>
      <c r="C486" s="10"/>
      <c r="D486" s="10"/>
    </row>
    <row r="487" spans="2:4" ht="18" customHeight="1">
      <c r="B487" s="10"/>
      <c r="C487" s="10"/>
      <c r="D487" s="10"/>
    </row>
    <row r="488" spans="2:4" ht="18" customHeight="1">
      <c r="B488" s="10"/>
      <c r="C488" s="10"/>
      <c r="D488" s="10"/>
    </row>
    <row r="489" spans="2:4" ht="18" customHeight="1">
      <c r="B489" s="10"/>
      <c r="C489" s="10"/>
      <c r="D489" s="10"/>
    </row>
    <row r="490" spans="2:4" ht="18" customHeight="1">
      <c r="B490" s="10"/>
      <c r="C490" s="10"/>
      <c r="D490" s="10"/>
    </row>
    <row r="491" spans="2:4" ht="18" customHeight="1">
      <c r="B491" s="10"/>
      <c r="C491" s="10"/>
      <c r="D491" s="10"/>
    </row>
    <row r="492" spans="2:4" ht="18" customHeight="1">
      <c r="B492" s="10"/>
      <c r="C492" s="10"/>
      <c r="D492" s="10"/>
    </row>
    <row r="493" spans="2:4" ht="18" customHeight="1">
      <c r="B493" s="10"/>
      <c r="C493" s="10"/>
      <c r="D493" s="10"/>
    </row>
    <row r="494" spans="2:4" ht="18" customHeight="1">
      <c r="B494" s="10"/>
      <c r="C494" s="10"/>
      <c r="D494" s="10"/>
    </row>
    <row r="495" spans="2:4" ht="18" customHeight="1">
      <c r="B495" s="10"/>
      <c r="C495" s="10"/>
      <c r="D495" s="10"/>
    </row>
    <row r="496" spans="2:4" ht="18" customHeight="1">
      <c r="B496" s="10"/>
      <c r="C496" s="10"/>
      <c r="D496" s="10"/>
    </row>
    <row r="497" spans="2:4" ht="18" customHeight="1">
      <c r="B497" s="10"/>
      <c r="C497" s="10"/>
      <c r="D497" s="10"/>
    </row>
    <row r="498" spans="2:4" ht="18" customHeight="1">
      <c r="B498" s="10"/>
      <c r="C498" s="10"/>
      <c r="D498" s="10"/>
    </row>
    <row r="499" spans="2:4" ht="18" customHeight="1">
      <c r="B499" s="10"/>
      <c r="C499" s="10"/>
      <c r="D499" s="10"/>
    </row>
    <row r="500" spans="2:4" ht="18" customHeight="1">
      <c r="B500" s="10"/>
      <c r="C500" s="10"/>
      <c r="D500" s="10"/>
    </row>
    <row r="501" spans="2:4" ht="18" customHeight="1">
      <c r="B501" s="10"/>
      <c r="C501" s="10"/>
      <c r="D501" s="10"/>
    </row>
    <row r="502" spans="2:4" ht="18" customHeight="1">
      <c r="B502" s="10"/>
      <c r="C502" s="10"/>
      <c r="D502" s="10"/>
    </row>
    <row r="503" spans="2:4" ht="18" customHeight="1">
      <c r="B503" s="10"/>
      <c r="C503" s="10"/>
      <c r="D503" s="10"/>
    </row>
    <row r="504" spans="2:4" ht="18" customHeight="1">
      <c r="B504" s="10"/>
      <c r="C504" s="10"/>
      <c r="D504" s="10"/>
    </row>
    <row r="505" spans="2:4" ht="18" customHeight="1">
      <c r="B505" s="10"/>
      <c r="C505" s="10"/>
      <c r="D505" s="10"/>
    </row>
    <row r="506" spans="2:4" ht="18" customHeight="1">
      <c r="B506" s="10"/>
      <c r="C506" s="10"/>
      <c r="D506" s="10"/>
    </row>
    <row r="507" spans="2:4" ht="18" customHeight="1">
      <c r="B507" s="10"/>
      <c r="C507" s="10"/>
      <c r="D507" s="10"/>
    </row>
    <row r="508" spans="2:4" ht="18" customHeight="1">
      <c r="B508" s="10"/>
      <c r="C508" s="10"/>
      <c r="D508" s="10"/>
    </row>
    <row r="509" spans="2:4" ht="18" customHeight="1">
      <c r="B509" s="10"/>
      <c r="C509" s="10"/>
      <c r="D509" s="10"/>
    </row>
    <row r="510" spans="2:4" ht="18" customHeight="1">
      <c r="B510" s="10"/>
      <c r="C510" s="10"/>
      <c r="D510" s="10"/>
    </row>
    <row r="511" spans="2:4" ht="18" customHeight="1">
      <c r="B511" s="10"/>
      <c r="C511" s="10"/>
      <c r="D511" s="10"/>
    </row>
    <row r="512" spans="2:4" ht="18" customHeight="1">
      <c r="B512" s="10"/>
      <c r="C512" s="10"/>
      <c r="D512" s="10"/>
    </row>
    <row r="513" spans="2:4" ht="18" customHeight="1">
      <c r="B513" s="10"/>
      <c r="C513" s="10"/>
      <c r="D513" s="10"/>
    </row>
    <row r="514" spans="2:4" ht="18" customHeight="1">
      <c r="B514" s="10"/>
      <c r="C514" s="10"/>
      <c r="D514" s="10"/>
    </row>
    <row r="515" spans="2:4" ht="18" customHeight="1">
      <c r="B515" s="10"/>
      <c r="C515" s="10"/>
      <c r="D515" s="10"/>
    </row>
    <row r="516" spans="2:4" ht="18" customHeight="1">
      <c r="B516" s="10"/>
      <c r="C516" s="10"/>
      <c r="D516" s="10"/>
    </row>
    <row r="517" spans="2:4" ht="18" customHeight="1">
      <c r="B517" s="10"/>
      <c r="C517" s="10"/>
      <c r="D517" s="10"/>
    </row>
    <row r="518" spans="2:4" ht="18" customHeight="1">
      <c r="B518" s="10"/>
      <c r="C518" s="10"/>
      <c r="D518" s="10"/>
    </row>
    <row r="519" spans="2:4" ht="18" customHeight="1">
      <c r="B519" s="10"/>
      <c r="C519" s="10"/>
      <c r="D519" s="10"/>
    </row>
    <row r="520" spans="2:4" ht="18" customHeight="1">
      <c r="B520" s="10"/>
      <c r="C520" s="10"/>
      <c r="D520" s="10"/>
    </row>
    <row r="521" spans="2:4" ht="18" customHeight="1">
      <c r="B521" s="10"/>
      <c r="C521" s="10"/>
      <c r="D521" s="10"/>
    </row>
    <row r="522" spans="2:4" ht="18" customHeight="1">
      <c r="B522" s="10"/>
      <c r="C522" s="10"/>
      <c r="D522" s="10"/>
    </row>
    <row r="523" spans="2:4" ht="18" customHeight="1">
      <c r="B523" s="10"/>
      <c r="C523" s="10"/>
      <c r="D523" s="10"/>
    </row>
    <row r="524" spans="2:4" ht="18" customHeight="1">
      <c r="B524" s="10"/>
      <c r="C524" s="10"/>
      <c r="D524" s="10"/>
    </row>
    <row r="525" spans="2:4" ht="18" customHeight="1">
      <c r="B525" s="10"/>
      <c r="C525" s="10"/>
      <c r="D525" s="10"/>
    </row>
    <row r="526" spans="2:4" ht="18" customHeight="1">
      <c r="B526" s="10"/>
      <c r="C526" s="10"/>
      <c r="D526" s="10"/>
    </row>
    <row r="527" spans="2:4" ht="18" customHeight="1">
      <c r="B527" s="10"/>
      <c r="C527" s="10"/>
      <c r="D527" s="10"/>
    </row>
    <row r="528" spans="2:4" ht="18" customHeight="1">
      <c r="B528" s="10"/>
      <c r="C528" s="10"/>
      <c r="D528" s="10"/>
    </row>
    <row r="529" spans="2:4" ht="18" customHeight="1">
      <c r="B529" s="10"/>
      <c r="C529" s="10"/>
      <c r="D529" s="10"/>
    </row>
    <row r="530" spans="2:4" ht="18" customHeight="1">
      <c r="B530" s="10"/>
    </row>
    <row r="531" spans="2:4" ht="18" customHeight="1">
      <c r="B531" s="10"/>
    </row>
    <row r="532" spans="2:4" ht="18" customHeight="1">
      <c r="B532" s="10"/>
    </row>
    <row r="533" spans="2:4" ht="18" customHeight="1">
      <c r="B533" s="10"/>
    </row>
    <row r="534" spans="2:4" ht="18" customHeight="1">
      <c r="B534" s="10"/>
    </row>
  </sheetData>
  <mergeCells count="16">
    <mergeCell ref="K1:M1"/>
    <mergeCell ref="A2:M2"/>
    <mergeCell ref="A6:M6"/>
    <mergeCell ref="A24:M24"/>
    <mergeCell ref="A17:M17"/>
    <mergeCell ref="A123:M123"/>
    <mergeCell ref="A146:M146"/>
    <mergeCell ref="A158:M158"/>
    <mergeCell ref="A22:M22"/>
    <mergeCell ref="A168:M168"/>
    <mergeCell ref="A86:M86"/>
    <mergeCell ref="A94:M94"/>
    <mergeCell ref="A119:M119"/>
    <mergeCell ref="A35:M35"/>
    <mergeCell ref="A68:M68"/>
    <mergeCell ref="A26:M26"/>
  </mergeCells>
  <conditionalFormatting sqref="F167">
    <cfRule type="cellIs" dxfId="364" priority="32" operator="equal">
      <formula>E167</formula>
    </cfRule>
  </conditionalFormatting>
  <conditionalFormatting sqref="F167">
    <cfRule type="cellIs" dxfId="363" priority="31" operator="notEqual">
      <formula>E167</formula>
    </cfRule>
  </conditionalFormatting>
  <conditionalFormatting sqref="F147:F157">
    <cfRule type="cellIs" dxfId="362" priority="28" operator="equal">
      <formula>E147</formula>
    </cfRule>
  </conditionalFormatting>
  <conditionalFormatting sqref="F147:F157">
    <cfRule type="cellIs" dxfId="361" priority="27" operator="notEqual">
      <formula>E147</formula>
    </cfRule>
  </conditionalFormatting>
  <conditionalFormatting sqref="F120:F122">
    <cfRule type="cellIs" dxfId="360" priority="24" operator="equal">
      <formula>E120</formula>
    </cfRule>
  </conditionalFormatting>
  <conditionalFormatting sqref="F120:F122">
    <cfRule type="cellIs" dxfId="359" priority="23" operator="notEqual">
      <formula>E120</formula>
    </cfRule>
  </conditionalFormatting>
  <conditionalFormatting sqref="F87:F93">
    <cfRule type="cellIs" dxfId="358" priority="20" operator="equal">
      <formula>E87</formula>
    </cfRule>
  </conditionalFormatting>
  <conditionalFormatting sqref="F87:F93">
    <cfRule type="cellIs" dxfId="357" priority="19" operator="notEqual">
      <formula>E87</formula>
    </cfRule>
  </conditionalFormatting>
  <conditionalFormatting sqref="F69:F85">
    <cfRule type="cellIs" dxfId="356" priority="18" operator="equal">
      <formula>E69</formula>
    </cfRule>
  </conditionalFormatting>
  <conditionalFormatting sqref="F69:F85">
    <cfRule type="cellIs" dxfId="355" priority="17" operator="notEqual">
      <formula>E69</formula>
    </cfRule>
  </conditionalFormatting>
  <conditionalFormatting sqref="F27:F34">
    <cfRule type="cellIs" dxfId="354" priority="14" operator="equal">
      <formula>E27</formula>
    </cfRule>
  </conditionalFormatting>
  <conditionalFormatting sqref="F27:F34">
    <cfRule type="cellIs" dxfId="353" priority="13" operator="notEqual">
      <formula>E27</formula>
    </cfRule>
  </conditionalFormatting>
  <conditionalFormatting sqref="F18:F21">
    <cfRule type="cellIs" dxfId="352" priority="10" operator="equal">
      <formula>E18</formula>
    </cfRule>
  </conditionalFormatting>
  <conditionalFormatting sqref="F18:F21">
    <cfRule type="cellIs" dxfId="351" priority="9" operator="notEqual">
      <formula>E18</formula>
    </cfRule>
  </conditionalFormatting>
  <conditionalFormatting sqref="F159:F166">
    <cfRule type="cellIs" dxfId="350" priority="30" operator="equal">
      <formula>E159</formula>
    </cfRule>
  </conditionalFormatting>
  <conditionalFormatting sqref="F159:F166">
    <cfRule type="cellIs" dxfId="349" priority="29" operator="notEqual">
      <formula>E159</formula>
    </cfRule>
  </conditionalFormatting>
  <conditionalFormatting sqref="F124:F145">
    <cfRule type="cellIs" dxfId="348" priority="26" operator="equal">
      <formula>E124</formula>
    </cfRule>
  </conditionalFormatting>
  <conditionalFormatting sqref="F124:F145">
    <cfRule type="cellIs" dxfId="347" priority="25" operator="notEqual">
      <formula>E124</formula>
    </cfRule>
  </conditionalFormatting>
  <conditionalFormatting sqref="F95:F118">
    <cfRule type="cellIs" dxfId="346" priority="22" operator="equal">
      <formula>E95</formula>
    </cfRule>
  </conditionalFormatting>
  <conditionalFormatting sqref="F95:F118">
    <cfRule type="cellIs" dxfId="345" priority="21" operator="notEqual">
      <formula>E95</formula>
    </cfRule>
  </conditionalFormatting>
  <conditionalFormatting sqref="F36:F67">
    <cfRule type="cellIs" dxfId="344" priority="16" operator="equal">
      <formula>E36</formula>
    </cfRule>
  </conditionalFormatting>
  <conditionalFormatting sqref="F36:F67">
    <cfRule type="cellIs" dxfId="343" priority="15" operator="notEqual">
      <formula>E36</formula>
    </cfRule>
  </conditionalFormatting>
  <conditionalFormatting sqref="F25">
    <cfRule type="cellIs" dxfId="342" priority="12" operator="equal">
      <formula>E25</formula>
    </cfRule>
  </conditionalFormatting>
  <conditionalFormatting sqref="F25">
    <cfRule type="cellIs" dxfId="341" priority="11" operator="notEqual">
      <formula>E25</formula>
    </cfRule>
  </conditionalFormatting>
  <conditionalFormatting sqref="F7:F16">
    <cfRule type="cellIs" dxfId="340" priority="8" operator="equal">
      <formula>E7</formula>
    </cfRule>
  </conditionalFormatting>
  <conditionalFormatting sqref="F7:F16">
    <cfRule type="cellIs" dxfId="339" priority="7" operator="notEqual">
      <formula>E7</formula>
    </cfRule>
  </conditionalFormatting>
  <conditionalFormatting sqref="F3:F5">
    <cfRule type="cellIs" dxfId="338" priority="6" operator="equal">
      <formula>E3</formula>
    </cfRule>
  </conditionalFormatting>
  <conditionalFormatting sqref="F3:F5">
    <cfRule type="cellIs" dxfId="337" priority="5" operator="notEqual">
      <formula>E3</formula>
    </cfRule>
  </conditionalFormatting>
  <conditionalFormatting sqref="F23">
    <cfRule type="cellIs" dxfId="336" priority="4" operator="equal">
      <formula>E23</formula>
    </cfRule>
  </conditionalFormatting>
  <conditionalFormatting sqref="F23">
    <cfRule type="cellIs" dxfId="335" priority="3" operator="notEqual">
      <formula>E23</formula>
    </cfRule>
  </conditionalFormatting>
  <conditionalFormatting sqref="F169:F178">
    <cfRule type="cellIs" dxfId="334" priority="2" operator="equal">
      <formula>E169</formula>
    </cfRule>
  </conditionalFormatting>
  <conditionalFormatting sqref="F169:F178">
    <cfRule type="cellIs" dxfId="333" priority="1" operator="notEqual">
      <formula>E169</formula>
    </cfRule>
  </conditionalFormatting>
  <pageMargins left="0.7" right="0.7" top="0.75" bottom="0.75" header="0.3" footer="0.3"/>
  <pageSetup paperSize="9" orientation="portrait" r:id="rId1"/>
  <legacyDrawing r:id="rId2"/>
  <controls>
    <control shapeId="18598" r:id="rId3" name="CommandButton1"/>
  </controls>
</worksheet>
</file>

<file path=xl/worksheets/sheet7.xml><?xml version="1.0" encoding="utf-8"?>
<worksheet xmlns="http://schemas.openxmlformats.org/spreadsheetml/2006/main" xmlns:r="http://schemas.openxmlformats.org/officeDocument/2006/relationships">
  <sheetPr codeName="Sheet7">
    <tabColor rgb="FF00B050"/>
  </sheetPr>
  <dimension ref="A1:M192"/>
  <sheetViews>
    <sheetView workbookViewId="0">
      <pane ySplit="1" topLeftCell="A170" activePane="bottomLeft" state="frozen"/>
      <selection pane="bottomLeft" activeCell="A17" sqref="A17"/>
    </sheetView>
  </sheetViews>
  <sheetFormatPr baseColWidth="10" defaultColWidth="9" defaultRowHeight="18" customHeight="1"/>
  <cols>
    <col min="1" max="1" width="18.5" bestFit="1" customWidth="1"/>
    <col min="2" max="2" width="68.25" bestFit="1" customWidth="1"/>
    <col min="3" max="3" width="4.375" bestFit="1" customWidth="1"/>
    <col min="4" max="4" width="4.375" customWidth="1"/>
    <col min="5" max="6" width="11.125" bestFit="1" customWidth="1"/>
    <col min="7" max="7" width="8.375" customWidth="1"/>
    <col min="8" max="9" width="15.75" customWidth="1"/>
    <col min="10" max="10" width="7.375" customWidth="1"/>
    <col min="11" max="13" width="15.75" customWidth="1"/>
  </cols>
  <sheetData>
    <row r="1" spans="1:13" ht="18" customHeight="1">
      <c r="A1" s="35"/>
      <c r="B1" s="35" t="s">
        <v>7</v>
      </c>
      <c r="C1" s="35" t="s">
        <v>250</v>
      </c>
      <c r="D1" s="35" t="s">
        <v>251</v>
      </c>
      <c r="E1" s="35" t="s">
        <v>49</v>
      </c>
      <c r="F1" s="35" t="s">
        <v>9</v>
      </c>
      <c r="G1" s="11"/>
      <c r="H1" s="35" t="s">
        <v>80</v>
      </c>
      <c r="I1" s="35"/>
      <c r="K1" s="64" t="s">
        <v>29</v>
      </c>
      <c r="L1" s="64"/>
      <c r="M1" s="64"/>
    </row>
    <row r="2" spans="1:13" ht="18" customHeight="1">
      <c r="A2" s="65" t="s">
        <v>619</v>
      </c>
      <c r="B2" s="65"/>
      <c r="C2" s="65"/>
      <c r="D2" s="65"/>
      <c r="E2" s="65"/>
      <c r="F2" s="65"/>
      <c r="G2" s="65"/>
      <c r="H2" s="65"/>
      <c r="I2" s="65"/>
      <c r="J2" s="65"/>
      <c r="K2" s="65"/>
      <c r="L2" s="65"/>
      <c r="M2" s="65"/>
    </row>
    <row r="3" spans="1:13" ht="18" customHeight="1">
      <c r="A3" s="10" t="s">
        <v>620</v>
      </c>
      <c r="B3" s="15" t="str">
        <f>HYPERLINK("#"&amp;ADDRESS(MATCH(A3,'CIM&amp;FMS-Detailed'!$A$1:$A$4510,0),1,,,"CIM&amp;FMS-Detailed"),VLOOKUP(A3,'CIM&amp;FMS-Detailed'!A:C,3,FALSE))</f>
        <v>ASRS (Automated Storage and Retrieval System)-36 Shelves &amp; with teach pendant</v>
      </c>
      <c r="C3" s="29" t="str">
        <f>IFERROR(HYPERLINK("#"&amp;ADDRESS(MATCH(A3&amp;"ES",'LM7 Non-ENG'!$A$1:$A$5000,0),1,,,"LM7 Non-ENG"),IF(IFERROR(VLOOKUP(A3&amp;"ES",'LM7 Non-ENG'!$A$1:$A$4999,1,FALSE),"ERROR")=A3&amp;"ES","Y","")),"")</f>
        <v/>
      </c>
      <c r="D3" s="29" t="str">
        <f>IFERROR(HYPERLINK("#"&amp;ADDRESS(MATCH(A3&amp;"PT",'LM7 Non-ENG'!$A$1:$A$5000,0),1,,,"LM7 Non-ENG"),IF(IFERROR(VLOOKUP(A3&amp;"PT",'LM7 Non-ENG'!$A$1:$A$5000,1,FALSE),"ERROR")=A3&amp;"PT","Y","")),"")</f>
        <v/>
      </c>
      <c r="E3" s="37">
        <f>'CIM&amp;FMS-Detailed'!J2</f>
        <v>41415</v>
      </c>
      <c r="F3" s="38"/>
      <c r="G3" s="11"/>
      <c r="H3" s="15"/>
      <c r="K3" s="17"/>
    </row>
    <row r="4" spans="1:13" ht="18" customHeight="1">
      <c r="A4" t="s">
        <v>622</v>
      </c>
      <c r="B4" s="15" t="str">
        <f>HYPERLINK("#"&amp;ADDRESS(MATCH(A4,'CIM&amp;FMS-Detailed'!$A$1:$A$4510,0),1,,,"CIM&amp;FMS-Detailed"),VLOOKUP(A4,'CIM&amp;FMS-Detailed'!A:C,3,FALSE))</f>
        <v>ASRS (Automated Storage and Retrieval System)-36 Shelves &amp; RFID Reader</v>
      </c>
      <c r="C4" s="29" t="str">
        <f>IFERROR(HYPERLINK("#"&amp;ADDRESS(MATCH(A4&amp;"ES",'LM7 Non-ENG'!$A$1:$A$5000,0),1,,,"LM7 Non-ENG"),IF(IFERROR(VLOOKUP(A4&amp;"ES",'LM7 Non-ENG'!$A$1:$A$4999,1,FALSE),"ERROR")=A4&amp;"ES","Y","")),"")</f>
        <v/>
      </c>
      <c r="D4" s="29" t="str">
        <f>IFERROR(HYPERLINK("#"&amp;ADDRESS(MATCH(A4&amp;"PT",'LM7 Non-ENG'!$A$1:$A$5000,0),1,,,"LM7 Non-ENG"),IF(IFERROR(VLOOKUP(A4&amp;"PT",'LM7 Non-ENG'!$A$1:$A$5000,1,FALSE),"ERROR")=A4&amp;"PT","Y","")),"")</f>
        <v/>
      </c>
      <c r="E4" s="37">
        <f>'CIM&amp;FMS-Detailed'!J7</f>
        <v>46831</v>
      </c>
      <c r="F4" s="38"/>
      <c r="G4" s="11"/>
    </row>
    <row r="5" spans="1:13" ht="18" customHeight="1">
      <c r="A5" t="s">
        <v>632</v>
      </c>
      <c r="B5" s="15" t="str">
        <f>HYPERLINK("#"&amp;ADDRESS(MATCH(A5,'CIM&amp;FMS-Detailed'!$A$1:$A$4510,0),1,,,"CIM&amp;FMS-Detailed"),VLOOKUP(A5,'CIM&amp;FMS-Detailed'!A:C,3,FALSE))</f>
        <v>ASRS (Automated Storage and Retrieval System)-72 Shelves &amp; Cartesian Robot</v>
      </c>
      <c r="C5" s="29" t="str">
        <f>IFERROR(HYPERLINK("#"&amp;ADDRESS(MATCH(A5&amp;"ES",'LM7 Non-ENG'!$A$1:$A$5000,0),1,,,"LM7 Non-ENG"),IF(IFERROR(VLOOKUP(A5&amp;"ES",'LM7 Non-ENG'!$A$1:$A$4999,1,FALSE),"ERROR")=A5&amp;"ES","Y","")),"")</f>
        <v/>
      </c>
      <c r="D5" s="29" t="str">
        <f>IFERROR(HYPERLINK("#"&amp;ADDRESS(MATCH(A5&amp;"PT",'LM7 Non-ENG'!$A$1:$A$5000,0),1,,,"LM7 Non-ENG"),IF(IFERROR(VLOOKUP(A5&amp;"PT",'LM7 Non-ENG'!$A$1:$A$5000,1,FALSE),"ERROR")=A5&amp;"PT","Y","")),"")</f>
        <v/>
      </c>
      <c r="E5" s="37">
        <f>'CIM&amp;FMS-Detailed'!J14</f>
        <v>44065</v>
      </c>
      <c r="F5" s="38"/>
      <c r="G5" s="11"/>
    </row>
    <row r="6" spans="1:13" ht="18" customHeight="1">
      <c r="A6" t="s">
        <v>634</v>
      </c>
      <c r="B6" s="15" t="str">
        <f>HYPERLINK("#"&amp;ADDRESS(MATCH(A6,'CIM&amp;FMS-Detailed'!$A$1:$A$4510,0),1,,,"CIM&amp;FMS-Detailed"),VLOOKUP(A6,'CIM&amp;FMS-Detailed'!A:C,3,FALSE))</f>
        <v>ASRS (Automated Storage and Retrieval System)-72 Shelves &amp; RFID Reader</v>
      </c>
      <c r="C6" s="29" t="str">
        <f>IFERROR(HYPERLINK("#"&amp;ADDRESS(MATCH(A6&amp;"ES",'LM7 Non-ENG'!$A$1:$A$5000,0),1,,,"LM7 Non-ENG"),IF(IFERROR(VLOOKUP(A6&amp;"ES",'LM7 Non-ENG'!$A$1:$A$4999,1,FALSE),"ERROR")=A6&amp;"ES","Y","")),"")</f>
        <v/>
      </c>
      <c r="D6" s="29" t="str">
        <f>IFERROR(HYPERLINK("#"&amp;ADDRESS(MATCH(A6&amp;"PT",'LM7 Non-ENG'!$A$1:$A$5000,0),1,,,"LM7 Non-ENG"),IF(IFERROR(VLOOKUP(A6&amp;"PT",'LM7 Non-ENG'!$A$1:$A$5000,1,FALSE),"ERROR")=A6&amp;"PT","Y","")),"")</f>
        <v/>
      </c>
      <c r="E6" s="37">
        <f>'CIM&amp;FMS-Detailed'!J19</f>
        <v>49697</v>
      </c>
      <c r="F6" s="38"/>
      <c r="G6" s="11"/>
    </row>
    <row r="7" spans="1:13" ht="18" customHeight="1">
      <c r="A7" t="s">
        <v>638</v>
      </c>
      <c r="B7" s="15" t="str">
        <f>HYPERLINK("#"&amp;ADDRESS(MATCH(A7,'CIM&amp;FMS-Detailed'!$A$1:$A$4510,0),1,,,"CIM&amp;FMS-Detailed"),VLOOKUP(A7,'CIM&amp;FMS-Detailed'!A:C,3,FALSE))</f>
        <v>ASRS (Automated Storage and Retrieval System)-6 Shelves &amp; Scorbot-ER4U robot</v>
      </c>
      <c r="C7" s="29" t="str">
        <f>IFERROR(HYPERLINK("#"&amp;ADDRESS(MATCH(A7&amp;"ES",'LM7 Non-ENG'!$A$1:$A$5000,0),1,,,"LM7 Non-ENG"),IF(IFERROR(VLOOKUP(A7&amp;"ES",'LM7 Non-ENG'!$A$1:$A$4999,1,FALSE),"ERROR")=A7&amp;"ES","Y","")),"")</f>
        <v/>
      </c>
      <c r="D7" s="29" t="str">
        <f>IFERROR(HYPERLINK("#"&amp;ADDRESS(MATCH(A7&amp;"PT",'LM7 Non-ENG'!$A$1:$A$5000,0),1,,,"LM7 Non-ENG"),IF(IFERROR(VLOOKUP(A7&amp;"PT",'LM7 Non-ENG'!$A$1:$A$5000,1,FALSE),"ERROR")=A7&amp;"PT","Y","")),"")</f>
        <v/>
      </c>
      <c r="E7" s="37">
        <f>'CIM&amp;FMS-Detailed'!J26</f>
        <v>18200</v>
      </c>
      <c r="F7" s="38"/>
      <c r="G7" s="11"/>
    </row>
    <row r="8" spans="1:13" ht="18" customHeight="1">
      <c r="A8" t="s">
        <v>646</v>
      </c>
      <c r="B8" s="15" t="str">
        <f>HYPERLINK("#"&amp;ADDRESS(MATCH(A8,'CIM&amp;FMS-Detailed'!$A$1:$A$4510,0),1,,,"CIM&amp;FMS-Detailed"),VLOOKUP(A8,'CIM&amp;FMS-Detailed'!A:C,3,FALSE))</f>
        <v>ASRS (Aut.Storage &amp; Retrieval Sys)-6 Shelves, Scorbot-ER4U robot &amp; RFID Reader</v>
      </c>
      <c r="C8" s="29" t="str">
        <f>IFERROR(HYPERLINK("#"&amp;ADDRESS(MATCH(A8&amp;"ES",'LM7 Non-ENG'!$A$1:$A$5000,0),1,,,"LM7 Non-ENG"),IF(IFERROR(VLOOKUP(A8&amp;"ES",'LM7 Non-ENG'!$A$1:$A$4999,1,FALSE),"ERROR")=A8&amp;"ES","Y","")),"")</f>
        <v/>
      </c>
      <c r="D8" s="29" t="str">
        <f>IFERROR(HYPERLINK("#"&amp;ADDRESS(MATCH(A8&amp;"PT",'LM7 Non-ENG'!$A$1:$A$5000,0),1,,,"LM7 Non-ENG"),IF(IFERROR(VLOOKUP(A8&amp;"PT",'LM7 Non-ENG'!$A$1:$A$5000,1,FALSE),"ERROR")=A8&amp;"PT","Y","")),"")</f>
        <v/>
      </c>
      <c r="E8" s="37">
        <f>'CIM&amp;FMS-Detailed'!J34</f>
        <v>23436</v>
      </c>
      <c r="F8" s="38"/>
      <c r="G8" s="11"/>
    </row>
    <row r="9" spans="1:13" ht="18" customHeight="1">
      <c r="A9" t="s">
        <v>648</v>
      </c>
      <c r="B9" s="15" t="str">
        <f>HYPERLINK("#"&amp;ADDRESS(MATCH(A9,'CIM&amp;FMS-Detailed'!$A$1:$A$4510,0),1,,,"CIM&amp;FMS-Detailed"),VLOOKUP(A9,'CIM&amp;FMS-Detailed'!A:C,3,FALSE))</f>
        <v>ASRS (Automated Storage and Retrieval System)-12 Shelves &amp; B72ER4U</v>
      </c>
      <c r="C9" s="29" t="str">
        <f>IFERROR(HYPERLINK("#"&amp;ADDRESS(MATCH(A9&amp;"ES",'LM7 Non-ENG'!$A$1:$A$5000,0),1,,,"LM7 Non-ENG"),IF(IFERROR(VLOOKUP(A9&amp;"ES",'LM7 Non-ENG'!$A$1:$A$4999,1,FALSE),"ERROR")=A9&amp;"ES","Y","")),"")</f>
        <v/>
      </c>
      <c r="D9" s="29" t="str">
        <f>IFERROR(HYPERLINK("#"&amp;ADDRESS(MATCH(A9&amp;"PT",'LM7 Non-ENG'!$A$1:$A$5000,0),1,,,"LM7 Non-ENG"),IF(IFERROR(VLOOKUP(A9&amp;"PT",'LM7 Non-ENG'!$A$1:$A$5000,1,FALSE),"ERROR")=A9&amp;"PT","Y","")),"")</f>
        <v/>
      </c>
      <c r="E9" s="37">
        <f>'CIM&amp;FMS-Detailed'!J44</f>
        <v>19334</v>
      </c>
      <c r="F9" s="38"/>
      <c r="G9" s="11"/>
    </row>
    <row r="10" spans="1:13" ht="18" customHeight="1">
      <c r="A10" t="s">
        <v>650</v>
      </c>
      <c r="B10" s="15" t="str">
        <f>HYPERLINK("#"&amp;ADDRESS(MATCH(A10,'CIM&amp;FMS-Detailed'!$A$1:$A$4510,0),1,,,"CIM&amp;FMS-Detailed"),VLOOKUP(A10,'CIM&amp;FMS-Detailed'!A:C,3,FALSE))</f>
        <v>ASRS (Aut.Storage &amp; Retrieval Sys)-12 Shelves, Scorbot-ER4U robot &amp; RFID Reader</v>
      </c>
      <c r="C10" s="29" t="str">
        <f>IFERROR(HYPERLINK("#"&amp;ADDRESS(MATCH(A10&amp;"ES",'LM7 Non-ENG'!$A$1:$A$5000,0),1,,,"LM7 Non-ENG"),IF(IFERROR(VLOOKUP(A10&amp;"ES",'LM7 Non-ENG'!$A$1:$A$4999,1,FALSE),"ERROR")=A10&amp;"ES","Y","")),"")</f>
        <v/>
      </c>
      <c r="D10" s="29" t="str">
        <f>IFERROR(HYPERLINK("#"&amp;ADDRESS(MATCH(A10&amp;"PT",'LM7 Non-ENG'!$A$1:$A$5000,0),1,,,"LM7 Non-ENG"),IF(IFERROR(VLOOKUP(A10&amp;"PT",'LM7 Non-ENG'!$A$1:$A$5000,1,FALSE),"ERROR")=A10&amp;"PT","Y","")),"")</f>
        <v/>
      </c>
      <c r="E10" s="37">
        <f>'CIM&amp;FMS-Detailed'!J52</f>
        <v>24606</v>
      </c>
      <c r="F10" s="38"/>
      <c r="G10" s="11"/>
    </row>
    <row r="11" spans="1:13" ht="18" customHeight="1">
      <c r="A11" t="s">
        <v>652</v>
      </c>
      <c r="B11" s="15" t="str">
        <f>HYPERLINK("#"&amp;ADDRESS(MATCH(A11,'CIM&amp;FMS-Detailed'!$A$1:$A$4510,0),1,,,"CIM&amp;FMS-Detailed"),VLOOKUP(A11,'CIM&amp;FMS-Detailed'!A:C,3,FALSE))</f>
        <v>ASRS (Automated Storage and Retrieval System)-6 Shelves &amp; Scorbot-ER9Pro</v>
      </c>
      <c r="C11" s="29" t="str">
        <f>IFERROR(HYPERLINK("#"&amp;ADDRESS(MATCH(A11&amp;"ES",'LM7 Non-ENG'!$A$1:$A$5000,0),1,,,"LM7 Non-ENG"),IF(IFERROR(VLOOKUP(A11&amp;"ES",'LM7 Non-ENG'!$A$1:$A$4999,1,FALSE),"ERROR")=A11&amp;"ES","Y","")),"")</f>
        <v/>
      </c>
      <c r="D11" s="29" t="str">
        <f>IFERROR(HYPERLINK("#"&amp;ADDRESS(MATCH(A11&amp;"PT",'LM7 Non-ENG'!$A$1:$A$5000,0),1,,,"LM7 Non-ENG"),IF(IFERROR(VLOOKUP(A11&amp;"PT",'LM7 Non-ENG'!$A$1:$A$5000,1,FALSE),"ERROR")=A11&amp;"PT","Y","")),"")</f>
        <v/>
      </c>
      <c r="E11" s="37">
        <f>'CIM&amp;FMS-Detailed'!J62</f>
        <v>32483</v>
      </c>
      <c r="F11" s="38"/>
      <c r="G11" s="11"/>
    </row>
    <row r="12" spans="1:13" ht="18" customHeight="1">
      <c r="A12" t="s">
        <v>656</v>
      </c>
      <c r="B12" s="15" t="str">
        <f>HYPERLINK("#"&amp;ADDRESS(MATCH(A12,'CIM&amp;FMS-Detailed'!$A$1:$A$4510,0),1,,,"CIM&amp;FMS-Detailed"),VLOOKUP(A12,'CIM&amp;FMS-Detailed'!A:C,3,FALSE))</f>
        <v>Add On RFID Reader for existing ASRS</v>
      </c>
      <c r="C12" s="29" t="str">
        <f>IFERROR(HYPERLINK("#"&amp;ADDRESS(MATCH(A12&amp;"ES",'LM7 Non-ENG'!$A$1:$A$5000,0),1,,,"LM7 Non-ENG"),IF(IFERROR(VLOOKUP(A12&amp;"ES",'LM7 Non-ENG'!$A$1:$A$4999,1,FALSE),"ERROR")=A12&amp;"ES","Y","")),"")</f>
        <v/>
      </c>
      <c r="D12" s="29" t="str">
        <f>IFERROR(HYPERLINK("#"&amp;ADDRESS(MATCH(A12&amp;"PT",'LM7 Non-ENG'!$A$1:$A$5000,0),1,,,"LM7 Non-ENG"),IF(IFERROR(VLOOKUP(A12&amp;"PT",'LM7 Non-ENG'!$A$1:$A$5000,1,FALSE),"ERROR")=A12&amp;"PT","Y","")),"")</f>
        <v/>
      </c>
      <c r="E12" s="37">
        <f>'CIM&amp;FMS-Detailed'!J71</f>
        <v>5206</v>
      </c>
      <c r="F12" s="38"/>
      <c r="G12" s="11"/>
    </row>
    <row r="13" spans="1:13" ht="18" customHeight="1">
      <c r="A13" t="s">
        <v>660</v>
      </c>
      <c r="B13" s="15" t="str">
        <f>HYPERLINK("#"&amp;ADDRESS(MATCH(A13,'CIM&amp;FMS-Detailed'!$A$1:$A$4510,0),1,,,"CIM&amp;FMS-Detailed"),VLOOKUP(A13,'CIM&amp;FMS-Detailed'!A:C,3,FALSE))</f>
        <v>Upgrade ASRS36/72 from ACL controller to USB controller</v>
      </c>
      <c r="C13" s="29" t="str">
        <f>IFERROR(HYPERLINK("#"&amp;ADDRESS(MATCH(A13&amp;"ES",'LM7 Non-ENG'!$A$1:$A$5000,0),1,,,"LM7 Non-ENG"),IF(IFERROR(VLOOKUP(A13&amp;"ES",'LM7 Non-ENG'!$A$1:$A$4999,1,FALSE),"ERROR")=A13&amp;"ES","Y","")),"")</f>
        <v/>
      </c>
      <c r="D13" s="29" t="str">
        <f>IFERROR(HYPERLINK("#"&amp;ADDRESS(MATCH(A13&amp;"PT",'LM7 Non-ENG'!$A$1:$A$5000,0),1,,,"LM7 Non-ENG"),IF(IFERROR(VLOOKUP(A13&amp;"PT",'LM7 Non-ENG'!$A$1:$A$5000,1,FALSE),"ERROR")=A13&amp;"PT","Y","")),"")</f>
        <v/>
      </c>
      <c r="E13" s="37">
        <f>'CIM&amp;FMS-Detailed'!J75</f>
        <v>5947</v>
      </c>
      <c r="F13" s="38"/>
      <c r="G13" s="11"/>
    </row>
    <row r="14" spans="1:13" ht="18" customHeight="1">
      <c r="A14" t="s">
        <v>664</v>
      </c>
      <c r="B14" s="15" t="str">
        <f>HYPERLINK("#"&amp;ADDRESS(MATCH(A14,'CIM&amp;FMS-Detailed'!$A$1:$A$4510,0),1,,,"CIM&amp;FMS-Detailed"),VLOOKUP(A14,'CIM&amp;FMS-Detailed'!A:C,3,FALSE))</f>
        <v>ASRS - 18 Shelves &amp; ER4U</v>
      </c>
      <c r="C14" s="29" t="str">
        <f>IFERROR(HYPERLINK("#"&amp;ADDRESS(MATCH(A14&amp;"ES",'LM7 Non-ENG'!$A$1:$A$5000,0),1,,,"LM7 Non-ENG"),IF(IFERROR(VLOOKUP(A14&amp;"ES",'LM7 Non-ENG'!$A$1:$A$4999,1,FALSE),"ERROR")=A14&amp;"ES","Y","")),"")</f>
        <v/>
      </c>
      <c r="D14" s="29" t="str">
        <f>IFERROR(HYPERLINK("#"&amp;ADDRESS(MATCH(A14&amp;"PT",'LM7 Non-ENG'!$A$1:$A$5000,0),1,,,"LM7 Non-ENG"),IF(IFERROR(VLOOKUP(A14&amp;"PT",'LM7 Non-ENG'!$A$1:$A$5000,1,FALSE),"ERROR")=A14&amp;"PT","Y","")),"")</f>
        <v/>
      </c>
      <c r="E14" s="37">
        <f>'CIM&amp;FMS-Detailed'!J79</f>
        <v>26117</v>
      </c>
      <c r="F14" s="38"/>
      <c r="G14" s="11"/>
    </row>
    <row r="15" spans="1:13" ht="18" customHeight="1">
      <c r="A15" t="s">
        <v>671</v>
      </c>
      <c r="B15" s="15" t="str">
        <f>HYPERLINK("#"&amp;ADDRESS(MATCH(A15,'CIM&amp;FMS-Detailed'!$A$1:$A$4510,0),1,,,"CIM&amp;FMS-Detailed"),VLOOKUP(A15,'CIM&amp;FMS-Detailed'!A:C,3,FALSE))</f>
        <v>ASRS - 18 Shelves &amp; ER4U &amp; RFID Reader</v>
      </c>
      <c r="C15" s="29" t="str">
        <f>IFERROR(HYPERLINK("#"&amp;ADDRESS(MATCH(A15&amp;"ES",'LM7 Non-ENG'!$A$1:$A$5000,0),1,,,"LM7 Non-ENG"),IF(IFERROR(VLOOKUP(A15&amp;"ES",'LM7 Non-ENG'!$A$1:$A$4999,1,FALSE),"ERROR")=A15&amp;"ES","Y","")),"")</f>
        <v/>
      </c>
      <c r="D15" s="29" t="str">
        <f>IFERROR(HYPERLINK("#"&amp;ADDRESS(MATCH(A15&amp;"PT",'LM7 Non-ENG'!$A$1:$A$5000,0),1,,,"LM7 Non-ENG"),IF(IFERROR(VLOOKUP(A15&amp;"PT",'LM7 Non-ENG'!$A$1:$A$5000,1,FALSE),"ERROR")=A15&amp;"PT","Y","")),"")</f>
        <v/>
      </c>
      <c r="E15" s="37">
        <f>'CIM&amp;FMS-Detailed'!J90</f>
        <v>30945</v>
      </c>
      <c r="F15" s="38"/>
      <c r="G15" s="11"/>
    </row>
    <row r="16" spans="1:13" ht="18" customHeight="1">
      <c r="A16" s="65" t="s">
        <v>675</v>
      </c>
      <c r="B16" s="65"/>
      <c r="C16" s="65" t="str">
        <f>IFERROR(HYPERLINK("#"&amp;ADDRESS(MATCH(A16&amp;"ES",'LM7 Non-ENG'!$A$1:$A$5000,0),1,,,"LM7 Non-ENG"),IF(IFERROR(VLOOKUP(A16&amp;"ES",'LM7 Non-ENG'!$A$1:$A$4999,1,FALSE),"ERROR")=A16&amp;"ES","Y","")),"")</f>
        <v/>
      </c>
      <c r="D16" s="65" t="str">
        <f>IFERROR(HYPERLINK("#"&amp;ADDRESS(MATCH(A16&amp;"PT",'LM7 Non-ENG'!$A$1:$A$5000,0),1,,,"LM7 Non-ENG"),IF(IFERROR(VLOOKUP(A16&amp;"PT",'LM7 Non-ENG'!$A$1:$A$5000,1,FALSE),"ERROR")=A16&amp;"PT","Y","")),"")</f>
        <v/>
      </c>
      <c r="E16" s="65"/>
      <c r="F16" s="65"/>
      <c r="G16" s="65"/>
      <c r="H16" s="65"/>
      <c r="I16" s="65"/>
      <c r="J16" s="65"/>
      <c r="K16" s="65"/>
      <c r="L16" s="65"/>
      <c r="M16" s="65"/>
    </row>
    <row r="17" spans="1:7" ht="18" customHeight="1">
      <c r="A17" t="s">
        <v>673</v>
      </c>
      <c r="B17" s="15" t="str">
        <f>HYPERLINK("#"&amp;ADDRESS(MATCH(A17,'CIM&amp;FMS-Detailed'!$A$1:$A$4510,0),1,,,"CIM&amp;FMS-Detailed"),VLOOKUP(A17,'CIM&amp;FMS-Detailed'!A:C,3,FALSE))</f>
        <v>FMS - Scorbot ER4U Robot for EMCO Mill &amp; Turn</v>
      </c>
      <c r="C17" s="29" t="str">
        <f>IFERROR(HYPERLINK("#"&amp;ADDRESS(MATCH(A17&amp;"ES",'LM7 Non-ENG'!$A$1:$A$5000,0),1,,,"LM7 Non-ENG"),IF(IFERROR(VLOOKUP(A17&amp;"ES",'LM7 Non-ENG'!$A$1:$A$4999,1,FALSE),"ERROR")=A17&amp;"ES","Y","")),"")</f>
        <v/>
      </c>
      <c r="D17" s="29" t="str">
        <f>IFERROR(HYPERLINK("#"&amp;ADDRESS(MATCH(A17&amp;"PT",'LM7 Non-ENG'!$A$1:$A$5000,0),1,,,"LM7 Non-ENG"),IF(IFERROR(VLOOKUP(A17&amp;"PT",'LM7 Non-ENG'!$A$1:$A$5000,1,FALSE),"ERROR")=A17&amp;"PT","Y","")),"")</f>
        <v/>
      </c>
      <c r="E17" s="37">
        <f>'CIM&amp;FMS-Detailed'!J102</f>
        <v>36912</v>
      </c>
      <c r="F17" s="38"/>
      <c r="G17" s="11"/>
    </row>
    <row r="18" spans="1:7" ht="18" customHeight="1">
      <c r="A18" t="s">
        <v>701</v>
      </c>
      <c r="B18" s="15" t="str">
        <f>HYPERLINK("#"&amp;ADDRESS(MATCH(A18,'CIM&amp;FMS-Detailed'!$A$1:$A$4510,0),1,,,"CIM&amp;FMS-Detailed"),VLOOKUP(A18,'CIM&amp;FMS-Detailed'!A:C,3,FALSE))</f>
        <v>FMS - Scorbot ER4U Robot for 3rd Party CNC Machine</v>
      </c>
      <c r="C18" s="29" t="str">
        <f>IFERROR(HYPERLINK("#"&amp;ADDRESS(MATCH(A18&amp;"ES",'LM7 Non-ENG'!$A$1:$A$5000,0),1,,,"LM7 Non-ENG"),IF(IFERROR(VLOOKUP(A18&amp;"ES",'LM7 Non-ENG'!$A$1:$A$4999,1,FALSE),"ERROR")=A18&amp;"ES","Y","")),"")</f>
        <v/>
      </c>
      <c r="D18" s="29" t="str">
        <f>IFERROR(HYPERLINK("#"&amp;ADDRESS(MATCH(A18&amp;"PT",'LM7 Non-ENG'!$A$1:$A$5000,0),1,,,"LM7 Non-ENG"),IF(IFERROR(VLOOKUP(A18&amp;"PT",'LM7 Non-ENG'!$A$1:$A$5000,1,FALSE),"ERROR")=A18&amp;"PT","Y","")),"")</f>
        <v/>
      </c>
      <c r="E18" s="37">
        <f>'CIM&amp;FMS-Detailed'!J123</f>
        <v>26809</v>
      </c>
      <c r="F18" s="38"/>
      <c r="G18" s="11"/>
    </row>
    <row r="19" spans="1:7" ht="18" customHeight="1">
      <c r="A19" t="s">
        <v>706</v>
      </c>
      <c r="B19" s="15" t="str">
        <f>HYPERLINK("#"&amp;ADDRESS(MATCH(A19,'CIM&amp;FMS-Detailed'!$A$1:$A$4510,0),1,,,"CIM&amp;FMS-Detailed"),VLOOKUP(A19,'CIM&amp;FMS-Detailed'!A:C,3,FALSE))</f>
        <v>FMS - Scorbot ER4U Robot with BenchMill 6000 &amp; BenchTurn 7000 CNC machines</v>
      </c>
      <c r="C19" s="29" t="str">
        <f>IFERROR(HYPERLINK("#"&amp;ADDRESS(MATCH(A19&amp;"ES",'LM7 Non-ENG'!$A$1:$A$5000,0),1,,,"LM7 Non-ENG"),IF(IFERROR(VLOOKUP(A19&amp;"ES",'LM7 Non-ENG'!$A$1:$A$4999,1,FALSE),"ERROR")=A19&amp;"ES","Y","")),"")</f>
        <v/>
      </c>
      <c r="D19" s="29" t="str">
        <f>IFERROR(HYPERLINK("#"&amp;ADDRESS(MATCH(A19&amp;"PT",'LM7 Non-ENG'!$A$1:$A$5000,0),1,,,"LM7 Non-ENG"),IF(IFERROR(VLOOKUP(A19&amp;"PT",'LM7 Non-ENG'!$A$1:$A$5000,1,FALSE),"ERROR")=A19&amp;"PT","Y","")),"")</f>
        <v/>
      </c>
      <c r="E19" s="37">
        <f>'CIM&amp;FMS-Detailed'!J136</f>
        <v>78282</v>
      </c>
      <c r="F19" s="38"/>
      <c r="G19" s="11"/>
    </row>
    <row r="20" spans="1:7" ht="18" customHeight="1">
      <c r="A20" t="s">
        <v>757</v>
      </c>
      <c r="B20" s="15" t="str">
        <f>HYPERLINK("#"&amp;ADDRESS(MATCH(A20,'CIM&amp;FMS-Detailed'!$A$1:$A$4510,0),1,,,"CIM&amp;FMS-Detailed"),VLOOKUP(A20,'CIM&amp;FMS-Detailed'!A:C,3,FALSE))</f>
        <v>FMS - Scorbot ER4U Robot with BenchMill 6000 CNC Milling machine (4 tool ATC)</v>
      </c>
      <c r="C20" s="29" t="str">
        <f>IFERROR(HYPERLINK("#"&amp;ADDRESS(MATCH(A20&amp;"ES",'LM7 Non-ENG'!$A$1:$A$5000,0),1,,,"LM7 Non-ENG"),IF(IFERROR(VLOOKUP(A20&amp;"ES",'LM7 Non-ENG'!$A$1:$A$4999,1,FALSE),"ERROR")=A20&amp;"ES","Y","")),"")</f>
        <v/>
      </c>
      <c r="D20" s="29" t="str">
        <f>IFERROR(HYPERLINK("#"&amp;ADDRESS(MATCH(A20&amp;"PT",'LM7 Non-ENG'!$A$1:$A$5000,0),1,,,"LM7 Non-ENG"),IF(IFERROR(VLOOKUP(A20&amp;"PT",'LM7 Non-ENG'!$A$1:$A$5000,1,FALSE),"ERROR")=A20&amp;"PT","Y","")),"")</f>
        <v/>
      </c>
      <c r="E20" s="37">
        <f>'CIM&amp;FMS-Detailed'!J196</f>
        <v>49343</v>
      </c>
      <c r="F20" s="38"/>
      <c r="G20" s="11"/>
    </row>
    <row r="21" spans="1:7" ht="18" customHeight="1">
      <c r="A21" t="s">
        <v>761</v>
      </c>
      <c r="B21" s="15" t="str">
        <f>HYPERLINK("#"&amp;ADDRESS(MATCH(A21,'CIM&amp;FMS-Detailed'!$A$1:$A$4510,0),1,,,"CIM&amp;FMS-Detailed"),VLOOKUP(A21,'CIM&amp;FMS-Detailed'!A:C,3,FALSE))</f>
        <v>FMS - Scorbot ER4U Robot with BenchTurn 7000 CNC Turning machine</v>
      </c>
      <c r="C21" s="29" t="str">
        <f>IFERROR(HYPERLINK("#"&amp;ADDRESS(MATCH(A21&amp;"ES",'LM7 Non-ENG'!$A$1:$A$5000,0),1,,,"LM7 Non-ENG"),IF(IFERROR(VLOOKUP(A21&amp;"ES",'LM7 Non-ENG'!$A$1:$A$4999,1,FALSE),"ERROR")=A21&amp;"ES","Y","")),"")</f>
        <v/>
      </c>
      <c r="D21" s="29" t="str">
        <f>IFERROR(HYPERLINK("#"&amp;ADDRESS(MATCH(A21&amp;"PT",'LM7 Non-ENG'!$A$1:$A$5000,0),1,,,"LM7 Non-ENG"),IF(IFERROR(VLOOKUP(A21&amp;"PT",'LM7 Non-ENG'!$A$1:$A$5000,1,FALSE),"ERROR")=A21&amp;"PT","Y","")),"")</f>
        <v/>
      </c>
      <c r="E21" s="12">
        <f>'CIM&amp;FMS-Detailed'!J235</f>
        <v>46692</v>
      </c>
      <c r="F21" s="38"/>
      <c r="G21" s="11"/>
    </row>
    <row r="22" spans="1:7" ht="18" customHeight="1">
      <c r="A22" t="s">
        <v>763</v>
      </c>
      <c r="B22" s="15" t="str">
        <f>HYPERLINK("#"&amp;ADDRESS(MATCH(A22,'CIM&amp;FMS-Detailed'!$A$1:$A$4510,0),1,,,"CIM&amp;FMS-Detailed"),VLOOKUP(A22,'CIM&amp;FMS-Detailed'!A:C,3,FALSE))</f>
        <v>FMS - Scorbot ER4U Robot on stand with Laser Engraver</v>
      </c>
      <c r="C22" s="29" t="str">
        <f>IFERROR(HYPERLINK("#"&amp;ADDRESS(MATCH(A22&amp;"ES",'LM7 Non-ENG'!$A$1:$A$5000,0),1,,,"LM7 Non-ENG"),IF(IFERROR(VLOOKUP(A22&amp;"ES",'LM7 Non-ENG'!$A$1:$A$4999,1,FALSE),"ERROR")=A22&amp;"ES","Y","")),"")</f>
        <v/>
      </c>
      <c r="D22" s="29" t="str">
        <f>IFERROR(HYPERLINK("#"&amp;ADDRESS(MATCH(A22&amp;"PT",'LM7 Non-ENG'!$A$1:$A$5000,0),1,,,"LM7 Non-ENG"),IF(IFERROR(VLOOKUP(A22&amp;"PT",'LM7 Non-ENG'!$A$1:$A$5000,1,FALSE),"ERROR")=A22&amp;"PT","Y","")),"")</f>
        <v/>
      </c>
      <c r="E22" s="12">
        <f>'CIM&amp;FMS-Detailed'!J264</f>
        <v>64465</v>
      </c>
      <c r="F22" s="38"/>
      <c r="G22" s="11"/>
    </row>
    <row r="23" spans="1:7" ht="18" customHeight="1">
      <c r="A23" t="s">
        <v>770</v>
      </c>
      <c r="B23" s="15" t="str">
        <f>HYPERLINK("#"&amp;ADDRESS(MATCH(A23,'CIM&amp;FMS-Detailed'!$A$1:$A$4510,0),1,,,"CIM&amp;FMS-Detailed"),VLOOKUP(A23,'CIM&amp;FMS-Detailed'!A:C,3,FALSE))</f>
        <v>FMS - Scorbot ER4U Robot on LSB with Laser Engraver</v>
      </c>
      <c r="C23" s="29" t="str">
        <f>IFERROR(HYPERLINK("#"&amp;ADDRESS(MATCH(A23&amp;"ES",'LM7 Non-ENG'!$A$1:$A$5000,0),1,,,"LM7 Non-ENG"),IF(IFERROR(VLOOKUP(A23&amp;"ES",'LM7 Non-ENG'!$A$1:$A$4999,1,FALSE),"ERROR")=A23&amp;"ES","Y","")),"")</f>
        <v/>
      </c>
      <c r="D23" s="29" t="str">
        <f>IFERROR(HYPERLINK("#"&amp;ADDRESS(MATCH(A23&amp;"PT",'LM7 Non-ENG'!$A$1:$A$5000,0),1,,,"LM7 Non-ENG"),IF(IFERROR(VLOOKUP(A23&amp;"PT",'LM7 Non-ENG'!$A$1:$A$5000,1,FALSE),"ERROR")=A23&amp;"PT","Y","")),"")</f>
        <v/>
      </c>
      <c r="E23" s="12">
        <f>'CIM&amp;FMS-Detailed'!J275</f>
        <v>73012</v>
      </c>
      <c r="F23" s="38"/>
      <c r="G23" s="11"/>
    </row>
    <row r="24" spans="1:7" ht="18" customHeight="1">
      <c r="A24" t="s">
        <v>774</v>
      </c>
      <c r="B24" s="15" t="str">
        <f>HYPERLINK("#"&amp;ADDRESS(MATCH(A24,'CIM&amp;FMS-Detailed'!$A$1:$A$4510,0),1,,,"CIM&amp;FMS-Detailed"),VLOOKUP(A24,'CIM&amp;FMS-Detailed'!A:C,3,FALSE))</f>
        <v>FMS - Scorbot ER9Pro Robot for Boxford Mill &amp; Turn CNC machines</v>
      </c>
      <c r="C24" s="29" t="str">
        <f>IFERROR(HYPERLINK("#"&amp;ADDRESS(MATCH(A24&amp;"ES",'LM7 Non-ENG'!$A$1:$A$5000,0),1,,,"LM7 Non-ENG"),IF(IFERROR(VLOOKUP(A24&amp;"ES",'LM7 Non-ENG'!$A$1:$A$4999,1,FALSE),"ERROR")=A24&amp;"ES","Y","")),"")</f>
        <v/>
      </c>
      <c r="D24" s="29" t="str">
        <f>IFERROR(HYPERLINK("#"&amp;ADDRESS(MATCH(A24&amp;"PT",'LM7 Non-ENG'!$A$1:$A$5000,0),1,,,"LM7 Non-ENG"),IF(IFERROR(VLOOKUP(A24&amp;"PT",'LM7 Non-ENG'!$A$1:$A$5000,1,FALSE),"ERROR")=A24&amp;"PT","Y","")),"")</f>
        <v/>
      </c>
      <c r="E24" s="12">
        <f>'CIM&amp;FMS-Detailed'!J290</f>
        <v>53013</v>
      </c>
      <c r="F24" s="38"/>
      <c r="G24" s="11"/>
    </row>
    <row r="25" spans="1:7" ht="18" customHeight="1">
      <c r="A25" t="s">
        <v>782</v>
      </c>
      <c r="B25" s="15" t="str">
        <f>HYPERLINK("#"&amp;ADDRESS(MATCH(A25,'CIM&amp;FMS-Detailed'!$A$1:$A$4510,0),1,,,"CIM&amp;FMS-Detailed"),VLOOKUP(A25,'CIM&amp;FMS-Detailed'!A:C,3,FALSE))</f>
        <v>FMS - Scorbot ER9Pro Robot for EMCO CNC Mill &amp; Turn machines</v>
      </c>
      <c r="C25" s="29" t="str">
        <f>IFERROR(HYPERLINK("#"&amp;ADDRESS(MATCH(A25&amp;"ES",'LM7 Non-ENG'!$A$1:$A$5000,0),1,,,"LM7 Non-ENG"),IF(IFERROR(VLOOKUP(A25&amp;"ES",'LM7 Non-ENG'!$A$1:$A$4999,1,FALSE),"ERROR")=A25&amp;"ES","Y","")),"")</f>
        <v/>
      </c>
      <c r="D25" s="29" t="str">
        <f>IFERROR(HYPERLINK("#"&amp;ADDRESS(MATCH(A25&amp;"PT",'LM7 Non-ENG'!$A$1:$A$5000,0),1,,,"LM7 Non-ENG"),IF(IFERROR(VLOOKUP(A25&amp;"PT",'LM7 Non-ENG'!$A$1:$A$5000,1,FALSE),"ERROR")=A25&amp;"PT","Y","")),"")</f>
        <v/>
      </c>
      <c r="E25" s="12">
        <f>'CIM&amp;FMS-Detailed'!J311</f>
        <v>54069</v>
      </c>
      <c r="F25" s="38"/>
      <c r="G25" s="11"/>
    </row>
    <row r="26" spans="1:7" ht="18" customHeight="1">
      <c r="A26" t="s">
        <v>788</v>
      </c>
      <c r="B26" s="15" t="str">
        <f>HYPERLINK("#"&amp;ADDRESS(MATCH(A26,'CIM&amp;FMS-Detailed'!$A$1:$A$4510,0),1,,,"CIM&amp;FMS-Detailed"),VLOOKUP(A26,'CIM&amp;FMS-Detailed'!A:C,3,FALSE))</f>
        <v>FMS - Scorbot ER9Pro Robot for 3rd Party CNC Milling machine</v>
      </c>
      <c r="C26" s="29" t="str">
        <f>IFERROR(HYPERLINK("#"&amp;ADDRESS(MATCH(A26&amp;"ES",'LM7 Non-ENG'!$A$1:$A$5000,0),1,,,"LM7 Non-ENG"),IF(IFERROR(VLOOKUP(A26&amp;"ES",'LM7 Non-ENG'!$A$1:$A$4999,1,FALSE),"ERROR")=A26&amp;"ES","Y","")),"")</f>
        <v/>
      </c>
      <c r="D26" s="29" t="str">
        <f>IFERROR(HYPERLINK("#"&amp;ADDRESS(MATCH(A26&amp;"PT",'LM7 Non-ENG'!$A$1:$A$5000,0),1,,,"LM7 Non-ENG"),IF(IFERROR(VLOOKUP(A26&amp;"PT",'LM7 Non-ENG'!$A$1:$A$5000,1,FALSE),"ERROR")=A26&amp;"PT","Y","")),"")</f>
        <v/>
      </c>
      <c r="E26" s="12">
        <f>'CIM&amp;FMS-Detailed'!J334</f>
        <v>48176</v>
      </c>
      <c r="F26" s="38"/>
      <c r="G26" s="11"/>
    </row>
    <row r="27" spans="1:7" ht="18" customHeight="1">
      <c r="A27" t="s">
        <v>791</v>
      </c>
      <c r="B27" s="15" t="str">
        <f>HYPERLINK("#"&amp;ADDRESS(MATCH(A27,'CIM&amp;FMS-Detailed'!$A$1:$A$4510,0),1,,,"CIM&amp;FMS-Detailed"),VLOOKUP(A27,'CIM&amp;FMS-Detailed'!A:C,3,FALSE))</f>
        <v>FMS - Scorbot ER9Pro Robot for 3rd Party CNC Turning machine</v>
      </c>
      <c r="C27" s="29" t="str">
        <f>IFERROR(HYPERLINK("#"&amp;ADDRESS(MATCH(A27&amp;"ES",'LM7 Non-ENG'!$A$1:$A$5000,0),1,,,"LM7 Non-ENG"),IF(IFERROR(VLOOKUP(A27&amp;"ES",'LM7 Non-ENG'!$A$1:$A$4999,1,FALSE),"ERROR")=A27&amp;"ES","Y","")),"")</f>
        <v/>
      </c>
      <c r="D27" s="29" t="str">
        <f>IFERROR(HYPERLINK("#"&amp;ADDRESS(MATCH(A27&amp;"PT",'LM7 Non-ENG'!$A$1:$A$5000,0),1,,,"LM7 Non-ENG"),IF(IFERROR(VLOOKUP(A27&amp;"PT",'LM7 Non-ENG'!$A$1:$A$5000,1,FALSE),"ERROR")=A27&amp;"PT","Y","")),"")</f>
        <v/>
      </c>
      <c r="E27" s="12">
        <f>'CIM&amp;FMS-Detailed'!J353</f>
        <v>45480</v>
      </c>
      <c r="F27" s="38"/>
      <c r="G27" s="11"/>
    </row>
    <row r="28" spans="1:7" ht="18" customHeight="1">
      <c r="A28" t="s">
        <v>793</v>
      </c>
      <c r="B28" s="15" t="str">
        <f>HYPERLINK("#"&amp;ADDRESS(MATCH(A28,'CIM&amp;FMS-Detailed'!$A$1:$A$4510,0),1,,,"CIM&amp;FMS-Detailed"),VLOOKUP(A28,'CIM&amp;FMS-Detailed'!A:C,3,FALSE))</f>
        <v>FMS - Scorbot ER9Pro Robot for 3rd Party CNC Mill &amp; Turn machines</v>
      </c>
      <c r="C28" s="29" t="str">
        <f>IFERROR(HYPERLINK("#"&amp;ADDRESS(MATCH(A28&amp;"ES",'LM7 Non-ENG'!$A$1:$A$5000,0),1,,,"LM7 Non-ENG"),IF(IFERROR(VLOOKUP(A28&amp;"ES",'LM7 Non-ENG'!$A$1:$A$4999,1,FALSE),"ERROR")=A28&amp;"ES","Y","")),"")</f>
        <v/>
      </c>
      <c r="D28" s="29" t="str">
        <f>IFERROR(HYPERLINK("#"&amp;ADDRESS(MATCH(A28&amp;"PT",'LM7 Non-ENG'!$A$1:$A$5000,0),1,,,"LM7 Non-ENG"),IF(IFERROR(VLOOKUP(A28&amp;"PT",'LM7 Non-ENG'!$A$1:$A$5000,1,FALSE),"ERROR")=A28&amp;"PT","Y","")),"")</f>
        <v/>
      </c>
      <c r="E28" s="12">
        <f>'CIM&amp;FMS-Detailed'!J370</f>
        <v>54575</v>
      </c>
      <c r="F28" s="38"/>
      <c r="G28" s="11"/>
    </row>
    <row r="29" spans="1:7" ht="18" customHeight="1">
      <c r="A29" t="s">
        <v>795</v>
      </c>
      <c r="B29" s="15" t="str">
        <f>HYPERLINK("#"&amp;ADDRESS(MATCH(A29,'CIM&amp;FMS-Detailed'!$A$1:$A$4510,0),1,,,"CIM&amp;FMS-Detailed"),VLOOKUP(A29,'CIM&amp;FMS-Detailed'!A:C,3,FALSE))</f>
        <v>FMS - Scorbot ER9Pro Robot with BenchMill 6000 (4 tool ATC) &amp; ProTurn 9000 CNC machines</v>
      </c>
      <c r="C29" s="29" t="str">
        <f>IFERROR(HYPERLINK("#"&amp;ADDRESS(MATCH(A29&amp;"ES",'LM7 Non-ENG'!$A$1:$A$5000,0),1,,,"LM7 Non-ENG"),IF(IFERROR(VLOOKUP(A29&amp;"ES",'LM7 Non-ENG'!$A$1:$A$4999,1,FALSE),"ERROR")=A29&amp;"ES","Y","")),"")</f>
        <v/>
      </c>
      <c r="D29" s="29" t="str">
        <f>IFERROR(HYPERLINK("#"&amp;ADDRESS(MATCH(A29&amp;"PT",'LM7 Non-ENG'!$A$1:$A$5000,0),1,,,"LM7 Non-ENG"),IF(IFERROR(VLOOKUP(A29&amp;"PT",'LM7 Non-ENG'!$A$1:$A$5000,1,FALSE),"ERROR")=A29&amp;"PT","Y","")),"")</f>
        <v/>
      </c>
      <c r="E29" s="12">
        <f>'CIM&amp;FMS-Detailed'!J390</f>
        <v>100379</v>
      </c>
      <c r="F29" s="38"/>
      <c r="G29" s="11"/>
    </row>
    <row r="30" spans="1:7" ht="18" customHeight="1">
      <c r="A30" t="s">
        <v>808</v>
      </c>
      <c r="B30" s="15" t="str">
        <f>HYPERLINK("#"&amp;ADDRESS(MATCH(A30,'CIM&amp;FMS-Detailed'!$A$1:$A$4510,0),1,,,"CIM&amp;FMS-Detailed"),VLOOKUP(A30,'CIM&amp;FMS-Detailed'!A:C,3,FALSE))</f>
        <v>FMS - Scorbot ER9Pro Robot with BenchMill 6000 (4 tool ATC) &amp; BenchTurn 7000 CNC machines</v>
      </c>
      <c r="C30" s="29" t="str">
        <f>IFERROR(HYPERLINK("#"&amp;ADDRESS(MATCH(A30&amp;"ES",'LM7 Non-ENG'!$A$1:$A$5000,0),1,,,"LM7 Non-ENG"),IF(IFERROR(VLOOKUP(A30&amp;"ES",'LM7 Non-ENG'!$A$1:$A$4999,1,FALSE),"ERROR")=A30&amp;"ES","Y","")),"")</f>
        <v/>
      </c>
      <c r="D30" s="29" t="str">
        <f>IFERROR(HYPERLINK("#"&amp;ADDRESS(MATCH(A30&amp;"PT",'LM7 Non-ENG'!$A$1:$A$5000,0),1,,,"LM7 Non-ENG"),IF(IFERROR(VLOOKUP(A30&amp;"PT",'LM7 Non-ENG'!$A$1:$A$5000,1,FALSE),"ERROR")=A30&amp;"PT","Y","")),"")</f>
        <v/>
      </c>
      <c r="E30" s="12">
        <f>'CIM&amp;FMS-Detailed'!J433</f>
        <v>95505</v>
      </c>
      <c r="F30" s="38"/>
      <c r="G30" s="11"/>
    </row>
    <row r="31" spans="1:7" ht="18" customHeight="1">
      <c r="A31" t="s">
        <v>811</v>
      </c>
      <c r="B31" s="15" t="str">
        <f>HYPERLINK("#"&amp;ADDRESS(MATCH(A31,'CIM&amp;FMS-Detailed'!$A$1:$A$4510,0),1,,,"CIM&amp;FMS-Detailed"),VLOOKUP(A31,'CIM&amp;FMS-Detailed'!A:C,3,FALSE))</f>
        <v>FMS - Scorbot ER9Pro Robot with BenchMill 6000 (4 tool ATC) CNC Milling machine</v>
      </c>
      <c r="C31" s="29" t="str">
        <f>IFERROR(HYPERLINK("#"&amp;ADDRESS(MATCH(A31&amp;"ES",'LM7 Non-ENG'!$A$1:$A$5000,0),1,,,"LM7 Non-ENG"),IF(IFERROR(VLOOKUP(A31&amp;"ES",'LM7 Non-ENG'!$A$1:$A$4999,1,FALSE),"ERROR")=A31&amp;"ES","Y","")),"")</f>
        <v/>
      </c>
      <c r="D31" s="29" t="str">
        <f>IFERROR(HYPERLINK("#"&amp;ADDRESS(MATCH(A31&amp;"PT",'LM7 Non-ENG'!$A$1:$A$5000,0),1,,,"LM7 Non-ENG"),IF(IFERROR(VLOOKUP(A31&amp;"PT",'LM7 Non-ENG'!$A$1:$A$5000,1,FALSE),"ERROR")=A31&amp;"PT","Y","")),"")</f>
        <v/>
      </c>
      <c r="E31" s="12">
        <f>'CIM&amp;FMS-Detailed'!J493</f>
        <v>66392</v>
      </c>
      <c r="F31" s="38"/>
      <c r="G31" s="11"/>
    </row>
    <row r="32" spans="1:7" ht="18" customHeight="1">
      <c r="A32" t="s">
        <v>817</v>
      </c>
      <c r="B32" s="15" t="str">
        <f>HYPERLINK("#"&amp;ADDRESS(MATCH(A32,'CIM&amp;FMS-Detailed'!$A$1:$A$4510,0),1,,,"CIM&amp;FMS-Detailed"),VLOOKUP(A32,'CIM&amp;FMS-Detailed'!A:C,3,FALSE))</f>
        <v>FMS - Scorbot ER9Pro Robot with BenchTurn 7000 CNC Turning machine</v>
      </c>
      <c r="C32" s="29" t="str">
        <f>IFERROR(HYPERLINK("#"&amp;ADDRESS(MATCH(A32&amp;"ES",'LM7 Non-ENG'!$A$1:$A$5000,0),1,,,"LM7 Non-ENG"),IF(IFERROR(VLOOKUP(A32&amp;"ES",'LM7 Non-ENG'!$A$1:$A$4999,1,FALSE),"ERROR")=A32&amp;"ES","Y","")),"")</f>
        <v/>
      </c>
      <c r="D32" s="29" t="str">
        <f>IFERROR(HYPERLINK("#"&amp;ADDRESS(MATCH(A32&amp;"PT",'LM7 Non-ENG'!$A$1:$A$5000,0),1,,,"LM7 Non-ENG"),IF(IFERROR(VLOOKUP(A32&amp;"PT",'LM7 Non-ENG'!$A$1:$A$5000,1,FALSE),"ERROR")=A32&amp;"PT","Y","")),"")</f>
        <v/>
      </c>
      <c r="E32" s="12">
        <f>'CIM&amp;FMS-Detailed'!J536</f>
        <v>64721</v>
      </c>
      <c r="F32" s="38"/>
      <c r="G32" s="11"/>
    </row>
    <row r="33" spans="1:7" ht="18" customHeight="1">
      <c r="A33" t="s">
        <v>819</v>
      </c>
      <c r="B33" s="15" t="str">
        <f>HYPERLINK("#"&amp;ADDRESS(MATCH(A33,'CIM&amp;FMS-Detailed'!$A$1:$A$4510,0),1,,,"CIM&amp;FMS-Detailed"),VLOOKUP(A33,'CIM&amp;FMS-Detailed'!A:C,3,FALSE))</f>
        <v>FMS - Scorbot ER9Pro Robot for EMCO CNC Milling machine</v>
      </c>
      <c r="C33" s="29" t="str">
        <f>IFERROR(HYPERLINK("#"&amp;ADDRESS(MATCH(A33&amp;"ES",'LM7 Non-ENG'!$A$1:$A$5000,0),1,,,"LM7 Non-ENG"),IF(IFERROR(VLOOKUP(A33&amp;"ES",'LM7 Non-ENG'!$A$1:$A$4999,1,FALSE),"ERROR")=A33&amp;"ES","Y","")),"")</f>
        <v/>
      </c>
      <c r="D33" s="29" t="str">
        <f>IFERROR(HYPERLINK("#"&amp;ADDRESS(MATCH(A33&amp;"PT",'LM7 Non-ENG'!$A$1:$A$5000,0),1,,,"LM7 Non-ENG"),IF(IFERROR(VLOOKUP(A33&amp;"PT",'LM7 Non-ENG'!$A$1:$A$5000,1,FALSE),"ERROR")=A33&amp;"PT","Y","")),"")</f>
        <v/>
      </c>
      <c r="E33" s="12">
        <f>'CIM&amp;FMS-Detailed'!J569</f>
        <v>47456</v>
      </c>
      <c r="F33" s="38"/>
      <c r="G33" s="11"/>
    </row>
    <row r="34" spans="1:7" ht="18" customHeight="1">
      <c r="A34" t="s">
        <v>821</v>
      </c>
      <c r="B34" s="15" t="str">
        <f>HYPERLINK("#"&amp;ADDRESS(MATCH(A34,'CIM&amp;FMS-Detailed'!$A$1:$A$4510,0),1,,,"CIM&amp;FMS-Detailed"),VLOOKUP(A34,'CIM&amp;FMS-Detailed'!A:C,3,FALSE))</f>
        <v>FMS - Scorbot ER9Pro Robot for EMCO CNC Turning machine</v>
      </c>
      <c r="C34" s="29" t="str">
        <f>IFERROR(HYPERLINK("#"&amp;ADDRESS(MATCH(A34&amp;"ES",'LM7 Non-ENG'!$A$1:$A$5000,0),1,,,"LM7 Non-ENG"),IF(IFERROR(VLOOKUP(A34&amp;"ES",'LM7 Non-ENG'!$A$1:$A$4999,1,FALSE),"ERROR")=A34&amp;"ES","Y","")),"")</f>
        <v/>
      </c>
      <c r="D34" s="29" t="str">
        <f>IFERROR(HYPERLINK("#"&amp;ADDRESS(MATCH(A34&amp;"PT",'LM7 Non-ENG'!$A$1:$A$5000,0),1,,,"LM7 Non-ENG"),IF(IFERROR(VLOOKUP(A34&amp;"PT",'LM7 Non-ENG'!$A$1:$A$5000,1,FALSE),"ERROR")=A34&amp;"PT","Y","")),"")</f>
        <v/>
      </c>
      <c r="E34" s="12">
        <f>'CIM&amp;FMS-Detailed'!J587</f>
        <v>44760</v>
      </c>
      <c r="F34" s="38"/>
      <c r="G34" s="11"/>
    </row>
    <row r="35" spans="1:7" ht="18" customHeight="1">
      <c r="A35" t="s">
        <v>823</v>
      </c>
      <c r="B35" s="15" t="str">
        <f>HYPERLINK("#"&amp;ADDRESS(MATCH(A35,'CIM&amp;FMS-Detailed'!$A$1:$A$4510,0),1,,,"CIM&amp;FMS-Detailed"),VLOOKUP(A35,'CIM&amp;FMS-Detailed'!A:C,3,FALSE))</f>
        <v>FMS - Scorbot ER9Pro Robot with Laser Engraver</v>
      </c>
      <c r="C35" s="29" t="str">
        <f>IFERROR(HYPERLINK("#"&amp;ADDRESS(MATCH(A35&amp;"ES",'LM7 Non-ENG'!$A$1:$A$5000,0),1,,,"LM7 Non-ENG"),IF(IFERROR(VLOOKUP(A35&amp;"ES",'LM7 Non-ENG'!$A$1:$A$4999,1,FALSE),"ERROR")=A35&amp;"ES","Y","")),"")</f>
        <v/>
      </c>
      <c r="D35" s="29" t="str">
        <f>IFERROR(HYPERLINK("#"&amp;ADDRESS(MATCH(A35&amp;"PT",'LM7 Non-ENG'!$A$1:$A$5000,0),1,,,"LM7 Non-ENG"),IF(IFERROR(VLOOKUP(A35&amp;"PT",'LM7 Non-ENG'!$A$1:$A$5000,1,FALSE),"ERROR")=A35&amp;"PT","Y","")),"")</f>
        <v/>
      </c>
      <c r="E35" s="12">
        <f>'CIM&amp;FMS-Detailed'!J606</f>
        <v>83887</v>
      </c>
      <c r="F35" s="38"/>
      <c r="G35" s="11"/>
    </row>
    <row r="36" spans="1:7" ht="18" customHeight="1">
      <c r="A36" t="s">
        <v>829</v>
      </c>
      <c r="B36" s="15" t="str">
        <f>HYPERLINK("#"&amp;ADDRESS(MATCH(A36,'CIM&amp;FMS-Detailed'!$A$1:$A$4510,0),1,,,"CIM&amp;FMS-Detailed"),VLOOKUP(A36,'CIM&amp;FMS-Detailed'!A:C,3,FALSE))</f>
        <v>FMS - Scorbot ER9Pro Robot for Boxford Mill</v>
      </c>
      <c r="C36" s="29" t="str">
        <f>IFERROR(HYPERLINK("#"&amp;ADDRESS(MATCH(A36&amp;"ES",'LM7 Non-ENG'!$A$1:$A$5000,0),1,,,"LM7 Non-ENG"),IF(IFERROR(VLOOKUP(A36&amp;"ES",'LM7 Non-ENG'!$A$1:$A$4999,1,FALSE),"ERROR")=A36&amp;"ES","Y","")),"")</f>
        <v/>
      </c>
      <c r="D36" s="29" t="str">
        <f>IFERROR(HYPERLINK("#"&amp;ADDRESS(MATCH(A36&amp;"PT",'LM7 Non-ENG'!$A$1:$A$5000,0),1,,,"LM7 Non-ENG"),IF(IFERROR(VLOOKUP(A36&amp;"PT",'LM7 Non-ENG'!$A$1:$A$5000,1,FALSE),"ERROR")=A36&amp;"PT","Y","")),"")</f>
        <v/>
      </c>
      <c r="E36" s="12">
        <f>'CIM&amp;FMS-Detailed'!J622</f>
        <v>48102</v>
      </c>
      <c r="F36" s="38"/>
      <c r="G36" s="11"/>
    </row>
    <row r="37" spans="1:7" ht="18" customHeight="1">
      <c r="A37" t="s">
        <v>832</v>
      </c>
      <c r="B37" s="15" t="str">
        <f>HYPERLINK("#"&amp;ADDRESS(MATCH(A37,'CIM&amp;FMS-Detailed'!$A$1:$A$4510,0),1,,,"CIM&amp;FMS-Detailed"),VLOOKUP(A37,'CIM&amp;FMS-Detailed'!A:C,3,FALSE))</f>
        <v>FMS - Scorbot ER9Pro Robot with ProMill 8000 (12 tool ATC) &amp; ProTurn 9000 CNC machines</v>
      </c>
      <c r="C37" s="29" t="str">
        <f>IFERROR(HYPERLINK("#"&amp;ADDRESS(MATCH(A37&amp;"ES",'LM7 Non-ENG'!$A$1:$A$5000,0),1,,,"LM7 Non-ENG"),IF(IFERROR(VLOOKUP(A37&amp;"ES",'LM7 Non-ENG'!$A$1:$A$4999,1,FALSE),"ERROR")=A37&amp;"ES","Y","")),"")</f>
        <v/>
      </c>
      <c r="D37" s="29" t="str">
        <f>IFERROR(HYPERLINK("#"&amp;ADDRESS(MATCH(A37&amp;"PT",'LM7 Non-ENG'!$A$1:$A$5000,0),1,,,"LM7 Non-ENG"),IF(IFERROR(VLOOKUP(A37&amp;"PT",'LM7 Non-ENG'!$A$1:$A$5000,1,FALSE),"ERROR")=A37&amp;"PT","Y","")),"")</f>
        <v/>
      </c>
      <c r="E37" s="12">
        <f>'CIM&amp;FMS-Detailed'!J639</f>
        <v>111443</v>
      </c>
      <c r="F37" s="38"/>
      <c r="G37" s="11"/>
    </row>
    <row r="38" spans="1:7" ht="18" customHeight="1">
      <c r="A38" t="s">
        <v>847</v>
      </c>
      <c r="B38" s="15" t="str">
        <f>HYPERLINK("#"&amp;ADDRESS(MATCH(A38,'CIM&amp;FMS-Detailed'!$A$1:$A$4510,0),1,,,"CIM&amp;FMS-Detailed"),VLOOKUP(A38,'CIM&amp;FMS-Detailed'!A:C,3,FALSE))</f>
        <v>FMS - Scorbot ER9Pro Robot with ProMill 8000 (12 tool ATC) CNC Milling machine</v>
      </c>
      <c r="C38" s="29" t="str">
        <f>IFERROR(HYPERLINK("#"&amp;ADDRESS(MATCH(A38&amp;"ES",'LM7 Non-ENG'!$A$1:$A$5000,0),1,,,"LM7 Non-ENG"),IF(IFERROR(VLOOKUP(A38&amp;"ES",'LM7 Non-ENG'!$A$1:$A$4999,1,FALSE),"ERROR")=A38&amp;"ES","Y","")),"")</f>
        <v/>
      </c>
      <c r="D38" s="29" t="str">
        <f>IFERROR(HYPERLINK("#"&amp;ADDRESS(MATCH(A38&amp;"PT",'LM7 Non-ENG'!$A$1:$A$5000,0),1,,,"LM7 Non-ENG"),IF(IFERROR(VLOOKUP(A38&amp;"PT",'LM7 Non-ENG'!$A$1:$A$5000,1,FALSE),"ERROR")=A38&amp;"PT","Y","")),"")</f>
        <v/>
      </c>
      <c r="E38" s="12">
        <f>'CIM&amp;FMS-Detailed'!J696</f>
        <v>80134</v>
      </c>
      <c r="F38" s="38"/>
      <c r="G38" s="11"/>
    </row>
    <row r="39" spans="1:7" ht="18" customHeight="1">
      <c r="A39" t="s">
        <v>849</v>
      </c>
      <c r="B39" s="15" t="str">
        <f>HYPERLINK("#"&amp;ADDRESS(MATCH(A39,'CIM&amp;FMS-Detailed'!$A$1:$A$4510,0),1,,,"CIM&amp;FMS-Detailed"),VLOOKUP(A39,'CIM&amp;FMS-Detailed'!A:C,3,FALSE))</f>
        <v>FMS - Scorbot ER9Pro Robot with ProTurn 9000 CNC Turning machine</v>
      </c>
      <c r="C39" s="29" t="str">
        <f>IFERROR(HYPERLINK("#"&amp;ADDRESS(MATCH(A39&amp;"ES",'LM7 Non-ENG'!$A$1:$A$5000,0),1,,,"LM7 Non-ENG"),IF(IFERROR(VLOOKUP(A39&amp;"ES",'LM7 Non-ENG'!$A$1:$A$4999,1,FALSE),"ERROR")=A39&amp;"ES","Y","")),"")</f>
        <v/>
      </c>
      <c r="D39" s="29" t="str">
        <f>IFERROR(HYPERLINK("#"&amp;ADDRESS(MATCH(A39&amp;"PT",'LM7 Non-ENG'!$A$1:$A$5000,0),1,,,"LM7 Non-ENG"),IF(IFERROR(VLOOKUP(A39&amp;"PT",'LM7 Non-ENG'!$A$1:$A$5000,1,FALSE),"ERROR")=A39&amp;"PT","Y","")),"")</f>
        <v/>
      </c>
      <c r="E39" s="12">
        <f>'CIM&amp;FMS-Detailed'!J733</f>
        <v>69097</v>
      </c>
      <c r="F39" s="38"/>
      <c r="G39" s="11"/>
    </row>
    <row r="40" spans="1:7" ht="18" customHeight="1">
      <c r="A40" t="s">
        <v>851</v>
      </c>
      <c r="B40" s="15" t="str">
        <f>HYPERLINK("#"&amp;ADDRESS(MATCH(A40,'CIM&amp;FMS-Detailed'!$A$1:$A$4510,0),1,,,"CIM&amp;FMS-Detailed"),VLOOKUP(A40,'CIM&amp;FMS-Detailed'!A:C,3,FALSE))</f>
        <v>FMS - Scorbot ER9Pro Robot for Boxford Turn</v>
      </c>
      <c r="C40" s="29" t="str">
        <f>IFERROR(HYPERLINK("#"&amp;ADDRESS(MATCH(A40&amp;"ES",'LM7 Non-ENG'!$A$1:$A$5000,0),1,,,"LM7 Non-ENG"),IF(IFERROR(VLOOKUP(A40&amp;"ES",'LM7 Non-ENG'!$A$1:$A$4999,1,FALSE),"ERROR")=A40&amp;"ES","Y","")),"")</f>
        <v/>
      </c>
      <c r="D40" s="29" t="str">
        <f>IFERROR(HYPERLINK("#"&amp;ADDRESS(MATCH(A40&amp;"PT",'LM7 Non-ENG'!$A$1:$A$5000,0),1,,,"LM7 Non-ENG"),IF(IFERROR(VLOOKUP(A40&amp;"PT",'LM7 Non-ENG'!$A$1:$A$5000,1,FALSE),"ERROR")=A40&amp;"PT","Y","")),"")</f>
        <v/>
      </c>
      <c r="E40" s="12">
        <f>'CIM&amp;FMS-Detailed'!J763</f>
        <v>45406</v>
      </c>
      <c r="F40" s="38"/>
      <c r="G40" s="11"/>
    </row>
    <row r="41" spans="1:7" ht="18" customHeight="1">
      <c r="A41" t="s">
        <v>853</v>
      </c>
      <c r="B41" s="15" t="str">
        <f>HYPERLINK("#"&amp;ADDRESS(MATCH(A41,'CIM&amp;FMS-Detailed'!$A$1:$A$4510,0),1,,,"CIM&amp;FMS-Detailed"),VLOOKUP(A41,'CIM&amp;FMS-Detailed'!A:C,3,FALSE))</f>
        <v>FMS - for industrial robot &amp; for industrial Mill</v>
      </c>
      <c r="C41" s="29" t="str">
        <f>IFERROR(HYPERLINK("#"&amp;ADDRESS(MATCH(A41&amp;"ES",'LM7 Non-ENG'!$A$1:$A$5000,0),1,,,"LM7 Non-ENG"),IF(IFERROR(VLOOKUP(A41&amp;"ES",'LM7 Non-ENG'!$A$1:$A$4999,1,FALSE),"ERROR")=A41&amp;"ES","Y","")),"")</f>
        <v/>
      </c>
      <c r="D41" s="29" t="str">
        <f>IFERROR(HYPERLINK("#"&amp;ADDRESS(MATCH(A41&amp;"PT",'LM7 Non-ENG'!$A$1:$A$5000,0),1,,,"LM7 Non-ENG"),IF(IFERROR(VLOOKUP(A41&amp;"PT",'LM7 Non-ENG'!$A$1:$A$5000,1,FALSE),"ERROR")=A41&amp;"PT","Y","")),"")</f>
        <v/>
      </c>
      <c r="E41" s="12">
        <f>'CIM&amp;FMS-Detailed'!J779</f>
        <v>35867</v>
      </c>
      <c r="F41" s="38"/>
      <c r="G41" s="11"/>
    </row>
    <row r="42" spans="1:7" ht="18" customHeight="1">
      <c r="A42" t="s">
        <v>860</v>
      </c>
      <c r="B42" s="15" t="str">
        <f>HYPERLINK("#"&amp;ADDRESS(MATCH(A42,'CIM&amp;FMS-Detailed'!$A$1:$A$4510,0),1,,,"CIM&amp;FMS-Detailed"),VLOOKUP(A42,'CIM&amp;FMS-Detailed'!A:C,3,FALSE))</f>
        <v>FMS - for industrial robot &amp; for industrial Mill&amp;Turn</v>
      </c>
      <c r="C42" s="29" t="str">
        <f>IFERROR(HYPERLINK("#"&amp;ADDRESS(MATCH(A42&amp;"ES",'LM7 Non-ENG'!$A$1:$A$5000,0),1,,,"LM7 Non-ENG"),IF(IFERROR(VLOOKUP(A42&amp;"ES",'LM7 Non-ENG'!$A$1:$A$4999,1,FALSE),"ERROR")=A42&amp;"ES","Y","")),"")</f>
        <v/>
      </c>
      <c r="D42" s="29" t="str">
        <f>IFERROR(HYPERLINK("#"&amp;ADDRESS(MATCH(A42&amp;"PT",'LM7 Non-ENG'!$A$1:$A$5000,0),1,,,"LM7 Non-ENG"),IF(IFERROR(VLOOKUP(A42&amp;"PT",'LM7 Non-ENG'!$A$1:$A$5000,1,FALSE),"ERROR")=A42&amp;"PT","Y","")),"")</f>
        <v/>
      </c>
      <c r="E42" s="12">
        <f>'CIM&amp;FMS-Detailed'!J793</f>
        <v>41349</v>
      </c>
      <c r="F42" s="38"/>
      <c r="G42" s="11"/>
    </row>
    <row r="43" spans="1:7" ht="18" customHeight="1">
      <c r="A43" t="s">
        <v>862</v>
      </c>
      <c r="B43" s="15" t="str">
        <f>HYPERLINK("#"&amp;ADDRESS(MATCH(A43,'CIM&amp;FMS-Detailed'!$A$1:$A$4510,0),1,,,"CIM&amp;FMS-Detailed"),VLOOKUP(A43,'CIM&amp;FMS-Detailed'!A:C,3,FALSE))</f>
        <v>FMS - for industrial robot &amp; for industrial Turn</v>
      </c>
      <c r="C43" s="29" t="str">
        <f>IFERROR(HYPERLINK("#"&amp;ADDRESS(MATCH(A43&amp;"ES",'LM7 Non-ENG'!$A$1:$A$5000,0),1,,,"LM7 Non-ENG"),IF(IFERROR(VLOOKUP(A43&amp;"ES",'LM7 Non-ENG'!$A$1:$A$4999,1,FALSE),"ERROR")=A43&amp;"ES","Y","")),"")</f>
        <v/>
      </c>
      <c r="D43" s="29" t="str">
        <f>IFERROR(HYPERLINK("#"&amp;ADDRESS(MATCH(A43&amp;"PT",'LM7 Non-ENG'!$A$1:$A$5000,0),1,,,"LM7 Non-ENG"),IF(IFERROR(VLOOKUP(A43&amp;"PT",'LM7 Non-ENG'!$A$1:$A$5000,1,FALSE),"ERROR")=A43&amp;"PT","Y","")),"")</f>
        <v/>
      </c>
      <c r="E43" s="12">
        <f>'CIM&amp;FMS-Detailed'!J809</f>
        <v>35171</v>
      </c>
      <c r="F43" s="38"/>
      <c r="G43" s="11"/>
    </row>
    <row r="44" spans="1:7" ht="18" customHeight="1">
      <c r="A44" t="s">
        <v>864</v>
      </c>
      <c r="B44" s="15" t="str">
        <f>HYPERLINK("#"&amp;ADDRESS(MATCH(A44,'CIM&amp;FMS-Detailed'!$A$1:$A$4510,0),1,,,"CIM&amp;FMS-Detailed"),VLOOKUP(A44,'CIM&amp;FMS-Detailed'!A:C,3,FALSE))</f>
        <v>FMS - for heavy industrial robot &amp; for industrial Mill&amp;Turn</v>
      </c>
      <c r="C44" s="29" t="str">
        <f>IFERROR(HYPERLINK("#"&amp;ADDRESS(MATCH(A44&amp;"ES",'LM7 Non-ENG'!$A$1:$A$5000,0),1,,,"LM7 Non-ENG"),IF(IFERROR(VLOOKUP(A44&amp;"ES",'LM7 Non-ENG'!$A$1:$A$4999,1,FALSE),"ERROR")=A44&amp;"ES","Y","")),"")</f>
        <v/>
      </c>
      <c r="D44" s="29" t="str">
        <f>IFERROR(HYPERLINK("#"&amp;ADDRESS(MATCH(A44&amp;"PT",'LM7 Non-ENG'!$A$1:$A$5000,0),1,,,"LM7 Non-ENG"),IF(IFERROR(VLOOKUP(A44&amp;"PT",'LM7 Non-ENG'!$A$1:$A$5000,1,FALSE),"ERROR")=A44&amp;"PT","Y","")),"")</f>
        <v/>
      </c>
      <c r="E44" s="12">
        <f>'CIM&amp;FMS-Detailed'!J823</f>
        <v>119649</v>
      </c>
      <c r="F44" s="38"/>
      <c r="G44" s="11"/>
    </row>
    <row r="45" spans="1:7" ht="18" customHeight="1">
      <c r="A45" t="s">
        <v>872</v>
      </c>
      <c r="B45" s="15" t="str">
        <f>HYPERLINK("#"&amp;ADDRESS(MATCH(A45,'CIM&amp;FMS-Detailed'!$A$1:$A$4510,0),1,,,"CIM&amp;FMS-Detailed"),VLOOKUP(A45,'CIM&amp;FMS-Detailed'!A:C,3,FALSE))</f>
        <v>FMS - for KUKA robot &amp; for EMCO CONCEPT Mill&amp;Turn</v>
      </c>
      <c r="C45" s="29" t="str">
        <f>IFERROR(HYPERLINK("#"&amp;ADDRESS(MATCH(A45&amp;"ES",'LM7 Non-ENG'!$A$1:$A$5000,0),1,,,"LM7 Non-ENG"),IF(IFERROR(VLOOKUP(A45&amp;"ES",'LM7 Non-ENG'!$A$1:$A$4999,1,FALSE),"ERROR")=A45&amp;"ES","Y","")),"")</f>
        <v/>
      </c>
      <c r="D45" s="29" t="str">
        <f>IFERROR(HYPERLINK("#"&amp;ADDRESS(MATCH(A45&amp;"PT",'LM7 Non-ENG'!$A$1:$A$5000,0),1,,,"LM7 Non-ENG"),IF(IFERROR(VLOOKUP(A45&amp;"PT",'LM7 Non-ENG'!$A$1:$A$5000,1,FALSE),"ERROR")=A45&amp;"PT","Y","")),"")</f>
        <v/>
      </c>
      <c r="E45" s="12">
        <f>'CIM&amp;FMS-Detailed'!J841</f>
        <v>24609</v>
      </c>
      <c r="F45" s="38"/>
      <c r="G45" s="11"/>
    </row>
    <row r="46" spans="1:7" ht="18" customHeight="1">
      <c r="A46" t="s">
        <v>875</v>
      </c>
      <c r="B46" s="15" t="str">
        <f>HYPERLINK("#"&amp;ADDRESS(MATCH(A46,'CIM&amp;FMS-Detailed'!$A$1:$A$4510,0),1,,,"CIM&amp;FMS-Detailed"),VLOOKUP(A46,'CIM&amp;FMS-Detailed'!A:C,3,FALSE))</f>
        <v>FMS - for KUKA robot with Laser Engraver</v>
      </c>
      <c r="C46" s="29" t="str">
        <f>IFERROR(HYPERLINK("#"&amp;ADDRESS(MATCH(A46&amp;"ES",'LM7 Non-ENG'!$A$1:$A$5000,0),1,,,"LM7 Non-ENG"),IF(IFERROR(VLOOKUP(A46&amp;"ES",'LM7 Non-ENG'!$A$1:$A$4999,1,FALSE),"ERROR")=A46&amp;"ES","Y","")),"")</f>
        <v/>
      </c>
      <c r="D46" s="29" t="str">
        <f>IFERROR(HYPERLINK("#"&amp;ADDRESS(MATCH(A46&amp;"PT",'LM7 Non-ENG'!$A$1:$A$5000,0),1,,,"LM7 Non-ENG"),IF(IFERROR(VLOOKUP(A46&amp;"PT",'LM7 Non-ENG'!$A$1:$A$5000,1,FALSE),"ERROR")=A46&amp;"PT","Y","")),"")</f>
        <v/>
      </c>
      <c r="E46" s="12">
        <f>'CIM&amp;FMS-Detailed'!J858</f>
        <v>66415</v>
      </c>
      <c r="F46" s="38"/>
      <c r="G46" s="11"/>
    </row>
    <row r="47" spans="1:7" ht="18" customHeight="1">
      <c r="A47" t="s">
        <v>877</v>
      </c>
      <c r="B47" s="15" t="str">
        <f>HYPERLINK("#"&amp;ADDRESS(MATCH(A47,'CIM&amp;FMS-Detailed'!$A$1:$A$4510,0),1,,,"CIM&amp;FMS-Detailed"),VLOOKUP(A47,'CIM&amp;FMS-Detailed'!A:C,3,FALSE))</f>
        <v>FMS - MOTOMAN MH5F robot for EMCO CNC Mill &amp; Turn</v>
      </c>
      <c r="C47" s="29" t="str">
        <f>IFERROR(HYPERLINK("#"&amp;ADDRESS(MATCH(A47&amp;"ES",'LM7 Non-ENG'!$A$1:$A$5000,0),1,,,"LM7 Non-ENG"),IF(IFERROR(VLOOKUP(A47&amp;"ES",'LM7 Non-ENG'!$A$1:$A$4999,1,FALSE),"ERROR")=A47&amp;"ES","Y","")),"")</f>
        <v/>
      </c>
      <c r="D47" s="29" t="str">
        <f>IFERROR(HYPERLINK("#"&amp;ADDRESS(MATCH(A47&amp;"PT",'LM7 Non-ENG'!$A$1:$A$5000,0),1,,,"LM7 Non-ENG"),IF(IFERROR(VLOOKUP(A47&amp;"PT",'LM7 Non-ENG'!$A$1:$A$5000,1,FALSE),"ERROR")=A47&amp;"PT","Y","")),"")</f>
        <v/>
      </c>
      <c r="E47" s="12">
        <f>'CIM&amp;FMS-Detailed'!J870</f>
        <v>71456</v>
      </c>
      <c r="F47" s="38"/>
      <c r="G47" s="11"/>
    </row>
    <row r="48" spans="1:7" ht="18" customHeight="1">
      <c r="A48" t="s">
        <v>880</v>
      </c>
      <c r="B48" s="15" t="str">
        <f>HYPERLINK("#"&amp;ADDRESS(MATCH(A48,'CIM&amp;FMS-Detailed'!$A$1:$A$4510,0),1,,,"CIM&amp;FMS-Detailed"),VLOOKUP(A48,'CIM&amp;FMS-Detailed'!A:C,3,FALSE))</f>
        <v>FMS - MOTOMAN MH5F robot for 3rd Party Mill</v>
      </c>
      <c r="C48" s="29" t="str">
        <f>IFERROR(HYPERLINK("#"&amp;ADDRESS(MATCH(A48&amp;"ES",'LM7 Non-ENG'!$A$1:$A$5000,0),1,,,"LM7 Non-ENG"),IF(IFERROR(VLOOKUP(A48&amp;"ES",'LM7 Non-ENG'!$A$1:$A$4999,1,FALSE),"ERROR")=A48&amp;"ES","Y","")),"")</f>
        <v/>
      </c>
      <c r="D48" s="29" t="str">
        <f>IFERROR(HYPERLINK("#"&amp;ADDRESS(MATCH(A48&amp;"PT",'LM7 Non-ENG'!$A$1:$A$5000,0),1,,,"LM7 Non-ENG"),IF(IFERROR(VLOOKUP(A48&amp;"PT",'LM7 Non-ENG'!$A$1:$A$5000,1,FALSE),"ERROR")=A48&amp;"PT","Y","")),"")</f>
        <v/>
      </c>
      <c r="E48" s="12">
        <f>'CIM&amp;FMS-Detailed'!J889</f>
        <v>68787</v>
      </c>
      <c r="F48" s="38"/>
      <c r="G48" s="11"/>
    </row>
    <row r="49" spans="1:13" ht="18" customHeight="1">
      <c r="A49" t="s">
        <v>888</v>
      </c>
      <c r="B49" s="15" t="str">
        <f>HYPERLINK("#"&amp;ADDRESS(MATCH(A49,'CIM&amp;FMS-Detailed'!$A$1:$A$4510,0),1,,,"CIM&amp;FMS-Detailed"),VLOOKUP(A49,'CIM&amp;FMS-Detailed'!A:C,3,FALSE))</f>
        <v>FMS - MOTOMAN MH5F robot for 3rd Party Mill &amp; Turn</v>
      </c>
      <c r="C49" s="29" t="str">
        <f>IFERROR(HYPERLINK("#"&amp;ADDRESS(MATCH(A49&amp;"ES",'LM7 Non-ENG'!$A$1:$A$5000,0),1,,,"LM7 Non-ENG"),IF(IFERROR(VLOOKUP(A49&amp;"ES",'LM7 Non-ENG'!$A$1:$A$4999,1,FALSE),"ERROR")=A49&amp;"ES","Y","")),"")</f>
        <v/>
      </c>
      <c r="D49" s="29" t="str">
        <f>IFERROR(HYPERLINK("#"&amp;ADDRESS(MATCH(A49&amp;"PT",'LM7 Non-ENG'!$A$1:$A$5000,0),1,,,"LM7 Non-ENG"),IF(IFERROR(VLOOKUP(A49&amp;"PT",'LM7 Non-ENG'!$A$1:$A$5000,1,FALSE),"ERROR")=A49&amp;"PT","Y","")),"")</f>
        <v/>
      </c>
      <c r="E49" s="12">
        <f>'CIM&amp;FMS-Detailed'!J908</f>
        <v>71629</v>
      </c>
      <c r="F49" s="38"/>
      <c r="G49" s="11"/>
    </row>
    <row r="50" spans="1:13" ht="18" customHeight="1">
      <c r="A50" t="s">
        <v>890</v>
      </c>
      <c r="B50" s="15" t="str">
        <f>HYPERLINK("#"&amp;ADDRESS(MATCH(A50,'CIM&amp;FMS-Detailed'!$A$1:$A$4510,0),1,,,"CIM&amp;FMS-Detailed"),VLOOKUP(A50,'CIM&amp;FMS-Detailed'!A:C,3,FALSE))</f>
        <v>FMS - MOTOMAN MH5F robot for 3rd Party Turn</v>
      </c>
      <c r="C50" s="29" t="str">
        <f>IFERROR(HYPERLINK("#"&amp;ADDRESS(MATCH(A50&amp;"ES",'LM7 Non-ENG'!$A$1:$A$5000,0),1,,,"LM7 Non-ENG"),IF(IFERROR(VLOOKUP(A50&amp;"ES",'LM7 Non-ENG'!$A$1:$A$4999,1,FALSE),"ERROR")=A50&amp;"ES","Y","")),"")</f>
        <v/>
      </c>
      <c r="D50" s="29" t="str">
        <f>IFERROR(HYPERLINK("#"&amp;ADDRESS(MATCH(A50&amp;"PT",'LM7 Non-ENG'!$A$1:$A$5000,0),1,,,"LM7 Non-ENG"),IF(IFERROR(VLOOKUP(A50&amp;"PT",'LM7 Non-ENG'!$A$1:$A$5000,1,FALSE),"ERROR")=A50&amp;"PT","Y","")),"")</f>
        <v/>
      </c>
      <c r="E50" s="12">
        <f>'CIM&amp;FMS-Detailed'!J927</f>
        <v>63451</v>
      </c>
      <c r="F50" s="38"/>
      <c r="G50" s="11"/>
    </row>
    <row r="51" spans="1:13" ht="18" customHeight="1">
      <c r="A51" t="s">
        <v>892</v>
      </c>
      <c r="B51" s="15" t="str">
        <f>HYPERLINK("#"&amp;ADDRESS(MATCH(A51,'CIM&amp;FMS-Detailed'!$A$1:$A$4510,0),1,,,"CIM&amp;FMS-Detailed"),VLOOKUP(A51,'CIM&amp;FMS-Detailed'!A:C,3,FALSE))</f>
        <v>FMS - Motoman MH5F Robot with BenchMill 6000 (4 tool ATC) &amp; BenchTurn 7000 CNC machines</v>
      </c>
      <c r="C51" s="29" t="str">
        <f>IFERROR(HYPERLINK("#"&amp;ADDRESS(MATCH(A51&amp;"ES",'LM7 Non-ENG'!$A$1:$A$5000,0),1,,,"LM7 Non-ENG"),IF(IFERROR(VLOOKUP(A51&amp;"ES",'LM7 Non-ENG'!$A$1:$A$4999,1,FALSE),"ERROR")=A51&amp;"ES","Y","")),"")</f>
        <v/>
      </c>
      <c r="D51" s="29" t="str">
        <f>IFERROR(HYPERLINK("#"&amp;ADDRESS(MATCH(A51&amp;"PT",'LM7 Non-ENG'!$A$1:$A$5000,0),1,,,"LM7 Non-ENG"),IF(IFERROR(VLOOKUP(A51&amp;"PT",'LM7 Non-ENG'!$A$1:$A$5000,1,FALSE),"ERROR")=A51&amp;"PT","Y","")),"")</f>
        <v/>
      </c>
      <c r="E51" s="12">
        <f>'CIM&amp;FMS-Detailed'!J945</f>
        <v>111650</v>
      </c>
      <c r="F51" s="38"/>
      <c r="G51" s="11"/>
    </row>
    <row r="52" spans="1:13" ht="18" customHeight="1">
      <c r="A52" t="s">
        <v>895</v>
      </c>
      <c r="B52" s="15" t="str">
        <f>HYPERLINK("#"&amp;ADDRESS(MATCH(A52,'CIM&amp;FMS-Detailed'!$A$1:$A$4510,0),1,,,"CIM&amp;FMS-Detailed"),VLOOKUP(A52,'CIM&amp;FMS-Detailed'!A:C,3,FALSE))</f>
        <v>FMS - MOTOMAN MH5F robot with BenchMill 6000 (4 tool ATC) CNC machine</v>
      </c>
      <c r="C52" s="29" t="str">
        <f>IFERROR(HYPERLINK("#"&amp;ADDRESS(MATCH(A52&amp;"ES",'LM7 Non-ENG'!$A$1:$A$5000,0),1,,,"LM7 Non-ENG"),IF(IFERROR(VLOOKUP(A52&amp;"ES",'LM7 Non-ENG'!$A$1:$A$4999,1,FALSE),"ERROR")=A52&amp;"ES","Y","")),"")</f>
        <v/>
      </c>
      <c r="D52" s="29" t="str">
        <f>IFERROR(HYPERLINK("#"&amp;ADDRESS(MATCH(A52&amp;"PT",'LM7 Non-ENG'!$A$1:$A$5000,0),1,,,"LM7 Non-ENG"),IF(IFERROR(VLOOKUP(A52&amp;"PT",'LM7 Non-ENG'!$A$1:$A$5000,1,FALSE),"ERROR")=A52&amp;"PT","Y","")),"")</f>
        <v/>
      </c>
      <c r="E52" s="12">
        <f>'CIM&amp;FMS-Detailed'!J1001</f>
        <v>80910</v>
      </c>
      <c r="F52" s="38"/>
      <c r="G52" s="11"/>
    </row>
    <row r="53" spans="1:13" ht="18" customHeight="1">
      <c r="A53" t="s">
        <v>898</v>
      </c>
      <c r="B53" s="15" t="str">
        <f>HYPERLINK("#"&amp;ADDRESS(MATCH(A53,'CIM&amp;FMS-Detailed'!$A$1:$A$4510,0),1,,,"CIM&amp;FMS-Detailed"),VLOOKUP(A53,'CIM&amp;FMS-Detailed'!A:C,3,FALSE))</f>
        <v>FMS - Motoman MH5F Robot with BenchTurn 7000 CNC Turning machine</v>
      </c>
      <c r="C53" s="29" t="str">
        <f>IFERROR(HYPERLINK("#"&amp;ADDRESS(MATCH(A53&amp;"ES",'LM7 Non-ENG'!$A$1:$A$5000,0),1,,,"LM7 Non-ENG"),IF(IFERROR(VLOOKUP(A53&amp;"ES",'LM7 Non-ENG'!$A$1:$A$4999,1,FALSE),"ERROR")=A53&amp;"ES","Y","")),"")</f>
        <v/>
      </c>
      <c r="D53" s="29" t="str">
        <f>IFERROR(HYPERLINK("#"&amp;ADDRESS(MATCH(A53&amp;"PT",'LM7 Non-ENG'!$A$1:$A$5000,0),1,,,"LM7 Non-ENG"),IF(IFERROR(VLOOKUP(A53&amp;"PT",'LM7 Non-ENG'!$A$1:$A$5000,1,FALSE),"ERROR")=A53&amp;"PT","Y","")),"")</f>
        <v/>
      </c>
      <c r="E53" s="12">
        <f>'CIM&amp;FMS-Detailed'!J1040</f>
        <v>79974</v>
      </c>
      <c r="F53" s="38"/>
      <c r="G53" s="11"/>
    </row>
    <row r="54" spans="1:13" ht="18" customHeight="1">
      <c r="A54" t="s">
        <v>900</v>
      </c>
      <c r="B54" s="15" t="str">
        <f>HYPERLINK("#"&amp;ADDRESS(MATCH(A54,'CIM&amp;FMS-Detailed'!$A$1:$A$4510,0),1,,,"CIM&amp;FMS-Detailed"),VLOOKUP(A54,'CIM&amp;FMS-Detailed'!A:C,3,FALSE))</f>
        <v>FMS - MOTOMAN MH5F robot with Laser Engraver</v>
      </c>
      <c r="C54" s="29" t="str">
        <f>IFERROR(HYPERLINK("#"&amp;ADDRESS(MATCH(A54&amp;"ES",'LM7 Non-ENG'!$A$1:$A$5000,0),1,,,"LM7 Non-ENG"),IF(IFERROR(VLOOKUP(A54&amp;"ES",'LM7 Non-ENG'!$A$1:$A$4999,1,FALSE),"ERROR")=A54&amp;"ES","Y","")),"")</f>
        <v/>
      </c>
      <c r="D54" s="29" t="str">
        <f>IFERROR(HYPERLINK("#"&amp;ADDRESS(MATCH(A54&amp;"PT",'LM7 Non-ENG'!$A$1:$A$5000,0),1,,,"LM7 Non-ENG"),IF(IFERROR(VLOOKUP(A54&amp;"PT",'LM7 Non-ENG'!$A$1:$A$5000,1,FALSE),"ERROR")=A54&amp;"PT","Y","")),"")</f>
        <v/>
      </c>
      <c r="E54" s="12">
        <f>'CIM&amp;FMS-Detailed'!J1073</f>
        <v>94539</v>
      </c>
      <c r="F54" s="38"/>
      <c r="G54" s="11"/>
    </row>
    <row r="55" spans="1:13" ht="18" customHeight="1">
      <c r="A55" t="s">
        <v>904</v>
      </c>
      <c r="B55" s="15" t="str">
        <f>HYPERLINK("#"&amp;ADDRESS(MATCH(A55,'CIM&amp;FMS-Detailed'!$A$1:$A$4510,0),1,,,"CIM&amp;FMS-Detailed"),VLOOKUP(A55,'CIM&amp;FMS-Detailed'!A:C,3,FALSE))</f>
        <v>FMS - MOTOMAN MH5F robot with ProMill 8000(12 tool ATC) &amp; ProTurn 9000 CNC machines</v>
      </c>
      <c r="C55" s="29" t="str">
        <f>IFERROR(HYPERLINK("#"&amp;ADDRESS(MATCH(A55&amp;"ES",'LM7 Non-ENG'!$A$1:$A$5000,0),1,,,"LM7 Non-ENG"),IF(IFERROR(VLOOKUP(A55&amp;"ES",'LM7 Non-ENG'!$A$1:$A$4999,1,FALSE),"ERROR")=A55&amp;"ES","Y","")),"")</f>
        <v/>
      </c>
      <c r="D55" s="29" t="str">
        <f>IFERROR(HYPERLINK("#"&amp;ADDRESS(MATCH(A55&amp;"PT",'LM7 Non-ENG'!$A$1:$A$5000,0),1,,,"LM7 Non-ENG"),IF(IFERROR(VLOOKUP(A55&amp;"PT",'LM7 Non-ENG'!$A$1:$A$5000,1,FALSE),"ERROR")=A55&amp;"PT","Y","")),"")</f>
        <v/>
      </c>
      <c r="E55" s="12">
        <f>'CIM&amp;FMS-Detailed'!J1086</f>
        <v>127563</v>
      </c>
      <c r="F55" s="38"/>
      <c r="G55" s="11"/>
    </row>
    <row r="56" spans="1:13" ht="18" customHeight="1">
      <c r="A56" t="s">
        <v>906</v>
      </c>
      <c r="B56" s="15" t="str">
        <f>HYPERLINK("#"&amp;ADDRESS(MATCH(A56,'CIM&amp;FMS-Detailed'!$A$1:$A$4510,0),1,,,"CIM&amp;FMS-Detailed"),VLOOKUP(A56,'CIM&amp;FMS-Detailed'!A:C,3,FALSE))</f>
        <v>FMS - MOTOMAN MH5F robot with ProMill 8000 (12 tool ATC) CNC machine</v>
      </c>
      <c r="C56" s="29" t="str">
        <f>IFERROR(HYPERLINK("#"&amp;ADDRESS(MATCH(A56&amp;"ES",'LM7 Non-ENG'!$A$1:$A$5000,0),1,,,"LM7 Non-ENG"),IF(IFERROR(VLOOKUP(A56&amp;"ES",'LM7 Non-ENG'!$A$1:$A$4999,1,FALSE),"ERROR")=A56&amp;"ES","Y","")),"")</f>
        <v/>
      </c>
      <c r="D56" s="29" t="str">
        <f>IFERROR(HYPERLINK("#"&amp;ADDRESS(MATCH(A56&amp;"PT",'LM7 Non-ENG'!$A$1:$A$5000,0),1,,,"LM7 Non-ENG"),IF(IFERROR(VLOOKUP(A56&amp;"PT",'LM7 Non-ENG'!$A$1:$A$5000,1,FALSE),"ERROR")=A56&amp;"PT","Y","")),"")</f>
        <v/>
      </c>
      <c r="E56" s="12">
        <f>'CIM&amp;FMS-Detailed'!J1141</f>
        <v>83871</v>
      </c>
      <c r="F56" s="38"/>
      <c r="G56" s="11"/>
    </row>
    <row r="57" spans="1:13" ht="18" customHeight="1">
      <c r="A57" t="s">
        <v>908</v>
      </c>
      <c r="B57" s="15" t="str">
        <f>HYPERLINK("#"&amp;ADDRESS(MATCH(A57,'CIM&amp;FMS-Detailed'!$A$1:$A$4510,0),1,,,"CIM&amp;FMS-Detailed"),VLOOKUP(A57,'CIM&amp;FMS-Detailed'!A:C,3,FALSE))</f>
        <v>FMS - MOTOMAN MH5F robot with ProTurn 9000 CNC machine</v>
      </c>
      <c r="C57" s="29" t="str">
        <f>IFERROR(HYPERLINK("#"&amp;ADDRESS(MATCH(A57&amp;"ES",'LM7 Non-ENG'!$A$1:$A$5000,0),1,,,"LM7 Non-ENG"),IF(IFERROR(VLOOKUP(A57&amp;"ES",'LM7 Non-ENG'!$A$1:$A$4999,1,FALSE),"ERROR")=A57&amp;"ES","Y","")),"")</f>
        <v/>
      </c>
      <c r="D57" s="29" t="str">
        <f>IFERROR(HYPERLINK("#"&amp;ADDRESS(MATCH(A57&amp;"PT",'LM7 Non-ENG'!$A$1:$A$5000,0),1,,,"LM7 Non-ENG"),IF(IFERROR(VLOOKUP(A57&amp;"PT",'LM7 Non-ENG'!$A$1:$A$5000,1,FALSE),"ERROR")=A57&amp;"PT","Y","")),"")</f>
        <v/>
      </c>
      <c r="E57" s="12">
        <f>'CIM&amp;FMS-Detailed'!J1174</f>
        <v>87427</v>
      </c>
      <c r="F57" s="38"/>
      <c r="G57" s="11"/>
    </row>
    <row r="58" spans="1:13" ht="18" customHeight="1">
      <c r="A58" s="65" t="s">
        <v>910</v>
      </c>
      <c r="B58" s="65"/>
      <c r="C58" s="65"/>
      <c r="D58" s="65"/>
      <c r="E58" s="65"/>
      <c r="F58" s="65"/>
      <c r="G58" s="65"/>
      <c r="H58" s="65"/>
      <c r="I58" s="65"/>
      <c r="J58" s="65"/>
      <c r="K58" s="65"/>
      <c r="L58" s="65"/>
      <c r="M58" s="65"/>
    </row>
    <row r="59" spans="1:13" ht="18" customHeight="1">
      <c r="A59" t="s">
        <v>911</v>
      </c>
      <c r="B59" s="15" t="str">
        <f>HYPERLINK("#"&amp;ADDRESS(MATCH(A59,'CIM&amp;FMS-Detailed'!$A$1:$A$4510,0),1,,,"CIM&amp;FMS-Detailed"),VLOOKUP(A59,'CIM&amp;FMS-Detailed'!A:C,3,FALSE))</f>
        <v>Assembly Station with Scora-ER14 Scara robot (Ballgame)</v>
      </c>
      <c r="C59" s="29" t="str">
        <f>IFERROR(HYPERLINK("#"&amp;ADDRESS(MATCH(A59&amp;"ES",'LM7 Non-ENG'!$A$1:$A$5000,0),1,,,"LM7 Non-ENG"),IF(IFERROR(VLOOKUP(A59&amp;"ES",'LM7 Non-ENG'!$A$1:$A$4999,1,FALSE),"ERROR")=A59&amp;"ES","Y","")),"")</f>
        <v/>
      </c>
      <c r="D59" s="29" t="str">
        <f>IFERROR(HYPERLINK("#"&amp;ADDRESS(MATCH(A59&amp;"PT",'LM7 Non-ENG'!$A$1:$A$5000,0),1,,,"LM7 Non-ENG"),IF(IFERROR(VLOOKUP(A59&amp;"PT",'LM7 Non-ENG'!$A$1:$A$5000,1,FALSE),"ERROR")=A59&amp;"PT","Y","")),"")</f>
        <v/>
      </c>
      <c r="E59" s="12">
        <f>'CIM&amp;FMS-Detailed'!J1207</f>
        <v>46027</v>
      </c>
      <c r="F59" s="38"/>
      <c r="G59" s="11"/>
    </row>
    <row r="60" spans="1:13" ht="18" customHeight="1">
      <c r="A60" t="s">
        <v>929</v>
      </c>
      <c r="B60" s="15" t="str">
        <f>HYPERLINK("#"&amp;ADDRESS(MATCH(A60,'CIM&amp;FMS-Detailed'!$A$1:$A$4510,0),1,,,"CIM&amp;FMS-Detailed"),VLOOKUP(A60,'CIM&amp;FMS-Detailed'!A:C,3,FALSE))</f>
        <v>Assembly Station - with Scora-ER14 Scara Robot (Ballgame &amp; Glueing Machine)</v>
      </c>
      <c r="C60" s="29" t="str">
        <f>IFERROR(HYPERLINK("#"&amp;ADDRESS(MATCH(A60&amp;"ES",'LM7 Non-ENG'!$A$1:$A$5000,0),1,,,"LM7 Non-ENG"),IF(IFERROR(VLOOKUP(A60&amp;"ES",'LM7 Non-ENG'!$A$1:$A$4999,1,FALSE),"ERROR")=A60&amp;"ES","Y","")),"")</f>
        <v/>
      </c>
      <c r="D60" s="29" t="str">
        <f>IFERROR(HYPERLINK("#"&amp;ADDRESS(MATCH(A60&amp;"PT",'LM7 Non-ENG'!$A$1:$A$5000,0),1,,,"LM7 Non-ENG"),IF(IFERROR(VLOOKUP(A60&amp;"PT",'LM7 Non-ENG'!$A$1:$A$5000,1,FALSE),"ERROR")=A60&amp;"PT","Y","")),"")</f>
        <v/>
      </c>
      <c r="E60" s="12">
        <f>'CIM&amp;FMS-Detailed'!J1225</f>
        <v>52362</v>
      </c>
      <c r="F60" s="38"/>
      <c r="G60" s="11"/>
    </row>
    <row r="61" spans="1:13" ht="18" customHeight="1">
      <c r="A61" t="s">
        <v>933</v>
      </c>
      <c r="B61" s="15" t="str">
        <f>HYPERLINK("#"&amp;ADDRESS(MATCH(A61,'CIM&amp;FMS-Detailed'!$A$1:$A$4510,0),1,,,"CIM&amp;FMS-Detailed"),VLOOKUP(A61,'CIM&amp;FMS-Detailed'!A:C,3,FALSE))</f>
        <v>Assembly Station - with Scora-ER14 Robot (Ballgame &amp; Automatic Screwdriver)</v>
      </c>
      <c r="C61" s="29" t="str">
        <f>IFERROR(HYPERLINK("#"&amp;ADDRESS(MATCH(A61&amp;"ES",'LM7 Non-ENG'!$A$1:$A$5000,0),1,,,"LM7 Non-ENG"),IF(IFERROR(VLOOKUP(A61&amp;"ES",'LM7 Non-ENG'!$A$1:$A$4999,1,FALSE),"ERROR")=A61&amp;"ES","Y","")),"")</f>
        <v/>
      </c>
      <c r="D61" s="29" t="str">
        <f>IFERROR(HYPERLINK("#"&amp;ADDRESS(MATCH(A61&amp;"PT",'LM7 Non-ENG'!$A$1:$A$5000,0),1,,,"LM7 Non-ENG"),IF(IFERROR(VLOOKUP(A61&amp;"PT",'LM7 Non-ENG'!$A$1:$A$5000,1,FALSE),"ERROR")=A61&amp;"PT","Y","")),"")</f>
        <v/>
      </c>
      <c r="E61" s="12">
        <f>'CIM&amp;FMS-Detailed'!J1244</f>
        <v>85303</v>
      </c>
      <c r="F61" s="38"/>
      <c r="G61" s="11"/>
    </row>
    <row r="62" spans="1:13" ht="18" customHeight="1">
      <c r="A62" t="s">
        <v>939</v>
      </c>
      <c r="B62" s="15" t="str">
        <f>HYPERLINK("#"&amp;ADDRESS(MATCH(A62,'CIM&amp;FMS-Detailed'!$A$1:$A$4510,0),1,,,"CIM&amp;FMS-Detailed"),VLOOKUP(A62,'CIM&amp;FMS-Detailed'!A:C,3,FALSE))</f>
        <v>Assembly Station - Scorbot-ER4U Robot (Basic Assembly)</v>
      </c>
      <c r="C62" s="29" t="str">
        <f>IFERROR(HYPERLINK("#"&amp;ADDRESS(MATCH(A62&amp;"ES",'LM7 Non-ENG'!$A$1:$A$5000,0),1,,,"LM7 Non-ENG"),IF(IFERROR(VLOOKUP(A62&amp;"ES",'LM7 Non-ENG'!$A$1:$A$4999,1,FALSE),"ERROR")=A62&amp;"ES","Y","")),"")</f>
        <v/>
      </c>
      <c r="D62" s="29" t="str">
        <f>IFERROR(HYPERLINK("#"&amp;ADDRESS(MATCH(A62&amp;"PT",'LM7 Non-ENG'!$A$1:$A$5000,0),1,,,"LM7 Non-ENG"),IF(IFERROR(VLOOKUP(A62&amp;"PT",'LM7 Non-ENG'!$A$1:$A$5000,1,FALSE),"ERROR")=A62&amp;"PT","Y","")),"")</f>
        <v/>
      </c>
      <c r="E62" s="12">
        <f>'CIM&amp;FMS-Detailed'!J1263</f>
        <v>21037</v>
      </c>
      <c r="F62" s="38"/>
      <c r="G62" s="11"/>
    </row>
    <row r="63" spans="1:13" ht="18" customHeight="1">
      <c r="A63" t="s">
        <v>945</v>
      </c>
      <c r="B63" s="15" t="str">
        <f>HYPERLINK("#"&amp;ADDRESS(MATCH(A63,'CIM&amp;FMS-Detailed'!$A$1:$A$4510,0),1,,,"CIM&amp;FMS-Detailed"),VLOOKUP(A63,'CIM&amp;FMS-Detailed'!A:C,3,FALSE))</f>
        <v>Assembly Station - Scorbot-ER9Pro Robot (Ballgame)</v>
      </c>
      <c r="C63" s="29" t="str">
        <f>IFERROR(HYPERLINK("#"&amp;ADDRESS(MATCH(A63&amp;"ES",'LM7 Non-ENG'!$A$1:$A$5000,0),1,,,"LM7 Non-ENG"),IF(IFERROR(VLOOKUP(A63&amp;"ES",'LM7 Non-ENG'!$A$1:$A$4999,1,FALSE),"ERROR")=A63&amp;"ES","Y","")),"")</f>
        <v/>
      </c>
      <c r="D63" s="29" t="str">
        <f>IFERROR(HYPERLINK("#"&amp;ADDRESS(MATCH(A63&amp;"PT",'LM7 Non-ENG'!$A$1:$A$5000,0),1,,,"LM7 Non-ENG"),IF(IFERROR(VLOOKUP(A63&amp;"PT",'LM7 Non-ENG'!$A$1:$A$5000,1,FALSE),"ERROR")=A63&amp;"PT","Y","")),"")</f>
        <v/>
      </c>
      <c r="E63" s="12">
        <f>'CIM&amp;FMS-Detailed'!J1277</f>
        <v>42224</v>
      </c>
      <c r="F63" s="38"/>
      <c r="G63" s="11"/>
    </row>
    <row r="64" spans="1:13" ht="18" customHeight="1">
      <c r="A64" t="s">
        <v>947</v>
      </c>
      <c r="B64" s="15" t="str">
        <f>HYPERLINK("#"&amp;ADDRESS(MATCH(A64,'CIM&amp;FMS-Detailed'!$A$1:$A$4510,0),1,,,"CIM&amp;FMS-Detailed"),VLOOKUP(A64,'CIM&amp;FMS-Detailed'!A:C,3,FALSE))</f>
        <v>Assembly - Scorbot-ER9Pro Robot (Ballgame &amp; Automatic Screwdriver)</v>
      </c>
      <c r="C64" s="29" t="str">
        <f>IFERROR(HYPERLINK("#"&amp;ADDRESS(MATCH(A64&amp;"ES",'LM7 Non-ENG'!$A$1:$A$5000,0),1,,,"LM7 Non-ENG"),IF(IFERROR(VLOOKUP(A64&amp;"ES",'LM7 Non-ENG'!$A$1:$A$4999,1,FALSE),"ERROR")=A64&amp;"ES","Y","")),"")</f>
        <v/>
      </c>
      <c r="D64" s="29" t="str">
        <f>IFERROR(HYPERLINK("#"&amp;ADDRESS(MATCH(A64&amp;"PT",'LM7 Non-ENG'!$A$1:$A$5000,0),1,,,"LM7 Non-ENG"),IF(IFERROR(VLOOKUP(A64&amp;"PT",'LM7 Non-ENG'!$A$1:$A$5000,1,FALSE),"ERROR")=A64&amp;"PT","Y","")),"")</f>
        <v/>
      </c>
      <c r="E64" s="12">
        <f>'CIM&amp;FMS-Detailed'!J1295</f>
        <v>80565</v>
      </c>
      <c r="F64" s="38"/>
      <c r="G64" s="11"/>
    </row>
    <row r="65" spans="1:13" ht="18" customHeight="1">
      <c r="A65" t="s">
        <v>949</v>
      </c>
      <c r="B65" s="15" t="str">
        <f>HYPERLINK("#"&amp;ADDRESS(MATCH(A65,'CIM&amp;FMS-Detailed'!$A$1:$A$4510,0),1,,,"CIM&amp;FMS-Detailed"),VLOOKUP(A65,'CIM&amp;FMS-Detailed'!A:C,3,FALSE))</f>
        <v>Assembly Robot ER9 (Gear Assembly)</v>
      </c>
      <c r="C65" s="29" t="str">
        <f>IFERROR(HYPERLINK("#"&amp;ADDRESS(MATCH(A65&amp;"ES",'LM7 Non-ENG'!$A$1:$A$5000,0),1,,,"LM7 Non-ENG"),IF(IFERROR(VLOOKUP(A65&amp;"ES",'LM7 Non-ENG'!$A$1:$A$4999,1,FALSE),"ERROR")=A65&amp;"ES","Y","")),"")</f>
        <v/>
      </c>
      <c r="D65" s="29" t="str">
        <f>IFERROR(HYPERLINK("#"&amp;ADDRESS(MATCH(A65&amp;"PT",'LM7 Non-ENG'!$A$1:$A$5000,0),1,,,"LM7 Non-ENG"),IF(IFERROR(VLOOKUP(A65&amp;"PT",'LM7 Non-ENG'!$A$1:$A$5000,1,FALSE),"ERROR")=A65&amp;"PT","Y","")),"")</f>
        <v/>
      </c>
      <c r="E65" s="12">
        <f>'CIM&amp;FMS-Detailed'!J1314</f>
        <v>38654</v>
      </c>
      <c r="F65" s="38"/>
      <c r="G65" s="11"/>
    </row>
    <row r="66" spans="1:13" ht="18" customHeight="1">
      <c r="A66" t="s">
        <v>955</v>
      </c>
      <c r="B66" s="15" t="str">
        <f>HYPERLINK("#"&amp;ADDRESS(MATCH(A66,'CIM&amp;FMS-Detailed'!$A$1:$A$4510,0),1,,,"CIM&amp;FMS-Detailed"),VLOOKUP(A66,'CIM&amp;FMS-Detailed'!A:C,3,FALSE))</f>
        <v>Assembly Station - for Industrial Robot (Ballgame)</v>
      </c>
      <c r="C66" s="29" t="str">
        <f>IFERROR(HYPERLINK("#"&amp;ADDRESS(MATCH(A66&amp;"ES",'LM7 Non-ENG'!$A$1:$A$5000,0),1,,,"LM7 Non-ENG"),IF(IFERROR(VLOOKUP(A66&amp;"ES",'LM7 Non-ENG'!$A$1:$A$4999,1,FALSE),"ERROR")=A66&amp;"ES","Y","")),"")</f>
        <v/>
      </c>
      <c r="D66" s="29" t="str">
        <f>IFERROR(HYPERLINK("#"&amp;ADDRESS(MATCH(A66&amp;"PT",'LM7 Non-ENG'!$A$1:$A$5000,0),1,,,"LM7 Non-ENG"),IF(IFERROR(VLOOKUP(A66&amp;"PT",'LM7 Non-ENG'!$A$1:$A$5000,1,FALSE),"ERROR")=A66&amp;"PT","Y","")),"")</f>
        <v/>
      </c>
      <c r="E66" s="12">
        <f>'CIM&amp;FMS-Detailed'!J1332</f>
        <v>24484</v>
      </c>
      <c r="F66" s="38"/>
      <c r="G66" s="11"/>
    </row>
    <row r="67" spans="1:13" ht="18" customHeight="1">
      <c r="A67" t="s">
        <v>957</v>
      </c>
      <c r="B67" s="15" t="str">
        <f>HYPERLINK("#"&amp;ADDRESS(MATCH(A67,'CIM&amp;FMS-Detailed'!$A$1:$A$4510,0),1,,,"CIM&amp;FMS-Detailed"),VLOOKUP(A67,'CIM&amp;FMS-Detailed'!A:C,3,FALSE))</f>
        <v>Assembly Station - for Industrial Robot (Ballgame and Glue)</v>
      </c>
      <c r="C67" s="29" t="str">
        <f>IFERROR(HYPERLINK("#"&amp;ADDRESS(MATCH(A67&amp;"ES",'LM7 Non-ENG'!$A$1:$A$5000,0),1,,,"LM7 Non-ENG"),IF(IFERROR(VLOOKUP(A67&amp;"ES",'LM7 Non-ENG'!$A$1:$A$4999,1,FALSE),"ERROR")=A67&amp;"ES","Y","")),"")</f>
        <v/>
      </c>
      <c r="D67" s="29" t="str">
        <f>IFERROR(HYPERLINK("#"&amp;ADDRESS(MATCH(A67&amp;"PT",'LM7 Non-ENG'!$A$1:$A$5000,0),1,,,"LM7 Non-ENG"),IF(IFERROR(VLOOKUP(A67&amp;"PT",'LM7 Non-ENG'!$A$1:$A$5000,1,FALSE),"ERROR")=A67&amp;"PT","Y","")),"")</f>
        <v/>
      </c>
      <c r="E67" s="12">
        <f>'CIM&amp;FMS-Detailed'!J1347</f>
        <v>30047</v>
      </c>
      <c r="F67" s="38"/>
      <c r="G67" s="11"/>
    </row>
    <row r="68" spans="1:13" ht="18" customHeight="1">
      <c r="A68" t="s">
        <v>960</v>
      </c>
      <c r="B68" s="15" t="str">
        <f>HYPERLINK("#"&amp;ADDRESS(MATCH(A68,'CIM&amp;FMS-Detailed'!$A$1:$A$4510,0),1,,,"CIM&amp;FMS-Detailed"),VLOOKUP(A68,'CIM&amp;FMS-Detailed'!A:C,3,FALSE))</f>
        <v>Assembly FOR KUKA KR5 SCARA (Ballgame)</v>
      </c>
      <c r="C68" s="29" t="str">
        <f>IFERROR(HYPERLINK("#"&amp;ADDRESS(MATCH(A68&amp;"ES",'LM7 Non-ENG'!$A$1:$A$5000,0),1,,,"LM7 Non-ENG"),IF(IFERROR(VLOOKUP(A68&amp;"ES",'LM7 Non-ENG'!$A$1:$A$4999,1,FALSE),"ERROR")=A68&amp;"ES","Y","")),"")</f>
        <v/>
      </c>
      <c r="D68" s="29" t="str">
        <f>IFERROR(HYPERLINK("#"&amp;ADDRESS(MATCH(A68&amp;"PT",'LM7 Non-ENG'!$A$1:$A$5000,0),1,,,"LM7 Non-ENG"),IF(IFERROR(VLOOKUP(A68&amp;"PT",'LM7 Non-ENG'!$A$1:$A$5000,1,FALSE),"ERROR")=A68&amp;"PT","Y","")),"")</f>
        <v/>
      </c>
      <c r="E68" s="12">
        <f>'CIM&amp;FMS-Detailed'!J1363</f>
        <v>24484</v>
      </c>
      <c r="F68" s="38"/>
      <c r="G68" s="11"/>
    </row>
    <row r="69" spans="1:13" ht="18" customHeight="1">
      <c r="A69" t="s">
        <v>963</v>
      </c>
      <c r="B69" s="15" t="str">
        <f>HYPERLINK("#"&amp;ADDRESS(MATCH(A69,'CIM&amp;FMS-Detailed'!$A$1:$A$4510,0),1,,,"CIM&amp;FMS-Detailed"),VLOOKUP(A69,'CIM&amp;FMS-Detailed'!A:C,3,FALSE))</f>
        <v>Assembly Manual on mobile Table (Ballgame)</v>
      </c>
      <c r="C69" s="29" t="str">
        <f>IFERROR(HYPERLINK("#"&amp;ADDRESS(MATCH(A69&amp;"ES",'LM7 Non-ENG'!$A$1:$A$5000,0),1,,,"LM7 Non-ENG"),IF(IFERROR(VLOOKUP(A69&amp;"ES",'LM7 Non-ENG'!$A$1:$A$4999,1,FALSE),"ERROR")=A69&amp;"ES","Y","")),"")</f>
        <v/>
      </c>
      <c r="D69" s="29" t="str">
        <f>IFERROR(HYPERLINK("#"&amp;ADDRESS(MATCH(A69&amp;"PT",'LM7 Non-ENG'!$A$1:$A$5000,0),1,,,"LM7 Non-ENG"),IF(IFERROR(VLOOKUP(A69&amp;"PT",'LM7 Non-ENG'!$A$1:$A$5000,1,FALSE),"ERROR")=A69&amp;"PT","Y","")),"")</f>
        <v/>
      </c>
      <c r="E69" s="12">
        <f>'CIM&amp;FMS-Detailed'!J1378</f>
        <v>12564</v>
      </c>
      <c r="F69" s="38"/>
      <c r="G69" s="11"/>
    </row>
    <row r="70" spans="1:13" ht="18" customHeight="1">
      <c r="A70" t="s">
        <v>965</v>
      </c>
      <c r="B70" s="15" t="str">
        <f>HYPERLINK("#"&amp;ADDRESS(MATCH(A70,'CIM&amp;FMS-Detailed'!$A$1:$A$4510,0),1,,,"CIM&amp;FMS-Detailed"),VLOOKUP(A70,'CIM&amp;FMS-Detailed'!A:C,3,FALSE))</f>
        <v>Assembly for MOTOMAN MH5F (Ballgame)</v>
      </c>
      <c r="C70" s="29" t="str">
        <f>IFERROR(HYPERLINK("#"&amp;ADDRESS(MATCH(A70&amp;"ES",'LM7 Non-ENG'!$A$1:$A$5000,0),1,,,"LM7 Non-ENG"),IF(IFERROR(VLOOKUP(A70&amp;"ES",'LM7 Non-ENG'!$A$1:$A$4999,1,FALSE),"ERROR")=A70&amp;"ES","Y","")),"")</f>
        <v/>
      </c>
      <c r="D70" s="29" t="str">
        <f>IFERROR(HYPERLINK("#"&amp;ADDRESS(MATCH(A70&amp;"PT",'LM7 Non-ENG'!$A$1:$A$5000,0),1,,,"LM7 Non-ENG"),IF(IFERROR(VLOOKUP(A70&amp;"PT",'LM7 Non-ENG'!$A$1:$A$5000,1,FALSE),"ERROR")=A70&amp;"PT","Y","")),"")</f>
        <v/>
      </c>
      <c r="E70" s="12">
        <f>'CIM&amp;FMS-Detailed'!J1390</f>
        <v>52764</v>
      </c>
      <c r="F70" s="38"/>
      <c r="G70" s="11"/>
    </row>
    <row r="71" spans="1:13" ht="18" customHeight="1">
      <c r="A71" t="s">
        <v>968</v>
      </c>
      <c r="B71" s="15" t="str">
        <f>HYPERLINK("#"&amp;ADDRESS(MATCH(A71,'CIM&amp;FMS-Detailed'!$A$1:$A$4510,0),1,,,"CIM&amp;FMS-Detailed"),VLOOKUP(A71,'CIM&amp;FMS-Detailed'!A:C,3,FALSE))</f>
        <v>Assembly for MOTOMAN MH5F (Ballgame &amp; Glue)</v>
      </c>
      <c r="C71" s="29" t="str">
        <f>IFERROR(HYPERLINK("#"&amp;ADDRESS(MATCH(A71&amp;"ES",'LM7 Non-ENG'!$A$1:$A$5000,0),1,,,"LM7 Non-ENG"),IF(IFERROR(VLOOKUP(A71&amp;"ES",'LM7 Non-ENG'!$A$1:$A$4999,1,FALSE),"ERROR")=A71&amp;"ES","Y","")),"")</f>
        <v/>
      </c>
      <c r="D71" s="29" t="str">
        <f>IFERROR(HYPERLINK("#"&amp;ADDRESS(MATCH(A71&amp;"PT",'LM7 Non-ENG'!$A$1:$A$5000,0),1,,,"LM7 Non-ENG"),IF(IFERROR(VLOOKUP(A71&amp;"PT",'LM7 Non-ENG'!$A$1:$A$5000,1,FALSE),"ERROR")=A71&amp;"PT","Y","")),"")</f>
        <v/>
      </c>
      <c r="E71" s="12">
        <f>'CIM&amp;FMS-Detailed'!J1405</f>
        <v>59099</v>
      </c>
      <c r="F71" s="38"/>
      <c r="G71" s="11"/>
    </row>
    <row r="72" spans="1:13" ht="18" customHeight="1">
      <c r="A72" t="s">
        <v>970</v>
      </c>
      <c r="B72" s="15" t="str">
        <f>HYPERLINK("#"&amp;ADDRESS(MATCH(A72,'CIM&amp;FMS-Detailed'!$A$1:$A$4510,0),1,,,"CIM&amp;FMS-Detailed"),VLOOKUP(A72,'CIM&amp;FMS-Detailed'!A:C,3,FALSE))</f>
        <v>Assembly for MOTOMAN MH5F (Gear Assembly)</v>
      </c>
      <c r="C72" s="29" t="str">
        <f>IFERROR(HYPERLINK("#"&amp;ADDRESS(MATCH(A72&amp;"ES",'LM7 Non-ENG'!$A$1:$A$5000,0),1,,,"LM7 Non-ENG"),IF(IFERROR(VLOOKUP(A72&amp;"ES",'LM7 Non-ENG'!$A$1:$A$4999,1,FALSE),"ERROR")=A72&amp;"ES","Y","")),"")</f>
        <v/>
      </c>
      <c r="D72" s="29" t="str">
        <f>IFERROR(HYPERLINK("#"&amp;ADDRESS(MATCH(A72&amp;"PT",'LM7 Non-ENG'!$A$1:$A$5000,0),1,,,"LM7 Non-ENG"),IF(IFERROR(VLOOKUP(A72&amp;"PT",'LM7 Non-ENG'!$A$1:$A$5000,1,FALSE),"ERROR")=A72&amp;"PT","Y","")),"")</f>
        <v/>
      </c>
      <c r="E72" s="12">
        <f>'CIM&amp;FMS-Detailed'!J1421</f>
        <v>49482</v>
      </c>
      <c r="F72" s="38"/>
      <c r="G72" s="11"/>
    </row>
    <row r="73" spans="1:13" ht="18" customHeight="1">
      <c r="A73" s="65" t="s">
        <v>975</v>
      </c>
      <c r="B73" s="65"/>
      <c r="C73" s="65"/>
      <c r="D73" s="65"/>
      <c r="E73" s="65"/>
      <c r="F73" s="65"/>
      <c r="G73" s="65"/>
      <c r="H73" s="65"/>
      <c r="I73" s="65"/>
      <c r="J73" s="65"/>
      <c r="K73" s="65"/>
      <c r="L73" s="65"/>
      <c r="M73" s="65"/>
    </row>
    <row r="74" spans="1:13" ht="18" customHeight="1">
      <c r="A74" t="s">
        <v>973</v>
      </c>
      <c r="B74" s="15" t="str">
        <f>HYPERLINK("#"&amp;ADDRESS(MATCH(A74,'CIM&amp;FMS-Detailed'!$A$1:$A$4510,0),1,,,"CIM&amp;FMS-Detailed"),VLOOKUP(A74,'CIM&amp;FMS-Detailed'!A:C,3,FALSE))</f>
        <v>Assembly &amp; QC Robot ER14 (Ballgame &amp; Vision)</v>
      </c>
      <c r="C74" s="29" t="str">
        <f>IFERROR(HYPERLINK("#"&amp;ADDRESS(MATCH(A74&amp;"ES",'LM7 Non-ENG'!$A$1:$A$5000,0),1,,,"LM7 Non-ENG"),IF(IFERROR(VLOOKUP(A74&amp;"ES",'LM7 Non-ENG'!$A$1:$A$4999,1,FALSE),"ERROR")=A74&amp;"ES","Y","")),"")</f>
        <v/>
      </c>
      <c r="D74" s="29" t="str">
        <f>IFERROR(HYPERLINK("#"&amp;ADDRESS(MATCH(A74&amp;"PT",'LM7 Non-ENG'!$A$1:$A$5000,0),1,,,"LM7 Non-ENG"),IF(IFERROR(VLOOKUP(A74&amp;"PT",'LM7 Non-ENG'!$A$1:$A$5000,1,FALSE),"ERROR")=A74&amp;"PT","Y","")),"")</f>
        <v/>
      </c>
      <c r="E74" s="12">
        <f>'CIM&amp;FMS-Detailed'!J1436</f>
        <v>52994</v>
      </c>
      <c r="F74" s="38"/>
      <c r="G74" s="11"/>
    </row>
    <row r="75" spans="1:13" ht="18" customHeight="1">
      <c r="A75" t="s">
        <v>980</v>
      </c>
      <c r="B75" s="15" t="str">
        <f>HYPERLINK("#"&amp;ADDRESS(MATCH(A75,'CIM&amp;FMS-Detailed'!$A$1:$A$4510,0),1,,,"CIM&amp;FMS-Detailed"),VLOOKUP(A75,'CIM&amp;FMS-Detailed'!A:C,3,FALSE))</f>
        <v>Assembly&amp;QC Robot ER14 (Ballgame &amp; Vision &amp; Caliper)</v>
      </c>
      <c r="C75" s="29" t="str">
        <f>IFERROR(HYPERLINK("#"&amp;ADDRESS(MATCH(A75&amp;"ES",'LM7 Non-ENG'!$A$1:$A$5000,0),1,,,"LM7 Non-ENG"),IF(IFERROR(VLOOKUP(A75&amp;"ES",'LM7 Non-ENG'!$A$1:$A$4999,1,FALSE),"ERROR")=A75&amp;"ES","Y","")),"")</f>
        <v/>
      </c>
      <c r="D75" s="29" t="str">
        <f>IFERROR(HYPERLINK("#"&amp;ADDRESS(MATCH(A75&amp;"PT",'LM7 Non-ENG'!$A$1:$A$5000,0),1,,,"LM7 Non-ENG"),IF(IFERROR(VLOOKUP(A75&amp;"PT",'LM7 Non-ENG'!$A$1:$A$5000,1,FALSE),"ERROR")=A75&amp;"PT","Y","")),"")</f>
        <v/>
      </c>
      <c r="E75" s="12">
        <f>'CIM&amp;FMS-Detailed'!J1459</f>
        <v>56134</v>
      </c>
      <c r="F75" s="38"/>
      <c r="G75" s="11"/>
    </row>
    <row r="76" spans="1:13" ht="18" customHeight="1">
      <c r="A76" t="s">
        <v>984</v>
      </c>
      <c r="B76" s="15" t="str">
        <f>HYPERLINK("#"&amp;ADDRESS(MATCH(A76,'CIM&amp;FMS-Detailed'!$A$1:$A$4510,0),1,,,"CIM&amp;FMS-Detailed"),VLOOKUP(A76,'CIM&amp;FMS-Detailed'!A:C,3,FALSE))</f>
        <v>Assembly&amp;QC Robot ER14 (Ballgame &amp; Vision &amp; LSM)</v>
      </c>
      <c r="C76" s="29" t="str">
        <f>IFERROR(HYPERLINK("#"&amp;ADDRESS(MATCH(A76&amp;"ES",'LM7 Non-ENG'!$A$1:$A$5000,0),1,,,"LM7 Non-ENG"),IF(IFERROR(VLOOKUP(A76&amp;"ES",'LM7 Non-ENG'!$A$1:$A$4999,1,FALSE),"ERROR")=A76&amp;"ES","Y","")),"")</f>
        <v/>
      </c>
      <c r="D76" s="29" t="str">
        <f>IFERROR(HYPERLINK("#"&amp;ADDRESS(MATCH(A76&amp;"PT",'LM7 Non-ENG'!$A$1:$A$5000,0),1,,,"LM7 Non-ENG"),IF(IFERROR(VLOOKUP(A76&amp;"PT",'LM7 Non-ENG'!$A$1:$A$5000,1,FALSE),"ERROR")=A76&amp;"PT","Y","")),"")</f>
        <v/>
      </c>
      <c r="E76" s="12">
        <f>'CIM&amp;FMS-Detailed'!J1484</f>
        <v>46027</v>
      </c>
      <c r="F76" s="38"/>
      <c r="G76" s="11"/>
    </row>
    <row r="77" spans="1:13" ht="18" customHeight="1">
      <c r="A77" t="s">
        <v>986</v>
      </c>
      <c r="B77" s="15" t="str">
        <f>HYPERLINK("#"&amp;ADDRESS(MATCH(A77,'CIM&amp;FMS-Detailed'!$A$1:$A$4510,0),1,,,"CIM&amp;FMS-Detailed"),VLOOKUP(A77,'CIM&amp;FMS-Detailed'!A:C,3,FALSE))</f>
        <v>Assembly&amp;QC Robot ER14 (Ballgame &amp; Glue &amp; Vision)</v>
      </c>
      <c r="C77" s="29" t="str">
        <f>IFERROR(HYPERLINK("#"&amp;ADDRESS(MATCH(A77&amp;"ES",'LM7 Non-ENG'!$A$1:$A$5000,0),1,,,"LM7 Non-ENG"),IF(IFERROR(VLOOKUP(A77&amp;"ES",'LM7 Non-ENG'!$A$1:$A$4999,1,FALSE),"ERROR")=A77&amp;"ES","Y","")),"")</f>
        <v/>
      </c>
      <c r="D77" s="29" t="str">
        <f>IFERROR(HYPERLINK("#"&amp;ADDRESS(MATCH(A77&amp;"PT",'LM7 Non-ENG'!$A$1:$A$5000,0),1,,,"LM7 Non-ENG"),IF(IFERROR(VLOOKUP(A77&amp;"PT",'LM7 Non-ENG'!$A$1:$A$5000,1,FALSE),"ERROR")=A77&amp;"PT","Y","")),"")</f>
        <v/>
      </c>
      <c r="E77" s="12">
        <f>'CIM&amp;FMS-Detailed'!J1502</f>
        <v>59329</v>
      </c>
      <c r="F77" s="38"/>
      <c r="G77" s="11"/>
    </row>
    <row r="78" spans="1:13" ht="18" customHeight="1">
      <c r="A78" t="s">
        <v>988</v>
      </c>
      <c r="B78" s="15" t="str">
        <f>HYPERLINK("#"&amp;ADDRESS(MATCH(A78,'CIM&amp;FMS-Detailed'!$A$1:$A$4510,0),1,,,"CIM&amp;FMS-Detailed"),VLOOKUP(A78,'CIM&amp;FMS-Detailed'!A:C,3,FALSE))</f>
        <v>Assembly&amp;QC Robot ER14 (Ballgame &amp; Screw &amp; Vision)</v>
      </c>
      <c r="C78" s="29" t="str">
        <f>IFERROR(HYPERLINK("#"&amp;ADDRESS(MATCH(A78&amp;"ES",'LM7 Non-ENG'!$A$1:$A$5000,0),1,,,"LM7 Non-ENG"),IF(IFERROR(VLOOKUP(A78&amp;"ES",'LM7 Non-ENG'!$A$1:$A$4999,1,FALSE),"ERROR")=A78&amp;"ES","Y","")),"")</f>
        <v/>
      </c>
      <c r="D78" s="29" t="str">
        <f>IFERROR(HYPERLINK("#"&amp;ADDRESS(MATCH(A78&amp;"PT",'LM7 Non-ENG'!$A$1:$A$5000,0),1,,,"LM7 Non-ENG"),IF(IFERROR(VLOOKUP(A78&amp;"PT",'LM7 Non-ENG'!$A$1:$A$5000,1,FALSE),"ERROR")=A78&amp;"PT","Y","")),"")</f>
        <v/>
      </c>
      <c r="E78" s="12">
        <f>'CIM&amp;FMS-Detailed'!J1526</f>
        <v>94604</v>
      </c>
      <c r="F78" s="38"/>
      <c r="G78" s="11"/>
    </row>
    <row r="79" spans="1:13" ht="18" customHeight="1">
      <c r="A79" t="s">
        <v>990</v>
      </c>
      <c r="B79" s="15" t="str">
        <f>HYPERLINK("#"&amp;ADDRESS(MATCH(A79,'CIM&amp;FMS-Detailed'!$A$1:$A$4510,0),1,,,"CIM&amp;FMS-Detailed"),VLOOKUP(A79,'CIM&amp;FMS-Detailed'!A:C,3,FALSE))</f>
        <v>Assembly &amp; QC Robot ER14 (Ballgame &amp; Glue &amp; Vision &amp; Caliper &amp; ATC)</v>
      </c>
      <c r="C79" s="29" t="str">
        <f>IFERROR(HYPERLINK("#"&amp;ADDRESS(MATCH(A79&amp;"ES",'LM7 Non-ENG'!$A$1:$A$5000,0),1,,,"LM7 Non-ENG"),IF(IFERROR(VLOOKUP(A79&amp;"ES",'LM7 Non-ENG'!$A$1:$A$4999,1,FALSE),"ERROR")=A79&amp;"ES","Y","")),"")</f>
        <v/>
      </c>
      <c r="D79" s="29" t="str">
        <f>IFERROR(HYPERLINK("#"&amp;ADDRESS(MATCH(A79&amp;"PT",'LM7 Non-ENG'!$A$1:$A$5000,0),1,,,"LM7 Non-ENG"),IF(IFERROR(VLOOKUP(A79&amp;"PT",'LM7 Non-ENG'!$A$1:$A$5000,1,FALSE),"ERROR")=A79&amp;"PT","Y","")),"")</f>
        <v/>
      </c>
      <c r="E79" s="12">
        <f>'CIM&amp;FMS-Detailed'!J1550</f>
        <v>68854</v>
      </c>
      <c r="F79" s="38"/>
      <c r="G79" s="11"/>
    </row>
    <row r="80" spans="1:13" ht="18" customHeight="1">
      <c r="A80" t="s">
        <v>994</v>
      </c>
      <c r="B80" s="15" t="str">
        <f>HYPERLINK("#"&amp;ADDRESS(MATCH(A80,'CIM&amp;FMS-Detailed'!$A$1:$A$4510,0),1,,,"CIM&amp;FMS-Detailed"),VLOOKUP(A80,'CIM&amp;FMS-Detailed'!A:C,3,FALSE))</f>
        <v>Assembly&amp;QC Robot ER14 (Ballgame &amp; Glue &amp; Vision &amp; Caliper)</v>
      </c>
      <c r="C80" s="29" t="str">
        <f>IFERROR(HYPERLINK("#"&amp;ADDRESS(MATCH(A80&amp;"ES",'LM7 Non-ENG'!$A$1:$A$5000,0),1,,,"LM7 Non-ENG"),IF(IFERROR(VLOOKUP(A80&amp;"ES",'LM7 Non-ENG'!$A$1:$A$4999,1,FALSE),"ERROR")=A80&amp;"ES","Y","")),"")</f>
        <v/>
      </c>
      <c r="D80" s="29" t="str">
        <f>IFERROR(HYPERLINK("#"&amp;ADDRESS(MATCH(A80&amp;"PT",'LM7 Non-ENG'!$A$1:$A$5000,0),1,,,"LM7 Non-ENG"),IF(IFERROR(VLOOKUP(A80&amp;"PT",'LM7 Non-ENG'!$A$1:$A$5000,1,FALSE),"ERROR")=A80&amp;"PT","Y","")),"")</f>
        <v/>
      </c>
      <c r="E80" s="12">
        <f>'CIM&amp;FMS-Detailed'!J1575</f>
        <v>61457</v>
      </c>
      <c r="F80" s="38"/>
      <c r="G80" s="11"/>
    </row>
    <row r="81" spans="1:13" ht="18" customHeight="1">
      <c r="A81" t="s">
        <v>996</v>
      </c>
      <c r="B81" s="15" t="str">
        <f>HYPERLINK("#"&amp;ADDRESS(MATCH(A81,'CIM&amp;FMS-Detailed'!$A$1:$A$4510,0),1,,,"CIM&amp;FMS-Detailed"),VLOOKUP(A81,'CIM&amp;FMS-Detailed'!A:C,3,FALSE))</f>
        <v>Assembly&amp;Quality Control ER4U (Basic Assembly &amp; ViewFlex Machine Vision System)</v>
      </c>
      <c r="C81" s="29" t="str">
        <f>IFERROR(HYPERLINK("#"&amp;ADDRESS(MATCH(A81&amp;"ES",'LM7 Non-ENG'!$A$1:$A$5000,0),1,,,"LM7 Non-ENG"),IF(IFERROR(VLOOKUP(A81&amp;"ES",'LM7 Non-ENG'!$A$1:$A$4999,1,FALSE),"ERROR")=A81&amp;"ES","Y","")),"")</f>
        <v/>
      </c>
      <c r="D81" s="29" t="str">
        <f>IFERROR(HYPERLINK("#"&amp;ADDRESS(MATCH(A81&amp;"PT",'LM7 Non-ENG'!$A$1:$A$5000,0),1,,,"LM7 Non-ENG"),IF(IFERROR(VLOOKUP(A81&amp;"PT",'LM7 Non-ENG'!$A$1:$A$5000,1,FALSE),"ERROR")=A81&amp;"PT","Y","")),"")</f>
        <v/>
      </c>
      <c r="E81" s="12">
        <f>'CIM&amp;FMS-Detailed'!J1601</f>
        <v>25252</v>
      </c>
      <c r="F81" s="38"/>
      <c r="G81" s="11"/>
    </row>
    <row r="82" spans="1:13" ht="18" customHeight="1">
      <c r="A82" t="s">
        <v>1000</v>
      </c>
      <c r="B82" s="15" t="str">
        <f>HYPERLINK("#"&amp;ADDRESS(MATCH(A82,'CIM&amp;FMS-Detailed'!$A$1:$A$4510,0),1,,,"CIM&amp;FMS-Detailed"),VLOOKUP(A82,'CIM&amp;FMS-Detailed'!A:C,3,FALSE))</f>
        <v>Assembly&amp;Quality Control ER9Pro (Ballgame &amp; ViewFlex Machine Vision System)</v>
      </c>
      <c r="C82" s="29" t="str">
        <f>IFERROR(HYPERLINK("#"&amp;ADDRESS(MATCH(A82&amp;"ES",'LM7 Non-ENG'!$A$1:$A$5000,0),1,,,"LM7 Non-ENG"),IF(IFERROR(VLOOKUP(A82&amp;"ES",'LM7 Non-ENG'!$A$1:$A$4999,1,FALSE),"ERROR")=A82&amp;"ES","Y","")),"")</f>
        <v/>
      </c>
      <c r="D82" s="29" t="str">
        <f>IFERROR(HYPERLINK("#"&amp;ADDRESS(MATCH(A82&amp;"PT",'LM7 Non-ENG'!$A$1:$A$5000,0),1,,,"LM7 Non-ENG"),IF(IFERROR(VLOOKUP(A82&amp;"PT",'LM7 Non-ENG'!$A$1:$A$5000,1,FALSE),"ERROR")=A82&amp;"PT","Y","")),"")</f>
        <v/>
      </c>
      <c r="E82" s="12">
        <f>'CIM&amp;FMS-Detailed'!J1617</f>
        <v>49191</v>
      </c>
      <c r="F82" s="38"/>
      <c r="G82" s="11"/>
    </row>
    <row r="83" spans="1:13" ht="18" customHeight="1">
      <c r="A83" t="s">
        <v>1002</v>
      </c>
      <c r="B83" s="15" t="str">
        <f>HYPERLINK("#"&amp;ADDRESS(MATCH(A83,'CIM&amp;FMS-Detailed'!$A$1:$A$4510,0),1,,,"CIM&amp;FMS-Detailed"),VLOOKUP(A83,'CIM&amp;FMS-Detailed'!A:C,3,FALSE))</f>
        <v>Assembly&amp;Quality Control ER9Pro (Ballgame &amp; Caliper)</v>
      </c>
      <c r="C83" s="29" t="str">
        <f>IFERROR(HYPERLINK("#"&amp;ADDRESS(MATCH(A83&amp;"ES",'LM7 Non-ENG'!$A$1:$A$5000,0),1,,,"LM7 Non-ENG"),IF(IFERROR(VLOOKUP(A83&amp;"ES",'LM7 Non-ENG'!$A$1:$A$4999,1,FALSE),"ERROR")=A83&amp;"ES","Y","")),"")</f>
        <v/>
      </c>
      <c r="D83" s="29" t="str">
        <f>IFERROR(HYPERLINK("#"&amp;ADDRESS(MATCH(A83&amp;"PT",'LM7 Non-ENG'!$A$1:$A$5000,0),1,,,"LM7 Non-ENG"),IF(IFERROR(VLOOKUP(A83&amp;"PT",'LM7 Non-ENG'!$A$1:$A$5000,1,FALSE),"ERROR")=A83&amp;"PT","Y","")),"")</f>
        <v/>
      </c>
      <c r="E83" s="12">
        <f>'CIM&amp;FMS-Detailed'!J1640</f>
        <v>45364</v>
      </c>
      <c r="F83" s="38"/>
      <c r="G83" s="11"/>
    </row>
    <row r="84" spans="1:13" ht="18" customHeight="1">
      <c r="A84" t="s">
        <v>1004</v>
      </c>
      <c r="B84" s="15" t="str">
        <f>HYPERLINK("#"&amp;ADDRESS(MATCH(A84,'CIM&amp;FMS-Detailed'!$A$1:$A$4510,0),1,,,"CIM&amp;FMS-Detailed"),VLOOKUP(A84,'CIM&amp;FMS-Detailed'!A:C,3,FALSE))</f>
        <v>Assembly &amp;Quality Control ER9P(Ballgame&amp;ViewFlex Machine Vision System &amp;Caliper)</v>
      </c>
      <c r="C84" s="29" t="str">
        <f>IFERROR(HYPERLINK("#"&amp;ADDRESS(MATCH(A84&amp;"ES",'LM7 Non-ENG'!$A$1:$A$5000,0),1,,,"LM7 Non-ENG"),IF(IFERROR(VLOOKUP(A84&amp;"ES",'LM7 Non-ENG'!$A$1:$A$4999,1,FALSE),"ERROR")=A84&amp;"ES","Y","")),"")</f>
        <v/>
      </c>
      <c r="D84" s="29" t="str">
        <f>IFERROR(HYPERLINK("#"&amp;ADDRESS(MATCH(A84&amp;"PT",'LM7 Non-ENG'!$A$1:$A$5000,0),1,,,"LM7 Non-ENG"),IF(IFERROR(VLOOKUP(A84&amp;"PT",'LM7 Non-ENG'!$A$1:$A$5000,1,FALSE),"ERROR")=A84&amp;"PT","Y","")),"")</f>
        <v/>
      </c>
      <c r="E84" s="12">
        <f>'CIM&amp;FMS-Detailed'!J1660</f>
        <v>52331</v>
      </c>
      <c r="F84" s="38"/>
      <c r="G84" s="11"/>
    </row>
    <row r="85" spans="1:13" ht="18" customHeight="1">
      <c r="A85" t="s">
        <v>1006</v>
      </c>
      <c r="B85" s="15" t="str">
        <f>HYPERLINK("#"&amp;ADDRESS(MATCH(A85,'CIM&amp;FMS-Detailed'!$A$1:$A$4510,0),1,,,"CIM&amp;FMS-Detailed"),VLOOKUP(A85,'CIM&amp;FMS-Detailed'!A:C,3,FALSE))</f>
        <v>Assembly&amp;Quality Control Light Industrial Robot (Ballgame &amp; Vision)</v>
      </c>
      <c r="C85" s="29" t="str">
        <f>IFERROR(HYPERLINK("#"&amp;ADDRESS(MATCH(A85&amp;"ES",'LM7 Non-ENG'!$A$1:$A$5000,0),1,,,"LM7 Non-ENG"),IF(IFERROR(VLOOKUP(A85&amp;"ES",'LM7 Non-ENG'!$A$1:$A$4999,1,FALSE),"ERROR")=A85&amp;"ES","Y","")),"")</f>
        <v/>
      </c>
      <c r="D85" s="29" t="str">
        <f>IFERROR(HYPERLINK("#"&amp;ADDRESS(MATCH(A85&amp;"PT",'LM7 Non-ENG'!$A$1:$A$5000,0),1,,,"LM7 Non-ENG"),IF(IFERROR(VLOOKUP(A85&amp;"PT",'LM7 Non-ENG'!$A$1:$A$5000,1,FALSE),"ERROR")=A85&amp;"PT","Y","")),"")</f>
        <v/>
      </c>
      <c r="E85" s="12">
        <f>'CIM&amp;FMS-Detailed'!J1685</f>
        <v>30651</v>
      </c>
      <c r="F85" s="38"/>
      <c r="G85" s="11"/>
    </row>
    <row r="86" spans="1:13" ht="18" customHeight="1">
      <c r="A86" t="s">
        <v>1013</v>
      </c>
      <c r="B86" s="15" t="str">
        <f>HYPERLINK("#"&amp;ADDRESS(MATCH(A86,'CIM&amp;FMS-Detailed'!$A$1:$A$4510,0),1,,,"CIM&amp;FMS-Detailed"),VLOOKUP(A86,'CIM&amp;FMS-Detailed'!A:C,3,FALSE))</f>
        <v>Assembly&amp;Quality Control Light Industrial Robot (Ballgame &amp; Gluing &amp; Vision)</v>
      </c>
      <c r="C86" s="29" t="str">
        <f>IFERROR(HYPERLINK("#"&amp;ADDRESS(MATCH(A86&amp;"ES",'LM7 Non-ENG'!$A$1:$A$5000,0),1,,,"LM7 Non-ENG"),IF(IFERROR(VLOOKUP(A86&amp;"ES",'LM7 Non-ENG'!$A$1:$A$4999,1,FALSE),"ERROR")=A86&amp;"ES","Y","")),"")</f>
        <v/>
      </c>
      <c r="D86" s="29" t="str">
        <f>IFERROR(HYPERLINK("#"&amp;ADDRESS(MATCH(A86&amp;"PT",'LM7 Non-ENG'!$A$1:$A$5000,0),1,,,"LM7 Non-ENG"),IF(IFERROR(VLOOKUP(A86&amp;"PT",'LM7 Non-ENG'!$A$1:$A$5000,1,FALSE),"ERROR")=A86&amp;"PT","Y","")),"")</f>
        <v/>
      </c>
      <c r="E86" s="12">
        <f>'CIM&amp;FMS-Detailed'!J1705</f>
        <v>36986</v>
      </c>
      <c r="F86" s="38"/>
      <c r="G86" s="11"/>
    </row>
    <row r="87" spans="1:13" ht="18" customHeight="1">
      <c r="A87" t="s">
        <v>1015</v>
      </c>
      <c r="B87" s="15" t="str">
        <f>HYPERLINK("#"&amp;ADDRESS(MATCH(A87,'CIM&amp;FMS-Detailed'!$A$1:$A$4510,0),1,,,"CIM&amp;FMS-Detailed"),VLOOKUP(A87,'CIM&amp;FMS-Detailed'!A:C,3,FALSE))</f>
        <v>Assembly&amp;Quality Control MOTOMAN  MH5F (Ballgame &amp; Vision)</v>
      </c>
      <c r="C87" s="29" t="str">
        <f>IFERROR(HYPERLINK("#"&amp;ADDRESS(MATCH(A87&amp;"ES",'LM7 Non-ENG'!$A$1:$A$5000,0),1,,,"LM7 Non-ENG"),IF(IFERROR(VLOOKUP(A87&amp;"ES",'LM7 Non-ENG'!$A$1:$A$4999,1,FALSE),"ERROR")=A87&amp;"ES","Y","")),"")</f>
        <v/>
      </c>
      <c r="D87" s="29" t="str">
        <f>IFERROR(HYPERLINK("#"&amp;ADDRESS(MATCH(A87&amp;"PT",'LM7 Non-ENG'!$A$1:$A$5000,0),1,,,"LM7 Non-ENG"),IF(IFERROR(VLOOKUP(A87&amp;"PT",'LM7 Non-ENG'!$A$1:$A$5000,1,FALSE),"ERROR")=A87&amp;"PT","Y","")),"")</f>
        <v/>
      </c>
      <c r="E87" s="12">
        <f>'CIM&amp;FMS-Detailed'!J1726</f>
        <v>58863</v>
      </c>
      <c r="F87" s="38"/>
      <c r="G87" s="11"/>
    </row>
    <row r="88" spans="1:13" ht="18" customHeight="1">
      <c r="A88" t="s">
        <v>1017</v>
      </c>
      <c r="B88" s="15" t="str">
        <f>HYPERLINK("#"&amp;ADDRESS(MATCH(A88,'CIM&amp;FMS-Detailed'!$A$1:$A$4510,0),1,,,"CIM&amp;FMS-Detailed"),VLOOKUP(A88,'CIM&amp;FMS-Detailed'!A:C,3,FALSE))</f>
        <v>Assembly&amp;Quality Control MOTOMAN MH5F (Ballgame &amp; Gluing &amp; Vision)</v>
      </c>
      <c r="C88" s="29" t="str">
        <f>IFERROR(HYPERLINK("#"&amp;ADDRESS(MATCH(A88&amp;"ES",'LM7 Non-ENG'!$A$1:$A$5000,0),1,,,"LM7 Non-ENG"),IF(IFERROR(VLOOKUP(A88&amp;"ES",'LM7 Non-ENG'!$A$1:$A$4999,1,FALSE),"ERROR")=A88&amp;"ES","Y","")),"")</f>
        <v/>
      </c>
      <c r="D88" s="29" t="str">
        <f>IFERROR(HYPERLINK("#"&amp;ADDRESS(MATCH(A88&amp;"PT",'LM7 Non-ENG'!$A$1:$A$5000,0),1,,,"LM7 Non-ENG"),IF(IFERROR(VLOOKUP(A88&amp;"PT",'LM7 Non-ENG'!$A$1:$A$5000,1,FALSE),"ERROR")=A88&amp;"PT","Y","")),"")</f>
        <v/>
      </c>
      <c r="E88" s="12">
        <f>'CIM&amp;FMS-Detailed'!J1746</f>
        <v>65266</v>
      </c>
      <c r="F88" s="38"/>
      <c r="G88" s="11"/>
    </row>
    <row r="89" spans="1:13" ht="18" customHeight="1">
      <c r="A89" t="s">
        <v>1019</v>
      </c>
      <c r="B89" s="15" t="str">
        <f>HYPERLINK("#"&amp;ADDRESS(MATCH(A89,'CIM&amp;FMS-Detailed'!$A$1:$A$4510,0),1,,,"CIM&amp;FMS-Detailed"),VLOOKUP(A89,'CIM&amp;FMS-Detailed'!A:C,3,FALSE))</f>
        <v>Assembly&amp;Quality Control MOTOMAN  MH5F (Ballgame &amp; Vision &amp; Caliper)</v>
      </c>
      <c r="C89" s="29" t="str">
        <f>IFERROR(HYPERLINK("#"&amp;ADDRESS(MATCH(A89&amp;"ES",'LM7 Non-ENG'!$A$1:$A$5000,0),1,,,"LM7 Non-ENG"),IF(IFERROR(VLOOKUP(A89&amp;"ES",'LM7 Non-ENG'!$A$1:$A$4999,1,FALSE),"ERROR")=A89&amp;"ES","Y","")),"")</f>
        <v/>
      </c>
      <c r="D89" s="29" t="str">
        <f>IFERROR(HYPERLINK("#"&amp;ADDRESS(MATCH(A89&amp;"PT",'LM7 Non-ENG'!$A$1:$A$5000,0),1,,,"LM7 Non-ENG"),IF(IFERROR(VLOOKUP(A89&amp;"PT",'LM7 Non-ENG'!$A$1:$A$5000,1,FALSE),"ERROR")=A89&amp;"PT","Y","")),"")</f>
        <v/>
      </c>
      <c r="E89" s="12">
        <f>'CIM&amp;FMS-Detailed'!J1767</f>
        <v>62071</v>
      </c>
      <c r="F89" s="38"/>
      <c r="G89" s="11"/>
    </row>
    <row r="90" spans="1:13" ht="18" customHeight="1">
      <c r="A90" s="65" t="s">
        <v>1021</v>
      </c>
      <c r="B90" s="65"/>
      <c r="C90" s="65"/>
      <c r="D90" s="65"/>
      <c r="E90" s="65"/>
      <c r="F90" s="65"/>
      <c r="G90" s="65"/>
      <c r="H90" s="65"/>
      <c r="I90" s="65"/>
      <c r="J90" s="65"/>
      <c r="K90" s="65"/>
      <c r="L90" s="65"/>
      <c r="M90" s="65"/>
    </row>
    <row r="91" spans="1:13" ht="18" customHeight="1">
      <c r="A91" t="s">
        <v>1022</v>
      </c>
      <c r="B91" s="15" t="str">
        <f>HYPERLINK("#"&amp;ADDRESS(MATCH(A91,'CIM&amp;FMS-Detailed'!$A$1:$A$4510,0),1,,,"CIM&amp;FMS-Detailed"),VLOOKUP(A91,'CIM&amp;FMS-Detailed'!A:C,3,FALSE))</f>
        <v>Quality Control with ViewFlex Machine Vision System on Pallet Conveyor</v>
      </c>
      <c r="C91" s="29" t="str">
        <f>IFERROR(HYPERLINK("#"&amp;ADDRESS(MATCH(A91&amp;"ES",'LM7 Non-ENG'!$A$1:$A$5000,0),1,,,"LM7 Non-ENG"),IF(IFERROR(VLOOKUP(A91&amp;"ES",'LM7 Non-ENG'!$A$1:$A$4999,1,FALSE),"ERROR")=A91&amp;"ES","Y","")),"")</f>
        <v/>
      </c>
      <c r="D91" s="29" t="str">
        <f>IFERROR(HYPERLINK("#"&amp;ADDRESS(MATCH(A91&amp;"PT",'LM7 Non-ENG'!$A$1:$A$5000,0),1,,,"LM7 Non-ENG"),IF(IFERROR(VLOOKUP(A91&amp;"PT",'LM7 Non-ENG'!$A$1:$A$5000,1,FALSE),"ERROR")=A91&amp;"PT","Y","")),"")</f>
        <v/>
      </c>
      <c r="E91" s="12">
        <f>'CIM&amp;FMS-Detailed'!J1789</f>
        <v>4217</v>
      </c>
      <c r="F91" s="38"/>
      <c r="G91" s="11"/>
    </row>
    <row r="92" spans="1:13" ht="18" customHeight="1">
      <c r="A92" t="s">
        <v>1024</v>
      </c>
      <c r="B92" s="15" t="str">
        <f>HYPERLINK("#"&amp;ADDRESS(MATCH(A92,'CIM&amp;FMS-Detailed'!$A$1:$A$4510,0),1,,,"CIM&amp;FMS-Detailed"),VLOOKUP(A92,'CIM&amp;FMS-Detailed'!A:C,3,FALSE))</f>
        <v>Quality Control with Scora-ER14, Scara Robot and ViewFlex Machine Vision System</v>
      </c>
      <c r="C92" s="29" t="str">
        <f>IFERROR(HYPERLINK("#"&amp;ADDRESS(MATCH(A92&amp;"ES",'LM7 Non-ENG'!$A$1:$A$5000,0),1,,,"LM7 Non-ENG"),IF(IFERROR(VLOOKUP(A92&amp;"ES",'LM7 Non-ENG'!$A$1:$A$4999,1,FALSE),"ERROR")=A92&amp;"ES","Y","")),"")</f>
        <v/>
      </c>
      <c r="D92" s="29" t="str">
        <f>IFERROR(HYPERLINK("#"&amp;ADDRESS(MATCH(A92&amp;"PT",'LM7 Non-ENG'!$A$1:$A$5000,0),1,,,"LM7 Non-ENG"),IF(IFERROR(VLOOKUP(A92&amp;"PT",'LM7 Non-ENG'!$A$1:$A$5000,1,FALSE),"ERROR")=A92&amp;"PT","Y","")),"")</f>
        <v/>
      </c>
      <c r="E92" s="12">
        <f>'CIM&amp;FMS-Detailed'!J1796</f>
        <v>46935</v>
      </c>
      <c r="F92" s="38"/>
      <c r="G92" s="11"/>
    </row>
    <row r="93" spans="1:13" ht="18" customHeight="1">
      <c r="A93" t="s">
        <v>1026</v>
      </c>
      <c r="B93" s="15" t="str">
        <f>HYPERLINK("#"&amp;ADDRESS(MATCH(A93,'CIM&amp;FMS-Detailed'!$A$1:$A$4510,0),1,,,"CIM&amp;FMS-Detailed"),VLOOKUP(A93,'CIM&amp;FMS-Detailed'!A:C,3,FALSE))</f>
        <v>QC: Robot ER14 (Vision &amp; Caliper)</v>
      </c>
      <c r="C93" s="29" t="str">
        <f>IFERROR(HYPERLINK("#"&amp;ADDRESS(MATCH(A93&amp;"ES",'LM7 Non-ENG'!$A$1:$A$5000,0),1,,,"LM7 Non-ENG"),IF(IFERROR(VLOOKUP(A93&amp;"ES",'LM7 Non-ENG'!$A$1:$A$4999,1,FALSE),"ERROR")=A93&amp;"ES","Y","")),"")</f>
        <v/>
      </c>
      <c r="D93" s="29" t="str">
        <f>IFERROR(HYPERLINK("#"&amp;ADDRESS(MATCH(A93&amp;"PT",'LM7 Non-ENG'!$A$1:$A$5000,0),1,,,"LM7 Non-ENG"),IF(IFERROR(VLOOKUP(A93&amp;"PT",'LM7 Non-ENG'!$A$1:$A$5000,1,FALSE),"ERROR")=A93&amp;"PT","Y","")),"")</f>
        <v/>
      </c>
      <c r="E93" s="12">
        <f>'CIM&amp;FMS-Detailed'!J1815</f>
        <v>50075</v>
      </c>
      <c r="F93" s="38"/>
      <c r="G93" s="11"/>
    </row>
    <row r="94" spans="1:13" ht="18" customHeight="1">
      <c r="A94" t="s">
        <v>1028</v>
      </c>
      <c r="B94" s="15" t="str">
        <f>HYPERLINK("#"&amp;ADDRESS(MATCH(A94,'CIM&amp;FMS-Detailed'!$A$1:$A$4510,0),1,,,"CIM&amp;FMS-Detailed"),VLOOKUP(A94,'CIM&amp;FMS-Detailed'!A:C,3,FALSE))</f>
        <v>QC: Robot ER14 (Vision &amp; Caliper &amp; LSM)</v>
      </c>
      <c r="C94" s="29" t="str">
        <f>IFERROR(HYPERLINK("#"&amp;ADDRESS(MATCH(A94&amp;"ES",'LM7 Non-ENG'!$A$1:$A$5000,0),1,,,"LM7 Non-ENG"),IF(IFERROR(VLOOKUP(A94&amp;"ES",'LM7 Non-ENG'!$A$1:$A$4999,1,FALSE),"ERROR")=A94&amp;"ES","Y","")),"")</f>
        <v/>
      </c>
      <c r="D94" s="29" t="str">
        <f>IFERROR(HYPERLINK("#"&amp;ADDRESS(MATCH(A94&amp;"PT",'LM7 Non-ENG'!$A$1:$A$5000,0),1,,,"LM7 Non-ENG"),IF(IFERROR(VLOOKUP(A94&amp;"PT",'LM7 Non-ENG'!$A$1:$A$5000,1,FALSE),"ERROR")=A94&amp;"PT","Y","")),"")</f>
        <v/>
      </c>
      <c r="E94" s="12">
        <f>'CIM&amp;FMS-Detailed'!J1836</f>
        <v>72905</v>
      </c>
      <c r="F94" s="38"/>
      <c r="G94" s="11"/>
    </row>
    <row r="95" spans="1:13" ht="18" customHeight="1">
      <c r="A95" t="s">
        <v>1032</v>
      </c>
      <c r="B95" s="15" t="str">
        <f>HYPERLINK("#"&amp;ADDRESS(MATCH(A95,'CIM&amp;FMS-Detailed'!$A$1:$A$4510,0),1,,,"CIM&amp;FMS-Detailed"),VLOOKUP(A95,'CIM&amp;FMS-Detailed'!A:C,3,FALSE))</f>
        <v>Quality Control: Quality Control with Scorbot-ER4U Robot (with Caliper)</v>
      </c>
      <c r="C95" s="29" t="str">
        <f>IFERROR(HYPERLINK("#"&amp;ADDRESS(MATCH(A95&amp;"ES",'LM7 Non-ENG'!$A$1:$A$5000,0),1,,,"LM7 Non-ENG"),IF(IFERROR(VLOOKUP(A95&amp;"ES",'LM7 Non-ENG'!$A$1:$A$4999,1,FALSE),"ERROR")=A95&amp;"ES","Y","")),"")</f>
        <v/>
      </c>
      <c r="D95" s="29" t="str">
        <f>IFERROR(HYPERLINK("#"&amp;ADDRESS(MATCH(A95&amp;"PT",'LM7 Non-ENG'!$A$1:$A$5000,0),1,,,"LM7 Non-ENG"),IF(IFERROR(VLOOKUP(A95&amp;"PT",'LM7 Non-ENG'!$A$1:$A$5000,1,FALSE),"ERROR")=A95&amp;"PT","Y","")),"")</f>
        <v/>
      </c>
      <c r="E95" s="12">
        <f>'CIM&amp;FMS-Detailed'!J1859</f>
        <v>22961</v>
      </c>
      <c r="F95" s="38"/>
      <c r="G95" s="11"/>
    </row>
    <row r="96" spans="1:13" ht="18" customHeight="1">
      <c r="A96" t="s">
        <v>1034</v>
      </c>
      <c r="B96" s="15" t="str">
        <f>HYPERLINK("#"&amp;ADDRESS(MATCH(A96,'CIM&amp;FMS-Detailed'!$A$1:$A$4510,0),1,,,"CIM&amp;FMS-Detailed"),VLOOKUP(A96,'CIM&amp;FMS-Detailed'!A:C,3,FALSE))</f>
        <v>Quality Control: Scorbot-ER4U Robot (with ViewFlex Machine Vision System)</v>
      </c>
      <c r="C96" s="29" t="str">
        <f>IFERROR(HYPERLINK("#"&amp;ADDRESS(MATCH(A96&amp;"ES",'LM7 Non-ENG'!$A$1:$A$5000,0),1,,,"LM7 Non-ENG"),IF(IFERROR(VLOOKUP(A96&amp;"ES",'LM7 Non-ENG'!$A$1:$A$4999,1,FALSE),"ERROR")=A96&amp;"ES","Y","")),"")</f>
        <v/>
      </c>
      <c r="D96" s="29" t="str">
        <f>IFERROR(HYPERLINK("#"&amp;ADDRESS(MATCH(A96&amp;"PT",'LM7 Non-ENG'!$A$1:$A$5000,0),1,,,"LM7 Non-ENG"),IF(IFERROR(VLOOKUP(A96&amp;"PT",'LM7 Non-ENG'!$A$1:$A$5000,1,FALSE),"ERROR")=A96&amp;"PT","Y","")),"")</f>
        <v/>
      </c>
      <c r="E96" s="12">
        <f>'CIM&amp;FMS-Detailed'!J1873</f>
        <v>24056</v>
      </c>
      <c r="F96" s="38"/>
      <c r="G96" s="11"/>
    </row>
    <row r="97" spans="1:13" ht="18" customHeight="1">
      <c r="A97" t="s">
        <v>1036</v>
      </c>
      <c r="B97" s="15" t="str">
        <f>HYPERLINK("#"&amp;ADDRESS(MATCH(A97,'CIM&amp;FMS-Detailed'!$A$1:$A$4510,0),1,,,"CIM&amp;FMS-Detailed"),VLOOKUP(A97,'CIM&amp;FMS-Detailed'!A:C,3,FALSE))</f>
        <v>Quality Control: Scorbot-ER4U Robot (w ViewFlex Machine Vision System &amp; Caliper)</v>
      </c>
      <c r="C97" s="29" t="str">
        <f>IFERROR(HYPERLINK("#"&amp;ADDRESS(MATCH(A97&amp;"ES",'LM7 Non-ENG'!$A$1:$A$5000,0),1,,,"LM7 Non-ENG"),IF(IFERROR(VLOOKUP(A97&amp;"ES",'LM7 Non-ENG'!$A$1:$A$4999,1,FALSE),"ERROR")=A97&amp;"ES","Y","")),"")</f>
        <v/>
      </c>
      <c r="D97" s="29" t="str">
        <f>IFERROR(HYPERLINK("#"&amp;ADDRESS(MATCH(A97&amp;"PT",'LM7 Non-ENG'!$A$1:$A$5000,0),1,,,"LM7 Non-ENG"),IF(IFERROR(VLOOKUP(A97&amp;"PT",'LM7 Non-ENG'!$A$1:$A$5000,1,FALSE),"ERROR")=A97&amp;"PT","Y","")),"")</f>
        <v/>
      </c>
      <c r="E97" s="12">
        <f>'CIM&amp;FMS-Detailed'!J1889</f>
        <v>27330</v>
      </c>
      <c r="F97" s="38"/>
      <c r="G97" s="11"/>
    </row>
    <row r="98" spans="1:13" ht="18" customHeight="1">
      <c r="A98" t="s">
        <v>1038</v>
      </c>
      <c r="B98" s="15" t="str">
        <f>HYPERLINK("#"&amp;ADDRESS(MATCH(A98,'CIM&amp;FMS-Detailed'!$A$1:$A$4510,0),1,,,"CIM&amp;FMS-Detailed"),VLOOKUP(A98,'CIM&amp;FMS-Detailed'!A:C,3,FALSE))</f>
        <v>Quality Control: Scorbot-ER9Pro (w ViewFlex Machine Vision System &amp;Caliper)</v>
      </c>
      <c r="C98" s="29" t="str">
        <f>IFERROR(HYPERLINK("#"&amp;ADDRESS(MATCH(A98&amp;"ES",'LM7 Non-ENG'!$A$1:$A$5000,0),1,,,"LM7 Non-ENG"),IF(IFERROR(VLOOKUP(A98&amp;"ES",'LM7 Non-ENG'!$A$1:$A$4999,1,FALSE),"ERROR")=A98&amp;"ES","Y","")),"")</f>
        <v/>
      </c>
      <c r="D98" s="29" t="str">
        <f>IFERROR(HYPERLINK("#"&amp;ADDRESS(MATCH(A98&amp;"PT",'LM7 Non-ENG'!$A$1:$A$5000,0),1,,,"LM7 Non-ENG"),IF(IFERROR(VLOOKUP(A98&amp;"PT",'LM7 Non-ENG'!$A$1:$A$5000,1,FALSE),"ERROR")=A98&amp;"PT","Y","")),"")</f>
        <v/>
      </c>
      <c r="E98" s="12">
        <f>'CIM&amp;FMS-Detailed'!J1907</f>
        <v>46272</v>
      </c>
      <c r="F98" s="38"/>
      <c r="G98" s="11"/>
    </row>
    <row r="99" spans="1:13" ht="18" customHeight="1">
      <c r="A99" t="s">
        <v>1040</v>
      </c>
      <c r="B99" s="15" t="str">
        <f>HYPERLINK("#"&amp;ADDRESS(MATCH(A99,'CIM&amp;FMS-Detailed'!$A$1:$A$4510,0),1,,,"CIM&amp;FMS-Detailed"),VLOOKUP(A99,'CIM&amp;FMS-Detailed'!A:C,3,FALSE))</f>
        <v>Quality Control with Scorbot ER9 Pro Robot  (For CMM)</v>
      </c>
      <c r="C99" s="29" t="str">
        <f>IFERROR(HYPERLINK("#"&amp;ADDRESS(MATCH(A99&amp;"ES",'LM7 Non-ENG'!$A$1:$A$5000,0),1,,,"LM7 Non-ENG"),IF(IFERROR(VLOOKUP(A99&amp;"ES",'LM7 Non-ENG'!$A$1:$A$4999,1,FALSE),"ERROR")=A99&amp;"ES","Y","")),"")</f>
        <v/>
      </c>
      <c r="D99" s="29" t="str">
        <f>IFERROR(HYPERLINK("#"&amp;ADDRESS(MATCH(A99&amp;"PT",'LM7 Non-ENG'!$A$1:$A$5000,0),1,,,"LM7 Non-ENG"),IF(IFERROR(VLOOKUP(A99&amp;"PT",'LM7 Non-ENG'!$A$1:$A$5000,1,FALSE),"ERROR")=A99&amp;"PT","Y","")),"")</f>
        <v/>
      </c>
      <c r="E99" s="12">
        <f>'CIM&amp;FMS-Detailed'!J1928</f>
        <v>46679</v>
      </c>
      <c r="F99" s="38"/>
      <c r="G99" s="11"/>
    </row>
    <row r="100" spans="1:13" ht="18" customHeight="1">
      <c r="A100" t="s">
        <v>1045</v>
      </c>
      <c r="B100" s="15" t="str">
        <f>HYPERLINK("#"&amp;ADDRESS(MATCH(A100,'CIM&amp;FMS-Detailed'!$A$1:$A$4510,0),1,,,"CIM&amp;FMS-Detailed"),VLOOKUP(A100,'CIM&amp;FMS-Detailed'!A:C,3,FALSE))</f>
        <v>Quality Control with Scorbot ER9 Pro Robot for CMM DURAMAX</v>
      </c>
      <c r="C100" s="29" t="str">
        <f>IFERROR(HYPERLINK("#"&amp;ADDRESS(MATCH(A100&amp;"ES",'LM7 Non-ENG'!$A$1:$A$5000,0),1,,,"LM7 Non-ENG"),IF(IFERROR(VLOOKUP(A100&amp;"ES",'LM7 Non-ENG'!$A$1:$A$4999,1,FALSE),"ERROR")=A100&amp;"ES","Y","")),"")</f>
        <v/>
      </c>
      <c r="D100" s="29" t="str">
        <f>IFERROR(HYPERLINK("#"&amp;ADDRESS(MATCH(A100&amp;"PT",'LM7 Non-ENG'!$A$1:$A$5000,0),1,,,"LM7 Non-ENG"),IF(IFERROR(VLOOKUP(A100&amp;"PT",'LM7 Non-ENG'!$A$1:$A$5000,1,FALSE),"ERROR")=A100&amp;"PT","Y","")),"")</f>
        <v/>
      </c>
      <c r="E100" s="12">
        <f>'CIM&amp;FMS-Detailed'!J1945</f>
        <v>46679</v>
      </c>
      <c r="F100" s="38"/>
      <c r="G100" s="11"/>
    </row>
    <row r="101" spans="1:13" ht="18" customHeight="1">
      <c r="A101" t="s">
        <v>1047</v>
      </c>
      <c r="B101" s="15" t="str">
        <f>HYPERLINK("#"&amp;ADDRESS(MATCH(A101,'CIM&amp;FMS-Detailed'!$A$1:$A$4510,0),1,,,"CIM&amp;FMS-Detailed"),VLOOKUP(A101,'CIM&amp;FMS-Detailed'!A:C,3,FALSE))</f>
        <v>Quality Control: FOR KUKA Robot WITH DURAMAX CMM</v>
      </c>
      <c r="C101" s="29" t="str">
        <f>IFERROR(HYPERLINK("#"&amp;ADDRESS(MATCH(A101&amp;"ES",'LM7 Non-ENG'!$A$1:$A$5000,0),1,,,"LM7 Non-ENG"),IF(IFERROR(VLOOKUP(A101&amp;"ES",'LM7 Non-ENG'!$A$1:$A$4999,1,FALSE),"ERROR")=A101&amp;"ES","Y","")),"")</f>
        <v/>
      </c>
      <c r="D101" s="29" t="str">
        <f>IFERROR(HYPERLINK("#"&amp;ADDRESS(MATCH(A101&amp;"PT",'LM7 Non-ENG'!$A$1:$A$5000,0),1,,,"LM7 Non-ENG"),IF(IFERROR(VLOOKUP(A101&amp;"PT",'LM7 Non-ENG'!$A$1:$A$5000,1,FALSE),"ERROR")=A101&amp;"PT","Y","")),"")</f>
        <v/>
      </c>
      <c r="E101" s="12">
        <f>'CIM&amp;FMS-Detailed'!J1960</f>
        <v>21045</v>
      </c>
      <c r="F101" s="38"/>
      <c r="G101" s="11"/>
    </row>
    <row r="102" spans="1:13" ht="18" customHeight="1">
      <c r="A102" t="s">
        <v>1049</v>
      </c>
      <c r="B102" s="15" t="str">
        <f>HYPERLINK("#"&amp;ADDRESS(MATCH(A102,'CIM&amp;FMS-Detailed'!$A$1:$A$4510,0),1,,,"CIM&amp;FMS-Detailed"),VLOOKUP(A102,'CIM&amp;FMS-Detailed'!A:C,3,FALSE))</f>
        <v>Quality Control: FOR KUKA Robot (on Linear Slide Base [LSB]) WITH DURAMAX CMM</v>
      </c>
      <c r="C102" s="29" t="str">
        <f>IFERROR(HYPERLINK("#"&amp;ADDRESS(MATCH(A102&amp;"ES",'LM7 Non-ENG'!$A$1:$A$5000,0),1,,,"LM7 Non-ENG"),IF(IFERROR(VLOOKUP(A102&amp;"ES",'LM7 Non-ENG'!$A$1:$A$4999,1,FALSE),"ERROR")=A102&amp;"ES","Y","")),"")</f>
        <v/>
      </c>
      <c r="D102" s="29" t="str">
        <f>IFERROR(HYPERLINK("#"&amp;ADDRESS(MATCH(A102&amp;"PT",'LM7 Non-ENG'!$A$1:$A$5000,0),1,,,"LM7 Non-ENG"),IF(IFERROR(VLOOKUP(A102&amp;"PT",'LM7 Non-ENG'!$A$1:$A$5000,1,FALSE),"ERROR")=A102&amp;"PT","Y","")),"")</f>
        <v/>
      </c>
      <c r="E102" s="12">
        <f>'CIM&amp;FMS-Detailed'!J1971</f>
        <v>35279</v>
      </c>
      <c r="F102" s="38"/>
      <c r="G102" s="11"/>
    </row>
    <row r="103" spans="1:13" ht="18" customHeight="1">
      <c r="A103" t="s">
        <v>1051</v>
      </c>
      <c r="B103" s="15" t="str">
        <f>HYPERLINK("#"&amp;ADDRESS(MATCH(A103,'CIM&amp;FMS-Detailed'!$A$1:$A$4510,0),1,,,"CIM&amp;FMS-Detailed"),VLOOKUP(A103,'CIM&amp;FMS-Detailed'!A:C,3,FALSE))</f>
        <v>Quality Control: MOTOMAN MH5F (with ViewFlex Machine Vision System)</v>
      </c>
      <c r="C103" s="29" t="str">
        <f>IFERROR(HYPERLINK("#"&amp;ADDRESS(MATCH(A103&amp;"ES",'LM7 Non-ENG'!$A$1:$A$5000,0),1,,,"LM7 Non-ENG"),IF(IFERROR(VLOOKUP(A103&amp;"ES",'LM7 Non-ENG'!$A$1:$A$4999,1,FALSE),"ERROR")=A103&amp;"ES","Y","")),"")</f>
        <v/>
      </c>
      <c r="D103" s="29" t="str">
        <f>IFERROR(HYPERLINK("#"&amp;ADDRESS(MATCH(A103&amp;"PT",'LM7 Non-ENG'!$A$1:$A$5000,0),1,,,"LM7 Non-ENG"),IF(IFERROR(VLOOKUP(A103&amp;"PT",'LM7 Non-ENG'!$A$1:$A$5000,1,FALSE),"ERROR")=A103&amp;"PT","Y","")),"")</f>
        <v/>
      </c>
      <c r="E103" s="12">
        <f>'CIM&amp;FMS-Detailed'!J1983</f>
        <v>52672</v>
      </c>
      <c r="F103" s="38"/>
      <c r="G103" s="11"/>
    </row>
    <row r="104" spans="1:13" ht="18" customHeight="1">
      <c r="A104" t="s">
        <v>1053</v>
      </c>
      <c r="B104" s="15" t="str">
        <f>HYPERLINK("#"&amp;ADDRESS(MATCH(A104,'CIM&amp;FMS-Detailed'!$A$1:$A$4510,0),1,,,"CIM&amp;FMS-Detailed"),VLOOKUP(A104,'CIM&amp;FMS-Detailed'!A:C,3,FALSE))</f>
        <v>Quality Control: MOTOMAN MH5F (with ViewFlex Machine Vision System &amp; Caliper)</v>
      </c>
      <c r="C104" s="29" t="str">
        <f>IFERROR(HYPERLINK("#"&amp;ADDRESS(MATCH(A104&amp;"ES",'LM7 Non-ENG'!$A$1:$A$5000,0),1,,,"LM7 Non-ENG"),IF(IFERROR(VLOOKUP(A104&amp;"ES",'LM7 Non-ENG'!$A$1:$A$4999,1,FALSE),"ERROR")=A104&amp;"ES","Y","")),"")</f>
        <v/>
      </c>
      <c r="D104" s="29" t="str">
        <f>IFERROR(HYPERLINK("#"&amp;ADDRESS(MATCH(A104&amp;"PT",'LM7 Non-ENG'!$A$1:$A$5000,0),1,,,"LM7 Non-ENG"),IF(IFERROR(VLOOKUP(A104&amp;"PT",'LM7 Non-ENG'!$A$1:$A$5000,1,FALSE),"ERROR")=A104&amp;"PT","Y","")),"")</f>
        <v/>
      </c>
      <c r="E104" s="12">
        <f>'CIM&amp;FMS-Detailed'!J1999</f>
        <v>54932</v>
      </c>
      <c r="F104" s="38"/>
      <c r="G104" s="11"/>
    </row>
    <row r="105" spans="1:13" ht="18" customHeight="1">
      <c r="A105" t="s">
        <v>1055</v>
      </c>
      <c r="B105" s="15" t="str">
        <f>HYPERLINK("#"&amp;ADDRESS(MATCH(A105,'CIM&amp;FMS-Detailed'!$A$1:$A$4510,0),1,,,"CIM&amp;FMS-Detailed"),VLOOKUP(A105,'CIM&amp;FMS-Detailed'!A:C,3,FALSE))</f>
        <v>Quality Control: MOTOMAN MH5F on 1.8m LSB FOR CMM</v>
      </c>
      <c r="C105" s="29" t="str">
        <f>IFERROR(HYPERLINK("#"&amp;ADDRESS(MATCH(A105&amp;"ES",'LM7 Non-ENG'!$A$1:$A$5000,0),1,,,"LM7 Non-ENG"),IF(IFERROR(VLOOKUP(A105&amp;"ES",'LM7 Non-ENG'!$A$1:$A$4999,1,FALSE),"ERROR")=A105&amp;"ES","Y","")),"")</f>
        <v/>
      </c>
      <c r="D105" s="29" t="str">
        <f>IFERROR(HYPERLINK("#"&amp;ADDRESS(MATCH(A105&amp;"PT",'LM7 Non-ENG'!$A$1:$A$5000,0),1,,,"LM7 Non-ENG"),IF(IFERROR(VLOOKUP(A105&amp;"PT",'LM7 Non-ENG'!$A$1:$A$5000,1,FALSE),"ERROR")=A105&amp;"PT","Y","")),"")</f>
        <v/>
      </c>
      <c r="E105" s="12">
        <f>'CIM&amp;FMS-Detailed'!J2017</f>
        <v>70988</v>
      </c>
      <c r="F105" s="38"/>
      <c r="G105" s="11"/>
    </row>
    <row r="106" spans="1:13" ht="18" customHeight="1">
      <c r="A106" t="s">
        <v>1057</v>
      </c>
      <c r="B106" s="15" t="str">
        <f>HYPERLINK("#"&amp;ADDRESS(MATCH(A106,'CIM&amp;FMS-Detailed'!$A$1:$A$4510,0),1,,,"CIM&amp;FMS-Detailed"),VLOOKUP(A106,'CIM&amp;FMS-Detailed'!A:C,3,FALSE))</f>
        <v>Quality Control: MOTOMAN MH5F on 1.8m LSB FOR CMM DURAMAX</v>
      </c>
      <c r="C106" s="29" t="str">
        <f>IFERROR(HYPERLINK("#"&amp;ADDRESS(MATCH(A106&amp;"ES",'LM7 Non-ENG'!$A$1:$A$5000,0),1,,,"LM7 Non-ENG"),IF(IFERROR(VLOOKUP(A106&amp;"ES",'LM7 Non-ENG'!$A$1:$A$4999,1,FALSE),"ERROR")=A106&amp;"ES","Y","")),"")</f>
        <v/>
      </c>
      <c r="D106" s="29" t="str">
        <f>IFERROR(HYPERLINK("#"&amp;ADDRESS(MATCH(A106&amp;"PT",'LM7 Non-ENG'!$A$1:$A$5000,0),1,,,"LM7 Non-ENG"),IF(IFERROR(VLOOKUP(A106&amp;"PT",'LM7 Non-ENG'!$A$1:$A$5000,1,FALSE),"ERROR")=A106&amp;"PT","Y","")),"")</f>
        <v/>
      </c>
      <c r="E106" s="12">
        <f>'CIM&amp;FMS-Detailed'!J2040</f>
        <v>74568</v>
      </c>
      <c r="F106" s="38"/>
      <c r="G106" s="11"/>
    </row>
    <row r="107" spans="1:13" ht="18" customHeight="1">
      <c r="A107" t="s">
        <v>1059</v>
      </c>
      <c r="B107" s="15" t="str">
        <f>HYPERLINK("#"&amp;ADDRESS(MATCH(A107,'CIM&amp;FMS-Detailed'!$A$1:$A$4510,0),1,,,"CIM&amp;FMS-Detailed"),VLOOKUP(A107,'CIM&amp;FMS-Detailed'!A:C,3,FALSE))</f>
        <v>Quality Control: Vision Control Option (low stand)</v>
      </c>
      <c r="C107" s="29" t="str">
        <f>IFERROR(HYPERLINK("#"&amp;ADDRESS(MATCH(A107&amp;"ES",'LM7 Non-ENG'!$A$1:$A$5000,0),1,,,"LM7 Non-ENG"),IF(IFERROR(VLOOKUP(A107&amp;"ES",'LM7 Non-ENG'!$A$1:$A$4999,1,FALSE),"ERROR")=A107&amp;"ES","Y","")),"")</f>
        <v/>
      </c>
      <c r="D107" s="29" t="str">
        <f>IFERROR(HYPERLINK("#"&amp;ADDRESS(MATCH(A107&amp;"PT",'LM7 Non-ENG'!$A$1:$A$5000,0),1,,,"LM7 Non-ENG"),IF(IFERROR(VLOOKUP(A107&amp;"PT",'LM7 Non-ENG'!$A$1:$A$5000,1,FALSE),"ERROR")=A107&amp;"PT","Y","")),"")</f>
        <v/>
      </c>
      <c r="E107" s="12">
        <f>'CIM&amp;FMS-Detailed'!J2059</f>
        <v>4774</v>
      </c>
      <c r="F107" s="38"/>
      <c r="G107" s="11"/>
    </row>
    <row r="108" spans="1:13" ht="18" customHeight="1">
      <c r="A108" t="s">
        <v>1063</v>
      </c>
      <c r="B108" s="15" t="str">
        <f>HYPERLINK("#"&amp;ADDRESS(MATCH(A108,'CIM&amp;FMS-Detailed'!$A$1:$A$4510,0),1,,,"CIM&amp;FMS-Detailed"),VLOOKUP(A108,'CIM&amp;FMS-Detailed'!A:C,3,FALSE))</f>
        <v>Quality Control: Vision Control Option (high stand)</v>
      </c>
      <c r="C108" s="29" t="str">
        <f>IFERROR(HYPERLINK("#"&amp;ADDRESS(MATCH(A108&amp;"ES",'LM7 Non-ENG'!$A$1:$A$5000,0),1,,,"LM7 Non-ENG"),IF(IFERROR(VLOOKUP(A108&amp;"ES",'LM7 Non-ENG'!$A$1:$A$4999,1,FALSE),"ERROR")=A108&amp;"ES","Y","")),"")</f>
        <v/>
      </c>
      <c r="D108" s="29" t="str">
        <f>IFERROR(HYPERLINK("#"&amp;ADDRESS(MATCH(A108&amp;"PT",'LM7 Non-ENG'!$A$1:$A$5000,0),1,,,"LM7 Non-ENG"),IF(IFERROR(VLOOKUP(A108&amp;"PT",'LM7 Non-ENG'!$A$1:$A$5000,1,FALSE),"ERROR")=A108&amp;"PT","Y","")),"")</f>
        <v/>
      </c>
      <c r="E108" s="12">
        <f>'CIM&amp;FMS-Detailed'!J2066</f>
        <v>4369</v>
      </c>
      <c r="F108" s="38"/>
      <c r="G108" s="11"/>
    </row>
    <row r="109" spans="1:13" ht="18" customHeight="1">
      <c r="A109" s="65" t="s">
        <v>1076</v>
      </c>
      <c r="B109" s="65"/>
      <c r="C109" s="65"/>
      <c r="D109" s="65"/>
      <c r="E109" s="65"/>
      <c r="F109" s="65"/>
      <c r="G109" s="65"/>
      <c r="H109" s="65"/>
      <c r="I109" s="65"/>
      <c r="J109" s="65"/>
      <c r="K109" s="65"/>
      <c r="L109" s="65"/>
      <c r="M109" s="65"/>
    </row>
    <row r="110" spans="1:13" ht="18" customHeight="1">
      <c r="A110" t="s">
        <v>1065</v>
      </c>
      <c r="B110" s="15" t="str">
        <f>HYPERLINK("#"&amp;ADDRESS(MATCH(A110,'CIM&amp;FMS-Detailed'!$A$1:$A$4510,0),1,,,"CIM&amp;FMS-Detailed"),VLOOKUP(A110,'CIM&amp;FMS-Detailed'!A:C,3,FALSE))</f>
        <v>Automated Welding: Scorbot-ER9Pro &amp; Welding Booth</v>
      </c>
      <c r="C110" s="29" t="str">
        <f>IFERROR(HYPERLINK("#"&amp;ADDRESS(MATCH(A110&amp;"ES",'LM7 Non-ENG'!$A$1:$A$5000,0),1,,,"LM7 Non-ENG"),IF(IFERROR(VLOOKUP(A110&amp;"ES",'LM7 Non-ENG'!$A$1:$A$4999,1,FALSE),"ERROR")=A110&amp;"ES","Y","")),"")</f>
        <v/>
      </c>
      <c r="D110" s="29" t="str">
        <f>IFERROR(HYPERLINK("#"&amp;ADDRESS(MATCH(A110&amp;"PT",'LM7 Non-ENG'!$A$1:$A$5000,0),1,,,"LM7 Non-ENG"),IF(IFERROR(VLOOKUP(A110&amp;"PT",'LM7 Non-ENG'!$A$1:$A$5000,1,FALSE),"ERROR")=A110&amp;"PT","Y","")),"")</f>
        <v/>
      </c>
      <c r="E110" s="12">
        <f>'CIM&amp;FMS-Detailed'!J2072</f>
        <v>50470</v>
      </c>
      <c r="F110" s="38"/>
      <c r="G110" s="11"/>
    </row>
    <row r="111" spans="1:13" ht="18" customHeight="1">
      <c r="A111" t="s">
        <v>1071</v>
      </c>
      <c r="B111" s="15" t="str">
        <f>HYPERLINK("#"&amp;ADDRESS(MATCH(A111,'CIM&amp;FMS-Detailed'!$A$1:$A$4510,0),1,,,"CIM&amp;FMS-Detailed"),VLOOKUP(A111,'CIM&amp;FMS-Detailed'!A:C,3,FALSE))</f>
        <v>Automated Welding: FOR Industrial Robot &amp; Industrial WELDING System</v>
      </c>
      <c r="C111" s="29" t="str">
        <f>IFERROR(HYPERLINK("#"&amp;ADDRESS(MATCH(A111&amp;"ES",'LM7 Non-ENG'!$A$1:$A$5000,0),1,,,"LM7 Non-ENG"),IF(IFERROR(VLOOKUP(A111&amp;"ES",'LM7 Non-ENG'!$A$1:$A$4999,1,FALSE),"ERROR")=A111&amp;"ES","Y","")),"")</f>
        <v/>
      </c>
      <c r="D111" s="29" t="str">
        <f>IFERROR(HYPERLINK("#"&amp;ADDRESS(MATCH(A111&amp;"PT",'LM7 Non-ENG'!$A$1:$A$5000,0),1,,,"LM7 Non-ENG"),IF(IFERROR(VLOOKUP(A111&amp;"PT",'LM7 Non-ENG'!$A$1:$A$5000,1,FALSE),"ERROR")=A111&amp;"PT","Y","")),"")</f>
        <v/>
      </c>
      <c r="E111" s="12">
        <f>'CIM&amp;FMS-Detailed'!J2083</f>
        <v>9389</v>
      </c>
      <c r="F111" s="38"/>
      <c r="G111" s="11"/>
    </row>
    <row r="112" spans="1:13" ht="18" customHeight="1">
      <c r="A112" t="s">
        <v>1074</v>
      </c>
      <c r="B112" s="15" t="str">
        <f>HYPERLINK("#"&amp;ADDRESS(MATCH(A112,'CIM&amp;FMS-Detailed'!$A$1:$A$4510,0),1,,,"CIM&amp;FMS-Detailed"),VLOOKUP(A112,'CIM&amp;FMS-Detailed'!A:C,3,FALSE))</f>
        <v>Automated Welding: MOTOMAN MH5F Robot &amp; Welding Booth</v>
      </c>
      <c r="C112" s="29" t="str">
        <f>IFERROR(HYPERLINK("#"&amp;ADDRESS(MATCH(A112&amp;"ES",'LM7 Non-ENG'!$A$1:$A$5000,0),1,,,"LM7 Non-ENG"),IF(IFERROR(VLOOKUP(A112&amp;"ES",'LM7 Non-ENG'!$A$1:$A$4999,1,FALSE),"ERROR")=A112&amp;"ES","Y","")),"")</f>
        <v/>
      </c>
      <c r="D112" s="29" t="str">
        <f>IFERROR(HYPERLINK("#"&amp;ADDRESS(MATCH(A112&amp;"PT",'LM7 Non-ENG'!$A$1:$A$5000,0),1,,,"LM7 Non-ENG"),IF(IFERROR(VLOOKUP(A112&amp;"PT",'LM7 Non-ENG'!$A$1:$A$5000,1,FALSE),"ERROR")=A112&amp;"PT","Y","")),"")</f>
        <v/>
      </c>
      <c r="E112" s="12">
        <f>'CIM&amp;FMS-Detailed'!J2091</f>
        <v>59589</v>
      </c>
      <c r="F112" s="38"/>
      <c r="G112" s="11"/>
    </row>
    <row r="113" spans="1:13" ht="18" customHeight="1">
      <c r="A113" s="65" t="s">
        <v>1077</v>
      </c>
      <c r="B113" s="65"/>
      <c r="C113" s="65"/>
      <c r="D113" s="65"/>
      <c r="E113" s="65"/>
      <c r="F113" s="65"/>
      <c r="G113" s="65"/>
      <c r="H113" s="65"/>
      <c r="I113" s="65"/>
      <c r="J113" s="65"/>
      <c r="K113" s="65"/>
      <c r="L113" s="65"/>
      <c r="M113" s="65"/>
    </row>
    <row r="114" spans="1:13" ht="18" customHeight="1">
      <c r="A114" t="s">
        <v>1078</v>
      </c>
      <c r="B114" s="15" t="str">
        <f>HYPERLINK("#"&amp;ADDRESS(MATCH(A114,'CIM&amp;FMS-Detailed'!$A$1:$A$4510,0),1,,,"CIM&amp;FMS-Detailed"),VLOOKUP(A114,'CIM&amp;FMS-Detailed'!A:C,3,FALSE))</f>
        <v>Projects Station: Industrial Maintenance Cell EMMC 1600 in CIM</v>
      </c>
      <c r="C114" s="29" t="str">
        <f>IFERROR(HYPERLINK("#"&amp;ADDRESS(MATCH(A114&amp;"ES",'LM7 Non-ENG'!$A$1:$A$5000,0),1,,,"LM7 Non-ENG"),IF(IFERROR(VLOOKUP(A114&amp;"ES",'LM7 Non-ENG'!$A$1:$A$4999,1,FALSE),"ERROR")=A114&amp;"ES","Y","")),"")</f>
        <v/>
      </c>
      <c r="D114" s="29" t="str">
        <f>IFERROR(HYPERLINK("#"&amp;ADDRESS(MATCH(A114&amp;"PT",'LM7 Non-ENG'!$A$1:$A$5000,0),1,,,"LM7 Non-ENG"),IF(IFERROR(VLOOKUP(A114&amp;"PT",'LM7 Non-ENG'!$A$1:$A$5000,1,FALSE),"ERROR")=A114&amp;"PT","Y","")),"")</f>
        <v/>
      </c>
      <c r="E114" s="12">
        <f>'CIM&amp;FMS-Detailed'!J2100</f>
        <v>132510</v>
      </c>
      <c r="F114" s="38"/>
      <c r="G114" s="11"/>
    </row>
    <row r="115" spans="1:13" ht="18" customHeight="1">
      <c r="A115" t="s">
        <v>1100</v>
      </c>
      <c r="B115" s="15" t="str">
        <f>HYPERLINK("#"&amp;ADDRESS(MATCH(A115,'CIM&amp;FMS-Detailed'!$A$1:$A$4510,0),1,,,"CIM&amp;FMS-Detailed"),VLOOKUP(A115,'CIM&amp;FMS-Detailed'!A:C,3,FALSE))</f>
        <v>Projects Station: SCORA-ER14Pro Base</v>
      </c>
      <c r="C115" s="29" t="str">
        <f>IFERROR(HYPERLINK("#"&amp;ADDRESS(MATCH(A115&amp;"ES",'LM7 Non-ENG'!$A$1:$A$5000,0),1,,,"LM7 Non-ENG"),IF(IFERROR(VLOOKUP(A115&amp;"ES",'LM7 Non-ENG'!$A$1:$A$4999,1,FALSE),"ERROR")=A115&amp;"ES","Y","")),"")</f>
        <v/>
      </c>
      <c r="D115" s="29" t="str">
        <f>IFERROR(HYPERLINK("#"&amp;ADDRESS(MATCH(A115&amp;"PT",'LM7 Non-ENG'!$A$1:$A$5000,0),1,,,"LM7 Non-ENG"),IF(IFERROR(VLOOKUP(A115&amp;"PT",'LM7 Non-ENG'!$A$1:$A$5000,1,FALSE),"ERROR")=A115&amp;"PT","Y","")),"")</f>
        <v/>
      </c>
      <c r="E115" s="12">
        <f>'CIM&amp;FMS-Detailed'!J2129</f>
        <v>39968</v>
      </c>
      <c r="F115" s="38"/>
      <c r="G115" s="11"/>
    </row>
    <row r="116" spans="1:13" ht="18" customHeight="1">
      <c r="A116" t="s">
        <v>1102</v>
      </c>
      <c r="B116" s="15" t="str">
        <f>HYPERLINK("#"&amp;ADDRESS(MATCH(A116,'CIM&amp;FMS-Detailed'!$A$1:$A$4510,0),1,,,"CIM&amp;FMS-Detailed"),VLOOKUP(A116,'CIM&amp;FMS-Detailed'!A:C,3,FALSE))</f>
        <v>Projects Station: Scorbot-ER9Pro Robot</v>
      </c>
      <c r="C116" s="29" t="str">
        <f>IFERROR(HYPERLINK("#"&amp;ADDRESS(MATCH(A116&amp;"ES",'LM7 Non-ENG'!$A$1:$A$5000,0),1,,,"LM7 Non-ENG"),IF(IFERROR(VLOOKUP(A116&amp;"ES",'LM7 Non-ENG'!$A$1:$A$4999,1,FALSE),"ERROR")=A116&amp;"ES","Y","")),"")</f>
        <v/>
      </c>
      <c r="D116" s="29" t="str">
        <f>IFERROR(HYPERLINK("#"&amp;ADDRESS(MATCH(A116&amp;"PT",'LM7 Non-ENG'!$A$1:$A$5000,0),1,,,"LM7 Non-ENG"),IF(IFERROR(VLOOKUP(A116&amp;"PT",'LM7 Non-ENG'!$A$1:$A$5000,1,FALSE),"ERROR")=A116&amp;"PT","Y","")),"")</f>
        <v/>
      </c>
      <c r="E116" s="12">
        <f>'CIM&amp;FMS-Detailed'!J2143</f>
        <v>37900</v>
      </c>
      <c r="F116" s="38"/>
      <c r="G116" s="11"/>
    </row>
    <row r="117" spans="1:13" ht="18" customHeight="1">
      <c r="A117" t="s">
        <v>1104</v>
      </c>
      <c r="B117" s="15" t="str">
        <f>HYPERLINK("#"&amp;ADDRESS(MATCH(A117,'CIM&amp;FMS-Detailed'!$A$1:$A$4510,0),1,,,"CIM&amp;FMS-Detailed"),VLOOKUP(A117,'CIM&amp;FMS-Detailed'!A:C,3,FALSE))</f>
        <v>Projects Station: Industrial Robot Rotary table Gray conveyor</v>
      </c>
      <c r="C117" s="29" t="str">
        <f>IFERROR(HYPERLINK("#"&amp;ADDRESS(MATCH(A117&amp;"ES",'LM7 Non-ENG'!$A$1:$A$5000,0),1,,,"LM7 Non-ENG"),IF(IFERROR(VLOOKUP(A117&amp;"ES",'LM7 Non-ENG'!$A$1:$A$4999,1,FALSE),"ERROR")=A117&amp;"ES","Y","")),"")</f>
        <v/>
      </c>
      <c r="D117" s="29" t="str">
        <f>IFERROR(HYPERLINK("#"&amp;ADDRESS(MATCH(A117&amp;"PT",'LM7 Non-ENG'!$A$1:$A$5000,0),1,,,"LM7 Non-ENG"),IF(IFERROR(VLOOKUP(A117&amp;"PT",'LM7 Non-ENG'!$A$1:$A$5000,1,FALSE),"ERROR")=A117&amp;"PT","Y","")),"")</f>
        <v/>
      </c>
      <c r="E117" s="12">
        <f>'CIM&amp;FMS-Detailed'!J2158</f>
        <v>30674</v>
      </c>
      <c r="F117" s="38"/>
      <c r="G117" s="11"/>
    </row>
    <row r="118" spans="1:13" ht="18" customHeight="1">
      <c r="A118" t="s">
        <v>1117</v>
      </c>
      <c r="B118" s="15" t="str">
        <f>HYPERLINK("#"&amp;ADDRESS(MATCH(A118,'CIM&amp;FMS-Detailed'!$A$1:$A$4510,0),1,,,"CIM&amp;FMS-Detailed"),VLOOKUP(A118,'CIM&amp;FMS-Detailed'!A:C,3,FALSE))</f>
        <v>Projects Station: MOTOMAN  MH5F</v>
      </c>
      <c r="C118" s="29" t="str">
        <f>IFERROR(HYPERLINK("#"&amp;ADDRESS(MATCH(A118&amp;"ES",'LM7 Non-ENG'!$A$1:$A$5000,0),1,,,"LM7 Non-ENG"),IF(IFERROR(VLOOKUP(A118&amp;"ES",'LM7 Non-ENG'!$A$1:$A$4999,1,FALSE),"ERROR")=A118&amp;"ES","Y","")),"")</f>
        <v/>
      </c>
      <c r="D118" s="29" t="str">
        <f>IFERROR(HYPERLINK("#"&amp;ADDRESS(MATCH(A118&amp;"PT",'LM7 Non-ENG'!$A$1:$A$5000,0),1,,,"LM7 Non-ENG"),IF(IFERROR(VLOOKUP(A118&amp;"PT",'LM7 Non-ENG'!$A$1:$A$5000,1,FALSE),"ERROR")=A118&amp;"PT","Y","")),"")</f>
        <v/>
      </c>
      <c r="E118" s="12">
        <f>'CIM&amp;FMS-Detailed'!J2180</f>
        <v>48913</v>
      </c>
      <c r="F118" s="38"/>
      <c r="G118" s="11"/>
    </row>
    <row r="119" spans="1:13" ht="18" customHeight="1">
      <c r="A119" s="65" t="s">
        <v>1119</v>
      </c>
      <c r="B119" s="65"/>
      <c r="C119" s="65"/>
      <c r="D119" s="65"/>
      <c r="E119" s="65"/>
      <c r="F119" s="65"/>
      <c r="G119" s="65"/>
      <c r="H119" s="65"/>
      <c r="I119" s="65"/>
      <c r="J119" s="65"/>
      <c r="K119" s="65"/>
      <c r="L119" s="65"/>
      <c r="M119" s="65"/>
    </row>
    <row r="120" spans="1:13" ht="18" customHeight="1">
      <c r="A120" t="s">
        <v>1120</v>
      </c>
      <c r="B120" s="15" t="str">
        <f>HYPERLINK("#"&amp;ADDRESS(MATCH(A120,'CIM&amp;FMS-Detailed'!$A$1:$A$4510,0),1,,,"CIM&amp;FMS-Detailed"),VLOOKUP(A120,'CIM&amp;FMS-Detailed'!A:C,3,FALSE))</f>
        <v>Pallet Conveyor - Max. 8 Stations (10440mm x 2040mm)</v>
      </c>
      <c r="C120" s="29" t="str">
        <f>IFERROR(HYPERLINK("#"&amp;ADDRESS(MATCH(A120&amp;"ES",'LM7 Non-ENG'!$A$1:$A$5000,0),1,,,"LM7 Non-ENG"),IF(IFERROR(VLOOKUP(A120&amp;"ES",'LM7 Non-ENG'!$A$1:$A$4999,1,FALSE),"ERROR")=A120&amp;"ES","Y","")),"")</f>
        <v/>
      </c>
      <c r="D120" s="29" t="str">
        <f>IFERROR(HYPERLINK("#"&amp;ADDRESS(MATCH(A120&amp;"PT",'LM7 Non-ENG'!$A$1:$A$5000,0),1,,,"LM7 Non-ENG"),IF(IFERROR(VLOOKUP(A120&amp;"PT",'LM7 Non-ENG'!$A$1:$A$5000,1,FALSE),"ERROR")=A120&amp;"PT","Y","")),"")</f>
        <v/>
      </c>
      <c r="E120" s="12">
        <f>'CIM&amp;FMS-Detailed'!J2193</f>
        <v>67105</v>
      </c>
      <c r="F120" s="38"/>
      <c r="G120" s="11"/>
    </row>
    <row r="121" spans="1:13" ht="18" customHeight="1">
      <c r="A121" t="s">
        <v>1131</v>
      </c>
      <c r="B121" s="15" t="str">
        <f>HYPERLINK("#"&amp;ADDRESS(MATCH(A121,'CIM&amp;FMS-Detailed'!$A$1:$A$4510,0),1,,,"CIM&amp;FMS-Detailed"),VLOOKUP(A121,'CIM&amp;FMS-Detailed'!A:C,3,FALSE))</f>
        <v>Pallet Conveyor - Max. 3 Stations (2040mm x 1400mm)</v>
      </c>
      <c r="C121" s="29" t="str">
        <f>IFERROR(HYPERLINK("#"&amp;ADDRESS(MATCH(A121&amp;"ES",'LM7 Non-ENG'!$A$1:$A$5000,0),1,,,"LM7 Non-ENG"),IF(IFERROR(VLOOKUP(A121&amp;"ES",'LM7 Non-ENG'!$A$1:$A$4999,1,FALSE),"ERROR")=A121&amp;"ES","Y","")),"")</f>
        <v/>
      </c>
      <c r="D121" s="29" t="str">
        <f>IFERROR(HYPERLINK("#"&amp;ADDRESS(MATCH(A121&amp;"PT",'LM7 Non-ENG'!$A$1:$A$5000,0),1,,,"LM7 Non-ENG"),IF(IFERROR(VLOOKUP(A121&amp;"PT",'LM7 Non-ENG'!$A$1:$A$5000,1,FALSE),"ERROR")=A121&amp;"PT","Y","")),"")</f>
        <v/>
      </c>
      <c r="E121" s="12">
        <f>'CIM&amp;FMS-Detailed'!J2200</f>
        <v>27715</v>
      </c>
      <c r="F121" s="38"/>
      <c r="G121" s="11"/>
    </row>
    <row r="122" spans="1:13" ht="18" customHeight="1">
      <c r="A122" t="s">
        <v>1135</v>
      </c>
      <c r="B122" s="15" t="str">
        <f>HYPERLINK("#"&amp;ADDRESS(MATCH(A122,'CIM&amp;FMS-Detailed'!$A$1:$A$4510,0),1,,,"CIM&amp;FMS-Detailed"),VLOOKUP(A122,'CIM&amp;FMS-Detailed'!A:C,3,FALSE))</f>
        <v>Pallet Conveyor - Max. 2 Stations (2040mm x 700mm)</v>
      </c>
      <c r="C122" s="29" t="str">
        <f>IFERROR(HYPERLINK("#"&amp;ADDRESS(MATCH(A122&amp;"ES",'LM7 Non-ENG'!$A$1:$A$5000,0),1,,,"LM7 Non-ENG"),IF(IFERROR(VLOOKUP(A122&amp;"ES",'LM7 Non-ENG'!$A$1:$A$4999,1,FALSE),"ERROR")=A122&amp;"ES","Y","")),"")</f>
        <v/>
      </c>
      <c r="D122" s="29" t="str">
        <f>IFERROR(HYPERLINK("#"&amp;ADDRESS(MATCH(A122&amp;"PT",'LM7 Non-ENG'!$A$1:$A$5000,0),1,,,"LM7 Non-ENG"),IF(IFERROR(VLOOKUP(A122&amp;"PT",'LM7 Non-ENG'!$A$1:$A$5000,1,FALSE),"ERROR")=A122&amp;"PT","Y","")),"")</f>
        <v/>
      </c>
      <c r="E122" s="12">
        <f>'CIM&amp;FMS-Detailed'!J2207</f>
        <v>25295</v>
      </c>
      <c r="F122" s="38"/>
      <c r="G122" s="11"/>
    </row>
    <row r="123" spans="1:13" ht="18" customHeight="1">
      <c r="A123" t="s">
        <v>1139</v>
      </c>
      <c r="B123" s="15" t="str">
        <f>HYPERLINK("#"&amp;ADDRESS(MATCH(A123,'CIM&amp;FMS-Detailed'!$A$1:$A$4510,0),1,,,"CIM&amp;FMS-Detailed"),VLOOKUP(A123,'CIM&amp;FMS-Detailed'!A:C,3,FALSE))</f>
        <v>Pallet Conveyor - Max .5 Stations (3440mm x 1400mm)</v>
      </c>
      <c r="C123" s="29" t="str">
        <f>IFERROR(HYPERLINK("#"&amp;ADDRESS(MATCH(A123&amp;"ES",'LM7 Non-ENG'!$A$1:$A$5000,0),1,,,"LM7 Non-ENG"),IF(IFERROR(VLOOKUP(A123&amp;"ES",'LM7 Non-ENG'!$A$1:$A$4999,1,FALSE),"ERROR")=A123&amp;"ES","Y","")),"")</f>
        <v/>
      </c>
      <c r="D123" s="29" t="str">
        <f>IFERROR(HYPERLINK("#"&amp;ADDRESS(MATCH(A123&amp;"PT",'LM7 Non-ENG'!$A$1:$A$5000,0),1,,,"LM7 Non-ENG"),IF(IFERROR(VLOOKUP(A123&amp;"PT",'LM7 Non-ENG'!$A$1:$A$5000,1,FALSE),"ERROR")=A123&amp;"PT","Y","")),"")</f>
        <v/>
      </c>
      <c r="E123" s="12">
        <f>'CIM&amp;FMS-Detailed'!J2213</f>
        <v>34005</v>
      </c>
      <c r="F123" s="38"/>
      <c r="G123" s="11"/>
    </row>
    <row r="124" spans="1:13" ht="18" customHeight="1">
      <c r="A124" t="s">
        <v>1141</v>
      </c>
      <c r="B124" s="15" t="str">
        <f>HYPERLINK("#"&amp;ADDRESS(MATCH(A124,'CIM&amp;FMS-Detailed'!$A$1:$A$4510,0),1,,,"CIM&amp;FMS-Detailed"),VLOOKUP(A124,'CIM&amp;FMS-Detailed'!A:C,3,FALSE))</f>
        <v>Pallet Conveyor - Max. 3 Stations (3440mm x 700mm)</v>
      </c>
      <c r="C124" s="29" t="str">
        <f>IFERROR(HYPERLINK("#"&amp;ADDRESS(MATCH(A124&amp;"ES",'LM7 Non-ENG'!$A$1:$A$5000,0),1,,,"LM7 Non-ENG"),IF(IFERROR(VLOOKUP(A124&amp;"ES",'LM7 Non-ENG'!$A$1:$A$4999,1,FALSE),"ERROR")=A124&amp;"ES","Y","")),"")</f>
        <v/>
      </c>
      <c r="D124" s="29" t="str">
        <f>IFERROR(HYPERLINK("#"&amp;ADDRESS(MATCH(A124&amp;"PT",'LM7 Non-ENG'!$A$1:$A$5000,0),1,,,"LM7 Non-ENG"),IF(IFERROR(VLOOKUP(A124&amp;"PT",'LM7 Non-ENG'!$A$1:$A$5000,1,FALSE),"ERROR")=A124&amp;"PT","Y","")),"")</f>
        <v/>
      </c>
      <c r="E124" s="12">
        <f>'CIM&amp;FMS-Detailed'!J2221</f>
        <v>31585</v>
      </c>
      <c r="F124" s="38"/>
      <c r="G124" s="11"/>
    </row>
    <row r="125" spans="1:13" ht="18" customHeight="1">
      <c r="A125" t="s">
        <v>1143</v>
      </c>
      <c r="B125" s="15" t="str">
        <f>HYPERLINK("#"&amp;ADDRESS(MATCH(A125,'CIM&amp;FMS-Detailed'!$A$1:$A$4510,0),1,,,"CIM&amp;FMS-Detailed"),VLOOKUP(A125,'CIM&amp;FMS-Detailed'!A:C,3,FALSE))</f>
        <v>Pallet Conveyor - Max. 7 Stations (4840mm x 1400mm)</v>
      </c>
      <c r="C125" s="29" t="str">
        <f>IFERROR(HYPERLINK("#"&amp;ADDRESS(MATCH(A125&amp;"ES",'LM7 Non-ENG'!$A$1:$A$5000,0),1,,,"LM7 Non-ENG"),IF(IFERROR(VLOOKUP(A125&amp;"ES",'LM7 Non-ENG'!$A$1:$A$4999,1,FALSE),"ERROR")=A125&amp;"ES","Y","")),"")</f>
        <v/>
      </c>
      <c r="D125" s="29" t="str">
        <f>IFERROR(HYPERLINK("#"&amp;ADDRESS(MATCH(A125&amp;"PT",'LM7 Non-ENG'!$A$1:$A$5000,0),1,,,"LM7 Non-ENG"),IF(IFERROR(VLOOKUP(A125&amp;"PT",'LM7 Non-ENG'!$A$1:$A$5000,1,FALSE),"ERROR")=A125&amp;"PT","Y","")),"")</f>
        <v/>
      </c>
      <c r="E125" s="12">
        <f>'CIM&amp;FMS-Detailed'!J2228</f>
        <v>40295</v>
      </c>
      <c r="F125" s="38"/>
      <c r="G125" s="11"/>
    </row>
    <row r="126" spans="1:13" ht="18" customHeight="1">
      <c r="A126" t="s">
        <v>1145</v>
      </c>
      <c r="B126" s="15" t="str">
        <f>HYPERLINK("#"&amp;ADDRESS(MATCH(A126,'CIM&amp;FMS-Detailed'!$A$1:$A$4510,0),1,,,"CIM&amp;FMS-Detailed"),VLOOKUP(A126,'CIM&amp;FMS-Detailed'!A:C,3,FALSE))</f>
        <v>Pallet Conveyor - Max. 5 Stations (4840mm x 700mm)</v>
      </c>
      <c r="C126" s="29" t="str">
        <f>IFERROR(HYPERLINK("#"&amp;ADDRESS(MATCH(A126&amp;"ES",'LM7 Non-ENG'!$A$1:$A$5000,0),1,,,"LM7 Non-ENG"),IF(IFERROR(VLOOKUP(A126&amp;"ES",'LM7 Non-ENG'!$A$1:$A$4999,1,FALSE),"ERROR")=A126&amp;"ES","Y","")),"")</f>
        <v/>
      </c>
      <c r="D126" s="29" t="str">
        <f>IFERROR(HYPERLINK("#"&amp;ADDRESS(MATCH(A126&amp;"PT",'LM7 Non-ENG'!$A$1:$A$5000,0),1,,,"LM7 Non-ENG"),IF(IFERROR(VLOOKUP(A126&amp;"PT",'LM7 Non-ENG'!$A$1:$A$5000,1,FALSE),"ERROR")=A126&amp;"PT","Y","")),"")</f>
        <v/>
      </c>
      <c r="E126" s="12">
        <f>'CIM&amp;FMS-Detailed'!J2236</f>
        <v>37875</v>
      </c>
      <c r="F126" s="38"/>
      <c r="G126" s="11"/>
    </row>
    <row r="127" spans="1:13" ht="18" customHeight="1">
      <c r="A127" t="s">
        <v>1147</v>
      </c>
      <c r="B127" s="15" t="str">
        <f>HYPERLINK("#"&amp;ADDRESS(MATCH(A127,'CIM&amp;FMS-Detailed'!$A$1:$A$4510,0),1,,,"CIM&amp;FMS-Detailed"),VLOOKUP(A127,'CIM&amp;FMS-Detailed'!A:C,3,FALSE))</f>
        <v>Pallet Conveyor - Max. 8 Stations (6240mm x 1400mm)</v>
      </c>
      <c r="C127" s="29" t="str">
        <f>IFERROR(HYPERLINK("#"&amp;ADDRESS(MATCH(A127&amp;"ES",'LM7 Non-ENG'!$A$1:$A$5000,0),1,,,"LM7 Non-ENG"),IF(IFERROR(VLOOKUP(A127&amp;"ES",'LM7 Non-ENG'!$A$1:$A$4999,1,FALSE),"ERROR")=A127&amp;"ES","Y","")),"")</f>
        <v/>
      </c>
      <c r="D127" s="29" t="str">
        <f>IFERROR(HYPERLINK("#"&amp;ADDRESS(MATCH(A127&amp;"PT",'LM7 Non-ENG'!$A$1:$A$5000,0),1,,,"LM7 Non-ENG"),IF(IFERROR(VLOOKUP(A127&amp;"PT",'LM7 Non-ENG'!$A$1:$A$5000,1,FALSE),"ERROR")=A127&amp;"PT","Y","")),"")</f>
        <v/>
      </c>
      <c r="E127" s="12">
        <f>'CIM&amp;FMS-Detailed'!J2243</f>
        <v>46585</v>
      </c>
      <c r="F127" s="38"/>
      <c r="G127" s="11"/>
    </row>
    <row r="128" spans="1:13" ht="18" customHeight="1">
      <c r="A128" t="s">
        <v>1149</v>
      </c>
      <c r="B128" s="15" t="str">
        <f>HYPERLINK("#"&amp;ADDRESS(MATCH(A128,'CIM&amp;FMS-Detailed'!$A$1:$A$4510,0),1,,,"CIM&amp;FMS-Detailed"),VLOOKUP(A128,'CIM&amp;FMS-Detailed'!A:C,3,FALSE))</f>
        <v>Pallet Conveyor - Max. 7 Stations (6240mm x 700mm)</v>
      </c>
      <c r="C128" s="29" t="str">
        <f>IFERROR(HYPERLINK("#"&amp;ADDRESS(MATCH(A128&amp;"ES",'LM7 Non-ENG'!$A$1:$A$5000,0),1,,,"LM7 Non-ENG"),IF(IFERROR(VLOOKUP(A128&amp;"ES",'LM7 Non-ENG'!$A$1:$A$4999,1,FALSE),"ERROR")=A128&amp;"ES","Y","")),"")</f>
        <v/>
      </c>
      <c r="D128" s="29" t="str">
        <f>IFERROR(HYPERLINK("#"&amp;ADDRESS(MATCH(A128&amp;"PT",'LM7 Non-ENG'!$A$1:$A$5000,0),1,,,"LM7 Non-ENG"),IF(IFERROR(VLOOKUP(A128&amp;"PT",'LM7 Non-ENG'!$A$1:$A$5000,1,FALSE),"ERROR")=A128&amp;"PT","Y","")),"")</f>
        <v/>
      </c>
      <c r="E128" s="12">
        <f>'CIM&amp;FMS-Detailed'!J2251</f>
        <v>44165</v>
      </c>
      <c r="F128" s="38"/>
      <c r="G128" s="11"/>
    </row>
    <row r="129" spans="1:13" ht="18" customHeight="1">
      <c r="A129" t="s">
        <v>1151</v>
      </c>
      <c r="B129" s="15" t="str">
        <f>HYPERLINK("#"&amp;ADDRESS(MATCH(A129,'CIM&amp;FMS-Detailed'!$A$1:$A$4510,0),1,,,"CIM&amp;FMS-Detailed"),VLOOKUP(A129,'CIM&amp;FMS-Detailed'!A:C,3,FALSE))</f>
        <v>Pallet Conveyor - Max. 8 Stations (7640mm x 1400mm)</v>
      </c>
      <c r="C129" s="29" t="str">
        <f>IFERROR(HYPERLINK("#"&amp;ADDRESS(MATCH(A129&amp;"ES",'LM7 Non-ENG'!$A$1:$A$5000,0),1,,,"LM7 Non-ENG"),IF(IFERROR(VLOOKUP(A129&amp;"ES",'LM7 Non-ENG'!$A$1:$A$4999,1,FALSE),"ERROR")=A129&amp;"ES","Y","")),"")</f>
        <v/>
      </c>
      <c r="D129" s="29" t="str">
        <f>IFERROR(HYPERLINK("#"&amp;ADDRESS(MATCH(A129&amp;"PT",'LM7 Non-ENG'!$A$1:$A$5000,0),1,,,"LM7 Non-ENG"),IF(IFERROR(VLOOKUP(A129&amp;"PT",'LM7 Non-ENG'!$A$1:$A$5000,1,FALSE),"ERROR")=A129&amp;"PT","Y","")),"")</f>
        <v/>
      </c>
      <c r="E129" s="12">
        <f>'CIM&amp;FMS-Detailed'!J2258</f>
        <v>52875</v>
      </c>
      <c r="F129" s="38"/>
      <c r="G129" s="11"/>
    </row>
    <row r="130" spans="1:13" ht="18" customHeight="1">
      <c r="A130" t="s">
        <v>1153</v>
      </c>
      <c r="B130" s="15" t="str">
        <f>HYPERLINK("#"&amp;ADDRESS(MATCH(A130,'CIM&amp;FMS-Detailed'!$A$1:$A$4510,0),1,,,"CIM&amp;FMS-Detailed"),VLOOKUP(A130,'CIM&amp;FMS-Detailed'!A:C,3,FALSE))</f>
        <v>Pallet Conveyor - Max. 6 Stations (7640mm x 700mm)</v>
      </c>
      <c r="C130" s="29" t="str">
        <f>IFERROR(HYPERLINK("#"&amp;ADDRESS(MATCH(A130&amp;"ES",'LM7 Non-ENG'!$A$1:$A$5000,0),1,,,"LM7 Non-ENG"),IF(IFERROR(VLOOKUP(A130&amp;"ES",'LM7 Non-ENG'!$A$1:$A$4999,1,FALSE),"ERROR")=A130&amp;"ES","Y","")),"")</f>
        <v/>
      </c>
      <c r="D130" s="29" t="str">
        <f>IFERROR(HYPERLINK("#"&amp;ADDRESS(MATCH(A130&amp;"PT",'LM7 Non-ENG'!$A$1:$A$5000,0),1,,,"LM7 Non-ENG"),IF(IFERROR(VLOOKUP(A130&amp;"PT",'LM7 Non-ENG'!$A$1:$A$5000,1,FALSE),"ERROR")=A130&amp;"PT","Y","")),"")</f>
        <v/>
      </c>
      <c r="E130" s="12">
        <f>'CIM&amp;FMS-Detailed'!J2266</f>
        <v>50455</v>
      </c>
      <c r="F130" s="38"/>
      <c r="G130" s="11"/>
    </row>
    <row r="131" spans="1:13" ht="18" customHeight="1">
      <c r="A131" t="s">
        <v>1155</v>
      </c>
      <c r="B131" s="15" t="str">
        <f>HYPERLINK("#"&amp;ADDRESS(MATCH(A131,'CIM&amp;FMS-Detailed'!$A$1:$A$4510,0),1,,,"CIM&amp;FMS-Detailed"),VLOOKUP(A131,'CIM&amp;FMS-Detailed'!A:C,3,FALSE))</f>
        <v>Pallet Conveyor - Max. 8 Stations (9040mm x 700mm)</v>
      </c>
      <c r="C131" s="29" t="str">
        <f>IFERROR(HYPERLINK("#"&amp;ADDRESS(MATCH(A131&amp;"ES",'LM7 Non-ENG'!$A$1:$A$5000,0),1,,,"LM7 Non-ENG"),IF(IFERROR(VLOOKUP(A131&amp;"ES",'LM7 Non-ENG'!$A$1:$A$4999,1,FALSE),"ERROR")=A131&amp;"ES","Y","")),"")</f>
        <v/>
      </c>
      <c r="D131" s="29" t="str">
        <f>IFERROR(HYPERLINK("#"&amp;ADDRESS(MATCH(A131&amp;"PT",'LM7 Non-ENG'!$A$1:$A$5000,0),1,,,"LM7 Non-ENG"),IF(IFERROR(VLOOKUP(A131&amp;"PT",'LM7 Non-ENG'!$A$1:$A$5000,1,FALSE),"ERROR")=A131&amp;"PT","Y","")),"")</f>
        <v/>
      </c>
      <c r="E131" s="12">
        <f>'CIM&amp;FMS-Detailed'!J2273</f>
        <v>56745</v>
      </c>
      <c r="F131" s="38"/>
      <c r="G131" s="11"/>
    </row>
    <row r="132" spans="1:13" ht="18" customHeight="1">
      <c r="A132" t="s">
        <v>1157</v>
      </c>
      <c r="B132" s="15" t="str">
        <f>HYPERLINK("#"&amp;ADDRESS(MATCH(A132,'CIM&amp;FMS-Detailed'!$A$1:$A$4510,0),1,,,"CIM&amp;FMS-Detailed"),VLOOKUP(A132,'CIM&amp;FMS-Detailed'!A:C,3,FALSE))</f>
        <v>Pallet Conveyor Expansion Set (1400mm)</v>
      </c>
      <c r="C132" s="29" t="str">
        <f>IFERROR(HYPERLINK("#"&amp;ADDRESS(MATCH(A132&amp;"ES",'LM7 Non-ENG'!$A$1:$A$5000,0),1,,,"LM7 Non-ENG"),IF(IFERROR(VLOOKUP(A132&amp;"ES",'LM7 Non-ENG'!$A$1:$A$4999,1,FALSE),"ERROR")=A132&amp;"ES","Y","")),"")</f>
        <v/>
      </c>
      <c r="D132" s="29" t="str">
        <f>IFERROR(HYPERLINK("#"&amp;ADDRESS(MATCH(A132&amp;"PT",'LM7 Non-ENG'!$A$1:$A$5000,0),1,,,"LM7 Non-ENG"),IF(IFERROR(VLOOKUP(A132&amp;"PT",'LM7 Non-ENG'!$A$1:$A$5000,1,FALSE),"ERROR")=A132&amp;"PT","Y","")),"")</f>
        <v/>
      </c>
      <c r="E132" s="12">
        <f>'CIM&amp;FMS-Detailed'!J2280</f>
        <v>6290</v>
      </c>
      <c r="F132" s="38"/>
      <c r="G132" s="11"/>
    </row>
    <row r="133" spans="1:13" ht="18" customHeight="1">
      <c r="A133" s="65" t="s">
        <v>1159</v>
      </c>
      <c r="B133" s="65"/>
      <c r="C133" s="65"/>
      <c r="D133" s="65"/>
      <c r="E133" s="65"/>
      <c r="F133" s="65"/>
      <c r="G133" s="65"/>
      <c r="H133" s="65"/>
      <c r="I133" s="65"/>
      <c r="J133" s="65"/>
      <c r="K133" s="65"/>
      <c r="L133" s="65"/>
      <c r="M133" s="65"/>
    </row>
    <row r="134" spans="1:13" ht="18" customHeight="1">
      <c r="A134" t="s">
        <v>1160</v>
      </c>
      <c r="B134" s="15" t="str">
        <f>HYPERLINK("#"&amp;ADDRESS(MATCH(A134,'CIM&amp;FMS-Detailed'!$A$1:$A$4510,0),1,,,"CIM&amp;FMS-Detailed"),VLOOKUP(A134,'CIM&amp;FMS-Detailed'!A:C,3,FALSE))</f>
        <v>Allen Bradley PLC &amp; Cabinet (max. 5 Stations)</v>
      </c>
      <c r="C134" s="29" t="str">
        <f>IFERROR(HYPERLINK("#"&amp;ADDRESS(MATCH(A134&amp;"ES",'LM7 Non-ENG'!$A$1:$A$5000,0),1,,,"LM7 Non-ENG"),IF(IFERROR(VLOOKUP(A134&amp;"ES",'LM7 Non-ENG'!$A$1:$A$4999,1,FALSE),"ERROR")=A134&amp;"ES","Y","")),"")</f>
        <v/>
      </c>
      <c r="D134" s="29" t="str">
        <f>IFERROR(HYPERLINK("#"&amp;ADDRESS(MATCH(A134&amp;"PT",'LM7 Non-ENG'!$A$1:$A$5000,0),1,,,"LM7 Non-ENG"),IF(IFERROR(VLOOKUP(A134&amp;"PT",'LM7 Non-ENG'!$A$1:$A$5000,1,FALSE),"ERROR")=A134&amp;"PT","Y","")),"")</f>
        <v/>
      </c>
      <c r="E134" s="12">
        <f>'CIM&amp;FMS-Detailed'!J2284</f>
        <v>11909</v>
      </c>
      <c r="F134" s="38"/>
      <c r="G134" s="11"/>
    </row>
    <row r="135" spans="1:13" ht="18" customHeight="1">
      <c r="A135" t="s">
        <v>1168</v>
      </c>
      <c r="B135" s="15" t="str">
        <f>HYPERLINK("#"&amp;ADDRESS(MATCH(A135,'CIM&amp;FMS-Detailed'!$A$1:$A$4510,0),1,,,"CIM&amp;FMS-Detailed"),VLOOKUP(A135,'CIM&amp;FMS-Detailed'!A:C,3,FALSE))</f>
        <v>Allen Bradley PLC &amp; Cabinet (max. 8 Stations)</v>
      </c>
      <c r="C135" s="29" t="str">
        <f>IFERROR(HYPERLINK("#"&amp;ADDRESS(MATCH(A135&amp;"ES",'LM7 Non-ENG'!$A$1:$A$5000,0),1,,,"LM7 Non-ENG"),IF(IFERROR(VLOOKUP(A135&amp;"ES",'LM7 Non-ENG'!$A$1:$A$4999,1,FALSE),"ERROR")=A135&amp;"ES","Y","")),"")</f>
        <v/>
      </c>
      <c r="D135" s="29" t="str">
        <f>IFERROR(HYPERLINK("#"&amp;ADDRESS(MATCH(A135&amp;"PT",'LM7 Non-ENG'!$A$1:$A$5000,0),1,,,"LM7 Non-ENG"),IF(IFERROR(VLOOKUP(A135&amp;"PT",'LM7 Non-ENG'!$A$1:$A$5000,1,FALSE),"ERROR")=A135&amp;"PT","Y","")),"")</f>
        <v/>
      </c>
      <c r="E135" s="12">
        <f>'CIM&amp;FMS-Detailed'!J2290</f>
        <v>14789</v>
      </c>
      <c r="F135" s="38"/>
      <c r="G135" s="11"/>
    </row>
    <row r="136" spans="1:13" ht="18" customHeight="1">
      <c r="A136" t="s">
        <v>1172</v>
      </c>
      <c r="B136" s="15" t="str">
        <f>HYPERLINK("#"&amp;ADDRESS(MATCH(A136,'CIM&amp;FMS-Detailed'!$A$1:$A$4510,0),1,,,"CIM&amp;FMS-Detailed"),VLOOKUP(A136,'CIM&amp;FMS-Detailed'!A:C,3,FALSE))</f>
        <v>Omron PLC &amp; Cabinet (max. 5 Stations)</v>
      </c>
      <c r="C136" s="29" t="str">
        <f>IFERROR(HYPERLINK("#"&amp;ADDRESS(MATCH(A136&amp;"ES",'LM7 Non-ENG'!$A$1:$A$5000,0),1,,,"LM7 Non-ENG"),IF(IFERROR(VLOOKUP(A136&amp;"ES",'LM7 Non-ENG'!$A$1:$A$4999,1,FALSE),"ERROR")=A136&amp;"ES","Y","")),"")</f>
        <v/>
      </c>
      <c r="D136" s="29" t="str">
        <f>IFERROR(HYPERLINK("#"&amp;ADDRESS(MATCH(A136&amp;"PT",'LM7 Non-ENG'!$A$1:$A$5000,0),1,,,"LM7 Non-ENG"),IF(IFERROR(VLOOKUP(A136&amp;"PT",'LM7 Non-ENG'!$A$1:$A$5000,1,FALSE),"ERROR")=A136&amp;"PT","Y","")),"")</f>
        <v/>
      </c>
      <c r="E136" s="12">
        <f>'CIM&amp;FMS-Detailed'!J2295</f>
        <v>7349</v>
      </c>
      <c r="F136" s="38"/>
      <c r="G136" s="11"/>
    </row>
    <row r="137" spans="1:13" ht="18" customHeight="1">
      <c r="A137" t="s">
        <v>1176</v>
      </c>
      <c r="B137" s="15" t="str">
        <f>HYPERLINK("#"&amp;ADDRESS(MATCH(A137,'CIM&amp;FMS-Detailed'!$A$1:$A$4510,0),1,,,"CIM&amp;FMS-Detailed"),VLOOKUP(A137,'CIM&amp;FMS-Detailed'!A:C,3,FALSE))</f>
        <v>Omron PLC &amp; Cabinet (max. 7 Stations)</v>
      </c>
      <c r="C137" s="29" t="str">
        <f>IFERROR(HYPERLINK("#"&amp;ADDRESS(MATCH(A137&amp;"ES",'LM7 Non-ENG'!$A$1:$A$5000,0),1,,,"LM7 Non-ENG"),IF(IFERROR(VLOOKUP(A137&amp;"ES",'LM7 Non-ENG'!$A$1:$A$4999,1,FALSE),"ERROR")=A137&amp;"ES","Y","")),"")</f>
        <v/>
      </c>
      <c r="D137" s="29" t="str">
        <f>IFERROR(HYPERLINK("#"&amp;ADDRESS(MATCH(A137&amp;"PT",'LM7 Non-ENG'!$A$1:$A$5000,0),1,,,"LM7 Non-ENG"),IF(IFERROR(VLOOKUP(A137&amp;"PT",'LM7 Non-ENG'!$A$1:$A$5000,1,FALSE),"ERROR")=A137&amp;"PT","Y","")),"")</f>
        <v/>
      </c>
      <c r="E137" s="12">
        <f>'CIM&amp;FMS-Detailed'!J2301</f>
        <v>7109</v>
      </c>
      <c r="F137" s="38"/>
      <c r="G137" s="11"/>
    </row>
    <row r="138" spans="1:13" ht="18" customHeight="1">
      <c r="A138" t="s">
        <v>1180</v>
      </c>
      <c r="B138" s="15" t="str">
        <f>HYPERLINK("#"&amp;ADDRESS(MATCH(A138,'CIM&amp;FMS-Detailed'!$A$1:$A$4510,0),1,,,"CIM&amp;FMS-Detailed"),VLOOKUP(A138,'CIM&amp;FMS-Detailed'!A:C,3,FALSE))</f>
        <v>Siemens S7 PLC &amp; Cabinet (max. 5 Stations)</v>
      </c>
      <c r="C138" s="29" t="str">
        <f>IFERROR(HYPERLINK("#"&amp;ADDRESS(MATCH(A138&amp;"ES",'LM7 Non-ENG'!$A$1:$A$5000,0),1,,,"LM7 Non-ENG"),IF(IFERROR(VLOOKUP(A138&amp;"ES",'LM7 Non-ENG'!$A$1:$A$4999,1,FALSE),"ERROR")=A138&amp;"ES","Y","")),"")</f>
        <v/>
      </c>
      <c r="D138" s="29" t="str">
        <f>IFERROR(HYPERLINK("#"&amp;ADDRESS(MATCH(A138&amp;"PT",'LM7 Non-ENG'!$A$1:$A$5000,0),1,,,"LM7 Non-ENG"),IF(IFERROR(VLOOKUP(A138&amp;"PT",'LM7 Non-ENG'!$A$1:$A$5000,1,FALSE),"ERROR")=A138&amp;"PT","Y","")),"")</f>
        <v/>
      </c>
      <c r="E138" s="12">
        <f>'CIM&amp;FMS-Detailed'!J2307</f>
        <v>8309</v>
      </c>
      <c r="F138" s="38"/>
      <c r="G138" s="11"/>
    </row>
    <row r="139" spans="1:13" ht="18" customHeight="1">
      <c r="A139" t="s">
        <v>1184</v>
      </c>
      <c r="B139" s="15" t="str">
        <f>HYPERLINK("#"&amp;ADDRESS(MATCH(A139,'CIM&amp;FMS-Detailed'!$A$1:$A$4510,0),1,,,"CIM&amp;FMS-Detailed"),VLOOKUP(A139,'CIM&amp;FMS-Detailed'!A:C,3,FALSE))</f>
        <v>Siemens S7 PLC &amp; Cabinet (max. 8 Stations)</v>
      </c>
      <c r="C139" s="29" t="str">
        <f>IFERROR(HYPERLINK("#"&amp;ADDRESS(MATCH(A139&amp;"ES",'LM7 Non-ENG'!$A$1:$A$5000,0),1,,,"LM7 Non-ENG"),IF(IFERROR(VLOOKUP(A139&amp;"ES",'LM7 Non-ENG'!$A$1:$A$4999,1,FALSE),"ERROR")=A139&amp;"ES","Y","")),"")</f>
        <v/>
      </c>
      <c r="D139" s="29" t="str">
        <f>IFERROR(HYPERLINK("#"&amp;ADDRESS(MATCH(A139&amp;"PT",'LM7 Non-ENG'!$A$1:$A$5000,0),1,,,"LM7 Non-ENG"),IF(IFERROR(VLOOKUP(A139&amp;"PT",'LM7 Non-ENG'!$A$1:$A$5000,1,FALSE),"ERROR")=A139&amp;"PT","Y","")),"")</f>
        <v/>
      </c>
      <c r="E139" s="12">
        <f>'CIM&amp;FMS-Detailed'!J2313</f>
        <v>11429</v>
      </c>
      <c r="F139" s="38"/>
      <c r="G139" s="11"/>
    </row>
    <row r="140" spans="1:13" ht="18" customHeight="1">
      <c r="A140" t="s">
        <v>1188</v>
      </c>
      <c r="B140" s="15" t="str">
        <f>HYPERLINK("#"&amp;ADDRESS(MATCH(A140,'CIM&amp;FMS-Detailed'!$A$1:$A$4510,0),1,,,"CIM&amp;FMS-Detailed"),VLOOKUP(A140,'CIM&amp;FMS-Detailed'!A:C,3,FALSE))</f>
        <v>Siemens S7 PLC &amp; Cabinet (ASI BUS)</v>
      </c>
      <c r="C140" s="29" t="str">
        <f>IFERROR(HYPERLINK("#"&amp;ADDRESS(MATCH(A140&amp;"ES",'LM7 Non-ENG'!$A$1:$A$5000,0),1,,,"LM7 Non-ENG"),IF(IFERROR(VLOOKUP(A140&amp;"ES",'LM7 Non-ENG'!$A$1:$A$4999,1,FALSE),"ERROR")=A140&amp;"ES","Y","")),"")</f>
        <v/>
      </c>
      <c r="D140" s="29" t="str">
        <f>IFERROR(HYPERLINK("#"&amp;ADDRESS(MATCH(A140&amp;"PT",'LM7 Non-ENG'!$A$1:$A$5000,0),1,,,"LM7 Non-ENG"),IF(IFERROR(VLOOKUP(A140&amp;"PT",'LM7 Non-ENG'!$A$1:$A$5000,1,FALSE),"ERROR")=A140&amp;"PT","Y","")),"")</f>
        <v/>
      </c>
      <c r="E140" s="12">
        <f>'CIM&amp;FMS-Detailed'!J2319</f>
        <v>389</v>
      </c>
      <c r="F140" s="38"/>
      <c r="G140" s="11"/>
    </row>
    <row r="141" spans="1:13" ht="18" customHeight="1">
      <c r="A141" t="s">
        <v>1190</v>
      </c>
      <c r="B141" s="15" t="str">
        <f>HYPERLINK("#"&amp;ADDRESS(MATCH(A141,'CIM&amp;FMS-Detailed'!$A$1:$A$4510,0),1,,,"CIM&amp;FMS-Detailed"),VLOOKUP(A141,'CIM&amp;FMS-Detailed'!A:C,3,FALSE))</f>
        <v>Siemens S7 PLC &amp; Cabinet (PROFINET)</v>
      </c>
      <c r="C141" s="29" t="str">
        <f>IFERROR(HYPERLINK("#"&amp;ADDRESS(MATCH(A141&amp;"ES",'LM7 Non-ENG'!$A$1:$A$5000,0),1,,,"LM7 Non-ENG"),IF(IFERROR(VLOOKUP(A141&amp;"ES",'LM7 Non-ENG'!$A$1:$A$4999,1,FALSE),"ERROR")=A141&amp;"ES","Y","")),"")</f>
        <v/>
      </c>
      <c r="D141" s="29" t="str">
        <f>IFERROR(HYPERLINK("#"&amp;ADDRESS(MATCH(A141&amp;"PT",'LM7 Non-ENG'!$A$1:$A$5000,0),1,,,"LM7 Non-ENG"),IF(IFERROR(VLOOKUP(A141&amp;"PT",'LM7 Non-ENG'!$A$1:$A$5000,1,FALSE),"ERROR")=A141&amp;"PT","Y","")),"")</f>
        <v/>
      </c>
      <c r="E141" s="12">
        <f>'CIM&amp;FMS-Detailed'!J2325</f>
        <v>6977</v>
      </c>
      <c r="F141" s="38"/>
      <c r="G141" s="11"/>
    </row>
    <row r="142" spans="1:13" ht="18" customHeight="1">
      <c r="A142" t="s">
        <v>1194</v>
      </c>
      <c r="B142" s="15" t="str">
        <f>HYPERLINK("#"&amp;ADDRESS(MATCH(A142,'CIM&amp;FMS-Detailed'!$A$1:$A$4510,0),1,,,"CIM&amp;FMS-Detailed"),VLOOKUP(A142,'CIM&amp;FMS-Detailed'!A:C,3,FALSE))</f>
        <v>Siemens S7 PLC &amp; Cabinet (PROFIBUS)</v>
      </c>
      <c r="C142" s="29" t="str">
        <f>IFERROR(HYPERLINK("#"&amp;ADDRESS(MATCH(A142&amp;"ES",'LM7 Non-ENG'!$A$1:$A$5000,0),1,,,"LM7 Non-ENG"),IF(IFERROR(VLOOKUP(A142&amp;"ES",'LM7 Non-ENG'!$A$1:$A$4999,1,FALSE),"ERROR")=A142&amp;"ES","Y","")),"")</f>
        <v/>
      </c>
      <c r="D142" s="29" t="str">
        <f>IFERROR(HYPERLINK("#"&amp;ADDRESS(MATCH(A142&amp;"PT",'LM7 Non-ENG'!$A$1:$A$5000,0),1,,,"LM7 Non-ENG"),IF(IFERROR(VLOOKUP(A142&amp;"PT",'LM7 Non-ENG'!$A$1:$A$5000,1,FALSE),"ERROR")=A142&amp;"PT","Y","")),"")</f>
        <v/>
      </c>
      <c r="E142" s="12">
        <f>'CIM&amp;FMS-Detailed'!J2331</f>
        <v>9029</v>
      </c>
      <c r="F142" s="38"/>
      <c r="G142" s="11"/>
    </row>
    <row r="143" spans="1:13" ht="18" customHeight="1">
      <c r="A143" s="65" t="s">
        <v>1226</v>
      </c>
      <c r="B143" s="65"/>
      <c r="C143" s="65"/>
      <c r="D143" s="65"/>
      <c r="E143" s="65"/>
      <c r="F143" s="65"/>
      <c r="G143" s="65"/>
      <c r="H143" s="65"/>
      <c r="I143" s="65"/>
      <c r="J143" s="65"/>
      <c r="K143" s="65"/>
      <c r="L143" s="65"/>
      <c r="M143" s="65"/>
    </row>
    <row r="144" spans="1:13" ht="18" customHeight="1">
      <c r="A144" t="s">
        <v>1196</v>
      </c>
      <c r="B144" s="15" t="str">
        <f>HYPERLINK("#"&amp;ADDRESS(MATCH(A144,'CIM&amp;FMS-Detailed'!$A$1:$A$4510,0),1,,,"CIM&amp;FMS-Detailed"),VLOOKUP(A144,'CIM&amp;FMS-Detailed'!A:C,3,FALSE))</f>
        <v>Stop Station - ALLEN BRADLEY (12m cable)</v>
      </c>
      <c r="C144" s="29" t="str">
        <f>IFERROR(HYPERLINK("#"&amp;ADDRESS(MATCH(A144&amp;"ES",'LM7 Non-ENG'!$A$1:$A$5000,0),1,,,"LM7 Non-ENG"),IF(IFERROR(VLOOKUP(A144&amp;"ES",'LM7 Non-ENG'!$A$1:$A$4999,1,FALSE),"ERROR")=A144&amp;"ES","Y","")),"")</f>
        <v/>
      </c>
      <c r="D144" s="29" t="str">
        <f>IFERROR(HYPERLINK("#"&amp;ADDRESS(MATCH(A144&amp;"PT",'LM7 Non-ENG'!$A$1:$A$5000,0),1,,,"LM7 Non-ENG"),IF(IFERROR(VLOOKUP(A144&amp;"PT",'LM7 Non-ENG'!$A$1:$A$5000,1,FALSE),"ERROR")=A144&amp;"PT","Y","")),"")</f>
        <v/>
      </c>
      <c r="E144" s="12">
        <f>'CIM&amp;FMS-Detailed'!J2337</f>
        <v>2928</v>
      </c>
      <c r="F144" s="38"/>
      <c r="G144" s="11"/>
    </row>
    <row r="145" spans="1:13" ht="18" customHeight="1">
      <c r="A145" t="s">
        <v>1208</v>
      </c>
      <c r="B145" s="15" t="str">
        <f>HYPERLINK("#"&amp;ADDRESS(MATCH(A145,'CIM&amp;FMS-Detailed'!$A$1:$A$4510,0),1,,,"CIM&amp;FMS-Detailed"),VLOOKUP(A145,'CIM&amp;FMS-Detailed'!A:C,3,FALSE))</f>
        <v>Stop Station - ALLEN BRADLEY (15m cable)</v>
      </c>
      <c r="C145" s="29" t="str">
        <f>IFERROR(HYPERLINK("#"&amp;ADDRESS(MATCH(A145&amp;"ES",'LM7 Non-ENG'!$A$1:$A$5000,0),1,,,"LM7 Non-ENG"),IF(IFERROR(VLOOKUP(A145&amp;"ES",'LM7 Non-ENG'!$A$1:$A$4999,1,FALSE),"ERROR")=A145&amp;"ES","Y","")),"")</f>
        <v/>
      </c>
      <c r="D145" s="29" t="str">
        <f>IFERROR(HYPERLINK("#"&amp;ADDRESS(MATCH(A145&amp;"PT",'LM7 Non-ENG'!$A$1:$A$5000,0),1,,,"LM7 Non-ENG"),IF(IFERROR(VLOOKUP(A145&amp;"PT",'LM7 Non-ENG'!$A$1:$A$5000,1,FALSE),"ERROR")=A145&amp;"PT","Y","")),"")</f>
        <v/>
      </c>
      <c r="E145" s="12">
        <f>'CIM&amp;FMS-Detailed'!J2344</f>
        <v>2964</v>
      </c>
      <c r="F145" s="38"/>
      <c r="G145" s="11"/>
    </row>
    <row r="146" spans="1:13" ht="18" customHeight="1">
      <c r="A146" t="s">
        <v>1212</v>
      </c>
      <c r="B146" s="15" t="str">
        <f>HYPERLINK("#"&amp;ADDRESS(MATCH(A146,'CIM&amp;FMS-Detailed'!$A$1:$A$4510,0),1,,,"CIM&amp;FMS-Detailed"),VLOOKUP(A146,'CIM&amp;FMS-Detailed'!A:C,3,FALSE))</f>
        <v>Stop Station - ALLEN BRADLEY (6m cable)</v>
      </c>
      <c r="C146" s="29" t="str">
        <f>IFERROR(HYPERLINK("#"&amp;ADDRESS(MATCH(A146&amp;"ES",'LM7 Non-ENG'!$A$1:$A$5000,0),1,,,"LM7 Non-ENG"),IF(IFERROR(VLOOKUP(A146&amp;"ES",'LM7 Non-ENG'!$A$1:$A$4999,1,FALSE),"ERROR")=A146&amp;"ES","Y","")),"")</f>
        <v/>
      </c>
      <c r="D146" s="29" t="str">
        <f>IFERROR(HYPERLINK("#"&amp;ADDRESS(MATCH(A146&amp;"PT",'LM7 Non-ENG'!$A$1:$A$5000,0),1,,,"LM7 Non-ENG"),IF(IFERROR(VLOOKUP(A146&amp;"PT",'LM7 Non-ENG'!$A$1:$A$5000,1,FALSE),"ERROR")=A146&amp;"PT","Y","")),"")</f>
        <v/>
      </c>
      <c r="E146" s="12">
        <f>'CIM&amp;FMS-Detailed'!J2351</f>
        <v>3048</v>
      </c>
      <c r="F146" s="38"/>
      <c r="G146" s="11"/>
    </row>
    <row r="147" spans="1:13" ht="18" customHeight="1">
      <c r="A147" t="s">
        <v>1216</v>
      </c>
      <c r="B147" s="15" t="str">
        <f>HYPERLINK("#"&amp;ADDRESS(MATCH(A147,'CIM&amp;FMS-Detailed'!$A$1:$A$4510,0),1,,,"CIM&amp;FMS-Detailed"),VLOOKUP(A147,'CIM&amp;FMS-Detailed'!A:C,3,FALSE))</f>
        <v>Stop Station - ALLEN BRADLEY (9m cable)</v>
      </c>
      <c r="C147" s="29" t="str">
        <f>IFERROR(HYPERLINK("#"&amp;ADDRESS(MATCH(A147&amp;"ES",'LM7 Non-ENG'!$A$1:$A$5000,0),1,,,"LM7 Non-ENG"),IF(IFERROR(VLOOKUP(A147&amp;"ES",'LM7 Non-ENG'!$A$1:$A$4999,1,FALSE),"ERROR")=A147&amp;"ES","Y","")),"")</f>
        <v/>
      </c>
      <c r="D147" s="29" t="str">
        <f>IFERROR(HYPERLINK("#"&amp;ADDRESS(MATCH(A147&amp;"PT",'LM7 Non-ENG'!$A$1:$A$5000,0),1,,,"LM7 Non-ENG"),IF(IFERROR(VLOOKUP(A147&amp;"PT",'LM7 Non-ENG'!$A$1:$A$5000,1,FALSE),"ERROR")=A147&amp;"PT","Y","")),"")</f>
        <v/>
      </c>
      <c r="E147" s="12">
        <f>'CIM&amp;FMS-Detailed'!J2358</f>
        <v>3072</v>
      </c>
      <c r="F147" s="38"/>
      <c r="G147" s="11"/>
    </row>
    <row r="148" spans="1:13" ht="18" customHeight="1">
      <c r="A148" t="s">
        <v>1220</v>
      </c>
      <c r="B148" s="15" t="str">
        <f>HYPERLINK("#"&amp;ADDRESS(MATCH(A148,'CIM&amp;FMS-Detailed'!$A$1:$A$4510,0),1,,,"CIM&amp;FMS-Detailed"),VLOOKUP(A148,'CIM&amp;FMS-Detailed'!A:C,3,FALSE))</f>
        <v>Stop Station - OMRON (12m cable)</v>
      </c>
      <c r="C148" s="29" t="str">
        <f>IFERROR(HYPERLINK("#"&amp;ADDRESS(MATCH(A148&amp;"ES",'LM7 Non-ENG'!$A$1:$A$5000,0),1,,,"LM7 Non-ENG"),IF(IFERROR(VLOOKUP(A148&amp;"ES",'LM7 Non-ENG'!$A$1:$A$4999,1,FALSE),"ERROR")=A148&amp;"ES","Y","")),"")</f>
        <v/>
      </c>
      <c r="D148" s="29" t="str">
        <f>IFERROR(HYPERLINK("#"&amp;ADDRESS(MATCH(A148&amp;"PT",'LM7 Non-ENG'!$A$1:$A$5000,0),1,,,"LM7 Non-ENG"),IF(IFERROR(VLOOKUP(A148&amp;"PT",'LM7 Non-ENG'!$A$1:$A$5000,1,FALSE),"ERROR")=A148&amp;"PT","Y","")),"")</f>
        <v/>
      </c>
      <c r="E148" s="12">
        <f>'CIM&amp;FMS-Detailed'!J2365</f>
        <v>2928</v>
      </c>
      <c r="F148" s="38"/>
      <c r="G148" s="11"/>
    </row>
    <row r="149" spans="1:13" ht="18" customHeight="1">
      <c r="A149" t="s">
        <v>1222</v>
      </c>
      <c r="B149" s="15" t="str">
        <f>HYPERLINK("#"&amp;ADDRESS(MATCH(A149,'CIM&amp;FMS-Detailed'!$A$1:$A$4510,0),1,,,"CIM&amp;FMS-Detailed"),VLOOKUP(A149,'CIM&amp;FMS-Detailed'!A:C,3,FALSE))</f>
        <v>Stop Station - OMRON (15m cable)</v>
      </c>
      <c r="C149" s="29" t="str">
        <f>IFERROR(HYPERLINK("#"&amp;ADDRESS(MATCH(A149&amp;"ES",'LM7 Non-ENG'!$A$1:$A$5000,0),1,,,"LM7 Non-ENG"),IF(IFERROR(VLOOKUP(A149&amp;"ES",'LM7 Non-ENG'!$A$1:$A$4999,1,FALSE),"ERROR")=A149&amp;"ES","Y","")),"")</f>
        <v/>
      </c>
      <c r="D149" s="29" t="str">
        <f>IFERROR(HYPERLINK("#"&amp;ADDRESS(MATCH(A149&amp;"PT",'LM7 Non-ENG'!$A$1:$A$5000,0),1,,,"LM7 Non-ENG"),IF(IFERROR(VLOOKUP(A149&amp;"PT",'LM7 Non-ENG'!$A$1:$A$5000,1,FALSE),"ERROR")=A149&amp;"PT","Y","")),"")</f>
        <v/>
      </c>
      <c r="E149" s="12">
        <f>'CIM&amp;FMS-Detailed'!J2372</f>
        <v>2964</v>
      </c>
      <c r="F149" s="38"/>
      <c r="G149" s="11"/>
    </row>
    <row r="150" spans="1:13" ht="18" customHeight="1">
      <c r="A150" t="s">
        <v>1224</v>
      </c>
      <c r="B150" s="15" t="str">
        <f>HYPERLINK("#"&amp;ADDRESS(MATCH(A150,'CIM&amp;FMS-Detailed'!$A$1:$A$4510,0),1,,,"CIM&amp;FMS-Detailed"),VLOOKUP(A150,'CIM&amp;FMS-Detailed'!A:C,3,FALSE))</f>
        <v>Stop Station - OMRON (6m cable)</v>
      </c>
      <c r="C150" s="29" t="str">
        <f>IFERROR(HYPERLINK("#"&amp;ADDRESS(MATCH(A150&amp;"ES",'LM7 Non-ENG'!$A$1:$A$5000,0),1,,,"LM7 Non-ENG"),IF(IFERROR(VLOOKUP(A150&amp;"ES",'LM7 Non-ENG'!$A$1:$A$4999,1,FALSE),"ERROR")=A150&amp;"ES","Y","")),"")</f>
        <v/>
      </c>
      <c r="D150" s="29" t="str">
        <f>IFERROR(HYPERLINK("#"&amp;ADDRESS(MATCH(A150&amp;"PT",'LM7 Non-ENG'!$A$1:$A$5000,0),1,,,"LM7 Non-ENG"),IF(IFERROR(VLOOKUP(A150&amp;"PT",'LM7 Non-ENG'!$A$1:$A$5000,1,FALSE),"ERROR")=A150&amp;"PT","Y","")),"")</f>
        <v/>
      </c>
      <c r="E150" s="12">
        <f>'CIM&amp;FMS-Detailed'!J2379</f>
        <v>3048</v>
      </c>
      <c r="F150" s="38"/>
      <c r="G150" s="11"/>
    </row>
    <row r="151" spans="1:13" ht="18" customHeight="1">
      <c r="A151" t="s">
        <v>1227</v>
      </c>
      <c r="B151" s="15" t="str">
        <f>HYPERLINK("#"&amp;ADDRESS(MATCH(A151,'CIM&amp;FMS-Detailed'!$A$1:$A$4510,0),1,,,"CIM&amp;FMS-Detailed"),VLOOKUP(A151,'CIM&amp;FMS-Detailed'!A:C,3,FALSE))</f>
        <v>Stop Station - OMRON (9m cable)</v>
      </c>
      <c r="C151" s="29" t="str">
        <f>IFERROR(HYPERLINK("#"&amp;ADDRESS(MATCH(A151&amp;"ES",'LM7 Non-ENG'!$A$1:$A$5000,0),1,,,"LM7 Non-ENG"),IF(IFERROR(VLOOKUP(A151&amp;"ES",'LM7 Non-ENG'!$A$1:$A$4999,1,FALSE),"ERROR")=A151&amp;"ES","Y","")),"")</f>
        <v/>
      </c>
      <c r="D151" s="29" t="str">
        <f>IFERROR(HYPERLINK("#"&amp;ADDRESS(MATCH(A151&amp;"PT",'LM7 Non-ENG'!$A$1:$A$5000,0),1,,,"LM7 Non-ENG"),IF(IFERROR(VLOOKUP(A151&amp;"PT",'LM7 Non-ENG'!$A$1:$A$5000,1,FALSE),"ERROR")=A151&amp;"PT","Y","")),"")</f>
        <v/>
      </c>
      <c r="E151" s="12">
        <f>'CIM&amp;FMS-Detailed'!J2386</f>
        <v>3072</v>
      </c>
      <c r="F151" s="38"/>
      <c r="G151" s="11"/>
    </row>
    <row r="152" spans="1:13" ht="18" customHeight="1">
      <c r="A152" t="s">
        <v>1229</v>
      </c>
      <c r="B152" s="15" t="str">
        <f>HYPERLINK("#"&amp;ADDRESS(MATCH(A152,'CIM&amp;FMS-Detailed'!$A$1:$A$4510,0),1,,,"CIM&amp;FMS-Detailed"),VLOOKUP(A152,'CIM&amp;FMS-Detailed'!A:C,3,FALSE))</f>
        <v>SIEMENS S7 - Communication Module (Profibus)</v>
      </c>
      <c r="C152" s="29" t="str">
        <f>IFERROR(HYPERLINK("#"&amp;ADDRESS(MATCH(A152&amp;"ES",'LM7 Non-ENG'!$A$1:$A$5000,0),1,,,"LM7 Non-ENG"),IF(IFERROR(VLOOKUP(A152&amp;"ES",'LM7 Non-ENG'!$A$1:$A$4999,1,FALSE),"ERROR")=A152&amp;"ES","Y","")),"")</f>
        <v/>
      </c>
      <c r="D152" s="29" t="str">
        <f>IFERROR(HYPERLINK("#"&amp;ADDRESS(MATCH(A152&amp;"PT",'LM7 Non-ENG'!$A$1:$A$5000,0),1,,,"LM7 Non-ENG"),IF(IFERROR(VLOOKUP(A152&amp;"PT",'LM7 Non-ENG'!$A$1:$A$5000,1,FALSE),"ERROR")=A152&amp;"PT","Y","")),"")</f>
        <v/>
      </c>
      <c r="E152" s="12">
        <f>'CIM&amp;FMS-Detailed'!J2394</f>
        <v>3500</v>
      </c>
      <c r="F152" s="38"/>
      <c r="G152" s="11"/>
    </row>
    <row r="153" spans="1:13" ht="18" customHeight="1">
      <c r="A153" t="s">
        <v>1233</v>
      </c>
      <c r="B153" s="15" t="str">
        <f>HYPERLINK("#"&amp;ADDRESS(MATCH(A153,'CIM&amp;FMS-Detailed'!$A$1:$A$4510,0),1,,,"CIM&amp;FMS-Detailed"),VLOOKUP(A153,'CIM&amp;FMS-Detailed'!A:C,3,FALSE))</f>
        <v>Stop Station - SIEMENS S7 (12m cable)</v>
      </c>
      <c r="C153" s="29" t="str">
        <f>IFERROR(HYPERLINK("#"&amp;ADDRESS(MATCH(A153&amp;"ES",'LM7 Non-ENG'!$A$1:$A$5000,0),1,,,"LM7 Non-ENG"),IF(IFERROR(VLOOKUP(A153&amp;"ES",'LM7 Non-ENG'!$A$1:$A$4999,1,FALSE),"ERROR")=A153&amp;"ES","Y","")),"")</f>
        <v/>
      </c>
      <c r="D153" s="29" t="str">
        <f>IFERROR(HYPERLINK("#"&amp;ADDRESS(MATCH(A153&amp;"PT",'LM7 Non-ENG'!$A$1:$A$5000,0),1,,,"LM7 Non-ENG"),IF(IFERROR(VLOOKUP(A153&amp;"PT",'LM7 Non-ENG'!$A$1:$A$5000,1,FALSE),"ERROR")=A153&amp;"PT","Y","")),"")</f>
        <v/>
      </c>
      <c r="E153" s="12">
        <f>'CIM&amp;FMS-Detailed'!J2397</f>
        <v>3168</v>
      </c>
      <c r="F153" s="38"/>
      <c r="G153" s="11"/>
    </row>
    <row r="154" spans="1:13" ht="18" customHeight="1">
      <c r="A154" t="s">
        <v>1237</v>
      </c>
      <c r="B154" s="15" t="str">
        <f>HYPERLINK("#"&amp;ADDRESS(MATCH(A154,'CIM&amp;FMS-Detailed'!$A$1:$A$4510,0),1,,,"CIM&amp;FMS-Detailed"),VLOOKUP(A154,'CIM&amp;FMS-Detailed'!A:C,3,FALSE))</f>
        <v>Stop Station - SIEMENS S7 (15m cable)</v>
      </c>
      <c r="C154" s="29" t="str">
        <f>IFERROR(HYPERLINK("#"&amp;ADDRESS(MATCH(A154&amp;"ES",'LM7 Non-ENG'!$A$1:$A$5000,0),1,,,"LM7 Non-ENG"),IF(IFERROR(VLOOKUP(A154&amp;"ES",'LM7 Non-ENG'!$A$1:$A$4999,1,FALSE),"ERROR")=A154&amp;"ES","Y","")),"")</f>
        <v/>
      </c>
      <c r="D154" s="29" t="str">
        <f>IFERROR(HYPERLINK("#"&amp;ADDRESS(MATCH(A154&amp;"PT",'LM7 Non-ENG'!$A$1:$A$5000,0),1,,,"LM7 Non-ENG"),IF(IFERROR(VLOOKUP(A154&amp;"PT",'LM7 Non-ENG'!$A$1:$A$5000,1,FALSE),"ERROR")=A154&amp;"PT","Y","")),"")</f>
        <v/>
      </c>
      <c r="E154" s="12">
        <f>'CIM&amp;FMS-Detailed'!J2404</f>
        <v>3204</v>
      </c>
      <c r="F154" s="38"/>
      <c r="G154" s="11"/>
    </row>
    <row r="155" spans="1:13" ht="18" customHeight="1">
      <c r="A155" t="s">
        <v>1239</v>
      </c>
      <c r="B155" s="15" t="str">
        <f>HYPERLINK("#"&amp;ADDRESS(MATCH(A155,'CIM&amp;FMS-Detailed'!$A$1:$A$4510,0),1,,,"CIM&amp;FMS-Detailed"),VLOOKUP(A155,'CIM&amp;FMS-Detailed'!A:C,3,FALSE))</f>
        <v>Stop Station - SIEMENS S7 (6m cable)</v>
      </c>
      <c r="C155" s="29" t="str">
        <f>IFERROR(HYPERLINK("#"&amp;ADDRESS(MATCH(A155&amp;"ES",'LM7 Non-ENG'!$A$1:$A$5000,0),1,,,"LM7 Non-ENG"),IF(IFERROR(VLOOKUP(A155&amp;"ES",'LM7 Non-ENG'!$A$1:$A$4999,1,FALSE),"ERROR")=A155&amp;"ES","Y","")),"")</f>
        <v/>
      </c>
      <c r="D155" s="29" t="str">
        <f>IFERROR(HYPERLINK("#"&amp;ADDRESS(MATCH(A155&amp;"PT",'LM7 Non-ENG'!$A$1:$A$5000,0),1,,,"LM7 Non-ENG"),IF(IFERROR(VLOOKUP(A155&amp;"PT",'LM7 Non-ENG'!$A$1:$A$5000,1,FALSE),"ERROR")=A155&amp;"PT","Y","")),"")</f>
        <v/>
      </c>
      <c r="E155" s="12">
        <f>'CIM&amp;FMS-Detailed'!J2411</f>
        <v>3288</v>
      </c>
      <c r="F155" s="38"/>
      <c r="G155" s="11"/>
    </row>
    <row r="156" spans="1:13" ht="18" customHeight="1">
      <c r="A156" t="s">
        <v>1241</v>
      </c>
      <c r="B156" s="15" t="str">
        <f>HYPERLINK("#"&amp;ADDRESS(MATCH(A156,'CIM&amp;FMS-Detailed'!$A$1:$A$4510,0),1,,,"CIM&amp;FMS-Detailed"),VLOOKUP(A156,'CIM&amp;FMS-Detailed'!A:C,3,FALSE))</f>
        <v>Stop Station - SIEMENS S7 (9m cable)</v>
      </c>
      <c r="C156" s="29" t="str">
        <f>IFERROR(HYPERLINK("#"&amp;ADDRESS(MATCH(A156&amp;"ES",'LM7 Non-ENG'!$A$1:$A$5000,0),1,,,"LM7 Non-ENG"),IF(IFERROR(VLOOKUP(A156&amp;"ES",'LM7 Non-ENG'!$A$1:$A$4999,1,FALSE),"ERROR")=A156&amp;"ES","Y","")),"")</f>
        <v/>
      </c>
      <c r="D156" s="29" t="str">
        <f>IFERROR(HYPERLINK("#"&amp;ADDRESS(MATCH(A156&amp;"PT",'LM7 Non-ENG'!$A$1:$A$5000,0),1,,,"LM7 Non-ENG"),IF(IFERROR(VLOOKUP(A156&amp;"PT",'LM7 Non-ENG'!$A$1:$A$5000,1,FALSE),"ERROR")=A156&amp;"PT","Y","")),"")</f>
        <v/>
      </c>
      <c r="E156" s="12">
        <f>'CIM&amp;FMS-Detailed'!J2418</f>
        <v>3312</v>
      </c>
      <c r="F156" s="38"/>
      <c r="G156" s="11"/>
    </row>
    <row r="157" spans="1:13" ht="18" customHeight="1">
      <c r="A157" t="s">
        <v>1243</v>
      </c>
      <c r="B157" s="15" t="str">
        <f>HYPERLINK("#"&amp;ADDRESS(MATCH(A157,'CIM&amp;FMS-Detailed'!$A$1:$A$4510,0),1,,,"CIM&amp;FMS-Detailed"),VLOOKUP(A157,'CIM&amp;FMS-Detailed'!A:C,3,FALSE))</f>
        <v>Stop Station - SIEMENS S7 ASI BUS</v>
      </c>
      <c r="C157" s="29" t="str">
        <f>IFERROR(HYPERLINK("#"&amp;ADDRESS(MATCH(A157&amp;"ES",'LM7 Non-ENG'!$A$1:$A$5000,0),1,,,"LM7 Non-ENG"),IF(IFERROR(VLOOKUP(A157&amp;"ES",'LM7 Non-ENG'!$A$1:$A$4999,1,FALSE),"ERROR")=A157&amp;"ES","Y","")),"")</f>
        <v/>
      </c>
      <c r="D157" s="29" t="str">
        <f>IFERROR(HYPERLINK("#"&amp;ADDRESS(MATCH(A157&amp;"PT",'LM7 Non-ENG'!$A$1:$A$5000,0),1,,,"LM7 Non-ENG"),IF(IFERROR(VLOOKUP(A157&amp;"PT",'LM7 Non-ENG'!$A$1:$A$5000,1,FALSE),"ERROR")=A157&amp;"PT","Y","")),"")</f>
        <v/>
      </c>
      <c r="E157" s="12">
        <f>'CIM&amp;FMS-Detailed'!J2425</f>
        <v>2832</v>
      </c>
      <c r="F157" s="38"/>
      <c r="G157" s="11"/>
    </row>
    <row r="158" spans="1:13" ht="18" customHeight="1">
      <c r="A158" t="s">
        <v>1247</v>
      </c>
      <c r="B158" s="15" t="str">
        <f>HYPERLINK("#"&amp;ADDRESS(MATCH(A158,'CIM&amp;FMS-Detailed'!$A$1:$A$4510,0),1,,,"CIM&amp;FMS-Detailed"),VLOOKUP(A158,'CIM&amp;FMS-Detailed'!A:C,3,FALSE))</f>
        <v>Stop Station - SIEMENS S7 PROFIBUS</v>
      </c>
      <c r="C158" s="29" t="str">
        <f>IFERROR(HYPERLINK("#"&amp;ADDRESS(MATCH(A158&amp;"ES",'LM7 Non-ENG'!$A$1:$A$5000,0),1,,,"LM7 Non-ENG"),IF(IFERROR(VLOOKUP(A158&amp;"ES",'LM7 Non-ENG'!$A$1:$A$4999,1,FALSE),"ERROR")=A158&amp;"ES","Y","")),"")</f>
        <v/>
      </c>
      <c r="D158" s="29" t="str">
        <f>IFERROR(HYPERLINK("#"&amp;ADDRESS(MATCH(A158&amp;"PT",'LM7 Non-ENG'!$A$1:$A$5000,0),1,,,"LM7 Non-ENG"),IF(IFERROR(VLOOKUP(A158&amp;"PT",'LM7 Non-ENG'!$A$1:$A$5000,1,FALSE),"ERROR")=A158&amp;"PT","Y","")),"")</f>
        <v/>
      </c>
      <c r="E158" s="12">
        <f>'CIM&amp;FMS-Detailed'!J2431</f>
        <v>3112</v>
      </c>
      <c r="F158" s="38"/>
      <c r="G158" s="11"/>
    </row>
    <row r="159" spans="1:13" ht="18" customHeight="1">
      <c r="A159" s="65" t="s">
        <v>1251</v>
      </c>
      <c r="B159" s="65"/>
      <c r="C159" s="65"/>
      <c r="D159" s="65"/>
      <c r="E159" s="65"/>
      <c r="F159" s="65"/>
      <c r="G159" s="65"/>
      <c r="H159" s="65"/>
      <c r="I159" s="65"/>
      <c r="J159" s="65"/>
      <c r="K159" s="65"/>
      <c r="L159" s="65"/>
      <c r="M159" s="65"/>
    </row>
    <row r="160" spans="1:13" ht="18" customHeight="1">
      <c r="A160" t="s">
        <v>1252</v>
      </c>
      <c r="B160" s="15" t="str">
        <f>HYPERLINK("#"&amp;ADDRESS(MATCH(A160,'CIM&amp;FMS-Detailed'!$A$1:$A$4510,0),1,,,"CIM&amp;FMS-Detailed"),VLOOKUP(A160,'CIM&amp;FMS-Detailed'!A:C,3,FALSE))</f>
        <v>CIM System Management Station including OpenCIM online Software</v>
      </c>
      <c r="E160" s="12">
        <f>'CIM&amp;FMS-Detailed'!J2437</f>
        <v>23078</v>
      </c>
      <c r="F160" s="38"/>
      <c r="G160" s="11"/>
    </row>
    <row r="161" spans="1:13" ht="18" customHeight="1">
      <c r="A161" s="65" t="s">
        <v>1263</v>
      </c>
      <c r="B161" s="65"/>
      <c r="C161" s="65"/>
      <c r="D161" s="65"/>
      <c r="E161" s="65"/>
      <c r="F161" s="65"/>
      <c r="G161" s="65"/>
      <c r="H161" s="65"/>
      <c r="I161" s="65"/>
      <c r="J161" s="65"/>
      <c r="K161" s="65"/>
      <c r="L161" s="65"/>
      <c r="M161" s="65"/>
    </row>
    <row r="162" spans="1:13" ht="18" customHeight="1">
      <c r="A162" t="s">
        <v>1262</v>
      </c>
      <c r="B162" s="15" t="str">
        <f>HYPERLINK("#"&amp;ADDRESS(MATCH(A162,'CIM&amp;FMS-Detailed'!$A$1:$A$4510,0),1,,,"CIM&amp;FMS-Detailed"),VLOOKUP(A162,'CIM&amp;FMS-Detailed'!A:C,3,FALSE))</f>
        <v>OpenCIM Software OffLine - 10 Licenses</v>
      </c>
      <c r="E162" s="12">
        <f>'CIM&amp;FMS-Detailed'!J2444</f>
        <v>9911</v>
      </c>
      <c r="F162" s="38"/>
      <c r="G162" s="11"/>
    </row>
    <row r="163" spans="1:13" ht="18" customHeight="1">
      <c r="A163" t="s">
        <v>1265</v>
      </c>
      <c r="B163" s="15" t="str">
        <f>HYPERLINK("#"&amp;ADDRESS(MATCH(A163,'CIM&amp;FMS-Detailed'!$A$1:$A$4510,0),1,,,"CIM&amp;FMS-Detailed"),VLOOKUP(A163,'CIM&amp;FMS-Detailed'!A:C,3,FALSE))</f>
        <v>OpenCIM OnLine Software</v>
      </c>
      <c r="E163" s="12">
        <f>'CIM&amp;FMS-Detailed'!J2448</f>
        <v>21411</v>
      </c>
      <c r="F163" s="38"/>
      <c r="G163" s="11"/>
    </row>
    <row r="164" spans="1:13" ht="18" customHeight="1">
      <c r="A164" s="65" t="s">
        <v>1269</v>
      </c>
      <c r="B164" s="65"/>
      <c r="C164" s="65"/>
      <c r="D164" s="65"/>
      <c r="E164" s="65"/>
      <c r="F164" s="65"/>
      <c r="G164" s="65"/>
      <c r="H164" s="65"/>
      <c r="I164" s="65"/>
      <c r="J164" s="65"/>
      <c r="K164" s="65"/>
      <c r="L164" s="65"/>
      <c r="M164" s="65"/>
    </row>
    <row r="165" spans="1:13" ht="18" customHeight="1">
      <c r="A165" t="s">
        <v>1267</v>
      </c>
      <c r="B165" s="15" t="str">
        <f>HYPERLINK("#"&amp;ADDRESS(MATCH(A165,'CIM&amp;FMS-Detailed'!$A$1:$A$4510,0),1,,,"CIM&amp;FMS-Detailed"),VLOOKUP(A165,'CIM&amp;FMS-Detailed'!A:C,3,FALSE))</f>
        <v>CIM Complete Virtual Content, Classroom License, LM7</v>
      </c>
      <c r="E165" s="12">
        <f>'CIM&amp;FMS-Detailed'!J2452</f>
        <v>48415</v>
      </c>
      <c r="F165" s="38"/>
      <c r="G165" s="11"/>
      <c r="K165" s="17" t="str">
        <f>HYPERLINK("#"&amp;ADDRESS(MATCH("LearnMate 7 Bundles",LearnMate7!$A$1:$A$5000,0),1,,,"LearnMate7"),"LMS")</f>
        <v>LMS</v>
      </c>
    </row>
    <row r="166" spans="1:13" ht="18" customHeight="1">
      <c r="A166" s="65" t="s">
        <v>1283</v>
      </c>
      <c r="B166" s="65"/>
      <c r="C166" s="65"/>
      <c r="D166" s="65"/>
      <c r="E166" s="65"/>
      <c r="F166" s="65"/>
      <c r="G166" s="65"/>
      <c r="H166" s="65"/>
      <c r="I166" s="65"/>
      <c r="J166" s="65"/>
      <c r="K166" s="65"/>
      <c r="L166" s="65"/>
      <c r="M166" s="65"/>
    </row>
    <row r="167" spans="1:13" ht="18" customHeight="1">
      <c r="A167" t="s">
        <v>1288</v>
      </c>
      <c r="B167" s="15" t="str">
        <f>HYPERLINK("#"&amp;ADDRESS(MATCH(A167,'CIM&amp;FMS-Detailed'!$A$1:$A$4510,0),1,,,"CIM&amp;FMS-Detailed"),VLOOKUP(A167,'CIM&amp;FMS-Detailed'!A:C,3,FALSE))</f>
        <v>On Site Installation &amp; Training for 2 Station CIM</v>
      </c>
      <c r="E167" s="12">
        <f>'CIM&amp;FMS-Detailed'!J2475</f>
        <v>18150</v>
      </c>
      <c r="F167" s="38"/>
      <c r="G167" s="11"/>
    </row>
    <row r="168" spans="1:13" ht="18" customHeight="1">
      <c r="A168" t="s">
        <v>1290</v>
      </c>
      <c r="B168" s="15" t="str">
        <f>HYPERLINK("#"&amp;ADDRESS(MATCH(A168,'CIM&amp;FMS-Detailed'!$A$1:$A$4510,0),1,,,"CIM&amp;FMS-Detailed"),VLOOKUP(A168,'CIM&amp;FMS-Detailed'!A:C,3,FALSE))</f>
        <v>On Site Installation &amp; Training for 3 Station CIM</v>
      </c>
      <c r="E168" s="12">
        <f>'CIM&amp;FMS-Detailed'!J2479</f>
        <v>24750</v>
      </c>
      <c r="F168" s="38"/>
      <c r="G168" s="11"/>
    </row>
    <row r="169" spans="1:13" ht="18" customHeight="1">
      <c r="A169" t="s">
        <v>1292</v>
      </c>
      <c r="B169" s="15" t="str">
        <f>HYPERLINK("#"&amp;ADDRESS(MATCH(A169,'CIM&amp;FMS-Detailed'!$A$1:$A$4510,0),1,,,"CIM&amp;FMS-Detailed"),VLOOKUP(A169,'CIM&amp;FMS-Detailed'!A:C,3,FALSE))</f>
        <v>On Site Installation &amp; Training for 4 Station CIM</v>
      </c>
      <c r="E169" s="12">
        <f>'CIM&amp;FMS-Detailed'!J2483</f>
        <v>29700</v>
      </c>
      <c r="F169" s="38"/>
      <c r="G169" s="11"/>
    </row>
    <row r="170" spans="1:13" ht="18" customHeight="1">
      <c r="A170" t="s">
        <v>1294</v>
      </c>
      <c r="B170" s="15" t="str">
        <f>HYPERLINK("#"&amp;ADDRESS(MATCH(A170,'CIM&amp;FMS-Detailed'!$A$1:$A$4510,0),1,,,"CIM&amp;FMS-Detailed"),VLOOKUP(A170,'CIM&amp;FMS-Detailed'!A:C,3,FALSE))</f>
        <v>On Site Installation &amp; Training for 5 Station CIM</v>
      </c>
      <c r="E170" s="12">
        <f>'CIM&amp;FMS-Detailed'!J2487</f>
        <v>33000</v>
      </c>
      <c r="F170" s="38"/>
      <c r="G170" s="11"/>
    </row>
    <row r="171" spans="1:13" ht="18" customHeight="1">
      <c r="A171" t="s">
        <v>1296</v>
      </c>
      <c r="B171" s="15" t="str">
        <f>HYPERLINK("#"&amp;ADDRESS(MATCH(A171,'CIM&amp;FMS-Detailed'!$A$1:$A$4510,0),1,,,"CIM&amp;FMS-Detailed"),VLOOKUP(A171,'CIM&amp;FMS-Detailed'!A:C,3,FALSE))</f>
        <v>On Site Installation &amp; Training for 6 Station CIM</v>
      </c>
      <c r="E171" s="12">
        <f>'CIM&amp;FMS-Detailed'!J2491</f>
        <v>39600</v>
      </c>
      <c r="F171" s="38"/>
      <c r="G171" s="11"/>
    </row>
    <row r="172" spans="1:13" ht="18" customHeight="1">
      <c r="A172" t="s">
        <v>1298</v>
      </c>
      <c r="B172" s="15" t="str">
        <f>HYPERLINK("#"&amp;ADDRESS(MATCH(A172,'CIM&amp;FMS-Detailed'!$A$1:$A$4510,0),1,,,"CIM&amp;FMS-Detailed"),VLOOKUP(A172,'CIM&amp;FMS-Detailed'!A:C,3,FALSE))</f>
        <v>On Site Installation &amp; Training for 7 Station CIM</v>
      </c>
      <c r="E172" s="12">
        <f>'CIM&amp;FMS-Detailed'!J2495</f>
        <v>44550</v>
      </c>
      <c r="F172" s="38"/>
      <c r="G172" s="11"/>
    </row>
    <row r="173" spans="1:13" ht="18" customHeight="1">
      <c r="A173" t="s">
        <v>1300</v>
      </c>
      <c r="B173" s="15" t="str">
        <f>HYPERLINK("#"&amp;ADDRESS(MATCH(A173,'CIM&amp;FMS-Detailed'!$A$1:$A$4510,0),1,,,"CIM&amp;FMS-Detailed"),VLOOKUP(A173,'CIM&amp;FMS-Detailed'!A:C,3,FALSE))</f>
        <v>On Site Installation &amp; Training for 8 Station CIM</v>
      </c>
      <c r="E173" s="12">
        <f>'CIM&amp;FMS-Detailed'!J2499</f>
        <v>49500</v>
      </c>
      <c r="F173" s="38"/>
      <c r="G173" s="11"/>
    </row>
    <row r="174" spans="1:13" ht="18" customHeight="1">
      <c r="A174" t="s">
        <v>1284</v>
      </c>
      <c r="B174" s="15" t="str">
        <f>HYPERLINK("#"&amp;ADDRESS(MATCH(A174,'CIM&amp;FMS-Detailed'!$A$1:$A$4510,0),1,,,"CIM&amp;FMS-Detailed"),VLOOKUP(A174,'CIM&amp;FMS-Detailed'!A:C,3,FALSE))</f>
        <v>On Site Installation &amp; Training for additional CIM Station</v>
      </c>
      <c r="E174" s="12">
        <f>'CIM&amp;FMS-Detailed'!J2471</f>
        <v>4950</v>
      </c>
      <c r="F174" s="38"/>
      <c r="G174" s="11"/>
    </row>
    <row r="175" spans="1:13" ht="18" customHeight="1">
      <c r="A175" t="s">
        <v>1305</v>
      </c>
      <c r="B175" s="15" t="str">
        <f>HYPERLINK("#"&amp;ADDRESS(MATCH(A175,'CIM&amp;FMS-Detailed'!$A$1:$A$4510,0),1,,,"CIM&amp;FMS-Detailed"),VLOOKUP(A175,'CIM&amp;FMS-Detailed'!A:C,3,FALSE))</f>
        <v>On Site Installation - 2 Station CIM</v>
      </c>
      <c r="E175" s="12">
        <f>'CIM&amp;FMS-Detailed'!J2506</f>
        <v>8250</v>
      </c>
      <c r="F175" s="38"/>
      <c r="G175" s="11"/>
    </row>
    <row r="176" spans="1:13" ht="18" customHeight="1">
      <c r="A176" t="s">
        <v>1306</v>
      </c>
      <c r="B176" s="15" t="str">
        <f>HYPERLINK("#"&amp;ADDRESS(MATCH(A176,'CIM&amp;FMS-Detailed'!$A$1:$A$4510,0),1,,,"CIM&amp;FMS-Detailed"),VLOOKUP(A176,'CIM&amp;FMS-Detailed'!A:C,3,FALSE))</f>
        <v>On Site Installation - 3 Station CIM</v>
      </c>
      <c r="E176" s="12">
        <f>'CIM&amp;FMS-Detailed'!J2509</f>
        <v>13200</v>
      </c>
      <c r="F176" s="38"/>
      <c r="G176" s="11"/>
    </row>
    <row r="177" spans="1:13" ht="18" customHeight="1">
      <c r="A177" t="s">
        <v>1313</v>
      </c>
      <c r="B177" s="15" t="str">
        <f>HYPERLINK("#"&amp;ADDRESS(MATCH(A177,'CIM&amp;FMS-Detailed'!$A$1:$A$4510,0),1,,,"CIM&amp;FMS-Detailed"),VLOOKUP(A177,'CIM&amp;FMS-Detailed'!A:C,3,FALSE))</f>
        <v>On Site Installation - 4 Station CIM</v>
      </c>
      <c r="E177" s="12">
        <f>'CIM&amp;FMS-Detailed'!J2512</f>
        <v>16500</v>
      </c>
      <c r="F177" s="38"/>
      <c r="G177" s="11"/>
    </row>
    <row r="178" spans="1:13" ht="18" customHeight="1">
      <c r="A178" t="s">
        <v>1314</v>
      </c>
      <c r="B178" s="15" t="str">
        <f>HYPERLINK("#"&amp;ADDRESS(MATCH(A178,'CIM&amp;FMS-Detailed'!$A$1:$A$4510,0),1,,,"CIM&amp;FMS-Detailed"),VLOOKUP(A178,'CIM&amp;FMS-Detailed'!A:C,3,FALSE))</f>
        <v>On Site Installation - 5 Station CIM</v>
      </c>
      <c r="E178" s="12">
        <f>'CIM&amp;FMS-Detailed'!J2515</f>
        <v>19800</v>
      </c>
      <c r="F178" s="38"/>
      <c r="G178" s="11"/>
    </row>
    <row r="179" spans="1:13" ht="18" customHeight="1">
      <c r="A179" t="s">
        <v>1315</v>
      </c>
      <c r="B179" s="15" t="str">
        <f>HYPERLINK("#"&amp;ADDRESS(MATCH(A179,'CIM&amp;FMS-Detailed'!$A$1:$A$4510,0),1,,,"CIM&amp;FMS-Detailed"),VLOOKUP(A179,'CIM&amp;FMS-Detailed'!A:C,3,FALSE))</f>
        <v>On Site Installation - 6 Station CIM</v>
      </c>
      <c r="E179" s="12">
        <f>'CIM&amp;FMS-Detailed'!J2518</f>
        <v>23100</v>
      </c>
      <c r="F179" s="38"/>
      <c r="G179" s="11"/>
    </row>
    <row r="180" spans="1:13" ht="18" customHeight="1">
      <c r="A180" t="s">
        <v>1316</v>
      </c>
      <c r="B180" s="15" t="str">
        <f>HYPERLINK("#"&amp;ADDRESS(MATCH(A180,'CIM&amp;FMS-Detailed'!$A$1:$A$4510,0),1,,,"CIM&amp;FMS-Detailed"),VLOOKUP(A180,'CIM&amp;FMS-Detailed'!A:C,3,FALSE))</f>
        <v>On Site Installation - 7 Station CIM</v>
      </c>
      <c r="E180" s="12">
        <f>'CIM&amp;FMS-Detailed'!J2521</f>
        <v>24750</v>
      </c>
      <c r="F180" s="38"/>
      <c r="G180" s="11"/>
    </row>
    <row r="181" spans="1:13" ht="18" customHeight="1">
      <c r="A181" t="s">
        <v>1317</v>
      </c>
      <c r="B181" s="15" t="str">
        <f>HYPERLINK("#"&amp;ADDRESS(MATCH(A181,'CIM&amp;FMS-Detailed'!$A$1:$A$4510,0),1,,,"CIM&amp;FMS-Detailed"),VLOOKUP(A181,'CIM&amp;FMS-Detailed'!A:C,3,FALSE))</f>
        <v>On Site Installation - 8 Station CIM</v>
      </c>
      <c r="E181" s="12">
        <f>'CIM&amp;FMS-Detailed'!J2524</f>
        <v>26400</v>
      </c>
      <c r="F181" s="38"/>
      <c r="G181" s="11"/>
    </row>
    <row r="182" spans="1:13" ht="18" customHeight="1">
      <c r="A182" t="s">
        <v>1302</v>
      </c>
      <c r="B182" s="15" t="str">
        <f>HYPERLINK("#"&amp;ADDRESS(MATCH(A182,'CIM&amp;FMS-Detailed'!$A$1:$A$4510,0),1,,,"CIM&amp;FMS-Detailed"),VLOOKUP(A182,'CIM&amp;FMS-Detailed'!A:C,3,FALSE))</f>
        <v>On Site Installation - additional CIM Station</v>
      </c>
      <c r="E182" s="12">
        <f>'CIM&amp;FMS-Detailed'!J2503</f>
        <v>3300</v>
      </c>
      <c r="F182" s="38"/>
      <c r="G182" s="11"/>
    </row>
    <row r="183" spans="1:13" ht="18" customHeight="1">
      <c r="A183" t="s">
        <v>1320</v>
      </c>
      <c r="B183" s="15" t="str">
        <f>HYPERLINK("#"&amp;ADDRESS(MATCH(A183,'CIM&amp;FMS-Detailed'!$A$1:$A$4510,0),1,,,"CIM&amp;FMS-Detailed"),VLOOKUP(A183,'CIM&amp;FMS-Detailed'!A:C,3,FALSE))</f>
        <v>On Site Training - 2 Station CIM</v>
      </c>
      <c r="E183" s="12">
        <f>'CIM&amp;FMS-Detailed'!J2530</f>
        <v>9900</v>
      </c>
      <c r="F183" s="38"/>
      <c r="G183" s="11"/>
    </row>
    <row r="184" spans="1:13" ht="18" customHeight="1">
      <c r="A184" t="s">
        <v>1322</v>
      </c>
      <c r="B184" s="15" t="str">
        <f>HYPERLINK("#"&amp;ADDRESS(MATCH(A184,'CIM&amp;FMS-Detailed'!$A$1:$A$4510,0),1,,,"CIM&amp;FMS-Detailed"),VLOOKUP(A184,'CIM&amp;FMS-Detailed'!A:C,3,FALSE))</f>
        <v>On Site Training - 3 Station CIM</v>
      </c>
      <c r="E184" s="12">
        <f>'CIM&amp;FMS-Detailed'!J2533</f>
        <v>11550</v>
      </c>
      <c r="F184" s="38"/>
      <c r="G184" s="11"/>
    </row>
    <row r="185" spans="1:13" ht="18" customHeight="1">
      <c r="A185" t="s">
        <v>1323</v>
      </c>
      <c r="B185" s="15" t="str">
        <f>HYPERLINK("#"&amp;ADDRESS(MATCH(A185,'CIM&amp;FMS-Detailed'!$A$1:$A$4510,0),1,,,"CIM&amp;FMS-Detailed"),VLOOKUP(A185,'CIM&amp;FMS-Detailed'!A:C,3,FALSE))</f>
        <v>On Site Training - 4 Station CIM</v>
      </c>
      <c r="E185" s="12">
        <f>'CIM&amp;FMS-Detailed'!J2536</f>
        <v>13200</v>
      </c>
      <c r="F185" s="38"/>
      <c r="G185" s="11"/>
    </row>
    <row r="186" spans="1:13" ht="18" customHeight="1">
      <c r="A186" t="s">
        <v>1324</v>
      </c>
      <c r="B186" s="15" t="str">
        <f>HYPERLINK("#"&amp;ADDRESS(MATCH(A186,'CIM&amp;FMS-Detailed'!$A$1:$A$4510,0),1,,,"CIM&amp;FMS-Detailed"),VLOOKUP(A186,'CIM&amp;FMS-Detailed'!A:C,3,FALSE))</f>
        <v>On Site Training - 5 Station CIM</v>
      </c>
      <c r="E186" s="12">
        <f>'CIM&amp;FMS-Detailed'!J2539</f>
        <v>13200</v>
      </c>
      <c r="F186" s="38"/>
      <c r="G186" s="11"/>
    </row>
    <row r="187" spans="1:13" ht="18" customHeight="1">
      <c r="A187" t="s">
        <v>1325</v>
      </c>
      <c r="B187" s="15" t="str">
        <f>HYPERLINK("#"&amp;ADDRESS(MATCH(A187,'CIM&amp;FMS-Detailed'!$A$1:$A$4510,0),1,,,"CIM&amp;FMS-Detailed"),VLOOKUP(A187,'CIM&amp;FMS-Detailed'!A:C,3,FALSE))</f>
        <v>On Site Training - 6 Station CIM</v>
      </c>
      <c r="E187" s="12">
        <f>'CIM&amp;FMS-Detailed'!J2542</f>
        <v>16500</v>
      </c>
      <c r="F187" s="38"/>
      <c r="G187" s="11"/>
    </row>
    <row r="188" spans="1:13" ht="18" customHeight="1">
      <c r="A188" t="s">
        <v>1326</v>
      </c>
      <c r="B188" s="15" t="str">
        <f>HYPERLINK("#"&amp;ADDRESS(MATCH(A188,'CIM&amp;FMS-Detailed'!$A$1:$A$4510,0),1,,,"CIM&amp;FMS-Detailed"),VLOOKUP(A188,'CIM&amp;FMS-Detailed'!A:C,3,FALSE))</f>
        <v>On Site Training - 7 Station CIM</v>
      </c>
      <c r="E188" s="12">
        <f>'CIM&amp;FMS-Detailed'!J2545</f>
        <v>19800</v>
      </c>
      <c r="F188" s="38"/>
      <c r="G188" s="11"/>
    </row>
    <row r="189" spans="1:13" ht="18" customHeight="1">
      <c r="A189" t="s">
        <v>1327</v>
      </c>
      <c r="B189" s="15" t="str">
        <f>HYPERLINK("#"&amp;ADDRESS(MATCH(A189,'CIM&amp;FMS-Detailed'!$A$1:$A$4510,0),1,,,"CIM&amp;FMS-Detailed"),VLOOKUP(A189,'CIM&amp;FMS-Detailed'!A:C,3,FALSE))</f>
        <v>On Site Training - 8 Station CIM</v>
      </c>
      <c r="E189" s="12">
        <f>'CIM&amp;FMS-Detailed'!J2548</f>
        <v>23100</v>
      </c>
      <c r="F189" s="38"/>
      <c r="G189" s="11"/>
    </row>
    <row r="190" spans="1:13" ht="18" customHeight="1">
      <c r="A190" t="s">
        <v>1318</v>
      </c>
      <c r="B190" s="15" t="str">
        <f>HYPERLINK("#"&amp;ADDRESS(MATCH(A190,'CIM&amp;FMS-Detailed'!$A$1:$A$4510,0),1,,,"CIM&amp;FMS-Detailed"),VLOOKUP(A190,'CIM&amp;FMS-Detailed'!A:C,3,FALSE))</f>
        <v>On Site Training - additional CIM Station</v>
      </c>
      <c r="E190" s="12">
        <f>'CIM&amp;FMS-Detailed'!J2527</f>
        <v>1650</v>
      </c>
      <c r="F190" s="38"/>
      <c r="G190" s="11"/>
    </row>
    <row r="191" spans="1:13" ht="18" customHeight="1">
      <c r="A191" s="65"/>
      <c r="B191" s="65"/>
      <c r="C191" s="65"/>
      <c r="D191" s="65"/>
      <c r="E191" s="65"/>
      <c r="F191" s="65"/>
      <c r="G191" s="65"/>
      <c r="H191" s="65"/>
      <c r="I191" s="65"/>
      <c r="J191" s="65"/>
      <c r="K191" s="65"/>
      <c r="L191" s="65"/>
      <c r="M191" s="65"/>
    </row>
    <row r="192" spans="1:13" ht="18" customHeight="1">
      <c r="A192" t="s">
        <v>1334</v>
      </c>
      <c r="B192" s="15" t="str">
        <f>HYPERLINK("#"&amp;ADDRESS(MATCH(A192,'CIM&amp;FMS-Detailed'!$A$1:$A$4510,0),1,,,"CIM&amp;FMS-Detailed"),VLOOKUP(A192,'CIM&amp;FMS-Detailed'!A:C,3,FALSE))</f>
        <v>Air Fare (Non Commissionable)</v>
      </c>
      <c r="E192" s="12">
        <f>'CIM&amp;FMS-Detailed'!J2551</f>
        <v>2500</v>
      </c>
      <c r="F192" s="38"/>
      <c r="G192" s="11"/>
    </row>
  </sheetData>
  <mergeCells count="16">
    <mergeCell ref="K1:M1"/>
    <mergeCell ref="A2:M2"/>
    <mergeCell ref="A16:M16"/>
    <mergeCell ref="A58:M58"/>
    <mergeCell ref="A73:M73"/>
    <mergeCell ref="A161:M161"/>
    <mergeCell ref="A164:M164"/>
    <mergeCell ref="A166:M166"/>
    <mergeCell ref="A191:M191"/>
    <mergeCell ref="A90:M90"/>
    <mergeCell ref="A159:M159"/>
    <mergeCell ref="A109:M109"/>
    <mergeCell ref="A113:M113"/>
    <mergeCell ref="A119:M119"/>
    <mergeCell ref="A133:M133"/>
    <mergeCell ref="A143:M143"/>
  </mergeCells>
  <conditionalFormatting sqref="F3:F15 F17:F39 F74:F89 F110:F112">
    <cfRule type="cellIs" dxfId="332" priority="62" operator="equal">
      <formula>E3</formula>
    </cfRule>
  </conditionalFormatting>
  <conditionalFormatting sqref="F3:F15 F17:F39 F74:F89 F110:F112">
    <cfRule type="cellIs" dxfId="331" priority="61" operator="notEqual">
      <formula>E3</formula>
    </cfRule>
  </conditionalFormatting>
  <conditionalFormatting sqref="F40:F57">
    <cfRule type="cellIs" dxfId="330" priority="30" operator="equal">
      <formula>E40</formula>
    </cfRule>
  </conditionalFormatting>
  <conditionalFormatting sqref="F40:F57">
    <cfRule type="cellIs" dxfId="329" priority="29" operator="notEqual">
      <formula>E40</formula>
    </cfRule>
  </conditionalFormatting>
  <conditionalFormatting sqref="F59:F72">
    <cfRule type="cellIs" dxfId="328" priority="28" operator="equal">
      <formula>E59</formula>
    </cfRule>
  </conditionalFormatting>
  <conditionalFormatting sqref="F59:F72">
    <cfRule type="cellIs" dxfId="327" priority="27" operator="notEqual">
      <formula>E59</formula>
    </cfRule>
  </conditionalFormatting>
  <conditionalFormatting sqref="F91:F108">
    <cfRule type="cellIs" dxfId="326" priority="24" operator="equal">
      <formula>E91</formula>
    </cfRule>
  </conditionalFormatting>
  <conditionalFormatting sqref="F91:F108">
    <cfRule type="cellIs" dxfId="325" priority="23" operator="notEqual">
      <formula>E91</formula>
    </cfRule>
  </conditionalFormatting>
  <conditionalFormatting sqref="F114:F118">
    <cfRule type="cellIs" dxfId="324" priority="20" operator="equal">
      <formula>E114</formula>
    </cfRule>
  </conditionalFormatting>
  <conditionalFormatting sqref="F114:F118">
    <cfRule type="cellIs" dxfId="323" priority="19" operator="notEqual">
      <formula>E114</formula>
    </cfRule>
  </conditionalFormatting>
  <conditionalFormatting sqref="F120:F132">
    <cfRule type="cellIs" dxfId="322" priority="18" operator="equal">
      <formula>E120</formula>
    </cfRule>
  </conditionalFormatting>
  <conditionalFormatting sqref="F120:F132">
    <cfRule type="cellIs" dxfId="321" priority="17" operator="notEqual">
      <formula>E120</formula>
    </cfRule>
  </conditionalFormatting>
  <conditionalFormatting sqref="F134:F142">
    <cfRule type="cellIs" dxfId="320" priority="16" operator="equal">
      <formula>E134</formula>
    </cfRule>
  </conditionalFormatting>
  <conditionalFormatting sqref="F134:F142">
    <cfRule type="cellIs" dxfId="319" priority="15" operator="notEqual">
      <formula>E134</formula>
    </cfRule>
  </conditionalFormatting>
  <conditionalFormatting sqref="F144:F158">
    <cfRule type="cellIs" dxfId="318" priority="14" operator="equal">
      <formula>E144</formula>
    </cfRule>
  </conditionalFormatting>
  <conditionalFormatting sqref="F144:F158">
    <cfRule type="cellIs" dxfId="317" priority="13" operator="notEqual">
      <formula>E144</formula>
    </cfRule>
  </conditionalFormatting>
  <conditionalFormatting sqref="F160">
    <cfRule type="cellIs" dxfId="316" priority="12" operator="equal">
      <formula>E160</formula>
    </cfRule>
  </conditionalFormatting>
  <conditionalFormatting sqref="F160">
    <cfRule type="cellIs" dxfId="315" priority="11" operator="notEqual">
      <formula>E160</formula>
    </cfRule>
  </conditionalFormatting>
  <conditionalFormatting sqref="F162:F163">
    <cfRule type="cellIs" dxfId="314" priority="10" operator="equal">
      <formula>E162</formula>
    </cfRule>
  </conditionalFormatting>
  <conditionalFormatting sqref="F162:F163">
    <cfRule type="cellIs" dxfId="313" priority="9" operator="notEqual">
      <formula>E162</formula>
    </cfRule>
  </conditionalFormatting>
  <conditionalFormatting sqref="F165">
    <cfRule type="cellIs" dxfId="312" priority="8" operator="equal">
      <formula>E165</formula>
    </cfRule>
  </conditionalFormatting>
  <conditionalFormatting sqref="F165">
    <cfRule type="cellIs" dxfId="311" priority="7" operator="notEqual">
      <formula>E165</formula>
    </cfRule>
  </conditionalFormatting>
  <conditionalFormatting sqref="F167:F182">
    <cfRule type="cellIs" dxfId="310" priority="6" operator="equal">
      <formula>E167</formula>
    </cfRule>
  </conditionalFormatting>
  <conditionalFormatting sqref="F167:F182">
    <cfRule type="cellIs" dxfId="309" priority="5" operator="notEqual">
      <formula>E167</formula>
    </cfRule>
  </conditionalFormatting>
  <conditionalFormatting sqref="F183:F190">
    <cfRule type="cellIs" dxfId="308" priority="4" operator="equal">
      <formula>E183</formula>
    </cfRule>
  </conditionalFormatting>
  <conditionalFormatting sqref="F183:F190">
    <cfRule type="cellIs" dxfId="307" priority="3" operator="notEqual">
      <formula>E183</formula>
    </cfRule>
  </conditionalFormatting>
  <conditionalFormatting sqref="F192">
    <cfRule type="cellIs" dxfId="306" priority="2" operator="equal">
      <formula>E192</formula>
    </cfRule>
  </conditionalFormatting>
  <conditionalFormatting sqref="F192">
    <cfRule type="cellIs" dxfId="305" priority="1" operator="notEqual">
      <formula>E192</formula>
    </cfRule>
  </conditionalFormatting>
  <pageMargins left="0.7" right="0.7" top="0.75" bottom="0.75" header="0.3" footer="0.3"/>
  <legacyDrawing r:id="rId1"/>
  <controls>
    <control shapeId="31745" r:id="rId2" name="CommandButton1"/>
  </controls>
</worksheet>
</file>

<file path=xl/worksheets/sheet8.xml><?xml version="1.0" encoding="utf-8"?>
<worksheet xmlns="http://schemas.openxmlformats.org/spreadsheetml/2006/main" xmlns:r="http://schemas.openxmlformats.org/officeDocument/2006/relationships">
  <sheetPr codeName="Sheet8">
    <tabColor theme="3" tint="0.39997558519241921"/>
  </sheetPr>
  <dimension ref="A1:S108"/>
  <sheetViews>
    <sheetView workbookViewId="0">
      <pane ySplit="1" topLeftCell="A2" activePane="bottomLeft" state="frozen"/>
      <selection pane="bottomLeft" activeCell="G112" sqref="G112"/>
    </sheetView>
  </sheetViews>
  <sheetFormatPr baseColWidth="10" defaultColWidth="9" defaultRowHeight="18" customHeight="1"/>
  <cols>
    <col min="1" max="1" width="16.25" bestFit="1" customWidth="1"/>
    <col min="2" max="2" width="13.375" customWidth="1"/>
    <col min="3" max="3" width="53" customWidth="1"/>
    <col min="4" max="8" width="4.75" customWidth="1"/>
    <col min="9" max="9" width="6.25" bestFit="1" customWidth="1"/>
    <col min="10" max="10" width="9.5" bestFit="1" customWidth="1"/>
  </cols>
  <sheetData>
    <row r="1" spans="1:19" ht="18" customHeight="1">
      <c r="A1" s="19"/>
      <c r="B1" s="19" t="s">
        <v>1</v>
      </c>
      <c r="C1" s="19" t="s">
        <v>2</v>
      </c>
      <c r="D1" s="20" t="s">
        <v>3</v>
      </c>
      <c r="E1" s="20" t="s">
        <v>4</v>
      </c>
      <c r="F1" s="20" t="s">
        <v>5</v>
      </c>
      <c r="G1" s="40" t="s">
        <v>250</v>
      </c>
      <c r="H1" s="40" t="s">
        <v>251</v>
      </c>
      <c r="I1" s="19" t="s">
        <v>6</v>
      </c>
      <c r="J1" s="20" t="s">
        <v>8</v>
      </c>
      <c r="K1" s="67" t="s">
        <v>11</v>
      </c>
      <c r="L1" s="67"/>
      <c r="M1" s="67"/>
      <c r="N1" s="67"/>
      <c r="O1" s="67"/>
      <c r="P1" s="67"/>
      <c r="Q1" s="67"/>
      <c r="R1" s="67"/>
      <c r="S1" s="67"/>
    </row>
    <row r="2" spans="1:19" s="7" customFormat="1" ht="18" customHeight="1">
      <c r="A2" s="13" t="s">
        <v>149</v>
      </c>
      <c r="B2" s="13"/>
      <c r="C2" s="13" t="s">
        <v>150</v>
      </c>
      <c r="D2" s="14"/>
      <c r="E2" s="14"/>
      <c r="F2" s="14"/>
      <c r="G2" s="14"/>
      <c r="H2" s="14"/>
      <c r="I2" s="14"/>
      <c r="J2" s="14">
        <f>SUMIFS(J3:J7,D3:D7,"&lt;&gt;Y",F3:F7,"&lt;&gt;Y",I3:I7,"&lt;&gt;Inactive",I3:I7,"&lt;&gt;ECO+NFS")</f>
        <v>3260</v>
      </c>
      <c r="K2" s="14"/>
      <c r="L2" s="14"/>
      <c r="M2" s="14"/>
      <c r="N2" s="14"/>
      <c r="O2" s="14"/>
      <c r="P2" s="14"/>
      <c r="Q2" s="14"/>
      <c r="R2" s="14"/>
      <c r="S2" s="14"/>
    </row>
    <row r="3" spans="1:19" ht="18" customHeight="1">
      <c r="A3" s="17" t="str">
        <f>HYPERLINK("#"&amp;ADDRESS(MATCH(A2,LearnMate7!$A$1:$A$4946,0),1,,,"LearnMate7"),"Back to Price List")</f>
        <v>Back to Price List</v>
      </c>
      <c r="B3" t="str">
        <f>"77-1201-0000"</f>
        <v>77-1201-0000</v>
      </c>
      <c r="C3" t="str">
        <f>"LearnMate 7, 1 year 100 users hosting + support"</f>
        <v>LearnMate 7, 1 year 100 users hosting + support</v>
      </c>
      <c r="D3" s="4"/>
      <c r="E3" s="4">
        <v>1</v>
      </c>
      <c r="F3" s="4"/>
      <c r="G3" s="29" t="str">
        <f>IFERROR(HYPERLINK("#"&amp;ADDRESS(MATCH(B3&amp;"ES",'LM7 Non-ENG'!$A$1:$A$5000,0),1,,,"LM7 Non-ENG"),IF(IFERROR(VLOOKUP(B3&amp;"ES",'LM7 Non-ENG'!$A$1:$A$4999,1,FALSE),"ERROR")=B3&amp;"ES","Y","")),"")</f>
        <v/>
      </c>
      <c r="H3" s="29" t="str">
        <f>IFERROR(HYPERLINK("#"&amp;ADDRESS(MATCH(B3&amp;"PT",'LM7 Non-ENG'!$A$1:$A$5000,0),1,,,"LM7 Non-ENG"),IF(IFERROR(VLOOKUP(B3&amp;"PT",'LM7 Non-ENG'!$A$1:$A$5000,1,FALSE),"ERROR")=B3&amp;"PT","Y","")),"")</f>
        <v/>
      </c>
      <c r="I3" t="str">
        <f>IFERROR(VLOOKUP(B3,PN!$A:$C,3,FALSE),"")</f>
        <v>Active</v>
      </c>
      <c r="J3" s="3">
        <f>E3*IFERROR(VLOOKUP(B3,PLInter!$A:$D,3,FALSE),"")</f>
        <v>1700</v>
      </c>
      <c r="K3" s="66" t="s">
        <v>151</v>
      </c>
      <c r="L3" s="66"/>
      <c r="M3" s="66"/>
      <c r="N3" s="66"/>
      <c r="O3" s="66"/>
      <c r="P3" s="66"/>
      <c r="Q3" s="66"/>
      <c r="R3" s="66"/>
      <c r="S3" s="66"/>
    </row>
    <row r="4" spans="1:19" ht="18" customHeight="1">
      <c r="B4" t="str">
        <f>"77-1401-0000"</f>
        <v>77-1401-0000</v>
      </c>
      <c r="C4" t="str">
        <f>"LearnMate 7, Live Class add-on"</f>
        <v>LearnMate 7, Live Class add-on</v>
      </c>
      <c r="D4" s="4"/>
      <c r="E4" s="4">
        <v>1</v>
      </c>
      <c r="F4" s="4"/>
      <c r="G4" s="29" t="str">
        <f>IFERROR(HYPERLINK("#"&amp;ADDRESS(MATCH(B4&amp;"ES",'LM7 Non-ENG'!$A$1:$A$5000,0),1,,,"LM7 Non-ENG"),IF(IFERROR(VLOOKUP(B4&amp;"ES",'LM7 Non-ENG'!$A$1:$A$4999,1,FALSE),"ERROR")=B4&amp;"ES","Y","")),"")</f>
        <v/>
      </c>
      <c r="H4" s="29" t="str">
        <f>IFERROR(HYPERLINK("#"&amp;ADDRESS(MATCH(B4&amp;"PT",'LM7 Non-ENG'!$A$1:$A$5000,0),1,,,"LM7 Non-ENG"),IF(IFERROR(VLOOKUP(B4&amp;"PT",'LM7 Non-ENG'!$A$1:$A$5000,1,FALSE),"ERROR")=B4&amp;"PT","Y","")),"")</f>
        <v/>
      </c>
      <c r="I4" t="str">
        <f>IFERROR(VLOOKUP(B4,PN!$A:$C,3,FALSE),"")</f>
        <v>Active</v>
      </c>
      <c r="J4" s="3">
        <f>E4*IFERROR(VLOOKUP(B4,PLInter!$A:$D,3,FALSE),"")</f>
        <v>660</v>
      </c>
      <c r="K4" s="66"/>
      <c r="L4" s="66"/>
      <c r="M4" s="66"/>
      <c r="N4" s="66"/>
      <c r="O4" s="66"/>
      <c r="P4" s="66"/>
      <c r="Q4" s="66"/>
      <c r="R4" s="66"/>
      <c r="S4" s="66"/>
    </row>
    <row r="5" spans="1:19" ht="18" customHeight="1">
      <c r="B5" s="2" t="str">
        <f>"77-1401-0002"</f>
        <v>77-1401-0002</v>
      </c>
      <c r="C5" s="2" t="str">
        <f>"LearnMate 7,  100 users for Three  simultaneous"</f>
        <v>LearnMate 7,  100 users for Three  simultaneous</v>
      </c>
      <c r="D5" s="5"/>
      <c r="E5" s="5">
        <v>2</v>
      </c>
      <c r="F5" s="5" t="str">
        <f>"Y"</f>
        <v>Y</v>
      </c>
      <c r="G5" s="29" t="str">
        <f>IFERROR(HYPERLINK("#"&amp;ADDRESS(MATCH(B5&amp;"ES",'LM7 Non-ENG'!$A$1:$A$5000,0),1,,,"LM7 Non-ENG"),IF(IFERROR(VLOOKUP(B5&amp;"ES",'LM7 Non-ENG'!$A$1:$A$4999,1,FALSE),"ERROR")=B5&amp;"ES","Y","")),"")</f>
        <v/>
      </c>
      <c r="H5" s="29" t="str">
        <f>IFERROR(HYPERLINK("#"&amp;ADDRESS(MATCH(B5&amp;"PT",'LM7 Non-ENG'!$A$1:$A$5000,0),1,,,"LM7 Non-ENG"),IF(IFERROR(VLOOKUP(B5&amp;"PT",'LM7 Non-ENG'!$A$1:$A$5000,1,FALSE),"ERROR")=B5&amp;"PT","Y","")),"")</f>
        <v/>
      </c>
      <c r="I5" t="str">
        <f>IFERROR(VLOOKUP(B5,PN!$A:$C,3,FALSE),"")</f>
        <v>Active</v>
      </c>
      <c r="J5" s="3">
        <f>E5*IFERROR(VLOOKUP(B5,PLInter!$A:$D,3,FALSE),"")</f>
        <v>3960</v>
      </c>
      <c r="K5" s="66"/>
      <c r="L5" s="66"/>
      <c r="M5" s="66"/>
      <c r="N5" s="66"/>
      <c r="O5" s="66"/>
      <c r="P5" s="66"/>
      <c r="Q5" s="66"/>
      <c r="R5" s="66"/>
      <c r="S5" s="66"/>
    </row>
    <row r="6" spans="1:19" ht="18" customHeight="1">
      <c r="B6" t="str">
        <f>"50-1201-0001"</f>
        <v>50-1201-0001</v>
      </c>
      <c r="C6" t="str">
        <f>"LM7 hosting Annual Support"</f>
        <v>LM7 hosting Annual Support</v>
      </c>
      <c r="D6" s="4"/>
      <c r="E6" s="4">
        <v>1</v>
      </c>
      <c r="F6" s="4"/>
      <c r="G6" s="29" t="str">
        <f>IFERROR(HYPERLINK("#"&amp;ADDRESS(MATCH(B6&amp;"ES",'LM7 Non-ENG'!$A$1:$A$5000,0),1,,,"LM7 Non-ENG"),IF(IFERROR(VLOOKUP(B6&amp;"ES",'LM7 Non-ENG'!$A$1:$A$4999,1,FALSE),"ERROR")=B6&amp;"ES","Y","")),"")</f>
        <v/>
      </c>
      <c r="H6" s="29" t="str">
        <f>IFERROR(HYPERLINK("#"&amp;ADDRESS(MATCH(B6&amp;"PT",'LM7 Non-ENG'!$A$1:$A$5000,0),1,,,"LM7 Non-ENG"),IF(IFERROR(VLOOKUP(B6&amp;"PT",'LM7 Non-ENG'!$A$1:$A$5000,1,FALSE),"ERROR")=B6&amp;"PT","Y","")),"")</f>
        <v/>
      </c>
      <c r="I6" t="str">
        <f>IFERROR(VLOOKUP(B6,PN!$A:$C,3,FALSE),"")</f>
        <v>Active</v>
      </c>
      <c r="J6" s="3">
        <f>E6*IFERROR(VLOOKUP(B6,PLInter!$A:$D,3,FALSE),"")</f>
        <v>900</v>
      </c>
      <c r="K6" s="66"/>
      <c r="L6" s="66"/>
      <c r="M6" s="66"/>
      <c r="N6" s="66"/>
      <c r="O6" s="66"/>
      <c r="P6" s="66"/>
      <c r="Q6" s="66"/>
      <c r="R6" s="66"/>
      <c r="S6" s="66"/>
    </row>
    <row r="7" spans="1:19" ht="18" customHeight="1">
      <c r="B7" s="2" t="str">
        <f>"50-1201-0003"</f>
        <v>50-1201-0003</v>
      </c>
      <c r="C7" s="2" t="str">
        <f>"LM7 Add’l 3 Yrs hosting for 100 users (Renewal)"</f>
        <v>LM7 Add’l 3 Yrs hosting for 100 users (Renewal)</v>
      </c>
      <c r="D7" s="5"/>
      <c r="E7" s="5">
        <v>3</v>
      </c>
      <c r="F7" s="5" t="str">
        <f>"Y"</f>
        <v>Y</v>
      </c>
      <c r="G7" s="29" t="str">
        <f>IFERROR(HYPERLINK("#"&amp;ADDRESS(MATCH(B7&amp;"ES",'LM7 Non-ENG'!$A$1:$A$5000,0),1,,,"LM7 Non-ENG"),IF(IFERROR(VLOOKUP(B7&amp;"ES",'LM7 Non-ENG'!$A$1:$A$4999,1,FALSE),"ERROR")=B7&amp;"ES","Y","")),"")</f>
        <v/>
      </c>
      <c r="H7" s="29" t="str">
        <f>IFERROR(HYPERLINK("#"&amp;ADDRESS(MATCH(B7&amp;"PT",'LM7 Non-ENG'!$A$1:$A$5000,0),1,,,"LM7 Non-ENG"),IF(IFERROR(VLOOKUP(B7&amp;"PT",'LM7 Non-ENG'!$A$1:$A$5000,1,FALSE),"ERROR")=B7&amp;"PT","Y","")),"")</f>
        <v/>
      </c>
      <c r="I7" t="str">
        <f>IFERROR(VLOOKUP(B7,PN!$A:$C,3,FALSE),"")</f>
        <v>Active</v>
      </c>
      <c r="J7" s="3">
        <f>E7*IFERROR(VLOOKUP(B7,PLInter!$A:$D,3,FALSE),"")</f>
        <v>2700</v>
      </c>
      <c r="K7" s="66"/>
      <c r="L7" s="66"/>
      <c r="M7" s="66"/>
      <c r="N7" s="66"/>
      <c r="O7" s="66"/>
      <c r="P7" s="66"/>
      <c r="Q7" s="66"/>
      <c r="R7" s="66"/>
      <c r="S7" s="66"/>
    </row>
    <row r="8" spans="1:19" ht="18" customHeight="1">
      <c r="G8" s="29" t="str">
        <f>IFERROR(HYPERLINK("#"&amp;ADDRESS(MATCH(B8&amp;"ES",'LM7 Non-ENG'!$A$1:$A$5000,0),1,,,"LM7 Non-ENG"),IF(IFERROR(VLOOKUP(B8&amp;"ES",'LM7 Non-ENG'!$A$1:$A$4999,1,FALSE),"ERROR")=B8&amp;"ES","Y","")),"")</f>
        <v/>
      </c>
      <c r="H8" s="29" t="str">
        <f>IFERROR(HYPERLINK("#"&amp;ADDRESS(MATCH(B8&amp;"PT",'LM7 Non-ENG'!$A$1:$A$5000,0),1,,,"LM7 Non-ENG"),IF(IFERROR(VLOOKUP(B8&amp;"PT",'LM7 Non-ENG'!$A$1:$A$5000,1,FALSE),"ERROR")=B8&amp;"PT","Y","")),"")</f>
        <v/>
      </c>
    </row>
    <row r="9" spans="1:19" s="7" customFormat="1" ht="18" customHeight="1">
      <c r="A9" s="13" t="s">
        <v>152</v>
      </c>
      <c r="B9" s="13"/>
      <c r="C9" s="13" t="s">
        <v>153</v>
      </c>
      <c r="D9" s="14"/>
      <c r="E9" s="14"/>
      <c r="F9" s="14"/>
      <c r="G9" s="14" t="str">
        <f>IFERROR(HYPERLINK("#"&amp;ADDRESS(MATCH(B9&amp;"ES",'LM7 Non-ENG'!$A$1:$A$5000,0),1,,,"LM7 Non-ENG"),IF(IFERROR(VLOOKUP(B9&amp;"ES",'LM7 Non-ENG'!$A$1:$A$4999,1,FALSE),"ERROR")=B9&amp;"ES","Y","")),"")</f>
        <v/>
      </c>
      <c r="H9" s="14" t="str">
        <f>IFERROR(HYPERLINK("#"&amp;ADDRESS(MATCH(B9&amp;"PT",'LM7 Non-ENG'!$A$1:$A$5000,0),1,,,"LM7 Non-ENG"),IF(IFERROR(VLOOKUP(B9&amp;"PT",'LM7 Non-ENG'!$A$1:$A$5000,1,FALSE),"ERROR")=B9&amp;"PT","Y","")),"")</f>
        <v/>
      </c>
      <c r="I9" s="14"/>
      <c r="J9" s="14">
        <f>SUMIFS(J10:J13,D10:D13,"&lt;&gt;Y",F10:F13,"&lt;&gt;Y",I10:I13,"&lt;&gt;Inactive",I10:I13,"&lt;&gt;ECO+NFS")</f>
        <v>3850</v>
      </c>
      <c r="K9" s="14"/>
      <c r="L9" s="14"/>
      <c r="M9" s="14"/>
      <c r="N9" s="14"/>
      <c r="O9" s="14"/>
      <c r="P9" s="14"/>
      <c r="Q9" s="14"/>
      <c r="R9" s="14"/>
      <c r="S9" s="14"/>
    </row>
    <row r="10" spans="1:19" ht="18" customHeight="1">
      <c r="A10" s="17" t="str">
        <f>HYPERLINK("#"&amp;ADDRESS(MATCH(A9,LearnMate7!$A$1:$A$4946,0),1,,,"LearnMate7"),"Back to Price List")</f>
        <v>Back to Price List</v>
      </c>
      <c r="B10" t="str">
        <f>"77-1200-0000"</f>
        <v>77-1200-0000</v>
      </c>
      <c r="C10" t="str">
        <f>"LearnMate 7, Local Server Setup and Activation"</f>
        <v>LearnMate 7, Local Server Setup and Activation</v>
      </c>
      <c r="D10" s="4"/>
      <c r="E10" s="4">
        <v>1</v>
      </c>
      <c r="F10" s="4"/>
      <c r="G10" s="29" t="str">
        <f>IFERROR(HYPERLINK("#"&amp;ADDRESS(MATCH(B10&amp;"ES",'LM7 Non-ENG'!$A$1:$A$5000,0),1,,,"LM7 Non-ENG"),IF(IFERROR(VLOOKUP(B10&amp;"ES",'LM7 Non-ENG'!$A$1:$A$4999,1,FALSE),"ERROR")=B10&amp;"ES","Y","")),"")</f>
        <v/>
      </c>
      <c r="H10" s="29" t="str">
        <f>IFERROR(HYPERLINK("#"&amp;ADDRESS(MATCH(B10&amp;"PT",'LM7 Non-ENG'!$A$1:$A$5000,0),1,,,"LM7 Non-ENG"),IF(IFERROR(VLOOKUP(B10&amp;"PT",'LM7 Non-ENG'!$A$1:$A$5000,1,FALSE),"ERROR")=B10&amp;"PT","Y","")),"")</f>
        <v/>
      </c>
      <c r="I10" t="str">
        <f>IFERROR(VLOOKUP(B10,PN!$A:$C,3,FALSE),"")</f>
        <v>Active</v>
      </c>
      <c r="J10" s="3">
        <f>E10*IFERROR(VLOOKUP(B10,PLInter!$A:$D,3,FALSE),"")</f>
        <v>2500</v>
      </c>
      <c r="K10" s="66" t="s">
        <v>154</v>
      </c>
      <c r="L10" s="66"/>
      <c r="M10" s="66"/>
      <c r="N10" s="66"/>
      <c r="O10" s="66"/>
      <c r="P10" s="66"/>
      <c r="Q10" s="66"/>
      <c r="R10" s="66"/>
      <c r="S10" s="66"/>
    </row>
    <row r="11" spans="1:19" ht="18" customHeight="1">
      <c r="B11" s="2" t="str">
        <f>"77-1200-0001"</f>
        <v>77-1200-0001</v>
      </c>
      <c r="C11" s="2" t="str">
        <f>"LM7 Local Server Setup without support agreement"</f>
        <v>LM7 Local Server Setup without support agreement</v>
      </c>
      <c r="D11" s="5"/>
      <c r="E11" s="5">
        <v>1</v>
      </c>
      <c r="F11" s="5" t="str">
        <f>"Y"</f>
        <v>Y</v>
      </c>
      <c r="G11" s="29" t="str">
        <f>IFERROR(HYPERLINK("#"&amp;ADDRESS(MATCH(B11&amp;"ES",'LM7 Non-ENG'!$A$1:$A$5000,0),1,,,"LM7 Non-ENG"),IF(IFERROR(VLOOKUP(B11&amp;"ES",'LM7 Non-ENG'!$A$1:$A$4999,1,FALSE),"ERROR")=B11&amp;"ES","Y","")),"")</f>
        <v/>
      </c>
      <c r="H11" s="29" t="str">
        <f>IFERROR(HYPERLINK("#"&amp;ADDRESS(MATCH(B11&amp;"PT",'LM7 Non-ENG'!$A$1:$A$5000,0),1,,,"LM7 Non-ENG"),IF(IFERROR(VLOOKUP(B11&amp;"PT",'LM7 Non-ENG'!$A$1:$A$5000,1,FALSE),"ERROR")=B11&amp;"PT","Y","")),"")</f>
        <v/>
      </c>
      <c r="I11" t="str">
        <f>IFERROR(VLOOKUP(B11,PN!$A:$C,3,FALSE),"")</f>
        <v>Active</v>
      </c>
      <c r="J11" s="3">
        <f>E11*IFERROR(VLOOKUP(B11,PLInter!$A:$D,3,FALSE),"")</f>
        <v>3995</v>
      </c>
      <c r="K11" s="66"/>
      <c r="L11" s="66"/>
      <c r="M11" s="66"/>
      <c r="N11" s="66"/>
      <c r="O11" s="66"/>
      <c r="P11" s="66"/>
      <c r="Q11" s="66"/>
      <c r="R11" s="66"/>
      <c r="S11" s="66"/>
    </row>
    <row r="12" spans="1:19" ht="18" customHeight="1">
      <c r="B12" t="str">
        <f>"50-1200-0003"</f>
        <v>50-1200-0003</v>
      </c>
      <c r="C12" t="str">
        <f>"LM7 Local support- additional 3 years agreement"</f>
        <v>LM7 Local support- additional 3 years agreement</v>
      </c>
      <c r="D12" s="4"/>
      <c r="E12" s="4">
        <v>3</v>
      </c>
      <c r="F12" s="4"/>
      <c r="G12" s="29" t="str">
        <f>IFERROR(HYPERLINK("#"&amp;ADDRESS(MATCH(B12&amp;"ES",'LM7 Non-ENG'!$A$1:$A$5000,0),1,,,"LM7 Non-ENG"),IF(IFERROR(VLOOKUP(B12&amp;"ES",'LM7 Non-ENG'!$A$1:$A$4999,1,FALSE),"ERROR")=B12&amp;"ES","Y","")),"")</f>
        <v/>
      </c>
      <c r="H12" s="29" t="str">
        <f>IFERROR(HYPERLINK("#"&amp;ADDRESS(MATCH(B12&amp;"PT",'LM7 Non-ENG'!$A$1:$A$5000,0),1,,,"LM7 Non-ENG"),IF(IFERROR(VLOOKUP(B12&amp;"PT",'LM7 Non-ENG'!$A$1:$A$5000,1,FALSE),"ERROR")=B12&amp;"PT","Y","")),"")</f>
        <v/>
      </c>
      <c r="I12" t="str">
        <f>IFERROR(VLOOKUP(B12,PN!$A:$C,3,FALSE),"")</f>
        <v>Active</v>
      </c>
      <c r="J12" s="3">
        <f>E12*IFERROR(VLOOKUP(B12,PLInter!$A:$D,3,FALSE),"")</f>
        <v>1350</v>
      </c>
      <c r="K12" s="66"/>
      <c r="L12" s="66"/>
      <c r="M12" s="66"/>
      <c r="N12" s="66"/>
      <c r="O12" s="66"/>
      <c r="P12" s="66"/>
      <c r="Q12" s="66"/>
      <c r="R12" s="66"/>
      <c r="S12" s="66"/>
    </row>
    <row r="13" spans="1:19" ht="18" customHeight="1">
      <c r="B13" s="2" t="str">
        <f>"50-1200-0001"</f>
        <v>50-1200-0001</v>
      </c>
      <c r="C13" s="2" t="str">
        <f>"LM7 Local Server Support- 1 year agreement"</f>
        <v>LM7 Local Server Support- 1 year agreement</v>
      </c>
      <c r="D13" s="5"/>
      <c r="E13" s="5">
        <v>1</v>
      </c>
      <c r="F13" s="5" t="str">
        <f>"Y"</f>
        <v>Y</v>
      </c>
      <c r="G13" s="29" t="str">
        <f>IFERROR(HYPERLINK("#"&amp;ADDRESS(MATCH(B13&amp;"ES",'LM7 Non-ENG'!$A$1:$A$5000,0),1,,,"LM7 Non-ENG"),IF(IFERROR(VLOOKUP(B13&amp;"ES",'LM7 Non-ENG'!$A$1:$A$4999,1,FALSE),"ERROR")=B13&amp;"ES","Y","")),"")</f>
        <v/>
      </c>
      <c r="H13" s="29" t="str">
        <f>IFERROR(HYPERLINK("#"&amp;ADDRESS(MATCH(B13&amp;"PT",'LM7 Non-ENG'!$A$1:$A$5000,0),1,,,"LM7 Non-ENG"),IF(IFERROR(VLOOKUP(B13&amp;"PT",'LM7 Non-ENG'!$A$1:$A$5000,1,FALSE),"ERROR")=B13&amp;"PT","Y","")),"")</f>
        <v/>
      </c>
      <c r="I13" t="str">
        <f>IFERROR(VLOOKUP(B13,PN!$A:$C,3,FALSE),"")</f>
        <v>Active</v>
      </c>
      <c r="J13" s="3">
        <f>E13*IFERROR(VLOOKUP(B13,PLInter!$A:$D,3,FALSE),"")</f>
        <v>500</v>
      </c>
      <c r="K13" s="66"/>
      <c r="L13" s="66"/>
      <c r="M13" s="66"/>
      <c r="N13" s="66"/>
      <c r="O13" s="66"/>
      <c r="P13" s="66"/>
      <c r="Q13" s="66"/>
      <c r="R13" s="66"/>
      <c r="S13" s="66"/>
    </row>
    <row r="14" spans="1:19" ht="18" customHeight="1">
      <c r="G14" s="29" t="str">
        <f>IFERROR(HYPERLINK("#"&amp;ADDRESS(MATCH(B14&amp;"ES",'LM7 Non-ENG'!$A$1:$A$5000,0),1,,,"LM7 Non-ENG"),IF(IFERROR(VLOOKUP(B14&amp;"ES",'LM7 Non-ENG'!$A$1:$A$4999,1,FALSE),"ERROR")=B14&amp;"ES","Y","")),"")</f>
        <v/>
      </c>
      <c r="H14" s="29" t="str">
        <f>IFERROR(HYPERLINK("#"&amp;ADDRESS(MATCH(B14&amp;"PT",'LM7 Non-ENG'!$A$1:$A$5000,0),1,,,"LM7 Non-ENG"),IF(IFERROR(VLOOKUP(B14&amp;"PT",'LM7 Non-ENG'!$A$1:$A$5000,1,FALSE),"ERROR")=B14&amp;"PT","Y","")),"")</f>
        <v/>
      </c>
    </row>
    <row r="15" spans="1:19" ht="18" customHeight="1">
      <c r="G15" s="29" t="str">
        <f>IFERROR(HYPERLINK("#"&amp;ADDRESS(MATCH(B15&amp;"ES",'LM7 Non-ENG'!$A$1:$A$5000,0),1,,,"LM7 Non-ENG"),IF(IFERROR(VLOOKUP(B15&amp;"ES",'LM7 Non-ENG'!$A$1:$A$4999,1,FALSE),"ERROR")=B15&amp;"ES","Y","")),"")</f>
        <v/>
      </c>
      <c r="H15" s="29" t="str">
        <f>IFERROR(HYPERLINK("#"&amp;ADDRESS(MATCH(B15&amp;"PT",'LM7 Non-ENG'!$A$1:$A$5000,0),1,,,"LM7 Non-ENG"),IF(IFERROR(VLOOKUP(B15&amp;"PT",'LM7 Non-ENG'!$A$1:$A$5000,1,FALSE),"ERROR")=B15&amp;"PT","Y","")),"")</f>
        <v/>
      </c>
    </row>
    <row r="16" spans="1:19" ht="18" customHeight="1">
      <c r="G16" s="29" t="str">
        <f>IFERROR(HYPERLINK("#"&amp;ADDRESS(MATCH(B16&amp;"ES",'LM7 Non-ENG'!$A$1:$A$5000,0),1,,,"LM7 Non-ENG"),IF(IFERROR(VLOOKUP(B16&amp;"ES",'LM7 Non-ENG'!$A$1:$A$4999,1,FALSE),"ERROR")=B16&amp;"ES","Y","")),"")</f>
        <v/>
      </c>
      <c r="H16" s="29" t="str">
        <f>IFERROR(HYPERLINK("#"&amp;ADDRESS(MATCH(B16&amp;"PT",'LM7 Non-ENG'!$A$1:$A$5000,0),1,,,"LM7 Non-ENG"),IF(IFERROR(VLOOKUP(B16&amp;"PT",'LM7 Non-ENG'!$A$1:$A$5000,1,FALSE),"ERROR")=B16&amp;"PT","Y","")),"")</f>
        <v/>
      </c>
    </row>
    <row r="17" spans="7:8" ht="18" customHeight="1">
      <c r="G17" s="29" t="str">
        <f>IFERROR(HYPERLINK("#"&amp;ADDRESS(MATCH(B17&amp;"ES",'LM7 Non-ENG'!$A$1:$A$5000,0),1,,,"LM7 Non-ENG"),IF(IFERROR(VLOOKUP(B17&amp;"ES",'LM7 Non-ENG'!$A$1:$A$4999,1,FALSE),"ERROR")=B17&amp;"ES","Y","")),"")</f>
        <v/>
      </c>
      <c r="H17" s="29" t="str">
        <f>IFERROR(HYPERLINK("#"&amp;ADDRESS(MATCH(B17&amp;"PT",'LM7 Non-ENG'!$A$1:$A$5000,0),1,,,"LM7 Non-ENG"),IF(IFERROR(VLOOKUP(B17&amp;"PT",'LM7 Non-ENG'!$A$1:$A$5000,1,FALSE),"ERROR")=B17&amp;"PT","Y","")),"")</f>
        <v/>
      </c>
    </row>
    <row r="18" spans="7:8" ht="18" customHeight="1">
      <c r="G18" s="29" t="str">
        <f>IFERROR(HYPERLINK("#"&amp;ADDRESS(MATCH(B18&amp;"ES",'LM7 Non-ENG'!$A$1:$A$5000,0),1,,,"LM7 Non-ENG"),IF(IFERROR(VLOOKUP(B18&amp;"ES",'LM7 Non-ENG'!$A$1:$A$4999,1,FALSE),"ERROR")=B18&amp;"ES","Y","")),"")</f>
        <v/>
      </c>
      <c r="H18" s="29" t="str">
        <f>IFERROR(HYPERLINK("#"&amp;ADDRESS(MATCH(B18&amp;"PT",'LM7 Non-ENG'!$A$1:$A$5000,0),1,,,"LM7 Non-ENG"),IF(IFERROR(VLOOKUP(B18&amp;"PT",'LM7 Non-ENG'!$A$1:$A$5000,1,FALSE),"ERROR")=B18&amp;"PT","Y","")),"")</f>
        <v/>
      </c>
    </row>
    <row r="19" spans="7:8" ht="18" customHeight="1">
      <c r="G19" s="29" t="str">
        <f>IFERROR(HYPERLINK("#"&amp;ADDRESS(MATCH(B19&amp;"ES",'LM7 Non-ENG'!$A$1:$A$5000,0),1,,,"LM7 Non-ENG"),IF(IFERROR(VLOOKUP(B19&amp;"ES",'LM7 Non-ENG'!$A$1:$A$4999,1,FALSE),"ERROR")=B19&amp;"ES","Y","")),"")</f>
        <v/>
      </c>
      <c r="H19" s="29" t="str">
        <f>IFERROR(HYPERLINK("#"&amp;ADDRESS(MATCH(B19&amp;"PT",'LM7 Non-ENG'!$A$1:$A$5000,0),1,,,"LM7 Non-ENG"),IF(IFERROR(VLOOKUP(B19&amp;"PT",'LM7 Non-ENG'!$A$1:$A$5000,1,FALSE),"ERROR")=B19&amp;"PT","Y","")),"")</f>
        <v/>
      </c>
    </row>
    <row r="20" spans="7:8" ht="18" customHeight="1">
      <c r="G20" s="29" t="str">
        <f>IFERROR(HYPERLINK("#"&amp;ADDRESS(MATCH(B20&amp;"ES",'LM7 Non-ENG'!$A$1:$A$5000,0),1,,,"LM7 Non-ENG"),IF(IFERROR(VLOOKUP(B20&amp;"ES",'LM7 Non-ENG'!$A$1:$A$4999,1,FALSE),"ERROR")=B20&amp;"ES","Y","")),"")</f>
        <v/>
      </c>
      <c r="H20" s="29" t="str">
        <f>IFERROR(HYPERLINK("#"&amp;ADDRESS(MATCH(B20&amp;"PT",'LM7 Non-ENG'!$A$1:$A$5000,0),1,,,"LM7 Non-ENG"),IF(IFERROR(VLOOKUP(B20&amp;"PT",'LM7 Non-ENG'!$A$1:$A$5000,1,FALSE),"ERROR")=B20&amp;"PT","Y","")),"")</f>
        <v/>
      </c>
    </row>
    <row r="21" spans="7:8" ht="18" customHeight="1">
      <c r="G21" s="29" t="str">
        <f>IFERROR(HYPERLINK("#"&amp;ADDRESS(MATCH(B21&amp;"ES",'LM7 Non-ENG'!$A$1:$A$5000,0),1,,,"LM7 Non-ENG"),IF(IFERROR(VLOOKUP(B21&amp;"ES",'LM7 Non-ENG'!$A$1:$A$4999,1,FALSE),"ERROR")=B21&amp;"ES","Y","")),"")</f>
        <v/>
      </c>
      <c r="H21" s="29" t="str">
        <f>IFERROR(HYPERLINK("#"&amp;ADDRESS(MATCH(B21&amp;"PT",'LM7 Non-ENG'!$A$1:$A$5000,0),1,,,"LM7 Non-ENG"),IF(IFERROR(VLOOKUP(B21&amp;"PT",'LM7 Non-ENG'!$A$1:$A$5000,1,FALSE),"ERROR")=B21&amp;"PT","Y","")),"")</f>
        <v/>
      </c>
    </row>
    <row r="22" spans="7:8" ht="18" customHeight="1">
      <c r="G22" s="29" t="str">
        <f>IFERROR(HYPERLINK("#"&amp;ADDRESS(MATCH(B22&amp;"ES",'LM7 Non-ENG'!$A$1:$A$5000,0),1,,,"LM7 Non-ENG"),IF(IFERROR(VLOOKUP(B22&amp;"ES",'LM7 Non-ENG'!$A$1:$A$4999,1,FALSE),"ERROR")=B22&amp;"ES","Y","")),"")</f>
        <v/>
      </c>
      <c r="H22" s="29" t="str">
        <f>IFERROR(HYPERLINK("#"&amp;ADDRESS(MATCH(B22&amp;"PT",'LM7 Non-ENG'!$A$1:$A$5000,0),1,,,"LM7 Non-ENG"),IF(IFERROR(VLOOKUP(B22&amp;"PT",'LM7 Non-ENG'!$A$1:$A$5000,1,FALSE),"ERROR")=B22&amp;"PT","Y","")),"")</f>
        <v/>
      </c>
    </row>
    <row r="23" spans="7:8" ht="18" customHeight="1">
      <c r="G23" s="29" t="str">
        <f>IFERROR(HYPERLINK("#"&amp;ADDRESS(MATCH(B23&amp;"ES",'LM7 Non-ENG'!$A$1:$A$5000,0),1,,,"LM7 Non-ENG"),IF(IFERROR(VLOOKUP(B23&amp;"ES",'LM7 Non-ENG'!$A$1:$A$4999,1,FALSE),"ERROR")=B23&amp;"ES","Y","")),"")</f>
        <v/>
      </c>
      <c r="H23" s="29" t="str">
        <f>IFERROR(HYPERLINK("#"&amp;ADDRESS(MATCH(B23&amp;"PT",'LM7 Non-ENG'!$A$1:$A$5000,0),1,,,"LM7 Non-ENG"),IF(IFERROR(VLOOKUP(B23&amp;"PT",'LM7 Non-ENG'!$A$1:$A$5000,1,FALSE),"ERROR")=B23&amp;"PT","Y","")),"")</f>
        <v/>
      </c>
    </row>
    <row r="24" spans="7:8" ht="18" customHeight="1">
      <c r="G24" s="29" t="str">
        <f>IFERROR(HYPERLINK("#"&amp;ADDRESS(MATCH(B24&amp;"ES",'LM7 Non-ENG'!$A$1:$A$5000,0),1,,,"LM7 Non-ENG"),IF(IFERROR(VLOOKUP(B24&amp;"ES",'LM7 Non-ENG'!$A$1:$A$4999,1,FALSE),"ERROR")=B24&amp;"ES","Y","")),"")</f>
        <v/>
      </c>
      <c r="H24" s="29" t="str">
        <f>IFERROR(HYPERLINK("#"&amp;ADDRESS(MATCH(B24&amp;"PT",'LM7 Non-ENG'!$A$1:$A$5000,0),1,,,"LM7 Non-ENG"),IF(IFERROR(VLOOKUP(B24&amp;"PT",'LM7 Non-ENG'!$A$1:$A$5000,1,FALSE),"ERROR")=B24&amp;"PT","Y","")),"")</f>
        <v/>
      </c>
    </row>
    <row r="25" spans="7:8" ht="18" customHeight="1">
      <c r="G25" s="29" t="str">
        <f>IFERROR(HYPERLINK("#"&amp;ADDRESS(MATCH(B25&amp;"ES",'LM7 Non-ENG'!$A$1:$A$5000,0),1,,,"LM7 Non-ENG"),IF(IFERROR(VLOOKUP(B25&amp;"ES",'LM7 Non-ENG'!$A$1:$A$4999,1,FALSE),"ERROR")=B25&amp;"ES","Y","")),"")</f>
        <v/>
      </c>
      <c r="H25" s="29" t="str">
        <f>IFERROR(HYPERLINK("#"&amp;ADDRESS(MATCH(B25&amp;"PT",'LM7 Non-ENG'!$A$1:$A$5000,0),1,,,"LM7 Non-ENG"),IF(IFERROR(VLOOKUP(B25&amp;"PT",'LM7 Non-ENG'!$A$1:$A$5000,1,FALSE),"ERROR")=B25&amp;"PT","Y","")),"")</f>
        <v/>
      </c>
    </row>
    <row r="26" spans="7:8" ht="18" customHeight="1">
      <c r="G26" s="29" t="str">
        <f>IFERROR(HYPERLINK("#"&amp;ADDRESS(MATCH(B26&amp;"ES",'LM7 Non-ENG'!$A$1:$A$5000,0),1,,,"LM7 Non-ENG"),IF(IFERROR(VLOOKUP(B26&amp;"ES",'LM7 Non-ENG'!$A$1:$A$4999,1,FALSE),"ERROR")=B26&amp;"ES","Y","")),"")</f>
        <v/>
      </c>
      <c r="H26" s="29" t="str">
        <f>IFERROR(HYPERLINK("#"&amp;ADDRESS(MATCH(B26&amp;"PT",'LM7 Non-ENG'!$A$1:$A$5000,0),1,,,"LM7 Non-ENG"),IF(IFERROR(VLOOKUP(B26&amp;"PT",'LM7 Non-ENG'!$A$1:$A$5000,1,FALSE),"ERROR")=B26&amp;"PT","Y","")),"")</f>
        <v/>
      </c>
    </row>
    <row r="27" spans="7:8" ht="18" customHeight="1">
      <c r="G27" s="29" t="str">
        <f>IFERROR(HYPERLINK("#"&amp;ADDRESS(MATCH(B27&amp;"ES",'LM7 Non-ENG'!$A$1:$A$5000,0),1,,,"LM7 Non-ENG"),IF(IFERROR(VLOOKUP(B27&amp;"ES",'LM7 Non-ENG'!$A$1:$A$4999,1,FALSE),"ERROR")=B27&amp;"ES","Y","")),"")</f>
        <v/>
      </c>
      <c r="H27" s="29" t="str">
        <f>IFERROR(HYPERLINK("#"&amp;ADDRESS(MATCH(B27&amp;"PT",'LM7 Non-ENG'!$A$1:$A$5000,0),1,,,"LM7 Non-ENG"),IF(IFERROR(VLOOKUP(B27&amp;"PT",'LM7 Non-ENG'!$A$1:$A$5000,1,FALSE),"ERROR")=B27&amp;"PT","Y","")),"")</f>
        <v/>
      </c>
    </row>
    <row r="28" spans="7:8" ht="18" customHeight="1">
      <c r="G28" s="29" t="str">
        <f>IFERROR(HYPERLINK("#"&amp;ADDRESS(MATCH(B28&amp;"ES",'LM7 Non-ENG'!$A$1:$A$5000,0),1,,,"LM7 Non-ENG"),IF(IFERROR(VLOOKUP(B28&amp;"ES",'LM7 Non-ENG'!$A$1:$A$4999,1,FALSE),"ERROR")=B28&amp;"ES","Y","")),"")</f>
        <v/>
      </c>
      <c r="H28" s="29" t="str">
        <f>IFERROR(HYPERLINK("#"&amp;ADDRESS(MATCH(B28&amp;"PT",'LM7 Non-ENG'!$A$1:$A$5000,0),1,,,"LM7 Non-ENG"),IF(IFERROR(VLOOKUP(B28&amp;"PT",'LM7 Non-ENG'!$A$1:$A$5000,1,FALSE),"ERROR")=B28&amp;"PT","Y","")),"")</f>
        <v/>
      </c>
    </row>
    <row r="29" spans="7:8" ht="18" customHeight="1">
      <c r="G29" s="29" t="str">
        <f>IFERROR(HYPERLINK("#"&amp;ADDRESS(MATCH(B29&amp;"ES",'LM7 Non-ENG'!$A$1:$A$5000,0),1,,,"LM7 Non-ENG"),IF(IFERROR(VLOOKUP(B29&amp;"ES",'LM7 Non-ENG'!$A$1:$A$4999,1,FALSE),"ERROR")=B29&amp;"ES","Y","")),"")</f>
        <v/>
      </c>
      <c r="H29" s="29" t="str">
        <f>IFERROR(HYPERLINK("#"&amp;ADDRESS(MATCH(B29&amp;"PT",'LM7 Non-ENG'!$A$1:$A$5000,0),1,,,"LM7 Non-ENG"),IF(IFERROR(VLOOKUP(B29&amp;"PT",'LM7 Non-ENG'!$A$1:$A$5000,1,FALSE),"ERROR")=B29&amp;"PT","Y","")),"")</f>
        <v/>
      </c>
    </row>
    <row r="30" spans="7:8" ht="18" customHeight="1">
      <c r="G30" s="29" t="str">
        <f>IFERROR(HYPERLINK("#"&amp;ADDRESS(MATCH(B30&amp;"ES",'LM7 Non-ENG'!$A$1:$A$5000,0),1,,,"LM7 Non-ENG"),IF(IFERROR(VLOOKUP(B30&amp;"ES",'LM7 Non-ENG'!$A$1:$A$4999,1,FALSE),"ERROR")=B30&amp;"ES","Y","")),"")</f>
        <v/>
      </c>
      <c r="H30" s="29" t="str">
        <f>IFERROR(HYPERLINK("#"&amp;ADDRESS(MATCH(B30&amp;"PT",'LM7 Non-ENG'!$A$1:$A$5000,0),1,,,"LM7 Non-ENG"),IF(IFERROR(VLOOKUP(B30&amp;"PT",'LM7 Non-ENG'!$A$1:$A$5000,1,FALSE),"ERROR")=B30&amp;"PT","Y","")),"")</f>
        <v/>
      </c>
    </row>
    <row r="31" spans="7:8" ht="18" customHeight="1">
      <c r="G31" s="29" t="str">
        <f>IFERROR(HYPERLINK("#"&amp;ADDRESS(MATCH(B31&amp;"ES",'LM7 Non-ENG'!$A$1:$A$5000,0),1,,,"LM7 Non-ENG"),IF(IFERROR(VLOOKUP(B31&amp;"ES",'LM7 Non-ENG'!$A$1:$A$4999,1,FALSE),"ERROR")=B31&amp;"ES","Y","")),"")</f>
        <v/>
      </c>
      <c r="H31" s="29" t="str">
        <f>IFERROR(HYPERLINK("#"&amp;ADDRESS(MATCH(B31&amp;"PT",'LM7 Non-ENG'!$A$1:$A$5000,0),1,,,"LM7 Non-ENG"),IF(IFERROR(VLOOKUP(B31&amp;"PT",'LM7 Non-ENG'!$A$1:$A$5000,1,FALSE),"ERROR")=B31&amp;"PT","Y","")),"")</f>
        <v/>
      </c>
    </row>
    <row r="32" spans="7:8" ht="18" customHeight="1">
      <c r="G32" s="29" t="str">
        <f>IFERROR(HYPERLINK("#"&amp;ADDRESS(MATCH(B32&amp;"ES",'LM7 Non-ENG'!$A$1:$A$5000,0),1,,,"LM7 Non-ENG"),IF(IFERROR(VLOOKUP(B32&amp;"ES",'LM7 Non-ENG'!$A$1:$A$4999,1,FALSE),"ERROR")=B32&amp;"ES","Y","")),"")</f>
        <v/>
      </c>
      <c r="H32" s="29" t="str">
        <f>IFERROR(HYPERLINK("#"&amp;ADDRESS(MATCH(B32&amp;"PT",'LM7 Non-ENG'!$A$1:$A$5000,0),1,,,"LM7 Non-ENG"),IF(IFERROR(VLOOKUP(B32&amp;"PT",'LM7 Non-ENG'!$A$1:$A$5000,1,FALSE),"ERROR")=B32&amp;"PT","Y","")),"")</f>
        <v/>
      </c>
    </row>
    <row r="33" spans="7:8" ht="18" customHeight="1">
      <c r="G33" s="29" t="str">
        <f>IFERROR(HYPERLINK("#"&amp;ADDRESS(MATCH(B33&amp;"ES",'LM7 Non-ENG'!$A$1:$A$5000,0),1,,,"LM7 Non-ENG"),IF(IFERROR(VLOOKUP(B33&amp;"ES",'LM7 Non-ENG'!$A$1:$A$4999,1,FALSE),"ERROR")=B33&amp;"ES","Y","")),"")</f>
        <v/>
      </c>
      <c r="H33" s="29" t="str">
        <f>IFERROR(HYPERLINK("#"&amp;ADDRESS(MATCH(B33&amp;"PT",'LM7 Non-ENG'!$A$1:$A$5000,0),1,,,"LM7 Non-ENG"),IF(IFERROR(VLOOKUP(B33&amp;"PT",'LM7 Non-ENG'!$A$1:$A$5000,1,FALSE),"ERROR")=B33&amp;"PT","Y","")),"")</f>
        <v/>
      </c>
    </row>
    <row r="34" spans="7:8" ht="18" customHeight="1">
      <c r="G34" s="29" t="str">
        <f>IFERROR(HYPERLINK("#"&amp;ADDRESS(MATCH(B34&amp;"ES",'LM7 Non-ENG'!$A$1:$A$5000,0),1,,,"LM7 Non-ENG"),IF(IFERROR(VLOOKUP(B34&amp;"ES",'LM7 Non-ENG'!$A$1:$A$4999,1,FALSE),"ERROR")=B34&amp;"ES","Y","")),"")</f>
        <v/>
      </c>
      <c r="H34" s="29" t="str">
        <f>IFERROR(HYPERLINK("#"&amp;ADDRESS(MATCH(B34&amp;"PT",'LM7 Non-ENG'!$A$1:$A$5000,0),1,,,"LM7 Non-ENG"),IF(IFERROR(VLOOKUP(B34&amp;"PT",'LM7 Non-ENG'!$A$1:$A$5000,1,FALSE),"ERROR")=B34&amp;"PT","Y","")),"")</f>
        <v/>
      </c>
    </row>
    <row r="35" spans="7:8" ht="18" customHeight="1">
      <c r="G35" s="29" t="str">
        <f>IFERROR(HYPERLINK("#"&amp;ADDRESS(MATCH(B35&amp;"ES",'LM7 Non-ENG'!$A$1:$A$5000,0),1,,,"LM7 Non-ENG"),IF(IFERROR(VLOOKUP(B35&amp;"ES",'LM7 Non-ENG'!$A$1:$A$4999,1,FALSE),"ERROR")=B35&amp;"ES","Y","")),"")</f>
        <v/>
      </c>
      <c r="H35" s="29" t="str">
        <f>IFERROR(HYPERLINK("#"&amp;ADDRESS(MATCH(B35&amp;"PT",'LM7 Non-ENG'!$A$1:$A$5000,0),1,,,"LM7 Non-ENG"),IF(IFERROR(VLOOKUP(B35&amp;"PT",'LM7 Non-ENG'!$A$1:$A$5000,1,FALSE),"ERROR")=B35&amp;"PT","Y","")),"")</f>
        <v/>
      </c>
    </row>
    <row r="36" spans="7:8" ht="18" customHeight="1">
      <c r="G36" s="29" t="str">
        <f>IFERROR(HYPERLINK("#"&amp;ADDRESS(MATCH(B36&amp;"ES",'LM7 Non-ENG'!$A$1:$A$5000,0),1,,,"LM7 Non-ENG"),IF(IFERROR(VLOOKUP(B36&amp;"ES",'LM7 Non-ENG'!$A$1:$A$4999,1,FALSE),"ERROR")=B36&amp;"ES","Y","")),"")</f>
        <v/>
      </c>
      <c r="H36" s="29" t="str">
        <f>IFERROR(HYPERLINK("#"&amp;ADDRESS(MATCH(B36&amp;"PT",'LM7 Non-ENG'!$A$1:$A$5000,0),1,,,"LM7 Non-ENG"),IF(IFERROR(VLOOKUP(B36&amp;"PT",'LM7 Non-ENG'!$A$1:$A$5000,1,FALSE),"ERROR")=B36&amp;"PT","Y","")),"")</f>
        <v/>
      </c>
    </row>
    <row r="37" spans="7:8" ht="18" customHeight="1">
      <c r="G37" s="29" t="str">
        <f>IFERROR(HYPERLINK("#"&amp;ADDRESS(MATCH(B37&amp;"ES",'LM7 Non-ENG'!$A$1:$A$5000,0),1,,,"LM7 Non-ENG"),IF(IFERROR(VLOOKUP(B37&amp;"ES",'LM7 Non-ENG'!$A$1:$A$4999,1,FALSE),"ERROR")=B37&amp;"ES","Y","")),"")</f>
        <v/>
      </c>
      <c r="H37" s="29" t="str">
        <f>IFERROR(HYPERLINK("#"&amp;ADDRESS(MATCH(B37&amp;"PT",'LM7 Non-ENG'!$A$1:$A$5000,0),1,,,"LM7 Non-ENG"),IF(IFERROR(VLOOKUP(B37&amp;"PT",'LM7 Non-ENG'!$A$1:$A$5000,1,FALSE),"ERROR")=B37&amp;"PT","Y","")),"")</f>
        <v/>
      </c>
    </row>
    <row r="38" spans="7:8" ht="18" customHeight="1">
      <c r="G38" s="29" t="str">
        <f>IFERROR(HYPERLINK("#"&amp;ADDRESS(MATCH(B38&amp;"ES",'LM7 Non-ENG'!$A$1:$A$5000,0),1,,,"LM7 Non-ENG"),IF(IFERROR(VLOOKUP(B38&amp;"ES",'LM7 Non-ENG'!$A$1:$A$4999,1,FALSE),"ERROR")=B38&amp;"ES","Y","")),"")</f>
        <v/>
      </c>
      <c r="H38" s="29" t="str">
        <f>IFERROR(HYPERLINK("#"&amp;ADDRESS(MATCH(B38&amp;"PT",'LM7 Non-ENG'!$A$1:$A$5000,0),1,,,"LM7 Non-ENG"),IF(IFERROR(VLOOKUP(B38&amp;"PT",'LM7 Non-ENG'!$A$1:$A$5000,1,FALSE),"ERROR")=B38&amp;"PT","Y","")),"")</f>
        <v/>
      </c>
    </row>
    <row r="39" spans="7:8" ht="18" customHeight="1">
      <c r="G39" s="29" t="str">
        <f>IFERROR(HYPERLINK("#"&amp;ADDRESS(MATCH(B39&amp;"ES",'LM7 Non-ENG'!$A$1:$A$5000,0),1,,,"LM7 Non-ENG"),IF(IFERROR(VLOOKUP(B39&amp;"ES",'LM7 Non-ENG'!$A$1:$A$4999,1,FALSE),"ERROR")=B39&amp;"ES","Y","")),"")</f>
        <v/>
      </c>
      <c r="H39" s="29" t="str">
        <f>IFERROR(HYPERLINK("#"&amp;ADDRESS(MATCH(B39&amp;"PT",'LM7 Non-ENG'!$A$1:$A$5000,0),1,,,"LM7 Non-ENG"),IF(IFERROR(VLOOKUP(B39&amp;"PT",'LM7 Non-ENG'!$A$1:$A$5000,1,FALSE),"ERROR")=B39&amp;"PT","Y","")),"")</f>
        <v/>
      </c>
    </row>
    <row r="40" spans="7:8" ht="18" customHeight="1">
      <c r="G40" s="29" t="str">
        <f>IFERROR(HYPERLINK("#"&amp;ADDRESS(MATCH(B40&amp;"ES",'LM7 Non-ENG'!$A$1:$A$5000,0),1,,,"LM7 Non-ENG"),IF(IFERROR(VLOOKUP(B40&amp;"ES",'LM7 Non-ENG'!$A$1:$A$4999,1,FALSE),"ERROR")=B40&amp;"ES","Y","")),"")</f>
        <v/>
      </c>
      <c r="H40" s="29" t="str">
        <f>IFERROR(HYPERLINK("#"&amp;ADDRESS(MATCH(B40&amp;"PT",'LM7 Non-ENG'!$A$1:$A$5000,0),1,,,"LM7 Non-ENG"),IF(IFERROR(VLOOKUP(B40&amp;"PT",'LM7 Non-ENG'!$A$1:$A$5000,1,FALSE),"ERROR")=B40&amp;"PT","Y","")),"")</f>
        <v/>
      </c>
    </row>
    <row r="41" spans="7:8" ht="18" customHeight="1">
      <c r="G41" s="29" t="str">
        <f>IFERROR(HYPERLINK("#"&amp;ADDRESS(MATCH(B41&amp;"ES",'LM7 Non-ENG'!$A$1:$A$5000,0),1,,,"LM7 Non-ENG"),IF(IFERROR(VLOOKUP(B41&amp;"ES",'LM7 Non-ENG'!$A$1:$A$4999,1,FALSE),"ERROR")=B41&amp;"ES","Y","")),"")</f>
        <v/>
      </c>
      <c r="H41" s="29" t="str">
        <f>IFERROR(HYPERLINK("#"&amp;ADDRESS(MATCH(B41&amp;"PT",'LM7 Non-ENG'!$A$1:$A$5000,0),1,,,"LM7 Non-ENG"),IF(IFERROR(VLOOKUP(B41&amp;"PT",'LM7 Non-ENG'!$A$1:$A$5000,1,FALSE),"ERROR")=B41&amp;"PT","Y","")),"")</f>
        <v/>
      </c>
    </row>
    <row r="42" spans="7:8" ht="18" customHeight="1">
      <c r="G42" s="29" t="str">
        <f>IFERROR(HYPERLINK("#"&amp;ADDRESS(MATCH(B42&amp;"ES",'LM7 Non-ENG'!$A$1:$A$5000,0),1,,,"LM7 Non-ENG"),IF(IFERROR(VLOOKUP(B42&amp;"ES",'LM7 Non-ENG'!$A$1:$A$4999,1,FALSE),"ERROR")=B42&amp;"ES","Y","")),"")</f>
        <v/>
      </c>
      <c r="H42" s="29" t="str">
        <f>IFERROR(HYPERLINK("#"&amp;ADDRESS(MATCH(B42&amp;"PT",'LM7 Non-ENG'!$A$1:$A$5000,0),1,,,"LM7 Non-ENG"),IF(IFERROR(VLOOKUP(B42&amp;"PT",'LM7 Non-ENG'!$A$1:$A$5000,1,FALSE),"ERROR")=B42&amp;"PT","Y","")),"")</f>
        <v/>
      </c>
    </row>
    <row r="43" spans="7:8" ht="18" customHeight="1">
      <c r="G43" s="29" t="str">
        <f>IFERROR(HYPERLINK("#"&amp;ADDRESS(MATCH(B43&amp;"ES",'LM7 Non-ENG'!$A$1:$A$5000,0),1,,,"LM7 Non-ENG"),IF(IFERROR(VLOOKUP(B43&amp;"ES",'LM7 Non-ENG'!$A$1:$A$4999,1,FALSE),"ERROR")=B43&amp;"ES","Y","")),"")</f>
        <v/>
      </c>
      <c r="H43" s="29" t="str">
        <f>IFERROR(HYPERLINK("#"&amp;ADDRESS(MATCH(B43&amp;"PT",'LM7 Non-ENG'!$A$1:$A$5000,0),1,,,"LM7 Non-ENG"),IF(IFERROR(VLOOKUP(B43&amp;"PT",'LM7 Non-ENG'!$A$1:$A$5000,1,FALSE),"ERROR")=B43&amp;"PT","Y","")),"")</f>
        <v/>
      </c>
    </row>
    <row r="44" spans="7:8" ht="18" customHeight="1">
      <c r="G44" s="29" t="str">
        <f>IFERROR(HYPERLINK("#"&amp;ADDRESS(MATCH(B44&amp;"ES",'LM7 Non-ENG'!$A$1:$A$5000,0),1,,,"LM7 Non-ENG"),IF(IFERROR(VLOOKUP(B44&amp;"ES",'LM7 Non-ENG'!$A$1:$A$4999,1,FALSE),"ERROR")=B44&amp;"ES","Y","")),"")</f>
        <v/>
      </c>
      <c r="H44" s="29" t="str">
        <f>IFERROR(HYPERLINK("#"&amp;ADDRESS(MATCH(B44&amp;"PT",'LM7 Non-ENG'!$A$1:$A$5000,0),1,,,"LM7 Non-ENG"),IF(IFERROR(VLOOKUP(B44&amp;"PT",'LM7 Non-ENG'!$A$1:$A$5000,1,FALSE),"ERROR")=B44&amp;"PT","Y","")),"")</f>
        <v/>
      </c>
    </row>
    <row r="45" spans="7:8" ht="18" customHeight="1">
      <c r="G45" s="29" t="str">
        <f>IFERROR(HYPERLINK("#"&amp;ADDRESS(MATCH(B45&amp;"ES",'LM7 Non-ENG'!$A$1:$A$5000,0),1,,,"LM7 Non-ENG"),IF(IFERROR(VLOOKUP(B45&amp;"ES",'LM7 Non-ENG'!$A$1:$A$4999,1,FALSE),"ERROR")=B45&amp;"ES","Y","")),"")</f>
        <v/>
      </c>
      <c r="H45" s="29" t="str">
        <f>IFERROR(HYPERLINK("#"&amp;ADDRESS(MATCH(B45&amp;"PT",'LM7 Non-ENG'!$A$1:$A$5000,0),1,,,"LM7 Non-ENG"),IF(IFERROR(VLOOKUP(B45&amp;"PT",'LM7 Non-ENG'!$A$1:$A$5000,1,FALSE),"ERROR")=B45&amp;"PT","Y","")),"")</f>
        <v/>
      </c>
    </row>
    <row r="46" spans="7:8" ht="18" customHeight="1">
      <c r="G46" s="29" t="str">
        <f>IFERROR(HYPERLINK("#"&amp;ADDRESS(MATCH(B46&amp;"ES",'LM7 Non-ENG'!$A$1:$A$5000,0),1,,,"LM7 Non-ENG"),IF(IFERROR(VLOOKUP(B46&amp;"ES",'LM7 Non-ENG'!$A$1:$A$4999,1,FALSE),"ERROR")=B46&amp;"ES","Y","")),"")</f>
        <v/>
      </c>
      <c r="H46" s="29" t="str">
        <f>IFERROR(HYPERLINK("#"&amp;ADDRESS(MATCH(B46&amp;"PT",'LM7 Non-ENG'!$A$1:$A$5000,0),1,,,"LM7 Non-ENG"),IF(IFERROR(VLOOKUP(B46&amp;"PT",'LM7 Non-ENG'!$A$1:$A$5000,1,FALSE),"ERROR")=B46&amp;"PT","Y","")),"")</f>
        <v/>
      </c>
    </row>
    <row r="47" spans="7:8" ht="18" customHeight="1">
      <c r="G47" s="29" t="str">
        <f>IFERROR(HYPERLINK("#"&amp;ADDRESS(MATCH(B47&amp;"ES",'LM7 Non-ENG'!$A$1:$A$5000,0),1,,,"LM7 Non-ENG"),IF(IFERROR(VLOOKUP(B47&amp;"ES",'LM7 Non-ENG'!$A$1:$A$4999,1,FALSE),"ERROR")=B47&amp;"ES","Y","")),"")</f>
        <v/>
      </c>
      <c r="H47" s="29" t="str">
        <f>IFERROR(HYPERLINK("#"&amp;ADDRESS(MATCH(B47&amp;"PT",'LM7 Non-ENG'!$A$1:$A$5000,0),1,,,"LM7 Non-ENG"),IF(IFERROR(VLOOKUP(B47&amp;"PT",'LM7 Non-ENG'!$A$1:$A$5000,1,FALSE),"ERROR")=B47&amp;"PT","Y","")),"")</f>
        <v/>
      </c>
    </row>
    <row r="48" spans="7:8" ht="18" customHeight="1">
      <c r="G48" s="29" t="str">
        <f>IFERROR(HYPERLINK("#"&amp;ADDRESS(MATCH(B48&amp;"ES",'LM7 Non-ENG'!$A$1:$A$5000,0),1,,,"LM7 Non-ENG"),IF(IFERROR(VLOOKUP(B48&amp;"ES",'LM7 Non-ENG'!$A$1:$A$4999,1,FALSE),"ERROR")=B48&amp;"ES","Y","")),"")</f>
        <v/>
      </c>
      <c r="H48" s="29" t="str">
        <f>IFERROR(HYPERLINK("#"&amp;ADDRESS(MATCH(B48&amp;"PT",'LM7 Non-ENG'!$A$1:$A$5000,0),1,,,"LM7 Non-ENG"),IF(IFERROR(VLOOKUP(B48&amp;"PT",'LM7 Non-ENG'!$A$1:$A$5000,1,FALSE),"ERROR")=B48&amp;"PT","Y","")),"")</f>
        <v/>
      </c>
    </row>
    <row r="49" spans="7:8" ht="18" customHeight="1">
      <c r="G49" s="29" t="str">
        <f>IFERROR(HYPERLINK("#"&amp;ADDRESS(MATCH(B49&amp;"ES",'LM7 Non-ENG'!$A$1:$A$5000,0),1,,,"LM7 Non-ENG"),IF(IFERROR(VLOOKUP(B49&amp;"ES",'LM7 Non-ENG'!$A$1:$A$4999,1,FALSE),"ERROR")=B49&amp;"ES","Y","")),"")</f>
        <v/>
      </c>
      <c r="H49" s="29" t="str">
        <f>IFERROR(HYPERLINK("#"&amp;ADDRESS(MATCH(B49&amp;"PT",'LM7 Non-ENG'!$A$1:$A$5000,0),1,,,"LM7 Non-ENG"),IF(IFERROR(VLOOKUP(B49&amp;"PT",'LM7 Non-ENG'!$A$1:$A$5000,1,FALSE),"ERROR")=B49&amp;"PT","Y","")),"")</f>
        <v/>
      </c>
    </row>
    <row r="50" spans="7:8" ht="18" customHeight="1">
      <c r="G50" s="29" t="str">
        <f>IFERROR(HYPERLINK("#"&amp;ADDRESS(MATCH(B50&amp;"ES",'LM7 Non-ENG'!$A$1:$A$5000,0),1,,,"LM7 Non-ENG"),IF(IFERROR(VLOOKUP(B50&amp;"ES",'LM7 Non-ENG'!$A$1:$A$4999,1,FALSE),"ERROR")=B50&amp;"ES","Y","")),"")</f>
        <v/>
      </c>
      <c r="H50" s="29" t="str">
        <f>IFERROR(HYPERLINK("#"&amp;ADDRESS(MATCH(B50&amp;"PT",'LM7 Non-ENG'!$A$1:$A$5000,0),1,,,"LM7 Non-ENG"),IF(IFERROR(VLOOKUP(B50&amp;"PT",'LM7 Non-ENG'!$A$1:$A$5000,1,FALSE),"ERROR")=B50&amp;"PT","Y","")),"")</f>
        <v/>
      </c>
    </row>
    <row r="51" spans="7:8" ht="18" customHeight="1">
      <c r="G51" s="29" t="str">
        <f>IFERROR(HYPERLINK("#"&amp;ADDRESS(MATCH(B51&amp;"ES",'LM7 Non-ENG'!$A$1:$A$5000,0),1,,,"LM7 Non-ENG"),IF(IFERROR(VLOOKUP(B51&amp;"ES",'LM7 Non-ENG'!$A$1:$A$4999,1,FALSE),"ERROR")=B51&amp;"ES","Y","")),"")</f>
        <v/>
      </c>
      <c r="H51" s="29" t="str">
        <f>IFERROR(HYPERLINK("#"&amp;ADDRESS(MATCH(B51&amp;"PT",'LM7 Non-ENG'!$A$1:$A$5000,0),1,,,"LM7 Non-ENG"),IF(IFERROR(VLOOKUP(B51&amp;"PT",'LM7 Non-ENG'!$A$1:$A$5000,1,FALSE),"ERROR")=B51&amp;"PT","Y","")),"")</f>
        <v/>
      </c>
    </row>
    <row r="52" spans="7:8" ht="18" customHeight="1">
      <c r="G52" s="29" t="str">
        <f>IFERROR(HYPERLINK("#"&amp;ADDRESS(MATCH(B52&amp;"ES",'LM7 Non-ENG'!$A$1:$A$5000,0),1,,,"LM7 Non-ENG"),IF(IFERROR(VLOOKUP(B52&amp;"ES",'LM7 Non-ENG'!$A$1:$A$4999,1,FALSE),"ERROR")=B52&amp;"ES","Y","")),"")</f>
        <v/>
      </c>
      <c r="H52" s="29" t="str">
        <f>IFERROR(HYPERLINK("#"&amp;ADDRESS(MATCH(B52&amp;"PT",'LM7 Non-ENG'!$A$1:$A$5000,0),1,,,"LM7 Non-ENG"),IF(IFERROR(VLOOKUP(B52&amp;"PT",'LM7 Non-ENG'!$A$1:$A$5000,1,FALSE),"ERROR")=B52&amp;"PT","Y","")),"")</f>
        <v/>
      </c>
    </row>
    <row r="53" spans="7:8" ht="18" customHeight="1">
      <c r="G53" s="29" t="str">
        <f>IFERROR(HYPERLINK("#"&amp;ADDRESS(MATCH(B53&amp;"ES",'LM7 Non-ENG'!$A$1:$A$5000,0),1,,,"LM7 Non-ENG"),IF(IFERROR(VLOOKUP(B53&amp;"ES",'LM7 Non-ENG'!$A$1:$A$4999,1,FALSE),"ERROR")=B53&amp;"ES","Y","")),"")</f>
        <v/>
      </c>
      <c r="H53" s="29" t="str">
        <f>IFERROR(HYPERLINK("#"&amp;ADDRESS(MATCH(B53&amp;"PT",'LM7 Non-ENG'!$A$1:$A$5000,0),1,,,"LM7 Non-ENG"),IF(IFERROR(VLOOKUP(B53&amp;"PT",'LM7 Non-ENG'!$A$1:$A$5000,1,FALSE),"ERROR")=B53&amp;"PT","Y","")),"")</f>
        <v/>
      </c>
    </row>
    <row r="54" spans="7:8" ht="18" customHeight="1">
      <c r="G54" s="29" t="str">
        <f>IFERROR(HYPERLINK("#"&amp;ADDRESS(MATCH(B54&amp;"ES",'LM7 Non-ENG'!$A$1:$A$5000,0),1,,,"LM7 Non-ENG"),IF(IFERROR(VLOOKUP(B54&amp;"ES",'LM7 Non-ENG'!$A$1:$A$4999,1,FALSE),"ERROR")=B54&amp;"ES","Y","")),"")</f>
        <v/>
      </c>
      <c r="H54" s="29" t="str">
        <f>IFERROR(HYPERLINK("#"&amp;ADDRESS(MATCH(B54&amp;"PT",'LM7 Non-ENG'!$A$1:$A$5000,0),1,,,"LM7 Non-ENG"),IF(IFERROR(VLOOKUP(B54&amp;"PT",'LM7 Non-ENG'!$A$1:$A$5000,1,FALSE),"ERROR")=B54&amp;"PT","Y","")),"")</f>
        <v/>
      </c>
    </row>
    <row r="55" spans="7:8" ht="18" customHeight="1">
      <c r="G55" s="29" t="str">
        <f>IFERROR(HYPERLINK("#"&amp;ADDRESS(MATCH(B55&amp;"ES",'LM7 Non-ENG'!$A$1:$A$5000,0),1,,,"LM7 Non-ENG"),IF(IFERROR(VLOOKUP(B55&amp;"ES",'LM7 Non-ENG'!$A$1:$A$4999,1,FALSE),"ERROR")=B55&amp;"ES","Y","")),"")</f>
        <v/>
      </c>
      <c r="H55" s="29" t="str">
        <f>IFERROR(HYPERLINK("#"&amp;ADDRESS(MATCH(B55&amp;"PT",'LM7 Non-ENG'!$A$1:$A$5000,0),1,,,"LM7 Non-ENG"),IF(IFERROR(VLOOKUP(B55&amp;"PT",'LM7 Non-ENG'!$A$1:$A$5000,1,FALSE),"ERROR")=B55&amp;"PT","Y","")),"")</f>
        <v/>
      </c>
    </row>
    <row r="56" spans="7:8" ht="18" customHeight="1">
      <c r="G56" s="29" t="str">
        <f>IFERROR(HYPERLINK("#"&amp;ADDRESS(MATCH(B56&amp;"ES",'LM7 Non-ENG'!$A$1:$A$5000,0),1,,,"LM7 Non-ENG"),IF(IFERROR(VLOOKUP(B56&amp;"ES",'LM7 Non-ENG'!$A$1:$A$4999,1,FALSE),"ERROR")=B56&amp;"ES","Y","")),"")</f>
        <v/>
      </c>
      <c r="H56" s="29" t="str">
        <f>IFERROR(HYPERLINK("#"&amp;ADDRESS(MATCH(B56&amp;"PT",'LM7 Non-ENG'!$A$1:$A$5000,0),1,,,"LM7 Non-ENG"),IF(IFERROR(VLOOKUP(B56&amp;"PT",'LM7 Non-ENG'!$A$1:$A$5000,1,FALSE),"ERROR")=B56&amp;"PT","Y","")),"")</f>
        <v/>
      </c>
    </row>
    <row r="57" spans="7:8" ht="18" customHeight="1">
      <c r="G57" s="29" t="str">
        <f>IFERROR(HYPERLINK("#"&amp;ADDRESS(MATCH(B57&amp;"ES",'LM7 Non-ENG'!$A$1:$A$5000,0),1,,,"LM7 Non-ENG"),IF(IFERROR(VLOOKUP(B57&amp;"ES",'LM7 Non-ENG'!$A$1:$A$4999,1,FALSE),"ERROR")=B57&amp;"ES","Y","")),"")</f>
        <v/>
      </c>
      <c r="H57" s="29" t="str">
        <f>IFERROR(HYPERLINK("#"&amp;ADDRESS(MATCH(B57&amp;"PT",'LM7 Non-ENG'!$A$1:$A$5000,0),1,,,"LM7 Non-ENG"),IF(IFERROR(VLOOKUP(B57&amp;"PT",'LM7 Non-ENG'!$A$1:$A$5000,1,FALSE),"ERROR")=B57&amp;"PT","Y","")),"")</f>
        <v/>
      </c>
    </row>
    <row r="58" spans="7:8" ht="18" customHeight="1">
      <c r="G58" s="29" t="str">
        <f>IFERROR(HYPERLINK("#"&amp;ADDRESS(MATCH(B58&amp;"ES",'LM7 Non-ENG'!$A$1:$A$5000,0),1,,,"LM7 Non-ENG"),IF(IFERROR(VLOOKUP(B58&amp;"ES",'LM7 Non-ENG'!$A$1:$A$4999,1,FALSE),"ERROR")=B58&amp;"ES","Y","")),"")</f>
        <v/>
      </c>
      <c r="H58" s="29" t="str">
        <f>IFERROR(HYPERLINK("#"&amp;ADDRESS(MATCH(B58&amp;"PT",'LM7 Non-ENG'!$A$1:$A$5000,0),1,,,"LM7 Non-ENG"),IF(IFERROR(VLOOKUP(B58&amp;"PT",'LM7 Non-ENG'!$A$1:$A$5000,1,FALSE),"ERROR")=B58&amp;"PT","Y","")),"")</f>
        <v/>
      </c>
    </row>
    <row r="59" spans="7:8" ht="18" customHeight="1">
      <c r="G59" s="29" t="str">
        <f>IFERROR(HYPERLINK("#"&amp;ADDRESS(MATCH(B59&amp;"ES",'LM7 Non-ENG'!$A$1:$A$5000,0),1,,,"LM7 Non-ENG"),IF(IFERROR(VLOOKUP(B59&amp;"ES",'LM7 Non-ENG'!$A$1:$A$4999,1,FALSE),"ERROR")=B59&amp;"ES","Y","")),"")</f>
        <v/>
      </c>
      <c r="H59" s="29" t="str">
        <f>IFERROR(HYPERLINK("#"&amp;ADDRESS(MATCH(B59&amp;"PT",'LM7 Non-ENG'!$A$1:$A$5000,0),1,,,"LM7 Non-ENG"),IF(IFERROR(VLOOKUP(B59&amp;"PT",'LM7 Non-ENG'!$A$1:$A$5000,1,FALSE),"ERROR")=B59&amp;"PT","Y","")),"")</f>
        <v/>
      </c>
    </row>
    <row r="60" spans="7:8" ht="18" customHeight="1">
      <c r="G60" s="29" t="str">
        <f>IFERROR(HYPERLINK("#"&amp;ADDRESS(MATCH(B60&amp;"ES",'LM7 Non-ENG'!$A$1:$A$5000,0),1,,,"LM7 Non-ENG"),IF(IFERROR(VLOOKUP(B60&amp;"ES",'LM7 Non-ENG'!$A$1:$A$4999,1,FALSE),"ERROR")=B60&amp;"ES","Y","")),"")</f>
        <v/>
      </c>
      <c r="H60" s="29" t="str">
        <f>IFERROR(HYPERLINK("#"&amp;ADDRESS(MATCH(B60&amp;"PT",'LM7 Non-ENG'!$A$1:$A$5000,0),1,,,"LM7 Non-ENG"),IF(IFERROR(VLOOKUP(B60&amp;"PT",'LM7 Non-ENG'!$A$1:$A$5000,1,FALSE),"ERROR")=B60&amp;"PT","Y","")),"")</f>
        <v/>
      </c>
    </row>
    <row r="61" spans="7:8" ht="18" customHeight="1">
      <c r="G61" s="29" t="str">
        <f>IFERROR(HYPERLINK("#"&amp;ADDRESS(MATCH(B61&amp;"ES",'LM7 Non-ENG'!$A$1:$A$5000,0),1,,,"LM7 Non-ENG"),IF(IFERROR(VLOOKUP(B61&amp;"ES",'LM7 Non-ENG'!$A$1:$A$4999,1,FALSE),"ERROR")=B61&amp;"ES","Y","")),"")</f>
        <v/>
      </c>
      <c r="H61" s="29" t="str">
        <f>IFERROR(HYPERLINK("#"&amp;ADDRESS(MATCH(B61&amp;"PT",'LM7 Non-ENG'!$A$1:$A$5000,0),1,,,"LM7 Non-ENG"),IF(IFERROR(VLOOKUP(B61&amp;"PT",'LM7 Non-ENG'!$A$1:$A$5000,1,FALSE),"ERROR")=B61&amp;"PT","Y","")),"")</f>
        <v/>
      </c>
    </row>
    <row r="62" spans="7:8" ht="18" customHeight="1">
      <c r="G62" s="29" t="str">
        <f>IFERROR(HYPERLINK("#"&amp;ADDRESS(MATCH(B62&amp;"ES",'LM7 Non-ENG'!$A$1:$A$5000,0),1,,,"LM7 Non-ENG"),IF(IFERROR(VLOOKUP(B62&amp;"ES",'LM7 Non-ENG'!$A$1:$A$4999,1,FALSE),"ERROR")=B62&amp;"ES","Y","")),"")</f>
        <v/>
      </c>
      <c r="H62" s="29" t="str">
        <f>IFERROR(HYPERLINK("#"&amp;ADDRESS(MATCH(B62&amp;"PT",'LM7 Non-ENG'!$A$1:$A$5000,0),1,,,"LM7 Non-ENG"),IF(IFERROR(VLOOKUP(B62&amp;"PT",'LM7 Non-ENG'!$A$1:$A$5000,1,FALSE),"ERROR")=B62&amp;"PT","Y","")),"")</f>
        <v/>
      </c>
    </row>
    <row r="63" spans="7:8" ht="18" customHeight="1">
      <c r="G63" s="29" t="str">
        <f>IFERROR(HYPERLINK("#"&amp;ADDRESS(MATCH(B63&amp;"ES",'LM7 Non-ENG'!$A$1:$A$5000,0),1,,,"LM7 Non-ENG"),IF(IFERROR(VLOOKUP(B63&amp;"ES",'LM7 Non-ENG'!$A$1:$A$4999,1,FALSE),"ERROR")=B63&amp;"ES","Y","")),"")</f>
        <v/>
      </c>
      <c r="H63" s="29" t="str">
        <f>IFERROR(HYPERLINK("#"&amp;ADDRESS(MATCH(B63&amp;"PT",'LM7 Non-ENG'!$A$1:$A$5000,0),1,,,"LM7 Non-ENG"),IF(IFERROR(VLOOKUP(B63&amp;"PT",'LM7 Non-ENG'!$A$1:$A$5000,1,FALSE),"ERROR")=B63&amp;"PT","Y","")),"")</f>
        <v/>
      </c>
    </row>
    <row r="64" spans="7:8" ht="18" customHeight="1">
      <c r="G64" s="29" t="str">
        <f>IFERROR(HYPERLINK("#"&amp;ADDRESS(MATCH(B64&amp;"ES",'LM7 Non-ENG'!$A$1:$A$5000,0),1,,,"LM7 Non-ENG"),IF(IFERROR(VLOOKUP(B64&amp;"ES",'LM7 Non-ENG'!$A$1:$A$4999,1,FALSE),"ERROR")=B64&amp;"ES","Y","")),"")</f>
        <v/>
      </c>
      <c r="H64" s="29" t="str">
        <f>IFERROR(HYPERLINK("#"&amp;ADDRESS(MATCH(B64&amp;"PT",'LM7 Non-ENG'!$A$1:$A$5000,0),1,,,"LM7 Non-ENG"),IF(IFERROR(VLOOKUP(B64&amp;"PT",'LM7 Non-ENG'!$A$1:$A$5000,1,FALSE),"ERROR")=B64&amp;"PT","Y","")),"")</f>
        <v/>
      </c>
    </row>
    <row r="65" spans="7:8" ht="18" customHeight="1">
      <c r="G65" s="29" t="str">
        <f>IFERROR(HYPERLINK("#"&amp;ADDRESS(MATCH(B65&amp;"ES",'LM7 Non-ENG'!$A$1:$A$5000,0),1,,,"LM7 Non-ENG"),IF(IFERROR(VLOOKUP(B65&amp;"ES",'LM7 Non-ENG'!$A$1:$A$4999,1,FALSE),"ERROR")=B65&amp;"ES","Y","")),"")</f>
        <v/>
      </c>
      <c r="H65" s="29" t="str">
        <f>IFERROR(HYPERLINK("#"&amp;ADDRESS(MATCH(B65&amp;"PT",'LM7 Non-ENG'!$A$1:$A$5000,0),1,,,"LM7 Non-ENG"),IF(IFERROR(VLOOKUP(B65&amp;"PT",'LM7 Non-ENG'!$A$1:$A$5000,1,FALSE),"ERROR")=B65&amp;"PT","Y","")),"")</f>
        <v/>
      </c>
    </row>
    <row r="66" spans="7:8" ht="18" customHeight="1">
      <c r="G66" s="29" t="str">
        <f>IFERROR(HYPERLINK("#"&amp;ADDRESS(MATCH(B66&amp;"ES",'LM7 Non-ENG'!$A$1:$A$5000,0),1,,,"LM7 Non-ENG"),IF(IFERROR(VLOOKUP(B66&amp;"ES",'LM7 Non-ENG'!$A$1:$A$4999,1,FALSE),"ERROR")=B66&amp;"ES","Y","")),"")</f>
        <v/>
      </c>
      <c r="H66" s="29" t="str">
        <f>IFERROR(HYPERLINK("#"&amp;ADDRESS(MATCH(B66&amp;"PT",'LM7 Non-ENG'!$A$1:$A$5000,0),1,,,"LM7 Non-ENG"),IF(IFERROR(VLOOKUP(B66&amp;"PT",'LM7 Non-ENG'!$A$1:$A$5000,1,FALSE),"ERROR")=B66&amp;"PT","Y","")),"")</f>
        <v/>
      </c>
    </row>
    <row r="67" spans="7:8" ht="18" customHeight="1">
      <c r="G67" s="29" t="str">
        <f>IFERROR(HYPERLINK("#"&amp;ADDRESS(MATCH(B67&amp;"ES",'LM7 Non-ENG'!$A$1:$A$5000,0),1,,,"LM7 Non-ENG"),IF(IFERROR(VLOOKUP(B67&amp;"ES",'LM7 Non-ENG'!$A$1:$A$4999,1,FALSE),"ERROR")=B67&amp;"ES","Y","")),"")</f>
        <v/>
      </c>
      <c r="H67" s="29" t="str">
        <f>IFERROR(HYPERLINK("#"&amp;ADDRESS(MATCH(B67&amp;"PT",'LM7 Non-ENG'!$A$1:$A$5000,0),1,,,"LM7 Non-ENG"),IF(IFERROR(VLOOKUP(B67&amp;"PT",'LM7 Non-ENG'!$A$1:$A$5000,1,FALSE),"ERROR")=B67&amp;"PT","Y","")),"")</f>
        <v/>
      </c>
    </row>
    <row r="68" spans="7:8" ht="18" customHeight="1">
      <c r="G68" s="29" t="str">
        <f>IFERROR(HYPERLINK("#"&amp;ADDRESS(MATCH(B68&amp;"ES",'LM7 Non-ENG'!$A$1:$A$5000,0),1,,,"LM7 Non-ENG"),IF(IFERROR(VLOOKUP(B68&amp;"ES",'LM7 Non-ENG'!$A$1:$A$4999,1,FALSE),"ERROR")=B68&amp;"ES","Y","")),"")</f>
        <v/>
      </c>
      <c r="H68" s="29" t="str">
        <f>IFERROR(HYPERLINK("#"&amp;ADDRESS(MATCH(B68&amp;"PT",'LM7 Non-ENG'!$A$1:$A$5000,0),1,,,"LM7 Non-ENG"),IF(IFERROR(VLOOKUP(B68&amp;"PT",'LM7 Non-ENG'!$A$1:$A$5000,1,FALSE),"ERROR")=B68&amp;"PT","Y","")),"")</f>
        <v/>
      </c>
    </row>
    <row r="69" spans="7:8" ht="18" customHeight="1">
      <c r="G69" s="29" t="str">
        <f>IFERROR(HYPERLINK("#"&amp;ADDRESS(MATCH(B69&amp;"ES",'LM7 Non-ENG'!$A$1:$A$5000,0),1,,,"LM7 Non-ENG"),IF(IFERROR(VLOOKUP(B69&amp;"ES",'LM7 Non-ENG'!$A$1:$A$4999,1,FALSE),"ERROR")=B69&amp;"ES","Y","")),"")</f>
        <v/>
      </c>
      <c r="H69" s="29" t="str">
        <f>IFERROR(HYPERLINK("#"&amp;ADDRESS(MATCH(B69&amp;"PT",'LM7 Non-ENG'!$A$1:$A$5000,0),1,,,"LM7 Non-ENG"),IF(IFERROR(VLOOKUP(B69&amp;"PT",'LM7 Non-ENG'!$A$1:$A$5000,1,FALSE),"ERROR")=B69&amp;"PT","Y","")),"")</f>
        <v/>
      </c>
    </row>
    <row r="70" spans="7:8" ht="18" customHeight="1">
      <c r="G70" s="29" t="str">
        <f>IFERROR(HYPERLINK("#"&amp;ADDRESS(MATCH(B70&amp;"ES",'LM7 Non-ENG'!$A$1:$A$5000,0),1,,,"LM7 Non-ENG"),IF(IFERROR(VLOOKUP(B70&amp;"ES",'LM7 Non-ENG'!$A$1:$A$4999,1,FALSE),"ERROR")=B70&amp;"ES","Y","")),"")</f>
        <v/>
      </c>
      <c r="H70" s="29" t="str">
        <f>IFERROR(HYPERLINK("#"&amp;ADDRESS(MATCH(B70&amp;"PT",'LM7 Non-ENG'!$A$1:$A$5000,0),1,,,"LM7 Non-ENG"),IF(IFERROR(VLOOKUP(B70&amp;"PT",'LM7 Non-ENG'!$A$1:$A$5000,1,FALSE),"ERROR")=B70&amp;"PT","Y","")),"")</f>
        <v/>
      </c>
    </row>
    <row r="71" spans="7:8" ht="18" customHeight="1">
      <c r="G71" s="29" t="str">
        <f>IFERROR(HYPERLINK("#"&amp;ADDRESS(MATCH(B71&amp;"ES",'LM7 Non-ENG'!$A$1:$A$5000,0),1,,,"LM7 Non-ENG"),IF(IFERROR(VLOOKUP(B71&amp;"ES",'LM7 Non-ENG'!$A$1:$A$4999,1,FALSE),"ERROR")=B71&amp;"ES","Y","")),"")</f>
        <v/>
      </c>
      <c r="H71" s="29" t="str">
        <f>IFERROR(HYPERLINK("#"&amp;ADDRESS(MATCH(B71&amp;"PT",'LM7 Non-ENG'!$A$1:$A$5000,0),1,,,"LM7 Non-ENG"),IF(IFERROR(VLOOKUP(B71&amp;"PT",'LM7 Non-ENG'!$A$1:$A$5000,1,FALSE),"ERROR")=B71&amp;"PT","Y","")),"")</f>
        <v/>
      </c>
    </row>
    <row r="72" spans="7:8" ht="18" customHeight="1">
      <c r="G72" s="29" t="str">
        <f>IFERROR(HYPERLINK("#"&amp;ADDRESS(MATCH(B72&amp;"ES",'LM7 Non-ENG'!$A$1:$A$5000,0),1,,,"LM7 Non-ENG"),IF(IFERROR(VLOOKUP(B72&amp;"ES",'LM7 Non-ENG'!$A$1:$A$4999,1,FALSE),"ERROR")=B72&amp;"ES","Y","")),"")</f>
        <v/>
      </c>
      <c r="H72" s="29" t="str">
        <f>IFERROR(HYPERLINK("#"&amp;ADDRESS(MATCH(B72&amp;"PT",'LM7 Non-ENG'!$A$1:$A$5000,0),1,,,"LM7 Non-ENG"),IF(IFERROR(VLOOKUP(B72&amp;"PT",'LM7 Non-ENG'!$A$1:$A$5000,1,FALSE),"ERROR")=B72&amp;"PT","Y","")),"")</f>
        <v/>
      </c>
    </row>
    <row r="73" spans="7:8" ht="18" customHeight="1">
      <c r="G73" s="29" t="str">
        <f>IFERROR(HYPERLINK("#"&amp;ADDRESS(MATCH(B73&amp;"ES",'LM7 Non-ENG'!$A$1:$A$5000,0),1,,,"LM7 Non-ENG"),IF(IFERROR(VLOOKUP(B73&amp;"ES",'LM7 Non-ENG'!$A$1:$A$4999,1,FALSE),"ERROR")=B73&amp;"ES","Y","")),"")</f>
        <v/>
      </c>
      <c r="H73" s="29" t="str">
        <f>IFERROR(HYPERLINK("#"&amp;ADDRESS(MATCH(B73&amp;"PT",'LM7 Non-ENG'!$A$1:$A$5000,0),1,,,"LM7 Non-ENG"),IF(IFERROR(VLOOKUP(B73&amp;"PT",'LM7 Non-ENG'!$A$1:$A$5000,1,FALSE),"ERROR")=B73&amp;"PT","Y","")),"")</f>
        <v/>
      </c>
    </row>
    <row r="74" spans="7:8" ht="18" customHeight="1">
      <c r="G74" s="29" t="str">
        <f>IFERROR(HYPERLINK("#"&amp;ADDRESS(MATCH(B74&amp;"ES",'LM7 Non-ENG'!$A$1:$A$5000,0),1,,,"LM7 Non-ENG"),IF(IFERROR(VLOOKUP(B74&amp;"ES",'LM7 Non-ENG'!$A$1:$A$4999,1,FALSE),"ERROR")=B74&amp;"ES","Y","")),"")</f>
        <v/>
      </c>
      <c r="H74" s="29" t="str">
        <f>IFERROR(HYPERLINK("#"&amp;ADDRESS(MATCH(B74&amp;"PT",'LM7 Non-ENG'!$A$1:$A$5000,0),1,,,"LM7 Non-ENG"),IF(IFERROR(VLOOKUP(B74&amp;"PT",'LM7 Non-ENG'!$A$1:$A$5000,1,FALSE),"ERROR")=B74&amp;"PT","Y","")),"")</f>
        <v/>
      </c>
    </row>
    <row r="75" spans="7:8" ht="18" customHeight="1">
      <c r="G75" s="29" t="str">
        <f>IFERROR(HYPERLINK("#"&amp;ADDRESS(MATCH(B75&amp;"ES",'LM7 Non-ENG'!$A$1:$A$5000,0),1,,,"LM7 Non-ENG"),IF(IFERROR(VLOOKUP(B75&amp;"ES",'LM7 Non-ENG'!$A$1:$A$4999,1,FALSE),"ERROR")=B75&amp;"ES","Y","")),"")</f>
        <v/>
      </c>
      <c r="H75" s="29" t="str">
        <f>IFERROR(HYPERLINK("#"&amp;ADDRESS(MATCH(B75&amp;"PT",'LM7 Non-ENG'!$A$1:$A$5000,0),1,,,"LM7 Non-ENG"),IF(IFERROR(VLOOKUP(B75&amp;"PT",'LM7 Non-ENG'!$A$1:$A$5000,1,FALSE),"ERROR")=B75&amp;"PT","Y","")),"")</f>
        <v/>
      </c>
    </row>
    <row r="76" spans="7:8" ht="18" customHeight="1">
      <c r="G76" s="29" t="str">
        <f>IFERROR(HYPERLINK("#"&amp;ADDRESS(MATCH(B76&amp;"ES",'LM7 Non-ENG'!$A$1:$A$5000,0),1,,,"LM7 Non-ENG"),IF(IFERROR(VLOOKUP(B76&amp;"ES",'LM7 Non-ENG'!$A$1:$A$4999,1,FALSE),"ERROR")=B76&amp;"ES","Y","")),"")</f>
        <v/>
      </c>
      <c r="H76" s="29" t="str">
        <f>IFERROR(HYPERLINK("#"&amp;ADDRESS(MATCH(B76&amp;"PT",'LM7 Non-ENG'!$A$1:$A$5000,0),1,,,"LM7 Non-ENG"),IF(IFERROR(VLOOKUP(B76&amp;"PT",'LM7 Non-ENG'!$A$1:$A$5000,1,FALSE),"ERROR")=B76&amp;"PT","Y","")),"")</f>
        <v/>
      </c>
    </row>
    <row r="77" spans="7:8" ht="18" customHeight="1">
      <c r="G77" s="29" t="str">
        <f>IFERROR(HYPERLINK("#"&amp;ADDRESS(MATCH(B77&amp;"ES",'LM7 Non-ENG'!$A$1:$A$5000,0),1,,,"LM7 Non-ENG"),IF(IFERROR(VLOOKUP(B77&amp;"ES",'LM7 Non-ENG'!$A$1:$A$4999,1,FALSE),"ERROR")=B77&amp;"ES","Y","")),"")</f>
        <v/>
      </c>
      <c r="H77" s="29" t="str">
        <f>IFERROR(HYPERLINK("#"&amp;ADDRESS(MATCH(B77&amp;"PT",'LM7 Non-ENG'!$A$1:$A$5000,0),1,,,"LM7 Non-ENG"),IF(IFERROR(VLOOKUP(B77&amp;"PT",'LM7 Non-ENG'!$A$1:$A$5000,1,FALSE),"ERROR")=B77&amp;"PT","Y","")),"")</f>
        <v/>
      </c>
    </row>
    <row r="78" spans="7:8" ht="18" customHeight="1">
      <c r="G78" s="29" t="str">
        <f>IFERROR(HYPERLINK("#"&amp;ADDRESS(MATCH(B78&amp;"ES",'LM7 Non-ENG'!$A$1:$A$5000,0),1,,,"LM7 Non-ENG"),IF(IFERROR(VLOOKUP(B78&amp;"ES",'LM7 Non-ENG'!$A$1:$A$4999,1,FALSE),"ERROR")=B78&amp;"ES","Y","")),"")</f>
        <v/>
      </c>
      <c r="H78" s="29" t="str">
        <f>IFERROR(HYPERLINK("#"&amp;ADDRESS(MATCH(B78&amp;"PT",'LM7 Non-ENG'!$A$1:$A$5000,0),1,,,"LM7 Non-ENG"),IF(IFERROR(VLOOKUP(B78&amp;"PT",'LM7 Non-ENG'!$A$1:$A$5000,1,FALSE),"ERROR")=B78&amp;"PT","Y","")),"")</f>
        <v/>
      </c>
    </row>
    <row r="79" spans="7:8" ht="18" customHeight="1">
      <c r="G79" s="29" t="str">
        <f>IFERROR(HYPERLINK("#"&amp;ADDRESS(MATCH(B79&amp;"ES",'LM7 Non-ENG'!$A$1:$A$5000,0),1,,,"LM7 Non-ENG"),IF(IFERROR(VLOOKUP(B79&amp;"ES",'LM7 Non-ENG'!$A$1:$A$4999,1,FALSE),"ERROR")=B79&amp;"ES","Y","")),"")</f>
        <v/>
      </c>
      <c r="H79" s="29" t="str">
        <f>IFERROR(HYPERLINK("#"&amp;ADDRESS(MATCH(B79&amp;"PT",'LM7 Non-ENG'!$A$1:$A$5000,0),1,,,"LM7 Non-ENG"),IF(IFERROR(VLOOKUP(B79&amp;"PT",'LM7 Non-ENG'!$A$1:$A$5000,1,FALSE),"ERROR")=B79&amp;"PT","Y","")),"")</f>
        <v/>
      </c>
    </row>
    <row r="80" spans="7:8" ht="18" customHeight="1">
      <c r="G80" s="29" t="str">
        <f>IFERROR(HYPERLINK("#"&amp;ADDRESS(MATCH(B80&amp;"ES",'LM7 Non-ENG'!$A$1:$A$5000,0),1,,,"LM7 Non-ENG"),IF(IFERROR(VLOOKUP(B80&amp;"ES",'LM7 Non-ENG'!$A$1:$A$4999,1,FALSE),"ERROR")=B80&amp;"ES","Y","")),"")</f>
        <v/>
      </c>
      <c r="H80" s="29" t="str">
        <f>IFERROR(HYPERLINK("#"&amp;ADDRESS(MATCH(B80&amp;"PT",'LM7 Non-ENG'!$A$1:$A$5000,0),1,,,"LM7 Non-ENG"),IF(IFERROR(VLOOKUP(B80&amp;"PT",'LM7 Non-ENG'!$A$1:$A$5000,1,FALSE),"ERROR")=B80&amp;"PT","Y","")),"")</f>
        <v/>
      </c>
    </row>
    <row r="81" spans="7:8" ht="18" customHeight="1">
      <c r="G81" s="29" t="str">
        <f>IFERROR(HYPERLINK("#"&amp;ADDRESS(MATCH(B81&amp;"ES",'LM7 Non-ENG'!$A$1:$A$5000,0),1,,,"LM7 Non-ENG"),IF(IFERROR(VLOOKUP(B81&amp;"ES",'LM7 Non-ENG'!$A$1:$A$4999,1,FALSE),"ERROR")=B81&amp;"ES","Y","")),"")</f>
        <v/>
      </c>
      <c r="H81" s="29" t="str">
        <f>IFERROR(HYPERLINK("#"&amp;ADDRESS(MATCH(B81&amp;"PT",'LM7 Non-ENG'!$A$1:$A$5000,0),1,,,"LM7 Non-ENG"),IF(IFERROR(VLOOKUP(B81&amp;"PT",'LM7 Non-ENG'!$A$1:$A$5000,1,FALSE),"ERROR")=B81&amp;"PT","Y","")),"")</f>
        <v/>
      </c>
    </row>
    <row r="82" spans="7:8" ht="18" customHeight="1">
      <c r="G82" s="29" t="str">
        <f>IFERROR(HYPERLINK("#"&amp;ADDRESS(MATCH(B82&amp;"ES",'LM7 Non-ENG'!$A$1:$A$5000,0),1,,,"LM7 Non-ENG"),IF(IFERROR(VLOOKUP(B82&amp;"ES",'LM7 Non-ENG'!$A$1:$A$4999,1,FALSE),"ERROR")=B82&amp;"ES","Y","")),"")</f>
        <v/>
      </c>
      <c r="H82" s="29" t="str">
        <f>IFERROR(HYPERLINK("#"&amp;ADDRESS(MATCH(B82&amp;"PT",'LM7 Non-ENG'!$A$1:$A$5000,0),1,,,"LM7 Non-ENG"),IF(IFERROR(VLOOKUP(B82&amp;"PT",'LM7 Non-ENG'!$A$1:$A$5000,1,FALSE),"ERROR")=B82&amp;"PT","Y","")),"")</f>
        <v/>
      </c>
    </row>
    <row r="83" spans="7:8" ht="18" customHeight="1">
      <c r="G83" s="29" t="str">
        <f>IFERROR(HYPERLINK("#"&amp;ADDRESS(MATCH(B83&amp;"ES",'LM7 Non-ENG'!$A$1:$A$5000,0),1,,,"LM7 Non-ENG"),IF(IFERROR(VLOOKUP(B83&amp;"ES",'LM7 Non-ENG'!$A$1:$A$4999,1,FALSE),"ERROR")=B83&amp;"ES","Y","")),"")</f>
        <v/>
      </c>
      <c r="H83" s="29" t="str">
        <f>IFERROR(HYPERLINK("#"&amp;ADDRESS(MATCH(B83&amp;"PT",'LM7 Non-ENG'!$A$1:$A$5000,0),1,,,"LM7 Non-ENG"),IF(IFERROR(VLOOKUP(B83&amp;"PT",'LM7 Non-ENG'!$A$1:$A$5000,1,FALSE),"ERROR")=B83&amp;"PT","Y","")),"")</f>
        <v/>
      </c>
    </row>
    <row r="84" spans="7:8" ht="18" customHeight="1">
      <c r="G84" s="29" t="str">
        <f>IFERROR(HYPERLINK("#"&amp;ADDRESS(MATCH(B84&amp;"ES",'LM7 Non-ENG'!$A$1:$A$5000,0),1,,,"LM7 Non-ENG"),IF(IFERROR(VLOOKUP(B84&amp;"ES",'LM7 Non-ENG'!$A$1:$A$4999,1,FALSE),"ERROR")=B84&amp;"ES","Y","")),"")</f>
        <v/>
      </c>
      <c r="H84" s="29" t="str">
        <f>IFERROR(HYPERLINK("#"&amp;ADDRESS(MATCH(B84&amp;"PT",'LM7 Non-ENG'!$A$1:$A$5000,0),1,,,"LM7 Non-ENG"),IF(IFERROR(VLOOKUP(B84&amp;"PT",'LM7 Non-ENG'!$A$1:$A$5000,1,FALSE),"ERROR")=B84&amp;"PT","Y","")),"")</f>
        <v/>
      </c>
    </row>
    <row r="85" spans="7:8" ht="18" customHeight="1">
      <c r="G85" s="29" t="str">
        <f>IFERROR(HYPERLINK("#"&amp;ADDRESS(MATCH(B85&amp;"ES",'LM7 Non-ENG'!$A$1:$A$5000,0),1,,,"LM7 Non-ENG"),IF(IFERROR(VLOOKUP(B85&amp;"ES",'LM7 Non-ENG'!$A$1:$A$4999,1,FALSE),"ERROR")=B85&amp;"ES","Y","")),"")</f>
        <v/>
      </c>
      <c r="H85" s="29" t="str">
        <f>IFERROR(HYPERLINK("#"&amp;ADDRESS(MATCH(B85&amp;"PT",'LM7 Non-ENG'!$A$1:$A$5000,0),1,,,"LM7 Non-ENG"),IF(IFERROR(VLOOKUP(B85&amp;"PT",'LM7 Non-ENG'!$A$1:$A$5000,1,FALSE),"ERROR")=B85&amp;"PT","Y","")),"")</f>
        <v/>
      </c>
    </row>
    <row r="86" spans="7:8" ht="18" customHeight="1">
      <c r="G86" s="29" t="str">
        <f>IFERROR(HYPERLINK("#"&amp;ADDRESS(MATCH(B86&amp;"ES",'LM7 Non-ENG'!$A$1:$A$5000,0),1,,,"LM7 Non-ENG"),IF(IFERROR(VLOOKUP(B86&amp;"ES",'LM7 Non-ENG'!$A$1:$A$4999,1,FALSE),"ERROR")=B86&amp;"ES","Y","")),"")</f>
        <v/>
      </c>
      <c r="H86" s="29" t="str">
        <f>IFERROR(HYPERLINK("#"&amp;ADDRESS(MATCH(B86&amp;"PT",'LM7 Non-ENG'!$A$1:$A$5000,0),1,,,"LM7 Non-ENG"),IF(IFERROR(VLOOKUP(B86&amp;"PT",'LM7 Non-ENG'!$A$1:$A$5000,1,FALSE),"ERROR")=B86&amp;"PT","Y","")),"")</f>
        <v/>
      </c>
    </row>
    <row r="87" spans="7:8" ht="18" customHeight="1">
      <c r="G87" s="29" t="str">
        <f>IFERROR(HYPERLINK("#"&amp;ADDRESS(MATCH(B87&amp;"ES",'LM7 Non-ENG'!$A$1:$A$5000,0),1,,,"LM7 Non-ENG"),IF(IFERROR(VLOOKUP(B87&amp;"ES",'LM7 Non-ENG'!$A$1:$A$4999,1,FALSE),"ERROR")=B87&amp;"ES","Y","")),"")</f>
        <v/>
      </c>
      <c r="H87" s="29" t="str">
        <f>IFERROR(HYPERLINK("#"&amp;ADDRESS(MATCH(B87&amp;"PT",'LM7 Non-ENG'!$A$1:$A$5000,0),1,,,"LM7 Non-ENG"),IF(IFERROR(VLOOKUP(B87&amp;"PT",'LM7 Non-ENG'!$A$1:$A$5000,1,FALSE),"ERROR")=B87&amp;"PT","Y","")),"")</f>
        <v/>
      </c>
    </row>
    <row r="88" spans="7:8" ht="18" customHeight="1">
      <c r="G88" s="29" t="str">
        <f>IFERROR(HYPERLINK("#"&amp;ADDRESS(MATCH(B88&amp;"ES",'LM7 Non-ENG'!$A$1:$A$5000,0),1,,,"LM7 Non-ENG"),IF(IFERROR(VLOOKUP(B88&amp;"ES",'LM7 Non-ENG'!$A$1:$A$4999,1,FALSE),"ERROR")=B88&amp;"ES","Y","")),"")</f>
        <v/>
      </c>
      <c r="H88" s="29" t="str">
        <f>IFERROR(HYPERLINK("#"&amp;ADDRESS(MATCH(B88&amp;"PT",'LM7 Non-ENG'!$A$1:$A$5000,0),1,,,"LM7 Non-ENG"),IF(IFERROR(VLOOKUP(B88&amp;"PT",'LM7 Non-ENG'!$A$1:$A$5000,1,FALSE),"ERROR")=B88&amp;"PT","Y","")),"")</f>
        <v/>
      </c>
    </row>
    <row r="89" spans="7:8" ht="18" customHeight="1">
      <c r="G89" s="29" t="str">
        <f>IFERROR(HYPERLINK("#"&amp;ADDRESS(MATCH(B89&amp;"ES",'LM7 Non-ENG'!$A$1:$A$5000,0),1,,,"LM7 Non-ENG"),IF(IFERROR(VLOOKUP(B89&amp;"ES",'LM7 Non-ENG'!$A$1:$A$4999,1,FALSE),"ERROR")=B89&amp;"ES","Y","")),"")</f>
        <v/>
      </c>
      <c r="H89" s="29" t="str">
        <f>IFERROR(HYPERLINK("#"&amp;ADDRESS(MATCH(B89&amp;"PT",'LM7 Non-ENG'!$A$1:$A$5000,0),1,,,"LM7 Non-ENG"),IF(IFERROR(VLOOKUP(B89&amp;"PT",'LM7 Non-ENG'!$A$1:$A$5000,1,FALSE),"ERROR")=B89&amp;"PT","Y","")),"")</f>
        <v/>
      </c>
    </row>
    <row r="90" spans="7:8" ht="18" customHeight="1">
      <c r="G90" s="29" t="str">
        <f>IFERROR(HYPERLINK("#"&amp;ADDRESS(MATCH(B90&amp;"ES",'LM7 Non-ENG'!$A$1:$A$5000,0),1,,,"LM7 Non-ENG"),IF(IFERROR(VLOOKUP(B90&amp;"ES",'LM7 Non-ENG'!$A$1:$A$4999,1,FALSE),"ERROR")=B90&amp;"ES","Y","")),"")</f>
        <v/>
      </c>
      <c r="H90" s="29" t="str">
        <f>IFERROR(HYPERLINK("#"&amp;ADDRESS(MATCH(B90&amp;"PT",'LM7 Non-ENG'!$A$1:$A$5000,0),1,,,"LM7 Non-ENG"),IF(IFERROR(VLOOKUP(B90&amp;"PT",'LM7 Non-ENG'!$A$1:$A$5000,1,FALSE),"ERROR")=B90&amp;"PT","Y","")),"")</f>
        <v/>
      </c>
    </row>
    <row r="91" spans="7:8" ht="18" customHeight="1">
      <c r="G91" s="29" t="str">
        <f>IFERROR(HYPERLINK("#"&amp;ADDRESS(MATCH(B91&amp;"ES",'LM7 Non-ENG'!$A$1:$A$5000,0),1,,,"LM7 Non-ENG"),IF(IFERROR(VLOOKUP(B91&amp;"ES",'LM7 Non-ENG'!$A$1:$A$4999,1,FALSE),"ERROR")=B91&amp;"ES","Y","")),"")</f>
        <v/>
      </c>
      <c r="H91" s="29" t="str">
        <f>IFERROR(HYPERLINK("#"&amp;ADDRESS(MATCH(B91&amp;"PT",'LM7 Non-ENG'!$A$1:$A$5000,0),1,,,"LM7 Non-ENG"),IF(IFERROR(VLOOKUP(B91&amp;"PT",'LM7 Non-ENG'!$A$1:$A$5000,1,FALSE),"ERROR")=B91&amp;"PT","Y","")),"")</f>
        <v/>
      </c>
    </row>
    <row r="92" spans="7:8" ht="18" customHeight="1">
      <c r="G92" s="29" t="str">
        <f>IFERROR(HYPERLINK("#"&amp;ADDRESS(MATCH(B92&amp;"ES",'LM7 Non-ENG'!$A$1:$A$5000,0),1,,,"LM7 Non-ENG"),IF(IFERROR(VLOOKUP(B92&amp;"ES",'LM7 Non-ENG'!$A$1:$A$4999,1,FALSE),"ERROR")=B92&amp;"ES","Y","")),"")</f>
        <v/>
      </c>
      <c r="H92" s="29" t="str">
        <f>IFERROR(HYPERLINK("#"&amp;ADDRESS(MATCH(B92&amp;"PT",'LM7 Non-ENG'!$A$1:$A$5000,0),1,,,"LM7 Non-ENG"),IF(IFERROR(VLOOKUP(B92&amp;"PT",'LM7 Non-ENG'!$A$1:$A$5000,1,FALSE),"ERROR")=B92&amp;"PT","Y","")),"")</f>
        <v/>
      </c>
    </row>
    <row r="93" spans="7:8" ht="18" customHeight="1">
      <c r="G93" s="29" t="str">
        <f>IFERROR(HYPERLINK("#"&amp;ADDRESS(MATCH(B93&amp;"ES",'LM7 Non-ENG'!$A$1:$A$5000,0),1,,,"LM7 Non-ENG"),IF(IFERROR(VLOOKUP(B93&amp;"ES",'LM7 Non-ENG'!$A$1:$A$4999,1,FALSE),"ERROR")=B93&amp;"ES","Y","")),"")</f>
        <v/>
      </c>
      <c r="H93" s="29" t="str">
        <f>IFERROR(HYPERLINK("#"&amp;ADDRESS(MATCH(B93&amp;"PT",'LM7 Non-ENG'!$A$1:$A$5000,0),1,,,"LM7 Non-ENG"),IF(IFERROR(VLOOKUP(B93&amp;"PT",'LM7 Non-ENG'!$A$1:$A$5000,1,FALSE),"ERROR")=B93&amp;"PT","Y","")),"")</f>
        <v/>
      </c>
    </row>
    <row r="94" spans="7:8" ht="18" customHeight="1">
      <c r="G94" s="29" t="str">
        <f>IFERROR(HYPERLINK("#"&amp;ADDRESS(MATCH(B94&amp;"ES",'LM7 Non-ENG'!$A$1:$A$5000,0),1,,,"LM7 Non-ENG"),IF(IFERROR(VLOOKUP(B94&amp;"ES",'LM7 Non-ENG'!$A$1:$A$4999,1,FALSE),"ERROR")=B94&amp;"ES","Y","")),"")</f>
        <v/>
      </c>
      <c r="H94" s="29" t="str">
        <f>IFERROR(HYPERLINK("#"&amp;ADDRESS(MATCH(B94&amp;"PT",'LM7 Non-ENG'!$A$1:$A$5000,0),1,,,"LM7 Non-ENG"),IF(IFERROR(VLOOKUP(B94&amp;"PT",'LM7 Non-ENG'!$A$1:$A$5000,1,FALSE),"ERROR")=B94&amp;"PT","Y","")),"")</f>
        <v/>
      </c>
    </row>
    <row r="95" spans="7:8" ht="18" customHeight="1">
      <c r="G95" s="29" t="str">
        <f>IFERROR(HYPERLINK("#"&amp;ADDRESS(MATCH(B95&amp;"ES",'LM7 Non-ENG'!$A$1:$A$5000,0),1,,,"LM7 Non-ENG"),IF(IFERROR(VLOOKUP(B95&amp;"ES",'LM7 Non-ENG'!$A$1:$A$4999,1,FALSE),"ERROR")=B95&amp;"ES","Y","")),"")</f>
        <v/>
      </c>
      <c r="H95" s="29" t="str">
        <f>IFERROR(HYPERLINK("#"&amp;ADDRESS(MATCH(B95&amp;"PT",'LM7 Non-ENG'!$A$1:$A$5000,0),1,,,"LM7 Non-ENG"),IF(IFERROR(VLOOKUP(B95&amp;"PT",'LM7 Non-ENG'!$A$1:$A$5000,1,FALSE),"ERROR")=B95&amp;"PT","Y","")),"")</f>
        <v/>
      </c>
    </row>
    <row r="96" spans="7:8" ht="18" customHeight="1">
      <c r="G96" s="29" t="str">
        <f>IFERROR(HYPERLINK("#"&amp;ADDRESS(MATCH(B96&amp;"ES",'LM7 Non-ENG'!$A$1:$A$5000,0),1,,,"LM7 Non-ENG"),IF(IFERROR(VLOOKUP(B96&amp;"ES",'LM7 Non-ENG'!$A$1:$A$4999,1,FALSE),"ERROR")=B96&amp;"ES","Y","")),"")</f>
        <v/>
      </c>
      <c r="H96" s="29" t="str">
        <f>IFERROR(HYPERLINK("#"&amp;ADDRESS(MATCH(B96&amp;"PT",'LM7 Non-ENG'!$A$1:$A$5000,0),1,,,"LM7 Non-ENG"),IF(IFERROR(VLOOKUP(B96&amp;"PT",'LM7 Non-ENG'!$A$1:$A$5000,1,FALSE),"ERROR")=B96&amp;"PT","Y","")),"")</f>
        <v/>
      </c>
    </row>
    <row r="97" spans="7:8" ht="18" customHeight="1">
      <c r="G97" s="29" t="str">
        <f>IFERROR(HYPERLINK("#"&amp;ADDRESS(MATCH(B97&amp;"ES",'LM7 Non-ENG'!$A$1:$A$5000,0),1,,,"LM7 Non-ENG"),IF(IFERROR(VLOOKUP(B97&amp;"ES",'LM7 Non-ENG'!$A$1:$A$4999,1,FALSE),"ERROR")=B97&amp;"ES","Y","")),"")</f>
        <v/>
      </c>
      <c r="H97" s="29" t="str">
        <f>IFERROR(HYPERLINK("#"&amp;ADDRESS(MATCH(B97&amp;"PT",'LM7 Non-ENG'!$A$1:$A$5000,0),1,,,"LM7 Non-ENG"),IF(IFERROR(VLOOKUP(B97&amp;"PT",'LM7 Non-ENG'!$A$1:$A$5000,1,FALSE),"ERROR")=B97&amp;"PT","Y","")),"")</f>
        <v/>
      </c>
    </row>
    <row r="98" spans="7:8" ht="18" customHeight="1">
      <c r="G98" s="29" t="str">
        <f>IFERROR(HYPERLINK("#"&amp;ADDRESS(MATCH(B98&amp;"ES",'LM7 Non-ENG'!$A$1:$A$5000,0),1,,,"LM7 Non-ENG"),IF(IFERROR(VLOOKUP(B98&amp;"ES",'LM7 Non-ENG'!$A$1:$A$4999,1,FALSE),"ERROR")=B98&amp;"ES","Y","")),"")</f>
        <v/>
      </c>
      <c r="H98" s="29" t="str">
        <f>IFERROR(HYPERLINK("#"&amp;ADDRESS(MATCH(B98&amp;"PT",'LM7 Non-ENG'!$A$1:$A$5000,0),1,,,"LM7 Non-ENG"),IF(IFERROR(VLOOKUP(B98&amp;"PT",'LM7 Non-ENG'!$A$1:$A$5000,1,FALSE),"ERROR")=B98&amp;"PT","Y","")),"")</f>
        <v/>
      </c>
    </row>
    <row r="99" spans="7:8" ht="18" customHeight="1">
      <c r="G99" s="29" t="str">
        <f>IFERROR(HYPERLINK("#"&amp;ADDRESS(MATCH(B99&amp;"ES",'LM7 Non-ENG'!$A$1:$A$5000,0),1,,,"LM7 Non-ENG"),IF(IFERROR(VLOOKUP(B99&amp;"ES",'LM7 Non-ENG'!$A$1:$A$4999,1,FALSE),"ERROR")=B99&amp;"ES","Y","")),"")</f>
        <v/>
      </c>
      <c r="H99" s="29" t="str">
        <f>IFERROR(HYPERLINK("#"&amp;ADDRESS(MATCH(B99&amp;"PT",'LM7 Non-ENG'!$A$1:$A$5000,0),1,,,"LM7 Non-ENG"),IF(IFERROR(VLOOKUP(B99&amp;"PT",'LM7 Non-ENG'!$A$1:$A$5000,1,FALSE),"ERROR")=B99&amp;"PT","Y","")),"")</f>
        <v/>
      </c>
    </row>
    <row r="100" spans="7:8" ht="18" customHeight="1">
      <c r="G100" s="29" t="str">
        <f>IFERROR(HYPERLINK("#"&amp;ADDRESS(MATCH(B100&amp;"ES",'LM7 Non-ENG'!$A$1:$A$5000,0),1,,,"LM7 Non-ENG"),IF(IFERROR(VLOOKUP(B100&amp;"ES",'LM7 Non-ENG'!$A$1:$A$4999,1,FALSE),"ERROR")=B100&amp;"ES","Y","")),"")</f>
        <v/>
      </c>
      <c r="H100" s="29" t="str">
        <f>IFERROR(HYPERLINK("#"&amp;ADDRESS(MATCH(B100&amp;"PT",'LM7 Non-ENG'!$A$1:$A$5000,0),1,,,"LM7 Non-ENG"),IF(IFERROR(VLOOKUP(B100&amp;"PT",'LM7 Non-ENG'!$A$1:$A$5000,1,FALSE),"ERROR")=B100&amp;"PT","Y","")),"")</f>
        <v/>
      </c>
    </row>
    <row r="101" spans="7:8" ht="18" customHeight="1">
      <c r="G101" s="29" t="str">
        <f>IFERROR(HYPERLINK("#"&amp;ADDRESS(MATCH(B101&amp;"ES",'LM7 Non-ENG'!$A$1:$A$5000,0),1,,,"LM7 Non-ENG"),IF(IFERROR(VLOOKUP(B101&amp;"ES",'LM7 Non-ENG'!$A$1:$A$4999,1,FALSE),"ERROR")=B101&amp;"ES","Y","")),"")</f>
        <v/>
      </c>
      <c r="H101" s="29" t="str">
        <f>IFERROR(HYPERLINK("#"&amp;ADDRESS(MATCH(B101&amp;"PT",'LM7 Non-ENG'!$A$1:$A$5000,0),1,,,"LM7 Non-ENG"),IF(IFERROR(VLOOKUP(B101&amp;"PT",'LM7 Non-ENG'!$A$1:$A$5000,1,FALSE),"ERROR")=B101&amp;"PT","Y","")),"")</f>
        <v/>
      </c>
    </row>
    <row r="102" spans="7:8" ht="18" customHeight="1">
      <c r="G102" s="29" t="str">
        <f>IFERROR(HYPERLINK("#"&amp;ADDRESS(MATCH(B102&amp;"ES",'LM7 Non-ENG'!$A$1:$A$5000,0),1,,,"LM7 Non-ENG"),IF(IFERROR(VLOOKUP(B102&amp;"ES",'LM7 Non-ENG'!$A$1:$A$4999,1,FALSE),"ERROR")=B102&amp;"ES","Y","")),"")</f>
        <v/>
      </c>
      <c r="H102" s="29" t="str">
        <f>IFERROR(HYPERLINK("#"&amp;ADDRESS(MATCH(B102&amp;"PT",'LM7 Non-ENG'!$A$1:$A$5000,0),1,,,"LM7 Non-ENG"),IF(IFERROR(VLOOKUP(B102&amp;"PT",'LM7 Non-ENG'!$A$1:$A$5000,1,FALSE),"ERROR")=B102&amp;"PT","Y","")),"")</f>
        <v/>
      </c>
    </row>
    <row r="103" spans="7:8" ht="18" customHeight="1">
      <c r="G103" s="29" t="str">
        <f>IFERROR(HYPERLINK("#"&amp;ADDRESS(MATCH(B103&amp;"ES",'LM7 Non-ENG'!$A$1:$A$5000,0),1,,,"LM7 Non-ENG"),IF(IFERROR(VLOOKUP(B103&amp;"ES",'LM7 Non-ENG'!$A$1:$A$4999,1,FALSE),"ERROR")=B103&amp;"ES","Y","")),"")</f>
        <v/>
      </c>
      <c r="H103" s="29" t="str">
        <f>IFERROR(HYPERLINK("#"&amp;ADDRESS(MATCH(B103&amp;"PT",'LM7 Non-ENG'!$A$1:$A$5000,0),1,,,"LM7 Non-ENG"),IF(IFERROR(VLOOKUP(B103&amp;"PT",'LM7 Non-ENG'!$A$1:$A$5000,1,FALSE),"ERROR")=B103&amp;"PT","Y","")),"")</f>
        <v/>
      </c>
    </row>
    <row r="104" spans="7:8" ht="18" customHeight="1">
      <c r="G104" s="29" t="str">
        <f>IFERROR(HYPERLINK("#"&amp;ADDRESS(MATCH(B104&amp;"ES",'LM7 Non-ENG'!$A$1:$A$5000,0),1,,,"LM7 Non-ENG"),IF(IFERROR(VLOOKUP(B104&amp;"ES",'LM7 Non-ENG'!$A$1:$A$4999,1,FALSE),"ERROR")=B104&amp;"ES","Y","")),"")</f>
        <v/>
      </c>
      <c r="H104" s="29" t="str">
        <f>IFERROR(HYPERLINK("#"&amp;ADDRESS(MATCH(B104&amp;"PT",'LM7 Non-ENG'!$A$1:$A$5000,0),1,,,"LM7 Non-ENG"),IF(IFERROR(VLOOKUP(B104&amp;"PT",'LM7 Non-ENG'!$A$1:$A$5000,1,FALSE),"ERROR")=B104&amp;"PT","Y","")),"")</f>
        <v/>
      </c>
    </row>
    <row r="105" spans="7:8" ht="18" customHeight="1">
      <c r="G105" s="29" t="str">
        <f>IFERROR(HYPERLINK("#"&amp;ADDRESS(MATCH(B105&amp;"ES",'LM7 Non-ENG'!$A$1:$A$5000,0),1,,,"LM7 Non-ENG"),IF(IFERROR(VLOOKUP(B105&amp;"ES",'LM7 Non-ENG'!$A$1:$A$4999,1,FALSE),"ERROR")=B105&amp;"ES","Y","")),"")</f>
        <v/>
      </c>
      <c r="H105" s="29" t="str">
        <f>IFERROR(HYPERLINK("#"&amp;ADDRESS(MATCH(B105&amp;"PT",'LM7 Non-ENG'!$A$1:$A$5000,0),1,,,"LM7 Non-ENG"),IF(IFERROR(VLOOKUP(B105&amp;"PT",'LM7 Non-ENG'!$A$1:$A$5000,1,FALSE),"ERROR")=B105&amp;"PT","Y","")),"")</f>
        <v/>
      </c>
    </row>
    <row r="106" spans="7:8" ht="18" customHeight="1">
      <c r="G106" s="29" t="str">
        <f>IFERROR(HYPERLINK("#"&amp;ADDRESS(MATCH(B106&amp;"ES",'LM7 Non-ENG'!$A$1:$A$5000,0),1,,,"LM7 Non-ENG"),IF(IFERROR(VLOOKUP(B106&amp;"ES",'LM7 Non-ENG'!$A$1:$A$4999,1,FALSE),"ERROR")=B106&amp;"ES","Y","")),"")</f>
        <v/>
      </c>
      <c r="H106" s="29" t="str">
        <f>IFERROR(HYPERLINK("#"&amp;ADDRESS(MATCH(B106&amp;"PT",'LM7 Non-ENG'!$A$1:$A$5000,0),1,,,"LM7 Non-ENG"),IF(IFERROR(VLOOKUP(B106&amp;"PT",'LM7 Non-ENG'!$A$1:$A$5000,1,FALSE),"ERROR")=B106&amp;"PT","Y","")),"")</f>
        <v/>
      </c>
    </row>
    <row r="107" spans="7:8" ht="18" customHeight="1">
      <c r="G107" s="29" t="str">
        <f>IFERROR(HYPERLINK("#"&amp;ADDRESS(MATCH(B107&amp;"ES",'LM7 Non-ENG'!$A$1:$A$5000,0),1,,,"LM7 Non-ENG"),IF(IFERROR(VLOOKUP(B107&amp;"ES",'LM7 Non-ENG'!$A$1:$A$4999,1,FALSE),"ERROR")=B107&amp;"ES","Y","")),"")</f>
        <v/>
      </c>
      <c r="H107" s="29" t="str">
        <f>IFERROR(HYPERLINK("#"&amp;ADDRESS(MATCH(B107&amp;"PT",'LM7 Non-ENG'!$A$1:$A$5000,0),1,,,"LM7 Non-ENG"),IF(IFERROR(VLOOKUP(B107&amp;"PT",'LM7 Non-ENG'!$A$1:$A$5000,1,FALSE),"ERROR")=B107&amp;"PT","Y","")),"")</f>
        <v/>
      </c>
    </row>
    <row r="108" spans="7:8" ht="18" customHeight="1">
      <c r="G108" s="29" t="str">
        <f>IFERROR(HYPERLINK("#"&amp;ADDRESS(MATCH(B108&amp;"ES",'LM7 Non-ENG'!$A$1:$A$5000,0),1,,,"LM7 Non-ENG"),IF(IFERROR(VLOOKUP(B108&amp;"ES",'LM7 Non-ENG'!$A$1:$A$4999,1,FALSE),"ERROR")=B108&amp;"ES","Y","")),"")</f>
        <v/>
      </c>
      <c r="H108" s="29" t="str">
        <f>IFERROR(HYPERLINK("#"&amp;ADDRESS(MATCH(B108&amp;"PT",'LM7 Non-ENG'!$A$1:$A$5000,0),1,,,"LM7 Non-ENG"),IF(IFERROR(VLOOKUP(B108&amp;"PT",'LM7 Non-ENG'!$A$1:$A$5000,1,FALSE),"ERROR")=B108&amp;"PT","Y","")),"")</f>
        <v/>
      </c>
    </row>
  </sheetData>
  <mergeCells count="3">
    <mergeCell ref="K3:S7"/>
    <mergeCell ref="K10:S13"/>
    <mergeCell ref="K1:S1"/>
  </mergeCells>
  <conditionalFormatting sqref="I3:I7">
    <cfRule type="cellIs" dxfId="304" priority="19" operator="equal">
      <formula>"ECO+NFS"</formula>
    </cfRule>
    <cfRule type="cellIs" dxfId="303" priority="20" operator="equal">
      <formula>"ECO-N2Mnf"</formula>
    </cfRule>
    <cfRule type="cellIs" dxfId="302" priority="21" operator="equal">
      <formula>"Inactive"</formula>
    </cfRule>
    <cfRule type="cellIs" dxfId="301" priority="22" operator="equal">
      <formula>"Phase Out"</formula>
    </cfRule>
    <cfRule type="cellIs" dxfId="300" priority="23" operator="equal">
      <formula>"ECO-N2Buy"</formula>
    </cfRule>
    <cfRule type="cellIs" dxfId="299" priority="24" operator="equal">
      <formula>"Not for purc"</formula>
    </cfRule>
  </conditionalFormatting>
  <conditionalFormatting sqref="I10:I13">
    <cfRule type="cellIs" dxfId="298" priority="1" operator="equal">
      <formula>"ECO+NFS"</formula>
    </cfRule>
    <cfRule type="cellIs" dxfId="297" priority="2" operator="equal">
      <formula>"ECO-N2Mnf"</formula>
    </cfRule>
    <cfRule type="cellIs" dxfId="296" priority="3" operator="equal">
      <formula>"Inactive"</formula>
    </cfRule>
    <cfRule type="cellIs" dxfId="295" priority="4" operator="equal">
      <formula>"Phase Out"</formula>
    </cfRule>
    <cfRule type="cellIs" dxfId="294" priority="5" operator="equal">
      <formula>"ECO-N2Buy"</formula>
    </cfRule>
    <cfRule type="cellIs" dxfId="293" priority="6" operator="equal">
      <formula>"Not for purc"</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9">
    <tabColor theme="3" tint="0.39997558519241921"/>
  </sheetPr>
  <dimension ref="A1:T789"/>
  <sheetViews>
    <sheetView workbookViewId="0">
      <pane ySplit="1" topLeftCell="A603" activePane="bottomLeft" state="frozen"/>
      <selection pane="bottomLeft" activeCell="D659" sqref="D659"/>
    </sheetView>
  </sheetViews>
  <sheetFormatPr baseColWidth="10" defaultColWidth="9" defaultRowHeight="18" customHeight="1"/>
  <cols>
    <col min="1" max="1" width="16.25" bestFit="1" customWidth="1"/>
    <col min="2" max="2" width="13.75" bestFit="1" customWidth="1"/>
    <col min="3" max="3" width="51.125" bestFit="1" customWidth="1"/>
    <col min="4" max="8" width="4.75" customWidth="1"/>
    <col min="9" max="9" width="10.5" bestFit="1" customWidth="1"/>
    <col min="10" max="10" width="11.5" bestFit="1" customWidth="1"/>
  </cols>
  <sheetData>
    <row r="1" spans="1:20" ht="18" customHeight="1">
      <c r="A1" s="8"/>
      <c r="B1" s="8" t="s">
        <v>1</v>
      </c>
      <c r="C1" s="8" t="s">
        <v>2</v>
      </c>
      <c r="D1" s="9" t="s">
        <v>3</v>
      </c>
      <c r="E1" s="9" t="s">
        <v>4</v>
      </c>
      <c r="F1" s="9" t="s">
        <v>5</v>
      </c>
      <c r="G1" s="24" t="s">
        <v>248</v>
      </c>
      <c r="H1" s="24" t="s">
        <v>249</v>
      </c>
      <c r="I1" s="8" t="s">
        <v>6</v>
      </c>
      <c r="J1" s="9" t="s">
        <v>8</v>
      </c>
      <c r="K1" s="67" t="s">
        <v>11</v>
      </c>
      <c r="L1" s="67"/>
      <c r="M1" s="67"/>
      <c r="N1" s="67"/>
      <c r="O1" s="67"/>
      <c r="P1" s="67"/>
      <c r="Q1" s="67"/>
      <c r="R1" s="67"/>
      <c r="S1" s="67"/>
      <c r="T1" s="67"/>
    </row>
    <row r="2" spans="1:20" s="7" customFormat="1" ht="18" customHeight="1">
      <c r="A2" s="13" t="s">
        <v>33</v>
      </c>
      <c r="B2" s="13"/>
      <c r="C2" s="13" t="str">
        <f>"JM Electrical Circuits, EA01A, LMS Lab"</f>
        <v>JM Electrical Circuits, EA01A, LMS Lab</v>
      </c>
      <c r="D2" s="14"/>
      <c r="E2" s="14"/>
      <c r="F2" s="14"/>
      <c r="G2" s="14"/>
      <c r="H2" s="14"/>
      <c r="I2" s="14"/>
      <c r="J2" s="14">
        <f>SUMIFS(J3:J11,D3:D11,"&lt;&gt;Y",F3:F11,"&lt;&gt;Y",I3:I11,"&lt;&gt;Inactive",I3:I11,"&lt;&gt;ECO+NFS")</f>
        <v>4092</v>
      </c>
      <c r="K2" s="14"/>
      <c r="L2" s="14"/>
      <c r="M2" s="14"/>
      <c r="N2" s="14"/>
      <c r="O2" s="14"/>
      <c r="P2" s="14"/>
      <c r="Q2" s="14"/>
      <c r="R2" s="14"/>
      <c r="S2" s="14"/>
      <c r="T2" s="14"/>
    </row>
    <row r="3" spans="1:20" ht="18" customHeight="1">
      <c r="A3" s="17" t="str">
        <f>HYPERLINK("#"&amp;ADDRESS(MATCH(A2,Jobmaster!$A$1:$A$4996,0),1,,,"Jobmaster"),"Back to Price List")</f>
        <v>Back to Price List</v>
      </c>
      <c r="B3" t="str">
        <f>"77-EA01A-0000"</f>
        <v>77-EA01A-0000</v>
      </c>
      <c r="C3" t="str">
        <f>"LM7 Content, JM, Electrical Circuits"</f>
        <v>LM7 Content, JM, Electrical Circuits</v>
      </c>
      <c r="D3" s="4"/>
      <c r="E3" s="4">
        <v>1</v>
      </c>
      <c r="F3" s="4"/>
      <c r="G3" s="29" t="str">
        <f>IFERROR(HYPERLINK("#"&amp;ADDRESS(MATCH(B3&amp;"ES",'LM7 Non-ENG'!$A$1:$A$5000,0),1,,,"LM7 Non-ENG"),IF(IFERROR(VLOOKUP(B3&amp;"ES",'LM7 Non-ENG'!$A$1:$A$4999,1,FALSE),"ERROR")=B3&amp;"ES","Y","")),"")</f>
        <v>Y</v>
      </c>
      <c r="H3" s="29" t="str">
        <f>IFERROR(HYPERLINK("#"&amp;ADDRESS(MATCH(B3&amp;"PT",'LM7 Non-ENG'!$A$1:$A$5000,0),1,,,"LM7 Non-ENG"),IF(IFERROR(VLOOKUP(B3&amp;"PT",'LM7 Non-ENG'!$A$1:$A$5000,1,FALSE),"ERROR")=B3&amp;"PT","Y","")),"")</f>
        <v>Y</v>
      </c>
      <c r="I3" t="str">
        <f>IFERROR(VLOOKUP(B3,PN!$A:$C,3,FALSE),"")</f>
        <v>Active</v>
      </c>
      <c r="J3" s="3">
        <f>IFERROR(E3*VLOOKUP(B3,PLInter!$A:$D,3,FALSE),"")</f>
        <v>700</v>
      </c>
      <c r="K3" s="68" t="s">
        <v>10</v>
      </c>
      <c r="L3" s="68"/>
      <c r="M3" s="68"/>
      <c r="N3" s="68"/>
      <c r="O3" s="68"/>
      <c r="P3" s="68"/>
      <c r="Q3" s="68"/>
      <c r="R3" s="68"/>
      <c r="S3" s="68"/>
      <c r="T3" s="68"/>
    </row>
    <row r="4" spans="1:20" ht="18" customHeight="1">
      <c r="B4" s="2" t="str">
        <f>"17-EA01A-0000"</f>
        <v>17-EA01A-0000</v>
      </c>
      <c r="C4" s="2" t="str">
        <f>"LM5.X Content, JM, Electrical Circuits"</f>
        <v>LM5.X Content, JM, Electrical Circuits</v>
      </c>
      <c r="D4" s="5"/>
      <c r="E4" s="5">
        <v>1</v>
      </c>
      <c r="F4" s="5" t="str">
        <f>"Y"</f>
        <v>Y</v>
      </c>
      <c r="G4" s="29" t="str">
        <f>IFERROR(HYPERLINK("#"&amp;ADDRESS(MATCH(B4&amp;"ES",'LM7 Non-ENG'!$A$1:$A$5000,0),1,,,"LM7 Non-ENG"),IF(IFERROR(VLOOKUP(B4&amp;"ES",'LM7 Non-ENG'!$A$1:$A$4999,1,FALSE),"ERROR")=B4&amp;"ES","Y","")),"")</f>
        <v/>
      </c>
      <c r="H4" s="29" t="str">
        <f>IFERROR(HYPERLINK("#"&amp;ADDRESS(MATCH(B4&amp;"PT",'LM7 Non-ENG'!$A$1:$A$5000,0),1,,,"LM7 Non-ENG"),IF(IFERROR(VLOOKUP(B4&amp;"PT",'LM7 Non-ENG'!$A$1:$A$5000,1,FALSE),"ERROR")=B4&amp;"PT","Y","")),"")</f>
        <v/>
      </c>
      <c r="I4" t="str">
        <f>IFERROR(VLOOKUP(B4,PN!$A:$C,3,FALSE),"")</f>
        <v>Active</v>
      </c>
      <c r="J4" s="3">
        <f>IFERROR(E4*VLOOKUP(B4,PLInter!$A:$D,3,FALSE),"")</f>
        <v>700</v>
      </c>
      <c r="K4" s="68"/>
      <c r="L4" s="68"/>
      <c r="M4" s="68"/>
      <c r="N4" s="68"/>
      <c r="O4" s="68"/>
      <c r="P4" s="68"/>
      <c r="Q4" s="68"/>
      <c r="R4" s="68"/>
      <c r="S4" s="68"/>
      <c r="T4" s="68"/>
    </row>
    <row r="5" spans="1:20" ht="18" customHeight="1">
      <c r="B5" t="str">
        <f>"26-E040-0000"</f>
        <v>26-E040-0000</v>
      </c>
      <c r="C5" t="str">
        <f>"Assembly, JM, E040, Switches, Lamp, and Buzzer"</f>
        <v>Assembly, JM, E040, Switches, Lamp, and Buzzer</v>
      </c>
      <c r="D5" s="4"/>
      <c r="E5" s="4">
        <v>1</v>
      </c>
      <c r="F5" s="4"/>
      <c r="G5" s="29" t="str">
        <f>IFERROR(HYPERLINK("#"&amp;ADDRESS(MATCH(B5&amp;"ES",'LM7 Non-ENG'!$A$1:$A$5000,0),1,,,"LM7 Non-ENG"),IF(IFERROR(VLOOKUP(B5&amp;"ES",'LM7 Non-ENG'!$A$1:$A$4999,1,FALSE),"ERROR")=B5&amp;"ES","Y","")),"")</f>
        <v/>
      </c>
      <c r="H5" s="29" t="str">
        <f>IFERROR(HYPERLINK("#"&amp;ADDRESS(MATCH(B5&amp;"PT",'LM7 Non-ENG'!$A$1:$A$5000,0),1,,,"LM7 Non-ENG"),IF(IFERROR(VLOOKUP(B5&amp;"PT",'LM7 Non-ENG'!$A$1:$A$5000,1,FALSE),"ERROR")=B5&amp;"PT","Y","")),"")</f>
        <v/>
      </c>
      <c r="I5" t="str">
        <f>IFERROR(VLOOKUP(B5,PN!$A:$C,3,FALSE),"")</f>
        <v>Active</v>
      </c>
      <c r="J5" s="3">
        <f>IFERROR(E5*VLOOKUP(B5,PLInter!$A:$D,3,FALSE),"")</f>
        <v>667</v>
      </c>
      <c r="K5" s="68"/>
      <c r="L5" s="68"/>
      <c r="M5" s="68"/>
      <c r="N5" s="68"/>
      <c r="O5" s="68"/>
      <c r="P5" s="68"/>
      <c r="Q5" s="68"/>
      <c r="R5" s="68"/>
      <c r="S5" s="68"/>
      <c r="T5" s="68"/>
    </row>
    <row r="6" spans="1:20" ht="18" customHeight="1">
      <c r="B6" t="str">
        <f>"26-E045-0000"</f>
        <v>26-E045-0000</v>
      </c>
      <c r="C6" t="str">
        <f>"Assembly, JM, E045, Sources of Electricity"</f>
        <v>Assembly, JM, E045, Sources of Electricity</v>
      </c>
      <c r="D6" s="4"/>
      <c r="E6" s="4">
        <v>1</v>
      </c>
      <c r="F6" s="4"/>
      <c r="G6" s="29" t="str">
        <f>IFERROR(HYPERLINK("#"&amp;ADDRESS(MATCH(B6&amp;"ES",'LM7 Non-ENG'!$A$1:$A$5000,0),1,,,"LM7 Non-ENG"),IF(IFERROR(VLOOKUP(B6&amp;"ES",'LM7 Non-ENG'!$A$1:$A$4999,1,FALSE),"ERROR")=B6&amp;"ES","Y","")),"")</f>
        <v/>
      </c>
      <c r="H6" s="29" t="str">
        <f>IFERROR(HYPERLINK("#"&amp;ADDRESS(MATCH(B6&amp;"PT",'LM7 Non-ENG'!$A$1:$A$5000,0),1,,,"LM7 Non-ENG"),IF(IFERROR(VLOOKUP(B6&amp;"PT",'LM7 Non-ENG'!$A$1:$A$5000,1,FALSE),"ERROR")=B6&amp;"PT","Y","")),"")</f>
        <v/>
      </c>
      <c r="I6" t="str">
        <f>IFERROR(VLOOKUP(B6,PN!$A:$C,3,FALSE),"")</f>
        <v>Active</v>
      </c>
      <c r="J6" s="3">
        <f>IFERROR(E6*VLOOKUP(B6,PLInter!$A:$D,3,FALSE),"")</f>
        <v>475</v>
      </c>
      <c r="K6" s="68"/>
      <c r="L6" s="68"/>
      <c r="M6" s="68"/>
      <c r="N6" s="68"/>
      <c r="O6" s="68"/>
      <c r="P6" s="68"/>
      <c r="Q6" s="68"/>
      <c r="R6" s="68"/>
      <c r="S6" s="68"/>
      <c r="T6" s="68"/>
    </row>
    <row r="7" spans="1:20" ht="18" customHeight="1">
      <c r="B7" t="str">
        <f>"26-E047-0000"</f>
        <v>26-E047-0000</v>
      </c>
      <c r="C7" t="str">
        <f>"Assembly, JM, E047, Heat/Light Source"</f>
        <v>Assembly, JM, E047, Heat/Light Source</v>
      </c>
      <c r="D7" s="4"/>
      <c r="E7" s="4">
        <v>1</v>
      </c>
      <c r="F7" s="4"/>
      <c r="G7" s="29" t="str">
        <f>IFERROR(HYPERLINK("#"&amp;ADDRESS(MATCH(B7&amp;"ES",'LM7 Non-ENG'!$A$1:$A$5000,0),1,,,"LM7 Non-ENG"),IF(IFERROR(VLOOKUP(B7&amp;"ES",'LM7 Non-ENG'!$A$1:$A$4999,1,FALSE),"ERROR")=B7&amp;"ES","Y","")),"")</f>
        <v/>
      </c>
      <c r="H7" s="29" t="str">
        <f>IFERROR(HYPERLINK("#"&amp;ADDRESS(MATCH(B7&amp;"PT",'LM7 Non-ENG'!$A$1:$A$5000,0),1,,,"LM7 Non-ENG"),IF(IFERROR(VLOOKUP(B7&amp;"PT",'LM7 Non-ENG'!$A$1:$A$5000,1,FALSE),"ERROR")=B7&amp;"PT","Y","")),"")</f>
        <v/>
      </c>
      <c r="I7" t="str">
        <f>IFERROR(VLOOKUP(B7,PN!$A:$C,3,FALSE),"")</f>
        <v>Active</v>
      </c>
      <c r="J7" s="3">
        <f>IFERROR(E7*VLOOKUP(B7,PLInter!$A:$D,3,FALSE),"")</f>
        <v>375</v>
      </c>
      <c r="K7" s="68"/>
      <c r="L7" s="68"/>
      <c r="M7" s="68"/>
      <c r="N7" s="68"/>
      <c r="O7" s="68"/>
      <c r="P7" s="68"/>
      <c r="Q7" s="68"/>
      <c r="R7" s="68"/>
      <c r="S7" s="68"/>
      <c r="T7" s="68"/>
    </row>
    <row r="8" spans="1:20" ht="18" customHeight="1">
      <c r="B8" t="str">
        <f>"26-E151-0000"</f>
        <v>26-E151-0000</v>
      </c>
      <c r="C8" t="str">
        <f>"Assembly, JM, E151,Series/Parallel Lamps Panel"</f>
        <v>Assembly, JM, E151,Series/Parallel Lamps Panel</v>
      </c>
      <c r="D8" s="4"/>
      <c r="E8" s="4">
        <v>1</v>
      </c>
      <c r="F8" s="4"/>
      <c r="G8" s="29" t="str">
        <f>IFERROR(HYPERLINK("#"&amp;ADDRESS(MATCH(B8&amp;"ES",'LM7 Non-ENG'!$A$1:$A$5000,0),1,,,"LM7 Non-ENG"),IF(IFERROR(VLOOKUP(B8&amp;"ES",'LM7 Non-ENG'!$A$1:$A$4999,1,FALSE),"ERROR")=B8&amp;"ES","Y","")),"")</f>
        <v/>
      </c>
      <c r="H8" s="29" t="str">
        <f>IFERROR(HYPERLINK("#"&amp;ADDRESS(MATCH(B8&amp;"PT",'LM7 Non-ENG'!$A$1:$A$5000,0),1,,,"LM7 Non-ENG"),IF(IFERROR(VLOOKUP(B8&amp;"PT",'LM7 Non-ENG'!$A$1:$A$5000,1,FALSE),"ERROR")=B8&amp;"PT","Y","")),"")</f>
        <v/>
      </c>
      <c r="I8" t="str">
        <f>IFERROR(VLOOKUP(B8,PN!$A:$C,3,FALSE),"")</f>
        <v>Active</v>
      </c>
      <c r="J8" s="3">
        <f>IFERROR(E8*VLOOKUP(B8,PLInter!$A:$D,3,FALSE),"")</f>
        <v>500</v>
      </c>
      <c r="K8" s="68"/>
      <c r="L8" s="68"/>
      <c r="M8" s="68"/>
      <c r="N8" s="68"/>
      <c r="O8" s="68"/>
      <c r="P8" s="68"/>
      <c r="Q8" s="68"/>
      <c r="R8" s="68"/>
      <c r="S8" s="68"/>
      <c r="T8" s="68"/>
    </row>
    <row r="9" spans="1:20" ht="18" customHeight="1">
      <c r="B9" t="str">
        <f>"26-E152-0000"</f>
        <v>26-E152-0000</v>
      </c>
      <c r="C9" t="str">
        <f>"Assembly, JM, E152, Transformer/Adjustable Power"</f>
        <v>Assembly, JM, E152, Transformer/Adjustable Power</v>
      </c>
      <c r="D9" s="4"/>
      <c r="E9" s="4">
        <v>1</v>
      </c>
      <c r="F9" s="4"/>
      <c r="G9" s="29" t="str">
        <f>IFERROR(HYPERLINK("#"&amp;ADDRESS(MATCH(B9&amp;"ES",'LM7 Non-ENG'!$A$1:$A$5000,0),1,,,"LM7 Non-ENG"),IF(IFERROR(VLOOKUP(B9&amp;"ES",'LM7 Non-ENG'!$A$1:$A$4999,1,FALSE),"ERROR")=B9&amp;"ES","Y","")),"")</f>
        <v/>
      </c>
      <c r="H9" s="29" t="str">
        <f>IFERROR(HYPERLINK("#"&amp;ADDRESS(MATCH(B9&amp;"PT",'LM7 Non-ENG'!$A$1:$A$5000,0),1,,,"LM7 Non-ENG"),IF(IFERROR(VLOOKUP(B9&amp;"PT",'LM7 Non-ENG'!$A$1:$A$5000,1,FALSE),"ERROR")=B9&amp;"PT","Y","")),"")</f>
        <v/>
      </c>
      <c r="I9" t="str">
        <f>IFERROR(VLOOKUP(B9,PN!$A:$C,3,FALSE),"")</f>
        <v>Active</v>
      </c>
      <c r="J9" s="3">
        <f>IFERROR(E9*VLOOKUP(B9,PLInter!$A:$D,3,FALSE),"")</f>
        <v>800</v>
      </c>
      <c r="K9" s="68"/>
      <c r="L9" s="68"/>
      <c r="M9" s="68"/>
      <c r="N9" s="68"/>
      <c r="O9" s="68"/>
      <c r="P9" s="68"/>
      <c r="Q9" s="68"/>
      <c r="R9" s="68"/>
      <c r="S9" s="68"/>
      <c r="T9" s="68"/>
    </row>
    <row r="10" spans="1:20" ht="18" customHeight="1">
      <c r="B10" t="str">
        <f>"36-8900-0007"</f>
        <v>36-8900-0007</v>
      </c>
      <c r="C10" t="str">
        <f>"JM, Digital Multimeter, Fluke-115"</f>
        <v>JM, Digital Multimeter, Fluke-115</v>
      </c>
      <c r="D10" s="4"/>
      <c r="E10" s="4">
        <v>1</v>
      </c>
      <c r="F10" s="4"/>
      <c r="G10" s="29" t="str">
        <f>IFERROR(HYPERLINK("#"&amp;ADDRESS(MATCH(B10&amp;"ES",'LM7 Non-ENG'!$A$1:$A$5000,0),1,,,"LM7 Non-ENG"),IF(IFERROR(VLOOKUP(B10&amp;"ES",'LM7 Non-ENG'!$A$1:$A$4999,1,FALSE),"ERROR")=B10&amp;"ES","Y","")),"")</f>
        <v/>
      </c>
      <c r="H10" s="29" t="str">
        <f>IFERROR(HYPERLINK("#"&amp;ADDRESS(MATCH(B10&amp;"PT",'LM7 Non-ENG'!$A$1:$A$5000,0),1,,,"LM7 Non-ENG"),IF(IFERROR(VLOOKUP(B10&amp;"PT",'LM7 Non-ENG'!$A$1:$A$5000,1,FALSE),"ERROR")=B10&amp;"PT","Y","")),"")</f>
        <v/>
      </c>
      <c r="I10" t="str">
        <f>IFERROR(VLOOKUP(B10,PN!$A:$C,3,FALSE),"")</f>
        <v>Active</v>
      </c>
      <c r="J10" s="3">
        <f>IFERROR(E10*VLOOKUP(B10,PLInter!$A:$D,3,FALSE),"")</f>
        <v>575</v>
      </c>
      <c r="K10" s="68"/>
      <c r="L10" s="68"/>
      <c r="M10" s="68"/>
      <c r="N10" s="68"/>
      <c r="O10" s="68"/>
      <c r="P10" s="68"/>
      <c r="Q10" s="68"/>
      <c r="R10" s="68"/>
      <c r="S10" s="68"/>
      <c r="T10" s="68"/>
    </row>
    <row r="11" spans="1:20" ht="18" customHeight="1">
      <c r="B11" s="1" t="str">
        <f>"36-EA01A-IG01"</f>
        <v>36-EA01A-IG01</v>
      </c>
      <c r="C11" s="1" t="str">
        <f>"JM, PDF on CD Electrical Circuits - EA01A"</f>
        <v>JM, PDF on CD Electrical Circuits - EA01A</v>
      </c>
      <c r="D11" s="6" t="s">
        <v>0</v>
      </c>
      <c r="E11" s="6">
        <v>1</v>
      </c>
      <c r="F11" s="6"/>
      <c r="G11" s="29" t="str">
        <f>IFERROR(HYPERLINK("#"&amp;ADDRESS(MATCH(B11&amp;"ES",'LM7 Non-ENG'!$A$1:$A$5000,0),1,,,"LM7 Non-ENG"),IF(IFERROR(VLOOKUP(B11&amp;"ES",'LM7 Non-ENG'!$A$1:$A$4999,1,FALSE),"ERROR")=B11&amp;"ES","Y","")),"")</f>
        <v/>
      </c>
      <c r="H11" s="29" t="str">
        <f>IFERROR(HYPERLINK("#"&amp;ADDRESS(MATCH(B11&amp;"PT",'LM7 Non-ENG'!$A$1:$A$5000,0),1,,,"LM7 Non-ENG"),IF(IFERROR(VLOOKUP(B11&amp;"PT",'LM7 Non-ENG'!$A$1:$A$5000,1,FALSE),"ERROR")=B11&amp;"PT","Y","")),"")</f>
        <v/>
      </c>
      <c r="I11" t="str">
        <f>IFERROR(VLOOKUP(B11,PN!$A:$C,3,FALSE),"")</f>
        <v>Active</v>
      </c>
      <c r="J11" s="3">
        <f>IFERROR(E11*VLOOKUP(B11,PLInter!$A:$D,3,FALSE),"")</f>
        <v>0</v>
      </c>
      <c r="K11" s="68"/>
      <c r="L11" s="68"/>
      <c r="M11" s="68"/>
      <c r="N11" s="68"/>
      <c r="O11" s="68"/>
      <c r="P11" s="68"/>
      <c r="Q11" s="68"/>
      <c r="R11" s="68"/>
      <c r="S11" s="68"/>
      <c r="T11" s="68"/>
    </row>
    <row r="12" spans="1:20" ht="18" customHeight="1">
      <c r="G12" s="29" t="str">
        <f>IFERROR(HYPERLINK("#"&amp;ADDRESS(MATCH(B12&amp;"ES",'LM7 Non-ENG'!$A$1:$A$5000,0),1,,,"LM7 Non-ENG"),IF(IFERROR(VLOOKUP(B12&amp;"ES",'LM7 Non-ENG'!$A$1:$A$4999,1,FALSE),"ERROR")=B12&amp;"ES","Y","")),"")</f>
        <v/>
      </c>
      <c r="H12" s="29" t="str">
        <f>IFERROR(HYPERLINK("#"&amp;ADDRESS(MATCH(B12&amp;"PT",'LM7 Non-ENG'!$A$1:$A$5000,0),1,,,"LM7 Non-ENG"),IF(IFERROR(VLOOKUP(B12&amp;"PT",'LM7 Non-ENG'!$A$1:$A$5000,1,FALSE),"ERROR")=B12&amp;"PT","Y","")),"")</f>
        <v/>
      </c>
    </row>
    <row r="13" spans="1:20" s="7" customFormat="1" ht="18" customHeight="1">
      <c r="A13" s="13" t="s">
        <v>14</v>
      </c>
      <c r="B13" s="13"/>
      <c r="C13" s="13" t="s">
        <v>15</v>
      </c>
      <c r="D13" s="14"/>
      <c r="E13" s="14"/>
      <c r="F13" s="14"/>
      <c r="G13" s="14"/>
      <c r="H13" s="14"/>
      <c r="I13" s="14"/>
      <c r="J13" s="14">
        <f>SUMIFS(J14:J17,D14:D17,"&lt;&gt;Y",F14:F17,"&lt;&gt;Y",I14:I17,"&lt;&gt;Inactive",I14:I17,"&lt;&gt;ECO+NFS")</f>
        <v>1700</v>
      </c>
      <c r="K13" s="14"/>
      <c r="L13" s="14"/>
      <c r="M13" s="14"/>
      <c r="N13" s="14"/>
      <c r="O13" s="14"/>
      <c r="P13" s="14"/>
      <c r="Q13" s="14"/>
      <c r="R13" s="14"/>
      <c r="S13" s="14"/>
      <c r="T13" s="14"/>
    </row>
    <row r="14" spans="1:20" ht="18" customHeight="1">
      <c r="A14" s="17" t="str">
        <f>HYPERLINK("#"&amp;ADDRESS(MATCH(A13,Jobmaster!$A$1:$A$4996,0),1,,,"Jobmaster"),"Back to Price List")</f>
        <v>Back to Price List</v>
      </c>
      <c r="B14" t="str">
        <f>"77-EA01B-0000"</f>
        <v>77-EA01B-0000</v>
      </c>
      <c r="C14" t="str">
        <f>"LM7 Content, JM, Resistors &amp; Conductors"</f>
        <v>LM7 Content, JM, Resistors &amp; Conductors</v>
      </c>
      <c r="D14" s="4"/>
      <c r="E14" s="4">
        <v>1</v>
      </c>
      <c r="F14" s="4"/>
      <c r="G14" s="29" t="str">
        <f>IFERROR(HYPERLINK("#"&amp;ADDRESS(MATCH(B14&amp;"ES",'LM7 Non-ENG'!$A$1:$A$5000,0),1,,,"LM7 Non-ENG"),IF(IFERROR(VLOOKUP(B14&amp;"ES",'LM7 Non-ENG'!$A$1:$A$4999,1,FALSE),"ERROR")=B14&amp;"ES","Y","")),"")</f>
        <v>Y</v>
      </c>
      <c r="H14" s="29" t="str">
        <f>IFERROR(HYPERLINK("#"&amp;ADDRESS(MATCH(B14&amp;"PT",'LM7 Non-ENG'!$A$1:$A$5000,0),1,,,"LM7 Non-ENG"),IF(IFERROR(VLOOKUP(B14&amp;"PT",'LM7 Non-ENG'!$A$1:$A$5000,1,FALSE),"ERROR")=B14&amp;"PT","Y","")),"")</f>
        <v>Y</v>
      </c>
      <c r="I14" t="str">
        <f>IFERROR(VLOOKUP(B14,PN!$A:$C,3,FALSE),"")</f>
        <v>Active</v>
      </c>
      <c r="J14" s="3">
        <f>IFERROR(E14*VLOOKUP(B14,PLInter!$A:$D,3,FALSE),"")</f>
        <v>700</v>
      </c>
      <c r="K14" s="68" t="s">
        <v>17</v>
      </c>
      <c r="L14" s="66"/>
      <c r="M14" s="66"/>
      <c r="N14" s="66"/>
      <c r="O14" s="66"/>
      <c r="P14" s="66"/>
      <c r="Q14" s="66"/>
      <c r="R14" s="66"/>
      <c r="S14" s="66"/>
      <c r="T14" s="66"/>
    </row>
    <row r="15" spans="1:20" ht="18" customHeight="1">
      <c r="B15" s="2" t="str">
        <f>"17-EA01B-0000"</f>
        <v>17-EA01B-0000</v>
      </c>
      <c r="C15" s="2" t="str">
        <f>"LM5.X Content, JM, Resistors &amp; Conductors"</f>
        <v>LM5.X Content, JM, Resistors &amp; Conductors</v>
      </c>
      <c r="D15" s="5"/>
      <c r="E15" s="5">
        <v>1</v>
      </c>
      <c r="F15" s="5" t="str">
        <f>"Y"</f>
        <v>Y</v>
      </c>
      <c r="G15" s="29" t="str">
        <f>IFERROR(HYPERLINK("#"&amp;ADDRESS(MATCH(B15&amp;"ES",'LM7 Non-ENG'!$A$1:$A$5000,0),1,,,"LM7 Non-ENG"),IF(IFERROR(VLOOKUP(B15&amp;"ES",'LM7 Non-ENG'!$A$1:$A$4999,1,FALSE),"ERROR")=B15&amp;"ES","Y","")),"")</f>
        <v/>
      </c>
      <c r="H15" s="29" t="str">
        <f>IFERROR(HYPERLINK("#"&amp;ADDRESS(MATCH(B15&amp;"PT",'LM7 Non-ENG'!$A$1:$A$5000,0),1,,,"LM7 Non-ENG"),IF(IFERROR(VLOOKUP(B15&amp;"PT",'LM7 Non-ENG'!$A$1:$A$5000,1,FALSE),"ERROR")=B15&amp;"PT","Y","")),"")</f>
        <v/>
      </c>
      <c r="I15" t="str">
        <f>IFERROR(VLOOKUP(B15,PN!$A:$C,3,FALSE),"")</f>
        <v>Active</v>
      </c>
      <c r="J15" s="3">
        <f>IFERROR(E15*VLOOKUP(B15,PLInter!$A:$D,3,FALSE),"")</f>
        <v>700</v>
      </c>
      <c r="K15" s="66"/>
      <c r="L15" s="66"/>
      <c r="M15" s="66"/>
      <c r="N15" s="66"/>
      <c r="O15" s="66"/>
      <c r="P15" s="66"/>
      <c r="Q15" s="66"/>
      <c r="R15" s="66"/>
      <c r="S15" s="66"/>
      <c r="T15" s="66"/>
    </row>
    <row r="16" spans="1:20" ht="18" customHeight="1">
      <c r="B16" t="str">
        <f>"26-E042-0000"</f>
        <v>26-E042-0000</v>
      </c>
      <c r="C16" t="str">
        <f>"Assembly, JM, E042, Resistance Panel"</f>
        <v>Assembly, JM, E042, Resistance Panel</v>
      </c>
      <c r="D16" s="4"/>
      <c r="E16" s="4">
        <v>1</v>
      </c>
      <c r="F16" s="4"/>
      <c r="G16" s="29" t="str">
        <f>IFERROR(HYPERLINK("#"&amp;ADDRESS(MATCH(B16&amp;"ES",'LM7 Non-ENG'!$A$1:$A$5000,0),1,,,"LM7 Non-ENG"),IF(IFERROR(VLOOKUP(B16&amp;"ES",'LM7 Non-ENG'!$A$1:$A$4999,1,FALSE),"ERROR")=B16&amp;"ES","Y","")),"")</f>
        <v/>
      </c>
      <c r="H16" s="29" t="str">
        <f>IFERROR(HYPERLINK("#"&amp;ADDRESS(MATCH(B16&amp;"PT",'LM7 Non-ENG'!$A$1:$A$5000,0),1,,,"LM7 Non-ENG"),IF(IFERROR(VLOOKUP(B16&amp;"PT",'LM7 Non-ENG'!$A$1:$A$5000,1,FALSE),"ERROR")=B16&amp;"PT","Y","")),"")</f>
        <v/>
      </c>
      <c r="I16" t="str">
        <f>IFERROR(VLOOKUP(B16,PN!$A:$C,3,FALSE),"")</f>
        <v>Active</v>
      </c>
      <c r="J16" s="3">
        <f>IFERROR(E16*VLOOKUP(B16,PLInter!$A:$D,3,FALSE),"")</f>
        <v>1000</v>
      </c>
      <c r="K16" s="66"/>
      <c r="L16" s="66"/>
      <c r="M16" s="66"/>
      <c r="N16" s="66"/>
      <c r="O16" s="66"/>
      <c r="P16" s="66"/>
      <c r="Q16" s="66"/>
      <c r="R16" s="66"/>
      <c r="S16" s="66"/>
      <c r="T16" s="66"/>
    </row>
    <row r="17" spans="1:20" ht="18" customHeight="1">
      <c r="B17" s="1" t="str">
        <f>"36-EA01B-IG01"</f>
        <v>36-EA01B-IG01</v>
      </c>
      <c r="C17" s="1" t="str">
        <f>"JM, PDF on CD Resistors &amp; Conductors - EA01B"</f>
        <v>JM, PDF on CD Resistors &amp; Conductors - EA01B</v>
      </c>
      <c r="D17" s="6" t="s">
        <v>0</v>
      </c>
      <c r="E17" s="6">
        <v>1</v>
      </c>
      <c r="F17" s="6"/>
      <c r="G17" s="29" t="str">
        <f>IFERROR(HYPERLINK("#"&amp;ADDRESS(MATCH(B17&amp;"ES",'LM7 Non-ENG'!$A$1:$A$5000,0),1,,,"LM7 Non-ENG"),IF(IFERROR(VLOOKUP(B17&amp;"ES",'LM7 Non-ENG'!$A$1:$A$4999,1,FALSE),"ERROR")=B17&amp;"ES","Y","")),"")</f>
        <v/>
      </c>
      <c r="H17" s="29" t="str">
        <f>IFERROR(HYPERLINK("#"&amp;ADDRESS(MATCH(B17&amp;"PT",'LM7 Non-ENG'!$A$1:$A$5000,0),1,,,"LM7 Non-ENG"),IF(IFERROR(VLOOKUP(B17&amp;"PT",'LM7 Non-ENG'!$A$1:$A$5000,1,FALSE),"ERROR")=B17&amp;"PT","Y","")),"")</f>
        <v/>
      </c>
      <c r="I17" t="str">
        <f>IFERROR(VLOOKUP(B17,PN!$A:$C,3,FALSE),"")</f>
        <v>Active</v>
      </c>
      <c r="J17" s="3" t="str">
        <f>IFERROR(E17*VLOOKUP(B17,PLInter!$A:$D,3,FALSE),"")</f>
        <v/>
      </c>
      <c r="K17" s="66"/>
      <c r="L17" s="66"/>
      <c r="M17" s="66"/>
      <c r="N17" s="66"/>
      <c r="O17" s="66"/>
      <c r="P17" s="66"/>
      <c r="Q17" s="66"/>
      <c r="R17" s="66"/>
      <c r="S17" s="66"/>
      <c r="T17" s="66"/>
    </row>
    <row r="18" spans="1:20" ht="18" customHeight="1">
      <c r="G18" s="29" t="str">
        <f>IFERROR(HYPERLINK("#"&amp;ADDRESS(MATCH(B18&amp;"ES",'LM7 Non-ENG'!$A$1:$A$5000,0),1,,,"LM7 Non-ENG"),IF(IFERROR(VLOOKUP(B18&amp;"ES",'LM7 Non-ENG'!$A$1:$A$4999,1,FALSE),"ERROR")=B18&amp;"ES","Y","")),"")</f>
        <v/>
      </c>
      <c r="H18" s="29" t="str">
        <f>IFERROR(HYPERLINK("#"&amp;ADDRESS(MATCH(B18&amp;"PT",'LM7 Non-ENG'!$A$1:$A$5000,0),1,,,"LM7 Non-ENG"),IF(IFERROR(VLOOKUP(B18&amp;"PT",'LM7 Non-ENG'!$A$1:$A$5000,1,FALSE),"ERROR")=B18&amp;"PT","Y","")),"")</f>
        <v/>
      </c>
    </row>
    <row r="19" spans="1:20" s="7" customFormat="1" ht="18" customHeight="1">
      <c r="A19" s="13" t="s">
        <v>18</v>
      </c>
      <c r="B19" s="13"/>
      <c r="C19" s="13" t="s">
        <v>19</v>
      </c>
      <c r="D19" s="14"/>
      <c r="E19" s="14"/>
      <c r="F19" s="14"/>
      <c r="G19" s="14"/>
      <c r="H19" s="14"/>
      <c r="I19" s="14"/>
      <c r="J19" s="14">
        <f>SUMIFS(J20:J27,D20:D27,"&lt;&gt;Y",F20:F27,"&lt;&gt;Y",I20:I27,"&lt;&gt;Inactive",I20:I27,"&lt;&gt;ECO+NFS")</f>
        <v>3992</v>
      </c>
      <c r="K19" s="14"/>
      <c r="L19" s="14"/>
      <c r="M19" s="14"/>
      <c r="N19" s="14"/>
      <c r="O19" s="14"/>
      <c r="P19" s="14"/>
      <c r="Q19" s="14"/>
      <c r="R19" s="14"/>
      <c r="S19" s="14"/>
      <c r="T19" s="14"/>
    </row>
    <row r="20" spans="1:20" ht="18" customHeight="1">
      <c r="A20" s="17" t="str">
        <f>HYPERLINK("#"&amp;ADDRESS(MATCH(A19,Jobmaster!$A$1:$A$4996,0),1,,,"Jobmaster"),"Back to Price List")</f>
        <v>Back to Price List</v>
      </c>
      <c r="B20" t="str">
        <f>"77-EA01C-0000"</f>
        <v>77-EA01C-0000</v>
      </c>
      <c r="C20" t="str">
        <f>"LM7 Content, JM, LCR Circuits"</f>
        <v>LM7 Content, JM, LCR Circuits</v>
      </c>
      <c r="D20" s="4"/>
      <c r="E20" s="4">
        <v>1</v>
      </c>
      <c r="F20" s="4"/>
      <c r="G20" s="29" t="str">
        <f>IFERROR(HYPERLINK("#"&amp;ADDRESS(MATCH(B20&amp;"ES",'LM7 Non-ENG'!$A$1:$A$5000,0),1,,,"LM7 Non-ENG"),IF(IFERROR(VLOOKUP(B20&amp;"ES",'LM7 Non-ENG'!$A$1:$A$4999,1,FALSE),"ERROR")=B20&amp;"ES","Y","")),"")</f>
        <v>Y</v>
      </c>
      <c r="H20" s="29" t="str">
        <f>IFERROR(HYPERLINK("#"&amp;ADDRESS(MATCH(B20&amp;"PT",'LM7 Non-ENG'!$A$1:$A$5000,0),1,,,"LM7 Non-ENG"),IF(IFERROR(VLOOKUP(B20&amp;"PT",'LM7 Non-ENG'!$A$1:$A$5000,1,FALSE),"ERROR")=B20&amp;"PT","Y","")),"")</f>
        <v>Y</v>
      </c>
      <c r="I20" t="str">
        <f>IFERROR(VLOOKUP(B20,PN!$A:$C,3,FALSE),"")</f>
        <v>Active</v>
      </c>
      <c r="J20" s="3">
        <f>IFERROR(E20*VLOOKUP(B20,PLInter!$A:$D,3,FALSE),"")</f>
        <v>700</v>
      </c>
      <c r="K20" s="68" t="s">
        <v>21</v>
      </c>
      <c r="L20" s="66"/>
      <c r="M20" s="66"/>
      <c r="N20" s="66"/>
      <c r="O20" s="66"/>
      <c r="P20" s="66"/>
      <c r="Q20" s="66"/>
      <c r="R20" s="66"/>
      <c r="S20" s="66"/>
      <c r="T20" s="66"/>
    </row>
    <row r="21" spans="1:20" ht="18" customHeight="1">
      <c r="B21" s="2" t="str">
        <f>"17-EA01C-0000"</f>
        <v>17-EA01C-0000</v>
      </c>
      <c r="C21" s="2" t="str">
        <f>"LM5.X Content, JM, LCR Circuits"</f>
        <v>LM5.X Content, JM, LCR Circuits</v>
      </c>
      <c r="D21" s="5"/>
      <c r="E21" s="5">
        <v>1</v>
      </c>
      <c r="F21" s="5" t="str">
        <f>"Y"</f>
        <v>Y</v>
      </c>
      <c r="G21" s="29" t="str">
        <f>IFERROR(HYPERLINK("#"&amp;ADDRESS(MATCH(B21&amp;"ES",'LM7 Non-ENG'!$A$1:$A$5000,0),1,,,"LM7 Non-ENG"),IF(IFERROR(VLOOKUP(B21&amp;"ES",'LM7 Non-ENG'!$A$1:$A$4999,1,FALSE),"ERROR")=B21&amp;"ES","Y","")),"")</f>
        <v/>
      </c>
      <c r="H21" s="29" t="str">
        <f>IFERROR(HYPERLINK("#"&amp;ADDRESS(MATCH(B21&amp;"PT",'LM7 Non-ENG'!$A$1:$A$5000,0),1,,,"LM7 Non-ENG"),IF(IFERROR(VLOOKUP(B21&amp;"PT",'LM7 Non-ENG'!$A$1:$A$5000,1,FALSE),"ERROR")=B21&amp;"PT","Y","")),"")</f>
        <v/>
      </c>
      <c r="I21" t="str">
        <f>IFERROR(VLOOKUP(B21,PN!$A:$C,3,FALSE),"")</f>
        <v>Active</v>
      </c>
      <c r="J21" s="3">
        <f>IFERROR(E21*VLOOKUP(B21,PLInter!$A:$D,3,FALSE),"")</f>
        <v>700</v>
      </c>
      <c r="K21" s="66"/>
      <c r="L21" s="66"/>
      <c r="M21" s="66"/>
      <c r="N21" s="66"/>
      <c r="O21" s="66"/>
      <c r="P21" s="66"/>
      <c r="Q21" s="66"/>
      <c r="R21" s="66"/>
      <c r="S21" s="66"/>
      <c r="T21" s="66"/>
    </row>
    <row r="22" spans="1:20" ht="18" customHeight="1">
      <c r="B22" t="str">
        <f>"26-E029-0000"</f>
        <v>26-E029-0000</v>
      </c>
      <c r="C22" t="str">
        <f>"Assembly, JM, E029, Inductance/Mag Test Panel"</f>
        <v>Assembly, JM, E029, Inductance/Mag Test Panel</v>
      </c>
      <c r="D22" s="4"/>
      <c r="E22" s="4">
        <v>1</v>
      </c>
      <c r="F22" s="4"/>
      <c r="G22" s="29" t="str">
        <f>IFERROR(HYPERLINK("#"&amp;ADDRESS(MATCH(B22&amp;"ES",'LM7 Non-ENG'!$A$1:$A$5000,0),1,,,"LM7 Non-ENG"),IF(IFERROR(VLOOKUP(B22&amp;"ES",'LM7 Non-ENG'!$A$1:$A$4999,1,FALSE),"ERROR")=B22&amp;"ES","Y","")),"")</f>
        <v/>
      </c>
      <c r="H22" s="29" t="str">
        <f>IFERROR(HYPERLINK("#"&amp;ADDRESS(MATCH(B22&amp;"PT",'LM7 Non-ENG'!$A$1:$A$5000,0),1,,,"LM7 Non-ENG"),IF(IFERROR(VLOOKUP(B22&amp;"PT",'LM7 Non-ENG'!$A$1:$A$5000,1,FALSE),"ERROR")=B22&amp;"PT","Y","")),"")</f>
        <v/>
      </c>
      <c r="I22" t="str">
        <f>IFERROR(VLOOKUP(B22,PN!$A:$C,3,FALSE),"")</f>
        <v>Active</v>
      </c>
      <c r="J22" s="3">
        <f>IFERROR(E22*VLOOKUP(B22,PLInter!$A:$D,3,FALSE),"")</f>
        <v>667</v>
      </c>
      <c r="K22" s="66"/>
      <c r="L22" s="66"/>
      <c r="M22" s="66"/>
      <c r="N22" s="66"/>
      <c r="O22" s="66"/>
      <c r="P22" s="66"/>
      <c r="Q22" s="66"/>
      <c r="R22" s="66"/>
      <c r="S22" s="66"/>
      <c r="T22" s="66"/>
    </row>
    <row r="23" spans="1:20" ht="18" customHeight="1">
      <c r="B23" t="str">
        <f>"26-E043-0000"</f>
        <v>26-E043-0000</v>
      </c>
      <c r="C23" t="str">
        <f>"Assembly, JM, E043, Capacitance Panel"</f>
        <v>Assembly, JM, E043, Capacitance Panel</v>
      </c>
      <c r="D23" s="4"/>
      <c r="E23" s="4">
        <v>1</v>
      </c>
      <c r="F23" s="4"/>
      <c r="G23" s="29" t="str">
        <f>IFERROR(HYPERLINK("#"&amp;ADDRESS(MATCH(B23&amp;"ES",'LM7 Non-ENG'!$A$1:$A$5000,0),1,,,"LM7 Non-ENG"),IF(IFERROR(VLOOKUP(B23&amp;"ES",'LM7 Non-ENG'!$A$1:$A$4999,1,FALSE),"ERROR")=B23&amp;"ES","Y","")),"")</f>
        <v/>
      </c>
      <c r="H23" s="29" t="str">
        <f>IFERROR(HYPERLINK("#"&amp;ADDRESS(MATCH(B23&amp;"PT",'LM7 Non-ENG'!$A$1:$A$5000,0),1,,,"LM7 Non-ENG"),IF(IFERROR(VLOOKUP(B23&amp;"PT",'LM7 Non-ENG'!$A$1:$A$5000,1,FALSE),"ERROR")=B23&amp;"PT","Y","")),"")</f>
        <v/>
      </c>
      <c r="I23" t="str">
        <f>IFERROR(VLOOKUP(B23,PN!$A:$C,3,FALSE),"")</f>
        <v>Active</v>
      </c>
      <c r="J23" s="3">
        <f>IFERROR(E23*VLOOKUP(B23,PLInter!$A:$D,3,FALSE),"")</f>
        <v>425</v>
      </c>
      <c r="K23" s="66"/>
      <c r="L23" s="66"/>
      <c r="M23" s="66"/>
      <c r="N23" s="66"/>
      <c r="O23" s="66"/>
      <c r="P23" s="66"/>
      <c r="Q23" s="66"/>
      <c r="R23" s="66"/>
      <c r="S23" s="66"/>
      <c r="T23" s="66"/>
    </row>
    <row r="24" spans="1:20" ht="18" customHeight="1">
      <c r="B24" t="str">
        <f>"26-E044-0000"</f>
        <v>26-E044-0000</v>
      </c>
      <c r="C24" t="str">
        <f>"Assembly, JM, E044, Inductance/Magnetism Panel"</f>
        <v>Assembly, JM, E044, Inductance/Magnetism Panel</v>
      </c>
      <c r="D24" s="4"/>
      <c r="E24" s="4">
        <v>1</v>
      </c>
      <c r="F24" s="4"/>
      <c r="G24" s="29" t="str">
        <f>IFERROR(HYPERLINK("#"&amp;ADDRESS(MATCH(B24&amp;"ES",'LM7 Non-ENG'!$A$1:$A$5000,0),1,,,"LM7 Non-ENG"),IF(IFERROR(VLOOKUP(B24&amp;"ES",'LM7 Non-ENG'!$A$1:$A$4999,1,FALSE),"ERROR")=B24&amp;"ES","Y","")),"")</f>
        <v/>
      </c>
      <c r="H24" s="29" t="str">
        <f>IFERROR(HYPERLINK("#"&amp;ADDRESS(MATCH(B24&amp;"PT",'LM7 Non-ENG'!$A$1:$A$5000,0),1,,,"LM7 Non-ENG"),IF(IFERROR(VLOOKUP(B24&amp;"PT",'LM7 Non-ENG'!$A$1:$A$5000,1,FALSE),"ERROR")=B24&amp;"PT","Y","")),"")</f>
        <v/>
      </c>
      <c r="I24" t="str">
        <f>IFERROR(VLOOKUP(B24,PN!$A:$C,3,FALSE),"")</f>
        <v>Active</v>
      </c>
      <c r="J24" s="3">
        <f>IFERROR(E24*VLOOKUP(B24,PLInter!$A:$D,3,FALSE),"")</f>
        <v>500</v>
      </c>
      <c r="K24" s="66"/>
      <c r="L24" s="66"/>
      <c r="M24" s="66"/>
      <c r="N24" s="66"/>
      <c r="O24" s="66"/>
      <c r="P24" s="66"/>
      <c r="Q24" s="66"/>
      <c r="R24" s="66"/>
      <c r="S24" s="66"/>
      <c r="T24" s="66"/>
    </row>
    <row r="25" spans="1:20" ht="18" customHeight="1">
      <c r="B25" t="str">
        <f>"26-E057-0000"</f>
        <v>26-E057-0000</v>
      </c>
      <c r="C25" t="str">
        <f>"Assembly, JM, E057, Motor/Generator Demo Panel"</f>
        <v>Assembly, JM, E057, Motor/Generator Demo Panel</v>
      </c>
      <c r="D25" s="4"/>
      <c r="E25" s="4">
        <v>1</v>
      </c>
      <c r="F25" s="4"/>
      <c r="G25" s="29" t="str">
        <f>IFERROR(HYPERLINK("#"&amp;ADDRESS(MATCH(B25&amp;"ES",'LM7 Non-ENG'!$A$1:$A$5000,0),1,,,"LM7 Non-ENG"),IF(IFERROR(VLOOKUP(B25&amp;"ES",'LM7 Non-ENG'!$A$1:$A$4999,1,FALSE),"ERROR")=B25&amp;"ES","Y","")),"")</f>
        <v/>
      </c>
      <c r="H25" s="29" t="str">
        <f>IFERROR(HYPERLINK("#"&amp;ADDRESS(MATCH(B25&amp;"PT",'LM7 Non-ENG'!$A$1:$A$5000,0),1,,,"LM7 Non-ENG"),IF(IFERROR(VLOOKUP(B25&amp;"PT",'LM7 Non-ENG'!$A$1:$A$5000,1,FALSE),"ERROR")=B25&amp;"PT","Y","")),"")</f>
        <v/>
      </c>
      <c r="I25" t="str">
        <f>IFERROR(VLOOKUP(B25,PN!$A:$C,3,FALSE),"")</f>
        <v>Active</v>
      </c>
      <c r="J25" s="3">
        <f>IFERROR(E25*VLOOKUP(B25,PLInter!$A:$D,3,FALSE),"")</f>
        <v>850</v>
      </c>
      <c r="K25" s="66"/>
      <c r="L25" s="66"/>
      <c r="M25" s="66"/>
      <c r="N25" s="66"/>
      <c r="O25" s="66"/>
      <c r="P25" s="66"/>
      <c r="Q25" s="66"/>
      <c r="R25" s="66"/>
      <c r="S25" s="66"/>
      <c r="T25" s="66"/>
    </row>
    <row r="26" spans="1:20" ht="18" customHeight="1">
      <c r="B26" t="str">
        <f>"26-E150-0000"</f>
        <v>26-E150-0000</v>
      </c>
      <c r="C26" t="str">
        <f>"Assembly, JM, E150, Relay/Contactor Panel"</f>
        <v>Assembly, JM, E150, Relay/Contactor Panel</v>
      </c>
      <c r="D26" s="4"/>
      <c r="E26" s="4">
        <v>1</v>
      </c>
      <c r="F26" s="4"/>
      <c r="G26" s="29" t="str">
        <f>IFERROR(HYPERLINK("#"&amp;ADDRESS(MATCH(B26&amp;"ES",'LM7 Non-ENG'!$A$1:$A$5000,0),1,,,"LM7 Non-ENG"),IF(IFERROR(VLOOKUP(B26&amp;"ES",'LM7 Non-ENG'!$A$1:$A$4999,1,FALSE),"ERROR")=B26&amp;"ES","Y","")),"")</f>
        <v/>
      </c>
      <c r="H26" s="29" t="str">
        <f>IFERROR(HYPERLINK("#"&amp;ADDRESS(MATCH(B26&amp;"PT",'LM7 Non-ENG'!$A$1:$A$5000,0),1,,,"LM7 Non-ENG"),IF(IFERROR(VLOOKUP(B26&amp;"PT",'LM7 Non-ENG'!$A$1:$A$5000,1,FALSE),"ERROR")=B26&amp;"PT","Y","")),"")</f>
        <v/>
      </c>
      <c r="I26" t="str">
        <f>IFERROR(VLOOKUP(B26,PN!$A:$C,3,FALSE),"")</f>
        <v>Active</v>
      </c>
      <c r="J26" s="3">
        <f>IFERROR(E26*VLOOKUP(B26,PLInter!$A:$D,3,FALSE),"")</f>
        <v>850</v>
      </c>
      <c r="K26" s="66"/>
      <c r="L26" s="66"/>
      <c r="M26" s="66"/>
      <c r="N26" s="66"/>
      <c r="O26" s="66"/>
      <c r="P26" s="66"/>
      <c r="Q26" s="66"/>
      <c r="R26" s="66"/>
      <c r="S26" s="66"/>
      <c r="T26" s="66"/>
    </row>
    <row r="27" spans="1:20" ht="18" customHeight="1">
      <c r="B27" s="1" t="str">
        <f>"36-EA01C-IG01"</f>
        <v>36-EA01C-IG01</v>
      </c>
      <c r="C27" s="1" t="str">
        <f>"JM, PDF on CD LCR Circuits - EA01C"</f>
        <v>JM, PDF on CD LCR Circuits - EA01C</v>
      </c>
      <c r="D27" s="6" t="s">
        <v>0</v>
      </c>
      <c r="E27" s="6">
        <v>1</v>
      </c>
      <c r="F27" s="6"/>
      <c r="G27" s="29" t="str">
        <f>IFERROR(HYPERLINK("#"&amp;ADDRESS(MATCH(B27&amp;"ES",'LM7 Non-ENG'!$A$1:$A$5000,0),1,,,"LM7 Non-ENG"),IF(IFERROR(VLOOKUP(B27&amp;"ES",'LM7 Non-ENG'!$A$1:$A$4999,1,FALSE),"ERROR")=B27&amp;"ES","Y","")),"")</f>
        <v/>
      </c>
      <c r="H27" s="29" t="str">
        <f>IFERROR(HYPERLINK("#"&amp;ADDRESS(MATCH(B27&amp;"PT",'LM7 Non-ENG'!$A$1:$A$5000,0),1,,,"LM7 Non-ENG"),IF(IFERROR(VLOOKUP(B27&amp;"PT",'LM7 Non-ENG'!$A$1:$A$5000,1,FALSE),"ERROR")=B27&amp;"PT","Y","")),"")</f>
        <v/>
      </c>
      <c r="I27" t="str">
        <f>IFERROR(VLOOKUP(B27,PN!$A:$C,3,FALSE),"")</f>
        <v>Active</v>
      </c>
      <c r="J27" s="3" t="str">
        <f>IFERROR(E27*VLOOKUP(B27,PLInter!$A:$D,3,FALSE),"")</f>
        <v/>
      </c>
      <c r="K27" s="66"/>
      <c r="L27" s="66"/>
      <c r="M27" s="66"/>
      <c r="N27" s="66"/>
      <c r="O27" s="66"/>
      <c r="P27" s="66"/>
      <c r="Q27" s="66"/>
      <c r="R27" s="66"/>
      <c r="S27" s="66"/>
      <c r="T27" s="66"/>
    </row>
    <row r="28" spans="1:20" ht="18" customHeight="1">
      <c r="G28" s="29" t="str">
        <f>IFERROR(HYPERLINK("#"&amp;ADDRESS(MATCH(B28&amp;"ES",'LM7 Non-ENG'!$A$1:$A$5000,0),1,,,"LM7 Non-ENG"),IF(IFERROR(VLOOKUP(B28&amp;"ES",'LM7 Non-ENG'!$A$1:$A$4999,1,FALSE),"ERROR")=B28&amp;"ES","Y","")),"")</f>
        <v/>
      </c>
      <c r="H28" s="29" t="str">
        <f>IFERROR(HYPERLINK("#"&amp;ADDRESS(MATCH(B28&amp;"PT",'LM7 Non-ENG'!$A$1:$A$5000,0),1,,,"LM7 Non-ENG"),IF(IFERROR(VLOOKUP(B28&amp;"PT",'LM7 Non-ENG'!$A$1:$A$5000,1,FALSE),"ERROR")=B28&amp;"PT","Y","")),"")</f>
        <v/>
      </c>
    </row>
    <row r="29" spans="1:20" s="7" customFormat="1" ht="18" customHeight="1">
      <c r="A29" s="13" t="s">
        <v>22</v>
      </c>
      <c r="B29" s="13"/>
      <c r="C29" s="13" t="s">
        <v>23</v>
      </c>
      <c r="D29" s="14"/>
      <c r="E29" s="14"/>
      <c r="F29" s="14"/>
      <c r="G29" s="14"/>
      <c r="H29" s="14"/>
      <c r="I29" s="14"/>
      <c r="J29" s="14">
        <f>SUMIFS(J30:J32,D30:D32,"&lt;&gt;Y",F30:F32,"&lt;&gt;Y",I30:I32,"&lt;&gt;Inactive",I30:I32,"&lt;&gt;ECO+NFS")</f>
        <v>1295</v>
      </c>
      <c r="K29" s="14"/>
      <c r="L29" s="14"/>
      <c r="M29" s="14"/>
      <c r="N29" s="14"/>
      <c r="O29" s="14"/>
      <c r="P29" s="14"/>
      <c r="Q29" s="14"/>
      <c r="R29" s="14"/>
      <c r="S29" s="14"/>
      <c r="T29" s="14"/>
    </row>
    <row r="30" spans="1:20" ht="18" customHeight="1">
      <c r="A30" s="17" t="str">
        <f>HYPERLINK("#"&amp;ADDRESS(MATCH(A29,Jobmaster!$A$1:$A$4996,0),1,,,"Jobmaster"),"Back to Price List")</f>
        <v>Back to Price List</v>
      </c>
      <c r="B30" t="str">
        <f>"77-EA01D-0000"</f>
        <v>77-EA01D-0000</v>
      </c>
      <c r="C30" t="str">
        <f>"LM7 Content, JM, Motors &amp; Generators"</f>
        <v>LM7 Content, JM, Motors &amp; Generators</v>
      </c>
      <c r="D30" s="4"/>
      <c r="E30" s="4">
        <v>1</v>
      </c>
      <c r="F30" s="4"/>
      <c r="G30" s="29" t="str">
        <f>IFERROR(HYPERLINK("#"&amp;ADDRESS(MATCH(B30&amp;"ES",'LM7 Non-ENG'!$A$1:$A$5000,0),1,,,"LM7 Non-ENG"),IF(IFERROR(VLOOKUP(B30&amp;"ES",'LM7 Non-ENG'!$A$1:$A$4999,1,FALSE),"ERROR")=B30&amp;"ES","Y","")),"")</f>
        <v>Y</v>
      </c>
      <c r="H30" s="29" t="str">
        <f>IFERROR(HYPERLINK("#"&amp;ADDRESS(MATCH(B30&amp;"PT",'LM7 Non-ENG'!$A$1:$A$5000,0),1,,,"LM7 Non-ENG"),IF(IFERROR(VLOOKUP(B30&amp;"PT",'LM7 Non-ENG'!$A$1:$A$5000,1,FALSE),"ERROR")=B30&amp;"PT","Y","")),"")</f>
        <v>Y</v>
      </c>
      <c r="I30" t="str">
        <f>IFERROR(VLOOKUP(B30,PN!$A:$C,3,FALSE),"")</f>
        <v>Active</v>
      </c>
      <c r="J30" s="3">
        <f>IFERROR(E30*VLOOKUP(B30,PLInter!$A:$D,3,FALSE),"")</f>
        <v>1295</v>
      </c>
      <c r="K30" s="68" t="s">
        <v>24</v>
      </c>
      <c r="L30" s="68"/>
      <c r="M30" s="68"/>
      <c r="N30" s="68"/>
      <c r="O30" s="68"/>
      <c r="P30" s="68"/>
      <c r="Q30" s="68"/>
      <c r="R30" s="68"/>
      <c r="S30" s="68"/>
      <c r="T30" s="68"/>
    </row>
    <row r="31" spans="1:20" ht="18" customHeight="1">
      <c r="B31" s="2" t="str">
        <f>"17-EA01D-0000"</f>
        <v>17-EA01D-0000</v>
      </c>
      <c r="C31" s="2" t="str">
        <f>"LM5.X Content, JM, Motors &amp; Generators"</f>
        <v>LM5.X Content, JM, Motors &amp; Generators</v>
      </c>
      <c r="D31" s="5"/>
      <c r="E31" s="5">
        <v>1</v>
      </c>
      <c r="F31" s="5" t="str">
        <f>"Y"</f>
        <v>Y</v>
      </c>
      <c r="G31" s="29" t="str">
        <f>IFERROR(HYPERLINK("#"&amp;ADDRESS(MATCH(B31&amp;"ES",'LM7 Non-ENG'!$A$1:$A$5000,0),1,,,"LM7 Non-ENG"),IF(IFERROR(VLOOKUP(B31&amp;"ES",'LM7 Non-ENG'!$A$1:$A$4999,1,FALSE),"ERROR")=B31&amp;"ES","Y","")),"")</f>
        <v/>
      </c>
      <c r="H31" s="29" t="str">
        <f>IFERROR(HYPERLINK("#"&amp;ADDRESS(MATCH(B31&amp;"PT",'LM7 Non-ENG'!$A$1:$A$5000,0),1,,,"LM7 Non-ENG"),IF(IFERROR(VLOOKUP(B31&amp;"PT",'LM7 Non-ENG'!$A$1:$A$5000,1,FALSE),"ERROR")=B31&amp;"PT","Y","")),"")</f>
        <v/>
      </c>
      <c r="I31" t="str">
        <f>IFERROR(VLOOKUP(B31,PN!$A:$C,3,FALSE),"")</f>
        <v>Active</v>
      </c>
      <c r="J31" s="3">
        <f>IFERROR(E31*VLOOKUP(B31,PLInter!$A:$D,3,FALSE),"")</f>
        <v>700</v>
      </c>
      <c r="K31" s="68"/>
      <c r="L31" s="68"/>
      <c r="M31" s="68"/>
      <c r="N31" s="68"/>
      <c r="O31" s="68"/>
      <c r="P31" s="68"/>
      <c r="Q31" s="68"/>
      <c r="R31" s="68"/>
      <c r="S31" s="68"/>
      <c r="T31" s="68"/>
    </row>
    <row r="32" spans="1:20" ht="18" customHeight="1">
      <c r="B32" s="1" t="str">
        <f>"36-EA01D-IG01"</f>
        <v>36-EA01D-IG01</v>
      </c>
      <c r="C32" s="1" t="str">
        <f>"JM, PDF on CD Motors and Generators - EA01D"</f>
        <v>JM, PDF on CD Motors and Generators - EA01D</v>
      </c>
      <c r="D32" s="6" t="s">
        <v>0</v>
      </c>
      <c r="E32" s="6">
        <v>1</v>
      </c>
      <c r="F32" s="6"/>
      <c r="G32" s="29" t="str">
        <f>IFERROR(HYPERLINK("#"&amp;ADDRESS(MATCH(B32&amp;"ES",'LM7 Non-ENG'!$A$1:$A$5000,0),1,,,"LM7 Non-ENG"),IF(IFERROR(VLOOKUP(B32&amp;"ES",'LM7 Non-ENG'!$A$1:$A$4999,1,FALSE),"ERROR")=B32&amp;"ES","Y","")),"")</f>
        <v/>
      </c>
      <c r="H32" s="29" t="str">
        <f>IFERROR(HYPERLINK("#"&amp;ADDRESS(MATCH(B32&amp;"PT",'LM7 Non-ENG'!$A$1:$A$5000,0),1,,,"LM7 Non-ENG"),IF(IFERROR(VLOOKUP(B32&amp;"PT",'LM7 Non-ENG'!$A$1:$A$5000,1,FALSE),"ERROR")=B32&amp;"PT","Y","")),"")</f>
        <v/>
      </c>
      <c r="I32" t="str">
        <f>IFERROR(VLOOKUP(B32,PN!$A:$C,3,FALSE),"")</f>
        <v>Active</v>
      </c>
      <c r="J32" s="3" t="str">
        <f>IFERROR(E32*VLOOKUP(B32,PLInter!$A:$D,3,FALSE),"")</f>
        <v/>
      </c>
      <c r="K32" s="68"/>
      <c r="L32" s="68"/>
      <c r="M32" s="68"/>
      <c r="N32" s="68"/>
      <c r="O32" s="68"/>
      <c r="P32" s="68"/>
      <c r="Q32" s="68"/>
      <c r="R32" s="68"/>
      <c r="S32" s="68"/>
      <c r="T32" s="68"/>
    </row>
    <row r="33" spans="1:20" ht="18" customHeight="1">
      <c r="G33" s="29" t="str">
        <f>IFERROR(HYPERLINK("#"&amp;ADDRESS(MATCH(B33&amp;"ES",'LM7 Non-ENG'!$A$1:$A$5000,0),1,,,"LM7 Non-ENG"),IF(IFERROR(VLOOKUP(B33&amp;"ES",'LM7 Non-ENG'!$A$1:$A$4999,1,FALSE),"ERROR")=B33&amp;"ES","Y","")),"")</f>
        <v/>
      </c>
      <c r="H33" s="29" t="str">
        <f>IFERROR(HYPERLINK("#"&amp;ADDRESS(MATCH(B33&amp;"PT",'LM7 Non-ENG'!$A$1:$A$5000,0),1,,,"LM7 Non-ENG"),IF(IFERROR(VLOOKUP(B33&amp;"PT",'LM7 Non-ENG'!$A$1:$A$5000,1,FALSE),"ERROR")=B33&amp;"PT","Y","")),"")</f>
        <v/>
      </c>
    </row>
    <row r="34" spans="1:20" s="7" customFormat="1" ht="18" customHeight="1">
      <c r="A34" s="13" t="s">
        <v>25</v>
      </c>
      <c r="B34" s="13"/>
      <c r="C34" s="13" t="s">
        <v>26</v>
      </c>
      <c r="D34" s="14"/>
      <c r="E34" s="14"/>
      <c r="F34" s="14"/>
      <c r="G34" s="14"/>
      <c r="H34" s="14"/>
      <c r="I34" s="14"/>
      <c r="J34" s="14">
        <f>SUMIFS(J35:J60,D35:D60,"&lt;&gt;Y",F35:F60,"&lt;&gt;Y",I35:I60,"&lt;&gt;Inactive",I35:I60,"&lt;&gt;ECO+NFS")</f>
        <v>26663</v>
      </c>
      <c r="K34" s="14"/>
      <c r="L34" s="14"/>
      <c r="M34" s="14"/>
      <c r="N34" s="14"/>
      <c r="O34" s="14"/>
      <c r="P34" s="14"/>
      <c r="Q34" s="14"/>
      <c r="R34" s="14"/>
      <c r="S34" s="14"/>
      <c r="T34" s="14"/>
    </row>
    <row r="35" spans="1:20" ht="18" customHeight="1">
      <c r="A35" s="17" t="str">
        <f>HYPERLINK("#"&amp;ADDRESS(MATCH(A34,Jobmaster!$A$1:$A$4996,0),1,,,"Jobmaster"),"Back to Price List")</f>
        <v>Back to Price List</v>
      </c>
      <c r="B35" t="str">
        <f>"10-LS00-0200"</f>
        <v>10-LS00-0200</v>
      </c>
      <c r="C35" t="str">
        <f>"LS200:Jobmaster 2-Sided Mobile Learning Station"</f>
        <v>LS200:Jobmaster 2-Sided Mobile Learning Station</v>
      </c>
      <c r="D35" s="4"/>
      <c r="E35" s="4">
        <v>1</v>
      </c>
      <c r="F35" s="4"/>
      <c r="G35" s="29" t="str">
        <f>IFERROR(HYPERLINK("#"&amp;ADDRESS(MATCH(B35&amp;"ES",'LM7 Non-ENG'!$A$1:$A$5000,0),1,,,"LM7 Non-ENG"),IF(IFERROR(VLOOKUP(B35&amp;"ES",'LM7 Non-ENG'!$A$1:$A$4999,1,FALSE),"ERROR")=B35&amp;"ES","Y","")),"")</f>
        <v/>
      </c>
      <c r="H35" s="29" t="str">
        <f>IFERROR(HYPERLINK("#"&amp;ADDRESS(MATCH(B35&amp;"PT",'LM7 Non-ENG'!$A$1:$A$5000,0),1,,,"LM7 Non-ENG"),IF(IFERROR(VLOOKUP(B35&amp;"PT",'LM7 Non-ENG'!$A$1:$A$5000,1,FALSE),"ERROR")=B35&amp;"PT","Y","")),"")</f>
        <v/>
      </c>
      <c r="I35" t="str">
        <f>IFERROR(VLOOKUP(B35,PN!$A:$C,3,FALSE),"")</f>
        <v>Active</v>
      </c>
      <c r="J35" s="3">
        <f>IFERROR(E35*VLOOKUP(B35,PLInter!$A:$D,3,FALSE),"")</f>
        <v>5500</v>
      </c>
      <c r="K35" s="68" t="s">
        <v>27</v>
      </c>
      <c r="L35" s="66"/>
      <c r="M35" s="66"/>
      <c r="N35" s="66"/>
      <c r="O35" s="66"/>
      <c r="P35" s="66"/>
      <c r="Q35" s="66"/>
      <c r="R35" s="66"/>
      <c r="S35" s="66"/>
      <c r="T35" s="66"/>
    </row>
    <row r="36" spans="1:20" ht="18" customHeight="1">
      <c r="A36" s="17"/>
      <c r="B36" t="str">
        <f>"10-PC04-0000"</f>
        <v>10-PC04-0000</v>
      </c>
      <c r="C36" t="str">
        <f>"JM, Panel PC04, 120VAC Power Control"</f>
        <v>JM, Panel PC04, 120VAC Power Control</v>
      </c>
      <c r="D36" s="4"/>
      <c r="E36" s="4">
        <v>2</v>
      </c>
      <c r="F36" s="4"/>
      <c r="G36" s="29" t="str">
        <f>IFERROR(HYPERLINK("#"&amp;ADDRESS(MATCH(B36&amp;"ES",'LM7 Non-ENG'!$A$1:$A$5000,0),1,,,"LM7 Non-ENG"),IF(IFERROR(VLOOKUP(B36&amp;"ES",'LM7 Non-ENG'!$A$1:$A$4999,1,FALSE),"ERROR")=B36&amp;"ES","Y","")),"")</f>
        <v/>
      </c>
      <c r="H36" s="29" t="str">
        <f>IFERROR(HYPERLINK("#"&amp;ADDRESS(MATCH(B36&amp;"PT",'LM7 Non-ENG'!$A$1:$A$5000,0),1,,,"LM7 Non-ENG"),IF(IFERROR(VLOOKUP(B36&amp;"PT",'LM7 Non-ENG'!$A$1:$A$5000,1,FALSE),"ERROR")=B36&amp;"PT","Y","")),"")</f>
        <v/>
      </c>
      <c r="I36" t="str">
        <f>IFERROR(VLOOKUP(B36,PN!$A:$C,3,FALSE),"")</f>
        <v>Active</v>
      </c>
      <c r="J36" s="3">
        <f>IFERROR(E36*VLOOKUP(B36,PLInter!$A:$D,3,FALSE),"")</f>
        <v>2400</v>
      </c>
      <c r="K36" s="66"/>
      <c r="L36" s="66"/>
      <c r="M36" s="66"/>
      <c r="N36" s="66"/>
      <c r="O36" s="66"/>
      <c r="P36" s="66"/>
      <c r="Q36" s="66"/>
      <c r="R36" s="66"/>
      <c r="S36" s="66"/>
      <c r="T36" s="66"/>
    </row>
    <row r="37" spans="1:20" ht="18" customHeight="1">
      <c r="B37" t="str">
        <f>"77-EA01A-0000"</f>
        <v>77-EA01A-0000</v>
      </c>
      <c r="C37" t="str">
        <f>"LM7 Content, JM, Electrical Circuits"</f>
        <v>LM7 Content, JM, Electrical Circuits</v>
      </c>
      <c r="D37" s="4"/>
      <c r="E37" s="4">
        <v>1</v>
      </c>
      <c r="F37" s="4"/>
      <c r="G37" s="29" t="str">
        <f>IFERROR(HYPERLINK("#"&amp;ADDRESS(MATCH(B37&amp;"ES",'LM7 Non-ENG'!$A$1:$A$5000,0),1,,,"LM7 Non-ENG"),IF(IFERROR(VLOOKUP(B37&amp;"ES",'LM7 Non-ENG'!$A$1:$A$4999,1,FALSE),"ERROR")=B37&amp;"ES","Y","")),"")</f>
        <v>Y</v>
      </c>
      <c r="H37" s="29" t="str">
        <f>IFERROR(HYPERLINK("#"&amp;ADDRESS(MATCH(B37&amp;"PT",'LM7 Non-ENG'!$A$1:$A$5000,0),1,,,"LM7 Non-ENG"),IF(IFERROR(VLOOKUP(B37&amp;"PT",'LM7 Non-ENG'!$A$1:$A$5000,1,FALSE),"ERROR")=B37&amp;"PT","Y","")),"")</f>
        <v>Y</v>
      </c>
      <c r="I37" t="str">
        <f>IFERROR(VLOOKUP(B37,PN!$A:$C,3,FALSE),"")</f>
        <v>Active</v>
      </c>
      <c r="J37" s="3">
        <f>IFERROR(E37*VLOOKUP(B37,PLInter!$A:$D,3,FALSE),"")</f>
        <v>700</v>
      </c>
      <c r="K37" s="66"/>
      <c r="L37" s="66"/>
      <c r="M37" s="66"/>
      <c r="N37" s="66"/>
      <c r="O37" s="66"/>
      <c r="P37" s="66"/>
      <c r="Q37" s="66"/>
      <c r="R37" s="66"/>
      <c r="S37" s="66"/>
      <c r="T37" s="66"/>
    </row>
    <row r="38" spans="1:20" ht="18" customHeight="1">
      <c r="B38" s="2" t="str">
        <f>"17-EA01A-0000"</f>
        <v>17-EA01A-0000</v>
      </c>
      <c r="C38" s="2" t="str">
        <f>"LM5.X Content, JM, Electrical Circuits"</f>
        <v>LM5.X Content, JM, Electrical Circuits</v>
      </c>
      <c r="D38" s="5"/>
      <c r="E38" s="5">
        <v>1</v>
      </c>
      <c r="F38" s="5" t="str">
        <f>"Y"</f>
        <v>Y</v>
      </c>
      <c r="G38" s="29" t="str">
        <f>IFERROR(HYPERLINK("#"&amp;ADDRESS(MATCH(B38&amp;"ES",'LM7 Non-ENG'!$A$1:$A$5000,0),1,,,"LM7 Non-ENG"),IF(IFERROR(VLOOKUP(B38&amp;"ES",'LM7 Non-ENG'!$A$1:$A$4999,1,FALSE),"ERROR")=B38&amp;"ES","Y","")),"")</f>
        <v/>
      </c>
      <c r="H38" s="29" t="str">
        <f>IFERROR(HYPERLINK("#"&amp;ADDRESS(MATCH(B38&amp;"PT",'LM7 Non-ENG'!$A$1:$A$5000,0),1,,,"LM7 Non-ENG"),IF(IFERROR(VLOOKUP(B38&amp;"PT",'LM7 Non-ENG'!$A$1:$A$5000,1,FALSE),"ERROR")=B38&amp;"PT","Y","")),"")</f>
        <v/>
      </c>
      <c r="I38" t="str">
        <f>IFERROR(VLOOKUP(B38,PN!$A:$C,3,FALSE),"")</f>
        <v>Active</v>
      </c>
      <c r="J38" s="3">
        <f>IFERROR(E38*VLOOKUP(B38,PLInter!$A:$D,3,FALSE),"")</f>
        <v>700</v>
      </c>
      <c r="K38" s="66"/>
      <c r="L38" s="66"/>
      <c r="M38" s="66"/>
      <c r="N38" s="66"/>
      <c r="O38" s="66"/>
      <c r="P38" s="66"/>
      <c r="Q38" s="66"/>
      <c r="R38" s="66"/>
      <c r="S38" s="66"/>
      <c r="T38" s="66"/>
    </row>
    <row r="39" spans="1:20" ht="18" customHeight="1">
      <c r="B39" t="str">
        <f>"26-E040-0000"</f>
        <v>26-E040-0000</v>
      </c>
      <c r="C39" t="str">
        <f>"Assembly, JM, E040, Switches, Lamp, and Buzzer"</f>
        <v>Assembly, JM, E040, Switches, Lamp, and Buzzer</v>
      </c>
      <c r="D39" s="4"/>
      <c r="E39" s="4">
        <v>2</v>
      </c>
      <c r="F39" s="4"/>
      <c r="G39" s="29" t="str">
        <f>IFERROR(HYPERLINK("#"&amp;ADDRESS(MATCH(B39&amp;"ES",'LM7 Non-ENG'!$A$1:$A$5000,0),1,,,"LM7 Non-ENG"),IF(IFERROR(VLOOKUP(B39&amp;"ES",'LM7 Non-ENG'!$A$1:$A$4999,1,FALSE),"ERROR")=B39&amp;"ES","Y","")),"")</f>
        <v/>
      </c>
      <c r="H39" s="29" t="str">
        <f>IFERROR(HYPERLINK("#"&amp;ADDRESS(MATCH(B39&amp;"PT",'LM7 Non-ENG'!$A$1:$A$5000,0),1,,,"LM7 Non-ENG"),IF(IFERROR(VLOOKUP(B39&amp;"PT",'LM7 Non-ENG'!$A$1:$A$5000,1,FALSE),"ERROR")=B39&amp;"PT","Y","")),"")</f>
        <v/>
      </c>
      <c r="I39" t="str">
        <f>IFERROR(VLOOKUP(B39,PN!$A:$C,3,FALSE),"")</f>
        <v>Active</v>
      </c>
      <c r="J39" s="3">
        <f>IFERROR(E39*VLOOKUP(B39,PLInter!$A:$D,3,FALSE),"")</f>
        <v>1334</v>
      </c>
      <c r="K39" s="66"/>
      <c r="L39" s="66"/>
      <c r="M39" s="66"/>
      <c r="N39" s="66"/>
      <c r="O39" s="66"/>
      <c r="P39" s="66"/>
      <c r="Q39" s="66"/>
      <c r="R39" s="66"/>
      <c r="S39" s="66"/>
      <c r="T39" s="66"/>
    </row>
    <row r="40" spans="1:20" ht="18" customHeight="1">
      <c r="B40" t="str">
        <f>"26-E045-0000"</f>
        <v>26-E045-0000</v>
      </c>
      <c r="C40" t="str">
        <f>"Assembly, JM, E045, Sources of Electricity"</f>
        <v>Assembly, JM, E045, Sources of Electricity</v>
      </c>
      <c r="D40" s="4"/>
      <c r="E40" s="4">
        <v>2</v>
      </c>
      <c r="F40" s="4"/>
      <c r="G40" s="29" t="str">
        <f>IFERROR(HYPERLINK("#"&amp;ADDRESS(MATCH(B40&amp;"ES",'LM7 Non-ENG'!$A$1:$A$5000,0),1,,,"LM7 Non-ENG"),IF(IFERROR(VLOOKUP(B40&amp;"ES",'LM7 Non-ENG'!$A$1:$A$4999,1,FALSE),"ERROR")=B40&amp;"ES","Y","")),"")</f>
        <v/>
      </c>
      <c r="H40" s="29" t="str">
        <f>IFERROR(HYPERLINK("#"&amp;ADDRESS(MATCH(B40&amp;"PT",'LM7 Non-ENG'!$A$1:$A$5000,0),1,,,"LM7 Non-ENG"),IF(IFERROR(VLOOKUP(B40&amp;"PT",'LM7 Non-ENG'!$A$1:$A$5000,1,FALSE),"ERROR")=B40&amp;"PT","Y","")),"")</f>
        <v/>
      </c>
      <c r="I40" t="str">
        <f>IFERROR(VLOOKUP(B40,PN!$A:$C,3,FALSE),"")</f>
        <v>Active</v>
      </c>
      <c r="J40" s="3">
        <f>IFERROR(E40*VLOOKUP(B40,PLInter!$A:$D,3,FALSE),"")</f>
        <v>950</v>
      </c>
      <c r="K40" s="66"/>
      <c r="L40" s="66"/>
      <c r="M40" s="66"/>
      <c r="N40" s="66"/>
      <c r="O40" s="66"/>
      <c r="P40" s="66"/>
      <c r="Q40" s="66"/>
      <c r="R40" s="66"/>
      <c r="S40" s="66"/>
      <c r="T40" s="66"/>
    </row>
    <row r="41" spans="1:20" ht="18" customHeight="1">
      <c r="B41" t="str">
        <f>"26-E047-0000"</f>
        <v>26-E047-0000</v>
      </c>
      <c r="C41" t="str">
        <f>"Assembly, JM, E047, Heat/Light Source"</f>
        <v>Assembly, JM, E047, Heat/Light Source</v>
      </c>
      <c r="D41" s="4"/>
      <c r="E41" s="4">
        <v>2</v>
      </c>
      <c r="F41" s="4"/>
      <c r="G41" s="29" t="str">
        <f>IFERROR(HYPERLINK("#"&amp;ADDRESS(MATCH(B41&amp;"ES",'LM7 Non-ENG'!$A$1:$A$5000,0),1,,,"LM7 Non-ENG"),IF(IFERROR(VLOOKUP(B41&amp;"ES",'LM7 Non-ENG'!$A$1:$A$4999,1,FALSE),"ERROR")=B41&amp;"ES","Y","")),"")</f>
        <v/>
      </c>
      <c r="H41" s="29" t="str">
        <f>IFERROR(HYPERLINK("#"&amp;ADDRESS(MATCH(B41&amp;"PT",'LM7 Non-ENG'!$A$1:$A$5000,0),1,,,"LM7 Non-ENG"),IF(IFERROR(VLOOKUP(B41&amp;"PT",'LM7 Non-ENG'!$A$1:$A$5000,1,FALSE),"ERROR")=B41&amp;"PT","Y","")),"")</f>
        <v/>
      </c>
      <c r="I41" t="str">
        <f>IFERROR(VLOOKUP(B41,PN!$A:$C,3,FALSE),"")</f>
        <v>Active</v>
      </c>
      <c r="J41" s="3">
        <f>IFERROR(E41*VLOOKUP(B41,PLInter!$A:$D,3,FALSE),"")</f>
        <v>750</v>
      </c>
      <c r="K41" s="66"/>
      <c r="L41" s="66"/>
      <c r="M41" s="66"/>
      <c r="N41" s="66"/>
      <c r="O41" s="66"/>
      <c r="P41" s="66"/>
      <c r="Q41" s="66"/>
      <c r="R41" s="66"/>
      <c r="S41" s="66"/>
      <c r="T41" s="66"/>
    </row>
    <row r="42" spans="1:20" ht="18" customHeight="1">
      <c r="B42" t="str">
        <f>"26-E151-0000"</f>
        <v>26-E151-0000</v>
      </c>
      <c r="C42" t="str">
        <f>"Assembly, JM, E151,Series/Parallel Lamps Panel"</f>
        <v>Assembly, JM, E151,Series/Parallel Lamps Panel</v>
      </c>
      <c r="D42" s="4"/>
      <c r="E42" s="4">
        <v>2</v>
      </c>
      <c r="F42" s="4"/>
      <c r="G42" s="29" t="str">
        <f>IFERROR(HYPERLINK("#"&amp;ADDRESS(MATCH(B42&amp;"ES",'LM7 Non-ENG'!$A$1:$A$5000,0),1,,,"LM7 Non-ENG"),IF(IFERROR(VLOOKUP(B42&amp;"ES",'LM7 Non-ENG'!$A$1:$A$4999,1,FALSE),"ERROR")=B42&amp;"ES","Y","")),"")</f>
        <v/>
      </c>
      <c r="H42" s="29" t="str">
        <f>IFERROR(HYPERLINK("#"&amp;ADDRESS(MATCH(B42&amp;"PT",'LM7 Non-ENG'!$A$1:$A$5000,0),1,,,"LM7 Non-ENG"),IF(IFERROR(VLOOKUP(B42&amp;"PT",'LM7 Non-ENG'!$A$1:$A$5000,1,FALSE),"ERROR")=B42&amp;"PT","Y","")),"")</f>
        <v/>
      </c>
      <c r="I42" t="str">
        <f>IFERROR(VLOOKUP(B42,PN!$A:$C,3,FALSE),"")</f>
        <v>Active</v>
      </c>
      <c r="J42" s="3">
        <f>IFERROR(E42*VLOOKUP(B42,PLInter!$A:$D,3,FALSE),"")</f>
        <v>1000</v>
      </c>
      <c r="K42" s="66"/>
      <c r="L42" s="66"/>
      <c r="M42" s="66"/>
      <c r="N42" s="66"/>
      <c r="O42" s="66"/>
      <c r="P42" s="66"/>
      <c r="Q42" s="66"/>
      <c r="R42" s="66"/>
      <c r="S42" s="66"/>
      <c r="T42" s="66"/>
    </row>
    <row r="43" spans="1:20" ht="18" customHeight="1">
      <c r="B43" t="str">
        <f>"26-E152-0000"</f>
        <v>26-E152-0000</v>
      </c>
      <c r="C43" t="str">
        <f>"Assembly, JM, E152, Transformer/Adjustable Power"</f>
        <v>Assembly, JM, E152, Transformer/Adjustable Power</v>
      </c>
      <c r="D43" s="4"/>
      <c r="E43" s="4">
        <v>2</v>
      </c>
      <c r="F43" s="4"/>
      <c r="G43" s="29" t="str">
        <f>IFERROR(HYPERLINK("#"&amp;ADDRESS(MATCH(B43&amp;"ES",'LM7 Non-ENG'!$A$1:$A$5000,0),1,,,"LM7 Non-ENG"),IF(IFERROR(VLOOKUP(B43&amp;"ES",'LM7 Non-ENG'!$A$1:$A$4999,1,FALSE),"ERROR")=B43&amp;"ES","Y","")),"")</f>
        <v/>
      </c>
      <c r="H43" s="29" t="str">
        <f>IFERROR(HYPERLINK("#"&amp;ADDRESS(MATCH(B43&amp;"PT",'LM7 Non-ENG'!$A$1:$A$5000,0),1,,,"LM7 Non-ENG"),IF(IFERROR(VLOOKUP(B43&amp;"PT",'LM7 Non-ENG'!$A$1:$A$5000,1,FALSE),"ERROR")=B43&amp;"PT","Y","")),"")</f>
        <v/>
      </c>
      <c r="I43" t="str">
        <f>IFERROR(VLOOKUP(B43,PN!$A:$C,3,FALSE),"")</f>
        <v>Active</v>
      </c>
      <c r="J43" s="3">
        <f>IFERROR(E43*VLOOKUP(B43,PLInter!$A:$D,3,FALSE),"")</f>
        <v>1600</v>
      </c>
      <c r="K43" s="66"/>
      <c r="L43" s="66"/>
      <c r="M43" s="66"/>
      <c r="N43" s="66"/>
      <c r="O43" s="66"/>
      <c r="P43" s="66"/>
      <c r="Q43" s="66"/>
      <c r="R43" s="66"/>
      <c r="S43" s="66"/>
      <c r="T43" s="66"/>
    </row>
    <row r="44" spans="1:20" ht="18" customHeight="1">
      <c r="B44" t="str">
        <f>"36-8900-0007"</f>
        <v>36-8900-0007</v>
      </c>
      <c r="C44" t="str">
        <f>"JM, Digital Multimeter, Fluke-115"</f>
        <v>JM, Digital Multimeter, Fluke-115</v>
      </c>
      <c r="D44" s="4"/>
      <c r="E44" s="4">
        <v>2</v>
      </c>
      <c r="F44" s="4"/>
      <c r="G44" s="29" t="str">
        <f>IFERROR(HYPERLINK("#"&amp;ADDRESS(MATCH(B44&amp;"ES",'LM7 Non-ENG'!$A$1:$A$5000,0),1,,,"LM7 Non-ENG"),IF(IFERROR(VLOOKUP(B44&amp;"ES",'LM7 Non-ENG'!$A$1:$A$4999,1,FALSE),"ERROR")=B44&amp;"ES","Y","")),"")</f>
        <v/>
      </c>
      <c r="H44" s="29" t="str">
        <f>IFERROR(HYPERLINK("#"&amp;ADDRESS(MATCH(B44&amp;"PT",'LM7 Non-ENG'!$A$1:$A$5000,0),1,,,"LM7 Non-ENG"),IF(IFERROR(VLOOKUP(B44&amp;"PT",'LM7 Non-ENG'!$A$1:$A$5000,1,FALSE),"ERROR")=B44&amp;"PT","Y","")),"")</f>
        <v/>
      </c>
      <c r="I44" t="str">
        <f>IFERROR(VLOOKUP(B44,PN!$A:$C,3,FALSE),"")</f>
        <v>Active</v>
      </c>
      <c r="J44" s="3">
        <f>IFERROR(E44*VLOOKUP(B44,PLInter!$A:$D,3,FALSE),"")</f>
        <v>1150</v>
      </c>
      <c r="K44" s="66"/>
      <c r="L44" s="66"/>
      <c r="M44" s="66"/>
      <c r="N44" s="66"/>
      <c r="O44" s="66"/>
      <c r="P44" s="66"/>
      <c r="Q44" s="66"/>
      <c r="R44" s="66"/>
      <c r="S44" s="66"/>
      <c r="T44" s="66"/>
    </row>
    <row r="45" spans="1:20" ht="18" customHeight="1">
      <c r="B45" s="1" t="str">
        <f>"36-EA01A-IG01"</f>
        <v>36-EA01A-IG01</v>
      </c>
      <c r="C45" s="1" t="str">
        <f>"JM, PDF on CD Electrical Circuits - EA01A"</f>
        <v>JM, PDF on CD Electrical Circuits - EA01A</v>
      </c>
      <c r="D45" s="6" t="s">
        <v>0</v>
      </c>
      <c r="E45" s="6">
        <v>1</v>
      </c>
      <c r="F45" s="6"/>
      <c r="G45" s="29" t="str">
        <f>IFERROR(HYPERLINK("#"&amp;ADDRESS(MATCH(B45&amp;"ES",'LM7 Non-ENG'!$A$1:$A$5000,0),1,,,"LM7 Non-ENG"),IF(IFERROR(VLOOKUP(B45&amp;"ES",'LM7 Non-ENG'!$A$1:$A$4999,1,FALSE),"ERROR")=B45&amp;"ES","Y","")),"")</f>
        <v/>
      </c>
      <c r="H45" s="29" t="str">
        <f>IFERROR(HYPERLINK("#"&amp;ADDRESS(MATCH(B45&amp;"PT",'LM7 Non-ENG'!$A$1:$A$5000,0),1,,,"LM7 Non-ENG"),IF(IFERROR(VLOOKUP(B45&amp;"PT",'LM7 Non-ENG'!$A$1:$A$5000,1,FALSE),"ERROR")=B45&amp;"PT","Y","")),"")</f>
        <v/>
      </c>
      <c r="I45" t="str">
        <f>IFERROR(VLOOKUP(B45,PN!$A:$C,3,FALSE),"")</f>
        <v>Active</v>
      </c>
      <c r="J45" s="3">
        <f>IFERROR(E45*VLOOKUP(B45,PLInter!$A:$D,3,FALSE),"")</f>
        <v>0</v>
      </c>
      <c r="K45" s="66"/>
      <c r="L45" s="66"/>
      <c r="M45" s="66"/>
      <c r="N45" s="66"/>
      <c r="O45" s="66"/>
      <c r="P45" s="66"/>
      <c r="Q45" s="66"/>
      <c r="R45" s="66"/>
      <c r="S45" s="66"/>
      <c r="T45" s="66"/>
    </row>
    <row r="46" spans="1:20" ht="18" customHeight="1">
      <c r="B46" t="str">
        <f>"77-EA01B-0000"</f>
        <v>77-EA01B-0000</v>
      </c>
      <c r="C46" t="str">
        <f>"LM7 Content, JM, Resistors &amp; Conductors"</f>
        <v>LM7 Content, JM, Resistors &amp; Conductors</v>
      </c>
      <c r="D46" s="4"/>
      <c r="E46" s="4">
        <v>1</v>
      </c>
      <c r="F46" s="4"/>
      <c r="G46" s="29" t="str">
        <f>IFERROR(HYPERLINK("#"&amp;ADDRESS(MATCH(B46&amp;"ES",'LM7 Non-ENG'!$A$1:$A$5000,0),1,,,"LM7 Non-ENG"),IF(IFERROR(VLOOKUP(B46&amp;"ES",'LM7 Non-ENG'!$A$1:$A$4999,1,FALSE),"ERROR")=B46&amp;"ES","Y","")),"")</f>
        <v>Y</v>
      </c>
      <c r="H46" s="29" t="str">
        <f>IFERROR(HYPERLINK("#"&amp;ADDRESS(MATCH(B46&amp;"PT",'LM7 Non-ENG'!$A$1:$A$5000,0),1,,,"LM7 Non-ENG"),IF(IFERROR(VLOOKUP(B46&amp;"PT",'LM7 Non-ENG'!$A$1:$A$5000,1,FALSE),"ERROR")=B46&amp;"PT","Y","")),"")</f>
        <v>Y</v>
      </c>
      <c r="I46" t="str">
        <f>IFERROR(VLOOKUP(B46,PN!$A:$C,3,FALSE),"")</f>
        <v>Active</v>
      </c>
      <c r="J46" s="3">
        <f>IFERROR(E46*VLOOKUP(B46,PLInter!$A:$D,3,FALSE),"")</f>
        <v>700</v>
      </c>
      <c r="K46" s="66"/>
      <c r="L46" s="66"/>
      <c r="M46" s="66"/>
      <c r="N46" s="66"/>
      <c r="O46" s="66"/>
      <c r="P46" s="66"/>
      <c r="Q46" s="66"/>
      <c r="R46" s="66"/>
      <c r="S46" s="66"/>
      <c r="T46" s="66"/>
    </row>
    <row r="47" spans="1:20" ht="18" customHeight="1">
      <c r="B47" s="2" t="str">
        <f>"17-EA01B-0000"</f>
        <v>17-EA01B-0000</v>
      </c>
      <c r="C47" s="2" t="str">
        <f>"LM5.X Content, JM, Resistors &amp; Conductors"</f>
        <v>LM5.X Content, JM, Resistors &amp; Conductors</v>
      </c>
      <c r="D47" s="5"/>
      <c r="E47" s="16">
        <v>0</v>
      </c>
      <c r="F47" s="5" t="str">
        <f>"Y"</f>
        <v>Y</v>
      </c>
      <c r="G47" s="29" t="str">
        <f>IFERROR(HYPERLINK("#"&amp;ADDRESS(MATCH(B47&amp;"ES",'LM7 Non-ENG'!$A$1:$A$5000,0),1,,,"LM7 Non-ENG"),IF(IFERROR(VLOOKUP(B47&amp;"ES",'LM7 Non-ENG'!$A$1:$A$4999,1,FALSE),"ERROR")=B47&amp;"ES","Y","")),"")</f>
        <v/>
      </c>
      <c r="H47" s="29" t="str">
        <f>IFERROR(HYPERLINK("#"&amp;ADDRESS(MATCH(B47&amp;"PT",'LM7 Non-ENG'!$A$1:$A$5000,0),1,,,"LM7 Non-ENG"),IF(IFERROR(VLOOKUP(B47&amp;"PT",'LM7 Non-ENG'!$A$1:$A$5000,1,FALSE),"ERROR")=B47&amp;"PT","Y","")),"")</f>
        <v/>
      </c>
      <c r="I47" t="str">
        <f>IFERROR(VLOOKUP(B47,PN!$A:$C,3,FALSE),"")</f>
        <v>Active</v>
      </c>
      <c r="J47" s="3">
        <f>IFERROR(E47*VLOOKUP(B47,PLInter!$A:$D,3,FALSE),"")</f>
        <v>0</v>
      </c>
      <c r="K47" s="66"/>
      <c r="L47" s="66"/>
      <c r="M47" s="66"/>
      <c r="N47" s="66"/>
      <c r="O47" s="66"/>
      <c r="P47" s="66"/>
      <c r="Q47" s="66"/>
      <c r="R47" s="66"/>
      <c r="S47" s="66"/>
      <c r="T47" s="66"/>
    </row>
    <row r="48" spans="1:20" ht="18" customHeight="1">
      <c r="B48" t="str">
        <f>"26-E042-0000"</f>
        <v>26-E042-0000</v>
      </c>
      <c r="C48" t="str">
        <f>"Assembly, JM, E042, Resistance Panel"</f>
        <v>Assembly, JM, E042, Resistance Panel</v>
      </c>
      <c r="D48" s="4"/>
      <c r="E48" s="4">
        <v>2</v>
      </c>
      <c r="F48" s="4"/>
      <c r="G48" s="29" t="str">
        <f>IFERROR(HYPERLINK("#"&amp;ADDRESS(MATCH(B48&amp;"ES",'LM7 Non-ENG'!$A$1:$A$5000,0),1,,,"LM7 Non-ENG"),IF(IFERROR(VLOOKUP(B48&amp;"ES",'LM7 Non-ENG'!$A$1:$A$4999,1,FALSE),"ERROR")=B48&amp;"ES","Y","")),"")</f>
        <v/>
      </c>
      <c r="H48" s="29" t="str">
        <f>IFERROR(HYPERLINK("#"&amp;ADDRESS(MATCH(B48&amp;"PT",'LM7 Non-ENG'!$A$1:$A$5000,0),1,,,"LM7 Non-ENG"),IF(IFERROR(VLOOKUP(B48&amp;"PT",'LM7 Non-ENG'!$A$1:$A$5000,1,FALSE),"ERROR")=B48&amp;"PT","Y","")),"")</f>
        <v/>
      </c>
      <c r="I48" t="str">
        <f>IFERROR(VLOOKUP(B48,PN!$A:$C,3,FALSE),"")</f>
        <v>Active</v>
      </c>
      <c r="J48" s="3">
        <f>IFERROR(E48*VLOOKUP(B48,PLInter!$A:$D,3,FALSE),"")</f>
        <v>2000</v>
      </c>
      <c r="K48" s="66"/>
      <c r="L48" s="66"/>
      <c r="M48" s="66"/>
      <c r="N48" s="66"/>
      <c r="O48" s="66"/>
      <c r="P48" s="66"/>
      <c r="Q48" s="66"/>
      <c r="R48" s="66"/>
      <c r="S48" s="66"/>
      <c r="T48" s="66"/>
    </row>
    <row r="49" spans="1:20" ht="18" customHeight="1">
      <c r="B49" s="1" t="str">
        <f>"36-EA01B-IG01"</f>
        <v>36-EA01B-IG01</v>
      </c>
      <c r="C49" s="1" t="str">
        <f>"JM, PDF on CD Resistors &amp; Conductors - EA01B"</f>
        <v>JM, PDF on CD Resistors &amp; Conductors - EA01B</v>
      </c>
      <c r="D49" s="6" t="s">
        <v>0</v>
      </c>
      <c r="E49" s="6">
        <v>1</v>
      </c>
      <c r="F49" s="6"/>
      <c r="G49" s="29" t="str">
        <f>IFERROR(HYPERLINK("#"&amp;ADDRESS(MATCH(B49&amp;"ES",'LM7 Non-ENG'!$A$1:$A$5000,0),1,,,"LM7 Non-ENG"),IF(IFERROR(VLOOKUP(B49&amp;"ES",'LM7 Non-ENG'!$A$1:$A$4999,1,FALSE),"ERROR")=B49&amp;"ES","Y","")),"")</f>
        <v/>
      </c>
      <c r="H49" s="29" t="str">
        <f>IFERROR(HYPERLINK("#"&amp;ADDRESS(MATCH(B49&amp;"PT",'LM7 Non-ENG'!$A$1:$A$5000,0),1,,,"LM7 Non-ENG"),IF(IFERROR(VLOOKUP(B49&amp;"PT",'LM7 Non-ENG'!$A$1:$A$5000,1,FALSE),"ERROR")=B49&amp;"PT","Y","")),"")</f>
        <v/>
      </c>
      <c r="I49" t="str">
        <f>IFERROR(VLOOKUP(B49,PN!$A:$C,3,FALSE),"")</f>
        <v>Active</v>
      </c>
      <c r="J49" s="3" t="str">
        <f>IFERROR(E49*VLOOKUP(B49,PLInter!$A:$D,3,FALSE),"")</f>
        <v/>
      </c>
      <c r="K49" s="66"/>
      <c r="L49" s="66"/>
      <c r="M49" s="66"/>
      <c r="N49" s="66"/>
      <c r="O49" s="66"/>
      <c r="P49" s="66"/>
      <c r="Q49" s="66"/>
      <c r="R49" s="66"/>
      <c r="S49" s="66"/>
      <c r="T49" s="66"/>
    </row>
    <row r="50" spans="1:20" ht="18" customHeight="1">
      <c r="B50" t="str">
        <f>"77-EA01C-0000"</f>
        <v>77-EA01C-0000</v>
      </c>
      <c r="C50" t="str">
        <f>"LM7 Content, JM, LCR Circuits"</f>
        <v>LM7 Content, JM, LCR Circuits</v>
      </c>
      <c r="D50" s="4"/>
      <c r="E50" s="4">
        <v>1</v>
      </c>
      <c r="F50" s="4"/>
      <c r="G50" s="29" t="str">
        <f>IFERROR(HYPERLINK("#"&amp;ADDRESS(MATCH(B50&amp;"ES",'LM7 Non-ENG'!$A$1:$A$5000,0),1,,,"LM7 Non-ENG"),IF(IFERROR(VLOOKUP(B50&amp;"ES",'LM7 Non-ENG'!$A$1:$A$4999,1,FALSE),"ERROR")=B50&amp;"ES","Y","")),"")</f>
        <v>Y</v>
      </c>
      <c r="H50" s="29" t="str">
        <f>IFERROR(HYPERLINK("#"&amp;ADDRESS(MATCH(B50&amp;"PT",'LM7 Non-ENG'!$A$1:$A$5000,0),1,,,"LM7 Non-ENG"),IF(IFERROR(VLOOKUP(B50&amp;"PT",'LM7 Non-ENG'!$A$1:$A$5000,1,FALSE),"ERROR")=B50&amp;"PT","Y","")),"")</f>
        <v>Y</v>
      </c>
      <c r="I50" t="str">
        <f>IFERROR(VLOOKUP(B50,PN!$A:$C,3,FALSE),"")</f>
        <v>Active</v>
      </c>
      <c r="J50" s="3">
        <f>IFERROR(E50*VLOOKUP(B50,PLInter!$A:$D,3,FALSE),"")</f>
        <v>700</v>
      </c>
      <c r="K50" s="66"/>
      <c r="L50" s="66"/>
      <c r="M50" s="66"/>
      <c r="N50" s="66"/>
      <c r="O50" s="66"/>
      <c r="P50" s="66"/>
      <c r="Q50" s="66"/>
      <c r="R50" s="66"/>
      <c r="S50" s="66"/>
      <c r="T50" s="66"/>
    </row>
    <row r="51" spans="1:20" ht="18" customHeight="1">
      <c r="B51" s="2" t="str">
        <f>"17-EA01C-0000"</f>
        <v>17-EA01C-0000</v>
      </c>
      <c r="C51" s="2" t="str">
        <f>"LM5.X Content, JM, LCR Circuits"</f>
        <v>LM5.X Content, JM, LCR Circuits</v>
      </c>
      <c r="D51" s="5"/>
      <c r="E51" s="5">
        <v>1</v>
      </c>
      <c r="F51" s="5" t="str">
        <f>"Y"</f>
        <v>Y</v>
      </c>
      <c r="G51" s="29" t="str">
        <f>IFERROR(HYPERLINK("#"&amp;ADDRESS(MATCH(B51&amp;"ES",'LM7 Non-ENG'!$A$1:$A$5000,0),1,,,"LM7 Non-ENG"),IF(IFERROR(VLOOKUP(B51&amp;"ES",'LM7 Non-ENG'!$A$1:$A$4999,1,FALSE),"ERROR")=B51&amp;"ES","Y","")),"")</f>
        <v/>
      </c>
      <c r="H51" s="29" t="str">
        <f>IFERROR(HYPERLINK("#"&amp;ADDRESS(MATCH(B51&amp;"PT",'LM7 Non-ENG'!$A$1:$A$5000,0),1,,,"LM7 Non-ENG"),IF(IFERROR(VLOOKUP(B51&amp;"PT",'LM7 Non-ENG'!$A$1:$A$5000,1,FALSE),"ERROR")=B51&amp;"PT","Y","")),"")</f>
        <v/>
      </c>
      <c r="I51" t="str">
        <f>IFERROR(VLOOKUP(B51,PN!$A:$C,3,FALSE),"")</f>
        <v>Active</v>
      </c>
      <c r="J51" s="3">
        <f>IFERROR(E51*VLOOKUP(B51,PLInter!$A:$D,3,FALSE),"")</f>
        <v>700</v>
      </c>
      <c r="K51" s="66"/>
      <c r="L51" s="66"/>
      <c r="M51" s="66"/>
      <c r="N51" s="66"/>
      <c r="O51" s="66"/>
      <c r="P51" s="66"/>
      <c r="Q51" s="66"/>
      <c r="R51" s="66"/>
      <c r="S51" s="66"/>
      <c r="T51" s="66"/>
    </row>
    <row r="52" spans="1:20" ht="18" customHeight="1">
      <c r="B52" t="str">
        <f>"26-E029-0000"</f>
        <v>26-E029-0000</v>
      </c>
      <c r="C52" t="str">
        <f>"Assembly, JM, E029, Inductance/Mag Test Panel"</f>
        <v>Assembly, JM, E029, Inductance/Mag Test Panel</v>
      </c>
      <c r="D52" s="4"/>
      <c r="E52" s="4">
        <v>2</v>
      </c>
      <c r="F52" s="4"/>
      <c r="G52" s="29" t="str">
        <f>IFERROR(HYPERLINK("#"&amp;ADDRESS(MATCH(B52&amp;"ES",'LM7 Non-ENG'!$A$1:$A$5000,0),1,,,"LM7 Non-ENG"),IF(IFERROR(VLOOKUP(B52&amp;"ES",'LM7 Non-ENG'!$A$1:$A$4999,1,FALSE),"ERROR")=B52&amp;"ES","Y","")),"")</f>
        <v/>
      </c>
      <c r="H52" s="29" t="str">
        <f>IFERROR(HYPERLINK("#"&amp;ADDRESS(MATCH(B52&amp;"PT",'LM7 Non-ENG'!$A$1:$A$5000,0),1,,,"LM7 Non-ENG"),IF(IFERROR(VLOOKUP(B52&amp;"PT",'LM7 Non-ENG'!$A$1:$A$5000,1,FALSE),"ERROR")=B52&amp;"PT","Y","")),"")</f>
        <v/>
      </c>
      <c r="I52" t="str">
        <f>IFERROR(VLOOKUP(B52,PN!$A:$C,3,FALSE),"")</f>
        <v>Active</v>
      </c>
      <c r="J52" s="3">
        <f>IFERROR(E52*VLOOKUP(B52,PLInter!$A:$D,3,FALSE),"")</f>
        <v>1334</v>
      </c>
      <c r="K52" s="66"/>
      <c r="L52" s="66"/>
      <c r="M52" s="66"/>
      <c r="N52" s="66"/>
      <c r="O52" s="66"/>
      <c r="P52" s="66"/>
      <c r="Q52" s="66"/>
      <c r="R52" s="66"/>
      <c r="S52" s="66"/>
      <c r="T52" s="66"/>
    </row>
    <row r="53" spans="1:20" ht="18" customHeight="1">
      <c r="B53" t="str">
        <f>"26-E043-0000"</f>
        <v>26-E043-0000</v>
      </c>
      <c r="C53" t="str">
        <f>"Assembly, JM, E043, Capacitance Panel"</f>
        <v>Assembly, JM, E043, Capacitance Panel</v>
      </c>
      <c r="D53" s="4"/>
      <c r="E53" s="4">
        <v>2</v>
      </c>
      <c r="F53" s="4"/>
      <c r="G53" s="29" t="str">
        <f>IFERROR(HYPERLINK("#"&amp;ADDRESS(MATCH(B53&amp;"ES",'LM7 Non-ENG'!$A$1:$A$5000,0),1,,,"LM7 Non-ENG"),IF(IFERROR(VLOOKUP(B53&amp;"ES",'LM7 Non-ENG'!$A$1:$A$4999,1,FALSE),"ERROR")=B53&amp;"ES","Y","")),"")</f>
        <v/>
      </c>
      <c r="H53" s="29" t="str">
        <f>IFERROR(HYPERLINK("#"&amp;ADDRESS(MATCH(B53&amp;"PT",'LM7 Non-ENG'!$A$1:$A$5000,0),1,,,"LM7 Non-ENG"),IF(IFERROR(VLOOKUP(B53&amp;"PT",'LM7 Non-ENG'!$A$1:$A$5000,1,FALSE),"ERROR")=B53&amp;"PT","Y","")),"")</f>
        <v/>
      </c>
      <c r="I53" t="str">
        <f>IFERROR(VLOOKUP(B53,PN!$A:$C,3,FALSE),"")</f>
        <v>Active</v>
      </c>
      <c r="J53" s="3">
        <f>IFERROR(E53*VLOOKUP(B53,PLInter!$A:$D,3,FALSE),"")</f>
        <v>850</v>
      </c>
      <c r="K53" s="66"/>
      <c r="L53" s="66"/>
      <c r="M53" s="66"/>
      <c r="N53" s="66"/>
      <c r="O53" s="66"/>
      <c r="P53" s="66"/>
      <c r="Q53" s="66"/>
      <c r="R53" s="66"/>
      <c r="S53" s="66"/>
      <c r="T53" s="66"/>
    </row>
    <row r="54" spans="1:20" ht="18" customHeight="1">
      <c r="B54" t="str">
        <f>"26-E044-0000"</f>
        <v>26-E044-0000</v>
      </c>
      <c r="C54" t="str">
        <f>"Assembly, JM, E044, Inductance/Magnetism Panel"</f>
        <v>Assembly, JM, E044, Inductance/Magnetism Panel</v>
      </c>
      <c r="D54" s="4"/>
      <c r="E54" s="4">
        <v>2</v>
      </c>
      <c r="F54" s="4"/>
      <c r="G54" s="29" t="str">
        <f>IFERROR(HYPERLINK("#"&amp;ADDRESS(MATCH(B54&amp;"ES",'LM7 Non-ENG'!$A$1:$A$5000,0),1,,,"LM7 Non-ENG"),IF(IFERROR(VLOOKUP(B54&amp;"ES",'LM7 Non-ENG'!$A$1:$A$4999,1,FALSE),"ERROR")=B54&amp;"ES","Y","")),"")</f>
        <v/>
      </c>
      <c r="H54" s="29" t="str">
        <f>IFERROR(HYPERLINK("#"&amp;ADDRESS(MATCH(B54&amp;"PT",'LM7 Non-ENG'!$A$1:$A$5000,0),1,,,"LM7 Non-ENG"),IF(IFERROR(VLOOKUP(B54&amp;"PT",'LM7 Non-ENG'!$A$1:$A$5000,1,FALSE),"ERROR")=B54&amp;"PT","Y","")),"")</f>
        <v/>
      </c>
      <c r="I54" t="str">
        <f>IFERROR(VLOOKUP(B54,PN!$A:$C,3,FALSE),"")</f>
        <v>Active</v>
      </c>
      <c r="J54" s="3">
        <f>IFERROR(E54*VLOOKUP(B54,PLInter!$A:$D,3,FALSE),"")</f>
        <v>1000</v>
      </c>
      <c r="K54" s="66"/>
      <c r="L54" s="66"/>
      <c r="M54" s="66"/>
      <c r="N54" s="66"/>
      <c r="O54" s="66"/>
      <c r="P54" s="66"/>
      <c r="Q54" s="66"/>
      <c r="R54" s="66"/>
      <c r="S54" s="66"/>
      <c r="T54" s="66"/>
    </row>
    <row r="55" spans="1:20" ht="18" customHeight="1">
      <c r="B55" t="str">
        <f>"26-E057-0000"</f>
        <v>26-E057-0000</v>
      </c>
      <c r="C55" t="str">
        <f>"Assembly, JM, E057, Motor/Generator Demo Panel"</f>
        <v>Assembly, JM, E057, Motor/Generator Demo Panel</v>
      </c>
      <c r="D55" s="4"/>
      <c r="E55" s="4">
        <v>2</v>
      </c>
      <c r="F55" s="4"/>
      <c r="G55" s="29" t="str">
        <f>IFERROR(HYPERLINK("#"&amp;ADDRESS(MATCH(B55&amp;"ES",'LM7 Non-ENG'!$A$1:$A$5000,0),1,,,"LM7 Non-ENG"),IF(IFERROR(VLOOKUP(B55&amp;"ES",'LM7 Non-ENG'!$A$1:$A$4999,1,FALSE),"ERROR")=B55&amp;"ES","Y","")),"")</f>
        <v/>
      </c>
      <c r="H55" s="29" t="str">
        <f>IFERROR(HYPERLINK("#"&amp;ADDRESS(MATCH(B55&amp;"PT",'LM7 Non-ENG'!$A$1:$A$5000,0),1,,,"LM7 Non-ENG"),IF(IFERROR(VLOOKUP(B55&amp;"PT",'LM7 Non-ENG'!$A$1:$A$5000,1,FALSE),"ERROR")=B55&amp;"PT","Y","")),"")</f>
        <v/>
      </c>
      <c r="I55" t="str">
        <f>IFERROR(VLOOKUP(B55,PN!$A:$C,3,FALSE),"")</f>
        <v>Active</v>
      </c>
      <c r="J55" s="3">
        <f>IFERROR(E55*VLOOKUP(B55,PLInter!$A:$D,3,FALSE),"")</f>
        <v>1700</v>
      </c>
      <c r="K55" s="66"/>
      <c r="L55" s="66"/>
      <c r="M55" s="66"/>
      <c r="N55" s="66"/>
      <c r="O55" s="66"/>
      <c r="P55" s="66"/>
      <c r="Q55" s="66"/>
      <c r="R55" s="66"/>
      <c r="S55" s="66"/>
      <c r="T55" s="66"/>
    </row>
    <row r="56" spans="1:20" ht="18" customHeight="1">
      <c r="B56" t="str">
        <f>"26-E150-0000"</f>
        <v>26-E150-0000</v>
      </c>
      <c r="C56" t="str">
        <f>"Assembly, JM, E150, Relay/Contactor Panel"</f>
        <v>Assembly, JM, E150, Relay/Contactor Panel</v>
      </c>
      <c r="D56" s="4"/>
      <c r="E56" s="4">
        <v>2</v>
      </c>
      <c r="F56" s="4"/>
      <c r="G56" s="29" t="str">
        <f>IFERROR(HYPERLINK("#"&amp;ADDRESS(MATCH(B56&amp;"ES",'LM7 Non-ENG'!$A$1:$A$5000,0),1,,,"LM7 Non-ENG"),IF(IFERROR(VLOOKUP(B56&amp;"ES",'LM7 Non-ENG'!$A$1:$A$4999,1,FALSE),"ERROR")=B56&amp;"ES","Y","")),"")</f>
        <v/>
      </c>
      <c r="H56" s="29" t="str">
        <f>IFERROR(HYPERLINK("#"&amp;ADDRESS(MATCH(B56&amp;"PT",'LM7 Non-ENG'!$A$1:$A$5000,0),1,,,"LM7 Non-ENG"),IF(IFERROR(VLOOKUP(B56&amp;"PT",'LM7 Non-ENG'!$A$1:$A$5000,1,FALSE),"ERROR")=B56&amp;"PT","Y","")),"")</f>
        <v/>
      </c>
      <c r="I56" t="str">
        <f>IFERROR(VLOOKUP(B56,PN!$A:$C,3,FALSE),"")</f>
        <v>Active</v>
      </c>
      <c r="J56" s="3">
        <f>IFERROR(E56*VLOOKUP(B56,PLInter!$A:$D,3,FALSE),"")</f>
        <v>1700</v>
      </c>
      <c r="K56" s="66"/>
      <c r="L56" s="66"/>
      <c r="M56" s="66"/>
      <c r="N56" s="66"/>
      <c r="O56" s="66"/>
      <c r="P56" s="66"/>
      <c r="Q56" s="66"/>
      <c r="R56" s="66"/>
      <c r="S56" s="66"/>
      <c r="T56" s="66"/>
    </row>
    <row r="57" spans="1:20" ht="18" customHeight="1">
      <c r="B57" s="1" t="str">
        <f>"36-EA01C-IG01"</f>
        <v>36-EA01C-IG01</v>
      </c>
      <c r="C57" s="1" t="str">
        <f>"JM, PDF on CD LCR Circuits - EA01C"</f>
        <v>JM, PDF on CD LCR Circuits - EA01C</v>
      </c>
      <c r="D57" s="6" t="s">
        <v>0</v>
      </c>
      <c r="E57" s="6">
        <v>1</v>
      </c>
      <c r="F57" s="6"/>
      <c r="G57" s="29" t="str">
        <f>IFERROR(HYPERLINK("#"&amp;ADDRESS(MATCH(B57&amp;"ES",'LM7 Non-ENG'!$A$1:$A$5000,0),1,,,"LM7 Non-ENG"),IF(IFERROR(VLOOKUP(B57&amp;"ES",'LM7 Non-ENG'!$A$1:$A$4999,1,FALSE),"ERROR")=B57&amp;"ES","Y","")),"")</f>
        <v/>
      </c>
      <c r="H57" s="29" t="str">
        <f>IFERROR(HYPERLINK("#"&amp;ADDRESS(MATCH(B57&amp;"PT",'LM7 Non-ENG'!$A$1:$A$5000,0),1,,,"LM7 Non-ENG"),IF(IFERROR(VLOOKUP(B57&amp;"PT",'LM7 Non-ENG'!$A$1:$A$5000,1,FALSE),"ERROR")=B57&amp;"PT","Y","")),"")</f>
        <v/>
      </c>
      <c r="I57" t="str">
        <f>IFERROR(VLOOKUP(B57,PN!$A:$C,3,FALSE),"")</f>
        <v>Active</v>
      </c>
      <c r="J57" s="3" t="str">
        <f>IFERROR(E57*VLOOKUP(B57,PLInter!$A:$D,3,FALSE),"")</f>
        <v/>
      </c>
      <c r="K57" s="66"/>
      <c r="L57" s="66"/>
      <c r="M57" s="66"/>
      <c r="N57" s="66"/>
      <c r="O57" s="66"/>
      <c r="P57" s="66"/>
      <c r="Q57" s="66"/>
      <c r="R57" s="66"/>
      <c r="S57" s="66"/>
      <c r="T57" s="66"/>
    </row>
    <row r="58" spans="1:20" ht="18" customHeight="1">
      <c r="B58" t="str">
        <f>"77-EA01D-0000"</f>
        <v>77-EA01D-0000</v>
      </c>
      <c r="C58" t="str">
        <f>"LM7 Content, JM, Motors &amp; Generators"</f>
        <v>LM7 Content, JM, Motors &amp; Generators</v>
      </c>
      <c r="D58" s="4"/>
      <c r="E58" s="4">
        <v>1</v>
      </c>
      <c r="F58" s="4"/>
      <c r="G58" s="29" t="str">
        <f>IFERROR(HYPERLINK("#"&amp;ADDRESS(MATCH(B58&amp;"ES",'LM7 Non-ENG'!$A$1:$A$5000,0),1,,,"LM7 Non-ENG"),IF(IFERROR(VLOOKUP(B58&amp;"ES",'LM7 Non-ENG'!$A$1:$A$4999,1,FALSE),"ERROR")=B58&amp;"ES","Y","")),"")</f>
        <v>Y</v>
      </c>
      <c r="H58" s="29" t="str">
        <f>IFERROR(HYPERLINK("#"&amp;ADDRESS(MATCH(B58&amp;"PT",'LM7 Non-ENG'!$A$1:$A$5000,0),1,,,"LM7 Non-ENG"),IF(IFERROR(VLOOKUP(B58&amp;"PT",'LM7 Non-ENG'!$A$1:$A$5000,1,FALSE),"ERROR")=B58&amp;"PT","Y","")),"")</f>
        <v>Y</v>
      </c>
      <c r="I58" t="str">
        <f>IFERROR(VLOOKUP(B58,PN!$A:$C,3,FALSE),"")</f>
        <v>Active</v>
      </c>
      <c r="J58" s="3">
        <f>IFERROR(E58*VLOOKUP(B58,PLInter!$A:$D,3,FALSE),"")</f>
        <v>1295</v>
      </c>
      <c r="K58" s="66"/>
      <c r="L58" s="66"/>
      <c r="M58" s="66"/>
      <c r="N58" s="66"/>
      <c r="O58" s="66"/>
      <c r="P58" s="66"/>
      <c r="Q58" s="66"/>
      <c r="R58" s="66"/>
      <c r="S58" s="66"/>
      <c r="T58" s="66"/>
    </row>
    <row r="59" spans="1:20" ht="18" customHeight="1">
      <c r="B59" s="2" t="str">
        <f>"17-EA01D-0000"</f>
        <v>17-EA01D-0000</v>
      </c>
      <c r="C59" s="2" t="str">
        <f>"LM5.X Content, JM, Motors &amp; Generators"</f>
        <v>LM5.X Content, JM, Motors &amp; Generators</v>
      </c>
      <c r="D59" s="5"/>
      <c r="E59" s="5">
        <v>1</v>
      </c>
      <c r="F59" s="5" t="str">
        <f>"Y"</f>
        <v>Y</v>
      </c>
      <c r="G59" s="29" t="str">
        <f>IFERROR(HYPERLINK("#"&amp;ADDRESS(MATCH(B59&amp;"ES",'LM7 Non-ENG'!$A$1:$A$5000,0),1,,,"LM7 Non-ENG"),IF(IFERROR(VLOOKUP(B59&amp;"ES",'LM7 Non-ENG'!$A$1:$A$4999,1,FALSE),"ERROR")=B59&amp;"ES","Y","")),"")</f>
        <v/>
      </c>
      <c r="H59" s="29" t="str">
        <f>IFERROR(HYPERLINK("#"&amp;ADDRESS(MATCH(B59&amp;"PT",'LM7 Non-ENG'!$A$1:$A$5000,0),1,,,"LM7 Non-ENG"),IF(IFERROR(VLOOKUP(B59&amp;"PT",'LM7 Non-ENG'!$A$1:$A$5000,1,FALSE),"ERROR")=B59&amp;"PT","Y","")),"")</f>
        <v/>
      </c>
      <c r="I59" t="str">
        <f>IFERROR(VLOOKUP(B59,PN!$A:$C,3,FALSE),"")</f>
        <v>Active</v>
      </c>
      <c r="J59" s="3">
        <f>IFERROR(E59*VLOOKUP(B59,PLInter!$A:$D,3,FALSE),"")</f>
        <v>700</v>
      </c>
      <c r="K59" s="66"/>
      <c r="L59" s="66"/>
      <c r="M59" s="66"/>
      <c r="N59" s="66"/>
      <c r="O59" s="66"/>
      <c r="P59" s="66"/>
      <c r="Q59" s="66"/>
      <c r="R59" s="66"/>
      <c r="S59" s="66"/>
      <c r="T59" s="66"/>
    </row>
    <row r="60" spans="1:20" ht="18" customHeight="1">
      <c r="B60" s="1" t="str">
        <f>"36-EA01D-IG01"</f>
        <v>36-EA01D-IG01</v>
      </c>
      <c r="C60" s="1" t="str">
        <f>"JM, PDF on CD Motors and Generators - EA01D"</f>
        <v>JM, PDF on CD Motors and Generators - EA01D</v>
      </c>
      <c r="D60" s="6" t="s">
        <v>0</v>
      </c>
      <c r="E60" s="6">
        <v>1</v>
      </c>
      <c r="F60" s="6"/>
      <c r="G60" s="29" t="str">
        <f>IFERROR(HYPERLINK("#"&amp;ADDRESS(MATCH(B60&amp;"ES",'LM7 Non-ENG'!$A$1:$A$5000,0),1,,,"LM7 Non-ENG"),IF(IFERROR(VLOOKUP(B60&amp;"ES",'LM7 Non-ENG'!$A$1:$A$4999,1,FALSE),"ERROR")=B60&amp;"ES","Y","")),"")</f>
        <v/>
      </c>
      <c r="H60" s="29" t="str">
        <f>IFERROR(HYPERLINK("#"&amp;ADDRESS(MATCH(B60&amp;"PT",'LM7 Non-ENG'!$A$1:$A$5000,0),1,,,"LM7 Non-ENG"),IF(IFERROR(VLOOKUP(B60&amp;"PT",'LM7 Non-ENG'!$A$1:$A$5000,1,FALSE),"ERROR")=B60&amp;"PT","Y","")),"")</f>
        <v/>
      </c>
      <c r="I60" t="str">
        <f>IFERROR(VLOOKUP(B60,PN!$A:$C,3,FALSE),"")</f>
        <v>Active</v>
      </c>
      <c r="J60" s="3" t="str">
        <f>IFERROR(E60*VLOOKUP(B60,PLInter!$A:$D,3,FALSE),"")</f>
        <v/>
      </c>
      <c r="K60" s="66"/>
      <c r="L60" s="66"/>
      <c r="M60" s="66"/>
      <c r="N60" s="66"/>
      <c r="O60" s="66"/>
      <c r="P60" s="66"/>
      <c r="Q60" s="66"/>
      <c r="R60" s="66"/>
      <c r="S60" s="66"/>
      <c r="T60" s="66"/>
    </row>
    <row r="61" spans="1:20" ht="18" customHeight="1">
      <c r="G61" s="29" t="str">
        <f>IFERROR(HYPERLINK("#"&amp;ADDRESS(MATCH(B61&amp;"ES",'LM7 Non-ENG'!$A$1:$A$5000,0),1,,,"LM7 Non-ENG"),IF(IFERROR(VLOOKUP(B61&amp;"ES",'LM7 Non-ENG'!$A$1:$A$4999,1,FALSE),"ERROR")=B61&amp;"ES","Y","")),"")</f>
        <v/>
      </c>
      <c r="H61" s="29" t="str">
        <f>IFERROR(HYPERLINK("#"&amp;ADDRESS(MATCH(B61&amp;"PT",'LM7 Non-ENG'!$A$1:$A$5000,0),1,,,"LM7 Non-ENG"),IF(IFERROR(VLOOKUP(B61&amp;"PT",'LM7 Non-ENG'!$A$1:$A$5000,1,FALSE),"ERROR")=B61&amp;"PT","Y","")),"")</f>
        <v/>
      </c>
    </row>
    <row r="62" spans="1:20" s="7" customFormat="1" ht="18" customHeight="1">
      <c r="A62" s="13" t="s">
        <v>30</v>
      </c>
      <c r="B62" s="13"/>
      <c r="C62" s="13" t="s">
        <v>31</v>
      </c>
      <c r="D62" s="14"/>
      <c r="E62" s="14"/>
      <c r="F62" s="14"/>
      <c r="G62" s="14"/>
      <c r="H62" s="14"/>
      <c r="I62" s="14"/>
      <c r="J62" s="14">
        <f>SUMIFS(J63:J81,D63:D81,"&lt;&gt;Y",F63:F81,"&lt;&gt;Y",I63:I81,"&lt;&gt;Inactive",I63:I81,"&lt;&gt;ECO+NFS")</f>
        <v>26113</v>
      </c>
      <c r="K62" s="14"/>
      <c r="L62" s="14"/>
      <c r="M62" s="14"/>
      <c r="N62" s="14"/>
      <c r="O62" s="14"/>
      <c r="P62" s="14"/>
      <c r="Q62" s="14"/>
      <c r="R62" s="14"/>
      <c r="S62" s="14"/>
      <c r="T62" s="14"/>
    </row>
    <row r="63" spans="1:20" ht="18" customHeight="1">
      <c r="A63" s="17" t="str">
        <f>HYPERLINK("#"&amp;ADDRESS(MATCH(A62,Jobmaster!$A$1:$A$4996,0),1,,,"Jobmaster"),"Back to Price List")</f>
        <v>Back to Price List</v>
      </c>
      <c r="B63" t="str">
        <f>"10-LS00-0200"</f>
        <v>10-LS00-0200</v>
      </c>
      <c r="C63" t="str">
        <f>"LS200:Jobmaster 2-Sided Mobile Learning Station"</f>
        <v>LS200:Jobmaster 2-Sided Mobile Learning Station</v>
      </c>
      <c r="D63" s="4"/>
      <c r="E63" s="4">
        <v>1</v>
      </c>
      <c r="F63" s="4"/>
      <c r="G63" s="29" t="str">
        <f>IFERROR(HYPERLINK("#"&amp;ADDRESS(MATCH(B63&amp;"ES",'LM7 Non-ENG'!$A$1:$A$5000,0),1,,,"LM7 Non-ENG"),IF(IFERROR(VLOOKUP(B63&amp;"ES",'LM7 Non-ENG'!$A$1:$A$4999,1,FALSE),"ERROR")=B63&amp;"ES","Y","")),"")</f>
        <v/>
      </c>
      <c r="H63" s="29" t="str">
        <f>IFERROR(HYPERLINK("#"&amp;ADDRESS(MATCH(B63&amp;"PT",'LM7 Non-ENG'!$A$1:$A$5000,0),1,,,"LM7 Non-ENG"),IF(IFERROR(VLOOKUP(B63&amp;"PT",'LM7 Non-ENG'!$A$1:$A$5000,1,FALSE),"ERROR")=B63&amp;"PT","Y","")),"")</f>
        <v/>
      </c>
      <c r="I63" t="str">
        <f>IFERROR(VLOOKUP(B63,PN!$A:$C,3,FALSE),"")</f>
        <v>Active</v>
      </c>
      <c r="J63" s="3">
        <f>IFERROR(E63*VLOOKUP(B63,PLInter!$A:$D,3,FALSE),"")</f>
        <v>5500</v>
      </c>
      <c r="K63" s="68" t="s">
        <v>32</v>
      </c>
      <c r="L63" s="66"/>
      <c r="M63" s="66"/>
      <c r="N63" s="66"/>
      <c r="O63" s="66"/>
      <c r="P63" s="66"/>
      <c r="Q63" s="66"/>
      <c r="R63" s="66"/>
      <c r="S63" s="66"/>
      <c r="T63" s="66"/>
    </row>
    <row r="64" spans="1:20" ht="18" customHeight="1">
      <c r="B64" t="str">
        <f>"10-PC04-0000"</f>
        <v>10-PC04-0000</v>
      </c>
      <c r="C64" t="str">
        <f>"JM, Panel PC04, 120VAC Power Control"</f>
        <v>JM, Panel PC04, 120VAC Power Control</v>
      </c>
      <c r="D64" s="4"/>
      <c r="E64" s="4">
        <v>2</v>
      </c>
      <c r="F64" s="4"/>
      <c r="G64" s="29" t="str">
        <f>IFERROR(HYPERLINK("#"&amp;ADDRESS(MATCH(B64&amp;"ES",'LM7 Non-ENG'!$A$1:$A$5000,0),1,,,"LM7 Non-ENG"),IF(IFERROR(VLOOKUP(B64&amp;"ES",'LM7 Non-ENG'!$A$1:$A$4999,1,FALSE),"ERROR")=B64&amp;"ES","Y","")),"")</f>
        <v/>
      </c>
      <c r="H64" s="29" t="str">
        <f>IFERROR(HYPERLINK("#"&amp;ADDRESS(MATCH(B64&amp;"PT",'LM7 Non-ENG'!$A$1:$A$5000,0),1,,,"LM7 Non-ENG"),IF(IFERROR(VLOOKUP(B64&amp;"PT",'LM7 Non-ENG'!$A$1:$A$5000,1,FALSE),"ERROR")=B64&amp;"PT","Y","")),"")</f>
        <v/>
      </c>
      <c r="I64" t="str">
        <f>IFERROR(VLOOKUP(B64,PN!$A:$C,3,FALSE),"")</f>
        <v>Active</v>
      </c>
      <c r="J64" s="3">
        <f>IFERROR(E64*VLOOKUP(B64,PLInter!$A:$D,3,FALSE),"")</f>
        <v>2400</v>
      </c>
      <c r="K64" s="66"/>
      <c r="L64" s="66"/>
      <c r="M64" s="66"/>
      <c r="N64" s="66"/>
      <c r="O64" s="66"/>
      <c r="P64" s="66"/>
      <c r="Q64" s="66"/>
      <c r="R64" s="66"/>
      <c r="S64" s="66"/>
      <c r="T64" s="66"/>
    </row>
    <row r="65" spans="2:20" ht="18" customHeight="1">
      <c r="B65" t="str">
        <f>"77-EA01A-0000"</f>
        <v>77-EA01A-0000</v>
      </c>
      <c r="C65" t="str">
        <f>"LM7 Content, JM, Electrical Circuits"</f>
        <v>LM7 Content, JM, Electrical Circuits</v>
      </c>
      <c r="D65" s="4"/>
      <c r="E65" s="4">
        <v>1</v>
      </c>
      <c r="F65" s="4"/>
      <c r="G65" s="29" t="str">
        <f>IFERROR(HYPERLINK("#"&amp;ADDRESS(MATCH(B65&amp;"ES",'LM7 Non-ENG'!$A$1:$A$5000,0),1,,,"LM7 Non-ENG"),IF(IFERROR(VLOOKUP(B65&amp;"ES",'LM7 Non-ENG'!$A$1:$A$4999,1,FALSE),"ERROR")=B65&amp;"ES","Y","")),"")</f>
        <v>Y</v>
      </c>
      <c r="H65" s="29" t="str">
        <f>IFERROR(HYPERLINK("#"&amp;ADDRESS(MATCH(B65&amp;"PT",'LM7 Non-ENG'!$A$1:$A$5000,0),1,,,"LM7 Non-ENG"),IF(IFERROR(VLOOKUP(B65&amp;"PT",'LM7 Non-ENG'!$A$1:$A$5000,1,FALSE),"ERROR")=B65&amp;"PT","Y","")),"")</f>
        <v>Y</v>
      </c>
      <c r="I65" t="str">
        <f>IFERROR(VLOOKUP(B65,PN!$A:$C,3,FALSE),"")</f>
        <v>Active</v>
      </c>
      <c r="J65" s="3">
        <f>IFERROR(E65*VLOOKUP(B65,PLInter!$A:$D,3,FALSE),"")</f>
        <v>700</v>
      </c>
      <c r="K65" s="66"/>
      <c r="L65" s="66"/>
      <c r="M65" s="66"/>
      <c r="N65" s="66"/>
      <c r="O65" s="66"/>
      <c r="P65" s="66"/>
      <c r="Q65" s="66"/>
      <c r="R65" s="66"/>
      <c r="S65" s="66"/>
      <c r="T65" s="66"/>
    </row>
    <row r="66" spans="2:20" ht="18" customHeight="1">
      <c r="B66" t="str">
        <f>"26-E040-0000"</f>
        <v>26-E040-0000</v>
      </c>
      <c r="C66" t="str">
        <f>"Assembly, JM, E040, Switches, Lamp, and Buzzer"</f>
        <v>Assembly, JM, E040, Switches, Lamp, and Buzzer</v>
      </c>
      <c r="D66" s="4"/>
      <c r="E66" s="4">
        <v>2</v>
      </c>
      <c r="F66" s="4"/>
      <c r="G66" s="29" t="str">
        <f>IFERROR(HYPERLINK("#"&amp;ADDRESS(MATCH(B66&amp;"ES",'LM7 Non-ENG'!$A$1:$A$5000,0),1,,,"LM7 Non-ENG"),IF(IFERROR(VLOOKUP(B66&amp;"ES",'LM7 Non-ENG'!$A$1:$A$4999,1,FALSE),"ERROR")=B66&amp;"ES","Y","")),"")</f>
        <v/>
      </c>
      <c r="H66" s="29" t="str">
        <f>IFERROR(HYPERLINK("#"&amp;ADDRESS(MATCH(B66&amp;"PT",'LM7 Non-ENG'!$A$1:$A$5000,0),1,,,"LM7 Non-ENG"),IF(IFERROR(VLOOKUP(B66&amp;"PT",'LM7 Non-ENG'!$A$1:$A$5000,1,FALSE),"ERROR")=B66&amp;"PT","Y","")),"")</f>
        <v/>
      </c>
      <c r="I66" t="str">
        <f>IFERROR(VLOOKUP(B66,PN!$A:$C,3,FALSE),"")</f>
        <v>Active</v>
      </c>
      <c r="J66" s="3">
        <f>IFERROR(E66*VLOOKUP(B66,PLInter!$A:$D,3,FALSE),"")</f>
        <v>1334</v>
      </c>
      <c r="K66" s="66"/>
      <c r="L66" s="66"/>
      <c r="M66" s="66"/>
      <c r="N66" s="66"/>
      <c r="O66" s="66"/>
      <c r="P66" s="66"/>
      <c r="Q66" s="66"/>
      <c r="R66" s="66"/>
      <c r="S66" s="66"/>
      <c r="T66" s="66"/>
    </row>
    <row r="67" spans="2:20" ht="18" customHeight="1">
      <c r="B67" t="str">
        <f>"26-E045-0000"</f>
        <v>26-E045-0000</v>
      </c>
      <c r="C67" t="str">
        <f>"Assembly, JM, E045, Sources of Electricity"</f>
        <v>Assembly, JM, E045, Sources of Electricity</v>
      </c>
      <c r="D67" s="4"/>
      <c r="E67" s="4">
        <v>2</v>
      </c>
      <c r="F67" s="4"/>
      <c r="G67" s="29" t="str">
        <f>IFERROR(HYPERLINK("#"&amp;ADDRESS(MATCH(B67&amp;"ES",'LM7 Non-ENG'!$A$1:$A$5000,0),1,,,"LM7 Non-ENG"),IF(IFERROR(VLOOKUP(B67&amp;"ES",'LM7 Non-ENG'!$A$1:$A$4999,1,FALSE),"ERROR")=B67&amp;"ES","Y","")),"")</f>
        <v/>
      </c>
      <c r="H67" s="29" t="str">
        <f>IFERROR(HYPERLINK("#"&amp;ADDRESS(MATCH(B67&amp;"PT",'LM7 Non-ENG'!$A$1:$A$5000,0),1,,,"LM7 Non-ENG"),IF(IFERROR(VLOOKUP(B67&amp;"PT",'LM7 Non-ENG'!$A$1:$A$5000,1,FALSE),"ERROR")=B67&amp;"PT","Y","")),"")</f>
        <v/>
      </c>
      <c r="I67" t="str">
        <f>IFERROR(VLOOKUP(B67,PN!$A:$C,3,FALSE),"")</f>
        <v>Active</v>
      </c>
      <c r="J67" s="3">
        <f>IFERROR(E67*VLOOKUP(B67,PLInter!$A:$D,3,FALSE),"")</f>
        <v>950</v>
      </c>
      <c r="K67" s="66"/>
      <c r="L67" s="66"/>
      <c r="M67" s="66"/>
      <c r="N67" s="66"/>
      <c r="O67" s="66"/>
      <c r="P67" s="66"/>
      <c r="Q67" s="66"/>
      <c r="R67" s="66"/>
      <c r="S67" s="66"/>
      <c r="T67" s="66"/>
    </row>
    <row r="68" spans="2:20" ht="18" customHeight="1">
      <c r="B68" t="str">
        <f>"26-E047-0000"</f>
        <v>26-E047-0000</v>
      </c>
      <c r="C68" t="str">
        <f>"Assembly, JM, E047, Heat/Light Source"</f>
        <v>Assembly, JM, E047, Heat/Light Source</v>
      </c>
      <c r="D68" s="4"/>
      <c r="E68" s="4">
        <v>2</v>
      </c>
      <c r="F68" s="4"/>
      <c r="G68" s="29" t="str">
        <f>IFERROR(HYPERLINK("#"&amp;ADDRESS(MATCH(B68&amp;"ES",'LM7 Non-ENG'!$A$1:$A$5000,0),1,,,"LM7 Non-ENG"),IF(IFERROR(VLOOKUP(B68&amp;"ES",'LM7 Non-ENG'!$A$1:$A$4999,1,FALSE),"ERROR")=B68&amp;"ES","Y","")),"")</f>
        <v/>
      </c>
      <c r="H68" s="29" t="str">
        <f>IFERROR(HYPERLINK("#"&amp;ADDRESS(MATCH(B68&amp;"PT",'LM7 Non-ENG'!$A$1:$A$5000,0),1,,,"LM7 Non-ENG"),IF(IFERROR(VLOOKUP(B68&amp;"PT",'LM7 Non-ENG'!$A$1:$A$5000,1,FALSE),"ERROR")=B68&amp;"PT","Y","")),"")</f>
        <v/>
      </c>
      <c r="I68" t="str">
        <f>IFERROR(VLOOKUP(B68,PN!$A:$C,3,FALSE),"")</f>
        <v>Active</v>
      </c>
      <c r="J68" s="3">
        <f>IFERROR(E68*VLOOKUP(B68,PLInter!$A:$D,3,FALSE),"")</f>
        <v>750</v>
      </c>
      <c r="K68" s="66"/>
      <c r="L68" s="66"/>
      <c r="M68" s="66"/>
      <c r="N68" s="66"/>
      <c r="O68" s="66"/>
      <c r="P68" s="66"/>
      <c r="Q68" s="66"/>
      <c r="R68" s="66"/>
      <c r="S68" s="66"/>
      <c r="T68" s="66"/>
    </row>
    <row r="69" spans="2:20" ht="18" customHeight="1">
      <c r="B69" t="str">
        <f>"26-E151-0000"</f>
        <v>26-E151-0000</v>
      </c>
      <c r="C69" t="str">
        <f>"Assembly, JM, E151,Series/Parallel Lamps Panel"</f>
        <v>Assembly, JM, E151,Series/Parallel Lamps Panel</v>
      </c>
      <c r="D69" s="4"/>
      <c r="E69" s="4">
        <v>2</v>
      </c>
      <c r="F69" s="4"/>
      <c r="G69" s="29" t="str">
        <f>IFERROR(HYPERLINK("#"&amp;ADDRESS(MATCH(B69&amp;"ES",'LM7 Non-ENG'!$A$1:$A$5000,0),1,,,"LM7 Non-ENG"),IF(IFERROR(VLOOKUP(B69&amp;"ES",'LM7 Non-ENG'!$A$1:$A$4999,1,FALSE),"ERROR")=B69&amp;"ES","Y","")),"")</f>
        <v/>
      </c>
      <c r="H69" s="29" t="str">
        <f>IFERROR(HYPERLINK("#"&amp;ADDRESS(MATCH(B69&amp;"PT",'LM7 Non-ENG'!$A$1:$A$5000,0),1,,,"LM7 Non-ENG"),IF(IFERROR(VLOOKUP(B69&amp;"PT",'LM7 Non-ENG'!$A$1:$A$5000,1,FALSE),"ERROR")=B69&amp;"PT","Y","")),"")</f>
        <v/>
      </c>
      <c r="I69" t="str">
        <f>IFERROR(VLOOKUP(B69,PN!$A:$C,3,FALSE),"")</f>
        <v>Active</v>
      </c>
      <c r="J69" s="3">
        <f>IFERROR(E69*VLOOKUP(B69,PLInter!$A:$D,3,FALSE),"")</f>
        <v>1000</v>
      </c>
      <c r="K69" s="66"/>
      <c r="L69" s="66"/>
      <c r="M69" s="66"/>
      <c r="N69" s="66"/>
      <c r="O69" s="66"/>
      <c r="P69" s="66"/>
      <c r="Q69" s="66"/>
      <c r="R69" s="66"/>
      <c r="S69" s="66"/>
      <c r="T69" s="66"/>
    </row>
    <row r="70" spans="2:20" ht="18" customHeight="1">
      <c r="B70" t="str">
        <f>"26-E152-0000"</f>
        <v>26-E152-0000</v>
      </c>
      <c r="C70" t="str">
        <f>"Assembly, JM, E152, Transformer/Adjustable Power"</f>
        <v>Assembly, JM, E152, Transformer/Adjustable Power</v>
      </c>
      <c r="D70" s="4"/>
      <c r="E70" s="4">
        <v>2</v>
      </c>
      <c r="F70" s="4"/>
      <c r="G70" s="29" t="str">
        <f>IFERROR(HYPERLINK("#"&amp;ADDRESS(MATCH(B70&amp;"ES",'LM7 Non-ENG'!$A$1:$A$5000,0),1,,,"LM7 Non-ENG"),IF(IFERROR(VLOOKUP(B70&amp;"ES",'LM7 Non-ENG'!$A$1:$A$4999,1,FALSE),"ERROR")=B70&amp;"ES","Y","")),"")</f>
        <v/>
      </c>
      <c r="H70" s="29" t="str">
        <f>IFERROR(HYPERLINK("#"&amp;ADDRESS(MATCH(B70&amp;"PT",'LM7 Non-ENG'!$A$1:$A$5000,0),1,,,"LM7 Non-ENG"),IF(IFERROR(VLOOKUP(B70&amp;"PT",'LM7 Non-ENG'!$A$1:$A$5000,1,FALSE),"ERROR")=B70&amp;"PT","Y","")),"")</f>
        <v/>
      </c>
      <c r="I70" t="str">
        <f>IFERROR(VLOOKUP(B70,PN!$A:$C,3,FALSE),"")</f>
        <v>Active</v>
      </c>
      <c r="J70" s="3">
        <f>IFERROR(E70*VLOOKUP(B70,PLInter!$A:$D,3,FALSE),"")</f>
        <v>1600</v>
      </c>
      <c r="K70" s="66"/>
      <c r="L70" s="66"/>
      <c r="M70" s="66"/>
      <c r="N70" s="66"/>
      <c r="O70" s="66"/>
      <c r="P70" s="66"/>
      <c r="Q70" s="66"/>
      <c r="R70" s="66"/>
      <c r="S70" s="66"/>
      <c r="T70" s="66"/>
    </row>
    <row r="71" spans="2:20" ht="18" customHeight="1">
      <c r="B71" t="str">
        <f>"36-8900-0007"</f>
        <v>36-8900-0007</v>
      </c>
      <c r="C71" t="str">
        <f>"JM, Digital Multimeter, Fluke-115"</f>
        <v>JM, Digital Multimeter, Fluke-115</v>
      </c>
      <c r="D71" s="4"/>
      <c r="E71" s="4">
        <v>2</v>
      </c>
      <c r="F71" s="4"/>
      <c r="G71" s="29" t="str">
        <f>IFERROR(HYPERLINK("#"&amp;ADDRESS(MATCH(B71&amp;"ES",'LM7 Non-ENG'!$A$1:$A$5000,0),1,,,"LM7 Non-ENG"),IF(IFERROR(VLOOKUP(B71&amp;"ES",'LM7 Non-ENG'!$A$1:$A$4999,1,FALSE),"ERROR")=B71&amp;"ES","Y","")),"")</f>
        <v/>
      </c>
      <c r="H71" s="29" t="str">
        <f>IFERROR(HYPERLINK("#"&amp;ADDRESS(MATCH(B71&amp;"PT",'LM7 Non-ENG'!$A$1:$A$5000,0),1,,,"LM7 Non-ENG"),IF(IFERROR(VLOOKUP(B71&amp;"PT",'LM7 Non-ENG'!$A$1:$A$5000,1,FALSE),"ERROR")=B71&amp;"PT","Y","")),"")</f>
        <v/>
      </c>
      <c r="I71" t="str">
        <f>IFERROR(VLOOKUP(B71,PN!$A:$C,3,FALSE),"")</f>
        <v>Active</v>
      </c>
      <c r="J71" s="3">
        <f>IFERROR(E71*VLOOKUP(B71,PLInter!$A:$D,3,FALSE),"")</f>
        <v>1150</v>
      </c>
      <c r="K71" s="66"/>
      <c r="L71" s="66"/>
      <c r="M71" s="66"/>
      <c r="N71" s="66"/>
      <c r="O71" s="66"/>
      <c r="P71" s="66"/>
      <c r="Q71" s="66"/>
      <c r="R71" s="66"/>
      <c r="S71" s="66"/>
      <c r="T71" s="66"/>
    </row>
    <row r="72" spans="2:20" ht="18" customHeight="1">
      <c r="B72" t="str">
        <f>"77-EA01B-0000"</f>
        <v>77-EA01B-0000</v>
      </c>
      <c r="C72" t="str">
        <f>"LM7 Content, JM, Resistors &amp; Conductors"</f>
        <v>LM7 Content, JM, Resistors &amp; Conductors</v>
      </c>
      <c r="D72" s="4"/>
      <c r="E72" s="4">
        <v>1</v>
      </c>
      <c r="F72" s="4"/>
      <c r="G72" s="29" t="str">
        <f>IFERROR(HYPERLINK("#"&amp;ADDRESS(MATCH(B72&amp;"ES",'LM7 Non-ENG'!$A$1:$A$5000,0),1,,,"LM7 Non-ENG"),IF(IFERROR(VLOOKUP(B72&amp;"ES",'LM7 Non-ENG'!$A$1:$A$4999,1,FALSE),"ERROR")=B72&amp;"ES","Y","")),"")</f>
        <v>Y</v>
      </c>
      <c r="H72" s="29" t="str">
        <f>IFERROR(HYPERLINK("#"&amp;ADDRESS(MATCH(B72&amp;"PT",'LM7 Non-ENG'!$A$1:$A$5000,0),1,,,"LM7 Non-ENG"),IF(IFERROR(VLOOKUP(B72&amp;"PT",'LM7 Non-ENG'!$A$1:$A$5000,1,FALSE),"ERROR")=B72&amp;"PT","Y","")),"")</f>
        <v>Y</v>
      </c>
      <c r="I72" t="str">
        <f>IFERROR(VLOOKUP(B72,PN!$A:$C,3,FALSE),"")</f>
        <v>Active</v>
      </c>
      <c r="J72" s="3">
        <f>IFERROR(E72*VLOOKUP(B72,PLInter!$A:$D,3,FALSE),"")</f>
        <v>700</v>
      </c>
      <c r="K72" s="66"/>
      <c r="L72" s="66"/>
      <c r="M72" s="66"/>
      <c r="N72" s="66"/>
      <c r="O72" s="66"/>
      <c r="P72" s="66"/>
      <c r="Q72" s="66"/>
      <c r="R72" s="66"/>
      <c r="S72" s="66"/>
      <c r="T72" s="66"/>
    </row>
    <row r="73" spans="2:20" ht="18" customHeight="1">
      <c r="B73" t="str">
        <f>"26-E042-0000"</f>
        <v>26-E042-0000</v>
      </c>
      <c r="C73" t="str">
        <f>"Assembly, JM, E042, Resistance Panel"</f>
        <v>Assembly, JM, E042, Resistance Panel</v>
      </c>
      <c r="D73" s="4"/>
      <c r="E73" s="4">
        <v>2</v>
      </c>
      <c r="F73" s="4"/>
      <c r="G73" s="29" t="str">
        <f>IFERROR(HYPERLINK("#"&amp;ADDRESS(MATCH(B73&amp;"ES",'LM7 Non-ENG'!$A$1:$A$5000,0),1,,,"LM7 Non-ENG"),IF(IFERROR(VLOOKUP(B73&amp;"ES",'LM7 Non-ENG'!$A$1:$A$4999,1,FALSE),"ERROR")=B73&amp;"ES","Y","")),"")</f>
        <v/>
      </c>
      <c r="H73" s="29" t="str">
        <f>IFERROR(HYPERLINK("#"&amp;ADDRESS(MATCH(B73&amp;"PT",'LM7 Non-ENG'!$A$1:$A$5000,0),1,,,"LM7 Non-ENG"),IF(IFERROR(VLOOKUP(B73&amp;"PT",'LM7 Non-ENG'!$A$1:$A$5000,1,FALSE),"ERROR")=B73&amp;"PT","Y","")),"")</f>
        <v/>
      </c>
      <c r="I73" t="str">
        <f>IFERROR(VLOOKUP(B73,PN!$A:$C,3,FALSE),"")</f>
        <v>Active</v>
      </c>
      <c r="J73" s="3">
        <f>IFERROR(E73*VLOOKUP(B73,PLInter!$A:$D,3,FALSE),"")</f>
        <v>2000</v>
      </c>
      <c r="K73" s="66"/>
      <c r="L73" s="66"/>
      <c r="M73" s="66"/>
      <c r="N73" s="66"/>
      <c r="O73" s="66"/>
      <c r="P73" s="66"/>
      <c r="Q73" s="66"/>
      <c r="R73" s="66"/>
      <c r="S73" s="66"/>
      <c r="T73" s="66"/>
    </row>
    <row r="74" spans="2:20" ht="18" customHeight="1">
      <c r="B74" t="str">
        <f>"77-EA01C-0000"</f>
        <v>77-EA01C-0000</v>
      </c>
      <c r="C74" t="str">
        <f>"LM7 Content, JM, LCR Circuits"</f>
        <v>LM7 Content, JM, LCR Circuits</v>
      </c>
      <c r="D74" s="4"/>
      <c r="E74" s="4">
        <v>1</v>
      </c>
      <c r="F74" s="4"/>
      <c r="G74" s="29" t="str">
        <f>IFERROR(HYPERLINK("#"&amp;ADDRESS(MATCH(B74&amp;"ES",'LM7 Non-ENG'!$A$1:$A$5000,0),1,,,"LM7 Non-ENG"),IF(IFERROR(VLOOKUP(B74&amp;"ES",'LM7 Non-ENG'!$A$1:$A$4999,1,FALSE),"ERROR")=B74&amp;"ES","Y","")),"")</f>
        <v>Y</v>
      </c>
      <c r="H74" s="29" t="str">
        <f>IFERROR(HYPERLINK("#"&amp;ADDRESS(MATCH(B74&amp;"PT",'LM7 Non-ENG'!$A$1:$A$5000,0),1,,,"LM7 Non-ENG"),IF(IFERROR(VLOOKUP(B74&amp;"PT",'LM7 Non-ENG'!$A$1:$A$5000,1,FALSE),"ERROR")=B74&amp;"PT","Y","")),"")</f>
        <v>Y</v>
      </c>
      <c r="I74" t="str">
        <f>IFERROR(VLOOKUP(B74,PN!$A:$C,3,FALSE),"")</f>
        <v>Active</v>
      </c>
      <c r="J74" s="3">
        <f>IFERROR(E74*VLOOKUP(B74,PLInter!$A:$D,3,FALSE),"")</f>
        <v>700</v>
      </c>
      <c r="K74" s="66"/>
      <c r="L74" s="66"/>
      <c r="M74" s="66"/>
      <c r="N74" s="66"/>
      <c r="O74" s="66"/>
      <c r="P74" s="66"/>
      <c r="Q74" s="66"/>
      <c r="R74" s="66"/>
      <c r="S74" s="66"/>
      <c r="T74" s="66"/>
    </row>
    <row r="75" spans="2:20" ht="18" customHeight="1">
      <c r="B75" s="18" t="str">
        <f>"26-E029-0000"</f>
        <v>26-E029-0000</v>
      </c>
      <c r="C75" s="18" t="str">
        <f>"Assembly, JM, E029, Inductance/Mag Test Panel"</f>
        <v>Assembly, JM, E029, Inductance/Mag Test Panel</v>
      </c>
      <c r="D75" s="16" t="s">
        <v>0</v>
      </c>
      <c r="E75" s="16">
        <v>2</v>
      </c>
      <c r="F75" s="16"/>
      <c r="G75" s="16" t="str">
        <f>IFERROR(HYPERLINK("#"&amp;ADDRESS(MATCH(B75&amp;"ES",'LM7 Non-ENG'!$A$1:$A$5000,0),1,,,"LM7 Non-ENG"),IF(IFERROR(VLOOKUP(B75&amp;"ES",'LM7 Non-ENG'!$A$1:$A$4999,1,FALSE),"ERROR")=B75&amp;"ES","Y","")),"")</f>
        <v/>
      </c>
      <c r="H75" s="16" t="str">
        <f>IFERROR(HYPERLINK("#"&amp;ADDRESS(MATCH(B75&amp;"PT",'LM7 Non-ENG'!$A$1:$A$5000,0),1,,,"LM7 Non-ENG"),IF(IFERROR(VLOOKUP(B75&amp;"PT",'LM7 Non-ENG'!$A$1:$A$5000,1,FALSE),"ERROR")=B75&amp;"PT","Y","")),"")</f>
        <v/>
      </c>
      <c r="I75" t="str">
        <f>IFERROR(VLOOKUP(B75,PN!$A:$C,3,FALSE),"")</f>
        <v>Active</v>
      </c>
      <c r="J75" s="46">
        <f>IFERROR(E75*VLOOKUP(B75,PLInter!$A:$D,3,FALSE),"")</f>
        <v>1334</v>
      </c>
      <c r="K75" s="66"/>
      <c r="L75" s="66"/>
      <c r="M75" s="66"/>
      <c r="N75" s="66"/>
      <c r="O75" s="66"/>
      <c r="P75" s="66"/>
      <c r="Q75" s="66"/>
      <c r="R75" s="66"/>
      <c r="S75" s="66"/>
      <c r="T75" s="66"/>
    </row>
    <row r="76" spans="2:20" ht="18" customHeight="1">
      <c r="B76" s="18" t="str">
        <f>"26-E043-0000"</f>
        <v>26-E043-0000</v>
      </c>
      <c r="C76" s="18" t="str">
        <f>"Assembly, JM, E043, Capacitance Panel"</f>
        <v>Assembly, JM, E043, Capacitance Panel</v>
      </c>
      <c r="D76" s="16" t="s">
        <v>0</v>
      </c>
      <c r="E76" s="16">
        <v>2</v>
      </c>
      <c r="F76" s="16"/>
      <c r="G76" s="16" t="str">
        <f>IFERROR(HYPERLINK("#"&amp;ADDRESS(MATCH(B76&amp;"ES",'LM7 Non-ENG'!$A$1:$A$5000,0),1,,,"LM7 Non-ENG"),IF(IFERROR(VLOOKUP(B76&amp;"ES",'LM7 Non-ENG'!$A$1:$A$4999,1,FALSE),"ERROR")=B76&amp;"ES","Y","")),"")</f>
        <v/>
      </c>
      <c r="H76" s="16" t="str">
        <f>IFERROR(HYPERLINK("#"&amp;ADDRESS(MATCH(B76&amp;"PT",'LM7 Non-ENG'!$A$1:$A$5000,0),1,,,"LM7 Non-ENG"),IF(IFERROR(VLOOKUP(B76&amp;"PT",'LM7 Non-ENG'!$A$1:$A$5000,1,FALSE),"ERROR")=B76&amp;"PT","Y","")),"")</f>
        <v/>
      </c>
      <c r="I76" t="str">
        <f>IFERROR(VLOOKUP(B76,PN!$A:$C,3,FALSE),"")</f>
        <v>Active</v>
      </c>
      <c r="J76" s="46">
        <f>IFERROR(E76*VLOOKUP(B76,PLInter!$A:$D,3,FALSE),"")</f>
        <v>850</v>
      </c>
      <c r="K76" s="66"/>
      <c r="L76" s="66"/>
      <c r="M76" s="66"/>
      <c r="N76" s="66"/>
      <c r="O76" s="66"/>
      <c r="P76" s="66"/>
      <c r="Q76" s="66"/>
      <c r="R76" s="66"/>
      <c r="S76" s="66"/>
      <c r="T76" s="66"/>
    </row>
    <row r="77" spans="2:20" ht="18" customHeight="1">
      <c r="B77" s="18" t="str">
        <f>"26-E044-0000"</f>
        <v>26-E044-0000</v>
      </c>
      <c r="C77" s="18" t="str">
        <f>"Assembly, JM, E044, Inductance/Magnetism Panel"</f>
        <v>Assembly, JM, E044, Inductance/Magnetism Panel</v>
      </c>
      <c r="D77" s="16" t="s">
        <v>0</v>
      </c>
      <c r="E77" s="16">
        <v>2</v>
      </c>
      <c r="F77" s="16"/>
      <c r="G77" s="16" t="str">
        <f>IFERROR(HYPERLINK("#"&amp;ADDRESS(MATCH(B77&amp;"ES",'LM7 Non-ENG'!$A$1:$A$5000,0),1,,,"LM7 Non-ENG"),IF(IFERROR(VLOOKUP(B77&amp;"ES",'LM7 Non-ENG'!$A$1:$A$4999,1,FALSE),"ERROR")=B77&amp;"ES","Y","")),"")</f>
        <v/>
      </c>
      <c r="H77" s="16" t="str">
        <f>IFERROR(HYPERLINK("#"&amp;ADDRESS(MATCH(B77&amp;"PT",'LM7 Non-ENG'!$A$1:$A$5000,0),1,,,"LM7 Non-ENG"),IF(IFERROR(VLOOKUP(B77&amp;"PT",'LM7 Non-ENG'!$A$1:$A$5000,1,FALSE),"ERROR")=B77&amp;"PT","Y","")),"")</f>
        <v/>
      </c>
      <c r="I77" t="str">
        <f>IFERROR(VLOOKUP(B77,PN!$A:$C,3,FALSE),"")</f>
        <v>Active</v>
      </c>
      <c r="J77" s="46">
        <f>IFERROR(E77*VLOOKUP(B77,PLInter!$A:$D,3,FALSE),"")</f>
        <v>1000</v>
      </c>
      <c r="K77" s="66"/>
      <c r="L77" s="66"/>
      <c r="M77" s="66"/>
      <c r="N77" s="66"/>
      <c r="O77" s="66"/>
      <c r="P77" s="66"/>
      <c r="Q77" s="66"/>
      <c r="R77" s="66"/>
      <c r="S77" s="66"/>
      <c r="T77" s="66"/>
    </row>
    <row r="78" spans="2:20" ht="18" customHeight="1">
      <c r="B78" s="18" t="str">
        <f>"26-E057-0000"</f>
        <v>26-E057-0000</v>
      </c>
      <c r="C78" s="18" t="str">
        <f>"Assembly, JM, E057, Motor/Generator Demo Panel"</f>
        <v>Assembly, JM, E057, Motor/Generator Demo Panel</v>
      </c>
      <c r="D78" s="16" t="s">
        <v>0</v>
      </c>
      <c r="E78" s="16">
        <v>2</v>
      </c>
      <c r="F78" s="16"/>
      <c r="G78" s="16" t="str">
        <f>IFERROR(HYPERLINK("#"&amp;ADDRESS(MATCH(B78&amp;"ES",'LM7 Non-ENG'!$A$1:$A$5000,0),1,,,"LM7 Non-ENG"),IF(IFERROR(VLOOKUP(B78&amp;"ES",'LM7 Non-ENG'!$A$1:$A$4999,1,FALSE),"ERROR")=B78&amp;"ES","Y","")),"")</f>
        <v/>
      </c>
      <c r="H78" s="16" t="str">
        <f>IFERROR(HYPERLINK("#"&amp;ADDRESS(MATCH(B78&amp;"PT",'LM7 Non-ENG'!$A$1:$A$5000,0),1,,,"LM7 Non-ENG"),IF(IFERROR(VLOOKUP(B78&amp;"PT",'LM7 Non-ENG'!$A$1:$A$5000,1,FALSE),"ERROR")=B78&amp;"PT","Y","")),"")</f>
        <v/>
      </c>
      <c r="I78" t="str">
        <f>IFERROR(VLOOKUP(B78,PN!$A:$C,3,FALSE),"")</f>
        <v>Active</v>
      </c>
      <c r="J78" s="46">
        <f>IFERROR(E78*VLOOKUP(B78,PLInter!$A:$D,3,FALSE),"")</f>
        <v>1700</v>
      </c>
      <c r="K78" s="66"/>
      <c r="L78" s="66"/>
      <c r="M78" s="66"/>
      <c r="N78" s="66"/>
      <c r="O78" s="66"/>
      <c r="P78" s="66"/>
      <c r="Q78" s="66"/>
      <c r="R78" s="66"/>
      <c r="S78" s="66"/>
      <c r="T78" s="66"/>
    </row>
    <row r="79" spans="2:20" ht="18" customHeight="1">
      <c r="B79" t="str">
        <f>"26-E150-0000"</f>
        <v>26-E150-0000</v>
      </c>
      <c r="C79" t="str">
        <f>"Assembly, JM, E150, Relay/Contactor Panel"</f>
        <v>Assembly, JM, E150, Relay/Contactor Panel</v>
      </c>
      <c r="D79" s="4"/>
      <c r="E79" s="4">
        <v>2</v>
      </c>
      <c r="F79" s="4"/>
      <c r="G79" s="29" t="str">
        <f>IFERROR(HYPERLINK("#"&amp;ADDRESS(MATCH(B79&amp;"ES",'LM7 Non-ENG'!$A$1:$A$5000,0),1,,,"LM7 Non-ENG"),IF(IFERROR(VLOOKUP(B79&amp;"ES",'LM7 Non-ENG'!$A$1:$A$4999,1,FALSE),"ERROR")=B79&amp;"ES","Y","")),"")</f>
        <v/>
      </c>
      <c r="H79" s="29" t="str">
        <f>IFERROR(HYPERLINK("#"&amp;ADDRESS(MATCH(B79&amp;"PT",'LM7 Non-ENG'!$A$1:$A$5000,0),1,,,"LM7 Non-ENG"),IF(IFERROR(VLOOKUP(B79&amp;"PT",'LM7 Non-ENG'!$A$1:$A$5000,1,FALSE),"ERROR")=B79&amp;"PT","Y","")),"")</f>
        <v/>
      </c>
      <c r="I79" t="str">
        <f>IFERROR(VLOOKUP(B79,PN!$A:$C,3,FALSE),"")</f>
        <v>Active</v>
      </c>
      <c r="J79" s="3">
        <f>IFERROR(E79*VLOOKUP(B79,PLInter!$A:$D,3,FALSE),"")</f>
        <v>1700</v>
      </c>
      <c r="K79" s="66"/>
      <c r="L79" s="66"/>
      <c r="M79" s="66"/>
      <c r="N79" s="66"/>
      <c r="O79" s="66"/>
      <c r="P79" s="66"/>
      <c r="Q79" s="66"/>
      <c r="R79" s="66"/>
      <c r="S79" s="66"/>
      <c r="T79" s="66"/>
    </row>
    <row r="80" spans="2:20" ht="18" customHeight="1">
      <c r="B80" t="str">
        <f>"77-EA01D-0000"</f>
        <v>77-EA01D-0000</v>
      </c>
      <c r="C80" t="str">
        <f>"LM7 Content, JM, Motors &amp; Generators"</f>
        <v>LM7 Content, JM, Motors &amp; Generators</v>
      </c>
      <c r="D80" s="4"/>
      <c r="E80" s="4">
        <v>1</v>
      </c>
      <c r="F80" s="4"/>
      <c r="G80" s="29" t="str">
        <f>IFERROR(HYPERLINK("#"&amp;ADDRESS(MATCH(B80&amp;"ES",'LM7 Non-ENG'!$A$1:$A$5000,0),1,,,"LM7 Non-ENG"),IF(IFERROR(VLOOKUP(B80&amp;"ES",'LM7 Non-ENG'!$A$1:$A$4999,1,FALSE),"ERROR")=B80&amp;"ES","Y","")),"")</f>
        <v>Y</v>
      </c>
      <c r="H80" s="29" t="str">
        <f>IFERROR(HYPERLINK("#"&amp;ADDRESS(MATCH(B80&amp;"PT",'LM7 Non-ENG'!$A$1:$A$5000,0),1,,,"LM7 Non-ENG"),IF(IFERROR(VLOOKUP(B80&amp;"PT",'LM7 Non-ENG'!$A$1:$A$5000,1,FALSE),"ERROR")=B80&amp;"PT","Y","")),"")</f>
        <v>Y</v>
      </c>
      <c r="I80" t="str">
        <f>IFERROR(VLOOKUP(B80,PN!$A:$C,3,FALSE),"")</f>
        <v>Active</v>
      </c>
      <c r="J80" s="3">
        <f>IFERROR(E80*VLOOKUP(B80,PLInter!$A:$D,3,FALSE),"")</f>
        <v>1295</v>
      </c>
      <c r="K80" s="66"/>
      <c r="L80" s="66"/>
      <c r="M80" s="66"/>
      <c r="N80" s="66"/>
      <c r="O80" s="66"/>
      <c r="P80" s="66"/>
      <c r="Q80" s="66"/>
      <c r="R80" s="66"/>
      <c r="S80" s="66"/>
      <c r="T80" s="66"/>
    </row>
    <row r="81" spans="1:20" ht="18" customHeight="1">
      <c r="B81" t="str">
        <f>"10-PC09-0000"</f>
        <v>10-PC09-0000</v>
      </c>
      <c r="C81" t="str">
        <f>"JM, PC09, Inter. Transformer Pack, LS200 Bench"</f>
        <v>JM, PC09, Inter. Transformer Pack, LS200 Bench</v>
      </c>
      <c r="D81" s="4"/>
      <c r="E81" s="4">
        <v>1</v>
      </c>
      <c r="F81" s="4"/>
      <c r="G81" s="29" t="str">
        <f>IFERROR(HYPERLINK("#"&amp;ADDRESS(MATCH(B81&amp;"ES",'LM7 Non-ENG'!$A$1:$A$5000,0),1,,,"LM7 Non-ENG"),IF(IFERROR(VLOOKUP(B81&amp;"ES",'LM7 Non-ENG'!$A$1:$A$4999,1,FALSE),"ERROR")=B81&amp;"ES","Y","")),"")</f>
        <v/>
      </c>
      <c r="H81" s="29" t="str">
        <f>IFERROR(HYPERLINK("#"&amp;ADDRESS(MATCH(B81&amp;"PT",'LM7 Non-ENG'!$A$1:$A$5000,0),1,,,"LM7 Non-ENG"),IF(IFERROR(VLOOKUP(B81&amp;"PT",'LM7 Non-ENG'!$A$1:$A$5000,1,FALSE),"ERROR")=B81&amp;"PT","Y","")),"")</f>
        <v/>
      </c>
      <c r="I81" t="str">
        <f>IFERROR(VLOOKUP(B81,PN!$A:$C,3,FALSE),"")</f>
        <v>Active</v>
      </c>
      <c r="J81" s="3">
        <f>IFERROR(E81*VLOOKUP(B81,PLInter!$A:$D,3,FALSE),"")</f>
        <v>4334</v>
      </c>
      <c r="K81" s="66"/>
      <c r="L81" s="66"/>
      <c r="M81" s="66"/>
      <c r="N81" s="66"/>
      <c r="O81" s="66"/>
      <c r="P81" s="66"/>
      <c r="Q81" s="66"/>
      <c r="R81" s="66"/>
      <c r="S81" s="66"/>
      <c r="T81" s="66"/>
    </row>
    <row r="82" spans="1:20" ht="18" customHeight="1">
      <c r="G82" s="29" t="str">
        <f>IFERROR(HYPERLINK("#"&amp;ADDRESS(MATCH(B82&amp;"ES",'LM7 Non-ENG'!$A$1:$A$5000,0),1,,,"LM7 Non-ENG"),IF(IFERROR(VLOOKUP(B82&amp;"ES",'LM7 Non-ENG'!$A$1:$A$4999,1,FALSE),"ERROR")=B82&amp;"ES","Y","")),"")</f>
        <v/>
      </c>
      <c r="H82" s="29" t="str">
        <f>IFERROR(HYPERLINK("#"&amp;ADDRESS(MATCH(B82&amp;"PT",'LM7 Non-ENG'!$A$1:$A$5000,0),1,,,"LM7 Non-ENG"),IF(IFERROR(VLOOKUP(B82&amp;"PT",'LM7 Non-ENG'!$A$1:$A$5000,1,FALSE),"ERROR")=B82&amp;"PT","Y","")),"")</f>
        <v/>
      </c>
    </row>
    <row r="83" spans="1:20" s="7" customFormat="1" ht="18" customHeight="1">
      <c r="A83" s="13" t="s">
        <v>34</v>
      </c>
      <c r="B83" s="13"/>
      <c r="C83" s="13" t="s">
        <v>37</v>
      </c>
      <c r="D83" s="14"/>
      <c r="E83" s="14"/>
      <c r="F83" s="14"/>
      <c r="G83" s="14"/>
      <c r="H83" s="14"/>
      <c r="I83" s="14"/>
      <c r="J83" s="14">
        <f>SUMIFS(J84:J227,D84:D227,"&lt;&gt;Y",F84:F227,"&lt;&gt;Y",I84:I227,"&lt;&gt;Inactive",I84:I227,"&lt;&gt;ECO+NFS")</f>
        <v>147806</v>
      </c>
      <c r="K83" s="14"/>
      <c r="L83" s="14"/>
      <c r="M83" s="14"/>
      <c r="N83" s="14"/>
      <c r="O83" s="14"/>
      <c r="P83" s="14"/>
      <c r="Q83" s="14"/>
      <c r="R83" s="14"/>
      <c r="S83" s="14"/>
      <c r="T83" s="14"/>
    </row>
    <row r="84" spans="1:20" ht="18" customHeight="1">
      <c r="A84" s="17" t="str">
        <f>HYPERLINK("#"&amp;ADDRESS(MATCH(A83,Jobmaster!$A$1:$A$4996,0),1,,,"Jobmaster"),"Back to Price List")</f>
        <v>Back to Price List</v>
      </c>
      <c r="B84" t="str">
        <f>"10-LS00-0200"</f>
        <v>10-LS00-0200</v>
      </c>
      <c r="C84" t="str">
        <f>"LS200:Jobmaster 2-Sided Mobile Learning Station"</f>
        <v>LS200:Jobmaster 2-Sided Mobile Learning Station</v>
      </c>
      <c r="D84" s="4"/>
      <c r="E84" s="4">
        <v>1</v>
      </c>
      <c r="F84" s="4"/>
      <c r="G84" s="29" t="str">
        <f>IFERROR(HYPERLINK("#"&amp;ADDRESS(MATCH(B84&amp;"ES",'LM7 Non-ENG'!$A$1:$A$5000,0),1,,,"LM7 Non-ENG"),IF(IFERROR(VLOOKUP(B84&amp;"ES",'LM7 Non-ENG'!$A$1:$A$4999,1,FALSE),"ERROR")=B84&amp;"ES","Y","")),"")</f>
        <v/>
      </c>
      <c r="H84" s="29" t="str">
        <f>IFERROR(HYPERLINK("#"&amp;ADDRESS(MATCH(B84&amp;"PT",'LM7 Non-ENG'!$A$1:$A$5000,0),1,,,"LM7 Non-ENG"),IF(IFERROR(VLOOKUP(B84&amp;"PT",'LM7 Non-ENG'!$A$1:$A$5000,1,FALSE),"ERROR")=B84&amp;"PT","Y","")),"")</f>
        <v/>
      </c>
      <c r="I84" t="str">
        <f>IFERROR(VLOOKUP(B84,PN!$A:$C,3,FALSE),"")</f>
        <v>Active</v>
      </c>
      <c r="J84" s="3">
        <f>IFERROR(E84*VLOOKUP(B84,PLInter!$A:$D,3,FALSE),"")</f>
        <v>5500</v>
      </c>
      <c r="K84" s="68" t="s">
        <v>35</v>
      </c>
      <c r="L84" s="66"/>
      <c r="M84" s="66"/>
      <c r="N84" s="66"/>
      <c r="O84" s="66"/>
      <c r="P84" s="66"/>
      <c r="Q84" s="66"/>
      <c r="R84" s="66"/>
      <c r="S84" s="66"/>
      <c r="T84" s="66"/>
    </row>
    <row r="85" spans="1:20" ht="18" customHeight="1">
      <c r="B85" t="str">
        <f>"10-PC04-0000"</f>
        <v>10-PC04-0000</v>
      </c>
      <c r="C85" t="str">
        <f>"JM, Panel PC04, 120VAC Power Control"</f>
        <v>JM, Panel PC04, 120VAC Power Control</v>
      </c>
      <c r="D85" s="4"/>
      <c r="E85" s="4">
        <v>2</v>
      </c>
      <c r="F85" s="4"/>
      <c r="G85" s="29" t="str">
        <f>IFERROR(HYPERLINK("#"&amp;ADDRESS(MATCH(B85&amp;"ES",'LM7 Non-ENG'!$A$1:$A$5000,0),1,,,"LM7 Non-ENG"),IF(IFERROR(VLOOKUP(B85&amp;"ES",'LM7 Non-ENG'!$A$1:$A$4999,1,FALSE),"ERROR")=B85&amp;"ES","Y","")),"")</f>
        <v/>
      </c>
      <c r="H85" s="29" t="str">
        <f>IFERROR(HYPERLINK("#"&amp;ADDRESS(MATCH(B85&amp;"PT",'LM7 Non-ENG'!$A$1:$A$5000,0),1,,,"LM7 Non-ENG"),IF(IFERROR(VLOOKUP(B85&amp;"PT",'LM7 Non-ENG'!$A$1:$A$5000,1,FALSE),"ERROR")=B85&amp;"PT","Y","")),"")</f>
        <v/>
      </c>
      <c r="I85" t="str">
        <f>IFERROR(VLOOKUP(B85,PN!$A:$C,3,FALSE),"")</f>
        <v>Active</v>
      </c>
      <c r="J85" s="3">
        <f>IFERROR(E85*VLOOKUP(B85,PLInter!$A:$D,3,FALSE),"")</f>
        <v>2400</v>
      </c>
      <c r="K85" s="66"/>
      <c r="L85" s="66"/>
      <c r="M85" s="66"/>
      <c r="N85" s="66"/>
      <c r="O85" s="66"/>
      <c r="P85" s="66"/>
      <c r="Q85" s="66"/>
      <c r="R85" s="66"/>
      <c r="S85" s="66"/>
      <c r="T85" s="66"/>
    </row>
    <row r="86" spans="1:20" ht="18" customHeight="1">
      <c r="B86" t="str">
        <f>"10-PC06-0000"</f>
        <v>10-PC06-0000</v>
      </c>
      <c r="C86" t="str">
        <f>"JM, Panel PC06, 220VAC Three Phase Power Control"</f>
        <v>JM, Panel PC06, 220VAC Three Phase Power Control</v>
      </c>
      <c r="D86" s="4"/>
      <c r="E86" s="4">
        <v>2</v>
      </c>
      <c r="F86" s="4"/>
      <c r="G86" s="29" t="str">
        <f>IFERROR(HYPERLINK("#"&amp;ADDRESS(MATCH(B86&amp;"ES",'LM7 Non-ENG'!$A$1:$A$5000,0),1,,,"LM7 Non-ENG"),IF(IFERROR(VLOOKUP(B86&amp;"ES",'LM7 Non-ENG'!$A$1:$A$4999,1,FALSE),"ERROR")=B86&amp;"ES","Y","")),"")</f>
        <v/>
      </c>
      <c r="H86" s="29" t="str">
        <f>IFERROR(HYPERLINK("#"&amp;ADDRESS(MATCH(B86&amp;"PT",'LM7 Non-ENG'!$A$1:$A$5000,0),1,,,"LM7 Non-ENG"),IF(IFERROR(VLOOKUP(B86&amp;"PT",'LM7 Non-ENG'!$A$1:$A$5000,1,FALSE),"ERROR")=B86&amp;"PT","Y","")),"")</f>
        <v/>
      </c>
      <c r="I86" t="str">
        <f>IFERROR(VLOOKUP(B86,PN!$A:$C,3,FALSE),"")</f>
        <v>Active</v>
      </c>
      <c r="J86" s="3">
        <f>IFERROR(E86*VLOOKUP(B86,PLInter!$A:$D,3,FALSE),"")</f>
        <v>2534</v>
      </c>
      <c r="K86" s="66"/>
      <c r="L86" s="66"/>
      <c r="M86" s="66"/>
      <c r="N86" s="66"/>
      <c r="O86" s="66"/>
      <c r="P86" s="66"/>
      <c r="Q86" s="66"/>
      <c r="R86" s="66"/>
      <c r="S86" s="66"/>
      <c r="T86" s="66"/>
    </row>
    <row r="87" spans="1:20" ht="18" customHeight="1">
      <c r="B87" t="str">
        <f>"77-EA01A-0000"</f>
        <v>77-EA01A-0000</v>
      </c>
      <c r="C87" t="str">
        <f>"LM7 Content, JM, Electrical Circuits"</f>
        <v>LM7 Content, JM, Electrical Circuits</v>
      </c>
      <c r="D87" s="4"/>
      <c r="E87" s="4">
        <v>1</v>
      </c>
      <c r="F87" s="4"/>
      <c r="G87" s="29" t="str">
        <f>IFERROR(HYPERLINK("#"&amp;ADDRESS(MATCH(B87&amp;"ES",'LM7 Non-ENG'!$A$1:$A$5000,0),1,,,"LM7 Non-ENG"),IF(IFERROR(VLOOKUP(B87&amp;"ES",'LM7 Non-ENG'!$A$1:$A$4999,1,FALSE),"ERROR")=B87&amp;"ES","Y","")),"")</f>
        <v>Y</v>
      </c>
      <c r="H87" s="29" t="str">
        <f>IFERROR(HYPERLINK("#"&amp;ADDRESS(MATCH(B87&amp;"PT",'LM7 Non-ENG'!$A$1:$A$5000,0),1,,,"LM7 Non-ENG"),IF(IFERROR(VLOOKUP(B87&amp;"PT",'LM7 Non-ENG'!$A$1:$A$5000,1,FALSE),"ERROR")=B87&amp;"PT","Y","")),"")</f>
        <v>Y</v>
      </c>
      <c r="I87" t="str">
        <f>IFERROR(VLOOKUP(B87,PN!$A:$C,3,FALSE),"")</f>
        <v>Active</v>
      </c>
      <c r="J87" s="3">
        <f>IFERROR(E87*VLOOKUP(B87,PLInter!$A:$D,3,FALSE),"")</f>
        <v>700</v>
      </c>
      <c r="K87" s="66"/>
      <c r="L87" s="66"/>
      <c r="M87" s="66"/>
      <c r="N87" s="66"/>
      <c r="O87" s="66"/>
      <c r="P87" s="66"/>
      <c r="Q87" s="66"/>
      <c r="R87" s="66"/>
      <c r="S87" s="66"/>
      <c r="T87" s="66"/>
    </row>
    <row r="88" spans="1:20" ht="18" customHeight="1">
      <c r="B88" s="2" t="str">
        <f>"17-EA01A-0000"</f>
        <v>17-EA01A-0000</v>
      </c>
      <c r="C88" s="2" t="str">
        <f>"LM5.X Content, JM, Electrical Circuits"</f>
        <v>LM5.X Content, JM, Electrical Circuits</v>
      </c>
      <c r="D88" s="5"/>
      <c r="E88" s="5">
        <v>1</v>
      </c>
      <c r="F88" s="5" t="str">
        <f>"Y"</f>
        <v>Y</v>
      </c>
      <c r="G88" s="29" t="str">
        <f>IFERROR(HYPERLINK("#"&amp;ADDRESS(MATCH(B88&amp;"ES",'LM7 Non-ENG'!$A$1:$A$5000,0),1,,,"LM7 Non-ENG"),IF(IFERROR(VLOOKUP(B88&amp;"ES",'LM7 Non-ENG'!$A$1:$A$4999,1,FALSE),"ERROR")=B88&amp;"ES","Y","")),"")</f>
        <v/>
      </c>
      <c r="H88" s="29" t="str">
        <f>IFERROR(HYPERLINK("#"&amp;ADDRESS(MATCH(B88&amp;"PT",'LM7 Non-ENG'!$A$1:$A$5000,0),1,,,"LM7 Non-ENG"),IF(IFERROR(VLOOKUP(B88&amp;"PT",'LM7 Non-ENG'!$A$1:$A$5000,1,FALSE),"ERROR")=B88&amp;"PT","Y","")),"")</f>
        <v/>
      </c>
      <c r="I88" t="str">
        <f>IFERROR(VLOOKUP(B88,PN!$A:$C,3,FALSE),"")</f>
        <v>Active</v>
      </c>
      <c r="J88" s="3">
        <f>IFERROR(E88*VLOOKUP(B88,PLInter!$A:$D,3,FALSE),"")</f>
        <v>700</v>
      </c>
      <c r="K88" s="66"/>
      <c r="L88" s="66"/>
      <c r="M88" s="66"/>
      <c r="N88" s="66"/>
      <c r="O88" s="66"/>
      <c r="P88" s="66"/>
      <c r="Q88" s="66"/>
      <c r="R88" s="66"/>
      <c r="S88" s="66"/>
      <c r="T88" s="66"/>
    </row>
    <row r="89" spans="1:20" ht="18" customHeight="1">
      <c r="B89" t="str">
        <f>"26-E045-0000"</f>
        <v>26-E045-0000</v>
      </c>
      <c r="C89" t="str">
        <f>"Assembly, JM, E045, Sources of Electricity"</f>
        <v>Assembly, JM, E045, Sources of Electricity</v>
      </c>
      <c r="D89" s="4"/>
      <c r="E89" s="4">
        <v>2</v>
      </c>
      <c r="F89" s="4"/>
      <c r="G89" s="29" t="str">
        <f>IFERROR(HYPERLINK("#"&amp;ADDRESS(MATCH(B89&amp;"ES",'LM7 Non-ENG'!$A$1:$A$5000,0),1,,,"LM7 Non-ENG"),IF(IFERROR(VLOOKUP(B89&amp;"ES",'LM7 Non-ENG'!$A$1:$A$4999,1,FALSE),"ERROR")=B89&amp;"ES","Y","")),"")</f>
        <v/>
      </c>
      <c r="H89" s="29" t="str">
        <f>IFERROR(HYPERLINK("#"&amp;ADDRESS(MATCH(B89&amp;"PT",'LM7 Non-ENG'!$A$1:$A$5000,0),1,,,"LM7 Non-ENG"),IF(IFERROR(VLOOKUP(B89&amp;"PT",'LM7 Non-ENG'!$A$1:$A$5000,1,FALSE),"ERROR")=B89&amp;"PT","Y","")),"")</f>
        <v/>
      </c>
      <c r="I89" t="str">
        <f>IFERROR(VLOOKUP(B89,PN!$A:$C,3,FALSE),"")</f>
        <v>Active</v>
      </c>
      <c r="J89" s="3">
        <f>IFERROR(E89*VLOOKUP(B89,PLInter!$A:$D,3,FALSE),"")</f>
        <v>950</v>
      </c>
      <c r="K89" s="66"/>
      <c r="L89" s="66"/>
      <c r="M89" s="66"/>
      <c r="N89" s="66"/>
      <c r="O89" s="66"/>
      <c r="P89" s="66"/>
      <c r="Q89" s="66"/>
      <c r="R89" s="66"/>
      <c r="S89" s="66"/>
      <c r="T89" s="66"/>
    </row>
    <row r="90" spans="1:20" ht="18" customHeight="1">
      <c r="B90" t="str">
        <f>"26-E047-0000"</f>
        <v>26-E047-0000</v>
      </c>
      <c r="C90" t="str">
        <f>"Assembly, JM, E047, Heat/Light Source"</f>
        <v>Assembly, JM, E047, Heat/Light Source</v>
      </c>
      <c r="D90" s="4"/>
      <c r="E90" s="4">
        <v>2</v>
      </c>
      <c r="F90" s="4"/>
      <c r="G90" s="29" t="str">
        <f>IFERROR(HYPERLINK("#"&amp;ADDRESS(MATCH(B90&amp;"ES",'LM7 Non-ENG'!$A$1:$A$5000,0),1,,,"LM7 Non-ENG"),IF(IFERROR(VLOOKUP(B90&amp;"ES",'LM7 Non-ENG'!$A$1:$A$4999,1,FALSE),"ERROR")=B90&amp;"ES","Y","")),"")</f>
        <v/>
      </c>
      <c r="H90" s="29" t="str">
        <f>IFERROR(HYPERLINK("#"&amp;ADDRESS(MATCH(B90&amp;"PT",'LM7 Non-ENG'!$A$1:$A$5000,0),1,,,"LM7 Non-ENG"),IF(IFERROR(VLOOKUP(B90&amp;"PT",'LM7 Non-ENG'!$A$1:$A$5000,1,FALSE),"ERROR")=B90&amp;"PT","Y","")),"")</f>
        <v/>
      </c>
      <c r="I90" t="str">
        <f>IFERROR(VLOOKUP(B90,PN!$A:$C,3,FALSE),"")</f>
        <v>Active</v>
      </c>
      <c r="J90" s="3">
        <f>IFERROR(E90*VLOOKUP(B90,PLInter!$A:$D,3,FALSE),"")</f>
        <v>750</v>
      </c>
      <c r="K90" s="66"/>
      <c r="L90" s="66"/>
      <c r="M90" s="66"/>
      <c r="N90" s="66"/>
      <c r="O90" s="66"/>
      <c r="P90" s="66"/>
      <c r="Q90" s="66"/>
      <c r="R90" s="66"/>
      <c r="S90" s="66"/>
      <c r="T90" s="66"/>
    </row>
    <row r="91" spans="1:20" ht="18" customHeight="1">
      <c r="B91" t="str">
        <f>"26-E151-0000"</f>
        <v>26-E151-0000</v>
      </c>
      <c r="C91" t="str">
        <f>"Assembly, JM, E151,Series/Parallel Lamps Panel"</f>
        <v>Assembly, JM, E151,Series/Parallel Lamps Panel</v>
      </c>
      <c r="D91" s="4"/>
      <c r="E91" s="4">
        <v>2</v>
      </c>
      <c r="F91" s="4"/>
      <c r="G91" s="29" t="str">
        <f>IFERROR(HYPERLINK("#"&amp;ADDRESS(MATCH(B91&amp;"ES",'LM7 Non-ENG'!$A$1:$A$5000,0),1,,,"LM7 Non-ENG"),IF(IFERROR(VLOOKUP(B91&amp;"ES",'LM7 Non-ENG'!$A$1:$A$4999,1,FALSE),"ERROR")=B91&amp;"ES","Y","")),"")</f>
        <v/>
      </c>
      <c r="H91" s="29" t="str">
        <f>IFERROR(HYPERLINK("#"&amp;ADDRESS(MATCH(B91&amp;"PT",'LM7 Non-ENG'!$A$1:$A$5000,0),1,,,"LM7 Non-ENG"),IF(IFERROR(VLOOKUP(B91&amp;"PT",'LM7 Non-ENG'!$A$1:$A$5000,1,FALSE),"ERROR")=B91&amp;"PT","Y","")),"")</f>
        <v/>
      </c>
      <c r="I91" t="str">
        <f>IFERROR(VLOOKUP(B91,PN!$A:$C,3,FALSE),"")</f>
        <v>Active</v>
      </c>
      <c r="J91" s="3">
        <f>IFERROR(E91*VLOOKUP(B91,PLInter!$A:$D,3,FALSE),"")</f>
        <v>1000</v>
      </c>
      <c r="K91" s="66"/>
      <c r="L91" s="66"/>
      <c r="M91" s="66"/>
      <c r="N91" s="66"/>
      <c r="O91" s="66"/>
      <c r="P91" s="66"/>
      <c r="Q91" s="66"/>
      <c r="R91" s="66"/>
      <c r="S91" s="66"/>
      <c r="T91" s="66"/>
    </row>
    <row r="92" spans="1:20" ht="18" customHeight="1">
      <c r="B92" t="str">
        <f>"26-E152-0000"</f>
        <v>26-E152-0000</v>
      </c>
      <c r="C92" t="str">
        <f>"Assembly, JM, E152, Transformer/Adjustable Power"</f>
        <v>Assembly, JM, E152, Transformer/Adjustable Power</v>
      </c>
      <c r="D92" s="4"/>
      <c r="E92" s="4">
        <v>2</v>
      </c>
      <c r="F92" s="4"/>
      <c r="G92" s="29" t="str">
        <f>IFERROR(HYPERLINK("#"&amp;ADDRESS(MATCH(B92&amp;"ES",'LM7 Non-ENG'!$A$1:$A$5000,0),1,,,"LM7 Non-ENG"),IF(IFERROR(VLOOKUP(B92&amp;"ES",'LM7 Non-ENG'!$A$1:$A$4999,1,FALSE),"ERROR")=B92&amp;"ES","Y","")),"")</f>
        <v/>
      </c>
      <c r="H92" s="29" t="str">
        <f>IFERROR(HYPERLINK("#"&amp;ADDRESS(MATCH(B92&amp;"PT",'LM7 Non-ENG'!$A$1:$A$5000,0),1,,,"LM7 Non-ENG"),IF(IFERROR(VLOOKUP(B92&amp;"PT",'LM7 Non-ENG'!$A$1:$A$5000,1,FALSE),"ERROR")=B92&amp;"PT","Y","")),"")</f>
        <v/>
      </c>
      <c r="I92" t="str">
        <f>IFERROR(VLOOKUP(B92,PN!$A:$C,3,FALSE),"")</f>
        <v>Active</v>
      </c>
      <c r="J92" s="3">
        <f>IFERROR(E92*VLOOKUP(B92,PLInter!$A:$D,3,FALSE),"")</f>
        <v>1600</v>
      </c>
      <c r="K92" s="66"/>
      <c r="L92" s="66"/>
      <c r="M92" s="66"/>
      <c r="N92" s="66"/>
      <c r="O92" s="66"/>
      <c r="P92" s="66"/>
      <c r="Q92" s="66"/>
      <c r="R92" s="66"/>
      <c r="S92" s="66"/>
      <c r="T92" s="66"/>
    </row>
    <row r="93" spans="1:20" ht="18" customHeight="1">
      <c r="B93" t="str">
        <f>"26-E040-0000"</f>
        <v>26-E040-0000</v>
      </c>
      <c r="C93" t="str">
        <f>"Assembly, JM, E040, Switches, Lamp, and Buzzer"</f>
        <v>Assembly, JM, E040, Switches, Lamp, and Buzzer</v>
      </c>
      <c r="D93" s="4"/>
      <c r="E93" s="4">
        <v>2</v>
      </c>
      <c r="F93" s="4"/>
      <c r="G93" s="29" t="str">
        <f>IFERROR(HYPERLINK("#"&amp;ADDRESS(MATCH(B93&amp;"ES",'LM7 Non-ENG'!$A$1:$A$5000,0),1,,,"LM7 Non-ENG"),IF(IFERROR(VLOOKUP(B93&amp;"ES",'LM7 Non-ENG'!$A$1:$A$4999,1,FALSE),"ERROR")=B93&amp;"ES","Y","")),"")</f>
        <v/>
      </c>
      <c r="H93" s="29" t="str">
        <f>IFERROR(HYPERLINK("#"&amp;ADDRESS(MATCH(B93&amp;"PT",'LM7 Non-ENG'!$A$1:$A$5000,0),1,,,"LM7 Non-ENG"),IF(IFERROR(VLOOKUP(B93&amp;"PT",'LM7 Non-ENG'!$A$1:$A$5000,1,FALSE),"ERROR")=B93&amp;"PT","Y","")),"")</f>
        <v/>
      </c>
      <c r="I93" t="str">
        <f>IFERROR(VLOOKUP(B93,PN!$A:$C,3,FALSE),"")</f>
        <v>Active</v>
      </c>
      <c r="J93" s="3">
        <f>IFERROR(E93*VLOOKUP(B93,PLInter!$A:$D,3,FALSE),"")</f>
        <v>1334</v>
      </c>
      <c r="K93" s="66"/>
      <c r="L93" s="66"/>
      <c r="M93" s="66"/>
      <c r="N93" s="66"/>
      <c r="O93" s="66"/>
      <c r="P93" s="66"/>
      <c r="Q93" s="66"/>
      <c r="R93" s="66"/>
      <c r="S93" s="66"/>
      <c r="T93" s="66"/>
    </row>
    <row r="94" spans="1:20" ht="18" customHeight="1">
      <c r="B94" s="1" t="str">
        <f>"36-8900-0007"</f>
        <v>36-8900-0007</v>
      </c>
      <c r="C94" s="1" t="str">
        <f>"JM, Digital Multimeter, Fluke-115"</f>
        <v>JM, Digital Multimeter, Fluke-115</v>
      </c>
      <c r="D94" s="6" t="s">
        <v>0</v>
      </c>
      <c r="E94" s="6">
        <v>1</v>
      </c>
      <c r="F94" s="6"/>
      <c r="G94" s="29" t="str">
        <f>IFERROR(HYPERLINK("#"&amp;ADDRESS(MATCH(B94&amp;"ES",'LM7 Non-ENG'!$A$1:$A$5000,0),1,,,"LM7 Non-ENG"),IF(IFERROR(VLOOKUP(B94&amp;"ES",'LM7 Non-ENG'!$A$1:$A$4999,1,FALSE),"ERROR")=B94&amp;"ES","Y","")),"")</f>
        <v/>
      </c>
      <c r="H94" s="29" t="str">
        <f>IFERROR(HYPERLINK("#"&amp;ADDRESS(MATCH(B94&amp;"PT",'LM7 Non-ENG'!$A$1:$A$5000,0),1,,,"LM7 Non-ENG"),IF(IFERROR(VLOOKUP(B94&amp;"PT",'LM7 Non-ENG'!$A$1:$A$5000,1,FALSE),"ERROR")=B94&amp;"PT","Y","")),"")</f>
        <v/>
      </c>
      <c r="I94" t="str">
        <f>IFERROR(VLOOKUP(B94,PN!$A:$C,3,FALSE),"")</f>
        <v>Active</v>
      </c>
      <c r="J94" s="3">
        <f>IFERROR(E94*VLOOKUP(B94,PLInter!$A:$D,3,FALSE),"")</f>
        <v>575</v>
      </c>
      <c r="K94" s="66"/>
      <c r="L94" s="66"/>
      <c r="M94" s="66"/>
      <c r="N94" s="66"/>
      <c r="O94" s="66"/>
      <c r="P94" s="66"/>
      <c r="Q94" s="66"/>
      <c r="R94" s="66"/>
      <c r="S94" s="66"/>
      <c r="T94" s="66"/>
    </row>
    <row r="95" spans="1:20" ht="18" customHeight="1">
      <c r="B95" t="str">
        <f>"36-EA01A-IG01"</f>
        <v>36-EA01A-IG01</v>
      </c>
      <c r="C95" t="str">
        <f>"JM, PDF on CD Electrical Circuits - EA01A"</f>
        <v>JM, PDF on CD Electrical Circuits - EA01A</v>
      </c>
      <c r="D95" s="4"/>
      <c r="E95" s="4">
        <v>2</v>
      </c>
      <c r="F95" s="4"/>
      <c r="G95" s="29" t="str">
        <f>IFERROR(HYPERLINK("#"&amp;ADDRESS(MATCH(B95&amp;"ES",'LM7 Non-ENG'!$A$1:$A$5000,0),1,,,"LM7 Non-ENG"),IF(IFERROR(VLOOKUP(B95&amp;"ES",'LM7 Non-ENG'!$A$1:$A$4999,1,FALSE),"ERROR")=B95&amp;"ES","Y","")),"")</f>
        <v/>
      </c>
      <c r="H95" s="29" t="str">
        <f>IFERROR(HYPERLINK("#"&amp;ADDRESS(MATCH(B95&amp;"PT",'LM7 Non-ENG'!$A$1:$A$5000,0),1,,,"LM7 Non-ENG"),IF(IFERROR(VLOOKUP(B95&amp;"PT",'LM7 Non-ENG'!$A$1:$A$5000,1,FALSE),"ERROR")=B95&amp;"PT","Y","")),"")</f>
        <v/>
      </c>
      <c r="I95" t="str">
        <f>IFERROR(VLOOKUP(B95,PN!$A:$C,3,FALSE),"")</f>
        <v>Active</v>
      </c>
      <c r="J95" s="3">
        <f>IFERROR(E95*VLOOKUP(B95,PLInter!$A:$D,3,FALSE),"")</f>
        <v>0</v>
      </c>
      <c r="K95" s="66"/>
      <c r="L95" s="66"/>
      <c r="M95" s="66"/>
      <c r="N95" s="66"/>
      <c r="O95" s="66"/>
      <c r="P95" s="66"/>
      <c r="Q95" s="66"/>
      <c r="R95" s="66"/>
      <c r="S95" s="66"/>
      <c r="T95" s="66"/>
    </row>
    <row r="96" spans="1:20" ht="18" customHeight="1">
      <c r="B96" t="str">
        <f>"77-EA01B-0000"</f>
        <v>77-EA01B-0000</v>
      </c>
      <c r="C96" t="str">
        <f>"LM7 Content, JM, Resistors &amp; Conductors"</f>
        <v>LM7 Content, JM, Resistors &amp; Conductors</v>
      </c>
      <c r="D96" s="4"/>
      <c r="E96" s="4">
        <v>1</v>
      </c>
      <c r="F96" s="4"/>
      <c r="G96" s="29" t="str">
        <f>IFERROR(HYPERLINK("#"&amp;ADDRESS(MATCH(B96&amp;"ES",'LM7 Non-ENG'!$A$1:$A$5000,0),1,,,"LM7 Non-ENG"),IF(IFERROR(VLOOKUP(B96&amp;"ES",'LM7 Non-ENG'!$A$1:$A$4999,1,FALSE),"ERROR")=B96&amp;"ES","Y","")),"")</f>
        <v>Y</v>
      </c>
      <c r="H96" s="29" t="str">
        <f>IFERROR(HYPERLINK("#"&amp;ADDRESS(MATCH(B96&amp;"PT",'LM7 Non-ENG'!$A$1:$A$5000,0),1,,,"LM7 Non-ENG"),IF(IFERROR(VLOOKUP(B96&amp;"PT",'LM7 Non-ENG'!$A$1:$A$5000,1,FALSE),"ERROR")=B96&amp;"PT","Y","")),"")</f>
        <v>Y</v>
      </c>
      <c r="I96" t="str">
        <f>IFERROR(VLOOKUP(B96,PN!$A:$C,3,FALSE),"")</f>
        <v>Active</v>
      </c>
      <c r="J96" s="3">
        <f>IFERROR(E96*VLOOKUP(B96,PLInter!$A:$D,3,FALSE),"")</f>
        <v>700</v>
      </c>
      <c r="K96" s="66"/>
      <c r="L96" s="66"/>
      <c r="M96" s="66"/>
      <c r="N96" s="66"/>
      <c r="O96" s="66"/>
      <c r="P96" s="66"/>
      <c r="Q96" s="66"/>
      <c r="R96" s="66"/>
      <c r="S96" s="66"/>
      <c r="T96" s="66"/>
    </row>
    <row r="97" spans="2:20" ht="18" customHeight="1">
      <c r="B97" s="2" t="str">
        <f>"17-EA01B-0000"</f>
        <v>17-EA01B-0000</v>
      </c>
      <c r="C97" s="2" t="str">
        <f>"LM5.X Content, JM, Resistors &amp; Conductors"</f>
        <v>LM5.X Content, JM, Resistors &amp; Conductors</v>
      </c>
      <c r="D97" s="5"/>
      <c r="E97" s="16">
        <v>0</v>
      </c>
      <c r="F97" s="5" t="str">
        <f>"Y"</f>
        <v>Y</v>
      </c>
      <c r="G97" s="29" t="str">
        <f>IFERROR(HYPERLINK("#"&amp;ADDRESS(MATCH(B97&amp;"ES",'LM7 Non-ENG'!$A$1:$A$5000,0),1,,,"LM7 Non-ENG"),IF(IFERROR(VLOOKUP(B97&amp;"ES",'LM7 Non-ENG'!$A$1:$A$4999,1,FALSE),"ERROR")=B97&amp;"ES","Y","")),"")</f>
        <v/>
      </c>
      <c r="H97" s="29" t="str">
        <f>IFERROR(HYPERLINK("#"&amp;ADDRESS(MATCH(B97&amp;"PT",'LM7 Non-ENG'!$A$1:$A$5000,0),1,,,"LM7 Non-ENG"),IF(IFERROR(VLOOKUP(B97&amp;"PT",'LM7 Non-ENG'!$A$1:$A$5000,1,FALSE),"ERROR")=B97&amp;"PT","Y","")),"")</f>
        <v/>
      </c>
      <c r="I97" t="str">
        <f>IFERROR(VLOOKUP(B97,PN!$A:$C,3,FALSE),"")</f>
        <v>Active</v>
      </c>
      <c r="J97" s="3">
        <f>IFERROR(E97*VLOOKUP(B97,PLInter!$A:$D,3,FALSE),"")</f>
        <v>0</v>
      </c>
      <c r="K97" s="66"/>
      <c r="L97" s="66"/>
      <c r="M97" s="66"/>
      <c r="N97" s="66"/>
      <c r="O97" s="66"/>
      <c r="P97" s="66"/>
      <c r="Q97" s="66"/>
      <c r="R97" s="66"/>
      <c r="S97" s="66"/>
      <c r="T97" s="66"/>
    </row>
    <row r="98" spans="2:20" ht="18" customHeight="1">
      <c r="B98" t="str">
        <f>"26-E042-0000"</f>
        <v>26-E042-0000</v>
      </c>
      <c r="C98" t="str">
        <f>"Assembly, JM, E042, Resistance Panel"</f>
        <v>Assembly, JM, E042, Resistance Panel</v>
      </c>
      <c r="D98" s="4"/>
      <c r="E98" s="4">
        <v>2</v>
      </c>
      <c r="F98" s="4"/>
      <c r="G98" s="29" t="str">
        <f>IFERROR(HYPERLINK("#"&amp;ADDRESS(MATCH(B98&amp;"ES",'LM7 Non-ENG'!$A$1:$A$5000,0),1,,,"LM7 Non-ENG"),IF(IFERROR(VLOOKUP(B98&amp;"ES",'LM7 Non-ENG'!$A$1:$A$4999,1,FALSE),"ERROR")=B98&amp;"ES","Y","")),"")</f>
        <v/>
      </c>
      <c r="H98" s="29" t="str">
        <f>IFERROR(HYPERLINK("#"&amp;ADDRESS(MATCH(B98&amp;"PT",'LM7 Non-ENG'!$A$1:$A$5000,0),1,,,"LM7 Non-ENG"),IF(IFERROR(VLOOKUP(B98&amp;"PT",'LM7 Non-ENG'!$A$1:$A$5000,1,FALSE),"ERROR")=B98&amp;"PT","Y","")),"")</f>
        <v/>
      </c>
      <c r="I98" t="str">
        <f>IFERROR(VLOOKUP(B98,PN!$A:$C,3,FALSE),"")</f>
        <v>Active</v>
      </c>
      <c r="J98" s="3">
        <f>IFERROR(E98*VLOOKUP(B98,PLInter!$A:$D,3,FALSE),"")</f>
        <v>2000</v>
      </c>
      <c r="K98" s="66"/>
      <c r="L98" s="66"/>
      <c r="M98" s="66"/>
      <c r="N98" s="66"/>
      <c r="O98" s="66"/>
      <c r="P98" s="66"/>
      <c r="Q98" s="66"/>
      <c r="R98" s="66"/>
      <c r="S98" s="66"/>
      <c r="T98" s="66"/>
    </row>
    <row r="99" spans="2:20" ht="18" customHeight="1">
      <c r="B99" t="str">
        <f>"36-EA01B-IG01"</f>
        <v>36-EA01B-IG01</v>
      </c>
      <c r="C99" t="str">
        <f>"JM, PDF on CD Resistors &amp; Conductors - EA01B"</f>
        <v>JM, PDF on CD Resistors &amp; Conductors - EA01B</v>
      </c>
      <c r="D99" s="4"/>
      <c r="E99" s="4">
        <v>1</v>
      </c>
      <c r="F99" s="4"/>
      <c r="G99" s="29" t="str">
        <f>IFERROR(HYPERLINK("#"&amp;ADDRESS(MATCH(B99&amp;"ES",'LM7 Non-ENG'!$A$1:$A$5000,0),1,,,"LM7 Non-ENG"),IF(IFERROR(VLOOKUP(B99&amp;"ES",'LM7 Non-ENG'!$A$1:$A$4999,1,FALSE),"ERROR")=B99&amp;"ES","Y","")),"")</f>
        <v/>
      </c>
      <c r="H99" s="29" t="str">
        <f>IFERROR(HYPERLINK("#"&amp;ADDRESS(MATCH(B99&amp;"PT",'LM7 Non-ENG'!$A$1:$A$5000,0),1,,,"LM7 Non-ENG"),IF(IFERROR(VLOOKUP(B99&amp;"PT",'LM7 Non-ENG'!$A$1:$A$5000,1,FALSE),"ERROR")=B99&amp;"PT","Y","")),"")</f>
        <v/>
      </c>
      <c r="I99" t="str">
        <f>IFERROR(VLOOKUP(B99,PN!$A:$C,3,FALSE),"")</f>
        <v>Active</v>
      </c>
      <c r="J99" s="3" t="str">
        <f>IFERROR(E99*VLOOKUP(B99,PLInter!$A:$D,3,FALSE),"")</f>
        <v/>
      </c>
      <c r="K99" s="66"/>
      <c r="L99" s="66"/>
      <c r="M99" s="66"/>
      <c r="N99" s="66"/>
      <c r="O99" s="66"/>
      <c r="P99" s="66"/>
      <c r="Q99" s="66"/>
      <c r="R99" s="66"/>
      <c r="S99" s="66"/>
      <c r="T99" s="66"/>
    </row>
    <row r="100" spans="2:20" ht="18" customHeight="1">
      <c r="B100" t="str">
        <f>"77-EA01C-0000"</f>
        <v>77-EA01C-0000</v>
      </c>
      <c r="C100" t="str">
        <f>"LM7 Content, JM, LCR Circuits"</f>
        <v>LM7 Content, JM, LCR Circuits</v>
      </c>
      <c r="D100" s="4"/>
      <c r="E100" s="4">
        <v>1</v>
      </c>
      <c r="F100" s="4"/>
      <c r="G100" s="29" t="str">
        <f>IFERROR(HYPERLINK("#"&amp;ADDRESS(MATCH(B100&amp;"ES",'LM7 Non-ENG'!$A$1:$A$5000,0),1,,,"LM7 Non-ENG"),IF(IFERROR(VLOOKUP(B100&amp;"ES",'LM7 Non-ENG'!$A$1:$A$4999,1,FALSE),"ERROR")=B100&amp;"ES","Y","")),"")</f>
        <v>Y</v>
      </c>
      <c r="H100" s="29" t="str">
        <f>IFERROR(HYPERLINK("#"&amp;ADDRESS(MATCH(B100&amp;"PT",'LM7 Non-ENG'!$A$1:$A$5000,0),1,,,"LM7 Non-ENG"),IF(IFERROR(VLOOKUP(B100&amp;"PT",'LM7 Non-ENG'!$A$1:$A$5000,1,FALSE),"ERROR")=B100&amp;"PT","Y","")),"")</f>
        <v>Y</v>
      </c>
      <c r="I100" t="str">
        <f>IFERROR(VLOOKUP(B100,PN!$A:$C,3,FALSE),"")</f>
        <v>Active</v>
      </c>
      <c r="J100" s="3">
        <f>IFERROR(E100*VLOOKUP(B100,PLInter!$A:$D,3,FALSE),"")</f>
        <v>700</v>
      </c>
      <c r="K100" s="66"/>
      <c r="L100" s="66"/>
      <c r="M100" s="66"/>
      <c r="N100" s="66"/>
      <c r="O100" s="66"/>
      <c r="P100" s="66"/>
      <c r="Q100" s="66"/>
      <c r="R100" s="66"/>
      <c r="S100" s="66"/>
      <c r="T100" s="66"/>
    </row>
    <row r="101" spans="2:20" ht="18" customHeight="1">
      <c r="B101" s="2" t="str">
        <f>"17-EA01C-0000"</f>
        <v>17-EA01C-0000</v>
      </c>
      <c r="C101" s="2" t="str">
        <f>"LM5.X Content, JM, LCR Circuits"</f>
        <v>LM5.X Content, JM, LCR Circuits</v>
      </c>
      <c r="D101" s="5"/>
      <c r="E101" s="16">
        <v>0</v>
      </c>
      <c r="F101" s="5" t="str">
        <f>"Y"</f>
        <v>Y</v>
      </c>
      <c r="G101" s="29" t="str">
        <f>IFERROR(HYPERLINK("#"&amp;ADDRESS(MATCH(B101&amp;"ES",'LM7 Non-ENG'!$A$1:$A$5000,0),1,,,"LM7 Non-ENG"),IF(IFERROR(VLOOKUP(B101&amp;"ES",'LM7 Non-ENG'!$A$1:$A$4999,1,FALSE),"ERROR")=B101&amp;"ES","Y","")),"")</f>
        <v/>
      </c>
      <c r="H101" s="29" t="str">
        <f>IFERROR(HYPERLINK("#"&amp;ADDRESS(MATCH(B101&amp;"PT",'LM7 Non-ENG'!$A$1:$A$5000,0),1,,,"LM7 Non-ENG"),IF(IFERROR(VLOOKUP(B101&amp;"PT",'LM7 Non-ENG'!$A$1:$A$5000,1,FALSE),"ERROR")=B101&amp;"PT","Y","")),"")</f>
        <v/>
      </c>
      <c r="I101" t="str">
        <f>IFERROR(VLOOKUP(B101,PN!$A:$C,3,FALSE),"")</f>
        <v>Active</v>
      </c>
      <c r="J101" s="3">
        <f>IFERROR(E101*VLOOKUP(B101,PLInter!$A:$D,3,FALSE),"")</f>
        <v>0</v>
      </c>
      <c r="K101" s="66"/>
      <c r="L101" s="66"/>
      <c r="M101" s="66"/>
      <c r="N101" s="66"/>
      <c r="O101" s="66"/>
      <c r="P101" s="66"/>
      <c r="Q101" s="66"/>
      <c r="R101" s="66"/>
      <c r="S101" s="66"/>
      <c r="T101" s="66"/>
    </row>
    <row r="102" spans="2:20" ht="18" customHeight="1">
      <c r="B102" t="str">
        <f>"26-E043-0000"</f>
        <v>26-E043-0000</v>
      </c>
      <c r="C102" t="str">
        <f>"Assembly, JM, E043, Capacitance Panel"</f>
        <v>Assembly, JM, E043, Capacitance Panel</v>
      </c>
      <c r="D102" s="4"/>
      <c r="E102" s="4">
        <v>2</v>
      </c>
      <c r="F102" s="4"/>
      <c r="G102" s="29" t="str">
        <f>IFERROR(HYPERLINK("#"&amp;ADDRESS(MATCH(B102&amp;"ES",'LM7 Non-ENG'!$A$1:$A$5000,0),1,,,"LM7 Non-ENG"),IF(IFERROR(VLOOKUP(B102&amp;"ES",'LM7 Non-ENG'!$A$1:$A$4999,1,FALSE),"ERROR")=B102&amp;"ES","Y","")),"")</f>
        <v/>
      </c>
      <c r="H102" s="29" t="str">
        <f>IFERROR(HYPERLINK("#"&amp;ADDRESS(MATCH(B102&amp;"PT",'LM7 Non-ENG'!$A$1:$A$5000,0),1,,,"LM7 Non-ENG"),IF(IFERROR(VLOOKUP(B102&amp;"PT",'LM7 Non-ENG'!$A$1:$A$5000,1,FALSE),"ERROR")=B102&amp;"PT","Y","")),"")</f>
        <v/>
      </c>
      <c r="I102" t="str">
        <f>IFERROR(VLOOKUP(B102,PN!$A:$C,3,FALSE),"")</f>
        <v>Active</v>
      </c>
      <c r="J102" s="3">
        <f>IFERROR(E102*VLOOKUP(B102,PLInter!$A:$D,3,FALSE),"")</f>
        <v>850</v>
      </c>
      <c r="K102" s="66"/>
      <c r="L102" s="66"/>
      <c r="M102" s="66"/>
      <c r="N102" s="66"/>
      <c r="O102" s="66"/>
      <c r="P102" s="66"/>
      <c r="Q102" s="66"/>
      <c r="R102" s="66"/>
      <c r="S102" s="66"/>
      <c r="T102" s="66"/>
    </row>
    <row r="103" spans="2:20" ht="18" customHeight="1">
      <c r="B103" t="str">
        <f>"26-E044-0000"</f>
        <v>26-E044-0000</v>
      </c>
      <c r="C103" t="str">
        <f>"Assembly, JM, E044, Inductance/Magnetism Panel"</f>
        <v>Assembly, JM, E044, Inductance/Magnetism Panel</v>
      </c>
      <c r="D103" s="4"/>
      <c r="E103" s="4">
        <v>2</v>
      </c>
      <c r="F103" s="4"/>
      <c r="G103" s="29" t="str">
        <f>IFERROR(HYPERLINK("#"&amp;ADDRESS(MATCH(B103&amp;"ES",'LM7 Non-ENG'!$A$1:$A$5000,0),1,,,"LM7 Non-ENG"),IF(IFERROR(VLOOKUP(B103&amp;"ES",'LM7 Non-ENG'!$A$1:$A$4999,1,FALSE),"ERROR")=B103&amp;"ES","Y","")),"")</f>
        <v/>
      </c>
      <c r="H103" s="29" t="str">
        <f>IFERROR(HYPERLINK("#"&amp;ADDRESS(MATCH(B103&amp;"PT",'LM7 Non-ENG'!$A$1:$A$5000,0),1,,,"LM7 Non-ENG"),IF(IFERROR(VLOOKUP(B103&amp;"PT",'LM7 Non-ENG'!$A$1:$A$5000,1,FALSE),"ERROR")=B103&amp;"PT","Y","")),"")</f>
        <v/>
      </c>
      <c r="I103" t="str">
        <f>IFERROR(VLOOKUP(B103,PN!$A:$C,3,FALSE),"")</f>
        <v>Active</v>
      </c>
      <c r="J103" s="3">
        <f>IFERROR(E103*VLOOKUP(B103,PLInter!$A:$D,3,FALSE),"")</f>
        <v>1000</v>
      </c>
      <c r="K103" s="66"/>
      <c r="L103" s="66"/>
      <c r="M103" s="66"/>
      <c r="N103" s="66"/>
      <c r="O103" s="66"/>
      <c r="P103" s="66"/>
      <c r="Q103" s="66"/>
      <c r="R103" s="66"/>
      <c r="S103" s="66"/>
      <c r="T103" s="66"/>
    </row>
    <row r="104" spans="2:20" ht="18" customHeight="1">
      <c r="B104" t="str">
        <f>"26-E057-0000"</f>
        <v>26-E057-0000</v>
      </c>
      <c r="C104" t="str">
        <f>"Assembly, JM, E057, Motor/Generator Demo Panel"</f>
        <v>Assembly, JM, E057, Motor/Generator Demo Panel</v>
      </c>
      <c r="D104" s="4"/>
      <c r="E104" s="4">
        <v>2</v>
      </c>
      <c r="F104" s="4"/>
      <c r="G104" s="29" t="str">
        <f>IFERROR(HYPERLINK("#"&amp;ADDRESS(MATCH(B104&amp;"ES",'LM7 Non-ENG'!$A$1:$A$5000,0),1,,,"LM7 Non-ENG"),IF(IFERROR(VLOOKUP(B104&amp;"ES",'LM7 Non-ENG'!$A$1:$A$4999,1,FALSE),"ERROR")=B104&amp;"ES","Y","")),"")</f>
        <v/>
      </c>
      <c r="H104" s="29" t="str">
        <f>IFERROR(HYPERLINK("#"&amp;ADDRESS(MATCH(B104&amp;"PT",'LM7 Non-ENG'!$A$1:$A$5000,0),1,,,"LM7 Non-ENG"),IF(IFERROR(VLOOKUP(B104&amp;"PT",'LM7 Non-ENG'!$A$1:$A$5000,1,FALSE),"ERROR")=B104&amp;"PT","Y","")),"")</f>
        <v/>
      </c>
      <c r="I104" t="str">
        <f>IFERROR(VLOOKUP(B104,PN!$A:$C,3,FALSE),"")</f>
        <v>Active</v>
      </c>
      <c r="J104" s="3">
        <f>IFERROR(E104*VLOOKUP(B104,PLInter!$A:$D,3,FALSE),"")</f>
        <v>1700</v>
      </c>
      <c r="K104" s="66"/>
      <c r="L104" s="66"/>
      <c r="M104" s="66"/>
      <c r="N104" s="66"/>
      <c r="O104" s="66"/>
      <c r="P104" s="66"/>
      <c r="Q104" s="66"/>
      <c r="R104" s="66"/>
      <c r="S104" s="66"/>
      <c r="T104" s="66"/>
    </row>
    <row r="105" spans="2:20" ht="18" customHeight="1">
      <c r="B105" t="str">
        <f>"26-E150-0000"</f>
        <v>26-E150-0000</v>
      </c>
      <c r="C105" t="str">
        <f>"Assembly, JM, E150, Relay/Contactor Panel"</f>
        <v>Assembly, JM, E150, Relay/Contactor Panel</v>
      </c>
      <c r="D105" s="4"/>
      <c r="E105" s="4">
        <v>2</v>
      </c>
      <c r="F105" s="4"/>
      <c r="G105" s="29" t="str">
        <f>IFERROR(HYPERLINK("#"&amp;ADDRESS(MATCH(B105&amp;"ES",'LM7 Non-ENG'!$A$1:$A$5000,0),1,,,"LM7 Non-ENG"),IF(IFERROR(VLOOKUP(B105&amp;"ES",'LM7 Non-ENG'!$A$1:$A$4999,1,FALSE),"ERROR")=B105&amp;"ES","Y","")),"")</f>
        <v/>
      </c>
      <c r="H105" s="29" t="str">
        <f>IFERROR(HYPERLINK("#"&amp;ADDRESS(MATCH(B105&amp;"PT",'LM7 Non-ENG'!$A$1:$A$5000,0),1,,,"LM7 Non-ENG"),IF(IFERROR(VLOOKUP(B105&amp;"PT",'LM7 Non-ENG'!$A$1:$A$5000,1,FALSE),"ERROR")=B105&amp;"PT","Y","")),"")</f>
        <v/>
      </c>
      <c r="I105" t="str">
        <f>IFERROR(VLOOKUP(B105,PN!$A:$C,3,FALSE),"")</f>
        <v>Active</v>
      </c>
      <c r="J105" s="3">
        <f>IFERROR(E105*VLOOKUP(B105,PLInter!$A:$D,3,FALSE),"")</f>
        <v>1700</v>
      </c>
      <c r="K105" s="66"/>
      <c r="L105" s="66"/>
      <c r="M105" s="66"/>
      <c r="N105" s="66"/>
      <c r="O105" s="66"/>
      <c r="P105" s="66"/>
      <c r="Q105" s="66"/>
      <c r="R105" s="66"/>
      <c r="S105" s="66"/>
      <c r="T105" s="66"/>
    </row>
    <row r="106" spans="2:20" ht="18" customHeight="1">
      <c r="B106" t="str">
        <f>"26-E029-0000"</f>
        <v>26-E029-0000</v>
      </c>
      <c r="C106" t="str">
        <f>"Assembly, JM, E029, Inductance/Mag Test Panel"</f>
        <v>Assembly, JM, E029, Inductance/Mag Test Panel</v>
      </c>
      <c r="D106" s="4"/>
      <c r="E106" s="4">
        <v>2</v>
      </c>
      <c r="F106" s="4"/>
      <c r="G106" s="29" t="str">
        <f>IFERROR(HYPERLINK("#"&amp;ADDRESS(MATCH(B106&amp;"ES",'LM7 Non-ENG'!$A$1:$A$5000,0),1,,,"LM7 Non-ENG"),IF(IFERROR(VLOOKUP(B106&amp;"ES",'LM7 Non-ENG'!$A$1:$A$4999,1,FALSE),"ERROR")=B106&amp;"ES","Y","")),"")</f>
        <v/>
      </c>
      <c r="H106" s="29" t="str">
        <f>IFERROR(HYPERLINK("#"&amp;ADDRESS(MATCH(B106&amp;"PT",'LM7 Non-ENG'!$A$1:$A$5000,0),1,,,"LM7 Non-ENG"),IF(IFERROR(VLOOKUP(B106&amp;"PT",'LM7 Non-ENG'!$A$1:$A$5000,1,FALSE),"ERROR")=B106&amp;"PT","Y","")),"")</f>
        <v/>
      </c>
      <c r="I106" t="str">
        <f>IFERROR(VLOOKUP(B106,PN!$A:$C,3,FALSE),"")</f>
        <v>Active</v>
      </c>
      <c r="J106" s="3">
        <f>IFERROR(E106*VLOOKUP(B106,PLInter!$A:$D,3,FALSE),"")</f>
        <v>1334</v>
      </c>
      <c r="K106" s="66"/>
      <c r="L106" s="66"/>
      <c r="M106" s="66"/>
      <c r="N106" s="66"/>
      <c r="O106" s="66"/>
      <c r="P106" s="66"/>
      <c r="Q106" s="66"/>
      <c r="R106" s="66"/>
      <c r="S106" s="66"/>
      <c r="T106" s="66"/>
    </row>
    <row r="107" spans="2:20" ht="18" customHeight="1">
      <c r="B107" t="str">
        <f>"36-EA01C-IG01"</f>
        <v>36-EA01C-IG01</v>
      </c>
      <c r="C107" t="str">
        <f>"JM, PDF on CD LCR Circuits - EA01C"</f>
        <v>JM, PDF on CD LCR Circuits - EA01C</v>
      </c>
      <c r="D107" s="4"/>
      <c r="E107" s="4">
        <v>1</v>
      </c>
      <c r="F107" s="4"/>
      <c r="G107" s="29" t="str">
        <f>IFERROR(HYPERLINK("#"&amp;ADDRESS(MATCH(B107&amp;"ES",'LM7 Non-ENG'!$A$1:$A$5000,0),1,,,"LM7 Non-ENG"),IF(IFERROR(VLOOKUP(B107&amp;"ES",'LM7 Non-ENG'!$A$1:$A$4999,1,FALSE),"ERROR")=B107&amp;"ES","Y","")),"")</f>
        <v/>
      </c>
      <c r="H107" s="29" t="str">
        <f>IFERROR(HYPERLINK("#"&amp;ADDRESS(MATCH(B107&amp;"PT",'LM7 Non-ENG'!$A$1:$A$5000,0),1,,,"LM7 Non-ENG"),IF(IFERROR(VLOOKUP(B107&amp;"PT",'LM7 Non-ENG'!$A$1:$A$5000,1,FALSE),"ERROR")=B107&amp;"PT","Y","")),"")</f>
        <v/>
      </c>
      <c r="I107" t="str">
        <f>IFERROR(VLOOKUP(B107,PN!$A:$C,3,FALSE),"")</f>
        <v>Active</v>
      </c>
      <c r="J107" s="3" t="str">
        <f>IFERROR(E107*VLOOKUP(B107,PLInter!$A:$D,3,FALSE),"")</f>
        <v/>
      </c>
      <c r="K107" s="66"/>
      <c r="L107" s="66"/>
      <c r="M107" s="66"/>
      <c r="N107" s="66"/>
      <c r="O107" s="66"/>
      <c r="P107" s="66"/>
      <c r="Q107" s="66"/>
      <c r="R107" s="66"/>
      <c r="S107" s="66"/>
      <c r="T107" s="66"/>
    </row>
    <row r="108" spans="2:20" ht="18" customHeight="1">
      <c r="B108" t="str">
        <f>"77-EA01D-0000"</f>
        <v>77-EA01D-0000</v>
      </c>
      <c r="C108" t="str">
        <f>"LM7 Content, JM, Motors &amp; Generators"</f>
        <v>LM7 Content, JM, Motors &amp; Generators</v>
      </c>
      <c r="D108" s="4"/>
      <c r="E108" s="4">
        <v>1</v>
      </c>
      <c r="F108" s="4"/>
      <c r="G108" s="29" t="str">
        <f>IFERROR(HYPERLINK("#"&amp;ADDRESS(MATCH(B108&amp;"ES",'LM7 Non-ENG'!$A$1:$A$5000,0),1,,,"LM7 Non-ENG"),IF(IFERROR(VLOOKUP(B108&amp;"ES",'LM7 Non-ENG'!$A$1:$A$4999,1,FALSE),"ERROR")=B108&amp;"ES","Y","")),"")</f>
        <v>Y</v>
      </c>
      <c r="H108" s="29" t="str">
        <f>IFERROR(HYPERLINK("#"&amp;ADDRESS(MATCH(B108&amp;"PT",'LM7 Non-ENG'!$A$1:$A$5000,0),1,,,"LM7 Non-ENG"),IF(IFERROR(VLOOKUP(B108&amp;"PT",'LM7 Non-ENG'!$A$1:$A$5000,1,FALSE),"ERROR")=B108&amp;"PT","Y","")),"")</f>
        <v>Y</v>
      </c>
      <c r="I108" t="str">
        <f>IFERROR(VLOOKUP(B108,PN!$A:$C,3,FALSE),"")</f>
        <v>Active</v>
      </c>
      <c r="J108" s="3">
        <f>IFERROR(E108*VLOOKUP(B108,PLInter!$A:$D,3,FALSE),"")</f>
        <v>1295</v>
      </c>
      <c r="K108" s="66"/>
      <c r="L108" s="66"/>
      <c r="M108" s="66"/>
      <c r="N108" s="66"/>
      <c r="O108" s="66"/>
      <c r="P108" s="66"/>
      <c r="Q108" s="66"/>
      <c r="R108" s="66"/>
      <c r="S108" s="66"/>
      <c r="T108" s="66"/>
    </row>
    <row r="109" spans="2:20" ht="18" customHeight="1">
      <c r="B109" s="2" t="str">
        <f>"17-EA01D-0000"</f>
        <v>17-EA01D-0000</v>
      </c>
      <c r="C109" s="2" t="str">
        <f>"LM5.X Content, JM, Motors &amp; Generators"</f>
        <v>LM5.X Content, JM, Motors &amp; Generators</v>
      </c>
      <c r="D109" s="5"/>
      <c r="E109" s="16">
        <v>0</v>
      </c>
      <c r="F109" s="5" t="str">
        <f>"Y"</f>
        <v>Y</v>
      </c>
      <c r="G109" s="29" t="str">
        <f>IFERROR(HYPERLINK("#"&amp;ADDRESS(MATCH(B109&amp;"ES",'LM7 Non-ENG'!$A$1:$A$5000,0),1,,,"LM7 Non-ENG"),IF(IFERROR(VLOOKUP(B109&amp;"ES",'LM7 Non-ENG'!$A$1:$A$4999,1,FALSE),"ERROR")=B109&amp;"ES","Y","")),"")</f>
        <v/>
      </c>
      <c r="H109" s="29" t="str">
        <f>IFERROR(HYPERLINK("#"&amp;ADDRESS(MATCH(B109&amp;"PT",'LM7 Non-ENG'!$A$1:$A$5000,0),1,,,"LM7 Non-ENG"),IF(IFERROR(VLOOKUP(B109&amp;"PT",'LM7 Non-ENG'!$A$1:$A$5000,1,FALSE),"ERROR")=B109&amp;"PT","Y","")),"")</f>
        <v/>
      </c>
      <c r="I109" t="str">
        <f>IFERROR(VLOOKUP(B109,PN!$A:$C,3,FALSE),"")</f>
        <v>Active</v>
      </c>
      <c r="J109" s="3">
        <f>IFERROR(E109*VLOOKUP(B109,PLInter!$A:$D,3,FALSE),"")</f>
        <v>0</v>
      </c>
      <c r="K109" s="66"/>
      <c r="L109" s="66"/>
      <c r="M109" s="66"/>
      <c r="N109" s="66"/>
      <c r="O109" s="66"/>
      <c r="P109" s="66"/>
      <c r="Q109" s="66"/>
      <c r="R109" s="66"/>
      <c r="S109" s="66"/>
      <c r="T109" s="66"/>
    </row>
    <row r="110" spans="2:20" ht="18" customHeight="1">
      <c r="B110" t="str">
        <f>"36-EA01D-IG01"</f>
        <v>36-EA01D-IG01</v>
      </c>
      <c r="C110" t="str">
        <f>"JM, PDF on CD Motors and Generators - EA01D"</f>
        <v>JM, PDF on CD Motors and Generators - EA01D</v>
      </c>
      <c r="D110" s="4"/>
      <c r="E110" s="4">
        <v>1</v>
      </c>
      <c r="F110" s="4"/>
      <c r="G110" s="29" t="str">
        <f>IFERROR(HYPERLINK("#"&amp;ADDRESS(MATCH(B110&amp;"ES",'LM7 Non-ENG'!$A$1:$A$5000,0),1,,,"LM7 Non-ENG"),IF(IFERROR(VLOOKUP(B110&amp;"ES",'LM7 Non-ENG'!$A$1:$A$4999,1,FALSE),"ERROR")=B110&amp;"ES","Y","")),"")</f>
        <v/>
      </c>
      <c r="H110" s="29" t="str">
        <f>IFERROR(HYPERLINK("#"&amp;ADDRESS(MATCH(B110&amp;"PT",'LM7 Non-ENG'!$A$1:$A$5000,0),1,,,"LM7 Non-ENG"),IF(IFERROR(VLOOKUP(B110&amp;"PT",'LM7 Non-ENG'!$A$1:$A$5000,1,FALSE),"ERROR")=B110&amp;"PT","Y","")),"")</f>
        <v/>
      </c>
      <c r="I110" t="str">
        <f>IFERROR(VLOOKUP(B110,PN!$A:$C,3,FALSE),"")</f>
        <v>Active</v>
      </c>
      <c r="J110" s="3" t="str">
        <f>IFERROR(E110*VLOOKUP(B110,PLInter!$A:$D,3,FALSE),"")</f>
        <v/>
      </c>
      <c r="K110" s="66"/>
      <c r="L110" s="66"/>
      <c r="M110" s="66"/>
      <c r="N110" s="66"/>
      <c r="O110" s="66"/>
      <c r="P110" s="66"/>
      <c r="Q110" s="66"/>
      <c r="R110" s="66"/>
      <c r="S110" s="66"/>
      <c r="T110" s="66"/>
    </row>
    <row r="111" spans="2:20" ht="18" customHeight="1">
      <c r="B111" t="str">
        <f>"77-EA02-0000"</f>
        <v>77-EA02-0000</v>
      </c>
      <c r="C111" t="str">
        <f>"LM7 Content, JM, Electric Circuit Protection"</f>
        <v>LM7 Content, JM, Electric Circuit Protection</v>
      </c>
      <c r="D111" s="4"/>
      <c r="E111" s="4">
        <v>1</v>
      </c>
      <c r="F111" s="4"/>
      <c r="G111" s="29" t="str">
        <f>IFERROR(HYPERLINK("#"&amp;ADDRESS(MATCH(B111&amp;"ES",'LM7 Non-ENG'!$A$1:$A$5000,0),1,,,"LM7 Non-ENG"),IF(IFERROR(VLOOKUP(B111&amp;"ES",'LM7 Non-ENG'!$A$1:$A$4999,1,FALSE),"ERROR")=B111&amp;"ES","Y","")),"")</f>
        <v>Y</v>
      </c>
      <c r="H111" s="29" t="str">
        <f>IFERROR(HYPERLINK("#"&amp;ADDRESS(MATCH(B111&amp;"PT",'LM7 Non-ENG'!$A$1:$A$5000,0),1,,,"LM7 Non-ENG"),IF(IFERROR(VLOOKUP(B111&amp;"PT",'LM7 Non-ENG'!$A$1:$A$5000,1,FALSE),"ERROR")=B111&amp;"PT","Y","")),"")</f>
        <v/>
      </c>
      <c r="I111" t="str">
        <f>IFERROR(VLOOKUP(B111,PN!$A:$C,3,FALSE),"")</f>
        <v>Active</v>
      </c>
      <c r="J111" s="3">
        <f>IFERROR(E111*VLOOKUP(B111,PLInter!$A:$D,3,FALSE),"")</f>
        <v>700</v>
      </c>
      <c r="K111" s="66"/>
      <c r="L111" s="66"/>
      <c r="M111" s="66"/>
      <c r="N111" s="66"/>
      <c r="O111" s="66"/>
      <c r="P111" s="66"/>
      <c r="Q111" s="66"/>
      <c r="R111" s="66"/>
      <c r="S111" s="66"/>
      <c r="T111" s="66"/>
    </row>
    <row r="112" spans="2:20" ht="18" customHeight="1">
      <c r="B112" s="2" t="str">
        <f>"17-EA02-0000"</f>
        <v>17-EA02-0000</v>
      </c>
      <c r="C112" s="2" t="str">
        <f>"LM5.X Content, JM, Electric Circuit Protection"</f>
        <v>LM5.X Content, JM, Electric Circuit Protection</v>
      </c>
      <c r="D112" s="5"/>
      <c r="E112" s="16">
        <v>0</v>
      </c>
      <c r="F112" s="5" t="str">
        <f>"Y"</f>
        <v>Y</v>
      </c>
      <c r="G112" s="29" t="str">
        <f>IFERROR(HYPERLINK("#"&amp;ADDRESS(MATCH(B112&amp;"ES",'LM7 Non-ENG'!$A$1:$A$5000,0),1,,,"LM7 Non-ENG"),IF(IFERROR(VLOOKUP(B112&amp;"ES",'LM7 Non-ENG'!$A$1:$A$4999,1,FALSE),"ERROR")=B112&amp;"ES","Y","")),"")</f>
        <v/>
      </c>
      <c r="H112" s="29" t="str">
        <f>IFERROR(HYPERLINK("#"&amp;ADDRESS(MATCH(B112&amp;"PT",'LM7 Non-ENG'!$A$1:$A$5000,0),1,,,"LM7 Non-ENG"),IF(IFERROR(VLOOKUP(B112&amp;"PT",'LM7 Non-ENG'!$A$1:$A$5000,1,FALSE),"ERROR")=B112&amp;"PT","Y","")),"")</f>
        <v/>
      </c>
      <c r="I112" t="str">
        <f>IFERROR(VLOOKUP(B112,PN!$A:$C,3,FALSE),"")</f>
        <v>Active</v>
      </c>
      <c r="J112" s="3">
        <f>IFERROR(E112*VLOOKUP(B112,PLInter!$A:$D,3,FALSE),"")</f>
        <v>0</v>
      </c>
      <c r="K112" s="66"/>
      <c r="L112" s="66"/>
      <c r="M112" s="66"/>
      <c r="N112" s="66"/>
      <c r="O112" s="66"/>
      <c r="P112" s="66"/>
      <c r="Q112" s="66"/>
      <c r="R112" s="66"/>
      <c r="S112" s="66"/>
      <c r="T112" s="66"/>
    </row>
    <row r="113" spans="2:20" ht="18" customHeight="1">
      <c r="B113" t="str">
        <f>"26-E022-0000"</f>
        <v>26-E022-0000</v>
      </c>
      <c r="C113" t="str">
        <f>"Assembly, JM, E022, Manual Starter Panel"</f>
        <v>Assembly, JM, E022, Manual Starter Panel</v>
      </c>
      <c r="D113" s="4"/>
      <c r="E113" s="4">
        <v>2</v>
      </c>
      <c r="F113" s="4"/>
      <c r="G113" s="29" t="str">
        <f>IFERROR(HYPERLINK("#"&amp;ADDRESS(MATCH(B113&amp;"ES",'LM7 Non-ENG'!$A$1:$A$5000,0),1,,,"LM7 Non-ENG"),IF(IFERROR(VLOOKUP(B113&amp;"ES",'LM7 Non-ENG'!$A$1:$A$4999,1,FALSE),"ERROR")=B113&amp;"ES","Y","")),"")</f>
        <v/>
      </c>
      <c r="H113" s="29" t="str">
        <f>IFERROR(HYPERLINK("#"&amp;ADDRESS(MATCH(B113&amp;"PT",'LM7 Non-ENG'!$A$1:$A$5000,0),1,,,"LM7 Non-ENG"),IF(IFERROR(VLOOKUP(B113&amp;"PT",'LM7 Non-ENG'!$A$1:$A$5000,1,FALSE),"ERROR")=B113&amp;"PT","Y","")),"")</f>
        <v/>
      </c>
      <c r="I113" t="str">
        <f>IFERROR(VLOOKUP(B113,PN!$A:$C,3,FALSE),"")</f>
        <v>Active</v>
      </c>
      <c r="J113" s="3">
        <f>IFERROR(E113*VLOOKUP(B113,PLInter!$A:$D,3,FALSE),"")</f>
        <v>3200</v>
      </c>
      <c r="K113" s="66"/>
      <c r="L113" s="66"/>
      <c r="M113" s="66"/>
      <c r="N113" s="66"/>
      <c r="O113" s="66"/>
      <c r="P113" s="66"/>
      <c r="Q113" s="66"/>
      <c r="R113" s="66"/>
      <c r="S113" s="66"/>
      <c r="T113" s="66"/>
    </row>
    <row r="114" spans="2:20" ht="18" customHeight="1">
      <c r="B114" t="str">
        <f>"26-E030-0000"</f>
        <v>26-E030-0000</v>
      </c>
      <c r="C114" t="str">
        <f>"Assembly, JM, E030, Overload Protection Panel"</f>
        <v>Assembly, JM, E030, Overload Protection Panel</v>
      </c>
      <c r="D114" s="4"/>
      <c r="E114" s="4">
        <v>2</v>
      </c>
      <c r="F114" s="4"/>
      <c r="G114" s="29" t="str">
        <f>IFERROR(HYPERLINK("#"&amp;ADDRESS(MATCH(B114&amp;"ES",'LM7 Non-ENG'!$A$1:$A$5000,0),1,,,"LM7 Non-ENG"),IF(IFERROR(VLOOKUP(B114&amp;"ES",'LM7 Non-ENG'!$A$1:$A$4999,1,FALSE),"ERROR")=B114&amp;"ES","Y","")),"")</f>
        <v/>
      </c>
      <c r="H114" s="29" t="str">
        <f>IFERROR(HYPERLINK("#"&amp;ADDRESS(MATCH(B114&amp;"PT",'LM7 Non-ENG'!$A$1:$A$5000,0),1,,,"LM7 Non-ENG"),IF(IFERROR(VLOOKUP(B114&amp;"PT",'LM7 Non-ENG'!$A$1:$A$5000,1,FALSE),"ERROR")=B114&amp;"PT","Y","")),"")</f>
        <v/>
      </c>
      <c r="I114" t="str">
        <f>IFERROR(VLOOKUP(B114,PN!$A:$C,3,FALSE),"")</f>
        <v>Active</v>
      </c>
      <c r="J114" s="3">
        <f>IFERROR(E114*VLOOKUP(B114,PLInter!$A:$D,3,FALSE),"")</f>
        <v>1668</v>
      </c>
      <c r="K114" s="66"/>
      <c r="L114" s="66"/>
      <c r="M114" s="66"/>
      <c r="N114" s="66"/>
      <c r="O114" s="66"/>
      <c r="P114" s="66"/>
      <c r="Q114" s="66"/>
      <c r="R114" s="66"/>
      <c r="S114" s="66"/>
      <c r="T114" s="66"/>
    </row>
    <row r="115" spans="2:20" ht="18" customHeight="1">
      <c r="B115" t="str">
        <f>"36-EA02-IG01"</f>
        <v>36-EA02-IG01</v>
      </c>
      <c r="C115" t="str">
        <f>"JM, PDF on CD Electric Circuit Protection - EA02"</f>
        <v>JM, PDF on CD Electric Circuit Protection - EA02</v>
      </c>
      <c r="D115" s="4"/>
      <c r="E115" s="4">
        <v>1</v>
      </c>
      <c r="F115" s="4"/>
      <c r="G115" s="29" t="str">
        <f>IFERROR(HYPERLINK("#"&amp;ADDRESS(MATCH(B115&amp;"ES",'LM7 Non-ENG'!$A$1:$A$5000,0),1,,,"LM7 Non-ENG"),IF(IFERROR(VLOOKUP(B115&amp;"ES",'LM7 Non-ENG'!$A$1:$A$4999,1,FALSE),"ERROR")=B115&amp;"ES","Y","")),"")</f>
        <v/>
      </c>
      <c r="H115" s="29" t="str">
        <f>IFERROR(HYPERLINK("#"&amp;ADDRESS(MATCH(B115&amp;"PT",'LM7 Non-ENG'!$A$1:$A$5000,0),1,,,"LM7 Non-ENG"),IF(IFERROR(VLOOKUP(B115&amp;"PT",'LM7 Non-ENG'!$A$1:$A$5000,1,FALSE),"ERROR")=B115&amp;"PT","Y","")),"")</f>
        <v/>
      </c>
      <c r="I115" t="str">
        <f>IFERROR(VLOOKUP(B115,PN!$A:$C,3,FALSE),"")</f>
        <v>Active</v>
      </c>
      <c r="J115" s="3">
        <f>IFERROR(E115*VLOOKUP(B115,PLInter!$A:$D,3,FALSE),"")</f>
        <v>0</v>
      </c>
      <c r="K115" s="66"/>
      <c r="L115" s="66"/>
      <c r="M115" s="66"/>
      <c r="N115" s="66"/>
      <c r="O115" s="66"/>
      <c r="P115" s="66"/>
      <c r="Q115" s="66"/>
      <c r="R115" s="66"/>
      <c r="S115" s="66"/>
      <c r="T115" s="66"/>
    </row>
    <row r="116" spans="2:20" ht="18" customHeight="1">
      <c r="B116" t="str">
        <f>"77-EA03-0000"</f>
        <v>77-EA03-0000</v>
      </c>
      <c r="C116" t="str">
        <f>"LM7 Content, JM, 3 Phase Transformers"</f>
        <v>LM7 Content, JM, 3 Phase Transformers</v>
      </c>
      <c r="D116" s="4"/>
      <c r="E116" s="4">
        <v>1</v>
      </c>
      <c r="F116" s="4"/>
      <c r="G116" s="29" t="str">
        <f>IFERROR(HYPERLINK("#"&amp;ADDRESS(MATCH(B116&amp;"ES",'LM7 Non-ENG'!$A$1:$A$5000,0),1,,,"LM7 Non-ENG"),IF(IFERROR(VLOOKUP(B116&amp;"ES",'LM7 Non-ENG'!$A$1:$A$4999,1,FALSE),"ERROR")=B116&amp;"ES","Y","")),"")</f>
        <v>Y</v>
      </c>
      <c r="H116" s="29" t="str">
        <f>IFERROR(HYPERLINK("#"&amp;ADDRESS(MATCH(B116&amp;"PT",'LM7 Non-ENG'!$A$1:$A$5000,0),1,,,"LM7 Non-ENG"),IF(IFERROR(VLOOKUP(B116&amp;"PT",'LM7 Non-ENG'!$A$1:$A$5000,1,FALSE),"ERROR")=B116&amp;"PT","Y","")),"")</f>
        <v>Y</v>
      </c>
      <c r="I116" t="str">
        <f>IFERROR(VLOOKUP(B116,PN!$A:$C,3,FALSE),"")</f>
        <v>Active</v>
      </c>
      <c r="J116" s="3">
        <f>IFERROR(E116*VLOOKUP(B116,PLInter!$A:$D,3,FALSE),"")</f>
        <v>700</v>
      </c>
      <c r="K116" s="66"/>
      <c r="L116" s="66"/>
      <c r="M116" s="66"/>
      <c r="N116" s="66"/>
      <c r="O116" s="66"/>
      <c r="P116" s="66"/>
      <c r="Q116" s="66"/>
      <c r="R116" s="66"/>
      <c r="S116" s="66"/>
      <c r="T116" s="66"/>
    </row>
    <row r="117" spans="2:20" ht="18" customHeight="1">
      <c r="B117" s="2" t="str">
        <f>"17-EA03-0000"</f>
        <v>17-EA03-0000</v>
      </c>
      <c r="C117" s="2" t="str">
        <f>"LM5.X Content, JM, 3 Phase Transformers"</f>
        <v>LM5.X Content, JM, 3 Phase Transformers</v>
      </c>
      <c r="D117" s="5"/>
      <c r="E117" s="16">
        <v>0</v>
      </c>
      <c r="F117" s="5" t="str">
        <f>"Y"</f>
        <v>Y</v>
      </c>
      <c r="G117" s="29" t="str">
        <f>IFERROR(HYPERLINK("#"&amp;ADDRESS(MATCH(B117&amp;"ES",'LM7 Non-ENG'!$A$1:$A$5000,0),1,,,"LM7 Non-ENG"),IF(IFERROR(VLOOKUP(B117&amp;"ES",'LM7 Non-ENG'!$A$1:$A$4999,1,FALSE),"ERROR")=B117&amp;"ES","Y","")),"")</f>
        <v/>
      </c>
      <c r="H117" s="29" t="str">
        <f>IFERROR(HYPERLINK("#"&amp;ADDRESS(MATCH(B117&amp;"PT",'LM7 Non-ENG'!$A$1:$A$5000,0),1,,,"LM7 Non-ENG"),IF(IFERROR(VLOOKUP(B117&amp;"PT",'LM7 Non-ENG'!$A$1:$A$5000,1,FALSE),"ERROR")=B117&amp;"PT","Y","")),"")</f>
        <v/>
      </c>
      <c r="I117" t="str">
        <f>IFERROR(VLOOKUP(B117,PN!$A:$C,3,FALSE),"")</f>
        <v>Active</v>
      </c>
      <c r="J117" s="3">
        <f>IFERROR(E117*VLOOKUP(B117,PLInter!$A:$D,3,FALSE),"")</f>
        <v>0</v>
      </c>
      <c r="K117" s="66"/>
      <c r="L117" s="66"/>
      <c r="M117" s="66"/>
      <c r="N117" s="66"/>
      <c r="O117" s="66"/>
      <c r="P117" s="66"/>
      <c r="Q117" s="66"/>
      <c r="R117" s="66"/>
      <c r="S117" s="66"/>
      <c r="T117" s="66"/>
    </row>
    <row r="118" spans="2:20" ht="18" customHeight="1">
      <c r="B118" t="str">
        <f>"26-E003-0000"</f>
        <v>26-E003-0000</v>
      </c>
      <c r="C118" t="str">
        <f>"Assembly, JM, E003, 3-Phase Transformer Panel"</f>
        <v>Assembly, JM, E003, 3-Phase Transformer Panel</v>
      </c>
      <c r="D118" s="4"/>
      <c r="E118" s="4">
        <v>2</v>
      </c>
      <c r="F118" s="4"/>
      <c r="G118" s="29" t="str">
        <f>IFERROR(HYPERLINK("#"&amp;ADDRESS(MATCH(B118&amp;"ES",'LM7 Non-ENG'!$A$1:$A$5000,0),1,,,"LM7 Non-ENG"),IF(IFERROR(VLOOKUP(B118&amp;"ES",'LM7 Non-ENG'!$A$1:$A$4999,1,FALSE),"ERROR")=B118&amp;"ES","Y","")),"")</f>
        <v/>
      </c>
      <c r="H118" s="29" t="str">
        <f>IFERROR(HYPERLINK("#"&amp;ADDRESS(MATCH(B118&amp;"PT",'LM7 Non-ENG'!$A$1:$A$5000,0),1,,,"LM7 Non-ENG"),IF(IFERROR(VLOOKUP(B118&amp;"PT",'LM7 Non-ENG'!$A$1:$A$5000,1,FALSE),"ERROR")=B118&amp;"PT","Y","")),"")</f>
        <v/>
      </c>
      <c r="I118" t="str">
        <f>IFERROR(VLOOKUP(B118,PN!$A:$C,3,FALSE),"")</f>
        <v>Active</v>
      </c>
      <c r="J118" s="3">
        <f>IFERROR(E118*VLOOKUP(B118,PLInter!$A:$D,3,FALSE),"")</f>
        <v>1800</v>
      </c>
      <c r="K118" s="66"/>
      <c r="L118" s="66"/>
      <c r="M118" s="66"/>
      <c r="N118" s="66"/>
      <c r="O118" s="66"/>
      <c r="P118" s="66"/>
      <c r="Q118" s="66"/>
      <c r="R118" s="66"/>
      <c r="S118" s="66"/>
      <c r="T118" s="66"/>
    </row>
    <row r="119" spans="2:20" ht="18" customHeight="1">
      <c r="B119" t="str">
        <f>"36-EA03-IG01"</f>
        <v>36-EA03-IG01</v>
      </c>
      <c r="C119" t="str">
        <f>"JM, PDF on CD 3 Phase Transformers- EA03"</f>
        <v>JM, PDF on CD 3 Phase Transformers- EA03</v>
      </c>
      <c r="D119" s="4"/>
      <c r="E119" s="4">
        <v>1</v>
      </c>
      <c r="F119" s="4"/>
      <c r="G119" s="29" t="str">
        <f>IFERROR(HYPERLINK("#"&amp;ADDRESS(MATCH(B119&amp;"ES",'LM7 Non-ENG'!$A$1:$A$5000,0),1,,,"LM7 Non-ENG"),IF(IFERROR(VLOOKUP(B119&amp;"ES",'LM7 Non-ENG'!$A$1:$A$4999,1,FALSE),"ERROR")=B119&amp;"ES","Y","")),"")</f>
        <v/>
      </c>
      <c r="H119" s="29" t="str">
        <f>IFERROR(HYPERLINK("#"&amp;ADDRESS(MATCH(B119&amp;"PT",'LM7 Non-ENG'!$A$1:$A$5000,0),1,,,"LM7 Non-ENG"),IF(IFERROR(VLOOKUP(B119&amp;"PT",'LM7 Non-ENG'!$A$1:$A$5000,1,FALSE),"ERROR")=B119&amp;"PT","Y","")),"")</f>
        <v/>
      </c>
      <c r="I119" t="str">
        <f>IFERROR(VLOOKUP(B119,PN!$A:$C,3,FALSE),"")</f>
        <v>Active</v>
      </c>
      <c r="J119" s="3">
        <f>IFERROR(E119*VLOOKUP(B119,PLInter!$A:$D,3,FALSE),"")</f>
        <v>0</v>
      </c>
      <c r="K119" s="66"/>
      <c r="L119" s="66"/>
      <c r="M119" s="66"/>
      <c r="N119" s="66"/>
      <c r="O119" s="66"/>
      <c r="P119" s="66"/>
      <c r="Q119" s="66"/>
      <c r="R119" s="66"/>
      <c r="S119" s="66"/>
      <c r="T119" s="66"/>
    </row>
    <row r="120" spans="2:20" ht="18" customHeight="1">
      <c r="B120" t="str">
        <f>"77-EA04-0000"</f>
        <v>77-EA04-0000</v>
      </c>
      <c r="C120" t="str">
        <f>"LM7 Content, JM, Electric Motors"</f>
        <v>LM7 Content, JM, Electric Motors</v>
      </c>
      <c r="D120" s="4"/>
      <c r="E120" s="4">
        <v>1</v>
      </c>
      <c r="F120" s="4"/>
      <c r="G120" s="29" t="str">
        <f>IFERROR(HYPERLINK("#"&amp;ADDRESS(MATCH(B120&amp;"ES",'LM7 Non-ENG'!$A$1:$A$5000,0),1,,,"LM7 Non-ENG"),IF(IFERROR(VLOOKUP(B120&amp;"ES",'LM7 Non-ENG'!$A$1:$A$4999,1,FALSE),"ERROR")=B120&amp;"ES","Y","")),"")</f>
        <v>Y</v>
      </c>
      <c r="H120" s="29" t="str">
        <f>IFERROR(HYPERLINK("#"&amp;ADDRESS(MATCH(B120&amp;"PT",'LM7 Non-ENG'!$A$1:$A$5000,0),1,,,"LM7 Non-ENG"),IF(IFERROR(VLOOKUP(B120&amp;"PT",'LM7 Non-ENG'!$A$1:$A$5000,1,FALSE),"ERROR")=B120&amp;"PT","Y","")),"")</f>
        <v/>
      </c>
      <c r="I120" t="str">
        <f>IFERROR(VLOOKUP(B120,PN!$A:$C,3,FALSE),"")</f>
        <v>Active</v>
      </c>
      <c r="J120" s="3">
        <f>IFERROR(E120*VLOOKUP(B120,PLInter!$A:$D,3,FALSE),"")</f>
        <v>700</v>
      </c>
      <c r="K120" s="66"/>
      <c r="L120" s="66"/>
      <c r="M120" s="66"/>
      <c r="N120" s="66"/>
      <c r="O120" s="66"/>
      <c r="P120" s="66"/>
      <c r="Q120" s="66"/>
      <c r="R120" s="66"/>
      <c r="S120" s="66"/>
      <c r="T120" s="66"/>
    </row>
    <row r="121" spans="2:20" ht="18" customHeight="1">
      <c r="B121" s="2" t="str">
        <f>"17-EA04-0000"</f>
        <v>17-EA04-0000</v>
      </c>
      <c r="C121" s="2" t="str">
        <f>"LM5.X Content, JM, Electric Motors"</f>
        <v>LM5.X Content, JM, Electric Motors</v>
      </c>
      <c r="D121" s="5"/>
      <c r="E121" s="16">
        <v>0</v>
      </c>
      <c r="F121" s="5" t="str">
        <f>"Y"</f>
        <v>Y</v>
      </c>
      <c r="G121" s="29" t="str">
        <f>IFERROR(HYPERLINK("#"&amp;ADDRESS(MATCH(B121&amp;"ES",'LM7 Non-ENG'!$A$1:$A$5000,0),1,,,"LM7 Non-ENG"),IF(IFERROR(VLOOKUP(B121&amp;"ES",'LM7 Non-ENG'!$A$1:$A$4999,1,FALSE),"ERROR")=B121&amp;"ES","Y","")),"")</f>
        <v/>
      </c>
      <c r="H121" s="29" t="str">
        <f>IFERROR(HYPERLINK("#"&amp;ADDRESS(MATCH(B121&amp;"PT",'LM7 Non-ENG'!$A$1:$A$5000,0),1,,,"LM7 Non-ENG"),IF(IFERROR(VLOOKUP(B121&amp;"PT",'LM7 Non-ENG'!$A$1:$A$5000,1,FALSE),"ERROR")=B121&amp;"PT","Y","")),"")</f>
        <v/>
      </c>
      <c r="I121" t="str">
        <f>IFERROR(VLOOKUP(B121,PN!$A:$C,3,FALSE),"")</f>
        <v>Active</v>
      </c>
      <c r="J121" s="3">
        <f>IFERROR(E121*VLOOKUP(B121,PLInter!$A:$D,3,FALSE),"")</f>
        <v>0</v>
      </c>
      <c r="K121" s="66"/>
      <c r="L121" s="66"/>
      <c r="M121" s="66"/>
      <c r="N121" s="66"/>
      <c r="O121" s="66"/>
      <c r="P121" s="66"/>
      <c r="Q121" s="66"/>
      <c r="R121" s="66"/>
      <c r="S121" s="66"/>
      <c r="T121" s="66"/>
    </row>
    <row r="122" spans="2:20" ht="18" customHeight="1">
      <c r="B122" s="1" t="str">
        <f>"26-E007-0000"</f>
        <v>26-E007-0000</v>
      </c>
      <c r="C122" s="1" t="str">
        <f>"Assembly, JM, E007 - SCR Speed Control Panel"</f>
        <v>Assembly, JM, E007 - SCR Speed Control Panel</v>
      </c>
      <c r="D122" s="6" t="s">
        <v>0</v>
      </c>
      <c r="E122" s="6">
        <v>2</v>
      </c>
      <c r="F122" s="6"/>
      <c r="G122" s="29" t="str">
        <f>IFERROR(HYPERLINK("#"&amp;ADDRESS(MATCH(B122&amp;"ES",'LM7 Non-ENG'!$A$1:$A$5000,0),1,,,"LM7 Non-ENG"),IF(IFERROR(VLOOKUP(B122&amp;"ES",'LM7 Non-ENG'!$A$1:$A$4999,1,FALSE),"ERROR")=B122&amp;"ES","Y","")),"")</f>
        <v/>
      </c>
      <c r="H122" s="29" t="str">
        <f>IFERROR(HYPERLINK("#"&amp;ADDRESS(MATCH(B122&amp;"PT",'LM7 Non-ENG'!$A$1:$A$5000,0),1,,,"LM7 Non-ENG"),IF(IFERROR(VLOOKUP(B122&amp;"PT",'LM7 Non-ENG'!$A$1:$A$5000,1,FALSE),"ERROR")=B122&amp;"PT","Y","")),"")</f>
        <v/>
      </c>
      <c r="I122" t="str">
        <f>IFERROR(VLOOKUP(B122,PN!$A:$C,3,FALSE),"")</f>
        <v>Active</v>
      </c>
      <c r="J122" s="3">
        <f>IFERROR(E122*VLOOKUP(B122,PLInter!$A:$D,3,FALSE),"")</f>
        <v>1300</v>
      </c>
      <c r="K122" s="66"/>
      <c r="L122" s="66"/>
      <c r="M122" s="66"/>
      <c r="N122" s="66"/>
      <c r="O122" s="66"/>
      <c r="P122" s="66"/>
      <c r="Q122" s="66"/>
      <c r="R122" s="66"/>
      <c r="S122" s="66"/>
      <c r="T122" s="66"/>
    </row>
    <row r="123" spans="2:20" ht="18" customHeight="1">
      <c r="B123" s="1" t="str">
        <f>"26-E010-0000"</f>
        <v>26-E010-0000</v>
      </c>
      <c r="C123" s="1" t="str">
        <f>"Assembly, JM, E010 - Three Phase Motor Panel"</f>
        <v>Assembly, JM, E010 - Three Phase Motor Panel</v>
      </c>
      <c r="D123" s="6" t="s">
        <v>0</v>
      </c>
      <c r="E123" s="6">
        <v>2</v>
      </c>
      <c r="F123" s="6"/>
      <c r="G123" s="29" t="str">
        <f>IFERROR(HYPERLINK("#"&amp;ADDRESS(MATCH(B123&amp;"ES",'LM7 Non-ENG'!$A$1:$A$5000,0),1,,,"LM7 Non-ENG"),IF(IFERROR(VLOOKUP(B123&amp;"ES",'LM7 Non-ENG'!$A$1:$A$4999,1,FALSE),"ERROR")=B123&amp;"ES","Y","")),"")</f>
        <v/>
      </c>
      <c r="H123" s="29" t="str">
        <f>IFERROR(HYPERLINK("#"&amp;ADDRESS(MATCH(B123&amp;"PT",'LM7 Non-ENG'!$A$1:$A$5000,0),1,,,"LM7 Non-ENG"),IF(IFERROR(VLOOKUP(B123&amp;"PT",'LM7 Non-ENG'!$A$1:$A$5000,1,FALSE),"ERROR")=B123&amp;"PT","Y","")),"")</f>
        <v/>
      </c>
      <c r="I123" t="str">
        <f>IFERROR(VLOOKUP(B123,PN!$A:$C,3,FALSE),"")</f>
        <v>Active</v>
      </c>
      <c r="J123" s="3">
        <f>IFERROR(E123*VLOOKUP(B123,PLInter!$A:$D,3,FALSE),"")</f>
        <v>2000</v>
      </c>
      <c r="K123" s="66"/>
      <c r="L123" s="66"/>
      <c r="M123" s="66"/>
      <c r="N123" s="66"/>
      <c r="O123" s="66"/>
      <c r="P123" s="66"/>
      <c r="Q123" s="66"/>
      <c r="R123" s="66"/>
      <c r="S123" s="66"/>
      <c r="T123" s="66"/>
    </row>
    <row r="124" spans="2:20" ht="18" customHeight="1">
      <c r="B124" s="1" t="str">
        <f>"26-E012-0000"</f>
        <v>26-E012-0000</v>
      </c>
      <c r="C124" s="1" t="str">
        <f>"Assembly, JM, E012, Transformer Panel"</f>
        <v>Assembly, JM, E012, Transformer Panel</v>
      </c>
      <c r="D124" s="6" t="s">
        <v>0</v>
      </c>
      <c r="E124" s="6">
        <v>2</v>
      </c>
      <c r="F124" s="6"/>
      <c r="G124" s="29" t="str">
        <f>IFERROR(HYPERLINK("#"&amp;ADDRESS(MATCH(B124&amp;"ES",'LM7 Non-ENG'!$A$1:$A$5000,0),1,,,"LM7 Non-ENG"),IF(IFERROR(VLOOKUP(B124&amp;"ES",'LM7 Non-ENG'!$A$1:$A$4999,1,FALSE),"ERROR")=B124&amp;"ES","Y","")),"")</f>
        <v/>
      </c>
      <c r="H124" s="29" t="str">
        <f>IFERROR(HYPERLINK("#"&amp;ADDRESS(MATCH(B124&amp;"PT",'LM7 Non-ENG'!$A$1:$A$5000,0),1,,,"LM7 Non-ENG"),IF(IFERROR(VLOOKUP(B124&amp;"PT",'LM7 Non-ENG'!$A$1:$A$5000,1,FALSE),"ERROR")=B124&amp;"PT","Y","")),"")</f>
        <v/>
      </c>
      <c r="I124" t="str">
        <f>IFERROR(VLOOKUP(B124,PN!$A:$C,3,FALSE),"")</f>
        <v>Active</v>
      </c>
      <c r="J124" s="3">
        <f>IFERROR(E124*VLOOKUP(B124,PLInter!$A:$D,3,FALSE),"")</f>
        <v>1000</v>
      </c>
      <c r="K124" s="66"/>
      <c r="L124" s="66"/>
      <c r="M124" s="66"/>
      <c r="N124" s="66"/>
      <c r="O124" s="66"/>
      <c r="P124" s="66"/>
      <c r="Q124" s="66"/>
      <c r="R124" s="66"/>
      <c r="S124" s="66"/>
      <c r="T124" s="66"/>
    </row>
    <row r="125" spans="2:20" ht="18" customHeight="1">
      <c r="B125" t="str">
        <f>"26-E019-0000"</f>
        <v>26-E019-0000</v>
      </c>
      <c r="C125" t="str">
        <f>"Assembly, JM, E019, Capacitor Start Motor Panel"</f>
        <v>Assembly, JM, E019, Capacitor Start Motor Panel</v>
      </c>
      <c r="D125" s="4"/>
      <c r="E125" s="4">
        <v>2</v>
      </c>
      <c r="F125" s="4"/>
      <c r="G125" s="29" t="str">
        <f>IFERROR(HYPERLINK("#"&amp;ADDRESS(MATCH(B125&amp;"ES",'LM7 Non-ENG'!$A$1:$A$5000,0),1,,,"LM7 Non-ENG"),IF(IFERROR(VLOOKUP(B125&amp;"ES",'LM7 Non-ENG'!$A$1:$A$4999,1,FALSE),"ERROR")=B125&amp;"ES","Y","")),"")</f>
        <v/>
      </c>
      <c r="H125" s="29" t="str">
        <f>IFERROR(HYPERLINK("#"&amp;ADDRESS(MATCH(B125&amp;"PT",'LM7 Non-ENG'!$A$1:$A$5000,0),1,,,"LM7 Non-ENG"),IF(IFERROR(VLOOKUP(B125&amp;"PT",'LM7 Non-ENG'!$A$1:$A$5000,1,FALSE),"ERROR")=B125&amp;"PT","Y","")),"")</f>
        <v/>
      </c>
      <c r="I125" t="str">
        <f>IFERROR(VLOOKUP(B125,PN!$A:$C,3,FALSE),"")</f>
        <v>Active</v>
      </c>
      <c r="J125" s="3">
        <f>IFERROR(E125*VLOOKUP(B125,PLInter!$A:$D,3,FALSE),"")</f>
        <v>1668</v>
      </c>
      <c r="K125" s="66"/>
      <c r="L125" s="66"/>
      <c r="M125" s="66"/>
      <c r="N125" s="66"/>
      <c r="O125" s="66"/>
      <c r="P125" s="66"/>
      <c r="Q125" s="66"/>
      <c r="R125" s="66"/>
      <c r="S125" s="66"/>
      <c r="T125" s="66"/>
    </row>
    <row r="126" spans="2:20" ht="18" customHeight="1">
      <c r="B126" t="str">
        <f>"26-E027-0000"</f>
        <v>26-E027-0000</v>
      </c>
      <c r="C126" t="str">
        <f>"Assembly, JM, E027, Shaded Pole Motor Panel"</f>
        <v>Assembly, JM, E027, Shaded Pole Motor Panel</v>
      </c>
      <c r="D126" s="4"/>
      <c r="E126" s="4">
        <v>2</v>
      </c>
      <c r="F126" s="4"/>
      <c r="G126" s="29" t="str">
        <f>IFERROR(HYPERLINK("#"&amp;ADDRESS(MATCH(B126&amp;"ES",'LM7 Non-ENG'!$A$1:$A$5000,0),1,,,"LM7 Non-ENG"),IF(IFERROR(VLOOKUP(B126&amp;"ES",'LM7 Non-ENG'!$A$1:$A$4999,1,FALSE),"ERROR")=B126&amp;"ES","Y","")),"")</f>
        <v/>
      </c>
      <c r="H126" s="29" t="str">
        <f>IFERROR(HYPERLINK("#"&amp;ADDRESS(MATCH(B126&amp;"PT",'LM7 Non-ENG'!$A$1:$A$5000,0),1,,,"LM7 Non-ENG"),IF(IFERROR(VLOOKUP(B126&amp;"PT",'LM7 Non-ENG'!$A$1:$A$5000,1,FALSE),"ERROR")=B126&amp;"PT","Y","")),"")</f>
        <v/>
      </c>
      <c r="I126" t="str">
        <f>IFERROR(VLOOKUP(B126,PN!$A:$C,3,FALSE),"")</f>
        <v>Active</v>
      </c>
      <c r="J126" s="3">
        <f>IFERROR(E126*VLOOKUP(B126,PLInter!$A:$D,3,FALSE),"")</f>
        <v>1230</v>
      </c>
      <c r="K126" s="66"/>
      <c r="L126" s="66"/>
      <c r="M126" s="66"/>
      <c r="N126" s="66"/>
      <c r="O126" s="66"/>
      <c r="P126" s="66"/>
      <c r="Q126" s="66"/>
      <c r="R126" s="66"/>
      <c r="S126" s="66"/>
      <c r="T126" s="66"/>
    </row>
    <row r="127" spans="2:20" ht="18" customHeight="1">
      <c r="B127" t="str">
        <f>"26-E034-0000"</f>
        <v>26-E034-0000</v>
      </c>
      <c r="C127" t="str">
        <f>"Assembly, JM, E034, DC Motor Panel"</f>
        <v>Assembly, JM, E034, DC Motor Panel</v>
      </c>
      <c r="D127" s="4"/>
      <c r="E127" s="4">
        <v>6</v>
      </c>
      <c r="F127" s="4"/>
      <c r="G127" s="29" t="str">
        <f>IFERROR(HYPERLINK("#"&amp;ADDRESS(MATCH(B127&amp;"ES",'LM7 Non-ENG'!$A$1:$A$5000,0),1,,,"LM7 Non-ENG"),IF(IFERROR(VLOOKUP(B127&amp;"ES",'LM7 Non-ENG'!$A$1:$A$4999,1,FALSE),"ERROR")=B127&amp;"ES","Y","")),"")</f>
        <v/>
      </c>
      <c r="H127" s="29" t="str">
        <f>IFERROR(HYPERLINK("#"&amp;ADDRESS(MATCH(B127&amp;"PT",'LM7 Non-ENG'!$A$1:$A$5000,0),1,,,"LM7 Non-ENG"),IF(IFERROR(VLOOKUP(B127&amp;"PT",'LM7 Non-ENG'!$A$1:$A$5000,1,FALSE),"ERROR")=B127&amp;"PT","Y","")),"")</f>
        <v/>
      </c>
      <c r="I127" t="str">
        <f>IFERROR(VLOOKUP(B127,PN!$A:$C,3,FALSE),"")</f>
        <v>Active</v>
      </c>
      <c r="J127" s="3">
        <f>IFERROR(E127*VLOOKUP(B127,PLInter!$A:$D,3,FALSE),"")</f>
        <v>5400</v>
      </c>
      <c r="K127" s="66"/>
      <c r="L127" s="66"/>
      <c r="M127" s="66"/>
      <c r="N127" s="66"/>
      <c r="O127" s="66"/>
      <c r="P127" s="66"/>
      <c r="Q127" s="66"/>
      <c r="R127" s="66"/>
      <c r="S127" s="66"/>
      <c r="T127" s="66"/>
    </row>
    <row r="128" spans="2:20" ht="18" customHeight="1">
      <c r="B128" t="str">
        <f>"26-E065-0000"</f>
        <v>26-E065-0000</v>
      </c>
      <c r="C128" t="str">
        <f>"Assembly, JM, E065, Split Phase Motor Panel"</f>
        <v>Assembly, JM, E065, Split Phase Motor Panel</v>
      </c>
      <c r="D128" s="4"/>
      <c r="E128" s="4">
        <v>2</v>
      </c>
      <c r="F128" s="4"/>
      <c r="G128" s="29" t="str">
        <f>IFERROR(HYPERLINK("#"&amp;ADDRESS(MATCH(B128&amp;"ES",'LM7 Non-ENG'!$A$1:$A$5000,0),1,,,"LM7 Non-ENG"),IF(IFERROR(VLOOKUP(B128&amp;"ES",'LM7 Non-ENG'!$A$1:$A$4999,1,FALSE),"ERROR")=B128&amp;"ES","Y","")),"")</f>
        <v/>
      </c>
      <c r="H128" s="29" t="str">
        <f>IFERROR(HYPERLINK("#"&amp;ADDRESS(MATCH(B128&amp;"PT",'LM7 Non-ENG'!$A$1:$A$5000,0),1,,,"LM7 Non-ENG"),IF(IFERROR(VLOOKUP(B128&amp;"PT",'LM7 Non-ENG'!$A$1:$A$5000,1,FALSE),"ERROR")=B128&amp;"PT","Y","")),"")</f>
        <v/>
      </c>
      <c r="I128" t="str">
        <f>IFERROR(VLOOKUP(B128,PN!$A:$C,3,FALSE),"")</f>
        <v>Active</v>
      </c>
      <c r="J128" s="3">
        <f>IFERROR(E128*VLOOKUP(B128,PLInter!$A:$D,3,FALSE),"")</f>
        <v>1334</v>
      </c>
      <c r="K128" s="66"/>
      <c r="L128" s="66"/>
      <c r="M128" s="66"/>
      <c r="N128" s="66"/>
      <c r="O128" s="66"/>
      <c r="P128" s="66"/>
      <c r="Q128" s="66"/>
      <c r="R128" s="66"/>
      <c r="S128" s="66"/>
      <c r="T128" s="66"/>
    </row>
    <row r="129" spans="2:20" ht="18" customHeight="1">
      <c r="B129" t="str">
        <f>"26-E066-0000"</f>
        <v>26-E066-0000</v>
      </c>
      <c r="C129" t="str">
        <f>"Assembly, JM, E066, Adjustable Torque Motor Load"</f>
        <v>Assembly, JM, E066, Adjustable Torque Motor Load</v>
      </c>
      <c r="D129" s="4"/>
      <c r="E129" s="4">
        <v>2</v>
      </c>
      <c r="F129" s="4"/>
      <c r="G129" s="29" t="str">
        <f>IFERROR(HYPERLINK("#"&amp;ADDRESS(MATCH(B129&amp;"ES",'LM7 Non-ENG'!$A$1:$A$5000,0),1,,,"LM7 Non-ENG"),IF(IFERROR(VLOOKUP(B129&amp;"ES",'LM7 Non-ENG'!$A$1:$A$4999,1,FALSE),"ERROR")=B129&amp;"ES","Y","")),"")</f>
        <v/>
      </c>
      <c r="H129" s="29" t="str">
        <f>IFERROR(HYPERLINK("#"&amp;ADDRESS(MATCH(B129&amp;"PT",'LM7 Non-ENG'!$A$1:$A$5000,0),1,,,"LM7 Non-ENG"),IF(IFERROR(VLOOKUP(B129&amp;"PT",'LM7 Non-ENG'!$A$1:$A$5000,1,FALSE),"ERROR")=B129&amp;"PT","Y","")),"")</f>
        <v/>
      </c>
      <c r="I129" t="str">
        <f>IFERROR(VLOOKUP(B129,PN!$A:$C,3,FALSE),"")</f>
        <v>Active</v>
      </c>
      <c r="J129" s="3">
        <f>IFERROR(E129*VLOOKUP(B129,PLInter!$A:$D,3,FALSE),"")</f>
        <v>6134</v>
      </c>
      <c r="K129" s="66"/>
      <c r="L129" s="66"/>
      <c r="M129" s="66"/>
      <c r="N129" s="66"/>
      <c r="O129" s="66"/>
      <c r="P129" s="66"/>
      <c r="Q129" s="66"/>
      <c r="R129" s="66"/>
      <c r="S129" s="66"/>
      <c r="T129" s="66"/>
    </row>
    <row r="130" spans="2:20" ht="18" customHeight="1">
      <c r="B130" t="str">
        <f>"26-E154-0000"</f>
        <v>26-E154-0000</v>
      </c>
      <c r="C130" t="str">
        <f>"Assembly, JM, E154, Switches and Lamps Panel"</f>
        <v>Assembly, JM, E154, Switches and Lamps Panel</v>
      </c>
      <c r="D130" s="4"/>
      <c r="E130" s="4">
        <v>4</v>
      </c>
      <c r="F130" s="4"/>
      <c r="G130" s="29" t="str">
        <f>IFERROR(HYPERLINK("#"&amp;ADDRESS(MATCH(B130&amp;"ES",'LM7 Non-ENG'!$A$1:$A$5000,0),1,,,"LM7 Non-ENG"),IF(IFERROR(VLOOKUP(B130&amp;"ES",'LM7 Non-ENG'!$A$1:$A$4999,1,FALSE),"ERROR")=B130&amp;"ES","Y","")),"")</f>
        <v/>
      </c>
      <c r="H130" s="29" t="str">
        <f>IFERROR(HYPERLINK("#"&amp;ADDRESS(MATCH(B130&amp;"PT",'LM7 Non-ENG'!$A$1:$A$5000,0),1,,,"LM7 Non-ENG"),IF(IFERROR(VLOOKUP(B130&amp;"PT",'LM7 Non-ENG'!$A$1:$A$5000,1,FALSE),"ERROR")=B130&amp;"PT","Y","")),"")</f>
        <v/>
      </c>
      <c r="I130" t="str">
        <f>IFERROR(VLOOKUP(B130,PN!$A:$C,3,FALSE),"")</f>
        <v>Active</v>
      </c>
      <c r="J130" s="3">
        <f>IFERROR(E130*VLOOKUP(B130,PLInter!$A:$D,3,FALSE),"")</f>
        <v>2000</v>
      </c>
      <c r="K130" s="66"/>
      <c r="L130" s="66"/>
      <c r="M130" s="66"/>
      <c r="N130" s="66"/>
      <c r="O130" s="66"/>
      <c r="P130" s="66"/>
      <c r="Q130" s="66"/>
      <c r="R130" s="66"/>
      <c r="S130" s="66"/>
      <c r="T130" s="66"/>
    </row>
    <row r="131" spans="2:20" ht="18" customHeight="1">
      <c r="B131" t="str">
        <f>"26-E156-0000"</f>
        <v>26-E156-0000</v>
      </c>
      <c r="C131" t="str">
        <f>"Assembly, JM, E156, Dissectible Electric Motor"</f>
        <v>Assembly, JM, E156, Dissectible Electric Motor</v>
      </c>
      <c r="D131" s="4"/>
      <c r="E131" s="4">
        <v>2</v>
      </c>
      <c r="F131" s="4"/>
      <c r="G131" s="29" t="str">
        <f>IFERROR(HYPERLINK("#"&amp;ADDRESS(MATCH(B131&amp;"ES",'LM7 Non-ENG'!$A$1:$A$5000,0),1,,,"LM7 Non-ENG"),IF(IFERROR(VLOOKUP(B131&amp;"ES",'LM7 Non-ENG'!$A$1:$A$4999,1,FALSE),"ERROR")=B131&amp;"ES","Y","")),"")</f>
        <v/>
      </c>
      <c r="H131" s="29" t="str">
        <f>IFERROR(HYPERLINK("#"&amp;ADDRESS(MATCH(B131&amp;"PT",'LM7 Non-ENG'!$A$1:$A$5000,0),1,,,"LM7 Non-ENG"),IF(IFERROR(VLOOKUP(B131&amp;"PT",'LM7 Non-ENG'!$A$1:$A$5000,1,FALSE),"ERROR")=B131&amp;"PT","Y","")),"")</f>
        <v/>
      </c>
      <c r="I131" t="str">
        <f>IFERROR(VLOOKUP(B131,PN!$A:$C,3,FALSE),"")</f>
        <v>Active</v>
      </c>
      <c r="J131" s="3">
        <f>IFERROR(E131*VLOOKUP(B131,PLInter!$A:$D,3,FALSE),"")</f>
        <v>1400</v>
      </c>
      <c r="K131" s="66"/>
      <c r="L131" s="66"/>
      <c r="M131" s="66"/>
      <c r="N131" s="66"/>
      <c r="O131" s="66"/>
      <c r="P131" s="66"/>
      <c r="Q131" s="66"/>
      <c r="R131" s="66"/>
      <c r="S131" s="66"/>
      <c r="T131" s="66"/>
    </row>
    <row r="132" spans="2:20" ht="18" customHeight="1">
      <c r="B132" t="str">
        <f>"36-EA04-IG01"</f>
        <v>36-EA04-IG01</v>
      </c>
      <c r="C132" t="str">
        <f>"JM, PDF on CD Electric Motors - EA04"</f>
        <v>JM, PDF on CD Electric Motors - EA04</v>
      </c>
      <c r="D132" s="4"/>
      <c r="E132" s="4">
        <v>1</v>
      </c>
      <c r="F132" s="4"/>
      <c r="G132" s="29" t="str">
        <f>IFERROR(HYPERLINK("#"&amp;ADDRESS(MATCH(B132&amp;"ES",'LM7 Non-ENG'!$A$1:$A$5000,0),1,,,"LM7 Non-ENG"),IF(IFERROR(VLOOKUP(B132&amp;"ES",'LM7 Non-ENG'!$A$1:$A$4999,1,FALSE),"ERROR")=B132&amp;"ES","Y","")),"")</f>
        <v/>
      </c>
      <c r="H132" s="29" t="str">
        <f>IFERROR(HYPERLINK("#"&amp;ADDRESS(MATCH(B132&amp;"PT",'LM7 Non-ENG'!$A$1:$A$5000,0),1,,,"LM7 Non-ENG"),IF(IFERROR(VLOOKUP(B132&amp;"PT",'LM7 Non-ENG'!$A$1:$A$5000,1,FALSE),"ERROR")=B132&amp;"PT","Y","")),"")</f>
        <v/>
      </c>
      <c r="I132" t="str">
        <f>IFERROR(VLOOKUP(B132,PN!$A:$C,3,FALSE),"")</f>
        <v>Active</v>
      </c>
      <c r="J132" s="3">
        <f>IFERROR(E132*VLOOKUP(B132,PLInter!$A:$D,3,FALSE),"")</f>
        <v>0</v>
      </c>
      <c r="K132" s="66"/>
      <c r="L132" s="66"/>
      <c r="M132" s="66"/>
      <c r="N132" s="66"/>
      <c r="O132" s="66"/>
      <c r="P132" s="66"/>
      <c r="Q132" s="66"/>
      <c r="R132" s="66"/>
      <c r="S132" s="66"/>
      <c r="T132" s="66"/>
    </row>
    <row r="133" spans="2:20" ht="18" customHeight="1">
      <c r="B133" t="str">
        <f>"77-EA07-0000"</f>
        <v>77-EA07-0000</v>
      </c>
      <c r="C133" t="str">
        <f>"LM7 Content, JM, Electromagnetic Starters"</f>
        <v>LM7 Content, JM, Electromagnetic Starters</v>
      </c>
      <c r="D133" s="4"/>
      <c r="E133" s="4">
        <v>1</v>
      </c>
      <c r="F133" s="4"/>
      <c r="G133" s="29" t="str">
        <f>IFERROR(HYPERLINK("#"&amp;ADDRESS(MATCH(B133&amp;"ES",'LM7 Non-ENG'!$A$1:$A$5000,0),1,,,"LM7 Non-ENG"),IF(IFERROR(VLOOKUP(B133&amp;"ES",'LM7 Non-ENG'!$A$1:$A$4999,1,FALSE),"ERROR")=B133&amp;"ES","Y","")),"")</f>
        <v>Y</v>
      </c>
      <c r="H133" s="29" t="str">
        <f>IFERROR(HYPERLINK("#"&amp;ADDRESS(MATCH(B133&amp;"PT",'LM7 Non-ENG'!$A$1:$A$5000,0),1,,,"LM7 Non-ENG"),IF(IFERROR(VLOOKUP(B133&amp;"PT",'LM7 Non-ENG'!$A$1:$A$5000,1,FALSE),"ERROR")=B133&amp;"PT","Y","")),"")</f>
        <v/>
      </c>
      <c r="I133" t="str">
        <f>IFERROR(VLOOKUP(B133,PN!$A:$C,3,FALSE),"")</f>
        <v>Active</v>
      </c>
      <c r="J133" s="3">
        <f>IFERROR(E133*VLOOKUP(B133,PLInter!$A:$D,3,FALSE),"")</f>
        <v>700</v>
      </c>
      <c r="K133" s="66"/>
      <c r="L133" s="66"/>
      <c r="M133" s="66"/>
      <c r="N133" s="66"/>
      <c r="O133" s="66"/>
      <c r="P133" s="66"/>
      <c r="Q133" s="66"/>
      <c r="R133" s="66"/>
      <c r="S133" s="66"/>
      <c r="T133" s="66"/>
    </row>
    <row r="134" spans="2:20" ht="18" customHeight="1">
      <c r="B134" s="2" t="str">
        <f>"17-EA07-0000"</f>
        <v>17-EA07-0000</v>
      </c>
      <c r="C134" s="2" t="str">
        <f>"LM5.X Content, JM, Electromagnetic Starters"</f>
        <v>LM5.X Content, JM, Electromagnetic Starters</v>
      </c>
      <c r="D134" s="5"/>
      <c r="E134" s="16">
        <v>0</v>
      </c>
      <c r="F134" s="5" t="str">
        <f>"Y"</f>
        <v>Y</v>
      </c>
      <c r="G134" s="29" t="str">
        <f>IFERROR(HYPERLINK("#"&amp;ADDRESS(MATCH(B134&amp;"ES",'LM7 Non-ENG'!$A$1:$A$5000,0),1,,,"LM7 Non-ENG"),IF(IFERROR(VLOOKUP(B134&amp;"ES",'LM7 Non-ENG'!$A$1:$A$4999,1,FALSE),"ERROR")=B134&amp;"ES","Y","")),"")</f>
        <v/>
      </c>
      <c r="H134" s="29" t="str">
        <f>IFERROR(HYPERLINK("#"&amp;ADDRESS(MATCH(B134&amp;"PT",'LM7 Non-ENG'!$A$1:$A$5000,0),1,,,"LM7 Non-ENG"),IF(IFERROR(VLOOKUP(B134&amp;"PT",'LM7 Non-ENG'!$A$1:$A$5000,1,FALSE),"ERROR")=B134&amp;"PT","Y","")),"")</f>
        <v/>
      </c>
      <c r="I134" t="str">
        <f>IFERROR(VLOOKUP(B134,PN!$A:$C,3,FALSE),"")</f>
        <v>Active</v>
      </c>
      <c r="J134" s="3">
        <f>IFERROR(E134*VLOOKUP(B134,PLInter!$A:$D,3,FALSE),"")</f>
        <v>0</v>
      </c>
      <c r="K134" s="66"/>
      <c r="L134" s="66"/>
      <c r="M134" s="66"/>
      <c r="N134" s="66"/>
      <c r="O134" s="66"/>
      <c r="P134" s="66"/>
      <c r="Q134" s="66"/>
      <c r="R134" s="66"/>
      <c r="S134" s="66"/>
      <c r="T134" s="66"/>
    </row>
    <row r="135" spans="2:20" ht="18" customHeight="1">
      <c r="B135" t="str">
        <f>"26-E002-0000"</f>
        <v>26-E002-0000</v>
      </c>
      <c r="C135" t="str">
        <f>"Assembly, JM, E002, Start-Stop Control Panel"</f>
        <v>Assembly, JM, E002, Start-Stop Control Panel</v>
      </c>
      <c r="D135" s="4"/>
      <c r="E135" s="4">
        <v>2</v>
      </c>
      <c r="F135" s="4"/>
      <c r="G135" s="29" t="str">
        <f>IFERROR(HYPERLINK("#"&amp;ADDRESS(MATCH(B135&amp;"ES",'LM7 Non-ENG'!$A$1:$A$5000,0),1,,,"LM7 Non-ENG"),IF(IFERROR(VLOOKUP(B135&amp;"ES",'LM7 Non-ENG'!$A$1:$A$4999,1,FALSE),"ERROR")=B135&amp;"ES","Y","")),"")</f>
        <v/>
      </c>
      <c r="H135" s="29" t="str">
        <f>IFERROR(HYPERLINK("#"&amp;ADDRESS(MATCH(B135&amp;"PT",'LM7 Non-ENG'!$A$1:$A$5000,0),1,,,"LM7 Non-ENG"),IF(IFERROR(VLOOKUP(B135&amp;"PT",'LM7 Non-ENG'!$A$1:$A$5000,1,FALSE),"ERROR")=B135&amp;"PT","Y","")),"")</f>
        <v/>
      </c>
      <c r="I135" t="str">
        <f>IFERROR(VLOOKUP(B135,PN!$A:$C,3,FALSE),"")</f>
        <v>Active</v>
      </c>
      <c r="J135" s="3">
        <f>IFERROR(E135*VLOOKUP(B135,PLInter!$A:$D,3,FALSE),"")</f>
        <v>700</v>
      </c>
      <c r="K135" s="66"/>
      <c r="L135" s="66"/>
      <c r="M135" s="66"/>
      <c r="N135" s="66"/>
      <c r="O135" s="66"/>
      <c r="P135" s="66"/>
      <c r="Q135" s="66"/>
      <c r="R135" s="66"/>
      <c r="S135" s="66"/>
      <c r="T135" s="66"/>
    </row>
    <row r="136" spans="2:20" ht="18" customHeight="1">
      <c r="B136" t="str">
        <f>"26-E004-0000"</f>
        <v>26-E004-0000</v>
      </c>
      <c r="C136" t="str">
        <f>"Assembly, JM , E004, Single Magnetic Start.Panel"</f>
        <v>Assembly, JM , E004, Single Magnetic Start.Panel</v>
      </c>
      <c r="D136" s="4"/>
      <c r="E136" s="4">
        <v>2</v>
      </c>
      <c r="F136" s="4"/>
      <c r="G136" s="29" t="str">
        <f>IFERROR(HYPERLINK("#"&amp;ADDRESS(MATCH(B136&amp;"ES",'LM7 Non-ENG'!$A$1:$A$5000,0),1,,,"LM7 Non-ENG"),IF(IFERROR(VLOOKUP(B136&amp;"ES",'LM7 Non-ENG'!$A$1:$A$4999,1,FALSE),"ERROR")=B136&amp;"ES","Y","")),"")</f>
        <v/>
      </c>
      <c r="H136" s="29" t="str">
        <f>IFERROR(HYPERLINK("#"&amp;ADDRESS(MATCH(B136&amp;"PT",'LM7 Non-ENG'!$A$1:$A$5000,0),1,,,"LM7 Non-ENG"),IF(IFERROR(VLOOKUP(B136&amp;"PT",'LM7 Non-ENG'!$A$1:$A$5000,1,FALSE),"ERROR")=B136&amp;"PT","Y","")),"")</f>
        <v/>
      </c>
      <c r="I136" t="str">
        <f>IFERROR(VLOOKUP(B136,PN!$A:$C,3,FALSE),"")</f>
        <v>Active</v>
      </c>
      <c r="J136" s="3">
        <f>IFERROR(E136*VLOOKUP(B136,PLInter!$A:$D,3,FALSE),"")</f>
        <v>900</v>
      </c>
      <c r="K136" s="66"/>
      <c r="L136" s="66"/>
      <c r="M136" s="66"/>
      <c r="N136" s="66"/>
      <c r="O136" s="66"/>
      <c r="P136" s="66"/>
      <c r="Q136" s="66"/>
      <c r="R136" s="66"/>
      <c r="S136" s="66"/>
      <c r="T136" s="66"/>
    </row>
    <row r="137" spans="2:20" ht="18" customHeight="1">
      <c r="B137" t="str">
        <f>"26-E005-0000"</f>
        <v>26-E005-0000</v>
      </c>
      <c r="C137" t="str">
        <f>"Assembly, JM, E005 - F-R-S Switch Panel"</f>
        <v>Assembly, JM, E005 - F-R-S Switch Panel</v>
      </c>
      <c r="D137" s="4"/>
      <c r="E137" s="4">
        <v>2</v>
      </c>
      <c r="F137" s="4"/>
      <c r="G137" s="29" t="str">
        <f>IFERROR(HYPERLINK("#"&amp;ADDRESS(MATCH(B137&amp;"ES",'LM7 Non-ENG'!$A$1:$A$5000,0),1,,,"LM7 Non-ENG"),IF(IFERROR(VLOOKUP(B137&amp;"ES",'LM7 Non-ENG'!$A$1:$A$4999,1,FALSE),"ERROR")=B137&amp;"ES","Y","")),"")</f>
        <v/>
      </c>
      <c r="H137" s="29" t="str">
        <f>IFERROR(HYPERLINK("#"&amp;ADDRESS(MATCH(B137&amp;"PT",'LM7 Non-ENG'!$A$1:$A$5000,0),1,,,"LM7 Non-ENG"),IF(IFERROR(VLOOKUP(B137&amp;"PT",'LM7 Non-ENG'!$A$1:$A$5000,1,FALSE),"ERROR")=B137&amp;"PT","Y","")),"")</f>
        <v/>
      </c>
      <c r="I137" t="str">
        <f>IFERROR(VLOOKUP(B137,PN!$A:$C,3,FALSE),"")</f>
        <v>Active</v>
      </c>
      <c r="J137" s="3">
        <f>IFERROR(E137*VLOOKUP(B137,PLInter!$A:$D,3,FALSE),"")</f>
        <v>1100</v>
      </c>
      <c r="K137" s="66"/>
      <c r="L137" s="66"/>
      <c r="M137" s="66"/>
      <c r="N137" s="66"/>
      <c r="O137" s="66"/>
      <c r="P137" s="66"/>
      <c r="Q137" s="66"/>
      <c r="R137" s="66"/>
      <c r="S137" s="66"/>
      <c r="T137" s="66"/>
    </row>
    <row r="138" spans="2:20" ht="18" customHeight="1">
      <c r="B138" t="str">
        <f>"26-E006-0000"</f>
        <v>26-E006-0000</v>
      </c>
      <c r="C138" t="str">
        <f>"Assembly, JM, E006, Reversing Magnetic Starter"</f>
        <v>Assembly, JM, E006, Reversing Magnetic Starter</v>
      </c>
      <c r="D138" s="4"/>
      <c r="E138" s="4">
        <v>2</v>
      </c>
      <c r="F138" s="4"/>
      <c r="G138" s="29" t="str">
        <f>IFERROR(HYPERLINK("#"&amp;ADDRESS(MATCH(B138&amp;"ES",'LM7 Non-ENG'!$A$1:$A$5000,0),1,,,"LM7 Non-ENG"),IF(IFERROR(VLOOKUP(B138&amp;"ES",'LM7 Non-ENG'!$A$1:$A$4999,1,FALSE),"ERROR")=B138&amp;"ES","Y","")),"")</f>
        <v/>
      </c>
      <c r="H138" s="29" t="str">
        <f>IFERROR(HYPERLINK("#"&amp;ADDRESS(MATCH(B138&amp;"PT",'LM7 Non-ENG'!$A$1:$A$5000,0),1,,,"LM7 Non-ENG"),IF(IFERROR(VLOOKUP(B138&amp;"PT",'LM7 Non-ENG'!$A$1:$A$5000,1,FALSE),"ERROR")=B138&amp;"PT","Y","")),"")</f>
        <v/>
      </c>
      <c r="I138" t="str">
        <f>IFERROR(VLOOKUP(B138,PN!$A:$C,3,FALSE),"")</f>
        <v>Active</v>
      </c>
      <c r="J138" s="3">
        <f>IFERROR(E138*VLOOKUP(B138,PLInter!$A:$D,3,FALSE),"")</f>
        <v>1440</v>
      </c>
      <c r="K138" s="66"/>
      <c r="L138" s="66"/>
      <c r="M138" s="66"/>
      <c r="N138" s="66"/>
      <c r="O138" s="66"/>
      <c r="P138" s="66"/>
      <c r="Q138" s="66"/>
      <c r="R138" s="66"/>
      <c r="S138" s="66"/>
      <c r="T138" s="66"/>
    </row>
    <row r="139" spans="2:20" ht="18" customHeight="1">
      <c r="B139" t="str">
        <f>"26-E010-0000"</f>
        <v>26-E010-0000</v>
      </c>
      <c r="C139" t="str">
        <f>"Assembly, JM, E010 - Three Phase Motor Panel"</f>
        <v>Assembly, JM, E010 - Three Phase Motor Panel</v>
      </c>
      <c r="D139" s="4"/>
      <c r="E139" s="4">
        <v>4</v>
      </c>
      <c r="F139" s="4"/>
      <c r="G139" s="29" t="str">
        <f>IFERROR(HYPERLINK("#"&amp;ADDRESS(MATCH(B139&amp;"ES",'LM7 Non-ENG'!$A$1:$A$5000,0),1,,,"LM7 Non-ENG"),IF(IFERROR(VLOOKUP(B139&amp;"ES",'LM7 Non-ENG'!$A$1:$A$4999,1,FALSE),"ERROR")=B139&amp;"ES","Y","")),"")</f>
        <v/>
      </c>
      <c r="H139" s="29" t="str">
        <f>IFERROR(HYPERLINK("#"&amp;ADDRESS(MATCH(B139&amp;"PT",'LM7 Non-ENG'!$A$1:$A$5000,0),1,,,"LM7 Non-ENG"),IF(IFERROR(VLOOKUP(B139&amp;"PT",'LM7 Non-ENG'!$A$1:$A$5000,1,FALSE),"ERROR")=B139&amp;"PT","Y","")),"")</f>
        <v/>
      </c>
      <c r="I139" t="str">
        <f>IFERROR(VLOOKUP(B139,PN!$A:$C,3,FALSE),"")</f>
        <v>Active</v>
      </c>
      <c r="J139" s="3">
        <f>IFERROR(E139*VLOOKUP(B139,PLInter!$A:$D,3,FALSE),"")</f>
        <v>4000</v>
      </c>
      <c r="K139" s="66"/>
      <c r="L139" s="66"/>
      <c r="M139" s="66"/>
      <c r="N139" s="66"/>
      <c r="O139" s="66"/>
      <c r="P139" s="66"/>
      <c r="Q139" s="66"/>
      <c r="R139" s="66"/>
      <c r="S139" s="66"/>
      <c r="T139" s="66"/>
    </row>
    <row r="140" spans="2:20" ht="18" customHeight="1">
      <c r="B140" t="str">
        <f>"26-E012-0000"</f>
        <v>26-E012-0000</v>
      </c>
      <c r="C140" t="str">
        <f>"Assembly, JM, E012, Transformer Panel"</f>
        <v>Assembly, JM, E012, Transformer Panel</v>
      </c>
      <c r="D140" s="4"/>
      <c r="E140" s="4">
        <v>4</v>
      </c>
      <c r="F140" s="4"/>
      <c r="G140" s="29" t="str">
        <f>IFERROR(HYPERLINK("#"&amp;ADDRESS(MATCH(B140&amp;"ES",'LM7 Non-ENG'!$A$1:$A$5000,0),1,,,"LM7 Non-ENG"),IF(IFERROR(VLOOKUP(B140&amp;"ES",'LM7 Non-ENG'!$A$1:$A$4999,1,FALSE),"ERROR")=B140&amp;"ES","Y","")),"")</f>
        <v/>
      </c>
      <c r="H140" s="29" t="str">
        <f>IFERROR(HYPERLINK("#"&amp;ADDRESS(MATCH(B140&amp;"PT",'LM7 Non-ENG'!$A$1:$A$5000,0),1,,,"LM7 Non-ENG"),IF(IFERROR(VLOOKUP(B140&amp;"PT",'LM7 Non-ENG'!$A$1:$A$5000,1,FALSE),"ERROR")=B140&amp;"PT","Y","")),"")</f>
        <v/>
      </c>
      <c r="I140" t="str">
        <f>IFERROR(VLOOKUP(B140,PN!$A:$C,3,FALSE),"")</f>
        <v>Active</v>
      </c>
      <c r="J140" s="3">
        <f>IFERROR(E140*VLOOKUP(B140,PLInter!$A:$D,3,FALSE),"")</f>
        <v>2000</v>
      </c>
      <c r="K140" s="66"/>
      <c r="L140" s="66"/>
      <c r="M140" s="66"/>
      <c r="N140" s="66"/>
      <c r="O140" s="66"/>
      <c r="P140" s="66"/>
      <c r="Q140" s="66"/>
      <c r="R140" s="66"/>
      <c r="S140" s="66"/>
      <c r="T140" s="66"/>
    </row>
    <row r="141" spans="2:20" ht="18" customHeight="1">
      <c r="B141" t="str">
        <f>"26-E016-0000"</f>
        <v>26-E016-0000</v>
      </c>
      <c r="C141" t="str">
        <f>"Assembly, JM, E016, Analog Relay Panel"</f>
        <v>Assembly, JM, E016, Analog Relay Panel</v>
      </c>
      <c r="D141" s="4"/>
      <c r="E141" s="4">
        <v>2</v>
      </c>
      <c r="F141" s="4"/>
      <c r="G141" s="29" t="str">
        <f>IFERROR(HYPERLINK("#"&amp;ADDRESS(MATCH(B141&amp;"ES",'LM7 Non-ENG'!$A$1:$A$5000,0),1,,,"LM7 Non-ENG"),IF(IFERROR(VLOOKUP(B141&amp;"ES",'LM7 Non-ENG'!$A$1:$A$4999,1,FALSE),"ERROR")=B141&amp;"ES","Y","")),"")</f>
        <v/>
      </c>
      <c r="H141" s="29" t="str">
        <f>IFERROR(HYPERLINK("#"&amp;ADDRESS(MATCH(B141&amp;"PT",'LM7 Non-ENG'!$A$1:$A$5000,0),1,,,"LM7 Non-ENG"),IF(IFERROR(VLOOKUP(B141&amp;"PT",'LM7 Non-ENG'!$A$1:$A$5000,1,FALSE),"ERROR")=B141&amp;"PT","Y","")),"")</f>
        <v/>
      </c>
      <c r="I141" t="str">
        <f>IFERROR(VLOOKUP(B141,PN!$A:$C,3,FALSE),"")</f>
        <v>Active</v>
      </c>
      <c r="J141" s="3">
        <f>IFERROR(E141*VLOOKUP(B141,PLInter!$A:$D,3,FALSE),"")</f>
        <v>1668</v>
      </c>
      <c r="K141" s="66"/>
      <c r="L141" s="66"/>
      <c r="M141" s="66"/>
      <c r="N141" s="66"/>
      <c r="O141" s="66"/>
      <c r="P141" s="66"/>
      <c r="Q141" s="66"/>
      <c r="R141" s="66"/>
      <c r="S141" s="66"/>
      <c r="T141" s="66"/>
    </row>
    <row r="142" spans="2:20" ht="18" customHeight="1">
      <c r="B142" s="1" t="str">
        <f>"26-E154-0000"</f>
        <v>26-E154-0000</v>
      </c>
      <c r="C142" s="1" t="str">
        <f>"Assembly, JM, E154, Switches and Lamps Panel"</f>
        <v>Assembly, JM, E154, Switches and Lamps Panel</v>
      </c>
      <c r="D142" s="6" t="s">
        <v>0</v>
      </c>
      <c r="E142" s="6">
        <v>2</v>
      </c>
      <c r="F142" s="6"/>
      <c r="G142" s="29" t="str">
        <f>IFERROR(HYPERLINK("#"&amp;ADDRESS(MATCH(B142&amp;"ES",'LM7 Non-ENG'!$A$1:$A$5000,0),1,,,"LM7 Non-ENG"),IF(IFERROR(VLOOKUP(B142&amp;"ES",'LM7 Non-ENG'!$A$1:$A$4999,1,FALSE),"ERROR")=B142&amp;"ES","Y","")),"")</f>
        <v/>
      </c>
      <c r="H142" s="29" t="str">
        <f>IFERROR(HYPERLINK("#"&amp;ADDRESS(MATCH(B142&amp;"PT",'LM7 Non-ENG'!$A$1:$A$5000,0),1,,,"LM7 Non-ENG"),IF(IFERROR(VLOOKUP(B142&amp;"PT",'LM7 Non-ENG'!$A$1:$A$5000,1,FALSE),"ERROR")=B142&amp;"PT","Y","")),"")</f>
        <v/>
      </c>
      <c r="I142" t="str">
        <f>IFERROR(VLOOKUP(B142,PN!$A:$C,3,FALSE),"")</f>
        <v>Active</v>
      </c>
      <c r="J142" s="3">
        <f>IFERROR(E142*VLOOKUP(B142,PLInter!$A:$D,3,FALSE),"")</f>
        <v>1000</v>
      </c>
      <c r="K142" s="66"/>
      <c r="L142" s="66"/>
      <c r="M142" s="66"/>
      <c r="N142" s="66"/>
      <c r="O142" s="66"/>
      <c r="P142" s="66"/>
      <c r="Q142" s="66"/>
      <c r="R142" s="66"/>
      <c r="S142" s="66"/>
      <c r="T142" s="66"/>
    </row>
    <row r="143" spans="2:20" ht="18" customHeight="1">
      <c r="B143" t="str">
        <f>"26-E155-0000"</f>
        <v>26-E155-0000</v>
      </c>
      <c r="C143" t="str">
        <f>"Assembly, JM, E155, H-O-A Switch Panel"</f>
        <v>Assembly, JM, E155, H-O-A Switch Panel</v>
      </c>
      <c r="D143" s="4"/>
      <c r="E143" s="4">
        <v>2</v>
      </c>
      <c r="F143" s="4"/>
      <c r="G143" s="29" t="str">
        <f>IFERROR(HYPERLINK("#"&amp;ADDRESS(MATCH(B143&amp;"ES",'LM7 Non-ENG'!$A$1:$A$5000,0),1,,,"LM7 Non-ENG"),IF(IFERROR(VLOOKUP(B143&amp;"ES",'LM7 Non-ENG'!$A$1:$A$4999,1,FALSE),"ERROR")=B143&amp;"ES","Y","")),"")</f>
        <v/>
      </c>
      <c r="H143" s="29" t="str">
        <f>IFERROR(HYPERLINK("#"&amp;ADDRESS(MATCH(B143&amp;"PT",'LM7 Non-ENG'!$A$1:$A$5000,0),1,,,"LM7 Non-ENG"),IF(IFERROR(VLOOKUP(B143&amp;"PT",'LM7 Non-ENG'!$A$1:$A$5000,1,FALSE),"ERROR")=B143&amp;"PT","Y","")),"")</f>
        <v/>
      </c>
      <c r="I143" t="str">
        <f>IFERROR(VLOOKUP(B143,PN!$A:$C,3,FALSE),"")</f>
        <v>Active</v>
      </c>
      <c r="J143" s="3">
        <f>IFERROR(E143*VLOOKUP(B143,PLInter!$A:$D,3,FALSE),"")</f>
        <v>734</v>
      </c>
      <c r="K143" s="66"/>
      <c r="L143" s="66"/>
      <c r="M143" s="66"/>
      <c r="N143" s="66"/>
      <c r="O143" s="66"/>
      <c r="P143" s="66"/>
      <c r="Q143" s="66"/>
      <c r="R143" s="66"/>
      <c r="S143" s="66"/>
      <c r="T143" s="66"/>
    </row>
    <row r="144" spans="2:20" ht="18" customHeight="1">
      <c r="B144" t="str">
        <f>"36-EA07-IG01"</f>
        <v>36-EA07-IG01</v>
      </c>
      <c r="C144" t="str">
        <f>"JM, PDF on CD Electromagnetic Starters- EA04"</f>
        <v>JM, PDF on CD Electromagnetic Starters- EA04</v>
      </c>
      <c r="D144" s="4"/>
      <c r="E144" s="4">
        <v>1</v>
      </c>
      <c r="F144" s="4"/>
      <c r="G144" s="29" t="str">
        <f>IFERROR(HYPERLINK("#"&amp;ADDRESS(MATCH(B144&amp;"ES",'LM7 Non-ENG'!$A$1:$A$5000,0),1,,,"LM7 Non-ENG"),IF(IFERROR(VLOOKUP(B144&amp;"ES",'LM7 Non-ENG'!$A$1:$A$4999,1,FALSE),"ERROR")=B144&amp;"ES","Y","")),"")</f>
        <v/>
      </c>
      <c r="H144" s="29" t="str">
        <f>IFERROR(HYPERLINK("#"&amp;ADDRESS(MATCH(B144&amp;"PT",'LM7 Non-ENG'!$A$1:$A$5000,0),1,,,"LM7 Non-ENG"),IF(IFERROR(VLOOKUP(B144&amp;"PT",'LM7 Non-ENG'!$A$1:$A$5000,1,FALSE),"ERROR")=B144&amp;"PT","Y","")),"")</f>
        <v/>
      </c>
      <c r="I144" t="str">
        <f>IFERROR(VLOOKUP(B144,PN!$A:$C,3,FALSE),"")</f>
        <v>Active</v>
      </c>
      <c r="J144" s="3">
        <f>IFERROR(E144*VLOOKUP(B144,PLInter!$A:$D,3,FALSE),"")</f>
        <v>0</v>
      </c>
      <c r="K144" s="66"/>
      <c r="L144" s="66"/>
      <c r="M144" s="66"/>
      <c r="N144" s="66"/>
      <c r="O144" s="66"/>
      <c r="P144" s="66"/>
      <c r="Q144" s="66"/>
      <c r="R144" s="66"/>
      <c r="S144" s="66"/>
      <c r="T144" s="66"/>
    </row>
    <row r="145" spans="2:20" ht="18" customHeight="1">
      <c r="B145" t="str">
        <f>"77-EA08-0000"</f>
        <v>77-EA08-0000</v>
      </c>
      <c r="C145" t="str">
        <f>"LM7 Content, JM, Relays and Timers"</f>
        <v>LM7 Content, JM, Relays and Timers</v>
      </c>
      <c r="D145" s="4"/>
      <c r="E145" s="4">
        <v>1</v>
      </c>
      <c r="F145" s="4"/>
      <c r="G145" s="29" t="str">
        <f>IFERROR(HYPERLINK("#"&amp;ADDRESS(MATCH(B145&amp;"ES",'LM7 Non-ENG'!$A$1:$A$5000,0),1,,,"LM7 Non-ENG"),IF(IFERROR(VLOOKUP(B145&amp;"ES",'LM7 Non-ENG'!$A$1:$A$4999,1,FALSE),"ERROR")=B145&amp;"ES","Y","")),"")</f>
        <v>Y</v>
      </c>
      <c r="H145" s="29" t="str">
        <f>IFERROR(HYPERLINK("#"&amp;ADDRESS(MATCH(B145&amp;"PT",'LM7 Non-ENG'!$A$1:$A$5000,0),1,,,"LM7 Non-ENG"),IF(IFERROR(VLOOKUP(B145&amp;"PT",'LM7 Non-ENG'!$A$1:$A$5000,1,FALSE),"ERROR")=B145&amp;"PT","Y","")),"")</f>
        <v/>
      </c>
      <c r="I145" t="str">
        <f>IFERROR(VLOOKUP(B145,PN!$A:$C,3,FALSE),"")</f>
        <v>Active</v>
      </c>
      <c r="J145" s="3">
        <f>IFERROR(E145*VLOOKUP(B145,PLInter!$A:$D,3,FALSE),"")</f>
        <v>700</v>
      </c>
      <c r="K145" s="66"/>
      <c r="L145" s="66"/>
      <c r="M145" s="66"/>
      <c r="N145" s="66"/>
      <c r="O145" s="66"/>
      <c r="P145" s="66"/>
      <c r="Q145" s="66"/>
      <c r="R145" s="66"/>
      <c r="S145" s="66"/>
      <c r="T145" s="66"/>
    </row>
    <row r="146" spans="2:20" ht="18" customHeight="1">
      <c r="B146" s="2" t="str">
        <f>"17-EA08-0000"</f>
        <v>17-EA08-0000</v>
      </c>
      <c r="C146" s="2" t="str">
        <f>"LM5.X Content, JM, Relays and Timers"</f>
        <v>LM5.X Content, JM, Relays and Timers</v>
      </c>
      <c r="D146" s="5"/>
      <c r="E146" s="16">
        <v>0</v>
      </c>
      <c r="F146" s="5" t="str">
        <f>"Y"</f>
        <v>Y</v>
      </c>
      <c r="G146" s="29" t="str">
        <f>IFERROR(HYPERLINK("#"&amp;ADDRESS(MATCH(B146&amp;"ES",'LM7 Non-ENG'!$A$1:$A$5000,0),1,,,"LM7 Non-ENG"),IF(IFERROR(VLOOKUP(B146&amp;"ES",'LM7 Non-ENG'!$A$1:$A$4999,1,FALSE),"ERROR")=B146&amp;"ES","Y","")),"")</f>
        <v/>
      </c>
      <c r="H146" s="29" t="str">
        <f>IFERROR(HYPERLINK("#"&amp;ADDRESS(MATCH(B146&amp;"PT",'LM7 Non-ENG'!$A$1:$A$5000,0),1,,,"LM7 Non-ENG"),IF(IFERROR(VLOOKUP(B146&amp;"PT",'LM7 Non-ENG'!$A$1:$A$5000,1,FALSE),"ERROR")=B146&amp;"PT","Y","")),"")</f>
        <v/>
      </c>
      <c r="I146" t="str">
        <f>IFERROR(VLOOKUP(B146,PN!$A:$C,3,FALSE),"")</f>
        <v>Active</v>
      </c>
      <c r="J146" s="3">
        <f>IFERROR(E146*VLOOKUP(B146,PLInter!$A:$D,3,FALSE),"")</f>
        <v>0</v>
      </c>
      <c r="K146" s="66"/>
      <c r="L146" s="66"/>
      <c r="M146" s="66"/>
      <c r="N146" s="66"/>
      <c r="O146" s="66"/>
      <c r="P146" s="66"/>
      <c r="Q146" s="66"/>
      <c r="R146" s="66"/>
      <c r="S146" s="66"/>
      <c r="T146" s="66"/>
    </row>
    <row r="147" spans="2:20" ht="18" customHeight="1">
      <c r="B147" t="str">
        <f>"26-E017-0000"</f>
        <v>26-E017-0000</v>
      </c>
      <c r="C147" t="str">
        <f>"Assembly, JM, E017, Digital Relay"</f>
        <v>Assembly, JM, E017, Digital Relay</v>
      </c>
      <c r="D147" s="4"/>
      <c r="E147" s="4">
        <v>2</v>
      </c>
      <c r="F147" s="4"/>
      <c r="G147" s="29" t="str">
        <f>IFERROR(HYPERLINK("#"&amp;ADDRESS(MATCH(B147&amp;"ES",'LM7 Non-ENG'!$A$1:$A$5000,0),1,,,"LM7 Non-ENG"),IF(IFERROR(VLOOKUP(B147&amp;"ES",'LM7 Non-ENG'!$A$1:$A$4999,1,FALSE),"ERROR")=B147&amp;"ES","Y","")),"")</f>
        <v/>
      </c>
      <c r="H147" s="29" t="str">
        <f>IFERROR(HYPERLINK("#"&amp;ADDRESS(MATCH(B147&amp;"PT",'LM7 Non-ENG'!$A$1:$A$5000,0),1,,,"LM7 Non-ENG"),IF(IFERROR(VLOOKUP(B147&amp;"PT",'LM7 Non-ENG'!$A$1:$A$5000,1,FALSE),"ERROR")=B147&amp;"PT","Y","")),"")</f>
        <v/>
      </c>
      <c r="I147" t="str">
        <f>IFERROR(VLOOKUP(B147,PN!$A:$C,3,FALSE),"")</f>
        <v>Active</v>
      </c>
      <c r="J147" s="3">
        <f>IFERROR(E147*VLOOKUP(B147,PLInter!$A:$D,3,FALSE),"")</f>
        <v>2000</v>
      </c>
      <c r="K147" s="66"/>
      <c r="L147" s="66"/>
      <c r="M147" s="66"/>
      <c r="N147" s="66"/>
      <c r="O147" s="66"/>
      <c r="P147" s="66"/>
      <c r="Q147" s="66"/>
      <c r="R147" s="66"/>
      <c r="S147" s="66"/>
      <c r="T147" s="66"/>
    </row>
    <row r="148" spans="2:20" ht="18" customHeight="1">
      <c r="B148" t="str">
        <f>"26-E041-0000"</f>
        <v>26-E041-0000</v>
      </c>
      <c r="C148" t="str">
        <f>"Assembly, JM, E041, Electronic Timer"</f>
        <v>Assembly, JM, E041, Electronic Timer</v>
      </c>
      <c r="D148" s="4"/>
      <c r="E148" s="4">
        <v>2</v>
      </c>
      <c r="F148" s="4"/>
      <c r="G148" s="29" t="str">
        <f>IFERROR(HYPERLINK("#"&amp;ADDRESS(MATCH(B148&amp;"ES",'LM7 Non-ENG'!$A$1:$A$5000,0),1,,,"LM7 Non-ENG"),IF(IFERROR(VLOOKUP(B148&amp;"ES",'LM7 Non-ENG'!$A$1:$A$4999,1,FALSE),"ERROR")=B148&amp;"ES","Y","")),"")</f>
        <v/>
      </c>
      <c r="H148" s="29" t="str">
        <f>IFERROR(HYPERLINK("#"&amp;ADDRESS(MATCH(B148&amp;"PT",'LM7 Non-ENG'!$A$1:$A$5000,0),1,,,"LM7 Non-ENG"),IF(IFERROR(VLOOKUP(B148&amp;"PT",'LM7 Non-ENG'!$A$1:$A$5000,1,FALSE),"ERROR")=B148&amp;"PT","Y","")),"")</f>
        <v/>
      </c>
      <c r="I148" t="str">
        <f>IFERROR(VLOOKUP(B148,PN!$A:$C,3,FALSE),"")</f>
        <v>Active</v>
      </c>
      <c r="J148" s="3">
        <f>IFERROR(E148*VLOOKUP(B148,PLInter!$A:$D,3,FALSE),"")</f>
        <v>1334</v>
      </c>
      <c r="K148" s="66"/>
      <c r="L148" s="66"/>
      <c r="M148" s="66"/>
      <c r="N148" s="66"/>
      <c r="O148" s="66"/>
      <c r="P148" s="66"/>
      <c r="Q148" s="66"/>
      <c r="R148" s="66"/>
      <c r="S148" s="66"/>
      <c r="T148" s="66"/>
    </row>
    <row r="149" spans="2:20" ht="18" customHeight="1">
      <c r="B149" t="str">
        <f>"36-EA08-IG01"</f>
        <v>36-EA08-IG01</v>
      </c>
      <c r="C149" t="str">
        <f>"JM, PDF on CD Relays and Timers - EA08"</f>
        <v>JM, PDF on CD Relays and Timers - EA08</v>
      </c>
      <c r="D149" s="4"/>
      <c r="E149" s="4">
        <v>1</v>
      </c>
      <c r="F149" s="4"/>
      <c r="G149" s="29" t="str">
        <f>IFERROR(HYPERLINK("#"&amp;ADDRESS(MATCH(B149&amp;"ES",'LM7 Non-ENG'!$A$1:$A$5000,0),1,,,"LM7 Non-ENG"),IF(IFERROR(VLOOKUP(B149&amp;"ES",'LM7 Non-ENG'!$A$1:$A$4999,1,FALSE),"ERROR")=B149&amp;"ES","Y","")),"")</f>
        <v/>
      </c>
      <c r="H149" s="29" t="str">
        <f>IFERROR(HYPERLINK("#"&amp;ADDRESS(MATCH(B149&amp;"PT",'LM7 Non-ENG'!$A$1:$A$5000,0),1,,,"LM7 Non-ENG"),IF(IFERROR(VLOOKUP(B149&amp;"PT",'LM7 Non-ENG'!$A$1:$A$5000,1,FALSE),"ERROR")=B149&amp;"PT","Y","")),"")</f>
        <v/>
      </c>
      <c r="I149" t="str">
        <f>IFERROR(VLOOKUP(B149,PN!$A:$C,3,FALSE),"")</f>
        <v>Active</v>
      </c>
      <c r="J149" s="3">
        <f>IFERROR(E149*VLOOKUP(B149,PLInter!$A:$D,3,FALSE),"")</f>
        <v>0</v>
      </c>
      <c r="K149" s="66"/>
      <c r="L149" s="66"/>
      <c r="M149" s="66"/>
      <c r="N149" s="66"/>
      <c r="O149" s="66"/>
      <c r="P149" s="66"/>
      <c r="Q149" s="66"/>
      <c r="R149" s="66"/>
      <c r="S149" s="66"/>
      <c r="T149" s="66"/>
    </row>
    <row r="150" spans="2:20" ht="18" customHeight="1">
      <c r="B150" t="str">
        <f>"77-EA11-0000"</f>
        <v>77-EA11-0000</v>
      </c>
      <c r="C150" t="str">
        <f>"LM7 Content, JM, Solid State Voltage Starter"</f>
        <v>LM7 Content, JM, Solid State Voltage Starter</v>
      </c>
      <c r="D150" s="4"/>
      <c r="E150" s="4">
        <v>1</v>
      </c>
      <c r="F150" s="4"/>
      <c r="G150" s="29" t="str">
        <f>IFERROR(HYPERLINK("#"&amp;ADDRESS(MATCH(B150&amp;"ES",'LM7 Non-ENG'!$A$1:$A$5000,0),1,,,"LM7 Non-ENG"),IF(IFERROR(VLOOKUP(B150&amp;"ES",'LM7 Non-ENG'!$A$1:$A$4999,1,FALSE),"ERROR")=B150&amp;"ES","Y","")),"")</f>
        <v>Y</v>
      </c>
      <c r="H150" s="29" t="str">
        <f>IFERROR(HYPERLINK("#"&amp;ADDRESS(MATCH(B150&amp;"PT",'LM7 Non-ENG'!$A$1:$A$5000,0),1,,,"LM7 Non-ENG"),IF(IFERROR(VLOOKUP(B150&amp;"PT",'LM7 Non-ENG'!$A$1:$A$5000,1,FALSE),"ERROR")=B150&amp;"PT","Y","")),"")</f>
        <v/>
      </c>
      <c r="I150" t="str">
        <f>IFERROR(VLOOKUP(B150,PN!$A:$C,3,FALSE),"")</f>
        <v>Active</v>
      </c>
      <c r="J150" s="3">
        <f>IFERROR(E150*VLOOKUP(B150,PLInter!$A:$D,3,FALSE),"")</f>
        <v>700</v>
      </c>
      <c r="K150" s="66"/>
      <c r="L150" s="66"/>
      <c r="M150" s="66"/>
      <c r="N150" s="66"/>
      <c r="O150" s="66"/>
      <c r="P150" s="66"/>
      <c r="Q150" s="66"/>
      <c r="R150" s="66"/>
      <c r="S150" s="66"/>
      <c r="T150" s="66"/>
    </row>
    <row r="151" spans="2:20" ht="18" customHeight="1">
      <c r="B151" s="2" t="str">
        <f>"17-EA11-0000"</f>
        <v>17-EA11-0000</v>
      </c>
      <c r="C151" s="2" t="str">
        <f>"LM5.X Content, JM, Solid State Voltage Starter"</f>
        <v>LM5.X Content, JM, Solid State Voltage Starter</v>
      </c>
      <c r="D151" s="5"/>
      <c r="E151" s="16">
        <v>0</v>
      </c>
      <c r="F151" s="5" t="str">
        <f>"Y"</f>
        <v>Y</v>
      </c>
      <c r="G151" s="29" t="str">
        <f>IFERROR(HYPERLINK("#"&amp;ADDRESS(MATCH(B151&amp;"ES",'LM7 Non-ENG'!$A$1:$A$5000,0),1,,,"LM7 Non-ENG"),IF(IFERROR(VLOOKUP(B151&amp;"ES",'LM7 Non-ENG'!$A$1:$A$4999,1,FALSE),"ERROR")=B151&amp;"ES","Y","")),"")</f>
        <v/>
      </c>
      <c r="H151" s="29" t="str">
        <f>IFERROR(HYPERLINK("#"&amp;ADDRESS(MATCH(B151&amp;"PT",'LM7 Non-ENG'!$A$1:$A$5000,0),1,,,"LM7 Non-ENG"),IF(IFERROR(VLOOKUP(B151&amp;"PT",'LM7 Non-ENG'!$A$1:$A$5000,1,FALSE),"ERROR")=B151&amp;"PT","Y","")),"")</f>
        <v/>
      </c>
      <c r="I151" t="str">
        <f>IFERROR(VLOOKUP(B151,PN!$A:$C,3,FALSE),"")</f>
        <v>Active</v>
      </c>
      <c r="J151" s="3">
        <f>IFERROR(E151*VLOOKUP(B151,PLInter!$A:$D,3,FALSE),"")</f>
        <v>0</v>
      </c>
      <c r="K151" s="66"/>
      <c r="L151" s="66"/>
      <c r="M151" s="66"/>
      <c r="N151" s="66"/>
      <c r="O151" s="66"/>
      <c r="P151" s="66"/>
      <c r="Q151" s="66"/>
      <c r="R151" s="66"/>
      <c r="S151" s="66"/>
      <c r="T151" s="66"/>
    </row>
    <row r="152" spans="2:20" ht="18" customHeight="1">
      <c r="B152" t="str">
        <f>"26-E024-0000"</f>
        <v>26-E024-0000</v>
      </c>
      <c r="C152" t="str">
        <f>"Assembly, JM, E024, Solid State Starter Panel"</f>
        <v>Assembly, JM, E024, Solid State Starter Panel</v>
      </c>
      <c r="D152" s="4"/>
      <c r="E152" s="4">
        <v>2</v>
      </c>
      <c r="F152" s="4"/>
      <c r="G152" s="29" t="str">
        <f>IFERROR(HYPERLINK("#"&amp;ADDRESS(MATCH(B152&amp;"ES",'LM7 Non-ENG'!$A$1:$A$5000,0),1,,,"LM7 Non-ENG"),IF(IFERROR(VLOOKUP(B152&amp;"ES",'LM7 Non-ENG'!$A$1:$A$4999,1,FALSE),"ERROR")=B152&amp;"ES","Y","")),"")</f>
        <v/>
      </c>
      <c r="H152" s="29" t="str">
        <f>IFERROR(HYPERLINK("#"&amp;ADDRESS(MATCH(B152&amp;"PT",'LM7 Non-ENG'!$A$1:$A$5000,0),1,,,"LM7 Non-ENG"),IF(IFERROR(VLOOKUP(B152&amp;"PT",'LM7 Non-ENG'!$A$1:$A$5000,1,FALSE),"ERROR")=B152&amp;"PT","Y","")),"")</f>
        <v/>
      </c>
      <c r="I152" t="str">
        <f>IFERROR(VLOOKUP(B152,PN!$A:$C,3,FALSE),"")</f>
        <v>ECO-N2Buy</v>
      </c>
      <c r="J152" s="3">
        <f>IFERROR(E152*VLOOKUP(B152,PLInter!$A:$D,3,FALSE),"")</f>
        <v>3600</v>
      </c>
      <c r="K152" s="66"/>
      <c r="L152" s="66"/>
      <c r="M152" s="66"/>
      <c r="N152" s="66"/>
      <c r="O152" s="66"/>
      <c r="P152" s="66"/>
      <c r="Q152" s="66"/>
      <c r="R152" s="66"/>
      <c r="S152" s="66"/>
      <c r="T152" s="66"/>
    </row>
    <row r="153" spans="2:20" ht="18" customHeight="1">
      <c r="B153" t="str">
        <f>"36-EA11-IG01"</f>
        <v>36-EA11-IG01</v>
      </c>
      <c r="C153" t="str">
        <f>"JM, PDF on CD Solid State Voltage Starter - EA11"</f>
        <v>JM, PDF on CD Solid State Voltage Starter - EA11</v>
      </c>
      <c r="D153" s="4"/>
      <c r="E153" s="4">
        <v>1</v>
      </c>
      <c r="F153" s="4"/>
      <c r="G153" s="29" t="str">
        <f>IFERROR(HYPERLINK("#"&amp;ADDRESS(MATCH(B153&amp;"ES",'LM7 Non-ENG'!$A$1:$A$5000,0),1,,,"LM7 Non-ENG"),IF(IFERROR(VLOOKUP(B153&amp;"ES",'LM7 Non-ENG'!$A$1:$A$4999,1,FALSE),"ERROR")=B153&amp;"ES","Y","")),"")</f>
        <v/>
      </c>
      <c r="H153" s="29" t="str">
        <f>IFERROR(HYPERLINK("#"&amp;ADDRESS(MATCH(B153&amp;"PT",'LM7 Non-ENG'!$A$1:$A$5000,0),1,,,"LM7 Non-ENG"),IF(IFERROR(VLOOKUP(B153&amp;"PT",'LM7 Non-ENG'!$A$1:$A$5000,1,FALSE),"ERROR")=B153&amp;"PT","Y","")),"")</f>
        <v/>
      </c>
      <c r="I153" t="str">
        <f>IFERROR(VLOOKUP(B153,PN!$A:$C,3,FALSE),"")</f>
        <v>Active</v>
      </c>
      <c r="J153" s="3">
        <f>IFERROR(E153*VLOOKUP(B153,PLInter!$A:$D,3,FALSE),"")</f>
        <v>0</v>
      </c>
      <c r="K153" s="66"/>
      <c r="L153" s="66"/>
      <c r="M153" s="66"/>
      <c r="N153" s="66"/>
      <c r="O153" s="66"/>
      <c r="P153" s="66"/>
      <c r="Q153" s="66"/>
      <c r="R153" s="66"/>
      <c r="S153" s="66"/>
      <c r="T153" s="66"/>
    </row>
    <row r="154" spans="2:20" ht="18" customHeight="1">
      <c r="B154" t="str">
        <f>"77-EA09-0000"</f>
        <v>77-EA09-0000</v>
      </c>
      <c r="C154" t="str">
        <f>"LM7 Content, JM, Pilot Devices"</f>
        <v>LM7 Content, JM, Pilot Devices</v>
      </c>
      <c r="D154" s="4"/>
      <c r="E154" s="4">
        <v>1</v>
      </c>
      <c r="F154" s="4"/>
      <c r="G154" s="29" t="str">
        <f>IFERROR(HYPERLINK("#"&amp;ADDRESS(MATCH(B154&amp;"ES",'LM7 Non-ENG'!$A$1:$A$5000,0),1,,,"LM7 Non-ENG"),IF(IFERROR(VLOOKUP(B154&amp;"ES",'LM7 Non-ENG'!$A$1:$A$4999,1,FALSE),"ERROR")=B154&amp;"ES","Y","")),"")</f>
        <v>Y</v>
      </c>
      <c r="H154" s="29" t="str">
        <f>IFERROR(HYPERLINK("#"&amp;ADDRESS(MATCH(B154&amp;"PT",'LM7 Non-ENG'!$A$1:$A$5000,0),1,,,"LM7 Non-ENG"),IF(IFERROR(VLOOKUP(B154&amp;"PT",'LM7 Non-ENG'!$A$1:$A$5000,1,FALSE),"ERROR")=B154&amp;"PT","Y","")),"")</f>
        <v/>
      </c>
      <c r="I154" t="str">
        <f>IFERROR(VLOOKUP(B154,PN!$A:$C,3,FALSE),"")</f>
        <v>Active</v>
      </c>
      <c r="J154" s="3">
        <f>IFERROR(E154*VLOOKUP(B154,PLInter!$A:$D,3,FALSE),"")</f>
        <v>700</v>
      </c>
      <c r="K154" s="66"/>
      <c r="L154" s="66"/>
      <c r="M154" s="66"/>
      <c r="N154" s="66"/>
      <c r="O154" s="66"/>
      <c r="P154" s="66"/>
      <c r="Q154" s="66"/>
      <c r="R154" s="66"/>
      <c r="S154" s="66"/>
      <c r="T154" s="66"/>
    </row>
    <row r="155" spans="2:20" ht="18" customHeight="1">
      <c r="B155" s="2" t="str">
        <f>"17-EA09-0000"</f>
        <v>17-EA09-0000</v>
      </c>
      <c r="C155" s="2" t="str">
        <f>"LM5.X Content, JM, Electronic Sensors"</f>
        <v>LM5.X Content, JM, Electronic Sensors</v>
      </c>
      <c r="D155" s="5"/>
      <c r="E155" s="16">
        <v>0</v>
      </c>
      <c r="F155" s="5" t="str">
        <f>"Y"</f>
        <v>Y</v>
      </c>
      <c r="G155" s="29" t="str">
        <f>IFERROR(HYPERLINK("#"&amp;ADDRESS(MATCH(B155&amp;"ES",'LM7 Non-ENG'!$A$1:$A$5000,0),1,,,"LM7 Non-ENG"),IF(IFERROR(VLOOKUP(B155&amp;"ES",'LM7 Non-ENG'!$A$1:$A$4999,1,FALSE),"ERROR")=B155&amp;"ES","Y","")),"")</f>
        <v/>
      </c>
      <c r="H155" s="29" t="str">
        <f>IFERROR(HYPERLINK("#"&amp;ADDRESS(MATCH(B155&amp;"PT",'LM7 Non-ENG'!$A$1:$A$5000,0),1,,,"LM7 Non-ENG"),IF(IFERROR(VLOOKUP(B155&amp;"PT",'LM7 Non-ENG'!$A$1:$A$5000,1,FALSE),"ERROR")=B155&amp;"PT","Y","")),"")</f>
        <v/>
      </c>
      <c r="I155" t="str">
        <f>IFERROR(VLOOKUP(B155,PN!$A:$C,3,FALSE),"")</f>
        <v>Active</v>
      </c>
      <c r="J155" s="3">
        <f>IFERROR(E155*VLOOKUP(B155,PLInter!$A:$D,3,FALSE),"")</f>
        <v>0</v>
      </c>
      <c r="K155" s="66"/>
      <c r="L155" s="66"/>
      <c r="M155" s="66"/>
      <c r="N155" s="66"/>
      <c r="O155" s="66"/>
      <c r="P155" s="66"/>
      <c r="Q155" s="66"/>
      <c r="R155" s="66"/>
      <c r="S155" s="66"/>
      <c r="T155" s="66"/>
    </row>
    <row r="156" spans="2:20" ht="18" customHeight="1">
      <c r="B156" t="str">
        <f>"26-E011-0000"</f>
        <v>26-E011-0000</v>
      </c>
      <c r="C156" t="str">
        <f>"Assembly, JM, E011, Limit Switch Panel"</f>
        <v>Assembly, JM, E011, Limit Switch Panel</v>
      </c>
      <c r="D156" s="4"/>
      <c r="E156" s="4">
        <v>2</v>
      </c>
      <c r="F156" s="4"/>
      <c r="G156" s="29" t="str">
        <f>IFERROR(HYPERLINK("#"&amp;ADDRESS(MATCH(B156&amp;"ES",'LM7 Non-ENG'!$A$1:$A$5000,0),1,,,"LM7 Non-ENG"),IF(IFERROR(VLOOKUP(B156&amp;"ES",'LM7 Non-ENG'!$A$1:$A$4999,1,FALSE),"ERROR")=B156&amp;"ES","Y","")),"")</f>
        <v/>
      </c>
      <c r="H156" s="29" t="str">
        <f>IFERROR(HYPERLINK("#"&amp;ADDRESS(MATCH(B156&amp;"PT",'LM7 Non-ENG'!$A$1:$A$5000,0),1,,,"LM7 Non-ENG"),IF(IFERROR(VLOOKUP(B156&amp;"PT",'LM7 Non-ENG'!$A$1:$A$5000,1,FALSE),"ERROR")=B156&amp;"PT","Y","")),"")</f>
        <v/>
      </c>
      <c r="I156" t="str">
        <f>IFERROR(VLOOKUP(B156,PN!$A:$C,3,FALSE),"")</f>
        <v>Active</v>
      </c>
      <c r="J156" s="3">
        <f>IFERROR(E156*VLOOKUP(B156,PLInter!$A:$D,3,FALSE),"")</f>
        <v>868</v>
      </c>
      <c r="K156" s="66"/>
      <c r="L156" s="66"/>
      <c r="M156" s="66"/>
      <c r="N156" s="66"/>
      <c r="O156" s="66"/>
      <c r="P156" s="66"/>
      <c r="Q156" s="66"/>
      <c r="R156" s="66"/>
      <c r="S156" s="66"/>
      <c r="T156" s="66"/>
    </row>
    <row r="157" spans="2:20" ht="18" customHeight="1">
      <c r="B157" t="str">
        <f>"26-E018-0000"</f>
        <v>26-E018-0000</v>
      </c>
      <c r="C157" t="str">
        <f>"Assembly, JM, E018, Liquid Level and Pressure"</f>
        <v>Assembly, JM, E018, Liquid Level and Pressure</v>
      </c>
      <c r="D157" s="4"/>
      <c r="E157" s="4">
        <v>2</v>
      </c>
      <c r="F157" s="4"/>
      <c r="G157" s="29" t="str">
        <f>IFERROR(HYPERLINK("#"&amp;ADDRESS(MATCH(B157&amp;"ES",'LM7 Non-ENG'!$A$1:$A$5000,0),1,,,"LM7 Non-ENG"),IF(IFERROR(VLOOKUP(B157&amp;"ES",'LM7 Non-ENG'!$A$1:$A$4999,1,FALSE),"ERROR")=B157&amp;"ES","Y","")),"")</f>
        <v/>
      </c>
      <c r="H157" s="29" t="str">
        <f>IFERROR(HYPERLINK("#"&amp;ADDRESS(MATCH(B157&amp;"PT",'LM7 Non-ENG'!$A$1:$A$5000,0),1,,,"LM7 Non-ENG"),IF(IFERROR(VLOOKUP(B157&amp;"PT",'LM7 Non-ENG'!$A$1:$A$5000,1,FALSE),"ERROR")=B157&amp;"PT","Y","")),"")</f>
        <v/>
      </c>
      <c r="I157" t="str">
        <f>IFERROR(VLOOKUP(B157,PN!$A:$C,3,FALSE),"")</f>
        <v>Active</v>
      </c>
      <c r="J157" s="3">
        <f>IFERROR(E157*VLOOKUP(B157,PLInter!$A:$D,3,FALSE),"")</f>
        <v>1734</v>
      </c>
      <c r="K157" s="66"/>
      <c r="L157" s="66"/>
      <c r="M157" s="66"/>
      <c r="N157" s="66"/>
      <c r="O157" s="66"/>
      <c r="P157" s="66"/>
      <c r="Q157" s="66"/>
      <c r="R157" s="66"/>
      <c r="S157" s="66"/>
      <c r="T157" s="66"/>
    </row>
    <row r="158" spans="2:20" ht="18" customHeight="1">
      <c r="B158" t="str">
        <f>"26-E126-0000"</f>
        <v>26-E126-0000</v>
      </c>
      <c r="C158" t="str">
        <f>"Assembly, JM, E126, Photo, Mag, &amp; Prox Panel"</f>
        <v>Assembly, JM, E126, Photo, Mag, &amp; Prox Panel</v>
      </c>
      <c r="D158" s="4"/>
      <c r="E158" s="4">
        <v>2</v>
      </c>
      <c r="F158" s="4"/>
      <c r="G158" s="29" t="str">
        <f>IFERROR(HYPERLINK("#"&amp;ADDRESS(MATCH(B158&amp;"ES",'LM7 Non-ENG'!$A$1:$A$5000,0),1,,,"LM7 Non-ENG"),IF(IFERROR(VLOOKUP(B158&amp;"ES",'LM7 Non-ENG'!$A$1:$A$4999,1,FALSE),"ERROR")=B158&amp;"ES","Y","")),"")</f>
        <v/>
      </c>
      <c r="H158" s="29" t="str">
        <f>IFERROR(HYPERLINK("#"&amp;ADDRESS(MATCH(B158&amp;"PT",'LM7 Non-ENG'!$A$1:$A$5000,0),1,,,"LM7 Non-ENG"),IF(IFERROR(VLOOKUP(B158&amp;"PT",'LM7 Non-ENG'!$A$1:$A$5000,1,FALSE),"ERROR")=B158&amp;"PT","Y","")),"")</f>
        <v/>
      </c>
      <c r="I158" t="str">
        <f>IFERROR(VLOOKUP(B158,PN!$A:$C,3,FALSE),"")</f>
        <v>Active</v>
      </c>
      <c r="J158" s="3">
        <f>IFERROR(E158*VLOOKUP(B158,PLInter!$A:$D,3,FALSE),"")</f>
        <v>4268</v>
      </c>
      <c r="K158" s="66"/>
      <c r="L158" s="66"/>
      <c r="M158" s="66"/>
      <c r="N158" s="66"/>
      <c r="O158" s="66"/>
      <c r="P158" s="66"/>
      <c r="Q158" s="66"/>
      <c r="R158" s="66"/>
      <c r="S158" s="66"/>
      <c r="T158" s="66"/>
    </row>
    <row r="159" spans="2:20" ht="18" customHeight="1">
      <c r="B159" s="1" t="str">
        <f>"26-E153-0000"</f>
        <v>26-E153-0000</v>
      </c>
      <c r="C159" s="1" t="str">
        <f>"Assembly, JM, E153, AC/DC Circuits"</f>
        <v>Assembly, JM, E153, AC/DC Circuits</v>
      </c>
      <c r="D159" s="6" t="s">
        <v>0</v>
      </c>
      <c r="E159" s="6">
        <v>2</v>
      </c>
      <c r="F159" s="6"/>
      <c r="G159" s="29" t="str">
        <f>IFERROR(HYPERLINK("#"&amp;ADDRESS(MATCH(B159&amp;"ES",'LM7 Non-ENG'!$A$1:$A$5000,0),1,,,"LM7 Non-ENG"),IF(IFERROR(VLOOKUP(B159&amp;"ES",'LM7 Non-ENG'!$A$1:$A$4999,1,FALSE),"ERROR")=B159&amp;"ES","Y","")),"")</f>
        <v/>
      </c>
      <c r="H159" s="29" t="str">
        <f>IFERROR(HYPERLINK("#"&amp;ADDRESS(MATCH(B159&amp;"PT",'LM7 Non-ENG'!$A$1:$A$5000,0),1,,,"LM7 Non-ENG"),IF(IFERROR(VLOOKUP(B159&amp;"PT",'LM7 Non-ENG'!$A$1:$A$5000,1,FALSE),"ERROR")=B159&amp;"PT","Y","")),"")</f>
        <v/>
      </c>
      <c r="I159" t="str">
        <f>IFERROR(VLOOKUP(B159,PN!$A:$C,3,FALSE),"")</f>
        <v>Active</v>
      </c>
      <c r="J159" s="3">
        <f>IFERROR(E159*VLOOKUP(B159,PLInter!$A:$D,3,FALSE),"")</f>
        <v>1068</v>
      </c>
      <c r="K159" s="66"/>
      <c r="L159" s="66"/>
      <c r="M159" s="66"/>
      <c r="N159" s="66"/>
      <c r="O159" s="66"/>
      <c r="P159" s="66"/>
      <c r="Q159" s="66"/>
      <c r="R159" s="66"/>
      <c r="S159" s="66"/>
      <c r="T159" s="66"/>
    </row>
    <row r="160" spans="2:20" ht="18" customHeight="1">
      <c r="B160" t="str">
        <f>"36-EA09-IG01"</f>
        <v>36-EA09-IG01</v>
      </c>
      <c r="C160" t="str">
        <f>"JM, PDF on CD Sensors - EA09"</f>
        <v>JM, PDF on CD Sensors - EA09</v>
      </c>
      <c r="D160" s="4"/>
      <c r="E160" s="4">
        <v>1</v>
      </c>
      <c r="F160" s="4"/>
      <c r="G160" s="29" t="str">
        <f>IFERROR(HYPERLINK("#"&amp;ADDRESS(MATCH(B160&amp;"ES",'LM7 Non-ENG'!$A$1:$A$5000,0),1,,,"LM7 Non-ENG"),IF(IFERROR(VLOOKUP(B160&amp;"ES",'LM7 Non-ENG'!$A$1:$A$4999,1,FALSE),"ERROR")=B160&amp;"ES","Y","")),"")</f>
        <v/>
      </c>
      <c r="H160" s="29" t="str">
        <f>IFERROR(HYPERLINK("#"&amp;ADDRESS(MATCH(B160&amp;"PT",'LM7 Non-ENG'!$A$1:$A$5000,0),1,,,"LM7 Non-ENG"),IF(IFERROR(VLOOKUP(B160&amp;"PT",'LM7 Non-ENG'!$A$1:$A$5000,1,FALSE),"ERROR")=B160&amp;"PT","Y","")),"")</f>
        <v/>
      </c>
      <c r="I160" t="str">
        <f>IFERROR(VLOOKUP(B160,PN!$A:$C,3,FALSE),"")</f>
        <v>Active</v>
      </c>
      <c r="J160" s="3">
        <f>IFERROR(E160*VLOOKUP(B160,PLInter!$A:$D,3,FALSE),"")</f>
        <v>0</v>
      </c>
      <c r="K160" s="66"/>
      <c r="L160" s="66"/>
      <c r="M160" s="66"/>
      <c r="N160" s="66"/>
      <c r="O160" s="66"/>
      <c r="P160" s="66"/>
      <c r="Q160" s="66"/>
      <c r="R160" s="66"/>
      <c r="S160" s="66"/>
      <c r="T160" s="66"/>
    </row>
    <row r="161" spans="2:20" ht="18" customHeight="1">
      <c r="B161" t="str">
        <f>"77-EA12-0000"</f>
        <v>77-EA12-0000</v>
      </c>
      <c r="C161" t="str">
        <f>"LM7 Content, JM, Electric Motor Drives"</f>
        <v>LM7 Content, JM, Electric Motor Drives</v>
      </c>
      <c r="D161" s="4"/>
      <c r="E161" s="4">
        <v>1</v>
      </c>
      <c r="F161" s="4"/>
      <c r="G161" s="29" t="str">
        <f>IFERROR(HYPERLINK("#"&amp;ADDRESS(MATCH(B161&amp;"ES",'LM7 Non-ENG'!$A$1:$A$5000,0),1,,,"LM7 Non-ENG"),IF(IFERROR(VLOOKUP(B161&amp;"ES",'LM7 Non-ENG'!$A$1:$A$4999,1,FALSE),"ERROR")=B161&amp;"ES","Y","")),"")</f>
        <v>Y</v>
      </c>
      <c r="H161" s="29" t="str">
        <f>IFERROR(HYPERLINK("#"&amp;ADDRESS(MATCH(B161&amp;"PT",'LM7 Non-ENG'!$A$1:$A$5000,0),1,,,"LM7 Non-ENG"),IF(IFERROR(VLOOKUP(B161&amp;"PT",'LM7 Non-ENG'!$A$1:$A$5000,1,FALSE),"ERROR")=B161&amp;"PT","Y","")),"")</f>
        <v/>
      </c>
      <c r="I161" t="str">
        <f>IFERROR(VLOOKUP(B161,PN!$A:$C,3,FALSE),"")</f>
        <v>Active</v>
      </c>
      <c r="J161" s="3">
        <f>IFERROR(E161*VLOOKUP(B161,PLInter!$A:$D,3,FALSE),"")</f>
        <v>700</v>
      </c>
      <c r="K161" s="66"/>
      <c r="L161" s="66"/>
      <c r="M161" s="66"/>
      <c r="N161" s="66"/>
      <c r="O161" s="66"/>
      <c r="P161" s="66"/>
      <c r="Q161" s="66"/>
      <c r="R161" s="66"/>
      <c r="S161" s="66"/>
      <c r="T161" s="66"/>
    </row>
    <row r="162" spans="2:20" ht="18" customHeight="1">
      <c r="B162" s="2" t="str">
        <f>"17-EA12-0000"</f>
        <v>17-EA12-0000</v>
      </c>
      <c r="C162" s="2" t="str">
        <f>"LM5.X Content, JM, Variable Frequency Drive"</f>
        <v>LM5.X Content, JM, Variable Frequency Drive</v>
      </c>
      <c r="D162" s="5"/>
      <c r="E162" s="16">
        <v>0</v>
      </c>
      <c r="F162" s="5" t="str">
        <f>"Y"</f>
        <v>Y</v>
      </c>
      <c r="G162" s="29" t="str">
        <f>IFERROR(HYPERLINK("#"&amp;ADDRESS(MATCH(B162&amp;"ES",'LM7 Non-ENG'!$A$1:$A$5000,0),1,,,"LM7 Non-ENG"),IF(IFERROR(VLOOKUP(B162&amp;"ES",'LM7 Non-ENG'!$A$1:$A$4999,1,FALSE),"ERROR")=B162&amp;"ES","Y","")),"")</f>
        <v/>
      </c>
      <c r="H162" s="29" t="str">
        <f>IFERROR(HYPERLINK("#"&amp;ADDRESS(MATCH(B162&amp;"PT",'LM7 Non-ENG'!$A$1:$A$5000,0),1,,,"LM7 Non-ENG"),IF(IFERROR(VLOOKUP(B162&amp;"PT",'LM7 Non-ENG'!$A$1:$A$5000,1,FALSE),"ERROR")=B162&amp;"PT","Y","")),"")</f>
        <v/>
      </c>
      <c r="I162" t="str">
        <f>IFERROR(VLOOKUP(B162,PN!$A:$C,3,FALSE),"")</f>
        <v>Active</v>
      </c>
      <c r="J162" s="3">
        <f>IFERROR(E162*VLOOKUP(B162,PLInter!$A:$D,3,FALSE),"")</f>
        <v>0</v>
      </c>
      <c r="K162" s="66"/>
      <c r="L162" s="66"/>
      <c r="M162" s="66"/>
      <c r="N162" s="66"/>
      <c r="O162" s="66"/>
      <c r="P162" s="66"/>
      <c r="Q162" s="66"/>
      <c r="R162" s="66"/>
      <c r="S162" s="66"/>
      <c r="T162" s="66"/>
    </row>
    <row r="163" spans="2:20" ht="18" customHeight="1">
      <c r="B163" t="str">
        <f>"26-E067-0000"</f>
        <v>26-E067-0000</v>
      </c>
      <c r="C163" t="str">
        <f>"Assembly, JM, E067,Varible Frequency Drive Panel"</f>
        <v>Assembly, JM, E067,Varible Frequency Drive Panel</v>
      </c>
      <c r="D163" s="4"/>
      <c r="E163" s="4">
        <v>2</v>
      </c>
      <c r="F163" s="4"/>
      <c r="G163" s="29" t="str">
        <f>IFERROR(HYPERLINK("#"&amp;ADDRESS(MATCH(B163&amp;"ES",'LM7 Non-ENG'!$A$1:$A$5000,0),1,,,"LM7 Non-ENG"),IF(IFERROR(VLOOKUP(B163&amp;"ES",'LM7 Non-ENG'!$A$1:$A$4999,1,FALSE),"ERROR")=B163&amp;"ES","Y","")),"")</f>
        <v/>
      </c>
      <c r="H163" s="29" t="str">
        <f>IFERROR(HYPERLINK("#"&amp;ADDRESS(MATCH(B163&amp;"PT",'LM7 Non-ENG'!$A$1:$A$5000,0),1,,,"LM7 Non-ENG"),IF(IFERROR(VLOOKUP(B163&amp;"PT",'LM7 Non-ENG'!$A$1:$A$5000,1,FALSE),"ERROR")=B163&amp;"PT","Y","")),"")</f>
        <v/>
      </c>
      <c r="I163" t="str">
        <f>IFERROR(VLOOKUP(B163,PN!$A:$C,3,FALSE),"")</f>
        <v>Active</v>
      </c>
      <c r="J163" s="3">
        <f>IFERROR(E163*VLOOKUP(B163,PLInter!$A:$D,3,FALSE),"")</f>
        <v>2668</v>
      </c>
      <c r="K163" s="66"/>
      <c r="L163" s="66"/>
      <c r="M163" s="66"/>
      <c r="N163" s="66"/>
      <c r="O163" s="66"/>
      <c r="P163" s="66"/>
      <c r="Q163" s="66"/>
      <c r="R163" s="66"/>
      <c r="S163" s="66"/>
      <c r="T163" s="66"/>
    </row>
    <row r="164" spans="2:20" ht="18" customHeight="1">
      <c r="B164" t="str">
        <f>"36-EA12-IG01"</f>
        <v>36-EA12-IG01</v>
      </c>
      <c r="C164" t="str">
        <f>"JM, PDF on CD Variable Frequency Drive- EA12"</f>
        <v>JM, PDF on CD Variable Frequency Drive- EA12</v>
      </c>
      <c r="D164" s="4"/>
      <c r="E164" s="4">
        <v>1</v>
      </c>
      <c r="F164" s="4"/>
      <c r="G164" s="29" t="str">
        <f>IFERROR(HYPERLINK("#"&amp;ADDRESS(MATCH(B164&amp;"ES",'LM7 Non-ENG'!$A$1:$A$5000,0),1,,,"LM7 Non-ENG"),IF(IFERROR(VLOOKUP(B164&amp;"ES",'LM7 Non-ENG'!$A$1:$A$4999,1,FALSE),"ERROR")=B164&amp;"ES","Y","")),"")</f>
        <v/>
      </c>
      <c r="H164" s="29" t="str">
        <f>IFERROR(HYPERLINK("#"&amp;ADDRESS(MATCH(B164&amp;"PT",'LM7 Non-ENG'!$A$1:$A$5000,0),1,,,"LM7 Non-ENG"),IF(IFERROR(VLOOKUP(B164&amp;"PT",'LM7 Non-ENG'!$A$1:$A$5000,1,FALSE),"ERROR")=B164&amp;"PT","Y","")),"")</f>
        <v/>
      </c>
      <c r="I164" t="str">
        <f>IFERROR(VLOOKUP(B164,PN!$A:$C,3,FALSE),"")</f>
        <v>Active</v>
      </c>
      <c r="J164" s="3">
        <f>IFERROR(E164*VLOOKUP(B164,PLInter!$A:$D,3,FALSE),"")</f>
        <v>0</v>
      </c>
      <c r="K164" s="66"/>
      <c r="L164" s="66"/>
      <c r="M164" s="66"/>
      <c r="N164" s="66"/>
      <c r="O164" s="66"/>
      <c r="P164" s="66"/>
      <c r="Q164" s="66"/>
      <c r="R164" s="66"/>
      <c r="S164" s="66"/>
      <c r="T164" s="66"/>
    </row>
    <row r="165" spans="2:20" ht="18" customHeight="1">
      <c r="B165" t="str">
        <f>"77-EA16-0000"</f>
        <v>77-EA16-0000</v>
      </c>
      <c r="C165" t="str">
        <f>"LM7 Content, JM, DC Motor Drives"</f>
        <v>LM7 Content, JM, DC Motor Drives</v>
      </c>
      <c r="D165" s="4"/>
      <c r="E165" s="4">
        <v>1</v>
      </c>
      <c r="F165" s="4"/>
      <c r="G165" s="29" t="str">
        <f>IFERROR(HYPERLINK("#"&amp;ADDRESS(MATCH(B165&amp;"ES",'LM7 Non-ENG'!$A$1:$A$5000,0),1,,,"LM7 Non-ENG"),IF(IFERROR(VLOOKUP(B165&amp;"ES",'LM7 Non-ENG'!$A$1:$A$4999,1,FALSE),"ERROR")=B165&amp;"ES","Y","")),"")</f>
        <v>Y</v>
      </c>
      <c r="H165" s="29" t="str">
        <f>IFERROR(HYPERLINK("#"&amp;ADDRESS(MATCH(B165&amp;"PT",'LM7 Non-ENG'!$A$1:$A$5000,0),1,,,"LM7 Non-ENG"),IF(IFERROR(VLOOKUP(B165&amp;"PT",'LM7 Non-ENG'!$A$1:$A$5000,1,FALSE),"ERROR")=B165&amp;"PT","Y","")),"")</f>
        <v/>
      </c>
      <c r="I165" t="str">
        <f>IFERROR(VLOOKUP(B165,PN!$A:$C,3,FALSE),"")</f>
        <v>Active</v>
      </c>
      <c r="J165" s="3">
        <f>IFERROR(E165*VLOOKUP(B165,PLInter!$A:$D,3,FALSE),"")</f>
        <v>700</v>
      </c>
      <c r="K165" s="66"/>
      <c r="L165" s="66"/>
      <c r="M165" s="66"/>
      <c r="N165" s="66"/>
      <c r="O165" s="66"/>
      <c r="P165" s="66"/>
      <c r="Q165" s="66"/>
      <c r="R165" s="66"/>
      <c r="S165" s="66"/>
      <c r="T165" s="66"/>
    </row>
    <row r="166" spans="2:20" ht="18" customHeight="1">
      <c r="B166" s="2" t="str">
        <f>"17-EA16-0000"</f>
        <v>17-EA16-0000</v>
      </c>
      <c r="C166" s="2" t="str">
        <f>"LM5.X Content, JM, DC Motor Drives"</f>
        <v>LM5.X Content, JM, DC Motor Drives</v>
      </c>
      <c r="D166" s="5"/>
      <c r="E166" s="16">
        <v>0</v>
      </c>
      <c r="F166" s="5" t="str">
        <f>"Y"</f>
        <v>Y</v>
      </c>
      <c r="G166" s="29" t="str">
        <f>IFERROR(HYPERLINK("#"&amp;ADDRESS(MATCH(B166&amp;"ES",'LM7 Non-ENG'!$A$1:$A$5000,0),1,,,"LM7 Non-ENG"),IF(IFERROR(VLOOKUP(B166&amp;"ES",'LM7 Non-ENG'!$A$1:$A$4999,1,FALSE),"ERROR")=B166&amp;"ES","Y","")),"")</f>
        <v/>
      </c>
      <c r="H166" s="29" t="str">
        <f>IFERROR(HYPERLINK("#"&amp;ADDRESS(MATCH(B166&amp;"PT",'LM7 Non-ENG'!$A$1:$A$5000,0),1,,,"LM7 Non-ENG"),IF(IFERROR(VLOOKUP(B166&amp;"PT",'LM7 Non-ENG'!$A$1:$A$5000,1,FALSE),"ERROR")=B166&amp;"PT","Y","")),"")</f>
        <v/>
      </c>
      <c r="I166" t="str">
        <f>IFERROR(VLOOKUP(B166,PN!$A:$C,3,FALSE),"")</f>
        <v>Active</v>
      </c>
      <c r="J166" s="3">
        <f>IFERROR(E166*VLOOKUP(B166,PLInter!$A:$D,3,FALSE),"")</f>
        <v>0</v>
      </c>
      <c r="K166" s="66"/>
      <c r="L166" s="66"/>
      <c r="M166" s="66"/>
      <c r="N166" s="66"/>
      <c r="O166" s="66"/>
      <c r="P166" s="66"/>
      <c r="Q166" s="66"/>
      <c r="R166" s="66"/>
      <c r="S166" s="66"/>
      <c r="T166" s="66"/>
    </row>
    <row r="167" spans="2:20" ht="18" customHeight="1">
      <c r="B167" t="str">
        <f>"26-E007-0000"</f>
        <v>26-E007-0000</v>
      </c>
      <c r="C167" t="str">
        <f>"Assembly, JM, E007 - SCR Speed Control Panel"</f>
        <v>Assembly, JM, E007 - SCR Speed Control Panel</v>
      </c>
      <c r="D167" s="4"/>
      <c r="E167" s="4">
        <v>4</v>
      </c>
      <c r="F167" s="4"/>
      <c r="G167" s="29" t="str">
        <f>IFERROR(HYPERLINK("#"&amp;ADDRESS(MATCH(B167&amp;"ES",'LM7 Non-ENG'!$A$1:$A$5000,0),1,,,"LM7 Non-ENG"),IF(IFERROR(VLOOKUP(B167&amp;"ES",'LM7 Non-ENG'!$A$1:$A$4999,1,FALSE),"ERROR")=B167&amp;"ES","Y","")),"")</f>
        <v/>
      </c>
      <c r="H167" s="29" t="str">
        <f>IFERROR(HYPERLINK("#"&amp;ADDRESS(MATCH(B167&amp;"PT",'LM7 Non-ENG'!$A$1:$A$5000,0),1,,,"LM7 Non-ENG"),IF(IFERROR(VLOOKUP(B167&amp;"PT",'LM7 Non-ENG'!$A$1:$A$5000,1,FALSE),"ERROR")=B167&amp;"PT","Y","")),"")</f>
        <v/>
      </c>
      <c r="I167" t="str">
        <f>IFERROR(VLOOKUP(B167,PN!$A:$C,3,FALSE),"")</f>
        <v>Active</v>
      </c>
      <c r="J167" s="3">
        <f>IFERROR(E167*VLOOKUP(B167,PLInter!$A:$D,3,FALSE),"")</f>
        <v>2600</v>
      </c>
      <c r="K167" s="66"/>
      <c r="L167" s="66"/>
      <c r="M167" s="66"/>
      <c r="N167" s="66"/>
      <c r="O167" s="66"/>
      <c r="P167" s="66"/>
      <c r="Q167" s="66"/>
      <c r="R167" s="66"/>
      <c r="S167" s="66"/>
      <c r="T167" s="66"/>
    </row>
    <row r="168" spans="2:20" ht="18" customHeight="1">
      <c r="B168" t="str">
        <f>"26-E025-0000"</f>
        <v>26-E025-0000</v>
      </c>
      <c r="C168" t="str">
        <f>"Assembly, JM, E025 F-O-R Switch Panel"</f>
        <v>Assembly, JM, E025 F-O-R Switch Panel</v>
      </c>
      <c r="D168" s="4"/>
      <c r="E168" s="4">
        <v>2</v>
      </c>
      <c r="F168" s="4"/>
      <c r="G168" s="29" t="str">
        <f>IFERROR(HYPERLINK("#"&amp;ADDRESS(MATCH(B168&amp;"ES",'LM7 Non-ENG'!$A$1:$A$5000,0),1,,,"LM7 Non-ENG"),IF(IFERROR(VLOOKUP(B168&amp;"ES",'LM7 Non-ENG'!$A$1:$A$4999,1,FALSE),"ERROR")=B168&amp;"ES","Y","")),"")</f>
        <v/>
      </c>
      <c r="H168" s="29" t="str">
        <f>IFERROR(HYPERLINK("#"&amp;ADDRESS(MATCH(B168&amp;"PT",'LM7 Non-ENG'!$A$1:$A$5000,0),1,,,"LM7 Non-ENG"),IF(IFERROR(VLOOKUP(B168&amp;"PT",'LM7 Non-ENG'!$A$1:$A$5000,1,FALSE),"ERROR")=B168&amp;"PT","Y","")),"")</f>
        <v/>
      </c>
      <c r="I168" t="str">
        <f>IFERROR(VLOOKUP(B168,PN!$A:$C,3,FALSE),"")</f>
        <v>Active</v>
      </c>
      <c r="J168" s="3">
        <f>IFERROR(E168*VLOOKUP(B168,PLInter!$A:$D,3,FALSE),"")</f>
        <v>1400</v>
      </c>
      <c r="K168" s="66"/>
      <c r="L168" s="66"/>
      <c r="M168" s="66"/>
      <c r="N168" s="66"/>
      <c r="O168" s="66"/>
      <c r="P168" s="66"/>
      <c r="Q168" s="66"/>
      <c r="R168" s="66"/>
      <c r="S168" s="66"/>
      <c r="T168" s="66"/>
    </row>
    <row r="169" spans="2:20" ht="18" customHeight="1">
      <c r="B169" s="1" t="str">
        <f>"26-E034-0000"</f>
        <v>26-E034-0000</v>
      </c>
      <c r="C169" s="1" t="str">
        <f>"Assembly, JM, E034, DC Motor Panel"</f>
        <v>Assembly, JM, E034, DC Motor Panel</v>
      </c>
      <c r="D169" s="6" t="s">
        <v>0</v>
      </c>
      <c r="E169" s="6">
        <v>2</v>
      </c>
      <c r="F169" s="6"/>
      <c r="G169" s="29" t="str">
        <f>IFERROR(HYPERLINK("#"&amp;ADDRESS(MATCH(B169&amp;"ES",'LM7 Non-ENG'!$A$1:$A$5000,0),1,,,"LM7 Non-ENG"),IF(IFERROR(VLOOKUP(B169&amp;"ES",'LM7 Non-ENG'!$A$1:$A$4999,1,FALSE),"ERROR")=B169&amp;"ES","Y","")),"")</f>
        <v/>
      </c>
      <c r="H169" s="29" t="str">
        <f>IFERROR(HYPERLINK("#"&amp;ADDRESS(MATCH(B169&amp;"PT",'LM7 Non-ENG'!$A$1:$A$5000,0),1,,,"LM7 Non-ENG"),IF(IFERROR(VLOOKUP(B169&amp;"PT",'LM7 Non-ENG'!$A$1:$A$5000,1,FALSE),"ERROR")=B169&amp;"PT","Y","")),"")</f>
        <v/>
      </c>
      <c r="I169" t="str">
        <f>IFERROR(VLOOKUP(B169,PN!$A:$C,3,FALSE),"")</f>
        <v>Active</v>
      </c>
      <c r="J169" s="3">
        <f>IFERROR(E169*VLOOKUP(B169,PLInter!$A:$D,3,FALSE),"")</f>
        <v>1800</v>
      </c>
      <c r="K169" s="66"/>
      <c r="L169" s="66"/>
      <c r="M169" s="66"/>
      <c r="N169" s="66"/>
      <c r="O169" s="66"/>
      <c r="P169" s="66"/>
      <c r="Q169" s="66"/>
      <c r="R169" s="66"/>
      <c r="S169" s="66"/>
      <c r="T169" s="66"/>
    </row>
    <row r="170" spans="2:20" ht="18" customHeight="1">
      <c r="B170" t="str">
        <f>"26-E038-0000"</f>
        <v>26-E038-0000</v>
      </c>
      <c r="C170" t="str">
        <f>"Assembly, JM, E038, PWM Speed Control Panel"</f>
        <v>Assembly, JM, E038, PWM Speed Control Panel</v>
      </c>
      <c r="D170" s="4"/>
      <c r="E170" s="4">
        <v>2</v>
      </c>
      <c r="F170" s="4"/>
      <c r="G170" s="29" t="str">
        <f>IFERROR(HYPERLINK("#"&amp;ADDRESS(MATCH(B170&amp;"ES",'LM7 Non-ENG'!$A$1:$A$5000,0),1,,,"LM7 Non-ENG"),IF(IFERROR(VLOOKUP(B170&amp;"ES",'LM7 Non-ENG'!$A$1:$A$4999,1,FALSE),"ERROR")=B170&amp;"ES","Y","")),"")</f>
        <v/>
      </c>
      <c r="H170" s="29" t="str">
        <f>IFERROR(HYPERLINK("#"&amp;ADDRESS(MATCH(B170&amp;"PT",'LM7 Non-ENG'!$A$1:$A$5000,0),1,,,"LM7 Non-ENG"),IF(IFERROR(VLOOKUP(B170&amp;"PT",'LM7 Non-ENG'!$A$1:$A$5000,1,FALSE),"ERROR")=B170&amp;"PT","Y","")),"")</f>
        <v/>
      </c>
      <c r="I170" t="str">
        <f>IFERROR(VLOOKUP(B170,PN!$A:$C,3,FALSE),"")</f>
        <v>Active</v>
      </c>
      <c r="J170" s="3">
        <f>IFERROR(E170*VLOOKUP(B170,PLInter!$A:$D,3,FALSE),"")</f>
        <v>2134</v>
      </c>
      <c r="K170" s="66"/>
      <c r="L170" s="66"/>
      <c r="M170" s="66"/>
      <c r="N170" s="66"/>
      <c r="O170" s="66"/>
      <c r="P170" s="66"/>
      <c r="Q170" s="66"/>
      <c r="R170" s="66"/>
      <c r="S170" s="66"/>
      <c r="T170" s="66"/>
    </row>
    <row r="171" spans="2:20" ht="18" customHeight="1">
      <c r="B171" t="str">
        <f>"26-E048-0000"</f>
        <v>26-E048-0000</v>
      </c>
      <c r="C171" t="str">
        <f>"Assembly, JM, E048 Inertial Load Panel"</f>
        <v>Assembly, JM, E048 Inertial Load Panel</v>
      </c>
      <c r="D171" s="4"/>
      <c r="E171" s="4">
        <v>2</v>
      </c>
      <c r="F171" s="4"/>
      <c r="G171" s="29" t="str">
        <f>IFERROR(HYPERLINK("#"&amp;ADDRESS(MATCH(B171&amp;"ES",'LM7 Non-ENG'!$A$1:$A$5000,0),1,,,"LM7 Non-ENG"),IF(IFERROR(VLOOKUP(B171&amp;"ES",'LM7 Non-ENG'!$A$1:$A$4999,1,FALSE),"ERROR")=B171&amp;"ES","Y","")),"")</f>
        <v/>
      </c>
      <c r="H171" s="29" t="str">
        <f>IFERROR(HYPERLINK("#"&amp;ADDRESS(MATCH(B171&amp;"PT",'LM7 Non-ENG'!$A$1:$A$5000,0),1,,,"LM7 Non-ENG"),IF(IFERROR(VLOOKUP(B171&amp;"PT",'LM7 Non-ENG'!$A$1:$A$5000,1,FALSE),"ERROR")=B171&amp;"PT","Y","")),"")</f>
        <v/>
      </c>
      <c r="I171" t="str">
        <f>IFERROR(VLOOKUP(B171,PN!$A:$C,3,FALSE),"")</f>
        <v>Active</v>
      </c>
      <c r="J171" s="3">
        <f>IFERROR(E171*VLOOKUP(B171,PLInter!$A:$D,3,FALSE),"")</f>
        <v>1334</v>
      </c>
      <c r="K171" s="66"/>
      <c r="L171" s="66"/>
      <c r="M171" s="66"/>
      <c r="N171" s="66"/>
      <c r="O171" s="66"/>
      <c r="P171" s="66"/>
      <c r="Q171" s="66"/>
      <c r="R171" s="66"/>
      <c r="S171" s="66"/>
      <c r="T171" s="66"/>
    </row>
    <row r="172" spans="2:20" ht="18" customHeight="1">
      <c r="B172" t="str">
        <f>"26-E071-0000"</f>
        <v>26-E071-0000</v>
      </c>
      <c r="C172" t="str">
        <f>"Assembly, JM, E071 Regenerative SCR Drive Panel"</f>
        <v>Assembly, JM, E071 Regenerative SCR Drive Panel</v>
      </c>
      <c r="D172" s="4"/>
      <c r="E172" s="4">
        <v>2</v>
      </c>
      <c r="F172" s="4"/>
      <c r="G172" s="29" t="str">
        <f>IFERROR(HYPERLINK("#"&amp;ADDRESS(MATCH(B172&amp;"ES",'LM7 Non-ENG'!$A$1:$A$5000,0),1,,,"LM7 Non-ENG"),IF(IFERROR(VLOOKUP(B172&amp;"ES",'LM7 Non-ENG'!$A$1:$A$4999,1,FALSE),"ERROR")=B172&amp;"ES","Y","")),"")</f>
        <v/>
      </c>
      <c r="H172" s="29" t="str">
        <f>IFERROR(HYPERLINK("#"&amp;ADDRESS(MATCH(B172&amp;"PT",'LM7 Non-ENG'!$A$1:$A$5000,0),1,,,"LM7 Non-ENG"),IF(IFERROR(VLOOKUP(B172&amp;"PT",'LM7 Non-ENG'!$A$1:$A$5000,1,FALSE),"ERROR")=B172&amp;"PT","Y","")),"")</f>
        <v/>
      </c>
      <c r="I172" t="str">
        <f>IFERROR(VLOOKUP(B172,PN!$A:$C,3,FALSE),"")</f>
        <v>Active</v>
      </c>
      <c r="J172" s="3">
        <f>IFERROR(E172*VLOOKUP(B172,PLInter!$A:$D,3,FALSE),"")</f>
        <v>2268</v>
      </c>
      <c r="K172" s="66"/>
      <c r="L172" s="66"/>
      <c r="M172" s="66"/>
      <c r="N172" s="66"/>
      <c r="O172" s="66"/>
      <c r="P172" s="66"/>
      <c r="Q172" s="66"/>
      <c r="R172" s="66"/>
      <c r="S172" s="66"/>
      <c r="T172" s="66"/>
    </row>
    <row r="173" spans="2:20" ht="18" customHeight="1">
      <c r="B173" t="str">
        <f>"36-EA16-IG01"</f>
        <v>36-EA16-IG01</v>
      </c>
      <c r="C173" t="str">
        <f>"JM, PDF on CD DC Motor Drives - EA16"</f>
        <v>JM, PDF on CD DC Motor Drives - EA16</v>
      </c>
      <c r="D173" s="4"/>
      <c r="E173" s="4">
        <v>1</v>
      </c>
      <c r="F173" s="4"/>
      <c r="G173" s="29" t="str">
        <f>IFERROR(HYPERLINK("#"&amp;ADDRESS(MATCH(B173&amp;"ES",'LM7 Non-ENG'!$A$1:$A$5000,0),1,,,"LM7 Non-ENG"),IF(IFERROR(VLOOKUP(B173&amp;"ES",'LM7 Non-ENG'!$A$1:$A$4999,1,FALSE),"ERROR")=B173&amp;"ES","Y","")),"")</f>
        <v/>
      </c>
      <c r="H173" s="29" t="str">
        <f>IFERROR(HYPERLINK("#"&amp;ADDRESS(MATCH(B173&amp;"PT",'LM7 Non-ENG'!$A$1:$A$5000,0),1,,,"LM7 Non-ENG"),IF(IFERROR(VLOOKUP(B173&amp;"PT",'LM7 Non-ENG'!$A$1:$A$5000,1,FALSE),"ERROR")=B173&amp;"PT","Y","")),"")</f>
        <v/>
      </c>
      <c r="I173" t="str">
        <f>IFERROR(VLOOKUP(B173,PN!$A:$C,3,FALSE),"")</f>
        <v>Active</v>
      </c>
      <c r="J173" s="3">
        <f>IFERROR(E173*VLOOKUP(B173,PLInter!$A:$D,3,FALSE),"")</f>
        <v>0</v>
      </c>
      <c r="K173" s="66"/>
      <c r="L173" s="66"/>
      <c r="M173" s="66"/>
      <c r="N173" s="66"/>
      <c r="O173" s="66"/>
      <c r="P173" s="66"/>
      <c r="Q173" s="66"/>
      <c r="R173" s="66"/>
      <c r="S173" s="66"/>
      <c r="T173" s="66"/>
    </row>
    <row r="174" spans="2:20" ht="18" customHeight="1">
      <c r="B174" t="str">
        <f>"10-PPSU-0001"</f>
        <v>10-PPSU-0001</v>
      </c>
      <c r="C174" t="str">
        <f>"JM, Portable Panel Storage Unit"</f>
        <v>JM, Portable Panel Storage Unit</v>
      </c>
      <c r="D174" s="4"/>
      <c r="E174" s="4">
        <v>2</v>
      </c>
      <c r="F174" s="4"/>
      <c r="G174" s="29" t="str">
        <f>IFERROR(HYPERLINK("#"&amp;ADDRESS(MATCH(B174&amp;"ES",'LM7 Non-ENG'!$A$1:$A$5000,0),1,,,"LM7 Non-ENG"),IF(IFERROR(VLOOKUP(B174&amp;"ES",'LM7 Non-ENG'!$A$1:$A$4999,1,FALSE),"ERROR")=B174&amp;"ES","Y","")),"")</f>
        <v/>
      </c>
      <c r="H174" s="29" t="str">
        <f>IFERROR(HYPERLINK("#"&amp;ADDRESS(MATCH(B174&amp;"PT",'LM7 Non-ENG'!$A$1:$A$5000,0),1,,,"LM7 Non-ENG"),IF(IFERROR(VLOOKUP(B174&amp;"PT",'LM7 Non-ENG'!$A$1:$A$5000,1,FALSE),"ERROR")=B174&amp;"PT","Y","")),"")</f>
        <v/>
      </c>
      <c r="I174" t="str">
        <f>IFERROR(VLOOKUP(B174,PN!$A:$C,3,FALSE),"")</f>
        <v>Active</v>
      </c>
      <c r="J174" s="3">
        <f>IFERROR(E174*VLOOKUP(B174,PLInter!$A:$D,3,FALSE),"")</f>
        <v>4400</v>
      </c>
      <c r="K174" s="66"/>
      <c r="L174" s="66"/>
      <c r="M174" s="66"/>
      <c r="N174" s="66"/>
      <c r="O174" s="66"/>
      <c r="P174" s="66"/>
      <c r="Q174" s="66"/>
      <c r="R174" s="66"/>
      <c r="S174" s="66"/>
      <c r="T174" s="66"/>
    </row>
    <row r="175" spans="2:20" ht="18" customHeight="1">
      <c r="B175" t="str">
        <f>"77-EB01A-0000"</f>
        <v>77-EB01A-0000</v>
      </c>
      <c r="C175" t="str">
        <f>"LM7 Content, JM, Oscilloscope"</f>
        <v>LM7 Content, JM, Oscilloscope</v>
      </c>
      <c r="D175" s="4"/>
      <c r="E175" s="4">
        <v>1</v>
      </c>
      <c r="F175" s="4"/>
      <c r="G175" s="29" t="str">
        <f>IFERROR(HYPERLINK("#"&amp;ADDRESS(MATCH(B175&amp;"ES",'LM7 Non-ENG'!$A$1:$A$5000,0),1,,,"LM7 Non-ENG"),IF(IFERROR(VLOOKUP(B175&amp;"ES",'LM7 Non-ENG'!$A$1:$A$4999,1,FALSE),"ERROR")=B175&amp;"ES","Y","")),"")</f>
        <v/>
      </c>
      <c r="H175" s="29" t="str">
        <f>IFERROR(HYPERLINK("#"&amp;ADDRESS(MATCH(B175&amp;"PT",'LM7 Non-ENG'!$A$1:$A$5000,0),1,,,"LM7 Non-ENG"),IF(IFERROR(VLOOKUP(B175&amp;"PT",'LM7 Non-ENG'!$A$1:$A$5000,1,FALSE),"ERROR")=B175&amp;"PT","Y","")),"")</f>
        <v/>
      </c>
      <c r="I175" t="str">
        <f>IFERROR(VLOOKUP(B175,PN!$A:$C,3,FALSE),"")</f>
        <v>Active</v>
      </c>
      <c r="J175" s="3">
        <f>IFERROR(E175*VLOOKUP(B175,PLInter!$A:$D,3,FALSE),"")</f>
        <v>700</v>
      </c>
      <c r="K175" s="66"/>
      <c r="L175" s="66"/>
      <c r="M175" s="66"/>
      <c r="N175" s="66"/>
      <c r="O175" s="66"/>
      <c r="P175" s="66"/>
      <c r="Q175" s="66"/>
      <c r="R175" s="66"/>
      <c r="S175" s="66"/>
      <c r="T175" s="66"/>
    </row>
    <row r="176" spans="2:20" ht="18" customHeight="1">
      <c r="B176" s="2" t="str">
        <f>"17-EB01A-0000"</f>
        <v>17-EB01A-0000</v>
      </c>
      <c r="C176" s="2" t="str">
        <f>"LM5.X Content, JM, Oscilloscope"</f>
        <v>LM5.X Content, JM, Oscilloscope</v>
      </c>
      <c r="D176" s="5"/>
      <c r="E176" s="16">
        <v>0</v>
      </c>
      <c r="F176" s="5" t="str">
        <f>"Y"</f>
        <v>Y</v>
      </c>
      <c r="G176" s="29" t="str">
        <f>IFERROR(HYPERLINK("#"&amp;ADDRESS(MATCH(B176&amp;"ES",'LM7 Non-ENG'!$A$1:$A$5000,0),1,,,"LM7 Non-ENG"),IF(IFERROR(VLOOKUP(B176&amp;"ES",'LM7 Non-ENG'!$A$1:$A$4999,1,FALSE),"ERROR")=B176&amp;"ES","Y","")),"")</f>
        <v/>
      </c>
      <c r="H176" s="29" t="str">
        <f>IFERROR(HYPERLINK("#"&amp;ADDRESS(MATCH(B176&amp;"PT",'LM7 Non-ENG'!$A$1:$A$5000,0),1,,,"LM7 Non-ENG"),IF(IFERROR(VLOOKUP(B176&amp;"PT",'LM7 Non-ENG'!$A$1:$A$5000,1,FALSE),"ERROR")=B176&amp;"PT","Y","")),"")</f>
        <v/>
      </c>
      <c r="I176" t="str">
        <f>IFERROR(VLOOKUP(B176,PN!$A:$C,3,FALSE),"")</f>
        <v>Active</v>
      </c>
      <c r="J176" s="3">
        <f>IFERROR(E176*VLOOKUP(B176,PLInter!$A:$D,3,FALSE),"")</f>
        <v>0</v>
      </c>
      <c r="K176" s="66"/>
      <c r="L176" s="66"/>
      <c r="M176" s="66"/>
      <c r="N176" s="66"/>
      <c r="O176" s="66"/>
      <c r="P176" s="66"/>
      <c r="Q176" s="66"/>
      <c r="R176" s="66"/>
      <c r="S176" s="66"/>
      <c r="T176" s="66"/>
    </row>
    <row r="177" spans="2:20" ht="18" customHeight="1">
      <c r="B177" s="1" t="str">
        <f>"26-E087-0000"</f>
        <v>26-E087-0000</v>
      </c>
      <c r="C177" s="1" t="str">
        <f>"Assembly, JM, E087, Adjustable Power Supply"</f>
        <v>Assembly, JM, E087, Adjustable Power Supply</v>
      </c>
      <c r="D177" s="6" t="s">
        <v>0</v>
      </c>
      <c r="E177" s="6">
        <v>2</v>
      </c>
      <c r="F177" s="6"/>
      <c r="G177" s="29" t="str">
        <f>IFERROR(HYPERLINK("#"&amp;ADDRESS(MATCH(B177&amp;"ES",'LM7 Non-ENG'!$A$1:$A$5000,0),1,,,"LM7 Non-ENG"),IF(IFERROR(VLOOKUP(B177&amp;"ES",'LM7 Non-ENG'!$A$1:$A$4999,1,FALSE),"ERROR")=B177&amp;"ES","Y","")),"")</f>
        <v/>
      </c>
      <c r="H177" s="29" t="str">
        <f>IFERROR(HYPERLINK("#"&amp;ADDRESS(MATCH(B177&amp;"PT",'LM7 Non-ENG'!$A$1:$A$5000,0),1,,,"LM7 Non-ENG"),IF(IFERROR(VLOOKUP(B177&amp;"PT",'LM7 Non-ENG'!$A$1:$A$5000,1,FALSE),"ERROR")=B177&amp;"PT","Y","")),"")</f>
        <v/>
      </c>
      <c r="I177" t="str">
        <f>IFERROR(VLOOKUP(B177,PN!$A:$C,3,FALSE),"")</f>
        <v>Active</v>
      </c>
      <c r="J177" s="3">
        <f>IFERROR(E177*VLOOKUP(B177,PLInter!$A:$D,3,FALSE),"")</f>
        <v>560</v>
      </c>
      <c r="K177" s="66"/>
      <c r="L177" s="66"/>
      <c r="M177" s="66"/>
      <c r="N177" s="66"/>
      <c r="O177" s="66"/>
      <c r="P177" s="66"/>
      <c r="Q177" s="66"/>
      <c r="R177" s="66"/>
      <c r="S177" s="66"/>
      <c r="T177" s="66"/>
    </row>
    <row r="178" spans="2:20" ht="18" customHeight="1">
      <c r="B178" t="str">
        <f>"26-E153-0000"</f>
        <v>26-E153-0000</v>
      </c>
      <c r="C178" t="str">
        <f>"Assembly, JM, E153, AC/DC Circuits"</f>
        <v>Assembly, JM, E153, AC/DC Circuits</v>
      </c>
      <c r="D178" s="4"/>
      <c r="E178" s="4">
        <v>6</v>
      </c>
      <c r="F178" s="4"/>
      <c r="G178" s="29" t="str">
        <f>IFERROR(HYPERLINK("#"&amp;ADDRESS(MATCH(B178&amp;"ES",'LM7 Non-ENG'!$A$1:$A$5000,0),1,,,"LM7 Non-ENG"),IF(IFERROR(VLOOKUP(B178&amp;"ES",'LM7 Non-ENG'!$A$1:$A$4999,1,FALSE),"ERROR")=B178&amp;"ES","Y","")),"")</f>
        <v/>
      </c>
      <c r="H178" s="29" t="str">
        <f>IFERROR(HYPERLINK("#"&amp;ADDRESS(MATCH(B178&amp;"PT",'LM7 Non-ENG'!$A$1:$A$5000,0),1,,,"LM7 Non-ENG"),IF(IFERROR(VLOOKUP(B178&amp;"PT",'LM7 Non-ENG'!$A$1:$A$5000,1,FALSE),"ERROR")=B178&amp;"PT","Y","")),"")</f>
        <v/>
      </c>
      <c r="I178" t="str">
        <f>IFERROR(VLOOKUP(B178,PN!$A:$C,3,FALSE),"")</f>
        <v>Active</v>
      </c>
      <c r="J178" s="3">
        <f>IFERROR(E178*VLOOKUP(B178,PLInter!$A:$D,3,FALSE),"")</f>
        <v>3204</v>
      </c>
      <c r="K178" s="66"/>
      <c r="L178" s="66"/>
      <c r="M178" s="66"/>
      <c r="N178" s="66"/>
      <c r="O178" s="66"/>
      <c r="P178" s="66"/>
      <c r="Q178" s="66"/>
      <c r="R178" s="66"/>
      <c r="S178" s="66"/>
      <c r="T178" s="66"/>
    </row>
    <row r="179" spans="2:20" ht="18" customHeight="1">
      <c r="B179" t="str">
        <f>"36-8900-0003"</f>
        <v>36-8900-0003</v>
      </c>
      <c r="C179" t="str">
        <f>"JM, Oscilloscope, 30MHz, Analog BK"</f>
        <v>JM, Oscilloscope, 30MHz, Analog BK</v>
      </c>
      <c r="D179" s="4"/>
      <c r="E179" s="4">
        <v>2</v>
      </c>
      <c r="F179" s="4"/>
      <c r="G179" s="29" t="str">
        <f>IFERROR(HYPERLINK("#"&amp;ADDRESS(MATCH(B179&amp;"ES",'LM7 Non-ENG'!$A$1:$A$5000,0),1,,,"LM7 Non-ENG"),IF(IFERROR(VLOOKUP(B179&amp;"ES",'LM7 Non-ENG'!$A$1:$A$4999,1,FALSE),"ERROR")=B179&amp;"ES","Y","")),"")</f>
        <v/>
      </c>
      <c r="H179" s="29" t="str">
        <f>IFERROR(HYPERLINK("#"&amp;ADDRESS(MATCH(B179&amp;"PT",'LM7 Non-ENG'!$A$1:$A$5000,0),1,,,"LM7 Non-ENG"),IF(IFERROR(VLOOKUP(B179&amp;"PT",'LM7 Non-ENG'!$A$1:$A$5000,1,FALSE),"ERROR")=B179&amp;"PT","Y","")),"")</f>
        <v/>
      </c>
      <c r="I179" t="str">
        <f>IFERROR(VLOOKUP(B179,PN!$A:$C,3,FALSE),"")</f>
        <v>Active</v>
      </c>
      <c r="J179" s="3">
        <f>IFERROR(E179*VLOOKUP(B179,PLInter!$A:$D,3,FALSE),"")</f>
        <v>4000</v>
      </c>
      <c r="K179" s="66"/>
      <c r="L179" s="66"/>
      <c r="M179" s="66"/>
      <c r="N179" s="66"/>
      <c r="O179" s="66"/>
      <c r="P179" s="66"/>
      <c r="Q179" s="66"/>
      <c r="R179" s="66"/>
      <c r="S179" s="66"/>
      <c r="T179" s="66"/>
    </row>
    <row r="180" spans="2:20" ht="18" customHeight="1">
      <c r="B180" t="str">
        <f>"36-EB01A-IG01"</f>
        <v>36-EB01A-IG01</v>
      </c>
      <c r="C180" t="str">
        <f>"JM, PDF on CD Oscilloscope - EB01A"</f>
        <v>JM, PDF on CD Oscilloscope - EB01A</v>
      </c>
      <c r="D180" s="4"/>
      <c r="E180" s="4">
        <v>1</v>
      </c>
      <c r="F180" s="4"/>
      <c r="G180" s="29" t="str">
        <f>IFERROR(HYPERLINK("#"&amp;ADDRESS(MATCH(B180&amp;"ES",'LM7 Non-ENG'!$A$1:$A$5000,0),1,,,"LM7 Non-ENG"),IF(IFERROR(VLOOKUP(B180&amp;"ES",'LM7 Non-ENG'!$A$1:$A$4999,1,FALSE),"ERROR")=B180&amp;"ES","Y","")),"")</f>
        <v/>
      </c>
      <c r="H180" s="29" t="str">
        <f>IFERROR(HYPERLINK("#"&amp;ADDRESS(MATCH(B180&amp;"PT",'LM7 Non-ENG'!$A$1:$A$5000,0),1,,,"LM7 Non-ENG"),IF(IFERROR(VLOOKUP(B180&amp;"PT",'LM7 Non-ENG'!$A$1:$A$5000,1,FALSE),"ERROR")=B180&amp;"PT","Y","")),"")</f>
        <v/>
      </c>
      <c r="I180" t="str">
        <f>IFERROR(VLOOKUP(B180,PN!$A:$C,3,FALSE),"")</f>
        <v>Active</v>
      </c>
      <c r="J180" s="3">
        <f>IFERROR(E180*VLOOKUP(B180,PLInter!$A:$D,3,FALSE),"")</f>
        <v>0</v>
      </c>
      <c r="K180" s="66"/>
      <c r="L180" s="66"/>
      <c r="M180" s="66"/>
      <c r="N180" s="66"/>
      <c r="O180" s="66"/>
      <c r="P180" s="66"/>
      <c r="Q180" s="66"/>
      <c r="R180" s="66"/>
      <c r="S180" s="66"/>
      <c r="T180" s="66"/>
    </row>
    <row r="181" spans="2:20" ht="18" customHeight="1">
      <c r="B181" t="str">
        <f>"77-EB01B-0000"</f>
        <v>77-EB01B-0000</v>
      </c>
      <c r="C181" t="str">
        <f>"LM7 Content, JM, Digital Multimeter"</f>
        <v>LM7 Content, JM, Digital Multimeter</v>
      </c>
      <c r="D181" s="4"/>
      <c r="E181" s="4">
        <v>1</v>
      </c>
      <c r="F181" s="4"/>
      <c r="G181" s="29" t="str">
        <f>IFERROR(HYPERLINK("#"&amp;ADDRESS(MATCH(B181&amp;"ES",'LM7 Non-ENG'!$A$1:$A$5000,0),1,,,"LM7 Non-ENG"),IF(IFERROR(VLOOKUP(B181&amp;"ES",'LM7 Non-ENG'!$A$1:$A$4999,1,FALSE),"ERROR")=B181&amp;"ES","Y","")),"")</f>
        <v/>
      </c>
      <c r="H181" s="29" t="str">
        <f>IFERROR(HYPERLINK("#"&amp;ADDRESS(MATCH(B181&amp;"PT",'LM7 Non-ENG'!$A$1:$A$5000,0),1,,,"LM7 Non-ENG"),IF(IFERROR(VLOOKUP(B181&amp;"PT",'LM7 Non-ENG'!$A$1:$A$5000,1,FALSE),"ERROR")=B181&amp;"PT","Y","")),"")</f>
        <v/>
      </c>
      <c r="I181" t="str">
        <f>IFERROR(VLOOKUP(B181,PN!$A:$C,3,FALSE),"")</f>
        <v>Active</v>
      </c>
      <c r="J181" s="3">
        <f>IFERROR(E181*VLOOKUP(B181,PLInter!$A:$D,3,FALSE),"")</f>
        <v>700</v>
      </c>
      <c r="K181" s="66"/>
      <c r="L181" s="66"/>
      <c r="M181" s="66"/>
      <c r="N181" s="66"/>
      <c r="O181" s="66"/>
      <c r="P181" s="66"/>
      <c r="Q181" s="66"/>
      <c r="R181" s="66"/>
      <c r="S181" s="66"/>
      <c r="T181" s="66"/>
    </row>
    <row r="182" spans="2:20" ht="18" customHeight="1">
      <c r="B182" s="2" t="str">
        <f>"17-EB01B-0000"</f>
        <v>17-EB01B-0000</v>
      </c>
      <c r="C182" s="2" t="str">
        <f>"LM5.X Content, JM, Digital Multimeter"</f>
        <v>LM5.X Content, JM, Digital Multimeter</v>
      </c>
      <c r="D182" s="5"/>
      <c r="E182" s="16">
        <v>0</v>
      </c>
      <c r="F182" s="5" t="str">
        <f>"Y"</f>
        <v>Y</v>
      </c>
      <c r="G182" s="29" t="str">
        <f>IFERROR(HYPERLINK("#"&amp;ADDRESS(MATCH(B182&amp;"ES",'LM7 Non-ENG'!$A$1:$A$5000,0),1,,,"LM7 Non-ENG"),IF(IFERROR(VLOOKUP(B182&amp;"ES",'LM7 Non-ENG'!$A$1:$A$4999,1,FALSE),"ERROR")=B182&amp;"ES","Y","")),"")</f>
        <v/>
      </c>
      <c r="H182" s="29" t="str">
        <f>IFERROR(HYPERLINK("#"&amp;ADDRESS(MATCH(B182&amp;"PT",'LM7 Non-ENG'!$A$1:$A$5000,0),1,,,"LM7 Non-ENG"),IF(IFERROR(VLOOKUP(B182&amp;"PT",'LM7 Non-ENG'!$A$1:$A$5000,1,FALSE),"ERROR")=B182&amp;"PT","Y","")),"")</f>
        <v/>
      </c>
      <c r="I182" t="str">
        <f>IFERROR(VLOOKUP(B182,PN!$A:$C,3,FALSE),"")</f>
        <v>Active</v>
      </c>
      <c r="J182" s="3">
        <f>IFERROR(E182*VLOOKUP(B182,PLInter!$A:$D,3,FALSE),"")</f>
        <v>0</v>
      </c>
      <c r="K182" s="66"/>
      <c r="L182" s="66"/>
      <c r="M182" s="66"/>
      <c r="N182" s="66"/>
      <c r="O182" s="66"/>
      <c r="P182" s="66"/>
      <c r="Q182" s="66"/>
      <c r="R182" s="66"/>
      <c r="S182" s="66"/>
      <c r="T182" s="66"/>
    </row>
    <row r="183" spans="2:20" ht="18" customHeight="1">
      <c r="B183" t="str">
        <f>"26-E052-0000"</f>
        <v>26-E052-0000</v>
      </c>
      <c r="C183" t="str">
        <f>"Assembly, JM, E052, Resistors Panel"</f>
        <v>Assembly, JM, E052, Resistors Panel</v>
      </c>
      <c r="D183" s="4"/>
      <c r="E183" s="4">
        <v>2</v>
      </c>
      <c r="F183" s="4"/>
      <c r="G183" s="29" t="str">
        <f>IFERROR(HYPERLINK("#"&amp;ADDRESS(MATCH(B183&amp;"ES",'LM7 Non-ENG'!$A$1:$A$5000,0),1,,,"LM7 Non-ENG"),IF(IFERROR(VLOOKUP(B183&amp;"ES",'LM7 Non-ENG'!$A$1:$A$4999,1,FALSE),"ERROR")=B183&amp;"ES","Y","")),"")</f>
        <v/>
      </c>
      <c r="H183" s="29" t="str">
        <f>IFERROR(HYPERLINK("#"&amp;ADDRESS(MATCH(B183&amp;"PT",'LM7 Non-ENG'!$A$1:$A$5000,0),1,,,"LM7 Non-ENG"),IF(IFERROR(VLOOKUP(B183&amp;"PT",'LM7 Non-ENG'!$A$1:$A$5000,1,FALSE),"ERROR")=B183&amp;"PT","Y","")),"")</f>
        <v/>
      </c>
      <c r="I183" t="str">
        <f>IFERROR(VLOOKUP(B183,PN!$A:$C,3,FALSE),"")</f>
        <v>Active</v>
      </c>
      <c r="J183" s="3">
        <f>IFERROR(E183*VLOOKUP(B183,PLInter!$A:$D,3,FALSE),"")</f>
        <v>1134</v>
      </c>
      <c r="K183" s="66"/>
      <c r="L183" s="66"/>
      <c r="M183" s="66"/>
      <c r="N183" s="66"/>
      <c r="O183" s="66"/>
      <c r="P183" s="66"/>
      <c r="Q183" s="66"/>
      <c r="R183" s="66"/>
      <c r="S183" s="66"/>
      <c r="T183" s="66"/>
    </row>
    <row r="184" spans="2:20" ht="18" customHeight="1">
      <c r="B184" t="str">
        <f>"26-E055-0000"</f>
        <v>26-E055-0000</v>
      </c>
      <c r="C184" t="str">
        <f>"Assembly, JM, E055, Filters/Capacitors Panel"</f>
        <v>Assembly, JM, E055, Filters/Capacitors Panel</v>
      </c>
      <c r="D184" s="4"/>
      <c r="E184" s="4">
        <v>2</v>
      </c>
      <c r="F184" s="4"/>
      <c r="G184" s="29" t="str">
        <f>IFERROR(HYPERLINK("#"&amp;ADDRESS(MATCH(B184&amp;"ES",'LM7 Non-ENG'!$A$1:$A$5000,0),1,,,"LM7 Non-ENG"),IF(IFERROR(VLOOKUP(B184&amp;"ES",'LM7 Non-ENG'!$A$1:$A$4999,1,FALSE),"ERROR")=B184&amp;"ES","Y","")),"")</f>
        <v/>
      </c>
      <c r="H184" s="29" t="str">
        <f>IFERROR(HYPERLINK("#"&amp;ADDRESS(MATCH(B184&amp;"PT",'LM7 Non-ENG'!$A$1:$A$5000,0),1,,,"LM7 Non-ENG"),IF(IFERROR(VLOOKUP(B184&amp;"PT",'LM7 Non-ENG'!$A$1:$A$5000,1,FALSE),"ERROR")=B184&amp;"PT","Y","")),"")</f>
        <v/>
      </c>
      <c r="I184" t="str">
        <f>IFERROR(VLOOKUP(B184,PN!$A:$C,3,FALSE),"")</f>
        <v>Active</v>
      </c>
      <c r="J184" s="3">
        <f>IFERROR(E184*VLOOKUP(B184,PLInter!$A:$D,3,FALSE),"")</f>
        <v>1100</v>
      </c>
      <c r="K184" s="66"/>
      <c r="L184" s="66"/>
      <c r="M184" s="66"/>
      <c r="N184" s="66"/>
      <c r="O184" s="66"/>
      <c r="P184" s="66"/>
      <c r="Q184" s="66"/>
      <c r="R184" s="66"/>
      <c r="S184" s="66"/>
      <c r="T184" s="66"/>
    </row>
    <row r="185" spans="2:20" ht="18" customHeight="1">
      <c r="B185" t="str">
        <f>"36-8900-0007"</f>
        <v>36-8900-0007</v>
      </c>
      <c r="C185" t="str">
        <f>"JM, Digital Multimeter, Fluke-115"</f>
        <v>JM, Digital Multimeter, Fluke-115</v>
      </c>
      <c r="D185" s="4"/>
      <c r="E185" s="4">
        <v>3</v>
      </c>
      <c r="F185" s="4"/>
      <c r="G185" s="29" t="str">
        <f>IFERROR(HYPERLINK("#"&amp;ADDRESS(MATCH(B185&amp;"ES",'LM7 Non-ENG'!$A$1:$A$5000,0),1,,,"LM7 Non-ENG"),IF(IFERROR(VLOOKUP(B185&amp;"ES",'LM7 Non-ENG'!$A$1:$A$4999,1,FALSE),"ERROR")=B185&amp;"ES","Y","")),"")</f>
        <v/>
      </c>
      <c r="H185" s="29" t="str">
        <f>IFERROR(HYPERLINK("#"&amp;ADDRESS(MATCH(B185&amp;"PT",'LM7 Non-ENG'!$A$1:$A$5000,0),1,,,"LM7 Non-ENG"),IF(IFERROR(VLOOKUP(B185&amp;"PT",'LM7 Non-ENG'!$A$1:$A$5000,1,FALSE),"ERROR")=B185&amp;"PT","Y","")),"")</f>
        <v/>
      </c>
      <c r="I185" t="str">
        <f>IFERROR(VLOOKUP(B185,PN!$A:$C,3,FALSE),"")</f>
        <v>Active</v>
      </c>
      <c r="J185" s="3">
        <f>IFERROR(E185*VLOOKUP(B185,PLInter!$A:$D,3,FALSE),"")</f>
        <v>1725</v>
      </c>
      <c r="K185" s="66"/>
      <c r="L185" s="66"/>
      <c r="M185" s="66"/>
      <c r="N185" s="66"/>
      <c r="O185" s="66"/>
      <c r="P185" s="66"/>
      <c r="Q185" s="66"/>
      <c r="R185" s="66"/>
      <c r="S185" s="66"/>
      <c r="T185" s="66"/>
    </row>
    <row r="186" spans="2:20" ht="18" customHeight="1">
      <c r="B186" t="str">
        <f>"36-EB01B-IG01"</f>
        <v>36-EB01B-IG01</v>
      </c>
      <c r="C186" t="str">
        <f>"JM, PDF on CD Digital Multimeter - EB01B"</f>
        <v>JM, PDF on CD Digital Multimeter - EB01B</v>
      </c>
      <c r="D186" s="4"/>
      <c r="E186" s="4">
        <v>1</v>
      </c>
      <c r="F186" s="4"/>
      <c r="G186" s="29" t="str">
        <f>IFERROR(HYPERLINK("#"&amp;ADDRESS(MATCH(B186&amp;"ES",'LM7 Non-ENG'!$A$1:$A$5000,0),1,,,"LM7 Non-ENG"),IF(IFERROR(VLOOKUP(B186&amp;"ES",'LM7 Non-ENG'!$A$1:$A$4999,1,FALSE),"ERROR")=B186&amp;"ES","Y","")),"")</f>
        <v/>
      </c>
      <c r="H186" s="29" t="str">
        <f>IFERROR(HYPERLINK("#"&amp;ADDRESS(MATCH(B186&amp;"PT",'LM7 Non-ENG'!$A$1:$A$5000,0),1,,,"LM7 Non-ENG"),IF(IFERROR(VLOOKUP(B186&amp;"PT",'LM7 Non-ENG'!$A$1:$A$5000,1,FALSE),"ERROR")=B186&amp;"PT","Y","")),"")</f>
        <v/>
      </c>
      <c r="I186" t="str">
        <f>IFERROR(VLOOKUP(B186,PN!$A:$C,3,FALSE),"")</f>
        <v>Active</v>
      </c>
      <c r="J186" s="3" t="str">
        <f>IFERROR(E186*VLOOKUP(B186,PLInter!$A:$D,3,FALSE),"")</f>
        <v/>
      </c>
      <c r="K186" s="66"/>
      <c r="L186" s="66"/>
      <c r="M186" s="66"/>
      <c r="N186" s="66"/>
      <c r="O186" s="66"/>
      <c r="P186" s="66"/>
      <c r="Q186" s="66"/>
      <c r="R186" s="66"/>
      <c r="S186" s="66"/>
      <c r="T186" s="66"/>
    </row>
    <row r="187" spans="2:20" ht="18" customHeight="1">
      <c r="B187" t="str">
        <f>"77-EB01C-0000"</f>
        <v>77-EB01C-0000</v>
      </c>
      <c r="C187" t="str">
        <f>"LM7 Content, JM, Digital Oscilloscope"</f>
        <v>LM7 Content, JM, Digital Oscilloscope</v>
      </c>
      <c r="D187" s="4"/>
      <c r="E187" s="4">
        <v>1</v>
      </c>
      <c r="F187" s="4"/>
      <c r="G187" s="29" t="str">
        <f>IFERROR(HYPERLINK("#"&amp;ADDRESS(MATCH(B187&amp;"ES",'LM7 Non-ENG'!$A$1:$A$5000,0),1,,,"LM7 Non-ENG"),IF(IFERROR(VLOOKUP(B187&amp;"ES",'LM7 Non-ENG'!$A$1:$A$4999,1,FALSE),"ERROR")=B187&amp;"ES","Y","")),"")</f>
        <v>Y</v>
      </c>
      <c r="H187" s="29" t="str">
        <f>IFERROR(HYPERLINK("#"&amp;ADDRESS(MATCH(B187&amp;"PT",'LM7 Non-ENG'!$A$1:$A$5000,0),1,,,"LM7 Non-ENG"),IF(IFERROR(VLOOKUP(B187&amp;"PT",'LM7 Non-ENG'!$A$1:$A$5000,1,FALSE),"ERROR")=B187&amp;"PT","Y","")),"")</f>
        <v/>
      </c>
      <c r="I187" t="str">
        <f>IFERROR(VLOOKUP(B187,PN!$A:$C,3,FALSE),"")</f>
        <v>Active</v>
      </c>
      <c r="J187" s="3">
        <f>IFERROR(E187*VLOOKUP(B187,PLInter!$A:$D,3,FALSE),"")</f>
        <v>700</v>
      </c>
      <c r="K187" s="66"/>
      <c r="L187" s="66"/>
      <c r="M187" s="66"/>
      <c r="N187" s="66"/>
      <c r="O187" s="66"/>
      <c r="P187" s="66"/>
      <c r="Q187" s="66"/>
      <c r="R187" s="66"/>
      <c r="S187" s="66"/>
      <c r="T187" s="66"/>
    </row>
    <row r="188" spans="2:20" ht="18" customHeight="1">
      <c r="B188" s="2" t="str">
        <f>"17-EB01C-0000"</f>
        <v>17-EB01C-0000</v>
      </c>
      <c r="C188" s="2" t="str">
        <f>"LM5.X Content, JM, Digital Oscilloscope"</f>
        <v>LM5.X Content, JM, Digital Oscilloscope</v>
      </c>
      <c r="D188" s="5"/>
      <c r="E188" s="16">
        <v>0</v>
      </c>
      <c r="F188" s="5" t="str">
        <f>"Y"</f>
        <v>Y</v>
      </c>
      <c r="G188" s="29" t="str">
        <f>IFERROR(HYPERLINK("#"&amp;ADDRESS(MATCH(B188&amp;"ES",'LM7 Non-ENG'!$A$1:$A$5000,0),1,,,"LM7 Non-ENG"),IF(IFERROR(VLOOKUP(B188&amp;"ES",'LM7 Non-ENG'!$A$1:$A$4999,1,FALSE),"ERROR")=B188&amp;"ES","Y","")),"")</f>
        <v/>
      </c>
      <c r="H188" s="29" t="str">
        <f>IFERROR(HYPERLINK("#"&amp;ADDRESS(MATCH(B188&amp;"PT",'LM7 Non-ENG'!$A$1:$A$5000,0),1,,,"LM7 Non-ENG"),IF(IFERROR(VLOOKUP(B188&amp;"PT",'LM7 Non-ENG'!$A$1:$A$5000,1,FALSE),"ERROR")=B188&amp;"PT","Y","")),"")</f>
        <v/>
      </c>
      <c r="I188" t="str">
        <f>IFERROR(VLOOKUP(B188,PN!$A:$C,3,FALSE),"")</f>
        <v>Active</v>
      </c>
      <c r="J188" s="3">
        <f>IFERROR(E188*VLOOKUP(B188,PLInter!$A:$D,3,FALSE),"")</f>
        <v>0</v>
      </c>
      <c r="K188" s="66"/>
      <c r="L188" s="66"/>
      <c r="M188" s="66"/>
      <c r="N188" s="66"/>
      <c r="O188" s="66"/>
      <c r="P188" s="66"/>
      <c r="Q188" s="66"/>
      <c r="R188" s="66"/>
      <c r="S188" s="66"/>
      <c r="T188" s="66"/>
    </row>
    <row r="189" spans="2:20" ht="18" customHeight="1">
      <c r="B189" t="str">
        <f>"26-E087-0000"</f>
        <v>26-E087-0000</v>
      </c>
      <c r="C189" t="str">
        <f>"Assembly, JM, E087, Adjustable Power Supply"</f>
        <v>Assembly, JM, E087, Adjustable Power Supply</v>
      </c>
      <c r="D189" s="4"/>
      <c r="E189" s="4">
        <v>4</v>
      </c>
      <c r="F189" s="4"/>
      <c r="G189" s="29" t="str">
        <f>IFERROR(HYPERLINK("#"&amp;ADDRESS(MATCH(B189&amp;"ES",'LM7 Non-ENG'!$A$1:$A$5000,0),1,,,"LM7 Non-ENG"),IF(IFERROR(VLOOKUP(B189&amp;"ES",'LM7 Non-ENG'!$A$1:$A$4999,1,FALSE),"ERROR")=B189&amp;"ES","Y","")),"")</f>
        <v/>
      </c>
      <c r="H189" s="29" t="str">
        <f>IFERROR(HYPERLINK("#"&amp;ADDRESS(MATCH(B189&amp;"PT",'LM7 Non-ENG'!$A$1:$A$5000,0),1,,,"LM7 Non-ENG"),IF(IFERROR(VLOOKUP(B189&amp;"PT",'LM7 Non-ENG'!$A$1:$A$5000,1,FALSE),"ERROR")=B189&amp;"PT","Y","")),"")</f>
        <v/>
      </c>
      <c r="I189" t="str">
        <f>IFERROR(VLOOKUP(B189,PN!$A:$C,3,FALSE),"")</f>
        <v>Active</v>
      </c>
      <c r="J189" s="3">
        <f>IFERROR(E189*VLOOKUP(B189,PLInter!$A:$D,3,FALSE),"")</f>
        <v>1120</v>
      </c>
      <c r="K189" s="66"/>
      <c r="L189" s="66"/>
      <c r="M189" s="66"/>
      <c r="N189" s="66"/>
      <c r="O189" s="66"/>
      <c r="P189" s="66"/>
      <c r="Q189" s="66"/>
      <c r="R189" s="66"/>
      <c r="S189" s="66"/>
      <c r="T189" s="66"/>
    </row>
    <row r="190" spans="2:20" ht="18" customHeight="1">
      <c r="B190" s="1" t="str">
        <f>"26-E153-0000"</f>
        <v>26-E153-0000</v>
      </c>
      <c r="C190" s="1" t="str">
        <f>"Assembly, JM, E153, AC/DC Circuits"</f>
        <v>Assembly, JM, E153, AC/DC Circuits</v>
      </c>
      <c r="D190" s="6" t="s">
        <v>0</v>
      </c>
      <c r="E190" s="6">
        <v>2</v>
      </c>
      <c r="F190" s="6"/>
      <c r="G190" s="29" t="str">
        <f>IFERROR(HYPERLINK("#"&amp;ADDRESS(MATCH(B190&amp;"ES",'LM7 Non-ENG'!$A$1:$A$5000,0),1,,,"LM7 Non-ENG"),IF(IFERROR(VLOOKUP(B190&amp;"ES",'LM7 Non-ENG'!$A$1:$A$4999,1,FALSE),"ERROR")=B190&amp;"ES","Y","")),"")</f>
        <v/>
      </c>
      <c r="H190" s="29" t="str">
        <f>IFERROR(HYPERLINK("#"&amp;ADDRESS(MATCH(B190&amp;"PT",'LM7 Non-ENG'!$A$1:$A$5000,0),1,,,"LM7 Non-ENG"),IF(IFERROR(VLOOKUP(B190&amp;"PT",'LM7 Non-ENG'!$A$1:$A$5000,1,FALSE),"ERROR")=B190&amp;"PT","Y","")),"")</f>
        <v/>
      </c>
      <c r="I190" t="str">
        <f>IFERROR(VLOOKUP(B190,PN!$A:$C,3,FALSE),"")</f>
        <v>Active</v>
      </c>
      <c r="J190" s="3">
        <f>IFERROR(E190*VLOOKUP(B190,PLInter!$A:$D,3,FALSE),"")</f>
        <v>1068</v>
      </c>
      <c r="K190" s="66"/>
      <c r="L190" s="66"/>
      <c r="M190" s="66"/>
      <c r="N190" s="66"/>
      <c r="O190" s="66"/>
      <c r="P190" s="66"/>
      <c r="Q190" s="66"/>
      <c r="R190" s="66"/>
      <c r="S190" s="66"/>
      <c r="T190" s="66"/>
    </row>
    <row r="191" spans="2:20" ht="18" customHeight="1">
      <c r="B191" t="str">
        <f>"36-8900-0025"</f>
        <v>36-8900-0025</v>
      </c>
      <c r="C191" t="str">
        <f>"JM, Oscilloscope, 5MHz, Hand Held"</f>
        <v>JM, Oscilloscope, 5MHz, Hand Held</v>
      </c>
      <c r="D191" s="4"/>
      <c r="E191" s="4">
        <v>2</v>
      </c>
      <c r="F191" s="4"/>
      <c r="G191" s="29" t="str">
        <f>IFERROR(HYPERLINK("#"&amp;ADDRESS(MATCH(B191&amp;"ES",'LM7 Non-ENG'!$A$1:$A$5000,0),1,,,"LM7 Non-ENG"),IF(IFERROR(VLOOKUP(B191&amp;"ES",'LM7 Non-ENG'!$A$1:$A$4999,1,FALSE),"ERROR")=B191&amp;"ES","Y","")),"")</f>
        <v/>
      </c>
      <c r="H191" s="29" t="str">
        <f>IFERROR(HYPERLINK("#"&amp;ADDRESS(MATCH(B191&amp;"PT",'LM7 Non-ENG'!$A$1:$A$5000,0),1,,,"LM7 Non-ENG"),IF(IFERROR(VLOOKUP(B191&amp;"PT",'LM7 Non-ENG'!$A$1:$A$5000,1,FALSE),"ERROR")=B191&amp;"PT","Y","")),"")</f>
        <v/>
      </c>
      <c r="I191" t="str">
        <f>IFERROR(VLOOKUP(B191,PN!$A:$C,3,FALSE),"")</f>
        <v>Active</v>
      </c>
      <c r="J191" s="3">
        <f>IFERROR(E191*VLOOKUP(B191,PLInter!$A:$D,3,FALSE),"")</f>
        <v>4000</v>
      </c>
      <c r="K191" s="66"/>
      <c r="L191" s="66"/>
      <c r="M191" s="66"/>
      <c r="N191" s="66"/>
      <c r="O191" s="66"/>
      <c r="P191" s="66"/>
      <c r="Q191" s="66"/>
      <c r="R191" s="66"/>
      <c r="S191" s="66"/>
      <c r="T191" s="66"/>
    </row>
    <row r="192" spans="2:20" ht="18" customHeight="1">
      <c r="B192" t="str">
        <f>"36-EB01C-IG01"</f>
        <v>36-EB01C-IG01</v>
      </c>
      <c r="C192" t="str">
        <f>"JM, PDF on CD Hand Held Oscilloscope - EB01C"</f>
        <v>JM, PDF on CD Hand Held Oscilloscope - EB01C</v>
      </c>
      <c r="D192" s="4"/>
      <c r="E192" s="4">
        <v>1</v>
      </c>
      <c r="F192" s="4"/>
      <c r="G192" s="29" t="str">
        <f>IFERROR(HYPERLINK("#"&amp;ADDRESS(MATCH(B192&amp;"ES",'LM7 Non-ENG'!$A$1:$A$5000,0),1,,,"LM7 Non-ENG"),IF(IFERROR(VLOOKUP(B192&amp;"ES",'LM7 Non-ENG'!$A$1:$A$4999,1,FALSE),"ERROR")=B192&amp;"ES","Y","")),"")</f>
        <v/>
      </c>
      <c r="H192" s="29" t="str">
        <f>IFERROR(HYPERLINK("#"&amp;ADDRESS(MATCH(B192&amp;"PT",'LM7 Non-ENG'!$A$1:$A$5000,0),1,,,"LM7 Non-ENG"),IF(IFERROR(VLOOKUP(B192&amp;"PT",'LM7 Non-ENG'!$A$1:$A$5000,1,FALSE),"ERROR")=B192&amp;"PT","Y","")),"")</f>
        <v/>
      </c>
      <c r="I192" t="str">
        <f>IFERROR(VLOOKUP(B192,PN!$A:$C,3,FALSE),"")</f>
        <v>Active</v>
      </c>
      <c r="J192" s="3">
        <f>IFERROR(E192*VLOOKUP(B192,PLInter!$A:$D,3,FALSE),"")</f>
        <v>0</v>
      </c>
      <c r="K192" s="66"/>
      <c r="L192" s="66"/>
      <c r="M192" s="66"/>
      <c r="N192" s="66"/>
      <c r="O192" s="66"/>
      <c r="P192" s="66"/>
      <c r="Q192" s="66"/>
      <c r="R192" s="66"/>
      <c r="S192" s="66"/>
      <c r="T192" s="66"/>
    </row>
    <row r="193" spans="2:20" ht="18" customHeight="1">
      <c r="B193" t="str">
        <f>"77-EB02A-0000"</f>
        <v>77-EB02A-0000</v>
      </c>
      <c r="C193" t="str">
        <f>"LM7 Content, JM, DC Power Supplies"</f>
        <v>LM7 Content, JM, DC Power Supplies</v>
      </c>
      <c r="D193" s="4"/>
      <c r="E193" s="4">
        <v>1</v>
      </c>
      <c r="F193" s="4"/>
      <c r="G193" s="29" t="str">
        <f>IFERROR(HYPERLINK("#"&amp;ADDRESS(MATCH(B193&amp;"ES",'LM7 Non-ENG'!$A$1:$A$5000,0),1,,,"LM7 Non-ENG"),IF(IFERROR(VLOOKUP(B193&amp;"ES",'LM7 Non-ENG'!$A$1:$A$4999,1,FALSE),"ERROR")=B193&amp;"ES","Y","")),"")</f>
        <v>Y</v>
      </c>
      <c r="H193" s="29" t="str">
        <f>IFERROR(HYPERLINK("#"&amp;ADDRESS(MATCH(B193&amp;"PT",'LM7 Non-ENG'!$A$1:$A$5000,0),1,,,"LM7 Non-ENG"),IF(IFERROR(VLOOKUP(B193&amp;"PT",'LM7 Non-ENG'!$A$1:$A$5000,1,FALSE),"ERROR")=B193&amp;"PT","Y","")),"")</f>
        <v/>
      </c>
      <c r="I193" t="str">
        <f>IFERROR(VLOOKUP(B193,PN!$A:$C,3,FALSE),"")</f>
        <v>Active</v>
      </c>
      <c r="J193" s="3">
        <f>IFERROR(E193*VLOOKUP(B193,PLInter!$A:$D,3,FALSE),"")</f>
        <v>700</v>
      </c>
      <c r="K193" s="66"/>
      <c r="L193" s="66"/>
      <c r="M193" s="66"/>
      <c r="N193" s="66"/>
      <c r="O193" s="66"/>
      <c r="P193" s="66"/>
      <c r="Q193" s="66"/>
      <c r="R193" s="66"/>
      <c r="S193" s="66"/>
      <c r="T193" s="66"/>
    </row>
    <row r="194" spans="2:20" ht="18" customHeight="1">
      <c r="B194" s="2" t="str">
        <f>"17-EB02A-0000"</f>
        <v>17-EB02A-0000</v>
      </c>
      <c r="C194" s="2" t="str">
        <f>"LM5.X Content, JM, DC Power Supplies"</f>
        <v>LM5.X Content, JM, DC Power Supplies</v>
      </c>
      <c r="D194" s="5"/>
      <c r="E194" s="16">
        <v>0</v>
      </c>
      <c r="F194" s="5" t="str">
        <f>"Y"</f>
        <v>Y</v>
      </c>
      <c r="G194" s="29" t="str">
        <f>IFERROR(HYPERLINK("#"&amp;ADDRESS(MATCH(B194&amp;"ES",'LM7 Non-ENG'!$A$1:$A$5000,0),1,,,"LM7 Non-ENG"),IF(IFERROR(VLOOKUP(B194&amp;"ES",'LM7 Non-ENG'!$A$1:$A$4999,1,FALSE),"ERROR")=B194&amp;"ES","Y","")),"")</f>
        <v/>
      </c>
      <c r="H194" s="29" t="str">
        <f>IFERROR(HYPERLINK("#"&amp;ADDRESS(MATCH(B194&amp;"PT",'LM7 Non-ENG'!$A$1:$A$5000,0),1,,,"LM7 Non-ENG"),IF(IFERROR(VLOOKUP(B194&amp;"PT",'LM7 Non-ENG'!$A$1:$A$5000,1,FALSE),"ERROR")=B194&amp;"PT","Y","")),"")</f>
        <v/>
      </c>
      <c r="I194" t="str">
        <f>IFERROR(VLOOKUP(B194,PN!$A:$C,3,FALSE),"")</f>
        <v>Active</v>
      </c>
      <c r="J194" s="3">
        <f>IFERROR(E194*VLOOKUP(B194,PLInter!$A:$D,3,FALSE),"")</f>
        <v>0</v>
      </c>
      <c r="K194" s="66"/>
      <c r="L194" s="66"/>
      <c r="M194" s="66"/>
      <c r="N194" s="66"/>
      <c r="O194" s="66"/>
      <c r="P194" s="66"/>
      <c r="Q194" s="66"/>
      <c r="R194" s="66"/>
      <c r="S194" s="66"/>
      <c r="T194" s="66"/>
    </row>
    <row r="195" spans="2:20" ht="18" customHeight="1">
      <c r="B195" t="str">
        <f>"26-E039-0000"</f>
        <v>26-E039-0000</v>
      </c>
      <c r="C195" t="str">
        <f>"Assembly, JM, E039,Single Phase Bridge Rectifier"</f>
        <v>Assembly, JM, E039,Single Phase Bridge Rectifier</v>
      </c>
      <c r="D195" s="4"/>
      <c r="E195" s="4">
        <v>2</v>
      </c>
      <c r="F195" s="4"/>
      <c r="G195" s="29" t="str">
        <f>IFERROR(HYPERLINK("#"&amp;ADDRESS(MATCH(B195&amp;"ES",'LM7 Non-ENG'!$A$1:$A$5000,0),1,,,"LM7 Non-ENG"),IF(IFERROR(VLOOKUP(B195&amp;"ES",'LM7 Non-ENG'!$A$1:$A$4999,1,FALSE),"ERROR")=B195&amp;"ES","Y","")),"")</f>
        <v/>
      </c>
      <c r="H195" s="29" t="str">
        <f>IFERROR(HYPERLINK("#"&amp;ADDRESS(MATCH(B195&amp;"PT",'LM7 Non-ENG'!$A$1:$A$5000,0),1,,,"LM7 Non-ENG"),IF(IFERROR(VLOOKUP(B195&amp;"PT",'LM7 Non-ENG'!$A$1:$A$5000,1,FALSE),"ERROR")=B195&amp;"PT","Y","")),"")</f>
        <v/>
      </c>
      <c r="I195" t="str">
        <f>IFERROR(VLOOKUP(B195,PN!$A:$C,3,FALSE),"")</f>
        <v>Active</v>
      </c>
      <c r="J195" s="3">
        <f>IFERROR(E195*VLOOKUP(B195,PLInter!$A:$D,3,FALSE),"")</f>
        <v>900</v>
      </c>
      <c r="K195" s="66"/>
      <c r="L195" s="66"/>
      <c r="M195" s="66"/>
      <c r="N195" s="66"/>
      <c r="O195" s="66"/>
      <c r="P195" s="66"/>
      <c r="Q195" s="66"/>
      <c r="R195" s="66"/>
      <c r="S195" s="66"/>
      <c r="T195" s="66"/>
    </row>
    <row r="196" spans="2:20" ht="18" customHeight="1">
      <c r="B196" t="str">
        <f>"26-E061-0000"</f>
        <v>26-E061-0000</v>
      </c>
      <c r="C196" t="str">
        <f>"Assembly, JM, E061, Low Voltage Transformer"</f>
        <v>Assembly, JM, E061, Low Voltage Transformer</v>
      </c>
      <c r="D196" s="4"/>
      <c r="E196" s="4">
        <v>2</v>
      </c>
      <c r="F196" s="4"/>
      <c r="G196" s="29" t="str">
        <f>IFERROR(HYPERLINK("#"&amp;ADDRESS(MATCH(B196&amp;"ES",'LM7 Non-ENG'!$A$1:$A$5000,0),1,,,"LM7 Non-ENG"),IF(IFERROR(VLOOKUP(B196&amp;"ES",'LM7 Non-ENG'!$A$1:$A$4999,1,FALSE),"ERROR")=B196&amp;"ES","Y","")),"")</f>
        <v/>
      </c>
      <c r="H196" s="29" t="str">
        <f>IFERROR(HYPERLINK("#"&amp;ADDRESS(MATCH(B196&amp;"PT",'LM7 Non-ENG'!$A$1:$A$5000,0),1,,,"LM7 Non-ENG"),IF(IFERROR(VLOOKUP(B196&amp;"PT",'LM7 Non-ENG'!$A$1:$A$5000,1,FALSE),"ERROR")=B196&amp;"PT","Y","")),"")</f>
        <v/>
      </c>
      <c r="I196" t="str">
        <f>IFERROR(VLOOKUP(B196,PN!$A:$C,3,FALSE),"")</f>
        <v>Active</v>
      </c>
      <c r="J196" s="3">
        <f>IFERROR(E196*VLOOKUP(B196,PLInter!$A:$D,3,FALSE),"")</f>
        <v>1270</v>
      </c>
      <c r="K196" s="66"/>
      <c r="L196" s="66"/>
      <c r="M196" s="66"/>
      <c r="N196" s="66"/>
      <c r="O196" s="66"/>
      <c r="P196" s="66"/>
      <c r="Q196" s="66"/>
      <c r="R196" s="66"/>
      <c r="S196" s="66"/>
      <c r="T196" s="66"/>
    </row>
    <row r="197" spans="2:20" ht="18" customHeight="1">
      <c r="B197" t="str">
        <f>"26-E062-0000"</f>
        <v>26-E062-0000</v>
      </c>
      <c r="C197" t="str">
        <f>"Assembly, JM, E062, Diode Rectifier Panel"</f>
        <v>Assembly, JM, E062, Diode Rectifier Panel</v>
      </c>
      <c r="D197" s="4"/>
      <c r="E197" s="4">
        <v>2</v>
      </c>
      <c r="F197" s="4"/>
      <c r="G197" s="29" t="str">
        <f>IFERROR(HYPERLINK("#"&amp;ADDRESS(MATCH(B197&amp;"ES",'LM7 Non-ENG'!$A$1:$A$5000,0),1,,,"LM7 Non-ENG"),IF(IFERROR(VLOOKUP(B197&amp;"ES",'LM7 Non-ENG'!$A$1:$A$4999,1,FALSE),"ERROR")=B197&amp;"ES","Y","")),"")</f>
        <v/>
      </c>
      <c r="H197" s="29" t="str">
        <f>IFERROR(HYPERLINK("#"&amp;ADDRESS(MATCH(B197&amp;"PT",'LM7 Non-ENG'!$A$1:$A$5000,0),1,,,"LM7 Non-ENG"),IF(IFERROR(VLOOKUP(B197&amp;"PT",'LM7 Non-ENG'!$A$1:$A$5000,1,FALSE),"ERROR")=B197&amp;"PT","Y","")),"")</f>
        <v/>
      </c>
      <c r="I197" t="str">
        <f>IFERROR(VLOOKUP(B197,PN!$A:$C,3,FALSE),"")</f>
        <v>Active</v>
      </c>
      <c r="J197" s="3">
        <f>IFERROR(E197*VLOOKUP(B197,PLInter!$A:$D,3,FALSE),"")</f>
        <v>1090</v>
      </c>
      <c r="K197" s="66"/>
      <c r="L197" s="66"/>
      <c r="M197" s="66"/>
      <c r="N197" s="66"/>
      <c r="O197" s="66"/>
      <c r="P197" s="66"/>
      <c r="Q197" s="66"/>
      <c r="R197" s="66"/>
      <c r="S197" s="66"/>
      <c r="T197" s="66"/>
    </row>
    <row r="198" spans="2:20" ht="18" customHeight="1">
      <c r="B198" t="str">
        <f>"36-EB02A-IG01"</f>
        <v>36-EB02A-IG01</v>
      </c>
      <c r="C198" t="str">
        <f>"JM, PDF on CD DC Power Supplies - EB02A"</f>
        <v>JM, PDF on CD DC Power Supplies - EB02A</v>
      </c>
      <c r="D198" s="4"/>
      <c r="E198" s="4">
        <v>1</v>
      </c>
      <c r="F198" s="4"/>
      <c r="G198" s="29" t="str">
        <f>IFERROR(HYPERLINK("#"&amp;ADDRESS(MATCH(B198&amp;"ES",'LM7 Non-ENG'!$A$1:$A$5000,0),1,,,"LM7 Non-ENG"),IF(IFERROR(VLOOKUP(B198&amp;"ES",'LM7 Non-ENG'!$A$1:$A$4999,1,FALSE),"ERROR")=B198&amp;"ES","Y","")),"")</f>
        <v/>
      </c>
      <c r="H198" s="29" t="str">
        <f>IFERROR(HYPERLINK("#"&amp;ADDRESS(MATCH(B198&amp;"PT",'LM7 Non-ENG'!$A$1:$A$5000,0),1,,,"LM7 Non-ENG"),IF(IFERROR(VLOOKUP(B198&amp;"PT",'LM7 Non-ENG'!$A$1:$A$5000,1,FALSE),"ERROR")=B198&amp;"PT","Y","")),"")</f>
        <v/>
      </c>
      <c r="I198" t="str">
        <f>IFERROR(VLOOKUP(B198,PN!$A:$C,3,FALSE),"")</f>
        <v>Active</v>
      </c>
      <c r="J198" s="3" t="str">
        <f>IFERROR(E198*VLOOKUP(B198,PLInter!$A:$D,3,FALSE),"")</f>
        <v/>
      </c>
      <c r="K198" s="66"/>
      <c r="L198" s="66"/>
      <c r="M198" s="66"/>
      <c r="N198" s="66"/>
      <c r="O198" s="66"/>
      <c r="P198" s="66"/>
      <c r="Q198" s="66"/>
      <c r="R198" s="66"/>
      <c r="S198" s="66"/>
      <c r="T198" s="66"/>
    </row>
    <row r="199" spans="2:20" ht="18" customHeight="1">
      <c r="B199" t="str">
        <f>"77-EB02B-0000"</f>
        <v>77-EB02B-0000</v>
      </c>
      <c r="C199" t="str">
        <f>"LM7 Content, JM, Single &amp; 3 Phase Power Supply"</f>
        <v>LM7 Content, JM, Single &amp; 3 Phase Power Supply</v>
      </c>
      <c r="D199" s="4"/>
      <c r="E199" s="4">
        <v>1</v>
      </c>
      <c r="F199" s="4"/>
      <c r="G199" s="29" t="str">
        <f>IFERROR(HYPERLINK("#"&amp;ADDRESS(MATCH(B199&amp;"ES",'LM7 Non-ENG'!$A$1:$A$5000,0),1,,,"LM7 Non-ENG"),IF(IFERROR(VLOOKUP(B199&amp;"ES",'LM7 Non-ENG'!$A$1:$A$4999,1,FALSE),"ERROR")=B199&amp;"ES","Y","")),"")</f>
        <v>Y</v>
      </c>
      <c r="H199" s="29" t="str">
        <f>IFERROR(HYPERLINK("#"&amp;ADDRESS(MATCH(B199&amp;"PT",'LM7 Non-ENG'!$A$1:$A$5000,0),1,,,"LM7 Non-ENG"),IF(IFERROR(VLOOKUP(B199&amp;"PT",'LM7 Non-ENG'!$A$1:$A$5000,1,FALSE),"ERROR")=B199&amp;"PT","Y","")),"")</f>
        <v>Y</v>
      </c>
      <c r="I199" t="str">
        <f>IFERROR(VLOOKUP(B199,PN!$A:$C,3,FALSE),"")</f>
        <v>Active</v>
      </c>
      <c r="J199" s="3">
        <f>IFERROR(E199*VLOOKUP(B199,PLInter!$A:$D,3,FALSE),"")</f>
        <v>700</v>
      </c>
      <c r="K199" s="66"/>
      <c r="L199" s="66"/>
      <c r="M199" s="66"/>
      <c r="N199" s="66"/>
      <c r="O199" s="66"/>
      <c r="P199" s="66"/>
      <c r="Q199" s="66"/>
      <c r="R199" s="66"/>
      <c r="S199" s="66"/>
      <c r="T199" s="66"/>
    </row>
    <row r="200" spans="2:20" ht="18" customHeight="1">
      <c r="B200" s="2" t="str">
        <f>"17-EB02B-0000"</f>
        <v>17-EB02B-0000</v>
      </c>
      <c r="C200" s="2" t="str">
        <f>"LM5.X Content, JM,Single &amp; 3 Phase Power Supply"</f>
        <v>LM5.X Content, JM,Single &amp; 3 Phase Power Supply</v>
      </c>
      <c r="D200" s="5"/>
      <c r="E200" s="16">
        <v>0</v>
      </c>
      <c r="F200" s="5" t="str">
        <f>"Y"</f>
        <v>Y</v>
      </c>
      <c r="G200" s="29" t="str">
        <f>IFERROR(HYPERLINK("#"&amp;ADDRESS(MATCH(B200&amp;"ES",'LM7 Non-ENG'!$A$1:$A$5000,0),1,,,"LM7 Non-ENG"),IF(IFERROR(VLOOKUP(B200&amp;"ES",'LM7 Non-ENG'!$A$1:$A$4999,1,FALSE),"ERROR")=B200&amp;"ES","Y","")),"")</f>
        <v/>
      </c>
      <c r="H200" s="29" t="str">
        <f>IFERROR(HYPERLINK("#"&amp;ADDRESS(MATCH(B200&amp;"PT",'LM7 Non-ENG'!$A$1:$A$5000,0),1,,,"LM7 Non-ENG"),IF(IFERROR(VLOOKUP(B200&amp;"PT",'LM7 Non-ENG'!$A$1:$A$5000,1,FALSE),"ERROR")=B200&amp;"PT","Y","")),"")</f>
        <v/>
      </c>
      <c r="I200" t="str">
        <f>IFERROR(VLOOKUP(B200,PN!$A:$C,3,FALSE),"")</f>
        <v>Active</v>
      </c>
      <c r="J200" s="3">
        <f>IFERROR(E200*VLOOKUP(B200,PLInter!$A:$D,3,FALSE),"")</f>
        <v>0</v>
      </c>
      <c r="K200" s="66"/>
      <c r="L200" s="66"/>
      <c r="M200" s="66"/>
      <c r="N200" s="66"/>
      <c r="O200" s="66"/>
      <c r="P200" s="66"/>
      <c r="Q200" s="66"/>
      <c r="R200" s="66"/>
      <c r="S200" s="66"/>
      <c r="T200" s="66"/>
    </row>
    <row r="201" spans="2:20" ht="18" customHeight="1">
      <c r="B201" t="str">
        <f>"26-E049-0000"</f>
        <v>26-E049-0000</v>
      </c>
      <c r="C201" t="str">
        <f>"Assembly, JM, E049, Zener Diode Panel"</f>
        <v>Assembly, JM, E049, Zener Diode Panel</v>
      </c>
      <c r="D201" s="4"/>
      <c r="E201" s="4">
        <v>2</v>
      </c>
      <c r="F201" s="4"/>
      <c r="G201" s="29" t="str">
        <f>IFERROR(HYPERLINK("#"&amp;ADDRESS(MATCH(B201&amp;"ES",'LM7 Non-ENG'!$A$1:$A$5000,0),1,,,"LM7 Non-ENG"),IF(IFERROR(VLOOKUP(B201&amp;"ES",'LM7 Non-ENG'!$A$1:$A$4999,1,FALSE),"ERROR")=B201&amp;"ES","Y","")),"")</f>
        <v/>
      </c>
      <c r="H201" s="29" t="str">
        <f>IFERROR(HYPERLINK("#"&amp;ADDRESS(MATCH(B201&amp;"PT",'LM7 Non-ENG'!$A$1:$A$5000,0),1,,,"LM7 Non-ENG"),IF(IFERROR(VLOOKUP(B201&amp;"PT",'LM7 Non-ENG'!$A$1:$A$5000,1,FALSE),"ERROR")=B201&amp;"PT","Y","")),"")</f>
        <v/>
      </c>
      <c r="I201" t="str">
        <f>IFERROR(VLOOKUP(B201,PN!$A:$C,3,FALSE),"")</f>
        <v>Active</v>
      </c>
      <c r="J201" s="3">
        <f>IFERROR(E201*VLOOKUP(B201,PLInter!$A:$D,3,FALSE),"")</f>
        <v>668</v>
      </c>
      <c r="K201" s="66"/>
      <c r="L201" s="66"/>
      <c r="M201" s="66"/>
      <c r="N201" s="66"/>
      <c r="O201" s="66"/>
      <c r="P201" s="66"/>
      <c r="Q201" s="66"/>
      <c r="R201" s="66"/>
      <c r="S201" s="66"/>
      <c r="T201" s="66"/>
    </row>
    <row r="202" spans="2:20" ht="18" customHeight="1">
      <c r="B202" t="str">
        <f>"26-E050-0000"</f>
        <v>26-E050-0000</v>
      </c>
      <c r="C202" t="str">
        <f>"Assembly, JM, E050, Regulated Power Supply Panel"</f>
        <v>Assembly, JM, E050, Regulated Power Supply Panel</v>
      </c>
      <c r="D202" s="4"/>
      <c r="E202" s="4">
        <v>2</v>
      </c>
      <c r="F202" s="4"/>
      <c r="G202" s="29" t="str">
        <f>IFERROR(HYPERLINK("#"&amp;ADDRESS(MATCH(B202&amp;"ES",'LM7 Non-ENG'!$A$1:$A$5000,0),1,,,"LM7 Non-ENG"),IF(IFERROR(VLOOKUP(B202&amp;"ES",'LM7 Non-ENG'!$A$1:$A$4999,1,FALSE),"ERROR")=B202&amp;"ES","Y","")),"")</f>
        <v/>
      </c>
      <c r="H202" s="29" t="str">
        <f>IFERROR(HYPERLINK("#"&amp;ADDRESS(MATCH(B202&amp;"PT",'LM7 Non-ENG'!$A$1:$A$5000,0),1,,,"LM7 Non-ENG"),IF(IFERROR(VLOOKUP(B202&amp;"PT",'LM7 Non-ENG'!$A$1:$A$5000,1,FALSE),"ERROR")=B202&amp;"PT","Y","")),"")</f>
        <v/>
      </c>
      <c r="I202" t="str">
        <f>IFERROR(VLOOKUP(B202,PN!$A:$C,3,FALSE),"")</f>
        <v>Active</v>
      </c>
      <c r="J202" s="3">
        <f>IFERROR(E202*VLOOKUP(B202,PLInter!$A:$D,3,FALSE),"")</f>
        <v>1130</v>
      </c>
      <c r="K202" s="66"/>
      <c r="L202" s="66"/>
      <c r="M202" s="66"/>
      <c r="N202" s="66"/>
      <c r="O202" s="66"/>
      <c r="P202" s="66"/>
      <c r="Q202" s="66"/>
      <c r="R202" s="66"/>
      <c r="S202" s="66"/>
      <c r="T202" s="66"/>
    </row>
    <row r="203" spans="2:20" ht="18" customHeight="1">
      <c r="B203" t="str">
        <f>"26-E053-0000"</f>
        <v>26-E053-0000</v>
      </c>
      <c r="C203" t="str">
        <f>"Assembly, JM, E053, Three Phase Bridge Rectifier"</f>
        <v>Assembly, JM, E053, Three Phase Bridge Rectifier</v>
      </c>
      <c r="D203" s="4"/>
      <c r="E203" s="4">
        <v>2</v>
      </c>
      <c r="F203" s="4"/>
      <c r="G203" s="29" t="str">
        <f>IFERROR(HYPERLINK("#"&amp;ADDRESS(MATCH(B203&amp;"ES",'LM7 Non-ENG'!$A$1:$A$5000,0),1,,,"LM7 Non-ENG"),IF(IFERROR(VLOOKUP(B203&amp;"ES",'LM7 Non-ENG'!$A$1:$A$4999,1,FALSE),"ERROR")=B203&amp;"ES","Y","")),"")</f>
        <v/>
      </c>
      <c r="H203" s="29" t="str">
        <f>IFERROR(HYPERLINK("#"&amp;ADDRESS(MATCH(B203&amp;"PT",'LM7 Non-ENG'!$A$1:$A$5000,0),1,,,"LM7 Non-ENG"),IF(IFERROR(VLOOKUP(B203&amp;"PT",'LM7 Non-ENG'!$A$1:$A$5000,1,FALSE),"ERROR")=B203&amp;"PT","Y","")),"")</f>
        <v/>
      </c>
      <c r="I203" t="str">
        <f>IFERROR(VLOOKUP(B203,PN!$A:$C,3,FALSE),"")</f>
        <v>Active</v>
      </c>
      <c r="J203" s="3">
        <f>IFERROR(E203*VLOOKUP(B203,PLInter!$A:$D,3,FALSE),"")</f>
        <v>1134</v>
      </c>
      <c r="K203" s="66"/>
      <c r="L203" s="66"/>
      <c r="M203" s="66"/>
      <c r="N203" s="66"/>
      <c r="O203" s="66"/>
      <c r="P203" s="66"/>
      <c r="Q203" s="66"/>
      <c r="R203" s="66"/>
      <c r="S203" s="66"/>
      <c r="T203" s="66"/>
    </row>
    <row r="204" spans="2:20" ht="18" customHeight="1">
      <c r="B204" t="str">
        <f>"36-EB02B-IG01"</f>
        <v>36-EB02B-IG01</v>
      </c>
      <c r="C204" t="str">
        <f>"JM, PDF on CD Single&amp;3 Phase Power - EB02B"</f>
        <v>JM, PDF on CD Single&amp;3 Phase Power - EB02B</v>
      </c>
      <c r="D204" s="4"/>
      <c r="E204" s="4">
        <v>1</v>
      </c>
      <c r="F204" s="4"/>
      <c r="G204" s="29" t="str">
        <f>IFERROR(HYPERLINK("#"&amp;ADDRESS(MATCH(B204&amp;"ES",'LM7 Non-ENG'!$A$1:$A$5000,0),1,,,"LM7 Non-ENG"),IF(IFERROR(VLOOKUP(B204&amp;"ES",'LM7 Non-ENG'!$A$1:$A$4999,1,FALSE),"ERROR")=B204&amp;"ES","Y","")),"")</f>
        <v/>
      </c>
      <c r="H204" s="29" t="str">
        <f>IFERROR(HYPERLINK("#"&amp;ADDRESS(MATCH(B204&amp;"PT",'LM7 Non-ENG'!$A$1:$A$5000,0),1,,,"LM7 Non-ENG"),IF(IFERROR(VLOOKUP(B204&amp;"PT",'LM7 Non-ENG'!$A$1:$A$5000,1,FALSE),"ERROR")=B204&amp;"PT","Y","")),"")</f>
        <v/>
      </c>
      <c r="I204" t="str">
        <f>IFERROR(VLOOKUP(B204,PN!$A:$C,3,FALSE),"")</f>
        <v>Active</v>
      </c>
      <c r="J204" s="3" t="str">
        <f>IFERROR(E204*VLOOKUP(B204,PLInter!$A:$D,3,FALSE),"")</f>
        <v/>
      </c>
      <c r="K204" s="66"/>
      <c r="L204" s="66"/>
      <c r="M204" s="66"/>
      <c r="N204" s="66"/>
      <c r="O204" s="66"/>
      <c r="P204" s="66"/>
      <c r="Q204" s="66"/>
      <c r="R204" s="66"/>
      <c r="S204" s="66"/>
      <c r="T204" s="66"/>
    </row>
    <row r="205" spans="2:20" ht="18" customHeight="1">
      <c r="B205" t="str">
        <f>"77-EB03-0000"</f>
        <v>77-EB03-0000</v>
      </c>
      <c r="C205" t="str">
        <f>"LM7 Content, JM, Thyristor Motor Drives"</f>
        <v>LM7 Content, JM, Thyristor Motor Drives</v>
      </c>
      <c r="D205" s="4"/>
      <c r="E205" s="4">
        <v>1</v>
      </c>
      <c r="F205" s="4"/>
      <c r="G205" s="29" t="str">
        <f>IFERROR(HYPERLINK("#"&amp;ADDRESS(MATCH(B205&amp;"ES",'LM7 Non-ENG'!$A$1:$A$5000,0),1,,,"LM7 Non-ENG"),IF(IFERROR(VLOOKUP(B205&amp;"ES",'LM7 Non-ENG'!$A$1:$A$4999,1,FALSE),"ERROR")=B205&amp;"ES","Y","")),"")</f>
        <v>Y</v>
      </c>
      <c r="H205" s="29" t="str">
        <f>IFERROR(HYPERLINK("#"&amp;ADDRESS(MATCH(B205&amp;"PT",'LM7 Non-ENG'!$A$1:$A$5000,0),1,,,"LM7 Non-ENG"),IF(IFERROR(VLOOKUP(B205&amp;"PT",'LM7 Non-ENG'!$A$1:$A$5000,1,FALSE),"ERROR")=B205&amp;"PT","Y","")),"")</f>
        <v/>
      </c>
      <c r="I205" t="str">
        <f>IFERROR(VLOOKUP(B205,PN!$A:$C,3,FALSE),"")</f>
        <v>Active</v>
      </c>
      <c r="J205" s="3">
        <f>IFERROR(E205*VLOOKUP(B205,PLInter!$A:$D,3,FALSE),"")</f>
        <v>700</v>
      </c>
      <c r="K205" s="66"/>
      <c r="L205" s="66"/>
      <c r="M205" s="66"/>
      <c r="N205" s="66"/>
      <c r="O205" s="66"/>
      <c r="P205" s="66"/>
      <c r="Q205" s="66"/>
      <c r="R205" s="66"/>
      <c r="S205" s="66"/>
      <c r="T205" s="66"/>
    </row>
    <row r="206" spans="2:20" ht="18" customHeight="1">
      <c r="B206" s="2" t="str">
        <f>"17-EB03-0000"</f>
        <v>17-EB03-0000</v>
      </c>
      <c r="C206" s="2" t="str">
        <f>"LM5.X Content, JM, Thyristor Motor Drives"</f>
        <v>LM5.X Content, JM, Thyristor Motor Drives</v>
      </c>
      <c r="D206" s="5"/>
      <c r="E206" s="16">
        <v>0</v>
      </c>
      <c r="F206" s="5" t="str">
        <f>"Y"</f>
        <v>Y</v>
      </c>
      <c r="G206" s="29" t="str">
        <f>IFERROR(HYPERLINK("#"&amp;ADDRESS(MATCH(B206&amp;"ES",'LM7 Non-ENG'!$A$1:$A$5000,0),1,,,"LM7 Non-ENG"),IF(IFERROR(VLOOKUP(B206&amp;"ES",'LM7 Non-ENG'!$A$1:$A$4999,1,FALSE),"ERROR")=B206&amp;"ES","Y","")),"")</f>
        <v/>
      </c>
      <c r="H206" s="29" t="str">
        <f>IFERROR(HYPERLINK("#"&amp;ADDRESS(MATCH(B206&amp;"PT",'LM7 Non-ENG'!$A$1:$A$5000,0),1,,,"LM7 Non-ENG"),IF(IFERROR(VLOOKUP(B206&amp;"PT",'LM7 Non-ENG'!$A$1:$A$5000,1,FALSE),"ERROR")=B206&amp;"PT","Y","")),"")</f>
        <v/>
      </c>
      <c r="I206" t="str">
        <f>IFERROR(VLOOKUP(B206,PN!$A:$C,3,FALSE),"")</f>
        <v>Active</v>
      </c>
      <c r="J206" s="3">
        <f>IFERROR(E206*VLOOKUP(B206,PLInter!$A:$D,3,FALSE),"")</f>
        <v>0</v>
      </c>
      <c r="K206" s="66"/>
      <c r="L206" s="66"/>
      <c r="M206" s="66"/>
      <c r="N206" s="66"/>
      <c r="O206" s="66"/>
      <c r="P206" s="66"/>
      <c r="Q206" s="66"/>
      <c r="R206" s="66"/>
      <c r="S206" s="66"/>
      <c r="T206" s="66"/>
    </row>
    <row r="207" spans="2:20" ht="18" customHeight="1">
      <c r="B207" s="1" t="str">
        <f>"26-E034-0000"</f>
        <v>26-E034-0000</v>
      </c>
      <c r="C207" s="1" t="str">
        <f>"Assembly, JM, E034, DC Motor Panel"</f>
        <v>Assembly, JM, E034, DC Motor Panel</v>
      </c>
      <c r="D207" s="6" t="s">
        <v>0</v>
      </c>
      <c r="E207" s="6">
        <v>2</v>
      </c>
      <c r="F207" s="6"/>
      <c r="G207" s="29" t="str">
        <f>IFERROR(HYPERLINK("#"&amp;ADDRESS(MATCH(B207&amp;"ES",'LM7 Non-ENG'!$A$1:$A$5000,0),1,,,"LM7 Non-ENG"),IF(IFERROR(VLOOKUP(B207&amp;"ES",'LM7 Non-ENG'!$A$1:$A$4999,1,FALSE),"ERROR")=B207&amp;"ES","Y","")),"")</f>
        <v/>
      </c>
      <c r="H207" s="29" t="str">
        <f>IFERROR(HYPERLINK("#"&amp;ADDRESS(MATCH(B207&amp;"PT",'LM7 Non-ENG'!$A$1:$A$5000,0),1,,,"LM7 Non-ENG"),IF(IFERROR(VLOOKUP(B207&amp;"PT",'LM7 Non-ENG'!$A$1:$A$5000,1,FALSE),"ERROR")=B207&amp;"PT","Y","")),"")</f>
        <v/>
      </c>
      <c r="I207" t="str">
        <f>IFERROR(VLOOKUP(B207,PN!$A:$C,3,FALSE),"")</f>
        <v>Active</v>
      </c>
      <c r="J207" s="3">
        <f>IFERROR(E207*VLOOKUP(B207,PLInter!$A:$D,3,FALSE),"")</f>
        <v>1800</v>
      </c>
      <c r="K207" s="66"/>
      <c r="L207" s="66"/>
      <c r="M207" s="66"/>
      <c r="N207" s="66"/>
      <c r="O207" s="66"/>
      <c r="P207" s="66"/>
      <c r="Q207" s="66"/>
      <c r="R207" s="66"/>
      <c r="S207" s="66"/>
      <c r="T207" s="66"/>
    </row>
    <row r="208" spans="2:20" ht="18" customHeight="1">
      <c r="B208" t="str">
        <f>"26-E081-0000"</f>
        <v>26-E081-0000</v>
      </c>
      <c r="C208" t="str">
        <f>"Assembly, JM, E081, SCR Panel"</f>
        <v>Assembly, JM, E081, SCR Panel</v>
      </c>
      <c r="D208" s="4"/>
      <c r="E208" s="4">
        <v>2</v>
      </c>
      <c r="F208" s="4"/>
      <c r="G208" s="29" t="str">
        <f>IFERROR(HYPERLINK("#"&amp;ADDRESS(MATCH(B208&amp;"ES",'LM7 Non-ENG'!$A$1:$A$5000,0),1,,,"LM7 Non-ENG"),IF(IFERROR(VLOOKUP(B208&amp;"ES",'LM7 Non-ENG'!$A$1:$A$4999,1,FALSE),"ERROR")=B208&amp;"ES","Y","")),"")</f>
        <v/>
      </c>
      <c r="H208" s="29" t="str">
        <f>IFERROR(HYPERLINK("#"&amp;ADDRESS(MATCH(B208&amp;"PT",'LM7 Non-ENG'!$A$1:$A$5000,0),1,,,"LM7 Non-ENG"),IF(IFERROR(VLOOKUP(B208&amp;"PT",'LM7 Non-ENG'!$A$1:$A$5000,1,FALSE),"ERROR")=B208&amp;"PT","Y","")),"")</f>
        <v/>
      </c>
      <c r="I208" t="str">
        <f>IFERROR(VLOOKUP(B208,PN!$A:$C,3,FALSE),"")</f>
        <v>Active</v>
      </c>
      <c r="J208" s="3">
        <f>IFERROR(E208*VLOOKUP(B208,PLInter!$A:$D,3,FALSE),"")</f>
        <v>700</v>
      </c>
      <c r="K208" s="66"/>
      <c r="L208" s="66"/>
      <c r="M208" s="66"/>
      <c r="N208" s="66"/>
      <c r="O208" s="66"/>
      <c r="P208" s="66"/>
      <c r="Q208" s="66"/>
      <c r="R208" s="66"/>
      <c r="S208" s="66"/>
      <c r="T208" s="66"/>
    </row>
    <row r="209" spans="2:20" ht="18" customHeight="1">
      <c r="B209" t="str">
        <f>"26-E083-0000"</f>
        <v>26-E083-0000</v>
      </c>
      <c r="C209" t="str">
        <f>"Assembly, JM, E083, TRIAC Panel"</f>
        <v>Assembly, JM, E083, TRIAC Panel</v>
      </c>
      <c r="D209" s="4"/>
      <c r="E209" s="4">
        <v>2</v>
      </c>
      <c r="F209" s="4"/>
      <c r="G209" s="29" t="str">
        <f>IFERROR(HYPERLINK("#"&amp;ADDRESS(MATCH(B209&amp;"ES",'LM7 Non-ENG'!$A$1:$A$5000,0),1,,,"LM7 Non-ENG"),IF(IFERROR(VLOOKUP(B209&amp;"ES",'LM7 Non-ENG'!$A$1:$A$4999,1,FALSE),"ERROR")=B209&amp;"ES","Y","")),"")</f>
        <v/>
      </c>
      <c r="H209" s="29" t="str">
        <f>IFERROR(HYPERLINK("#"&amp;ADDRESS(MATCH(B209&amp;"PT",'LM7 Non-ENG'!$A$1:$A$5000,0),1,,,"LM7 Non-ENG"),IF(IFERROR(VLOOKUP(B209&amp;"PT",'LM7 Non-ENG'!$A$1:$A$5000,1,FALSE),"ERROR")=B209&amp;"PT","Y","")),"")</f>
        <v/>
      </c>
      <c r="I209" t="str">
        <f>IFERROR(VLOOKUP(B209,PN!$A:$C,3,FALSE),"")</f>
        <v>Active</v>
      </c>
      <c r="J209" s="3">
        <f>IFERROR(E209*VLOOKUP(B209,PLInter!$A:$D,3,FALSE),"")</f>
        <v>614</v>
      </c>
      <c r="K209" s="66"/>
      <c r="L209" s="66"/>
      <c r="M209" s="66"/>
      <c r="N209" s="66"/>
      <c r="O209" s="66"/>
      <c r="P209" s="66"/>
      <c r="Q209" s="66"/>
      <c r="R209" s="66"/>
      <c r="S209" s="66"/>
      <c r="T209" s="66"/>
    </row>
    <row r="210" spans="2:20" ht="18" customHeight="1">
      <c r="B210" t="str">
        <f>"26-E084-0000"</f>
        <v>26-E084-0000</v>
      </c>
      <c r="C210" t="str">
        <f>"Assembly, JM, E084, DIAC Adjustable Resistors"</f>
        <v>Assembly, JM, E084, DIAC Adjustable Resistors</v>
      </c>
      <c r="D210" s="4"/>
      <c r="E210" s="4">
        <v>2</v>
      </c>
      <c r="F210" s="4"/>
      <c r="G210" s="29" t="str">
        <f>IFERROR(HYPERLINK("#"&amp;ADDRESS(MATCH(B210&amp;"ES",'LM7 Non-ENG'!$A$1:$A$5000,0),1,,,"LM7 Non-ENG"),IF(IFERROR(VLOOKUP(B210&amp;"ES",'LM7 Non-ENG'!$A$1:$A$4999,1,FALSE),"ERROR")=B210&amp;"ES","Y","")),"")</f>
        <v/>
      </c>
      <c r="H210" s="29" t="str">
        <f>IFERROR(HYPERLINK("#"&amp;ADDRESS(MATCH(B210&amp;"PT",'LM7 Non-ENG'!$A$1:$A$5000,0),1,,,"LM7 Non-ENG"),IF(IFERROR(VLOOKUP(B210&amp;"PT",'LM7 Non-ENG'!$A$1:$A$5000,1,FALSE),"ERROR")=B210&amp;"PT","Y","")),"")</f>
        <v/>
      </c>
      <c r="I210" t="str">
        <f>IFERROR(VLOOKUP(B210,PN!$A:$C,3,FALSE),"")</f>
        <v>Active</v>
      </c>
      <c r="J210" s="3">
        <f>IFERROR(E210*VLOOKUP(B210,PLInter!$A:$D,3,FALSE),"")</f>
        <v>788</v>
      </c>
      <c r="K210" s="66"/>
      <c r="L210" s="66"/>
      <c r="M210" s="66"/>
      <c r="N210" s="66"/>
      <c r="O210" s="66"/>
      <c r="P210" s="66"/>
      <c r="Q210" s="66"/>
      <c r="R210" s="66"/>
      <c r="S210" s="66"/>
      <c r="T210" s="66"/>
    </row>
    <row r="211" spans="2:20" ht="18" customHeight="1">
      <c r="B211" t="str">
        <f>"26-E085-0000"</f>
        <v>26-E085-0000</v>
      </c>
      <c r="C211" t="str">
        <f>"Assembly, JM, E085, Triac w/ Schmitt Trigger"</f>
        <v>Assembly, JM, E085, Triac w/ Schmitt Trigger</v>
      </c>
      <c r="D211" s="4"/>
      <c r="E211" s="4">
        <v>2</v>
      </c>
      <c r="F211" s="4"/>
      <c r="G211" s="29" t="str">
        <f>IFERROR(HYPERLINK("#"&amp;ADDRESS(MATCH(B211&amp;"ES",'LM7 Non-ENG'!$A$1:$A$5000,0),1,,,"LM7 Non-ENG"),IF(IFERROR(VLOOKUP(B211&amp;"ES",'LM7 Non-ENG'!$A$1:$A$4999,1,FALSE),"ERROR")=B211&amp;"ES","Y","")),"")</f>
        <v/>
      </c>
      <c r="H211" s="29" t="str">
        <f>IFERROR(HYPERLINK("#"&amp;ADDRESS(MATCH(B211&amp;"PT",'LM7 Non-ENG'!$A$1:$A$5000,0),1,,,"LM7 Non-ENG"),IF(IFERROR(VLOOKUP(B211&amp;"PT",'LM7 Non-ENG'!$A$1:$A$5000,1,FALSE),"ERROR")=B211&amp;"PT","Y","")),"")</f>
        <v/>
      </c>
      <c r="I211" t="str">
        <f>IFERROR(VLOOKUP(B211,PN!$A:$C,3,FALSE),"")</f>
        <v>Active</v>
      </c>
      <c r="J211" s="3">
        <f>IFERROR(E211*VLOOKUP(B211,PLInter!$A:$D,3,FALSE),"")</f>
        <v>1814</v>
      </c>
      <c r="K211" s="66"/>
      <c r="L211" s="66"/>
      <c r="M211" s="66"/>
      <c r="N211" s="66"/>
      <c r="O211" s="66"/>
      <c r="P211" s="66"/>
      <c r="Q211" s="66"/>
      <c r="R211" s="66"/>
      <c r="S211" s="66"/>
      <c r="T211" s="66"/>
    </row>
    <row r="212" spans="2:20" ht="18" customHeight="1">
      <c r="B212" t="str">
        <f>"26-E088-0000"</f>
        <v>26-E088-0000</v>
      </c>
      <c r="C212" t="str">
        <f>"Assembly, JM, E088, PMW Motor Drive Panel"</f>
        <v>Assembly, JM, E088, PMW Motor Drive Panel</v>
      </c>
      <c r="D212" s="4"/>
      <c r="E212" s="4">
        <v>2</v>
      </c>
      <c r="F212" s="4"/>
      <c r="G212" s="29" t="str">
        <f>IFERROR(HYPERLINK("#"&amp;ADDRESS(MATCH(B212&amp;"ES",'LM7 Non-ENG'!$A$1:$A$5000,0),1,,,"LM7 Non-ENG"),IF(IFERROR(VLOOKUP(B212&amp;"ES",'LM7 Non-ENG'!$A$1:$A$4999,1,FALSE),"ERROR")=B212&amp;"ES","Y","")),"")</f>
        <v/>
      </c>
      <c r="H212" s="29" t="str">
        <f>IFERROR(HYPERLINK("#"&amp;ADDRESS(MATCH(B212&amp;"PT",'LM7 Non-ENG'!$A$1:$A$5000,0),1,,,"LM7 Non-ENG"),IF(IFERROR(VLOOKUP(B212&amp;"PT",'LM7 Non-ENG'!$A$1:$A$5000,1,FALSE),"ERROR")=B212&amp;"PT","Y","")),"")</f>
        <v/>
      </c>
      <c r="I212" t="str">
        <f>IFERROR(VLOOKUP(B212,PN!$A:$C,3,FALSE),"")</f>
        <v>Active</v>
      </c>
      <c r="J212" s="3">
        <f>IFERROR(E212*VLOOKUP(B212,PLInter!$A:$D,3,FALSE),"")</f>
        <v>1450</v>
      </c>
      <c r="K212" s="66"/>
      <c r="L212" s="66"/>
      <c r="M212" s="66"/>
      <c r="N212" s="66"/>
      <c r="O212" s="66"/>
      <c r="P212" s="66"/>
      <c r="Q212" s="66"/>
      <c r="R212" s="66"/>
      <c r="S212" s="66"/>
      <c r="T212" s="66"/>
    </row>
    <row r="213" spans="2:20" ht="18" customHeight="1">
      <c r="B213" t="str">
        <f>"26-E157-0000"</f>
        <v>26-E157-0000</v>
      </c>
      <c r="C213" t="str">
        <f>"Assembly, JM, E157, Electric AC/DC Motors"</f>
        <v>Assembly, JM, E157, Electric AC/DC Motors</v>
      </c>
      <c r="D213" s="4"/>
      <c r="E213" s="4">
        <v>2</v>
      </c>
      <c r="F213" s="4"/>
      <c r="G213" s="29" t="str">
        <f>IFERROR(HYPERLINK("#"&amp;ADDRESS(MATCH(B213&amp;"ES",'LM7 Non-ENG'!$A$1:$A$5000,0),1,,,"LM7 Non-ENG"),IF(IFERROR(VLOOKUP(B213&amp;"ES",'LM7 Non-ENG'!$A$1:$A$4999,1,FALSE),"ERROR")=B213&amp;"ES","Y","")),"")</f>
        <v/>
      </c>
      <c r="H213" s="29" t="str">
        <f>IFERROR(HYPERLINK("#"&amp;ADDRESS(MATCH(B213&amp;"PT",'LM7 Non-ENG'!$A$1:$A$5000,0),1,,,"LM7 Non-ENG"),IF(IFERROR(VLOOKUP(B213&amp;"PT",'LM7 Non-ENG'!$A$1:$A$5000,1,FALSE),"ERROR")=B213&amp;"PT","Y","")),"")</f>
        <v/>
      </c>
      <c r="I213" t="str">
        <f>IFERROR(VLOOKUP(B213,PN!$A:$C,3,FALSE),"")</f>
        <v>Active</v>
      </c>
      <c r="J213" s="3">
        <f>IFERROR(E213*VLOOKUP(B213,PLInter!$A:$D,3,FALSE),"")</f>
        <v>1600</v>
      </c>
      <c r="K213" s="66"/>
      <c r="L213" s="66"/>
      <c r="M213" s="66"/>
      <c r="N213" s="66"/>
      <c r="O213" s="66"/>
      <c r="P213" s="66"/>
      <c r="Q213" s="66"/>
      <c r="R213" s="66"/>
      <c r="S213" s="66"/>
      <c r="T213" s="66"/>
    </row>
    <row r="214" spans="2:20" ht="18" customHeight="1">
      <c r="B214" t="str">
        <f>"36-EB03-IG01"</f>
        <v>36-EB03-IG01</v>
      </c>
      <c r="C214" t="str">
        <f>"JM, PDF on CD Thyristor Motor Drives - EB03"</f>
        <v>JM, PDF on CD Thyristor Motor Drives - EB03</v>
      </c>
      <c r="D214" s="4"/>
      <c r="E214" s="4">
        <v>1</v>
      </c>
      <c r="F214" s="4"/>
      <c r="G214" s="29" t="str">
        <f>IFERROR(HYPERLINK("#"&amp;ADDRESS(MATCH(B214&amp;"ES",'LM7 Non-ENG'!$A$1:$A$5000,0),1,,,"LM7 Non-ENG"),IF(IFERROR(VLOOKUP(B214&amp;"ES",'LM7 Non-ENG'!$A$1:$A$4999,1,FALSE),"ERROR")=B214&amp;"ES","Y","")),"")</f>
        <v/>
      </c>
      <c r="H214" s="29" t="str">
        <f>IFERROR(HYPERLINK("#"&amp;ADDRESS(MATCH(B214&amp;"PT",'LM7 Non-ENG'!$A$1:$A$5000,0),1,,,"LM7 Non-ENG"),IF(IFERROR(VLOOKUP(B214&amp;"PT",'LM7 Non-ENG'!$A$1:$A$5000,1,FALSE),"ERROR")=B214&amp;"PT","Y","")),"")</f>
        <v/>
      </c>
      <c r="I214" t="str">
        <f>IFERROR(VLOOKUP(B214,PN!$A:$C,3,FALSE),"")</f>
        <v>Active</v>
      </c>
      <c r="J214" s="3" t="str">
        <f>IFERROR(E214*VLOOKUP(B214,PLInter!$A:$D,3,FALSE),"")</f>
        <v/>
      </c>
      <c r="K214" s="66"/>
      <c r="L214" s="66"/>
      <c r="M214" s="66"/>
      <c r="N214" s="66"/>
      <c r="O214" s="66"/>
      <c r="P214" s="66"/>
      <c r="Q214" s="66"/>
      <c r="R214" s="66"/>
      <c r="S214" s="66"/>
      <c r="T214" s="66"/>
    </row>
    <row r="215" spans="2:20" ht="18" customHeight="1">
      <c r="B215" t="str">
        <f>"26-E082-0000"</f>
        <v>26-E082-0000</v>
      </c>
      <c r="C215" t="str">
        <f>"Assembly, JM, E082, Full Wave SCR DC Drive Panel"</f>
        <v>Assembly, JM, E082, Full Wave SCR DC Drive Panel</v>
      </c>
      <c r="D215" s="4"/>
      <c r="E215" s="4">
        <v>2</v>
      </c>
      <c r="F215" s="4"/>
      <c r="G215" s="29" t="str">
        <f>IFERROR(HYPERLINK("#"&amp;ADDRESS(MATCH(B215&amp;"ES",'LM7 Non-ENG'!$A$1:$A$5000,0),1,,,"LM7 Non-ENG"),IF(IFERROR(VLOOKUP(B215&amp;"ES",'LM7 Non-ENG'!$A$1:$A$4999,1,FALSE),"ERROR")=B215&amp;"ES","Y","")),"")</f>
        <v/>
      </c>
      <c r="H215" s="29" t="str">
        <f>IFERROR(HYPERLINK("#"&amp;ADDRESS(MATCH(B215&amp;"PT",'LM7 Non-ENG'!$A$1:$A$5000,0),1,,,"LM7 Non-ENG"),IF(IFERROR(VLOOKUP(B215&amp;"PT",'LM7 Non-ENG'!$A$1:$A$5000,1,FALSE),"ERROR")=B215&amp;"PT","Y","")),"")</f>
        <v/>
      </c>
      <c r="I215" t="str">
        <f>IFERROR(VLOOKUP(B215,PN!$A:$C,3,FALSE),"")</f>
        <v>Active</v>
      </c>
      <c r="J215" s="3">
        <f>IFERROR(E215*VLOOKUP(B215,PLInter!$A:$D,3,FALSE),"")</f>
        <v>2000</v>
      </c>
      <c r="K215" s="66"/>
      <c r="L215" s="66"/>
      <c r="M215" s="66"/>
      <c r="N215" s="66"/>
      <c r="O215" s="66"/>
      <c r="P215" s="66"/>
      <c r="Q215" s="66"/>
      <c r="R215" s="66"/>
      <c r="S215" s="66"/>
      <c r="T215" s="66"/>
    </row>
    <row r="216" spans="2:20" ht="18" customHeight="1">
      <c r="B216" t="str">
        <f>"77-EB04-0000"</f>
        <v>77-EB04-0000</v>
      </c>
      <c r="C216" t="str">
        <f>"LM7 Content, JM, Electronic Timers &amp; Triggers"</f>
        <v>LM7 Content, JM, Electronic Timers &amp; Triggers</v>
      </c>
      <c r="D216" s="4"/>
      <c r="E216" s="4">
        <v>1</v>
      </c>
      <c r="F216" s="4"/>
      <c r="G216" s="29" t="str">
        <f>IFERROR(HYPERLINK("#"&amp;ADDRESS(MATCH(B216&amp;"ES",'LM7 Non-ENG'!$A$1:$A$5000,0),1,,,"LM7 Non-ENG"),IF(IFERROR(VLOOKUP(B216&amp;"ES",'LM7 Non-ENG'!$A$1:$A$4999,1,FALSE),"ERROR")=B216&amp;"ES","Y","")),"")</f>
        <v>Y</v>
      </c>
      <c r="H216" s="29" t="str">
        <f>IFERROR(HYPERLINK("#"&amp;ADDRESS(MATCH(B216&amp;"PT",'LM7 Non-ENG'!$A$1:$A$5000,0),1,,,"LM7 Non-ENG"),IF(IFERROR(VLOOKUP(B216&amp;"PT",'LM7 Non-ENG'!$A$1:$A$5000,1,FALSE),"ERROR")=B216&amp;"PT","Y","")),"")</f>
        <v/>
      </c>
      <c r="I216" t="str">
        <f>IFERROR(VLOOKUP(B216,PN!$A:$C,3,FALSE),"")</f>
        <v>Active</v>
      </c>
      <c r="J216" s="3">
        <f>IFERROR(E216*VLOOKUP(B216,PLInter!$A:$D,3,FALSE),"")</f>
        <v>700</v>
      </c>
      <c r="K216" s="66"/>
      <c r="L216" s="66"/>
      <c r="M216" s="66"/>
      <c r="N216" s="66"/>
      <c r="O216" s="66"/>
      <c r="P216" s="66"/>
      <c r="Q216" s="66"/>
      <c r="R216" s="66"/>
      <c r="S216" s="66"/>
      <c r="T216" s="66"/>
    </row>
    <row r="217" spans="2:20" ht="18" customHeight="1">
      <c r="B217" s="2" t="str">
        <f>"17-EB04-0000"</f>
        <v>17-EB04-0000</v>
      </c>
      <c r="C217" s="2" t="str">
        <f>"LM5.X Content, JM, Electronic Timers &amp; Triggers"</f>
        <v>LM5.X Content, JM, Electronic Timers &amp; Triggers</v>
      </c>
      <c r="D217" s="5"/>
      <c r="E217" s="16">
        <v>0</v>
      </c>
      <c r="F217" s="5" t="str">
        <f>"Y"</f>
        <v>Y</v>
      </c>
      <c r="G217" s="29" t="str">
        <f>IFERROR(HYPERLINK("#"&amp;ADDRESS(MATCH(B217&amp;"ES",'LM7 Non-ENG'!$A$1:$A$5000,0),1,,,"LM7 Non-ENG"),IF(IFERROR(VLOOKUP(B217&amp;"ES",'LM7 Non-ENG'!$A$1:$A$4999,1,FALSE),"ERROR")=B217&amp;"ES","Y","")),"")</f>
        <v/>
      </c>
      <c r="H217" s="29" t="str">
        <f>IFERROR(HYPERLINK("#"&amp;ADDRESS(MATCH(B217&amp;"PT",'LM7 Non-ENG'!$A$1:$A$5000,0),1,,,"LM7 Non-ENG"),IF(IFERROR(VLOOKUP(B217&amp;"PT",'LM7 Non-ENG'!$A$1:$A$5000,1,FALSE),"ERROR")=B217&amp;"PT","Y","")),"")</f>
        <v/>
      </c>
      <c r="I217" t="str">
        <f>IFERROR(VLOOKUP(B217,PN!$A:$C,3,FALSE),"")</f>
        <v>Active</v>
      </c>
      <c r="J217" s="3">
        <f>IFERROR(E217*VLOOKUP(B217,PLInter!$A:$D,3,FALSE),"")</f>
        <v>0</v>
      </c>
      <c r="K217" s="66"/>
      <c r="L217" s="66"/>
      <c r="M217" s="66"/>
      <c r="N217" s="66"/>
      <c r="O217" s="66"/>
      <c r="P217" s="66"/>
      <c r="Q217" s="66"/>
      <c r="R217" s="66"/>
      <c r="S217" s="66"/>
      <c r="T217" s="66"/>
    </row>
    <row r="218" spans="2:20" ht="18" customHeight="1">
      <c r="B218" t="str">
        <f>"26-E089-0000"</f>
        <v>26-E089-0000</v>
      </c>
      <c r="C218" t="str">
        <f>"Assembly, JM, E089, Timers and Triggers Panel"</f>
        <v>Assembly, JM, E089, Timers and Triggers Panel</v>
      </c>
      <c r="D218" s="4"/>
      <c r="E218" s="4">
        <v>2</v>
      </c>
      <c r="F218" s="4"/>
      <c r="G218" s="29" t="str">
        <f>IFERROR(HYPERLINK("#"&amp;ADDRESS(MATCH(B218&amp;"ES",'LM7 Non-ENG'!$A$1:$A$5000,0),1,,,"LM7 Non-ENG"),IF(IFERROR(VLOOKUP(B218&amp;"ES",'LM7 Non-ENG'!$A$1:$A$4999,1,FALSE),"ERROR")=B218&amp;"ES","Y","")),"")</f>
        <v/>
      </c>
      <c r="H218" s="29" t="str">
        <f>IFERROR(HYPERLINK("#"&amp;ADDRESS(MATCH(B218&amp;"PT",'LM7 Non-ENG'!$A$1:$A$5000,0),1,,,"LM7 Non-ENG"),IF(IFERROR(VLOOKUP(B218&amp;"PT",'LM7 Non-ENG'!$A$1:$A$5000,1,FALSE),"ERROR")=B218&amp;"PT","Y","")),"")</f>
        <v/>
      </c>
      <c r="I218" t="str">
        <f>IFERROR(VLOOKUP(B218,PN!$A:$C,3,FALSE),"")</f>
        <v>Active</v>
      </c>
      <c r="J218" s="3">
        <f>IFERROR(E218*VLOOKUP(B218,PLInter!$A:$D,3,FALSE),"")</f>
        <v>2000</v>
      </c>
      <c r="K218" s="66"/>
      <c r="L218" s="66"/>
      <c r="M218" s="66"/>
      <c r="N218" s="66"/>
      <c r="O218" s="66"/>
      <c r="P218" s="66"/>
      <c r="Q218" s="66"/>
      <c r="R218" s="66"/>
      <c r="S218" s="66"/>
      <c r="T218" s="66"/>
    </row>
    <row r="219" spans="2:20" ht="18" customHeight="1">
      <c r="B219" t="str">
        <f>"36-EB04-IG01"</f>
        <v>36-EB04-IG01</v>
      </c>
      <c r="C219" t="str">
        <f>"JM, PDF on CD Electronic Timers &amp; Triggers- EB04"</f>
        <v>JM, PDF on CD Electronic Timers &amp; Triggers- EB04</v>
      </c>
      <c r="D219" s="4"/>
      <c r="E219" s="4">
        <v>1</v>
      </c>
      <c r="F219" s="4"/>
      <c r="G219" s="29" t="str">
        <f>IFERROR(HYPERLINK("#"&amp;ADDRESS(MATCH(B219&amp;"ES",'LM7 Non-ENG'!$A$1:$A$5000,0),1,,,"LM7 Non-ENG"),IF(IFERROR(VLOOKUP(B219&amp;"ES",'LM7 Non-ENG'!$A$1:$A$4999,1,FALSE),"ERROR")=B219&amp;"ES","Y","")),"")</f>
        <v/>
      </c>
      <c r="H219" s="29" t="str">
        <f>IFERROR(HYPERLINK("#"&amp;ADDRESS(MATCH(B219&amp;"PT",'LM7 Non-ENG'!$A$1:$A$5000,0),1,,,"LM7 Non-ENG"),IF(IFERROR(VLOOKUP(B219&amp;"PT",'LM7 Non-ENG'!$A$1:$A$5000,1,FALSE),"ERROR")=B219&amp;"PT","Y","")),"")</f>
        <v/>
      </c>
      <c r="I219" t="str">
        <f>IFERROR(VLOOKUP(B219,PN!$A:$C,3,FALSE),"")</f>
        <v>Active</v>
      </c>
      <c r="J219" s="3" t="str">
        <f>IFERROR(E219*VLOOKUP(B219,PLInter!$A:$D,3,FALSE),"")</f>
        <v/>
      </c>
      <c r="K219" s="66"/>
      <c r="L219" s="66"/>
      <c r="M219" s="66"/>
      <c r="N219" s="66"/>
      <c r="O219" s="66"/>
      <c r="P219" s="66"/>
      <c r="Q219" s="66"/>
      <c r="R219" s="66"/>
      <c r="S219" s="66"/>
      <c r="T219" s="66"/>
    </row>
    <row r="220" spans="2:20" ht="18" customHeight="1">
      <c r="B220" t="str">
        <f>"77-EB05-0000"</f>
        <v>77-EB05-0000</v>
      </c>
      <c r="C220" t="str">
        <f>"LM7 Content, JM, Basic Stepper Motors &amp; Drives"</f>
        <v>LM7 Content, JM, Basic Stepper Motors &amp; Drives</v>
      </c>
      <c r="D220" s="4"/>
      <c r="E220" s="4">
        <v>1</v>
      </c>
      <c r="F220" s="4"/>
      <c r="G220" s="29" t="str">
        <f>IFERROR(HYPERLINK("#"&amp;ADDRESS(MATCH(B220&amp;"ES",'LM7 Non-ENG'!$A$1:$A$5000,0),1,,,"LM7 Non-ENG"),IF(IFERROR(VLOOKUP(B220&amp;"ES",'LM7 Non-ENG'!$A$1:$A$4999,1,FALSE),"ERROR")=B220&amp;"ES","Y","")),"")</f>
        <v>Y</v>
      </c>
      <c r="H220" s="29" t="str">
        <f>IFERROR(HYPERLINK("#"&amp;ADDRESS(MATCH(B220&amp;"PT",'LM7 Non-ENG'!$A$1:$A$5000,0),1,,,"LM7 Non-ENG"),IF(IFERROR(VLOOKUP(B220&amp;"PT",'LM7 Non-ENG'!$A$1:$A$5000,1,FALSE),"ERROR")=B220&amp;"PT","Y","")),"")</f>
        <v/>
      </c>
      <c r="I220" t="str">
        <f>IFERROR(VLOOKUP(B220,PN!$A:$C,3,FALSE),"")</f>
        <v>Active</v>
      </c>
      <c r="J220" s="3">
        <f>IFERROR(E220*VLOOKUP(B220,PLInter!$A:$D,3,FALSE),"")</f>
        <v>700</v>
      </c>
      <c r="K220" s="66"/>
      <c r="L220" s="66"/>
      <c r="M220" s="66"/>
      <c r="N220" s="66"/>
      <c r="O220" s="66"/>
      <c r="P220" s="66"/>
      <c r="Q220" s="66"/>
      <c r="R220" s="66"/>
      <c r="S220" s="66"/>
      <c r="T220" s="66"/>
    </row>
    <row r="221" spans="2:20" ht="18" customHeight="1">
      <c r="B221" s="2" t="str">
        <f>"17-EB05-0000"</f>
        <v>17-EB05-0000</v>
      </c>
      <c r="C221" s="2" t="str">
        <f>"LM5.X Content, JM, Basic Stepper Motors &amp; Drives"</f>
        <v>LM5.X Content, JM, Basic Stepper Motors &amp; Drives</v>
      </c>
      <c r="D221" s="5"/>
      <c r="E221" s="16">
        <v>0</v>
      </c>
      <c r="F221" s="5" t="str">
        <f>"Y"</f>
        <v>Y</v>
      </c>
      <c r="G221" s="29" t="str">
        <f>IFERROR(HYPERLINK("#"&amp;ADDRESS(MATCH(B221&amp;"ES",'LM7 Non-ENG'!$A$1:$A$5000,0),1,,,"LM7 Non-ENG"),IF(IFERROR(VLOOKUP(B221&amp;"ES",'LM7 Non-ENG'!$A$1:$A$4999,1,FALSE),"ERROR")=B221&amp;"ES","Y","")),"")</f>
        <v/>
      </c>
      <c r="H221" s="29" t="str">
        <f>IFERROR(HYPERLINK("#"&amp;ADDRESS(MATCH(B221&amp;"PT",'LM7 Non-ENG'!$A$1:$A$5000,0),1,,,"LM7 Non-ENG"),IF(IFERROR(VLOOKUP(B221&amp;"PT",'LM7 Non-ENG'!$A$1:$A$5000,1,FALSE),"ERROR")=B221&amp;"PT","Y","")),"")</f>
        <v/>
      </c>
      <c r="I221" t="str">
        <f>IFERROR(VLOOKUP(B221,PN!$A:$C,3,FALSE),"")</f>
        <v>Active</v>
      </c>
      <c r="J221" s="3">
        <f>IFERROR(E221*VLOOKUP(B221,PLInter!$A:$D,3,FALSE),"")</f>
        <v>0</v>
      </c>
      <c r="K221" s="66"/>
      <c r="L221" s="66"/>
      <c r="M221" s="66"/>
      <c r="N221" s="66"/>
      <c r="O221" s="66"/>
      <c r="P221" s="66"/>
      <c r="Q221" s="66"/>
      <c r="R221" s="66"/>
      <c r="S221" s="66"/>
      <c r="T221" s="66"/>
    </row>
    <row r="222" spans="2:20" ht="18" customHeight="1">
      <c r="B222" t="str">
        <f>"26-E090-0000"</f>
        <v>26-E090-0000</v>
      </c>
      <c r="C222" t="str">
        <f>"Assembly, JM, E090, Stepper Motor &amp; Drive Panel"</f>
        <v>Assembly, JM, E090, Stepper Motor &amp; Drive Panel</v>
      </c>
      <c r="D222" s="4"/>
      <c r="E222" s="4">
        <v>2</v>
      </c>
      <c r="F222" s="4"/>
      <c r="G222" s="29" t="str">
        <f>IFERROR(HYPERLINK("#"&amp;ADDRESS(MATCH(B222&amp;"ES",'LM7 Non-ENG'!$A$1:$A$5000,0),1,,,"LM7 Non-ENG"),IF(IFERROR(VLOOKUP(B222&amp;"ES",'LM7 Non-ENG'!$A$1:$A$4999,1,FALSE),"ERROR")=B222&amp;"ES","Y","")),"")</f>
        <v/>
      </c>
      <c r="H222" s="29" t="str">
        <f>IFERROR(HYPERLINK("#"&amp;ADDRESS(MATCH(B222&amp;"PT",'LM7 Non-ENG'!$A$1:$A$5000,0),1,,,"LM7 Non-ENG"),IF(IFERROR(VLOOKUP(B222&amp;"PT",'LM7 Non-ENG'!$A$1:$A$5000,1,FALSE),"ERROR")=B222&amp;"PT","Y","")),"")</f>
        <v/>
      </c>
      <c r="I222" t="str">
        <f>IFERROR(VLOOKUP(B222,PN!$A:$C,3,FALSE),"")</f>
        <v>Active</v>
      </c>
      <c r="J222" s="3">
        <f>IFERROR(E222*VLOOKUP(B222,PLInter!$A:$D,3,FALSE),"")</f>
        <v>3200</v>
      </c>
      <c r="K222" s="66"/>
      <c r="L222" s="66"/>
      <c r="M222" s="66"/>
      <c r="N222" s="66"/>
      <c r="O222" s="66"/>
      <c r="P222" s="66"/>
      <c r="Q222" s="66"/>
      <c r="R222" s="66"/>
      <c r="S222" s="66"/>
      <c r="T222" s="66"/>
    </row>
    <row r="223" spans="2:20" ht="18" customHeight="1">
      <c r="B223" t="str">
        <f>"36-EB05-IG01"</f>
        <v>36-EB05-IG01</v>
      </c>
      <c r="C223" t="str">
        <f>"JM, PDF on CD Basic Stepper Motor &amp; Drives- EB05"</f>
        <v>JM, PDF on CD Basic Stepper Motor &amp; Drives- EB05</v>
      </c>
      <c r="D223" s="4"/>
      <c r="E223" s="4">
        <v>1</v>
      </c>
      <c r="F223" s="4"/>
      <c r="G223" s="29" t="str">
        <f>IFERROR(HYPERLINK("#"&amp;ADDRESS(MATCH(B223&amp;"ES",'LM7 Non-ENG'!$A$1:$A$5000,0),1,,,"LM7 Non-ENG"),IF(IFERROR(VLOOKUP(B223&amp;"ES",'LM7 Non-ENG'!$A$1:$A$4999,1,FALSE),"ERROR")=B223&amp;"ES","Y","")),"")</f>
        <v/>
      </c>
      <c r="H223" s="29" t="str">
        <f>IFERROR(HYPERLINK("#"&amp;ADDRESS(MATCH(B223&amp;"PT",'LM7 Non-ENG'!$A$1:$A$5000,0),1,,,"LM7 Non-ENG"),IF(IFERROR(VLOOKUP(B223&amp;"PT",'LM7 Non-ENG'!$A$1:$A$5000,1,FALSE),"ERROR")=B223&amp;"PT","Y","")),"")</f>
        <v/>
      </c>
      <c r="I223" t="str">
        <f>IFERROR(VLOOKUP(B223,PN!$A:$C,3,FALSE),"")</f>
        <v>Active</v>
      </c>
      <c r="J223" s="3" t="str">
        <f>IFERROR(E223*VLOOKUP(B223,PLInter!$A:$D,3,FALSE),"")</f>
        <v/>
      </c>
      <c r="K223" s="66"/>
      <c r="L223" s="66"/>
      <c r="M223" s="66"/>
      <c r="N223" s="66"/>
      <c r="O223" s="66"/>
      <c r="P223" s="66"/>
      <c r="Q223" s="66"/>
      <c r="R223" s="66"/>
      <c r="S223" s="66"/>
      <c r="T223" s="66"/>
    </row>
    <row r="224" spans="2:20" ht="18" customHeight="1">
      <c r="B224" t="str">
        <f>"77-EB06-0000"</f>
        <v>77-EB06-0000</v>
      </c>
      <c r="C224" t="str">
        <f>"LM7 Content, JM, Basic Servo Motor Drives"</f>
        <v>LM7 Content, JM, Basic Servo Motor Drives</v>
      </c>
      <c r="D224" s="4"/>
      <c r="E224" s="4">
        <v>1</v>
      </c>
      <c r="F224" s="4"/>
      <c r="G224" s="29" t="str">
        <f>IFERROR(HYPERLINK("#"&amp;ADDRESS(MATCH(B224&amp;"ES",'LM7 Non-ENG'!$A$1:$A$5000,0),1,,,"LM7 Non-ENG"),IF(IFERROR(VLOOKUP(B224&amp;"ES",'LM7 Non-ENG'!$A$1:$A$4999,1,FALSE),"ERROR")=B224&amp;"ES","Y","")),"")</f>
        <v>Y</v>
      </c>
      <c r="H224" s="29" t="str">
        <f>IFERROR(HYPERLINK("#"&amp;ADDRESS(MATCH(B224&amp;"PT",'LM7 Non-ENG'!$A$1:$A$5000,0),1,,,"LM7 Non-ENG"),IF(IFERROR(VLOOKUP(B224&amp;"PT",'LM7 Non-ENG'!$A$1:$A$5000,1,FALSE),"ERROR")=B224&amp;"PT","Y","")),"")</f>
        <v/>
      </c>
      <c r="I224" t="str">
        <f>IFERROR(VLOOKUP(B224,PN!$A:$C,3,FALSE),"")</f>
        <v>Active</v>
      </c>
      <c r="J224" s="3">
        <f>IFERROR(E224*VLOOKUP(B224,PLInter!$A:$D,3,FALSE),"")</f>
        <v>700</v>
      </c>
      <c r="K224" s="66"/>
      <c r="L224" s="66"/>
      <c r="M224" s="66"/>
      <c r="N224" s="66"/>
      <c r="O224" s="66"/>
      <c r="P224" s="66"/>
      <c r="Q224" s="66"/>
      <c r="R224" s="66"/>
      <c r="S224" s="66"/>
      <c r="T224" s="66"/>
    </row>
    <row r="225" spans="1:20" ht="18" customHeight="1">
      <c r="B225" s="2" t="str">
        <f>"17-EB06-0000"</f>
        <v>17-EB06-0000</v>
      </c>
      <c r="C225" s="2" t="str">
        <f>"LM5.X Content, JM, Basic Servo Motor Drives"</f>
        <v>LM5.X Content, JM, Basic Servo Motor Drives</v>
      </c>
      <c r="D225" s="5"/>
      <c r="E225" s="16">
        <v>0</v>
      </c>
      <c r="F225" s="5" t="str">
        <f>"Y"</f>
        <v>Y</v>
      </c>
      <c r="G225" s="29" t="str">
        <f>IFERROR(HYPERLINK("#"&amp;ADDRESS(MATCH(B225&amp;"ES",'LM7 Non-ENG'!$A$1:$A$5000,0),1,,,"LM7 Non-ENG"),IF(IFERROR(VLOOKUP(B225&amp;"ES",'LM7 Non-ENG'!$A$1:$A$4999,1,FALSE),"ERROR")=B225&amp;"ES","Y","")),"")</f>
        <v/>
      </c>
      <c r="H225" s="29" t="str">
        <f>IFERROR(HYPERLINK("#"&amp;ADDRESS(MATCH(B225&amp;"PT",'LM7 Non-ENG'!$A$1:$A$5000,0),1,,,"LM7 Non-ENG"),IF(IFERROR(VLOOKUP(B225&amp;"PT",'LM7 Non-ENG'!$A$1:$A$5000,1,FALSE),"ERROR")=B225&amp;"PT","Y","")),"")</f>
        <v/>
      </c>
      <c r="I225" t="str">
        <f>IFERROR(VLOOKUP(B225,PN!$A:$C,3,FALSE),"")</f>
        <v>Active</v>
      </c>
      <c r="J225" s="3">
        <f>IFERROR(E225*VLOOKUP(B225,PLInter!$A:$D,3,FALSE),"")</f>
        <v>0</v>
      </c>
      <c r="K225" s="66"/>
      <c r="L225" s="66"/>
      <c r="M225" s="66"/>
      <c r="N225" s="66"/>
      <c r="O225" s="66"/>
      <c r="P225" s="66"/>
      <c r="Q225" s="66"/>
      <c r="R225" s="66"/>
      <c r="S225" s="66"/>
      <c r="T225" s="66"/>
    </row>
    <row r="226" spans="1:20" ht="18" customHeight="1">
      <c r="B226" t="str">
        <f>"26-E091-0000"</f>
        <v>26-E091-0000</v>
      </c>
      <c r="C226" t="str">
        <f>"Assembly, JM, E091, Servo Motor&amp; Drive Panel"</f>
        <v>Assembly, JM, E091, Servo Motor&amp; Drive Panel</v>
      </c>
      <c r="D226" s="4"/>
      <c r="E226" s="4">
        <v>2</v>
      </c>
      <c r="F226" s="4"/>
      <c r="G226" s="29" t="str">
        <f>IFERROR(HYPERLINK("#"&amp;ADDRESS(MATCH(B226&amp;"ES",'LM7 Non-ENG'!$A$1:$A$5000,0),1,,,"LM7 Non-ENG"),IF(IFERROR(VLOOKUP(B226&amp;"ES",'LM7 Non-ENG'!$A$1:$A$4999,1,FALSE),"ERROR")=B226&amp;"ES","Y","")),"")</f>
        <v/>
      </c>
      <c r="H226" s="29" t="str">
        <f>IFERROR(HYPERLINK("#"&amp;ADDRESS(MATCH(B226&amp;"PT",'LM7 Non-ENG'!$A$1:$A$5000,0),1,,,"LM7 Non-ENG"),IF(IFERROR(VLOOKUP(B226&amp;"PT",'LM7 Non-ENG'!$A$1:$A$5000,1,FALSE),"ERROR")=B226&amp;"PT","Y","")),"")</f>
        <v/>
      </c>
      <c r="I226" t="str">
        <f>IFERROR(VLOOKUP(B226,PN!$A:$C,3,FALSE),"")</f>
        <v>Active</v>
      </c>
      <c r="J226" s="3">
        <f>IFERROR(E226*VLOOKUP(B226,PLInter!$A:$D,3,FALSE),"")</f>
        <v>1534</v>
      </c>
      <c r="K226" s="66"/>
      <c r="L226" s="66"/>
      <c r="M226" s="66"/>
      <c r="N226" s="66"/>
      <c r="O226" s="66"/>
      <c r="P226" s="66"/>
      <c r="Q226" s="66"/>
      <c r="R226" s="66"/>
      <c r="S226" s="66"/>
      <c r="T226" s="66"/>
    </row>
    <row r="227" spans="1:20" ht="18" customHeight="1">
      <c r="B227" t="str">
        <f>"36-EB06-IG01"</f>
        <v>36-EB06-IG01</v>
      </c>
      <c r="C227" t="str">
        <f>"JM, PDF on CD Basic Servo Motor Drives - EB06"</f>
        <v>JM, PDF on CD Basic Servo Motor Drives - EB06</v>
      </c>
      <c r="D227" s="4"/>
      <c r="E227" s="4">
        <v>1</v>
      </c>
      <c r="F227" s="4"/>
      <c r="G227" s="29" t="str">
        <f>IFERROR(HYPERLINK("#"&amp;ADDRESS(MATCH(B227&amp;"ES",'LM7 Non-ENG'!$A$1:$A$5000,0),1,,,"LM7 Non-ENG"),IF(IFERROR(VLOOKUP(B227&amp;"ES",'LM7 Non-ENG'!$A$1:$A$4999,1,FALSE),"ERROR")=B227&amp;"ES","Y","")),"")</f>
        <v/>
      </c>
      <c r="H227" s="29" t="str">
        <f>IFERROR(HYPERLINK("#"&amp;ADDRESS(MATCH(B227&amp;"PT",'LM7 Non-ENG'!$A$1:$A$5000,0),1,,,"LM7 Non-ENG"),IF(IFERROR(VLOOKUP(B227&amp;"PT",'LM7 Non-ENG'!$A$1:$A$5000,1,FALSE),"ERROR")=B227&amp;"PT","Y","")),"")</f>
        <v/>
      </c>
      <c r="I227" t="str">
        <f>IFERROR(VLOOKUP(B227,PN!$A:$C,3,FALSE),"")</f>
        <v>Active</v>
      </c>
      <c r="J227" s="3" t="str">
        <f>IFERROR(E227*VLOOKUP(B227,PLInter!$A:$D,3,FALSE),"")</f>
        <v/>
      </c>
      <c r="K227" s="66"/>
      <c r="L227" s="66"/>
      <c r="M227" s="66"/>
      <c r="N227" s="66"/>
      <c r="O227" s="66"/>
      <c r="P227" s="66"/>
      <c r="Q227" s="66"/>
      <c r="R227" s="66"/>
      <c r="S227" s="66"/>
      <c r="T227" s="66"/>
    </row>
    <row r="228" spans="1:20" ht="18" customHeight="1">
      <c r="G228" s="29" t="str">
        <f>IFERROR(HYPERLINK("#"&amp;ADDRESS(MATCH(B228&amp;"ES",'LM7 Non-ENG'!$A$1:$A$5000,0),1,,,"LM7 Non-ENG"),IF(IFERROR(VLOOKUP(B228&amp;"ES",'LM7 Non-ENG'!$A$1:$A$4999,1,FALSE),"ERROR")=B228&amp;"ES","Y","")),"")</f>
        <v/>
      </c>
      <c r="H228" s="29" t="str">
        <f>IFERROR(HYPERLINK("#"&amp;ADDRESS(MATCH(B228&amp;"PT",'LM7 Non-ENG'!$A$1:$A$5000,0),1,,,"LM7 Non-ENG"),IF(IFERROR(VLOOKUP(B228&amp;"PT",'LM7 Non-ENG'!$A$1:$A$5000,1,FALSE),"ERROR")=B228&amp;"PT","Y","")),"")</f>
        <v/>
      </c>
    </row>
    <row r="229" spans="1:20" s="7" customFormat="1" ht="18" customHeight="1">
      <c r="A229" s="13" t="s">
        <v>36</v>
      </c>
      <c r="B229" s="13"/>
      <c r="C229" s="13" t="s">
        <v>38</v>
      </c>
      <c r="D229" s="14"/>
      <c r="E229" s="14"/>
      <c r="F229" s="14"/>
      <c r="G229" s="14"/>
      <c r="H229" s="14"/>
      <c r="I229" s="14"/>
      <c r="J229" s="14">
        <f>SUMIFS(J230:J320,D230:D320,"&lt;&gt;Y",F230:F320,"&lt;&gt;Y",I230:I320,"&lt;&gt;Inactive",I230:I320,"&lt;&gt;ECO+NFS")</f>
        <v>113697</v>
      </c>
      <c r="K229" s="14"/>
      <c r="L229" s="14"/>
      <c r="M229" s="14"/>
      <c r="N229" s="14"/>
      <c r="O229" s="14"/>
      <c r="P229" s="14"/>
      <c r="Q229" s="14"/>
      <c r="R229" s="14"/>
      <c r="S229" s="14"/>
      <c r="T229" s="14"/>
    </row>
    <row r="230" spans="1:20" ht="18" customHeight="1">
      <c r="A230" s="17" t="str">
        <f>HYPERLINK("#"&amp;ADDRESS(MATCH(A229,Jobmaster!$A$1:$A$4996,0),1,,,"Jobmaster"),"Back to Price List")</f>
        <v>Back to Price List</v>
      </c>
      <c r="B230" t="str">
        <f>"10-LS00-0200"</f>
        <v>10-LS00-0200</v>
      </c>
      <c r="C230" t="str">
        <f>"LS200:Jobmaster 2-Sided Mobile Learning Station"</f>
        <v>LS200:Jobmaster 2-Sided Mobile Learning Station</v>
      </c>
      <c r="E230">
        <v>1</v>
      </c>
      <c r="G230" s="29" t="str">
        <f>IFERROR(HYPERLINK("#"&amp;ADDRESS(MATCH(B230&amp;"ES",'LM7 Non-ENG'!$A$1:$A$5000,0),1,,,"LM7 Non-ENG"),IF(IFERROR(VLOOKUP(B230&amp;"ES",'LM7 Non-ENG'!$A$1:$A$4999,1,FALSE),"ERROR")=B230&amp;"ES","Y","")),"")</f>
        <v/>
      </c>
      <c r="H230" s="29" t="str">
        <f>IFERROR(HYPERLINK("#"&amp;ADDRESS(MATCH(B230&amp;"PT",'LM7 Non-ENG'!$A$1:$A$5000,0),1,,,"LM7 Non-ENG"),IF(IFERROR(VLOOKUP(B230&amp;"PT",'LM7 Non-ENG'!$A$1:$A$5000,1,FALSE),"ERROR")=B230&amp;"PT","Y","")),"")</f>
        <v/>
      </c>
      <c r="I230" t="str">
        <f>IFERROR(VLOOKUP(B230,PN!$A:$C,3,FALSE),"")</f>
        <v>Active</v>
      </c>
      <c r="J230" s="3">
        <f>IFERROR(E230*VLOOKUP(B230,PLInter!$A:$D,3,FALSE),"")</f>
        <v>5500</v>
      </c>
      <c r="K230" s="68" t="s">
        <v>39</v>
      </c>
      <c r="L230" s="66"/>
      <c r="M230" s="66"/>
      <c r="N230" s="66"/>
      <c r="O230" s="66"/>
      <c r="P230" s="66"/>
      <c r="Q230" s="66"/>
      <c r="R230" s="66"/>
      <c r="S230" s="66"/>
      <c r="T230" s="66"/>
    </row>
    <row r="231" spans="1:20" ht="18" customHeight="1">
      <c r="B231" t="str">
        <f>"10-PC04-0000"</f>
        <v>10-PC04-0000</v>
      </c>
      <c r="C231" t="str">
        <f>"JM, Panel PC04, 120VAC Power Control"</f>
        <v>JM, Panel PC04, 120VAC Power Control</v>
      </c>
      <c r="E231">
        <v>2</v>
      </c>
      <c r="G231" s="29" t="str">
        <f>IFERROR(HYPERLINK("#"&amp;ADDRESS(MATCH(B231&amp;"ES",'LM7 Non-ENG'!$A$1:$A$5000,0),1,,,"LM7 Non-ENG"),IF(IFERROR(VLOOKUP(B231&amp;"ES",'LM7 Non-ENG'!$A$1:$A$4999,1,FALSE),"ERROR")=B231&amp;"ES","Y","")),"")</f>
        <v/>
      </c>
      <c r="H231" s="29" t="str">
        <f>IFERROR(HYPERLINK("#"&amp;ADDRESS(MATCH(B231&amp;"PT",'LM7 Non-ENG'!$A$1:$A$5000,0),1,,,"LM7 Non-ENG"),IF(IFERROR(VLOOKUP(B231&amp;"PT",'LM7 Non-ENG'!$A$1:$A$5000,1,FALSE),"ERROR")=B231&amp;"PT","Y","")),"")</f>
        <v/>
      </c>
      <c r="I231" t="str">
        <f>IFERROR(VLOOKUP(B231,PN!$A:$C,3,FALSE),"")</f>
        <v>Active</v>
      </c>
      <c r="J231" s="3">
        <f>IFERROR(E231*VLOOKUP(B231,PLInter!$A:$D,3,FALSE),"")</f>
        <v>2400</v>
      </c>
      <c r="K231" s="66"/>
      <c r="L231" s="66"/>
      <c r="M231" s="66"/>
      <c r="N231" s="66"/>
      <c r="O231" s="66"/>
      <c r="P231" s="66"/>
      <c r="Q231" s="66"/>
      <c r="R231" s="66"/>
      <c r="S231" s="66"/>
      <c r="T231" s="66"/>
    </row>
    <row r="232" spans="1:20" ht="18" customHeight="1">
      <c r="B232" t="str">
        <f>"10-PC06-0000"</f>
        <v>10-PC06-0000</v>
      </c>
      <c r="C232" t="str">
        <f>"JM, Panel PC06, 220VAC Three Phase Power Control"</f>
        <v>JM, Panel PC06, 220VAC Three Phase Power Control</v>
      </c>
      <c r="E232">
        <v>1</v>
      </c>
      <c r="G232" s="29" t="str">
        <f>IFERROR(HYPERLINK("#"&amp;ADDRESS(MATCH(B232&amp;"ES",'LM7 Non-ENG'!$A$1:$A$5000,0),1,,,"LM7 Non-ENG"),IF(IFERROR(VLOOKUP(B232&amp;"ES",'LM7 Non-ENG'!$A$1:$A$4999,1,FALSE),"ERROR")=B232&amp;"ES","Y","")),"")</f>
        <v/>
      </c>
      <c r="H232" s="29" t="str">
        <f>IFERROR(HYPERLINK("#"&amp;ADDRESS(MATCH(B232&amp;"PT",'LM7 Non-ENG'!$A$1:$A$5000,0),1,,,"LM7 Non-ENG"),IF(IFERROR(VLOOKUP(B232&amp;"PT",'LM7 Non-ENG'!$A$1:$A$5000,1,FALSE),"ERROR")=B232&amp;"PT","Y","")),"")</f>
        <v/>
      </c>
      <c r="I232" t="str">
        <f>IFERROR(VLOOKUP(B232,PN!$A:$C,3,FALSE),"")</f>
        <v>Active</v>
      </c>
      <c r="J232" s="3">
        <f>IFERROR(E232*VLOOKUP(B232,PLInter!$A:$D,3,FALSE),"")</f>
        <v>1267</v>
      </c>
      <c r="K232" s="66"/>
      <c r="L232" s="66"/>
      <c r="M232" s="66"/>
      <c r="N232" s="66"/>
      <c r="O232" s="66"/>
      <c r="P232" s="66"/>
      <c r="Q232" s="66"/>
      <c r="R232" s="66"/>
      <c r="S232" s="66"/>
      <c r="T232" s="66"/>
    </row>
    <row r="233" spans="1:20" ht="18" customHeight="1">
      <c r="B233" t="str">
        <f>"77-EA01A-0000"</f>
        <v>77-EA01A-0000</v>
      </c>
      <c r="C233" t="str">
        <f>"LM7 Content, JM, Electrical Circuits"</f>
        <v>LM7 Content, JM, Electrical Circuits</v>
      </c>
      <c r="E233">
        <v>1</v>
      </c>
      <c r="G233" s="29" t="str">
        <f>IFERROR(HYPERLINK("#"&amp;ADDRESS(MATCH(B233&amp;"ES",'LM7 Non-ENG'!$A$1:$A$5000,0),1,,,"LM7 Non-ENG"),IF(IFERROR(VLOOKUP(B233&amp;"ES",'LM7 Non-ENG'!$A$1:$A$4999,1,FALSE),"ERROR")=B233&amp;"ES","Y","")),"")</f>
        <v>Y</v>
      </c>
      <c r="H233" s="29" t="str">
        <f>IFERROR(HYPERLINK("#"&amp;ADDRESS(MATCH(B233&amp;"PT",'LM7 Non-ENG'!$A$1:$A$5000,0),1,,,"LM7 Non-ENG"),IF(IFERROR(VLOOKUP(B233&amp;"PT",'LM7 Non-ENG'!$A$1:$A$5000,1,FALSE),"ERROR")=B233&amp;"PT","Y","")),"")</f>
        <v>Y</v>
      </c>
      <c r="I233" t="str">
        <f>IFERROR(VLOOKUP(B233,PN!$A:$C,3,FALSE),"")</f>
        <v>Active</v>
      </c>
      <c r="J233" s="3">
        <f>IFERROR(E233*VLOOKUP(B233,PLInter!$A:$D,3,FALSE),"")</f>
        <v>700</v>
      </c>
      <c r="K233" s="66"/>
      <c r="L233" s="66"/>
      <c r="M233" s="66"/>
      <c r="N233" s="66"/>
      <c r="O233" s="66"/>
      <c r="P233" s="66"/>
      <c r="Q233" s="66"/>
      <c r="R233" s="66"/>
      <c r="S233" s="66"/>
      <c r="T233" s="66"/>
    </row>
    <row r="234" spans="1:20" ht="18" customHeight="1">
      <c r="B234" t="str">
        <f>"26-E045-0000"</f>
        <v>26-E045-0000</v>
      </c>
      <c r="C234" t="str">
        <f>"Assembly, JM, E045, Sources of Electricity"</f>
        <v>Assembly, JM, E045, Sources of Electricity</v>
      </c>
      <c r="E234">
        <v>2</v>
      </c>
      <c r="G234" s="29" t="str">
        <f>IFERROR(HYPERLINK("#"&amp;ADDRESS(MATCH(B234&amp;"ES",'LM7 Non-ENG'!$A$1:$A$5000,0),1,,,"LM7 Non-ENG"),IF(IFERROR(VLOOKUP(B234&amp;"ES",'LM7 Non-ENG'!$A$1:$A$4999,1,FALSE),"ERROR")=B234&amp;"ES","Y","")),"")</f>
        <v/>
      </c>
      <c r="H234" s="29" t="str">
        <f>IFERROR(HYPERLINK("#"&amp;ADDRESS(MATCH(B234&amp;"PT",'LM7 Non-ENG'!$A$1:$A$5000,0),1,,,"LM7 Non-ENG"),IF(IFERROR(VLOOKUP(B234&amp;"PT",'LM7 Non-ENG'!$A$1:$A$5000,1,FALSE),"ERROR")=B234&amp;"PT","Y","")),"")</f>
        <v/>
      </c>
      <c r="I234" t="str">
        <f>IFERROR(VLOOKUP(B234,PN!$A:$C,3,FALSE),"")</f>
        <v>Active</v>
      </c>
      <c r="J234" s="3">
        <f>IFERROR(E234*VLOOKUP(B234,PLInter!$A:$D,3,FALSE),"")</f>
        <v>950</v>
      </c>
      <c r="K234" s="66"/>
      <c r="L234" s="66"/>
      <c r="M234" s="66"/>
      <c r="N234" s="66"/>
      <c r="O234" s="66"/>
      <c r="P234" s="66"/>
      <c r="Q234" s="66"/>
      <c r="R234" s="66"/>
      <c r="S234" s="66"/>
      <c r="T234" s="66"/>
    </row>
    <row r="235" spans="1:20" ht="18" customHeight="1">
      <c r="B235" t="str">
        <f>"26-E047-0000"</f>
        <v>26-E047-0000</v>
      </c>
      <c r="C235" t="str">
        <f>"Assembly, JM, E047, Heat/Light Source"</f>
        <v>Assembly, JM, E047, Heat/Light Source</v>
      </c>
      <c r="E235">
        <v>2</v>
      </c>
      <c r="G235" s="29" t="str">
        <f>IFERROR(HYPERLINK("#"&amp;ADDRESS(MATCH(B235&amp;"ES",'LM7 Non-ENG'!$A$1:$A$5000,0),1,,,"LM7 Non-ENG"),IF(IFERROR(VLOOKUP(B235&amp;"ES",'LM7 Non-ENG'!$A$1:$A$4999,1,FALSE),"ERROR")=B235&amp;"ES","Y","")),"")</f>
        <v/>
      </c>
      <c r="H235" s="29" t="str">
        <f>IFERROR(HYPERLINK("#"&amp;ADDRESS(MATCH(B235&amp;"PT",'LM7 Non-ENG'!$A$1:$A$5000,0),1,,,"LM7 Non-ENG"),IF(IFERROR(VLOOKUP(B235&amp;"PT",'LM7 Non-ENG'!$A$1:$A$5000,1,FALSE),"ERROR")=B235&amp;"PT","Y","")),"")</f>
        <v/>
      </c>
      <c r="I235" t="str">
        <f>IFERROR(VLOOKUP(B235,PN!$A:$C,3,FALSE),"")</f>
        <v>Active</v>
      </c>
      <c r="J235" s="3">
        <f>IFERROR(E235*VLOOKUP(B235,PLInter!$A:$D,3,FALSE),"")</f>
        <v>750</v>
      </c>
      <c r="K235" s="66"/>
      <c r="L235" s="66"/>
      <c r="M235" s="66"/>
      <c r="N235" s="66"/>
      <c r="O235" s="66"/>
      <c r="P235" s="66"/>
      <c r="Q235" s="66"/>
      <c r="R235" s="66"/>
      <c r="S235" s="66"/>
      <c r="T235" s="66"/>
    </row>
    <row r="236" spans="1:20" ht="18" customHeight="1">
      <c r="B236" t="str">
        <f>"26-E151-0000"</f>
        <v>26-E151-0000</v>
      </c>
      <c r="C236" t="str">
        <f>"Assembly, JM, E151,Series/Parallel Lamps Panel"</f>
        <v>Assembly, JM, E151,Series/Parallel Lamps Panel</v>
      </c>
      <c r="E236">
        <v>2</v>
      </c>
      <c r="G236" s="29" t="str">
        <f>IFERROR(HYPERLINK("#"&amp;ADDRESS(MATCH(B236&amp;"ES",'LM7 Non-ENG'!$A$1:$A$5000,0),1,,,"LM7 Non-ENG"),IF(IFERROR(VLOOKUP(B236&amp;"ES",'LM7 Non-ENG'!$A$1:$A$4999,1,FALSE),"ERROR")=B236&amp;"ES","Y","")),"")</f>
        <v/>
      </c>
      <c r="H236" s="29" t="str">
        <f>IFERROR(HYPERLINK("#"&amp;ADDRESS(MATCH(B236&amp;"PT",'LM7 Non-ENG'!$A$1:$A$5000,0),1,,,"LM7 Non-ENG"),IF(IFERROR(VLOOKUP(B236&amp;"PT",'LM7 Non-ENG'!$A$1:$A$5000,1,FALSE),"ERROR")=B236&amp;"PT","Y","")),"")</f>
        <v/>
      </c>
      <c r="I236" t="str">
        <f>IFERROR(VLOOKUP(B236,PN!$A:$C,3,FALSE),"")</f>
        <v>Active</v>
      </c>
      <c r="J236" s="3">
        <f>IFERROR(E236*VLOOKUP(B236,PLInter!$A:$D,3,FALSE),"")</f>
        <v>1000</v>
      </c>
      <c r="K236" s="66"/>
      <c r="L236" s="66"/>
      <c r="M236" s="66"/>
      <c r="N236" s="66"/>
      <c r="O236" s="66"/>
      <c r="P236" s="66"/>
      <c r="Q236" s="66"/>
      <c r="R236" s="66"/>
      <c r="S236" s="66"/>
      <c r="T236" s="66"/>
    </row>
    <row r="237" spans="1:20" ht="18" customHeight="1">
      <c r="B237" t="str">
        <f>"26-E152-0000"</f>
        <v>26-E152-0000</v>
      </c>
      <c r="C237" t="str">
        <f>"Assembly, JM, E152, Transformer/Adjustable Power"</f>
        <v>Assembly, JM, E152, Transformer/Adjustable Power</v>
      </c>
      <c r="E237">
        <v>2</v>
      </c>
      <c r="G237" s="29" t="str">
        <f>IFERROR(HYPERLINK("#"&amp;ADDRESS(MATCH(B237&amp;"ES",'LM7 Non-ENG'!$A$1:$A$5000,0),1,,,"LM7 Non-ENG"),IF(IFERROR(VLOOKUP(B237&amp;"ES",'LM7 Non-ENG'!$A$1:$A$4999,1,FALSE),"ERROR")=B237&amp;"ES","Y","")),"")</f>
        <v/>
      </c>
      <c r="H237" s="29" t="str">
        <f>IFERROR(HYPERLINK("#"&amp;ADDRESS(MATCH(B237&amp;"PT",'LM7 Non-ENG'!$A$1:$A$5000,0),1,,,"LM7 Non-ENG"),IF(IFERROR(VLOOKUP(B237&amp;"PT",'LM7 Non-ENG'!$A$1:$A$5000,1,FALSE),"ERROR")=B237&amp;"PT","Y","")),"")</f>
        <v/>
      </c>
      <c r="I237" t="str">
        <f>IFERROR(VLOOKUP(B237,PN!$A:$C,3,FALSE),"")</f>
        <v>Active</v>
      </c>
      <c r="J237" s="3">
        <f>IFERROR(E237*VLOOKUP(B237,PLInter!$A:$D,3,FALSE),"")</f>
        <v>1600</v>
      </c>
      <c r="K237" s="66"/>
      <c r="L237" s="66"/>
      <c r="M237" s="66"/>
      <c r="N237" s="66"/>
      <c r="O237" s="66"/>
      <c r="P237" s="66"/>
      <c r="Q237" s="66"/>
      <c r="R237" s="66"/>
      <c r="S237" s="66"/>
      <c r="T237" s="66"/>
    </row>
    <row r="238" spans="1:20" ht="18" customHeight="1">
      <c r="B238" t="str">
        <f>"26-E040-0000"</f>
        <v>26-E040-0000</v>
      </c>
      <c r="C238" t="str">
        <f>"Assembly, JM, E040, Switches, Lamp, and Buzzer"</f>
        <v>Assembly, JM, E040, Switches, Lamp, and Buzzer</v>
      </c>
      <c r="E238">
        <v>2</v>
      </c>
      <c r="G238" s="29" t="str">
        <f>IFERROR(HYPERLINK("#"&amp;ADDRESS(MATCH(B238&amp;"ES",'LM7 Non-ENG'!$A$1:$A$5000,0),1,,,"LM7 Non-ENG"),IF(IFERROR(VLOOKUP(B238&amp;"ES",'LM7 Non-ENG'!$A$1:$A$4999,1,FALSE),"ERROR")=B238&amp;"ES","Y","")),"")</f>
        <v/>
      </c>
      <c r="H238" s="29" t="str">
        <f>IFERROR(HYPERLINK("#"&amp;ADDRESS(MATCH(B238&amp;"PT",'LM7 Non-ENG'!$A$1:$A$5000,0),1,,,"LM7 Non-ENG"),IF(IFERROR(VLOOKUP(B238&amp;"PT",'LM7 Non-ENG'!$A$1:$A$5000,1,FALSE),"ERROR")=B238&amp;"PT","Y","")),"")</f>
        <v/>
      </c>
      <c r="I238" t="str">
        <f>IFERROR(VLOOKUP(B238,PN!$A:$C,3,FALSE),"")</f>
        <v>Active</v>
      </c>
      <c r="J238" s="3">
        <f>IFERROR(E238*VLOOKUP(B238,PLInter!$A:$D,3,FALSE),"")</f>
        <v>1334</v>
      </c>
      <c r="K238" s="66"/>
      <c r="L238" s="66"/>
      <c r="M238" s="66"/>
      <c r="N238" s="66"/>
      <c r="O238" s="66"/>
      <c r="P238" s="66"/>
      <c r="Q238" s="66"/>
      <c r="R238" s="66"/>
      <c r="S238" s="66"/>
      <c r="T238" s="66"/>
    </row>
    <row r="239" spans="1:20" ht="18" customHeight="1">
      <c r="B239" t="str">
        <f>"36-8900-0007"</f>
        <v>36-8900-0007</v>
      </c>
      <c r="C239" t="str">
        <f>"JM, Digital Multimeter, Fluke-115"</f>
        <v>JM, Digital Multimeter, Fluke-115</v>
      </c>
      <c r="E239">
        <v>3</v>
      </c>
      <c r="G239" s="29" t="str">
        <f>IFERROR(HYPERLINK("#"&amp;ADDRESS(MATCH(B239&amp;"ES",'LM7 Non-ENG'!$A$1:$A$5000,0),1,,,"LM7 Non-ENG"),IF(IFERROR(VLOOKUP(B239&amp;"ES",'LM7 Non-ENG'!$A$1:$A$4999,1,FALSE),"ERROR")=B239&amp;"ES","Y","")),"")</f>
        <v/>
      </c>
      <c r="H239" s="29" t="str">
        <f>IFERROR(HYPERLINK("#"&amp;ADDRESS(MATCH(B239&amp;"PT",'LM7 Non-ENG'!$A$1:$A$5000,0),1,,,"LM7 Non-ENG"),IF(IFERROR(VLOOKUP(B239&amp;"PT",'LM7 Non-ENG'!$A$1:$A$5000,1,FALSE),"ERROR")=B239&amp;"PT","Y","")),"")</f>
        <v/>
      </c>
      <c r="I239" t="str">
        <f>IFERROR(VLOOKUP(B239,PN!$A:$C,3,FALSE),"")</f>
        <v>Active</v>
      </c>
      <c r="J239" s="3">
        <f>IFERROR(E239*VLOOKUP(B239,PLInter!$A:$D,3,FALSE),"")</f>
        <v>1725</v>
      </c>
      <c r="K239" s="66"/>
      <c r="L239" s="66"/>
      <c r="M239" s="66"/>
      <c r="N239" s="66"/>
      <c r="O239" s="66"/>
      <c r="P239" s="66"/>
      <c r="Q239" s="66"/>
      <c r="R239" s="66"/>
      <c r="S239" s="66"/>
      <c r="T239" s="66"/>
    </row>
    <row r="240" spans="1:20" ht="18" customHeight="1">
      <c r="B240" t="str">
        <f>"77-EA01B-0000"</f>
        <v>77-EA01B-0000</v>
      </c>
      <c r="C240" t="str">
        <f>"LM7 Content, JM, Resistors &amp; Conductors"</f>
        <v>LM7 Content, JM, Resistors &amp; Conductors</v>
      </c>
      <c r="E240">
        <v>1</v>
      </c>
      <c r="G240" s="29" t="str">
        <f>IFERROR(HYPERLINK("#"&amp;ADDRESS(MATCH(B240&amp;"ES",'LM7 Non-ENG'!$A$1:$A$5000,0),1,,,"LM7 Non-ENG"),IF(IFERROR(VLOOKUP(B240&amp;"ES",'LM7 Non-ENG'!$A$1:$A$4999,1,FALSE),"ERROR")=B240&amp;"ES","Y","")),"")</f>
        <v>Y</v>
      </c>
      <c r="H240" s="29" t="str">
        <f>IFERROR(HYPERLINK("#"&amp;ADDRESS(MATCH(B240&amp;"PT",'LM7 Non-ENG'!$A$1:$A$5000,0),1,,,"LM7 Non-ENG"),IF(IFERROR(VLOOKUP(B240&amp;"PT",'LM7 Non-ENG'!$A$1:$A$5000,1,FALSE),"ERROR")=B240&amp;"PT","Y","")),"")</f>
        <v>Y</v>
      </c>
      <c r="I240" t="str">
        <f>IFERROR(VLOOKUP(B240,PN!$A:$C,3,FALSE),"")</f>
        <v>Active</v>
      </c>
      <c r="J240" s="3">
        <f>IFERROR(E240*VLOOKUP(B240,PLInter!$A:$D,3,FALSE),"")</f>
        <v>700</v>
      </c>
      <c r="K240" s="66"/>
      <c r="L240" s="66"/>
      <c r="M240" s="66"/>
      <c r="N240" s="66"/>
      <c r="O240" s="66"/>
      <c r="P240" s="66"/>
      <c r="Q240" s="66"/>
      <c r="R240" s="66"/>
      <c r="S240" s="66"/>
      <c r="T240" s="66"/>
    </row>
    <row r="241" spans="2:20" ht="18" customHeight="1">
      <c r="B241" t="str">
        <f>"26-E042-0000"</f>
        <v>26-E042-0000</v>
      </c>
      <c r="C241" t="str">
        <f>"Assembly, JM, E042, Resistance Panel"</f>
        <v>Assembly, JM, E042, Resistance Panel</v>
      </c>
      <c r="E241">
        <v>2</v>
      </c>
      <c r="G241" s="29" t="str">
        <f>IFERROR(HYPERLINK("#"&amp;ADDRESS(MATCH(B241&amp;"ES",'LM7 Non-ENG'!$A$1:$A$5000,0),1,,,"LM7 Non-ENG"),IF(IFERROR(VLOOKUP(B241&amp;"ES",'LM7 Non-ENG'!$A$1:$A$4999,1,FALSE),"ERROR")=B241&amp;"ES","Y","")),"")</f>
        <v/>
      </c>
      <c r="H241" s="29" t="str">
        <f>IFERROR(HYPERLINK("#"&amp;ADDRESS(MATCH(B241&amp;"PT",'LM7 Non-ENG'!$A$1:$A$5000,0),1,,,"LM7 Non-ENG"),IF(IFERROR(VLOOKUP(B241&amp;"PT",'LM7 Non-ENG'!$A$1:$A$5000,1,FALSE),"ERROR")=B241&amp;"PT","Y","")),"")</f>
        <v/>
      </c>
      <c r="I241" t="str">
        <f>IFERROR(VLOOKUP(B241,PN!$A:$C,3,FALSE),"")</f>
        <v>Active</v>
      </c>
      <c r="J241" s="3">
        <f>IFERROR(E241*VLOOKUP(B241,PLInter!$A:$D,3,FALSE),"")</f>
        <v>2000</v>
      </c>
      <c r="K241" s="66"/>
      <c r="L241" s="66"/>
      <c r="M241" s="66"/>
      <c r="N241" s="66"/>
      <c r="O241" s="66"/>
      <c r="P241" s="66"/>
      <c r="Q241" s="66"/>
      <c r="R241" s="66"/>
      <c r="S241" s="66"/>
      <c r="T241" s="66"/>
    </row>
    <row r="242" spans="2:20" ht="18" customHeight="1">
      <c r="B242" t="str">
        <f>"77-EA01C-0000"</f>
        <v>77-EA01C-0000</v>
      </c>
      <c r="C242" t="str">
        <f>"LM7 Content, JM, LCR Circuits"</f>
        <v>LM7 Content, JM, LCR Circuits</v>
      </c>
      <c r="E242">
        <v>1</v>
      </c>
      <c r="G242" s="29" t="str">
        <f>IFERROR(HYPERLINK("#"&amp;ADDRESS(MATCH(B242&amp;"ES",'LM7 Non-ENG'!$A$1:$A$5000,0),1,,,"LM7 Non-ENG"),IF(IFERROR(VLOOKUP(B242&amp;"ES",'LM7 Non-ENG'!$A$1:$A$4999,1,FALSE),"ERROR")=B242&amp;"ES","Y","")),"")</f>
        <v>Y</v>
      </c>
      <c r="H242" s="29" t="str">
        <f>IFERROR(HYPERLINK("#"&amp;ADDRESS(MATCH(B242&amp;"PT",'LM7 Non-ENG'!$A$1:$A$5000,0),1,,,"LM7 Non-ENG"),IF(IFERROR(VLOOKUP(B242&amp;"PT",'LM7 Non-ENG'!$A$1:$A$5000,1,FALSE),"ERROR")=B242&amp;"PT","Y","")),"")</f>
        <v>Y</v>
      </c>
      <c r="I242" t="str">
        <f>IFERROR(VLOOKUP(B242,PN!$A:$C,3,FALSE),"")</f>
        <v>Active</v>
      </c>
      <c r="J242" s="3">
        <f>IFERROR(E242*VLOOKUP(B242,PLInter!$A:$D,3,FALSE),"")</f>
        <v>700</v>
      </c>
      <c r="K242" s="66"/>
      <c r="L242" s="66"/>
      <c r="M242" s="66"/>
      <c r="N242" s="66"/>
      <c r="O242" s="66"/>
      <c r="P242" s="66"/>
      <c r="Q242" s="66"/>
      <c r="R242" s="66"/>
      <c r="S242" s="66"/>
      <c r="T242" s="66"/>
    </row>
    <row r="243" spans="2:20" ht="18" customHeight="1">
      <c r="B243" t="str">
        <f>"26-E043-0000"</f>
        <v>26-E043-0000</v>
      </c>
      <c r="C243" t="str">
        <f>"Assembly, JM, E043, Capacitance Panel"</f>
        <v>Assembly, JM, E043, Capacitance Panel</v>
      </c>
      <c r="E243">
        <v>2</v>
      </c>
      <c r="G243" s="29" t="str">
        <f>IFERROR(HYPERLINK("#"&amp;ADDRESS(MATCH(B243&amp;"ES",'LM7 Non-ENG'!$A$1:$A$5000,0),1,,,"LM7 Non-ENG"),IF(IFERROR(VLOOKUP(B243&amp;"ES",'LM7 Non-ENG'!$A$1:$A$4999,1,FALSE),"ERROR")=B243&amp;"ES","Y","")),"")</f>
        <v/>
      </c>
      <c r="H243" s="29" t="str">
        <f>IFERROR(HYPERLINK("#"&amp;ADDRESS(MATCH(B243&amp;"PT",'LM7 Non-ENG'!$A$1:$A$5000,0),1,,,"LM7 Non-ENG"),IF(IFERROR(VLOOKUP(B243&amp;"PT",'LM7 Non-ENG'!$A$1:$A$5000,1,FALSE),"ERROR")=B243&amp;"PT","Y","")),"")</f>
        <v/>
      </c>
      <c r="I243" t="str">
        <f>IFERROR(VLOOKUP(B243,PN!$A:$C,3,FALSE),"")</f>
        <v>Active</v>
      </c>
      <c r="J243" s="3">
        <f>IFERROR(E243*VLOOKUP(B243,PLInter!$A:$D,3,FALSE),"")</f>
        <v>850</v>
      </c>
      <c r="K243" s="66"/>
      <c r="L243" s="66"/>
      <c r="M243" s="66"/>
      <c r="N243" s="66"/>
      <c r="O243" s="66"/>
      <c r="P243" s="66"/>
      <c r="Q243" s="66"/>
      <c r="R243" s="66"/>
      <c r="S243" s="66"/>
      <c r="T243" s="66"/>
    </row>
    <row r="244" spans="2:20" ht="18" customHeight="1">
      <c r="B244" t="str">
        <f>"26-E044-0000"</f>
        <v>26-E044-0000</v>
      </c>
      <c r="C244" t="str">
        <f>"Assembly, JM, E044, Inductance/Magnetism Panel"</f>
        <v>Assembly, JM, E044, Inductance/Magnetism Panel</v>
      </c>
      <c r="E244">
        <v>2</v>
      </c>
      <c r="G244" s="29" t="str">
        <f>IFERROR(HYPERLINK("#"&amp;ADDRESS(MATCH(B244&amp;"ES",'LM7 Non-ENG'!$A$1:$A$5000,0),1,,,"LM7 Non-ENG"),IF(IFERROR(VLOOKUP(B244&amp;"ES",'LM7 Non-ENG'!$A$1:$A$4999,1,FALSE),"ERROR")=B244&amp;"ES","Y","")),"")</f>
        <v/>
      </c>
      <c r="H244" s="29" t="str">
        <f>IFERROR(HYPERLINK("#"&amp;ADDRESS(MATCH(B244&amp;"PT",'LM7 Non-ENG'!$A$1:$A$5000,0),1,,,"LM7 Non-ENG"),IF(IFERROR(VLOOKUP(B244&amp;"PT",'LM7 Non-ENG'!$A$1:$A$5000,1,FALSE),"ERROR")=B244&amp;"PT","Y","")),"")</f>
        <v/>
      </c>
      <c r="I244" t="str">
        <f>IFERROR(VLOOKUP(B244,PN!$A:$C,3,FALSE),"")</f>
        <v>Active</v>
      </c>
      <c r="J244" s="3">
        <f>IFERROR(E244*VLOOKUP(B244,PLInter!$A:$D,3,FALSE),"")</f>
        <v>1000</v>
      </c>
      <c r="K244" s="66"/>
      <c r="L244" s="66"/>
      <c r="M244" s="66"/>
      <c r="N244" s="66"/>
      <c r="O244" s="66"/>
      <c r="P244" s="66"/>
      <c r="Q244" s="66"/>
      <c r="R244" s="66"/>
      <c r="S244" s="66"/>
      <c r="T244" s="66"/>
    </row>
    <row r="245" spans="2:20" ht="18" customHeight="1">
      <c r="B245" t="str">
        <f>"26-E057-0000"</f>
        <v>26-E057-0000</v>
      </c>
      <c r="C245" t="str">
        <f>"Assembly, JM, E057, Motor/Generator Demo Panel"</f>
        <v>Assembly, JM, E057, Motor/Generator Demo Panel</v>
      </c>
      <c r="E245">
        <v>2</v>
      </c>
      <c r="G245" s="29" t="str">
        <f>IFERROR(HYPERLINK("#"&amp;ADDRESS(MATCH(B245&amp;"ES",'LM7 Non-ENG'!$A$1:$A$5000,0),1,,,"LM7 Non-ENG"),IF(IFERROR(VLOOKUP(B245&amp;"ES",'LM7 Non-ENG'!$A$1:$A$4999,1,FALSE),"ERROR")=B245&amp;"ES","Y","")),"")</f>
        <v/>
      </c>
      <c r="H245" s="29" t="str">
        <f>IFERROR(HYPERLINK("#"&amp;ADDRESS(MATCH(B245&amp;"PT",'LM7 Non-ENG'!$A$1:$A$5000,0),1,,,"LM7 Non-ENG"),IF(IFERROR(VLOOKUP(B245&amp;"PT",'LM7 Non-ENG'!$A$1:$A$5000,1,FALSE),"ERROR")=B245&amp;"PT","Y","")),"")</f>
        <v/>
      </c>
      <c r="I245" t="str">
        <f>IFERROR(VLOOKUP(B245,PN!$A:$C,3,FALSE),"")</f>
        <v>Active</v>
      </c>
      <c r="J245" s="3">
        <f>IFERROR(E245*VLOOKUP(B245,PLInter!$A:$D,3,FALSE),"")</f>
        <v>1700</v>
      </c>
      <c r="K245" s="66"/>
      <c r="L245" s="66"/>
      <c r="M245" s="66"/>
      <c r="N245" s="66"/>
      <c r="O245" s="66"/>
      <c r="P245" s="66"/>
      <c r="Q245" s="66"/>
      <c r="R245" s="66"/>
      <c r="S245" s="66"/>
      <c r="T245" s="66"/>
    </row>
    <row r="246" spans="2:20" ht="18" customHeight="1">
      <c r="B246" t="str">
        <f>"26-E150-0000"</f>
        <v>26-E150-0000</v>
      </c>
      <c r="C246" t="str">
        <f>"Assembly, JM, E150, Relay/Contactor Panel"</f>
        <v>Assembly, JM, E150, Relay/Contactor Panel</v>
      </c>
      <c r="E246">
        <v>2</v>
      </c>
      <c r="G246" s="29" t="str">
        <f>IFERROR(HYPERLINK("#"&amp;ADDRESS(MATCH(B246&amp;"ES",'LM7 Non-ENG'!$A$1:$A$5000,0),1,,,"LM7 Non-ENG"),IF(IFERROR(VLOOKUP(B246&amp;"ES",'LM7 Non-ENG'!$A$1:$A$4999,1,FALSE),"ERROR")=B246&amp;"ES","Y","")),"")</f>
        <v/>
      </c>
      <c r="H246" s="29" t="str">
        <f>IFERROR(HYPERLINK("#"&amp;ADDRESS(MATCH(B246&amp;"PT",'LM7 Non-ENG'!$A$1:$A$5000,0),1,,,"LM7 Non-ENG"),IF(IFERROR(VLOOKUP(B246&amp;"PT",'LM7 Non-ENG'!$A$1:$A$5000,1,FALSE),"ERROR")=B246&amp;"PT","Y","")),"")</f>
        <v/>
      </c>
      <c r="I246" t="str">
        <f>IFERROR(VLOOKUP(B246,PN!$A:$C,3,FALSE),"")</f>
        <v>Active</v>
      </c>
      <c r="J246" s="3">
        <f>IFERROR(E246*VLOOKUP(B246,PLInter!$A:$D,3,FALSE),"")</f>
        <v>1700</v>
      </c>
      <c r="K246" s="66"/>
      <c r="L246" s="66"/>
      <c r="M246" s="66"/>
      <c r="N246" s="66"/>
      <c r="O246" s="66"/>
      <c r="P246" s="66"/>
      <c r="Q246" s="66"/>
      <c r="R246" s="66"/>
      <c r="S246" s="66"/>
      <c r="T246" s="66"/>
    </row>
    <row r="247" spans="2:20" ht="18" customHeight="1">
      <c r="B247" t="str">
        <f>"26-E029-0000"</f>
        <v>26-E029-0000</v>
      </c>
      <c r="C247" t="str">
        <f>"Assembly, JM, E029, Inductance/Mag Test Panel"</f>
        <v>Assembly, JM, E029, Inductance/Mag Test Panel</v>
      </c>
      <c r="E247">
        <v>2</v>
      </c>
      <c r="G247" s="29" t="str">
        <f>IFERROR(HYPERLINK("#"&amp;ADDRESS(MATCH(B247&amp;"ES",'LM7 Non-ENG'!$A$1:$A$5000,0),1,,,"LM7 Non-ENG"),IF(IFERROR(VLOOKUP(B247&amp;"ES",'LM7 Non-ENG'!$A$1:$A$4999,1,FALSE),"ERROR")=B247&amp;"ES","Y","")),"")</f>
        <v/>
      </c>
      <c r="H247" s="29" t="str">
        <f>IFERROR(HYPERLINK("#"&amp;ADDRESS(MATCH(B247&amp;"PT",'LM7 Non-ENG'!$A$1:$A$5000,0),1,,,"LM7 Non-ENG"),IF(IFERROR(VLOOKUP(B247&amp;"PT",'LM7 Non-ENG'!$A$1:$A$5000,1,FALSE),"ERROR")=B247&amp;"PT","Y","")),"")</f>
        <v/>
      </c>
      <c r="I247" t="str">
        <f>IFERROR(VLOOKUP(B247,PN!$A:$C,3,FALSE),"")</f>
        <v>Active</v>
      </c>
      <c r="J247" s="3">
        <f>IFERROR(E247*VLOOKUP(B247,PLInter!$A:$D,3,FALSE),"")</f>
        <v>1334</v>
      </c>
      <c r="K247" s="66"/>
      <c r="L247" s="66"/>
      <c r="M247" s="66"/>
      <c r="N247" s="66"/>
      <c r="O247" s="66"/>
      <c r="P247" s="66"/>
      <c r="Q247" s="66"/>
      <c r="R247" s="66"/>
      <c r="S247" s="66"/>
      <c r="T247" s="66"/>
    </row>
    <row r="248" spans="2:20" ht="18" customHeight="1">
      <c r="B248" t="str">
        <f>"77-EA01D-0000"</f>
        <v>77-EA01D-0000</v>
      </c>
      <c r="C248" t="str">
        <f>"LM7 Content, JM, Motors &amp; Generators"</f>
        <v>LM7 Content, JM, Motors &amp; Generators</v>
      </c>
      <c r="E248">
        <v>1</v>
      </c>
      <c r="G248" s="29" t="str">
        <f>IFERROR(HYPERLINK("#"&amp;ADDRESS(MATCH(B248&amp;"ES",'LM7 Non-ENG'!$A$1:$A$5000,0),1,,,"LM7 Non-ENG"),IF(IFERROR(VLOOKUP(B248&amp;"ES",'LM7 Non-ENG'!$A$1:$A$4999,1,FALSE),"ERROR")=B248&amp;"ES","Y","")),"")</f>
        <v>Y</v>
      </c>
      <c r="H248" s="29" t="str">
        <f>IFERROR(HYPERLINK("#"&amp;ADDRESS(MATCH(B248&amp;"PT",'LM7 Non-ENG'!$A$1:$A$5000,0),1,,,"LM7 Non-ENG"),IF(IFERROR(VLOOKUP(B248&amp;"PT",'LM7 Non-ENG'!$A$1:$A$5000,1,FALSE),"ERROR")=B248&amp;"PT","Y","")),"")</f>
        <v>Y</v>
      </c>
      <c r="I248" t="str">
        <f>IFERROR(VLOOKUP(B248,PN!$A:$C,3,FALSE),"")</f>
        <v>Active</v>
      </c>
      <c r="J248" s="3">
        <f>IFERROR(E248*VLOOKUP(B248,PLInter!$A:$D,3,FALSE),"")</f>
        <v>1295</v>
      </c>
      <c r="K248" s="66"/>
      <c r="L248" s="66"/>
      <c r="M248" s="66"/>
      <c r="N248" s="66"/>
      <c r="O248" s="66"/>
      <c r="P248" s="66"/>
      <c r="Q248" s="66"/>
      <c r="R248" s="66"/>
      <c r="S248" s="66"/>
      <c r="T248" s="66"/>
    </row>
    <row r="249" spans="2:20" ht="18" customHeight="1">
      <c r="B249" t="str">
        <f>"77-EA02-0000"</f>
        <v>77-EA02-0000</v>
      </c>
      <c r="C249" t="str">
        <f>"LM7 Content, JM, Electric Circuit Protection"</f>
        <v>LM7 Content, JM, Electric Circuit Protection</v>
      </c>
      <c r="E249">
        <v>1</v>
      </c>
      <c r="G249" s="29" t="str">
        <f>IFERROR(HYPERLINK("#"&amp;ADDRESS(MATCH(B249&amp;"ES",'LM7 Non-ENG'!$A$1:$A$5000,0),1,,,"LM7 Non-ENG"),IF(IFERROR(VLOOKUP(B249&amp;"ES",'LM7 Non-ENG'!$A$1:$A$4999,1,FALSE),"ERROR")=B249&amp;"ES","Y","")),"")</f>
        <v>Y</v>
      </c>
      <c r="H249" s="29" t="str">
        <f>IFERROR(HYPERLINK("#"&amp;ADDRESS(MATCH(B249&amp;"PT",'LM7 Non-ENG'!$A$1:$A$5000,0),1,,,"LM7 Non-ENG"),IF(IFERROR(VLOOKUP(B249&amp;"PT",'LM7 Non-ENG'!$A$1:$A$5000,1,FALSE),"ERROR")=B249&amp;"PT","Y","")),"")</f>
        <v/>
      </c>
      <c r="I249" t="str">
        <f>IFERROR(VLOOKUP(B249,PN!$A:$C,3,FALSE),"")</f>
        <v>Active</v>
      </c>
      <c r="J249" s="3">
        <f>IFERROR(E249*VLOOKUP(B249,PLInter!$A:$D,3,FALSE),"")</f>
        <v>700</v>
      </c>
      <c r="K249" s="66"/>
      <c r="L249" s="66"/>
      <c r="M249" s="66"/>
      <c r="N249" s="66"/>
      <c r="O249" s="66"/>
      <c r="P249" s="66"/>
      <c r="Q249" s="66"/>
      <c r="R249" s="66"/>
      <c r="S249" s="66"/>
      <c r="T249" s="66"/>
    </row>
    <row r="250" spans="2:20" ht="18" customHeight="1">
      <c r="B250" t="str">
        <f>"26-E022-0000"</f>
        <v>26-E022-0000</v>
      </c>
      <c r="C250" t="str">
        <f>"Assembly, JM, E022, Manual Starter Panel"</f>
        <v>Assembly, JM, E022, Manual Starter Panel</v>
      </c>
      <c r="E250">
        <v>2</v>
      </c>
      <c r="G250" s="29" t="str">
        <f>IFERROR(HYPERLINK("#"&amp;ADDRESS(MATCH(B250&amp;"ES",'LM7 Non-ENG'!$A$1:$A$5000,0),1,,,"LM7 Non-ENG"),IF(IFERROR(VLOOKUP(B250&amp;"ES",'LM7 Non-ENG'!$A$1:$A$4999,1,FALSE),"ERROR")=B250&amp;"ES","Y","")),"")</f>
        <v/>
      </c>
      <c r="H250" s="29" t="str">
        <f>IFERROR(HYPERLINK("#"&amp;ADDRESS(MATCH(B250&amp;"PT",'LM7 Non-ENG'!$A$1:$A$5000,0),1,,,"LM7 Non-ENG"),IF(IFERROR(VLOOKUP(B250&amp;"PT",'LM7 Non-ENG'!$A$1:$A$5000,1,FALSE),"ERROR")=B250&amp;"PT","Y","")),"")</f>
        <v/>
      </c>
      <c r="I250" t="str">
        <f>IFERROR(VLOOKUP(B250,PN!$A:$C,3,FALSE),"")</f>
        <v>Active</v>
      </c>
      <c r="J250" s="3">
        <f>IFERROR(E250*VLOOKUP(B250,PLInter!$A:$D,3,FALSE),"")</f>
        <v>3200</v>
      </c>
      <c r="K250" s="66"/>
      <c r="L250" s="66"/>
      <c r="M250" s="66"/>
      <c r="N250" s="66"/>
      <c r="O250" s="66"/>
      <c r="P250" s="66"/>
      <c r="Q250" s="66"/>
      <c r="R250" s="66"/>
      <c r="S250" s="66"/>
      <c r="T250" s="66"/>
    </row>
    <row r="251" spans="2:20" ht="18" customHeight="1">
      <c r="B251" t="str">
        <f>"26-E030-0000"</f>
        <v>26-E030-0000</v>
      </c>
      <c r="C251" t="str">
        <f>"Assembly, JM, E030, Overload Protection Panel"</f>
        <v>Assembly, JM, E030, Overload Protection Panel</v>
      </c>
      <c r="E251">
        <v>2</v>
      </c>
      <c r="G251" s="29" t="str">
        <f>IFERROR(HYPERLINK("#"&amp;ADDRESS(MATCH(B251&amp;"ES",'LM7 Non-ENG'!$A$1:$A$5000,0),1,,,"LM7 Non-ENG"),IF(IFERROR(VLOOKUP(B251&amp;"ES",'LM7 Non-ENG'!$A$1:$A$4999,1,FALSE),"ERROR")=B251&amp;"ES","Y","")),"")</f>
        <v/>
      </c>
      <c r="H251" s="29" t="str">
        <f>IFERROR(HYPERLINK("#"&amp;ADDRESS(MATCH(B251&amp;"PT",'LM7 Non-ENG'!$A$1:$A$5000,0),1,,,"LM7 Non-ENG"),IF(IFERROR(VLOOKUP(B251&amp;"PT",'LM7 Non-ENG'!$A$1:$A$5000,1,FALSE),"ERROR")=B251&amp;"PT","Y","")),"")</f>
        <v/>
      </c>
      <c r="I251" t="str">
        <f>IFERROR(VLOOKUP(B251,PN!$A:$C,3,FALSE),"")</f>
        <v>Active</v>
      </c>
      <c r="J251" s="3">
        <f>IFERROR(E251*VLOOKUP(B251,PLInter!$A:$D,3,FALSE),"")</f>
        <v>1668</v>
      </c>
      <c r="K251" s="66"/>
      <c r="L251" s="66"/>
      <c r="M251" s="66"/>
      <c r="N251" s="66"/>
      <c r="O251" s="66"/>
      <c r="P251" s="66"/>
      <c r="Q251" s="66"/>
      <c r="R251" s="66"/>
      <c r="S251" s="66"/>
      <c r="T251" s="66"/>
    </row>
    <row r="252" spans="2:20" ht="18" customHeight="1">
      <c r="B252" t="str">
        <f>"77-EA03-0000"</f>
        <v>77-EA03-0000</v>
      </c>
      <c r="C252" t="str">
        <f>"LM7 Content, JM, 3 Phase Transformers"</f>
        <v>LM7 Content, JM, 3 Phase Transformers</v>
      </c>
      <c r="E252">
        <v>1</v>
      </c>
      <c r="G252" s="29" t="str">
        <f>IFERROR(HYPERLINK("#"&amp;ADDRESS(MATCH(B252&amp;"ES",'LM7 Non-ENG'!$A$1:$A$5000,0),1,,,"LM7 Non-ENG"),IF(IFERROR(VLOOKUP(B252&amp;"ES",'LM7 Non-ENG'!$A$1:$A$4999,1,FALSE),"ERROR")=B252&amp;"ES","Y","")),"")</f>
        <v>Y</v>
      </c>
      <c r="H252" s="29" t="str">
        <f>IFERROR(HYPERLINK("#"&amp;ADDRESS(MATCH(B252&amp;"PT",'LM7 Non-ENG'!$A$1:$A$5000,0),1,,,"LM7 Non-ENG"),IF(IFERROR(VLOOKUP(B252&amp;"PT",'LM7 Non-ENG'!$A$1:$A$5000,1,FALSE),"ERROR")=B252&amp;"PT","Y","")),"")</f>
        <v>Y</v>
      </c>
      <c r="I252" t="str">
        <f>IFERROR(VLOOKUP(B252,PN!$A:$C,3,FALSE),"")</f>
        <v>Active</v>
      </c>
      <c r="J252" s="3">
        <f>IFERROR(E252*VLOOKUP(B252,PLInter!$A:$D,3,FALSE),"")</f>
        <v>700</v>
      </c>
      <c r="K252" s="66"/>
      <c r="L252" s="66"/>
      <c r="M252" s="66"/>
      <c r="N252" s="66"/>
      <c r="O252" s="66"/>
      <c r="P252" s="66"/>
      <c r="Q252" s="66"/>
      <c r="R252" s="66"/>
      <c r="S252" s="66"/>
      <c r="T252" s="66"/>
    </row>
    <row r="253" spans="2:20" ht="18" customHeight="1">
      <c r="B253" t="str">
        <f>"26-E003-0000"</f>
        <v>26-E003-0000</v>
      </c>
      <c r="C253" t="str">
        <f>"Assembly, JM, E003, 3-Phase Transformer Panel"</f>
        <v>Assembly, JM, E003, 3-Phase Transformer Panel</v>
      </c>
      <c r="E253">
        <v>2</v>
      </c>
      <c r="G253" s="29" t="str">
        <f>IFERROR(HYPERLINK("#"&amp;ADDRESS(MATCH(B253&amp;"ES",'LM7 Non-ENG'!$A$1:$A$5000,0),1,,,"LM7 Non-ENG"),IF(IFERROR(VLOOKUP(B253&amp;"ES",'LM7 Non-ENG'!$A$1:$A$4999,1,FALSE),"ERROR")=B253&amp;"ES","Y","")),"")</f>
        <v/>
      </c>
      <c r="H253" s="29" t="str">
        <f>IFERROR(HYPERLINK("#"&amp;ADDRESS(MATCH(B253&amp;"PT",'LM7 Non-ENG'!$A$1:$A$5000,0),1,,,"LM7 Non-ENG"),IF(IFERROR(VLOOKUP(B253&amp;"PT",'LM7 Non-ENG'!$A$1:$A$5000,1,FALSE),"ERROR")=B253&amp;"PT","Y","")),"")</f>
        <v/>
      </c>
      <c r="I253" t="str">
        <f>IFERROR(VLOOKUP(B253,PN!$A:$C,3,FALSE),"")</f>
        <v>Active</v>
      </c>
      <c r="J253" s="3">
        <f>IFERROR(E253*VLOOKUP(B253,PLInter!$A:$D,3,FALSE),"")</f>
        <v>1800</v>
      </c>
      <c r="K253" s="66"/>
      <c r="L253" s="66"/>
      <c r="M253" s="66"/>
      <c r="N253" s="66"/>
      <c r="O253" s="66"/>
      <c r="P253" s="66"/>
      <c r="Q253" s="66"/>
      <c r="R253" s="66"/>
      <c r="S253" s="66"/>
      <c r="T253" s="66"/>
    </row>
    <row r="254" spans="2:20" ht="18" customHeight="1">
      <c r="B254" t="str">
        <f>"77-EA04-0000"</f>
        <v>77-EA04-0000</v>
      </c>
      <c r="C254" t="str">
        <f>"LM7 Content, JM, Electric Motors"</f>
        <v>LM7 Content, JM, Electric Motors</v>
      </c>
      <c r="E254">
        <v>1</v>
      </c>
      <c r="G254" s="29" t="str">
        <f>IFERROR(HYPERLINK("#"&amp;ADDRESS(MATCH(B254&amp;"ES",'LM7 Non-ENG'!$A$1:$A$5000,0),1,,,"LM7 Non-ENG"),IF(IFERROR(VLOOKUP(B254&amp;"ES",'LM7 Non-ENG'!$A$1:$A$4999,1,FALSE),"ERROR")=B254&amp;"ES","Y","")),"")</f>
        <v>Y</v>
      </c>
      <c r="H254" s="29" t="str">
        <f>IFERROR(HYPERLINK("#"&amp;ADDRESS(MATCH(B254&amp;"PT",'LM7 Non-ENG'!$A$1:$A$5000,0),1,,,"LM7 Non-ENG"),IF(IFERROR(VLOOKUP(B254&amp;"PT",'LM7 Non-ENG'!$A$1:$A$5000,1,FALSE),"ERROR")=B254&amp;"PT","Y","")),"")</f>
        <v/>
      </c>
      <c r="I254" t="str">
        <f>IFERROR(VLOOKUP(B254,PN!$A:$C,3,FALSE),"")</f>
        <v>Active</v>
      </c>
      <c r="J254" s="3">
        <f>IFERROR(E254*VLOOKUP(B254,PLInter!$A:$D,3,FALSE),"")</f>
        <v>700</v>
      </c>
      <c r="K254" s="66"/>
      <c r="L254" s="66"/>
      <c r="M254" s="66"/>
      <c r="N254" s="66"/>
      <c r="O254" s="66"/>
      <c r="P254" s="66"/>
      <c r="Q254" s="66"/>
      <c r="R254" s="66"/>
      <c r="S254" s="66"/>
      <c r="T254" s="66"/>
    </row>
    <row r="255" spans="2:20" ht="18" customHeight="1">
      <c r="B255" t="str">
        <f>"26-E007-0000"</f>
        <v>26-E007-0000</v>
      </c>
      <c r="C255" t="str">
        <f>"Assembly, JM, E007 - SCR Speed Control Panel"</f>
        <v>Assembly, JM, E007 - SCR Speed Control Panel</v>
      </c>
      <c r="E255">
        <v>4</v>
      </c>
      <c r="G255" s="29" t="str">
        <f>IFERROR(HYPERLINK("#"&amp;ADDRESS(MATCH(B255&amp;"ES",'LM7 Non-ENG'!$A$1:$A$5000,0),1,,,"LM7 Non-ENG"),IF(IFERROR(VLOOKUP(B255&amp;"ES",'LM7 Non-ENG'!$A$1:$A$4999,1,FALSE),"ERROR")=B255&amp;"ES","Y","")),"")</f>
        <v/>
      </c>
      <c r="H255" s="29" t="str">
        <f>IFERROR(HYPERLINK("#"&amp;ADDRESS(MATCH(B255&amp;"PT",'LM7 Non-ENG'!$A$1:$A$5000,0),1,,,"LM7 Non-ENG"),IF(IFERROR(VLOOKUP(B255&amp;"PT",'LM7 Non-ENG'!$A$1:$A$5000,1,FALSE),"ERROR")=B255&amp;"PT","Y","")),"")</f>
        <v/>
      </c>
      <c r="I255" t="str">
        <f>IFERROR(VLOOKUP(B255,PN!$A:$C,3,FALSE),"")</f>
        <v>Active</v>
      </c>
      <c r="J255" s="3">
        <f>IFERROR(E255*VLOOKUP(B255,PLInter!$A:$D,3,FALSE),"")</f>
        <v>2600</v>
      </c>
      <c r="K255" s="66"/>
      <c r="L255" s="66"/>
      <c r="M255" s="66"/>
      <c r="N255" s="66"/>
      <c r="O255" s="66"/>
      <c r="P255" s="66"/>
      <c r="Q255" s="66"/>
      <c r="R255" s="66"/>
      <c r="S255" s="66"/>
      <c r="T255" s="66"/>
    </row>
    <row r="256" spans="2:20" ht="18" customHeight="1">
      <c r="B256" t="str">
        <f>"26-E010-0000"</f>
        <v>26-E010-0000</v>
      </c>
      <c r="C256" t="str">
        <f>"Assembly, JM, E010 - Three Phase Motor Panel"</f>
        <v>Assembly, JM, E010 - Three Phase Motor Panel</v>
      </c>
      <c r="E256">
        <v>4</v>
      </c>
      <c r="G256" s="29" t="str">
        <f>IFERROR(HYPERLINK("#"&amp;ADDRESS(MATCH(B256&amp;"ES",'LM7 Non-ENG'!$A$1:$A$5000,0),1,,,"LM7 Non-ENG"),IF(IFERROR(VLOOKUP(B256&amp;"ES",'LM7 Non-ENG'!$A$1:$A$4999,1,FALSE),"ERROR")=B256&amp;"ES","Y","")),"")</f>
        <v/>
      </c>
      <c r="H256" s="29" t="str">
        <f>IFERROR(HYPERLINK("#"&amp;ADDRESS(MATCH(B256&amp;"PT",'LM7 Non-ENG'!$A$1:$A$5000,0),1,,,"LM7 Non-ENG"),IF(IFERROR(VLOOKUP(B256&amp;"PT",'LM7 Non-ENG'!$A$1:$A$5000,1,FALSE),"ERROR")=B256&amp;"PT","Y","")),"")</f>
        <v/>
      </c>
      <c r="I256" t="str">
        <f>IFERROR(VLOOKUP(B256,PN!$A:$C,3,FALSE),"")</f>
        <v>Active</v>
      </c>
      <c r="J256" s="3">
        <f>IFERROR(E256*VLOOKUP(B256,PLInter!$A:$D,3,FALSE),"")</f>
        <v>4000</v>
      </c>
      <c r="K256" s="66"/>
      <c r="L256" s="66"/>
      <c r="M256" s="66"/>
      <c r="N256" s="66"/>
      <c r="O256" s="66"/>
      <c r="P256" s="66"/>
      <c r="Q256" s="66"/>
      <c r="R256" s="66"/>
      <c r="S256" s="66"/>
      <c r="T256" s="66"/>
    </row>
    <row r="257" spans="2:20" ht="18" customHeight="1">
      <c r="B257" t="str">
        <f>"26-E012-0000"</f>
        <v>26-E012-0000</v>
      </c>
      <c r="C257" t="str">
        <f>"Assembly, JM, E012, Transformer Panel"</f>
        <v>Assembly, JM, E012, Transformer Panel</v>
      </c>
      <c r="E257">
        <v>4</v>
      </c>
      <c r="G257" s="29" t="str">
        <f>IFERROR(HYPERLINK("#"&amp;ADDRESS(MATCH(B257&amp;"ES",'LM7 Non-ENG'!$A$1:$A$5000,0),1,,,"LM7 Non-ENG"),IF(IFERROR(VLOOKUP(B257&amp;"ES",'LM7 Non-ENG'!$A$1:$A$4999,1,FALSE),"ERROR")=B257&amp;"ES","Y","")),"")</f>
        <v/>
      </c>
      <c r="H257" s="29" t="str">
        <f>IFERROR(HYPERLINK("#"&amp;ADDRESS(MATCH(B257&amp;"PT",'LM7 Non-ENG'!$A$1:$A$5000,0),1,,,"LM7 Non-ENG"),IF(IFERROR(VLOOKUP(B257&amp;"PT",'LM7 Non-ENG'!$A$1:$A$5000,1,FALSE),"ERROR")=B257&amp;"PT","Y","")),"")</f>
        <v/>
      </c>
      <c r="I257" t="str">
        <f>IFERROR(VLOOKUP(B257,PN!$A:$C,3,FALSE),"")</f>
        <v>Active</v>
      </c>
      <c r="J257" s="3">
        <f>IFERROR(E257*VLOOKUP(B257,PLInter!$A:$D,3,FALSE),"")</f>
        <v>2000</v>
      </c>
      <c r="K257" s="66"/>
      <c r="L257" s="66"/>
      <c r="M257" s="66"/>
      <c r="N257" s="66"/>
      <c r="O257" s="66"/>
      <c r="P257" s="66"/>
      <c r="Q257" s="66"/>
      <c r="R257" s="66"/>
      <c r="S257" s="66"/>
      <c r="T257" s="66"/>
    </row>
    <row r="258" spans="2:20" ht="18" customHeight="1">
      <c r="B258" t="str">
        <f>"26-E019-0000"</f>
        <v>26-E019-0000</v>
      </c>
      <c r="C258" t="str">
        <f>"Assembly, JM, E019, Capacitor Start Motor Panel"</f>
        <v>Assembly, JM, E019, Capacitor Start Motor Panel</v>
      </c>
      <c r="E258">
        <v>2</v>
      </c>
      <c r="G258" s="29" t="str">
        <f>IFERROR(HYPERLINK("#"&amp;ADDRESS(MATCH(B258&amp;"ES",'LM7 Non-ENG'!$A$1:$A$5000,0),1,,,"LM7 Non-ENG"),IF(IFERROR(VLOOKUP(B258&amp;"ES",'LM7 Non-ENG'!$A$1:$A$4999,1,FALSE),"ERROR")=B258&amp;"ES","Y","")),"")</f>
        <v/>
      </c>
      <c r="H258" s="29" t="str">
        <f>IFERROR(HYPERLINK("#"&amp;ADDRESS(MATCH(B258&amp;"PT",'LM7 Non-ENG'!$A$1:$A$5000,0),1,,,"LM7 Non-ENG"),IF(IFERROR(VLOOKUP(B258&amp;"PT",'LM7 Non-ENG'!$A$1:$A$5000,1,FALSE),"ERROR")=B258&amp;"PT","Y","")),"")</f>
        <v/>
      </c>
      <c r="I258" t="str">
        <f>IFERROR(VLOOKUP(B258,PN!$A:$C,3,FALSE),"")</f>
        <v>Active</v>
      </c>
      <c r="J258" s="3">
        <f>IFERROR(E258*VLOOKUP(B258,PLInter!$A:$D,3,FALSE),"")</f>
        <v>1668</v>
      </c>
      <c r="K258" s="66"/>
      <c r="L258" s="66"/>
      <c r="M258" s="66"/>
      <c r="N258" s="66"/>
      <c r="O258" s="66"/>
      <c r="P258" s="66"/>
      <c r="Q258" s="66"/>
      <c r="R258" s="66"/>
      <c r="S258" s="66"/>
      <c r="T258" s="66"/>
    </row>
    <row r="259" spans="2:20" ht="18" customHeight="1">
      <c r="B259" t="str">
        <f>"26-E027-0000"</f>
        <v>26-E027-0000</v>
      </c>
      <c r="C259" t="str">
        <f>"Assembly, JM, E027, Shaded Pole Motor Panel"</f>
        <v>Assembly, JM, E027, Shaded Pole Motor Panel</v>
      </c>
      <c r="E259">
        <v>2</v>
      </c>
      <c r="G259" s="29" t="str">
        <f>IFERROR(HYPERLINK("#"&amp;ADDRESS(MATCH(B259&amp;"ES",'LM7 Non-ENG'!$A$1:$A$5000,0),1,,,"LM7 Non-ENG"),IF(IFERROR(VLOOKUP(B259&amp;"ES",'LM7 Non-ENG'!$A$1:$A$4999,1,FALSE),"ERROR")=B259&amp;"ES","Y","")),"")</f>
        <v/>
      </c>
      <c r="H259" s="29" t="str">
        <f>IFERROR(HYPERLINK("#"&amp;ADDRESS(MATCH(B259&amp;"PT",'LM7 Non-ENG'!$A$1:$A$5000,0),1,,,"LM7 Non-ENG"),IF(IFERROR(VLOOKUP(B259&amp;"PT",'LM7 Non-ENG'!$A$1:$A$5000,1,FALSE),"ERROR")=B259&amp;"PT","Y","")),"")</f>
        <v/>
      </c>
      <c r="I259" t="str">
        <f>IFERROR(VLOOKUP(B259,PN!$A:$C,3,FALSE),"")</f>
        <v>Active</v>
      </c>
      <c r="J259" s="3">
        <f>IFERROR(E259*VLOOKUP(B259,PLInter!$A:$D,3,FALSE),"")</f>
        <v>1230</v>
      </c>
      <c r="K259" s="66"/>
      <c r="L259" s="66"/>
      <c r="M259" s="66"/>
      <c r="N259" s="66"/>
      <c r="O259" s="66"/>
      <c r="P259" s="66"/>
      <c r="Q259" s="66"/>
      <c r="R259" s="66"/>
      <c r="S259" s="66"/>
      <c r="T259" s="66"/>
    </row>
    <row r="260" spans="2:20" ht="18" customHeight="1">
      <c r="B260" t="str">
        <f>"26-E034-0000"</f>
        <v>26-E034-0000</v>
      </c>
      <c r="C260" t="str">
        <f>"Assembly, JM, E034, DC Motor Panel"</f>
        <v>Assembly, JM, E034, DC Motor Panel</v>
      </c>
      <c r="E260">
        <v>6</v>
      </c>
      <c r="G260" s="29" t="str">
        <f>IFERROR(HYPERLINK("#"&amp;ADDRESS(MATCH(B260&amp;"ES",'LM7 Non-ENG'!$A$1:$A$5000,0),1,,,"LM7 Non-ENG"),IF(IFERROR(VLOOKUP(B260&amp;"ES",'LM7 Non-ENG'!$A$1:$A$4999,1,FALSE),"ERROR")=B260&amp;"ES","Y","")),"")</f>
        <v/>
      </c>
      <c r="H260" s="29" t="str">
        <f>IFERROR(HYPERLINK("#"&amp;ADDRESS(MATCH(B260&amp;"PT",'LM7 Non-ENG'!$A$1:$A$5000,0),1,,,"LM7 Non-ENG"),IF(IFERROR(VLOOKUP(B260&amp;"PT",'LM7 Non-ENG'!$A$1:$A$5000,1,FALSE),"ERROR")=B260&amp;"PT","Y","")),"")</f>
        <v/>
      </c>
      <c r="I260" t="str">
        <f>IFERROR(VLOOKUP(B260,PN!$A:$C,3,FALSE),"")</f>
        <v>Active</v>
      </c>
      <c r="J260" s="3">
        <f>IFERROR(E260*VLOOKUP(B260,PLInter!$A:$D,3,FALSE),"")</f>
        <v>5400</v>
      </c>
      <c r="K260" s="66"/>
      <c r="L260" s="66"/>
      <c r="M260" s="66"/>
      <c r="N260" s="66"/>
      <c r="O260" s="66"/>
      <c r="P260" s="66"/>
      <c r="Q260" s="66"/>
      <c r="R260" s="66"/>
      <c r="S260" s="66"/>
      <c r="T260" s="66"/>
    </row>
    <row r="261" spans="2:20" ht="18" customHeight="1">
      <c r="B261" t="str">
        <f>"26-E065-0000"</f>
        <v>26-E065-0000</v>
      </c>
      <c r="C261" t="str">
        <f>"Assembly, JM, E065, Split Phase Motor Panel"</f>
        <v>Assembly, JM, E065, Split Phase Motor Panel</v>
      </c>
      <c r="E261">
        <v>2</v>
      </c>
      <c r="G261" s="29" t="str">
        <f>IFERROR(HYPERLINK("#"&amp;ADDRESS(MATCH(B261&amp;"ES",'LM7 Non-ENG'!$A$1:$A$5000,0),1,,,"LM7 Non-ENG"),IF(IFERROR(VLOOKUP(B261&amp;"ES",'LM7 Non-ENG'!$A$1:$A$4999,1,FALSE),"ERROR")=B261&amp;"ES","Y","")),"")</f>
        <v/>
      </c>
      <c r="H261" s="29" t="str">
        <f>IFERROR(HYPERLINK("#"&amp;ADDRESS(MATCH(B261&amp;"PT",'LM7 Non-ENG'!$A$1:$A$5000,0),1,,,"LM7 Non-ENG"),IF(IFERROR(VLOOKUP(B261&amp;"PT",'LM7 Non-ENG'!$A$1:$A$5000,1,FALSE),"ERROR")=B261&amp;"PT","Y","")),"")</f>
        <v/>
      </c>
      <c r="I261" t="str">
        <f>IFERROR(VLOOKUP(B261,PN!$A:$C,3,FALSE),"")</f>
        <v>Active</v>
      </c>
      <c r="J261" s="3">
        <f>IFERROR(E261*VLOOKUP(B261,PLInter!$A:$D,3,FALSE),"")</f>
        <v>1334</v>
      </c>
      <c r="K261" s="66"/>
      <c r="L261" s="66"/>
      <c r="M261" s="66"/>
      <c r="N261" s="66"/>
      <c r="O261" s="66"/>
      <c r="P261" s="66"/>
      <c r="Q261" s="66"/>
      <c r="R261" s="66"/>
      <c r="S261" s="66"/>
      <c r="T261" s="66"/>
    </row>
    <row r="262" spans="2:20" ht="18" customHeight="1">
      <c r="B262" t="str">
        <f>"26-E066-0000"</f>
        <v>26-E066-0000</v>
      </c>
      <c r="C262" t="str">
        <f>"Assembly, JM, E066, Adjustable Torque Motor Load"</f>
        <v>Assembly, JM, E066, Adjustable Torque Motor Load</v>
      </c>
      <c r="E262">
        <v>2</v>
      </c>
      <c r="G262" s="29" t="str">
        <f>IFERROR(HYPERLINK("#"&amp;ADDRESS(MATCH(B262&amp;"ES",'LM7 Non-ENG'!$A$1:$A$5000,0),1,,,"LM7 Non-ENG"),IF(IFERROR(VLOOKUP(B262&amp;"ES",'LM7 Non-ENG'!$A$1:$A$4999,1,FALSE),"ERROR")=B262&amp;"ES","Y","")),"")</f>
        <v/>
      </c>
      <c r="H262" s="29" t="str">
        <f>IFERROR(HYPERLINK("#"&amp;ADDRESS(MATCH(B262&amp;"PT",'LM7 Non-ENG'!$A$1:$A$5000,0),1,,,"LM7 Non-ENG"),IF(IFERROR(VLOOKUP(B262&amp;"PT",'LM7 Non-ENG'!$A$1:$A$5000,1,FALSE),"ERROR")=B262&amp;"PT","Y","")),"")</f>
        <v/>
      </c>
      <c r="I262" t="str">
        <f>IFERROR(VLOOKUP(B262,PN!$A:$C,3,FALSE),"")</f>
        <v>Active</v>
      </c>
      <c r="J262" s="3">
        <f>IFERROR(E262*VLOOKUP(B262,PLInter!$A:$D,3,FALSE),"")</f>
        <v>6134</v>
      </c>
      <c r="K262" s="66"/>
      <c r="L262" s="66"/>
      <c r="M262" s="66"/>
      <c r="N262" s="66"/>
      <c r="O262" s="66"/>
      <c r="P262" s="66"/>
      <c r="Q262" s="66"/>
      <c r="R262" s="66"/>
      <c r="S262" s="66"/>
      <c r="T262" s="66"/>
    </row>
    <row r="263" spans="2:20" ht="18" customHeight="1">
      <c r="B263" t="str">
        <f>"26-E154-0000"</f>
        <v>26-E154-0000</v>
      </c>
      <c r="C263" t="str">
        <f>"Assembly, JM, E154, Switches and Lamps Panel"</f>
        <v>Assembly, JM, E154, Switches and Lamps Panel</v>
      </c>
      <c r="E263">
        <v>4</v>
      </c>
      <c r="G263" s="29" t="str">
        <f>IFERROR(HYPERLINK("#"&amp;ADDRESS(MATCH(B263&amp;"ES",'LM7 Non-ENG'!$A$1:$A$5000,0),1,,,"LM7 Non-ENG"),IF(IFERROR(VLOOKUP(B263&amp;"ES",'LM7 Non-ENG'!$A$1:$A$4999,1,FALSE),"ERROR")=B263&amp;"ES","Y","")),"")</f>
        <v/>
      </c>
      <c r="H263" s="29" t="str">
        <f>IFERROR(HYPERLINK("#"&amp;ADDRESS(MATCH(B263&amp;"PT",'LM7 Non-ENG'!$A$1:$A$5000,0),1,,,"LM7 Non-ENG"),IF(IFERROR(VLOOKUP(B263&amp;"PT",'LM7 Non-ENG'!$A$1:$A$5000,1,FALSE),"ERROR")=B263&amp;"PT","Y","")),"")</f>
        <v/>
      </c>
      <c r="I263" t="str">
        <f>IFERROR(VLOOKUP(B263,PN!$A:$C,3,FALSE),"")</f>
        <v>Active</v>
      </c>
      <c r="J263" s="3">
        <f>IFERROR(E263*VLOOKUP(B263,PLInter!$A:$D,3,FALSE),"")</f>
        <v>2000</v>
      </c>
      <c r="K263" s="66"/>
      <c r="L263" s="66"/>
      <c r="M263" s="66"/>
      <c r="N263" s="66"/>
      <c r="O263" s="66"/>
      <c r="P263" s="66"/>
      <c r="Q263" s="66"/>
      <c r="R263" s="66"/>
      <c r="S263" s="66"/>
      <c r="T263" s="66"/>
    </row>
    <row r="264" spans="2:20" ht="18" customHeight="1">
      <c r="B264" t="str">
        <f>"26-E156-0000"</f>
        <v>26-E156-0000</v>
      </c>
      <c r="C264" t="str">
        <f>"Assembly, JM, E156, Dissectible Electric Motor"</f>
        <v>Assembly, JM, E156, Dissectible Electric Motor</v>
      </c>
      <c r="E264">
        <v>2</v>
      </c>
      <c r="G264" s="29" t="str">
        <f>IFERROR(HYPERLINK("#"&amp;ADDRESS(MATCH(B264&amp;"ES",'LM7 Non-ENG'!$A$1:$A$5000,0),1,,,"LM7 Non-ENG"),IF(IFERROR(VLOOKUP(B264&amp;"ES",'LM7 Non-ENG'!$A$1:$A$4999,1,FALSE),"ERROR")=B264&amp;"ES","Y","")),"")</f>
        <v/>
      </c>
      <c r="H264" s="29" t="str">
        <f>IFERROR(HYPERLINK("#"&amp;ADDRESS(MATCH(B264&amp;"PT",'LM7 Non-ENG'!$A$1:$A$5000,0),1,,,"LM7 Non-ENG"),IF(IFERROR(VLOOKUP(B264&amp;"PT",'LM7 Non-ENG'!$A$1:$A$5000,1,FALSE),"ERROR")=B264&amp;"PT","Y","")),"")</f>
        <v/>
      </c>
      <c r="I264" t="str">
        <f>IFERROR(VLOOKUP(B264,PN!$A:$C,3,FALSE),"")</f>
        <v>Active</v>
      </c>
      <c r="J264" s="3">
        <f>IFERROR(E264*VLOOKUP(B264,PLInter!$A:$D,3,FALSE),"")</f>
        <v>1400</v>
      </c>
      <c r="K264" s="66"/>
      <c r="L264" s="66"/>
      <c r="M264" s="66"/>
      <c r="N264" s="66"/>
      <c r="O264" s="66"/>
      <c r="P264" s="66"/>
      <c r="Q264" s="66"/>
      <c r="R264" s="66"/>
      <c r="S264" s="66"/>
      <c r="T264" s="66"/>
    </row>
    <row r="265" spans="2:20" ht="18" customHeight="1">
      <c r="B265" t="str">
        <f>"77-EA07-0000"</f>
        <v>77-EA07-0000</v>
      </c>
      <c r="C265" t="str">
        <f>"LM7 Content, JM, Electromagnetic Starters"</f>
        <v>LM7 Content, JM, Electromagnetic Starters</v>
      </c>
      <c r="E265">
        <v>1</v>
      </c>
      <c r="G265" s="29" t="str">
        <f>IFERROR(HYPERLINK("#"&amp;ADDRESS(MATCH(B265&amp;"ES",'LM7 Non-ENG'!$A$1:$A$5000,0),1,,,"LM7 Non-ENG"),IF(IFERROR(VLOOKUP(B265&amp;"ES",'LM7 Non-ENG'!$A$1:$A$4999,1,FALSE),"ERROR")=B265&amp;"ES","Y","")),"")</f>
        <v>Y</v>
      </c>
      <c r="H265" s="29" t="str">
        <f>IFERROR(HYPERLINK("#"&amp;ADDRESS(MATCH(B265&amp;"PT",'LM7 Non-ENG'!$A$1:$A$5000,0),1,,,"LM7 Non-ENG"),IF(IFERROR(VLOOKUP(B265&amp;"PT",'LM7 Non-ENG'!$A$1:$A$5000,1,FALSE),"ERROR")=B265&amp;"PT","Y","")),"")</f>
        <v/>
      </c>
      <c r="I265" t="str">
        <f>IFERROR(VLOOKUP(B265,PN!$A:$C,3,FALSE),"")</f>
        <v>Active</v>
      </c>
      <c r="J265" s="3">
        <f>IFERROR(E265*VLOOKUP(B265,PLInter!$A:$D,3,FALSE),"")</f>
        <v>700</v>
      </c>
      <c r="K265" s="66"/>
      <c r="L265" s="66"/>
      <c r="M265" s="66"/>
      <c r="N265" s="66"/>
      <c r="O265" s="66"/>
      <c r="P265" s="66"/>
      <c r="Q265" s="66"/>
      <c r="R265" s="66"/>
      <c r="S265" s="66"/>
      <c r="T265" s="66"/>
    </row>
    <row r="266" spans="2:20" ht="18" customHeight="1">
      <c r="B266" t="str">
        <f>"26-E002-0000"</f>
        <v>26-E002-0000</v>
      </c>
      <c r="C266" t="str">
        <f>"Assembly, JM, E002, Start-Stop Control Panel"</f>
        <v>Assembly, JM, E002, Start-Stop Control Panel</v>
      </c>
      <c r="E266">
        <v>2</v>
      </c>
      <c r="G266" s="29" t="str">
        <f>IFERROR(HYPERLINK("#"&amp;ADDRESS(MATCH(B266&amp;"ES",'LM7 Non-ENG'!$A$1:$A$5000,0),1,,,"LM7 Non-ENG"),IF(IFERROR(VLOOKUP(B266&amp;"ES",'LM7 Non-ENG'!$A$1:$A$4999,1,FALSE),"ERROR")=B266&amp;"ES","Y","")),"")</f>
        <v/>
      </c>
      <c r="H266" s="29" t="str">
        <f>IFERROR(HYPERLINK("#"&amp;ADDRESS(MATCH(B266&amp;"PT",'LM7 Non-ENG'!$A$1:$A$5000,0),1,,,"LM7 Non-ENG"),IF(IFERROR(VLOOKUP(B266&amp;"PT",'LM7 Non-ENG'!$A$1:$A$5000,1,FALSE),"ERROR")=B266&amp;"PT","Y","")),"")</f>
        <v/>
      </c>
      <c r="I266" t="str">
        <f>IFERROR(VLOOKUP(B266,PN!$A:$C,3,FALSE),"")</f>
        <v>Active</v>
      </c>
      <c r="J266" s="3">
        <f>IFERROR(E266*VLOOKUP(B266,PLInter!$A:$D,3,FALSE),"")</f>
        <v>700</v>
      </c>
      <c r="K266" s="66"/>
      <c r="L266" s="66"/>
      <c r="M266" s="66"/>
      <c r="N266" s="66"/>
      <c r="O266" s="66"/>
      <c r="P266" s="66"/>
      <c r="Q266" s="66"/>
      <c r="R266" s="66"/>
      <c r="S266" s="66"/>
      <c r="T266" s="66"/>
    </row>
    <row r="267" spans="2:20" ht="18" customHeight="1">
      <c r="B267" t="str">
        <f>"26-E004-0000"</f>
        <v>26-E004-0000</v>
      </c>
      <c r="C267" t="str">
        <f>"Assembly, JM , E004, Single Magnetic Start.Panel"</f>
        <v>Assembly, JM , E004, Single Magnetic Start.Panel</v>
      </c>
      <c r="E267">
        <v>2</v>
      </c>
      <c r="G267" s="29" t="str">
        <f>IFERROR(HYPERLINK("#"&amp;ADDRESS(MATCH(B267&amp;"ES",'LM7 Non-ENG'!$A$1:$A$5000,0),1,,,"LM7 Non-ENG"),IF(IFERROR(VLOOKUP(B267&amp;"ES",'LM7 Non-ENG'!$A$1:$A$4999,1,FALSE),"ERROR")=B267&amp;"ES","Y","")),"")</f>
        <v/>
      </c>
      <c r="H267" s="29" t="str">
        <f>IFERROR(HYPERLINK("#"&amp;ADDRESS(MATCH(B267&amp;"PT",'LM7 Non-ENG'!$A$1:$A$5000,0),1,,,"LM7 Non-ENG"),IF(IFERROR(VLOOKUP(B267&amp;"PT",'LM7 Non-ENG'!$A$1:$A$5000,1,FALSE),"ERROR")=B267&amp;"PT","Y","")),"")</f>
        <v/>
      </c>
      <c r="I267" t="str">
        <f>IFERROR(VLOOKUP(B267,PN!$A:$C,3,FALSE),"")</f>
        <v>Active</v>
      </c>
      <c r="J267" s="3">
        <f>IFERROR(E267*VLOOKUP(B267,PLInter!$A:$D,3,FALSE),"")</f>
        <v>900</v>
      </c>
      <c r="K267" s="66"/>
      <c r="L267" s="66"/>
      <c r="M267" s="66"/>
      <c r="N267" s="66"/>
      <c r="O267" s="66"/>
      <c r="P267" s="66"/>
      <c r="Q267" s="66"/>
      <c r="R267" s="66"/>
      <c r="S267" s="66"/>
      <c r="T267" s="66"/>
    </row>
    <row r="268" spans="2:20" ht="18" customHeight="1">
      <c r="B268" t="str">
        <f>"26-E005-0000"</f>
        <v>26-E005-0000</v>
      </c>
      <c r="C268" t="str">
        <f>"Assembly, JM, E005 - F-R-S Switch Panel"</f>
        <v>Assembly, JM, E005 - F-R-S Switch Panel</v>
      </c>
      <c r="E268">
        <v>2</v>
      </c>
      <c r="G268" s="29" t="str">
        <f>IFERROR(HYPERLINK("#"&amp;ADDRESS(MATCH(B268&amp;"ES",'LM7 Non-ENG'!$A$1:$A$5000,0),1,,,"LM7 Non-ENG"),IF(IFERROR(VLOOKUP(B268&amp;"ES",'LM7 Non-ENG'!$A$1:$A$4999,1,FALSE),"ERROR")=B268&amp;"ES","Y","")),"")</f>
        <v/>
      </c>
      <c r="H268" s="29" t="str">
        <f>IFERROR(HYPERLINK("#"&amp;ADDRESS(MATCH(B268&amp;"PT",'LM7 Non-ENG'!$A$1:$A$5000,0),1,,,"LM7 Non-ENG"),IF(IFERROR(VLOOKUP(B268&amp;"PT",'LM7 Non-ENG'!$A$1:$A$5000,1,FALSE),"ERROR")=B268&amp;"PT","Y","")),"")</f>
        <v/>
      </c>
      <c r="I268" t="str">
        <f>IFERROR(VLOOKUP(B268,PN!$A:$C,3,FALSE),"")</f>
        <v>Active</v>
      </c>
      <c r="J268" s="3">
        <f>IFERROR(E268*VLOOKUP(B268,PLInter!$A:$D,3,FALSE),"")</f>
        <v>1100</v>
      </c>
      <c r="K268" s="66"/>
      <c r="L268" s="66"/>
      <c r="M268" s="66"/>
      <c r="N268" s="66"/>
      <c r="O268" s="66"/>
      <c r="P268" s="66"/>
      <c r="Q268" s="66"/>
      <c r="R268" s="66"/>
      <c r="S268" s="66"/>
      <c r="T268" s="66"/>
    </row>
    <row r="269" spans="2:20" ht="18" customHeight="1">
      <c r="B269" t="str">
        <f>"26-E006-0000"</f>
        <v>26-E006-0000</v>
      </c>
      <c r="C269" t="str">
        <f>"Assembly, JM, E006, Reversing Magnetic Starter"</f>
        <v>Assembly, JM, E006, Reversing Magnetic Starter</v>
      </c>
      <c r="E269">
        <v>2</v>
      </c>
      <c r="G269" s="29" t="str">
        <f>IFERROR(HYPERLINK("#"&amp;ADDRESS(MATCH(B269&amp;"ES",'LM7 Non-ENG'!$A$1:$A$5000,0),1,,,"LM7 Non-ENG"),IF(IFERROR(VLOOKUP(B269&amp;"ES",'LM7 Non-ENG'!$A$1:$A$4999,1,FALSE),"ERROR")=B269&amp;"ES","Y","")),"")</f>
        <v/>
      </c>
      <c r="H269" s="29" t="str">
        <f>IFERROR(HYPERLINK("#"&amp;ADDRESS(MATCH(B269&amp;"PT",'LM7 Non-ENG'!$A$1:$A$5000,0),1,,,"LM7 Non-ENG"),IF(IFERROR(VLOOKUP(B269&amp;"PT",'LM7 Non-ENG'!$A$1:$A$5000,1,FALSE),"ERROR")=B269&amp;"PT","Y","")),"")</f>
        <v/>
      </c>
      <c r="I269" t="str">
        <f>IFERROR(VLOOKUP(B269,PN!$A:$C,3,FALSE),"")</f>
        <v>Active</v>
      </c>
      <c r="J269" s="3">
        <f>IFERROR(E269*VLOOKUP(B269,PLInter!$A:$D,3,FALSE),"")</f>
        <v>1440</v>
      </c>
      <c r="K269" s="66"/>
      <c r="L269" s="66"/>
      <c r="M269" s="66"/>
      <c r="N269" s="66"/>
      <c r="O269" s="66"/>
      <c r="P269" s="66"/>
      <c r="Q269" s="66"/>
      <c r="R269" s="66"/>
      <c r="S269" s="66"/>
      <c r="T269" s="66"/>
    </row>
    <row r="270" spans="2:20" ht="18" customHeight="1">
      <c r="B270" t="str">
        <f>"26-E016-0000"</f>
        <v>26-E016-0000</v>
      </c>
      <c r="C270" t="str">
        <f>"Assembly, JM, E016, Analog Relay Panel"</f>
        <v>Assembly, JM, E016, Analog Relay Panel</v>
      </c>
      <c r="E270">
        <v>2</v>
      </c>
      <c r="G270" s="29" t="str">
        <f>IFERROR(HYPERLINK("#"&amp;ADDRESS(MATCH(B270&amp;"ES",'LM7 Non-ENG'!$A$1:$A$5000,0),1,,,"LM7 Non-ENG"),IF(IFERROR(VLOOKUP(B270&amp;"ES",'LM7 Non-ENG'!$A$1:$A$4999,1,FALSE),"ERROR")=B270&amp;"ES","Y","")),"")</f>
        <v/>
      </c>
      <c r="H270" s="29" t="str">
        <f>IFERROR(HYPERLINK("#"&amp;ADDRESS(MATCH(B270&amp;"PT",'LM7 Non-ENG'!$A$1:$A$5000,0),1,,,"LM7 Non-ENG"),IF(IFERROR(VLOOKUP(B270&amp;"PT",'LM7 Non-ENG'!$A$1:$A$5000,1,FALSE),"ERROR")=B270&amp;"PT","Y","")),"")</f>
        <v/>
      </c>
      <c r="I270" t="str">
        <f>IFERROR(VLOOKUP(B270,PN!$A:$C,3,FALSE),"")</f>
        <v>Active</v>
      </c>
      <c r="J270" s="3">
        <f>IFERROR(E270*VLOOKUP(B270,PLInter!$A:$D,3,FALSE),"")</f>
        <v>1668</v>
      </c>
      <c r="K270" s="66"/>
      <c r="L270" s="66"/>
      <c r="M270" s="66"/>
      <c r="N270" s="66"/>
      <c r="O270" s="66"/>
      <c r="P270" s="66"/>
      <c r="Q270" s="66"/>
      <c r="R270" s="66"/>
      <c r="S270" s="66"/>
      <c r="T270" s="66"/>
    </row>
    <row r="271" spans="2:20" ht="18" customHeight="1">
      <c r="B271" t="str">
        <f>"26-E155-0000"</f>
        <v>26-E155-0000</v>
      </c>
      <c r="C271" t="str">
        <f>"Assembly, JM, E155, H-O-A Switch Panel"</f>
        <v>Assembly, JM, E155, H-O-A Switch Panel</v>
      </c>
      <c r="E271">
        <v>2</v>
      </c>
      <c r="G271" s="29" t="str">
        <f>IFERROR(HYPERLINK("#"&amp;ADDRESS(MATCH(B271&amp;"ES",'LM7 Non-ENG'!$A$1:$A$5000,0),1,,,"LM7 Non-ENG"),IF(IFERROR(VLOOKUP(B271&amp;"ES",'LM7 Non-ENG'!$A$1:$A$4999,1,FALSE),"ERROR")=B271&amp;"ES","Y","")),"")</f>
        <v/>
      </c>
      <c r="H271" s="29" t="str">
        <f>IFERROR(HYPERLINK("#"&amp;ADDRESS(MATCH(B271&amp;"PT",'LM7 Non-ENG'!$A$1:$A$5000,0),1,,,"LM7 Non-ENG"),IF(IFERROR(VLOOKUP(B271&amp;"PT",'LM7 Non-ENG'!$A$1:$A$5000,1,FALSE),"ERROR")=B271&amp;"PT","Y","")),"")</f>
        <v/>
      </c>
      <c r="I271" t="str">
        <f>IFERROR(VLOOKUP(B271,PN!$A:$C,3,FALSE),"")</f>
        <v>Active</v>
      </c>
      <c r="J271" s="3">
        <f>IFERROR(E271*VLOOKUP(B271,PLInter!$A:$D,3,FALSE),"")</f>
        <v>734</v>
      </c>
      <c r="K271" s="66"/>
      <c r="L271" s="66"/>
      <c r="M271" s="66"/>
      <c r="N271" s="66"/>
      <c r="O271" s="66"/>
      <c r="P271" s="66"/>
      <c r="Q271" s="66"/>
      <c r="R271" s="66"/>
      <c r="S271" s="66"/>
      <c r="T271" s="66"/>
    </row>
    <row r="272" spans="2:20" ht="18" customHeight="1">
      <c r="B272" t="str">
        <f>"77-EA08-0000"</f>
        <v>77-EA08-0000</v>
      </c>
      <c r="C272" t="str">
        <f>"LM7 Content, JM, Relays and Timers"</f>
        <v>LM7 Content, JM, Relays and Timers</v>
      </c>
      <c r="E272">
        <v>1</v>
      </c>
      <c r="G272" s="29" t="str">
        <f>IFERROR(HYPERLINK("#"&amp;ADDRESS(MATCH(B272&amp;"ES",'LM7 Non-ENG'!$A$1:$A$5000,0),1,,,"LM7 Non-ENG"),IF(IFERROR(VLOOKUP(B272&amp;"ES",'LM7 Non-ENG'!$A$1:$A$4999,1,FALSE),"ERROR")=B272&amp;"ES","Y","")),"")</f>
        <v>Y</v>
      </c>
      <c r="H272" s="29" t="str">
        <f>IFERROR(HYPERLINK("#"&amp;ADDRESS(MATCH(B272&amp;"PT",'LM7 Non-ENG'!$A$1:$A$5000,0),1,,,"LM7 Non-ENG"),IF(IFERROR(VLOOKUP(B272&amp;"PT",'LM7 Non-ENG'!$A$1:$A$5000,1,FALSE),"ERROR")=B272&amp;"PT","Y","")),"")</f>
        <v/>
      </c>
      <c r="I272" t="str">
        <f>IFERROR(VLOOKUP(B272,PN!$A:$C,3,FALSE),"")</f>
        <v>Active</v>
      </c>
      <c r="J272" s="3">
        <f>IFERROR(E272*VLOOKUP(B272,PLInter!$A:$D,3,FALSE),"")</f>
        <v>700</v>
      </c>
      <c r="K272" s="66"/>
      <c r="L272" s="66"/>
      <c r="M272" s="66"/>
      <c r="N272" s="66"/>
      <c r="O272" s="66"/>
      <c r="P272" s="66"/>
      <c r="Q272" s="66"/>
      <c r="R272" s="66"/>
      <c r="S272" s="66"/>
      <c r="T272" s="66"/>
    </row>
    <row r="273" spans="2:20" ht="18" customHeight="1">
      <c r="B273" t="str">
        <f>"26-E017-0000"</f>
        <v>26-E017-0000</v>
      </c>
      <c r="C273" t="str">
        <f>"Assembly, JM, E017, Digital Relay"</f>
        <v>Assembly, JM, E017, Digital Relay</v>
      </c>
      <c r="E273">
        <v>2</v>
      </c>
      <c r="G273" s="29" t="str">
        <f>IFERROR(HYPERLINK("#"&amp;ADDRESS(MATCH(B273&amp;"ES",'LM7 Non-ENG'!$A$1:$A$5000,0),1,,,"LM7 Non-ENG"),IF(IFERROR(VLOOKUP(B273&amp;"ES",'LM7 Non-ENG'!$A$1:$A$4999,1,FALSE),"ERROR")=B273&amp;"ES","Y","")),"")</f>
        <v/>
      </c>
      <c r="H273" s="29" t="str">
        <f>IFERROR(HYPERLINK("#"&amp;ADDRESS(MATCH(B273&amp;"PT",'LM7 Non-ENG'!$A$1:$A$5000,0),1,,,"LM7 Non-ENG"),IF(IFERROR(VLOOKUP(B273&amp;"PT",'LM7 Non-ENG'!$A$1:$A$5000,1,FALSE),"ERROR")=B273&amp;"PT","Y","")),"")</f>
        <v/>
      </c>
      <c r="I273" t="str">
        <f>IFERROR(VLOOKUP(B273,PN!$A:$C,3,FALSE),"")</f>
        <v>Active</v>
      </c>
      <c r="J273" s="3">
        <f>IFERROR(E273*VLOOKUP(B273,PLInter!$A:$D,3,FALSE),"")</f>
        <v>2000</v>
      </c>
      <c r="K273" s="66"/>
      <c r="L273" s="66"/>
      <c r="M273" s="66"/>
      <c r="N273" s="66"/>
      <c r="O273" s="66"/>
      <c r="P273" s="66"/>
      <c r="Q273" s="66"/>
      <c r="R273" s="66"/>
      <c r="S273" s="66"/>
      <c r="T273" s="66"/>
    </row>
    <row r="274" spans="2:20" ht="18" customHeight="1">
      <c r="B274" t="str">
        <f>"26-E041-0000"</f>
        <v>26-E041-0000</v>
      </c>
      <c r="C274" t="str">
        <f>"Assembly, JM, E041, Electronic Timer"</f>
        <v>Assembly, JM, E041, Electronic Timer</v>
      </c>
      <c r="E274">
        <v>2</v>
      </c>
      <c r="G274" s="29" t="str">
        <f>IFERROR(HYPERLINK("#"&amp;ADDRESS(MATCH(B274&amp;"ES",'LM7 Non-ENG'!$A$1:$A$5000,0),1,,,"LM7 Non-ENG"),IF(IFERROR(VLOOKUP(B274&amp;"ES",'LM7 Non-ENG'!$A$1:$A$4999,1,FALSE),"ERROR")=B274&amp;"ES","Y","")),"")</f>
        <v/>
      </c>
      <c r="H274" s="29" t="str">
        <f>IFERROR(HYPERLINK("#"&amp;ADDRESS(MATCH(B274&amp;"PT",'LM7 Non-ENG'!$A$1:$A$5000,0),1,,,"LM7 Non-ENG"),IF(IFERROR(VLOOKUP(B274&amp;"PT",'LM7 Non-ENG'!$A$1:$A$5000,1,FALSE),"ERROR")=B274&amp;"PT","Y","")),"")</f>
        <v/>
      </c>
      <c r="I274" t="str">
        <f>IFERROR(VLOOKUP(B274,PN!$A:$C,3,FALSE),"")</f>
        <v>Active</v>
      </c>
      <c r="J274" s="3">
        <f>IFERROR(E274*VLOOKUP(B274,PLInter!$A:$D,3,FALSE),"")</f>
        <v>1334</v>
      </c>
      <c r="K274" s="66"/>
      <c r="L274" s="66"/>
      <c r="M274" s="66"/>
      <c r="N274" s="66"/>
      <c r="O274" s="66"/>
      <c r="P274" s="66"/>
      <c r="Q274" s="66"/>
      <c r="R274" s="66"/>
      <c r="S274" s="66"/>
      <c r="T274" s="66"/>
    </row>
    <row r="275" spans="2:20" ht="18" customHeight="1">
      <c r="B275" t="str">
        <f>"77-EA11-0000"</f>
        <v>77-EA11-0000</v>
      </c>
      <c r="C275" t="str">
        <f>"LM7 Content, JM, Solid State Voltage Starter"</f>
        <v>LM7 Content, JM, Solid State Voltage Starter</v>
      </c>
      <c r="E275">
        <v>1</v>
      </c>
      <c r="G275" s="29" t="str">
        <f>IFERROR(HYPERLINK("#"&amp;ADDRESS(MATCH(B275&amp;"ES",'LM7 Non-ENG'!$A$1:$A$5000,0),1,,,"LM7 Non-ENG"),IF(IFERROR(VLOOKUP(B275&amp;"ES",'LM7 Non-ENG'!$A$1:$A$4999,1,FALSE),"ERROR")=B275&amp;"ES","Y","")),"")</f>
        <v>Y</v>
      </c>
      <c r="H275" s="29" t="str">
        <f>IFERROR(HYPERLINK("#"&amp;ADDRESS(MATCH(B275&amp;"PT",'LM7 Non-ENG'!$A$1:$A$5000,0),1,,,"LM7 Non-ENG"),IF(IFERROR(VLOOKUP(B275&amp;"PT",'LM7 Non-ENG'!$A$1:$A$5000,1,FALSE),"ERROR")=B275&amp;"PT","Y","")),"")</f>
        <v/>
      </c>
      <c r="I275" t="str">
        <f>IFERROR(VLOOKUP(B275,PN!$A:$C,3,FALSE),"")</f>
        <v>Active</v>
      </c>
      <c r="J275" s="3">
        <f>IFERROR(E275*VLOOKUP(B275,PLInter!$A:$D,3,FALSE),"")</f>
        <v>700</v>
      </c>
      <c r="K275" s="66"/>
      <c r="L275" s="66"/>
      <c r="M275" s="66"/>
      <c r="N275" s="66"/>
      <c r="O275" s="66"/>
      <c r="P275" s="66"/>
      <c r="Q275" s="66"/>
      <c r="R275" s="66"/>
      <c r="S275" s="66"/>
      <c r="T275" s="66"/>
    </row>
    <row r="276" spans="2:20" ht="18" customHeight="1">
      <c r="B276" t="str">
        <f>"26-E024-0000"</f>
        <v>26-E024-0000</v>
      </c>
      <c r="C276" t="str">
        <f>"Assembly, JM, E024, Solid State Starter Panel"</f>
        <v>Assembly, JM, E024, Solid State Starter Panel</v>
      </c>
      <c r="E276">
        <v>2</v>
      </c>
      <c r="G276" s="29" t="str">
        <f>IFERROR(HYPERLINK("#"&amp;ADDRESS(MATCH(B276&amp;"ES",'LM7 Non-ENG'!$A$1:$A$5000,0),1,,,"LM7 Non-ENG"),IF(IFERROR(VLOOKUP(B276&amp;"ES",'LM7 Non-ENG'!$A$1:$A$4999,1,FALSE),"ERROR")=B276&amp;"ES","Y","")),"")</f>
        <v/>
      </c>
      <c r="H276" s="29" t="str">
        <f>IFERROR(HYPERLINK("#"&amp;ADDRESS(MATCH(B276&amp;"PT",'LM7 Non-ENG'!$A$1:$A$5000,0),1,,,"LM7 Non-ENG"),IF(IFERROR(VLOOKUP(B276&amp;"PT",'LM7 Non-ENG'!$A$1:$A$5000,1,FALSE),"ERROR")=B276&amp;"PT","Y","")),"")</f>
        <v/>
      </c>
      <c r="I276" t="str">
        <f>IFERROR(VLOOKUP(B276,PN!$A:$C,3,FALSE),"")</f>
        <v>ECO-N2Buy</v>
      </c>
      <c r="J276" s="3">
        <f>IFERROR(E276*VLOOKUP(B276,PLInter!$A:$D,3,FALSE),"")</f>
        <v>3600</v>
      </c>
      <c r="K276" s="66"/>
      <c r="L276" s="66"/>
      <c r="M276" s="66"/>
      <c r="N276" s="66"/>
      <c r="O276" s="66"/>
      <c r="P276" s="66"/>
      <c r="Q276" s="66"/>
      <c r="R276" s="66"/>
      <c r="S276" s="66"/>
      <c r="T276" s="66"/>
    </row>
    <row r="277" spans="2:20" ht="18" customHeight="1">
      <c r="B277" t="str">
        <f>"77-EA09-0000"</f>
        <v>77-EA09-0000</v>
      </c>
      <c r="C277" t="str">
        <f>"LM7 Content, JM, Pilot Devices"</f>
        <v>LM7 Content, JM, Pilot Devices</v>
      </c>
      <c r="E277">
        <v>1</v>
      </c>
      <c r="G277" s="29" t="str">
        <f>IFERROR(HYPERLINK("#"&amp;ADDRESS(MATCH(B277&amp;"ES",'LM7 Non-ENG'!$A$1:$A$5000,0),1,,,"LM7 Non-ENG"),IF(IFERROR(VLOOKUP(B277&amp;"ES",'LM7 Non-ENG'!$A$1:$A$4999,1,FALSE),"ERROR")=B277&amp;"ES","Y","")),"")</f>
        <v>Y</v>
      </c>
      <c r="H277" s="29" t="str">
        <f>IFERROR(HYPERLINK("#"&amp;ADDRESS(MATCH(B277&amp;"PT",'LM7 Non-ENG'!$A$1:$A$5000,0),1,,,"LM7 Non-ENG"),IF(IFERROR(VLOOKUP(B277&amp;"PT",'LM7 Non-ENG'!$A$1:$A$5000,1,FALSE),"ERROR")=B277&amp;"PT","Y","")),"")</f>
        <v/>
      </c>
      <c r="I277" t="str">
        <f>IFERROR(VLOOKUP(B277,PN!$A:$C,3,FALSE),"")</f>
        <v>Active</v>
      </c>
      <c r="J277" s="3">
        <f>IFERROR(E277*VLOOKUP(B277,PLInter!$A:$D,3,FALSE),"")</f>
        <v>700</v>
      </c>
      <c r="K277" s="66"/>
      <c r="L277" s="66"/>
      <c r="M277" s="66"/>
      <c r="N277" s="66"/>
      <c r="O277" s="66"/>
      <c r="P277" s="66"/>
      <c r="Q277" s="66"/>
      <c r="R277" s="66"/>
      <c r="S277" s="66"/>
      <c r="T277" s="66"/>
    </row>
    <row r="278" spans="2:20" ht="18" customHeight="1">
      <c r="B278" t="str">
        <f>"26-E011-0000"</f>
        <v>26-E011-0000</v>
      </c>
      <c r="C278" t="str">
        <f>"Assembly, JM, E011, Limit Switch Panel"</f>
        <v>Assembly, JM, E011, Limit Switch Panel</v>
      </c>
      <c r="E278">
        <v>2</v>
      </c>
      <c r="G278" s="29" t="str">
        <f>IFERROR(HYPERLINK("#"&amp;ADDRESS(MATCH(B278&amp;"ES",'LM7 Non-ENG'!$A$1:$A$5000,0),1,,,"LM7 Non-ENG"),IF(IFERROR(VLOOKUP(B278&amp;"ES",'LM7 Non-ENG'!$A$1:$A$4999,1,FALSE),"ERROR")=B278&amp;"ES","Y","")),"")</f>
        <v/>
      </c>
      <c r="H278" s="29" t="str">
        <f>IFERROR(HYPERLINK("#"&amp;ADDRESS(MATCH(B278&amp;"PT",'LM7 Non-ENG'!$A$1:$A$5000,0),1,,,"LM7 Non-ENG"),IF(IFERROR(VLOOKUP(B278&amp;"PT",'LM7 Non-ENG'!$A$1:$A$5000,1,FALSE),"ERROR")=B278&amp;"PT","Y","")),"")</f>
        <v/>
      </c>
      <c r="I278" t="str">
        <f>IFERROR(VLOOKUP(B278,PN!$A:$C,3,FALSE),"")</f>
        <v>Active</v>
      </c>
      <c r="J278" s="3">
        <f>IFERROR(E278*VLOOKUP(B278,PLInter!$A:$D,3,FALSE),"")</f>
        <v>868</v>
      </c>
      <c r="K278" s="66"/>
      <c r="L278" s="66"/>
      <c r="M278" s="66"/>
      <c r="N278" s="66"/>
      <c r="O278" s="66"/>
      <c r="P278" s="66"/>
      <c r="Q278" s="66"/>
      <c r="R278" s="66"/>
      <c r="S278" s="66"/>
      <c r="T278" s="66"/>
    </row>
    <row r="279" spans="2:20" ht="18" customHeight="1">
      <c r="B279" t="str">
        <f>"26-E018-0000"</f>
        <v>26-E018-0000</v>
      </c>
      <c r="C279" t="str">
        <f>"Assembly, JM, E018, Liquid Level and Pressure"</f>
        <v>Assembly, JM, E018, Liquid Level and Pressure</v>
      </c>
      <c r="E279">
        <v>2</v>
      </c>
      <c r="G279" s="29" t="str">
        <f>IFERROR(HYPERLINK("#"&amp;ADDRESS(MATCH(B279&amp;"ES",'LM7 Non-ENG'!$A$1:$A$5000,0),1,,,"LM7 Non-ENG"),IF(IFERROR(VLOOKUP(B279&amp;"ES",'LM7 Non-ENG'!$A$1:$A$4999,1,FALSE),"ERROR")=B279&amp;"ES","Y","")),"")</f>
        <v/>
      </c>
      <c r="H279" s="29" t="str">
        <f>IFERROR(HYPERLINK("#"&amp;ADDRESS(MATCH(B279&amp;"PT",'LM7 Non-ENG'!$A$1:$A$5000,0),1,,,"LM7 Non-ENG"),IF(IFERROR(VLOOKUP(B279&amp;"PT",'LM7 Non-ENG'!$A$1:$A$5000,1,FALSE),"ERROR")=B279&amp;"PT","Y","")),"")</f>
        <v/>
      </c>
      <c r="I279" t="str">
        <f>IFERROR(VLOOKUP(B279,PN!$A:$C,3,FALSE),"")</f>
        <v>Active</v>
      </c>
      <c r="J279" s="3">
        <f>IFERROR(E279*VLOOKUP(B279,PLInter!$A:$D,3,FALSE),"")</f>
        <v>1734</v>
      </c>
      <c r="K279" s="66"/>
      <c r="L279" s="66"/>
      <c r="M279" s="66"/>
      <c r="N279" s="66"/>
      <c r="O279" s="66"/>
      <c r="P279" s="66"/>
      <c r="Q279" s="66"/>
      <c r="R279" s="66"/>
      <c r="S279" s="66"/>
      <c r="T279" s="66"/>
    </row>
    <row r="280" spans="2:20" ht="18" customHeight="1">
      <c r="B280" t="str">
        <f>"26-E126-0000"</f>
        <v>26-E126-0000</v>
      </c>
      <c r="C280" t="str">
        <f>"Assembly, JM, E126, Photo, Mag, &amp; Prox Panel"</f>
        <v>Assembly, JM, E126, Photo, Mag, &amp; Prox Panel</v>
      </c>
      <c r="E280">
        <v>2</v>
      </c>
      <c r="G280" s="29" t="str">
        <f>IFERROR(HYPERLINK("#"&amp;ADDRESS(MATCH(B280&amp;"ES",'LM7 Non-ENG'!$A$1:$A$5000,0),1,,,"LM7 Non-ENG"),IF(IFERROR(VLOOKUP(B280&amp;"ES",'LM7 Non-ENG'!$A$1:$A$4999,1,FALSE),"ERROR")=B280&amp;"ES","Y","")),"")</f>
        <v/>
      </c>
      <c r="H280" s="29" t="str">
        <f>IFERROR(HYPERLINK("#"&amp;ADDRESS(MATCH(B280&amp;"PT",'LM7 Non-ENG'!$A$1:$A$5000,0),1,,,"LM7 Non-ENG"),IF(IFERROR(VLOOKUP(B280&amp;"PT",'LM7 Non-ENG'!$A$1:$A$5000,1,FALSE),"ERROR")=B280&amp;"PT","Y","")),"")</f>
        <v/>
      </c>
      <c r="I280" t="str">
        <f>IFERROR(VLOOKUP(B280,PN!$A:$C,3,FALSE),"")</f>
        <v>Active</v>
      </c>
      <c r="J280" s="3">
        <f>IFERROR(E280*VLOOKUP(B280,PLInter!$A:$D,3,FALSE),"")</f>
        <v>4268</v>
      </c>
      <c r="K280" s="66"/>
      <c r="L280" s="66"/>
      <c r="M280" s="66"/>
      <c r="N280" s="66"/>
      <c r="O280" s="66"/>
      <c r="P280" s="66"/>
      <c r="Q280" s="66"/>
      <c r="R280" s="66"/>
      <c r="S280" s="66"/>
      <c r="T280" s="66"/>
    </row>
    <row r="281" spans="2:20" ht="18" customHeight="1">
      <c r="B281" t="str">
        <f>"26-E153-0000"</f>
        <v>26-E153-0000</v>
      </c>
      <c r="C281" t="str">
        <f>"Assembly, JM, E153, AC/DC Circuits"</f>
        <v>Assembly, JM, E153, AC/DC Circuits</v>
      </c>
      <c r="E281">
        <v>6</v>
      </c>
      <c r="G281" s="29" t="str">
        <f>IFERROR(HYPERLINK("#"&amp;ADDRESS(MATCH(B281&amp;"ES",'LM7 Non-ENG'!$A$1:$A$5000,0),1,,,"LM7 Non-ENG"),IF(IFERROR(VLOOKUP(B281&amp;"ES",'LM7 Non-ENG'!$A$1:$A$4999,1,FALSE),"ERROR")=B281&amp;"ES","Y","")),"")</f>
        <v/>
      </c>
      <c r="H281" s="29" t="str">
        <f>IFERROR(HYPERLINK("#"&amp;ADDRESS(MATCH(B281&amp;"PT",'LM7 Non-ENG'!$A$1:$A$5000,0),1,,,"LM7 Non-ENG"),IF(IFERROR(VLOOKUP(B281&amp;"PT",'LM7 Non-ENG'!$A$1:$A$5000,1,FALSE),"ERROR")=B281&amp;"PT","Y","")),"")</f>
        <v/>
      </c>
      <c r="I281" t="str">
        <f>IFERROR(VLOOKUP(B281,PN!$A:$C,3,FALSE),"")</f>
        <v>Active</v>
      </c>
      <c r="J281" s="3">
        <f>IFERROR(E281*VLOOKUP(B281,PLInter!$A:$D,3,FALSE),"")</f>
        <v>3204</v>
      </c>
      <c r="K281" s="66"/>
      <c r="L281" s="66"/>
      <c r="M281" s="66"/>
      <c r="N281" s="66"/>
      <c r="O281" s="66"/>
      <c r="P281" s="66"/>
      <c r="Q281" s="66"/>
      <c r="R281" s="66"/>
      <c r="S281" s="66"/>
      <c r="T281" s="66"/>
    </row>
    <row r="282" spans="2:20" ht="18" customHeight="1">
      <c r="B282" t="str">
        <f>"77-EA12-0000"</f>
        <v>77-EA12-0000</v>
      </c>
      <c r="C282" t="str">
        <f>"LM7 Content, JM, Electric Motor Drives"</f>
        <v>LM7 Content, JM, Electric Motor Drives</v>
      </c>
      <c r="E282">
        <v>1</v>
      </c>
      <c r="G282" s="29" t="str">
        <f>IFERROR(HYPERLINK("#"&amp;ADDRESS(MATCH(B282&amp;"ES",'LM7 Non-ENG'!$A$1:$A$5000,0),1,,,"LM7 Non-ENG"),IF(IFERROR(VLOOKUP(B282&amp;"ES",'LM7 Non-ENG'!$A$1:$A$4999,1,FALSE),"ERROR")=B282&amp;"ES","Y","")),"")</f>
        <v>Y</v>
      </c>
      <c r="H282" s="29" t="str">
        <f>IFERROR(HYPERLINK("#"&amp;ADDRESS(MATCH(B282&amp;"PT",'LM7 Non-ENG'!$A$1:$A$5000,0),1,,,"LM7 Non-ENG"),IF(IFERROR(VLOOKUP(B282&amp;"PT",'LM7 Non-ENG'!$A$1:$A$5000,1,FALSE),"ERROR")=B282&amp;"PT","Y","")),"")</f>
        <v/>
      </c>
      <c r="I282" t="str">
        <f>IFERROR(VLOOKUP(B282,PN!$A:$C,3,FALSE),"")</f>
        <v>Active</v>
      </c>
      <c r="J282" s="3">
        <f>IFERROR(E282*VLOOKUP(B282,PLInter!$A:$D,3,FALSE),"")</f>
        <v>700</v>
      </c>
      <c r="K282" s="66"/>
      <c r="L282" s="66"/>
      <c r="M282" s="66"/>
      <c r="N282" s="66"/>
      <c r="O282" s="66"/>
      <c r="P282" s="66"/>
      <c r="Q282" s="66"/>
      <c r="R282" s="66"/>
      <c r="S282" s="66"/>
      <c r="T282" s="66"/>
    </row>
    <row r="283" spans="2:20" ht="18" customHeight="1">
      <c r="B283" t="str">
        <f>"26-E067-0000"</f>
        <v>26-E067-0000</v>
      </c>
      <c r="C283" t="str">
        <f>"Assembly, JM, E067,Varible Frequency Drive Panel"</f>
        <v>Assembly, JM, E067,Varible Frequency Drive Panel</v>
      </c>
      <c r="E283">
        <v>2</v>
      </c>
      <c r="G283" s="29" t="str">
        <f>IFERROR(HYPERLINK("#"&amp;ADDRESS(MATCH(B283&amp;"ES",'LM7 Non-ENG'!$A$1:$A$5000,0),1,,,"LM7 Non-ENG"),IF(IFERROR(VLOOKUP(B283&amp;"ES",'LM7 Non-ENG'!$A$1:$A$4999,1,FALSE),"ERROR")=B283&amp;"ES","Y","")),"")</f>
        <v/>
      </c>
      <c r="H283" s="29" t="str">
        <f>IFERROR(HYPERLINK("#"&amp;ADDRESS(MATCH(B283&amp;"PT",'LM7 Non-ENG'!$A$1:$A$5000,0),1,,,"LM7 Non-ENG"),IF(IFERROR(VLOOKUP(B283&amp;"PT",'LM7 Non-ENG'!$A$1:$A$5000,1,FALSE),"ERROR")=B283&amp;"PT","Y","")),"")</f>
        <v/>
      </c>
      <c r="I283" t="str">
        <f>IFERROR(VLOOKUP(B283,PN!$A:$C,3,FALSE),"")</f>
        <v>Active</v>
      </c>
      <c r="J283" s="3">
        <f>IFERROR(E283*VLOOKUP(B283,PLInter!$A:$D,3,FALSE),"")</f>
        <v>2668</v>
      </c>
      <c r="K283" s="66"/>
      <c r="L283" s="66"/>
      <c r="M283" s="66"/>
      <c r="N283" s="66"/>
      <c r="O283" s="66"/>
      <c r="P283" s="66"/>
      <c r="Q283" s="66"/>
      <c r="R283" s="66"/>
      <c r="S283" s="66"/>
      <c r="T283" s="66"/>
    </row>
    <row r="284" spans="2:20" ht="18" customHeight="1">
      <c r="B284" t="str">
        <f>"77-EA16-0000"</f>
        <v>77-EA16-0000</v>
      </c>
      <c r="C284" t="str">
        <f>"LM7 Content, JM, DC Motor Drives"</f>
        <v>LM7 Content, JM, DC Motor Drives</v>
      </c>
      <c r="E284">
        <v>1</v>
      </c>
      <c r="G284" s="29" t="str">
        <f>IFERROR(HYPERLINK("#"&amp;ADDRESS(MATCH(B284&amp;"ES",'LM7 Non-ENG'!$A$1:$A$5000,0),1,,,"LM7 Non-ENG"),IF(IFERROR(VLOOKUP(B284&amp;"ES",'LM7 Non-ENG'!$A$1:$A$4999,1,FALSE),"ERROR")=B284&amp;"ES","Y","")),"")</f>
        <v>Y</v>
      </c>
      <c r="H284" s="29" t="str">
        <f>IFERROR(HYPERLINK("#"&amp;ADDRESS(MATCH(B284&amp;"PT",'LM7 Non-ENG'!$A$1:$A$5000,0),1,,,"LM7 Non-ENG"),IF(IFERROR(VLOOKUP(B284&amp;"PT",'LM7 Non-ENG'!$A$1:$A$5000,1,FALSE),"ERROR")=B284&amp;"PT","Y","")),"")</f>
        <v/>
      </c>
      <c r="I284" t="str">
        <f>IFERROR(VLOOKUP(B284,PN!$A:$C,3,FALSE),"")</f>
        <v>Active</v>
      </c>
      <c r="J284" s="3">
        <f>IFERROR(E284*VLOOKUP(B284,PLInter!$A:$D,3,FALSE),"")</f>
        <v>700</v>
      </c>
      <c r="K284" s="66"/>
      <c r="L284" s="66"/>
      <c r="M284" s="66"/>
      <c r="N284" s="66"/>
      <c r="O284" s="66"/>
      <c r="P284" s="66"/>
      <c r="Q284" s="66"/>
      <c r="R284" s="66"/>
      <c r="S284" s="66"/>
      <c r="T284" s="66"/>
    </row>
    <row r="285" spans="2:20" ht="18" customHeight="1">
      <c r="B285" s="18" t="str">
        <f>"26-E025-0000"</f>
        <v>26-E025-0000</v>
      </c>
      <c r="C285" s="18" t="str">
        <f>"Assembly, JM, E025 F-O-R Switch Panel"</f>
        <v>Assembly, JM, E025 F-O-R Switch Panel</v>
      </c>
      <c r="D285" s="18" t="s">
        <v>0</v>
      </c>
      <c r="E285" s="18">
        <v>2</v>
      </c>
      <c r="F285" s="18"/>
      <c r="G285" s="16" t="str">
        <f>IFERROR(HYPERLINK("#"&amp;ADDRESS(MATCH(B285&amp;"ES",'LM7 Non-ENG'!$A$1:$A$5000,0),1,,,"LM7 Non-ENG"),IF(IFERROR(VLOOKUP(B285&amp;"ES",'LM7 Non-ENG'!$A$1:$A$4999,1,FALSE),"ERROR")=B285&amp;"ES","Y","")),"")</f>
        <v/>
      </c>
      <c r="H285" s="16" t="str">
        <f>IFERROR(HYPERLINK("#"&amp;ADDRESS(MATCH(B285&amp;"PT",'LM7 Non-ENG'!$A$1:$A$5000,0),1,,,"LM7 Non-ENG"),IF(IFERROR(VLOOKUP(B285&amp;"PT",'LM7 Non-ENG'!$A$1:$A$5000,1,FALSE),"ERROR")=B285&amp;"PT","Y","")),"")</f>
        <v/>
      </c>
      <c r="I285" t="str">
        <f>IFERROR(VLOOKUP(B285,PN!$A:$C,3,FALSE),"")</f>
        <v>Active</v>
      </c>
      <c r="J285" s="46">
        <f>IFERROR(E285*VLOOKUP(B285,PLInter!$A:$D,3,FALSE),"")</f>
        <v>1400</v>
      </c>
      <c r="K285" s="66"/>
      <c r="L285" s="66"/>
      <c r="M285" s="66"/>
      <c r="N285" s="66"/>
      <c r="O285" s="66"/>
      <c r="P285" s="66"/>
      <c r="Q285" s="66"/>
      <c r="R285" s="66"/>
      <c r="S285" s="66"/>
      <c r="T285" s="66"/>
    </row>
    <row r="286" spans="2:20" ht="18" customHeight="1">
      <c r="B286" s="18" t="str">
        <f>"26-E038-0000"</f>
        <v>26-E038-0000</v>
      </c>
      <c r="C286" s="18" t="str">
        <f>"Assembly, JM, E038, PWM Speed Control Panel"</f>
        <v>Assembly, JM, E038, PWM Speed Control Panel</v>
      </c>
      <c r="D286" s="18" t="s">
        <v>0</v>
      </c>
      <c r="E286" s="18">
        <v>2</v>
      </c>
      <c r="F286" s="18"/>
      <c r="G286" s="16" t="str">
        <f>IFERROR(HYPERLINK("#"&amp;ADDRESS(MATCH(B286&amp;"ES",'LM7 Non-ENG'!$A$1:$A$5000,0),1,,,"LM7 Non-ENG"),IF(IFERROR(VLOOKUP(B286&amp;"ES",'LM7 Non-ENG'!$A$1:$A$4999,1,FALSE),"ERROR")=B286&amp;"ES","Y","")),"")</f>
        <v/>
      </c>
      <c r="H286" s="16" t="str">
        <f>IFERROR(HYPERLINK("#"&amp;ADDRESS(MATCH(B286&amp;"PT",'LM7 Non-ENG'!$A$1:$A$5000,0),1,,,"LM7 Non-ENG"),IF(IFERROR(VLOOKUP(B286&amp;"PT",'LM7 Non-ENG'!$A$1:$A$5000,1,FALSE),"ERROR")=B286&amp;"PT","Y","")),"")</f>
        <v/>
      </c>
      <c r="I286" t="str">
        <f>IFERROR(VLOOKUP(B286,PN!$A:$C,3,FALSE),"")</f>
        <v>Active</v>
      </c>
      <c r="J286" s="46">
        <f>IFERROR(E286*VLOOKUP(B286,PLInter!$A:$D,3,FALSE),"")</f>
        <v>2134</v>
      </c>
      <c r="K286" s="66"/>
      <c r="L286" s="66"/>
      <c r="M286" s="66"/>
      <c r="N286" s="66"/>
      <c r="O286" s="66"/>
      <c r="P286" s="66"/>
      <c r="Q286" s="66"/>
      <c r="R286" s="66"/>
      <c r="S286" s="66"/>
      <c r="T286" s="66"/>
    </row>
    <row r="287" spans="2:20" ht="18" customHeight="1">
      <c r="B287" s="18" t="str">
        <f>"26-E048-0000"</f>
        <v>26-E048-0000</v>
      </c>
      <c r="C287" s="18" t="str">
        <f>"Assembly, JM, E048 Inertial Load Panel"</f>
        <v>Assembly, JM, E048 Inertial Load Panel</v>
      </c>
      <c r="D287" s="18" t="s">
        <v>0</v>
      </c>
      <c r="E287" s="18">
        <v>2</v>
      </c>
      <c r="F287" s="18"/>
      <c r="G287" s="16" t="str">
        <f>IFERROR(HYPERLINK("#"&amp;ADDRESS(MATCH(B287&amp;"ES",'LM7 Non-ENG'!$A$1:$A$5000,0),1,,,"LM7 Non-ENG"),IF(IFERROR(VLOOKUP(B287&amp;"ES",'LM7 Non-ENG'!$A$1:$A$4999,1,FALSE),"ERROR")=B287&amp;"ES","Y","")),"")</f>
        <v/>
      </c>
      <c r="H287" s="16" t="str">
        <f>IFERROR(HYPERLINK("#"&amp;ADDRESS(MATCH(B287&amp;"PT",'LM7 Non-ENG'!$A$1:$A$5000,0),1,,,"LM7 Non-ENG"),IF(IFERROR(VLOOKUP(B287&amp;"PT",'LM7 Non-ENG'!$A$1:$A$5000,1,FALSE),"ERROR")=B287&amp;"PT","Y","")),"")</f>
        <v/>
      </c>
      <c r="I287" t="str">
        <f>IFERROR(VLOOKUP(B287,PN!$A:$C,3,FALSE),"")</f>
        <v>Active</v>
      </c>
      <c r="J287" s="46">
        <f>IFERROR(E287*VLOOKUP(B287,PLInter!$A:$D,3,FALSE),"")</f>
        <v>1334</v>
      </c>
      <c r="K287" s="66"/>
      <c r="L287" s="66"/>
      <c r="M287" s="66"/>
      <c r="N287" s="66"/>
      <c r="O287" s="66"/>
      <c r="P287" s="66"/>
      <c r="Q287" s="66"/>
      <c r="R287" s="66"/>
      <c r="S287" s="66"/>
      <c r="T287" s="66"/>
    </row>
    <row r="288" spans="2:20" ht="18" customHeight="1">
      <c r="B288" s="18" t="str">
        <f>"26-E071-0000"</f>
        <v>26-E071-0000</v>
      </c>
      <c r="C288" s="18" t="str">
        <f>"Assembly, JM, E071 Regenerative SCR Drive Panel"</f>
        <v>Assembly, JM, E071 Regenerative SCR Drive Panel</v>
      </c>
      <c r="D288" s="18" t="s">
        <v>0</v>
      </c>
      <c r="E288" s="18">
        <v>2</v>
      </c>
      <c r="F288" s="18"/>
      <c r="G288" s="16" t="str">
        <f>IFERROR(HYPERLINK("#"&amp;ADDRESS(MATCH(B288&amp;"ES",'LM7 Non-ENG'!$A$1:$A$5000,0),1,,,"LM7 Non-ENG"),IF(IFERROR(VLOOKUP(B288&amp;"ES",'LM7 Non-ENG'!$A$1:$A$4999,1,FALSE),"ERROR")=B288&amp;"ES","Y","")),"")</f>
        <v/>
      </c>
      <c r="H288" s="16" t="str">
        <f>IFERROR(HYPERLINK("#"&amp;ADDRESS(MATCH(B288&amp;"PT",'LM7 Non-ENG'!$A$1:$A$5000,0),1,,,"LM7 Non-ENG"),IF(IFERROR(VLOOKUP(B288&amp;"PT",'LM7 Non-ENG'!$A$1:$A$5000,1,FALSE),"ERROR")=B288&amp;"PT","Y","")),"")</f>
        <v/>
      </c>
      <c r="I288" t="str">
        <f>IFERROR(VLOOKUP(B288,PN!$A:$C,3,FALSE),"")</f>
        <v>Active</v>
      </c>
      <c r="J288" s="46">
        <f>IFERROR(E288*VLOOKUP(B288,PLInter!$A:$D,3,FALSE),"")</f>
        <v>2268</v>
      </c>
      <c r="K288" s="66"/>
      <c r="L288" s="66"/>
      <c r="M288" s="66"/>
      <c r="N288" s="66"/>
      <c r="O288" s="66"/>
      <c r="P288" s="66"/>
      <c r="Q288" s="66"/>
      <c r="R288" s="66"/>
      <c r="S288" s="66"/>
      <c r="T288" s="66"/>
    </row>
    <row r="289" spans="2:20" ht="18" customHeight="1">
      <c r="B289" s="18" t="str">
        <f>"10-PPSU-0001"</f>
        <v>10-PPSU-0001</v>
      </c>
      <c r="C289" s="18" t="str">
        <f>"JM, Portable Panel Storage Unit"</f>
        <v>JM, Portable Panel Storage Unit</v>
      </c>
      <c r="D289" s="18" t="s">
        <v>0</v>
      </c>
      <c r="E289" s="18">
        <v>2</v>
      </c>
      <c r="F289" s="18"/>
      <c r="G289" s="16" t="str">
        <f>IFERROR(HYPERLINK("#"&amp;ADDRESS(MATCH(B289&amp;"ES",'LM7 Non-ENG'!$A$1:$A$5000,0),1,,,"LM7 Non-ENG"),IF(IFERROR(VLOOKUP(B289&amp;"ES",'LM7 Non-ENG'!$A$1:$A$4999,1,FALSE),"ERROR")=B289&amp;"ES","Y","")),"")</f>
        <v/>
      </c>
      <c r="H289" s="16" t="str">
        <f>IFERROR(HYPERLINK("#"&amp;ADDRESS(MATCH(B289&amp;"PT",'LM7 Non-ENG'!$A$1:$A$5000,0),1,,,"LM7 Non-ENG"),IF(IFERROR(VLOOKUP(B289&amp;"PT",'LM7 Non-ENG'!$A$1:$A$5000,1,FALSE),"ERROR")=B289&amp;"PT","Y","")),"")</f>
        <v/>
      </c>
      <c r="I289" t="str">
        <f>IFERROR(VLOOKUP(B289,PN!$A:$C,3,FALSE),"")</f>
        <v>Active</v>
      </c>
      <c r="J289" s="46">
        <f>IFERROR(E289*VLOOKUP(B289,PLInter!$A:$D,3,FALSE),"")</f>
        <v>4400</v>
      </c>
      <c r="K289" s="66"/>
      <c r="L289" s="66"/>
      <c r="M289" s="66"/>
      <c r="N289" s="66"/>
      <c r="O289" s="66"/>
      <c r="P289" s="66"/>
      <c r="Q289" s="66"/>
      <c r="R289" s="66"/>
      <c r="S289" s="66"/>
      <c r="T289" s="66"/>
    </row>
    <row r="290" spans="2:20" ht="18" customHeight="1">
      <c r="B290" s="18" t="str">
        <f>"77-EB01A-0000"</f>
        <v>77-EB01A-0000</v>
      </c>
      <c r="C290" s="18" t="str">
        <f>"LM7 Content, JM, Oscilloscope"</f>
        <v>LM7 Content, JM, Oscilloscope</v>
      </c>
      <c r="D290" s="18" t="s">
        <v>0</v>
      </c>
      <c r="E290" s="18">
        <v>1</v>
      </c>
      <c r="F290" s="18"/>
      <c r="G290" s="16" t="str">
        <f>IFERROR(HYPERLINK("#"&amp;ADDRESS(MATCH(B290&amp;"ES",'LM7 Non-ENG'!$A$1:$A$5000,0),1,,,"LM7 Non-ENG"),IF(IFERROR(VLOOKUP(B290&amp;"ES",'LM7 Non-ENG'!$A$1:$A$4999,1,FALSE),"ERROR")=B290&amp;"ES","Y","")),"")</f>
        <v/>
      </c>
      <c r="H290" s="16" t="str">
        <f>IFERROR(HYPERLINK("#"&amp;ADDRESS(MATCH(B290&amp;"PT",'LM7 Non-ENG'!$A$1:$A$5000,0),1,,,"LM7 Non-ENG"),IF(IFERROR(VLOOKUP(B290&amp;"PT",'LM7 Non-ENG'!$A$1:$A$5000,1,FALSE),"ERROR")=B290&amp;"PT","Y","")),"")</f>
        <v/>
      </c>
      <c r="I290" t="str">
        <f>IFERROR(VLOOKUP(B290,PN!$A:$C,3,FALSE),"")</f>
        <v>Active</v>
      </c>
      <c r="J290" s="46">
        <f>IFERROR(E290*VLOOKUP(B290,PLInter!$A:$D,3,FALSE),"")</f>
        <v>700</v>
      </c>
      <c r="K290" s="66"/>
      <c r="L290" s="66"/>
      <c r="M290" s="66"/>
      <c r="N290" s="66"/>
      <c r="O290" s="66"/>
      <c r="P290" s="66"/>
      <c r="Q290" s="66"/>
      <c r="R290" s="66"/>
      <c r="S290" s="66"/>
      <c r="T290" s="66"/>
    </row>
    <row r="291" spans="2:20" ht="18" customHeight="1">
      <c r="B291" s="18" t="str">
        <f>"26-E087-0000"</f>
        <v>26-E087-0000</v>
      </c>
      <c r="C291" s="18" t="str">
        <f>"Assembly, JM, E087, Adjustable Power Supply"</f>
        <v>Assembly, JM, E087, Adjustable Power Supply</v>
      </c>
      <c r="D291" s="18" t="s">
        <v>0</v>
      </c>
      <c r="E291" s="18">
        <v>4</v>
      </c>
      <c r="F291" s="18"/>
      <c r="G291" s="16" t="str">
        <f>IFERROR(HYPERLINK("#"&amp;ADDRESS(MATCH(B291&amp;"ES",'LM7 Non-ENG'!$A$1:$A$5000,0),1,,,"LM7 Non-ENG"),IF(IFERROR(VLOOKUP(B291&amp;"ES",'LM7 Non-ENG'!$A$1:$A$4999,1,FALSE),"ERROR")=B291&amp;"ES","Y","")),"")</f>
        <v/>
      </c>
      <c r="H291" s="16" t="str">
        <f>IFERROR(HYPERLINK("#"&amp;ADDRESS(MATCH(B291&amp;"PT",'LM7 Non-ENG'!$A$1:$A$5000,0),1,,,"LM7 Non-ENG"),IF(IFERROR(VLOOKUP(B291&amp;"PT",'LM7 Non-ENG'!$A$1:$A$5000,1,FALSE),"ERROR")=B291&amp;"PT","Y","")),"")</f>
        <v/>
      </c>
      <c r="I291" t="str">
        <f>IFERROR(VLOOKUP(B291,PN!$A:$C,3,FALSE),"")</f>
        <v>Active</v>
      </c>
      <c r="J291" s="46">
        <f>IFERROR(E291*VLOOKUP(B291,PLInter!$A:$D,3,FALSE),"")</f>
        <v>1120</v>
      </c>
      <c r="K291" s="66"/>
      <c r="L291" s="66"/>
      <c r="M291" s="66"/>
      <c r="N291" s="66"/>
      <c r="O291" s="66"/>
      <c r="P291" s="66"/>
      <c r="Q291" s="66"/>
      <c r="R291" s="66"/>
      <c r="S291" s="66"/>
      <c r="T291" s="66"/>
    </row>
    <row r="292" spans="2:20" ht="18" customHeight="1">
      <c r="B292" s="18" t="str">
        <f>"36-8900-0003"</f>
        <v>36-8900-0003</v>
      </c>
      <c r="C292" s="18" t="str">
        <f>"JM, Oscilloscope, 30MHz, Analog BK"</f>
        <v>JM, Oscilloscope, 30MHz, Analog BK</v>
      </c>
      <c r="D292" s="18" t="s">
        <v>0</v>
      </c>
      <c r="E292" s="18">
        <v>2</v>
      </c>
      <c r="F292" s="18"/>
      <c r="G292" s="16" t="str">
        <f>IFERROR(HYPERLINK("#"&amp;ADDRESS(MATCH(B292&amp;"ES",'LM7 Non-ENG'!$A$1:$A$5000,0),1,,,"LM7 Non-ENG"),IF(IFERROR(VLOOKUP(B292&amp;"ES",'LM7 Non-ENG'!$A$1:$A$4999,1,FALSE),"ERROR")=B292&amp;"ES","Y","")),"")</f>
        <v/>
      </c>
      <c r="H292" s="16" t="str">
        <f>IFERROR(HYPERLINK("#"&amp;ADDRESS(MATCH(B292&amp;"PT",'LM7 Non-ENG'!$A$1:$A$5000,0),1,,,"LM7 Non-ENG"),IF(IFERROR(VLOOKUP(B292&amp;"PT",'LM7 Non-ENG'!$A$1:$A$5000,1,FALSE),"ERROR")=B292&amp;"PT","Y","")),"")</f>
        <v/>
      </c>
      <c r="I292" t="str">
        <f>IFERROR(VLOOKUP(B292,PN!$A:$C,3,FALSE),"")</f>
        <v>Active</v>
      </c>
      <c r="J292" s="46">
        <f>IFERROR(E292*VLOOKUP(B292,PLInter!$A:$D,3,FALSE),"")</f>
        <v>4000</v>
      </c>
      <c r="K292" s="66"/>
      <c r="L292" s="66"/>
      <c r="M292" s="66"/>
      <c r="N292" s="66"/>
      <c r="O292" s="66"/>
      <c r="P292" s="66"/>
      <c r="Q292" s="66"/>
      <c r="R292" s="66"/>
      <c r="S292" s="66"/>
      <c r="T292" s="66"/>
    </row>
    <row r="293" spans="2:20" ht="18" customHeight="1">
      <c r="B293" s="18" t="str">
        <f>"77-EB01B-0000"</f>
        <v>77-EB01B-0000</v>
      </c>
      <c r="C293" s="18" t="str">
        <f>"LM7 Content, JM, Digital Multimeter"</f>
        <v>LM7 Content, JM, Digital Multimeter</v>
      </c>
      <c r="D293" s="18" t="s">
        <v>0</v>
      </c>
      <c r="E293" s="18">
        <v>1</v>
      </c>
      <c r="F293" s="18"/>
      <c r="G293" s="16" t="str">
        <f>IFERROR(HYPERLINK("#"&amp;ADDRESS(MATCH(B293&amp;"ES",'LM7 Non-ENG'!$A$1:$A$5000,0),1,,,"LM7 Non-ENG"),IF(IFERROR(VLOOKUP(B293&amp;"ES",'LM7 Non-ENG'!$A$1:$A$4999,1,FALSE),"ERROR")=B293&amp;"ES","Y","")),"")</f>
        <v/>
      </c>
      <c r="H293" s="16" t="str">
        <f>IFERROR(HYPERLINK("#"&amp;ADDRESS(MATCH(B293&amp;"PT",'LM7 Non-ENG'!$A$1:$A$5000,0),1,,,"LM7 Non-ENG"),IF(IFERROR(VLOOKUP(B293&amp;"PT",'LM7 Non-ENG'!$A$1:$A$5000,1,FALSE),"ERROR")=B293&amp;"PT","Y","")),"")</f>
        <v/>
      </c>
      <c r="I293" t="str">
        <f>IFERROR(VLOOKUP(B293,PN!$A:$C,3,FALSE),"")</f>
        <v>Active</v>
      </c>
      <c r="J293" s="46">
        <f>IFERROR(E293*VLOOKUP(B293,PLInter!$A:$D,3,FALSE),"")</f>
        <v>700</v>
      </c>
      <c r="K293" s="66"/>
      <c r="L293" s="66"/>
      <c r="M293" s="66"/>
      <c r="N293" s="66"/>
      <c r="O293" s="66"/>
      <c r="P293" s="66"/>
      <c r="Q293" s="66"/>
      <c r="R293" s="66"/>
      <c r="S293" s="66"/>
      <c r="T293" s="66"/>
    </row>
    <row r="294" spans="2:20" ht="18" customHeight="1">
      <c r="B294" s="18" t="str">
        <f>"26-E052-0000"</f>
        <v>26-E052-0000</v>
      </c>
      <c r="C294" s="18" t="str">
        <f>"Assembly, JM, E052, Resistors Panel"</f>
        <v>Assembly, JM, E052, Resistors Panel</v>
      </c>
      <c r="D294" s="18" t="s">
        <v>0</v>
      </c>
      <c r="E294" s="18">
        <v>2</v>
      </c>
      <c r="F294" s="18"/>
      <c r="G294" s="16" t="str">
        <f>IFERROR(HYPERLINK("#"&amp;ADDRESS(MATCH(B294&amp;"ES",'LM7 Non-ENG'!$A$1:$A$5000,0),1,,,"LM7 Non-ENG"),IF(IFERROR(VLOOKUP(B294&amp;"ES",'LM7 Non-ENG'!$A$1:$A$4999,1,FALSE),"ERROR")=B294&amp;"ES","Y","")),"")</f>
        <v/>
      </c>
      <c r="H294" s="16" t="str">
        <f>IFERROR(HYPERLINK("#"&amp;ADDRESS(MATCH(B294&amp;"PT",'LM7 Non-ENG'!$A$1:$A$5000,0),1,,,"LM7 Non-ENG"),IF(IFERROR(VLOOKUP(B294&amp;"PT",'LM7 Non-ENG'!$A$1:$A$5000,1,FALSE),"ERROR")=B294&amp;"PT","Y","")),"")</f>
        <v/>
      </c>
      <c r="I294" t="str">
        <f>IFERROR(VLOOKUP(B294,PN!$A:$C,3,FALSE),"")</f>
        <v>Active</v>
      </c>
      <c r="J294" s="46">
        <f>IFERROR(E294*VLOOKUP(B294,PLInter!$A:$D,3,FALSE),"")</f>
        <v>1134</v>
      </c>
      <c r="K294" s="66"/>
      <c r="L294" s="66"/>
      <c r="M294" s="66"/>
      <c r="N294" s="66"/>
      <c r="O294" s="66"/>
      <c r="P294" s="66"/>
      <c r="Q294" s="66"/>
      <c r="R294" s="66"/>
      <c r="S294" s="66"/>
      <c r="T294" s="66"/>
    </row>
    <row r="295" spans="2:20" ht="18" customHeight="1">
      <c r="B295" s="18" t="str">
        <f>"26-E055-0000"</f>
        <v>26-E055-0000</v>
      </c>
      <c r="C295" s="18" t="str">
        <f>"Assembly, JM, E055, Filters/Capacitors Panel"</f>
        <v>Assembly, JM, E055, Filters/Capacitors Panel</v>
      </c>
      <c r="D295" s="18" t="s">
        <v>0</v>
      </c>
      <c r="E295" s="18">
        <v>2</v>
      </c>
      <c r="F295" s="18"/>
      <c r="G295" s="16" t="str">
        <f>IFERROR(HYPERLINK("#"&amp;ADDRESS(MATCH(B295&amp;"ES",'LM7 Non-ENG'!$A$1:$A$5000,0),1,,,"LM7 Non-ENG"),IF(IFERROR(VLOOKUP(B295&amp;"ES",'LM7 Non-ENG'!$A$1:$A$4999,1,FALSE),"ERROR")=B295&amp;"ES","Y","")),"")</f>
        <v/>
      </c>
      <c r="H295" s="16" t="str">
        <f>IFERROR(HYPERLINK("#"&amp;ADDRESS(MATCH(B295&amp;"PT",'LM7 Non-ENG'!$A$1:$A$5000,0),1,,,"LM7 Non-ENG"),IF(IFERROR(VLOOKUP(B295&amp;"PT",'LM7 Non-ENG'!$A$1:$A$5000,1,FALSE),"ERROR")=B295&amp;"PT","Y","")),"")</f>
        <v/>
      </c>
      <c r="I295" t="str">
        <f>IFERROR(VLOOKUP(B295,PN!$A:$C,3,FALSE),"")</f>
        <v>Active</v>
      </c>
      <c r="J295" s="46">
        <f>IFERROR(E295*VLOOKUP(B295,PLInter!$A:$D,3,FALSE),"")</f>
        <v>1100</v>
      </c>
      <c r="K295" s="66"/>
      <c r="L295" s="66"/>
      <c r="M295" s="66"/>
      <c r="N295" s="66"/>
      <c r="O295" s="66"/>
      <c r="P295" s="66"/>
      <c r="Q295" s="66"/>
      <c r="R295" s="66"/>
      <c r="S295" s="66"/>
      <c r="T295" s="66"/>
    </row>
    <row r="296" spans="2:20" ht="18" customHeight="1">
      <c r="B296" s="18" t="str">
        <f>"77-EB01C-0000"</f>
        <v>77-EB01C-0000</v>
      </c>
      <c r="C296" s="18" t="str">
        <f>"LM7 Content, JM, Digital Oscilloscope"</f>
        <v>LM7 Content, JM, Digital Oscilloscope</v>
      </c>
      <c r="D296" s="18" t="s">
        <v>0</v>
      </c>
      <c r="E296" s="18">
        <v>1</v>
      </c>
      <c r="F296" s="18"/>
      <c r="G296" s="16" t="str">
        <f>IFERROR(HYPERLINK("#"&amp;ADDRESS(MATCH(B296&amp;"ES",'LM7 Non-ENG'!$A$1:$A$5000,0),1,,,"LM7 Non-ENG"),IF(IFERROR(VLOOKUP(B296&amp;"ES",'LM7 Non-ENG'!$A$1:$A$4999,1,FALSE),"ERROR")=B296&amp;"ES","Y","")),"")</f>
        <v>Y</v>
      </c>
      <c r="H296" s="16" t="str">
        <f>IFERROR(HYPERLINK("#"&amp;ADDRESS(MATCH(B296&amp;"PT",'LM7 Non-ENG'!$A$1:$A$5000,0),1,,,"LM7 Non-ENG"),IF(IFERROR(VLOOKUP(B296&amp;"PT",'LM7 Non-ENG'!$A$1:$A$5000,1,FALSE),"ERROR")=B296&amp;"PT","Y","")),"")</f>
        <v/>
      </c>
      <c r="I296" t="str">
        <f>IFERROR(VLOOKUP(B296,PN!$A:$C,3,FALSE),"")</f>
        <v>Active</v>
      </c>
      <c r="J296" s="46">
        <f>IFERROR(E296*VLOOKUP(B296,PLInter!$A:$D,3,FALSE),"")</f>
        <v>700</v>
      </c>
      <c r="K296" s="66"/>
      <c r="L296" s="66"/>
      <c r="M296" s="66"/>
      <c r="N296" s="66"/>
      <c r="O296" s="66"/>
      <c r="P296" s="66"/>
      <c r="Q296" s="66"/>
      <c r="R296" s="66"/>
      <c r="S296" s="66"/>
      <c r="T296" s="66"/>
    </row>
    <row r="297" spans="2:20" ht="18" customHeight="1">
      <c r="B297" s="18" t="str">
        <f>"36-8900-0025"</f>
        <v>36-8900-0025</v>
      </c>
      <c r="C297" s="18" t="str">
        <f>"JM, Oscilloscope, 5MHz, Hand Held"</f>
        <v>JM, Oscilloscope, 5MHz, Hand Held</v>
      </c>
      <c r="D297" s="18" t="s">
        <v>0</v>
      </c>
      <c r="E297" s="18">
        <v>2</v>
      </c>
      <c r="F297" s="18"/>
      <c r="G297" s="16" t="str">
        <f>IFERROR(HYPERLINK("#"&amp;ADDRESS(MATCH(B297&amp;"ES",'LM7 Non-ENG'!$A$1:$A$5000,0),1,,,"LM7 Non-ENG"),IF(IFERROR(VLOOKUP(B297&amp;"ES",'LM7 Non-ENG'!$A$1:$A$4999,1,FALSE),"ERROR")=B297&amp;"ES","Y","")),"")</f>
        <v/>
      </c>
      <c r="H297" s="16" t="str">
        <f>IFERROR(HYPERLINK("#"&amp;ADDRESS(MATCH(B297&amp;"PT",'LM7 Non-ENG'!$A$1:$A$5000,0),1,,,"LM7 Non-ENG"),IF(IFERROR(VLOOKUP(B297&amp;"PT",'LM7 Non-ENG'!$A$1:$A$5000,1,FALSE),"ERROR")=B297&amp;"PT","Y","")),"")</f>
        <v/>
      </c>
      <c r="I297" t="str">
        <f>IFERROR(VLOOKUP(B297,PN!$A:$C,3,FALSE),"")</f>
        <v>Active</v>
      </c>
      <c r="J297" s="46">
        <f>IFERROR(E297*VLOOKUP(B297,PLInter!$A:$D,3,FALSE),"")</f>
        <v>4000</v>
      </c>
      <c r="K297" s="66"/>
      <c r="L297" s="66"/>
      <c r="M297" s="66"/>
      <c r="N297" s="66"/>
      <c r="O297" s="66"/>
      <c r="P297" s="66"/>
      <c r="Q297" s="66"/>
      <c r="R297" s="66"/>
      <c r="S297" s="66"/>
      <c r="T297" s="66"/>
    </row>
    <row r="298" spans="2:20" ht="18" customHeight="1">
      <c r="B298" s="18" t="str">
        <f>"77-EB02A-0000"</f>
        <v>77-EB02A-0000</v>
      </c>
      <c r="C298" s="18" t="str">
        <f>"LM7 Content, JM, DC Power Supplies"</f>
        <v>LM7 Content, JM, DC Power Supplies</v>
      </c>
      <c r="D298" s="18" t="s">
        <v>0</v>
      </c>
      <c r="E298" s="18">
        <v>1</v>
      </c>
      <c r="F298" s="18"/>
      <c r="G298" s="16" t="str">
        <f>IFERROR(HYPERLINK("#"&amp;ADDRESS(MATCH(B298&amp;"ES",'LM7 Non-ENG'!$A$1:$A$5000,0),1,,,"LM7 Non-ENG"),IF(IFERROR(VLOOKUP(B298&amp;"ES",'LM7 Non-ENG'!$A$1:$A$4999,1,FALSE),"ERROR")=B298&amp;"ES","Y","")),"")</f>
        <v>Y</v>
      </c>
      <c r="H298" s="16" t="str">
        <f>IFERROR(HYPERLINK("#"&amp;ADDRESS(MATCH(B298&amp;"PT",'LM7 Non-ENG'!$A$1:$A$5000,0),1,,,"LM7 Non-ENG"),IF(IFERROR(VLOOKUP(B298&amp;"PT",'LM7 Non-ENG'!$A$1:$A$5000,1,FALSE),"ERROR")=B298&amp;"PT","Y","")),"")</f>
        <v/>
      </c>
      <c r="I298" t="str">
        <f>IFERROR(VLOOKUP(B298,PN!$A:$C,3,FALSE),"")</f>
        <v>Active</v>
      </c>
      <c r="J298" s="46">
        <f>IFERROR(E298*VLOOKUP(B298,PLInter!$A:$D,3,FALSE),"")</f>
        <v>700</v>
      </c>
      <c r="K298" s="66"/>
      <c r="L298" s="66"/>
      <c r="M298" s="66"/>
      <c r="N298" s="66"/>
      <c r="O298" s="66"/>
      <c r="P298" s="66"/>
      <c r="Q298" s="66"/>
      <c r="R298" s="66"/>
      <c r="S298" s="66"/>
      <c r="T298" s="66"/>
    </row>
    <row r="299" spans="2:20" ht="18" customHeight="1">
      <c r="B299" s="18" t="str">
        <f>"26-E039-0000"</f>
        <v>26-E039-0000</v>
      </c>
      <c r="C299" s="18" t="str">
        <f>"Assembly, JM, E039,Single Phase Bridge Rectifier"</f>
        <v>Assembly, JM, E039,Single Phase Bridge Rectifier</v>
      </c>
      <c r="D299" s="18" t="s">
        <v>0</v>
      </c>
      <c r="E299" s="18">
        <v>2</v>
      </c>
      <c r="F299" s="18"/>
      <c r="G299" s="16" t="str">
        <f>IFERROR(HYPERLINK("#"&amp;ADDRESS(MATCH(B299&amp;"ES",'LM7 Non-ENG'!$A$1:$A$5000,0),1,,,"LM7 Non-ENG"),IF(IFERROR(VLOOKUP(B299&amp;"ES",'LM7 Non-ENG'!$A$1:$A$4999,1,FALSE),"ERROR")=B299&amp;"ES","Y","")),"")</f>
        <v/>
      </c>
      <c r="H299" s="16" t="str">
        <f>IFERROR(HYPERLINK("#"&amp;ADDRESS(MATCH(B299&amp;"PT",'LM7 Non-ENG'!$A$1:$A$5000,0),1,,,"LM7 Non-ENG"),IF(IFERROR(VLOOKUP(B299&amp;"PT",'LM7 Non-ENG'!$A$1:$A$5000,1,FALSE),"ERROR")=B299&amp;"PT","Y","")),"")</f>
        <v/>
      </c>
      <c r="I299" t="str">
        <f>IFERROR(VLOOKUP(B299,PN!$A:$C,3,FALSE),"")</f>
        <v>Active</v>
      </c>
      <c r="J299" s="46">
        <f>IFERROR(E299*VLOOKUP(B299,PLInter!$A:$D,3,FALSE),"")</f>
        <v>900</v>
      </c>
      <c r="K299" s="66"/>
      <c r="L299" s="66"/>
      <c r="M299" s="66"/>
      <c r="N299" s="66"/>
      <c r="O299" s="66"/>
      <c r="P299" s="66"/>
      <c r="Q299" s="66"/>
      <c r="R299" s="66"/>
      <c r="S299" s="66"/>
      <c r="T299" s="66"/>
    </row>
    <row r="300" spans="2:20" ht="18" customHeight="1">
      <c r="B300" s="18" t="str">
        <f>"26-E061-0000"</f>
        <v>26-E061-0000</v>
      </c>
      <c r="C300" s="18" t="str">
        <f>"Assembly, JM, E061, Low Voltage Transformer"</f>
        <v>Assembly, JM, E061, Low Voltage Transformer</v>
      </c>
      <c r="D300" s="18" t="s">
        <v>0</v>
      </c>
      <c r="E300" s="18">
        <v>2</v>
      </c>
      <c r="F300" s="18"/>
      <c r="G300" s="16" t="str">
        <f>IFERROR(HYPERLINK("#"&amp;ADDRESS(MATCH(B300&amp;"ES",'LM7 Non-ENG'!$A$1:$A$5000,0),1,,,"LM7 Non-ENG"),IF(IFERROR(VLOOKUP(B300&amp;"ES",'LM7 Non-ENG'!$A$1:$A$4999,1,FALSE),"ERROR")=B300&amp;"ES","Y","")),"")</f>
        <v/>
      </c>
      <c r="H300" s="16" t="str">
        <f>IFERROR(HYPERLINK("#"&amp;ADDRESS(MATCH(B300&amp;"PT",'LM7 Non-ENG'!$A$1:$A$5000,0),1,,,"LM7 Non-ENG"),IF(IFERROR(VLOOKUP(B300&amp;"PT",'LM7 Non-ENG'!$A$1:$A$5000,1,FALSE),"ERROR")=B300&amp;"PT","Y","")),"")</f>
        <v/>
      </c>
      <c r="I300" t="str">
        <f>IFERROR(VLOOKUP(B300,PN!$A:$C,3,FALSE),"")</f>
        <v>Active</v>
      </c>
      <c r="J300" s="46">
        <f>IFERROR(E300*VLOOKUP(B300,PLInter!$A:$D,3,FALSE),"")</f>
        <v>1270</v>
      </c>
      <c r="K300" s="66"/>
      <c r="L300" s="66"/>
      <c r="M300" s="66"/>
      <c r="N300" s="66"/>
      <c r="O300" s="66"/>
      <c r="P300" s="66"/>
      <c r="Q300" s="66"/>
      <c r="R300" s="66"/>
      <c r="S300" s="66"/>
      <c r="T300" s="66"/>
    </row>
    <row r="301" spans="2:20" ht="18" customHeight="1">
      <c r="B301" t="str">
        <f>"26-E062-0000"</f>
        <v>26-E062-0000</v>
      </c>
      <c r="C301" t="str">
        <f>"Assembly, JM, E062, Diode Rectifier Panel"</f>
        <v>Assembly, JM, E062, Diode Rectifier Panel</v>
      </c>
      <c r="E301">
        <v>2</v>
      </c>
      <c r="G301" s="29" t="str">
        <f>IFERROR(HYPERLINK("#"&amp;ADDRESS(MATCH(B301&amp;"ES",'LM7 Non-ENG'!$A$1:$A$5000,0),1,,,"LM7 Non-ENG"),IF(IFERROR(VLOOKUP(B301&amp;"ES",'LM7 Non-ENG'!$A$1:$A$4999,1,FALSE),"ERROR")=B301&amp;"ES","Y","")),"")</f>
        <v/>
      </c>
      <c r="H301" s="29" t="str">
        <f>IFERROR(HYPERLINK("#"&amp;ADDRESS(MATCH(B301&amp;"PT",'LM7 Non-ENG'!$A$1:$A$5000,0),1,,,"LM7 Non-ENG"),IF(IFERROR(VLOOKUP(B301&amp;"PT",'LM7 Non-ENG'!$A$1:$A$5000,1,FALSE),"ERROR")=B301&amp;"PT","Y","")),"")</f>
        <v/>
      </c>
      <c r="I301" t="str">
        <f>IFERROR(VLOOKUP(B301,PN!$A:$C,3,FALSE),"")</f>
        <v>Active</v>
      </c>
      <c r="J301" s="3">
        <f>IFERROR(E301*VLOOKUP(B301,PLInter!$A:$D,3,FALSE),"")</f>
        <v>1090</v>
      </c>
      <c r="K301" s="66"/>
      <c r="L301" s="66"/>
      <c r="M301" s="66"/>
      <c r="N301" s="66"/>
      <c r="O301" s="66"/>
      <c r="P301" s="66"/>
      <c r="Q301" s="66"/>
      <c r="R301" s="66"/>
      <c r="S301" s="66"/>
      <c r="T301" s="66"/>
    </row>
    <row r="302" spans="2:20" ht="18" customHeight="1">
      <c r="B302" t="str">
        <f>"77-EB02B-0000"</f>
        <v>77-EB02B-0000</v>
      </c>
      <c r="C302" t="str">
        <f>"LM7 Content, JM, Single &amp; 3 Phase Power Supply"</f>
        <v>LM7 Content, JM, Single &amp; 3 Phase Power Supply</v>
      </c>
      <c r="E302">
        <v>1</v>
      </c>
      <c r="G302" s="29" t="str">
        <f>IFERROR(HYPERLINK("#"&amp;ADDRESS(MATCH(B302&amp;"ES",'LM7 Non-ENG'!$A$1:$A$5000,0),1,,,"LM7 Non-ENG"),IF(IFERROR(VLOOKUP(B302&amp;"ES",'LM7 Non-ENG'!$A$1:$A$4999,1,FALSE),"ERROR")=B302&amp;"ES","Y","")),"")</f>
        <v>Y</v>
      </c>
      <c r="H302" s="29" t="str">
        <f>IFERROR(HYPERLINK("#"&amp;ADDRESS(MATCH(B302&amp;"PT",'LM7 Non-ENG'!$A$1:$A$5000,0),1,,,"LM7 Non-ENG"),IF(IFERROR(VLOOKUP(B302&amp;"PT",'LM7 Non-ENG'!$A$1:$A$5000,1,FALSE),"ERROR")=B302&amp;"PT","Y","")),"")</f>
        <v>Y</v>
      </c>
      <c r="I302" t="str">
        <f>IFERROR(VLOOKUP(B302,PN!$A:$C,3,FALSE),"")</f>
        <v>Active</v>
      </c>
      <c r="J302" s="3">
        <f>IFERROR(E302*VLOOKUP(B302,PLInter!$A:$D,3,FALSE),"")</f>
        <v>700</v>
      </c>
      <c r="K302" s="66"/>
      <c r="L302" s="66"/>
      <c r="M302" s="66"/>
      <c r="N302" s="66"/>
      <c r="O302" s="66"/>
      <c r="P302" s="66"/>
      <c r="Q302" s="66"/>
      <c r="R302" s="66"/>
      <c r="S302" s="66"/>
      <c r="T302" s="66"/>
    </row>
    <row r="303" spans="2:20" ht="18" customHeight="1">
      <c r="B303" t="str">
        <f>"26-E049-0000"</f>
        <v>26-E049-0000</v>
      </c>
      <c r="C303" t="str">
        <f>"Assembly, JM, E049, Zener Diode Panel"</f>
        <v>Assembly, JM, E049, Zener Diode Panel</v>
      </c>
      <c r="E303">
        <v>1</v>
      </c>
      <c r="G303" s="29" t="str">
        <f>IFERROR(HYPERLINK("#"&amp;ADDRESS(MATCH(B303&amp;"ES",'LM7 Non-ENG'!$A$1:$A$5000,0),1,,,"LM7 Non-ENG"),IF(IFERROR(VLOOKUP(B303&amp;"ES",'LM7 Non-ENG'!$A$1:$A$4999,1,FALSE),"ERROR")=B303&amp;"ES","Y","")),"")</f>
        <v/>
      </c>
      <c r="H303" s="29" t="str">
        <f>IFERROR(HYPERLINK("#"&amp;ADDRESS(MATCH(B303&amp;"PT",'LM7 Non-ENG'!$A$1:$A$5000,0),1,,,"LM7 Non-ENG"),IF(IFERROR(VLOOKUP(B303&amp;"PT",'LM7 Non-ENG'!$A$1:$A$5000,1,FALSE),"ERROR")=B303&amp;"PT","Y","")),"")</f>
        <v/>
      </c>
      <c r="I303" t="str">
        <f>IFERROR(VLOOKUP(B303,PN!$A:$C,3,FALSE),"")</f>
        <v>Active</v>
      </c>
      <c r="J303" s="3">
        <f>IFERROR(E303*VLOOKUP(B303,PLInter!$A:$D,3,FALSE),"")</f>
        <v>334</v>
      </c>
      <c r="K303" s="66"/>
      <c r="L303" s="66"/>
      <c r="M303" s="66"/>
      <c r="N303" s="66"/>
      <c r="O303" s="66"/>
      <c r="P303" s="66"/>
      <c r="Q303" s="66"/>
      <c r="R303" s="66"/>
      <c r="S303" s="66"/>
      <c r="T303" s="66"/>
    </row>
    <row r="304" spans="2:20" ht="18" customHeight="1">
      <c r="B304" t="str">
        <f>"26-E050-0000"</f>
        <v>26-E050-0000</v>
      </c>
      <c r="C304" t="str">
        <f>"Assembly, JM, E050, Regulated Power Supply Panel"</f>
        <v>Assembly, JM, E050, Regulated Power Supply Panel</v>
      </c>
      <c r="E304">
        <v>1</v>
      </c>
      <c r="G304" s="29" t="str">
        <f>IFERROR(HYPERLINK("#"&amp;ADDRESS(MATCH(B304&amp;"ES",'LM7 Non-ENG'!$A$1:$A$5000,0),1,,,"LM7 Non-ENG"),IF(IFERROR(VLOOKUP(B304&amp;"ES",'LM7 Non-ENG'!$A$1:$A$4999,1,FALSE),"ERROR")=B304&amp;"ES","Y","")),"")</f>
        <v/>
      </c>
      <c r="H304" s="29" t="str">
        <f>IFERROR(HYPERLINK("#"&amp;ADDRESS(MATCH(B304&amp;"PT",'LM7 Non-ENG'!$A$1:$A$5000,0),1,,,"LM7 Non-ENG"),IF(IFERROR(VLOOKUP(B304&amp;"PT",'LM7 Non-ENG'!$A$1:$A$5000,1,FALSE),"ERROR")=B304&amp;"PT","Y","")),"")</f>
        <v/>
      </c>
      <c r="I304" t="str">
        <f>IFERROR(VLOOKUP(B304,PN!$A:$C,3,FALSE),"")</f>
        <v>Active</v>
      </c>
      <c r="J304" s="3">
        <f>IFERROR(E304*VLOOKUP(B304,PLInter!$A:$D,3,FALSE),"")</f>
        <v>565</v>
      </c>
      <c r="K304" s="66"/>
      <c r="L304" s="66"/>
      <c r="M304" s="66"/>
      <c r="N304" s="66"/>
      <c r="O304" s="66"/>
      <c r="P304" s="66"/>
      <c r="Q304" s="66"/>
      <c r="R304" s="66"/>
      <c r="S304" s="66"/>
      <c r="T304" s="66"/>
    </row>
    <row r="305" spans="2:20" ht="18" customHeight="1">
      <c r="B305" t="str">
        <f>"26-E053-0000"</f>
        <v>26-E053-0000</v>
      </c>
      <c r="C305" t="str">
        <f>"Assembly, JM, E053, Three Phase Bridge Rectifier"</f>
        <v>Assembly, JM, E053, Three Phase Bridge Rectifier</v>
      </c>
      <c r="E305">
        <v>1</v>
      </c>
      <c r="G305" s="29" t="str">
        <f>IFERROR(HYPERLINK("#"&amp;ADDRESS(MATCH(B305&amp;"ES",'LM7 Non-ENG'!$A$1:$A$5000,0),1,,,"LM7 Non-ENG"),IF(IFERROR(VLOOKUP(B305&amp;"ES",'LM7 Non-ENG'!$A$1:$A$4999,1,FALSE),"ERROR")=B305&amp;"ES","Y","")),"")</f>
        <v/>
      </c>
      <c r="H305" s="29" t="str">
        <f>IFERROR(HYPERLINK("#"&amp;ADDRESS(MATCH(B305&amp;"PT",'LM7 Non-ENG'!$A$1:$A$5000,0),1,,,"LM7 Non-ENG"),IF(IFERROR(VLOOKUP(B305&amp;"PT",'LM7 Non-ENG'!$A$1:$A$5000,1,FALSE),"ERROR")=B305&amp;"PT","Y","")),"")</f>
        <v/>
      </c>
      <c r="I305" t="str">
        <f>IFERROR(VLOOKUP(B305,PN!$A:$C,3,FALSE),"")</f>
        <v>Active</v>
      </c>
      <c r="J305" s="3">
        <f>IFERROR(E305*VLOOKUP(B305,PLInter!$A:$D,3,FALSE),"")</f>
        <v>567</v>
      </c>
      <c r="K305" s="66"/>
      <c r="L305" s="66"/>
      <c r="M305" s="66"/>
      <c r="N305" s="66"/>
      <c r="O305" s="66"/>
      <c r="P305" s="66"/>
      <c r="Q305" s="66"/>
      <c r="R305" s="66"/>
      <c r="S305" s="66"/>
      <c r="T305" s="66"/>
    </row>
    <row r="306" spans="2:20" ht="18" customHeight="1">
      <c r="B306" t="str">
        <f>"77-EB03-0000"</f>
        <v>77-EB03-0000</v>
      </c>
      <c r="C306" t="str">
        <f>"LM7 Content, JM, Thyristor Motor Drives"</f>
        <v>LM7 Content, JM, Thyristor Motor Drives</v>
      </c>
      <c r="E306">
        <v>1</v>
      </c>
      <c r="G306" s="29" t="str">
        <f>IFERROR(HYPERLINK("#"&amp;ADDRESS(MATCH(B306&amp;"ES",'LM7 Non-ENG'!$A$1:$A$5000,0),1,,,"LM7 Non-ENG"),IF(IFERROR(VLOOKUP(B306&amp;"ES",'LM7 Non-ENG'!$A$1:$A$4999,1,FALSE),"ERROR")=B306&amp;"ES","Y","")),"")</f>
        <v>Y</v>
      </c>
      <c r="H306" s="29" t="str">
        <f>IFERROR(HYPERLINK("#"&amp;ADDRESS(MATCH(B306&amp;"PT",'LM7 Non-ENG'!$A$1:$A$5000,0),1,,,"LM7 Non-ENG"),IF(IFERROR(VLOOKUP(B306&amp;"PT",'LM7 Non-ENG'!$A$1:$A$5000,1,FALSE),"ERROR")=B306&amp;"PT","Y","")),"")</f>
        <v/>
      </c>
      <c r="I306" t="str">
        <f>IFERROR(VLOOKUP(B306,PN!$A:$C,3,FALSE),"")</f>
        <v>Active</v>
      </c>
      <c r="J306" s="3">
        <f>IFERROR(E306*VLOOKUP(B306,PLInter!$A:$D,3,FALSE),"")</f>
        <v>700</v>
      </c>
      <c r="K306" s="66"/>
      <c r="L306" s="66"/>
      <c r="M306" s="66"/>
      <c r="N306" s="66"/>
      <c r="O306" s="66"/>
      <c r="P306" s="66"/>
      <c r="Q306" s="66"/>
      <c r="R306" s="66"/>
      <c r="S306" s="66"/>
      <c r="T306" s="66"/>
    </row>
    <row r="307" spans="2:20" ht="18" customHeight="1">
      <c r="B307" t="str">
        <f>"26-E081-0000"</f>
        <v>26-E081-0000</v>
      </c>
      <c r="C307" t="str">
        <f>"Assembly, JM, E081, SCR Panel"</f>
        <v>Assembly, JM, E081, SCR Panel</v>
      </c>
      <c r="E307">
        <v>1</v>
      </c>
      <c r="G307" s="29" t="str">
        <f>IFERROR(HYPERLINK("#"&amp;ADDRESS(MATCH(B307&amp;"ES",'LM7 Non-ENG'!$A$1:$A$5000,0),1,,,"LM7 Non-ENG"),IF(IFERROR(VLOOKUP(B307&amp;"ES",'LM7 Non-ENG'!$A$1:$A$4999,1,FALSE),"ERROR")=B307&amp;"ES","Y","")),"")</f>
        <v/>
      </c>
      <c r="H307" s="29" t="str">
        <f>IFERROR(HYPERLINK("#"&amp;ADDRESS(MATCH(B307&amp;"PT",'LM7 Non-ENG'!$A$1:$A$5000,0),1,,,"LM7 Non-ENG"),IF(IFERROR(VLOOKUP(B307&amp;"PT",'LM7 Non-ENG'!$A$1:$A$5000,1,FALSE),"ERROR")=B307&amp;"PT","Y","")),"")</f>
        <v/>
      </c>
      <c r="I307" t="str">
        <f>IFERROR(VLOOKUP(B307,PN!$A:$C,3,FALSE),"")</f>
        <v>Active</v>
      </c>
      <c r="J307" s="3">
        <f>IFERROR(E307*VLOOKUP(B307,PLInter!$A:$D,3,FALSE),"")</f>
        <v>350</v>
      </c>
      <c r="K307" s="66"/>
      <c r="L307" s="66"/>
      <c r="M307" s="66"/>
      <c r="N307" s="66"/>
      <c r="O307" s="66"/>
      <c r="P307" s="66"/>
      <c r="Q307" s="66"/>
      <c r="R307" s="66"/>
      <c r="S307" s="66"/>
      <c r="T307" s="66"/>
    </row>
    <row r="308" spans="2:20" ht="18" customHeight="1">
      <c r="B308" t="str">
        <f>"26-E083-0000"</f>
        <v>26-E083-0000</v>
      </c>
      <c r="C308" t="str">
        <f>"Assembly, JM, E083, TRIAC Panel"</f>
        <v>Assembly, JM, E083, TRIAC Panel</v>
      </c>
      <c r="E308">
        <v>1</v>
      </c>
      <c r="G308" s="29" t="str">
        <f>IFERROR(HYPERLINK("#"&amp;ADDRESS(MATCH(B308&amp;"ES",'LM7 Non-ENG'!$A$1:$A$5000,0),1,,,"LM7 Non-ENG"),IF(IFERROR(VLOOKUP(B308&amp;"ES",'LM7 Non-ENG'!$A$1:$A$4999,1,FALSE),"ERROR")=B308&amp;"ES","Y","")),"")</f>
        <v/>
      </c>
      <c r="H308" s="29" t="str">
        <f>IFERROR(HYPERLINK("#"&amp;ADDRESS(MATCH(B308&amp;"PT",'LM7 Non-ENG'!$A$1:$A$5000,0),1,,,"LM7 Non-ENG"),IF(IFERROR(VLOOKUP(B308&amp;"PT",'LM7 Non-ENG'!$A$1:$A$5000,1,FALSE),"ERROR")=B308&amp;"PT","Y","")),"")</f>
        <v/>
      </c>
      <c r="I308" t="str">
        <f>IFERROR(VLOOKUP(B308,PN!$A:$C,3,FALSE),"")</f>
        <v>Active</v>
      </c>
      <c r="J308" s="3">
        <f>IFERROR(E308*VLOOKUP(B308,PLInter!$A:$D,3,FALSE),"")</f>
        <v>307</v>
      </c>
      <c r="K308" s="66"/>
      <c r="L308" s="66"/>
      <c r="M308" s="66"/>
      <c r="N308" s="66"/>
      <c r="O308" s="66"/>
      <c r="P308" s="66"/>
      <c r="Q308" s="66"/>
      <c r="R308" s="66"/>
      <c r="S308" s="66"/>
      <c r="T308" s="66"/>
    </row>
    <row r="309" spans="2:20" ht="18" customHeight="1">
      <c r="B309" t="str">
        <f>"26-E084-0000"</f>
        <v>26-E084-0000</v>
      </c>
      <c r="C309" t="str">
        <f>"Assembly, JM, E084, DIAC Adjustable Resistors"</f>
        <v>Assembly, JM, E084, DIAC Adjustable Resistors</v>
      </c>
      <c r="E309">
        <v>1</v>
      </c>
      <c r="G309" s="29" t="str">
        <f>IFERROR(HYPERLINK("#"&amp;ADDRESS(MATCH(B309&amp;"ES",'LM7 Non-ENG'!$A$1:$A$5000,0),1,,,"LM7 Non-ENG"),IF(IFERROR(VLOOKUP(B309&amp;"ES",'LM7 Non-ENG'!$A$1:$A$4999,1,FALSE),"ERROR")=B309&amp;"ES","Y","")),"")</f>
        <v/>
      </c>
      <c r="H309" s="29" t="str">
        <f>IFERROR(HYPERLINK("#"&amp;ADDRESS(MATCH(B309&amp;"PT",'LM7 Non-ENG'!$A$1:$A$5000,0),1,,,"LM7 Non-ENG"),IF(IFERROR(VLOOKUP(B309&amp;"PT",'LM7 Non-ENG'!$A$1:$A$5000,1,FALSE),"ERROR")=B309&amp;"PT","Y","")),"")</f>
        <v/>
      </c>
      <c r="I309" t="str">
        <f>IFERROR(VLOOKUP(B309,PN!$A:$C,3,FALSE),"")</f>
        <v>Active</v>
      </c>
      <c r="J309" s="3">
        <f>IFERROR(E309*VLOOKUP(B309,PLInter!$A:$D,3,FALSE),"")</f>
        <v>394</v>
      </c>
      <c r="K309" s="66"/>
      <c r="L309" s="66"/>
      <c r="M309" s="66"/>
      <c r="N309" s="66"/>
      <c r="O309" s="66"/>
      <c r="P309" s="66"/>
      <c r="Q309" s="66"/>
      <c r="R309" s="66"/>
      <c r="S309" s="66"/>
      <c r="T309" s="66"/>
    </row>
    <row r="310" spans="2:20" ht="18" customHeight="1">
      <c r="B310" t="str">
        <f>"26-E085-0000"</f>
        <v>26-E085-0000</v>
      </c>
      <c r="C310" t="str">
        <f>"Assembly, JM, E085, Triac w/ Schmitt Trigger"</f>
        <v>Assembly, JM, E085, Triac w/ Schmitt Trigger</v>
      </c>
      <c r="E310">
        <v>1</v>
      </c>
      <c r="G310" s="29" t="str">
        <f>IFERROR(HYPERLINK("#"&amp;ADDRESS(MATCH(B310&amp;"ES",'LM7 Non-ENG'!$A$1:$A$5000,0),1,,,"LM7 Non-ENG"),IF(IFERROR(VLOOKUP(B310&amp;"ES",'LM7 Non-ENG'!$A$1:$A$4999,1,FALSE),"ERROR")=B310&amp;"ES","Y","")),"")</f>
        <v/>
      </c>
      <c r="H310" s="29" t="str">
        <f>IFERROR(HYPERLINK("#"&amp;ADDRESS(MATCH(B310&amp;"PT",'LM7 Non-ENG'!$A$1:$A$5000,0),1,,,"LM7 Non-ENG"),IF(IFERROR(VLOOKUP(B310&amp;"PT",'LM7 Non-ENG'!$A$1:$A$5000,1,FALSE),"ERROR")=B310&amp;"PT","Y","")),"")</f>
        <v/>
      </c>
      <c r="I310" t="str">
        <f>IFERROR(VLOOKUP(B310,PN!$A:$C,3,FALSE),"")</f>
        <v>Active</v>
      </c>
      <c r="J310" s="3">
        <f>IFERROR(E310*VLOOKUP(B310,PLInter!$A:$D,3,FALSE),"")</f>
        <v>907</v>
      </c>
      <c r="K310" s="66"/>
      <c r="L310" s="66"/>
      <c r="M310" s="66"/>
      <c r="N310" s="66"/>
      <c r="O310" s="66"/>
      <c r="P310" s="66"/>
      <c r="Q310" s="66"/>
      <c r="R310" s="66"/>
      <c r="S310" s="66"/>
      <c r="T310" s="66"/>
    </row>
    <row r="311" spans="2:20" ht="18" customHeight="1">
      <c r="B311" t="str">
        <f>"26-E088-0000"</f>
        <v>26-E088-0000</v>
      </c>
      <c r="C311" t="str">
        <f>"Assembly, JM, E088, PMW Motor Drive Panel"</f>
        <v>Assembly, JM, E088, PMW Motor Drive Panel</v>
      </c>
      <c r="E311">
        <v>1</v>
      </c>
      <c r="G311" s="29" t="str">
        <f>IFERROR(HYPERLINK("#"&amp;ADDRESS(MATCH(B311&amp;"ES",'LM7 Non-ENG'!$A$1:$A$5000,0),1,,,"LM7 Non-ENG"),IF(IFERROR(VLOOKUP(B311&amp;"ES",'LM7 Non-ENG'!$A$1:$A$4999,1,FALSE),"ERROR")=B311&amp;"ES","Y","")),"")</f>
        <v/>
      </c>
      <c r="H311" s="29" t="str">
        <f>IFERROR(HYPERLINK("#"&amp;ADDRESS(MATCH(B311&amp;"PT",'LM7 Non-ENG'!$A$1:$A$5000,0),1,,,"LM7 Non-ENG"),IF(IFERROR(VLOOKUP(B311&amp;"PT",'LM7 Non-ENG'!$A$1:$A$5000,1,FALSE),"ERROR")=B311&amp;"PT","Y","")),"")</f>
        <v/>
      </c>
      <c r="I311" t="str">
        <f>IFERROR(VLOOKUP(B311,PN!$A:$C,3,FALSE),"")</f>
        <v>Active</v>
      </c>
      <c r="J311" s="3">
        <f>IFERROR(E311*VLOOKUP(B311,PLInter!$A:$D,3,FALSE),"")</f>
        <v>725</v>
      </c>
      <c r="K311" s="66"/>
      <c r="L311" s="66"/>
      <c r="M311" s="66"/>
      <c r="N311" s="66"/>
      <c r="O311" s="66"/>
      <c r="P311" s="66"/>
      <c r="Q311" s="66"/>
      <c r="R311" s="66"/>
      <c r="S311" s="66"/>
      <c r="T311" s="66"/>
    </row>
    <row r="312" spans="2:20" ht="18" customHeight="1">
      <c r="B312" t="str">
        <f>"26-E157-0000"</f>
        <v>26-E157-0000</v>
      </c>
      <c r="C312" t="str">
        <f>"Assembly, JM, E157, Electric AC/DC Motors"</f>
        <v>Assembly, JM, E157, Electric AC/DC Motors</v>
      </c>
      <c r="E312">
        <v>1</v>
      </c>
      <c r="G312" s="29" t="str">
        <f>IFERROR(HYPERLINK("#"&amp;ADDRESS(MATCH(B312&amp;"ES",'LM7 Non-ENG'!$A$1:$A$5000,0),1,,,"LM7 Non-ENG"),IF(IFERROR(VLOOKUP(B312&amp;"ES",'LM7 Non-ENG'!$A$1:$A$4999,1,FALSE),"ERROR")=B312&amp;"ES","Y","")),"")</f>
        <v/>
      </c>
      <c r="H312" s="29" t="str">
        <f>IFERROR(HYPERLINK("#"&amp;ADDRESS(MATCH(B312&amp;"PT",'LM7 Non-ENG'!$A$1:$A$5000,0),1,,,"LM7 Non-ENG"),IF(IFERROR(VLOOKUP(B312&amp;"PT",'LM7 Non-ENG'!$A$1:$A$5000,1,FALSE),"ERROR")=B312&amp;"PT","Y","")),"")</f>
        <v/>
      </c>
      <c r="I312" t="str">
        <f>IFERROR(VLOOKUP(B312,PN!$A:$C,3,FALSE),"")</f>
        <v>Active</v>
      </c>
      <c r="J312" s="3">
        <f>IFERROR(E312*VLOOKUP(B312,PLInter!$A:$D,3,FALSE),"")</f>
        <v>800</v>
      </c>
      <c r="K312" s="66"/>
      <c r="L312" s="66"/>
      <c r="M312" s="66"/>
      <c r="N312" s="66"/>
      <c r="O312" s="66"/>
      <c r="P312" s="66"/>
      <c r="Q312" s="66"/>
      <c r="R312" s="66"/>
      <c r="S312" s="66"/>
      <c r="T312" s="66"/>
    </row>
    <row r="313" spans="2:20" ht="18" customHeight="1">
      <c r="B313" t="str">
        <f>"26-E082-0000"</f>
        <v>26-E082-0000</v>
      </c>
      <c r="C313" t="str">
        <f>"Assembly, JM, E082, Full Wave SCR DC Drive Panel"</f>
        <v>Assembly, JM, E082, Full Wave SCR DC Drive Panel</v>
      </c>
      <c r="E313">
        <v>1</v>
      </c>
      <c r="G313" s="29" t="str">
        <f>IFERROR(HYPERLINK("#"&amp;ADDRESS(MATCH(B313&amp;"ES",'LM7 Non-ENG'!$A$1:$A$5000,0),1,,,"LM7 Non-ENG"),IF(IFERROR(VLOOKUP(B313&amp;"ES",'LM7 Non-ENG'!$A$1:$A$4999,1,FALSE),"ERROR")=B313&amp;"ES","Y","")),"")</f>
        <v/>
      </c>
      <c r="H313" s="29" t="str">
        <f>IFERROR(HYPERLINK("#"&amp;ADDRESS(MATCH(B313&amp;"PT",'LM7 Non-ENG'!$A$1:$A$5000,0),1,,,"LM7 Non-ENG"),IF(IFERROR(VLOOKUP(B313&amp;"PT",'LM7 Non-ENG'!$A$1:$A$5000,1,FALSE),"ERROR")=B313&amp;"PT","Y","")),"")</f>
        <v/>
      </c>
      <c r="I313" t="str">
        <f>IFERROR(VLOOKUP(B313,PN!$A:$C,3,FALSE),"")</f>
        <v>Active</v>
      </c>
      <c r="J313" s="3">
        <f>IFERROR(E313*VLOOKUP(B313,PLInter!$A:$D,3,FALSE),"")</f>
        <v>1000</v>
      </c>
      <c r="K313" s="66"/>
      <c r="L313" s="66"/>
      <c r="M313" s="66"/>
      <c r="N313" s="66"/>
      <c r="O313" s="66"/>
      <c r="P313" s="66"/>
      <c r="Q313" s="66"/>
      <c r="R313" s="66"/>
      <c r="S313" s="66"/>
      <c r="T313" s="66"/>
    </row>
    <row r="314" spans="2:20" ht="18" customHeight="1">
      <c r="B314" t="str">
        <f>"77-EB04-0000"</f>
        <v>77-EB04-0000</v>
      </c>
      <c r="C314" t="str">
        <f>"LM7 Content, JM, Electronic Timers &amp; Triggers"</f>
        <v>LM7 Content, JM, Electronic Timers &amp; Triggers</v>
      </c>
      <c r="E314">
        <v>1</v>
      </c>
      <c r="G314" s="29" t="str">
        <f>IFERROR(HYPERLINK("#"&amp;ADDRESS(MATCH(B314&amp;"ES",'LM7 Non-ENG'!$A$1:$A$5000,0),1,,,"LM7 Non-ENG"),IF(IFERROR(VLOOKUP(B314&amp;"ES",'LM7 Non-ENG'!$A$1:$A$4999,1,FALSE),"ERROR")=B314&amp;"ES","Y","")),"")</f>
        <v>Y</v>
      </c>
      <c r="H314" s="29" t="str">
        <f>IFERROR(HYPERLINK("#"&amp;ADDRESS(MATCH(B314&amp;"PT",'LM7 Non-ENG'!$A$1:$A$5000,0),1,,,"LM7 Non-ENG"),IF(IFERROR(VLOOKUP(B314&amp;"PT",'LM7 Non-ENG'!$A$1:$A$5000,1,FALSE),"ERROR")=B314&amp;"PT","Y","")),"")</f>
        <v/>
      </c>
      <c r="I314" t="str">
        <f>IFERROR(VLOOKUP(B314,PN!$A:$C,3,FALSE),"")</f>
        <v>Active</v>
      </c>
      <c r="J314" s="3">
        <f>IFERROR(E314*VLOOKUP(B314,PLInter!$A:$D,3,FALSE),"")</f>
        <v>700</v>
      </c>
      <c r="K314" s="66"/>
      <c r="L314" s="66"/>
      <c r="M314" s="66"/>
      <c r="N314" s="66"/>
      <c r="O314" s="66"/>
      <c r="P314" s="66"/>
      <c r="Q314" s="66"/>
      <c r="R314" s="66"/>
      <c r="S314" s="66"/>
      <c r="T314" s="66"/>
    </row>
    <row r="315" spans="2:20" ht="18" customHeight="1">
      <c r="B315" t="str">
        <f>"26-E089-0000"</f>
        <v>26-E089-0000</v>
      </c>
      <c r="C315" t="str">
        <f>"Assembly, JM, E089, Timers and Triggers Panel"</f>
        <v>Assembly, JM, E089, Timers and Triggers Panel</v>
      </c>
      <c r="E315">
        <v>1</v>
      </c>
      <c r="G315" s="29" t="str">
        <f>IFERROR(HYPERLINK("#"&amp;ADDRESS(MATCH(B315&amp;"ES",'LM7 Non-ENG'!$A$1:$A$5000,0),1,,,"LM7 Non-ENG"),IF(IFERROR(VLOOKUP(B315&amp;"ES",'LM7 Non-ENG'!$A$1:$A$4999,1,FALSE),"ERROR")=B315&amp;"ES","Y","")),"")</f>
        <v/>
      </c>
      <c r="H315" s="29" t="str">
        <f>IFERROR(HYPERLINK("#"&amp;ADDRESS(MATCH(B315&amp;"PT",'LM7 Non-ENG'!$A$1:$A$5000,0),1,,,"LM7 Non-ENG"),IF(IFERROR(VLOOKUP(B315&amp;"PT",'LM7 Non-ENG'!$A$1:$A$5000,1,FALSE),"ERROR")=B315&amp;"PT","Y","")),"")</f>
        <v/>
      </c>
      <c r="I315" t="str">
        <f>IFERROR(VLOOKUP(B315,PN!$A:$C,3,FALSE),"")</f>
        <v>Active</v>
      </c>
      <c r="J315" s="3">
        <f>IFERROR(E315*VLOOKUP(B315,PLInter!$A:$D,3,FALSE),"")</f>
        <v>1000</v>
      </c>
      <c r="K315" s="66"/>
      <c r="L315" s="66"/>
      <c r="M315" s="66"/>
      <c r="N315" s="66"/>
      <c r="O315" s="66"/>
      <c r="P315" s="66"/>
      <c r="Q315" s="66"/>
      <c r="R315" s="66"/>
      <c r="S315" s="66"/>
      <c r="T315" s="66"/>
    </row>
    <row r="316" spans="2:20" ht="18" customHeight="1">
      <c r="B316" t="str">
        <f>"77-EB05-0000"</f>
        <v>77-EB05-0000</v>
      </c>
      <c r="C316" t="str">
        <f>"LM7 Content, JM, Basic Stepper Motors &amp; Drives"</f>
        <v>LM7 Content, JM, Basic Stepper Motors &amp; Drives</v>
      </c>
      <c r="E316">
        <v>1</v>
      </c>
      <c r="G316" s="29" t="str">
        <f>IFERROR(HYPERLINK("#"&amp;ADDRESS(MATCH(B316&amp;"ES",'LM7 Non-ENG'!$A$1:$A$5000,0),1,,,"LM7 Non-ENG"),IF(IFERROR(VLOOKUP(B316&amp;"ES",'LM7 Non-ENG'!$A$1:$A$4999,1,FALSE),"ERROR")=B316&amp;"ES","Y","")),"")</f>
        <v>Y</v>
      </c>
      <c r="H316" s="29" t="str">
        <f>IFERROR(HYPERLINK("#"&amp;ADDRESS(MATCH(B316&amp;"PT",'LM7 Non-ENG'!$A$1:$A$5000,0),1,,,"LM7 Non-ENG"),IF(IFERROR(VLOOKUP(B316&amp;"PT",'LM7 Non-ENG'!$A$1:$A$5000,1,FALSE),"ERROR")=B316&amp;"PT","Y","")),"")</f>
        <v/>
      </c>
      <c r="I316" t="str">
        <f>IFERROR(VLOOKUP(B316,PN!$A:$C,3,FALSE),"")</f>
        <v>Active</v>
      </c>
      <c r="J316" s="3">
        <f>IFERROR(E316*VLOOKUP(B316,PLInter!$A:$D,3,FALSE),"")</f>
        <v>700</v>
      </c>
      <c r="K316" s="66"/>
      <c r="L316" s="66"/>
      <c r="M316" s="66"/>
      <c r="N316" s="66"/>
      <c r="O316" s="66"/>
      <c r="P316" s="66"/>
      <c r="Q316" s="66"/>
      <c r="R316" s="66"/>
      <c r="S316" s="66"/>
      <c r="T316" s="66"/>
    </row>
    <row r="317" spans="2:20" ht="18" customHeight="1">
      <c r="B317" t="str">
        <f>"26-E090-0000"</f>
        <v>26-E090-0000</v>
      </c>
      <c r="C317" t="str">
        <f>"Assembly, JM, E090, Stepper Motor &amp; Drive Panel"</f>
        <v>Assembly, JM, E090, Stepper Motor &amp; Drive Panel</v>
      </c>
      <c r="E317">
        <v>1</v>
      </c>
      <c r="G317" s="29" t="str">
        <f>IFERROR(HYPERLINK("#"&amp;ADDRESS(MATCH(B317&amp;"ES",'LM7 Non-ENG'!$A$1:$A$5000,0),1,,,"LM7 Non-ENG"),IF(IFERROR(VLOOKUP(B317&amp;"ES",'LM7 Non-ENG'!$A$1:$A$4999,1,FALSE),"ERROR")=B317&amp;"ES","Y","")),"")</f>
        <v/>
      </c>
      <c r="H317" s="29" t="str">
        <f>IFERROR(HYPERLINK("#"&amp;ADDRESS(MATCH(B317&amp;"PT",'LM7 Non-ENG'!$A$1:$A$5000,0),1,,,"LM7 Non-ENG"),IF(IFERROR(VLOOKUP(B317&amp;"PT",'LM7 Non-ENG'!$A$1:$A$5000,1,FALSE),"ERROR")=B317&amp;"PT","Y","")),"")</f>
        <v/>
      </c>
      <c r="I317" t="str">
        <f>IFERROR(VLOOKUP(B317,PN!$A:$C,3,FALSE),"")</f>
        <v>Active</v>
      </c>
      <c r="J317" s="3">
        <f>IFERROR(E317*VLOOKUP(B317,PLInter!$A:$D,3,FALSE),"")</f>
        <v>1600</v>
      </c>
      <c r="K317" s="66"/>
      <c r="L317" s="66"/>
      <c r="M317" s="66"/>
      <c r="N317" s="66"/>
      <c r="O317" s="66"/>
      <c r="P317" s="66"/>
      <c r="Q317" s="66"/>
      <c r="R317" s="66"/>
      <c r="S317" s="66"/>
      <c r="T317" s="66"/>
    </row>
    <row r="318" spans="2:20" ht="18" customHeight="1">
      <c r="B318" t="str">
        <f>"77-EB06-0000"</f>
        <v>77-EB06-0000</v>
      </c>
      <c r="C318" t="str">
        <f>"LM7 Content, JM, Basic Servo Motor Drives"</f>
        <v>LM7 Content, JM, Basic Servo Motor Drives</v>
      </c>
      <c r="E318">
        <v>1</v>
      </c>
      <c r="G318" s="29" t="str">
        <f>IFERROR(HYPERLINK("#"&amp;ADDRESS(MATCH(B318&amp;"ES",'LM7 Non-ENG'!$A$1:$A$5000,0),1,,,"LM7 Non-ENG"),IF(IFERROR(VLOOKUP(B318&amp;"ES",'LM7 Non-ENG'!$A$1:$A$4999,1,FALSE),"ERROR")=B318&amp;"ES","Y","")),"")</f>
        <v>Y</v>
      </c>
      <c r="H318" s="29" t="str">
        <f>IFERROR(HYPERLINK("#"&amp;ADDRESS(MATCH(B318&amp;"PT",'LM7 Non-ENG'!$A$1:$A$5000,0),1,,,"LM7 Non-ENG"),IF(IFERROR(VLOOKUP(B318&amp;"PT",'LM7 Non-ENG'!$A$1:$A$5000,1,FALSE),"ERROR")=B318&amp;"PT","Y","")),"")</f>
        <v/>
      </c>
      <c r="I318" t="str">
        <f>IFERROR(VLOOKUP(B318,PN!$A:$C,3,FALSE),"")</f>
        <v>Active</v>
      </c>
      <c r="J318" s="3">
        <f>IFERROR(E318*VLOOKUP(B318,PLInter!$A:$D,3,FALSE),"")</f>
        <v>700</v>
      </c>
      <c r="K318" s="66"/>
      <c r="L318" s="66"/>
      <c r="M318" s="66"/>
      <c r="N318" s="66"/>
      <c r="O318" s="66"/>
      <c r="P318" s="66"/>
      <c r="Q318" s="66"/>
      <c r="R318" s="66"/>
      <c r="S318" s="66"/>
      <c r="T318" s="66"/>
    </row>
    <row r="319" spans="2:20" ht="18" customHeight="1">
      <c r="B319" t="str">
        <f>"26-E091-0000"</f>
        <v>26-E091-0000</v>
      </c>
      <c r="C319" t="str">
        <f>"Assembly, JM, E091, Servo Motor&amp; Drive Panel"</f>
        <v>Assembly, JM, E091, Servo Motor&amp; Drive Panel</v>
      </c>
      <c r="E319">
        <v>1</v>
      </c>
      <c r="G319" s="29" t="str">
        <f>IFERROR(HYPERLINK("#"&amp;ADDRESS(MATCH(B319&amp;"ES",'LM7 Non-ENG'!$A$1:$A$5000,0),1,,,"LM7 Non-ENG"),IF(IFERROR(VLOOKUP(B319&amp;"ES",'LM7 Non-ENG'!$A$1:$A$4999,1,FALSE),"ERROR")=B319&amp;"ES","Y","")),"")</f>
        <v/>
      </c>
      <c r="H319" s="29" t="str">
        <f>IFERROR(HYPERLINK("#"&amp;ADDRESS(MATCH(B319&amp;"PT",'LM7 Non-ENG'!$A$1:$A$5000,0),1,,,"LM7 Non-ENG"),IF(IFERROR(VLOOKUP(B319&amp;"PT",'LM7 Non-ENG'!$A$1:$A$5000,1,FALSE),"ERROR")=B319&amp;"PT","Y","")),"")</f>
        <v/>
      </c>
      <c r="I319" t="str">
        <f>IFERROR(VLOOKUP(B319,PN!$A:$C,3,FALSE),"")</f>
        <v>Active</v>
      </c>
      <c r="J319" s="3">
        <f>IFERROR(E319*VLOOKUP(B319,PLInter!$A:$D,3,FALSE),"")</f>
        <v>767</v>
      </c>
      <c r="K319" s="66"/>
      <c r="L319" s="66"/>
      <c r="M319" s="66"/>
      <c r="N319" s="66"/>
      <c r="O319" s="66"/>
      <c r="P319" s="66"/>
      <c r="Q319" s="66"/>
      <c r="R319" s="66"/>
      <c r="S319" s="66"/>
      <c r="T319" s="66"/>
    </row>
    <row r="320" spans="2:20" ht="18" customHeight="1">
      <c r="B320" t="str">
        <f>"10-PC09-0000"</f>
        <v>10-PC09-0000</v>
      </c>
      <c r="C320" t="str">
        <f>"JM, PC09, Inter. Transformer Pack, LS200 Bench"</f>
        <v>JM, PC09, Inter. Transformer Pack, LS200 Bench</v>
      </c>
      <c r="E320">
        <v>1</v>
      </c>
      <c r="G320" s="29" t="str">
        <f>IFERROR(HYPERLINK("#"&amp;ADDRESS(MATCH(B320&amp;"ES",'LM7 Non-ENG'!$A$1:$A$5000,0),1,,,"LM7 Non-ENG"),IF(IFERROR(VLOOKUP(B320&amp;"ES",'LM7 Non-ENG'!$A$1:$A$4999,1,FALSE),"ERROR")=B320&amp;"ES","Y","")),"")</f>
        <v/>
      </c>
      <c r="H320" s="29" t="str">
        <f>IFERROR(HYPERLINK("#"&amp;ADDRESS(MATCH(B320&amp;"PT",'LM7 Non-ENG'!$A$1:$A$5000,0),1,,,"LM7 Non-ENG"),IF(IFERROR(VLOOKUP(B320&amp;"PT",'LM7 Non-ENG'!$A$1:$A$5000,1,FALSE),"ERROR")=B320&amp;"PT","Y","")),"")</f>
        <v/>
      </c>
      <c r="I320" t="str">
        <f>IFERROR(VLOOKUP(B320,PN!$A:$C,3,FALSE),"")</f>
        <v>Active</v>
      </c>
      <c r="J320" s="3">
        <f>IFERROR(E320*VLOOKUP(B320,PLInter!$A:$D,3,FALSE),"")</f>
        <v>4334</v>
      </c>
      <c r="K320" s="66"/>
      <c r="L320" s="66"/>
      <c r="M320" s="66"/>
      <c r="N320" s="66"/>
      <c r="O320" s="66"/>
      <c r="P320" s="66"/>
      <c r="Q320" s="66"/>
      <c r="R320" s="66"/>
      <c r="S320" s="66"/>
      <c r="T320" s="66"/>
    </row>
    <row r="321" spans="1:20" ht="18" customHeight="1">
      <c r="G321" s="29" t="str">
        <f>IFERROR(HYPERLINK("#"&amp;ADDRESS(MATCH(B321&amp;"ES",'LM7 Non-ENG'!$A$1:$A$5000,0),1,,,"LM7 Non-ENG"),IF(IFERROR(VLOOKUP(B321&amp;"ES",'LM7 Non-ENG'!$A$1:$A$4999,1,FALSE),"ERROR")=B321&amp;"ES","Y","")),"")</f>
        <v/>
      </c>
      <c r="H321" s="29" t="str">
        <f>IFERROR(HYPERLINK("#"&amp;ADDRESS(MATCH(B321&amp;"PT",'LM7 Non-ENG'!$A$1:$A$5000,0),1,,,"LM7 Non-ENG"),IF(IFERROR(VLOOKUP(B321&amp;"PT",'LM7 Non-ENG'!$A$1:$A$5000,1,FALSE),"ERROR")=B321&amp;"PT","Y","")),"")</f>
        <v/>
      </c>
    </row>
    <row r="322" spans="1:20" s="7" customFormat="1" ht="18" customHeight="1">
      <c r="A322" s="13" t="s">
        <v>40</v>
      </c>
      <c r="B322" s="13"/>
      <c r="C322" s="13" t="s">
        <v>42</v>
      </c>
      <c r="D322" s="14"/>
      <c r="E322" s="14"/>
      <c r="F322" s="14"/>
      <c r="G322" s="14"/>
      <c r="H322" s="14"/>
      <c r="I322" s="14"/>
      <c r="J322" s="14">
        <f>SUMIFS(J323:J327,D323:D327,"&lt;&gt;Y",F323:F327,"&lt;&gt;Y",I323:I327,"&lt;&gt;Inactive",I323:I327,"&lt;&gt;ECO+NFS")</f>
        <v>3134</v>
      </c>
      <c r="K322" s="14"/>
      <c r="L322" s="14"/>
      <c r="M322" s="14"/>
      <c r="N322" s="14"/>
      <c r="O322" s="14"/>
      <c r="P322" s="14"/>
      <c r="Q322" s="14"/>
      <c r="R322" s="14"/>
      <c r="S322" s="14"/>
      <c r="T322" s="14"/>
    </row>
    <row r="323" spans="1:20" ht="18" customHeight="1">
      <c r="A323" s="17" t="str">
        <f>HYPERLINK("#"&amp;ADDRESS(MATCH(A322,Jobmaster!$A$1:$A$4996,0),1,,,"Jobmaster"),"Back to Price List")</f>
        <v>Back to Price List</v>
      </c>
      <c r="B323" t="str">
        <f>"77-EA02-0000"</f>
        <v>77-EA02-0000</v>
      </c>
      <c r="C323" t="str">
        <f>"LM7 Content, JM, Electric Circuit Protection"</f>
        <v>LM7 Content, JM, Electric Circuit Protection</v>
      </c>
      <c r="D323" s="4"/>
      <c r="E323" s="4">
        <v>1</v>
      </c>
      <c r="F323" s="4"/>
      <c r="G323" s="29" t="str">
        <f>IFERROR(HYPERLINK("#"&amp;ADDRESS(MATCH(B323&amp;"ES",'LM7 Non-ENG'!$A$1:$A$5000,0),1,,,"LM7 Non-ENG"),IF(IFERROR(VLOOKUP(B323&amp;"ES",'LM7 Non-ENG'!$A$1:$A$4999,1,FALSE),"ERROR")=B323&amp;"ES","Y","")),"")</f>
        <v>Y</v>
      </c>
      <c r="H323" s="29" t="str">
        <f>IFERROR(HYPERLINK("#"&amp;ADDRESS(MATCH(B323&amp;"PT",'LM7 Non-ENG'!$A$1:$A$5000,0),1,,,"LM7 Non-ENG"),IF(IFERROR(VLOOKUP(B323&amp;"PT",'LM7 Non-ENG'!$A$1:$A$5000,1,FALSE),"ERROR")=B323&amp;"PT","Y","")),"")</f>
        <v/>
      </c>
      <c r="I323" t="str">
        <f>IFERROR(VLOOKUP(B323,PN!$A:$C,3,FALSE),"")</f>
        <v>Active</v>
      </c>
      <c r="J323" s="3">
        <f>IFERROR(E323*VLOOKUP(B323,PLInter!$A:$D,3,FALSE),"")</f>
        <v>700</v>
      </c>
      <c r="K323" s="68" t="s">
        <v>44</v>
      </c>
      <c r="L323" s="66"/>
      <c r="M323" s="66"/>
      <c r="N323" s="66"/>
      <c r="O323" s="66"/>
      <c r="P323" s="66"/>
      <c r="Q323" s="66"/>
      <c r="R323" s="66"/>
      <c r="S323" s="66"/>
      <c r="T323" s="66"/>
    </row>
    <row r="324" spans="1:20" ht="18" customHeight="1">
      <c r="B324" s="2" t="str">
        <f>"17-EA02-0000"</f>
        <v>17-EA02-0000</v>
      </c>
      <c r="C324" s="2" t="str">
        <f>"LM5.X Content, JM, Electric Circuit Protection"</f>
        <v>LM5.X Content, JM, Electric Circuit Protection</v>
      </c>
      <c r="D324" s="5"/>
      <c r="E324" s="5">
        <v>1</v>
      </c>
      <c r="F324" s="5" t="str">
        <f>"Y"</f>
        <v>Y</v>
      </c>
      <c r="G324" s="29" t="str">
        <f>IFERROR(HYPERLINK("#"&amp;ADDRESS(MATCH(B324&amp;"ES",'LM7 Non-ENG'!$A$1:$A$5000,0),1,,,"LM7 Non-ENG"),IF(IFERROR(VLOOKUP(B324&amp;"ES",'LM7 Non-ENG'!$A$1:$A$4999,1,FALSE),"ERROR")=B324&amp;"ES","Y","")),"")</f>
        <v/>
      </c>
      <c r="H324" s="29" t="str">
        <f>IFERROR(HYPERLINK("#"&amp;ADDRESS(MATCH(B324&amp;"PT",'LM7 Non-ENG'!$A$1:$A$5000,0),1,,,"LM7 Non-ENG"),IF(IFERROR(VLOOKUP(B324&amp;"PT",'LM7 Non-ENG'!$A$1:$A$5000,1,FALSE),"ERROR")=B324&amp;"PT","Y","")),"")</f>
        <v/>
      </c>
      <c r="I324" t="str">
        <f>IFERROR(VLOOKUP(B324,PN!$A:$C,3,FALSE),"")</f>
        <v>Active</v>
      </c>
      <c r="J324" s="3">
        <f>IFERROR(E324*VLOOKUP(B324,PLInter!$A:$D,3,FALSE),"")</f>
        <v>700</v>
      </c>
      <c r="K324" s="66"/>
      <c r="L324" s="66"/>
      <c r="M324" s="66"/>
      <c r="N324" s="66"/>
      <c r="O324" s="66"/>
      <c r="P324" s="66"/>
      <c r="Q324" s="66"/>
      <c r="R324" s="66"/>
      <c r="S324" s="66"/>
      <c r="T324" s="66"/>
    </row>
    <row r="325" spans="1:20" ht="18" customHeight="1">
      <c r="B325" t="str">
        <f>"26-E022-0000"</f>
        <v>26-E022-0000</v>
      </c>
      <c r="C325" t="str">
        <f>"Assembly, JM, E022, Manual Starter Panel"</f>
        <v>Assembly, JM, E022, Manual Starter Panel</v>
      </c>
      <c r="D325" s="4"/>
      <c r="E325" s="4">
        <v>1</v>
      </c>
      <c r="F325" s="4"/>
      <c r="G325" s="29" t="str">
        <f>IFERROR(HYPERLINK("#"&amp;ADDRESS(MATCH(B325&amp;"ES",'LM7 Non-ENG'!$A$1:$A$5000,0),1,,,"LM7 Non-ENG"),IF(IFERROR(VLOOKUP(B325&amp;"ES",'LM7 Non-ENG'!$A$1:$A$4999,1,FALSE),"ERROR")=B325&amp;"ES","Y","")),"")</f>
        <v/>
      </c>
      <c r="H325" s="29" t="str">
        <f>IFERROR(HYPERLINK("#"&amp;ADDRESS(MATCH(B325&amp;"PT",'LM7 Non-ENG'!$A$1:$A$5000,0),1,,,"LM7 Non-ENG"),IF(IFERROR(VLOOKUP(B325&amp;"PT",'LM7 Non-ENG'!$A$1:$A$5000,1,FALSE),"ERROR")=B325&amp;"PT","Y","")),"")</f>
        <v/>
      </c>
      <c r="I325" t="str">
        <f>IFERROR(VLOOKUP(B325,PN!$A:$C,3,FALSE),"")</f>
        <v>Active</v>
      </c>
      <c r="J325" s="3">
        <f>IFERROR(E325*VLOOKUP(B325,PLInter!$A:$D,3,FALSE),"")</f>
        <v>1600</v>
      </c>
      <c r="K325" s="66"/>
      <c r="L325" s="66"/>
      <c r="M325" s="66"/>
      <c r="N325" s="66"/>
      <c r="O325" s="66"/>
      <c r="P325" s="66"/>
      <c r="Q325" s="66"/>
      <c r="R325" s="66"/>
      <c r="S325" s="66"/>
      <c r="T325" s="66"/>
    </row>
    <row r="326" spans="1:20" ht="18" customHeight="1">
      <c r="B326" t="str">
        <f>"26-E030-0000"</f>
        <v>26-E030-0000</v>
      </c>
      <c r="C326" t="str">
        <f>"Assembly, JM, E030, Overload Protection Panel"</f>
        <v>Assembly, JM, E030, Overload Protection Panel</v>
      </c>
      <c r="D326" s="4"/>
      <c r="E326" s="4">
        <v>1</v>
      </c>
      <c r="F326" s="4"/>
      <c r="G326" s="29" t="str">
        <f>IFERROR(HYPERLINK("#"&amp;ADDRESS(MATCH(B326&amp;"ES",'LM7 Non-ENG'!$A$1:$A$5000,0),1,,,"LM7 Non-ENG"),IF(IFERROR(VLOOKUP(B326&amp;"ES",'LM7 Non-ENG'!$A$1:$A$4999,1,FALSE),"ERROR")=B326&amp;"ES","Y","")),"")</f>
        <v/>
      </c>
      <c r="H326" s="29" t="str">
        <f>IFERROR(HYPERLINK("#"&amp;ADDRESS(MATCH(B326&amp;"PT",'LM7 Non-ENG'!$A$1:$A$5000,0),1,,,"LM7 Non-ENG"),IF(IFERROR(VLOOKUP(B326&amp;"PT",'LM7 Non-ENG'!$A$1:$A$5000,1,FALSE),"ERROR")=B326&amp;"PT","Y","")),"")</f>
        <v/>
      </c>
      <c r="I326" t="str">
        <f>IFERROR(VLOOKUP(B326,PN!$A:$C,3,FALSE),"")</f>
        <v>Active</v>
      </c>
      <c r="J326" s="3">
        <f>IFERROR(E326*VLOOKUP(B326,PLInter!$A:$D,3,FALSE),"")</f>
        <v>834</v>
      </c>
      <c r="K326" s="66"/>
      <c r="L326" s="66"/>
      <c r="M326" s="66"/>
      <c r="N326" s="66"/>
      <c r="O326" s="66"/>
      <c r="P326" s="66"/>
      <c r="Q326" s="66"/>
      <c r="R326" s="66"/>
      <c r="S326" s="66"/>
      <c r="T326" s="66"/>
    </row>
    <row r="327" spans="1:20" ht="18" customHeight="1">
      <c r="B327" s="1" t="str">
        <f>"36-EA02-IG01"</f>
        <v>36-EA02-IG01</v>
      </c>
      <c r="C327" s="1" t="str">
        <f>"JM, PDF on CD Electric Circuit Protection - EA02"</f>
        <v>JM, PDF on CD Electric Circuit Protection - EA02</v>
      </c>
      <c r="D327" s="6" t="s">
        <v>0</v>
      </c>
      <c r="E327" s="6">
        <v>1</v>
      </c>
      <c r="F327" s="6"/>
      <c r="G327" s="29" t="str">
        <f>IFERROR(HYPERLINK("#"&amp;ADDRESS(MATCH(B327&amp;"ES",'LM7 Non-ENG'!$A$1:$A$5000,0),1,,,"LM7 Non-ENG"),IF(IFERROR(VLOOKUP(B327&amp;"ES",'LM7 Non-ENG'!$A$1:$A$4999,1,FALSE),"ERROR")=B327&amp;"ES","Y","")),"")</f>
        <v/>
      </c>
      <c r="H327" s="29" t="str">
        <f>IFERROR(HYPERLINK("#"&amp;ADDRESS(MATCH(B327&amp;"PT",'LM7 Non-ENG'!$A$1:$A$5000,0),1,,,"LM7 Non-ENG"),IF(IFERROR(VLOOKUP(B327&amp;"PT",'LM7 Non-ENG'!$A$1:$A$5000,1,FALSE),"ERROR")=B327&amp;"PT","Y","")),"")</f>
        <v/>
      </c>
      <c r="I327" t="str">
        <f>IFERROR(VLOOKUP(B327,PN!$A:$C,3,FALSE),"")</f>
        <v>Active</v>
      </c>
      <c r="J327" s="3">
        <f>IFERROR(E327*VLOOKUP(B327,PLInter!$A:$D,3,FALSE),"")</f>
        <v>0</v>
      </c>
      <c r="K327" s="66"/>
      <c r="L327" s="66"/>
      <c r="M327" s="66"/>
      <c r="N327" s="66"/>
      <c r="O327" s="66"/>
      <c r="P327" s="66"/>
      <c r="Q327" s="66"/>
      <c r="R327" s="66"/>
      <c r="S327" s="66"/>
      <c r="T327" s="66"/>
    </row>
    <row r="328" spans="1:20" ht="18" customHeight="1">
      <c r="G328" s="29" t="str">
        <f>IFERROR(HYPERLINK("#"&amp;ADDRESS(MATCH(B328&amp;"ES",'LM7 Non-ENG'!$A$1:$A$5000,0),1,,,"LM7 Non-ENG"),IF(IFERROR(VLOOKUP(B328&amp;"ES",'LM7 Non-ENG'!$A$1:$A$4999,1,FALSE),"ERROR")=B328&amp;"ES","Y","")),"")</f>
        <v/>
      </c>
      <c r="H328" s="29" t="str">
        <f>IFERROR(HYPERLINK("#"&amp;ADDRESS(MATCH(B328&amp;"PT",'LM7 Non-ENG'!$A$1:$A$5000,0),1,,,"LM7 Non-ENG"),IF(IFERROR(VLOOKUP(B328&amp;"PT",'LM7 Non-ENG'!$A$1:$A$5000,1,FALSE),"ERROR")=B328&amp;"PT","Y","")),"")</f>
        <v/>
      </c>
    </row>
    <row r="329" spans="1:20" s="7" customFormat="1" ht="18" customHeight="1">
      <c r="A329" s="13" t="s">
        <v>45</v>
      </c>
      <c r="B329" s="13"/>
      <c r="C329" s="13" t="s">
        <v>46</v>
      </c>
      <c r="D329" s="14"/>
      <c r="E329" s="14"/>
      <c r="F329" s="14"/>
      <c r="G329" s="14"/>
      <c r="H329" s="14"/>
      <c r="I329" s="14"/>
      <c r="J329" s="14">
        <f>SUMIFS(J330:J333,D330:D333,"&lt;&gt;Y",F330:F333,"&lt;&gt;Y",I330:I333,"&lt;&gt;Inactive",I330:I333,"&lt;&gt;ECO+NFS")</f>
        <v>1600</v>
      </c>
      <c r="K329" s="14"/>
      <c r="L329" s="14"/>
      <c r="M329" s="14"/>
      <c r="N329" s="14"/>
      <c r="O329" s="14"/>
      <c r="P329" s="14"/>
      <c r="Q329" s="14"/>
      <c r="R329" s="14"/>
      <c r="S329" s="14"/>
      <c r="T329" s="14"/>
    </row>
    <row r="330" spans="1:20" ht="18" customHeight="1">
      <c r="A330" s="17" t="str">
        <f>HYPERLINK("#"&amp;ADDRESS(MATCH(A329,Jobmaster!$A$1:$A$4996,0),1,,,"Jobmaster"),"Back to Price List")</f>
        <v>Back to Price List</v>
      </c>
      <c r="B330" t="str">
        <f>"77-EA03-0000"</f>
        <v>77-EA03-0000</v>
      </c>
      <c r="C330" t="str">
        <f>"LM7 Content, JM, 3 Phase Transformers"</f>
        <v>LM7 Content, JM, 3 Phase Transformers</v>
      </c>
      <c r="D330" s="4"/>
      <c r="E330" s="4">
        <v>1</v>
      </c>
      <c r="F330" s="4"/>
      <c r="G330" s="29" t="str">
        <f>IFERROR(HYPERLINK("#"&amp;ADDRESS(MATCH(B330&amp;"ES",'LM7 Non-ENG'!$A$1:$A$5000,0),1,,,"LM7 Non-ENG"),IF(IFERROR(VLOOKUP(B330&amp;"ES",'LM7 Non-ENG'!$A$1:$A$4999,1,FALSE),"ERROR")=B330&amp;"ES","Y","")),"")</f>
        <v>Y</v>
      </c>
      <c r="H330" s="29" t="str">
        <f>IFERROR(HYPERLINK("#"&amp;ADDRESS(MATCH(B330&amp;"PT",'LM7 Non-ENG'!$A$1:$A$5000,0),1,,,"LM7 Non-ENG"),IF(IFERROR(VLOOKUP(B330&amp;"PT",'LM7 Non-ENG'!$A$1:$A$5000,1,FALSE),"ERROR")=B330&amp;"PT","Y","")),"")</f>
        <v>Y</v>
      </c>
      <c r="I330" t="str">
        <f>IFERROR(VLOOKUP(B330,PN!$A:$C,3,FALSE),"")</f>
        <v>Active</v>
      </c>
      <c r="J330" s="3">
        <f>IFERROR(E330*VLOOKUP(B330,PLInter!$A:$D,3,FALSE),"")</f>
        <v>700</v>
      </c>
      <c r="K330" s="68" t="s">
        <v>48</v>
      </c>
      <c r="L330" s="66"/>
      <c r="M330" s="66"/>
      <c r="N330" s="66"/>
      <c r="O330" s="66"/>
      <c r="P330" s="66"/>
      <c r="Q330" s="66"/>
      <c r="R330" s="66"/>
      <c r="S330" s="66"/>
      <c r="T330" s="66"/>
    </row>
    <row r="331" spans="1:20" ht="18" customHeight="1">
      <c r="B331" s="2" t="str">
        <f>"17-EA03-0000"</f>
        <v>17-EA03-0000</v>
      </c>
      <c r="C331" s="2" t="str">
        <f>"LM5.X Content, JM, 3 Phase Transformers"</f>
        <v>LM5.X Content, JM, 3 Phase Transformers</v>
      </c>
      <c r="D331" s="5"/>
      <c r="E331" s="5">
        <v>1</v>
      </c>
      <c r="F331" s="5" t="str">
        <f>"Y"</f>
        <v>Y</v>
      </c>
      <c r="G331" s="29" t="str">
        <f>IFERROR(HYPERLINK("#"&amp;ADDRESS(MATCH(B331&amp;"ES",'LM7 Non-ENG'!$A$1:$A$5000,0),1,,,"LM7 Non-ENG"),IF(IFERROR(VLOOKUP(B331&amp;"ES",'LM7 Non-ENG'!$A$1:$A$4999,1,FALSE),"ERROR")=B331&amp;"ES","Y","")),"")</f>
        <v/>
      </c>
      <c r="H331" s="29" t="str">
        <f>IFERROR(HYPERLINK("#"&amp;ADDRESS(MATCH(B331&amp;"PT",'LM7 Non-ENG'!$A$1:$A$5000,0),1,,,"LM7 Non-ENG"),IF(IFERROR(VLOOKUP(B331&amp;"PT",'LM7 Non-ENG'!$A$1:$A$5000,1,FALSE),"ERROR")=B331&amp;"PT","Y","")),"")</f>
        <v/>
      </c>
      <c r="I331" t="str">
        <f>IFERROR(VLOOKUP(B331,PN!$A:$C,3,FALSE),"")</f>
        <v>Active</v>
      </c>
      <c r="J331" s="3">
        <f>IFERROR(E331*VLOOKUP(B331,PLInter!$A:$D,3,FALSE),"")</f>
        <v>700</v>
      </c>
      <c r="K331" s="66"/>
      <c r="L331" s="66"/>
      <c r="M331" s="66"/>
      <c r="N331" s="66"/>
      <c r="O331" s="66"/>
      <c r="P331" s="66"/>
      <c r="Q331" s="66"/>
      <c r="R331" s="66"/>
      <c r="S331" s="66"/>
      <c r="T331" s="66"/>
    </row>
    <row r="332" spans="1:20" ht="18" customHeight="1">
      <c r="B332" t="str">
        <f>"26-E003-0000"</f>
        <v>26-E003-0000</v>
      </c>
      <c r="C332" t="str">
        <f>"Assembly, JM, E003, 3-Phase Transformer Panel"</f>
        <v>Assembly, JM, E003, 3-Phase Transformer Panel</v>
      </c>
      <c r="D332" s="4"/>
      <c r="E332" s="4">
        <v>1</v>
      </c>
      <c r="F332" s="4"/>
      <c r="G332" s="29" t="str">
        <f>IFERROR(HYPERLINK("#"&amp;ADDRESS(MATCH(B332&amp;"ES",'LM7 Non-ENG'!$A$1:$A$5000,0),1,,,"LM7 Non-ENG"),IF(IFERROR(VLOOKUP(B332&amp;"ES",'LM7 Non-ENG'!$A$1:$A$4999,1,FALSE),"ERROR")=B332&amp;"ES","Y","")),"")</f>
        <v/>
      </c>
      <c r="H332" s="29" t="str">
        <f>IFERROR(HYPERLINK("#"&amp;ADDRESS(MATCH(B332&amp;"PT",'LM7 Non-ENG'!$A$1:$A$5000,0),1,,,"LM7 Non-ENG"),IF(IFERROR(VLOOKUP(B332&amp;"PT",'LM7 Non-ENG'!$A$1:$A$5000,1,FALSE),"ERROR")=B332&amp;"PT","Y","")),"")</f>
        <v/>
      </c>
      <c r="I332" t="str">
        <f>IFERROR(VLOOKUP(B332,PN!$A:$C,3,FALSE),"")</f>
        <v>Active</v>
      </c>
      <c r="J332" s="3">
        <f>IFERROR(E332*VLOOKUP(B332,PLInter!$A:$D,3,FALSE),"")</f>
        <v>900</v>
      </c>
      <c r="K332" s="66"/>
      <c r="L332" s="66"/>
      <c r="M332" s="66"/>
      <c r="N332" s="66"/>
      <c r="O332" s="66"/>
      <c r="P332" s="66"/>
      <c r="Q332" s="66"/>
      <c r="R332" s="66"/>
      <c r="S332" s="66"/>
      <c r="T332" s="66"/>
    </row>
    <row r="333" spans="1:20" ht="18" customHeight="1">
      <c r="B333" s="1" t="str">
        <f>"36-EA03-IG01"</f>
        <v>36-EA03-IG01</v>
      </c>
      <c r="C333" s="1" t="str">
        <f>"JM, PDF on CD 3 Phase Transformers- EA03"</f>
        <v>JM, PDF on CD 3 Phase Transformers- EA03</v>
      </c>
      <c r="D333" s="6" t="s">
        <v>0</v>
      </c>
      <c r="E333" s="6">
        <v>1</v>
      </c>
      <c r="F333" s="6"/>
      <c r="G333" s="29" t="str">
        <f>IFERROR(HYPERLINK("#"&amp;ADDRESS(MATCH(B333&amp;"ES",'LM7 Non-ENG'!$A$1:$A$5000,0),1,,,"LM7 Non-ENG"),IF(IFERROR(VLOOKUP(B333&amp;"ES",'LM7 Non-ENG'!$A$1:$A$4999,1,FALSE),"ERROR")=B333&amp;"ES","Y","")),"")</f>
        <v/>
      </c>
      <c r="H333" s="29" t="str">
        <f>IFERROR(HYPERLINK("#"&amp;ADDRESS(MATCH(B333&amp;"PT",'LM7 Non-ENG'!$A$1:$A$5000,0),1,,,"LM7 Non-ENG"),IF(IFERROR(VLOOKUP(B333&amp;"PT",'LM7 Non-ENG'!$A$1:$A$5000,1,FALSE),"ERROR")=B333&amp;"PT","Y","")),"")</f>
        <v/>
      </c>
      <c r="I333" t="str">
        <f>IFERROR(VLOOKUP(B333,PN!$A:$C,3,FALSE),"")</f>
        <v>Active</v>
      </c>
      <c r="J333" s="3">
        <f>IFERROR(E333*VLOOKUP(B333,PLInter!$A:$D,3,FALSE),"")</f>
        <v>0</v>
      </c>
      <c r="K333" s="66"/>
      <c r="L333" s="66"/>
      <c r="M333" s="66"/>
      <c r="N333" s="66"/>
      <c r="O333" s="66"/>
      <c r="P333" s="66"/>
      <c r="Q333" s="66"/>
      <c r="R333" s="66"/>
      <c r="S333" s="66"/>
      <c r="T333" s="66"/>
    </row>
    <row r="334" spans="1:20" ht="18" customHeight="1">
      <c r="G334" s="29" t="str">
        <f>IFERROR(HYPERLINK("#"&amp;ADDRESS(MATCH(B334&amp;"ES",'LM7 Non-ENG'!$A$1:$A$5000,0),1,,,"LM7 Non-ENG"),IF(IFERROR(VLOOKUP(B334&amp;"ES",'LM7 Non-ENG'!$A$1:$A$4999,1,FALSE),"ERROR")=B334&amp;"ES","Y","")),"")</f>
        <v/>
      </c>
      <c r="H334" s="29" t="str">
        <f>IFERROR(HYPERLINK("#"&amp;ADDRESS(MATCH(B334&amp;"PT",'LM7 Non-ENG'!$A$1:$A$5000,0),1,,,"LM7 Non-ENG"),IF(IFERROR(VLOOKUP(B334&amp;"PT",'LM7 Non-ENG'!$A$1:$A$5000,1,FALSE),"ERROR")=B334&amp;"PT","Y","")),"")</f>
        <v/>
      </c>
    </row>
    <row r="335" spans="1:20" s="7" customFormat="1" ht="18" customHeight="1">
      <c r="A335" s="13" t="s">
        <v>50</v>
      </c>
      <c r="B335" s="13"/>
      <c r="C335" s="13" t="s">
        <v>51</v>
      </c>
      <c r="D335" s="14"/>
      <c r="E335" s="14"/>
      <c r="F335" s="14"/>
      <c r="G335" s="14"/>
      <c r="H335" s="14"/>
      <c r="I335" s="14"/>
      <c r="J335" s="14">
        <f>SUMIFS(J336:J348,D336:D348,"&lt;&gt;Y",F336:F348,"&lt;&gt;Y",I336:I348,"&lt;&gt;Inactive",I336:I348,"&lt;&gt;ECO+NFS")</f>
        <v>10133</v>
      </c>
      <c r="K335" s="14"/>
      <c r="L335" s="14"/>
      <c r="M335" s="14"/>
      <c r="N335" s="14"/>
      <c r="O335" s="14"/>
      <c r="P335" s="14"/>
      <c r="Q335" s="14"/>
      <c r="R335" s="14"/>
      <c r="S335" s="14"/>
      <c r="T335" s="14"/>
    </row>
    <row r="336" spans="1:20" ht="18" customHeight="1">
      <c r="A336" s="17" t="str">
        <f>HYPERLINK("#"&amp;ADDRESS(MATCH(A335,Jobmaster!$A$1:$A$4996,0),1,,,"Jobmaster"),"Back to Price List")</f>
        <v>Back to Price List</v>
      </c>
      <c r="B336" t="str">
        <f>"77-EA04-0000"</f>
        <v>77-EA04-0000</v>
      </c>
      <c r="C336" t="str">
        <f>"LM7 Content, JM, Electric Motors"</f>
        <v>LM7 Content, JM, Electric Motors</v>
      </c>
      <c r="D336" s="4"/>
      <c r="E336" s="4">
        <v>1</v>
      </c>
      <c r="F336" s="4"/>
      <c r="G336" s="29" t="str">
        <f>IFERROR(HYPERLINK("#"&amp;ADDRESS(MATCH(B336&amp;"ES",'LM7 Non-ENG'!$A$1:$A$5000,0),1,,,"LM7 Non-ENG"),IF(IFERROR(VLOOKUP(B336&amp;"ES",'LM7 Non-ENG'!$A$1:$A$4999,1,FALSE),"ERROR")=B336&amp;"ES","Y","")),"")</f>
        <v>Y</v>
      </c>
      <c r="H336" s="29" t="str">
        <f>IFERROR(HYPERLINK("#"&amp;ADDRESS(MATCH(B336&amp;"PT",'LM7 Non-ENG'!$A$1:$A$5000,0),1,,,"LM7 Non-ENG"),IF(IFERROR(VLOOKUP(B336&amp;"PT",'LM7 Non-ENG'!$A$1:$A$5000,1,FALSE),"ERROR")=B336&amp;"PT","Y","")),"")</f>
        <v/>
      </c>
      <c r="I336" t="str">
        <f>IFERROR(VLOOKUP(B336,PN!$A:$C,3,FALSE),"")</f>
        <v>Active</v>
      </c>
      <c r="J336" s="3">
        <f>IFERROR(E336*VLOOKUP(B336,PLInter!$A:$D,3,FALSE),"")</f>
        <v>700</v>
      </c>
      <c r="K336" s="68" t="s">
        <v>53</v>
      </c>
      <c r="L336" s="66"/>
      <c r="M336" s="66"/>
      <c r="N336" s="66"/>
      <c r="O336" s="66"/>
      <c r="P336" s="66"/>
      <c r="Q336" s="66"/>
      <c r="R336" s="66"/>
      <c r="S336" s="66"/>
      <c r="T336" s="66"/>
    </row>
    <row r="337" spans="1:20" ht="18" customHeight="1">
      <c r="B337" s="2" t="str">
        <f>"17-EA04-0000"</f>
        <v>17-EA04-0000</v>
      </c>
      <c r="C337" s="2" t="str">
        <f>"LM5.X Content, JM, Electric Motors"</f>
        <v>LM5.X Content, JM, Electric Motors</v>
      </c>
      <c r="D337" s="5"/>
      <c r="E337" s="5">
        <v>1</v>
      </c>
      <c r="F337" s="5" t="str">
        <f>"Y"</f>
        <v>Y</v>
      </c>
      <c r="G337" s="29" t="str">
        <f>IFERROR(HYPERLINK("#"&amp;ADDRESS(MATCH(B337&amp;"ES",'LM7 Non-ENG'!$A$1:$A$5000,0),1,,,"LM7 Non-ENG"),IF(IFERROR(VLOOKUP(B337&amp;"ES",'LM7 Non-ENG'!$A$1:$A$4999,1,FALSE),"ERROR")=B337&amp;"ES","Y","")),"")</f>
        <v/>
      </c>
      <c r="H337" s="29" t="str">
        <f>IFERROR(HYPERLINK("#"&amp;ADDRESS(MATCH(B337&amp;"PT",'LM7 Non-ENG'!$A$1:$A$5000,0),1,,,"LM7 Non-ENG"),IF(IFERROR(VLOOKUP(B337&amp;"PT",'LM7 Non-ENG'!$A$1:$A$5000,1,FALSE),"ERROR")=B337&amp;"PT","Y","")),"")</f>
        <v/>
      </c>
      <c r="I337" t="str">
        <f>IFERROR(VLOOKUP(B337,PN!$A:$C,3,FALSE),"")</f>
        <v>Active</v>
      </c>
      <c r="J337" s="3">
        <f>IFERROR(E337*VLOOKUP(B337,PLInter!$A:$D,3,FALSE),"")</f>
        <v>700</v>
      </c>
      <c r="K337" s="66"/>
      <c r="L337" s="66"/>
      <c r="M337" s="66"/>
      <c r="N337" s="66"/>
      <c r="O337" s="66"/>
      <c r="P337" s="66"/>
      <c r="Q337" s="66"/>
      <c r="R337" s="66"/>
      <c r="S337" s="66"/>
      <c r="T337" s="66"/>
    </row>
    <row r="338" spans="1:20" ht="18" customHeight="1">
      <c r="B338" t="str">
        <f>"26-E007-0000"</f>
        <v>26-E007-0000</v>
      </c>
      <c r="C338" t="str">
        <f>"Assembly, JM, E007 - SCR Speed Control Panel"</f>
        <v>Assembly, JM, E007 - SCR Speed Control Panel</v>
      </c>
      <c r="D338" s="4"/>
      <c r="E338" s="4">
        <v>1</v>
      </c>
      <c r="F338" s="4"/>
      <c r="G338" s="29" t="str">
        <f>IFERROR(HYPERLINK("#"&amp;ADDRESS(MATCH(B338&amp;"ES",'LM7 Non-ENG'!$A$1:$A$5000,0),1,,,"LM7 Non-ENG"),IF(IFERROR(VLOOKUP(B338&amp;"ES",'LM7 Non-ENG'!$A$1:$A$4999,1,FALSE),"ERROR")=B338&amp;"ES","Y","")),"")</f>
        <v/>
      </c>
      <c r="H338" s="29" t="str">
        <f>IFERROR(HYPERLINK("#"&amp;ADDRESS(MATCH(B338&amp;"PT",'LM7 Non-ENG'!$A$1:$A$5000,0),1,,,"LM7 Non-ENG"),IF(IFERROR(VLOOKUP(B338&amp;"PT",'LM7 Non-ENG'!$A$1:$A$5000,1,FALSE),"ERROR")=B338&amp;"PT","Y","")),"")</f>
        <v/>
      </c>
      <c r="I338" t="str">
        <f>IFERROR(VLOOKUP(B338,PN!$A:$C,3,FALSE),"")</f>
        <v>Active</v>
      </c>
      <c r="J338" s="3">
        <f>IFERROR(E338*VLOOKUP(B338,PLInter!$A:$D,3,FALSE),"")</f>
        <v>650</v>
      </c>
      <c r="K338" s="66"/>
      <c r="L338" s="66"/>
      <c r="M338" s="66"/>
      <c r="N338" s="66"/>
      <c r="O338" s="66"/>
      <c r="P338" s="66"/>
      <c r="Q338" s="66"/>
      <c r="R338" s="66"/>
      <c r="S338" s="66"/>
      <c r="T338" s="66"/>
    </row>
    <row r="339" spans="1:20" ht="18" customHeight="1">
      <c r="B339" t="str">
        <f>"26-E010-0000"</f>
        <v>26-E010-0000</v>
      </c>
      <c r="C339" t="str">
        <f>"Assembly, JM, E010 - Three Phase Motor Panel"</f>
        <v>Assembly, JM, E010 - Three Phase Motor Panel</v>
      </c>
      <c r="D339" s="4"/>
      <c r="E339" s="4">
        <v>1</v>
      </c>
      <c r="F339" s="4"/>
      <c r="G339" s="29" t="str">
        <f>IFERROR(HYPERLINK("#"&amp;ADDRESS(MATCH(B339&amp;"ES",'LM7 Non-ENG'!$A$1:$A$5000,0),1,,,"LM7 Non-ENG"),IF(IFERROR(VLOOKUP(B339&amp;"ES",'LM7 Non-ENG'!$A$1:$A$4999,1,FALSE),"ERROR")=B339&amp;"ES","Y","")),"")</f>
        <v/>
      </c>
      <c r="H339" s="29" t="str">
        <f>IFERROR(HYPERLINK("#"&amp;ADDRESS(MATCH(B339&amp;"PT",'LM7 Non-ENG'!$A$1:$A$5000,0),1,,,"LM7 Non-ENG"),IF(IFERROR(VLOOKUP(B339&amp;"PT",'LM7 Non-ENG'!$A$1:$A$5000,1,FALSE),"ERROR")=B339&amp;"PT","Y","")),"")</f>
        <v/>
      </c>
      <c r="I339" t="str">
        <f>IFERROR(VLOOKUP(B339,PN!$A:$C,3,FALSE),"")</f>
        <v>Active</v>
      </c>
      <c r="J339" s="3">
        <f>IFERROR(E339*VLOOKUP(B339,PLInter!$A:$D,3,FALSE),"")</f>
        <v>1000</v>
      </c>
      <c r="K339" s="66"/>
      <c r="L339" s="66"/>
      <c r="M339" s="66"/>
      <c r="N339" s="66"/>
      <c r="O339" s="66"/>
      <c r="P339" s="66"/>
      <c r="Q339" s="66"/>
      <c r="R339" s="66"/>
      <c r="S339" s="66"/>
      <c r="T339" s="66"/>
    </row>
    <row r="340" spans="1:20" ht="18" customHeight="1">
      <c r="B340" t="str">
        <f>"26-E012-0000"</f>
        <v>26-E012-0000</v>
      </c>
      <c r="C340" t="str">
        <f>"Assembly, JM, E012, Transformer Panel"</f>
        <v>Assembly, JM, E012, Transformer Panel</v>
      </c>
      <c r="D340" s="4"/>
      <c r="E340" s="4">
        <v>1</v>
      </c>
      <c r="F340" s="4"/>
      <c r="G340" s="29" t="str">
        <f>IFERROR(HYPERLINK("#"&amp;ADDRESS(MATCH(B340&amp;"ES",'LM7 Non-ENG'!$A$1:$A$5000,0),1,,,"LM7 Non-ENG"),IF(IFERROR(VLOOKUP(B340&amp;"ES",'LM7 Non-ENG'!$A$1:$A$4999,1,FALSE),"ERROR")=B340&amp;"ES","Y","")),"")</f>
        <v/>
      </c>
      <c r="H340" s="29" t="str">
        <f>IFERROR(HYPERLINK("#"&amp;ADDRESS(MATCH(B340&amp;"PT",'LM7 Non-ENG'!$A$1:$A$5000,0),1,,,"LM7 Non-ENG"),IF(IFERROR(VLOOKUP(B340&amp;"PT",'LM7 Non-ENG'!$A$1:$A$5000,1,FALSE),"ERROR")=B340&amp;"PT","Y","")),"")</f>
        <v/>
      </c>
      <c r="I340" t="str">
        <f>IFERROR(VLOOKUP(B340,PN!$A:$C,3,FALSE),"")</f>
        <v>Active</v>
      </c>
      <c r="J340" s="3">
        <f>IFERROR(E340*VLOOKUP(B340,PLInter!$A:$D,3,FALSE),"")</f>
        <v>500</v>
      </c>
      <c r="K340" s="66"/>
      <c r="L340" s="66"/>
      <c r="M340" s="66"/>
      <c r="N340" s="66"/>
      <c r="O340" s="66"/>
      <c r="P340" s="66"/>
      <c r="Q340" s="66"/>
      <c r="R340" s="66"/>
      <c r="S340" s="66"/>
      <c r="T340" s="66"/>
    </row>
    <row r="341" spans="1:20" ht="18" customHeight="1">
      <c r="B341" t="str">
        <f>"26-E019-0000"</f>
        <v>26-E019-0000</v>
      </c>
      <c r="C341" t="str">
        <f>"Assembly, JM, E019, Capacitor Start Motor Panel"</f>
        <v>Assembly, JM, E019, Capacitor Start Motor Panel</v>
      </c>
      <c r="D341" s="4"/>
      <c r="E341" s="4">
        <v>1</v>
      </c>
      <c r="F341" s="4"/>
      <c r="G341" s="29" t="str">
        <f>IFERROR(HYPERLINK("#"&amp;ADDRESS(MATCH(B341&amp;"ES",'LM7 Non-ENG'!$A$1:$A$5000,0),1,,,"LM7 Non-ENG"),IF(IFERROR(VLOOKUP(B341&amp;"ES",'LM7 Non-ENG'!$A$1:$A$4999,1,FALSE),"ERROR")=B341&amp;"ES","Y","")),"")</f>
        <v/>
      </c>
      <c r="H341" s="29" t="str">
        <f>IFERROR(HYPERLINK("#"&amp;ADDRESS(MATCH(B341&amp;"PT",'LM7 Non-ENG'!$A$1:$A$5000,0),1,,,"LM7 Non-ENG"),IF(IFERROR(VLOOKUP(B341&amp;"PT",'LM7 Non-ENG'!$A$1:$A$5000,1,FALSE),"ERROR")=B341&amp;"PT","Y","")),"")</f>
        <v/>
      </c>
      <c r="I341" t="str">
        <f>IFERROR(VLOOKUP(B341,PN!$A:$C,3,FALSE),"")</f>
        <v>Active</v>
      </c>
      <c r="J341" s="3">
        <f>IFERROR(E341*VLOOKUP(B341,PLInter!$A:$D,3,FALSE),"")</f>
        <v>834</v>
      </c>
      <c r="K341" s="66"/>
      <c r="L341" s="66"/>
      <c r="M341" s="66"/>
      <c r="N341" s="66"/>
      <c r="O341" s="66"/>
      <c r="P341" s="66"/>
      <c r="Q341" s="66"/>
      <c r="R341" s="66"/>
      <c r="S341" s="66"/>
      <c r="T341" s="66"/>
    </row>
    <row r="342" spans="1:20" ht="18" customHeight="1">
      <c r="B342" t="str">
        <f>"26-E027-0000"</f>
        <v>26-E027-0000</v>
      </c>
      <c r="C342" t="str">
        <f>"Assembly, JM, E027, Shaded Pole Motor Panel"</f>
        <v>Assembly, JM, E027, Shaded Pole Motor Panel</v>
      </c>
      <c r="D342" s="4"/>
      <c r="E342" s="4">
        <v>1</v>
      </c>
      <c r="F342" s="4"/>
      <c r="G342" s="29" t="str">
        <f>IFERROR(HYPERLINK("#"&amp;ADDRESS(MATCH(B342&amp;"ES",'LM7 Non-ENG'!$A$1:$A$5000,0),1,,,"LM7 Non-ENG"),IF(IFERROR(VLOOKUP(B342&amp;"ES",'LM7 Non-ENG'!$A$1:$A$4999,1,FALSE),"ERROR")=B342&amp;"ES","Y","")),"")</f>
        <v/>
      </c>
      <c r="H342" s="29" t="str">
        <f>IFERROR(HYPERLINK("#"&amp;ADDRESS(MATCH(B342&amp;"PT",'LM7 Non-ENG'!$A$1:$A$5000,0),1,,,"LM7 Non-ENG"),IF(IFERROR(VLOOKUP(B342&amp;"PT",'LM7 Non-ENG'!$A$1:$A$5000,1,FALSE),"ERROR")=B342&amp;"PT","Y","")),"")</f>
        <v/>
      </c>
      <c r="I342" t="str">
        <f>IFERROR(VLOOKUP(B342,PN!$A:$C,3,FALSE),"")</f>
        <v>Active</v>
      </c>
      <c r="J342" s="3">
        <f>IFERROR(E342*VLOOKUP(B342,PLInter!$A:$D,3,FALSE),"")</f>
        <v>615</v>
      </c>
      <c r="K342" s="66"/>
      <c r="L342" s="66"/>
      <c r="M342" s="66"/>
      <c r="N342" s="66"/>
      <c r="O342" s="66"/>
      <c r="P342" s="66"/>
      <c r="Q342" s="66"/>
      <c r="R342" s="66"/>
      <c r="S342" s="66"/>
      <c r="T342" s="66"/>
    </row>
    <row r="343" spans="1:20" ht="18" customHeight="1">
      <c r="B343" t="str">
        <f>"26-E034-0000"</f>
        <v>26-E034-0000</v>
      </c>
      <c r="C343" t="str">
        <f>"Assembly, JM, E034, DC Motor Panel"</f>
        <v>Assembly, JM, E034, DC Motor Panel</v>
      </c>
      <c r="D343" s="4"/>
      <c r="E343" s="4">
        <v>1</v>
      </c>
      <c r="F343" s="4"/>
      <c r="G343" s="29" t="str">
        <f>IFERROR(HYPERLINK("#"&amp;ADDRESS(MATCH(B343&amp;"ES",'LM7 Non-ENG'!$A$1:$A$5000,0),1,,,"LM7 Non-ENG"),IF(IFERROR(VLOOKUP(B343&amp;"ES",'LM7 Non-ENG'!$A$1:$A$4999,1,FALSE),"ERROR")=B343&amp;"ES","Y","")),"")</f>
        <v/>
      </c>
      <c r="H343" s="29" t="str">
        <f>IFERROR(HYPERLINK("#"&amp;ADDRESS(MATCH(B343&amp;"PT",'LM7 Non-ENG'!$A$1:$A$5000,0),1,,,"LM7 Non-ENG"),IF(IFERROR(VLOOKUP(B343&amp;"PT",'LM7 Non-ENG'!$A$1:$A$5000,1,FALSE),"ERROR")=B343&amp;"PT","Y","")),"")</f>
        <v/>
      </c>
      <c r="I343" t="str">
        <f>IFERROR(VLOOKUP(B343,PN!$A:$C,3,FALSE),"")</f>
        <v>Active</v>
      </c>
      <c r="J343" s="3">
        <f>IFERROR(E343*VLOOKUP(B343,PLInter!$A:$D,3,FALSE),"")</f>
        <v>900</v>
      </c>
      <c r="K343" s="66"/>
      <c r="L343" s="66"/>
      <c r="M343" s="66"/>
      <c r="N343" s="66"/>
      <c r="O343" s="66"/>
      <c r="P343" s="66"/>
      <c r="Q343" s="66"/>
      <c r="R343" s="66"/>
      <c r="S343" s="66"/>
      <c r="T343" s="66"/>
    </row>
    <row r="344" spans="1:20" ht="18" customHeight="1">
      <c r="B344" t="str">
        <f>"26-E065-0000"</f>
        <v>26-E065-0000</v>
      </c>
      <c r="C344" t="str">
        <f>"Assembly, JM, E065, Split Phase Motor Panel"</f>
        <v>Assembly, JM, E065, Split Phase Motor Panel</v>
      </c>
      <c r="D344" s="4"/>
      <c r="E344" s="4">
        <v>1</v>
      </c>
      <c r="F344" s="4"/>
      <c r="G344" s="29" t="str">
        <f>IFERROR(HYPERLINK("#"&amp;ADDRESS(MATCH(B344&amp;"ES",'LM7 Non-ENG'!$A$1:$A$5000,0),1,,,"LM7 Non-ENG"),IF(IFERROR(VLOOKUP(B344&amp;"ES",'LM7 Non-ENG'!$A$1:$A$4999,1,FALSE),"ERROR")=B344&amp;"ES","Y","")),"")</f>
        <v/>
      </c>
      <c r="H344" s="29" t="str">
        <f>IFERROR(HYPERLINK("#"&amp;ADDRESS(MATCH(B344&amp;"PT",'LM7 Non-ENG'!$A$1:$A$5000,0),1,,,"LM7 Non-ENG"),IF(IFERROR(VLOOKUP(B344&amp;"PT",'LM7 Non-ENG'!$A$1:$A$5000,1,FALSE),"ERROR")=B344&amp;"PT","Y","")),"")</f>
        <v/>
      </c>
      <c r="I344" t="str">
        <f>IFERROR(VLOOKUP(B344,PN!$A:$C,3,FALSE),"")</f>
        <v>Active</v>
      </c>
      <c r="J344" s="3">
        <f>IFERROR(E344*VLOOKUP(B344,PLInter!$A:$D,3,FALSE),"")</f>
        <v>667</v>
      </c>
      <c r="K344" s="66"/>
      <c r="L344" s="66"/>
      <c r="M344" s="66"/>
      <c r="N344" s="66"/>
      <c r="O344" s="66"/>
      <c r="P344" s="66"/>
      <c r="Q344" s="66"/>
      <c r="R344" s="66"/>
      <c r="S344" s="66"/>
      <c r="T344" s="66"/>
    </row>
    <row r="345" spans="1:20" ht="18" customHeight="1">
      <c r="B345" t="str">
        <f>"26-E066-0000"</f>
        <v>26-E066-0000</v>
      </c>
      <c r="C345" t="str">
        <f>"Assembly, JM, E066, Adjustable Torque Motor Load"</f>
        <v>Assembly, JM, E066, Adjustable Torque Motor Load</v>
      </c>
      <c r="D345" s="4"/>
      <c r="E345" s="4">
        <v>1</v>
      </c>
      <c r="F345" s="4"/>
      <c r="G345" s="29" t="str">
        <f>IFERROR(HYPERLINK("#"&amp;ADDRESS(MATCH(B345&amp;"ES",'LM7 Non-ENG'!$A$1:$A$5000,0),1,,,"LM7 Non-ENG"),IF(IFERROR(VLOOKUP(B345&amp;"ES",'LM7 Non-ENG'!$A$1:$A$4999,1,FALSE),"ERROR")=B345&amp;"ES","Y","")),"")</f>
        <v/>
      </c>
      <c r="H345" s="29" t="str">
        <f>IFERROR(HYPERLINK("#"&amp;ADDRESS(MATCH(B345&amp;"PT",'LM7 Non-ENG'!$A$1:$A$5000,0),1,,,"LM7 Non-ENG"),IF(IFERROR(VLOOKUP(B345&amp;"PT",'LM7 Non-ENG'!$A$1:$A$5000,1,FALSE),"ERROR")=B345&amp;"PT","Y","")),"")</f>
        <v/>
      </c>
      <c r="I345" t="str">
        <f>IFERROR(VLOOKUP(B345,PN!$A:$C,3,FALSE),"")</f>
        <v>Active</v>
      </c>
      <c r="J345" s="3">
        <f>IFERROR(E345*VLOOKUP(B345,PLInter!$A:$D,3,FALSE),"")</f>
        <v>3067</v>
      </c>
      <c r="K345" s="66"/>
      <c r="L345" s="66"/>
      <c r="M345" s="66"/>
      <c r="N345" s="66"/>
      <c r="O345" s="66"/>
      <c r="P345" s="66"/>
      <c r="Q345" s="66"/>
      <c r="R345" s="66"/>
      <c r="S345" s="66"/>
      <c r="T345" s="66"/>
    </row>
    <row r="346" spans="1:20" ht="18" customHeight="1">
      <c r="B346" t="str">
        <f>"26-E154-0000"</f>
        <v>26-E154-0000</v>
      </c>
      <c r="C346" t="str">
        <f>"Assembly, JM, E154, Switches and Lamps Panel"</f>
        <v>Assembly, JM, E154, Switches and Lamps Panel</v>
      </c>
      <c r="D346" s="4"/>
      <c r="E346" s="4">
        <v>1</v>
      </c>
      <c r="F346" s="4"/>
      <c r="G346" s="29" t="str">
        <f>IFERROR(HYPERLINK("#"&amp;ADDRESS(MATCH(B346&amp;"ES",'LM7 Non-ENG'!$A$1:$A$5000,0),1,,,"LM7 Non-ENG"),IF(IFERROR(VLOOKUP(B346&amp;"ES",'LM7 Non-ENG'!$A$1:$A$4999,1,FALSE),"ERROR")=B346&amp;"ES","Y","")),"")</f>
        <v/>
      </c>
      <c r="H346" s="29" t="str">
        <f>IFERROR(HYPERLINK("#"&amp;ADDRESS(MATCH(B346&amp;"PT",'LM7 Non-ENG'!$A$1:$A$5000,0),1,,,"LM7 Non-ENG"),IF(IFERROR(VLOOKUP(B346&amp;"PT",'LM7 Non-ENG'!$A$1:$A$5000,1,FALSE),"ERROR")=B346&amp;"PT","Y","")),"")</f>
        <v/>
      </c>
      <c r="I346" t="str">
        <f>IFERROR(VLOOKUP(B346,PN!$A:$C,3,FALSE),"")</f>
        <v>Active</v>
      </c>
      <c r="J346" s="3">
        <f>IFERROR(E346*VLOOKUP(B346,PLInter!$A:$D,3,FALSE),"")</f>
        <v>500</v>
      </c>
      <c r="K346" s="66"/>
      <c r="L346" s="66"/>
      <c r="M346" s="66"/>
      <c r="N346" s="66"/>
      <c r="O346" s="66"/>
      <c r="P346" s="66"/>
      <c r="Q346" s="66"/>
      <c r="R346" s="66"/>
      <c r="S346" s="66"/>
      <c r="T346" s="66"/>
    </row>
    <row r="347" spans="1:20" ht="18" customHeight="1">
      <c r="B347" t="str">
        <f>"26-E156-0000"</f>
        <v>26-E156-0000</v>
      </c>
      <c r="C347" t="str">
        <f>"Assembly, JM, E156, Dissectible Electric Motor"</f>
        <v>Assembly, JM, E156, Dissectible Electric Motor</v>
      </c>
      <c r="D347" s="4"/>
      <c r="E347" s="4">
        <v>1</v>
      </c>
      <c r="F347" s="4"/>
      <c r="G347" s="29" t="str">
        <f>IFERROR(HYPERLINK("#"&amp;ADDRESS(MATCH(B347&amp;"ES",'LM7 Non-ENG'!$A$1:$A$5000,0),1,,,"LM7 Non-ENG"),IF(IFERROR(VLOOKUP(B347&amp;"ES",'LM7 Non-ENG'!$A$1:$A$4999,1,FALSE),"ERROR")=B347&amp;"ES","Y","")),"")</f>
        <v/>
      </c>
      <c r="H347" s="29" t="str">
        <f>IFERROR(HYPERLINK("#"&amp;ADDRESS(MATCH(B347&amp;"PT",'LM7 Non-ENG'!$A$1:$A$5000,0),1,,,"LM7 Non-ENG"),IF(IFERROR(VLOOKUP(B347&amp;"PT",'LM7 Non-ENG'!$A$1:$A$5000,1,FALSE),"ERROR")=B347&amp;"PT","Y","")),"")</f>
        <v/>
      </c>
      <c r="I347" t="str">
        <f>IFERROR(VLOOKUP(B347,PN!$A:$C,3,FALSE),"")</f>
        <v>Active</v>
      </c>
      <c r="J347" s="3">
        <f>IFERROR(E347*VLOOKUP(B347,PLInter!$A:$D,3,FALSE),"")</f>
        <v>700</v>
      </c>
      <c r="K347" s="66"/>
      <c r="L347" s="66"/>
      <c r="M347" s="66"/>
      <c r="N347" s="66"/>
      <c r="O347" s="66"/>
      <c r="P347" s="66"/>
      <c r="Q347" s="66"/>
      <c r="R347" s="66"/>
      <c r="S347" s="66"/>
      <c r="T347" s="66"/>
    </row>
    <row r="348" spans="1:20" ht="18" customHeight="1">
      <c r="B348" s="1" t="str">
        <f>"36-EA04-IG01"</f>
        <v>36-EA04-IG01</v>
      </c>
      <c r="C348" s="1" t="str">
        <f>"JM, PDF on CD Electric Motors - EA04"</f>
        <v>JM, PDF on CD Electric Motors - EA04</v>
      </c>
      <c r="D348" s="6" t="s">
        <v>0</v>
      </c>
      <c r="E348" s="6">
        <v>1</v>
      </c>
      <c r="F348" s="6"/>
      <c r="G348" s="29" t="str">
        <f>IFERROR(HYPERLINK("#"&amp;ADDRESS(MATCH(B348&amp;"ES",'LM7 Non-ENG'!$A$1:$A$5000,0),1,,,"LM7 Non-ENG"),IF(IFERROR(VLOOKUP(B348&amp;"ES",'LM7 Non-ENG'!$A$1:$A$4999,1,FALSE),"ERROR")=B348&amp;"ES","Y","")),"")</f>
        <v/>
      </c>
      <c r="H348" s="29" t="str">
        <f>IFERROR(HYPERLINK("#"&amp;ADDRESS(MATCH(B348&amp;"PT",'LM7 Non-ENG'!$A$1:$A$5000,0),1,,,"LM7 Non-ENG"),IF(IFERROR(VLOOKUP(B348&amp;"PT",'LM7 Non-ENG'!$A$1:$A$5000,1,FALSE),"ERROR")=B348&amp;"PT","Y","")),"")</f>
        <v/>
      </c>
      <c r="I348" t="str">
        <f>IFERROR(VLOOKUP(B348,PN!$A:$C,3,FALSE),"")</f>
        <v>Active</v>
      </c>
      <c r="J348" s="3">
        <f>IFERROR(E348*VLOOKUP(B348,PLInter!$A:$D,3,FALSE),"")</f>
        <v>0</v>
      </c>
      <c r="K348" s="66"/>
      <c r="L348" s="66"/>
      <c r="M348" s="66"/>
      <c r="N348" s="66"/>
      <c r="O348" s="66"/>
      <c r="P348" s="66"/>
      <c r="Q348" s="66"/>
      <c r="R348" s="66"/>
      <c r="S348" s="66"/>
      <c r="T348" s="66"/>
    </row>
    <row r="349" spans="1:20" ht="18" customHeight="1">
      <c r="G349" s="29" t="str">
        <f>IFERROR(HYPERLINK("#"&amp;ADDRESS(MATCH(B349&amp;"ES",'LM7 Non-ENG'!$A$1:$A$5000,0),1,,,"LM7 Non-ENG"),IF(IFERROR(VLOOKUP(B349&amp;"ES",'LM7 Non-ENG'!$A$1:$A$4999,1,FALSE),"ERROR")=B349&amp;"ES","Y","")),"")</f>
        <v/>
      </c>
      <c r="H349" s="29" t="str">
        <f>IFERROR(HYPERLINK("#"&amp;ADDRESS(MATCH(B349&amp;"PT",'LM7 Non-ENG'!$A$1:$A$5000,0),1,,,"LM7 Non-ENG"),IF(IFERROR(VLOOKUP(B349&amp;"PT",'LM7 Non-ENG'!$A$1:$A$5000,1,FALSE),"ERROR")=B349&amp;"PT","Y","")),"")</f>
        <v/>
      </c>
    </row>
    <row r="350" spans="1:20" s="7" customFormat="1" ht="18" customHeight="1">
      <c r="A350" s="13" t="s">
        <v>54</v>
      </c>
      <c r="B350" s="13"/>
      <c r="C350" s="13" t="s">
        <v>55</v>
      </c>
      <c r="D350" s="14"/>
      <c r="E350" s="14"/>
      <c r="F350" s="14"/>
      <c r="G350" s="14"/>
      <c r="H350" s="14"/>
      <c r="I350" s="14"/>
      <c r="J350" s="14">
        <f>SUMIFS(J351:J362,D351:D362,"&lt;&gt;Y",F351:F362,"&lt;&gt;Y",I351:I362,"&lt;&gt;Inactive",I351:I362,"&lt;&gt;ECO+NFS")</f>
        <v>5971</v>
      </c>
      <c r="K350" s="14"/>
      <c r="L350" s="14"/>
      <c r="M350" s="14"/>
      <c r="N350" s="14"/>
      <c r="O350" s="14"/>
      <c r="P350" s="14"/>
      <c r="Q350" s="14"/>
      <c r="R350" s="14"/>
      <c r="S350" s="14"/>
      <c r="T350" s="14"/>
    </row>
    <row r="351" spans="1:20" ht="18" customHeight="1">
      <c r="A351" s="17" t="str">
        <f>HYPERLINK("#"&amp;ADDRESS(MATCH(A350,Jobmaster!$A$1:$A$4996,0),1,,,"Jobmaster"),"Back to Price List")</f>
        <v>Back to Price List</v>
      </c>
      <c r="B351" t="str">
        <f>"77-EA07-0000"</f>
        <v>77-EA07-0000</v>
      </c>
      <c r="C351" t="str">
        <f>"LM7 Content, JM, Electromagnetic Starters"</f>
        <v>LM7 Content, JM, Electromagnetic Starters</v>
      </c>
      <c r="D351" s="4"/>
      <c r="E351" s="4">
        <v>1</v>
      </c>
      <c r="F351" s="4"/>
      <c r="G351" s="29" t="str">
        <f>IFERROR(HYPERLINK("#"&amp;ADDRESS(MATCH(B351&amp;"ES",'LM7 Non-ENG'!$A$1:$A$5000,0),1,,,"LM7 Non-ENG"),IF(IFERROR(VLOOKUP(B351&amp;"ES",'LM7 Non-ENG'!$A$1:$A$4999,1,FALSE),"ERROR")=B351&amp;"ES","Y","")),"")</f>
        <v>Y</v>
      </c>
      <c r="H351" s="29" t="str">
        <f>IFERROR(HYPERLINK("#"&amp;ADDRESS(MATCH(B351&amp;"PT",'LM7 Non-ENG'!$A$1:$A$5000,0),1,,,"LM7 Non-ENG"),IF(IFERROR(VLOOKUP(B351&amp;"PT",'LM7 Non-ENG'!$A$1:$A$5000,1,FALSE),"ERROR")=B351&amp;"PT","Y","")),"")</f>
        <v/>
      </c>
      <c r="I351" t="str">
        <f>IFERROR(VLOOKUP(B351,PN!$A:$C,3,FALSE),"")</f>
        <v>Active</v>
      </c>
      <c r="J351" s="3">
        <f>IFERROR(E351*VLOOKUP(B351,PLInter!$A:$D,3,FALSE),"")</f>
        <v>700</v>
      </c>
      <c r="K351" s="68" t="s">
        <v>56</v>
      </c>
      <c r="L351" s="66"/>
      <c r="M351" s="66"/>
      <c r="N351" s="66"/>
      <c r="O351" s="66"/>
      <c r="P351" s="66"/>
      <c r="Q351" s="66"/>
      <c r="R351" s="66"/>
      <c r="S351" s="66"/>
      <c r="T351" s="66"/>
    </row>
    <row r="352" spans="1:20" ht="18" customHeight="1">
      <c r="B352" s="2" t="str">
        <f>"17-EA07-0000"</f>
        <v>17-EA07-0000</v>
      </c>
      <c r="C352" s="2" t="str">
        <f>"LM5.X Content, JM, Electromagnetic Starters"</f>
        <v>LM5.X Content, JM, Electromagnetic Starters</v>
      </c>
      <c r="D352" s="5"/>
      <c r="E352" s="5">
        <v>1</v>
      </c>
      <c r="F352" s="5" t="str">
        <f>"Y"</f>
        <v>Y</v>
      </c>
      <c r="G352" s="29" t="str">
        <f>IFERROR(HYPERLINK("#"&amp;ADDRESS(MATCH(B352&amp;"ES",'LM7 Non-ENG'!$A$1:$A$5000,0),1,,,"LM7 Non-ENG"),IF(IFERROR(VLOOKUP(B352&amp;"ES",'LM7 Non-ENG'!$A$1:$A$4999,1,FALSE),"ERROR")=B352&amp;"ES","Y","")),"")</f>
        <v/>
      </c>
      <c r="H352" s="29" t="str">
        <f>IFERROR(HYPERLINK("#"&amp;ADDRESS(MATCH(B352&amp;"PT",'LM7 Non-ENG'!$A$1:$A$5000,0),1,,,"LM7 Non-ENG"),IF(IFERROR(VLOOKUP(B352&amp;"PT",'LM7 Non-ENG'!$A$1:$A$5000,1,FALSE),"ERROR")=B352&amp;"PT","Y","")),"")</f>
        <v/>
      </c>
      <c r="I352" t="str">
        <f>IFERROR(VLOOKUP(B352,PN!$A:$C,3,FALSE),"")</f>
        <v>Active</v>
      </c>
      <c r="J352" s="3">
        <f>IFERROR(E352*VLOOKUP(B352,PLInter!$A:$D,3,FALSE),"")</f>
        <v>700</v>
      </c>
      <c r="K352" s="66"/>
      <c r="L352" s="66"/>
      <c r="M352" s="66"/>
      <c r="N352" s="66"/>
      <c r="O352" s="66"/>
      <c r="P352" s="66"/>
      <c r="Q352" s="66"/>
      <c r="R352" s="66"/>
      <c r="S352" s="66"/>
      <c r="T352" s="66"/>
    </row>
    <row r="353" spans="1:20" ht="18" customHeight="1">
      <c r="B353" t="str">
        <f>"26-E002-0000"</f>
        <v>26-E002-0000</v>
      </c>
      <c r="C353" t="str">
        <f>"Assembly, JM, E002, Start-Stop Control Panel"</f>
        <v>Assembly, JM, E002, Start-Stop Control Panel</v>
      </c>
      <c r="D353" s="4"/>
      <c r="E353" s="4">
        <v>1</v>
      </c>
      <c r="F353" s="4"/>
      <c r="G353" s="29" t="str">
        <f>IFERROR(HYPERLINK("#"&amp;ADDRESS(MATCH(B353&amp;"ES",'LM7 Non-ENG'!$A$1:$A$5000,0),1,,,"LM7 Non-ENG"),IF(IFERROR(VLOOKUP(B353&amp;"ES",'LM7 Non-ENG'!$A$1:$A$4999,1,FALSE),"ERROR")=B353&amp;"ES","Y","")),"")</f>
        <v/>
      </c>
      <c r="H353" s="29" t="str">
        <f>IFERROR(HYPERLINK("#"&amp;ADDRESS(MATCH(B353&amp;"PT",'LM7 Non-ENG'!$A$1:$A$5000,0),1,,,"LM7 Non-ENG"),IF(IFERROR(VLOOKUP(B353&amp;"PT",'LM7 Non-ENG'!$A$1:$A$5000,1,FALSE),"ERROR")=B353&amp;"PT","Y","")),"")</f>
        <v/>
      </c>
      <c r="I353" t="str">
        <f>IFERROR(VLOOKUP(B353,PN!$A:$C,3,FALSE),"")</f>
        <v>Active</v>
      </c>
      <c r="J353" s="3">
        <f>IFERROR(E353*VLOOKUP(B353,PLInter!$A:$D,3,FALSE),"")</f>
        <v>350</v>
      </c>
      <c r="K353" s="66"/>
      <c r="L353" s="66"/>
      <c r="M353" s="66"/>
      <c r="N353" s="66"/>
      <c r="O353" s="66"/>
      <c r="P353" s="66"/>
      <c r="Q353" s="66"/>
      <c r="R353" s="66"/>
      <c r="S353" s="66"/>
      <c r="T353" s="66"/>
    </row>
    <row r="354" spans="1:20" ht="18" customHeight="1">
      <c r="B354" t="str">
        <f>"26-E004-0000"</f>
        <v>26-E004-0000</v>
      </c>
      <c r="C354" t="str">
        <f>"Assembly, JM , E004, Single Magnetic Start.Panel"</f>
        <v>Assembly, JM , E004, Single Magnetic Start.Panel</v>
      </c>
      <c r="D354" s="4"/>
      <c r="E354" s="4">
        <v>1</v>
      </c>
      <c r="F354" s="4"/>
      <c r="G354" s="29" t="str">
        <f>IFERROR(HYPERLINK("#"&amp;ADDRESS(MATCH(B354&amp;"ES",'LM7 Non-ENG'!$A$1:$A$5000,0),1,,,"LM7 Non-ENG"),IF(IFERROR(VLOOKUP(B354&amp;"ES",'LM7 Non-ENG'!$A$1:$A$4999,1,FALSE),"ERROR")=B354&amp;"ES","Y","")),"")</f>
        <v/>
      </c>
      <c r="H354" s="29" t="str">
        <f>IFERROR(HYPERLINK("#"&amp;ADDRESS(MATCH(B354&amp;"PT",'LM7 Non-ENG'!$A$1:$A$5000,0),1,,,"LM7 Non-ENG"),IF(IFERROR(VLOOKUP(B354&amp;"PT",'LM7 Non-ENG'!$A$1:$A$5000,1,FALSE),"ERROR")=B354&amp;"PT","Y","")),"")</f>
        <v/>
      </c>
      <c r="I354" t="str">
        <f>IFERROR(VLOOKUP(B354,PN!$A:$C,3,FALSE),"")</f>
        <v>Active</v>
      </c>
      <c r="J354" s="3">
        <f>IFERROR(E354*VLOOKUP(B354,PLInter!$A:$D,3,FALSE),"")</f>
        <v>450</v>
      </c>
      <c r="K354" s="66"/>
      <c r="L354" s="66"/>
      <c r="M354" s="66"/>
      <c r="N354" s="66"/>
      <c r="O354" s="66"/>
      <c r="P354" s="66"/>
      <c r="Q354" s="66"/>
      <c r="R354" s="66"/>
      <c r="S354" s="66"/>
      <c r="T354" s="66"/>
    </row>
    <row r="355" spans="1:20" ht="18" customHeight="1">
      <c r="B355" t="str">
        <f>"26-E005-0000"</f>
        <v>26-E005-0000</v>
      </c>
      <c r="C355" t="str">
        <f>"Assembly, JM, E005 - F-R-S Switch Panel"</f>
        <v>Assembly, JM, E005 - F-R-S Switch Panel</v>
      </c>
      <c r="D355" s="4"/>
      <c r="E355" s="4">
        <v>1</v>
      </c>
      <c r="F355" s="4"/>
      <c r="G355" s="29" t="str">
        <f>IFERROR(HYPERLINK("#"&amp;ADDRESS(MATCH(B355&amp;"ES",'LM7 Non-ENG'!$A$1:$A$5000,0),1,,,"LM7 Non-ENG"),IF(IFERROR(VLOOKUP(B355&amp;"ES",'LM7 Non-ENG'!$A$1:$A$4999,1,FALSE),"ERROR")=B355&amp;"ES","Y","")),"")</f>
        <v/>
      </c>
      <c r="H355" s="29" t="str">
        <f>IFERROR(HYPERLINK("#"&amp;ADDRESS(MATCH(B355&amp;"PT",'LM7 Non-ENG'!$A$1:$A$5000,0),1,,,"LM7 Non-ENG"),IF(IFERROR(VLOOKUP(B355&amp;"PT",'LM7 Non-ENG'!$A$1:$A$5000,1,FALSE),"ERROR")=B355&amp;"PT","Y","")),"")</f>
        <v/>
      </c>
      <c r="I355" t="str">
        <f>IFERROR(VLOOKUP(B355,PN!$A:$C,3,FALSE),"")</f>
        <v>Active</v>
      </c>
      <c r="J355" s="3">
        <f>IFERROR(E355*VLOOKUP(B355,PLInter!$A:$D,3,FALSE),"")</f>
        <v>550</v>
      </c>
      <c r="K355" s="66"/>
      <c r="L355" s="66"/>
      <c r="M355" s="66"/>
      <c r="N355" s="66"/>
      <c r="O355" s="66"/>
      <c r="P355" s="66"/>
      <c r="Q355" s="66"/>
      <c r="R355" s="66"/>
      <c r="S355" s="66"/>
      <c r="T355" s="66"/>
    </row>
    <row r="356" spans="1:20" ht="18" customHeight="1">
      <c r="B356" t="str">
        <f>"26-E006-0000"</f>
        <v>26-E006-0000</v>
      </c>
      <c r="C356" t="str">
        <f>"Assembly, JM, E006, Reversing Magnetic Starter"</f>
        <v>Assembly, JM, E006, Reversing Magnetic Starter</v>
      </c>
      <c r="D356" s="4"/>
      <c r="E356" s="4">
        <v>1</v>
      </c>
      <c r="F356" s="4"/>
      <c r="G356" s="29" t="str">
        <f>IFERROR(HYPERLINK("#"&amp;ADDRESS(MATCH(B356&amp;"ES",'LM7 Non-ENG'!$A$1:$A$5000,0),1,,,"LM7 Non-ENG"),IF(IFERROR(VLOOKUP(B356&amp;"ES",'LM7 Non-ENG'!$A$1:$A$4999,1,FALSE),"ERROR")=B356&amp;"ES","Y","")),"")</f>
        <v/>
      </c>
      <c r="H356" s="29" t="str">
        <f>IFERROR(HYPERLINK("#"&amp;ADDRESS(MATCH(B356&amp;"PT",'LM7 Non-ENG'!$A$1:$A$5000,0),1,,,"LM7 Non-ENG"),IF(IFERROR(VLOOKUP(B356&amp;"PT",'LM7 Non-ENG'!$A$1:$A$5000,1,FALSE),"ERROR")=B356&amp;"PT","Y","")),"")</f>
        <v/>
      </c>
      <c r="I356" t="str">
        <f>IFERROR(VLOOKUP(B356,PN!$A:$C,3,FALSE),"")</f>
        <v>Active</v>
      </c>
      <c r="J356" s="3">
        <f>IFERROR(E356*VLOOKUP(B356,PLInter!$A:$D,3,FALSE),"")</f>
        <v>720</v>
      </c>
      <c r="K356" s="66"/>
      <c r="L356" s="66"/>
      <c r="M356" s="66"/>
      <c r="N356" s="66"/>
      <c r="O356" s="66"/>
      <c r="P356" s="66"/>
      <c r="Q356" s="66"/>
      <c r="R356" s="66"/>
      <c r="S356" s="66"/>
      <c r="T356" s="66"/>
    </row>
    <row r="357" spans="1:20" ht="18" customHeight="1">
      <c r="B357" t="str">
        <f>"26-E010-0000"</f>
        <v>26-E010-0000</v>
      </c>
      <c r="C357" t="str">
        <f>"Assembly, JM, E010 - Three Phase Motor Panel"</f>
        <v>Assembly, JM, E010 - Three Phase Motor Panel</v>
      </c>
      <c r="D357" s="4"/>
      <c r="E357" s="4">
        <v>1</v>
      </c>
      <c r="F357" s="4"/>
      <c r="G357" s="29" t="str">
        <f>IFERROR(HYPERLINK("#"&amp;ADDRESS(MATCH(B357&amp;"ES",'LM7 Non-ENG'!$A$1:$A$5000,0),1,,,"LM7 Non-ENG"),IF(IFERROR(VLOOKUP(B357&amp;"ES",'LM7 Non-ENG'!$A$1:$A$4999,1,FALSE),"ERROR")=B357&amp;"ES","Y","")),"")</f>
        <v/>
      </c>
      <c r="H357" s="29" t="str">
        <f>IFERROR(HYPERLINK("#"&amp;ADDRESS(MATCH(B357&amp;"PT",'LM7 Non-ENG'!$A$1:$A$5000,0),1,,,"LM7 Non-ENG"),IF(IFERROR(VLOOKUP(B357&amp;"PT",'LM7 Non-ENG'!$A$1:$A$5000,1,FALSE),"ERROR")=B357&amp;"PT","Y","")),"")</f>
        <v/>
      </c>
      <c r="I357" t="str">
        <f>IFERROR(VLOOKUP(B357,PN!$A:$C,3,FALSE),"")</f>
        <v>Active</v>
      </c>
      <c r="J357" s="3">
        <f>IFERROR(E357*VLOOKUP(B357,PLInter!$A:$D,3,FALSE),"")</f>
        <v>1000</v>
      </c>
      <c r="K357" s="66"/>
      <c r="L357" s="66"/>
      <c r="M357" s="66"/>
      <c r="N357" s="66"/>
      <c r="O357" s="66"/>
      <c r="P357" s="66"/>
      <c r="Q357" s="66"/>
      <c r="R357" s="66"/>
      <c r="S357" s="66"/>
      <c r="T357" s="66"/>
    </row>
    <row r="358" spans="1:20" ht="18" customHeight="1">
      <c r="B358" t="str">
        <f>"26-E012-0000"</f>
        <v>26-E012-0000</v>
      </c>
      <c r="C358" t="str">
        <f>"Assembly, JM, E012, Transformer Panel"</f>
        <v>Assembly, JM, E012, Transformer Panel</v>
      </c>
      <c r="D358" s="4"/>
      <c r="E358" s="4">
        <v>1</v>
      </c>
      <c r="F358" s="4"/>
      <c r="G358" s="29" t="str">
        <f>IFERROR(HYPERLINK("#"&amp;ADDRESS(MATCH(B358&amp;"ES",'LM7 Non-ENG'!$A$1:$A$5000,0),1,,,"LM7 Non-ENG"),IF(IFERROR(VLOOKUP(B358&amp;"ES",'LM7 Non-ENG'!$A$1:$A$4999,1,FALSE),"ERROR")=B358&amp;"ES","Y","")),"")</f>
        <v/>
      </c>
      <c r="H358" s="29" t="str">
        <f>IFERROR(HYPERLINK("#"&amp;ADDRESS(MATCH(B358&amp;"PT",'LM7 Non-ENG'!$A$1:$A$5000,0),1,,,"LM7 Non-ENG"),IF(IFERROR(VLOOKUP(B358&amp;"PT",'LM7 Non-ENG'!$A$1:$A$5000,1,FALSE),"ERROR")=B358&amp;"PT","Y","")),"")</f>
        <v/>
      </c>
      <c r="I358" t="str">
        <f>IFERROR(VLOOKUP(B358,PN!$A:$C,3,FALSE),"")</f>
        <v>Active</v>
      </c>
      <c r="J358" s="3">
        <f>IFERROR(E358*VLOOKUP(B358,PLInter!$A:$D,3,FALSE),"")</f>
        <v>500</v>
      </c>
      <c r="K358" s="66"/>
      <c r="L358" s="66"/>
      <c r="M358" s="66"/>
      <c r="N358" s="66"/>
      <c r="O358" s="66"/>
      <c r="P358" s="66"/>
      <c r="Q358" s="66"/>
      <c r="R358" s="66"/>
      <c r="S358" s="66"/>
      <c r="T358" s="66"/>
    </row>
    <row r="359" spans="1:20" ht="18" customHeight="1">
      <c r="B359" t="str">
        <f>"26-E016-0000"</f>
        <v>26-E016-0000</v>
      </c>
      <c r="C359" t="str">
        <f>"Assembly, JM, E016, Analog Relay Panel"</f>
        <v>Assembly, JM, E016, Analog Relay Panel</v>
      </c>
      <c r="D359" s="4"/>
      <c r="E359" s="4">
        <v>1</v>
      </c>
      <c r="F359" s="4"/>
      <c r="G359" s="29" t="str">
        <f>IFERROR(HYPERLINK("#"&amp;ADDRESS(MATCH(B359&amp;"ES",'LM7 Non-ENG'!$A$1:$A$5000,0),1,,,"LM7 Non-ENG"),IF(IFERROR(VLOOKUP(B359&amp;"ES",'LM7 Non-ENG'!$A$1:$A$4999,1,FALSE),"ERROR")=B359&amp;"ES","Y","")),"")</f>
        <v/>
      </c>
      <c r="H359" s="29" t="str">
        <f>IFERROR(HYPERLINK("#"&amp;ADDRESS(MATCH(B359&amp;"PT",'LM7 Non-ENG'!$A$1:$A$5000,0),1,,,"LM7 Non-ENG"),IF(IFERROR(VLOOKUP(B359&amp;"PT",'LM7 Non-ENG'!$A$1:$A$5000,1,FALSE),"ERROR")=B359&amp;"PT","Y","")),"")</f>
        <v/>
      </c>
      <c r="I359" t="str">
        <f>IFERROR(VLOOKUP(B359,PN!$A:$C,3,FALSE),"")</f>
        <v>Active</v>
      </c>
      <c r="J359" s="3">
        <f>IFERROR(E359*VLOOKUP(B359,PLInter!$A:$D,3,FALSE),"")</f>
        <v>834</v>
      </c>
      <c r="K359" s="66"/>
      <c r="L359" s="66"/>
      <c r="M359" s="66"/>
      <c r="N359" s="66"/>
      <c r="O359" s="66"/>
      <c r="P359" s="66"/>
      <c r="Q359" s="66"/>
      <c r="R359" s="66"/>
      <c r="S359" s="66"/>
      <c r="T359" s="66"/>
    </row>
    <row r="360" spans="1:20" ht="18" customHeight="1">
      <c r="B360" t="str">
        <f>"26-E154-0000"</f>
        <v>26-E154-0000</v>
      </c>
      <c r="C360" t="str">
        <f>"Assembly, JM, E154, Switches and Lamps Panel"</f>
        <v>Assembly, JM, E154, Switches and Lamps Panel</v>
      </c>
      <c r="D360" s="4"/>
      <c r="E360" s="4">
        <v>1</v>
      </c>
      <c r="F360" s="4"/>
      <c r="G360" s="29" t="str">
        <f>IFERROR(HYPERLINK("#"&amp;ADDRESS(MATCH(B360&amp;"ES",'LM7 Non-ENG'!$A$1:$A$5000,0),1,,,"LM7 Non-ENG"),IF(IFERROR(VLOOKUP(B360&amp;"ES",'LM7 Non-ENG'!$A$1:$A$4999,1,FALSE),"ERROR")=B360&amp;"ES","Y","")),"")</f>
        <v/>
      </c>
      <c r="H360" s="29" t="str">
        <f>IFERROR(HYPERLINK("#"&amp;ADDRESS(MATCH(B360&amp;"PT",'LM7 Non-ENG'!$A$1:$A$5000,0),1,,,"LM7 Non-ENG"),IF(IFERROR(VLOOKUP(B360&amp;"PT",'LM7 Non-ENG'!$A$1:$A$5000,1,FALSE),"ERROR")=B360&amp;"PT","Y","")),"")</f>
        <v/>
      </c>
      <c r="I360" t="str">
        <f>IFERROR(VLOOKUP(B360,PN!$A:$C,3,FALSE),"")</f>
        <v>Active</v>
      </c>
      <c r="J360" s="3">
        <f>IFERROR(E360*VLOOKUP(B360,PLInter!$A:$D,3,FALSE),"")</f>
        <v>500</v>
      </c>
      <c r="K360" s="66"/>
      <c r="L360" s="66"/>
      <c r="M360" s="66"/>
      <c r="N360" s="66"/>
      <c r="O360" s="66"/>
      <c r="P360" s="66"/>
      <c r="Q360" s="66"/>
      <c r="R360" s="66"/>
      <c r="S360" s="66"/>
      <c r="T360" s="66"/>
    </row>
    <row r="361" spans="1:20" ht="18" customHeight="1">
      <c r="B361" t="str">
        <f>"26-E155-0000"</f>
        <v>26-E155-0000</v>
      </c>
      <c r="C361" t="str">
        <f>"Assembly, JM, E155, H-O-A Switch Panel"</f>
        <v>Assembly, JM, E155, H-O-A Switch Panel</v>
      </c>
      <c r="D361" s="4"/>
      <c r="E361" s="4">
        <v>1</v>
      </c>
      <c r="F361" s="4"/>
      <c r="G361" s="29" t="str">
        <f>IFERROR(HYPERLINK("#"&amp;ADDRESS(MATCH(B361&amp;"ES",'LM7 Non-ENG'!$A$1:$A$5000,0),1,,,"LM7 Non-ENG"),IF(IFERROR(VLOOKUP(B361&amp;"ES",'LM7 Non-ENG'!$A$1:$A$4999,1,FALSE),"ERROR")=B361&amp;"ES","Y","")),"")</f>
        <v/>
      </c>
      <c r="H361" s="29" t="str">
        <f>IFERROR(HYPERLINK("#"&amp;ADDRESS(MATCH(B361&amp;"PT",'LM7 Non-ENG'!$A$1:$A$5000,0),1,,,"LM7 Non-ENG"),IF(IFERROR(VLOOKUP(B361&amp;"PT",'LM7 Non-ENG'!$A$1:$A$5000,1,FALSE),"ERROR")=B361&amp;"PT","Y","")),"")</f>
        <v/>
      </c>
      <c r="I361" t="str">
        <f>IFERROR(VLOOKUP(B361,PN!$A:$C,3,FALSE),"")</f>
        <v>Active</v>
      </c>
      <c r="J361" s="3">
        <f>IFERROR(E361*VLOOKUP(B361,PLInter!$A:$D,3,FALSE),"")</f>
        <v>367</v>
      </c>
      <c r="K361" s="66"/>
      <c r="L361" s="66"/>
      <c r="M361" s="66"/>
      <c r="N361" s="66"/>
      <c r="O361" s="66"/>
      <c r="P361" s="66"/>
      <c r="Q361" s="66"/>
      <c r="R361" s="66"/>
      <c r="S361" s="66"/>
      <c r="T361" s="66"/>
    </row>
    <row r="362" spans="1:20" ht="18" customHeight="1">
      <c r="B362" s="1" t="str">
        <f>"36-EA07-IG01"</f>
        <v>36-EA07-IG01</v>
      </c>
      <c r="C362" s="1" t="str">
        <f>"JM, PDF on CD Electromagnetic Starters- EA04"</f>
        <v>JM, PDF on CD Electromagnetic Starters- EA04</v>
      </c>
      <c r="D362" s="6" t="s">
        <v>0</v>
      </c>
      <c r="E362" s="6">
        <v>1</v>
      </c>
      <c r="F362" s="6"/>
      <c r="G362" s="29" t="str">
        <f>IFERROR(HYPERLINK("#"&amp;ADDRESS(MATCH(B362&amp;"ES",'LM7 Non-ENG'!$A$1:$A$5000,0),1,,,"LM7 Non-ENG"),IF(IFERROR(VLOOKUP(B362&amp;"ES",'LM7 Non-ENG'!$A$1:$A$4999,1,FALSE),"ERROR")=B362&amp;"ES","Y","")),"")</f>
        <v/>
      </c>
      <c r="H362" s="29" t="str">
        <f>IFERROR(HYPERLINK("#"&amp;ADDRESS(MATCH(B362&amp;"PT",'LM7 Non-ENG'!$A$1:$A$5000,0),1,,,"LM7 Non-ENG"),IF(IFERROR(VLOOKUP(B362&amp;"PT",'LM7 Non-ENG'!$A$1:$A$5000,1,FALSE),"ERROR")=B362&amp;"PT","Y","")),"")</f>
        <v/>
      </c>
      <c r="I362" t="str">
        <f>IFERROR(VLOOKUP(B362,PN!$A:$C,3,FALSE),"")</f>
        <v>Active</v>
      </c>
      <c r="J362" s="3">
        <f>IFERROR(E362*VLOOKUP(B362,PLInter!$A:$D,3,FALSE),"")</f>
        <v>0</v>
      </c>
      <c r="K362" s="66"/>
      <c r="L362" s="66"/>
      <c r="M362" s="66"/>
      <c r="N362" s="66"/>
      <c r="O362" s="66"/>
      <c r="P362" s="66"/>
      <c r="Q362" s="66"/>
      <c r="R362" s="66"/>
      <c r="S362" s="66"/>
      <c r="T362" s="66"/>
    </row>
    <row r="363" spans="1:20" ht="18" customHeight="1">
      <c r="G363" s="29" t="str">
        <f>IFERROR(HYPERLINK("#"&amp;ADDRESS(MATCH(B363&amp;"ES",'LM7 Non-ENG'!$A$1:$A$5000,0),1,,,"LM7 Non-ENG"),IF(IFERROR(VLOOKUP(B363&amp;"ES",'LM7 Non-ENG'!$A$1:$A$4999,1,FALSE),"ERROR")=B363&amp;"ES","Y","")),"")</f>
        <v/>
      </c>
      <c r="H363" s="29" t="str">
        <f>IFERROR(HYPERLINK("#"&amp;ADDRESS(MATCH(B363&amp;"PT",'LM7 Non-ENG'!$A$1:$A$5000,0),1,,,"LM7 Non-ENG"),IF(IFERROR(VLOOKUP(B363&amp;"PT",'LM7 Non-ENG'!$A$1:$A$5000,1,FALSE),"ERROR")=B363&amp;"PT","Y","")),"")</f>
        <v/>
      </c>
    </row>
    <row r="364" spans="1:20" s="7" customFormat="1" ht="18" customHeight="1">
      <c r="A364" s="13" t="s">
        <v>57</v>
      </c>
      <c r="B364" s="13"/>
      <c r="C364" s="13" t="s">
        <v>58</v>
      </c>
      <c r="D364" s="14"/>
      <c r="E364" s="14"/>
      <c r="F364" s="14"/>
      <c r="G364" s="14"/>
      <c r="H364" s="14"/>
      <c r="I364" s="14"/>
      <c r="J364" s="14">
        <f>SUMIFS(J365:J369,D365:D369,"&lt;&gt;Y",F365:F369,"&lt;&gt;Y",I365:I369,"&lt;&gt;Inactive",I365:I369,"&lt;&gt;ECO+NFS")</f>
        <v>2367</v>
      </c>
      <c r="K364" s="14"/>
      <c r="L364" s="14"/>
      <c r="M364" s="14"/>
      <c r="N364" s="14"/>
      <c r="O364" s="14"/>
      <c r="P364" s="14"/>
      <c r="Q364" s="14"/>
      <c r="R364" s="14"/>
      <c r="S364" s="14"/>
      <c r="T364" s="14"/>
    </row>
    <row r="365" spans="1:20" ht="18" customHeight="1">
      <c r="A365" s="17" t="str">
        <f>HYPERLINK("#"&amp;ADDRESS(MATCH(A364,Jobmaster!$A$1:$A$4996,0),1,,,"Jobmaster"),"Back to Price List")</f>
        <v>Back to Price List</v>
      </c>
      <c r="B365" t="str">
        <f>"77-EA08-0000"</f>
        <v>77-EA08-0000</v>
      </c>
      <c r="C365" t="str">
        <f>"LM7 Content, JM, Relays and Timers"</f>
        <v>LM7 Content, JM, Relays and Timers</v>
      </c>
      <c r="D365" s="4"/>
      <c r="E365" s="4">
        <v>1</v>
      </c>
      <c r="F365" s="4"/>
      <c r="G365" s="29" t="str">
        <f>IFERROR(HYPERLINK("#"&amp;ADDRESS(MATCH(B365&amp;"ES",'LM7 Non-ENG'!$A$1:$A$5000,0),1,,,"LM7 Non-ENG"),IF(IFERROR(VLOOKUP(B365&amp;"ES",'LM7 Non-ENG'!$A$1:$A$4999,1,FALSE),"ERROR")=B365&amp;"ES","Y","")),"")</f>
        <v>Y</v>
      </c>
      <c r="H365" s="29" t="str">
        <f>IFERROR(HYPERLINK("#"&amp;ADDRESS(MATCH(B365&amp;"PT",'LM7 Non-ENG'!$A$1:$A$5000,0),1,,,"LM7 Non-ENG"),IF(IFERROR(VLOOKUP(B365&amp;"PT",'LM7 Non-ENG'!$A$1:$A$5000,1,FALSE),"ERROR")=B365&amp;"PT","Y","")),"")</f>
        <v/>
      </c>
      <c r="I365" t="str">
        <f>IFERROR(VLOOKUP(B365,PN!$A:$C,3,FALSE),"")</f>
        <v>Active</v>
      </c>
      <c r="J365" s="3">
        <f>IFERROR(E365*VLOOKUP(B365,PLInter!$A:$D,3,FALSE),"")</f>
        <v>700</v>
      </c>
      <c r="K365" s="68" t="s">
        <v>61</v>
      </c>
      <c r="L365" s="66"/>
      <c r="M365" s="66"/>
      <c r="N365" s="66"/>
      <c r="O365" s="66"/>
      <c r="P365" s="66"/>
      <c r="Q365" s="66"/>
      <c r="R365" s="66"/>
      <c r="S365" s="66"/>
      <c r="T365" s="66"/>
    </row>
    <row r="366" spans="1:20" ht="18" customHeight="1">
      <c r="B366" s="2" t="str">
        <f>"17-EA08-0000"</f>
        <v>17-EA08-0000</v>
      </c>
      <c r="C366" s="2" t="str">
        <f>"LM5.X Content, JM, Relays and Timers"</f>
        <v>LM5.X Content, JM, Relays and Timers</v>
      </c>
      <c r="D366" s="5"/>
      <c r="E366" s="5">
        <v>1</v>
      </c>
      <c r="F366" s="5" t="str">
        <f>"Y"</f>
        <v>Y</v>
      </c>
      <c r="G366" s="29" t="str">
        <f>IFERROR(HYPERLINK("#"&amp;ADDRESS(MATCH(B366&amp;"ES",'LM7 Non-ENG'!$A$1:$A$5000,0),1,,,"LM7 Non-ENG"),IF(IFERROR(VLOOKUP(B366&amp;"ES",'LM7 Non-ENG'!$A$1:$A$4999,1,FALSE),"ERROR")=B366&amp;"ES","Y","")),"")</f>
        <v/>
      </c>
      <c r="H366" s="29" t="str">
        <f>IFERROR(HYPERLINK("#"&amp;ADDRESS(MATCH(B366&amp;"PT",'LM7 Non-ENG'!$A$1:$A$5000,0),1,,,"LM7 Non-ENG"),IF(IFERROR(VLOOKUP(B366&amp;"PT",'LM7 Non-ENG'!$A$1:$A$5000,1,FALSE),"ERROR")=B366&amp;"PT","Y","")),"")</f>
        <v/>
      </c>
      <c r="I366" t="str">
        <f>IFERROR(VLOOKUP(B366,PN!$A:$C,3,FALSE),"")</f>
        <v>Active</v>
      </c>
      <c r="J366" s="3">
        <f>IFERROR(E366*VLOOKUP(B366,PLInter!$A:$D,3,FALSE),"")</f>
        <v>2495</v>
      </c>
      <c r="K366" s="66"/>
      <c r="L366" s="66"/>
      <c r="M366" s="66"/>
      <c r="N366" s="66"/>
      <c r="O366" s="66"/>
      <c r="P366" s="66"/>
      <c r="Q366" s="66"/>
      <c r="R366" s="66"/>
      <c r="S366" s="66"/>
      <c r="T366" s="66"/>
    </row>
    <row r="367" spans="1:20" ht="18" customHeight="1">
      <c r="B367" t="str">
        <f>"26-E017-0000"</f>
        <v>26-E017-0000</v>
      </c>
      <c r="C367" t="str">
        <f>"Assembly, JM, E017, Digital Relay"</f>
        <v>Assembly, JM, E017, Digital Relay</v>
      </c>
      <c r="D367" s="4"/>
      <c r="E367" s="4">
        <v>1</v>
      </c>
      <c r="F367" s="4"/>
      <c r="G367" s="29" t="str">
        <f>IFERROR(HYPERLINK("#"&amp;ADDRESS(MATCH(B367&amp;"ES",'LM7 Non-ENG'!$A$1:$A$5000,0),1,,,"LM7 Non-ENG"),IF(IFERROR(VLOOKUP(B367&amp;"ES",'LM7 Non-ENG'!$A$1:$A$4999,1,FALSE),"ERROR")=B367&amp;"ES","Y","")),"")</f>
        <v/>
      </c>
      <c r="H367" s="29" t="str">
        <f>IFERROR(HYPERLINK("#"&amp;ADDRESS(MATCH(B367&amp;"PT",'LM7 Non-ENG'!$A$1:$A$5000,0),1,,,"LM7 Non-ENG"),IF(IFERROR(VLOOKUP(B367&amp;"PT",'LM7 Non-ENG'!$A$1:$A$5000,1,FALSE),"ERROR")=B367&amp;"PT","Y","")),"")</f>
        <v/>
      </c>
      <c r="I367" t="str">
        <f>IFERROR(VLOOKUP(B367,PN!$A:$C,3,FALSE),"")</f>
        <v>Active</v>
      </c>
      <c r="J367" s="3">
        <f>IFERROR(E367*VLOOKUP(B367,PLInter!$A:$D,3,FALSE),"")</f>
        <v>1000</v>
      </c>
      <c r="K367" s="66"/>
      <c r="L367" s="66"/>
      <c r="M367" s="66"/>
      <c r="N367" s="66"/>
      <c r="O367" s="66"/>
      <c r="P367" s="66"/>
      <c r="Q367" s="66"/>
      <c r="R367" s="66"/>
      <c r="S367" s="66"/>
      <c r="T367" s="66"/>
    </row>
    <row r="368" spans="1:20" ht="18" customHeight="1">
      <c r="B368" t="str">
        <f>"26-E041-0000"</f>
        <v>26-E041-0000</v>
      </c>
      <c r="C368" t="str">
        <f>"Assembly, JM, E041, Electronic Timer"</f>
        <v>Assembly, JM, E041, Electronic Timer</v>
      </c>
      <c r="D368" s="4"/>
      <c r="E368" s="4">
        <v>1</v>
      </c>
      <c r="F368" s="4"/>
      <c r="G368" s="29" t="str">
        <f>IFERROR(HYPERLINK("#"&amp;ADDRESS(MATCH(B368&amp;"ES",'LM7 Non-ENG'!$A$1:$A$5000,0),1,,,"LM7 Non-ENG"),IF(IFERROR(VLOOKUP(B368&amp;"ES",'LM7 Non-ENG'!$A$1:$A$4999,1,FALSE),"ERROR")=B368&amp;"ES","Y","")),"")</f>
        <v/>
      </c>
      <c r="H368" s="29" t="str">
        <f>IFERROR(HYPERLINK("#"&amp;ADDRESS(MATCH(B368&amp;"PT",'LM7 Non-ENG'!$A$1:$A$5000,0),1,,,"LM7 Non-ENG"),IF(IFERROR(VLOOKUP(B368&amp;"PT",'LM7 Non-ENG'!$A$1:$A$5000,1,FALSE),"ERROR")=B368&amp;"PT","Y","")),"")</f>
        <v/>
      </c>
      <c r="I368" t="str">
        <f>IFERROR(VLOOKUP(B368,PN!$A:$C,3,FALSE),"")</f>
        <v>Active</v>
      </c>
      <c r="J368" s="3">
        <f>IFERROR(E368*VLOOKUP(B368,PLInter!$A:$D,3,FALSE),"")</f>
        <v>667</v>
      </c>
      <c r="K368" s="66"/>
      <c r="L368" s="66"/>
      <c r="M368" s="66"/>
      <c r="N368" s="66"/>
      <c r="O368" s="66"/>
      <c r="P368" s="66"/>
      <c r="Q368" s="66"/>
      <c r="R368" s="66"/>
      <c r="S368" s="66"/>
      <c r="T368" s="66"/>
    </row>
    <row r="369" spans="1:20" ht="18" customHeight="1">
      <c r="B369" s="1" t="str">
        <f>"36-EA08-IG01"</f>
        <v>36-EA08-IG01</v>
      </c>
      <c r="C369" s="1" t="str">
        <f>"JM, PDF on CD Relays and Timers - EA08"</f>
        <v>JM, PDF on CD Relays and Timers - EA08</v>
      </c>
      <c r="D369" s="6" t="s">
        <v>0</v>
      </c>
      <c r="E369" s="6">
        <v>1</v>
      </c>
      <c r="F369" s="6"/>
      <c r="G369" s="29" t="str">
        <f>IFERROR(HYPERLINK("#"&amp;ADDRESS(MATCH(B369&amp;"ES",'LM7 Non-ENG'!$A$1:$A$5000,0),1,,,"LM7 Non-ENG"),IF(IFERROR(VLOOKUP(B369&amp;"ES",'LM7 Non-ENG'!$A$1:$A$4999,1,FALSE),"ERROR")=B369&amp;"ES","Y","")),"")</f>
        <v/>
      </c>
      <c r="H369" s="29" t="str">
        <f>IFERROR(HYPERLINK("#"&amp;ADDRESS(MATCH(B369&amp;"PT",'LM7 Non-ENG'!$A$1:$A$5000,0),1,,,"LM7 Non-ENG"),IF(IFERROR(VLOOKUP(B369&amp;"PT",'LM7 Non-ENG'!$A$1:$A$5000,1,FALSE),"ERROR")=B369&amp;"PT","Y","")),"")</f>
        <v/>
      </c>
      <c r="I369" t="str">
        <f>IFERROR(VLOOKUP(B369,PN!$A:$C,3,FALSE),"")</f>
        <v>Active</v>
      </c>
      <c r="J369" s="3">
        <f>IFERROR(E369*VLOOKUP(B369,PLInter!$A:$D,3,FALSE),"")</f>
        <v>0</v>
      </c>
      <c r="K369" s="66"/>
      <c r="L369" s="66"/>
      <c r="M369" s="66"/>
      <c r="N369" s="66"/>
      <c r="O369" s="66"/>
      <c r="P369" s="66"/>
      <c r="Q369" s="66"/>
      <c r="R369" s="66"/>
      <c r="S369" s="66"/>
      <c r="T369" s="66"/>
    </row>
    <row r="370" spans="1:20" ht="18" customHeight="1">
      <c r="G370" s="29" t="str">
        <f>IFERROR(HYPERLINK("#"&amp;ADDRESS(MATCH(B370&amp;"ES",'LM7 Non-ENG'!$A$1:$A$5000,0),1,,,"LM7 Non-ENG"),IF(IFERROR(VLOOKUP(B370&amp;"ES",'LM7 Non-ENG'!$A$1:$A$4999,1,FALSE),"ERROR")=B370&amp;"ES","Y","")),"")</f>
        <v/>
      </c>
      <c r="H370" s="29" t="str">
        <f>IFERROR(HYPERLINK("#"&amp;ADDRESS(MATCH(B370&amp;"PT",'LM7 Non-ENG'!$A$1:$A$5000,0),1,,,"LM7 Non-ENG"),IF(IFERROR(VLOOKUP(B370&amp;"PT",'LM7 Non-ENG'!$A$1:$A$5000,1,FALSE),"ERROR")=B370&amp;"PT","Y","")),"")</f>
        <v/>
      </c>
    </row>
    <row r="371" spans="1:20" s="7" customFormat="1" ht="18" customHeight="1">
      <c r="A371" s="13" t="s">
        <v>62</v>
      </c>
      <c r="B371" s="13"/>
      <c r="C371" s="13" t="s">
        <v>63</v>
      </c>
      <c r="D371" s="14"/>
      <c r="E371" s="14"/>
      <c r="F371" s="14"/>
      <c r="G371" s="14"/>
      <c r="H371" s="14"/>
      <c r="I371" s="14"/>
      <c r="J371" s="14">
        <f>SUMIFS(J372:J378,D372:D378,"&lt;&gt;Y",F372:F378,"&lt;&gt;Y",I372:I378,"&lt;&gt;Inactive",I372:I378,"&lt;&gt;ECO+NFS")</f>
        <v>4669</v>
      </c>
      <c r="K371" s="14"/>
      <c r="L371" s="14"/>
      <c r="M371" s="14"/>
      <c r="N371" s="14"/>
      <c r="O371" s="14"/>
      <c r="P371" s="14"/>
      <c r="Q371" s="14"/>
      <c r="R371" s="14"/>
      <c r="S371" s="14"/>
      <c r="T371" s="14"/>
    </row>
    <row r="372" spans="1:20" ht="18" customHeight="1">
      <c r="A372" s="17" t="str">
        <f>HYPERLINK("#"&amp;ADDRESS(MATCH(A371,Jobmaster!$A$1:$A$4996,0),1,,,"Jobmaster"),"Back to Price List")</f>
        <v>Back to Price List</v>
      </c>
      <c r="B372" t="str">
        <f>"77-EA09-0000"</f>
        <v>77-EA09-0000</v>
      </c>
      <c r="C372" t="str">
        <f>"LM7 Content, JM, Pilot Devices"</f>
        <v>LM7 Content, JM, Pilot Devices</v>
      </c>
      <c r="D372" s="4"/>
      <c r="E372" s="4">
        <v>1</v>
      </c>
      <c r="F372" s="4"/>
      <c r="G372" s="29" t="str">
        <f>IFERROR(HYPERLINK("#"&amp;ADDRESS(MATCH(B372&amp;"ES",'LM7 Non-ENG'!$A$1:$A$5000,0),1,,,"LM7 Non-ENG"),IF(IFERROR(VLOOKUP(B372&amp;"ES",'LM7 Non-ENG'!$A$1:$A$4999,1,FALSE),"ERROR")=B372&amp;"ES","Y","")),"")</f>
        <v>Y</v>
      </c>
      <c r="H372" s="29" t="str">
        <f>IFERROR(HYPERLINK("#"&amp;ADDRESS(MATCH(B372&amp;"PT",'LM7 Non-ENG'!$A$1:$A$5000,0),1,,,"LM7 Non-ENG"),IF(IFERROR(VLOOKUP(B372&amp;"PT",'LM7 Non-ENG'!$A$1:$A$5000,1,FALSE),"ERROR")=B372&amp;"PT","Y","")),"")</f>
        <v/>
      </c>
      <c r="I372" t="str">
        <f>IFERROR(VLOOKUP(B372,PN!$A:$C,3,FALSE),"")</f>
        <v>Active</v>
      </c>
      <c r="J372" s="3">
        <f>IFERROR(E372*VLOOKUP(B372,PLInter!$A:$D,3,FALSE),"")</f>
        <v>700</v>
      </c>
      <c r="K372" s="68" t="s">
        <v>65</v>
      </c>
      <c r="L372" s="66"/>
      <c r="M372" s="66"/>
      <c r="N372" s="66"/>
      <c r="O372" s="66"/>
      <c r="P372" s="66"/>
      <c r="Q372" s="66"/>
      <c r="R372" s="66"/>
      <c r="S372" s="66"/>
      <c r="T372" s="66"/>
    </row>
    <row r="373" spans="1:20" ht="18" customHeight="1">
      <c r="B373" s="2" t="str">
        <f>"17-EA09-0000"</f>
        <v>17-EA09-0000</v>
      </c>
      <c r="C373" s="2" t="str">
        <f>"LM5.X Content, JM, Electronic Sensors"</f>
        <v>LM5.X Content, JM, Electronic Sensors</v>
      </c>
      <c r="D373" s="5"/>
      <c r="E373" s="5">
        <v>1</v>
      </c>
      <c r="F373" s="5" t="str">
        <f>"Y"</f>
        <v>Y</v>
      </c>
      <c r="G373" s="29" t="str">
        <f>IFERROR(HYPERLINK("#"&amp;ADDRESS(MATCH(B373&amp;"ES",'LM7 Non-ENG'!$A$1:$A$5000,0),1,,,"LM7 Non-ENG"),IF(IFERROR(VLOOKUP(B373&amp;"ES",'LM7 Non-ENG'!$A$1:$A$4999,1,FALSE),"ERROR")=B373&amp;"ES","Y","")),"")</f>
        <v/>
      </c>
      <c r="H373" s="29" t="str">
        <f>IFERROR(HYPERLINK("#"&amp;ADDRESS(MATCH(B373&amp;"PT",'LM7 Non-ENG'!$A$1:$A$5000,0),1,,,"LM7 Non-ENG"),IF(IFERROR(VLOOKUP(B373&amp;"PT",'LM7 Non-ENG'!$A$1:$A$5000,1,FALSE),"ERROR")=B373&amp;"PT","Y","")),"")</f>
        <v/>
      </c>
      <c r="I373" t="str">
        <f>IFERROR(VLOOKUP(B373,PN!$A:$C,3,FALSE),"")</f>
        <v>Active</v>
      </c>
      <c r="J373" s="3">
        <f>IFERROR(E373*VLOOKUP(B373,PLInter!$A:$D,3,FALSE),"")</f>
        <v>700</v>
      </c>
      <c r="K373" s="66"/>
      <c r="L373" s="66"/>
      <c r="M373" s="66"/>
      <c r="N373" s="66"/>
      <c r="O373" s="66"/>
      <c r="P373" s="66"/>
      <c r="Q373" s="66"/>
      <c r="R373" s="66"/>
      <c r="S373" s="66"/>
      <c r="T373" s="66"/>
    </row>
    <row r="374" spans="1:20" ht="18" customHeight="1">
      <c r="B374" t="str">
        <f>"26-E011-0000"</f>
        <v>26-E011-0000</v>
      </c>
      <c r="C374" t="str">
        <f>"Assembly, JM, E011, Limit Switch Panel"</f>
        <v>Assembly, JM, E011, Limit Switch Panel</v>
      </c>
      <c r="D374" s="4"/>
      <c r="E374" s="4">
        <v>1</v>
      </c>
      <c r="F374" s="4"/>
      <c r="G374" s="29" t="str">
        <f>IFERROR(HYPERLINK("#"&amp;ADDRESS(MATCH(B374&amp;"ES",'LM7 Non-ENG'!$A$1:$A$5000,0),1,,,"LM7 Non-ENG"),IF(IFERROR(VLOOKUP(B374&amp;"ES",'LM7 Non-ENG'!$A$1:$A$4999,1,FALSE),"ERROR")=B374&amp;"ES","Y","")),"")</f>
        <v/>
      </c>
      <c r="H374" s="29" t="str">
        <f>IFERROR(HYPERLINK("#"&amp;ADDRESS(MATCH(B374&amp;"PT",'LM7 Non-ENG'!$A$1:$A$5000,0),1,,,"LM7 Non-ENG"),IF(IFERROR(VLOOKUP(B374&amp;"PT",'LM7 Non-ENG'!$A$1:$A$5000,1,FALSE),"ERROR")=B374&amp;"PT","Y","")),"")</f>
        <v/>
      </c>
      <c r="I374" t="str">
        <f>IFERROR(VLOOKUP(B374,PN!$A:$C,3,FALSE),"")</f>
        <v>Active</v>
      </c>
      <c r="J374" s="3">
        <f>IFERROR(E374*VLOOKUP(B374,PLInter!$A:$D,3,FALSE),"")</f>
        <v>434</v>
      </c>
      <c r="K374" s="66"/>
      <c r="L374" s="66"/>
      <c r="M374" s="66"/>
      <c r="N374" s="66"/>
      <c r="O374" s="66"/>
      <c r="P374" s="66"/>
      <c r="Q374" s="66"/>
      <c r="R374" s="66"/>
      <c r="S374" s="66"/>
      <c r="T374" s="66"/>
    </row>
    <row r="375" spans="1:20" ht="18" customHeight="1">
      <c r="B375" t="str">
        <f>"26-E018-0000"</f>
        <v>26-E018-0000</v>
      </c>
      <c r="C375" t="str">
        <f>"Assembly, JM, E018, Liquid Level and Pressure"</f>
        <v>Assembly, JM, E018, Liquid Level and Pressure</v>
      </c>
      <c r="D375" s="4"/>
      <c r="E375" s="4">
        <v>1</v>
      </c>
      <c r="F375" s="4"/>
      <c r="G375" s="29" t="str">
        <f>IFERROR(HYPERLINK("#"&amp;ADDRESS(MATCH(B375&amp;"ES",'LM7 Non-ENG'!$A$1:$A$5000,0),1,,,"LM7 Non-ENG"),IF(IFERROR(VLOOKUP(B375&amp;"ES",'LM7 Non-ENG'!$A$1:$A$4999,1,FALSE),"ERROR")=B375&amp;"ES","Y","")),"")</f>
        <v/>
      </c>
      <c r="H375" s="29" t="str">
        <f>IFERROR(HYPERLINK("#"&amp;ADDRESS(MATCH(B375&amp;"PT",'LM7 Non-ENG'!$A$1:$A$5000,0),1,,,"LM7 Non-ENG"),IF(IFERROR(VLOOKUP(B375&amp;"PT",'LM7 Non-ENG'!$A$1:$A$5000,1,FALSE),"ERROR")=B375&amp;"PT","Y","")),"")</f>
        <v/>
      </c>
      <c r="I375" t="str">
        <f>IFERROR(VLOOKUP(B375,PN!$A:$C,3,FALSE),"")</f>
        <v>Active</v>
      </c>
      <c r="J375" s="3">
        <f>IFERROR(E375*VLOOKUP(B375,PLInter!$A:$D,3,FALSE),"")</f>
        <v>867</v>
      </c>
      <c r="K375" s="66"/>
      <c r="L375" s="66"/>
      <c r="M375" s="66"/>
      <c r="N375" s="66"/>
      <c r="O375" s="66"/>
      <c r="P375" s="66"/>
      <c r="Q375" s="66"/>
      <c r="R375" s="66"/>
      <c r="S375" s="66"/>
      <c r="T375" s="66"/>
    </row>
    <row r="376" spans="1:20" ht="18" customHeight="1">
      <c r="B376" t="str">
        <f>"26-E126-0000"</f>
        <v>26-E126-0000</v>
      </c>
      <c r="C376" t="str">
        <f>"Assembly, JM, E126, Photo, Mag, &amp; Prox Panel"</f>
        <v>Assembly, JM, E126, Photo, Mag, &amp; Prox Panel</v>
      </c>
      <c r="D376" s="4"/>
      <c r="E376" s="4">
        <v>1</v>
      </c>
      <c r="F376" s="4"/>
      <c r="G376" s="29" t="str">
        <f>IFERROR(HYPERLINK("#"&amp;ADDRESS(MATCH(B376&amp;"ES",'LM7 Non-ENG'!$A$1:$A$5000,0),1,,,"LM7 Non-ENG"),IF(IFERROR(VLOOKUP(B376&amp;"ES",'LM7 Non-ENG'!$A$1:$A$4999,1,FALSE),"ERROR")=B376&amp;"ES","Y","")),"")</f>
        <v/>
      </c>
      <c r="H376" s="29" t="str">
        <f>IFERROR(HYPERLINK("#"&amp;ADDRESS(MATCH(B376&amp;"PT",'LM7 Non-ENG'!$A$1:$A$5000,0),1,,,"LM7 Non-ENG"),IF(IFERROR(VLOOKUP(B376&amp;"PT",'LM7 Non-ENG'!$A$1:$A$5000,1,FALSE),"ERROR")=B376&amp;"PT","Y","")),"")</f>
        <v/>
      </c>
      <c r="I376" t="str">
        <f>IFERROR(VLOOKUP(B376,PN!$A:$C,3,FALSE),"")</f>
        <v>Active</v>
      </c>
      <c r="J376" s="3">
        <f>IFERROR(E376*VLOOKUP(B376,PLInter!$A:$D,3,FALSE),"")</f>
        <v>2134</v>
      </c>
      <c r="K376" s="66"/>
      <c r="L376" s="66"/>
      <c r="M376" s="66"/>
      <c r="N376" s="66"/>
      <c r="O376" s="66"/>
      <c r="P376" s="66"/>
      <c r="Q376" s="66"/>
      <c r="R376" s="66"/>
      <c r="S376" s="66"/>
      <c r="T376" s="66"/>
    </row>
    <row r="377" spans="1:20" ht="18" customHeight="1">
      <c r="B377" t="str">
        <f>"26-E153-0000"</f>
        <v>26-E153-0000</v>
      </c>
      <c r="C377" t="str">
        <f>"Assembly, JM, E153, AC/DC Circuits"</f>
        <v>Assembly, JM, E153, AC/DC Circuits</v>
      </c>
      <c r="D377" s="4"/>
      <c r="E377" s="4">
        <v>1</v>
      </c>
      <c r="F377" s="4"/>
      <c r="G377" s="29" t="str">
        <f>IFERROR(HYPERLINK("#"&amp;ADDRESS(MATCH(B377&amp;"ES",'LM7 Non-ENG'!$A$1:$A$5000,0),1,,,"LM7 Non-ENG"),IF(IFERROR(VLOOKUP(B377&amp;"ES",'LM7 Non-ENG'!$A$1:$A$4999,1,FALSE),"ERROR")=B377&amp;"ES","Y","")),"")</f>
        <v/>
      </c>
      <c r="H377" s="29" t="str">
        <f>IFERROR(HYPERLINK("#"&amp;ADDRESS(MATCH(B377&amp;"PT",'LM7 Non-ENG'!$A$1:$A$5000,0),1,,,"LM7 Non-ENG"),IF(IFERROR(VLOOKUP(B377&amp;"PT",'LM7 Non-ENG'!$A$1:$A$5000,1,FALSE),"ERROR")=B377&amp;"PT","Y","")),"")</f>
        <v/>
      </c>
      <c r="I377" t="str">
        <f>IFERROR(VLOOKUP(B377,PN!$A:$C,3,FALSE),"")</f>
        <v>Active</v>
      </c>
      <c r="J377" s="3">
        <f>IFERROR(E377*VLOOKUP(B377,PLInter!$A:$D,3,FALSE),"")</f>
        <v>534</v>
      </c>
      <c r="K377" s="66"/>
      <c r="L377" s="66"/>
      <c r="M377" s="66"/>
      <c r="N377" s="66"/>
      <c r="O377" s="66"/>
      <c r="P377" s="66"/>
      <c r="Q377" s="66"/>
      <c r="R377" s="66"/>
      <c r="S377" s="66"/>
      <c r="T377" s="66"/>
    </row>
    <row r="378" spans="1:20" ht="18" customHeight="1">
      <c r="B378" s="1" t="str">
        <f>"36-EA09-IG01"</f>
        <v>36-EA09-IG01</v>
      </c>
      <c r="C378" s="1" t="str">
        <f>"JM, PDF on CD Sensors - EA09"</f>
        <v>JM, PDF on CD Sensors - EA09</v>
      </c>
      <c r="D378" s="6" t="s">
        <v>0</v>
      </c>
      <c r="E378" s="6">
        <v>1</v>
      </c>
      <c r="F378" s="6"/>
      <c r="G378" s="29" t="str">
        <f>IFERROR(HYPERLINK("#"&amp;ADDRESS(MATCH(B378&amp;"ES",'LM7 Non-ENG'!$A$1:$A$5000,0),1,,,"LM7 Non-ENG"),IF(IFERROR(VLOOKUP(B378&amp;"ES",'LM7 Non-ENG'!$A$1:$A$4999,1,FALSE),"ERROR")=B378&amp;"ES","Y","")),"")</f>
        <v/>
      </c>
      <c r="H378" s="29" t="str">
        <f>IFERROR(HYPERLINK("#"&amp;ADDRESS(MATCH(B378&amp;"PT",'LM7 Non-ENG'!$A$1:$A$5000,0),1,,,"LM7 Non-ENG"),IF(IFERROR(VLOOKUP(B378&amp;"PT",'LM7 Non-ENG'!$A$1:$A$5000,1,FALSE),"ERROR")=B378&amp;"PT","Y","")),"")</f>
        <v/>
      </c>
      <c r="I378" t="str">
        <f>IFERROR(VLOOKUP(B378,PN!$A:$C,3,FALSE),"")</f>
        <v>Active</v>
      </c>
      <c r="J378" s="3">
        <f>IFERROR(E378*VLOOKUP(B378,PLInter!$A:$D,3,FALSE),"")</f>
        <v>0</v>
      </c>
      <c r="K378" s="66"/>
      <c r="L378" s="66"/>
      <c r="M378" s="66"/>
      <c r="N378" s="66"/>
      <c r="O378" s="66"/>
      <c r="P378" s="66"/>
      <c r="Q378" s="66"/>
      <c r="R378" s="66"/>
      <c r="S378" s="66"/>
      <c r="T378" s="66"/>
    </row>
    <row r="379" spans="1:20" ht="18" customHeight="1">
      <c r="G379" s="29" t="str">
        <f>IFERROR(HYPERLINK("#"&amp;ADDRESS(MATCH(B379&amp;"ES",'LM7 Non-ENG'!$A$1:$A$5000,0),1,,,"LM7 Non-ENG"),IF(IFERROR(VLOOKUP(B379&amp;"ES",'LM7 Non-ENG'!$A$1:$A$4999,1,FALSE),"ERROR")=B379&amp;"ES","Y","")),"")</f>
        <v/>
      </c>
      <c r="H379" s="29" t="str">
        <f>IFERROR(HYPERLINK("#"&amp;ADDRESS(MATCH(B379&amp;"PT",'LM7 Non-ENG'!$A$1:$A$5000,0),1,,,"LM7 Non-ENG"),IF(IFERROR(VLOOKUP(B379&amp;"PT",'LM7 Non-ENG'!$A$1:$A$5000,1,FALSE),"ERROR")=B379&amp;"PT","Y","")),"")</f>
        <v/>
      </c>
    </row>
    <row r="380" spans="1:20" s="7" customFormat="1" ht="18" customHeight="1">
      <c r="A380" s="13" t="s">
        <v>66</v>
      </c>
      <c r="B380" s="13"/>
      <c r="C380" s="13" t="s">
        <v>67</v>
      </c>
      <c r="D380" s="14"/>
      <c r="E380" s="14"/>
      <c r="F380" s="14"/>
      <c r="G380" s="14"/>
      <c r="H380" s="14"/>
      <c r="I380" s="14"/>
      <c r="J380" s="14">
        <f>SUMIFS(J381:J384,D381:D384,"&lt;&gt;Y",F381:F384,"&lt;&gt;Y",I381:I384,"&lt;&gt;Inactive",I381:I384,"&lt;&gt;ECO+NFS")</f>
        <v>2500</v>
      </c>
      <c r="K380" s="14"/>
      <c r="L380" s="14"/>
      <c r="M380" s="14"/>
      <c r="N380" s="14"/>
      <c r="O380" s="14"/>
      <c r="P380" s="14"/>
      <c r="Q380" s="14"/>
      <c r="R380" s="14"/>
      <c r="S380" s="14"/>
      <c r="T380" s="14"/>
    </row>
    <row r="381" spans="1:20" ht="18" customHeight="1">
      <c r="A381" s="17" t="str">
        <f>HYPERLINK("#"&amp;ADDRESS(MATCH(A380,Jobmaster!$A$1:$A$4996,0),1,,,"Jobmaster"),"Back to Price List")</f>
        <v>Back to Price List</v>
      </c>
      <c r="B381" t="str">
        <f>"77-EA11-0000"</f>
        <v>77-EA11-0000</v>
      </c>
      <c r="C381" t="str">
        <f>"LM7 Content, JM, Solid State Voltage Starter"</f>
        <v>LM7 Content, JM, Solid State Voltage Starter</v>
      </c>
      <c r="D381" s="4"/>
      <c r="E381" s="4">
        <v>1</v>
      </c>
      <c r="F381" s="4"/>
      <c r="G381" s="29" t="str">
        <f>IFERROR(HYPERLINK("#"&amp;ADDRESS(MATCH(B381&amp;"ES",'LM7 Non-ENG'!$A$1:$A$5000,0),1,,,"LM7 Non-ENG"),IF(IFERROR(VLOOKUP(B381&amp;"ES",'LM7 Non-ENG'!$A$1:$A$4999,1,FALSE),"ERROR")=B381&amp;"ES","Y","")),"")</f>
        <v>Y</v>
      </c>
      <c r="H381" s="29" t="str">
        <f>IFERROR(HYPERLINK("#"&amp;ADDRESS(MATCH(B381&amp;"PT",'LM7 Non-ENG'!$A$1:$A$5000,0),1,,,"LM7 Non-ENG"),IF(IFERROR(VLOOKUP(B381&amp;"PT",'LM7 Non-ENG'!$A$1:$A$5000,1,FALSE),"ERROR")=B381&amp;"PT","Y","")),"")</f>
        <v/>
      </c>
      <c r="I381" t="str">
        <f>IFERROR(VLOOKUP(B381,PN!$A:$C,3,FALSE),"")</f>
        <v>Active</v>
      </c>
      <c r="J381" s="3">
        <f>IFERROR(E381*VLOOKUP(B381,PLInter!$A:$D,3,FALSE),"")</f>
        <v>700</v>
      </c>
      <c r="K381" s="68" t="s">
        <v>69</v>
      </c>
      <c r="L381" s="66"/>
      <c r="M381" s="66"/>
      <c r="N381" s="66"/>
      <c r="O381" s="66"/>
      <c r="P381" s="66"/>
      <c r="Q381" s="66"/>
      <c r="R381" s="66"/>
      <c r="S381" s="66"/>
      <c r="T381" s="66"/>
    </row>
    <row r="382" spans="1:20" ht="18" customHeight="1">
      <c r="B382" s="2" t="str">
        <f>"17-EA11-0000"</f>
        <v>17-EA11-0000</v>
      </c>
      <c r="C382" s="2" t="str">
        <f>"LM5.X Content, JM, Solid State Voltage Starter"</f>
        <v>LM5.X Content, JM, Solid State Voltage Starter</v>
      </c>
      <c r="D382" s="5"/>
      <c r="E382" s="5">
        <v>1</v>
      </c>
      <c r="F382" s="5" t="str">
        <f>"Y"</f>
        <v>Y</v>
      </c>
      <c r="G382" s="29" t="str">
        <f>IFERROR(HYPERLINK("#"&amp;ADDRESS(MATCH(B382&amp;"ES",'LM7 Non-ENG'!$A$1:$A$5000,0),1,,,"LM7 Non-ENG"),IF(IFERROR(VLOOKUP(B382&amp;"ES",'LM7 Non-ENG'!$A$1:$A$4999,1,FALSE),"ERROR")=B382&amp;"ES","Y","")),"")</f>
        <v/>
      </c>
      <c r="H382" s="29" t="str">
        <f>IFERROR(HYPERLINK("#"&amp;ADDRESS(MATCH(B382&amp;"PT",'LM7 Non-ENG'!$A$1:$A$5000,0),1,,,"LM7 Non-ENG"),IF(IFERROR(VLOOKUP(B382&amp;"PT",'LM7 Non-ENG'!$A$1:$A$5000,1,FALSE),"ERROR")=B382&amp;"PT","Y","")),"")</f>
        <v/>
      </c>
      <c r="I382" t="str">
        <f>IFERROR(VLOOKUP(B382,PN!$A:$C,3,FALSE),"")</f>
        <v>Active</v>
      </c>
      <c r="J382" s="3">
        <f>IFERROR(E382*VLOOKUP(B382,PLInter!$A:$D,3,FALSE),"")</f>
        <v>700</v>
      </c>
      <c r="K382" s="66"/>
      <c r="L382" s="66"/>
      <c r="M382" s="66"/>
      <c r="N382" s="66"/>
      <c r="O382" s="66"/>
      <c r="P382" s="66"/>
      <c r="Q382" s="66"/>
      <c r="R382" s="66"/>
      <c r="S382" s="66"/>
      <c r="T382" s="66"/>
    </row>
    <row r="383" spans="1:20" ht="18" customHeight="1">
      <c r="B383" t="str">
        <f>"26-E024-0000"</f>
        <v>26-E024-0000</v>
      </c>
      <c r="C383" t="str">
        <f>"Assembly, JM, E024, Solid State Starter Panel"</f>
        <v>Assembly, JM, E024, Solid State Starter Panel</v>
      </c>
      <c r="D383" s="4"/>
      <c r="E383" s="4">
        <v>1</v>
      </c>
      <c r="F383" s="4"/>
      <c r="G383" s="29" t="str">
        <f>IFERROR(HYPERLINK("#"&amp;ADDRESS(MATCH(B383&amp;"ES",'LM7 Non-ENG'!$A$1:$A$5000,0),1,,,"LM7 Non-ENG"),IF(IFERROR(VLOOKUP(B383&amp;"ES",'LM7 Non-ENG'!$A$1:$A$4999,1,FALSE),"ERROR")=B383&amp;"ES","Y","")),"")</f>
        <v/>
      </c>
      <c r="H383" s="29" t="str">
        <f>IFERROR(HYPERLINK("#"&amp;ADDRESS(MATCH(B383&amp;"PT",'LM7 Non-ENG'!$A$1:$A$5000,0),1,,,"LM7 Non-ENG"),IF(IFERROR(VLOOKUP(B383&amp;"PT",'LM7 Non-ENG'!$A$1:$A$5000,1,FALSE),"ERROR")=B383&amp;"PT","Y","")),"")</f>
        <v/>
      </c>
      <c r="I383" t="str">
        <f>IFERROR(VLOOKUP(B383,PN!$A:$C,3,FALSE),"")</f>
        <v>ECO-N2Buy</v>
      </c>
      <c r="J383" s="3">
        <f>IFERROR(E383*VLOOKUP(B383,PLInter!$A:$D,3,FALSE),"")</f>
        <v>1800</v>
      </c>
      <c r="K383" s="66"/>
      <c r="L383" s="66"/>
      <c r="M383" s="66"/>
      <c r="N383" s="66"/>
      <c r="O383" s="66"/>
      <c r="P383" s="66"/>
      <c r="Q383" s="66"/>
      <c r="R383" s="66"/>
      <c r="S383" s="66"/>
      <c r="T383" s="66"/>
    </row>
    <row r="384" spans="1:20" ht="18" customHeight="1">
      <c r="B384" s="1" t="str">
        <f>"36-EA11-IG01"</f>
        <v>36-EA11-IG01</v>
      </c>
      <c r="C384" s="1" t="str">
        <f>"JM, PDF on CD Solid State Voltage Starter - EA11"</f>
        <v>JM, PDF on CD Solid State Voltage Starter - EA11</v>
      </c>
      <c r="D384" s="6" t="s">
        <v>0</v>
      </c>
      <c r="E384" s="6">
        <v>1</v>
      </c>
      <c r="F384" s="6"/>
      <c r="G384" s="29" t="str">
        <f>IFERROR(HYPERLINK("#"&amp;ADDRESS(MATCH(B384&amp;"ES",'LM7 Non-ENG'!$A$1:$A$5000,0),1,,,"LM7 Non-ENG"),IF(IFERROR(VLOOKUP(B384&amp;"ES",'LM7 Non-ENG'!$A$1:$A$4999,1,FALSE),"ERROR")=B384&amp;"ES","Y","")),"")</f>
        <v/>
      </c>
      <c r="H384" s="29" t="str">
        <f>IFERROR(HYPERLINK("#"&amp;ADDRESS(MATCH(B384&amp;"PT",'LM7 Non-ENG'!$A$1:$A$5000,0),1,,,"LM7 Non-ENG"),IF(IFERROR(VLOOKUP(B384&amp;"PT",'LM7 Non-ENG'!$A$1:$A$5000,1,FALSE),"ERROR")=B384&amp;"PT","Y","")),"")</f>
        <v/>
      </c>
      <c r="I384" t="str">
        <f>IFERROR(VLOOKUP(B384,PN!$A:$C,3,FALSE),"")</f>
        <v>Active</v>
      </c>
      <c r="J384" s="3">
        <f>IFERROR(E384*VLOOKUP(B384,PLInter!$A:$D,3,FALSE),"")</f>
        <v>0</v>
      </c>
      <c r="K384" s="66"/>
      <c r="L384" s="66"/>
      <c r="M384" s="66"/>
      <c r="N384" s="66"/>
      <c r="O384" s="66"/>
      <c r="P384" s="66"/>
      <c r="Q384" s="66"/>
      <c r="R384" s="66"/>
      <c r="S384" s="66"/>
      <c r="T384" s="66"/>
    </row>
    <row r="385" spans="1:20" ht="18" customHeight="1">
      <c r="G385" s="29" t="str">
        <f>IFERROR(HYPERLINK("#"&amp;ADDRESS(MATCH(B385&amp;"ES",'LM7 Non-ENG'!$A$1:$A$5000,0),1,,,"LM7 Non-ENG"),IF(IFERROR(VLOOKUP(B385&amp;"ES",'LM7 Non-ENG'!$A$1:$A$4999,1,FALSE),"ERROR")=B385&amp;"ES","Y","")),"")</f>
        <v/>
      </c>
      <c r="H385" s="29" t="str">
        <f>IFERROR(HYPERLINK("#"&amp;ADDRESS(MATCH(B385&amp;"PT",'LM7 Non-ENG'!$A$1:$A$5000,0),1,,,"LM7 Non-ENG"),IF(IFERROR(VLOOKUP(B385&amp;"PT",'LM7 Non-ENG'!$A$1:$A$5000,1,FALSE),"ERROR")=B385&amp;"PT","Y","")),"")</f>
        <v/>
      </c>
    </row>
    <row r="386" spans="1:20" s="7" customFormat="1" ht="18" customHeight="1">
      <c r="A386" s="13" t="s">
        <v>70</v>
      </c>
      <c r="B386" s="13"/>
      <c r="C386" s="13" t="s">
        <v>71</v>
      </c>
      <c r="D386" s="14"/>
      <c r="E386" s="14"/>
      <c r="F386" s="14"/>
      <c r="G386" s="14"/>
      <c r="H386" s="14"/>
      <c r="I386" s="14"/>
      <c r="J386" s="14">
        <f>SUMIFS(J387:J391,D387:D391,"&lt;&gt;Y",F387:F391,"&lt;&gt;Y",I387:I391,"&lt;&gt;Inactive",I387:I391,"&lt;&gt;ECO+NFS")</f>
        <v>2384</v>
      </c>
      <c r="K386" s="14"/>
      <c r="L386" s="14"/>
      <c r="M386" s="14"/>
      <c r="N386" s="14"/>
      <c r="O386" s="14"/>
      <c r="P386" s="14"/>
      <c r="Q386" s="14"/>
      <c r="R386" s="14"/>
      <c r="S386" s="14"/>
      <c r="T386" s="14"/>
    </row>
    <row r="387" spans="1:20" ht="18" customHeight="1">
      <c r="A387" s="17" t="str">
        <f>HYPERLINK("#"&amp;ADDRESS(MATCH(A386,Jobmaster!$A$1:$A$4996,0),1,,,"Jobmaster"),"Back to Price List")</f>
        <v>Back to Price List</v>
      </c>
      <c r="B387" t="str">
        <f>"77-EA12-0000"</f>
        <v>77-EA12-0000</v>
      </c>
      <c r="C387" t="str">
        <f>"LM7 Content, JM, Electric Motor Drives"</f>
        <v>LM7 Content, JM, Electric Motor Drives</v>
      </c>
      <c r="D387" s="4"/>
      <c r="E387" s="4">
        <v>1</v>
      </c>
      <c r="F387" s="4"/>
      <c r="G387" s="29" t="str">
        <f>IFERROR(HYPERLINK("#"&amp;ADDRESS(MATCH(B387&amp;"ES",'LM7 Non-ENG'!$A$1:$A$5000,0),1,,,"LM7 Non-ENG"),IF(IFERROR(VLOOKUP(B387&amp;"ES",'LM7 Non-ENG'!$A$1:$A$4999,1,FALSE),"ERROR")=B387&amp;"ES","Y","")),"")</f>
        <v>Y</v>
      </c>
      <c r="H387" s="29" t="str">
        <f>IFERROR(HYPERLINK("#"&amp;ADDRESS(MATCH(B387&amp;"PT",'LM7 Non-ENG'!$A$1:$A$5000,0),1,,,"LM7 Non-ENG"),IF(IFERROR(VLOOKUP(B387&amp;"PT",'LM7 Non-ENG'!$A$1:$A$5000,1,FALSE),"ERROR")=B387&amp;"PT","Y","")),"")</f>
        <v/>
      </c>
      <c r="I387" t="str">
        <f>IFERROR(VLOOKUP(B387,PN!$A:$C,3,FALSE),"")</f>
        <v>Active</v>
      </c>
      <c r="J387" s="3">
        <f>IFERROR(E387*VLOOKUP(B387,PLInter!$A:$D,3,FALSE),"")</f>
        <v>700</v>
      </c>
      <c r="K387" s="68" t="s">
        <v>73</v>
      </c>
      <c r="L387" s="66"/>
      <c r="M387" s="66"/>
      <c r="N387" s="66"/>
      <c r="O387" s="66"/>
      <c r="P387" s="66"/>
      <c r="Q387" s="66"/>
      <c r="R387" s="66"/>
      <c r="S387" s="66"/>
      <c r="T387" s="66"/>
    </row>
    <row r="388" spans="1:20" ht="18" customHeight="1">
      <c r="B388" s="2" t="str">
        <f>"17-EA12-0000"</f>
        <v>17-EA12-0000</v>
      </c>
      <c r="C388" s="2" t="str">
        <f>"LM5.X Content, JM, Variable Frequency Drive"</f>
        <v>LM5.X Content, JM, Variable Frequency Drive</v>
      </c>
      <c r="D388" s="5"/>
      <c r="E388" s="5">
        <v>1</v>
      </c>
      <c r="F388" s="5" t="str">
        <f>"Y"</f>
        <v>Y</v>
      </c>
      <c r="G388" s="29" t="str">
        <f>IFERROR(HYPERLINK("#"&amp;ADDRESS(MATCH(B388&amp;"ES",'LM7 Non-ENG'!$A$1:$A$5000,0),1,,,"LM7 Non-ENG"),IF(IFERROR(VLOOKUP(B388&amp;"ES",'LM7 Non-ENG'!$A$1:$A$4999,1,FALSE),"ERROR")=B388&amp;"ES","Y","")),"")</f>
        <v/>
      </c>
      <c r="H388" s="29" t="str">
        <f>IFERROR(HYPERLINK("#"&amp;ADDRESS(MATCH(B388&amp;"PT",'LM7 Non-ENG'!$A$1:$A$5000,0),1,,,"LM7 Non-ENG"),IF(IFERROR(VLOOKUP(B388&amp;"PT",'LM7 Non-ENG'!$A$1:$A$5000,1,FALSE),"ERROR")=B388&amp;"PT","Y","")),"")</f>
        <v/>
      </c>
      <c r="I388" t="str">
        <f>IFERROR(VLOOKUP(B388,PN!$A:$C,3,FALSE),"")</f>
        <v>Active</v>
      </c>
      <c r="J388" s="3">
        <f>IFERROR(E388*VLOOKUP(B388,PLInter!$A:$D,3,FALSE),"")</f>
        <v>700</v>
      </c>
      <c r="K388" s="66"/>
      <c r="L388" s="66"/>
      <c r="M388" s="66"/>
      <c r="N388" s="66"/>
      <c r="O388" s="66"/>
      <c r="P388" s="66"/>
      <c r="Q388" s="66"/>
      <c r="R388" s="66"/>
      <c r="S388" s="66"/>
      <c r="T388" s="66"/>
    </row>
    <row r="389" spans="1:20" ht="18" customHeight="1">
      <c r="B389" t="str">
        <f>"26-E067-0000"</f>
        <v>26-E067-0000</v>
      </c>
      <c r="C389" t="str">
        <f>"Assembly, JM, E067,Varible Frequency Drive Panel"</f>
        <v>Assembly, JM, E067,Varible Frequency Drive Panel</v>
      </c>
      <c r="D389" s="4"/>
      <c r="E389" s="4">
        <v>1</v>
      </c>
      <c r="F389" s="4"/>
      <c r="G389" s="29" t="str">
        <f>IFERROR(HYPERLINK("#"&amp;ADDRESS(MATCH(B389&amp;"ES",'LM7 Non-ENG'!$A$1:$A$5000,0),1,,,"LM7 Non-ENG"),IF(IFERROR(VLOOKUP(B389&amp;"ES",'LM7 Non-ENG'!$A$1:$A$4999,1,FALSE),"ERROR")=B389&amp;"ES","Y","")),"")</f>
        <v/>
      </c>
      <c r="H389" s="29" t="str">
        <f>IFERROR(HYPERLINK("#"&amp;ADDRESS(MATCH(B389&amp;"PT",'LM7 Non-ENG'!$A$1:$A$5000,0),1,,,"LM7 Non-ENG"),IF(IFERROR(VLOOKUP(B389&amp;"PT",'LM7 Non-ENG'!$A$1:$A$5000,1,FALSE),"ERROR")=B389&amp;"PT","Y","")),"")</f>
        <v/>
      </c>
      <c r="I389" t="str">
        <f>IFERROR(VLOOKUP(B389,PN!$A:$C,3,FALSE),"")</f>
        <v>Active</v>
      </c>
      <c r="J389" s="3">
        <f>IFERROR(E389*VLOOKUP(B389,PLInter!$A:$D,3,FALSE),"")</f>
        <v>1334</v>
      </c>
      <c r="K389" s="66"/>
      <c r="L389" s="66"/>
      <c r="M389" s="66"/>
      <c r="N389" s="66"/>
      <c r="O389" s="66"/>
      <c r="P389" s="66"/>
      <c r="Q389" s="66"/>
      <c r="R389" s="66"/>
      <c r="S389" s="66"/>
      <c r="T389" s="66"/>
    </row>
    <row r="390" spans="1:20" ht="18" customHeight="1">
      <c r="B390" s="1" t="str">
        <f>"36-EA12-IG01"</f>
        <v>36-EA12-IG01</v>
      </c>
      <c r="C390" s="1" t="str">
        <f>"JM, PDF on CD Variable Frequency Drive- EA12"</f>
        <v>JM, PDF on CD Variable Frequency Drive- EA12</v>
      </c>
      <c r="D390" s="6" t="s">
        <v>0</v>
      </c>
      <c r="E390" s="6">
        <v>1</v>
      </c>
      <c r="F390" s="6"/>
      <c r="G390" s="29" t="str">
        <f>IFERROR(HYPERLINK("#"&amp;ADDRESS(MATCH(B390&amp;"ES",'LM7 Non-ENG'!$A$1:$A$5000,0),1,,,"LM7 Non-ENG"),IF(IFERROR(VLOOKUP(B390&amp;"ES",'LM7 Non-ENG'!$A$1:$A$4999,1,FALSE),"ERROR")=B390&amp;"ES","Y","")),"")</f>
        <v/>
      </c>
      <c r="H390" s="29" t="str">
        <f>IFERROR(HYPERLINK("#"&amp;ADDRESS(MATCH(B390&amp;"PT",'LM7 Non-ENG'!$A$1:$A$5000,0),1,,,"LM7 Non-ENG"),IF(IFERROR(VLOOKUP(B390&amp;"PT",'LM7 Non-ENG'!$A$1:$A$5000,1,FALSE),"ERROR")=B390&amp;"PT","Y","")),"")</f>
        <v/>
      </c>
      <c r="I390" t="str">
        <f>IFERROR(VLOOKUP(B390,PN!$A:$C,3,FALSE),"")</f>
        <v>Active</v>
      </c>
      <c r="J390" s="3">
        <f>IFERROR(E390*VLOOKUP(B390,PLInter!$A:$D,3,FALSE),"")</f>
        <v>0</v>
      </c>
      <c r="K390" s="66"/>
      <c r="L390" s="66"/>
      <c r="M390" s="66"/>
      <c r="N390" s="66"/>
      <c r="O390" s="66"/>
      <c r="P390" s="66"/>
      <c r="Q390" s="66"/>
      <c r="R390" s="66"/>
      <c r="S390" s="66"/>
      <c r="T390" s="66"/>
    </row>
    <row r="391" spans="1:20" ht="18" customHeight="1">
      <c r="B391" t="str">
        <f>"26-E002-0000"</f>
        <v>26-E002-0000</v>
      </c>
      <c r="C391" t="str">
        <f>"Assembly, JM, E002, Start-Stop Control Panel"</f>
        <v>Assembly, JM, E002, Start-Stop Control Panel</v>
      </c>
      <c r="D391" s="4"/>
      <c r="E391" s="4">
        <v>1</v>
      </c>
      <c r="F391" s="4"/>
      <c r="G391" s="29" t="str">
        <f>IFERROR(HYPERLINK("#"&amp;ADDRESS(MATCH(B391&amp;"ES",'LM7 Non-ENG'!$A$1:$A$5000,0),1,,,"LM7 Non-ENG"),IF(IFERROR(VLOOKUP(B391&amp;"ES",'LM7 Non-ENG'!$A$1:$A$4999,1,FALSE),"ERROR")=B391&amp;"ES","Y","")),"")</f>
        <v/>
      </c>
      <c r="H391" s="29" t="str">
        <f>IFERROR(HYPERLINK("#"&amp;ADDRESS(MATCH(B391&amp;"PT",'LM7 Non-ENG'!$A$1:$A$5000,0),1,,,"LM7 Non-ENG"),IF(IFERROR(VLOOKUP(B391&amp;"PT",'LM7 Non-ENG'!$A$1:$A$5000,1,FALSE),"ERROR")=B391&amp;"PT","Y","")),"")</f>
        <v/>
      </c>
      <c r="I391" t="str">
        <f>IFERROR(VLOOKUP(B391,PN!$A:$C,3,FALSE),"")</f>
        <v>Active</v>
      </c>
      <c r="J391" s="3">
        <f>IFERROR(E391*VLOOKUP(B391,PLInter!$A:$D,3,FALSE),"")</f>
        <v>350</v>
      </c>
      <c r="K391" s="66"/>
      <c r="L391" s="66"/>
      <c r="M391" s="66"/>
      <c r="N391" s="66"/>
      <c r="O391" s="66"/>
      <c r="P391" s="66"/>
      <c r="Q391" s="66"/>
      <c r="R391" s="66"/>
      <c r="S391" s="66"/>
      <c r="T391" s="66"/>
    </row>
    <row r="392" spans="1:20" ht="18" customHeight="1">
      <c r="G392" s="29" t="str">
        <f>IFERROR(HYPERLINK("#"&amp;ADDRESS(MATCH(B392&amp;"ES",'LM7 Non-ENG'!$A$1:$A$5000,0),1,,,"LM7 Non-ENG"),IF(IFERROR(VLOOKUP(B392&amp;"ES",'LM7 Non-ENG'!$A$1:$A$4999,1,FALSE),"ERROR")=B392&amp;"ES","Y","")),"")</f>
        <v/>
      </c>
      <c r="H392" s="29" t="str">
        <f>IFERROR(HYPERLINK("#"&amp;ADDRESS(MATCH(B392&amp;"PT",'LM7 Non-ENG'!$A$1:$A$5000,0),1,,,"LM7 Non-ENG"),IF(IFERROR(VLOOKUP(B392&amp;"PT",'LM7 Non-ENG'!$A$1:$A$5000,1,FALSE),"ERROR")=B392&amp;"PT","Y","")),"")</f>
        <v/>
      </c>
    </row>
    <row r="393" spans="1:20" s="7" customFormat="1" ht="18" customHeight="1">
      <c r="A393" s="13" t="s">
        <v>74</v>
      </c>
      <c r="B393" s="13"/>
      <c r="C393" s="13" t="s">
        <v>75</v>
      </c>
      <c r="D393" s="14"/>
      <c r="E393" s="14"/>
      <c r="F393" s="14"/>
      <c r="G393" s="14"/>
      <c r="H393" s="14"/>
      <c r="I393" s="14"/>
      <c r="J393" s="14">
        <f>SUMIFS(J394:J403,D394:D403,"&lt;&gt;Y",F394:F403,"&lt;&gt;Y",I394:I403,"&lt;&gt;Inactive",I394:I403,"&lt;&gt;ECO+NFS")</f>
        <v>6818</v>
      </c>
      <c r="K393" s="14"/>
      <c r="L393" s="14"/>
      <c r="M393" s="14"/>
      <c r="N393" s="14"/>
      <c r="O393" s="14"/>
      <c r="P393" s="14"/>
      <c r="Q393" s="14"/>
      <c r="R393" s="14"/>
      <c r="S393" s="14"/>
      <c r="T393" s="14"/>
    </row>
    <row r="394" spans="1:20" ht="18" customHeight="1">
      <c r="A394" s="17" t="str">
        <f>HYPERLINK("#"&amp;ADDRESS(MATCH(A393,Jobmaster!$A$1:$A$4996,0),1,,,"Jobmaster"),"Back to Price List")</f>
        <v>Back to Price List</v>
      </c>
      <c r="B394" t="str">
        <f>"77-EA16-0000"</f>
        <v>77-EA16-0000</v>
      </c>
      <c r="C394" t="str">
        <f>"LM7 Content, JM, DC Motor Drives"</f>
        <v>LM7 Content, JM, DC Motor Drives</v>
      </c>
      <c r="D394" s="4"/>
      <c r="E394" s="4">
        <v>1</v>
      </c>
      <c r="F394" s="4"/>
      <c r="G394" s="29" t="str">
        <f>IFERROR(HYPERLINK("#"&amp;ADDRESS(MATCH(B394&amp;"ES",'LM7 Non-ENG'!$A$1:$A$5000,0),1,,,"LM7 Non-ENG"),IF(IFERROR(VLOOKUP(B394&amp;"ES",'LM7 Non-ENG'!$A$1:$A$4999,1,FALSE),"ERROR")=B394&amp;"ES","Y","")),"")</f>
        <v>Y</v>
      </c>
      <c r="H394" s="29" t="str">
        <f>IFERROR(HYPERLINK("#"&amp;ADDRESS(MATCH(B394&amp;"PT",'LM7 Non-ENG'!$A$1:$A$5000,0),1,,,"LM7 Non-ENG"),IF(IFERROR(VLOOKUP(B394&amp;"PT",'LM7 Non-ENG'!$A$1:$A$5000,1,FALSE),"ERROR")=B394&amp;"PT","Y","")),"")</f>
        <v/>
      </c>
      <c r="I394" t="str">
        <f>IFERROR(VLOOKUP(B394,PN!$A:$C,3,FALSE),"")</f>
        <v>Active</v>
      </c>
      <c r="J394" s="3">
        <f>IFERROR(E394*VLOOKUP(B394,PLInter!$A:$D,3,FALSE),"")</f>
        <v>700</v>
      </c>
      <c r="K394" s="68" t="s">
        <v>77</v>
      </c>
      <c r="L394" s="66"/>
      <c r="M394" s="66"/>
      <c r="N394" s="66"/>
      <c r="O394" s="66"/>
      <c r="P394" s="66"/>
      <c r="Q394" s="66"/>
      <c r="R394" s="66"/>
      <c r="S394" s="66"/>
      <c r="T394" s="66"/>
    </row>
    <row r="395" spans="1:20" ht="18" customHeight="1">
      <c r="B395" s="2" t="str">
        <f>"17-EA16-0000"</f>
        <v>17-EA16-0000</v>
      </c>
      <c r="C395" s="2" t="str">
        <f>"LM5.X Content, JM, DC Motor Drives"</f>
        <v>LM5.X Content, JM, DC Motor Drives</v>
      </c>
      <c r="D395" s="5"/>
      <c r="E395" s="5">
        <v>1</v>
      </c>
      <c r="F395" s="5" t="str">
        <f>"Y"</f>
        <v>Y</v>
      </c>
      <c r="G395" s="29" t="str">
        <f>IFERROR(HYPERLINK("#"&amp;ADDRESS(MATCH(B395&amp;"ES",'LM7 Non-ENG'!$A$1:$A$5000,0),1,,,"LM7 Non-ENG"),IF(IFERROR(VLOOKUP(B395&amp;"ES",'LM7 Non-ENG'!$A$1:$A$4999,1,FALSE),"ERROR")=B395&amp;"ES","Y","")),"")</f>
        <v/>
      </c>
      <c r="H395" s="29" t="str">
        <f>IFERROR(HYPERLINK("#"&amp;ADDRESS(MATCH(B395&amp;"PT",'LM7 Non-ENG'!$A$1:$A$5000,0),1,,,"LM7 Non-ENG"),IF(IFERROR(VLOOKUP(B395&amp;"PT",'LM7 Non-ENG'!$A$1:$A$5000,1,FALSE),"ERROR")=B395&amp;"PT","Y","")),"")</f>
        <v/>
      </c>
      <c r="I395" t="str">
        <f>IFERROR(VLOOKUP(B395,PN!$A:$C,3,FALSE),"")</f>
        <v>Active</v>
      </c>
      <c r="J395" s="3">
        <f>IFERROR(E395*VLOOKUP(B395,PLInter!$A:$D,3,FALSE),"")</f>
        <v>700</v>
      </c>
      <c r="K395" s="66"/>
      <c r="L395" s="66"/>
      <c r="M395" s="66"/>
      <c r="N395" s="66"/>
      <c r="O395" s="66"/>
      <c r="P395" s="66"/>
      <c r="Q395" s="66"/>
      <c r="R395" s="66"/>
      <c r="S395" s="66"/>
      <c r="T395" s="66"/>
    </row>
    <row r="396" spans="1:20" ht="18" customHeight="1">
      <c r="B396" t="str">
        <f>"26-E007-0000"</f>
        <v>26-E007-0000</v>
      </c>
      <c r="C396" t="str">
        <f>"Assembly, JM, E007 - SCR Speed Control Panel"</f>
        <v>Assembly, JM, E007 - SCR Speed Control Panel</v>
      </c>
      <c r="D396" s="4"/>
      <c r="E396" s="4">
        <v>1</v>
      </c>
      <c r="F396" s="4"/>
      <c r="G396" s="29" t="str">
        <f>IFERROR(HYPERLINK("#"&amp;ADDRESS(MATCH(B396&amp;"ES",'LM7 Non-ENG'!$A$1:$A$5000,0),1,,,"LM7 Non-ENG"),IF(IFERROR(VLOOKUP(B396&amp;"ES",'LM7 Non-ENG'!$A$1:$A$4999,1,FALSE),"ERROR")=B396&amp;"ES","Y","")),"")</f>
        <v/>
      </c>
      <c r="H396" s="29" t="str">
        <f>IFERROR(HYPERLINK("#"&amp;ADDRESS(MATCH(B396&amp;"PT",'LM7 Non-ENG'!$A$1:$A$5000,0),1,,,"LM7 Non-ENG"),IF(IFERROR(VLOOKUP(B396&amp;"PT",'LM7 Non-ENG'!$A$1:$A$5000,1,FALSE),"ERROR")=B396&amp;"PT","Y","")),"")</f>
        <v/>
      </c>
      <c r="I396" t="str">
        <f>IFERROR(VLOOKUP(B396,PN!$A:$C,3,FALSE),"")</f>
        <v>Active</v>
      </c>
      <c r="J396" s="3">
        <f>IFERROR(E396*VLOOKUP(B396,PLInter!$A:$D,3,FALSE),"")</f>
        <v>650</v>
      </c>
      <c r="K396" s="66"/>
      <c r="L396" s="66"/>
      <c r="M396" s="66"/>
      <c r="N396" s="66"/>
      <c r="O396" s="66"/>
      <c r="P396" s="66"/>
      <c r="Q396" s="66"/>
      <c r="R396" s="66"/>
      <c r="S396" s="66"/>
      <c r="T396" s="66"/>
    </row>
    <row r="397" spans="1:20" ht="18" customHeight="1">
      <c r="B397" t="str">
        <f>"26-E025-0000"</f>
        <v>26-E025-0000</v>
      </c>
      <c r="C397" t="str">
        <f>"Assembly, JM, E025 F-O-R Switch Panel"</f>
        <v>Assembly, JM, E025 F-O-R Switch Panel</v>
      </c>
      <c r="D397" s="4"/>
      <c r="E397" s="4">
        <v>1</v>
      </c>
      <c r="F397" s="4"/>
      <c r="G397" s="29" t="str">
        <f>IFERROR(HYPERLINK("#"&amp;ADDRESS(MATCH(B397&amp;"ES",'LM7 Non-ENG'!$A$1:$A$5000,0),1,,,"LM7 Non-ENG"),IF(IFERROR(VLOOKUP(B397&amp;"ES",'LM7 Non-ENG'!$A$1:$A$4999,1,FALSE),"ERROR")=B397&amp;"ES","Y","")),"")</f>
        <v/>
      </c>
      <c r="H397" s="29" t="str">
        <f>IFERROR(HYPERLINK("#"&amp;ADDRESS(MATCH(B397&amp;"PT",'LM7 Non-ENG'!$A$1:$A$5000,0),1,,,"LM7 Non-ENG"),IF(IFERROR(VLOOKUP(B397&amp;"PT",'LM7 Non-ENG'!$A$1:$A$5000,1,FALSE),"ERROR")=B397&amp;"PT","Y","")),"")</f>
        <v/>
      </c>
      <c r="I397" t="str">
        <f>IFERROR(VLOOKUP(B397,PN!$A:$C,3,FALSE),"")</f>
        <v>Active</v>
      </c>
      <c r="J397" s="3">
        <f>IFERROR(E397*VLOOKUP(B397,PLInter!$A:$D,3,FALSE),"")</f>
        <v>700</v>
      </c>
      <c r="K397" s="66"/>
      <c r="L397" s="66"/>
      <c r="M397" s="66"/>
      <c r="N397" s="66"/>
      <c r="O397" s="66"/>
      <c r="P397" s="66"/>
      <c r="Q397" s="66"/>
      <c r="R397" s="66"/>
      <c r="S397" s="66"/>
      <c r="T397" s="66"/>
    </row>
    <row r="398" spans="1:20" ht="18" customHeight="1">
      <c r="B398" t="str">
        <f>"26-E034-0000"</f>
        <v>26-E034-0000</v>
      </c>
      <c r="C398" t="str">
        <f>"Assembly, JM, E034, DC Motor Panel"</f>
        <v>Assembly, JM, E034, DC Motor Panel</v>
      </c>
      <c r="D398" s="4"/>
      <c r="E398" s="4">
        <v>1</v>
      </c>
      <c r="F398" s="4"/>
      <c r="G398" s="29" t="str">
        <f>IFERROR(HYPERLINK("#"&amp;ADDRESS(MATCH(B398&amp;"ES",'LM7 Non-ENG'!$A$1:$A$5000,0),1,,,"LM7 Non-ENG"),IF(IFERROR(VLOOKUP(B398&amp;"ES",'LM7 Non-ENG'!$A$1:$A$4999,1,FALSE),"ERROR")=B398&amp;"ES","Y","")),"")</f>
        <v/>
      </c>
      <c r="H398" s="29" t="str">
        <f>IFERROR(HYPERLINK("#"&amp;ADDRESS(MATCH(B398&amp;"PT",'LM7 Non-ENG'!$A$1:$A$5000,0),1,,,"LM7 Non-ENG"),IF(IFERROR(VLOOKUP(B398&amp;"PT",'LM7 Non-ENG'!$A$1:$A$5000,1,FALSE),"ERROR")=B398&amp;"PT","Y","")),"")</f>
        <v/>
      </c>
      <c r="I398" t="str">
        <f>IFERROR(VLOOKUP(B398,PN!$A:$C,3,FALSE),"")</f>
        <v>Active</v>
      </c>
      <c r="J398" s="3">
        <f>IFERROR(E398*VLOOKUP(B398,PLInter!$A:$D,3,FALSE),"")</f>
        <v>900</v>
      </c>
      <c r="K398" s="66"/>
      <c r="L398" s="66"/>
      <c r="M398" s="66"/>
      <c r="N398" s="66"/>
      <c r="O398" s="66"/>
      <c r="P398" s="66"/>
      <c r="Q398" s="66"/>
      <c r="R398" s="66"/>
      <c r="S398" s="66"/>
      <c r="T398" s="66"/>
    </row>
    <row r="399" spans="1:20" ht="18" customHeight="1">
      <c r="B399" t="str">
        <f>"26-E038-0000"</f>
        <v>26-E038-0000</v>
      </c>
      <c r="C399" t="str">
        <f>"Assembly, JM, E038, PWM Speed Control Panel"</f>
        <v>Assembly, JM, E038, PWM Speed Control Panel</v>
      </c>
      <c r="D399" s="4"/>
      <c r="E399" s="4">
        <v>1</v>
      </c>
      <c r="F399" s="4"/>
      <c r="G399" s="29" t="str">
        <f>IFERROR(HYPERLINK("#"&amp;ADDRESS(MATCH(B399&amp;"ES",'LM7 Non-ENG'!$A$1:$A$5000,0),1,,,"LM7 Non-ENG"),IF(IFERROR(VLOOKUP(B399&amp;"ES",'LM7 Non-ENG'!$A$1:$A$4999,1,FALSE),"ERROR")=B399&amp;"ES","Y","")),"")</f>
        <v/>
      </c>
      <c r="H399" s="29" t="str">
        <f>IFERROR(HYPERLINK("#"&amp;ADDRESS(MATCH(B399&amp;"PT",'LM7 Non-ENG'!$A$1:$A$5000,0),1,,,"LM7 Non-ENG"),IF(IFERROR(VLOOKUP(B399&amp;"PT",'LM7 Non-ENG'!$A$1:$A$5000,1,FALSE),"ERROR")=B399&amp;"PT","Y","")),"")</f>
        <v/>
      </c>
      <c r="I399" t="str">
        <f>IFERROR(VLOOKUP(B399,PN!$A:$C,3,FALSE),"")</f>
        <v>Active</v>
      </c>
      <c r="J399" s="3">
        <f>IFERROR(E399*VLOOKUP(B399,PLInter!$A:$D,3,FALSE),"")</f>
        <v>1067</v>
      </c>
      <c r="K399" s="66"/>
      <c r="L399" s="66"/>
      <c r="M399" s="66"/>
      <c r="N399" s="66"/>
      <c r="O399" s="66"/>
      <c r="P399" s="66"/>
      <c r="Q399" s="66"/>
      <c r="R399" s="66"/>
      <c r="S399" s="66"/>
      <c r="T399" s="66"/>
    </row>
    <row r="400" spans="1:20" ht="18" customHeight="1">
      <c r="B400" t="str">
        <f>"26-E048-0000"</f>
        <v>26-E048-0000</v>
      </c>
      <c r="C400" t="str">
        <f>"Assembly, JM, E048 Inertial Load Panel"</f>
        <v>Assembly, JM, E048 Inertial Load Panel</v>
      </c>
      <c r="D400" s="4"/>
      <c r="E400" s="4">
        <v>1</v>
      </c>
      <c r="F400" s="4"/>
      <c r="G400" s="29" t="str">
        <f>IFERROR(HYPERLINK("#"&amp;ADDRESS(MATCH(B400&amp;"ES",'LM7 Non-ENG'!$A$1:$A$5000,0),1,,,"LM7 Non-ENG"),IF(IFERROR(VLOOKUP(B400&amp;"ES",'LM7 Non-ENG'!$A$1:$A$4999,1,FALSE),"ERROR")=B400&amp;"ES","Y","")),"")</f>
        <v/>
      </c>
      <c r="H400" s="29" t="str">
        <f>IFERROR(HYPERLINK("#"&amp;ADDRESS(MATCH(B400&amp;"PT",'LM7 Non-ENG'!$A$1:$A$5000,0),1,,,"LM7 Non-ENG"),IF(IFERROR(VLOOKUP(B400&amp;"PT",'LM7 Non-ENG'!$A$1:$A$5000,1,FALSE),"ERROR")=B400&amp;"PT","Y","")),"")</f>
        <v/>
      </c>
      <c r="I400" t="str">
        <f>IFERROR(VLOOKUP(B400,PN!$A:$C,3,FALSE),"")</f>
        <v>Active</v>
      </c>
      <c r="J400" s="3">
        <f>IFERROR(E400*VLOOKUP(B400,PLInter!$A:$D,3,FALSE),"")</f>
        <v>667</v>
      </c>
      <c r="K400" s="66"/>
      <c r="L400" s="66"/>
      <c r="M400" s="66"/>
      <c r="N400" s="66"/>
      <c r="O400" s="66"/>
      <c r="P400" s="66"/>
      <c r="Q400" s="66"/>
      <c r="R400" s="66"/>
      <c r="S400" s="66"/>
      <c r="T400" s="66"/>
    </row>
    <row r="401" spans="1:20" ht="18" customHeight="1">
      <c r="B401" t="str">
        <f>"26-E071-0000"</f>
        <v>26-E071-0000</v>
      </c>
      <c r="C401" t="str">
        <f>"Assembly, JM, E071 Regenerative SCR Drive Panel"</f>
        <v>Assembly, JM, E071 Regenerative SCR Drive Panel</v>
      </c>
      <c r="D401" s="4"/>
      <c r="E401" s="4">
        <v>1</v>
      </c>
      <c r="F401" s="4"/>
      <c r="G401" s="29" t="str">
        <f>IFERROR(HYPERLINK("#"&amp;ADDRESS(MATCH(B401&amp;"ES",'LM7 Non-ENG'!$A$1:$A$5000,0),1,,,"LM7 Non-ENG"),IF(IFERROR(VLOOKUP(B401&amp;"ES",'LM7 Non-ENG'!$A$1:$A$4999,1,FALSE),"ERROR")=B401&amp;"ES","Y","")),"")</f>
        <v/>
      </c>
      <c r="H401" s="29" t="str">
        <f>IFERROR(HYPERLINK("#"&amp;ADDRESS(MATCH(B401&amp;"PT",'LM7 Non-ENG'!$A$1:$A$5000,0),1,,,"LM7 Non-ENG"),IF(IFERROR(VLOOKUP(B401&amp;"PT",'LM7 Non-ENG'!$A$1:$A$5000,1,FALSE),"ERROR")=B401&amp;"PT","Y","")),"")</f>
        <v/>
      </c>
      <c r="I401" t="str">
        <f>IFERROR(VLOOKUP(B401,PN!$A:$C,3,FALSE),"")</f>
        <v>Active</v>
      </c>
      <c r="J401" s="3">
        <f>IFERROR(E401*VLOOKUP(B401,PLInter!$A:$D,3,FALSE),"")</f>
        <v>1134</v>
      </c>
      <c r="K401" s="66"/>
      <c r="L401" s="66"/>
      <c r="M401" s="66"/>
      <c r="N401" s="66"/>
      <c r="O401" s="66"/>
      <c r="P401" s="66"/>
      <c r="Q401" s="66"/>
      <c r="R401" s="66"/>
      <c r="S401" s="66"/>
      <c r="T401" s="66"/>
    </row>
    <row r="402" spans="1:20" ht="18" customHeight="1">
      <c r="B402" t="str">
        <f>"36-EA16-IG01"</f>
        <v>36-EA16-IG01</v>
      </c>
      <c r="C402" t="str">
        <f>"JM, PDF on CD DC Motor Drives - EA16"</f>
        <v>JM, PDF on CD DC Motor Drives - EA16</v>
      </c>
      <c r="D402" s="4"/>
      <c r="E402" s="4">
        <v>1</v>
      </c>
      <c r="F402" s="4"/>
      <c r="G402" s="29" t="str">
        <f>IFERROR(HYPERLINK("#"&amp;ADDRESS(MATCH(B402&amp;"ES",'LM7 Non-ENG'!$A$1:$A$5000,0),1,,,"LM7 Non-ENG"),IF(IFERROR(VLOOKUP(B402&amp;"ES",'LM7 Non-ENG'!$A$1:$A$4999,1,FALSE),"ERROR")=B402&amp;"ES","Y","")),"")</f>
        <v/>
      </c>
      <c r="H402" s="29" t="str">
        <f>IFERROR(HYPERLINK("#"&amp;ADDRESS(MATCH(B402&amp;"PT",'LM7 Non-ENG'!$A$1:$A$5000,0),1,,,"LM7 Non-ENG"),IF(IFERROR(VLOOKUP(B402&amp;"PT",'LM7 Non-ENG'!$A$1:$A$5000,1,FALSE),"ERROR")=B402&amp;"PT","Y","")),"")</f>
        <v/>
      </c>
      <c r="I402" t="str">
        <f>IFERROR(VLOOKUP(B402,PN!$A:$C,3,FALSE),"")</f>
        <v>Active</v>
      </c>
      <c r="J402" s="3">
        <f>IFERROR(E402*VLOOKUP(B402,PLInter!$A:$D,3,FALSE),"")</f>
        <v>0</v>
      </c>
      <c r="K402" s="66"/>
      <c r="L402" s="66"/>
      <c r="M402" s="66"/>
      <c r="N402" s="66"/>
      <c r="O402" s="66"/>
      <c r="P402" s="66"/>
      <c r="Q402" s="66"/>
      <c r="R402" s="66"/>
      <c r="S402" s="66"/>
      <c r="T402" s="66"/>
    </row>
    <row r="403" spans="1:20" ht="18" customHeight="1">
      <c r="B403" t="str">
        <f>"26-E017-0000"</f>
        <v>26-E017-0000</v>
      </c>
      <c r="C403" t="str">
        <f>"Assembly, JM, E017, Digital Relay"</f>
        <v>Assembly, JM, E017, Digital Relay</v>
      </c>
      <c r="D403" s="4"/>
      <c r="E403" s="4">
        <v>1</v>
      </c>
      <c r="F403" s="4"/>
      <c r="G403" s="29" t="str">
        <f>IFERROR(HYPERLINK("#"&amp;ADDRESS(MATCH(B403&amp;"ES",'LM7 Non-ENG'!$A$1:$A$5000,0),1,,,"LM7 Non-ENG"),IF(IFERROR(VLOOKUP(B403&amp;"ES",'LM7 Non-ENG'!$A$1:$A$4999,1,FALSE),"ERROR")=B403&amp;"ES","Y","")),"")</f>
        <v/>
      </c>
      <c r="H403" s="29" t="str">
        <f>IFERROR(HYPERLINK("#"&amp;ADDRESS(MATCH(B403&amp;"PT",'LM7 Non-ENG'!$A$1:$A$5000,0),1,,,"LM7 Non-ENG"),IF(IFERROR(VLOOKUP(B403&amp;"PT",'LM7 Non-ENG'!$A$1:$A$5000,1,FALSE),"ERROR")=B403&amp;"PT","Y","")),"")</f>
        <v/>
      </c>
      <c r="I403" t="str">
        <f>IFERROR(VLOOKUP(B403,PN!$A:$C,3,FALSE),"")</f>
        <v>Active</v>
      </c>
      <c r="J403" s="3">
        <f>IFERROR(E403*VLOOKUP(B403,PLInter!$A:$D,3,FALSE),"")</f>
        <v>1000</v>
      </c>
      <c r="K403" s="66"/>
      <c r="L403" s="66"/>
      <c r="M403" s="66"/>
      <c r="N403" s="66"/>
      <c r="O403" s="66"/>
      <c r="P403" s="66"/>
      <c r="Q403" s="66"/>
      <c r="R403" s="66"/>
      <c r="S403" s="66"/>
      <c r="T403" s="66"/>
    </row>
    <row r="404" spans="1:20" ht="18" customHeight="1">
      <c r="G404" s="29" t="str">
        <f>IFERROR(HYPERLINK("#"&amp;ADDRESS(MATCH(B404&amp;"ES",'LM7 Non-ENG'!$A$1:$A$5000,0),1,,,"LM7 Non-ENG"),IF(IFERROR(VLOOKUP(B404&amp;"ES",'LM7 Non-ENG'!$A$1:$A$4999,1,FALSE),"ERROR")=B404&amp;"ES","Y","")),"")</f>
        <v/>
      </c>
      <c r="H404" s="29" t="str">
        <f>IFERROR(HYPERLINK("#"&amp;ADDRESS(MATCH(B404&amp;"PT",'LM7 Non-ENG'!$A$1:$A$5000,0),1,,,"LM7 Non-ENG"),IF(IFERROR(VLOOKUP(B404&amp;"PT",'LM7 Non-ENG'!$A$1:$A$5000,1,FALSE),"ERROR")=B404&amp;"PT","Y","")),"")</f>
        <v/>
      </c>
    </row>
    <row r="405" spans="1:20" s="7" customFormat="1" ht="18" customHeight="1">
      <c r="A405" s="13" t="s">
        <v>78</v>
      </c>
      <c r="B405" s="13"/>
      <c r="C405" s="13" t="s">
        <v>83</v>
      </c>
      <c r="D405" s="14"/>
      <c r="E405" s="14"/>
      <c r="F405" s="14"/>
      <c r="G405" s="14"/>
      <c r="H405" s="14"/>
      <c r="I405" s="14"/>
      <c r="J405" s="14">
        <f>SUMIFS(J406:J472,D406:D472,"&lt;&gt;Y",F406:F472,"&lt;&gt;Y",I406:I472,"&lt;&gt;Inactive",I406:I472,"&lt;&gt;ECO+NFS")</f>
        <v>82786</v>
      </c>
      <c r="K405" s="14"/>
      <c r="L405" s="14"/>
      <c r="M405" s="14"/>
      <c r="N405" s="14"/>
      <c r="O405" s="14"/>
      <c r="P405" s="14"/>
      <c r="Q405" s="14"/>
      <c r="R405" s="14"/>
      <c r="S405" s="14"/>
      <c r="T405" s="14"/>
    </row>
    <row r="406" spans="1:20" ht="18" customHeight="1">
      <c r="A406" s="17" t="str">
        <f>HYPERLINK("#"&amp;ADDRESS(MATCH(A405,Jobmaster!$A$1:$A$4996,0),1,,,"Jobmaster"),"Back to Price List")</f>
        <v>Back to Price List</v>
      </c>
      <c r="B406" t="str">
        <f>"10-LS00-0200"</f>
        <v>10-LS00-0200</v>
      </c>
      <c r="C406" t="str">
        <f>"LS200:Jobmaster 2-Sided Mobile Learning Station"</f>
        <v>LS200:Jobmaster 2-Sided Mobile Learning Station</v>
      </c>
      <c r="D406" s="4"/>
      <c r="E406" s="4">
        <v>1</v>
      </c>
      <c r="F406" s="4"/>
      <c r="G406" s="29" t="str">
        <f>IFERROR(HYPERLINK("#"&amp;ADDRESS(MATCH(B406&amp;"ES",'LM7 Non-ENG'!$A$1:$A$5000,0),1,,,"LM7 Non-ENG"),IF(IFERROR(VLOOKUP(B406&amp;"ES",'LM7 Non-ENG'!$A$1:$A$4999,1,FALSE),"ERROR")=B406&amp;"ES","Y","")),"")</f>
        <v/>
      </c>
      <c r="H406" s="29" t="str">
        <f>IFERROR(HYPERLINK("#"&amp;ADDRESS(MATCH(B406&amp;"PT",'LM7 Non-ENG'!$A$1:$A$5000,0),1,,,"LM7 Non-ENG"),IF(IFERROR(VLOOKUP(B406&amp;"PT",'LM7 Non-ENG'!$A$1:$A$5000,1,FALSE),"ERROR")=B406&amp;"PT","Y","")),"")</f>
        <v/>
      </c>
      <c r="I406" t="str">
        <f>IFERROR(VLOOKUP(B406,PN!$A:$C,3,FALSE),"")</f>
        <v>Active</v>
      </c>
      <c r="J406" s="3">
        <f>IFERROR(E406*VLOOKUP(B406,PLInter!$A:$D,3,FALSE),"")</f>
        <v>5500</v>
      </c>
      <c r="K406" s="68" t="s">
        <v>79</v>
      </c>
      <c r="L406" s="66"/>
      <c r="M406" s="66"/>
      <c r="N406" s="66"/>
      <c r="O406" s="66"/>
      <c r="P406" s="66"/>
      <c r="Q406" s="66"/>
      <c r="R406" s="66"/>
      <c r="S406" s="66"/>
      <c r="T406" s="66"/>
    </row>
    <row r="407" spans="1:20" ht="18" customHeight="1">
      <c r="B407" t="str">
        <f>"10-PC04-0000"</f>
        <v>10-PC04-0000</v>
      </c>
      <c r="C407" t="str">
        <f>"JM, Panel PC04, 120VAC Power Control"</f>
        <v>JM, Panel PC04, 120VAC Power Control</v>
      </c>
      <c r="D407" s="4"/>
      <c r="E407" s="4">
        <v>2</v>
      </c>
      <c r="F407" s="4"/>
      <c r="G407" s="29" t="str">
        <f>IFERROR(HYPERLINK("#"&amp;ADDRESS(MATCH(B407&amp;"ES",'LM7 Non-ENG'!$A$1:$A$5000,0),1,,,"LM7 Non-ENG"),IF(IFERROR(VLOOKUP(B407&amp;"ES",'LM7 Non-ENG'!$A$1:$A$4999,1,FALSE),"ERROR")=B407&amp;"ES","Y","")),"")</f>
        <v/>
      </c>
      <c r="H407" s="29" t="str">
        <f>IFERROR(HYPERLINK("#"&amp;ADDRESS(MATCH(B407&amp;"PT",'LM7 Non-ENG'!$A$1:$A$5000,0),1,,,"LM7 Non-ENG"),IF(IFERROR(VLOOKUP(B407&amp;"PT",'LM7 Non-ENG'!$A$1:$A$5000,1,FALSE),"ERROR")=B407&amp;"PT","Y","")),"")</f>
        <v/>
      </c>
      <c r="I407" t="str">
        <f>IFERROR(VLOOKUP(B407,PN!$A:$C,3,FALSE),"")</f>
        <v>Active</v>
      </c>
      <c r="J407" s="3">
        <f>IFERROR(E407*VLOOKUP(B407,PLInter!$A:$D,3,FALSE),"")</f>
        <v>2400</v>
      </c>
      <c r="K407" s="66"/>
      <c r="L407" s="66"/>
      <c r="M407" s="66"/>
      <c r="N407" s="66"/>
      <c r="O407" s="66"/>
      <c r="P407" s="66"/>
      <c r="Q407" s="66"/>
      <c r="R407" s="66"/>
      <c r="S407" s="66"/>
      <c r="T407" s="66"/>
    </row>
    <row r="408" spans="1:20" ht="18" customHeight="1">
      <c r="B408" t="str">
        <f>"10-PC06-0000"</f>
        <v>10-PC06-0000</v>
      </c>
      <c r="C408" t="str">
        <f>"JM, Panel PC06, 220VAC Three Phase Power Control"</f>
        <v>JM, Panel PC06, 220VAC Three Phase Power Control</v>
      </c>
      <c r="D408" s="4"/>
      <c r="E408" s="4">
        <v>2</v>
      </c>
      <c r="F408" s="4"/>
      <c r="G408" s="29" t="str">
        <f>IFERROR(HYPERLINK("#"&amp;ADDRESS(MATCH(B408&amp;"ES",'LM7 Non-ENG'!$A$1:$A$5000,0),1,,,"LM7 Non-ENG"),IF(IFERROR(VLOOKUP(B408&amp;"ES",'LM7 Non-ENG'!$A$1:$A$4999,1,FALSE),"ERROR")=B408&amp;"ES","Y","")),"")</f>
        <v/>
      </c>
      <c r="H408" s="29" t="str">
        <f>IFERROR(HYPERLINK("#"&amp;ADDRESS(MATCH(B408&amp;"PT",'LM7 Non-ENG'!$A$1:$A$5000,0),1,,,"LM7 Non-ENG"),IF(IFERROR(VLOOKUP(B408&amp;"PT",'LM7 Non-ENG'!$A$1:$A$5000,1,FALSE),"ERROR")=B408&amp;"PT","Y","")),"")</f>
        <v/>
      </c>
      <c r="I408" t="str">
        <f>IFERROR(VLOOKUP(B408,PN!$A:$C,3,FALSE),"")</f>
        <v>Active</v>
      </c>
      <c r="J408" s="3">
        <f>IFERROR(E408*VLOOKUP(B408,PLInter!$A:$D,3,FALSE),"")</f>
        <v>2534</v>
      </c>
      <c r="K408" s="66"/>
      <c r="L408" s="66"/>
      <c r="M408" s="66"/>
      <c r="N408" s="66"/>
      <c r="O408" s="66"/>
      <c r="P408" s="66"/>
      <c r="Q408" s="66"/>
      <c r="R408" s="66"/>
      <c r="S408" s="66"/>
      <c r="T408" s="66"/>
    </row>
    <row r="409" spans="1:20" ht="18" customHeight="1">
      <c r="B409" t="str">
        <f>"77-EA02-0000"</f>
        <v>77-EA02-0000</v>
      </c>
      <c r="C409" t="str">
        <f>"LM7 Content, JM, Electric Circuit Protection"</f>
        <v>LM7 Content, JM, Electric Circuit Protection</v>
      </c>
      <c r="D409" s="4"/>
      <c r="E409" s="4">
        <v>1</v>
      </c>
      <c r="F409" s="4"/>
      <c r="G409" s="29" t="str">
        <f>IFERROR(HYPERLINK("#"&amp;ADDRESS(MATCH(B409&amp;"ES",'LM7 Non-ENG'!$A$1:$A$5000,0),1,,,"LM7 Non-ENG"),IF(IFERROR(VLOOKUP(B409&amp;"ES",'LM7 Non-ENG'!$A$1:$A$4999,1,FALSE),"ERROR")=B409&amp;"ES","Y","")),"")</f>
        <v>Y</v>
      </c>
      <c r="H409" s="29" t="str">
        <f>IFERROR(HYPERLINK("#"&amp;ADDRESS(MATCH(B409&amp;"PT",'LM7 Non-ENG'!$A$1:$A$5000,0),1,,,"LM7 Non-ENG"),IF(IFERROR(VLOOKUP(B409&amp;"PT",'LM7 Non-ENG'!$A$1:$A$5000,1,FALSE),"ERROR")=B409&amp;"PT","Y","")),"")</f>
        <v/>
      </c>
      <c r="I409" t="str">
        <f>IFERROR(VLOOKUP(B409,PN!$A:$C,3,FALSE),"")</f>
        <v>Active</v>
      </c>
      <c r="J409" s="3">
        <f>IFERROR(E409*VLOOKUP(B409,PLInter!$A:$D,3,FALSE),"")</f>
        <v>700</v>
      </c>
      <c r="K409" s="66"/>
      <c r="L409" s="66"/>
      <c r="M409" s="66"/>
      <c r="N409" s="66"/>
      <c r="O409" s="66"/>
      <c r="P409" s="66"/>
      <c r="Q409" s="66"/>
      <c r="R409" s="66"/>
      <c r="S409" s="66"/>
      <c r="T409" s="66"/>
    </row>
    <row r="410" spans="1:20" ht="18" customHeight="1">
      <c r="B410" s="2" t="str">
        <f>"17-EA02-0000"</f>
        <v>17-EA02-0000</v>
      </c>
      <c r="C410" s="2" t="str">
        <f>"LM5.X Content, JM, Electric Circuit Protection"</f>
        <v>LM5.X Content, JM, Electric Circuit Protection</v>
      </c>
      <c r="D410" s="5"/>
      <c r="E410" s="5">
        <v>1</v>
      </c>
      <c r="F410" s="5" t="str">
        <f>"Y"</f>
        <v>Y</v>
      </c>
      <c r="G410" s="29" t="str">
        <f>IFERROR(HYPERLINK("#"&amp;ADDRESS(MATCH(B410&amp;"ES",'LM7 Non-ENG'!$A$1:$A$5000,0),1,,,"LM7 Non-ENG"),IF(IFERROR(VLOOKUP(B410&amp;"ES",'LM7 Non-ENG'!$A$1:$A$4999,1,FALSE),"ERROR")=B410&amp;"ES","Y","")),"")</f>
        <v/>
      </c>
      <c r="H410" s="29" t="str">
        <f>IFERROR(HYPERLINK("#"&amp;ADDRESS(MATCH(B410&amp;"PT",'LM7 Non-ENG'!$A$1:$A$5000,0),1,,,"LM7 Non-ENG"),IF(IFERROR(VLOOKUP(B410&amp;"PT",'LM7 Non-ENG'!$A$1:$A$5000,1,FALSE),"ERROR")=B410&amp;"PT","Y","")),"")</f>
        <v/>
      </c>
      <c r="I410" t="str">
        <f>IFERROR(VLOOKUP(B410,PN!$A:$C,3,FALSE),"")</f>
        <v>Active</v>
      </c>
      <c r="J410" s="3">
        <f>IFERROR(E410*VLOOKUP(B410,PLInter!$A:$D,3,FALSE),"")</f>
        <v>700</v>
      </c>
      <c r="K410" s="66"/>
      <c r="L410" s="66"/>
      <c r="M410" s="66"/>
      <c r="N410" s="66"/>
      <c r="O410" s="66"/>
      <c r="P410" s="66"/>
      <c r="Q410" s="66"/>
      <c r="R410" s="66"/>
      <c r="S410" s="66"/>
      <c r="T410" s="66"/>
    </row>
    <row r="411" spans="1:20" ht="18" customHeight="1">
      <c r="B411" t="str">
        <f>"26-E022-0000"</f>
        <v>26-E022-0000</v>
      </c>
      <c r="C411" t="str">
        <f>"Assembly, JM, E022, Manual Starter Panel"</f>
        <v>Assembly, JM, E022, Manual Starter Panel</v>
      </c>
      <c r="D411" s="4"/>
      <c r="E411" s="4">
        <v>2</v>
      </c>
      <c r="F411" s="4"/>
      <c r="G411" s="29" t="str">
        <f>IFERROR(HYPERLINK("#"&amp;ADDRESS(MATCH(B411&amp;"ES",'LM7 Non-ENG'!$A$1:$A$5000,0),1,,,"LM7 Non-ENG"),IF(IFERROR(VLOOKUP(B411&amp;"ES",'LM7 Non-ENG'!$A$1:$A$4999,1,FALSE),"ERROR")=B411&amp;"ES","Y","")),"")</f>
        <v/>
      </c>
      <c r="H411" s="29" t="str">
        <f>IFERROR(HYPERLINK("#"&amp;ADDRESS(MATCH(B411&amp;"PT",'LM7 Non-ENG'!$A$1:$A$5000,0),1,,,"LM7 Non-ENG"),IF(IFERROR(VLOOKUP(B411&amp;"PT",'LM7 Non-ENG'!$A$1:$A$5000,1,FALSE),"ERROR")=B411&amp;"PT","Y","")),"")</f>
        <v/>
      </c>
      <c r="I411" t="str">
        <f>IFERROR(VLOOKUP(B411,PN!$A:$C,3,FALSE),"")</f>
        <v>Active</v>
      </c>
      <c r="J411" s="3">
        <f>IFERROR(E411*VLOOKUP(B411,PLInter!$A:$D,3,FALSE),"")</f>
        <v>3200</v>
      </c>
      <c r="K411" s="66"/>
      <c r="L411" s="66"/>
      <c r="M411" s="66"/>
      <c r="N411" s="66"/>
      <c r="O411" s="66"/>
      <c r="P411" s="66"/>
      <c r="Q411" s="66"/>
      <c r="R411" s="66"/>
      <c r="S411" s="66"/>
      <c r="T411" s="66"/>
    </row>
    <row r="412" spans="1:20" ht="18" customHeight="1">
      <c r="B412" t="str">
        <f>"26-E030-0000"</f>
        <v>26-E030-0000</v>
      </c>
      <c r="C412" t="str">
        <f>"Assembly, JM, E030, Overload Protection Panel"</f>
        <v>Assembly, JM, E030, Overload Protection Panel</v>
      </c>
      <c r="D412" s="4"/>
      <c r="E412" s="4">
        <v>2</v>
      </c>
      <c r="F412" s="4"/>
      <c r="G412" s="29" t="str">
        <f>IFERROR(HYPERLINK("#"&amp;ADDRESS(MATCH(B412&amp;"ES",'LM7 Non-ENG'!$A$1:$A$5000,0),1,,,"LM7 Non-ENG"),IF(IFERROR(VLOOKUP(B412&amp;"ES",'LM7 Non-ENG'!$A$1:$A$4999,1,FALSE),"ERROR")=B412&amp;"ES","Y","")),"")</f>
        <v/>
      </c>
      <c r="H412" s="29" t="str">
        <f>IFERROR(HYPERLINK("#"&amp;ADDRESS(MATCH(B412&amp;"PT",'LM7 Non-ENG'!$A$1:$A$5000,0),1,,,"LM7 Non-ENG"),IF(IFERROR(VLOOKUP(B412&amp;"PT",'LM7 Non-ENG'!$A$1:$A$5000,1,FALSE),"ERROR")=B412&amp;"PT","Y","")),"")</f>
        <v/>
      </c>
      <c r="I412" t="str">
        <f>IFERROR(VLOOKUP(B412,PN!$A:$C,3,FALSE),"")</f>
        <v>Active</v>
      </c>
      <c r="J412" s="3">
        <f>IFERROR(E412*VLOOKUP(B412,PLInter!$A:$D,3,FALSE),"")</f>
        <v>1668</v>
      </c>
      <c r="K412" s="66"/>
      <c r="L412" s="66"/>
      <c r="M412" s="66"/>
      <c r="N412" s="66"/>
      <c r="O412" s="66"/>
      <c r="P412" s="66"/>
      <c r="Q412" s="66"/>
      <c r="R412" s="66"/>
      <c r="S412" s="66"/>
      <c r="T412" s="66"/>
    </row>
    <row r="413" spans="1:20" ht="18" customHeight="1">
      <c r="B413" s="1" t="str">
        <f>"36-EA02-IG01"</f>
        <v>36-EA02-IG01</v>
      </c>
      <c r="C413" s="1" t="str">
        <f>"JM, PDF on CD Electric Circuit Protection - EA02"</f>
        <v>JM, PDF on CD Electric Circuit Protection - EA02</v>
      </c>
      <c r="D413" s="6" t="s">
        <v>0</v>
      </c>
      <c r="E413" s="6">
        <v>1</v>
      </c>
      <c r="F413" s="6"/>
      <c r="G413" s="29" t="str">
        <f>IFERROR(HYPERLINK("#"&amp;ADDRESS(MATCH(B413&amp;"ES",'LM7 Non-ENG'!$A$1:$A$5000,0),1,,,"LM7 Non-ENG"),IF(IFERROR(VLOOKUP(B413&amp;"ES",'LM7 Non-ENG'!$A$1:$A$4999,1,FALSE),"ERROR")=B413&amp;"ES","Y","")),"")</f>
        <v/>
      </c>
      <c r="H413" s="29" t="str">
        <f>IFERROR(HYPERLINK("#"&amp;ADDRESS(MATCH(B413&amp;"PT",'LM7 Non-ENG'!$A$1:$A$5000,0),1,,,"LM7 Non-ENG"),IF(IFERROR(VLOOKUP(B413&amp;"PT",'LM7 Non-ENG'!$A$1:$A$5000,1,FALSE),"ERROR")=B413&amp;"PT","Y","")),"")</f>
        <v/>
      </c>
      <c r="I413" t="str">
        <f>IFERROR(VLOOKUP(B413,PN!$A:$C,3,FALSE),"")</f>
        <v>Active</v>
      </c>
      <c r="J413" s="3">
        <f>IFERROR(E413*VLOOKUP(B413,PLInter!$A:$D,3,FALSE),"")</f>
        <v>0</v>
      </c>
      <c r="K413" s="66"/>
      <c r="L413" s="66"/>
      <c r="M413" s="66"/>
      <c r="N413" s="66"/>
      <c r="O413" s="66"/>
      <c r="P413" s="66"/>
      <c r="Q413" s="66"/>
      <c r="R413" s="66"/>
      <c r="S413" s="66"/>
      <c r="T413" s="66"/>
    </row>
    <row r="414" spans="1:20" ht="18" customHeight="1">
      <c r="B414" t="str">
        <f>"77-EA03-0000"</f>
        <v>77-EA03-0000</v>
      </c>
      <c r="C414" t="str">
        <f>"LM7 Content, JM, 3 Phase Transformers"</f>
        <v>LM7 Content, JM, 3 Phase Transformers</v>
      </c>
      <c r="D414" s="4"/>
      <c r="E414" s="4">
        <v>1</v>
      </c>
      <c r="F414" s="4"/>
      <c r="G414" s="29" t="str">
        <f>IFERROR(HYPERLINK("#"&amp;ADDRESS(MATCH(B414&amp;"ES",'LM7 Non-ENG'!$A$1:$A$5000,0),1,,,"LM7 Non-ENG"),IF(IFERROR(VLOOKUP(B414&amp;"ES",'LM7 Non-ENG'!$A$1:$A$4999,1,FALSE),"ERROR")=B414&amp;"ES","Y","")),"")</f>
        <v>Y</v>
      </c>
      <c r="H414" s="29" t="str">
        <f>IFERROR(HYPERLINK("#"&amp;ADDRESS(MATCH(B414&amp;"PT",'LM7 Non-ENG'!$A$1:$A$5000,0),1,,,"LM7 Non-ENG"),IF(IFERROR(VLOOKUP(B414&amp;"PT",'LM7 Non-ENG'!$A$1:$A$5000,1,FALSE),"ERROR")=B414&amp;"PT","Y","")),"")</f>
        <v>Y</v>
      </c>
      <c r="I414" t="str">
        <f>IFERROR(VLOOKUP(B414,PN!$A:$C,3,FALSE),"")</f>
        <v>Active</v>
      </c>
      <c r="J414" s="3">
        <f>IFERROR(E414*VLOOKUP(B414,PLInter!$A:$D,3,FALSE),"")</f>
        <v>700</v>
      </c>
      <c r="K414" s="66"/>
      <c r="L414" s="66"/>
      <c r="M414" s="66"/>
      <c r="N414" s="66"/>
      <c r="O414" s="66"/>
      <c r="P414" s="66"/>
      <c r="Q414" s="66"/>
      <c r="R414" s="66"/>
      <c r="S414" s="66"/>
      <c r="T414" s="66"/>
    </row>
    <row r="415" spans="1:20" ht="18" customHeight="1">
      <c r="B415" s="2" t="str">
        <f>"17-EA03-0000"</f>
        <v>17-EA03-0000</v>
      </c>
      <c r="C415" s="2" t="str">
        <f>"LM5.X Content, JM, 3 Phase Transformers"</f>
        <v>LM5.X Content, JM, 3 Phase Transformers</v>
      </c>
      <c r="D415" s="5"/>
      <c r="E415" s="5">
        <v>1</v>
      </c>
      <c r="F415" s="5" t="str">
        <f>"Y"</f>
        <v>Y</v>
      </c>
      <c r="G415" s="29" t="str">
        <f>IFERROR(HYPERLINK("#"&amp;ADDRESS(MATCH(B415&amp;"ES",'LM7 Non-ENG'!$A$1:$A$5000,0),1,,,"LM7 Non-ENG"),IF(IFERROR(VLOOKUP(B415&amp;"ES",'LM7 Non-ENG'!$A$1:$A$4999,1,FALSE),"ERROR")=B415&amp;"ES","Y","")),"")</f>
        <v/>
      </c>
      <c r="H415" s="29" t="str">
        <f>IFERROR(HYPERLINK("#"&amp;ADDRESS(MATCH(B415&amp;"PT",'LM7 Non-ENG'!$A$1:$A$5000,0),1,,,"LM7 Non-ENG"),IF(IFERROR(VLOOKUP(B415&amp;"PT",'LM7 Non-ENG'!$A$1:$A$5000,1,FALSE),"ERROR")=B415&amp;"PT","Y","")),"")</f>
        <v/>
      </c>
      <c r="I415" t="str">
        <f>IFERROR(VLOOKUP(B415,PN!$A:$C,3,FALSE),"")</f>
        <v>Active</v>
      </c>
      <c r="J415" s="3">
        <f>IFERROR(E415*VLOOKUP(B415,PLInter!$A:$D,3,FALSE),"")</f>
        <v>700</v>
      </c>
      <c r="K415" s="66"/>
      <c r="L415" s="66"/>
      <c r="M415" s="66"/>
      <c r="N415" s="66"/>
      <c r="O415" s="66"/>
      <c r="P415" s="66"/>
      <c r="Q415" s="66"/>
      <c r="R415" s="66"/>
      <c r="S415" s="66"/>
      <c r="T415" s="66"/>
    </row>
    <row r="416" spans="1:20" ht="18" customHeight="1">
      <c r="B416" t="str">
        <f>"26-E003-0000"</f>
        <v>26-E003-0000</v>
      </c>
      <c r="C416" t="str">
        <f>"Assembly, JM, E003, 3-Phase Transformer Panel"</f>
        <v>Assembly, JM, E003, 3-Phase Transformer Panel</v>
      </c>
      <c r="D416" s="4"/>
      <c r="E416" s="4">
        <v>2</v>
      </c>
      <c r="F416" s="4"/>
      <c r="G416" s="29" t="str">
        <f>IFERROR(HYPERLINK("#"&amp;ADDRESS(MATCH(B416&amp;"ES",'LM7 Non-ENG'!$A$1:$A$5000,0),1,,,"LM7 Non-ENG"),IF(IFERROR(VLOOKUP(B416&amp;"ES",'LM7 Non-ENG'!$A$1:$A$4999,1,FALSE),"ERROR")=B416&amp;"ES","Y","")),"")</f>
        <v/>
      </c>
      <c r="H416" s="29" t="str">
        <f>IFERROR(HYPERLINK("#"&amp;ADDRESS(MATCH(B416&amp;"PT",'LM7 Non-ENG'!$A$1:$A$5000,0),1,,,"LM7 Non-ENG"),IF(IFERROR(VLOOKUP(B416&amp;"PT",'LM7 Non-ENG'!$A$1:$A$5000,1,FALSE),"ERROR")=B416&amp;"PT","Y","")),"")</f>
        <v/>
      </c>
      <c r="I416" t="str">
        <f>IFERROR(VLOOKUP(B416,PN!$A:$C,3,FALSE),"")</f>
        <v>Active</v>
      </c>
      <c r="J416" s="3">
        <f>IFERROR(E416*VLOOKUP(B416,PLInter!$A:$D,3,FALSE),"")</f>
        <v>1800</v>
      </c>
      <c r="K416" s="66"/>
      <c r="L416" s="66"/>
      <c r="M416" s="66"/>
      <c r="N416" s="66"/>
      <c r="O416" s="66"/>
      <c r="P416" s="66"/>
      <c r="Q416" s="66"/>
      <c r="R416" s="66"/>
      <c r="S416" s="66"/>
      <c r="T416" s="66"/>
    </row>
    <row r="417" spans="2:20" ht="18" customHeight="1">
      <c r="B417" s="1" t="str">
        <f>"36-EA03-IG01"</f>
        <v>36-EA03-IG01</v>
      </c>
      <c r="C417" s="1" t="str">
        <f>"JM, PDF on CD 3 Phase Transformers- EA03"</f>
        <v>JM, PDF on CD 3 Phase Transformers- EA03</v>
      </c>
      <c r="D417" s="6" t="s">
        <v>0</v>
      </c>
      <c r="E417" s="6">
        <v>1</v>
      </c>
      <c r="F417" s="6"/>
      <c r="G417" s="29" t="str">
        <f>IFERROR(HYPERLINK("#"&amp;ADDRESS(MATCH(B417&amp;"ES",'LM7 Non-ENG'!$A$1:$A$5000,0),1,,,"LM7 Non-ENG"),IF(IFERROR(VLOOKUP(B417&amp;"ES",'LM7 Non-ENG'!$A$1:$A$4999,1,FALSE),"ERROR")=B417&amp;"ES","Y","")),"")</f>
        <v/>
      </c>
      <c r="H417" s="29" t="str">
        <f>IFERROR(HYPERLINK("#"&amp;ADDRESS(MATCH(B417&amp;"PT",'LM7 Non-ENG'!$A$1:$A$5000,0),1,,,"LM7 Non-ENG"),IF(IFERROR(VLOOKUP(B417&amp;"PT",'LM7 Non-ENG'!$A$1:$A$5000,1,FALSE),"ERROR")=B417&amp;"PT","Y","")),"")</f>
        <v/>
      </c>
      <c r="I417" t="str">
        <f>IFERROR(VLOOKUP(B417,PN!$A:$C,3,FALSE),"")</f>
        <v>Active</v>
      </c>
      <c r="J417" s="3">
        <f>IFERROR(E417*VLOOKUP(B417,PLInter!$A:$D,3,FALSE),"")</f>
        <v>0</v>
      </c>
      <c r="K417" s="66"/>
      <c r="L417" s="66"/>
      <c r="M417" s="66"/>
      <c r="N417" s="66"/>
      <c r="O417" s="66"/>
      <c r="P417" s="66"/>
      <c r="Q417" s="66"/>
      <c r="R417" s="66"/>
      <c r="S417" s="66"/>
      <c r="T417" s="66"/>
    </row>
    <row r="418" spans="2:20" ht="18" customHeight="1">
      <c r="B418" t="str">
        <f>"77-EA04-0000"</f>
        <v>77-EA04-0000</v>
      </c>
      <c r="C418" t="str">
        <f>"LM7 Content, JM, Electric Motors"</f>
        <v>LM7 Content, JM, Electric Motors</v>
      </c>
      <c r="D418" s="4"/>
      <c r="E418" s="4">
        <v>1</v>
      </c>
      <c r="F418" s="4"/>
      <c r="G418" s="29" t="str">
        <f>IFERROR(HYPERLINK("#"&amp;ADDRESS(MATCH(B418&amp;"ES",'LM7 Non-ENG'!$A$1:$A$5000,0),1,,,"LM7 Non-ENG"),IF(IFERROR(VLOOKUP(B418&amp;"ES",'LM7 Non-ENG'!$A$1:$A$4999,1,FALSE),"ERROR")=B418&amp;"ES","Y","")),"")</f>
        <v>Y</v>
      </c>
      <c r="H418" s="29" t="str">
        <f>IFERROR(HYPERLINK("#"&amp;ADDRESS(MATCH(B418&amp;"PT",'LM7 Non-ENG'!$A$1:$A$5000,0),1,,,"LM7 Non-ENG"),IF(IFERROR(VLOOKUP(B418&amp;"PT",'LM7 Non-ENG'!$A$1:$A$5000,1,FALSE),"ERROR")=B418&amp;"PT","Y","")),"")</f>
        <v/>
      </c>
      <c r="I418" t="str">
        <f>IFERROR(VLOOKUP(B418,PN!$A:$C,3,FALSE),"")</f>
        <v>Active</v>
      </c>
      <c r="J418" s="3">
        <f>IFERROR(E418*VLOOKUP(B418,PLInter!$A:$D,3,FALSE),"")</f>
        <v>700</v>
      </c>
      <c r="K418" s="66"/>
      <c r="L418" s="66"/>
      <c r="M418" s="66"/>
      <c r="N418" s="66"/>
      <c r="O418" s="66"/>
      <c r="P418" s="66"/>
      <c r="Q418" s="66"/>
      <c r="R418" s="66"/>
      <c r="S418" s="66"/>
      <c r="T418" s="66"/>
    </row>
    <row r="419" spans="2:20" ht="18" customHeight="1">
      <c r="B419" s="2" t="str">
        <f>"17-EA04-0000"</f>
        <v>17-EA04-0000</v>
      </c>
      <c r="C419" s="2" t="str">
        <f>"LM5.X Content, JM, Electric Motors"</f>
        <v>LM5.X Content, JM, Electric Motors</v>
      </c>
      <c r="D419" s="5"/>
      <c r="E419" s="5">
        <v>1</v>
      </c>
      <c r="F419" s="5" t="str">
        <f>"Y"</f>
        <v>Y</v>
      </c>
      <c r="G419" s="29" t="str">
        <f>IFERROR(HYPERLINK("#"&amp;ADDRESS(MATCH(B419&amp;"ES",'LM7 Non-ENG'!$A$1:$A$5000,0),1,,,"LM7 Non-ENG"),IF(IFERROR(VLOOKUP(B419&amp;"ES",'LM7 Non-ENG'!$A$1:$A$4999,1,FALSE),"ERROR")=B419&amp;"ES","Y","")),"")</f>
        <v/>
      </c>
      <c r="H419" s="29" t="str">
        <f>IFERROR(HYPERLINK("#"&amp;ADDRESS(MATCH(B419&amp;"PT",'LM7 Non-ENG'!$A$1:$A$5000,0),1,,,"LM7 Non-ENG"),IF(IFERROR(VLOOKUP(B419&amp;"PT",'LM7 Non-ENG'!$A$1:$A$5000,1,FALSE),"ERROR")=B419&amp;"PT","Y","")),"")</f>
        <v/>
      </c>
      <c r="I419" t="str">
        <f>IFERROR(VLOOKUP(B419,PN!$A:$C,3,FALSE),"")</f>
        <v>Active</v>
      </c>
      <c r="J419" s="3">
        <f>IFERROR(E419*VLOOKUP(B419,PLInter!$A:$D,3,FALSE),"")</f>
        <v>700</v>
      </c>
      <c r="K419" s="66"/>
      <c r="L419" s="66"/>
      <c r="M419" s="66"/>
      <c r="N419" s="66"/>
      <c r="O419" s="66"/>
      <c r="P419" s="66"/>
      <c r="Q419" s="66"/>
      <c r="R419" s="66"/>
      <c r="S419" s="66"/>
      <c r="T419" s="66"/>
    </row>
    <row r="420" spans="2:20" ht="18" customHeight="1">
      <c r="B420" t="str">
        <f>"26-E007-0000"</f>
        <v>26-E007-0000</v>
      </c>
      <c r="C420" t="str">
        <f>"Assembly, JM, E007 - SCR Speed Control Panel"</f>
        <v>Assembly, JM, E007 - SCR Speed Control Panel</v>
      </c>
      <c r="D420" s="4"/>
      <c r="E420" s="4">
        <v>4</v>
      </c>
      <c r="F420" s="4"/>
      <c r="G420" s="29" t="str">
        <f>IFERROR(HYPERLINK("#"&amp;ADDRESS(MATCH(B420&amp;"ES",'LM7 Non-ENG'!$A$1:$A$5000,0),1,,,"LM7 Non-ENG"),IF(IFERROR(VLOOKUP(B420&amp;"ES",'LM7 Non-ENG'!$A$1:$A$4999,1,FALSE),"ERROR")=B420&amp;"ES","Y","")),"")</f>
        <v/>
      </c>
      <c r="H420" s="29" t="str">
        <f>IFERROR(HYPERLINK("#"&amp;ADDRESS(MATCH(B420&amp;"PT",'LM7 Non-ENG'!$A$1:$A$5000,0),1,,,"LM7 Non-ENG"),IF(IFERROR(VLOOKUP(B420&amp;"PT",'LM7 Non-ENG'!$A$1:$A$5000,1,FALSE),"ERROR")=B420&amp;"PT","Y","")),"")</f>
        <v/>
      </c>
      <c r="I420" t="str">
        <f>IFERROR(VLOOKUP(B420,PN!$A:$C,3,FALSE),"")</f>
        <v>Active</v>
      </c>
      <c r="J420" s="3">
        <f>IFERROR(E420*VLOOKUP(B420,PLInter!$A:$D,3,FALSE),"")</f>
        <v>2600</v>
      </c>
      <c r="K420" s="66"/>
      <c r="L420" s="66"/>
      <c r="M420" s="66"/>
      <c r="N420" s="66"/>
      <c r="O420" s="66"/>
      <c r="P420" s="66"/>
      <c r="Q420" s="66"/>
      <c r="R420" s="66"/>
      <c r="S420" s="66"/>
      <c r="T420" s="66"/>
    </row>
    <row r="421" spans="2:20" ht="18" customHeight="1">
      <c r="B421" t="str">
        <f>"26-E010-0000"</f>
        <v>26-E010-0000</v>
      </c>
      <c r="C421" t="str">
        <f>"Assembly, JM, E010 - Three Phase Motor Panel"</f>
        <v>Assembly, JM, E010 - Three Phase Motor Panel</v>
      </c>
      <c r="D421" s="4"/>
      <c r="E421" s="4">
        <v>4</v>
      </c>
      <c r="F421" s="4"/>
      <c r="G421" s="29" t="str">
        <f>IFERROR(HYPERLINK("#"&amp;ADDRESS(MATCH(B421&amp;"ES",'LM7 Non-ENG'!$A$1:$A$5000,0),1,,,"LM7 Non-ENG"),IF(IFERROR(VLOOKUP(B421&amp;"ES",'LM7 Non-ENG'!$A$1:$A$4999,1,FALSE),"ERROR")=B421&amp;"ES","Y","")),"")</f>
        <v/>
      </c>
      <c r="H421" s="29" t="str">
        <f>IFERROR(HYPERLINK("#"&amp;ADDRESS(MATCH(B421&amp;"PT",'LM7 Non-ENG'!$A$1:$A$5000,0),1,,,"LM7 Non-ENG"),IF(IFERROR(VLOOKUP(B421&amp;"PT",'LM7 Non-ENG'!$A$1:$A$5000,1,FALSE),"ERROR")=B421&amp;"PT","Y","")),"")</f>
        <v/>
      </c>
      <c r="I421" t="str">
        <f>IFERROR(VLOOKUP(B421,PN!$A:$C,3,FALSE),"")</f>
        <v>Active</v>
      </c>
      <c r="J421" s="3">
        <f>IFERROR(E421*VLOOKUP(B421,PLInter!$A:$D,3,FALSE),"")</f>
        <v>4000</v>
      </c>
      <c r="K421" s="66"/>
      <c r="L421" s="66"/>
      <c r="M421" s="66"/>
      <c r="N421" s="66"/>
      <c r="O421" s="66"/>
      <c r="P421" s="66"/>
      <c r="Q421" s="66"/>
      <c r="R421" s="66"/>
      <c r="S421" s="66"/>
      <c r="T421" s="66"/>
    </row>
    <row r="422" spans="2:20" ht="18" customHeight="1">
      <c r="B422" t="str">
        <f>"26-E012-0000"</f>
        <v>26-E012-0000</v>
      </c>
      <c r="C422" t="str">
        <f>"Assembly, JM, E012, Transformer Panel"</f>
        <v>Assembly, JM, E012, Transformer Panel</v>
      </c>
      <c r="D422" s="4"/>
      <c r="E422" s="4">
        <v>4</v>
      </c>
      <c r="F422" s="4"/>
      <c r="G422" s="29" t="str">
        <f>IFERROR(HYPERLINK("#"&amp;ADDRESS(MATCH(B422&amp;"ES",'LM7 Non-ENG'!$A$1:$A$5000,0),1,,,"LM7 Non-ENG"),IF(IFERROR(VLOOKUP(B422&amp;"ES",'LM7 Non-ENG'!$A$1:$A$4999,1,FALSE),"ERROR")=B422&amp;"ES","Y","")),"")</f>
        <v/>
      </c>
      <c r="H422" s="29" t="str">
        <f>IFERROR(HYPERLINK("#"&amp;ADDRESS(MATCH(B422&amp;"PT",'LM7 Non-ENG'!$A$1:$A$5000,0),1,,,"LM7 Non-ENG"),IF(IFERROR(VLOOKUP(B422&amp;"PT",'LM7 Non-ENG'!$A$1:$A$5000,1,FALSE),"ERROR")=B422&amp;"PT","Y","")),"")</f>
        <v/>
      </c>
      <c r="I422" t="str">
        <f>IFERROR(VLOOKUP(B422,PN!$A:$C,3,FALSE),"")</f>
        <v>Active</v>
      </c>
      <c r="J422" s="3">
        <f>IFERROR(E422*VLOOKUP(B422,PLInter!$A:$D,3,FALSE),"")</f>
        <v>2000</v>
      </c>
      <c r="K422" s="66"/>
      <c r="L422" s="66"/>
      <c r="M422" s="66"/>
      <c r="N422" s="66"/>
      <c r="O422" s="66"/>
      <c r="P422" s="66"/>
      <c r="Q422" s="66"/>
      <c r="R422" s="66"/>
      <c r="S422" s="66"/>
      <c r="T422" s="66"/>
    </row>
    <row r="423" spans="2:20" ht="18" customHeight="1">
      <c r="B423" t="str">
        <f>"26-E019-0000"</f>
        <v>26-E019-0000</v>
      </c>
      <c r="C423" t="str">
        <f>"Assembly, JM, E019, Capacitor Start Motor Panel"</f>
        <v>Assembly, JM, E019, Capacitor Start Motor Panel</v>
      </c>
      <c r="D423" s="4"/>
      <c r="E423" s="4">
        <v>2</v>
      </c>
      <c r="F423" s="4"/>
      <c r="G423" s="29" t="str">
        <f>IFERROR(HYPERLINK("#"&amp;ADDRESS(MATCH(B423&amp;"ES",'LM7 Non-ENG'!$A$1:$A$5000,0),1,,,"LM7 Non-ENG"),IF(IFERROR(VLOOKUP(B423&amp;"ES",'LM7 Non-ENG'!$A$1:$A$4999,1,FALSE),"ERROR")=B423&amp;"ES","Y","")),"")</f>
        <v/>
      </c>
      <c r="H423" s="29" t="str">
        <f>IFERROR(HYPERLINK("#"&amp;ADDRESS(MATCH(B423&amp;"PT",'LM7 Non-ENG'!$A$1:$A$5000,0),1,,,"LM7 Non-ENG"),IF(IFERROR(VLOOKUP(B423&amp;"PT",'LM7 Non-ENG'!$A$1:$A$5000,1,FALSE),"ERROR")=B423&amp;"PT","Y","")),"")</f>
        <v/>
      </c>
      <c r="I423" t="str">
        <f>IFERROR(VLOOKUP(B423,PN!$A:$C,3,FALSE),"")</f>
        <v>Active</v>
      </c>
      <c r="J423" s="3">
        <f>IFERROR(E423*VLOOKUP(B423,PLInter!$A:$D,3,FALSE),"")</f>
        <v>1668</v>
      </c>
      <c r="K423" s="66"/>
      <c r="L423" s="66"/>
      <c r="M423" s="66"/>
      <c r="N423" s="66"/>
      <c r="O423" s="66"/>
      <c r="P423" s="66"/>
      <c r="Q423" s="66"/>
      <c r="R423" s="66"/>
      <c r="S423" s="66"/>
      <c r="T423" s="66"/>
    </row>
    <row r="424" spans="2:20" ht="18" customHeight="1">
      <c r="B424" t="str">
        <f>"26-E027-0000"</f>
        <v>26-E027-0000</v>
      </c>
      <c r="C424" t="str">
        <f>"Assembly, JM, E027, Shaded Pole Motor Panel"</f>
        <v>Assembly, JM, E027, Shaded Pole Motor Panel</v>
      </c>
      <c r="D424" s="4"/>
      <c r="E424" s="4">
        <v>2</v>
      </c>
      <c r="F424" s="4"/>
      <c r="G424" s="29" t="str">
        <f>IFERROR(HYPERLINK("#"&amp;ADDRESS(MATCH(B424&amp;"ES",'LM7 Non-ENG'!$A$1:$A$5000,0),1,,,"LM7 Non-ENG"),IF(IFERROR(VLOOKUP(B424&amp;"ES",'LM7 Non-ENG'!$A$1:$A$4999,1,FALSE),"ERROR")=B424&amp;"ES","Y","")),"")</f>
        <v/>
      </c>
      <c r="H424" s="29" t="str">
        <f>IFERROR(HYPERLINK("#"&amp;ADDRESS(MATCH(B424&amp;"PT",'LM7 Non-ENG'!$A$1:$A$5000,0),1,,,"LM7 Non-ENG"),IF(IFERROR(VLOOKUP(B424&amp;"PT",'LM7 Non-ENG'!$A$1:$A$5000,1,FALSE),"ERROR")=B424&amp;"PT","Y","")),"")</f>
        <v/>
      </c>
      <c r="I424" t="str">
        <f>IFERROR(VLOOKUP(B424,PN!$A:$C,3,FALSE),"")</f>
        <v>Active</v>
      </c>
      <c r="J424" s="3">
        <f>IFERROR(E424*VLOOKUP(B424,PLInter!$A:$D,3,FALSE),"")</f>
        <v>1230</v>
      </c>
      <c r="K424" s="66"/>
      <c r="L424" s="66"/>
      <c r="M424" s="66"/>
      <c r="N424" s="66"/>
      <c r="O424" s="66"/>
      <c r="P424" s="66"/>
      <c r="Q424" s="66"/>
      <c r="R424" s="66"/>
      <c r="S424" s="66"/>
      <c r="T424" s="66"/>
    </row>
    <row r="425" spans="2:20" ht="18" customHeight="1">
      <c r="B425" t="str">
        <f>"26-E034-0000"</f>
        <v>26-E034-0000</v>
      </c>
      <c r="C425" t="str">
        <f>"Assembly, JM, E034, DC Motor Panel"</f>
        <v>Assembly, JM, E034, DC Motor Panel</v>
      </c>
      <c r="D425" s="4"/>
      <c r="E425" s="4">
        <v>4</v>
      </c>
      <c r="F425" s="4"/>
      <c r="G425" s="29" t="str">
        <f>IFERROR(HYPERLINK("#"&amp;ADDRESS(MATCH(B425&amp;"ES",'LM7 Non-ENG'!$A$1:$A$5000,0),1,,,"LM7 Non-ENG"),IF(IFERROR(VLOOKUP(B425&amp;"ES",'LM7 Non-ENG'!$A$1:$A$4999,1,FALSE),"ERROR")=B425&amp;"ES","Y","")),"")</f>
        <v/>
      </c>
      <c r="H425" s="29" t="str">
        <f>IFERROR(HYPERLINK("#"&amp;ADDRESS(MATCH(B425&amp;"PT",'LM7 Non-ENG'!$A$1:$A$5000,0),1,,,"LM7 Non-ENG"),IF(IFERROR(VLOOKUP(B425&amp;"PT",'LM7 Non-ENG'!$A$1:$A$5000,1,FALSE),"ERROR")=B425&amp;"PT","Y","")),"")</f>
        <v/>
      </c>
      <c r="I425" t="str">
        <f>IFERROR(VLOOKUP(B425,PN!$A:$C,3,FALSE),"")</f>
        <v>Active</v>
      </c>
      <c r="J425" s="3">
        <f>IFERROR(E425*VLOOKUP(B425,PLInter!$A:$D,3,FALSE),"")</f>
        <v>3600</v>
      </c>
      <c r="K425" s="66"/>
      <c r="L425" s="66"/>
      <c r="M425" s="66"/>
      <c r="N425" s="66"/>
      <c r="O425" s="66"/>
      <c r="P425" s="66"/>
      <c r="Q425" s="66"/>
      <c r="R425" s="66"/>
      <c r="S425" s="66"/>
      <c r="T425" s="66"/>
    </row>
    <row r="426" spans="2:20" ht="18" customHeight="1">
      <c r="B426" t="str">
        <f>"26-E065-0000"</f>
        <v>26-E065-0000</v>
      </c>
      <c r="C426" t="str">
        <f>"Assembly, JM, E065, Split Phase Motor Panel"</f>
        <v>Assembly, JM, E065, Split Phase Motor Panel</v>
      </c>
      <c r="D426" s="4"/>
      <c r="E426" s="4">
        <v>2</v>
      </c>
      <c r="F426" s="4"/>
      <c r="G426" s="29" t="str">
        <f>IFERROR(HYPERLINK("#"&amp;ADDRESS(MATCH(B426&amp;"ES",'LM7 Non-ENG'!$A$1:$A$5000,0),1,,,"LM7 Non-ENG"),IF(IFERROR(VLOOKUP(B426&amp;"ES",'LM7 Non-ENG'!$A$1:$A$4999,1,FALSE),"ERROR")=B426&amp;"ES","Y","")),"")</f>
        <v/>
      </c>
      <c r="H426" s="29" t="str">
        <f>IFERROR(HYPERLINK("#"&amp;ADDRESS(MATCH(B426&amp;"PT",'LM7 Non-ENG'!$A$1:$A$5000,0),1,,,"LM7 Non-ENG"),IF(IFERROR(VLOOKUP(B426&amp;"PT",'LM7 Non-ENG'!$A$1:$A$5000,1,FALSE),"ERROR")=B426&amp;"PT","Y","")),"")</f>
        <v/>
      </c>
      <c r="I426" t="str">
        <f>IFERROR(VLOOKUP(B426,PN!$A:$C,3,FALSE),"")</f>
        <v>Active</v>
      </c>
      <c r="J426" s="3">
        <f>IFERROR(E426*VLOOKUP(B426,PLInter!$A:$D,3,FALSE),"")</f>
        <v>1334</v>
      </c>
      <c r="K426" s="66"/>
      <c r="L426" s="66"/>
      <c r="M426" s="66"/>
      <c r="N426" s="66"/>
      <c r="O426" s="66"/>
      <c r="P426" s="66"/>
      <c r="Q426" s="66"/>
      <c r="R426" s="66"/>
      <c r="S426" s="66"/>
      <c r="T426" s="66"/>
    </row>
    <row r="427" spans="2:20" ht="18" customHeight="1">
      <c r="B427" t="str">
        <f>"26-E066-0000"</f>
        <v>26-E066-0000</v>
      </c>
      <c r="C427" t="str">
        <f>"Assembly, JM, E066, Adjustable Torque Motor Load"</f>
        <v>Assembly, JM, E066, Adjustable Torque Motor Load</v>
      </c>
      <c r="D427" s="4"/>
      <c r="E427" s="4">
        <v>2</v>
      </c>
      <c r="F427" s="4"/>
      <c r="G427" s="29" t="str">
        <f>IFERROR(HYPERLINK("#"&amp;ADDRESS(MATCH(B427&amp;"ES",'LM7 Non-ENG'!$A$1:$A$5000,0),1,,,"LM7 Non-ENG"),IF(IFERROR(VLOOKUP(B427&amp;"ES",'LM7 Non-ENG'!$A$1:$A$4999,1,FALSE),"ERROR")=B427&amp;"ES","Y","")),"")</f>
        <v/>
      </c>
      <c r="H427" s="29" t="str">
        <f>IFERROR(HYPERLINK("#"&amp;ADDRESS(MATCH(B427&amp;"PT",'LM7 Non-ENG'!$A$1:$A$5000,0),1,,,"LM7 Non-ENG"),IF(IFERROR(VLOOKUP(B427&amp;"PT",'LM7 Non-ENG'!$A$1:$A$5000,1,FALSE),"ERROR")=B427&amp;"PT","Y","")),"")</f>
        <v/>
      </c>
      <c r="I427" t="str">
        <f>IFERROR(VLOOKUP(B427,PN!$A:$C,3,FALSE),"")</f>
        <v>Active</v>
      </c>
      <c r="J427" s="3">
        <f>IFERROR(E427*VLOOKUP(B427,PLInter!$A:$D,3,FALSE),"")</f>
        <v>6134</v>
      </c>
      <c r="K427" s="66"/>
      <c r="L427" s="66"/>
      <c r="M427" s="66"/>
      <c r="N427" s="66"/>
      <c r="O427" s="66"/>
      <c r="P427" s="66"/>
      <c r="Q427" s="66"/>
      <c r="R427" s="66"/>
      <c r="S427" s="66"/>
      <c r="T427" s="66"/>
    </row>
    <row r="428" spans="2:20" ht="18" customHeight="1">
      <c r="B428" s="1" t="str">
        <f>"26-E154-0000"</f>
        <v>26-E154-0000</v>
      </c>
      <c r="C428" s="1" t="str">
        <f>"Assembly, JM, E154, Switches and Lamps Panel"</f>
        <v>Assembly, JM, E154, Switches and Lamps Panel</v>
      </c>
      <c r="D428" s="6" t="s">
        <v>0</v>
      </c>
      <c r="E428" s="6">
        <v>2</v>
      </c>
      <c r="F428" s="6"/>
      <c r="G428" s="29" t="str">
        <f>IFERROR(HYPERLINK("#"&amp;ADDRESS(MATCH(B428&amp;"ES",'LM7 Non-ENG'!$A$1:$A$5000,0),1,,,"LM7 Non-ENG"),IF(IFERROR(VLOOKUP(B428&amp;"ES",'LM7 Non-ENG'!$A$1:$A$4999,1,FALSE),"ERROR")=B428&amp;"ES","Y","")),"")</f>
        <v/>
      </c>
      <c r="H428" s="29" t="str">
        <f>IFERROR(HYPERLINK("#"&amp;ADDRESS(MATCH(B428&amp;"PT",'LM7 Non-ENG'!$A$1:$A$5000,0),1,,,"LM7 Non-ENG"),IF(IFERROR(VLOOKUP(B428&amp;"PT",'LM7 Non-ENG'!$A$1:$A$5000,1,FALSE),"ERROR")=B428&amp;"PT","Y","")),"")</f>
        <v/>
      </c>
      <c r="I428" t="str">
        <f>IFERROR(VLOOKUP(B428,PN!$A:$C,3,FALSE),"")</f>
        <v>Active</v>
      </c>
      <c r="J428" s="3">
        <f>IFERROR(E428*VLOOKUP(B428,PLInter!$A:$D,3,FALSE),"")</f>
        <v>1000</v>
      </c>
      <c r="K428" s="66"/>
      <c r="L428" s="66"/>
      <c r="M428" s="66"/>
      <c r="N428" s="66"/>
      <c r="O428" s="66"/>
      <c r="P428" s="66"/>
      <c r="Q428" s="66"/>
      <c r="R428" s="66"/>
      <c r="S428" s="66"/>
      <c r="T428" s="66"/>
    </row>
    <row r="429" spans="2:20" ht="18" customHeight="1">
      <c r="B429" t="str">
        <f>"26-E156-0000"</f>
        <v>26-E156-0000</v>
      </c>
      <c r="C429" t="str">
        <f>"Assembly, JM, E156, Dissectible Electric Motor"</f>
        <v>Assembly, JM, E156, Dissectible Electric Motor</v>
      </c>
      <c r="D429" s="4"/>
      <c r="E429" s="4">
        <v>2</v>
      </c>
      <c r="F429" s="4"/>
      <c r="G429" s="29" t="str">
        <f>IFERROR(HYPERLINK("#"&amp;ADDRESS(MATCH(B429&amp;"ES",'LM7 Non-ENG'!$A$1:$A$5000,0),1,,,"LM7 Non-ENG"),IF(IFERROR(VLOOKUP(B429&amp;"ES",'LM7 Non-ENG'!$A$1:$A$4999,1,FALSE),"ERROR")=B429&amp;"ES","Y","")),"")</f>
        <v/>
      </c>
      <c r="H429" s="29" t="str">
        <f>IFERROR(HYPERLINK("#"&amp;ADDRESS(MATCH(B429&amp;"PT",'LM7 Non-ENG'!$A$1:$A$5000,0),1,,,"LM7 Non-ENG"),IF(IFERROR(VLOOKUP(B429&amp;"PT",'LM7 Non-ENG'!$A$1:$A$5000,1,FALSE),"ERROR")=B429&amp;"PT","Y","")),"")</f>
        <v/>
      </c>
      <c r="I429" t="str">
        <f>IFERROR(VLOOKUP(B429,PN!$A:$C,3,FALSE),"")</f>
        <v>Active</v>
      </c>
      <c r="J429" s="3">
        <f>IFERROR(E429*VLOOKUP(B429,PLInter!$A:$D,3,FALSE),"")</f>
        <v>1400</v>
      </c>
      <c r="K429" s="66"/>
      <c r="L429" s="66"/>
      <c r="M429" s="66"/>
      <c r="N429" s="66"/>
      <c r="O429" s="66"/>
      <c r="P429" s="66"/>
      <c r="Q429" s="66"/>
      <c r="R429" s="66"/>
      <c r="S429" s="66"/>
      <c r="T429" s="66"/>
    </row>
    <row r="430" spans="2:20" ht="18" customHeight="1">
      <c r="B430" s="1" t="str">
        <f>"36-EA04-IG01"</f>
        <v>36-EA04-IG01</v>
      </c>
      <c r="C430" s="1" t="str">
        <f>"JM, PDF on CD Electric Motors - EA04"</f>
        <v>JM, PDF on CD Electric Motors - EA04</v>
      </c>
      <c r="D430" s="6" t="s">
        <v>0</v>
      </c>
      <c r="E430" s="6">
        <v>1</v>
      </c>
      <c r="F430" s="6"/>
      <c r="G430" s="29" t="str">
        <f>IFERROR(HYPERLINK("#"&amp;ADDRESS(MATCH(B430&amp;"ES",'LM7 Non-ENG'!$A$1:$A$5000,0),1,,,"LM7 Non-ENG"),IF(IFERROR(VLOOKUP(B430&amp;"ES",'LM7 Non-ENG'!$A$1:$A$4999,1,FALSE),"ERROR")=B430&amp;"ES","Y","")),"")</f>
        <v/>
      </c>
      <c r="H430" s="29" t="str">
        <f>IFERROR(HYPERLINK("#"&amp;ADDRESS(MATCH(B430&amp;"PT",'LM7 Non-ENG'!$A$1:$A$5000,0),1,,,"LM7 Non-ENG"),IF(IFERROR(VLOOKUP(B430&amp;"PT",'LM7 Non-ENG'!$A$1:$A$5000,1,FALSE),"ERROR")=B430&amp;"PT","Y","")),"")</f>
        <v/>
      </c>
      <c r="I430" t="str">
        <f>IFERROR(VLOOKUP(B430,PN!$A:$C,3,FALSE),"")</f>
        <v>Active</v>
      </c>
      <c r="J430" s="3">
        <f>IFERROR(E430*VLOOKUP(B430,PLInter!$A:$D,3,FALSE),"")</f>
        <v>0</v>
      </c>
      <c r="K430" s="66"/>
      <c r="L430" s="66"/>
      <c r="M430" s="66"/>
      <c r="N430" s="66"/>
      <c r="O430" s="66"/>
      <c r="P430" s="66"/>
      <c r="Q430" s="66"/>
      <c r="R430" s="66"/>
      <c r="S430" s="66"/>
      <c r="T430" s="66"/>
    </row>
    <row r="431" spans="2:20" ht="18" customHeight="1">
      <c r="B431" t="str">
        <f>"77-EA07-0000"</f>
        <v>77-EA07-0000</v>
      </c>
      <c r="C431" t="str">
        <f>"LM7 Content, JM, Electromagnetic Starters"</f>
        <v>LM7 Content, JM, Electromagnetic Starters</v>
      </c>
      <c r="D431" s="4"/>
      <c r="E431" s="4">
        <v>1</v>
      </c>
      <c r="F431" s="4"/>
      <c r="G431" s="29" t="str">
        <f>IFERROR(HYPERLINK("#"&amp;ADDRESS(MATCH(B431&amp;"ES",'LM7 Non-ENG'!$A$1:$A$5000,0),1,,,"LM7 Non-ENG"),IF(IFERROR(VLOOKUP(B431&amp;"ES",'LM7 Non-ENG'!$A$1:$A$4999,1,FALSE),"ERROR")=B431&amp;"ES","Y","")),"")</f>
        <v>Y</v>
      </c>
      <c r="H431" s="29" t="str">
        <f>IFERROR(HYPERLINK("#"&amp;ADDRESS(MATCH(B431&amp;"PT",'LM7 Non-ENG'!$A$1:$A$5000,0),1,,,"LM7 Non-ENG"),IF(IFERROR(VLOOKUP(B431&amp;"PT",'LM7 Non-ENG'!$A$1:$A$5000,1,FALSE),"ERROR")=B431&amp;"PT","Y","")),"")</f>
        <v/>
      </c>
      <c r="I431" t="str">
        <f>IFERROR(VLOOKUP(B431,PN!$A:$C,3,FALSE),"")</f>
        <v>Active</v>
      </c>
      <c r="J431" s="3">
        <f>IFERROR(E431*VLOOKUP(B431,PLInter!$A:$D,3,FALSE),"")</f>
        <v>700</v>
      </c>
      <c r="K431" s="66"/>
      <c r="L431" s="66"/>
      <c r="M431" s="66"/>
      <c r="N431" s="66"/>
      <c r="O431" s="66"/>
      <c r="P431" s="66"/>
      <c r="Q431" s="66"/>
      <c r="R431" s="66"/>
      <c r="S431" s="66"/>
      <c r="T431" s="66"/>
    </row>
    <row r="432" spans="2:20" ht="18" customHeight="1">
      <c r="B432" s="2" t="str">
        <f>"17-EA07-0000"</f>
        <v>17-EA07-0000</v>
      </c>
      <c r="C432" s="2" t="str">
        <f>"LM5.X Content, JM, Electromagnetic Starters"</f>
        <v>LM5.X Content, JM, Electromagnetic Starters</v>
      </c>
      <c r="D432" s="5"/>
      <c r="E432" s="5">
        <v>1</v>
      </c>
      <c r="F432" s="5" t="str">
        <f>"Y"</f>
        <v>Y</v>
      </c>
      <c r="G432" s="29" t="str">
        <f>IFERROR(HYPERLINK("#"&amp;ADDRESS(MATCH(B432&amp;"ES",'LM7 Non-ENG'!$A$1:$A$5000,0),1,,,"LM7 Non-ENG"),IF(IFERROR(VLOOKUP(B432&amp;"ES",'LM7 Non-ENG'!$A$1:$A$4999,1,FALSE),"ERROR")=B432&amp;"ES","Y","")),"")</f>
        <v/>
      </c>
      <c r="H432" s="29" t="str">
        <f>IFERROR(HYPERLINK("#"&amp;ADDRESS(MATCH(B432&amp;"PT",'LM7 Non-ENG'!$A$1:$A$5000,0),1,,,"LM7 Non-ENG"),IF(IFERROR(VLOOKUP(B432&amp;"PT",'LM7 Non-ENG'!$A$1:$A$5000,1,FALSE),"ERROR")=B432&amp;"PT","Y","")),"")</f>
        <v/>
      </c>
      <c r="I432" t="str">
        <f>IFERROR(VLOOKUP(B432,PN!$A:$C,3,FALSE),"")</f>
        <v>Active</v>
      </c>
      <c r="J432" s="3">
        <f>IFERROR(E432*VLOOKUP(B432,PLInter!$A:$D,3,FALSE),"")</f>
        <v>700</v>
      </c>
      <c r="K432" s="66"/>
      <c r="L432" s="66"/>
      <c r="M432" s="66"/>
      <c r="N432" s="66"/>
      <c r="O432" s="66"/>
      <c r="P432" s="66"/>
      <c r="Q432" s="66"/>
      <c r="R432" s="66"/>
      <c r="S432" s="66"/>
      <c r="T432" s="66"/>
    </row>
    <row r="433" spans="2:20" ht="18" customHeight="1">
      <c r="B433" t="str">
        <f>"26-E002-0000"</f>
        <v>26-E002-0000</v>
      </c>
      <c r="C433" t="str">
        <f>"Assembly, JM, E002, Start-Stop Control Panel"</f>
        <v>Assembly, JM, E002, Start-Stop Control Panel</v>
      </c>
      <c r="D433" s="4"/>
      <c r="E433" s="4">
        <v>2</v>
      </c>
      <c r="F433" s="4"/>
      <c r="G433" s="29" t="str">
        <f>IFERROR(HYPERLINK("#"&amp;ADDRESS(MATCH(B433&amp;"ES",'LM7 Non-ENG'!$A$1:$A$5000,0),1,,,"LM7 Non-ENG"),IF(IFERROR(VLOOKUP(B433&amp;"ES",'LM7 Non-ENG'!$A$1:$A$4999,1,FALSE),"ERROR")=B433&amp;"ES","Y","")),"")</f>
        <v/>
      </c>
      <c r="H433" s="29" t="str">
        <f>IFERROR(HYPERLINK("#"&amp;ADDRESS(MATCH(B433&amp;"PT",'LM7 Non-ENG'!$A$1:$A$5000,0),1,,,"LM7 Non-ENG"),IF(IFERROR(VLOOKUP(B433&amp;"PT",'LM7 Non-ENG'!$A$1:$A$5000,1,FALSE),"ERROR")=B433&amp;"PT","Y","")),"")</f>
        <v/>
      </c>
      <c r="I433" t="str">
        <f>IFERROR(VLOOKUP(B433,PN!$A:$C,3,FALSE),"")</f>
        <v>Active</v>
      </c>
      <c r="J433" s="3">
        <f>IFERROR(E433*VLOOKUP(B433,PLInter!$A:$D,3,FALSE),"")</f>
        <v>700</v>
      </c>
      <c r="K433" s="66"/>
      <c r="L433" s="66"/>
      <c r="M433" s="66"/>
      <c r="N433" s="66"/>
      <c r="O433" s="66"/>
      <c r="P433" s="66"/>
      <c r="Q433" s="66"/>
      <c r="R433" s="66"/>
      <c r="S433" s="66"/>
      <c r="T433" s="66"/>
    </row>
    <row r="434" spans="2:20" ht="18" customHeight="1">
      <c r="B434" t="str">
        <f>"26-E004-0000"</f>
        <v>26-E004-0000</v>
      </c>
      <c r="C434" t="str">
        <f>"Assembly, JM , E004, Single Magnetic Start.Panel"</f>
        <v>Assembly, JM , E004, Single Magnetic Start.Panel</v>
      </c>
      <c r="D434" s="4"/>
      <c r="E434" s="4">
        <v>2</v>
      </c>
      <c r="F434" s="4"/>
      <c r="G434" s="29" t="str">
        <f>IFERROR(HYPERLINK("#"&amp;ADDRESS(MATCH(B434&amp;"ES",'LM7 Non-ENG'!$A$1:$A$5000,0),1,,,"LM7 Non-ENG"),IF(IFERROR(VLOOKUP(B434&amp;"ES",'LM7 Non-ENG'!$A$1:$A$4999,1,FALSE),"ERROR")=B434&amp;"ES","Y","")),"")</f>
        <v/>
      </c>
      <c r="H434" s="29" t="str">
        <f>IFERROR(HYPERLINK("#"&amp;ADDRESS(MATCH(B434&amp;"PT",'LM7 Non-ENG'!$A$1:$A$5000,0),1,,,"LM7 Non-ENG"),IF(IFERROR(VLOOKUP(B434&amp;"PT",'LM7 Non-ENG'!$A$1:$A$5000,1,FALSE),"ERROR")=B434&amp;"PT","Y","")),"")</f>
        <v/>
      </c>
      <c r="I434" t="str">
        <f>IFERROR(VLOOKUP(B434,PN!$A:$C,3,FALSE),"")</f>
        <v>Active</v>
      </c>
      <c r="J434" s="3">
        <f>IFERROR(E434*VLOOKUP(B434,PLInter!$A:$D,3,FALSE),"")</f>
        <v>900</v>
      </c>
      <c r="K434" s="66"/>
      <c r="L434" s="66"/>
      <c r="M434" s="66"/>
      <c r="N434" s="66"/>
      <c r="O434" s="66"/>
      <c r="P434" s="66"/>
      <c r="Q434" s="66"/>
      <c r="R434" s="66"/>
      <c r="S434" s="66"/>
      <c r="T434" s="66"/>
    </row>
    <row r="435" spans="2:20" ht="18" customHeight="1">
      <c r="B435" t="str">
        <f>"26-E005-0000"</f>
        <v>26-E005-0000</v>
      </c>
      <c r="C435" t="str">
        <f>"Assembly, JM, E005 - F-R-S Switch Panel"</f>
        <v>Assembly, JM, E005 - F-R-S Switch Panel</v>
      </c>
      <c r="D435" s="4"/>
      <c r="E435" s="4">
        <v>2</v>
      </c>
      <c r="F435" s="4"/>
      <c r="G435" s="29" t="str">
        <f>IFERROR(HYPERLINK("#"&amp;ADDRESS(MATCH(B435&amp;"ES",'LM7 Non-ENG'!$A$1:$A$5000,0),1,,,"LM7 Non-ENG"),IF(IFERROR(VLOOKUP(B435&amp;"ES",'LM7 Non-ENG'!$A$1:$A$4999,1,FALSE),"ERROR")=B435&amp;"ES","Y","")),"")</f>
        <v/>
      </c>
      <c r="H435" s="29" t="str">
        <f>IFERROR(HYPERLINK("#"&amp;ADDRESS(MATCH(B435&amp;"PT",'LM7 Non-ENG'!$A$1:$A$5000,0),1,,,"LM7 Non-ENG"),IF(IFERROR(VLOOKUP(B435&amp;"PT",'LM7 Non-ENG'!$A$1:$A$5000,1,FALSE),"ERROR")=B435&amp;"PT","Y","")),"")</f>
        <v/>
      </c>
      <c r="I435" t="str">
        <f>IFERROR(VLOOKUP(B435,PN!$A:$C,3,FALSE),"")</f>
        <v>Active</v>
      </c>
      <c r="J435" s="3">
        <f>IFERROR(E435*VLOOKUP(B435,PLInter!$A:$D,3,FALSE),"")</f>
        <v>1100</v>
      </c>
      <c r="K435" s="66"/>
      <c r="L435" s="66"/>
      <c r="M435" s="66"/>
      <c r="N435" s="66"/>
      <c r="O435" s="66"/>
      <c r="P435" s="66"/>
      <c r="Q435" s="66"/>
      <c r="R435" s="66"/>
      <c r="S435" s="66"/>
      <c r="T435" s="66"/>
    </row>
    <row r="436" spans="2:20" ht="18" customHeight="1">
      <c r="B436" t="str">
        <f>"26-E006-0000"</f>
        <v>26-E006-0000</v>
      </c>
      <c r="C436" t="str">
        <f>"Assembly, JM, E006, Reversing Magnetic Starter"</f>
        <v>Assembly, JM, E006, Reversing Magnetic Starter</v>
      </c>
      <c r="D436" s="4"/>
      <c r="E436" s="4">
        <v>2</v>
      </c>
      <c r="F436" s="4"/>
      <c r="G436" s="29" t="str">
        <f>IFERROR(HYPERLINK("#"&amp;ADDRESS(MATCH(B436&amp;"ES",'LM7 Non-ENG'!$A$1:$A$5000,0),1,,,"LM7 Non-ENG"),IF(IFERROR(VLOOKUP(B436&amp;"ES",'LM7 Non-ENG'!$A$1:$A$4999,1,FALSE),"ERROR")=B436&amp;"ES","Y","")),"")</f>
        <v/>
      </c>
      <c r="H436" s="29" t="str">
        <f>IFERROR(HYPERLINK("#"&amp;ADDRESS(MATCH(B436&amp;"PT",'LM7 Non-ENG'!$A$1:$A$5000,0),1,,,"LM7 Non-ENG"),IF(IFERROR(VLOOKUP(B436&amp;"PT",'LM7 Non-ENG'!$A$1:$A$5000,1,FALSE),"ERROR")=B436&amp;"PT","Y","")),"")</f>
        <v/>
      </c>
      <c r="I436" t="str">
        <f>IFERROR(VLOOKUP(B436,PN!$A:$C,3,FALSE),"")</f>
        <v>Active</v>
      </c>
      <c r="J436" s="3">
        <f>IFERROR(E436*VLOOKUP(B436,PLInter!$A:$D,3,FALSE),"")</f>
        <v>1440</v>
      </c>
      <c r="K436" s="66"/>
      <c r="L436" s="66"/>
      <c r="M436" s="66"/>
      <c r="N436" s="66"/>
      <c r="O436" s="66"/>
      <c r="P436" s="66"/>
      <c r="Q436" s="66"/>
      <c r="R436" s="66"/>
      <c r="S436" s="66"/>
      <c r="T436" s="66"/>
    </row>
    <row r="437" spans="2:20" ht="18" customHeight="1">
      <c r="B437" s="1" t="str">
        <f>"26-E010-0000"</f>
        <v>26-E010-0000</v>
      </c>
      <c r="C437" s="1" t="str">
        <f>"Assembly, JM, E010 - Three Phase Motor Panel"</f>
        <v>Assembly, JM, E010 - Three Phase Motor Panel</v>
      </c>
      <c r="D437" s="6" t="s">
        <v>0</v>
      </c>
      <c r="E437" s="6">
        <v>2</v>
      </c>
      <c r="F437" s="6"/>
      <c r="G437" s="29" t="str">
        <f>IFERROR(HYPERLINK("#"&amp;ADDRESS(MATCH(B437&amp;"ES",'LM7 Non-ENG'!$A$1:$A$5000,0),1,,,"LM7 Non-ENG"),IF(IFERROR(VLOOKUP(B437&amp;"ES",'LM7 Non-ENG'!$A$1:$A$4999,1,FALSE),"ERROR")=B437&amp;"ES","Y","")),"")</f>
        <v/>
      </c>
      <c r="H437" s="29" t="str">
        <f>IFERROR(HYPERLINK("#"&amp;ADDRESS(MATCH(B437&amp;"PT",'LM7 Non-ENG'!$A$1:$A$5000,0),1,,,"LM7 Non-ENG"),IF(IFERROR(VLOOKUP(B437&amp;"PT",'LM7 Non-ENG'!$A$1:$A$5000,1,FALSE),"ERROR")=B437&amp;"PT","Y","")),"")</f>
        <v/>
      </c>
      <c r="I437" t="str">
        <f>IFERROR(VLOOKUP(B437,PN!$A:$C,3,FALSE),"")</f>
        <v>Active</v>
      </c>
      <c r="J437" s="3">
        <f>IFERROR(E437*VLOOKUP(B437,PLInter!$A:$D,3,FALSE),"")</f>
        <v>2000</v>
      </c>
      <c r="K437" s="66"/>
      <c r="L437" s="66"/>
      <c r="M437" s="66"/>
      <c r="N437" s="66"/>
      <c r="O437" s="66"/>
      <c r="P437" s="66"/>
      <c r="Q437" s="66"/>
      <c r="R437" s="66"/>
      <c r="S437" s="66"/>
      <c r="T437" s="66"/>
    </row>
    <row r="438" spans="2:20" ht="18" customHeight="1">
      <c r="B438" s="1" t="str">
        <f>"26-E012-0000"</f>
        <v>26-E012-0000</v>
      </c>
      <c r="C438" s="1" t="str">
        <f>"Assembly, JM, E012, Transformer Panel"</f>
        <v>Assembly, JM, E012, Transformer Panel</v>
      </c>
      <c r="D438" s="6" t="s">
        <v>0</v>
      </c>
      <c r="E438" s="6">
        <v>2</v>
      </c>
      <c r="F438" s="6"/>
      <c r="G438" s="29" t="str">
        <f>IFERROR(HYPERLINK("#"&amp;ADDRESS(MATCH(B438&amp;"ES",'LM7 Non-ENG'!$A$1:$A$5000,0),1,,,"LM7 Non-ENG"),IF(IFERROR(VLOOKUP(B438&amp;"ES",'LM7 Non-ENG'!$A$1:$A$4999,1,FALSE),"ERROR")=B438&amp;"ES","Y","")),"")</f>
        <v/>
      </c>
      <c r="H438" s="29" t="str">
        <f>IFERROR(HYPERLINK("#"&amp;ADDRESS(MATCH(B438&amp;"PT",'LM7 Non-ENG'!$A$1:$A$5000,0),1,,,"LM7 Non-ENG"),IF(IFERROR(VLOOKUP(B438&amp;"PT",'LM7 Non-ENG'!$A$1:$A$5000,1,FALSE),"ERROR")=B438&amp;"PT","Y","")),"")</f>
        <v/>
      </c>
      <c r="I438" t="str">
        <f>IFERROR(VLOOKUP(B438,PN!$A:$C,3,FALSE),"")</f>
        <v>Active</v>
      </c>
      <c r="J438" s="3">
        <f>IFERROR(E438*VLOOKUP(B438,PLInter!$A:$D,3,FALSE),"")</f>
        <v>1000</v>
      </c>
      <c r="K438" s="66"/>
      <c r="L438" s="66"/>
      <c r="M438" s="66"/>
      <c r="N438" s="66"/>
      <c r="O438" s="66"/>
      <c r="P438" s="66"/>
      <c r="Q438" s="66"/>
      <c r="R438" s="66"/>
      <c r="S438" s="66"/>
      <c r="T438" s="66"/>
    </row>
    <row r="439" spans="2:20" ht="18" customHeight="1">
      <c r="B439" t="str">
        <f>"26-E016-0000"</f>
        <v>26-E016-0000</v>
      </c>
      <c r="C439" t="str">
        <f>"Assembly, JM, E016, Analog Relay Panel"</f>
        <v>Assembly, JM, E016, Analog Relay Panel</v>
      </c>
      <c r="D439" s="4"/>
      <c r="E439" s="4">
        <v>2</v>
      </c>
      <c r="F439" s="4"/>
      <c r="G439" s="29" t="str">
        <f>IFERROR(HYPERLINK("#"&amp;ADDRESS(MATCH(B439&amp;"ES",'LM7 Non-ENG'!$A$1:$A$5000,0),1,,,"LM7 Non-ENG"),IF(IFERROR(VLOOKUP(B439&amp;"ES",'LM7 Non-ENG'!$A$1:$A$4999,1,FALSE),"ERROR")=B439&amp;"ES","Y","")),"")</f>
        <v/>
      </c>
      <c r="H439" s="29" t="str">
        <f>IFERROR(HYPERLINK("#"&amp;ADDRESS(MATCH(B439&amp;"PT",'LM7 Non-ENG'!$A$1:$A$5000,0),1,,,"LM7 Non-ENG"),IF(IFERROR(VLOOKUP(B439&amp;"PT",'LM7 Non-ENG'!$A$1:$A$5000,1,FALSE),"ERROR")=B439&amp;"PT","Y","")),"")</f>
        <v/>
      </c>
      <c r="I439" t="str">
        <f>IFERROR(VLOOKUP(B439,PN!$A:$C,3,FALSE),"")</f>
        <v>Active</v>
      </c>
      <c r="J439" s="3">
        <f>IFERROR(E439*VLOOKUP(B439,PLInter!$A:$D,3,FALSE),"")</f>
        <v>1668</v>
      </c>
      <c r="K439" s="66"/>
      <c r="L439" s="66"/>
      <c r="M439" s="66"/>
      <c r="N439" s="66"/>
      <c r="O439" s="66"/>
      <c r="P439" s="66"/>
      <c r="Q439" s="66"/>
      <c r="R439" s="66"/>
      <c r="S439" s="66"/>
      <c r="T439" s="66"/>
    </row>
    <row r="440" spans="2:20" ht="18" customHeight="1">
      <c r="B440" t="str">
        <f>"26-E154-0000"</f>
        <v>26-E154-0000</v>
      </c>
      <c r="C440" t="str">
        <f>"Assembly, JM, E154, Switches and Lamps Panel"</f>
        <v>Assembly, JM, E154, Switches and Lamps Panel</v>
      </c>
      <c r="D440" s="4"/>
      <c r="E440" s="4">
        <v>4</v>
      </c>
      <c r="F440" s="4"/>
      <c r="G440" s="29" t="str">
        <f>IFERROR(HYPERLINK("#"&amp;ADDRESS(MATCH(B440&amp;"ES",'LM7 Non-ENG'!$A$1:$A$5000,0),1,,,"LM7 Non-ENG"),IF(IFERROR(VLOOKUP(B440&amp;"ES",'LM7 Non-ENG'!$A$1:$A$4999,1,FALSE),"ERROR")=B440&amp;"ES","Y","")),"")</f>
        <v/>
      </c>
      <c r="H440" s="29" t="str">
        <f>IFERROR(HYPERLINK("#"&amp;ADDRESS(MATCH(B440&amp;"PT",'LM7 Non-ENG'!$A$1:$A$5000,0),1,,,"LM7 Non-ENG"),IF(IFERROR(VLOOKUP(B440&amp;"PT",'LM7 Non-ENG'!$A$1:$A$5000,1,FALSE),"ERROR")=B440&amp;"PT","Y","")),"")</f>
        <v/>
      </c>
      <c r="I440" t="str">
        <f>IFERROR(VLOOKUP(B440,PN!$A:$C,3,FALSE),"")</f>
        <v>Active</v>
      </c>
      <c r="J440" s="3">
        <f>IFERROR(E440*VLOOKUP(B440,PLInter!$A:$D,3,FALSE),"")</f>
        <v>2000</v>
      </c>
      <c r="K440" s="66"/>
      <c r="L440" s="66"/>
      <c r="M440" s="66"/>
      <c r="N440" s="66"/>
      <c r="O440" s="66"/>
      <c r="P440" s="66"/>
      <c r="Q440" s="66"/>
      <c r="R440" s="66"/>
      <c r="S440" s="66"/>
      <c r="T440" s="66"/>
    </row>
    <row r="441" spans="2:20" ht="18" customHeight="1">
      <c r="B441" t="str">
        <f>"26-E155-0000"</f>
        <v>26-E155-0000</v>
      </c>
      <c r="C441" t="str">
        <f>"Assembly, JM, E155, H-O-A Switch Panel"</f>
        <v>Assembly, JM, E155, H-O-A Switch Panel</v>
      </c>
      <c r="D441" s="4"/>
      <c r="E441" s="4">
        <v>2</v>
      </c>
      <c r="F441" s="4"/>
      <c r="G441" s="29" t="str">
        <f>IFERROR(HYPERLINK("#"&amp;ADDRESS(MATCH(B441&amp;"ES",'LM7 Non-ENG'!$A$1:$A$5000,0),1,,,"LM7 Non-ENG"),IF(IFERROR(VLOOKUP(B441&amp;"ES",'LM7 Non-ENG'!$A$1:$A$4999,1,FALSE),"ERROR")=B441&amp;"ES","Y","")),"")</f>
        <v/>
      </c>
      <c r="H441" s="29" t="str">
        <f>IFERROR(HYPERLINK("#"&amp;ADDRESS(MATCH(B441&amp;"PT",'LM7 Non-ENG'!$A$1:$A$5000,0),1,,,"LM7 Non-ENG"),IF(IFERROR(VLOOKUP(B441&amp;"PT",'LM7 Non-ENG'!$A$1:$A$5000,1,FALSE),"ERROR")=B441&amp;"PT","Y","")),"")</f>
        <v/>
      </c>
      <c r="I441" t="str">
        <f>IFERROR(VLOOKUP(B441,PN!$A:$C,3,FALSE),"")</f>
        <v>Active</v>
      </c>
      <c r="J441" s="3">
        <f>IFERROR(E441*VLOOKUP(B441,PLInter!$A:$D,3,FALSE),"")</f>
        <v>734</v>
      </c>
      <c r="K441" s="66"/>
      <c r="L441" s="66"/>
      <c r="M441" s="66"/>
      <c r="N441" s="66"/>
      <c r="O441" s="66"/>
      <c r="P441" s="66"/>
      <c r="Q441" s="66"/>
      <c r="R441" s="66"/>
      <c r="S441" s="66"/>
      <c r="T441" s="66"/>
    </row>
    <row r="442" spans="2:20" ht="18" customHeight="1">
      <c r="B442" s="1" t="str">
        <f>"36-EA07-IG01"</f>
        <v>36-EA07-IG01</v>
      </c>
      <c r="C442" s="1" t="str">
        <f>"JM, PDF on CD Electromagnetic Starters- EA04"</f>
        <v>JM, PDF on CD Electromagnetic Starters- EA04</v>
      </c>
      <c r="D442" s="6" t="s">
        <v>0</v>
      </c>
      <c r="E442" s="6">
        <v>1</v>
      </c>
      <c r="F442" s="6"/>
      <c r="G442" s="29" t="str">
        <f>IFERROR(HYPERLINK("#"&amp;ADDRESS(MATCH(B442&amp;"ES",'LM7 Non-ENG'!$A$1:$A$5000,0),1,,,"LM7 Non-ENG"),IF(IFERROR(VLOOKUP(B442&amp;"ES",'LM7 Non-ENG'!$A$1:$A$4999,1,FALSE),"ERROR")=B442&amp;"ES","Y","")),"")</f>
        <v/>
      </c>
      <c r="H442" s="29" t="str">
        <f>IFERROR(HYPERLINK("#"&amp;ADDRESS(MATCH(B442&amp;"PT",'LM7 Non-ENG'!$A$1:$A$5000,0),1,,,"LM7 Non-ENG"),IF(IFERROR(VLOOKUP(B442&amp;"PT",'LM7 Non-ENG'!$A$1:$A$5000,1,FALSE),"ERROR")=B442&amp;"PT","Y","")),"")</f>
        <v/>
      </c>
      <c r="I442" t="str">
        <f>IFERROR(VLOOKUP(B442,PN!$A:$C,3,FALSE),"")</f>
        <v>Active</v>
      </c>
      <c r="J442" s="3">
        <f>IFERROR(E442*VLOOKUP(B442,PLInter!$A:$D,3,FALSE),"")</f>
        <v>0</v>
      </c>
      <c r="K442" s="66"/>
      <c r="L442" s="66"/>
      <c r="M442" s="66"/>
      <c r="N442" s="66"/>
      <c r="O442" s="66"/>
      <c r="P442" s="66"/>
      <c r="Q442" s="66"/>
      <c r="R442" s="66"/>
      <c r="S442" s="66"/>
      <c r="T442" s="66"/>
    </row>
    <row r="443" spans="2:20" ht="18" customHeight="1">
      <c r="B443" t="str">
        <f>"77-EA08-0000"</f>
        <v>77-EA08-0000</v>
      </c>
      <c r="C443" t="str">
        <f>"LM7 Content, JM, Relays and Timers"</f>
        <v>LM7 Content, JM, Relays and Timers</v>
      </c>
      <c r="D443" s="4"/>
      <c r="E443" s="4">
        <v>1</v>
      </c>
      <c r="F443" s="4"/>
      <c r="G443" s="29" t="str">
        <f>IFERROR(HYPERLINK("#"&amp;ADDRESS(MATCH(B443&amp;"ES",'LM7 Non-ENG'!$A$1:$A$5000,0),1,,,"LM7 Non-ENG"),IF(IFERROR(VLOOKUP(B443&amp;"ES",'LM7 Non-ENG'!$A$1:$A$4999,1,FALSE),"ERROR")=B443&amp;"ES","Y","")),"")</f>
        <v>Y</v>
      </c>
      <c r="H443" s="29" t="str">
        <f>IFERROR(HYPERLINK("#"&amp;ADDRESS(MATCH(B443&amp;"PT",'LM7 Non-ENG'!$A$1:$A$5000,0),1,,,"LM7 Non-ENG"),IF(IFERROR(VLOOKUP(B443&amp;"PT",'LM7 Non-ENG'!$A$1:$A$5000,1,FALSE),"ERROR")=B443&amp;"PT","Y","")),"")</f>
        <v/>
      </c>
      <c r="I443" t="str">
        <f>IFERROR(VLOOKUP(B443,PN!$A:$C,3,FALSE),"")</f>
        <v>Active</v>
      </c>
      <c r="J443" s="3">
        <f>IFERROR(E443*VLOOKUP(B443,PLInter!$A:$D,3,FALSE),"")</f>
        <v>700</v>
      </c>
      <c r="K443" s="66"/>
      <c r="L443" s="66"/>
      <c r="M443" s="66"/>
      <c r="N443" s="66"/>
      <c r="O443" s="66"/>
      <c r="P443" s="66"/>
      <c r="Q443" s="66"/>
      <c r="R443" s="66"/>
      <c r="S443" s="66"/>
      <c r="T443" s="66"/>
    </row>
    <row r="444" spans="2:20" ht="18" customHeight="1">
      <c r="B444" s="2" t="str">
        <f>"17-EA08-0000"</f>
        <v>17-EA08-0000</v>
      </c>
      <c r="C444" s="2" t="str">
        <f>"LM5.X Content, JM, Relays and Timers"</f>
        <v>LM5.X Content, JM, Relays and Timers</v>
      </c>
      <c r="D444" s="5"/>
      <c r="E444" s="5">
        <v>1</v>
      </c>
      <c r="F444" s="5" t="str">
        <f>"Y"</f>
        <v>Y</v>
      </c>
      <c r="G444" s="29" t="str">
        <f>IFERROR(HYPERLINK("#"&amp;ADDRESS(MATCH(B444&amp;"ES",'LM7 Non-ENG'!$A$1:$A$5000,0),1,,,"LM7 Non-ENG"),IF(IFERROR(VLOOKUP(B444&amp;"ES",'LM7 Non-ENG'!$A$1:$A$4999,1,FALSE),"ERROR")=B444&amp;"ES","Y","")),"")</f>
        <v/>
      </c>
      <c r="H444" s="29" t="str">
        <f>IFERROR(HYPERLINK("#"&amp;ADDRESS(MATCH(B444&amp;"PT",'LM7 Non-ENG'!$A$1:$A$5000,0),1,,,"LM7 Non-ENG"),IF(IFERROR(VLOOKUP(B444&amp;"PT",'LM7 Non-ENG'!$A$1:$A$5000,1,FALSE),"ERROR")=B444&amp;"PT","Y","")),"")</f>
        <v/>
      </c>
      <c r="I444" t="str">
        <f>IFERROR(VLOOKUP(B444,PN!$A:$C,3,FALSE),"")</f>
        <v>Active</v>
      </c>
      <c r="J444" s="3">
        <f>IFERROR(E444*VLOOKUP(B444,PLInter!$A:$D,3,FALSE),"")</f>
        <v>2495</v>
      </c>
      <c r="K444" s="66"/>
      <c r="L444" s="66"/>
      <c r="M444" s="66"/>
      <c r="N444" s="66"/>
      <c r="O444" s="66"/>
      <c r="P444" s="66"/>
      <c r="Q444" s="66"/>
      <c r="R444" s="66"/>
      <c r="S444" s="66"/>
      <c r="T444" s="66"/>
    </row>
    <row r="445" spans="2:20" ht="18" customHeight="1">
      <c r="B445" t="str">
        <f>"26-E017-0000"</f>
        <v>26-E017-0000</v>
      </c>
      <c r="C445" t="str">
        <f>"Assembly, JM, E017, Digital Relay"</f>
        <v>Assembly, JM, E017, Digital Relay</v>
      </c>
      <c r="D445" s="4"/>
      <c r="E445" s="4">
        <v>2</v>
      </c>
      <c r="F445" s="4"/>
      <c r="G445" s="29" t="str">
        <f>IFERROR(HYPERLINK("#"&amp;ADDRESS(MATCH(B445&amp;"ES",'LM7 Non-ENG'!$A$1:$A$5000,0),1,,,"LM7 Non-ENG"),IF(IFERROR(VLOOKUP(B445&amp;"ES",'LM7 Non-ENG'!$A$1:$A$4999,1,FALSE),"ERROR")=B445&amp;"ES","Y","")),"")</f>
        <v/>
      </c>
      <c r="H445" s="29" t="str">
        <f>IFERROR(HYPERLINK("#"&amp;ADDRESS(MATCH(B445&amp;"PT",'LM7 Non-ENG'!$A$1:$A$5000,0),1,,,"LM7 Non-ENG"),IF(IFERROR(VLOOKUP(B445&amp;"PT",'LM7 Non-ENG'!$A$1:$A$5000,1,FALSE),"ERROR")=B445&amp;"PT","Y","")),"")</f>
        <v/>
      </c>
      <c r="I445" t="str">
        <f>IFERROR(VLOOKUP(B445,PN!$A:$C,3,FALSE),"")</f>
        <v>Active</v>
      </c>
      <c r="J445" s="3">
        <f>IFERROR(E445*VLOOKUP(B445,PLInter!$A:$D,3,FALSE),"")</f>
        <v>2000</v>
      </c>
      <c r="K445" s="66"/>
      <c r="L445" s="66"/>
      <c r="M445" s="66"/>
      <c r="N445" s="66"/>
      <c r="O445" s="66"/>
      <c r="P445" s="66"/>
      <c r="Q445" s="66"/>
      <c r="R445" s="66"/>
      <c r="S445" s="66"/>
      <c r="T445" s="66"/>
    </row>
    <row r="446" spans="2:20" ht="18" customHeight="1">
      <c r="B446" t="str">
        <f>"26-E041-0000"</f>
        <v>26-E041-0000</v>
      </c>
      <c r="C446" t="str">
        <f>"Assembly, JM, E041, Electronic Timer"</f>
        <v>Assembly, JM, E041, Electronic Timer</v>
      </c>
      <c r="D446" s="4"/>
      <c r="E446" s="4">
        <v>2</v>
      </c>
      <c r="F446" s="4"/>
      <c r="G446" s="29" t="str">
        <f>IFERROR(HYPERLINK("#"&amp;ADDRESS(MATCH(B446&amp;"ES",'LM7 Non-ENG'!$A$1:$A$5000,0),1,,,"LM7 Non-ENG"),IF(IFERROR(VLOOKUP(B446&amp;"ES",'LM7 Non-ENG'!$A$1:$A$4999,1,FALSE),"ERROR")=B446&amp;"ES","Y","")),"")</f>
        <v/>
      </c>
      <c r="H446" s="29" t="str">
        <f>IFERROR(HYPERLINK("#"&amp;ADDRESS(MATCH(B446&amp;"PT",'LM7 Non-ENG'!$A$1:$A$5000,0),1,,,"LM7 Non-ENG"),IF(IFERROR(VLOOKUP(B446&amp;"PT",'LM7 Non-ENG'!$A$1:$A$5000,1,FALSE),"ERROR")=B446&amp;"PT","Y","")),"")</f>
        <v/>
      </c>
      <c r="I446" t="str">
        <f>IFERROR(VLOOKUP(B446,PN!$A:$C,3,FALSE),"")</f>
        <v>Active</v>
      </c>
      <c r="J446" s="3">
        <f>IFERROR(E446*VLOOKUP(B446,PLInter!$A:$D,3,FALSE),"")</f>
        <v>1334</v>
      </c>
      <c r="K446" s="66"/>
      <c r="L446" s="66"/>
      <c r="M446" s="66"/>
      <c r="N446" s="66"/>
      <c r="O446" s="66"/>
      <c r="P446" s="66"/>
      <c r="Q446" s="66"/>
      <c r="R446" s="66"/>
      <c r="S446" s="66"/>
      <c r="T446" s="66"/>
    </row>
    <row r="447" spans="2:20" ht="18" customHeight="1">
      <c r="B447" s="1" t="str">
        <f>"36-EA08-IG01"</f>
        <v>36-EA08-IG01</v>
      </c>
      <c r="C447" s="1" t="str">
        <f>"JM, PDF on CD Relays and Timers - EA08"</f>
        <v>JM, PDF on CD Relays and Timers - EA08</v>
      </c>
      <c r="D447" s="6" t="s">
        <v>0</v>
      </c>
      <c r="E447" s="6">
        <v>1</v>
      </c>
      <c r="F447" s="6"/>
      <c r="G447" s="29" t="str">
        <f>IFERROR(HYPERLINK("#"&amp;ADDRESS(MATCH(B447&amp;"ES",'LM7 Non-ENG'!$A$1:$A$5000,0),1,,,"LM7 Non-ENG"),IF(IFERROR(VLOOKUP(B447&amp;"ES",'LM7 Non-ENG'!$A$1:$A$4999,1,FALSE),"ERROR")=B447&amp;"ES","Y","")),"")</f>
        <v/>
      </c>
      <c r="H447" s="29" t="str">
        <f>IFERROR(HYPERLINK("#"&amp;ADDRESS(MATCH(B447&amp;"PT",'LM7 Non-ENG'!$A$1:$A$5000,0),1,,,"LM7 Non-ENG"),IF(IFERROR(VLOOKUP(B447&amp;"PT",'LM7 Non-ENG'!$A$1:$A$5000,1,FALSE),"ERROR")=B447&amp;"PT","Y","")),"")</f>
        <v/>
      </c>
      <c r="I447" t="str">
        <f>IFERROR(VLOOKUP(B447,PN!$A:$C,3,FALSE),"")</f>
        <v>Active</v>
      </c>
      <c r="J447" s="3">
        <f>IFERROR(E447*VLOOKUP(B447,PLInter!$A:$D,3,FALSE),"")</f>
        <v>0</v>
      </c>
      <c r="K447" s="66"/>
      <c r="L447" s="66"/>
      <c r="M447" s="66"/>
      <c r="N447" s="66"/>
      <c r="O447" s="66"/>
      <c r="P447" s="66"/>
      <c r="Q447" s="66"/>
      <c r="R447" s="66"/>
      <c r="S447" s="66"/>
      <c r="T447" s="66"/>
    </row>
    <row r="448" spans="2:20" ht="18" customHeight="1">
      <c r="B448" t="str">
        <f>"77-EA11-0000"</f>
        <v>77-EA11-0000</v>
      </c>
      <c r="C448" t="str">
        <f>"LM7 Content, JM, Solid State Voltage Starter"</f>
        <v>LM7 Content, JM, Solid State Voltage Starter</v>
      </c>
      <c r="D448" s="4"/>
      <c r="E448" s="4">
        <v>1</v>
      </c>
      <c r="F448" s="4"/>
      <c r="G448" s="29" t="str">
        <f>IFERROR(HYPERLINK("#"&amp;ADDRESS(MATCH(B448&amp;"ES",'LM7 Non-ENG'!$A$1:$A$5000,0),1,,,"LM7 Non-ENG"),IF(IFERROR(VLOOKUP(B448&amp;"ES",'LM7 Non-ENG'!$A$1:$A$4999,1,FALSE),"ERROR")=B448&amp;"ES","Y","")),"")</f>
        <v>Y</v>
      </c>
      <c r="H448" s="29" t="str">
        <f>IFERROR(HYPERLINK("#"&amp;ADDRESS(MATCH(B448&amp;"PT",'LM7 Non-ENG'!$A$1:$A$5000,0),1,,,"LM7 Non-ENG"),IF(IFERROR(VLOOKUP(B448&amp;"PT",'LM7 Non-ENG'!$A$1:$A$5000,1,FALSE),"ERROR")=B448&amp;"PT","Y","")),"")</f>
        <v/>
      </c>
      <c r="I448" t="str">
        <f>IFERROR(VLOOKUP(B448,PN!$A:$C,3,FALSE),"")</f>
        <v>Active</v>
      </c>
      <c r="J448" s="3">
        <f>IFERROR(E448*VLOOKUP(B448,PLInter!$A:$D,3,FALSE),"")</f>
        <v>700</v>
      </c>
      <c r="K448" s="66"/>
      <c r="L448" s="66"/>
      <c r="M448" s="66"/>
      <c r="N448" s="66"/>
      <c r="O448" s="66"/>
      <c r="P448" s="66"/>
      <c r="Q448" s="66"/>
      <c r="R448" s="66"/>
      <c r="S448" s="66"/>
      <c r="T448" s="66"/>
    </row>
    <row r="449" spans="2:20" ht="18" customHeight="1">
      <c r="B449" s="2" t="str">
        <f>"17-EA11-0000"</f>
        <v>17-EA11-0000</v>
      </c>
      <c r="C449" s="2" t="str">
        <f>"LM5.X Content, JM, Solid State Voltage Starter"</f>
        <v>LM5.X Content, JM, Solid State Voltage Starter</v>
      </c>
      <c r="D449" s="5"/>
      <c r="E449" s="5">
        <v>1</v>
      </c>
      <c r="F449" s="5" t="str">
        <f>"Y"</f>
        <v>Y</v>
      </c>
      <c r="G449" s="29" t="str">
        <f>IFERROR(HYPERLINK("#"&amp;ADDRESS(MATCH(B449&amp;"ES",'LM7 Non-ENG'!$A$1:$A$5000,0),1,,,"LM7 Non-ENG"),IF(IFERROR(VLOOKUP(B449&amp;"ES",'LM7 Non-ENG'!$A$1:$A$4999,1,FALSE),"ERROR")=B449&amp;"ES","Y","")),"")</f>
        <v/>
      </c>
      <c r="H449" s="29" t="str">
        <f>IFERROR(HYPERLINK("#"&amp;ADDRESS(MATCH(B449&amp;"PT",'LM7 Non-ENG'!$A$1:$A$5000,0),1,,,"LM7 Non-ENG"),IF(IFERROR(VLOOKUP(B449&amp;"PT",'LM7 Non-ENG'!$A$1:$A$5000,1,FALSE),"ERROR")=B449&amp;"PT","Y","")),"")</f>
        <v/>
      </c>
      <c r="I449" t="str">
        <f>IFERROR(VLOOKUP(B449,PN!$A:$C,3,FALSE),"")</f>
        <v>Active</v>
      </c>
      <c r="J449" s="3">
        <f>IFERROR(E449*VLOOKUP(B449,PLInter!$A:$D,3,FALSE),"")</f>
        <v>700</v>
      </c>
      <c r="K449" s="66"/>
      <c r="L449" s="66"/>
      <c r="M449" s="66"/>
      <c r="N449" s="66"/>
      <c r="O449" s="66"/>
      <c r="P449" s="66"/>
      <c r="Q449" s="66"/>
      <c r="R449" s="66"/>
      <c r="S449" s="66"/>
      <c r="T449" s="66"/>
    </row>
    <row r="450" spans="2:20" ht="18" customHeight="1">
      <c r="B450" t="str">
        <f>"26-E024-0000"</f>
        <v>26-E024-0000</v>
      </c>
      <c r="C450" t="str">
        <f>"Assembly, JM, E024, Solid State Starter Panel"</f>
        <v>Assembly, JM, E024, Solid State Starter Panel</v>
      </c>
      <c r="D450" s="4"/>
      <c r="E450" s="4">
        <v>2</v>
      </c>
      <c r="F450" s="4"/>
      <c r="G450" s="29" t="str">
        <f>IFERROR(HYPERLINK("#"&amp;ADDRESS(MATCH(B450&amp;"ES",'LM7 Non-ENG'!$A$1:$A$5000,0),1,,,"LM7 Non-ENG"),IF(IFERROR(VLOOKUP(B450&amp;"ES",'LM7 Non-ENG'!$A$1:$A$4999,1,FALSE),"ERROR")=B450&amp;"ES","Y","")),"")</f>
        <v/>
      </c>
      <c r="H450" s="29" t="str">
        <f>IFERROR(HYPERLINK("#"&amp;ADDRESS(MATCH(B450&amp;"PT",'LM7 Non-ENG'!$A$1:$A$5000,0),1,,,"LM7 Non-ENG"),IF(IFERROR(VLOOKUP(B450&amp;"PT",'LM7 Non-ENG'!$A$1:$A$5000,1,FALSE),"ERROR")=B450&amp;"PT","Y","")),"")</f>
        <v/>
      </c>
      <c r="I450" t="str">
        <f>IFERROR(VLOOKUP(B450,PN!$A:$C,3,FALSE),"")</f>
        <v>ECO-N2Buy</v>
      </c>
      <c r="J450" s="3">
        <f>IFERROR(E450*VLOOKUP(B450,PLInter!$A:$D,3,FALSE),"")</f>
        <v>3600</v>
      </c>
      <c r="K450" s="66"/>
      <c r="L450" s="66"/>
      <c r="M450" s="66"/>
      <c r="N450" s="66"/>
      <c r="O450" s="66"/>
      <c r="P450" s="66"/>
      <c r="Q450" s="66"/>
      <c r="R450" s="66"/>
      <c r="S450" s="66"/>
      <c r="T450" s="66"/>
    </row>
    <row r="451" spans="2:20" ht="18" customHeight="1">
      <c r="B451" s="1" t="str">
        <f>"36-EA11-IG01"</f>
        <v>36-EA11-IG01</v>
      </c>
      <c r="C451" s="1" t="str">
        <f>"JM, PDF on CD Solid State Voltage Starter - EA11"</f>
        <v>JM, PDF on CD Solid State Voltage Starter - EA11</v>
      </c>
      <c r="D451" s="6" t="s">
        <v>0</v>
      </c>
      <c r="E451" s="6">
        <v>1</v>
      </c>
      <c r="F451" s="6"/>
      <c r="G451" s="29" t="str">
        <f>IFERROR(HYPERLINK("#"&amp;ADDRESS(MATCH(B451&amp;"ES",'LM7 Non-ENG'!$A$1:$A$5000,0),1,,,"LM7 Non-ENG"),IF(IFERROR(VLOOKUP(B451&amp;"ES",'LM7 Non-ENG'!$A$1:$A$4999,1,FALSE),"ERROR")=B451&amp;"ES","Y","")),"")</f>
        <v/>
      </c>
      <c r="H451" s="29" t="str">
        <f>IFERROR(HYPERLINK("#"&amp;ADDRESS(MATCH(B451&amp;"PT",'LM7 Non-ENG'!$A$1:$A$5000,0),1,,,"LM7 Non-ENG"),IF(IFERROR(VLOOKUP(B451&amp;"PT",'LM7 Non-ENG'!$A$1:$A$5000,1,FALSE),"ERROR")=B451&amp;"PT","Y","")),"")</f>
        <v/>
      </c>
      <c r="I451" t="str">
        <f>IFERROR(VLOOKUP(B451,PN!$A:$C,3,FALSE),"")</f>
        <v>Active</v>
      </c>
      <c r="J451" s="3">
        <f>IFERROR(E451*VLOOKUP(B451,PLInter!$A:$D,3,FALSE),"")</f>
        <v>0</v>
      </c>
      <c r="K451" s="66"/>
      <c r="L451" s="66"/>
      <c r="M451" s="66"/>
      <c r="N451" s="66"/>
      <c r="O451" s="66"/>
      <c r="P451" s="66"/>
      <c r="Q451" s="66"/>
      <c r="R451" s="66"/>
      <c r="S451" s="66"/>
      <c r="T451" s="66"/>
    </row>
    <row r="452" spans="2:20" ht="18" customHeight="1">
      <c r="B452" t="str">
        <f>"77-EA09-0000"</f>
        <v>77-EA09-0000</v>
      </c>
      <c r="C452" t="str">
        <f>"LM7 Content, JM, Pilot Devices"</f>
        <v>LM7 Content, JM, Pilot Devices</v>
      </c>
      <c r="D452" s="4"/>
      <c r="E452" s="4">
        <v>1</v>
      </c>
      <c r="F452" s="4"/>
      <c r="G452" s="29" t="str">
        <f>IFERROR(HYPERLINK("#"&amp;ADDRESS(MATCH(B452&amp;"ES",'LM7 Non-ENG'!$A$1:$A$5000,0),1,,,"LM7 Non-ENG"),IF(IFERROR(VLOOKUP(B452&amp;"ES",'LM7 Non-ENG'!$A$1:$A$4999,1,FALSE),"ERROR")=B452&amp;"ES","Y","")),"")</f>
        <v>Y</v>
      </c>
      <c r="H452" s="29" t="str">
        <f>IFERROR(HYPERLINK("#"&amp;ADDRESS(MATCH(B452&amp;"PT",'LM7 Non-ENG'!$A$1:$A$5000,0),1,,,"LM7 Non-ENG"),IF(IFERROR(VLOOKUP(B452&amp;"PT",'LM7 Non-ENG'!$A$1:$A$5000,1,FALSE),"ERROR")=B452&amp;"PT","Y","")),"")</f>
        <v/>
      </c>
      <c r="I452" t="str">
        <f>IFERROR(VLOOKUP(B452,PN!$A:$C,3,FALSE),"")</f>
        <v>Active</v>
      </c>
      <c r="J452" s="3">
        <f>IFERROR(E452*VLOOKUP(B452,PLInter!$A:$D,3,FALSE),"")</f>
        <v>700</v>
      </c>
      <c r="K452" s="66"/>
      <c r="L452" s="66"/>
      <c r="M452" s="66"/>
      <c r="N452" s="66"/>
      <c r="O452" s="66"/>
      <c r="P452" s="66"/>
      <c r="Q452" s="66"/>
      <c r="R452" s="66"/>
      <c r="S452" s="66"/>
      <c r="T452" s="66"/>
    </row>
    <row r="453" spans="2:20" ht="18" customHeight="1">
      <c r="B453" s="2" t="str">
        <f>"17-EA09-0000"</f>
        <v>17-EA09-0000</v>
      </c>
      <c r="C453" s="2" t="str">
        <f>"LM5.X Content, JM, Electronic Sensors"</f>
        <v>LM5.X Content, JM, Electronic Sensors</v>
      </c>
      <c r="D453" s="5"/>
      <c r="E453" s="5">
        <v>1</v>
      </c>
      <c r="F453" s="5" t="str">
        <f>"Y"</f>
        <v>Y</v>
      </c>
      <c r="G453" s="29" t="str">
        <f>IFERROR(HYPERLINK("#"&amp;ADDRESS(MATCH(B453&amp;"ES",'LM7 Non-ENG'!$A$1:$A$5000,0),1,,,"LM7 Non-ENG"),IF(IFERROR(VLOOKUP(B453&amp;"ES",'LM7 Non-ENG'!$A$1:$A$4999,1,FALSE),"ERROR")=B453&amp;"ES","Y","")),"")</f>
        <v/>
      </c>
      <c r="H453" s="29" t="str">
        <f>IFERROR(HYPERLINK("#"&amp;ADDRESS(MATCH(B453&amp;"PT",'LM7 Non-ENG'!$A$1:$A$5000,0),1,,,"LM7 Non-ENG"),IF(IFERROR(VLOOKUP(B453&amp;"PT",'LM7 Non-ENG'!$A$1:$A$5000,1,FALSE),"ERROR")=B453&amp;"PT","Y","")),"")</f>
        <v/>
      </c>
      <c r="I453" t="str">
        <f>IFERROR(VLOOKUP(B453,PN!$A:$C,3,FALSE),"")</f>
        <v>Active</v>
      </c>
      <c r="J453" s="3">
        <f>IFERROR(E453*VLOOKUP(B453,PLInter!$A:$D,3,FALSE),"")</f>
        <v>700</v>
      </c>
      <c r="K453" s="66"/>
      <c r="L453" s="66"/>
      <c r="M453" s="66"/>
      <c r="N453" s="66"/>
      <c r="O453" s="66"/>
      <c r="P453" s="66"/>
      <c r="Q453" s="66"/>
      <c r="R453" s="66"/>
      <c r="S453" s="66"/>
      <c r="T453" s="66"/>
    </row>
    <row r="454" spans="2:20" ht="18" customHeight="1">
      <c r="B454" t="str">
        <f>"26-E011-0000"</f>
        <v>26-E011-0000</v>
      </c>
      <c r="C454" t="str">
        <f>"Assembly, JM, E011, Limit Switch Panel"</f>
        <v>Assembly, JM, E011, Limit Switch Panel</v>
      </c>
      <c r="D454" s="4"/>
      <c r="E454" s="4">
        <v>2</v>
      </c>
      <c r="F454" s="4"/>
      <c r="G454" s="29" t="str">
        <f>IFERROR(HYPERLINK("#"&amp;ADDRESS(MATCH(B454&amp;"ES",'LM7 Non-ENG'!$A$1:$A$5000,0),1,,,"LM7 Non-ENG"),IF(IFERROR(VLOOKUP(B454&amp;"ES",'LM7 Non-ENG'!$A$1:$A$4999,1,FALSE),"ERROR")=B454&amp;"ES","Y","")),"")</f>
        <v/>
      </c>
      <c r="H454" s="29" t="str">
        <f>IFERROR(HYPERLINK("#"&amp;ADDRESS(MATCH(B454&amp;"PT",'LM7 Non-ENG'!$A$1:$A$5000,0),1,,,"LM7 Non-ENG"),IF(IFERROR(VLOOKUP(B454&amp;"PT",'LM7 Non-ENG'!$A$1:$A$5000,1,FALSE),"ERROR")=B454&amp;"PT","Y","")),"")</f>
        <v/>
      </c>
      <c r="I454" t="str">
        <f>IFERROR(VLOOKUP(B454,PN!$A:$C,3,FALSE),"")</f>
        <v>Active</v>
      </c>
      <c r="J454" s="3">
        <f>IFERROR(E454*VLOOKUP(B454,PLInter!$A:$D,3,FALSE),"")</f>
        <v>868</v>
      </c>
      <c r="K454" s="66"/>
      <c r="L454" s="66"/>
      <c r="M454" s="66"/>
      <c r="N454" s="66"/>
      <c r="O454" s="66"/>
      <c r="P454" s="66"/>
      <c r="Q454" s="66"/>
      <c r="R454" s="66"/>
      <c r="S454" s="66"/>
      <c r="T454" s="66"/>
    </row>
    <row r="455" spans="2:20" ht="18" customHeight="1">
      <c r="B455" t="str">
        <f>"26-E018-0000"</f>
        <v>26-E018-0000</v>
      </c>
      <c r="C455" t="str">
        <f>"Assembly, JM, E018, Liquid Level and Pressure"</f>
        <v>Assembly, JM, E018, Liquid Level and Pressure</v>
      </c>
      <c r="D455" s="4"/>
      <c r="E455" s="4">
        <v>2</v>
      </c>
      <c r="F455" s="4"/>
      <c r="G455" s="29" t="str">
        <f>IFERROR(HYPERLINK("#"&amp;ADDRESS(MATCH(B455&amp;"ES",'LM7 Non-ENG'!$A$1:$A$5000,0),1,,,"LM7 Non-ENG"),IF(IFERROR(VLOOKUP(B455&amp;"ES",'LM7 Non-ENG'!$A$1:$A$4999,1,FALSE),"ERROR")=B455&amp;"ES","Y","")),"")</f>
        <v/>
      </c>
      <c r="H455" s="29" t="str">
        <f>IFERROR(HYPERLINK("#"&amp;ADDRESS(MATCH(B455&amp;"PT",'LM7 Non-ENG'!$A$1:$A$5000,0),1,,,"LM7 Non-ENG"),IF(IFERROR(VLOOKUP(B455&amp;"PT",'LM7 Non-ENG'!$A$1:$A$5000,1,FALSE),"ERROR")=B455&amp;"PT","Y","")),"")</f>
        <v/>
      </c>
      <c r="I455" t="str">
        <f>IFERROR(VLOOKUP(B455,PN!$A:$C,3,FALSE),"")</f>
        <v>Active</v>
      </c>
      <c r="J455" s="3">
        <f>IFERROR(E455*VLOOKUP(B455,PLInter!$A:$D,3,FALSE),"")</f>
        <v>1734</v>
      </c>
      <c r="K455" s="66"/>
      <c r="L455" s="66"/>
      <c r="M455" s="66"/>
      <c r="N455" s="66"/>
      <c r="O455" s="66"/>
      <c r="P455" s="66"/>
      <c r="Q455" s="66"/>
      <c r="R455" s="66"/>
      <c r="S455" s="66"/>
      <c r="T455" s="66"/>
    </row>
    <row r="456" spans="2:20" ht="18" customHeight="1">
      <c r="B456" t="str">
        <f>"26-E126-0000"</f>
        <v>26-E126-0000</v>
      </c>
      <c r="C456" t="str">
        <f>"Assembly, JM, E126, Photo, Mag, &amp; Prox Panel"</f>
        <v>Assembly, JM, E126, Photo, Mag, &amp; Prox Panel</v>
      </c>
      <c r="D456" s="4"/>
      <c r="E456" s="4">
        <v>2</v>
      </c>
      <c r="F456" s="4"/>
      <c r="G456" s="29" t="str">
        <f>IFERROR(HYPERLINK("#"&amp;ADDRESS(MATCH(B456&amp;"ES",'LM7 Non-ENG'!$A$1:$A$5000,0),1,,,"LM7 Non-ENG"),IF(IFERROR(VLOOKUP(B456&amp;"ES",'LM7 Non-ENG'!$A$1:$A$4999,1,FALSE),"ERROR")=B456&amp;"ES","Y","")),"")</f>
        <v/>
      </c>
      <c r="H456" s="29" t="str">
        <f>IFERROR(HYPERLINK("#"&amp;ADDRESS(MATCH(B456&amp;"PT",'LM7 Non-ENG'!$A$1:$A$5000,0),1,,,"LM7 Non-ENG"),IF(IFERROR(VLOOKUP(B456&amp;"PT",'LM7 Non-ENG'!$A$1:$A$5000,1,FALSE),"ERROR")=B456&amp;"PT","Y","")),"")</f>
        <v/>
      </c>
      <c r="I456" t="str">
        <f>IFERROR(VLOOKUP(B456,PN!$A:$C,3,FALSE),"")</f>
        <v>Active</v>
      </c>
      <c r="J456" s="3">
        <f>IFERROR(E456*VLOOKUP(B456,PLInter!$A:$D,3,FALSE),"")</f>
        <v>4268</v>
      </c>
      <c r="K456" s="66"/>
      <c r="L456" s="66"/>
      <c r="M456" s="66"/>
      <c r="N456" s="66"/>
      <c r="O456" s="66"/>
      <c r="P456" s="66"/>
      <c r="Q456" s="66"/>
      <c r="R456" s="66"/>
      <c r="S456" s="66"/>
      <c r="T456" s="66"/>
    </row>
    <row r="457" spans="2:20" ht="18" customHeight="1">
      <c r="B457" t="str">
        <f>"26-E153-0000"</f>
        <v>26-E153-0000</v>
      </c>
      <c r="C457" t="str">
        <f>"Assembly, JM, E153, AC/DC Circuits"</f>
        <v>Assembly, JM, E153, AC/DC Circuits</v>
      </c>
      <c r="D457" s="4"/>
      <c r="E457" s="4">
        <v>2</v>
      </c>
      <c r="F457" s="4"/>
      <c r="G457" s="29" t="str">
        <f>IFERROR(HYPERLINK("#"&amp;ADDRESS(MATCH(B457&amp;"ES",'LM7 Non-ENG'!$A$1:$A$5000,0),1,,,"LM7 Non-ENG"),IF(IFERROR(VLOOKUP(B457&amp;"ES",'LM7 Non-ENG'!$A$1:$A$4999,1,FALSE),"ERROR")=B457&amp;"ES","Y","")),"")</f>
        <v/>
      </c>
      <c r="H457" s="29" t="str">
        <f>IFERROR(HYPERLINK("#"&amp;ADDRESS(MATCH(B457&amp;"PT",'LM7 Non-ENG'!$A$1:$A$5000,0),1,,,"LM7 Non-ENG"),IF(IFERROR(VLOOKUP(B457&amp;"PT",'LM7 Non-ENG'!$A$1:$A$5000,1,FALSE),"ERROR")=B457&amp;"PT","Y","")),"")</f>
        <v/>
      </c>
      <c r="I457" t="str">
        <f>IFERROR(VLOOKUP(B457,PN!$A:$C,3,FALSE),"")</f>
        <v>Active</v>
      </c>
      <c r="J457" s="3">
        <f>IFERROR(E457*VLOOKUP(B457,PLInter!$A:$D,3,FALSE),"")</f>
        <v>1068</v>
      </c>
      <c r="K457" s="66"/>
      <c r="L457" s="66"/>
      <c r="M457" s="66"/>
      <c r="N457" s="66"/>
      <c r="O457" s="66"/>
      <c r="P457" s="66"/>
      <c r="Q457" s="66"/>
      <c r="R457" s="66"/>
      <c r="S457" s="66"/>
      <c r="T457" s="66"/>
    </row>
    <row r="458" spans="2:20" ht="18" customHeight="1">
      <c r="B458" s="1" t="str">
        <f>"36-EA09-IG01"</f>
        <v>36-EA09-IG01</v>
      </c>
      <c r="C458" s="1" t="str">
        <f>"JM, PDF on CD Sensors - EA09"</f>
        <v>JM, PDF on CD Sensors - EA09</v>
      </c>
      <c r="D458" s="6" t="s">
        <v>0</v>
      </c>
      <c r="E458" s="6">
        <v>1</v>
      </c>
      <c r="F458" s="6"/>
      <c r="G458" s="29" t="str">
        <f>IFERROR(HYPERLINK("#"&amp;ADDRESS(MATCH(B458&amp;"ES",'LM7 Non-ENG'!$A$1:$A$5000,0),1,,,"LM7 Non-ENG"),IF(IFERROR(VLOOKUP(B458&amp;"ES",'LM7 Non-ENG'!$A$1:$A$4999,1,FALSE),"ERROR")=B458&amp;"ES","Y","")),"")</f>
        <v/>
      </c>
      <c r="H458" s="29" t="str">
        <f>IFERROR(HYPERLINK("#"&amp;ADDRESS(MATCH(B458&amp;"PT",'LM7 Non-ENG'!$A$1:$A$5000,0),1,,,"LM7 Non-ENG"),IF(IFERROR(VLOOKUP(B458&amp;"PT",'LM7 Non-ENG'!$A$1:$A$5000,1,FALSE),"ERROR")=B458&amp;"PT","Y","")),"")</f>
        <v/>
      </c>
      <c r="I458" t="str">
        <f>IFERROR(VLOOKUP(B458,PN!$A:$C,3,FALSE),"")</f>
        <v>Active</v>
      </c>
      <c r="J458" s="3">
        <f>IFERROR(E458*VLOOKUP(B458,PLInter!$A:$D,3,FALSE),"")</f>
        <v>0</v>
      </c>
      <c r="K458" s="66"/>
      <c r="L458" s="66"/>
      <c r="M458" s="66"/>
      <c r="N458" s="66"/>
      <c r="O458" s="66"/>
      <c r="P458" s="66"/>
      <c r="Q458" s="66"/>
      <c r="R458" s="66"/>
      <c r="S458" s="66"/>
      <c r="T458" s="66"/>
    </row>
    <row r="459" spans="2:20" ht="18" customHeight="1">
      <c r="B459" t="str">
        <f>"77-EA12-0000"</f>
        <v>77-EA12-0000</v>
      </c>
      <c r="C459" t="str">
        <f>"LM7 Content, JM, Electric Motor Drives"</f>
        <v>LM7 Content, JM, Electric Motor Drives</v>
      </c>
      <c r="D459" s="4"/>
      <c r="E459" s="4">
        <v>1</v>
      </c>
      <c r="F459" s="4"/>
      <c r="G459" s="29" t="str">
        <f>IFERROR(HYPERLINK("#"&amp;ADDRESS(MATCH(B459&amp;"ES",'LM7 Non-ENG'!$A$1:$A$5000,0),1,,,"LM7 Non-ENG"),IF(IFERROR(VLOOKUP(B459&amp;"ES",'LM7 Non-ENG'!$A$1:$A$4999,1,FALSE),"ERROR")=B459&amp;"ES","Y","")),"")</f>
        <v>Y</v>
      </c>
      <c r="H459" s="29" t="str">
        <f>IFERROR(HYPERLINK("#"&amp;ADDRESS(MATCH(B459&amp;"PT",'LM7 Non-ENG'!$A$1:$A$5000,0),1,,,"LM7 Non-ENG"),IF(IFERROR(VLOOKUP(B459&amp;"PT",'LM7 Non-ENG'!$A$1:$A$5000,1,FALSE),"ERROR")=B459&amp;"PT","Y","")),"")</f>
        <v/>
      </c>
      <c r="I459" t="str">
        <f>IFERROR(VLOOKUP(B459,PN!$A:$C,3,FALSE),"")</f>
        <v>Active</v>
      </c>
      <c r="J459" s="3">
        <f>IFERROR(E459*VLOOKUP(B459,PLInter!$A:$D,3,FALSE),"")</f>
        <v>700</v>
      </c>
      <c r="K459" s="66"/>
      <c r="L459" s="66"/>
      <c r="M459" s="66"/>
      <c r="N459" s="66"/>
      <c r="O459" s="66"/>
      <c r="P459" s="66"/>
      <c r="Q459" s="66"/>
      <c r="R459" s="66"/>
      <c r="S459" s="66"/>
      <c r="T459" s="66"/>
    </row>
    <row r="460" spans="2:20" ht="18" customHeight="1">
      <c r="B460" s="2" t="str">
        <f>"17-EA12-0000"</f>
        <v>17-EA12-0000</v>
      </c>
      <c r="C460" s="2" t="str">
        <f>"LM5.X Content, JM, Variable Frequency Drive"</f>
        <v>LM5.X Content, JM, Variable Frequency Drive</v>
      </c>
      <c r="D460" s="5"/>
      <c r="E460" s="5">
        <v>1</v>
      </c>
      <c r="F460" s="5" t="str">
        <f>"Y"</f>
        <v>Y</v>
      </c>
      <c r="G460" s="29" t="str">
        <f>IFERROR(HYPERLINK("#"&amp;ADDRESS(MATCH(B460&amp;"ES",'LM7 Non-ENG'!$A$1:$A$5000,0),1,,,"LM7 Non-ENG"),IF(IFERROR(VLOOKUP(B460&amp;"ES",'LM7 Non-ENG'!$A$1:$A$4999,1,FALSE),"ERROR")=B460&amp;"ES","Y","")),"")</f>
        <v/>
      </c>
      <c r="H460" s="29" t="str">
        <f>IFERROR(HYPERLINK("#"&amp;ADDRESS(MATCH(B460&amp;"PT",'LM7 Non-ENG'!$A$1:$A$5000,0),1,,,"LM7 Non-ENG"),IF(IFERROR(VLOOKUP(B460&amp;"PT",'LM7 Non-ENG'!$A$1:$A$5000,1,FALSE),"ERROR")=B460&amp;"PT","Y","")),"")</f>
        <v/>
      </c>
      <c r="I460" t="str">
        <f>IFERROR(VLOOKUP(B460,PN!$A:$C,3,FALSE),"")</f>
        <v>Active</v>
      </c>
      <c r="J460" s="3">
        <f>IFERROR(E460*VLOOKUP(B460,PLInter!$A:$D,3,FALSE),"")</f>
        <v>700</v>
      </c>
      <c r="K460" s="66"/>
      <c r="L460" s="66"/>
      <c r="M460" s="66"/>
      <c r="N460" s="66"/>
      <c r="O460" s="66"/>
      <c r="P460" s="66"/>
      <c r="Q460" s="66"/>
      <c r="R460" s="66"/>
      <c r="S460" s="66"/>
      <c r="T460" s="66"/>
    </row>
    <row r="461" spans="2:20" ht="18" customHeight="1">
      <c r="B461" t="str">
        <f>"26-E067-0000"</f>
        <v>26-E067-0000</v>
      </c>
      <c r="C461" t="str">
        <f>"Assembly, JM, E067,Varible Frequency Drive Panel"</f>
        <v>Assembly, JM, E067,Varible Frequency Drive Panel</v>
      </c>
      <c r="D461" s="4"/>
      <c r="E461" s="4">
        <v>2</v>
      </c>
      <c r="F461" s="4"/>
      <c r="G461" s="29" t="str">
        <f>IFERROR(HYPERLINK("#"&amp;ADDRESS(MATCH(B461&amp;"ES",'LM7 Non-ENG'!$A$1:$A$5000,0),1,,,"LM7 Non-ENG"),IF(IFERROR(VLOOKUP(B461&amp;"ES",'LM7 Non-ENG'!$A$1:$A$4999,1,FALSE),"ERROR")=B461&amp;"ES","Y","")),"")</f>
        <v/>
      </c>
      <c r="H461" s="29" t="str">
        <f>IFERROR(HYPERLINK("#"&amp;ADDRESS(MATCH(B461&amp;"PT",'LM7 Non-ENG'!$A$1:$A$5000,0),1,,,"LM7 Non-ENG"),IF(IFERROR(VLOOKUP(B461&amp;"PT",'LM7 Non-ENG'!$A$1:$A$5000,1,FALSE),"ERROR")=B461&amp;"PT","Y","")),"")</f>
        <v/>
      </c>
      <c r="I461" t="str">
        <f>IFERROR(VLOOKUP(B461,PN!$A:$C,3,FALSE),"")</f>
        <v>Active</v>
      </c>
      <c r="J461" s="3">
        <f>IFERROR(E461*VLOOKUP(B461,PLInter!$A:$D,3,FALSE),"")</f>
        <v>2668</v>
      </c>
      <c r="K461" s="66"/>
      <c r="L461" s="66"/>
      <c r="M461" s="66"/>
      <c r="N461" s="66"/>
      <c r="O461" s="66"/>
      <c r="P461" s="66"/>
      <c r="Q461" s="66"/>
      <c r="R461" s="66"/>
      <c r="S461" s="66"/>
      <c r="T461" s="66"/>
    </row>
    <row r="462" spans="2:20" ht="18" customHeight="1">
      <c r="B462" s="1" t="str">
        <f>"36-EA12-IG01"</f>
        <v>36-EA12-IG01</v>
      </c>
      <c r="C462" s="1" t="str">
        <f>"JM, PDF on CD Variable Frequency Drive- EA12"</f>
        <v>JM, PDF on CD Variable Frequency Drive- EA12</v>
      </c>
      <c r="D462" s="6" t="s">
        <v>0</v>
      </c>
      <c r="E462" s="6">
        <v>1</v>
      </c>
      <c r="F462" s="6"/>
      <c r="G462" s="29" t="str">
        <f>IFERROR(HYPERLINK("#"&amp;ADDRESS(MATCH(B462&amp;"ES",'LM7 Non-ENG'!$A$1:$A$5000,0),1,,,"LM7 Non-ENG"),IF(IFERROR(VLOOKUP(B462&amp;"ES",'LM7 Non-ENG'!$A$1:$A$4999,1,FALSE),"ERROR")=B462&amp;"ES","Y","")),"")</f>
        <v/>
      </c>
      <c r="H462" s="29" t="str">
        <f>IFERROR(HYPERLINK("#"&amp;ADDRESS(MATCH(B462&amp;"PT",'LM7 Non-ENG'!$A$1:$A$5000,0),1,,,"LM7 Non-ENG"),IF(IFERROR(VLOOKUP(B462&amp;"PT",'LM7 Non-ENG'!$A$1:$A$5000,1,FALSE),"ERROR")=B462&amp;"PT","Y","")),"")</f>
        <v/>
      </c>
      <c r="I462" t="str">
        <f>IFERROR(VLOOKUP(B462,PN!$A:$C,3,FALSE),"")</f>
        <v>Active</v>
      </c>
      <c r="J462" s="3">
        <f>IFERROR(E462*VLOOKUP(B462,PLInter!$A:$D,3,FALSE),"")</f>
        <v>0</v>
      </c>
      <c r="K462" s="66"/>
      <c r="L462" s="66"/>
      <c r="M462" s="66"/>
      <c r="N462" s="66"/>
      <c r="O462" s="66"/>
      <c r="P462" s="66"/>
      <c r="Q462" s="66"/>
      <c r="R462" s="66"/>
      <c r="S462" s="66"/>
      <c r="T462" s="66"/>
    </row>
    <row r="463" spans="2:20" ht="18" customHeight="1">
      <c r="B463" t="str">
        <f>"77-EA16-0000"</f>
        <v>77-EA16-0000</v>
      </c>
      <c r="C463" t="str">
        <f>"LM7 Content, JM, DC Motor Drives"</f>
        <v>LM7 Content, JM, DC Motor Drives</v>
      </c>
      <c r="D463" s="4"/>
      <c r="E463" s="4">
        <v>1</v>
      </c>
      <c r="F463" s="4"/>
      <c r="G463" s="29" t="str">
        <f>IFERROR(HYPERLINK("#"&amp;ADDRESS(MATCH(B463&amp;"ES",'LM7 Non-ENG'!$A$1:$A$5000,0),1,,,"LM7 Non-ENG"),IF(IFERROR(VLOOKUP(B463&amp;"ES",'LM7 Non-ENG'!$A$1:$A$4999,1,FALSE),"ERROR")=B463&amp;"ES","Y","")),"")</f>
        <v>Y</v>
      </c>
      <c r="H463" s="29" t="str">
        <f>IFERROR(HYPERLINK("#"&amp;ADDRESS(MATCH(B463&amp;"PT",'LM7 Non-ENG'!$A$1:$A$5000,0),1,,,"LM7 Non-ENG"),IF(IFERROR(VLOOKUP(B463&amp;"PT",'LM7 Non-ENG'!$A$1:$A$5000,1,FALSE),"ERROR")=B463&amp;"PT","Y","")),"")</f>
        <v/>
      </c>
      <c r="I463" t="str">
        <f>IFERROR(VLOOKUP(B463,PN!$A:$C,3,FALSE),"")</f>
        <v>Active</v>
      </c>
      <c r="J463" s="3">
        <f>IFERROR(E463*VLOOKUP(B463,PLInter!$A:$D,3,FALSE),"")</f>
        <v>700</v>
      </c>
      <c r="K463" s="66"/>
      <c r="L463" s="66"/>
      <c r="M463" s="66"/>
      <c r="N463" s="66"/>
      <c r="O463" s="66"/>
      <c r="P463" s="66"/>
      <c r="Q463" s="66"/>
      <c r="R463" s="66"/>
      <c r="S463" s="66"/>
      <c r="T463" s="66"/>
    </row>
    <row r="464" spans="2:20" ht="18" customHeight="1">
      <c r="B464" s="2" t="str">
        <f>"17-EA16-0000"</f>
        <v>17-EA16-0000</v>
      </c>
      <c r="C464" s="2" t="str">
        <f>"LM5.X Content, JM, DC Motor Drives"</f>
        <v>LM5.X Content, JM, DC Motor Drives</v>
      </c>
      <c r="D464" s="5"/>
      <c r="E464" s="5">
        <v>1</v>
      </c>
      <c r="F464" s="5" t="str">
        <f>"Y"</f>
        <v>Y</v>
      </c>
      <c r="G464" s="29" t="str">
        <f>IFERROR(HYPERLINK("#"&amp;ADDRESS(MATCH(B464&amp;"ES",'LM7 Non-ENG'!$A$1:$A$5000,0),1,,,"LM7 Non-ENG"),IF(IFERROR(VLOOKUP(B464&amp;"ES",'LM7 Non-ENG'!$A$1:$A$4999,1,FALSE),"ERROR")=B464&amp;"ES","Y","")),"")</f>
        <v/>
      </c>
      <c r="H464" s="29" t="str">
        <f>IFERROR(HYPERLINK("#"&amp;ADDRESS(MATCH(B464&amp;"PT",'LM7 Non-ENG'!$A$1:$A$5000,0),1,,,"LM7 Non-ENG"),IF(IFERROR(VLOOKUP(B464&amp;"PT",'LM7 Non-ENG'!$A$1:$A$5000,1,FALSE),"ERROR")=B464&amp;"PT","Y","")),"")</f>
        <v/>
      </c>
      <c r="I464" t="str">
        <f>IFERROR(VLOOKUP(B464,PN!$A:$C,3,FALSE),"")</f>
        <v>Active</v>
      </c>
      <c r="J464" s="3">
        <f>IFERROR(E464*VLOOKUP(B464,PLInter!$A:$D,3,FALSE),"")</f>
        <v>700</v>
      </c>
      <c r="K464" s="66"/>
      <c r="L464" s="66"/>
      <c r="M464" s="66"/>
      <c r="N464" s="66"/>
      <c r="O464" s="66"/>
      <c r="P464" s="66"/>
      <c r="Q464" s="66"/>
      <c r="R464" s="66"/>
      <c r="S464" s="66"/>
      <c r="T464" s="66"/>
    </row>
    <row r="465" spans="1:20" ht="18" customHeight="1">
      <c r="B465" s="1" t="str">
        <f>"26-E007-0000"</f>
        <v>26-E007-0000</v>
      </c>
      <c r="C465" s="1" t="str">
        <f>"Assembly, JM, E007 - SCR Speed Control Panel"</f>
        <v>Assembly, JM, E007 - SCR Speed Control Panel</v>
      </c>
      <c r="D465" s="6" t="s">
        <v>0</v>
      </c>
      <c r="E465" s="6">
        <v>2</v>
      </c>
      <c r="F465" s="6"/>
      <c r="G465" s="29" t="str">
        <f>IFERROR(HYPERLINK("#"&amp;ADDRESS(MATCH(B465&amp;"ES",'LM7 Non-ENG'!$A$1:$A$5000,0),1,,,"LM7 Non-ENG"),IF(IFERROR(VLOOKUP(B465&amp;"ES",'LM7 Non-ENG'!$A$1:$A$4999,1,FALSE),"ERROR")=B465&amp;"ES","Y","")),"")</f>
        <v/>
      </c>
      <c r="H465" s="29" t="str">
        <f>IFERROR(HYPERLINK("#"&amp;ADDRESS(MATCH(B465&amp;"PT",'LM7 Non-ENG'!$A$1:$A$5000,0),1,,,"LM7 Non-ENG"),IF(IFERROR(VLOOKUP(B465&amp;"PT",'LM7 Non-ENG'!$A$1:$A$5000,1,FALSE),"ERROR")=B465&amp;"PT","Y","")),"")</f>
        <v/>
      </c>
      <c r="I465" t="str">
        <f>IFERROR(VLOOKUP(B465,PN!$A:$C,3,FALSE),"")</f>
        <v>Active</v>
      </c>
      <c r="J465" s="3">
        <f>IFERROR(E465*VLOOKUP(B465,PLInter!$A:$D,3,FALSE),"")</f>
        <v>1300</v>
      </c>
      <c r="K465" s="66"/>
      <c r="L465" s="66"/>
      <c r="M465" s="66"/>
      <c r="N465" s="66"/>
      <c r="O465" s="66"/>
      <c r="P465" s="66"/>
      <c r="Q465" s="66"/>
      <c r="R465" s="66"/>
      <c r="S465" s="66"/>
      <c r="T465" s="66"/>
    </row>
    <row r="466" spans="1:20" ht="18" customHeight="1">
      <c r="B466" t="str">
        <f>"26-E025-0000"</f>
        <v>26-E025-0000</v>
      </c>
      <c r="C466" t="str">
        <f>"Assembly, JM, E025 F-O-R Switch Panel"</f>
        <v>Assembly, JM, E025 F-O-R Switch Panel</v>
      </c>
      <c r="D466" s="4"/>
      <c r="E466" s="4">
        <v>2</v>
      </c>
      <c r="F466" s="4"/>
      <c r="G466" s="29" t="str">
        <f>IFERROR(HYPERLINK("#"&amp;ADDRESS(MATCH(B466&amp;"ES",'LM7 Non-ENG'!$A$1:$A$5000,0),1,,,"LM7 Non-ENG"),IF(IFERROR(VLOOKUP(B466&amp;"ES",'LM7 Non-ENG'!$A$1:$A$4999,1,FALSE),"ERROR")=B466&amp;"ES","Y","")),"")</f>
        <v/>
      </c>
      <c r="H466" s="29" t="str">
        <f>IFERROR(HYPERLINK("#"&amp;ADDRESS(MATCH(B466&amp;"PT",'LM7 Non-ENG'!$A$1:$A$5000,0),1,,,"LM7 Non-ENG"),IF(IFERROR(VLOOKUP(B466&amp;"PT",'LM7 Non-ENG'!$A$1:$A$5000,1,FALSE),"ERROR")=B466&amp;"PT","Y","")),"")</f>
        <v/>
      </c>
      <c r="I466" t="str">
        <f>IFERROR(VLOOKUP(B466,PN!$A:$C,3,FALSE),"")</f>
        <v>Active</v>
      </c>
      <c r="J466" s="3">
        <f>IFERROR(E466*VLOOKUP(B466,PLInter!$A:$D,3,FALSE),"")</f>
        <v>1400</v>
      </c>
      <c r="K466" s="66"/>
      <c r="L466" s="66"/>
      <c r="M466" s="66"/>
      <c r="N466" s="66"/>
      <c r="O466" s="66"/>
      <c r="P466" s="66"/>
      <c r="Q466" s="66"/>
      <c r="R466" s="66"/>
      <c r="S466" s="66"/>
      <c r="T466" s="66"/>
    </row>
    <row r="467" spans="1:20" ht="18" customHeight="1">
      <c r="B467" s="1" t="str">
        <f>"26-E034-0000"</f>
        <v>26-E034-0000</v>
      </c>
      <c r="C467" s="1" t="str">
        <f>"Assembly, JM, E034, DC Motor Panel"</f>
        <v>Assembly, JM, E034, DC Motor Panel</v>
      </c>
      <c r="D467" s="6" t="s">
        <v>0</v>
      </c>
      <c r="E467" s="6">
        <v>2</v>
      </c>
      <c r="F467" s="6"/>
      <c r="G467" s="29" t="str">
        <f>IFERROR(HYPERLINK("#"&amp;ADDRESS(MATCH(B467&amp;"ES",'LM7 Non-ENG'!$A$1:$A$5000,0),1,,,"LM7 Non-ENG"),IF(IFERROR(VLOOKUP(B467&amp;"ES",'LM7 Non-ENG'!$A$1:$A$4999,1,FALSE),"ERROR")=B467&amp;"ES","Y","")),"")</f>
        <v/>
      </c>
      <c r="H467" s="29" t="str">
        <f>IFERROR(HYPERLINK("#"&amp;ADDRESS(MATCH(B467&amp;"PT",'LM7 Non-ENG'!$A$1:$A$5000,0),1,,,"LM7 Non-ENG"),IF(IFERROR(VLOOKUP(B467&amp;"PT",'LM7 Non-ENG'!$A$1:$A$5000,1,FALSE),"ERROR")=B467&amp;"PT","Y","")),"")</f>
        <v/>
      </c>
      <c r="I467" t="str">
        <f>IFERROR(VLOOKUP(B467,PN!$A:$C,3,FALSE),"")</f>
        <v>Active</v>
      </c>
      <c r="J467" s="3">
        <f>IFERROR(E467*VLOOKUP(B467,PLInter!$A:$D,3,FALSE),"")</f>
        <v>1800</v>
      </c>
      <c r="K467" s="66"/>
      <c r="L467" s="66"/>
      <c r="M467" s="66"/>
      <c r="N467" s="66"/>
      <c r="O467" s="66"/>
      <c r="P467" s="66"/>
      <c r="Q467" s="66"/>
      <c r="R467" s="66"/>
      <c r="S467" s="66"/>
      <c r="T467" s="66"/>
    </row>
    <row r="468" spans="1:20" ht="18" customHeight="1">
      <c r="B468" t="str">
        <f>"26-E038-0000"</f>
        <v>26-E038-0000</v>
      </c>
      <c r="C468" t="str">
        <f>"Assembly, JM, E038, PWM Speed Control Panel"</f>
        <v>Assembly, JM, E038, PWM Speed Control Panel</v>
      </c>
      <c r="D468" s="4"/>
      <c r="E468" s="4">
        <v>2</v>
      </c>
      <c r="F468" s="4"/>
      <c r="G468" s="29" t="str">
        <f>IFERROR(HYPERLINK("#"&amp;ADDRESS(MATCH(B468&amp;"ES",'LM7 Non-ENG'!$A$1:$A$5000,0),1,,,"LM7 Non-ENG"),IF(IFERROR(VLOOKUP(B468&amp;"ES",'LM7 Non-ENG'!$A$1:$A$4999,1,FALSE),"ERROR")=B468&amp;"ES","Y","")),"")</f>
        <v/>
      </c>
      <c r="H468" s="29" t="str">
        <f>IFERROR(HYPERLINK("#"&amp;ADDRESS(MATCH(B468&amp;"PT",'LM7 Non-ENG'!$A$1:$A$5000,0),1,,,"LM7 Non-ENG"),IF(IFERROR(VLOOKUP(B468&amp;"PT",'LM7 Non-ENG'!$A$1:$A$5000,1,FALSE),"ERROR")=B468&amp;"PT","Y","")),"")</f>
        <v/>
      </c>
      <c r="I468" t="str">
        <f>IFERROR(VLOOKUP(B468,PN!$A:$C,3,FALSE),"")</f>
        <v>Active</v>
      </c>
      <c r="J468" s="3">
        <f>IFERROR(E468*VLOOKUP(B468,PLInter!$A:$D,3,FALSE),"")</f>
        <v>2134</v>
      </c>
      <c r="K468" s="66"/>
      <c r="L468" s="66"/>
      <c r="M468" s="66"/>
      <c r="N468" s="66"/>
      <c r="O468" s="66"/>
      <c r="P468" s="66"/>
      <c r="Q468" s="66"/>
      <c r="R468" s="66"/>
      <c r="S468" s="66"/>
      <c r="T468" s="66"/>
    </row>
    <row r="469" spans="1:20" ht="18" customHeight="1">
      <c r="B469" t="str">
        <f>"26-E048-0000"</f>
        <v>26-E048-0000</v>
      </c>
      <c r="C469" t="str">
        <f>"Assembly, JM, E048 Inertial Load Panel"</f>
        <v>Assembly, JM, E048 Inertial Load Panel</v>
      </c>
      <c r="D469" s="4"/>
      <c r="E469" s="4">
        <v>2</v>
      </c>
      <c r="F469" s="4"/>
      <c r="G469" s="29" t="str">
        <f>IFERROR(HYPERLINK("#"&amp;ADDRESS(MATCH(B469&amp;"ES",'LM7 Non-ENG'!$A$1:$A$5000,0),1,,,"LM7 Non-ENG"),IF(IFERROR(VLOOKUP(B469&amp;"ES",'LM7 Non-ENG'!$A$1:$A$4999,1,FALSE),"ERROR")=B469&amp;"ES","Y","")),"")</f>
        <v/>
      </c>
      <c r="H469" s="29" t="str">
        <f>IFERROR(HYPERLINK("#"&amp;ADDRESS(MATCH(B469&amp;"PT",'LM7 Non-ENG'!$A$1:$A$5000,0),1,,,"LM7 Non-ENG"),IF(IFERROR(VLOOKUP(B469&amp;"PT",'LM7 Non-ENG'!$A$1:$A$5000,1,FALSE),"ERROR")=B469&amp;"PT","Y","")),"")</f>
        <v/>
      </c>
      <c r="I469" t="str">
        <f>IFERROR(VLOOKUP(B469,PN!$A:$C,3,FALSE),"")</f>
        <v>Active</v>
      </c>
      <c r="J469" s="3">
        <f>IFERROR(E469*VLOOKUP(B469,PLInter!$A:$D,3,FALSE),"")</f>
        <v>1334</v>
      </c>
      <c r="K469" s="66"/>
      <c r="L469" s="66"/>
      <c r="M469" s="66"/>
      <c r="N469" s="66"/>
      <c r="O469" s="66"/>
      <c r="P469" s="66"/>
      <c r="Q469" s="66"/>
      <c r="R469" s="66"/>
      <c r="S469" s="66"/>
      <c r="T469" s="66"/>
    </row>
    <row r="470" spans="1:20" ht="18" customHeight="1">
      <c r="B470" t="str">
        <f>"26-E071-0000"</f>
        <v>26-E071-0000</v>
      </c>
      <c r="C470" t="str">
        <f>"Assembly, JM, E071 Regenerative SCR Drive Panel"</f>
        <v>Assembly, JM, E071 Regenerative SCR Drive Panel</v>
      </c>
      <c r="D470" s="4"/>
      <c r="E470" s="4">
        <v>2</v>
      </c>
      <c r="F470" s="4"/>
      <c r="G470" s="29" t="str">
        <f>IFERROR(HYPERLINK("#"&amp;ADDRESS(MATCH(B470&amp;"ES",'LM7 Non-ENG'!$A$1:$A$5000,0),1,,,"LM7 Non-ENG"),IF(IFERROR(VLOOKUP(B470&amp;"ES",'LM7 Non-ENG'!$A$1:$A$4999,1,FALSE),"ERROR")=B470&amp;"ES","Y","")),"")</f>
        <v/>
      </c>
      <c r="H470" s="29" t="str">
        <f>IFERROR(HYPERLINK("#"&amp;ADDRESS(MATCH(B470&amp;"PT",'LM7 Non-ENG'!$A$1:$A$5000,0),1,,,"LM7 Non-ENG"),IF(IFERROR(VLOOKUP(B470&amp;"PT",'LM7 Non-ENG'!$A$1:$A$5000,1,FALSE),"ERROR")=B470&amp;"PT","Y","")),"")</f>
        <v/>
      </c>
      <c r="I470" t="str">
        <f>IFERROR(VLOOKUP(B470,PN!$A:$C,3,FALSE),"")</f>
        <v>Active</v>
      </c>
      <c r="J470" s="3">
        <f>IFERROR(E470*VLOOKUP(B470,PLInter!$A:$D,3,FALSE),"")</f>
        <v>2268</v>
      </c>
      <c r="K470" s="66"/>
      <c r="L470" s="66"/>
      <c r="M470" s="66"/>
      <c r="N470" s="66"/>
      <c r="O470" s="66"/>
      <c r="P470" s="66"/>
      <c r="Q470" s="66"/>
      <c r="R470" s="66"/>
      <c r="S470" s="66"/>
      <c r="T470" s="66"/>
    </row>
    <row r="471" spans="1:20" ht="18" customHeight="1">
      <c r="B471" s="1" t="str">
        <f>"36-EA16-IG01"</f>
        <v>36-EA16-IG01</v>
      </c>
      <c r="C471" s="1" t="str">
        <f>"JM, PDF on CD DC Motor Drives - EA16"</f>
        <v>JM, PDF on CD DC Motor Drives - EA16</v>
      </c>
      <c r="D471" s="6" t="s">
        <v>0</v>
      </c>
      <c r="E471" s="6">
        <v>1</v>
      </c>
      <c r="F471" s="6"/>
      <c r="G471" s="29" t="str">
        <f>IFERROR(HYPERLINK("#"&amp;ADDRESS(MATCH(B471&amp;"ES",'LM7 Non-ENG'!$A$1:$A$5000,0),1,,,"LM7 Non-ENG"),IF(IFERROR(VLOOKUP(B471&amp;"ES",'LM7 Non-ENG'!$A$1:$A$4999,1,FALSE),"ERROR")=B471&amp;"ES","Y","")),"")</f>
        <v/>
      </c>
      <c r="H471" s="29" t="str">
        <f>IFERROR(HYPERLINK("#"&amp;ADDRESS(MATCH(B471&amp;"PT",'LM7 Non-ENG'!$A$1:$A$5000,0),1,,,"LM7 Non-ENG"),IF(IFERROR(VLOOKUP(B471&amp;"PT",'LM7 Non-ENG'!$A$1:$A$5000,1,FALSE),"ERROR")=B471&amp;"PT","Y","")),"")</f>
        <v/>
      </c>
      <c r="I471" t="str">
        <f>IFERROR(VLOOKUP(B471,PN!$A:$C,3,FALSE),"")</f>
        <v>Active</v>
      </c>
      <c r="J471" s="3">
        <f>IFERROR(E471*VLOOKUP(B471,PLInter!$A:$D,3,FALSE),"")</f>
        <v>0</v>
      </c>
      <c r="K471" s="66"/>
      <c r="L471" s="66"/>
      <c r="M471" s="66"/>
      <c r="N471" s="66"/>
      <c r="O471" s="66"/>
      <c r="P471" s="66"/>
      <c r="Q471" s="66"/>
      <c r="R471" s="66"/>
      <c r="S471" s="66"/>
      <c r="T471" s="66"/>
    </row>
    <row r="472" spans="1:20" ht="18" customHeight="1">
      <c r="B472" t="str">
        <f>"10-PPSU-0001"</f>
        <v>10-PPSU-0001</v>
      </c>
      <c r="C472" t="str">
        <f>"JM, Portable Panel Storage Unit"</f>
        <v>JM, Portable Panel Storage Unit</v>
      </c>
      <c r="D472" s="4"/>
      <c r="E472" s="4">
        <v>1</v>
      </c>
      <c r="F472" s="4"/>
      <c r="G472" s="29" t="str">
        <f>IFERROR(HYPERLINK("#"&amp;ADDRESS(MATCH(B472&amp;"ES",'LM7 Non-ENG'!$A$1:$A$5000,0),1,,,"LM7 Non-ENG"),IF(IFERROR(VLOOKUP(B472&amp;"ES",'LM7 Non-ENG'!$A$1:$A$4999,1,FALSE),"ERROR")=B472&amp;"ES","Y","")),"")</f>
        <v/>
      </c>
      <c r="H472" s="29" t="str">
        <f>IFERROR(HYPERLINK("#"&amp;ADDRESS(MATCH(B472&amp;"PT",'LM7 Non-ENG'!$A$1:$A$5000,0),1,,,"LM7 Non-ENG"),IF(IFERROR(VLOOKUP(B472&amp;"PT",'LM7 Non-ENG'!$A$1:$A$5000,1,FALSE),"ERROR")=B472&amp;"PT","Y","")),"")</f>
        <v/>
      </c>
      <c r="I472" t="str">
        <f>IFERROR(VLOOKUP(B472,PN!$A:$C,3,FALSE),"")</f>
        <v>Active</v>
      </c>
      <c r="J472" s="3">
        <f>IFERROR(E472*VLOOKUP(B472,PLInter!$A:$D,3,FALSE),"")</f>
        <v>2200</v>
      </c>
      <c r="K472" s="66"/>
      <c r="L472" s="66"/>
      <c r="M472" s="66"/>
      <c r="N472" s="66"/>
      <c r="O472" s="66"/>
      <c r="P472" s="66"/>
      <c r="Q472" s="66"/>
      <c r="R472" s="66"/>
      <c r="S472" s="66"/>
      <c r="T472" s="66"/>
    </row>
    <row r="473" spans="1:20" ht="18" customHeight="1">
      <c r="G473" s="29" t="str">
        <f>IFERROR(HYPERLINK("#"&amp;ADDRESS(MATCH(B473&amp;"ES",'LM7 Non-ENG'!$A$1:$A$5000,0),1,,,"LM7 Non-ENG"),IF(IFERROR(VLOOKUP(B473&amp;"ES",'LM7 Non-ENG'!$A$1:$A$4999,1,FALSE),"ERROR")=B473&amp;"ES","Y","")),"")</f>
        <v/>
      </c>
      <c r="H473" s="29" t="str">
        <f>IFERROR(HYPERLINK("#"&amp;ADDRESS(MATCH(B473&amp;"PT",'LM7 Non-ENG'!$A$1:$A$5000,0),1,,,"LM7 Non-ENG"),IF(IFERROR(VLOOKUP(B473&amp;"PT",'LM7 Non-ENG'!$A$1:$A$5000,1,FALSE),"ERROR")=B473&amp;"PT","Y","")),"")</f>
        <v/>
      </c>
    </row>
    <row r="474" spans="1:20" s="7" customFormat="1" ht="18" customHeight="1">
      <c r="A474" s="13" t="s">
        <v>81</v>
      </c>
      <c r="B474" s="13"/>
      <c r="C474" s="13" t="s">
        <v>82</v>
      </c>
      <c r="D474" s="14"/>
      <c r="E474" s="14"/>
      <c r="F474" s="14"/>
      <c r="G474" s="14"/>
      <c r="H474" s="14"/>
      <c r="I474" s="14"/>
      <c r="J474" s="14">
        <f>SUMIFS(J475:J519,D475:D519,"&lt;&gt;Y",F475:F519,"&lt;&gt;Y",I475:I519,"&lt;&gt;Inactive",I475:I519,"&lt;&gt;ECO+NFS")</f>
        <v>74182</v>
      </c>
      <c r="K474" s="14"/>
      <c r="L474" s="14"/>
      <c r="M474" s="14"/>
      <c r="N474" s="14"/>
      <c r="O474" s="14"/>
      <c r="P474" s="14"/>
      <c r="Q474" s="14"/>
      <c r="R474" s="14"/>
      <c r="S474" s="14"/>
      <c r="T474" s="14"/>
    </row>
    <row r="475" spans="1:20" ht="18" customHeight="1">
      <c r="A475" s="17" t="str">
        <f>HYPERLINK("#"&amp;ADDRESS(MATCH(A474,Jobmaster!$A$1:$A$4996,0),1,,,"Jobmaster"),"Back to Price List")</f>
        <v>Back to Price List</v>
      </c>
      <c r="B475" t="str">
        <f>"10-LS00-0200"</f>
        <v>10-LS00-0200</v>
      </c>
      <c r="C475" t="str">
        <f>"LS200:Jobmaster 2-Sided Mobile Learning Station"</f>
        <v>LS200:Jobmaster 2-Sided Mobile Learning Station</v>
      </c>
      <c r="D475" s="4"/>
      <c r="E475" s="4">
        <v>1</v>
      </c>
      <c r="F475" s="4"/>
      <c r="G475" s="29" t="str">
        <f>IFERROR(HYPERLINK("#"&amp;ADDRESS(MATCH(B475&amp;"ES",'LM7 Non-ENG'!$A$1:$A$5000,0),1,,,"LM7 Non-ENG"),IF(IFERROR(VLOOKUP(B475&amp;"ES",'LM7 Non-ENG'!$A$1:$A$4999,1,FALSE),"ERROR")=B475&amp;"ES","Y","")),"")</f>
        <v/>
      </c>
      <c r="H475" s="29" t="str">
        <f>IFERROR(HYPERLINK("#"&amp;ADDRESS(MATCH(B475&amp;"PT",'LM7 Non-ENG'!$A$1:$A$5000,0),1,,,"LM7 Non-ENG"),IF(IFERROR(VLOOKUP(B475&amp;"PT",'LM7 Non-ENG'!$A$1:$A$5000,1,FALSE),"ERROR")=B475&amp;"PT","Y","")),"")</f>
        <v/>
      </c>
      <c r="I475" t="str">
        <f>IFERROR(VLOOKUP(B475,PN!$A:$C,3,FALSE),"")</f>
        <v>Active</v>
      </c>
      <c r="J475" s="3">
        <f>IFERROR(E475*VLOOKUP(B475,PLInter!$A:$D,3,FALSE),"")</f>
        <v>5500</v>
      </c>
      <c r="K475" s="68" t="s">
        <v>84</v>
      </c>
      <c r="L475" s="66"/>
      <c r="M475" s="66"/>
      <c r="N475" s="66"/>
      <c r="O475" s="66"/>
      <c r="P475" s="66"/>
      <c r="Q475" s="66"/>
      <c r="R475" s="66"/>
      <c r="S475" s="66"/>
      <c r="T475" s="66"/>
    </row>
    <row r="476" spans="1:20" ht="18" customHeight="1">
      <c r="B476" t="str">
        <f>"10-PC04-0000"</f>
        <v>10-PC04-0000</v>
      </c>
      <c r="C476" t="str">
        <f>"JM, Panel PC04, 120VAC Power Control"</f>
        <v>JM, Panel PC04, 120VAC Power Control</v>
      </c>
      <c r="D476" s="4"/>
      <c r="E476" s="4">
        <v>2</v>
      </c>
      <c r="F476" s="4"/>
      <c r="G476" s="29" t="str">
        <f>IFERROR(HYPERLINK("#"&amp;ADDRESS(MATCH(B476&amp;"ES",'LM7 Non-ENG'!$A$1:$A$5000,0),1,,,"LM7 Non-ENG"),IF(IFERROR(VLOOKUP(B476&amp;"ES",'LM7 Non-ENG'!$A$1:$A$4999,1,FALSE),"ERROR")=B476&amp;"ES","Y","")),"")</f>
        <v/>
      </c>
      <c r="H476" s="29" t="str">
        <f>IFERROR(HYPERLINK("#"&amp;ADDRESS(MATCH(B476&amp;"PT",'LM7 Non-ENG'!$A$1:$A$5000,0),1,,,"LM7 Non-ENG"),IF(IFERROR(VLOOKUP(B476&amp;"PT",'LM7 Non-ENG'!$A$1:$A$5000,1,FALSE),"ERROR")=B476&amp;"PT","Y","")),"")</f>
        <v/>
      </c>
      <c r="I476" t="str">
        <f>IFERROR(VLOOKUP(B476,PN!$A:$C,3,FALSE),"")</f>
        <v>Active</v>
      </c>
      <c r="J476" s="3">
        <f>IFERROR(E476*VLOOKUP(B476,PLInter!$A:$D,3,FALSE),"")</f>
        <v>2400</v>
      </c>
      <c r="K476" s="66"/>
      <c r="L476" s="66"/>
      <c r="M476" s="66"/>
      <c r="N476" s="66"/>
      <c r="O476" s="66"/>
      <c r="P476" s="66"/>
      <c r="Q476" s="66"/>
      <c r="R476" s="66"/>
      <c r="S476" s="66"/>
      <c r="T476" s="66"/>
    </row>
    <row r="477" spans="1:20" ht="18" customHeight="1">
      <c r="B477" t="str">
        <f>"10-PC06-0000"</f>
        <v>10-PC06-0000</v>
      </c>
      <c r="C477" t="str">
        <f>"JM, Panel PC06, 220VAC Three Phase Power Control"</f>
        <v>JM, Panel PC06, 220VAC Three Phase Power Control</v>
      </c>
      <c r="D477" s="4"/>
      <c r="E477" s="4">
        <v>2</v>
      </c>
      <c r="F477" s="4"/>
      <c r="G477" s="29" t="str">
        <f>IFERROR(HYPERLINK("#"&amp;ADDRESS(MATCH(B477&amp;"ES",'LM7 Non-ENG'!$A$1:$A$5000,0),1,,,"LM7 Non-ENG"),IF(IFERROR(VLOOKUP(B477&amp;"ES",'LM7 Non-ENG'!$A$1:$A$4999,1,FALSE),"ERROR")=B477&amp;"ES","Y","")),"")</f>
        <v/>
      </c>
      <c r="H477" s="29" t="str">
        <f>IFERROR(HYPERLINK("#"&amp;ADDRESS(MATCH(B477&amp;"PT",'LM7 Non-ENG'!$A$1:$A$5000,0),1,,,"LM7 Non-ENG"),IF(IFERROR(VLOOKUP(B477&amp;"PT",'LM7 Non-ENG'!$A$1:$A$5000,1,FALSE),"ERROR")=B477&amp;"PT","Y","")),"")</f>
        <v/>
      </c>
      <c r="I477" t="str">
        <f>IFERROR(VLOOKUP(B477,PN!$A:$C,3,FALSE),"")</f>
        <v>Active</v>
      </c>
      <c r="J477" s="3">
        <f>IFERROR(E477*VLOOKUP(B477,PLInter!$A:$D,3,FALSE),"")</f>
        <v>2534</v>
      </c>
      <c r="K477" s="66"/>
      <c r="L477" s="66"/>
      <c r="M477" s="66"/>
      <c r="N477" s="66"/>
      <c r="O477" s="66"/>
      <c r="P477" s="66"/>
      <c r="Q477" s="66"/>
      <c r="R477" s="66"/>
      <c r="S477" s="66"/>
      <c r="T477" s="66"/>
    </row>
    <row r="478" spans="1:20" ht="18" customHeight="1">
      <c r="B478" t="str">
        <f>"77-EA02-0000"</f>
        <v>77-EA02-0000</v>
      </c>
      <c r="C478" t="str">
        <f>"LM7 Content, JM, Electric Circuit Protection"</f>
        <v>LM7 Content, JM, Electric Circuit Protection</v>
      </c>
      <c r="D478" s="4"/>
      <c r="E478" s="4">
        <v>1</v>
      </c>
      <c r="F478" s="4"/>
      <c r="G478" s="29" t="str">
        <f>IFERROR(HYPERLINK("#"&amp;ADDRESS(MATCH(B478&amp;"ES",'LM7 Non-ENG'!$A$1:$A$5000,0),1,,,"LM7 Non-ENG"),IF(IFERROR(VLOOKUP(B478&amp;"ES",'LM7 Non-ENG'!$A$1:$A$4999,1,FALSE),"ERROR")=B478&amp;"ES","Y","")),"")</f>
        <v>Y</v>
      </c>
      <c r="H478" s="29" t="str">
        <f>IFERROR(HYPERLINK("#"&amp;ADDRESS(MATCH(B478&amp;"PT",'LM7 Non-ENG'!$A$1:$A$5000,0),1,,,"LM7 Non-ENG"),IF(IFERROR(VLOOKUP(B478&amp;"PT",'LM7 Non-ENG'!$A$1:$A$5000,1,FALSE),"ERROR")=B478&amp;"PT","Y","")),"")</f>
        <v/>
      </c>
      <c r="I478" t="str">
        <f>IFERROR(VLOOKUP(B478,PN!$A:$C,3,FALSE),"")</f>
        <v>Active</v>
      </c>
      <c r="J478" s="3">
        <f>IFERROR(E478*VLOOKUP(B478,PLInter!$A:$D,3,FALSE),"")</f>
        <v>700</v>
      </c>
      <c r="K478" s="66"/>
      <c r="L478" s="66"/>
      <c r="M478" s="66"/>
      <c r="N478" s="66"/>
      <c r="O478" s="66"/>
      <c r="P478" s="66"/>
      <c r="Q478" s="66"/>
      <c r="R478" s="66"/>
      <c r="S478" s="66"/>
      <c r="T478" s="66"/>
    </row>
    <row r="479" spans="1:20" ht="18" customHeight="1">
      <c r="B479" t="str">
        <f>"26-E022-0000"</f>
        <v>26-E022-0000</v>
      </c>
      <c r="C479" t="str">
        <f>"Assembly, JM, E022, Manual Starter Panel"</f>
        <v>Assembly, JM, E022, Manual Starter Panel</v>
      </c>
      <c r="D479" s="4"/>
      <c r="E479" s="4">
        <v>2</v>
      </c>
      <c r="F479" s="4"/>
      <c r="G479" s="29" t="str">
        <f>IFERROR(HYPERLINK("#"&amp;ADDRESS(MATCH(B479&amp;"ES",'LM7 Non-ENG'!$A$1:$A$5000,0),1,,,"LM7 Non-ENG"),IF(IFERROR(VLOOKUP(B479&amp;"ES",'LM7 Non-ENG'!$A$1:$A$4999,1,FALSE),"ERROR")=B479&amp;"ES","Y","")),"")</f>
        <v/>
      </c>
      <c r="H479" s="29" t="str">
        <f>IFERROR(HYPERLINK("#"&amp;ADDRESS(MATCH(B479&amp;"PT",'LM7 Non-ENG'!$A$1:$A$5000,0),1,,,"LM7 Non-ENG"),IF(IFERROR(VLOOKUP(B479&amp;"PT",'LM7 Non-ENG'!$A$1:$A$5000,1,FALSE),"ERROR")=B479&amp;"PT","Y","")),"")</f>
        <v/>
      </c>
      <c r="I479" t="str">
        <f>IFERROR(VLOOKUP(B479,PN!$A:$C,3,FALSE),"")</f>
        <v>Active</v>
      </c>
      <c r="J479" s="3">
        <f>IFERROR(E479*VLOOKUP(B479,PLInter!$A:$D,3,FALSE),"")</f>
        <v>3200</v>
      </c>
      <c r="K479" s="66"/>
      <c r="L479" s="66"/>
      <c r="M479" s="66"/>
      <c r="N479" s="66"/>
      <c r="O479" s="66"/>
      <c r="P479" s="66"/>
      <c r="Q479" s="66"/>
      <c r="R479" s="66"/>
      <c r="S479" s="66"/>
      <c r="T479" s="66"/>
    </row>
    <row r="480" spans="1:20" ht="18" customHeight="1">
      <c r="B480" t="str">
        <f>"26-E030-0000"</f>
        <v>26-E030-0000</v>
      </c>
      <c r="C480" t="str">
        <f>"Assembly, JM, E030, Overload Protection Panel"</f>
        <v>Assembly, JM, E030, Overload Protection Panel</v>
      </c>
      <c r="D480" s="4"/>
      <c r="E480" s="4">
        <v>2</v>
      </c>
      <c r="F480" s="4"/>
      <c r="G480" s="29" t="str">
        <f>IFERROR(HYPERLINK("#"&amp;ADDRESS(MATCH(B480&amp;"ES",'LM7 Non-ENG'!$A$1:$A$5000,0),1,,,"LM7 Non-ENG"),IF(IFERROR(VLOOKUP(B480&amp;"ES",'LM7 Non-ENG'!$A$1:$A$4999,1,FALSE),"ERROR")=B480&amp;"ES","Y","")),"")</f>
        <v/>
      </c>
      <c r="H480" s="29" t="str">
        <f>IFERROR(HYPERLINK("#"&amp;ADDRESS(MATCH(B480&amp;"PT",'LM7 Non-ENG'!$A$1:$A$5000,0),1,,,"LM7 Non-ENG"),IF(IFERROR(VLOOKUP(B480&amp;"PT",'LM7 Non-ENG'!$A$1:$A$5000,1,FALSE),"ERROR")=B480&amp;"PT","Y","")),"")</f>
        <v/>
      </c>
      <c r="I480" t="str">
        <f>IFERROR(VLOOKUP(B480,PN!$A:$C,3,FALSE),"")</f>
        <v>Active</v>
      </c>
      <c r="J480" s="3">
        <f>IFERROR(E480*VLOOKUP(B480,PLInter!$A:$D,3,FALSE),"")</f>
        <v>1668</v>
      </c>
      <c r="K480" s="66"/>
      <c r="L480" s="66"/>
      <c r="M480" s="66"/>
      <c r="N480" s="66"/>
      <c r="O480" s="66"/>
      <c r="P480" s="66"/>
      <c r="Q480" s="66"/>
      <c r="R480" s="66"/>
      <c r="S480" s="66"/>
      <c r="T480" s="66"/>
    </row>
    <row r="481" spans="2:20" ht="18" customHeight="1">
      <c r="B481" t="str">
        <f>"77-EA03-0000"</f>
        <v>77-EA03-0000</v>
      </c>
      <c r="C481" t="str">
        <f>"LM7 Content, JM, 3 Phase Transformers"</f>
        <v>LM7 Content, JM, 3 Phase Transformers</v>
      </c>
      <c r="D481" s="4"/>
      <c r="E481" s="4">
        <v>1</v>
      </c>
      <c r="F481" s="4"/>
      <c r="G481" s="29" t="str">
        <f>IFERROR(HYPERLINK("#"&amp;ADDRESS(MATCH(B481&amp;"ES",'LM7 Non-ENG'!$A$1:$A$5000,0),1,,,"LM7 Non-ENG"),IF(IFERROR(VLOOKUP(B481&amp;"ES",'LM7 Non-ENG'!$A$1:$A$4999,1,FALSE),"ERROR")=B481&amp;"ES","Y","")),"")</f>
        <v>Y</v>
      </c>
      <c r="H481" s="29" t="str">
        <f>IFERROR(HYPERLINK("#"&amp;ADDRESS(MATCH(B481&amp;"PT",'LM7 Non-ENG'!$A$1:$A$5000,0),1,,,"LM7 Non-ENG"),IF(IFERROR(VLOOKUP(B481&amp;"PT",'LM7 Non-ENG'!$A$1:$A$5000,1,FALSE),"ERROR")=B481&amp;"PT","Y","")),"")</f>
        <v>Y</v>
      </c>
      <c r="I481" t="str">
        <f>IFERROR(VLOOKUP(B481,PN!$A:$C,3,FALSE),"")</f>
        <v>Active</v>
      </c>
      <c r="J481" s="3">
        <f>IFERROR(E481*VLOOKUP(B481,PLInter!$A:$D,3,FALSE),"")</f>
        <v>700</v>
      </c>
      <c r="K481" s="66"/>
      <c r="L481" s="66"/>
      <c r="M481" s="66"/>
      <c r="N481" s="66"/>
      <c r="O481" s="66"/>
      <c r="P481" s="66"/>
      <c r="Q481" s="66"/>
      <c r="R481" s="66"/>
      <c r="S481" s="66"/>
      <c r="T481" s="66"/>
    </row>
    <row r="482" spans="2:20" ht="18" customHeight="1">
      <c r="B482" t="str">
        <f>"26-E003-0000"</f>
        <v>26-E003-0000</v>
      </c>
      <c r="C482" t="str">
        <f>"Assembly, JM, E003, 3-Phase Transformer Panel"</f>
        <v>Assembly, JM, E003, 3-Phase Transformer Panel</v>
      </c>
      <c r="D482" s="4"/>
      <c r="E482" s="4">
        <v>2</v>
      </c>
      <c r="F482" s="4"/>
      <c r="G482" s="29" t="str">
        <f>IFERROR(HYPERLINK("#"&amp;ADDRESS(MATCH(B482&amp;"ES",'LM7 Non-ENG'!$A$1:$A$5000,0),1,,,"LM7 Non-ENG"),IF(IFERROR(VLOOKUP(B482&amp;"ES",'LM7 Non-ENG'!$A$1:$A$4999,1,FALSE),"ERROR")=B482&amp;"ES","Y","")),"")</f>
        <v/>
      </c>
      <c r="H482" s="29" t="str">
        <f>IFERROR(HYPERLINK("#"&amp;ADDRESS(MATCH(B482&amp;"PT",'LM7 Non-ENG'!$A$1:$A$5000,0),1,,,"LM7 Non-ENG"),IF(IFERROR(VLOOKUP(B482&amp;"PT",'LM7 Non-ENG'!$A$1:$A$5000,1,FALSE),"ERROR")=B482&amp;"PT","Y","")),"")</f>
        <v/>
      </c>
      <c r="I482" t="str">
        <f>IFERROR(VLOOKUP(B482,PN!$A:$C,3,FALSE),"")</f>
        <v>Active</v>
      </c>
      <c r="J482" s="3">
        <f>IFERROR(E482*VLOOKUP(B482,PLInter!$A:$D,3,FALSE),"")</f>
        <v>1800</v>
      </c>
      <c r="K482" s="66"/>
      <c r="L482" s="66"/>
      <c r="M482" s="66"/>
      <c r="N482" s="66"/>
      <c r="O482" s="66"/>
      <c r="P482" s="66"/>
      <c r="Q482" s="66"/>
      <c r="R482" s="66"/>
      <c r="S482" s="66"/>
      <c r="T482" s="66"/>
    </row>
    <row r="483" spans="2:20" ht="18" customHeight="1">
      <c r="B483" t="str">
        <f>"77-EA04-0000"</f>
        <v>77-EA04-0000</v>
      </c>
      <c r="C483" t="str">
        <f>"LM7 Content, JM, Electric Motors"</f>
        <v>LM7 Content, JM, Electric Motors</v>
      </c>
      <c r="D483" s="4"/>
      <c r="E483" s="4">
        <v>1</v>
      </c>
      <c r="F483" s="4"/>
      <c r="G483" s="29" t="str">
        <f>IFERROR(HYPERLINK("#"&amp;ADDRESS(MATCH(B483&amp;"ES",'LM7 Non-ENG'!$A$1:$A$5000,0),1,,,"LM7 Non-ENG"),IF(IFERROR(VLOOKUP(B483&amp;"ES",'LM7 Non-ENG'!$A$1:$A$4999,1,FALSE),"ERROR")=B483&amp;"ES","Y","")),"")</f>
        <v>Y</v>
      </c>
      <c r="H483" s="29" t="str">
        <f>IFERROR(HYPERLINK("#"&amp;ADDRESS(MATCH(B483&amp;"PT",'LM7 Non-ENG'!$A$1:$A$5000,0),1,,,"LM7 Non-ENG"),IF(IFERROR(VLOOKUP(B483&amp;"PT",'LM7 Non-ENG'!$A$1:$A$5000,1,FALSE),"ERROR")=B483&amp;"PT","Y","")),"")</f>
        <v/>
      </c>
      <c r="I483" t="str">
        <f>IFERROR(VLOOKUP(B483,PN!$A:$C,3,FALSE),"")</f>
        <v>Active</v>
      </c>
      <c r="J483" s="3">
        <f>IFERROR(E483*VLOOKUP(B483,PLInter!$A:$D,3,FALSE),"")</f>
        <v>700</v>
      </c>
      <c r="K483" s="66"/>
      <c r="L483" s="66"/>
      <c r="M483" s="66"/>
      <c r="N483" s="66"/>
      <c r="O483" s="66"/>
      <c r="P483" s="66"/>
      <c r="Q483" s="66"/>
      <c r="R483" s="66"/>
      <c r="S483" s="66"/>
      <c r="T483" s="66"/>
    </row>
    <row r="484" spans="2:20" ht="18" customHeight="1">
      <c r="B484" t="str">
        <f>"26-E007-0000"</f>
        <v>26-E007-0000</v>
      </c>
      <c r="C484" t="str">
        <f>"Assembly, JM, E007 - SCR Speed Control Panel"</f>
        <v>Assembly, JM, E007 - SCR Speed Control Panel</v>
      </c>
      <c r="D484" s="4"/>
      <c r="E484" s="4">
        <v>4</v>
      </c>
      <c r="F484" s="4"/>
      <c r="G484" s="29" t="str">
        <f>IFERROR(HYPERLINK("#"&amp;ADDRESS(MATCH(B484&amp;"ES",'LM7 Non-ENG'!$A$1:$A$5000,0),1,,,"LM7 Non-ENG"),IF(IFERROR(VLOOKUP(B484&amp;"ES",'LM7 Non-ENG'!$A$1:$A$4999,1,FALSE),"ERROR")=B484&amp;"ES","Y","")),"")</f>
        <v/>
      </c>
      <c r="H484" s="29" t="str">
        <f>IFERROR(HYPERLINK("#"&amp;ADDRESS(MATCH(B484&amp;"PT",'LM7 Non-ENG'!$A$1:$A$5000,0),1,,,"LM7 Non-ENG"),IF(IFERROR(VLOOKUP(B484&amp;"PT",'LM7 Non-ENG'!$A$1:$A$5000,1,FALSE),"ERROR")=B484&amp;"PT","Y","")),"")</f>
        <v/>
      </c>
      <c r="I484" t="str">
        <f>IFERROR(VLOOKUP(B484,PN!$A:$C,3,FALSE),"")</f>
        <v>Active</v>
      </c>
      <c r="J484" s="3">
        <f>IFERROR(E484*VLOOKUP(B484,PLInter!$A:$D,3,FALSE),"")</f>
        <v>2600</v>
      </c>
      <c r="K484" s="66"/>
      <c r="L484" s="66"/>
      <c r="M484" s="66"/>
      <c r="N484" s="66"/>
      <c r="O484" s="66"/>
      <c r="P484" s="66"/>
      <c r="Q484" s="66"/>
      <c r="R484" s="66"/>
      <c r="S484" s="66"/>
      <c r="T484" s="66"/>
    </row>
    <row r="485" spans="2:20" ht="18" customHeight="1">
      <c r="B485" t="str">
        <f>"26-E010-0000"</f>
        <v>26-E010-0000</v>
      </c>
      <c r="C485" t="str">
        <f>"Assembly, JM, E010 - Three Phase Motor Panel"</f>
        <v>Assembly, JM, E010 - Three Phase Motor Panel</v>
      </c>
      <c r="D485" s="4"/>
      <c r="E485" s="4">
        <v>4</v>
      </c>
      <c r="F485" s="4"/>
      <c r="G485" s="29" t="str">
        <f>IFERROR(HYPERLINK("#"&amp;ADDRESS(MATCH(B485&amp;"ES",'LM7 Non-ENG'!$A$1:$A$5000,0),1,,,"LM7 Non-ENG"),IF(IFERROR(VLOOKUP(B485&amp;"ES",'LM7 Non-ENG'!$A$1:$A$4999,1,FALSE),"ERROR")=B485&amp;"ES","Y","")),"")</f>
        <v/>
      </c>
      <c r="H485" s="29" t="str">
        <f>IFERROR(HYPERLINK("#"&amp;ADDRESS(MATCH(B485&amp;"PT",'LM7 Non-ENG'!$A$1:$A$5000,0),1,,,"LM7 Non-ENG"),IF(IFERROR(VLOOKUP(B485&amp;"PT",'LM7 Non-ENG'!$A$1:$A$5000,1,FALSE),"ERROR")=B485&amp;"PT","Y","")),"")</f>
        <v/>
      </c>
      <c r="I485" t="str">
        <f>IFERROR(VLOOKUP(B485,PN!$A:$C,3,FALSE),"")</f>
        <v>Active</v>
      </c>
      <c r="J485" s="3">
        <f>IFERROR(E485*VLOOKUP(B485,PLInter!$A:$D,3,FALSE),"")</f>
        <v>4000</v>
      </c>
      <c r="K485" s="66"/>
      <c r="L485" s="66"/>
      <c r="M485" s="66"/>
      <c r="N485" s="66"/>
      <c r="O485" s="66"/>
      <c r="P485" s="66"/>
      <c r="Q485" s="66"/>
      <c r="R485" s="66"/>
      <c r="S485" s="66"/>
      <c r="T485" s="66"/>
    </row>
    <row r="486" spans="2:20" ht="18" customHeight="1">
      <c r="B486" t="str">
        <f>"26-E012-0000"</f>
        <v>26-E012-0000</v>
      </c>
      <c r="C486" t="str">
        <f>"Assembly, JM, E012, Transformer Panel"</f>
        <v>Assembly, JM, E012, Transformer Panel</v>
      </c>
      <c r="D486" s="4"/>
      <c r="E486" s="4">
        <v>4</v>
      </c>
      <c r="F486" s="4"/>
      <c r="G486" s="29" t="str">
        <f>IFERROR(HYPERLINK("#"&amp;ADDRESS(MATCH(B486&amp;"ES",'LM7 Non-ENG'!$A$1:$A$5000,0),1,,,"LM7 Non-ENG"),IF(IFERROR(VLOOKUP(B486&amp;"ES",'LM7 Non-ENG'!$A$1:$A$4999,1,FALSE),"ERROR")=B486&amp;"ES","Y","")),"")</f>
        <v/>
      </c>
      <c r="H486" s="29" t="str">
        <f>IFERROR(HYPERLINK("#"&amp;ADDRESS(MATCH(B486&amp;"PT",'LM7 Non-ENG'!$A$1:$A$5000,0),1,,,"LM7 Non-ENG"),IF(IFERROR(VLOOKUP(B486&amp;"PT",'LM7 Non-ENG'!$A$1:$A$5000,1,FALSE),"ERROR")=B486&amp;"PT","Y","")),"")</f>
        <v/>
      </c>
      <c r="I486" t="str">
        <f>IFERROR(VLOOKUP(B486,PN!$A:$C,3,FALSE),"")</f>
        <v>Active</v>
      </c>
      <c r="J486" s="3">
        <f>IFERROR(E486*VLOOKUP(B486,PLInter!$A:$D,3,FALSE),"")</f>
        <v>2000</v>
      </c>
      <c r="K486" s="66"/>
      <c r="L486" s="66"/>
      <c r="M486" s="66"/>
      <c r="N486" s="66"/>
      <c r="O486" s="66"/>
      <c r="P486" s="66"/>
      <c r="Q486" s="66"/>
      <c r="R486" s="66"/>
      <c r="S486" s="66"/>
      <c r="T486" s="66"/>
    </row>
    <row r="487" spans="2:20" ht="18" customHeight="1">
      <c r="B487" t="str">
        <f>"26-E019-0000"</f>
        <v>26-E019-0000</v>
      </c>
      <c r="C487" t="str">
        <f>"Assembly, JM, E019, Capacitor Start Motor Panel"</f>
        <v>Assembly, JM, E019, Capacitor Start Motor Panel</v>
      </c>
      <c r="D487" s="4"/>
      <c r="E487" s="4">
        <v>2</v>
      </c>
      <c r="F487" s="4"/>
      <c r="G487" s="29" t="str">
        <f>IFERROR(HYPERLINK("#"&amp;ADDRESS(MATCH(B487&amp;"ES",'LM7 Non-ENG'!$A$1:$A$5000,0),1,,,"LM7 Non-ENG"),IF(IFERROR(VLOOKUP(B487&amp;"ES",'LM7 Non-ENG'!$A$1:$A$4999,1,FALSE),"ERROR")=B487&amp;"ES","Y","")),"")</f>
        <v/>
      </c>
      <c r="H487" s="29" t="str">
        <f>IFERROR(HYPERLINK("#"&amp;ADDRESS(MATCH(B487&amp;"PT",'LM7 Non-ENG'!$A$1:$A$5000,0),1,,,"LM7 Non-ENG"),IF(IFERROR(VLOOKUP(B487&amp;"PT",'LM7 Non-ENG'!$A$1:$A$5000,1,FALSE),"ERROR")=B487&amp;"PT","Y","")),"")</f>
        <v/>
      </c>
      <c r="I487" t="str">
        <f>IFERROR(VLOOKUP(B487,PN!$A:$C,3,FALSE),"")</f>
        <v>Active</v>
      </c>
      <c r="J487" s="3">
        <f>IFERROR(E487*VLOOKUP(B487,PLInter!$A:$D,3,FALSE),"")</f>
        <v>1668</v>
      </c>
      <c r="K487" s="66"/>
      <c r="L487" s="66"/>
      <c r="M487" s="66"/>
      <c r="N487" s="66"/>
      <c r="O487" s="66"/>
      <c r="P487" s="66"/>
      <c r="Q487" s="66"/>
      <c r="R487" s="66"/>
      <c r="S487" s="66"/>
      <c r="T487" s="66"/>
    </row>
    <row r="488" spans="2:20" ht="18" customHeight="1">
      <c r="B488" t="str">
        <f>"26-E027-0000"</f>
        <v>26-E027-0000</v>
      </c>
      <c r="C488" t="str">
        <f>"Assembly, JM, E027, Shaded Pole Motor Panel"</f>
        <v>Assembly, JM, E027, Shaded Pole Motor Panel</v>
      </c>
      <c r="D488" s="4"/>
      <c r="E488" s="4">
        <v>2</v>
      </c>
      <c r="F488" s="4"/>
      <c r="G488" s="29" t="str">
        <f>IFERROR(HYPERLINK("#"&amp;ADDRESS(MATCH(B488&amp;"ES",'LM7 Non-ENG'!$A$1:$A$5000,0),1,,,"LM7 Non-ENG"),IF(IFERROR(VLOOKUP(B488&amp;"ES",'LM7 Non-ENG'!$A$1:$A$4999,1,FALSE),"ERROR")=B488&amp;"ES","Y","")),"")</f>
        <v/>
      </c>
      <c r="H488" s="29" t="str">
        <f>IFERROR(HYPERLINK("#"&amp;ADDRESS(MATCH(B488&amp;"PT",'LM7 Non-ENG'!$A$1:$A$5000,0),1,,,"LM7 Non-ENG"),IF(IFERROR(VLOOKUP(B488&amp;"PT",'LM7 Non-ENG'!$A$1:$A$5000,1,FALSE),"ERROR")=B488&amp;"PT","Y","")),"")</f>
        <v/>
      </c>
      <c r="I488" t="str">
        <f>IFERROR(VLOOKUP(B488,PN!$A:$C,3,FALSE),"")</f>
        <v>Active</v>
      </c>
      <c r="J488" s="3">
        <f>IFERROR(E488*VLOOKUP(B488,PLInter!$A:$D,3,FALSE),"")</f>
        <v>1230</v>
      </c>
      <c r="K488" s="66"/>
      <c r="L488" s="66"/>
      <c r="M488" s="66"/>
      <c r="N488" s="66"/>
      <c r="O488" s="66"/>
      <c r="P488" s="66"/>
      <c r="Q488" s="66"/>
      <c r="R488" s="66"/>
      <c r="S488" s="66"/>
      <c r="T488" s="66"/>
    </row>
    <row r="489" spans="2:20" ht="18" customHeight="1">
      <c r="B489" t="str">
        <f>"26-E034-0000"</f>
        <v>26-E034-0000</v>
      </c>
      <c r="C489" t="str">
        <f>"Assembly, JM, E034, DC Motor Panel"</f>
        <v>Assembly, JM, E034, DC Motor Panel</v>
      </c>
      <c r="D489" s="4"/>
      <c r="E489" s="4">
        <v>4</v>
      </c>
      <c r="F489" s="4"/>
      <c r="G489" s="29" t="str">
        <f>IFERROR(HYPERLINK("#"&amp;ADDRESS(MATCH(B489&amp;"ES",'LM7 Non-ENG'!$A$1:$A$5000,0),1,,,"LM7 Non-ENG"),IF(IFERROR(VLOOKUP(B489&amp;"ES",'LM7 Non-ENG'!$A$1:$A$4999,1,FALSE),"ERROR")=B489&amp;"ES","Y","")),"")</f>
        <v/>
      </c>
      <c r="H489" s="29" t="str">
        <f>IFERROR(HYPERLINK("#"&amp;ADDRESS(MATCH(B489&amp;"PT",'LM7 Non-ENG'!$A$1:$A$5000,0),1,,,"LM7 Non-ENG"),IF(IFERROR(VLOOKUP(B489&amp;"PT",'LM7 Non-ENG'!$A$1:$A$5000,1,FALSE),"ERROR")=B489&amp;"PT","Y","")),"")</f>
        <v/>
      </c>
      <c r="I489" t="str">
        <f>IFERROR(VLOOKUP(B489,PN!$A:$C,3,FALSE),"")</f>
        <v>Active</v>
      </c>
      <c r="J489" s="3">
        <f>IFERROR(E489*VLOOKUP(B489,PLInter!$A:$D,3,FALSE),"")</f>
        <v>3600</v>
      </c>
      <c r="K489" s="66"/>
      <c r="L489" s="66"/>
      <c r="M489" s="66"/>
      <c r="N489" s="66"/>
      <c r="O489" s="66"/>
      <c r="P489" s="66"/>
      <c r="Q489" s="66"/>
      <c r="R489" s="66"/>
      <c r="S489" s="66"/>
      <c r="T489" s="66"/>
    </row>
    <row r="490" spans="2:20" ht="18" customHeight="1">
      <c r="B490" t="str">
        <f>"26-E065-0000"</f>
        <v>26-E065-0000</v>
      </c>
      <c r="C490" t="str">
        <f>"Assembly, JM, E065, Split Phase Motor Panel"</f>
        <v>Assembly, JM, E065, Split Phase Motor Panel</v>
      </c>
      <c r="D490" s="4"/>
      <c r="E490" s="4">
        <v>2</v>
      </c>
      <c r="F490" s="4"/>
      <c r="G490" s="29" t="str">
        <f>IFERROR(HYPERLINK("#"&amp;ADDRESS(MATCH(B490&amp;"ES",'LM7 Non-ENG'!$A$1:$A$5000,0),1,,,"LM7 Non-ENG"),IF(IFERROR(VLOOKUP(B490&amp;"ES",'LM7 Non-ENG'!$A$1:$A$4999,1,FALSE),"ERROR")=B490&amp;"ES","Y","")),"")</f>
        <v/>
      </c>
      <c r="H490" s="29" t="str">
        <f>IFERROR(HYPERLINK("#"&amp;ADDRESS(MATCH(B490&amp;"PT",'LM7 Non-ENG'!$A$1:$A$5000,0),1,,,"LM7 Non-ENG"),IF(IFERROR(VLOOKUP(B490&amp;"PT",'LM7 Non-ENG'!$A$1:$A$5000,1,FALSE),"ERROR")=B490&amp;"PT","Y","")),"")</f>
        <v/>
      </c>
      <c r="I490" t="str">
        <f>IFERROR(VLOOKUP(B490,PN!$A:$C,3,FALSE),"")</f>
        <v>Active</v>
      </c>
      <c r="J490" s="3">
        <f>IFERROR(E490*VLOOKUP(B490,PLInter!$A:$D,3,FALSE),"")</f>
        <v>1334</v>
      </c>
      <c r="K490" s="66"/>
      <c r="L490" s="66"/>
      <c r="M490" s="66"/>
      <c r="N490" s="66"/>
      <c r="O490" s="66"/>
      <c r="P490" s="66"/>
      <c r="Q490" s="66"/>
      <c r="R490" s="66"/>
      <c r="S490" s="66"/>
      <c r="T490" s="66"/>
    </row>
    <row r="491" spans="2:20" ht="18" customHeight="1">
      <c r="B491" t="str">
        <f>"26-E066-0000"</f>
        <v>26-E066-0000</v>
      </c>
      <c r="C491" t="str">
        <f>"Assembly, JM, E066, Adjustable Torque Motor Load"</f>
        <v>Assembly, JM, E066, Adjustable Torque Motor Load</v>
      </c>
      <c r="D491" s="4"/>
      <c r="E491" s="4">
        <v>2</v>
      </c>
      <c r="F491" s="4"/>
      <c r="G491" s="29" t="str">
        <f>IFERROR(HYPERLINK("#"&amp;ADDRESS(MATCH(B491&amp;"ES",'LM7 Non-ENG'!$A$1:$A$5000,0),1,,,"LM7 Non-ENG"),IF(IFERROR(VLOOKUP(B491&amp;"ES",'LM7 Non-ENG'!$A$1:$A$4999,1,FALSE),"ERROR")=B491&amp;"ES","Y","")),"")</f>
        <v/>
      </c>
      <c r="H491" s="29" t="str">
        <f>IFERROR(HYPERLINK("#"&amp;ADDRESS(MATCH(B491&amp;"PT",'LM7 Non-ENG'!$A$1:$A$5000,0),1,,,"LM7 Non-ENG"),IF(IFERROR(VLOOKUP(B491&amp;"PT",'LM7 Non-ENG'!$A$1:$A$5000,1,FALSE),"ERROR")=B491&amp;"PT","Y","")),"")</f>
        <v/>
      </c>
      <c r="I491" t="str">
        <f>IFERROR(VLOOKUP(B491,PN!$A:$C,3,FALSE),"")</f>
        <v>Active</v>
      </c>
      <c r="J491" s="3">
        <f>IFERROR(E491*VLOOKUP(B491,PLInter!$A:$D,3,FALSE),"")</f>
        <v>6134</v>
      </c>
      <c r="K491" s="66"/>
      <c r="L491" s="66"/>
      <c r="M491" s="66"/>
      <c r="N491" s="66"/>
      <c r="O491" s="66"/>
      <c r="P491" s="66"/>
      <c r="Q491" s="66"/>
      <c r="R491" s="66"/>
      <c r="S491" s="66"/>
      <c r="T491" s="66"/>
    </row>
    <row r="492" spans="2:20" ht="18" customHeight="1">
      <c r="B492" t="str">
        <f>"26-E154-0000"</f>
        <v>26-E154-0000</v>
      </c>
      <c r="C492" t="str">
        <f>"Assembly, JM, E154, Switches and Lamps Panel"</f>
        <v>Assembly, JM, E154, Switches and Lamps Panel</v>
      </c>
      <c r="D492" s="4"/>
      <c r="E492" s="4">
        <v>4</v>
      </c>
      <c r="F492" s="4"/>
      <c r="G492" s="29" t="str">
        <f>IFERROR(HYPERLINK("#"&amp;ADDRESS(MATCH(B492&amp;"ES",'LM7 Non-ENG'!$A$1:$A$5000,0),1,,,"LM7 Non-ENG"),IF(IFERROR(VLOOKUP(B492&amp;"ES",'LM7 Non-ENG'!$A$1:$A$4999,1,FALSE),"ERROR")=B492&amp;"ES","Y","")),"")</f>
        <v/>
      </c>
      <c r="H492" s="29" t="str">
        <f>IFERROR(HYPERLINK("#"&amp;ADDRESS(MATCH(B492&amp;"PT",'LM7 Non-ENG'!$A$1:$A$5000,0),1,,,"LM7 Non-ENG"),IF(IFERROR(VLOOKUP(B492&amp;"PT",'LM7 Non-ENG'!$A$1:$A$5000,1,FALSE),"ERROR")=B492&amp;"PT","Y","")),"")</f>
        <v/>
      </c>
      <c r="I492" t="str">
        <f>IFERROR(VLOOKUP(B492,PN!$A:$C,3,FALSE),"")</f>
        <v>Active</v>
      </c>
      <c r="J492" s="3">
        <f>IFERROR(E492*VLOOKUP(B492,PLInter!$A:$D,3,FALSE),"")</f>
        <v>2000</v>
      </c>
      <c r="K492" s="66"/>
      <c r="L492" s="66"/>
      <c r="M492" s="66"/>
      <c r="N492" s="66"/>
      <c r="O492" s="66"/>
      <c r="P492" s="66"/>
      <c r="Q492" s="66"/>
      <c r="R492" s="66"/>
      <c r="S492" s="66"/>
      <c r="T492" s="66"/>
    </row>
    <row r="493" spans="2:20" ht="18" customHeight="1">
      <c r="B493" t="str">
        <f>"26-E156-0000"</f>
        <v>26-E156-0000</v>
      </c>
      <c r="C493" t="str">
        <f>"Assembly, JM, E156, Dissectible Electric Motor"</f>
        <v>Assembly, JM, E156, Dissectible Electric Motor</v>
      </c>
      <c r="D493" s="4"/>
      <c r="E493" s="4">
        <v>2</v>
      </c>
      <c r="F493" s="4"/>
      <c r="G493" s="29" t="str">
        <f>IFERROR(HYPERLINK("#"&amp;ADDRESS(MATCH(B493&amp;"ES",'LM7 Non-ENG'!$A$1:$A$5000,0),1,,,"LM7 Non-ENG"),IF(IFERROR(VLOOKUP(B493&amp;"ES",'LM7 Non-ENG'!$A$1:$A$4999,1,FALSE),"ERROR")=B493&amp;"ES","Y","")),"")</f>
        <v/>
      </c>
      <c r="H493" s="29" t="str">
        <f>IFERROR(HYPERLINK("#"&amp;ADDRESS(MATCH(B493&amp;"PT",'LM7 Non-ENG'!$A$1:$A$5000,0),1,,,"LM7 Non-ENG"),IF(IFERROR(VLOOKUP(B493&amp;"PT",'LM7 Non-ENG'!$A$1:$A$5000,1,FALSE),"ERROR")=B493&amp;"PT","Y","")),"")</f>
        <v/>
      </c>
      <c r="I493" t="str">
        <f>IFERROR(VLOOKUP(B493,PN!$A:$C,3,FALSE),"")</f>
        <v>Active</v>
      </c>
      <c r="J493" s="3">
        <f>IFERROR(E493*VLOOKUP(B493,PLInter!$A:$D,3,FALSE),"")</f>
        <v>1400</v>
      </c>
      <c r="K493" s="66"/>
      <c r="L493" s="66"/>
      <c r="M493" s="66"/>
      <c r="N493" s="66"/>
      <c r="O493" s="66"/>
      <c r="P493" s="66"/>
      <c r="Q493" s="66"/>
      <c r="R493" s="66"/>
      <c r="S493" s="66"/>
      <c r="T493" s="66"/>
    </row>
    <row r="494" spans="2:20" ht="18" customHeight="1">
      <c r="B494" t="str">
        <f>"77-EA07-0000"</f>
        <v>77-EA07-0000</v>
      </c>
      <c r="C494" t="str">
        <f>"LM7 Content, JM, Electromagnetic Starters"</f>
        <v>LM7 Content, JM, Electromagnetic Starters</v>
      </c>
      <c r="D494" s="4"/>
      <c r="E494" s="4">
        <v>1</v>
      </c>
      <c r="F494" s="4"/>
      <c r="G494" s="29" t="str">
        <f>IFERROR(HYPERLINK("#"&amp;ADDRESS(MATCH(B494&amp;"ES",'LM7 Non-ENG'!$A$1:$A$5000,0),1,,,"LM7 Non-ENG"),IF(IFERROR(VLOOKUP(B494&amp;"ES",'LM7 Non-ENG'!$A$1:$A$4999,1,FALSE),"ERROR")=B494&amp;"ES","Y","")),"")</f>
        <v>Y</v>
      </c>
      <c r="H494" s="29" t="str">
        <f>IFERROR(HYPERLINK("#"&amp;ADDRESS(MATCH(B494&amp;"PT",'LM7 Non-ENG'!$A$1:$A$5000,0),1,,,"LM7 Non-ENG"),IF(IFERROR(VLOOKUP(B494&amp;"PT",'LM7 Non-ENG'!$A$1:$A$5000,1,FALSE),"ERROR")=B494&amp;"PT","Y","")),"")</f>
        <v/>
      </c>
      <c r="I494" t="str">
        <f>IFERROR(VLOOKUP(B494,PN!$A:$C,3,FALSE),"")</f>
        <v>Active</v>
      </c>
      <c r="J494" s="3">
        <f>IFERROR(E494*VLOOKUP(B494,PLInter!$A:$D,3,FALSE),"")</f>
        <v>700</v>
      </c>
      <c r="K494" s="66"/>
      <c r="L494" s="66"/>
      <c r="M494" s="66"/>
      <c r="N494" s="66"/>
      <c r="O494" s="66"/>
      <c r="P494" s="66"/>
      <c r="Q494" s="66"/>
      <c r="R494" s="66"/>
      <c r="S494" s="66"/>
      <c r="T494" s="66"/>
    </row>
    <row r="495" spans="2:20" ht="18" customHeight="1">
      <c r="B495" t="str">
        <f>"26-E002-0000"</f>
        <v>26-E002-0000</v>
      </c>
      <c r="C495" t="str">
        <f>"Assembly, JM, E002, Start-Stop Control Panel"</f>
        <v>Assembly, JM, E002, Start-Stop Control Panel</v>
      </c>
      <c r="D495" s="4"/>
      <c r="E495" s="4">
        <v>2</v>
      </c>
      <c r="F495" s="4"/>
      <c r="G495" s="29" t="str">
        <f>IFERROR(HYPERLINK("#"&amp;ADDRESS(MATCH(B495&amp;"ES",'LM7 Non-ENG'!$A$1:$A$5000,0),1,,,"LM7 Non-ENG"),IF(IFERROR(VLOOKUP(B495&amp;"ES",'LM7 Non-ENG'!$A$1:$A$4999,1,FALSE),"ERROR")=B495&amp;"ES","Y","")),"")</f>
        <v/>
      </c>
      <c r="H495" s="29" t="str">
        <f>IFERROR(HYPERLINK("#"&amp;ADDRESS(MATCH(B495&amp;"PT",'LM7 Non-ENG'!$A$1:$A$5000,0),1,,,"LM7 Non-ENG"),IF(IFERROR(VLOOKUP(B495&amp;"PT",'LM7 Non-ENG'!$A$1:$A$5000,1,FALSE),"ERROR")=B495&amp;"PT","Y","")),"")</f>
        <v/>
      </c>
      <c r="I495" t="str">
        <f>IFERROR(VLOOKUP(B495,PN!$A:$C,3,FALSE),"")</f>
        <v>Active</v>
      </c>
      <c r="J495" s="3">
        <f>IFERROR(E495*VLOOKUP(B495,PLInter!$A:$D,3,FALSE),"")</f>
        <v>700</v>
      </c>
      <c r="K495" s="66"/>
      <c r="L495" s="66"/>
      <c r="M495" s="66"/>
      <c r="N495" s="66"/>
      <c r="O495" s="66"/>
      <c r="P495" s="66"/>
      <c r="Q495" s="66"/>
      <c r="R495" s="66"/>
      <c r="S495" s="66"/>
      <c r="T495" s="66"/>
    </row>
    <row r="496" spans="2:20" ht="18" customHeight="1">
      <c r="B496" t="str">
        <f>"26-E004-0000"</f>
        <v>26-E004-0000</v>
      </c>
      <c r="C496" t="str">
        <f>"Assembly, JM , E004, Single Magnetic Start.Panel"</f>
        <v>Assembly, JM , E004, Single Magnetic Start.Panel</v>
      </c>
      <c r="D496" s="4"/>
      <c r="E496" s="4">
        <v>2</v>
      </c>
      <c r="F496" s="4"/>
      <c r="G496" s="29" t="str">
        <f>IFERROR(HYPERLINK("#"&amp;ADDRESS(MATCH(B496&amp;"ES",'LM7 Non-ENG'!$A$1:$A$5000,0),1,,,"LM7 Non-ENG"),IF(IFERROR(VLOOKUP(B496&amp;"ES",'LM7 Non-ENG'!$A$1:$A$4999,1,FALSE),"ERROR")=B496&amp;"ES","Y","")),"")</f>
        <v/>
      </c>
      <c r="H496" s="29" t="str">
        <f>IFERROR(HYPERLINK("#"&amp;ADDRESS(MATCH(B496&amp;"PT",'LM7 Non-ENG'!$A$1:$A$5000,0),1,,,"LM7 Non-ENG"),IF(IFERROR(VLOOKUP(B496&amp;"PT",'LM7 Non-ENG'!$A$1:$A$5000,1,FALSE),"ERROR")=B496&amp;"PT","Y","")),"")</f>
        <v/>
      </c>
      <c r="I496" t="str">
        <f>IFERROR(VLOOKUP(B496,PN!$A:$C,3,FALSE),"")</f>
        <v>Active</v>
      </c>
      <c r="J496" s="3">
        <f>IFERROR(E496*VLOOKUP(B496,PLInter!$A:$D,3,FALSE),"")</f>
        <v>900</v>
      </c>
      <c r="K496" s="66"/>
      <c r="L496" s="66"/>
      <c r="M496" s="66"/>
      <c r="N496" s="66"/>
      <c r="O496" s="66"/>
      <c r="P496" s="66"/>
      <c r="Q496" s="66"/>
      <c r="R496" s="66"/>
      <c r="S496" s="66"/>
      <c r="T496" s="66"/>
    </row>
    <row r="497" spans="2:20" ht="18" customHeight="1">
      <c r="B497" t="str">
        <f>"26-E005-0000"</f>
        <v>26-E005-0000</v>
      </c>
      <c r="C497" t="str">
        <f>"Assembly, JM, E005 - F-R-S Switch Panel"</f>
        <v>Assembly, JM, E005 - F-R-S Switch Panel</v>
      </c>
      <c r="D497" s="4"/>
      <c r="E497" s="4">
        <v>2</v>
      </c>
      <c r="F497" s="4"/>
      <c r="G497" s="29" t="str">
        <f>IFERROR(HYPERLINK("#"&amp;ADDRESS(MATCH(B497&amp;"ES",'LM7 Non-ENG'!$A$1:$A$5000,0),1,,,"LM7 Non-ENG"),IF(IFERROR(VLOOKUP(B497&amp;"ES",'LM7 Non-ENG'!$A$1:$A$4999,1,FALSE),"ERROR")=B497&amp;"ES","Y","")),"")</f>
        <v/>
      </c>
      <c r="H497" s="29" t="str">
        <f>IFERROR(HYPERLINK("#"&amp;ADDRESS(MATCH(B497&amp;"PT",'LM7 Non-ENG'!$A$1:$A$5000,0),1,,,"LM7 Non-ENG"),IF(IFERROR(VLOOKUP(B497&amp;"PT",'LM7 Non-ENG'!$A$1:$A$5000,1,FALSE),"ERROR")=B497&amp;"PT","Y","")),"")</f>
        <v/>
      </c>
      <c r="I497" t="str">
        <f>IFERROR(VLOOKUP(B497,PN!$A:$C,3,FALSE),"")</f>
        <v>Active</v>
      </c>
      <c r="J497" s="3">
        <f>IFERROR(E497*VLOOKUP(B497,PLInter!$A:$D,3,FALSE),"")</f>
        <v>1100</v>
      </c>
      <c r="K497" s="66"/>
      <c r="L497" s="66"/>
      <c r="M497" s="66"/>
      <c r="N497" s="66"/>
      <c r="O497" s="66"/>
      <c r="P497" s="66"/>
      <c r="Q497" s="66"/>
      <c r="R497" s="66"/>
      <c r="S497" s="66"/>
      <c r="T497" s="66"/>
    </row>
    <row r="498" spans="2:20" ht="18" customHeight="1">
      <c r="B498" t="str">
        <f>"26-E006-0000"</f>
        <v>26-E006-0000</v>
      </c>
      <c r="C498" t="str">
        <f>"Assembly, JM, E006, Reversing Magnetic Starter"</f>
        <v>Assembly, JM, E006, Reversing Magnetic Starter</v>
      </c>
      <c r="D498" s="4"/>
      <c r="E498" s="4">
        <v>2</v>
      </c>
      <c r="F498" s="4"/>
      <c r="G498" s="29" t="str">
        <f>IFERROR(HYPERLINK("#"&amp;ADDRESS(MATCH(B498&amp;"ES",'LM7 Non-ENG'!$A$1:$A$5000,0),1,,,"LM7 Non-ENG"),IF(IFERROR(VLOOKUP(B498&amp;"ES",'LM7 Non-ENG'!$A$1:$A$4999,1,FALSE),"ERROR")=B498&amp;"ES","Y","")),"")</f>
        <v/>
      </c>
      <c r="H498" s="29" t="str">
        <f>IFERROR(HYPERLINK("#"&amp;ADDRESS(MATCH(B498&amp;"PT",'LM7 Non-ENG'!$A$1:$A$5000,0),1,,,"LM7 Non-ENG"),IF(IFERROR(VLOOKUP(B498&amp;"PT",'LM7 Non-ENG'!$A$1:$A$5000,1,FALSE),"ERROR")=B498&amp;"PT","Y","")),"")</f>
        <v/>
      </c>
      <c r="I498" t="str">
        <f>IFERROR(VLOOKUP(B498,PN!$A:$C,3,FALSE),"")</f>
        <v>Active</v>
      </c>
      <c r="J498" s="3">
        <f>IFERROR(E498*VLOOKUP(B498,PLInter!$A:$D,3,FALSE),"")</f>
        <v>1440</v>
      </c>
      <c r="K498" s="66"/>
      <c r="L498" s="66"/>
      <c r="M498" s="66"/>
      <c r="N498" s="66"/>
      <c r="O498" s="66"/>
      <c r="P498" s="66"/>
      <c r="Q498" s="66"/>
      <c r="R498" s="66"/>
      <c r="S498" s="66"/>
      <c r="T498" s="66"/>
    </row>
    <row r="499" spans="2:20" ht="18" customHeight="1">
      <c r="B499" t="str">
        <f>"26-E016-0000"</f>
        <v>26-E016-0000</v>
      </c>
      <c r="C499" t="str">
        <f>"Assembly, JM, E016, Analog Relay Panel"</f>
        <v>Assembly, JM, E016, Analog Relay Panel</v>
      </c>
      <c r="D499" s="4"/>
      <c r="E499" s="4">
        <v>2</v>
      </c>
      <c r="F499" s="4"/>
      <c r="G499" s="29" t="str">
        <f>IFERROR(HYPERLINK("#"&amp;ADDRESS(MATCH(B499&amp;"ES",'LM7 Non-ENG'!$A$1:$A$5000,0),1,,,"LM7 Non-ENG"),IF(IFERROR(VLOOKUP(B499&amp;"ES",'LM7 Non-ENG'!$A$1:$A$4999,1,FALSE),"ERROR")=B499&amp;"ES","Y","")),"")</f>
        <v/>
      </c>
      <c r="H499" s="29" t="str">
        <f>IFERROR(HYPERLINK("#"&amp;ADDRESS(MATCH(B499&amp;"PT",'LM7 Non-ENG'!$A$1:$A$5000,0),1,,,"LM7 Non-ENG"),IF(IFERROR(VLOOKUP(B499&amp;"PT",'LM7 Non-ENG'!$A$1:$A$5000,1,FALSE),"ERROR")=B499&amp;"PT","Y","")),"")</f>
        <v/>
      </c>
      <c r="I499" t="str">
        <f>IFERROR(VLOOKUP(B499,PN!$A:$C,3,FALSE),"")</f>
        <v>Active</v>
      </c>
      <c r="J499" s="3">
        <f>IFERROR(E499*VLOOKUP(B499,PLInter!$A:$D,3,FALSE),"")</f>
        <v>1668</v>
      </c>
      <c r="K499" s="66"/>
      <c r="L499" s="66"/>
      <c r="M499" s="66"/>
      <c r="N499" s="66"/>
      <c r="O499" s="66"/>
      <c r="P499" s="66"/>
      <c r="Q499" s="66"/>
      <c r="R499" s="66"/>
      <c r="S499" s="66"/>
      <c r="T499" s="66"/>
    </row>
    <row r="500" spans="2:20" ht="18" customHeight="1">
      <c r="B500" t="str">
        <f>"26-E155-0000"</f>
        <v>26-E155-0000</v>
      </c>
      <c r="C500" t="str">
        <f>"Assembly, JM, E155, H-O-A Switch Panel"</f>
        <v>Assembly, JM, E155, H-O-A Switch Panel</v>
      </c>
      <c r="D500" s="4"/>
      <c r="E500" s="4">
        <v>2</v>
      </c>
      <c r="F500" s="4"/>
      <c r="G500" s="29" t="str">
        <f>IFERROR(HYPERLINK("#"&amp;ADDRESS(MATCH(B500&amp;"ES",'LM7 Non-ENG'!$A$1:$A$5000,0),1,,,"LM7 Non-ENG"),IF(IFERROR(VLOOKUP(B500&amp;"ES",'LM7 Non-ENG'!$A$1:$A$4999,1,FALSE),"ERROR")=B500&amp;"ES","Y","")),"")</f>
        <v/>
      </c>
      <c r="H500" s="29" t="str">
        <f>IFERROR(HYPERLINK("#"&amp;ADDRESS(MATCH(B500&amp;"PT",'LM7 Non-ENG'!$A$1:$A$5000,0),1,,,"LM7 Non-ENG"),IF(IFERROR(VLOOKUP(B500&amp;"PT",'LM7 Non-ENG'!$A$1:$A$5000,1,FALSE),"ERROR")=B500&amp;"PT","Y","")),"")</f>
        <v/>
      </c>
      <c r="I500" t="str">
        <f>IFERROR(VLOOKUP(B500,PN!$A:$C,3,FALSE),"")</f>
        <v>Active</v>
      </c>
      <c r="J500" s="3">
        <f>IFERROR(E500*VLOOKUP(B500,PLInter!$A:$D,3,FALSE),"")</f>
        <v>734</v>
      </c>
      <c r="K500" s="66"/>
      <c r="L500" s="66"/>
      <c r="M500" s="66"/>
      <c r="N500" s="66"/>
      <c r="O500" s="66"/>
      <c r="P500" s="66"/>
      <c r="Q500" s="66"/>
      <c r="R500" s="66"/>
      <c r="S500" s="66"/>
      <c r="T500" s="66"/>
    </row>
    <row r="501" spans="2:20" ht="18" customHeight="1">
      <c r="B501" t="str">
        <f>"77-EA08-0000"</f>
        <v>77-EA08-0000</v>
      </c>
      <c r="C501" t="str">
        <f>"LM7 Content, JM, Relays and Timers"</f>
        <v>LM7 Content, JM, Relays and Timers</v>
      </c>
      <c r="D501" s="4"/>
      <c r="E501" s="4">
        <v>1</v>
      </c>
      <c r="F501" s="4"/>
      <c r="G501" s="29" t="str">
        <f>IFERROR(HYPERLINK("#"&amp;ADDRESS(MATCH(B501&amp;"ES",'LM7 Non-ENG'!$A$1:$A$5000,0),1,,,"LM7 Non-ENG"),IF(IFERROR(VLOOKUP(B501&amp;"ES",'LM7 Non-ENG'!$A$1:$A$4999,1,FALSE),"ERROR")=B501&amp;"ES","Y","")),"")</f>
        <v>Y</v>
      </c>
      <c r="H501" s="29" t="str">
        <f>IFERROR(HYPERLINK("#"&amp;ADDRESS(MATCH(B501&amp;"PT",'LM7 Non-ENG'!$A$1:$A$5000,0),1,,,"LM7 Non-ENG"),IF(IFERROR(VLOOKUP(B501&amp;"PT",'LM7 Non-ENG'!$A$1:$A$5000,1,FALSE),"ERROR")=B501&amp;"PT","Y","")),"")</f>
        <v/>
      </c>
      <c r="I501" t="str">
        <f>IFERROR(VLOOKUP(B501,PN!$A:$C,3,FALSE),"")</f>
        <v>Active</v>
      </c>
      <c r="J501" s="3">
        <f>IFERROR(E501*VLOOKUP(B501,PLInter!$A:$D,3,FALSE),"")</f>
        <v>700</v>
      </c>
      <c r="K501" s="66"/>
      <c r="L501" s="66"/>
      <c r="M501" s="66"/>
      <c r="N501" s="66"/>
      <c r="O501" s="66"/>
      <c r="P501" s="66"/>
      <c r="Q501" s="66"/>
      <c r="R501" s="66"/>
      <c r="S501" s="66"/>
      <c r="T501" s="66"/>
    </row>
    <row r="502" spans="2:20" ht="18" customHeight="1">
      <c r="B502" t="str">
        <f>"26-E017-0000"</f>
        <v>26-E017-0000</v>
      </c>
      <c r="C502" t="str">
        <f>"Assembly, JM, E017, Digital Relay"</f>
        <v>Assembly, JM, E017, Digital Relay</v>
      </c>
      <c r="D502" s="4"/>
      <c r="E502" s="4">
        <v>2</v>
      </c>
      <c r="F502" s="4"/>
      <c r="G502" s="29" t="str">
        <f>IFERROR(HYPERLINK("#"&amp;ADDRESS(MATCH(B502&amp;"ES",'LM7 Non-ENG'!$A$1:$A$5000,0),1,,,"LM7 Non-ENG"),IF(IFERROR(VLOOKUP(B502&amp;"ES",'LM7 Non-ENG'!$A$1:$A$4999,1,FALSE),"ERROR")=B502&amp;"ES","Y","")),"")</f>
        <v/>
      </c>
      <c r="H502" s="29" t="str">
        <f>IFERROR(HYPERLINK("#"&amp;ADDRESS(MATCH(B502&amp;"PT",'LM7 Non-ENG'!$A$1:$A$5000,0),1,,,"LM7 Non-ENG"),IF(IFERROR(VLOOKUP(B502&amp;"PT",'LM7 Non-ENG'!$A$1:$A$5000,1,FALSE),"ERROR")=B502&amp;"PT","Y","")),"")</f>
        <v/>
      </c>
      <c r="I502" t="str">
        <f>IFERROR(VLOOKUP(B502,PN!$A:$C,3,FALSE),"")</f>
        <v>Active</v>
      </c>
      <c r="J502" s="3">
        <f>IFERROR(E502*VLOOKUP(B502,PLInter!$A:$D,3,FALSE),"")</f>
        <v>2000</v>
      </c>
      <c r="K502" s="66"/>
      <c r="L502" s="66"/>
      <c r="M502" s="66"/>
      <c r="N502" s="66"/>
      <c r="O502" s="66"/>
      <c r="P502" s="66"/>
      <c r="Q502" s="66"/>
      <c r="R502" s="66"/>
      <c r="S502" s="66"/>
      <c r="T502" s="66"/>
    </row>
    <row r="503" spans="2:20" ht="18" customHeight="1">
      <c r="B503" t="str">
        <f>"26-E041-0000"</f>
        <v>26-E041-0000</v>
      </c>
      <c r="C503" t="str">
        <f>"Assembly, JM, E041, Electronic Timer"</f>
        <v>Assembly, JM, E041, Electronic Timer</v>
      </c>
      <c r="D503" s="4"/>
      <c r="E503" s="4">
        <v>2</v>
      </c>
      <c r="F503" s="4"/>
      <c r="G503" s="29" t="str">
        <f>IFERROR(HYPERLINK("#"&amp;ADDRESS(MATCH(B503&amp;"ES",'LM7 Non-ENG'!$A$1:$A$5000,0),1,,,"LM7 Non-ENG"),IF(IFERROR(VLOOKUP(B503&amp;"ES",'LM7 Non-ENG'!$A$1:$A$4999,1,FALSE),"ERROR")=B503&amp;"ES","Y","")),"")</f>
        <v/>
      </c>
      <c r="H503" s="29" t="str">
        <f>IFERROR(HYPERLINK("#"&amp;ADDRESS(MATCH(B503&amp;"PT",'LM7 Non-ENG'!$A$1:$A$5000,0),1,,,"LM7 Non-ENG"),IF(IFERROR(VLOOKUP(B503&amp;"PT",'LM7 Non-ENG'!$A$1:$A$5000,1,FALSE),"ERROR")=B503&amp;"PT","Y","")),"")</f>
        <v/>
      </c>
      <c r="I503" t="str">
        <f>IFERROR(VLOOKUP(B503,PN!$A:$C,3,FALSE),"")</f>
        <v>Active</v>
      </c>
      <c r="J503" s="3">
        <f>IFERROR(E503*VLOOKUP(B503,PLInter!$A:$D,3,FALSE),"")</f>
        <v>1334</v>
      </c>
      <c r="K503" s="66"/>
      <c r="L503" s="66"/>
      <c r="M503" s="66"/>
      <c r="N503" s="66"/>
      <c r="O503" s="66"/>
      <c r="P503" s="66"/>
      <c r="Q503" s="66"/>
      <c r="R503" s="66"/>
      <c r="S503" s="66"/>
      <c r="T503" s="66"/>
    </row>
    <row r="504" spans="2:20" ht="18" customHeight="1">
      <c r="B504" s="18" t="str">
        <f>"77-EA11-0000"</f>
        <v>77-EA11-0000</v>
      </c>
      <c r="C504" s="18" t="str">
        <f>"LM7 Content, JM, Solid State Voltage Starter"</f>
        <v>LM7 Content, JM, Solid State Voltage Starter</v>
      </c>
      <c r="D504" s="16" t="s">
        <v>0</v>
      </c>
      <c r="E504" s="16">
        <v>1</v>
      </c>
      <c r="F504" s="16"/>
      <c r="G504" s="16" t="str">
        <f>IFERROR(HYPERLINK("#"&amp;ADDRESS(MATCH(B504&amp;"ES",'LM7 Non-ENG'!$A$1:$A$5000,0),1,,,"LM7 Non-ENG"),IF(IFERROR(VLOOKUP(B504&amp;"ES",'LM7 Non-ENG'!$A$1:$A$4999,1,FALSE),"ERROR")=B504&amp;"ES","Y","")),"")</f>
        <v>Y</v>
      </c>
      <c r="H504" s="16" t="str">
        <f>IFERROR(HYPERLINK("#"&amp;ADDRESS(MATCH(B504&amp;"PT",'LM7 Non-ENG'!$A$1:$A$5000,0),1,,,"LM7 Non-ENG"),IF(IFERROR(VLOOKUP(B504&amp;"PT",'LM7 Non-ENG'!$A$1:$A$5000,1,FALSE),"ERROR")=B504&amp;"PT","Y","")),"")</f>
        <v/>
      </c>
      <c r="I504" t="str">
        <f>IFERROR(VLOOKUP(B504,PN!$A:$C,3,FALSE),"")</f>
        <v>Active</v>
      </c>
      <c r="J504" s="46">
        <f>IFERROR(E504*VLOOKUP(B504,PLInter!$A:$D,3,FALSE),"")</f>
        <v>700</v>
      </c>
      <c r="K504" s="66"/>
      <c r="L504" s="66"/>
      <c r="M504" s="66"/>
      <c r="N504" s="66"/>
      <c r="O504" s="66"/>
      <c r="P504" s="66"/>
      <c r="Q504" s="66"/>
      <c r="R504" s="66"/>
      <c r="S504" s="66"/>
      <c r="T504" s="66"/>
    </row>
    <row r="505" spans="2:20" ht="18" customHeight="1">
      <c r="B505" s="18" t="str">
        <f>"26-E024-0000"</f>
        <v>26-E024-0000</v>
      </c>
      <c r="C505" s="18" t="str">
        <f>"Assembly, JM, E024, Solid State Starter Panel"</f>
        <v>Assembly, JM, E024, Solid State Starter Panel</v>
      </c>
      <c r="D505" s="16" t="s">
        <v>0</v>
      </c>
      <c r="E505" s="16">
        <v>2</v>
      </c>
      <c r="F505" s="16"/>
      <c r="G505" s="16" t="str">
        <f>IFERROR(HYPERLINK("#"&amp;ADDRESS(MATCH(B505&amp;"ES",'LM7 Non-ENG'!$A$1:$A$5000,0),1,,,"LM7 Non-ENG"),IF(IFERROR(VLOOKUP(B505&amp;"ES",'LM7 Non-ENG'!$A$1:$A$4999,1,FALSE),"ERROR")=B505&amp;"ES","Y","")),"")</f>
        <v/>
      </c>
      <c r="H505" s="16" t="str">
        <f>IFERROR(HYPERLINK("#"&amp;ADDRESS(MATCH(B505&amp;"PT",'LM7 Non-ENG'!$A$1:$A$5000,0),1,,,"LM7 Non-ENG"),IF(IFERROR(VLOOKUP(B505&amp;"PT",'LM7 Non-ENG'!$A$1:$A$5000,1,FALSE),"ERROR")=B505&amp;"PT","Y","")),"")</f>
        <v/>
      </c>
      <c r="I505" t="str">
        <f>IFERROR(VLOOKUP(B505,PN!$A:$C,3,FALSE),"")</f>
        <v>ECO-N2Buy</v>
      </c>
      <c r="J505" s="46">
        <f>IFERROR(E505*VLOOKUP(B505,PLInter!$A:$D,3,FALSE),"")</f>
        <v>3600</v>
      </c>
      <c r="K505" s="66"/>
      <c r="L505" s="66"/>
      <c r="M505" s="66"/>
      <c r="N505" s="66"/>
      <c r="O505" s="66"/>
      <c r="P505" s="66"/>
      <c r="Q505" s="66"/>
      <c r="R505" s="66"/>
      <c r="S505" s="66"/>
      <c r="T505" s="66"/>
    </row>
    <row r="506" spans="2:20" ht="18" customHeight="1">
      <c r="B506" s="18" t="str">
        <f>"77-EA09-0000"</f>
        <v>77-EA09-0000</v>
      </c>
      <c r="C506" s="18" t="str">
        <f>"LM7 Content, JM, Pilot Devices"</f>
        <v>LM7 Content, JM, Pilot Devices</v>
      </c>
      <c r="D506" s="16" t="s">
        <v>0</v>
      </c>
      <c r="E506" s="16">
        <v>1</v>
      </c>
      <c r="F506" s="16"/>
      <c r="G506" s="16" t="str">
        <f>IFERROR(HYPERLINK("#"&amp;ADDRESS(MATCH(B506&amp;"ES",'LM7 Non-ENG'!$A$1:$A$5000,0),1,,,"LM7 Non-ENG"),IF(IFERROR(VLOOKUP(B506&amp;"ES",'LM7 Non-ENG'!$A$1:$A$4999,1,FALSE),"ERROR")=B506&amp;"ES","Y","")),"")</f>
        <v>Y</v>
      </c>
      <c r="H506" s="16" t="str">
        <f>IFERROR(HYPERLINK("#"&amp;ADDRESS(MATCH(B506&amp;"PT",'LM7 Non-ENG'!$A$1:$A$5000,0),1,,,"LM7 Non-ENG"),IF(IFERROR(VLOOKUP(B506&amp;"PT",'LM7 Non-ENG'!$A$1:$A$5000,1,FALSE),"ERROR")=B506&amp;"PT","Y","")),"")</f>
        <v/>
      </c>
      <c r="I506" t="str">
        <f>IFERROR(VLOOKUP(B506,PN!$A:$C,3,FALSE),"")</f>
        <v>Active</v>
      </c>
      <c r="J506" s="46">
        <f>IFERROR(E506*VLOOKUP(B506,PLInter!$A:$D,3,FALSE),"")</f>
        <v>700</v>
      </c>
      <c r="K506" s="66"/>
      <c r="L506" s="66"/>
      <c r="M506" s="66"/>
      <c r="N506" s="66"/>
      <c r="O506" s="66"/>
      <c r="P506" s="66"/>
      <c r="Q506" s="66"/>
      <c r="R506" s="66"/>
      <c r="S506" s="66"/>
      <c r="T506" s="66"/>
    </row>
    <row r="507" spans="2:20" ht="18" customHeight="1">
      <c r="B507" s="18" t="str">
        <f>"26-E011-0000"</f>
        <v>26-E011-0000</v>
      </c>
      <c r="C507" s="18" t="str">
        <f>"Assembly, JM, E011, Limit Switch Panel"</f>
        <v>Assembly, JM, E011, Limit Switch Panel</v>
      </c>
      <c r="D507" s="16" t="s">
        <v>0</v>
      </c>
      <c r="E507" s="16">
        <v>2</v>
      </c>
      <c r="F507" s="16"/>
      <c r="G507" s="16" t="str">
        <f>IFERROR(HYPERLINK("#"&amp;ADDRESS(MATCH(B507&amp;"ES",'LM7 Non-ENG'!$A$1:$A$5000,0),1,,,"LM7 Non-ENG"),IF(IFERROR(VLOOKUP(B507&amp;"ES",'LM7 Non-ENG'!$A$1:$A$4999,1,FALSE),"ERROR")=B507&amp;"ES","Y","")),"")</f>
        <v/>
      </c>
      <c r="H507" s="16" t="str">
        <f>IFERROR(HYPERLINK("#"&amp;ADDRESS(MATCH(B507&amp;"PT",'LM7 Non-ENG'!$A$1:$A$5000,0),1,,,"LM7 Non-ENG"),IF(IFERROR(VLOOKUP(B507&amp;"PT",'LM7 Non-ENG'!$A$1:$A$5000,1,FALSE),"ERROR")=B507&amp;"PT","Y","")),"")</f>
        <v/>
      </c>
      <c r="I507" t="str">
        <f>IFERROR(VLOOKUP(B507,PN!$A:$C,3,FALSE),"")</f>
        <v>Active</v>
      </c>
      <c r="J507" s="46">
        <f>IFERROR(E507*VLOOKUP(B507,PLInter!$A:$D,3,FALSE),"")</f>
        <v>868</v>
      </c>
      <c r="K507" s="66"/>
      <c r="L507" s="66"/>
      <c r="M507" s="66"/>
      <c r="N507" s="66"/>
      <c r="O507" s="66"/>
      <c r="P507" s="66"/>
      <c r="Q507" s="66"/>
      <c r="R507" s="66"/>
      <c r="S507" s="66"/>
      <c r="T507" s="66"/>
    </row>
    <row r="508" spans="2:20" ht="18" customHeight="1">
      <c r="B508" s="18" t="str">
        <f>"26-E018-0000"</f>
        <v>26-E018-0000</v>
      </c>
      <c r="C508" s="18" t="str">
        <f>"Assembly, JM, E018, Liquid Level and Pressure"</f>
        <v>Assembly, JM, E018, Liquid Level and Pressure</v>
      </c>
      <c r="D508" s="16" t="s">
        <v>0</v>
      </c>
      <c r="E508" s="16">
        <v>2</v>
      </c>
      <c r="F508" s="16"/>
      <c r="G508" s="16" t="str">
        <f>IFERROR(HYPERLINK("#"&amp;ADDRESS(MATCH(B508&amp;"ES",'LM7 Non-ENG'!$A$1:$A$5000,0),1,,,"LM7 Non-ENG"),IF(IFERROR(VLOOKUP(B508&amp;"ES",'LM7 Non-ENG'!$A$1:$A$4999,1,FALSE),"ERROR")=B508&amp;"ES","Y","")),"")</f>
        <v/>
      </c>
      <c r="H508" s="16" t="str">
        <f>IFERROR(HYPERLINK("#"&amp;ADDRESS(MATCH(B508&amp;"PT",'LM7 Non-ENG'!$A$1:$A$5000,0),1,,,"LM7 Non-ENG"),IF(IFERROR(VLOOKUP(B508&amp;"PT",'LM7 Non-ENG'!$A$1:$A$5000,1,FALSE),"ERROR")=B508&amp;"PT","Y","")),"")</f>
        <v/>
      </c>
      <c r="I508" t="str">
        <f>IFERROR(VLOOKUP(B508,PN!$A:$C,3,FALSE),"")</f>
        <v>Active</v>
      </c>
      <c r="J508" s="46">
        <f>IFERROR(E508*VLOOKUP(B508,PLInter!$A:$D,3,FALSE),"")</f>
        <v>1734</v>
      </c>
      <c r="K508" s="66"/>
      <c r="L508" s="66"/>
      <c r="M508" s="66"/>
      <c r="N508" s="66"/>
      <c r="O508" s="66"/>
      <c r="P508" s="66"/>
      <c r="Q508" s="66"/>
      <c r="R508" s="66"/>
      <c r="S508" s="66"/>
      <c r="T508" s="66"/>
    </row>
    <row r="509" spans="2:20" ht="18" customHeight="1">
      <c r="B509" s="18" t="str">
        <f>"26-E126-0000"</f>
        <v>26-E126-0000</v>
      </c>
      <c r="C509" s="18" t="str">
        <f>"Assembly, JM, E126, Photo, Mag, &amp; Prox Panel"</f>
        <v>Assembly, JM, E126, Photo, Mag, &amp; Prox Panel</v>
      </c>
      <c r="D509" s="16" t="s">
        <v>0</v>
      </c>
      <c r="E509" s="16">
        <v>2</v>
      </c>
      <c r="F509" s="16"/>
      <c r="G509" s="16" t="str">
        <f>IFERROR(HYPERLINK("#"&amp;ADDRESS(MATCH(B509&amp;"ES",'LM7 Non-ENG'!$A$1:$A$5000,0),1,,,"LM7 Non-ENG"),IF(IFERROR(VLOOKUP(B509&amp;"ES",'LM7 Non-ENG'!$A$1:$A$4999,1,FALSE),"ERROR")=B509&amp;"ES","Y","")),"")</f>
        <v/>
      </c>
      <c r="H509" s="16" t="str">
        <f>IFERROR(HYPERLINK("#"&amp;ADDRESS(MATCH(B509&amp;"PT",'LM7 Non-ENG'!$A$1:$A$5000,0),1,,,"LM7 Non-ENG"),IF(IFERROR(VLOOKUP(B509&amp;"PT",'LM7 Non-ENG'!$A$1:$A$5000,1,FALSE),"ERROR")=B509&amp;"PT","Y","")),"")</f>
        <v/>
      </c>
      <c r="I509" t="str">
        <f>IFERROR(VLOOKUP(B509,PN!$A:$C,3,FALSE),"")</f>
        <v>Active</v>
      </c>
      <c r="J509" s="46">
        <f>IFERROR(E509*VLOOKUP(B509,PLInter!$A:$D,3,FALSE),"")</f>
        <v>4268</v>
      </c>
      <c r="K509" s="66"/>
      <c r="L509" s="66"/>
      <c r="M509" s="66"/>
      <c r="N509" s="66"/>
      <c r="O509" s="66"/>
      <c r="P509" s="66"/>
      <c r="Q509" s="66"/>
      <c r="R509" s="66"/>
      <c r="S509" s="66"/>
      <c r="T509" s="66"/>
    </row>
    <row r="510" spans="2:20" ht="18" customHeight="1">
      <c r="B510" s="18" t="str">
        <f>"26-E153-0000"</f>
        <v>26-E153-0000</v>
      </c>
      <c r="C510" s="18" t="str">
        <f>"Assembly, JM, E153, AC/DC Circuits"</f>
        <v>Assembly, JM, E153, AC/DC Circuits</v>
      </c>
      <c r="D510" s="16" t="s">
        <v>0</v>
      </c>
      <c r="E510" s="16">
        <v>2</v>
      </c>
      <c r="F510" s="16"/>
      <c r="G510" s="16" t="str">
        <f>IFERROR(HYPERLINK("#"&amp;ADDRESS(MATCH(B510&amp;"ES",'LM7 Non-ENG'!$A$1:$A$5000,0),1,,,"LM7 Non-ENG"),IF(IFERROR(VLOOKUP(B510&amp;"ES",'LM7 Non-ENG'!$A$1:$A$4999,1,FALSE),"ERROR")=B510&amp;"ES","Y","")),"")</f>
        <v/>
      </c>
      <c r="H510" s="16" t="str">
        <f>IFERROR(HYPERLINK("#"&amp;ADDRESS(MATCH(B510&amp;"PT",'LM7 Non-ENG'!$A$1:$A$5000,0),1,,,"LM7 Non-ENG"),IF(IFERROR(VLOOKUP(B510&amp;"PT",'LM7 Non-ENG'!$A$1:$A$5000,1,FALSE),"ERROR")=B510&amp;"PT","Y","")),"")</f>
        <v/>
      </c>
      <c r="I510" t="str">
        <f>IFERROR(VLOOKUP(B510,PN!$A:$C,3,FALSE),"")</f>
        <v>Active</v>
      </c>
      <c r="J510" s="46">
        <f>IFERROR(E510*VLOOKUP(B510,PLInter!$A:$D,3,FALSE),"")</f>
        <v>1068</v>
      </c>
      <c r="K510" s="66"/>
      <c r="L510" s="66"/>
      <c r="M510" s="66"/>
      <c r="N510" s="66"/>
      <c r="O510" s="66"/>
      <c r="P510" s="66"/>
      <c r="Q510" s="66"/>
      <c r="R510" s="66"/>
      <c r="S510" s="66"/>
      <c r="T510" s="66"/>
    </row>
    <row r="511" spans="2:20" ht="18" customHeight="1">
      <c r="B511" t="str">
        <f>"77-EA12-0000"</f>
        <v>77-EA12-0000</v>
      </c>
      <c r="C511" t="str">
        <f>"LM7 Content, JM, Electric Motor Drives"</f>
        <v>LM7 Content, JM, Electric Motor Drives</v>
      </c>
      <c r="D511" s="4"/>
      <c r="E511" s="4">
        <v>1</v>
      </c>
      <c r="F511" s="4"/>
      <c r="G511" s="29" t="str">
        <f>IFERROR(HYPERLINK("#"&amp;ADDRESS(MATCH(B511&amp;"ES",'LM7 Non-ENG'!$A$1:$A$5000,0),1,,,"LM7 Non-ENG"),IF(IFERROR(VLOOKUP(B511&amp;"ES",'LM7 Non-ENG'!$A$1:$A$4999,1,FALSE),"ERROR")=B511&amp;"ES","Y","")),"")</f>
        <v>Y</v>
      </c>
      <c r="H511" s="29" t="str">
        <f>IFERROR(HYPERLINK("#"&amp;ADDRESS(MATCH(B511&amp;"PT",'LM7 Non-ENG'!$A$1:$A$5000,0),1,,,"LM7 Non-ENG"),IF(IFERROR(VLOOKUP(B511&amp;"PT",'LM7 Non-ENG'!$A$1:$A$5000,1,FALSE),"ERROR")=B511&amp;"PT","Y","")),"")</f>
        <v/>
      </c>
      <c r="I511" t="str">
        <f>IFERROR(VLOOKUP(B511,PN!$A:$C,3,FALSE),"")</f>
        <v>Active</v>
      </c>
      <c r="J511" s="3">
        <f>IFERROR(E511*VLOOKUP(B511,PLInter!$A:$D,3,FALSE),"")</f>
        <v>700</v>
      </c>
      <c r="K511" s="66"/>
      <c r="L511" s="66"/>
      <c r="M511" s="66"/>
      <c r="N511" s="66"/>
      <c r="O511" s="66"/>
      <c r="P511" s="66"/>
      <c r="Q511" s="66"/>
      <c r="R511" s="66"/>
      <c r="S511" s="66"/>
      <c r="T511" s="66"/>
    </row>
    <row r="512" spans="2:20" ht="18" customHeight="1">
      <c r="B512" t="str">
        <f>"26-E067-0000"</f>
        <v>26-E067-0000</v>
      </c>
      <c r="C512" t="str">
        <f>"Assembly, JM, E067,Varible Frequency Drive Panel"</f>
        <v>Assembly, JM, E067,Varible Frequency Drive Panel</v>
      </c>
      <c r="D512" s="4"/>
      <c r="E512" s="4">
        <v>2</v>
      </c>
      <c r="F512" s="4"/>
      <c r="G512" s="29" t="str">
        <f>IFERROR(HYPERLINK("#"&amp;ADDRESS(MATCH(B512&amp;"ES",'LM7 Non-ENG'!$A$1:$A$5000,0),1,,,"LM7 Non-ENG"),IF(IFERROR(VLOOKUP(B512&amp;"ES",'LM7 Non-ENG'!$A$1:$A$4999,1,FALSE),"ERROR")=B512&amp;"ES","Y","")),"")</f>
        <v/>
      </c>
      <c r="H512" s="29" t="str">
        <f>IFERROR(HYPERLINK("#"&amp;ADDRESS(MATCH(B512&amp;"PT",'LM7 Non-ENG'!$A$1:$A$5000,0),1,,,"LM7 Non-ENG"),IF(IFERROR(VLOOKUP(B512&amp;"PT",'LM7 Non-ENG'!$A$1:$A$5000,1,FALSE),"ERROR")=B512&amp;"PT","Y","")),"")</f>
        <v/>
      </c>
      <c r="I512" t="str">
        <f>IFERROR(VLOOKUP(B512,PN!$A:$C,3,FALSE),"")</f>
        <v>Active</v>
      </c>
      <c r="J512" s="3">
        <f>IFERROR(E512*VLOOKUP(B512,PLInter!$A:$D,3,FALSE),"")</f>
        <v>2668</v>
      </c>
      <c r="K512" s="66"/>
      <c r="L512" s="66"/>
      <c r="M512" s="66"/>
      <c r="N512" s="66"/>
      <c r="O512" s="66"/>
      <c r="P512" s="66"/>
      <c r="Q512" s="66"/>
      <c r="R512" s="66"/>
      <c r="S512" s="66"/>
      <c r="T512" s="66"/>
    </row>
    <row r="513" spans="1:20" ht="18" customHeight="1">
      <c r="B513" t="str">
        <f>"77-EA16-0000"</f>
        <v>77-EA16-0000</v>
      </c>
      <c r="C513" t="str">
        <f>"LM7 Content, JM, DC Motor Drives"</f>
        <v>LM7 Content, JM, DC Motor Drives</v>
      </c>
      <c r="D513" s="4"/>
      <c r="E513" s="4">
        <v>1</v>
      </c>
      <c r="F513" s="4"/>
      <c r="G513" s="29" t="str">
        <f>IFERROR(HYPERLINK("#"&amp;ADDRESS(MATCH(B513&amp;"ES",'LM7 Non-ENG'!$A$1:$A$5000,0),1,,,"LM7 Non-ENG"),IF(IFERROR(VLOOKUP(B513&amp;"ES",'LM7 Non-ENG'!$A$1:$A$4999,1,FALSE),"ERROR")=B513&amp;"ES","Y","")),"")</f>
        <v>Y</v>
      </c>
      <c r="H513" s="29" t="str">
        <f>IFERROR(HYPERLINK("#"&amp;ADDRESS(MATCH(B513&amp;"PT",'LM7 Non-ENG'!$A$1:$A$5000,0),1,,,"LM7 Non-ENG"),IF(IFERROR(VLOOKUP(B513&amp;"PT",'LM7 Non-ENG'!$A$1:$A$5000,1,FALSE),"ERROR")=B513&amp;"PT","Y","")),"")</f>
        <v/>
      </c>
      <c r="I513" t="str">
        <f>IFERROR(VLOOKUP(B513,PN!$A:$C,3,FALSE),"")</f>
        <v>Active</v>
      </c>
      <c r="J513" s="3">
        <f>IFERROR(E513*VLOOKUP(B513,PLInter!$A:$D,3,FALSE),"")</f>
        <v>700</v>
      </c>
      <c r="K513" s="66"/>
      <c r="L513" s="66"/>
      <c r="M513" s="66"/>
      <c r="N513" s="66"/>
      <c r="O513" s="66"/>
      <c r="P513" s="66"/>
      <c r="Q513" s="66"/>
      <c r="R513" s="66"/>
      <c r="S513" s="66"/>
      <c r="T513" s="66"/>
    </row>
    <row r="514" spans="1:20" ht="18" customHeight="1">
      <c r="B514" t="str">
        <f>"26-E025-0000"</f>
        <v>26-E025-0000</v>
      </c>
      <c r="C514" t="str">
        <f>"Assembly, JM, E025 F-O-R Switch Panel"</f>
        <v>Assembly, JM, E025 F-O-R Switch Panel</v>
      </c>
      <c r="D514" s="4"/>
      <c r="E514" s="4">
        <v>2</v>
      </c>
      <c r="F514" s="4"/>
      <c r="G514" s="29" t="str">
        <f>IFERROR(HYPERLINK("#"&amp;ADDRESS(MATCH(B514&amp;"ES",'LM7 Non-ENG'!$A$1:$A$5000,0),1,,,"LM7 Non-ENG"),IF(IFERROR(VLOOKUP(B514&amp;"ES",'LM7 Non-ENG'!$A$1:$A$4999,1,FALSE),"ERROR")=B514&amp;"ES","Y","")),"")</f>
        <v/>
      </c>
      <c r="H514" s="29" t="str">
        <f>IFERROR(HYPERLINK("#"&amp;ADDRESS(MATCH(B514&amp;"PT",'LM7 Non-ENG'!$A$1:$A$5000,0),1,,,"LM7 Non-ENG"),IF(IFERROR(VLOOKUP(B514&amp;"PT",'LM7 Non-ENG'!$A$1:$A$5000,1,FALSE),"ERROR")=B514&amp;"PT","Y","")),"")</f>
        <v/>
      </c>
      <c r="I514" t="str">
        <f>IFERROR(VLOOKUP(B514,PN!$A:$C,3,FALSE),"")</f>
        <v>Active</v>
      </c>
      <c r="J514" s="3">
        <f>IFERROR(E514*VLOOKUP(B514,PLInter!$A:$D,3,FALSE),"")</f>
        <v>1400</v>
      </c>
      <c r="K514" s="66"/>
      <c r="L514" s="66"/>
      <c r="M514" s="66"/>
      <c r="N514" s="66"/>
      <c r="O514" s="66"/>
      <c r="P514" s="66"/>
      <c r="Q514" s="66"/>
      <c r="R514" s="66"/>
      <c r="S514" s="66"/>
      <c r="T514" s="66"/>
    </row>
    <row r="515" spans="1:20" ht="18" customHeight="1">
      <c r="B515" t="str">
        <f>"26-E038-0000"</f>
        <v>26-E038-0000</v>
      </c>
      <c r="C515" t="str">
        <f>"Assembly, JM, E038, PWM Speed Control Panel"</f>
        <v>Assembly, JM, E038, PWM Speed Control Panel</v>
      </c>
      <c r="D515" s="4"/>
      <c r="E515" s="4">
        <v>2</v>
      </c>
      <c r="F515" s="4"/>
      <c r="G515" s="29" t="str">
        <f>IFERROR(HYPERLINK("#"&amp;ADDRESS(MATCH(B515&amp;"ES",'LM7 Non-ENG'!$A$1:$A$5000,0),1,,,"LM7 Non-ENG"),IF(IFERROR(VLOOKUP(B515&amp;"ES",'LM7 Non-ENG'!$A$1:$A$4999,1,FALSE),"ERROR")=B515&amp;"ES","Y","")),"")</f>
        <v/>
      </c>
      <c r="H515" s="29" t="str">
        <f>IFERROR(HYPERLINK("#"&amp;ADDRESS(MATCH(B515&amp;"PT",'LM7 Non-ENG'!$A$1:$A$5000,0),1,,,"LM7 Non-ENG"),IF(IFERROR(VLOOKUP(B515&amp;"PT",'LM7 Non-ENG'!$A$1:$A$5000,1,FALSE),"ERROR")=B515&amp;"PT","Y","")),"")</f>
        <v/>
      </c>
      <c r="I515" t="str">
        <f>IFERROR(VLOOKUP(B515,PN!$A:$C,3,FALSE),"")</f>
        <v>Active</v>
      </c>
      <c r="J515" s="3">
        <f>IFERROR(E515*VLOOKUP(B515,PLInter!$A:$D,3,FALSE),"")</f>
        <v>2134</v>
      </c>
      <c r="K515" s="66"/>
      <c r="L515" s="66"/>
      <c r="M515" s="66"/>
      <c r="N515" s="66"/>
      <c r="O515" s="66"/>
      <c r="P515" s="66"/>
      <c r="Q515" s="66"/>
      <c r="R515" s="66"/>
      <c r="S515" s="66"/>
      <c r="T515" s="66"/>
    </row>
    <row r="516" spans="1:20" ht="18" customHeight="1">
      <c r="B516" t="str">
        <f>"26-E048-0000"</f>
        <v>26-E048-0000</v>
      </c>
      <c r="C516" t="str">
        <f>"Assembly, JM, E048 Inertial Load Panel"</f>
        <v>Assembly, JM, E048 Inertial Load Panel</v>
      </c>
      <c r="D516" s="4"/>
      <c r="E516" s="4">
        <v>2</v>
      </c>
      <c r="F516" s="4"/>
      <c r="G516" s="29" t="str">
        <f>IFERROR(HYPERLINK("#"&amp;ADDRESS(MATCH(B516&amp;"ES",'LM7 Non-ENG'!$A$1:$A$5000,0),1,,,"LM7 Non-ENG"),IF(IFERROR(VLOOKUP(B516&amp;"ES",'LM7 Non-ENG'!$A$1:$A$4999,1,FALSE),"ERROR")=B516&amp;"ES","Y","")),"")</f>
        <v/>
      </c>
      <c r="H516" s="29" t="str">
        <f>IFERROR(HYPERLINK("#"&amp;ADDRESS(MATCH(B516&amp;"PT",'LM7 Non-ENG'!$A$1:$A$5000,0),1,,,"LM7 Non-ENG"),IF(IFERROR(VLOOKUP(B516&amp;"PT",'LM7 Non-ENG'!$A$1:$A$5000,1,FALSE),"ERROR")=B516&amp;"PT","Y","")),"")</f>
        <v/>
      </c>
      <c r="I516" t="str">
        <f>IFERROR(VLOOKUP(B516,PN!$A:$C,3,FALSE),"")</f>
        <v>Active</v>
      </c>
      <c r="J516" s="3">
        <f>IFERROR(E516*VLOOKUP(B516,PLInter!$A:$D,3,FALSE),"")</f>
        <v>1334</v>
      </c>
      <c r="K516" s="66"/>
      <c r="L516" s="66"/>
      <c r="M516" s="66"/>
      <c r="N516" s="66"/>
      <c r="O516" s="66"/>
      <c r="P516" s="66"/>
      <c r="Q516" s="66"/>
      <c r="R516" s="66"/>
      <c r="S516" s="66"/>
      <c r="T516" s="66"/>
    </row>
    <row r="517" spans="1:20" ht="18" customHeight="1">
      <c r="B517" t="str">
        <f>"26-E071-0000"</f>
        <v>26-E071-0000</v>
      </c>
      <c r="C517" t="str">
        <f>"Assembly, JM, E071 Regenerative SCR Drive Panel"</f>
        <v>Assembly, JM, E071 Regenerative SCR Drive Panel</v>
      </c>
      <c r="D517" s="4"/>
      <c r="E517" s="4">
        <v>2</v>
      </c>
      <c r="F517" s="4"/>
      <c r="G517" s="29" t="str">
        <f>IFERROR(HYPERLINK("#"&amp;ADDRESS(MATCH(B517&amp;"ES",'LM7 Non-ENG'!$A$1:$A$5000,0),1,,,"LM7 Non-ENG"),IF(IFERROR(VLOOKUP(B517&amp;"ES",'LM7 Non-ENG'!$A$1:$A$4999,1,FALSE),"ERROR")=B517&amp;"ES","Y","")),"")</f>
        <v/>
      </c>
      <c r="H517" s="29" t="str">
        <f>IFERROR(HYPERLINK("#"&amp;ADDRESS(MATCH(B517&amp;"PT",'LM7 Non-ENG'!$A$1:$A$5000,0),1,,,"LM7 Non-ENG"),IF(IFERROR(VLOOKUP(B517&amp;"PT",'LM7 Non-ENG'!$A$1:$A$5000,1,FALSE),"ERROR")=B517&amp;"PT","Y","")),"")</f>
        <v/>
      </c>
      <c r="I517" t="str">
        <f>IFERROR(VLOOKUP(B517,PN!$A:$C,3,FALSE),"")</f>
        <v>Active</v>
      </c>
      <c r="J517" s="3">
        <f>IFERROR(E517*VLOOKUP(B517,PLInter!$A:$D,3,FALSE),"")</f>
        <v>2268</v>
      </c>
      <c r="K517" s="66"/>
      <c r="L517" s="66"/>
      <c r="M517" s="66"/>
      <c r="N517" s="66"/>
      <c r="O517" s="66"/>
      <c r="P517" s="66"/>
      <c r="Q517" s="66"/>
      <c r="R517" s="66"/>
      <c r="S517" s="66"/>
      <c r="T517" s="66"/>
    </row>
    <row r="518" spans="1:20" ht="18" customHeight="1">
      <c r="B518" t="str">
        <f>"10-PPSU-0001"</f>
        <v>10-PPSU-0001</v>
      </c>
      <c r="C518" t="str">
        <f>"JM, Portable Panel Storage Unit"</f>
        <v>JM, Portable Panel Storage Unit</v>
      </c>
      <c r="D518" s="4"/>
      <c r="E518" s="4">
        <v>1</v>
      </c>
      <c r="F518" s="4"/>
      <c r="G518" s="29" t="str">
        <f>IFERROR(HYPERLINK("#"&amp;ADDRESS(MATCH(B518&amp;"ES",'LM7 Non-ENG'!$A$1:$A$5000,0),1,,,"LM7 Non-ENG"),IF(IFERROR(VLOOKUP(B518&amp;"ES",'LM7 Non-ENG'!$A$1:$A$4999,1,FALSE),"ERROR")=B518&amp;"ES","Y","")),"")</f>
        <v/>
      </c>
      <c r="H518" s="29" t="str">
        <f>IFERROR(HYPERLINK("#"&amp;ADDRESS(MATCH(B518&amp;"PT",'LM7 Non-ENG'!$A$1:$A$5000,0),1,,,"LM7 Non-ENG"),IF(IFERROR(VLOOKUP(B518&amp;"PT",'LM7 Non-ENG'!$A$1:$A$5000,1,FALSE),"ERROR")=B518&amp;"PT","Y","")),"")</f>
        <v/>
      </c>
      <c r="I518" t="str">
        <f>IFERROR(VLOOKUP(B518,PN!$A:$C,3,FALSE),"")</f>
        <v>Active</v>
      </c>
      <c r="J518" s="3">
        <f>IFERROR(E518*VLOOKUP(B518,PLInter!$A:$D,3,FALSE),"")</f>
        <v>2200</v>
      </c>
      <c r="K518" s="66"/>
      <c r="L518" s="66"/>
      <c r="M518" s="66"/>
      <c r="N518" s="66"/>
      <c r="O518" s="66"/>
      <c r="P518" s="66"/>
      <c r="Q518" s="66"/>
      <c r="R518" s="66"/>
      <c r="S518" s="66"/>
      <c r="T518" s="66"/>
    </row>
    <row r="519" spans="1:20" ht="18" customHeight="1">
      <c r="B519" t="str">
        <f>"10-PC09-0000"</f>
        <v>10-PC09-0000</v>
      </c>
      <c r="C519" t="str">
        <f>"JM, PC09, Inter. Transformer Pack, LS200 Bench"</f>
        <v>JM, PC09, Inter. Transformer Pack, LS200 Bench</v>
      </c>
      <c r="D519" s="4"/>
      <c r="E519" s="4">
        <v>1</v>
      </c>
      <c r="F519" s="4"/>
      <c r="G519" s="29" t="str">
        <f>IFERROR(HYPERLINK("#"&amp;ADDRESS(MATCH(B519&amp;"ES",'LM7 Non-ENG'!$A$1:$A$5000,0),1,,,"LM7 Non-ENG"),IF(IFERROR(VLOOKUP(B519&amp;"ES",'LM7 Non-ENG'!$A$1:$A$4999,1,FALSE),"ERROR")=B519&amp;"ES","Y","")),"")</f>
        <v/>
      </c>
      <c r="H519" s="29" t="str">
        <f>IFERROR(HYPERLINK("#"&amp;ADDRESS(MATCH(B519&amp;"PT",'LM7 Non-ENG'!$A$1:$A$5000,0),1,,,"LM7 Non-ENG"),IF(IFERROR(VLOOKUP(B519&amp;"PT",'LM7 Non-ENG'!$A$1:$A$5000,1,FALSE),"ERROR")=B519&amp;"PT","Y","")),"")</f>
        <v/>
      </c>
      <c r="I519" t="str">
        <f>IFERROR(VLOOKUP(B519,PN!$A:$C,3,FALSE),"")</f>
        <v>Active</v>
      </c>
      <c r="J519" s="3">
        <f>IFERROR(E519*VLOOKUP(B519,PLInter!$A:$D,3,FALSE),"")</f>
        <v>4334</v>
      </c>
      <c r="K519" s="66"/>
      <c r="L519" s="66"/>
      <c r="M519" s="66"/>
      <c r="N519" s="66"/>
      <c r="O519" s="66"/>
      <c r="P519" s="66"/>
      <c r="Q519" s="66"/>
      <c r="R519" s="66"/>
      <c r="S519" s="66"/>
      <c r="T519" s="66"/>
    </row>
    <row r="520" spans="1:20" ht="18" customHeight="1">
      <c r="G520" s="29" t="str">
        <f>IFERROR(HYPERLINK("#"&amp;ADDRESS(MATCH(B520&amp;"ES",'LM7 Non-ENG'!$A$1:$A$5000,0),1,,,"LM7 Non-ENG"),IF(IFERROR(VLOOKUP(B520&amp;"ES",'LM7 Non-ENG'!$A$1:$A$4999,1,FALSE),"ERROR")=B520&amp;"ES","Y","")),"")</f>
        <v/>
      </c>
      <c r="H520" s="29" t="str">
        <f>IFERROR(HYPERLINK("#"&amp;ADDRESS(MATCH(B520&amp;"PT",'LM7 Non-ENG'!$A$1:$A$5000,0),1,,,"LM7 Non-ENG"),IF(IFERROR(VLOOKUP(B520&amp;"PT",'LM7 Non-ENG'!$A$1:$A$5000,1,FALSE),"ERROR")=B520&amp;"PT","Y","")),"")</f>
        <v/>
      </c>
    </row>
    <row r="521" spans="1:20" s="7" customFormat="1" ht="18" customHeight="1">
      <c r="A521" s="13" t="s">
        <v>85</v>
      </c>
      <c r="B521" s="13"/>
      <c r="C521" s="13" t="s">
        <v>86</v>
      </c>
      <c r="D521" s="14"/>
      <c r="E521" s="14"/>
      <c r="F521" s="14"/>
      <c r="G521" s="14"/>
      <c r="H521" s="14"/>
      <c r="I521" s="14"/>
      <c r="J521" s="14">
        <f>SUMIFS(J522:J523,D522:D523,"&lt;&gt;Y",F522:F523,"&lt;&gt;Y",I522:I523,"&lt;&gt;Inactive",I522:I523,"&lt;&gt;ECO+NFS")</f>
        <v>74162</v>
      </c>
      <c r="K521" s="14"/>
      <c r="L521" s="14"/>
      <c r="M521" s="14"/>
      <c r="N521" s="14"/>
      <c r="O521" s="14"/>
      <c r="P521" s="14"/>
      <c r="Q521" s="14"/>
      <c r="R521" s="14"/>
      <c r="S521" s="14"/>
      <c r="T521" s="14"/>
    </row>
    <row r="522" spans="1:20" ht="18" customHeight="1">
      <c r="A522" s="17" t="str">
        <f>HYPERLINK("#"&amp;ADDRESS(MATCH(A521,Jobmaster!$A$1:$A$4996,0),1,,,"Jobmaster"),"Back to Price List")</f>
        <v>Back to Price List</v>
      </c>
      <c r="B522" t="str">
        <f>"10-1600-1000"</f>
        <v>10-1600-1000</v>
      </c>
      <c r="C522" t="str">
        <f>"EMMC1600 Maintenance Cell, Hardware Package"</f>
        <v>EMMC1600 Maintenance Cell, Hardware Package</v>
      </c>
      <c r="D522" s="4"/>
      <c r="E522" s="4">
        <v>1</v>
      </c>
      <c r="F522" s="4"/>
      <c r="G522" s="29" t="str">
        <f>IFERROR(HYPERLINK("#"&amp;ADDRESS(MATCH(B522&amp;"ES",'LM7 Non-ENG'!$A$1:$A$5000,0),1,,,"LM7 Non-ENG"),IF(IFERROR(VLOOKUP(B522&amp;"ES",'LM7 Non-ENG'!$A$1:$A$4999,1,FALSE),"ERROR")=B522&amp;"ES","Y","")),"")</f>
        <v/>
      </c>
      <c r="H522" s="29" t="str">
        <f>IFERROR(HYPERLINK("#"&amp;ADDRESS(MATCH(B522&amp;"PT",'LM7 Non-ENG'!$A$1:$A$5000,0),1,,,"LM7 Non-ENG"),IF(IFERROR(VLOOKUP(B522&amp;"PT",'LM7 Non-ENG'!$A$1:$A$5000,1,FALSE),"ERROR")=B522&amp;"PT","Y","")),"")</f>
        <v/>
      </c>
      <c r="I522" t="str">
        <f>IFERROR(VLOOKUP(B522,PN!$A:$C,3,FALSE),"")</f>
        <v>Active</v>
      </c>
      <c r="J522" s="3">
        <f>IFERROR(E522*VLOOKUP(B522,PLInter!$A:$D,3,FALSE),"")</f>
        <v>70667</v>
      </c>
      <c r="K522" s="68" t="s">
        <v>88</v>
      </c>
      <c r="L522" s="68"/>
      <c r="M522" s="68"/>
      <c r="N522" s="68"/>
      <c r="O522" s="68"/>
      <c r="P522" s="68"/>
      <c r="Q522" s="68"/>
      <c r="R522" s="68"/>
      <c r="S522" s="68"/>
      <c r="T522" s="68"/>
    </row>
    <row r="523" spans="1:20" ht="18" customHeight="1">
      <c r="B523" t="str">
        <f>"77-ZA00-1600"</f>
        <v>77-ZA00-1600</v>
      </c>
      <c r="C523" t="str">
        <f>"LM7 Content, JM,  Maintenance Cell"</f>
        <v>LM7 Content, JM,  Maintenance Cell</v>
      </c>
      <c r="D523" s="4"/>
      <c r="E523" s="4">
        <v>1</v>
      </c>
      <c r="F523" s="4"/>
      <c r="G523" s="29" t="str">
        <f>IFERROR(HYPERLINK("#"&amp;ADDRESS(MATCH(B523&amp;"ES",'LM7 Non-ENG'!$A$1:$A$5000,0),1,,,"LM7 Non-ENG"),IF(IFERROR(VLOOKUP(B523&amp;"ES",'LM7 Non-ENG'!$A$1:$A$4999,1,FALSE),"ERROR")=B523&amp;"ES","Y","")),"")</f>
        <v>Y</v>
      </c>
      <c r="H523" s="29" t="str">
        <f>IFERROR(HYPERLINK("#"&amp;ADDRESS(MATCH(B523&amp;"PT",'LM7 Non-ENG'!$A$1:$A$5000,0),1,,,"LM7 Non-ENG"),IF(IFERROR(VLOOKUP(B523&amp;"PT",'LM7 Non-ENG'!$A$1:$A$5000,1,FALSE),"ERROR")=B523&amp;"PT","Y","")),"")</f>
        <v/>
      </c>
      <c r="I523" t="str">
        <f>IFERROR(VLOOKUP(B523,PN!$A:$C,3,FALSE),"")</f>
        <v>Active</v>
      </c>
      <c r="J523" s="3">
        <f>IFERROR(E523*VLOOKUP(B523,PLInter!$A:$D,3,FALSE),"")</f>
        <v>3495</v>
      </c>
      <c r="K523" s="68"/>
      <c r="L523" s="68"/>
      <c r="M523" s="68"/>
      <c r="N523" s="68"/>
      <c r="O523" s="68"/>
      <c r="P523" s="68"/>
      <c r="Q523" s="68"/>
      <c r="R523" s="68"/>
      <c r="S523" s="68"/>
      <c r="T523" s="68"/>
    </row>
    <row r="524" spans="1:20" ht="18" customHeight="1">
      <c r="G524" s="29" t="str">
        <f>IFERROR(HYPERLINK("#"&amp;ADDRESS(MATCH(B524&amp;"ES",'LM7 Non-ENG'!$A$1:$A$5000,0),1,,,"LM7 Non-ENG"),IF(IFERROR(VLOOKUP(B524&amp;"ES",'LM7 Non-ENG'!$A$1:$A$4999,1,FALSE),"ERROR")=B524&amp;"ES","Y","")),"")</f>
        <v/>
      </c>
      <c r="H524" s="29" t="str">
        <f>IFERROR(HYPERLINK("#"&amp;ADDRESS(MATCH(B524&amp;"PT",'LM7 Non-ENG'!$A$1:$A$5000,0),1,,,"LM7 Non-ENG"),IF(IFERROR(VLOOKUP(B524&amp;"PT",'LM7 Non-ENG'!$A$1:$A$5000,1,FALSE),"ERROR")=B524&amp;"PT","Y","")),"")</f>
        <v/>
      </c>
      <c r="J524" s="3" t="str">
        <f>IFERROR(E524*VLOOKUP(B524,PLInter!$A:$D,3,FALSE),"")</f>
        <v/>
      </c>
      <c r="K524" s="68"/>
      <c r="L524" s="68"/>
      <c r="M524" s="68"/>
      <c r="N524" s="68"/>
      <c r="O524" s="68"/>
      <c r="P524" s="68"/>
      <c r="Q524" s="68"/>
      <c r="R524" s="68"/>
      <c r="S524" s="68"/>
      <c r="T524" s="68"/>
    </row>
    <row r="525" spans="1:20" ht="18" customHeight="1">
      <c r="G525" s="29" t="str">
        <f>IFERROR(HYPERLINK("#"&amp;ADDRESS(MATCH(B525&amp;"ES",'LM7 Non-ENG'!$A$1:$A$5000,0),1,,,"LM7 Non-ENG"),IF(IFERROR(VLOOKUP(B525&amp;"ES",'LM7 Non-ENG'!$A$1:$A$4999,1,FALSE),"ERROR")=B525&amp;"ES","Y","")),"")</f>
        <v/>
      </c>
      <c r="H525" s="29" t="str">
        <f>IFERROR(HYPERLINK("#"&amp;ADDRESS(MATCH(B525&amp;"PT",'LM7 Non-ENG'!$A$1:$A$5000,0),1,,,"LM7 Non-ENG"),IF(IFERROR(VLOOKUP(B525&amp;"PT",'LM7 Non-ENG'!$A$1:$A$5000,1,FALSE),"ERROR")=B525&amp;"PT","Y","")),"")</f>
        <v/>
      </c>
      <c r="J525" s="3" t="str">
        <f>IFERROR(E525*VLOOKUP(B525,PLInter!$A:$D,3,FALSE),"")</f>
        <v/>
      </c>
      <c r="K525" s="68"/>
      <c r="L525" s="68"/>
      <c r="M525" s="68"/>
      <c r="N525" s="68"/>
      <c r="O525" s="68"/>
      <c r="P525" s="68"/>
      <c r="Q525" s="68"/>
      <c r="R525" s="68"/>
      <c r="S525" s="68"/>
      <c r="T525" s="68"/>
    </row>
    <row r="526" spans="1:20" ht="18" customHeight="1">
      <c r="G526" s="29" t="str">
        <f>IFERROR(HYPERLINK("#"&amp;ADDRESS(MATCH(B526&amp;"ES",'LM7 Non-ENG'!$A$1:$A$5000,0),1,,,"LM7 Non-ENG"),IF(IFERROR(VLOOKUP(B526&amp;"ES",'LM7 Non-ENG'!$A$1:$A$4999,1,FALSE),"ERROR")=B526&amp;"ES","Y","")),"")</f>
        <v/>
      </c>
      <c r="H526" s="29" t="str">
        <f>IFERROR(HYPERLINK("#"&amp;ADDRESS(MATCH(B526&amp;"PT",'LM7 Non-ENG'!$A$1:$A$5000,0),1,,,"LM7 Non-ENG"),IF(IFERROR(VLOOKUP(B526&amp;"PT",'LM7 Non-ENG'!$A$1:$A$5000,1,FALSE),"ERROR")=B526&amp;"PT","Y","")),"")</f>
        <v/>
      </c>
    </row>
    <row r="527" spans="1:20" s="7" customFormat="1" ht="18" customHeight="1">
      <c r="A527" s="13" t="s">
        <v>89</v>
      </c>
      <c r="B527" s="13"/>
      <c r="C527" s="13" t="s">
        <v>90</v>
      </c>
      <c r="D527" s="14"/>
      <c r="E527" s="14"/>
      <c r="F527" s="14"/>
      <c r="G527" s="14"/>
      <c r="H527" s="14"/>
      <c r="I527" s="14"/>
      <c r="J527" s="14">
        <f>SUMIFS(J528:J530,D528:D530,"&lt;&gt;Y",F528:F530,"&lt;&gt;Y",I528:I530,"&lt;&gt;Inactive",I528:I530,"&lt;&gt;ECO+NFS")</f>
        <v>78496</v>
      </c>
      <c r="K527" s="14"/>
      <c r="L527" s="14"/>
      <c r="M527" s="14"/>
      <c r="N527" s="14"/>
      <c r="O527" s="14"/>
      <c r="P527" s="14"/>
      <c r="Q527" s="14"/>
      <c r="R527" s="14"/>
      <c r="S527" s="14"/>
      <c r="T527" s="14"/>
    </row>
    <row r="528" spans="1:20" ht="18" customHeight="1">
      <c r="A528" s="17" t="str">
        <f>HYPERLINK("#"&amp;ADDRESS(MATCH(A527,Jobmaster!$A$1:$A$4996,0),1,,,"Jobmaster"),"Back to Price List")</f>
        <v>Back to Price List</v>
      </c>
      <c r="B528" t="str">
        <f>"10-1600-1000"</f>
        <v>10-1600-1000</v>
      </c>
      <c r="C528" t="str">
        <f>"EMMC1600 Maintenance Cell, Hardware Package"</f>
        <v>EMMC1600 Maintenance Cell, Hardware Package</v>
      </c>
      <c r="D528" s="4"/>
      <c r="E528" s="4">
        <v>1</v>
      </c>
      <c r="F528" s="4"/>
      <c r="G528" s="29" t="str">
        <f>IFERROR(HYPERLINK("#"&amp;ADDRESS(MATCH(B528&amp;"ES",'LM7 Non-ENG'!$A$1:$A$5000,0),1,,,"LM7 Non-ENG"),IF(IFERROR(VLOOKUP(B528&amp;"ES",'LM7 Non-ENG'!$A$1:$A$4999,1,FALSE),"ERROR")=B528&amp;"ES","Y","")),"")</f>
        <v/>
      </c>
      <c r="H528" s="29" t="str">
        <f>IFERROR(HYPERLINK("#"&amp;ADDRESS(MATCH(B528&amp;"PT",'LM7 Non-ENG'!$A$1:$A$5000,0),1,,,"LM7 Non-ENG"),IF(IFERROR(VLOOKUP(B528&amp;"PT",'LM7 Non-ENG'!$A$1:$A$5000,1,FALSE),"ERROR")=B528&amp;"PT","Y","")),"")</f>
        <v/>
      </c>
      <c r="I528" t="str">
        <f>IFERROR(VLOOKUP(B528,PN!$A:$C,3,FALSE),"")</f>
        <v>Active</v>
      </c>
      <c r="J528" s="3">
        <f>IFERROR(E528*VLOOKUP(B528,PLInter!$A:$D,3,FALSE),"")</f>
        <v>70667</v>
      </c>
      <c r="K528" s="68" t="s">
        <v>91</v>
      </c>
      <c r="L528" s="68"/>
      <c r="M528" s="68"/>
      <c r="N528" s="68"/>
      <c r="O528" s="68"/>
      <c r="P528" s="68"/>
      <c r="Q528" s="68"/>
      <c r="R528" s="68"/>
      <c r="S528" s="68"/>
      <c r="T528" s="68"/>
    </row>
    <row r="529" spans="1:20" ht="18" customHeight="1">
      <c r="B529" t="str">
        <f>"77-ZA00-1600"</f>
        <v>77-ZA00-1600</v>
      </c>
      <c r="C529" t="str">
        <f>"LM7 Content, JM,  Maintenance Cell"</f>
        <v>LM7 Content, JM,  Maintenance Cell</v>
      </c>
      <c r="D529" s="4"/>
      <c r="E529" s="4">
        <v>1</v>
      </c>
      <c r="F529" s="4"/>
      <c r="G529" s="29" t="str">
        <f>IFERROR(HYPERLINK("#"&amp;ADDRESS(MATCH(B529&amp;"ES",'LM7 Non-ENG'!$A$1:$A$5000,0),1,,,"LM7 Non-ENG"),IF(IFERROR(VLOOKUP(B529&amp;"ES",'LM7 Non-ENG'!$A$1:$A$4999,1,FALSE),"ERROR")=B529&amp;"ES","Y","")),"")</f>
        <v>Y</v>
      </c>
      <c r="H529" s="29" t="str">
        <f>IFERROR(HYPERLINK("#"&amp;ADDRESS(MATCH(B529&amp;"PT",'LM7 Non-ENG'!$A$1:$A$5000,0),1,,,"LM7 Non-ENG"),IF(IFERROR(VLOOKUP(B529&amp;"PT",'LM7 Non-ENG'!$A$1:$A$5000,1,FALSE),"ERROR")=B529&amp;"PT","Y","")),"")</f>
        <v/>
      </c>
      <c r="I529" t="str">
        <f>IFERROR(VLOOKUP(B529,PN!$A:$C,3,FALSE),"")</f>
        <v>Active</v>
      </c>
      <c r="J529" s="3">
        <f>IFERROR(E529*VLOOKUP(B529,PLInter!$A:$D,3,FALSE),"")</f>
        <v>3495</v>
      </c>
      <c r="K529" s="68"/>
      <c r="L529" s="68"/>
      <c r="M529" s="68"/>
      <c r="N529" s="68"/>
      <c r="O529" s="68"/>
      <c r="P529" s="68"/>
      <c r="Q529" s="68"/>
      <c r="R529" s="68"/>
      <c r="S529" s="68"/>
      <c r="T529" s="68"/>
    </row>
    <row r="530" spans="1:20" ht="18" customHeight="1">
      <c r="B530" t="str">
        <f>"10-PC09-0000"</f>
        <v>10-PC09-0000</v>
      </c>
      <c r="C530" t="str">
        <f>"JM, PC09, Inter. Transformer Pack, LS200 Bench"</f>
        <v>JM, PC09, Inter. Transformer Pack, LS200 Bench</v>
      </c>
      <c r="D530" s="4"/>
      <c r="E530" s="4">
        <v>1</v>
      </c>
      <c r="F530" s="4"/>
      <c r="G530" s="29" t="str">
        <f>IFERROR(HYPERLINK("#"&amp;ADDRESS(MATCH(B530&amp;"ES",'LM7 Non-ENG'!$A$1:$A$5000,0),1,,,"LM7 Non-ENG"),IF(IFERROR(VLOOKUP(B530&amp;"ES",'LM7 Non-ENG'!$A$1:$A$4999,1,FALSE),"ERROR")=B530&amp;"ES","Y","")),"")</f>
        <v/>
      </c>
      <c r="H530" s="29" t="str">
        <f>IFERROR(HYPERLINK("#"&amp;ADDRESS(MATCH(B530&amp;"PT",'LM7 Non-ENG'!$A$1:$A$5000,0),1,,,"LM7 Non-ENG"),IF(IFERROR(VLOOKUP(B530&amp;"PT",'LM7 Non-ENG'!$A$1:$A$5000,1,FALSE),"ERROR")=B530&amp;"PT","Y","")),"")</f>
        <v/>
      </c>
      <c r="I530" t="str">
        <f>IFERROR(VLOOKUP(B530,PN!$A:$C,3,FALSE),"")</f>
        <v>Active</v>
      </c>
      <c r="J530" s="3">
        <f>IFERROR(E530*VLOOKUP(B530,PLInter!$A:$D,3,FALSE),"")</f>
        <v>4334</v>
      </c>
      <c r="K530" s="68"/>
      <c r="L530" s="68"/>
      <c r="M530" s="68"/>
      <c r="N530" s="68"/>
      <c r="O530" s="68"/>
      <c r="P530" s="68"/>
      <c r="Q530" s="68"/>
      <c r="R530" s="68"/>
      <c r="S530" s="68"/>
      <c r="T530" s="68"/>
    </row>
    <row r="531" spans="1:20" ht="18" customHeight="1">
      <c r="G531" s="29" t="str">
        <f>IFERROR(HYPERLINK("#"&amp;ADDRESS(MATCH(B531&amp;"ES",'LM7 Non-ENG'!$A$1:$A$5000,0),1,,,"LM7 Non-ENG"),IF(IFERROR(VLOOKUP(B531&amp;"ES",'LM7 Non-ENG'!$A$1:$A$4999,1,FALSE),"ERROR")=B531&amp;"ES","Y","")),"")</f>
        <v/>
      </c>
      <c r="H531" s="29" t="str">
        <f>IFERROR(HYPERLINK("#"&amp;ADDRESS(MATCH(B531&amp;"PT",'LM7 Non-ENG'!$A$1:$A$5000,0),1,,,"LM7 Non-ENG"),IF(IFERROR(VLOOKUP(B531&amp;"PT",'LM7 Non-ENG'!$A$1:$A$5000,1,FALSE),"ERROR")=B531&amp;"PT","Y","")),"")</f>
        <v/>
      </c>
      <c r="K531" s="68"/>
      <c r="L531" s="68"/>
      <c r="M531" s="68"/>
      <c r="N531" s="68"/>
      <c r="O531" s="68"/>
      <c r="P531" s="68"/>
      <c r="Q531" s="68"/>
      <c r="R531" s="68"/>
      <c r="S531" s="68"/>
      <c r="T531" s="68"/>
    </row>
    <row r="532" spans="1:20" ht="18" customHeight="1">
      <c r="G532" s="29" t="str">
        <f>IFERROR(HYPERLINK("#"&amp;ADDRESS(MATCH(B532&amp;"ES",'LM7 Non-ENG'!$A$1:$A$5000,0),1,,,"LM7 Non-ENG"),IF(IFERROR(VLOOKUP(B532&amp;"ES",'LM7 Non-ENG'!$A$1:$A$4999,1,FALSE),"ERROR")=B532&amp;"ES","Y","")),"")</f>
        <v/>
      </c>
      <c r="H532" s="29" t="str">
        <f>IFERROR(HYPERLINK("#"&amp;ADDRESS(MATCH(B532&amp;"PT",'LM7 Non-ENG'!$A$1:$A$5000,0),1,,,"LM7 Non-ENG"),IF(IFERROR(VLOOKUP(B532&amp;"PT",'LM7 Non-ENG'!$A$1:$A$5000,1,FALSE),"ERROR")=B532&amp;"PT","Y","")),"")</f>
        <v/>
      </c>
      <c r="K532" s="68"/>
      <c r="L532" s="68"/>
      <c r="M532" s="68"/>
      <c r="N532" s="68"/>
      <c r="O532" s="68"/>
      <c r="P532" s="68"/>
      <c r="Q532" s="68"/>
      <c r="R532" s="68"/>
      <c r="S532" s="68"/>
      <c r="T532" s="68"/>
    </row>
    <row r="533" spans="1:20" ht="18" customHeight="1">
      <c r="G533" s="29" t="str">
        <f>IFERROR(HYPERLINK("#"&amp;ADDRESS(MATCH(B533&amp;"ES",'LM7 Non-ENG'!$A$1:$A$5000,0),1,,,"LM7 Non-ENG"),IF(IFERROR(VLOOKUP(B533&amp;"ES",'LM7 Non-ENG'!$A$1:$A$4999,1,FALSE),"ERROR")=B533&amp;"ES","Y","")),"")</f>
        <v/>
      </c>
      <c r="H533" s="29" t="str">
        <f>IFERROR(HYPERLINK("#"&amp;ADDRESS(MATCH(B533&amp;"PT",'LM7 Non-ENG'!$A$1:$A$5000,0),1,,,"LM7 Non-ENG"),IF(IFERROR(VLOOKUP(B533&amp;"PT",'LM7 Non-ENG'!$A$1:$A$5000,1,FALSE),"ERROR")=B533&amp;"PT","Y","")),"")</f>
        <v/>
      </c>
    </row>
    <row r="534" spans="1:20" s="7" customFormat="1" ht="18" customHeight="1">
      <c r="A534" s="13" t="s">
        <v>92</v>
      </c>
      <c r="B534" s="13"/>
      <c r="C534" s="13" t="s">
        <v>93</v>
      </c>
      <c r="D534" s="14"/>
      <c r="E534" s="14"/>
      <c r="F534" s="14"/>
      <c r="G534" s="14"/>
      <c r="H534" s="14"/>
      <c r="I534" s="14"/>
      <c r="J534" s="14">
        <f>SUMIFS(J535:J570,D535:D570,"&lt;&gt;Y",F535:F570,"&lt;&gt;Y",I535:I570,"&lt;&gt;Inactive",I535:I570,"&lt;&gt;ECO+NFS")</f>
        <v>95835</v>
      </c>
      <c r="K534" s="14"/>
      <c r="L534" s="14"/>
      <c r="M534" s="14"/>
      <c r="N534" s="14"/>
      <c r="O534" s="14"/>
      <c r="P534" s="14"/>
      <c r="Q534" s="14"/>
      <c r="R534" s="14"/>
      <c r="S534" s="14"/>
      <c r="T534" s="14"/>
    </row>
    <row r="535" spans="1:20" ht="18" customHeight="1">
      <c r="A535" s="17" t="str">
        <f>HYPERLINK("#"&amp;ADDRESS(MATCH(A534,Jobmaster!$A$1:$A$4996,0),1,,,"Jobmaster"),"Back to Price List")</f>
        <v>Back to Price List</v>
      </c>
      <c r="B535" t="str">
        <f>"00-ME10-1000"</f>
        <v>00-ME10-1000</v>
      </c>
      <c r="C535" t="str">
        <f>"Assembly, JM, Mechanical Training Bench, 120V"</f>
        <v>Assembly, JM, Mechanical Training Bench, 120V</v>
      </c>
      <c r="D535" s="4"/>
      <c r="E535" s="4">
        <v>1</v>
      </c>
      <c r="F535" s="4"/>
      <c r="G535" s="29" t="str">
        <f>IFERROR(HYPERLINK("#"&amp;ADDRESS(MATCH(B535&amp;"ES",'LM7 Non-ENG'!$A$1:$A$5000,0),1,,,"LM7 Non-ENG"),IF(IFERROR(VLOOKUP(B535&amp;"ES",'LM7 Non-ENG'!$A$1:$A$4999,1,FALSE),"ERROR")=B535&amp;"ES","Y","")),"")</f>
        <v/>
      </c>
      <c r="H535" s="29" t="str">
        <f>IFERROR(HYPERLINK("#"&amp;ADDRESS(MATCH(B535&amp;"PT",'LM7 Non-ENG'!$A$1:$A$5000,0),1,,,"LM7 Non-ENG"),IF(IFERROR(VLOOKUP(B535&amp;"PT",'LM7 Non-ENG'!$A$1:$A$5000,1,FALSE),"ERROR")=B535&amp;"PT","Y","")),"")</f>
        <v/>
      </c>
      <c r="I535" t="str">
        <f>IFERROR(VLOOKUP(B535,PN!$A:$C,3,FALSE),"")</f>
        <v>ECO-N2Buy</v>
      </c>
      <c r="J535" s="3">
        <f>IFERROR(E535*VLOOKUP(B535,PLInter!$A:$D,3,FALSE),"")</f>
        <v>26134</v>
      </c>
      <c r="K535" s="68" t="s">
        <v>95</v>
      </c>
      <c r="L535" s="66"/>
      <c r="M535" s="66"/>
      <c r="N535" s="66"/>
      <c r="O535" s="66"/>
      <c r="P535" s="66"/>
      <c r="Q535" s="66"/>
      <c r="R535" s="66"/>
      <c r="S535" s="66"/>
      <c r="T535" s="66"/>
    </row>
    <row r="536" spans="1:20" ht="18" customHeight="1">
      <c r="B536" s="2" t="str">
        <f>"00-ME10-1002"</f>
        <v>00-ME10-1002</v>
      </c>
      <c r="C536" s="2" t="str">
        <f>"Assembly, JM, Mechanical Training Bench, 220V"</f>
        <v>Assembly, JM, Mechanical Training Bench, 220V</v>
      </c>
      <c r="D536" s="5"/>
      <c r="E536" s="5">
        <v>1</v>
      </c>
      <c r="F536" s="5" t="str">
        <f>"Y"</f>
        <v>Y</v>
      </c>
      <c r="G536" s="29" t="str">
        <f>IFERROR(HYPERLINK("#"&amp;ADDRESS(MATCH(B536&amp;"ES",'LM7 Non-ENG'!$A$1:$A$5000,0),1,,,"LM7 Non-ENG"),IF(IFERROR(VLOOKUP(B536&amp;"ES",'LM7 Non-ENG'!$A$1:$A$4999,1,FALSE),"ERROR")=B536&amp;"ES","Y","")),"")</f>
        <v/>
      </c>
      <c r="H536" s="29" t="str">
        <f>IFERROR(HYPERLINK("#"&amp;ADDRESS(MATCH(B536&amp;"PT",'LM7 Non-ENG'!$A$1:$A$5000,0),1,,,"LM7 Non-ENG"),IF(IFERROR(VLOOKUP(B536&amp;"PT",'LM7 Non-ENG'!$A$1:$A$5000,1,FALSE),"ERROR")=B536&amp;"PT","Y","")),"")</f>
        <v/>
      </c>
      <c r="I536" t="str">
        <f>IFERROR(VLOOKUP(B536,PN!$A:$C,3,FALSE),"")</f>
        <v>Active</v>
      </c>
      <c r="J536" s="3">
        <f>IFERROR(E536*VLOOKUP(B536,PLInter!$A:$D,3,FALSE),"")</f>
        <v>26134</v>
      </c>
      <c r="K536" s="66"/>
      <c r="L536" s="66"/>
      <c r="M536" s="66"/>
      <c r="N536" s="66"/>
      <c r="O536" s="66"/>
      <c r="P536" s="66"/>
      <c r="Q536" s="66"/>
      <c r="R536" s="66"/>
      <c r="S536" s="66"/>
      <c r="T536" s="66"/>
    </row>
    <row r="537" spans="1:20" ht="18" customHeight="1">
      <c r="B537" t="str">
        <f>"00-ME10-0000"</f>
        <v>00-ME10-0000</v>
      </c>
      <c r="C537" t="str">
        <f>"Assembly, JM, Mechanical Two-Student Add-on,120V"</f>
        <v>Assembly, JM, Mechanical Two-Student Add-on,120V</v>
      </c>
      <c r="D537" s="4"/>
      <c r="E537" s="4">
        <v>1</v>
      </c>
      <c r="F537" s="4"/>
      <c r="G537" s="29" t="str">
        <f>IFERROR(HYPERLINK("#"&amp;ADDRESS(MATCH(B537&amp;"ES",'LM7 Non-ENG'!$A$1:$A$5000,0),1,,,"LM7 Non-ENG"),IF(IFERROR(VLOOKUP(B537&amp;"ES",'LM7 Non-ENG'!$A$1:$A$4999,1,FALSE),"ERROR")=B537&amp;"ES","Y","")),"")</f>
        <v/>
      </c>
      <c r="H537" s="29" t="str">
        <f>IFERROR(HYPERLINK("#"&amp;ADDRESS(MATCH(B537&amp;"PT",'LM7 Non-ENG'!$A$1:$A$5000,0),1,,,"LM7 Non-ENG"),IF(IFERROR(VLOOKUP(B537&amp;"PT",'LM7 Non-ENG'!$A$1:$A$5000,1,FALSE),"ERROR")=B537&amp;"PT","Y","")),"")</f>
        <v/>
      </c>
      <c r="I537" t="str">
        <f>IFERROR(VLOOKUP(B537,PN!$A:$C,3,FALSE),"")</f>
        <v>Active</v>
      </c>
      <c r="J537" s="3">
        <f>IFERROR(E537*VLOOKUP(B537,PLInter!$A:$D,3,FALSE),"")</f>
        <v>23334</v>
      </c>
      <c r="K537" s="66"/>
      <c r="L537" s="66"/>
      <c r="M537" s="66"/>
      <c r="N537" s="66"/>
      <c r="O537" s="66"/>
      <c r="P537" s="66"/>
      <c r="Q537" s="66"/>
      <c r="R537" s="66"/>
      <c r="S537" s="66"/>
      <c r="T537" s="66"/>
    </row>
    <row r="538" spans="1:20" ht="18" customHeight="1">
      <c r="B538" s="2" t="str">
        <f>"00-ME10-0002"</f>
        <v>00-ME10-0002</v>
      </c>
      <c r="C538" s="2" t="str">
        <f>"Assembly, JM, Mechanical Two-Student Add-on,220V"</f>
        <v>Assembly, JM, Mechanical Two-Student Add-on,220V</v>
      </c>
      <c r="D538" s="5"/>
      <c r="E538" s="5">
        <v>1</v>
      </c>
      <c r="F538" s="5" t="str">
        <f>"Y"</f>
        <v>Y</v>
      </c>
      <c r="G538" s="29" t="str">
        <f>IFERROR(HYPERLINK("#"&amp;ADDRESS(MATCH(B538&amp;"ES",'LM7 Non-ENG'!$A$1:$A$5000,0),1,,,"LM7 Non-ENG"),IF(IFERROR(VLOOKUP(B538&amp;"ES",'LM7 Non-ENG'!$A$1:$A$4999,1,FALSE),"ERROR")=B538&amp;"ES","Y","")),"")</f>
        <v/>
      </c>
      <c r="H538" s="29" t="str">
        <f>IFERROR(HYPERLINK("#"&amp;ADDRESS(MATCH(B538&amp;"PT",'LM7 Non-ENG'!$A$1:$A$5000,0),1,,,"LM7 Non-ENG"),IF(IFERROR(VLOOKUP(B538&amp;"PT",'LM7 Non-ENG'!$A$1:$A$5000,1,FALSE),"ERROR")=B538&amp;"PT","Y","")),"")</f>
        <v/>
      </c>
      <c r="I538" t="str">
        <f>IFERROR(VLOOKUP(B538,PN!$A:$C,3,FALSE),"")</f>
        <v>Active</v>
      </c>
      <c r="J538" s="3">
        <f>IFERROR(E538*VLOOKUP(B538,PLInter!$A:$D,3,FALSE),"")</f>
        <v>23334</v>
      </c>
      <c r="K538" s="66"/>
      <c r="L538" s="66"/>
      <c r="M538" s="66"/>
      <c r="N538" s="66"/>
      <c r="O538" s="66"/>
      <c r="P538" s="66"/>
      <c r="Q538" s="66"/>
      <c r="R538" s="66"/>
      <c r="S538" s="66"/>
      <c r="T538" s="66"/>
    </row>
    <row r="539" spans="1:20" ht="18" customHeight="1">
      <c r="B539" t="str">
        <f>"00-ME13-1000"</f>
        <v>00-ME13-1000</v>
      </c>
      <c r="C539" t="str">
        <f>"Assembly, JM, Bearing Service Cart, 120V"</f>
        <v>Assembly, JM, Bearing Service Cart, 120V</v>
      </c>
      <c r="D539" s="4"/>
      <c r="E539" s="4">
        <v>1</v>
      </c>
      <c r="F539" s="4"/>
      <c r="G539" s="29" t="str">
        <f>IFERROR(HYPERLINK("#"&amp;ADDRESS(MATCH(B539&amp;"ES",'LM7 Non-ENG'!$A$1:$A$5000,0),1,,,"LM7 Non-ENG"),IF(IFERROR(VLOOKUP(B539&amp;"ES",'LM7 Non-ENG'!$A$1:$A$4999,1,FALSE),"ERROR")=B539&amp;"ES","Y","")),"")</f>
        <v/>
      </c>
      <c r="H539" s="29" t="str">
        <f>IFERROR(HYPERLINK("#"&amp;ADDRESS(MATCH(B539&amp;"PT",'LM7 Non-ENG'!$A$1:$A$5000,0),1,,,"LM7 Non-ENG"),IF(IFERROR(VLOOKUP(B539&amp;"PT",'LM7 Non-ENG'!$A$1:$A$5000,1,FALSE),"ERROR")=B539&amp;"PT","Y","")),"")</f>
        <v/>
      </c>
      <c r="I539" t="str">
        <f>IFERROR(VLOOKUP(B539,PN!$A:$C,3,FALSE),"")</f>
        <v>Active</v>
      </c>
      <c r="J539" s="3">
        <f>IFERROR(E539*VLOOKUP(B539,PLInter!$A:$D,3,FALSE),"")</f>
        <v>9067</v>
      </c>
      <c r="K539" s="66"/>
      <c r="L539" s="66"/>
      <c r="M539" s="66"/>
      <c r="N539" s="66"/>
      <c r="O539" s="66"/>
      <c r="P539" s="66"/>
      <c r="Q539" s="66"/>
      <c r="R539" s="66"/>
      <c r="S539" s="66"/>
      <c r="T539" s="66"/>
    </row>
    <row r="540" spans="1:20" ht="18" customHeight="1">
      <c r="B540" s="2" t="str">
        <f>"00-ME13-1002"</f>
        <v>00-ME13-1002</v>
      </c>
      <c r="C540" s="2" t="str">
        <f>"Assembly, JM, Bearing Service Cart, 220V"</f>
        <v>Assembly, JM, Bearing Service Cart, 220V</v>
      </c>
      <c r="D540" s="5"/>
      <c r="E540" s="5">
        <v>1</v>
      </c>
      <c r="F540" s="5" t="str">
        <f>"Y"</f>
        <v>Y</v>
      </c>
      <c r="G540" s="29" t="str">
        <f>IFERROR(HYPERLINK("#"&amp;ADDRESS(MATCH(B540&amp;"ES",'LM7 Non-ENG'!$A$1:$A$5000,0),1,,,"LM7 Non-ENG"),IF(IFERROR(VLOOKUP(B540&amp;"ES",'LM7 Non-ENG'!$A$1:$A$4999,1,FALSE),"ERROR")=B540&amp;"ES","Y","")),"")</f>
        <v/>
      </c>
      <c r="H540" s="29" t="str">
        <f>IFERROR(HYPERLINK("#"&amp;ADDRESS(MATCH(B540&amp;"PT",'LM7 Non-ENG'!$A$1:$A$5000,0),1,,,"LM7 Non-ENG"),IF(IFERROR(VLOOKUP(B540&amp;"PT",'LM7 Non-ENG'!$A$1:$A$5000,1,FALSE),"ERROR")=B540&amp;"PT","Y","")),"")</f>
        <v/>
      </c>
      <c r="I540" t="str">
        <f>IFERROR(VLOOKUP(B540,PN!$A:$C,3,FALSE),"")</f>
        <v>Active</v>
      </c>
      <c r="J540" s="3">
        <f>IFERROR(E540*VLOOKUP(B540,PLInter!$A:$D,3,FALSE),"")</f>
        <v>9067</v>
      </c>
      <c r="K540" s="66"/>
      <c r="L540" s="66"/>
      <c r="M540" s="66"/>
      <c r="N540" s="66"/>
      <c r="O540" s="66"/>
      <c r="P540" s="66"/>
      <c r="Q540" s="66"/>
      <c r="R540" s="66"/>
      <c r="S540" s="66"/>
      <c r="T540" s="66"/>
    </row>
    <row r="541" spans="1:20" ht="18" customHeight="1">
      <c r="B541" t="str">
        <f>"00-ME13-0000"</f>
        <v>00-ME13-0000</v>
      </c>
      <c r="C541" t="str">
        <f>"Assembly, JM, Bearing Two-Student Add-on, 120V"</f>
        <v>Assembly, JM, Bearing Two-Student Add-on, 120V</v>
      </c>
      <c r="D541" s="4"/>
      <c r="E541" s="4">
        <v>1</v>
      </c>
      <c r="F541" s="4"/>
      <c r="G541" s="29" t="str">
        <f>IFERROR(HYPERLINK("#"&amp;ADDRESS(MATCH(B541&amp;"ES",'LM7 Non-ENG'!$A$1:$A$5000,0),1,,,"LM7 Non-ENG"),IF(IFERROR(VLOOKUP(B541&amp;"ES",'LM7 Non-ENG'!$A$1:$A$4999,1,FALSE),"ERROR")=B541&amp;"ES","Y","")),"")</f>
        <v/>
      </c>
      <c r="H541" s="29" t="str">
        <f>IFERROR(HYPERLINK("#"&amp;ADDRESS(MATCH(B541&amp;"PT",'LM7 Non-ENG'!$A$1:$A$5000,0),1,,,"LM7 Non-ENG"),IF(IFERROR(VLOOKUP(B541&amp;"PT",'LM7 Non-ENG'!$A$1:$A$5000,1,FALSE),"ERROR")=B541&amp;"PT","Y","")),"")</f>
        <v/>
      </c>
      <c r="I541" t="str">
        <f>IFERROR(VLOOKUP(B541,PN!$A:$C,3,FALSE),"")</f>
        <v>Active</v>
      </c>
      <c r="J541" s="3">
        <f>IFERROR(E541*VLOOKUP(B541,PLInter!$A:$D,3,FALSE),"")</f>
        <v>5600</v>
      </c>
      <c r="K541" s="66"/>
      <c r="L541" s="66"/>
      <c r="M541" s="66"/>
      <c r="N541" s="66"/>
      <c r="O541" s="66"/>
      <c r="P541" s="66"/>
      <c r="Q541" s="66"/>
      <c r="R541" s="66"/>
      <c r="S541" s="66"/>
      <c r="T541" s="66"/>
    </row>
    <row r="542" spans="1:20" ht="18" customHeight="1">
      <c r="B542" s="2" t="str">
        <f>"00-ME13-0002"</f>
        <v>00-ME13-0002</v>
      </c>
      <c r="C542" s="2" t="str">
        <f>"Assembly, JM, Bearing Two-Student Add-on, 220V"</f>
        <v>Assembly, JM, Bearing Two-Student Add-on, 220V</v>
      </c>
      <c r="D542" s="5"/>
      <c r="E542" s="5">
        <v>1</v>
      </c>
      <c r="F542" s="5" t="str">
        <f>"Y"</f>
        <v>Y</v>
      </c>
      <c r="G542" s="29" t="str">
        <f>IFERROR(HYPERLINK("#"&amp;ADDRESS(MATCH(B542&amp;"ES",'LM7 Non-ENG'!$A$1:$A$5000,0),1,,,"LM7 Non-ENG"),IF(IFERROR(VLOOKUP(B542&amp;"ES",'LM7 Non-ENG'!$A$1:$A$4999,1,FALSE),"ERROR")=B542&amp;"ES","Y","")),"")</f>
        <v/>
      </c>
      <c r="H542" s="29" t="str">
        <f>IFERROR(HYPERLINK("#"&amp;ADDRESS(MATCH(B542&amp;"PT",'LM7 Non-ENG'!$A$1:$A$5000,0),1,,,"LM7 Non-ENG"),IF(IFERROR(VLOOKUP(B542&amp;"PT",'LM7 Non-ENG'!$A$1:$A$5000,1,FALSE),"ERROR")=B542&amp;"PT","Y","")),"")</f>
        <v/>
      </c>
      <c r="I542" t="str">
        <f>IFERROR(VLOOKUP(B542,PN!$A:$C,3,FALSE),"")</f>
        <v>Active</v>
      </c>
      <c r="J542" s="3">
        <f>IFERROR(E542*VLOOKUP(B542,PLInter!$A:$D,3,FALSE),"")</f>
        <v>5600</v>
      </c>
      <c r="K542" s="66"/>
      <c r="L542" s="66"/>
      <c r="M542" s="66"/>
      <c r="N542" s="66"/>
      <c r="O542" s="66"/>
      <c r="P542" s="66"/>
      <c r="Q542" s="66"/>
      <c r="R542" s="66"/>
      <c r="S542" s="66"/>
      <c r="T542" s="66"/>
    </row>
    <row r="543" spans="1:20" ht="18" customHeight="1">
      <c r="B543" t="str">
        <f>"00-ME11-1000"</f>
        <v>00-ME11-1000</v>
      </c>
      <c r="C543" t="str">
        <f>"Assembly, JM, Add-on, Laser Alignment Tools"</f>
        <v>Assembly, JM, Add-on, Laser Alignment Tools</v>
      </c>
      <c r="D543" s="4"/>
      <c r="E543" s="4">
        <v>1</v>
      </c>
      <c r="F543" s="4"/>
      <c r="G543" s="29" t="str">
        <f>IFERROR(HYPERLINK("#"&amp;ADDRESS(MATCH(B543&amp;"ES",'LM7 Non-ENG'!$A$1:$A$5000,0),1,,,"LM7 Non-ENG"),IF(IFERROR(VLOOKUP(B543&amp;"ES",'LM7 Non-ENG'!$A$1:$A$4999,1,FALSE),"ERROR")=B543&amp;"ES","Y","")),"")</f>
        <v/>
      </c>
      <c r="H543" s="29" t="str">
        <f>IFERROR(HYPERLINK("#"&amp;ADDRESS(MATCH(B543&amp;"PT",'LM7 Non-ENG'!$A$1:$A$5000,0),1,,,"LM7 Non-ENG"),IF(IFERROR(VLOOKUP(B543&amp;"PT",'LM7 Non-ENG'!$A$1:$A$5000,1,FALSE),"ERROR")=B543&amp;"PT","Y","")),"")</f>
        <v/>
      </c>
      <c r="I543" t="str">
        <f>IFERROR(VLOOKUP(B543,PN!$A:$C,3,FALSE),"")</f>
        <v>Active</v>
      </c>
      <c r="J543" s="3">
        <f>IFERROR(E543*VLOOKUP(B543,PLInter!$A:$D,3,FALSE),"")</f>
        <v>16000</v>
      </c>
      <c r="K543" s="66"/>
      <c r="L543" s="66"/>
      <c r="M543" s="66"/>
      <c r="N543" s="66"/>
      <c r="O543" s="66"/>
      <c r="P543" s="66"/>
      <c r="Q543" s="66"/>
      <c r="R543" s="66"/>
      <c r="S543" s="66"/>
      <c r="T543" s="66"/>
    </row>
    <row r="544" spans="1:20" ht="18" customHeight="1">
      <c r="B544" t="str">
        <f>"00-ME12-1000"</f>
        <v>00-ME12-1000</v>
      </c>
      <c r="C544" t="str">
        <f>"Assembly, JM, Add-on, Vibration Analysis Tools"</f>
        <v>Assembly, JM, Add-on, Vibration Analysis Tools</v>
      </c>
      <c r="D544" s="4"/>
      <c r="E544" s="4">
        <v>1</v>
      </c>
      <c r="F544" s="4"/>
      <c r="G544" s="29" t="str">
        <f>IFERROR(HYPERLINK("#"&amp;ADDRESS(MATCH(B544&amp;"ES",'LM7 Non-ENG'!$A$1:$A$5000,0),1,,,"LM7 Non-ENG"),IF(IFERROR(VLOOKUP(B544&amp;"ES",'LM7 Non-ENG'!$A$1:$A$4999,1,FALSE),"ERROR")=B544&amp;"ES","Y","")),"")</f>
        <v/>
      </c>
      <c r="H544" s="29" t="str">
        <f>IFERROR(HYPERLINK("#"&amp;ADDRESS(MATCH(B544&amp;"PT",'LM7 Non-ENG'!$A$1:$A$5000,0),1,,,"LM7 Non-ENG"),IF(IFERROR(VLOOKUP(B544&amp;"PT",'LM7 Non-ENG'!$A$1:$A$5000,1,FALSE),"ERROR")=B544&amp;"PT","Y","")),"")</f>
        <v/>
      </c>
      <c r="I544" t="str">
        <f>IFERROR(VLOOKUP(B544,PN!$A:$C,3,FALSE),"")</f>
        <v>Active</v>
      </c>
      <c r="J544" s="3">
        <f>IFERROR(E544*VLOOKUP(B544,PLInter!$A:$D,3,FALSE),"")</f>
        <v>6600</v>
      </c>
      <c r="K544" s="66"/>
      <c r="L544" s="66"/>
      <c r="M544" s="66"/>
      <c r="N544" s="66"/>
      <c r="O544" s="66"/>
      <c r="P544" s="66"/>
      <c r="Q544" s="66"/>
      <c r="R544" s="66"/>
      <c r="S544" s="66"/>
      <c r="T544" s="66"/>
    </row>
    <row r="545" spans="2:20" ht="18" customHeight="1">
      <c r="B545" t="str">
        <f>"77-ME01-0001"</f>
        <v>77-ME01-0001</v>
      </c>
      <c r="C545" t="str">
        <f>"LM7 Content, JM, Basic Machines"</f>
        <v>LM7 Content, JM, Basic Machines</v>
      </c>
      <c r="D545" s="4"/>
      <c r="E545" s="4">
        <v>1</v>
      </c>
      <c r="F545" s="4"/>
      <c r="G545" s="29" t="str">
        <f>IFERROR(HYPERLINK("#"&amp;ADDRESS(MATCH(B545&amp;"ES",'LM7 Non-ENG'!$A$1:$A$5000,0),1,,,"LM7 Non-ENG"),IF(IFERROR(VLOOKUP(B545&amp;"ES",'LM7 Non-ENG'!$A$1:$A$4999,1,FALSE),"ERROR")=B545&amp;"ES","Y","")),"")</f>
        <v>Y</v>
      </c>
      <c r="H545" s="29" t="str">
        <f>IFERROR(HYPERLINK("#"&amp;ADDRESS(MATCH(B545&amp;"PT",'LM7 Non-ENG'!$A$1:$A$5000,0),1,,,"LM7 Non-ENG"),IF(IFERROR(VLOOKUP(B545&amp;"PT",'LM7 Non-ENG'!$A$1:$A$5000,1,FALSE),"ERROR")=B545&amp;"PT","Y","")),"")</f>
        <v/>
      </c>
      <c r="I545" t="str">
        <f>IFERROR(VLOOKUP(B545,PN!$A:$C,3,FALSE),"")</f>
        <v>Active</v>
      </c>
      <c r="J545" s="3">
        <f>IFERROR(E545*VLOOKUP(B545,PLInter!$A:$D,3,FALSE),"")</f>
        <v>700</v>
      </c>
      <c r="K545" s="66"/>
      <c r="L545" s="66"/>
      <c r="M545" s="66"/>
      <c r="N545" s="66"/>
      <c r="O545" s="66"/>
      <c r="P545" s="66"/>
      <c r="Q545" s="66"/>
      <c r="R545" s="66"/>
      <c r="S545" s="66"/>
      <c r="T545" s="66"/>
    </row>
    <row r="546" spans="2:20" ht="18" customHeight="1">
      <c r="B546" s="2" t="str">
        <f>"17-ME01-0001"</f>
        <v>17-ME01-0001</v>
      </c>
      <c r="C546" s="2" t="str">
        <f>"LM5.X Content, JM, Basic Machines"</f>
        <v>LM5.X Content, JM, Basic Machines</v>
      </c>
      <c r="D546" s="5"/>
      <c r="E546" s="5">
        <v>1</v>
      </c>
      <c r="F546" s="5" t="str">
        <f>"Y"</f>
        <v>Y</v>
      </c>
      <c r="G546" s="29" t="str">
        <f>IFERROR(HYPERLINK("#"&amp;ADDRESS(MATCH(B546&amp;"ES",'LM7 Non-ENG'!$A$1:$A$5000,0),1,,,"LM7 Non-ENG"),IF(IFERROR(VLOOKUP(B546&amp;"ES",'LM7 Non-ENG'!$A$1:$A$4999,1,FALSE),"ERROR")=B546&amp;"ES","Y","")),"")</f>
        <v/>
      </c>
      <c r="H546" s="29" t="str">
        <f>IFERROR(HYPERLINK("#"&amp;ADDRESS(MATCH(B546&amp;"PT",'LM7 Non-ENG'!$A$1:$A$5000,0),1,,,"LM7 Non-ENG"),IF(IFERROR(VLOOKUP(B546&amp;"PT",'LM7 Non-ENG'!$A$1:$A$5000,1,FALSE),"ERROR")=B546&amp;"PT","Y","")),"")</f>
        <v/>
      </c>
      <c r="I546" t="str">
        <f>IFERROR(VLOOKUP(B546,PN!$A:$C,3,FALSE),"")</f>
        <v>Active</v>
      </c>
      <c r="J546" s="3">
        <f>IFERROR(E546*VLOOKUP(B546,PLInter!$A:$D,3,FALSE),"")</f>
        <v>700</v>
      </c>
      <c r="K546" s="66"/>
      <c r="L546" s="66"/>
      <c r="M546" s="66"/>
      <c r="N546" s="66"/>
      <c r="O546" s="66"/>
      <c r="P546" s="66"/>
      <c r="Q546" s="66"/>
      <c r="R546" s="66"/>
      <c r="S546" s="66"/>
      <c r="T546" s="66"/>
    </row>
    <row r="547" spans="2:20" ht="18" customHeight="1">
      <c r="B547" t="str">
        <f>"77-ME02-0001"</f>
        <v>77-ME02-0001</v>
      </c>
      <c r="C547" t="str">
        <f>"LM7 Content, JM, Machine Statics and Dynamics"</f>
        <v>LM7 Content, JM, Machine Statics and Dynamics</v>
      </c>
      <c r="D547" s="4"/>
      <c r="E547" s="4">
        <v>1</v>
      </c>
      <c r="F547" s="4"/>
      <c r="G547" s="29" t="str">
        <f>IFERROR(HYPERLINK("#"&amp;ADDRESS(MATCH(B547&amp;"ES",'LM7 Non-ENG'!$A$1:$A$5000,0),1,,,"LM7 Non-ENG"),IF(IFERROR(VLOOKUP(B547&amp;"ES",'LM7 Non-ENG'!$A$1:$A$4999,1,FALSE),"ERROR")=B547&amp;"ES","Y","")),"")</f>
        <v>Y</v>
      </c>
      <c r="H547" s="29" t="str">
        <f>IFERROR(HYPERLINK("#"&amp;ADDRESS(MATCH(B547&amp;"PT",'LM7 Non-ENG'!$A$1:$A$5000,0),1,,,"LM7 Non-ENG"),IF(IFERROR(VLOOKUP(B547&amp;"PT",'LM7 Non-ENG'!$A$1:$A$5000,1,FALSE),"ERROR")=B547&amp;"PT","Y","")),"")</f>
        <v/>
      </c>
      <c r="I547" t="str">
        <f>IFERROR(VLOOKUP(B547,PN!$A:$C,3,FALSE),"")</f>
        <v>Active</v>
      </c>
      <c r="J547" s="3">
        <f>IFERROR(E547*VLOOKUP(B547,PLInter!$A:$D,3,FALSE),"")</f>
        <v>700</v>
      </c>
      <c r="K547" s="66"/>
      <c r="L547" s="66"/>
      <c r="M547" s="66"/>
      <c r="N547" s="66"/>
      <c r="O547" s="66"/>
      <c r="P547" s="66"/>
      <c r="Q547" s="66"/>
      <c r="R547" s="66"/>
      <c r="S547" s="66"/>
      <c r="T547" s="66"/>
    </row>
    <row r="548" spans="2:20" ht="18" customHeight="1">
      <c r="B548" s="2" t="str">
        <f>"17-ME02-0001"</f>
        <v>17-ME02-0001</v>
      </c>
      <c r="C548" s="2" t="str">
        <f>"LM5.X Content, JM, Machine Statics and Dynamics"</f>
        <v>LM5.X Content, JM, Machine Statics and Dynamics</v>
      </c>
      <c r="D548" s="5"/>
      <c r="E548" s="5">
        <v>1</v>
      </c>
      <c r="F548" s="5" t="str">
        <f>"Y"</f>
        <v>Y</v>
      </c>
      <c r="G548" s="29" t="str">
        <f>IFERROR(HYPERLINK("#"&amp;ADDRESS(MATCH(B548&amp;"ES",'LM7 Non-ENG'!$A$1:$A$5000,0),1,,,"LM7 Non-ENG"),IF(IFERROR(VLOOKUP(B548&amp;"ES",'LM7 Non-ENG'!$A$1:$A$4999,1,FALSE),"ERROR")=B548&amp;"ES","Y","")),"")</f>
        <v/>
      </c>
      <c r="H548" s="29" t="str">
        <f>IFERROR(HYPERLINK("#"&amp;ADDRESS(MATCH(B548&amp;"PT",'LM7 Non-ENG'!$A$1:$A$5000,0),1,,,"LM7 Non-ENG"),IF(IFERROR(VLOOKUP(B548&amp;"PT",'LM7 Non-ENG'!$A$1:$A$5000,1,FALSE),"ERROR")=B548&amp;"PT","Y","")),"")</f>
        <v/>
      </c>
      <c r="I548" t="str">
        <f>IFERROR(VLOOKUP(B548,PN!$A:$C,3,FALSE),"")</f>
        <v>Active</v>
      </c>
      <c r="J548" s="3">
        <f>IFERROR(E548*VLOOKUP(B548,PLInter!$A:$D,3,FALSE),"")</f>
        <v>700</v>
      </c>
      <c r="K548" s="66"/>
      <c r="L548" s="66"/>
      <c r="M548" s="66"/>
      <c r="N548" s="66"/>
      <c r="O548" s="66"/>
      <c r="P548" s="66"/>
      <c r="Q548" s="66"/>
      <c r="R548" s="66"/>
      <c r="S548" s="66"/>
      <c r="T548" s="66"/>
    </row>
    <row r="549" spans="2:20" ht="18" customHeight="1">
      <c r="B549" t="str">
        <f>"77-ME03-0001"</f>
        <v>77-ME03-0001</v>
      </c>
      <c r="C549" t="str">
        <f>"LM7 Content, JM, Machine Shafts and Keys"</f>
        <v>LM7 Content, JM, Machine Shafts and Keys</v>
      </c>
      <c r="D549" s="4"/>
      <c r="E549" s="4">
        <v>1</v>
      </c>
      <c r="F549" s="4"/>
      <c r="G549" s="29" t="str">
        <f>IFERROR(HYPERLINK("#"&amp;ADDRESS(MATCH(B549&amp;"ES",'LM7 Non-ENG'!$A$1:$A$5000,0),1,,,"LM7 Non-ENG"),IF(IFERROR(VLOOKUP(B549&amp;"ES",'LM7 Non-ENG'!$A$1:$A$4999,1,FALSE),"ERROR")=B549&amp;"ES","Y","")),"")</f>
        <v>Y</v>
      </c>
      <c r="H549" s="29" t="str">
        <f>IFERROR(HYPERLINK("#"&amp;ADDRESS(MATCH(B549&amp;"PT",'LM7 Non-ENG'!$A$1:$A$5000,0),1,,,"LM7 Non-ENG"),IF(IFERROR(VLOOKUP(B549&amp;"PT",'LM7 Non-ENG'!$A$1:$A$5000,1,FALSE),"ERROR")=B549&amp;"PT","Y","")),"")</f>
        <v/>
      </c>
      <c r="I549" t="str">
        <f>IFERROR(VLOOKUP(B549,PN!$A:$C,3,FALSE),"")</f>
        <v>Active</v>
      </c>
      <c r="J549" s="3">
        <f>IFERROR(E549*VLOOKUP(B549,PLInter!$A:$D,3,FALSE),"")</f>
        <v>700</v>
      </c>
      <c r="K549" s="66"/>
      <c r="L549" s="66"/>
      <c r="M549" s="66"/>
      <c r="N549" s="66"/>
      <c r="O549" s="66"/>
      <c r="P549" s="66"/>
      <c r="Q549" s="66"/>
      <c r="R549" s="66"/>
      <c r="S549" s="66"/>
      <c r="T549" s="66"/>
    </row>
    <row r="550" spans="2:20" ht="18" customHeight="1">
      <c r="B550" s="2" t="str">
        <f>"17-ME03-0001"</f>
        <v>17-ME03-0001</v>
      </c>
      <c r="C550" s="2" t="str">
        <f>"LM5.X Content, JM, Machine Shafts and Keys"</f>
        <v>LM5.X Content, JM, Machine Shafts and Keys</v>
      </c>
      <c r="D550" s="5"/>
      <c r="E550" s="5">
        <v>1</v>
      </c>
      <c r="F550" s="5" t="str">
        <f>"Y"</f>
        <v>Y</v>
      </c>
      <c r="G550" s="29" t="str">
        <f>IFERROR(HYPERLINK("#"&amp;ADDRESS(MATCH(B550&amp;"ES",'LM7 Non-ENG'!$A$1:$A$5000,0),1,,,"LM7 Non-ENG"),IF(IFERROR(VLOOKUP(B550&amp;"ES",'LM7 Non-ENG'!$A$1:$A$4999,1,FALSE),"ERROR")=B550&amp;"ES","Y","")),"")</f>
        <v/>
      </c>
      <c r="H550" s="29" t="str">
        <f>IFERROR(HYPERLINK("#"&amp;ADDRESS(MATCH(B550&amp;"PT",'LM7 Non-ENG'!$A$1:$A$5000,0),1,,,"LM7 Non-ENG"),IF(IFERROR(VLOOKUP(B550&amp;"PT",'LM7 Non-ENG'!$A$1:$A$5000,1,FALSE),"ERROR")=B550&amp;"PT","Y","")),"")</f>
        <v/>
      </c>
      <c r="I550" t="str">
        <f>IFERROR(VLOOKUP(B550,PN!$A:$C,3,FALSE),"")</f>
        <v>Active</v>
      </c>
      <c r="J550" s="3">
        <f>IFERROR(E550*VLOOKUP(B550,PLInter!$A:$D,3,FALSE),"")</f>
        <v>700</v>
      </c>
      <c r="K550" s="66"/>
      <c r="L550" s="66"/>
      <c r="M550" s="66"/>
      <c r="N550" s="66"/>
      <c r="O550" s="66"/>
      <c r="P550" s="66"/>
      <c r="Q550" s="66"/>
      <c r="R550" s="66"/>
      <c r="S550" s="66"/>
      <c r="T550" s="66"/>
    </row>
    <row r="551" spans="2:20" ht="18" customHeight="1">
      <c r="B551" t="str">
        <f>"77-ME04-0001"</f>
        <v>77-ME04-0001</v>
      </c>
      <c r="C551" t="str">
        <f>"LM7 Content, JM, Bearings"</f>
        <v>LM7 Content, JM, Bearings</v>
      </c>
      <c r="D551" s="4"/>
      <c r="E551" s="4">
        <v>1</v>
      </c>
      <c r="F551" s="4"/>
      <c r="G551" s="29" t="str">
        <f>IFERROR(HYPERLINK("#"&amp;ADDRESS(MATCH(B551&amp;"ES",'LM7 Non-ENG'!$A$1:$A$5000,0),1,,,"LM7 Non-ENG"),IF(IFERROR(VLOOKUP(B551&amp;"ES",'LM7 Non-ENG'!$A$1:$A$4999,1,FALSE),"ERROR")=B551&amp;"ES","Y","")),"")</f>
        <v>Y</v>
      </c>
      <c r="H551" s="29" t="str">
        <f>IFERROR(HYPERLINK("#"&amp;ADDRESS(MATCH(B551&amp;"PT",'LM7 Non-ENG'!$A$1:$A$5000,0),1,,,"LM7 Non-ENG"),IF(IFERROR(VLOOKUP(B551&amp;"PT",'LM7 Non-ENG'!$A$1:$A$5000,1,FALSE),"ERROR")=B551&amp;"PT","Y","")),"")</f>
        <v/>
      </c>
      <c r="I551" t="str">
        <f>IFERROR(VLOOKUP(B551,PN!$A:$C,3,FALSE),"")</f>
        <v>Active</v>
      </c>
      <c r="J551" s="3">
        <f>IFERROR(E551*VLOOKUP(B551,PLInter!$A:$D,3,FALSE),"")</f>
        <v>700</v>
      </c>
      <c r="K551" s="66"/>
      <c r="L551" s="66"/>
      <c r="M551" s="66"/>
      <c r="N551" s="66"/>
      <c r="O551" s="66"/>
      <c r="P551" s="66"/>
      <c r="Q551" s="66"/>
      <c r="R551" s="66"/>
      <c r="S551" s="66"/>
      <c r="T551" s="66"/>
    </row>
    <row r="552" spans="2:20" ht="18" customHeight="1">
      <c r="B552" s="2" t="str">
        <f>"17-ME04-0001"</f>
        <v>17-ME04-0001</v>
      </c>
      <c r="C552" s="2" t="str">
        <f>"LM5.X Content, JM, Bearings"</f>
        <v>LM5.X Content, JM, Bearings</v>
      </c>
      <c r="D552" s="5"/>
      <c r="E552" s="5">
        <v>1</v>
      </c>
      <c r="F552" s="5" t="str">
        <f>"Y"</f>
        <v>Y</v>
      </c>
      <c r="G552" s="29" t="str">
        <f>IFERROR(HYPERLINK("#"&amp;ADDRESS(MATCH(B552&amp;"ES",'LM7 Non-ENG'!$A$1:$A$5000,0),1,,,"LM7 Non-ENG"),IF(IFERROR(VLOOKUP(B552&amp;"ES",'LM7 Non-ENG'!$A$1:$A$4999,1,FALSE),"ERROR")=B552&amp;"ES","Y","")),"")</f>
        <v/>
      </c>
      <c r="H552" s="29" t="str">
        <f>IFERROR(HYPERLINK("#"&amp;ADDRESS(MATCH(B552&amp;"PT",'LM7 Non-ENG'!$A$1:$A$5000,0),1,,,"LM7 Non-ENG"),IF(IFERROR(VLOOKUP(B552&amp;"PT",'LM7 Non-ENG'!$A$1:$A$5000,1,FALSE),"ERROR")=B552&amp;"PT","Y","")),"")</f>
        <v/>
      </c>
      <c r="I552" t="str">
        <f>IFERROR(VLOOKUP(B552,PN!$A:$C,3,FALSE),"")</f>
        <v>Active</v>
      </c>
      <c r="J552" s="3">
        <f>IFERROR(E552*VLOOKUP(B552,PLInter!$A:$D,3,FALSE),"")</f>
        <v>700</v>
      </c>
      <c r="K552" s="66"/>
      <c r="L552" s="66"/>
      <c r="M552" s="66"/>
      <c r="N552" s="66"/>
      <c r="O552" s="66"/>
      <c r="P552" s="66"/>
      <c r="Q552" s="66"/>
      <c r="R552" s="66"/>
      <c r="S552" s="66"/>
      <c r="T552" s="66"/>
    </row>
    <row r="553" spans="2:20" ht="18" customHeight="1">
      <c r="B553" t="str">
        <f>"77-ME05-0001"</f>
        <v>77-ME05-0001</v>
      </c>
      <c r="C553" t="str">
        <f>"LM7 Content, JM, Belt Drives"</f>
        <v>LM7 Content, JM, Belt Drives</v>
      </c>
      <c r="D553" s="4"/>
      <c r="E553" s="4">
        <v>1</v>
      </c>
      <c r="F553" s="4"/>
      <c r="G553" s="29" t="str">
        <f>IFERROR(HYPERLINK("#"&amp;ADDRESS(MATCH(B553&amp;"ES",'LM7 Non-ENG'!$A$1:$A$5000,0),1,,,"LM7 Non-ENG"),IF(IFERROR(VLOOKUP(B553&amp;"ES",'LM7 Non-ENG'!$A$1:$A$4999,1,FALSE),"ERROR")=B553&amp;"ES","Y","")),"")</f>
        <v>Y</v>
      </c>
      <c r="H553" s="29" t="str">
        <f>IFERROR(HYPERLINK("#"&amp;ADDRESS(MATCH(B553&amp;"PT",'LM7 Non-ENG'!$A$1:$A$5000,0),1,,,"LM7 Non-ENG"),IF(IFERROR(VLOOKUP(B553&amp;"PT",'LM7 Non-ENG'!$A$1:$A$5000,1,FALSE),"ERROR")=B553&amp;"PT","Y","")),"")</f>
        <v/>
      </c>
      <c r="I553" t="str">
        <f>IFERROR(VLOOKUP(B553,PN!$A:$C,3,FALSE),"")</f>
        <v>Active</v>
      </c>
      <c r="J553" s="3">
        <f>IFERROR(E553*VLOOKUP(B553,PLInter!$A:$D,3,FALSE),"")</f>
        <v>700</v>
      </c>
      <c r="K553" s="66"/>
      <c r="L553" s="66"/>
      <c r="M553" s="66"/>
      <c r="N553" s="66"/>
      <c r="O553" s="66"/>
      <c r="P553" s="66"/>
      <c r="Q553" s="66"/>
      <c r="R553" s="66"/>
      <c r="S553" s="66"/>
      <c r="T553" s="66"/>
    </row>
    <row r="554" spans="2:20" ht="18" customHeight="1">
      <c r="B554" s="2" t="str">
        <f>"17-ME05-0001"</f>
        <v>17-ME05-0001</v>
      </c>
      <c r="C554" s="2" t="str">
        <f>"LM5.X Content, JM, Belt Drives"</f>
        <v>LM5.X Content, JM, Belt Drives</v>
      </c>
      <c r="D554" s="5"/>
      <c r="E554" s="5">
        <v>1</v>
      </c>
      <c r="F554" s="5" t="str">
        <f>"Y"</f>
        <v>Y</v>
      </c>
      <c r="G554" s="29" t="str">
        <f>IFERROR(HYPERLINK("#"&amp;ADDRESS(MATCH(B554&amp;"ES",'LM7 Non-ENG'!$A$1:$A$5000,0),1,,,"LM7 Non-ENG"),IF(IFERROR(VLOOKUP(B554&amp;"ES",'LM7 Non-ENG'!$A$1:$A$4999,1,FALSE),"ERROR")=B554&amp;"ES","Y","")),"")</f>
        <v/>
      </c>
      <c r="H554" s="29" t="str">
        <f>IFERROR(HYPERLINK("#"&amp;ADDRESS(MATCH(B554&amp;"PT",'LM7 Non-ENG'!$A$1:$A$5000,0),1,,,"LM7 Non-ENG"),IF(IFERROR(VLOOKUP(B554&amp;"PT",'LM7 Non-ENG'!$A$1:$A$5000,1,FALSE),"ERROR")=B554&amp;"PT","Y","")),"")</f>
        <v/>
      </c>
      <c r="I554" t="str">
        <f>IFERROR(VLOOKUP(B554,PN!$A:$C,3,FALSE),"")</f>
        <v>Active</v>
      </c>
      <c r="J554" s="3">
        <f>IFERROR(E554*VLOOKUP(B554,PLInter!$A:$D,3,FALSE),"")</f>
        <v>700</v>
      </c>
      <c r="K554" s="66"/>
      <c r="L554" s="66"/>
      <c r="M554" s="66"/>
      <c r="N554" s="66"/>
      <c r="O554" s="66"/>
      <c r="P554" s="66"/>
      <c r="Q554" s="66"/>
      <c r="R554" s="66"/>
      <c r="S554" s="66"/>
      <c r="T554" s="66"/>
    </row>
    <row r="555" spans="2:20" ht="18" customHeight="1">
      <c r="B555" t="str">
        <f>"77-ME06-0001"</f>
        <v>77-ME06-0001</v>
      </c>
      <c r="C555" t="str">
        <f>"LM7 Content, JM, Chain Drives"</f>
        <v>LM7 Content, JM, Chain Drives</v>
      </c>
      <c r="D555" s="4"/>
      <c r="E555" s="4">
        <v>1</v>
      </c>
      <c r="F555" s="4"/>
      <c r="G555" s="29" t="str">
        <f>IFERROR(HYPERLINK("#"&amp;ADDRESS(MATCH(B555&amp;"ES",'LM7 Non-ENG'!$A$1:$A$5000,0),1,,,"LM7 Non-ENG"),IF(IFERROR(VLOOKUP(B555&amp;"ES",'LM7 Non-ENG'!$A$1:$A$4999,1,FALSE),"ERROR")=B555&amp;"ES","Y","")),"")</f>
        <v>Y</v>
      </c>
      <c r="H555" s="29" t="str">
        <f>IFERROR(HYPERLINK("#"&amp;ADDRESS(MATCH(B555&amp;"PT",'LM7 Non-ENG'!$A$1:$A$5000,0),1,,,"LM7 Non-ENG"),IF(IFERROR(VLOOKUP(B555&amp;"PT",'LM7 Non-ENG'!$A$1:$A$5000,1,FALSE),"ERROR")=B555&amp;"PT","Y","")),"")</f>
        <v/>
      </c>
      <c r="I555" t="str">
        <f>IFERROR(VLOOKUP(B555,PN!$A:$C,3,FALSE),"")</f>
        <v>Active</v>
      </c>
      <c r="J555" s="3">
        <f>IFERROR(E555*VLOOKUP(B555,PLInter!$A:$D,3,FALSE),"")</f>
        <v>700</v>
      </c>
      <c r="K555" s="66"/>
      <c r="L555" s="66"/>
      <c r="M555" s="66"/>
      <c r="N555" s="66"/>
      <c r="O555" s="66"/>
      <c r="P555" s="66"/>
      <c r="Q555" s="66"/>
      <c r="R555" s="66"/>
      <c r="S555" s="66"/>
      <c r="T555" s="66"/>
    </row>
    <row r="556" spans="2:20" ht="18" customHeight="1">
      <c r="B556" s="2" t="str">
        <f>"17-ME06-0001"</f>
        <v>17-ME06-0001</v>
      </c>
      <c r="C556" s="2" t="str">
        <f>"LM5.X Content, JM, Chain Drives"</f>
        <v>LM5.X Content, JM, Chain Drives</v>
      </c>
      <c r="D556" s="5"/>
      <c r="E556" s="5">
        <v>1</v>
      </c>
      <c r="F556" s="5" t="str">
        <f>"Y"</f>
        <v>Y</v>
      </c>
      <c r="G556" s="29" t="str">
        <f>IFERROR(HYPERLINK("#"&amp;ADDRESS(MATCH(B556&amp;"ES",'LM7 Non-ENG'!$A$1:$A$5000,0),1,,,"LM7 Non-ENG"),IF(IFERROR(VLOOKUP(B556&amp;"ES",'LM7 Non-ENG'!$A$1:$A$4999,1,FALSE),"ERROR")=B556&amp;"ES","Y","")),"")</f>
        <v/>
      </c>
      <c r="H556" s="29" t="str">
        <f>IFERROR(HYPERLINK("#"&amp;ADDRESS(MATCH(B556&amp;"PT",'LM7 Non-ENG'!$A$1:$A$5000,0),1,,,"LM7 Non-ENG"),IF(IFERROR(VLOOKUP(B556&amp;"PT",'LM7 Non-ENG'!$A$1:$A$5000,1,FALSE),"ERROR")=B556&amp;"PT","Y","")),"")</f>
        <v/>
      </c>
      <c r="I556" t="str">
        <f>IFERROR(VLOOKUP(B556,PN!$A:$C,3,FALSE),"")</f>
        <v>Active</v>
      </c>
      <c r="J556" s="3">
        <f>IFERROR(E556*VLOOKUP(B556,PLInter!$A:$D,3,FALSE),"")</f>
        <v>700</v>
      </c>
      <c r="K556" s="66"/>
      <c r="L556" s="66"/>
      <c r="M556" s="66"/>
      <c r="N556" s="66"/>
      <c r="O556" s="66"/>
      <c r="P556" s="66"/>
      <c r="Q556" s="66"/>
      <c r="R556" s="66"/>
      <c r="S556" s="66"/>
      <c r="T556" s="66"/>
    </row>
    <row r="557" spans="2:20" ht="18" customHeight="1">
      <c r="B557" t="str">
        <f>"77-ME07-0001"</f>
        <v>77-ME07-0001</v>
      </c>
      <c r="C557" t="str">
        <f>"LM7 Content, JM, Machine Shaft Couplings"</f>
        <v>LM7 Content, JM, Machine Shaft Couplings</v>
      </c>
      <c r="D557" s="4"/>
      <c r="E557" s="4">
        <v>1</v>
      </c>
      <c r="F557" s="4"/>
      <c r="G557" s="29" t="str">
        <f>IFERROR(HYPERLINK("#"&amp;ADDRESS(MATCH(B557&amp;"ES",'LM7 Non-ENG'!$A$1:$A$5000,0),1,,,"LM7 Non-ENG"),IF(IFERROR(VLOOKUP(B557&amp;"ES",'LM7 Non-ENG'!$A$1:$A$4999,1,FALSE),"ERROR")=B557&amp;"ES","Y","")),"")</f>
        <v>Y</v>
      </c>
      <c r="H557" s="29" t="str">
        <f>IFERROR(HYPERLINK("#"&amp;ADDRESS(MATCH(B557&amp;"PT",'LM7 Non-ENG'!$A$1:$A$5000,0),1,,,"LM7 Non-ENG"),IF(IFERROR(VLOOKUP(B557&amp;"PT",'LM7 Non-ENG'!$A$1:$A$5000,1,FALSE),"ERROR")=B557&amp;"PT","Y","")),"")</f>
        <v/>
      </c>
      <c r="I557" t="str">
        <f>IFERROR(VLOOKUP(B557,PN!$A:$C,3,FALSE),"")</f>
        <v>Active</v>
      </c>
      <c r="J557" s="3">
        <f>IFERROR(E557*VLOOKUP(B557,PLInter!$A:$D,3,FALSE),"")</f>
        <v>700</v>
      </c>
      <c r="K557" s="66"/>
      <c r="L557" s="66"/>
      <c r="M557" s="66"/>
      <c r="N557" s="66"/>
      <c r="O557" s="66"/>
      <c r="P557" s="66"/>
      <c r="Q557" s="66"/>
      <c r="R557" s="66"/>
      <c r="S557" s="66"/>
      <c r="T557" s="66"/>
    </row>
    <row r="558" spans="2:20" ht="18" customHeight="1">
      <c r="B558" s="2" t="str">
        <f>"17-ME07-0001"</f>
        <v>17-ME07-0001</v>
      </c>
      <c r="C558" s="2" t="str">
        <f>"LM5.X Content, JM, Machine Shaft Couplings"</f>
        <v>LM5.X Content, JM, Machine Shaft Couplings</v>
      </c>
      <c r="D558" s="5"/>
      <c r="E558" s="5">
        <v>1</v>
      </c>
      <c r="F558" s="5" t="str">
        <f>"Y"</f>
        <v>Y</v>
      </c>
      <c r="G558" s="29" t="str">
        <f>IFERROR(HYPERLINK("#"&amp;ADDRESS(MATCH(B558&amp;"ES",'LM7 Non-ENG'!$A$1:$A$5000,0),1,,,"LM7 Non-ENG"),IF(IFERROR(VLOOKUP(B558&amp;"ES",'LM7 Non-ENG'!$A$1:$A$4999,1,FALSE),"ERROR")=B558&amp;"ES","Y","")),"")</f>
        <v/>
      </c>
      <c r="H558" s="29" t="str">
        <f>IFERROR(HYPERLINK("#"&amp;ADDRESS(MATCH(B558&amp;"PT",'LM7 Non-ENG'!$A$1:$A$5000,0),1,,,"LM7 Non-ENG"),IF(IFERROR(VLOOKUP(B558&amp;"PT",'LM7 Non-ENG'!$A$1:$A$5000,1,FALSE),"ERROR")=B558&amp;"PT","Y","")),"")</f>
        <v/>
      </c>
      <c r="I558" t="str">
        <f>IFERROR(VLOOKUP(B558,PN!$A:$C,3,FALSE),"")</f>
        <v>Active</v>
      </c>
      <c r="J558" s="3">
        <f>IFERROR(E558*VLOOKUP(B558,PLInter!$A:$D,3,FALSE),"")</f>
        <v>700</v>
      </c>
      <c r="K558" s="66"/>
      <c r="L558" s="66"/>
      <c r="M558" s="66"/>
      <c r="N558" s="66"/>
      <c r="O558" s="66"/>
      <c r="P558" s="66"/>
      <c r="Q558" s="66"/>
      <c r="R558" s="66"/>
      <c r="S558" s="66"/>
      <c r="T558" s="66"/>
    </row>
    <row r="559" spans="2:20" ht="18" customHeight="1">
      <c r="B559" t="str">
        <f>"77-ME08-0001"</f>
        <v>77-ME08-0001</v>
      </c>
      <c r="C559" t="str">
        <f>"LM7 Content, JM, Gear Drives"</f>
        <v>LM7 Content, JM, Gear Drives</v>
      </c>
      <c r="D559" s="4"/>
      <c r="E559" s="4">
        <v>1</v>
      </c>
      <c r="F559" s="4"/>
      <c r="G559" s="29" t="str">
        <f>IFERROR(HYPERLINK("#"&amp;ADDRESS(MATCH(B559&amp;"ES",'LM7 Non-ENG'!$A$1:$A$5000,0),1,,,"LM7 Non-ENG"),IF(IFERROR(VLOOKUP(B559&amp;"ES",'LM7 Non-ENG'!$A$1:$A$4999,1,FALSE),"ERROR")=B559&amp;"ES","Y","")),"")</f>
        <v>Y</v>
      </c>
      <c r="H559" s="29" t="str">
        <f>IFERROR(HYPERLINK("#"&amp;ADDRESS(MATCH(B559&amp;"PT",'LM7 Non-ENG'!$A$1:$A$5000,0),1,,,"LM7 Non-ENG"),IF(IFERROR(VLOOKUP(B559&amp;"PT",'LM7 Non-ENG'!$A$1:$A$5000,1,FALSE),"ERROR")=B559&amp;"PT","Y","")),"")</f>
        <v/>
      </c>
      <c r="I559" t="str">
        <f>IFERROR(VLOOKUP(B559,PN!$A:$C,3,FALSE),"")</f>
        <v>Active</v>
      </c>
      <c r="J559" s="3">
        <f>IFERROR(E559*VLOOKUP(B559,PLInter!$A:$D,3,FALSE),"")</f>
        <v>700</v>
      </c>
      <c r="K559" s="66"/>
      <c r="L559" s="66"/>
      <c r="M559" s="66"/>
      <c r="N559" s="66"/>
      <c r="O559" s="66"/>
      <c r="P559" s="66"/>
      <c r="Q559" s="66"/>
      <c r="R559" s="66"/>
      <c r="S559" s="66"/>
      <c r="T559" s="66"/>
    </row>
    <row r="560" spans="2:20" ht="18" customHeight="1">
      <c r="B560" s="2" t="str">
        <f>"17-ME08-0001"</f>
        <v>17-ME08-0001</v>
      </c>
      <c r="C560" s="2" t="str">
        <f>"LM5.X Content, JM, Gear Drives"</f>
        <v>LM5.X Content, JM, Gear Drives</v>
      </c>
      <c r="D560" s="5"/>
      <c r="E560" s="5">
        <v>1</v>
      </c>
      <c r="F560" s="5" t="str">
        <f>"Y"</f>
        <v>Y</v>
      </c>
      <c r="G560" s="29" t="str">
        <f>IFERROR(HYPERLINK("#"&amp;ADDRESS(MATCH(B560&amp;"ES",'LM7 Non-ENG'!$A$1:$A$5000,0),1,,,"LM7 Non-ENG"),IF(IFERROR(VLOOKUP(B560&amp;"ES",'LM7 Non-ENG'!$A$1:$A$4999,1,FALSE),"ERROR")=B560&amp;"ES","Y","")),"")</f>
        <v/>
      </c>
      <c r="H560" s="29" t="str">
        <f>IFERROR(HYPERLINK("#"&amp;ADDRESS(MATCH(B560&amp;"PT",'LM7 Non-ENG'!$A$1:$A$5000,0),1,,,"LM7 Non-ENG"),IF(IFERROR(VLOOKUP(B560&amp;"PT",'LM7 Non-ENG'!$A$1:$A$5000,1,FALSE),"ERROR")=B560&amp;"PT","Y","")),"")</f>
        <v/>
      </c>
      <c r="I560" t="str">
        <f>IFERROR(VLOOKUP(B560,PN!$A:$C,3,FALSE),"")</f>
        <v>Active</v>
      </c>
      <c r="J560" s="3">
        <f>IFERROR(E560*VLOOKUP(B560,PLInter!$A:$D,3,FALSE),"")</f>
        <v>700</v>
      </c>
      <c r="K560" s="66"/>
      <c r="L560" s="66"/>
      <c r="M560" s="66"/>
      <c r="N560" s="66"/>
      <c r="O560" s="66"/>
      <c r="P560" s="66"/>
      <c r="Q560" s="66"/>
      <c r="R560" s="66"/>
      <c r="S560" s="66"/>
      <c r="T560" s="66"/>
    </row>
    <row r="561" spans="1:20" ht="18" customHeight="1">
      <c r="B561" t="str">
        <f>"77-ME09-0001"</f>
        <v>77-ME09-0001</v>
      </c>
      <c r="C561" t="str">
        <f>"LM7 Content, JM, Machine Speed Reducers"</f>
        <v>LM7 Content, JM, Machine Speed Reducers</v>
      </c>
      <c r="D561" s="4"/>
      <c r="E561" s="4">
        <v>1</v>
      </c>
      <c r="F561" s="4"/>
      <c r="G561" s="29" t="str">
        <f>IFERROR(HYPERLINK("#"&amp;ADDRESS(MATCH(B561&amp;"ES",'LM7 Non-ENG'!$A$1:$A$5000,0),1,,,"LM7 Non-ENG"),IF(IFERROR(VLOOKUP(B561&amp;"ES",'LM7 Non-ENG'!$A$1:$A$4999,1,FALSE),"ERROR")=B561&amp;"ES","Y","")),"")</f>
        <v>Y</v>
      </c>
      <c r="H561" s="29" t="str">
        <f>IFERROR(HYPERLINK("#"&amp;ADDRESS(MATCH(B561&amp;"PT",'LM7 Non-ENG'!$A$1:$A$5000,0),1,,,"LM7 Non-ENG"),IF(IFERROR(VLOOKUP(B561&amp;"PT",'LM7 Non-ENG'!$A$1:$A$5000,1,FALSE),"ERROR")=B561&amp;"PT","Y","")),"")</f>
        <v/>
      </c>
      <c r="I561" t="str">
        <f>IFERROR(VLOOKUP(B561,PN!$A:$C,3,FALSE),"")</f>
        <v>Active</v>
      </c>
      <c r="J561" s="3">
        <f>IFERROR(E561*VLOOKUP(B561,PLInter!$A:$D,3,FALSE),"")</f>
        <v>700</v>
      </c>
      <c r="K561" s="66"/>
      <c r="L561" s="66"/>
      <c r="M561" s="66"/>
      <c r="N561" s="66"/>
      <c r="O561" s="66"/>
      <c r="P561" s="66"/>
      <c r="Q561" s="66"/>
      <c r="R561" s="66"/>
      <c r="S561" s="66"/>
      <c r="T561" s="66"/>
    </row>
    <row r="562" spans="1:20" ht="18" customHeight="1">
      <c r="B562" s="2" t="str">
        <f>"17-ME09-0001"</f>
        <v>17-ME09-0001</v>
      </c>
      <c r="C562" s="2" t="str">
        <f>"LM5.X Content, JM, Machine Speed Reducers"</f>
        <v>LM5.X Content, JM, Machine Speed Reducers</v>
      </c>
      <c r="D562" s="5"/>
      <c r="E562" s="5">
        <v>1</v>
      </c>
      <c r="F562" s="5" t="str">
        <f>"Y"</f>
        <v>Y</v>
      </c>
      <c r="G562" s="29" t="str">
        <f>IFERROR(HYPERLINK("#"&amp;ADDRESS(MATCH(B562&amp;"ES",'LM7 Non-ENG'!$A$1:$A$5000,0),1,,,"LM7 Non-ENG"),IF(IFERROR(VLOOKUP(B562&amp;"ES",'LM7 Non-ENG'!$A$1:$A$4999,1,FALSE),"ERROR")=B562&amp;"ES","Y","")),"")</f>
        <v/>
      </c>
      <c r="H562" s="29" t="str">
        <f>IFERROR(HYPERLINK("#"&amp;ADDRESS(MATCH(B562&amp;"PT",'LM7 Non-ENG'!$A$1:$A$5000,0),1,,,"LM7 Non-ENG"),IF(IFERROR(VLOOKUP(B562&amp;"PT",'LM7 Non-ENG'!$A$1:$A$5000,1,FALSE),"ERROR")=B562&amp;"PT","Y","")),"")</f>
        <v/>
      </c>
      <c r="I562" t="str">
        <f>IFERROR(VLOOKUP(B562,PN!$A:$C,3,FALSE),"")</f>
        <v>Active</v>
      </c>
      <c r="J562" s="3">
        <f>IFERROR(E562*VLOOKUP(B562,PLInter!$A:$D,3,FALSE),"")</f>
        <v>700</v>
      </c>
      <c r="K562" s="66"/>
      <c r="L562" s="66"/>
      <c r="M562" s="66"/>
      <c r="N562" s="66"/>
      <c r="O562" s="66"/>
      <c r="P562" s="66"/>
      <c r="Q562" s="66"/>
      <c r="R562" s="66"/>
      <c r="S562" s="66"/>
      <c r="T562" s="66"/>
    </row>
    <row r="563" spans="1:20" ht="18" customHeight="1">
      <c r="B563" t="str">
        <f>"77-ME10-0001"</f>
        <v>77-ME10-0001</v>
      </c>
      <c r="C563" t="str">
        <f>"LM7 Content, JM, Electric Brakes"</f>
        <v>LM7 Content, JM, Electric Brakes</v>
      </c>
      <c r="D563" s="4"/>
      <c r="E563" s="4">
        <v>1</v>
      </c>
      <c r="F563" s="4"/>
      <c r="G563" s="29" t="str">
        <f>IFERROR(HYPERLINK("#"&amp;ADDRESS(MATCH(B563&amp;"ES",'LM7 Non-ENG'!$A$1:$A$5000,0),1,,,"LM7 Non-ENG"),IF(IFERROR(VLOOKUP(B563&amp;"ES",'LM7 Non-ENG'!$A$1:$A$4999,1,FALSE),"ERROR")=B563&amp;"ES","Y","")),"")</f>
        <v>Y</v>
      </c>
      <c r="H563" s="29" t="str">
        <f>IFERROR(HYPERLINK("#"&amp;ADDRESS(MATCH(B563&amp;"PT",'LM7 Non-ENG'!$A$1:$A$5000,0),1,,,"LM7 Non-ENG"),IF(IFERROR(VLOOKUP(B563&amp;"PT",'LM7 Non-ENG'!$A$1:$A$5000,1,FALSE),"ERROR")=B563&amp;"PT","Y","")),"")</f>
        <v/>
      </c>
      <c r="I563" t="str">
        <f>IFERROR(VLOOKUP(B563,PN!$A:$C,3,FALSE),"")</f>
        <v>Active</v>
      </c>
      <c r="J563" s="3">
        <f>IFERROR(E563*VLOOKUP(B563,PLInter!$A:$D,3,FALSE),"")</f>
        <v>700</v>
      </c>
      <c r="K563" s="66"/>
      <c r="L563" s="66"/>
      <c r="M563" s="66"/>
      <c r="N563" s="66"/>
      <c r="O563" s="66"/>
      <c r="P563" s="66"/>
      <c r="Q563" s="66"/>
      <c r="R563" s="66"/>
      <c r="S563" s="66"/>
      <c r="T563" s="66"/>
    </row>
    <row r="564" spans="1:20" ht="18" customHeight="1">
      <c r="B564" s="2" t="str">
        <f>"17-ME10-0001"</f>
        <v>17-ME10-0001</v>
      </c>
      <c r="C564" s="2" t="str">
        <f>"LM5.X Content, JM, Electric Brakes"</f>
        <v>LM5.X Content, JM, Electric Brakes</v>
      </c>
      <c r="D564" s="5"/>
      <c r="E564" s="5">
        <v>1</v>
      </c>
      <c r="F564" s="5" t="str">
        <f>"Y"</f>
        <v>Y</v>
      </c>
      <c r="G564" s="29" t="str">
        <f>IFERROR(HYPERLINK("#"&amp;ADDRESS(MATCH(B564&amp;"ES",'LM7 Non-ENG'!$A$1:$A$5000,0),1,,,"LM7 Non-ENG"),IF(IFERROR(VLOOKUP(B564&amp;"ES",'LM7 Non-ENG'!$A$1:$A$4999,1,FALSE),"ERROR")=B564&amp;"ES","Y","")),"")</f>
        <v/>
      </c>
      <c r="H564" s="29" t="str">
        <f>IFERROR(HYPERLINK("#"&amp;ADDRESS(MATCH(B564&amp;"PT",'LM7 Non-ENG'!$A$1:$A$5000,0),1,,,"LM7 Non-ENG"),IF(IFERROR(VLOOKUP(B564&amp;"PT",'LM7 Non-ENG'!$A$1:$A$5000,1,FALSE),"ERROR")=B564&amp;"PT","Y","")),"")</f>
        <v/>
      </c>
      <c r="I564" t="str">
        <f>IFERROR(VLOOKUP(B564,PN!$A:$C,3,FALSE),"")</f>
        <v>Active</v>
      </c>
      <c r="J564" s="3">
        <f>IFERROR(E564*VLOOKUP(B564,PLInter!$A:$D,3,FALSE),"")</f>
        <v>700</v>
      </c>
      <c r="K564" s="66"/>
      <c r="L564" s="66"/>
      <c r="M564" s="66"/>
      <c r="N564" s="66"/>
      <c r="O564" s="66"/>
      <c r="P564" s="66"/>
      <c r="Q564" s="66"/>
      <c r="R564" s="66"/>
      <c r="S564" s="66"/>
      <c r="T564" s="66"/>
    </row>
    <row r="565" spans="1:20" ht="18" customHeight="1">
      <c r="B565" t="str">
        <f>"77-ME11-0001"</f>
        <v>77-ME11-0001</v>
      </c>
      <c r="C565" t="str">
        <f>"LM7 Content, JM, Laser Alignment"</f>
        <v>LM7 Content, JM, Laser Alignment</v>
      </c>
      <c r="D565" s="4"/>
      <c r="E565" s="4">
        <v>1</v>
      </c>
      <c r="F565" s="4"/>
      <c r="G565" s="29" t="str">
        <f>IFERROR(HYPERLINK("#"&amp;ADDRESS(MATCH(B565&amp;"ES",'LM7 Non-ENG'!$A$1:$A$5000,0),1,,,"LM7 Non-ENG"),IF(IFERROR(VLOOKUP(B565&amp;"ES",'LM7 Non-ENG'!$A$1:$A$4999,1,FALSE),"ERROR")=B565&amp;"ES","Y","")),"")</f>
        <v>Y</v>
      </c>
      <c r="H565" s="29" t="str">
        <f>IFERROR(HYPERLINK("#"&amp;ADDRESS(MATCH(B565&amp;"PT",'LM7 Non-ENG'!$A$1:$A$5000,0),1,,,"LM7 Non-ENG"),IF(IFERROR(VLOOKUP(B565&amp;"PT",'LM7 Non-ENG'!$A$1:$A$5000,1,FALSE),"ERROR")=B565&amp;"PT","Y","")),"")</f>
        <v/>
      </c>
      <c r="I565" t="str">
        <f>IFERROR(VLOOKUP(B565,PN!$A:$C,3,FALSE),"")</f>
        <v>Active</v>
      </c>
      <c r="J565" s="3">
        <f>IFERROR(E565*VLOOKUP(B565,PLInter!$A:$D,3,FALSE),"")</f>
        <v>700</v>
      </c>
      <c r="K565" s="66"/>
      <c r="L565" s="66"/>
      <c r="M565" s="66"/>
      <c r="N565" s="66"/>
      <c r="O565" s="66"/>
      <c r="P565" s="66"/>
      <c r="Q565" s="66"/>
      <c r="R565" s="66"/>
      <c r="S565" s="66"/>
      <c r="T565" s="66"/>
    </row>
    <row r="566" spans="1:20" ht="18" customHeight="1">
      <c r="B566" s="2" t="str">
        <f>"17-ME11-0001"</f>
        <v>17-ME11-0001</v>
      </c>
      <c r="C566" s="2" t="str">
        <f>"LM5.X Content, JM, Laser Alignment"</f>
        <v>LM5.X Content, JM, Laser Alignment</v>
      </c>
      <c r="D566" s="5"/>
      <c r="E566" s="5">
        <v>1</v>
      </c>
      <c r="F566" s="5" t="str">
        <f>"Y"</f>
        <v>Y</v>
      </c>
      <c r="G566" s="29" t="str">
        <f>IFERROR(HYPERLINK("#"&amp;ADDRESS(MATCH(B566&amp;"ES",'LM7 Non-ENG'!$A$1:$A$5000,0),1,,,"LM7 Non-ENG"),IF(IFERROR(VLOOKUP(B566&amp;"ES",'LM7 Non-ENG'!$A$1:$A$4999,1,FALSE),"ERROR")=B566&amp;"ES","Y","")),"")</f>
        <v/>
      </c>
      <c r="H566" s="29" t="str">
        <f>IFERROR(HYPERLINK("#"&amp;ADDRESS(MATCH(B566&amp;"PT",'LM7 Non-ENG'!$A$1:$A$5000,0),1,,,"LM7 Non-ENG"),IF(IFERROR(VLOOKUP(B566&amp;"PT",'LM7 Non-ENG'!$A$1:$A$5000,1,FALSE),"ERROR")=B566&amp;"PT","Y","")),"")</f>
        <v/>
      </c>
      <c r="I566" t="str">
        <f>IFERROR(VLOOKUP(B566,PN!$A:$C,3,FALSE),"")</f>
        <v>ECO+NFS</v>
      </c>
      <c r="J566" s="3">
        <f>IFERROR(E566*VLOOKUP(B566,PLInter!$A:$D,3,FALSE),"")</f>
        <v>700</v>
      </c>
      <c r="K566" s="66"/>
      <c r="L566" s="66"/>
      <c r="M566" s="66"/>
      <c r="N566" s="66"/>
      <c r="O566" s="66"/>
      <c r="P566" s="66"/>
      <c r="Q566" s="66"/>
      <c r="R566" s="66"/>
      <c r="S566" s="66"/>
      <c r="T566" s="66"/>
    </row>
    <row r="567" spans="1:20" ht="18" customHeight="1">
      <c r="B567" t="str">
        <f>"77-ME12-0001"</f>
        <v>77-ME12-0001</v>
      </c>
      <c r="C567" t="str">
        <f>"LM7 Content, JM, Vibration Analysis"</f>
        <v>LM7 Content, JM, Vibration Analysis</v>
      </c>
      <c r="D567" s="4"/>
      <c r="E567" s="4">
        <v>1</v>
      </c>
      <c r="F567" s="4"/>
      <c r="G567" s="29" t="str">
        <f>IFERROR(HYPERLINK("#"&amp;ADDRESS(MATCH(B567&amp;"ES",'LM7 Non-ENG'!$A$1:$A$5000,0),1,,,"LM7 Non-ENG"),IF(IFERROR(VLOOKUP(B567&amp;"ES",'LM7 Non-ENG'!$A$1:$A$4999,1,FALSE),"ERROR")=B567&amp;"ES","Y","")),"")</f>
        <v>Y</v>
      </c>
      <c r="H567" s="29" t="str">
        <f>IFERROR(HYPERLINK("#"&amp;ADDRESS(MATCH(B567&amp;"PT",'LM7 Non-ENG'!$A$1:$A$5000,0),1,,,"LM7 Non-ENG"),IF(IFERROR(VLOOKUP(B567&amp;"PT",'LM7 Non-ENG'!$A$1:$A$5000,1,FALSE),"ERROR")=B567&amp;"PT","Y","")),"")</f>
        <v/>
      </c>
      <c r="I567" t="str">
        <f>IFERROR(VLOOKUP(B567,PN!$A:$C,3,FALSE),"")</f>
        <v>Active</v>
      </c>
      <c r="J567" s="3">
        <f>IFERROR(E567*VLOOKUP(B567,PLInter!$A:$D,3,FALSE),"")</f>
        <v>700</v>
      </c>
      <c r="K567" s="66"/>
      <c r="L567" s="66"/>
      <c r="M567" s="66"/>
      <c r="N567" s="66"/>
      <c r="O567" s="66"/>
      <c r="P567" s="66"/>
      <c r="Q567" s="66"/>
      <c r="R567" s="66"/>
      <c r="S567" s="66"/>
      <c r="T567" s="66"/>
    </row>
    <row r="568" spans="1:20" ht="18" customHeight="1">
      <c r="B568" s="2" t="str">
        <f>"17-ME12-0001"</f>
        <v>17-ME12-0001</v>
      </c>
      <c r="C568" s="2" t="str">
        <f>"LM5.X Content, JM, Vibration Analysis"</f>
        <v>LM5.X Content, JM, Vibration Analysis</v>
      </c>
      <c r="D568" s="5"/>
      <c r="E568" s="5">
        <v>1</v>
      </c>
      <c r="F568" s="5" t="str">
        <f>"Y"</f>
        <v>Y</v>
      </c>
      <c r="G568" s="29" t="str">
        <f>IFERROR(HYPERLINK("#"&amp;ADDRESS(MATCH(B568&amp;"ES",'LM7 Non-ENG'!$A$1:$A$5000,0),1,,,"LM7 Non-ENG"),IF(IFERROR(VLOOKUP(B568&amp;"ES",'LM7 Non-ENG'!$A$1:$A$4999,1,FALSE),"ERROR")=B568&amp;"ES","Y","")),"")</f>
        <v/>
      </c>
      <c r="H568" s="29" t="str">
        <f>IFERROR(HYPERLINK("#"&amp;ADDRESS(MATCH(B568&amp;"PT",'LM7 Non-ENG'!$A$1:$A$5000,0),1,,,"LM7 Non-ENG"),IF(IFERROR(VLOOKUP(B568&amp;"PT",'LM7 Non-ENG'!$A$1:$A$5000,1,FALSE),"ERROR")=B568&amp;"PT","Y","")),"")</f>
        <v/>
      </c>
      <c r="I568" t="str">
        <f>IFERROR(VLOOKUP(B568,PN!$A:$C,3,FALSE),"")</f>
        <v>Active</v>
      </c>
      <c r="J568" s="3">
        <f>IFERROR(E568*VLOOKUP(B568,PLInter!$A:$D,3,FALSE),"")</f>
        <v>700</v>
      </c>
      <c r="K568" s="66"/>
      <c r="L568" s="66"/>
      <c r="M568" s="66"/>
      <c r="N568" s="66"/>
      <c r="O568" s="66"/>
      <c r="P568" s="66"/>
      <c r="Q568" s="66"/>
      <c r="R568" s="66"/>
      <c r="S568" s="66"/>
      <c r="T568" s="66"/>
    </row>
    <row r="569" spans="1:20" ht="18" customHeight="1">
      <c r="B569" t="str">
        <f>"77-ME13-0001"</f>
        <v>77-ME13-0001</v>
      </c>
      <c r="C569" t="str">
        <f>"LM7 Content, JM, Bearing Service Cart"</f>
        <v>LM7 Content, JM, Bearing Service Cart</v>
      </c>
      <c r="D569" s="4"/>
      <c r="E569" s="4">
        <v>1</v>
      </c>
      <c r="F569" s="4"/>
      <c r="G569" s="29" t="str">
        <f>IFERROR(HYPERLINK("#"&amp;ADDRESS(MATCH(B569&amp;"ES",'LM7 Non-ENG'!$A$1:$A$5000,0),1,,,"LM7 Non-ENG"),IF(IFERROR(VLOOKUP(B569&amp;"ES",'LM7 Non-ENG'!$A$1:$A$4999,1,FALSE),"ERROR")=B569&amp;"ES","Y","")),"")</f>
        <v>Y</v>
      </c>
      <c r="H569" s="29" t="str">
        <f>IFERROR(HYPERLINK("#"&amp;ADDRESS(MATCH(B569&amp;"PT",'LM7 Non-ENG'!$A$1:$A$5000,0),1,,,"LM7 Non-ENG"),IF(IFERROR(VLOOKUP(B569&amp;"PT",'LM7 Non-ENG'!$A$1:$A$5000,1,FALSE),"ERROR")=B569&amp;"PT","Y","")),"")</f>
        <v/>
      </c>
      <c r="I569" t="str">
        <f>IFERROR(VLOOKUP(B569,PN!$A:$C,3,FALSE),"")</f>
        <v>Active</v>
      </c>
      <c r="J569" s="3">
        <f>IFERROR(E569*VLOOKUP(B569,PLInter!$A:$D,3,FALSE),"")</f>
        <v>700</v>
      </c>
      <c r="K569" s="66"/>
      <c r="L569" s="66"/>
      <c r="M569" s="66"/>
      <c r="N569" s="66"/>
      <c r="O569" s="66"/>
      <c r="P569" s="66"/>
      <c r="Q569" s="66"/>
      <c r="R569" s="66"/>
      <c r="S569" s="66"/>
      <c r="T569" s="66"/>
    </row>
    <row r="570" spans="1:20" ht="18" customHeight="1">
      <c r="B570" s="2" t="str">
        <f>"17-ME13-0001"</f>
        <v>17-ME13-0001</v>
      </c>
      <c r="C570" s="2" t="str">
        <f>"LM5.X Content, JM, Bearing Service Cart"</f>
        <v>LM5.X Content, JM, Bearing Service Cart</v>
      </c>
      <c r="D570" s="5"/>
      <c r="E570" s="5">
        <v>1</v>
      </c>
      <c r="F570" s="5" t="str">
        <f>"Y"</f>
        <v>Y</v>
      </c>
      <c r="G570" s="29" t="str">
        <f>IFERROR(HYPERLINK("#"&amp;ADDRESS(MATCH(B570&amp;"ES",'LM7 Non-ENG'!$A$1:$A$5000,0),1,,,"LM7 Non-ENG"),IF(IFERROR(VLOOKUP(B570&amp;"ES",'LM7 Non-ENG'!$A$1:$A$4999,1,FALSE),"ERROR")=B570&amp;"ES","Y","")),"")</f>
        <v/>
      </c>
      <c r="H570" s="29" t="str">
        <f>IFERROR(HYPERLINK("#"&amp;ADDRESS(MATCH(B570&amp;"PT",'LM7 Non-ENG'!$A$1:$A$5000,0),1,,,"LM7 Non-ENG"),IF(IFERROR(VLOOKUP(B570&amp;"PT",'LM7 Non-ENG'!$A$1:$A$5000,1,FALSE),"ERROR")=B570&amp;"PT","Y","")),"")</f>
        <v/>
      </c>
      <c r="I570" t="str">
        <f>IFERROR(VLOOKUP(B570,PN!$A:$C,3,FALSE),"")</f>
        <v>Active</v>
      </c>
      <c r="J570" s="3">
        <f>IFERROR(E570*VLOOKUP(B570,PLInter!$A:$D,3,FALSE),"")</f>
        <v>700</v>
      </c>
      <c r="K570" s="66"/>
      <c r="L570" s="66"/>
      <c r="M570" s="66"/>
      <c r="N570" s="66"/>
      <c r="O570" s="66"/>
      <c r="P570" s="66"/>
      <c r="Q570" s="66"/>
      <c r="R570" s="66"/>
      <c r="S570" s="66"/>
      <c r="T570" s="66"/>
    </row>
    <row r="571" spans="1:20" ht="18" customHeight="1">
      <c r="G571" s="29" t="str">
        <f>IFERROR(HYPERLINK("#"&amp;ADDRESS(MATCH(B571&amp;"ES",'LM7 Non-ENG'!$A$1:$A$5000,0),1,,,"LM7 Non-ENG"),IF(IFERROR(VLOOKUP(B571&amp;"ES",'LM7 Non-ENG'!$A$1:$A$4999,1,FALSE),"ERROR")=B571&amp;"ES","Y","")),"")</f>
        <v/>
      </c>
      <c r="H571" s="29" t="str">
        <f>IFERROR(HYPERLINK("#"&amp;ADDRESS(MATCH(B571&amp;"PT",'LM7 Non-ENG'!$A$1:$A$5000,0),1,,,"LM7 Non-ENG"),IF(IFERROR(VLOOKUP(B571&amp;"PT",'LM7 Non-ENG'!$A$1:$A$5000,1,FALSE),"ERROR")=B571&amp;"PT","Y","")),"")</f>
        <v/>
      </c>
    </row>
    <row r="572" spans="1:20" s="7" customFormat="1" ht="18" customHeight="1">
      <c r="A572" s="13" t="s">
        <v>96</v>
      </c>
      <c r="B572" s="13"/>
      <c r="C572" s="13" t="s">
        <v>97</v>
      </c>
      <c r="D572" s="14"/>
      <c r="E572" s="14"/>
      <c r="F572" s="14"/>
      <c r="G572" s="14"/>
      <c r="H572" s="14"/>
      <c r="I572" s="14"/>
      <c r="J572" s="14">
        <f>SUMIFS(J573:J596,D573:D596,"&lt;&gt;Y",F573:F596,"&lt;&gt;Y",I573:I596,"&lt;&gt;Inactive",I573:I596,"&lt;&gt;ECO+NFS")</f>
        <v>56468</v>
      </c>
      <c r="K572" s="14"/>
      <c r="L572" s="14"/>
      <c r="M572" s="14"/>
      <c r="N572" s="14"/>
      <c r="O572" s="14"/>
      <c r="P572" s="14"/>
      <c r="Q572" s="14"/>
      <c r="R572" s="14"/>
      <c r="S572" s="14"/>
      <c r="T572" s="14"/>
    </row>
    <row r="573" spans="1:20" ht="18" customHeight="1">
      <c r="A573" s="17" t="str">
        <f>HYPERLINK("#"&amp;ADDRESS(MATCH(A572,Jobmaster!$A$1:$A$4996,0),1,,,"Jobmaster"),"Back to Price List")</f>
        <v>Back to Price List</v>
      </c>
      <c r="B573" t="str">
        <f>"00-ME10-1000"</f>
        <v>00-ME10-1000</v>
      </c>
      <c r="C573" t="str">
        <f>"Assembly, JM, Mechanical Training Bench, 120V"</f>
        <v>Assembly, JM, Mechanical Training Bench, 120V</v>
      </c>
      <c r="D573" s="4"/>
      <c r="E573" s="4">
        <v>1</v>
      </c>
      <c r="F573" s="4"/>
      <c r="G573" s="29" t="str">
        <f>IFERROR(HYPERLINK("#"&amp;ADDRESS(MATCH(B573&amp;"ES",'LM7 Non-ENG'!$A$1:$A$5000,0),1,,,"LM7 Non-ENG"),IF(IFERROR(VLOOKUP(B573&amp;"ES",'LM7 Non-ENG'!$A$1:$A$4999,1,FALSE),"ERROR")=B573&amp;"ES","Y","")),"")</f>
        <v/>
      </c>
      <c r="H573" s="29" t="str">
        <f>IFERROR(HYPERLINK("#"&amp;ADDRESS(MATCH(B573&amp;"PT",'LM7 Non-ENG'!$A$1:$A$5000,0),1,,,"LM7 Non-ENG"),IF(IFERROR(VLOOKUP(B573&amp;"PT",'LM7 Non-ENG'!$A$1:$A$5000,1,FALSE),"ERROR")=B573&amp;"PT","Y","")),"")</f>
        <v/>
      </c>
      <c r="I573" t="str">
        <f>IFERROR(VLOOKUP(B573,PN!$A:$C,3,FALSE),"")</f>
        <v>ECO-N2Buy</v>
      </c>
      <c r="J573" s="3">
        <f>IFERROR(E573*VLOOKUP(B573,PLInter!$A:$D,3,FALSE),"")</f>
        <v>26134</v>
      </c>
      <c r="K573" s="68" t="s">
        <v>98</v>
      </c>
      <c r="L573" s="68"/>
      <c r="M573" s="68"/>
      <c r="N573" s="68"/>
      <c r="O573" s="68"/>
      <c r="P573" s="68"/>
      <c r="Q573" s="68"/>
      <c r="R573" s="68"/>
      <c r="S573" s="68"/>
      <c r="T573" s="68"/>
    </row>
    <row r="574" spans="1:20" ht="18" customHeight="1">
      <c r="B574" s="2" t="str">
        <f>"00-ME10-1002"</f>
        <v>00-ME10-1002</v>
      </c>
      <c r="C574" s="2" t="str">
        <f>"Assembly, JM, Mechanical Training Bench, 220V"</f>
        <v>Assembly, JM, Mechanical Training Bench, 220V</v>
      </c>
      <c r="D574" s="5"/>
      <c r="E574" s="5">
        <v>1</v>
      </c>
      <c r="F574" s="5" t="str">
        <f>"Y"</f>
        <v>Y</v>
      </c>
      <c r="G574" s="29" t="str">
        <f>IFERROR(HYPERLINK("#"&amp;ADDRESS(MATCH(B574&amp;"ES",'LM7 Non-ENG'!$A$1:$A$5000,0),1,,,"LM7 Non-ENG"),IF(IFERROR(VLOOKUP(B574&amp;"ES",'LM7 Non-ENG'!$A$1:$A$4999,1,FALSE),"ERROR")=B574&amp;"ES","Y","")),"")</f>
        <v/>
      </c>
      <c r="H574" s="29" t="str">
        <f>IFERROR(HYPERLINK("#"&amp;ADDRESS(MATCH(B574&amp;"PT",'LM7 Non-ENG'!$A$1:$A$5000,0),1,,,"LM7 Non-ENG"),IF(IFERROR(VLOOKUP(B574&amp;"PT",'LM7 Non-ENG'!$A$1:$A$5000,1,FALSE),"ERROR")=B574&amp;"PT","Y","")),"")</f>
        <v/>
      </c>
      <c r="I574" t="str">
        <f>IFERROR(VLOOKUP(B574,PN!$A:$C,3,FALSE),"")</f>
        <v>Active</v>
      </c>
      <c r="J574" s="3">
        <f>IFERROR(E574*VLOOKUP(B574,PLInter!$A:$D,3,FALSE),"")</f>
        <v>26134</v>
      </c>
      <c r="K574" s="68"/>
      <c r="L574" s="68"/>
      <c r="M574" s="68"/>
      <c r="N574" s="68"/>
      <c r="O574" s="68"/>
      <c r="P574" s="68"/>
      <c r="Q574" s="68"/>
      <c r="R574" s="68"/>
      <c r="S574" s="68"/>
      <c r="T574" s="68"/>
    </row>
    <row r="575" spans="1:20" ht="18" customHeight="1">
      <c r="B575" t="str">
        <f>"00-ME10-0000"</f>
        <v>00-ME10-0000</v>
      </c>
      <c r="C575" t="str">
        <f>"Assembly, JM, Mechanical Two-Student Add-on,120V"</f>
        <v>Assembly, JM, Mechanical Two-Student Add-on,120V</v>
      </c>
      <c r="D575" s="4"/>
      <c r="E575" s="4">
        <v>1</v>
      </c>
      <c r="F575" s="4"/>
      <c r="G575" s="29" t="str">
        <f>IFERROR(HYPERLINK("#"&amp;ADDRESS(MATCH(B575&amp;"ES",'LM7 Non-ENG'!$A$1:$A$5000,0),1,,,"LM7 Non-ENG"),IF(IFERROR(VLOOKUP(B575&amp;"ES",'LM7 Non-ENG'!$A$1:$A$4999,1,FALSE),"ERROR")=B575&amp;"ES","Y","")),"")</f>
        <v/>
      </c>
      <c r="H575" s="29" t="str">
        <f>IFERROR(HYPERLINK("#"&amp;ADDRESS(MATCH(B575&amp;"PT",'LM7 Non-ENG'!$A$1:$A$5000,0),1,,,"LM7 Non-ENG"),IF(IFERROR(VLOOKUP(B575&amp;"PT",'LM7 Non-ENG'!$A$1:$A$5000,1,FALSE),"ERROR")=B575&amp;"PT","Y","")),"")</f>
        <v/>
      </c>
      <c r="I575" t="str">
        <f>IFERROR(VLOOKUP(B575,PN!$A:$C,3,FALSE),"")</f>
        <v>Active</v>
      </c>
      <c r="J575" s="3">
        <f>IFERROR(E575*VLOOKUP(B575,PLInter!$A:$D,3,FALSE),"")</f>
        <v>23334</v>
      </c>
      <c r="K575" s="68"/>
      <c r="L575" s="68"/>
      <c r="M575" s="68"/>
      <c r="N575" s="68"/>
      <c r="O575" s="68"/>
      <c r="P575" s="68"/>
      <c r="Q575" s="68"/>
      <c r="R575" s="68"/>
      <c r="S575" s="68"/>
      <c r="T575" s="68"/>
    </row>
    <row r="576" spans="1:20" ht="18" customHeight="1">
      <c r="B576" s="2" t="str">
        <f>"00-ME10-0002"</f>
        <v>00-ME10-0002</v>
      </c>
      <c r="C576" s="2" t="str">
        <f>"Assembly, JM, Mechanical Two-Student Add-on,220V"</f>
        <v>Assembly, JM, Mechanical Two-Student Add-on,220V</v>
      </c>
      <c r="D576" s="5"/>
      <c r="E576" s="5">
        <v>1</v>
      </c>
      <c r="F576" s="5" t="str">
        <f>"Y"</f>
        <v>Y</v>
      </c>
      <c r="G576" s="29" t="str">
        <f>IFERROR(HYPERLINK("#"&amp;ADDRESS(MATCH(B576&amp;"ES",'LM7 Non-ENG'!$A$1:$A$5000,0),1,,,"LM7 Non-ENG"),IF(IFERROR(VLOOKUP(B576&amp;"ES",'LM7 Non-ENG'!$A$1:$A$4999,1,FALSE),"ERROR")=B576&amp;"ES","Y","")),"")</f>
        <v/>
      </c>
      <c r="H576" s="29" t="str">
        <f>IFERROR(HYPERLINK("#"&amp;ADDRESS(MATCH(B576&amp;"PT",'LM7 Non-ENG'!$A$1:$A$5000,0),1,,,"LM7 Non-ENG"),IF(IFERROR(VLOOKUP(B576&amp;"PT",'LM7 Non-ENG'!$A$1:$A$5000,1,FALSE),"ERROR")=B576&amp;"PT","Y","")),"")</f>
        <v/>
      </c>
      <c r="I576" t="str">
        <f>IFERROR(VLOOKUP(B576,PN!$A:$C,3,FALSE),"")</f>
        <v>Active</v>
      </c>
      <c r="J576" s="3">
        <f>IFERROR(E576*VLOOKUP(B576,PLInter!$A:$D,3,FALSE),"")</f>
        <v>23334</v>
      </c>
      <c r="K576" s="68"/>
      <c r="L576" s="68"/>
      <c r="M576" s="68"/>
      <c r="N576" s="68"/>
      <c r="O576" s="68"/>
      <c r="P576" s="68"/>
      <c r="Q576" s="68"/>
      <c r="R576" s="68"/>
      <c r="S576" s="68"/>
      <c r="T576" s="68"/>
    </row>
    <row r="577" spans="2:20" ht="18" customHeight="1">
      <c r="B577" t="str">
        <f>"77-ME01-0001"</f>
        <v>77-ME01-0001</v>
      </c>
      <c r="C577" t="str">
        <f>"LM7 Content, JM, Basic Machines"</f>
        <v>LM7 Content, JM, Basic Machines</v>
      </c>
      <c r="D577" s="4"/>
      <c r="E577" s="4">
        <v>1</v>
      </c>
      <c r="F577" s="4"/>
      <c r="G577" s="29" t="str">
        <f>IFERROR(HYPERLINK("#"&amp;ADDRESS(MATCH(B577&amp;"ES",'LM7 Non-ENG'!$A$1:$A$5000,0),1,,,"LM7 Non-ENG"),IF(IFERROR(VLOOKUP(B577&amp;"ES",'LM7 Non-ENG'!$A$1:$A$4999,1,FALSE),"ERROR")=B577&amp;"ES","Y","")),"")</f>
        <v>Y</v>
      </c>
      <c r="H577" s="29" t="str">
        <f>IFERROR(HYPERLINK("#"&amp;ADDRESS(MATCH(B577&amp;"PT",'LM7 Non-ENG'!$A$1:$A$5000,0),1,,,"LM7 Non-ENG"),IF(IFERROR(VLOOKUP(B577&amp;"PT",'LM7 Non-ENG'!$A$1:$A$5000,1,FALSE),"ERROR")=B577&amp;"PT","Y","")),"")</f>
        <v/>
      </c>
      <c r="I577" t="str">
        <f>IFERROR(VLOOKUP(B577,PN!$A:$C,3,FALSE),"")</f>
        <v>Active</v>
      </c>
      <c r="J577" s="3">
        <f>IFERROR(E577*VLOOKUP(B577,PLInter!$A:$D,3,FALSE),"")</f>
        <v>700</v>
      </c>
      <c r="K577" s="68"/>
      <c r="L577" s="68"/>
      <c r="M577" s="68"/>
      <c r="N577" s="68"/>
      <c r="O577" s="68"/>
      <c r="P577" s="68"/>
      <c r="Q577" s="68"/>
      <c r="R577" s="68"/>
      <c r="S577" s="68"/>
      <c r="T577" s="68"/>
    </row>
    <row r="578" spans="2:20" ht="18" customHeight="1">
      <c r="B578" s="2" t="str">
        <f>"17-ME01-0001"</f>
        <v>17-ME01-0001</v>
      </c>
      <c r="C578" s="2" t="str">
        <f>"LM5.X Content, JM, Basic Machines"</f>
        <v>LM5.X Content, JM, Basic Machines</v>
      </c>
      <c r="D578" s="5"/>
      <c r="E578" s="5">
        <v>1</v>
      </c>
      <c r="F578" s="5" t="str">
        <f>"Y"</f>
        <v>Y</v>
      </c>
      <c r="G578" s="29" t="str">
        <f>IFERROR(HYPERLINK("#"&amp;ADDRESS(MATCH(B578&amp;"ES",'LM7 Non-ENG'!$A$1:$A$5000,0),1,,,"LM7 Non-ENG"),IF(IFERROR(VLOOKUP(B578&amp;"ES",'LM7 Non-ENG'!$A$1:$A$4999,1,FALSE),"ERROR")=B578&amp;"ES","Y","")),"")</f>
        <v/>
      </c>
      <c r="H578" s="29" t="str">
        <f>IFERROR(HYPERLINK("#"&amp;ADDRESS(MATCH(B578&amp;"PT",'LM7 Non-ENG'!$A$1:$A$5000,0),1,,,"LM7 Non-ENG"),IF(IFERROR(VLOOKUP(B578&amp;"PT",'LM7 Non-ENG'!$A$1:$A$5000,1,FALSE),"ERROR")=B578&amp;"PT","Y","")),"")</f>
        <v/>
      </c>
      <c r="I578" t="str">
        <f>IFERROR(VLOOKUP(B578,PN!$A:$C,3,FALSE),"")</f>
        <v>Active</v>
      </c>
      <c r="J578" s="3">
        <f>IFERROR(E578*VLOOKUP(B578,PLInter!$A:$D,3,FALSE),"")</f>
        <v>700</v>
      </c>
      <c r="K578" s="68"/>
      <c r="L578" s="68"/>
      <c r="M578" s="68"/>
      <c r="N578" s="68"/>
      <c r="O578" s="68"/>
      <c r="P578" s="68"/>
      <c r="Q578" s="68"/>
      <c r="R578" s="68"/>
      <c r="S578" s="68"/>
      <c r="T578" s="68"/>
    </row>
    <row r="579" spans="2:20" ht="18" customHeight="1">
      <c r="B579" t="str">
        <f>"77-ME02-0001"</f>
        <v>77-ME02-0001</v>
      </c>
      <c r="C579" t="str">
        <f>"LM7 Content, JM, Machine Statics and Dynamics"</f>
        <v>LM7 Content, JM, Machine Statics and Dynamics</v>
      </c>
      <c r="D579" s="4"/>
      <c r="E579" s="4">
        <v>1</v>
      </c>
      <c r="F579" s="4"/>
      <c r="G579" s="29" t="str">
        <f>IFERROR(HYPERLINK("#"&amp;ADDRESS(MATCH(B579&amp;"ES",'LM7 Non-ENG'!$A$1:$A$5000,0),1,,,"LM7 Non-ENG"),IF(IFERROR(VLOOKUP(B579&amp;"ES",'LM7 Non-ENG'!$A$1:$A$4999,1,FALSE),"ERROR")=B579&amp;"ES","Y","")),"")</f>
        <v>Y</v>
      </c>
      <c r="H579" s="29" t="str">
        <f>IFERROR(HYPERLINK("#"&amp;ADDRESS(MATCH(B579&amp;"PT",'LM7 Non-ENG'!$A$1:$A$5000,0),1,,,"LM7 Non-ENG"),IF(IFERROR(VLOOKUP(B579&amp;"PT",'LM7 Non-ENG'!$A$1:$A$5000,1,FALSE),"ERROR")=B579&amp;"PT","Y","")),"")</f>
        <v/>
      </c>
      <c r="I579" t="str">
        <f>IFERROR(VLOOKUP(B579,PN!$A:$C,3,FALSE),"")</f>
        <v>Active</v>
      </c>
      <c r="J579" s="3">
        <f>IFERROR(E579*VLOOKUP(B579,PLInter!$A:$D,3,FALSE),"")</f>
        <v>700</v>
      </c>
      <c r="K579" s="68"/>
      <c r="L579" s="68"/>
      <c r="M579" s="68"/>
      <c r="N579" s="68"/>
      <c r="O579" s="68"/>
      <c r="P579" s="68"/>
      <c r="Q579" s="68"/>
      <c r="R579" s="68"/>
      <c r="S579" s="68"/>
      <c r="T579" s="68"/>
    </row>
    <row r="580" spans="2:20" ht="18" customHeight="1">
      <c r="B580" s="2" t="str">
        <f>"17-ME02-0001"</f>
        <v>17-ME02-0001</v>
      </c>
      <c r="C580" s="2" t="str">
        <f>"LM5.X Content, JM, Machine Statics and Dynamics"</f>
        <v>LM5.X Content, JM, Machine Statics and Dynamics</v>
      </c>
      <c r="D580" s="5"/>
      <c r="E580" s="5">
        <v>1</v>
      </c>
      <c r="F580" s="5" t="str">
        <f>"Y"</f>
        <v>Y</v>
      </c>
      <c r="G580" s="29" t="str">
        <f>IFERROR(HYPERLINK("#"&amp;ADDRESS(MATCH(B580&amp;"ES",'LM7 Non-ENG'!$A$1:$A$5000,0),1,,,"LM7 Non-ENG"),IF(IFERROR(VLOOKUP(B580&amp;"ES",'LM7 Non-ENG'!$A$1:$A$4999,1,FALSE),"ERROR")=B580&amp;"ES","Y","")),"")</f>
        <v/>
      </c>
      <c r="H580" s="29" t="str">
        <f>IFERROR(HYPERLINK("#"&amp;ADDRESS(MATCH(B580&amp;"PT",'LM7 Non-ENG'!$A$1:$A$5000,0),1,,,"LM7 Non-ENG"),IF(IFERROR(VLOOKUP(B580&amp;"PT",'LM7 Non-ENG'!$A$1:$A$5000,1,FALSE),"ERROR")=B580&amp;"PT","Y","")),"")</f>
        <v/>
      </c>
      <c r="I580" t="str">
        <f>IFERROR(VLOOKUP(B580,PN!$A:$C,3,FALSE),"")</f>
        <v>Active</v>
      </c>
      <c r="J580" s="3">
        <f>IFERROR(E580*VLOOKUP(B580,PLInter!$A:$D,3,FALSE),"")</f>
        <v>700</v>
      </c>
      <c r="K580" s="68"/>
      <c r="L580" s="68"/>
      <c r="M580" s="68"/>
      <c r="N580" s="68"/>
      <c r="O580" s="68"/>
      <c r="P580" s="68"/>
      <c r="Q580" s="68"/>
      <c r="R580" s="68"/>
      <c r="S580" s="68"/>
      <c r="T580" s="68"/>
    </row>
    <row r="581" spans="2:20" ht="18" customHeight="1">
      <c r="B581" t="str">
        <f>"77-ME03-0001"</f>
        <v>77-ME03-0001</v>
      </c>
      <c r="C581" t="str">
        <f>"LM7 Content, JM, Machine Shafts and Keys"</f>
        <v>LM7 Content, JM, Machine Shafts and Keys</v>
      </c>
      <c r="D581" s="4"/>
      <c r="E581" s="4">
        <v>1</v>
      </c>
      <c r="F581" s="4"/>
      <c r="G581" s="29" t="str">
        <f>IFERROR(HYPERLINK("#"&amp;ADDRESS(MATCH(B581&amp;"ES",'LM7 Non-ENG'!$A$1:$A$5000,0),1,,,"LM7 Non-ENG"),IF(IFERROR(VLOOKUP(B581&amp;"ES",'LM7 Non-ENG'!$A$1:$A$4999,1,FALSE),"ERROR")=B581&amp;"ES","Y","")),"")</f>
        <v>Y</v>
      </c>
      <c r="H581" s="29" t="str">
        <f>IFERROR(HYPERLINK("#"&amp;ADDRESS(MATCH(B581&amp;"PT",'LM7 Non-ENG'!$A$1:$A$5000,0),1,,,"LM7 Non-ENG"),IF(IFERROR(VLOOKUP(B581&amp;"PT",'LM7 Non-ENG'!$A$1:$A$5000,1,FALSE),"ERROR")=B581&amp;"PT","Y","")),"")</f>
        <v/>
      </c>
      <c r="I581" t="str">
        <f>IFERROR(VLOOKUP(B581,PN!$A:$C,3,FALSE),"")</f>
        <v>Active</v>
      </c>
      <c r="J581" s="3">
        <f>IFERROR(E581*VLOOKUP(B581,PLInter!$A:$D,3,FALSE),"")</f>
        <v>700</v>
      </c>
      <c r="K581" s="68"/>
      <c r="L581" s="68"/>
      <c r="M581" s="68"/>
      <c r="N581" s="68"/>
      <c r="O581" s="68"/>
      <c r="P581" s="68"/>
      <c r="Q581" s="68"/>
      <c r="R581" s="68"/>
      <c r="S581" s="68"/>
      <c r="T581" s="68"/>
    </row>
    <row r="582" spans="2:20" ht="18" customHeight="1">
      <c r="B582" s="2" t="str">
        <f>"17-ME03-0001"</f>
        <v>17-ME03-0001</v>
      </c>
      <c r="C582" s="2" t="str">
        <f>"LM5.X Content, JM, Machine Shafts and Keys"</f>
        <v>LM5.X Content, JM, Machine Shafts and Keys</v>
      </c>
      <c r="D582" s="5"/>
      <c r="E582" s="5">
        <v>1</v>
      </c>
      <c r="F582" s="5" t="str">
        <f>"Y"</f>
        <v>Y</v>
      </c>
      <c r="G582" s="29" t="str">
        <f>IFERROR(HYPERLINK("#"&amp;ADDRESS(MATCH(B582&amp;"ES",'LM7 Non-ENG'!$A$1:$A$5000,0),1,,,"LM7 Non-ENG"),IF(IFERROR(VLOOKUP(B582&amp;"ES",'LM7 Non-ENG'!$A$1:$A$4999,1,FALSE),"ERROR")=B582&amp;"ES","Y","")),"")</f>
        <v/>
      </c>
      <c r="H582" s="29" t="str">
        <f>IFERROR(HYPERLINK("#"&amp;ADDRESS(MATCH(B582&amp;"PT",'LM7 Non-ENG'!$A$1:$A$5000,0),1,,,"LM7 Non-ENG"),IF(IFERROR(VLOOKUP(B582&amp;"PT",'LM7 Non-ENG'!$A$1:$A$5000,1,FALSE),"ERROR")=B582&amp;"PT","Y","")),"")</f>
        <v/>
      </c>
      <c r="I582" t="str">
        <f>IFERROR(VLOOKUP(B582,PN!$A:$C,3,FALSE),"")</f>
        <v>Active</v>
      </c>
      <c r="J582" s="3">
        <f>IFERROR(E582*VLOOKUP(B582,PLInter!$A:$D,3,FALSE),"")</f>
        <v>700</v>
      </c>
      <c r="K582" s="68"/>
      <c r="L582" s="68"/>
      <c r="M582" s="68"/>
      <c r="N582" s="68"/>
      <c r="O582" s="68"/>
      <c r="P582" s="68"/>
      <c r="Q582" s="68"/>
      <c r="R582" s="68"/>
      <c r="S582" s="68"/>
      <c r="T582" s="68"/>
    </row>
    <row r="583" spans="2:20" ht="18" customHeight="1">
      <c r="B583" t="str">
        <f>"77-ME04-0001"</f>
        <v>77-ME04-0001</v>
      </c>
      <c r="C583" t="str">
        <f>"LM7 Content, JM, Bearings"</f>
        <v>LM7 Content, JM, Bearings</v>
      </c>
      <c r="D583" s="4"/>
      <c r="E583" s="4">
        <v>1</v>
      </c>
      <c r="F583" s="4"/>
      <c r="G583" s="29" t="str">
        <f>IFERROR(HYPERLINK("#"&amp;ADDRESS(MATCH(B583&amp;"ES",'LM7 Non-ENG'!$A$1:$A$5000,0),1,,,"LM7 Non-ENG"),IF(IFERROR(VLOOKUP(B583&amp;"ES",'LM7 Non-ENG'!$A$1:$A$4999,1,FALSE),"ERROR")=B583&amp;"ES","Y","")),"")</f>
        <v>Y</v>
      </c>
      <c r="H583" s="29" t="str">
        <f>IFERROR(HYPERLINK("#"&amp;ADDRESS(MATCH(B583&amp;"PT",'LM7 Non-ENG'!$A$1:$A$5000,0),1,,,"LM7 Non-ENG"),IF(IFERROR(VLOOKUP(B583&amp;"PT",'LM7 Non-ENG'!$A$1:$A$5000,1,FALSE),"ERROR")=B583&amp;"PT","Y","")),"")</f>
        <v/>
      </c>
      <c r="I583" t="str">
        <f>IFERROR(VLOOKUP(B583,PN!$A:$C,3,FALSE),"")</f>
        <v>Active</v>
      </c>
      <c r="J583" s="3">
        <f>IFERROR(E583*VLOOKUP(B583,PLInter!$A:$D,3,FALSE),"")</f>
        <v>700</v>
      </c>
      <c r="K583" s="68"/>
      <c r="L583" s="68"/>
      <c r="M583" s="68"/>
      <c r="N583" s="68"/>
      <c r="O583" s="68"/>
      <c r="P583" s="68"/>
      <c r="Q583" s="68"/>
      <c r="R583" s="68"/>
      <c r="S583" s="68"/>
      <c r="T583" s="68"/>
    </row>
    <row r="584" spans="2:20" ht="18" customHeight="1">
      <c r="B584" s="2" t="str">
        <f>"17-ME04-0001"</f>
        <v>17-ME04-0001</v>
      </c>
      <c r="C584" s="2" t="str">
        <f>"LM5.X Content, JM, Bearings"</f>
        <v>LM5.X Content, JM, Bearings</v>
      </c>
      <c r="D584" s="5"/>
      <c r="E584" s="5">
        <v>1</v>
      </c>
      <c r="F584" s="5" t="str">
        <f>"Y"</f>
        <v>Y</v>
      </c>
      <c r="G584" s="29" t="str">
        <f>IFERROR(HYPERLINK("#"&amp;ADDRESS(MATCH(B584&amp;"ES",'LM7 Non-ENG'!$A$1:$A$5000,0),1,,,"LM7 Non-ENG"),IF(IFERROR(VLOOKUP(B584&amp;"ES",'LM7 Non-ENG'!$A$1:$A$4999,1,FALSE),"ERROR")=B584&amp;"ES","Y","")),"")</f>
        <v/>
      </c>
      <c r="H584" s="29" t="str">
        <f>IFERROR(HYPERLINK("#"&amp;ADDRESS(MATCH(B584&amp;"PT",'LM7 Non-ENG'!$A$1:$A$5000,0),1,,,"LM7 Non-ENG"),IF(IFERROR(VLOOKUP(B584&amp;"PT",'LM7 Non-ENG'!$A$1:$A$5000,1,FALSE),"ERROR")=B584&amp;"PT","Y","")),"")</f>
        <v/>
      </c>
      <c r="I584" t="str">
        <f>IFERROR(VLOOKUP(B584,PN!$A:$C,3,FALSE),"")</f>
        <v>Active</v>
      </c>
      <c r="J584" s="3">
        <f>IFERROR(E584*VLOOKUP(B584,PLInter!$A:$D,3,FALSE),"")</f>
        <v>700</v>
      </c>
      <c r="K584" s="68"/>
      <c r="L584" s="68"/>
      <c r="M584" s="68"/>
      <c r="N584" s="68"/>
      <c r="O584" s="68"/>
      <c r="P584" s="68"/>
      <c r="Q584" s="68"/>
      <c r="R584" s="68"/>
      <c r="S584" s="68"/>
      <c r="T584" s="68"/>
    </row>
    <row r="585" spans="2:20" ht="18" customHeight="1">
      <c r="B585" t="str">
        <f>"77-ME05-0001"</f>
        <v>77-ME05-0001</v>
      </c>
      <c r="C585" t="str">
        <f>"LM7 Content, JM, Belt Drives"</f>
        <v>LM7 Content, JM, Belt Drives</v>
      </c>
      <c r="D585" s="4"/>
      <c r="E585" s="4">
        <v>1</v>
      </c>
      <c r="F585" s="4"/>
      <c r="G585" s="29" t="str">
        <f>IFERROR(HYPERLINK("#"&amp;ADDRESS(MATCH(B585&amp;"ES",'LM7 Non-ENG'!$A$1:$A$5000,0),1,,,"LM7 Non-ENG"),IF(IFERROR(VLOOKUP(B585&amp;"ES",'LM7 Non-ENG'!$A$1:$A$4999,1,FALSE),"ERROR")=B585&amp;"ES","Y","")),"")</f>
        <v>Y</v>
      </c>
      <c r="H585" s="29" t="str">
        <f>IFERROR(HYPERLINK("#"&amp;ADDRESS(MATCH(B585&amp;"PT",'LM7 Non-ENG'!$A$1:$A$5000,0),1,,,"LM7 Non-ENG"),IF(IFERROR(VLOOKUP(B585&amp;"PT",'LM7 Non-ENG'!$A$1:$A$5000,1,FALSE),"ERROR")=B585&amp;"PT","Y","")),"")</f>
        <v/>
      </c>
      <c r="I585" t="str">
        <f>IFERROR(VLOOKUP(B585,PN!$A:$C,3,FALSE),"")</f>
        <v>Active</v>
      </c>
      <c r="J585" s="3">
        <f>IFERROR(E585*VLOOKUP(B585,PLInter!$A:$D,3,FALSE),"")</f>
        <v>700</v>
      </c>
      <c r="K585" s="68"/>
      <c r="L585" s="68"/>
      <c r="M585" s="68"/>
      <c r="N585" s="68"/>
      <c r="O585" s="68"/>
      <c r="P585" s="68"/>
      <c r="Q585" s="68"/>
      <c r="R585" s="68"/>
      <c r="S585" s="68"/>
      <c r="T585" s="68"/>
    </row>
    <row r="586" spans="2:20" ht="18" customHeight="1">
      <c r="B586" s="2" t="str">
        <f>"17-ME05-0001"</f>
        <v>17-ME05-0001</v>
      </c>
      <c r="C586" s="2" t="str">
        <f>"LM5.X Content, JM, Belt Drives"</f>
        <v>LM5.X Content, JM, Belt Drives</v>
      </c>
      <c r="D586" s="5"/>
      <c r="E586" s="5">
        <v>1</v>
      </c>
      <c r="F586" s="5" t="str">
        <f>"Y"</f>
        <v>Y</v>
      </c>
      <c r="G586" s="29" t="str">
        <f>IFERROR(HYPERLINK("#"&amp;ADDRESS(MATCH(B586&amp;"ES",'LM7 Non-ENG'!$A$1:$A$5000,0),1,,,"LM7 Non-ENG"),IF(IFERROR(VLOOKUP(B586&amp;"ES",'LM7 Non-ENG'!$A$1:$A$4999,1,FALSE),"ERROR")=B586&amp;"ES","Y","")),"")</f>
        <v/>
      </c>
      <c r="H586" s="29" t="str">
        <f>IFERROR(HYPERLINK("#"&amp;ADDRESS(MATCH(B586&amp;"PT",'LM7 Non-ENG'!$A$1:$A$5000,0),1,,,"LM7 Non-ENG"),IF(IFERROR(VLOOKUP(B586&amp;"PT",'LM7 Non-ENG'!$A$1:$A$5000,1,FALSE),"ERROR")=B586&amp;"PT","Y","")),"")</f>
        <v/>
      </c>
      <c r="I586" t="str">
        <f>IFERROR(VLOOKUP(B586,PN!$A:$C,3,FALSE),"")</f>
        <v>Active</v>
      </c>
      <c r="J586" s="3">
        <f>IFERROR(E586*VLOOKUP(B586,PLInter!$A:$D,3,FALSE),"")</f>
        <v>700</v>
      </c>
      <c r="K586" s="68"/>
      <c r="L586" s="68"/>
      <c r="M586" s="68"/>
      <c r="N586" s="68"/>
      <c r="O586" s="68"/>
      <c r="P586" s="68"/>
      <c r="Q586" s="68"/>
      <c r="R586" s="68"/>
      <c r="S586" s="68"/>
      <c r="T586" s="68"/>
    </row>
    <row r="587" spans="2:20" ht="18" customHeight="1">
      <c r="B587" t="str">
        <f>"77-ME06-0001"</f>
        <v>77-ME06-0001</v>
      </c>
      <c r="C587" t="str">
        <f>"LM7 Content, JM, Chain Drives"</f>
        <v>LM7 Content, JM, Chain Drives</v>
      </c>
      <c r="D587" s="4"/>
      <c r="E587" s="4">
        <v>1</v>
      </c>
      <c r="F587" s="4"/>
      <c r="G587" s="29" t="str">
        <f>IFERROR(HYPERLINK("#"&amp;ADDRESS(MATCH(B587&amp;"ES",'LM7 Non-ENG'!$A$1:$A$5000,0),1,,,"LM7 Non-ENG"),IF(IFERROR(VLOOKUP(B587&amp;"ES",'LM7 Non-ENG'!$A$1:$A$4999,1,FALSE),"ERROR")=B587&amp;"ES","Y","")),"")</f>
        <v>Y</v>
      </c>
      <c r="H587" s="29" t="str">
        <f>IFERROR(HYPERLINK("#"&amp;ADDRESS(MATCH(B587&amp;"PT",'LM7 Non-ENG'!$A$1:$A$5000,0),1,,,"LM7 Non-ENG"),IF(IFERROR(VLOOKUP(B587&amp;"PT",'LM7 Non-ENG'!$A$1:$A$5000,1,FALSE),"ERROR")=B587&amp;"PT","Y","")),"")</f>
        <v/>
      </c>
      <c r="I587" t="str">
        <f>IFERROR(VLOOKUP(B587,PN!$A:$C,3,FALSE),"")</f>
        <v>Active</v>
      </c>
      <c r="J587" s="3">
        <f>IFERROR(E587*VLOOKUP(B587,PLInter!$A:$D,3,FALSE),"")</f>
        <v>700</v>
      </c>
      <c r="K587" s="68"/>
      <c r="L587" s="68"/>
      <c r="M587" s="68"/>
      <c r="N587" s="68"/>
      <c r="O587" s="68"/>
      <c r="P587" s="68"/>
      <c r="Q587" s="68"/>
      <c r="R587" s="68"/>
      <c r="S587" s="68"/>
      <c r="T587" s="68"/>
    </row>
    <row r="588" spans="2:20" ht="18" customHeight="1">
      <c r="B588" s="2" t="str">
        <f>"17-ME06-0001"</f>
        <v>17-ME06-0001</v>
      </c>
      <c r="C588" s="2" t="str">
        <f>"LM5.X Content, JM, Chain Drives"</f>
        <v>LM5.X Content, JM, Chain Drives</v>
      </c>
      <c r="D588" s="5"/>
      <c r="E588" s="5">
        <v>1</v>
      </c>
      <c r="F588" s="5" t="str">
        <f>"Y"</f>
        <v>Y</v>
      </c>
      <c r="G588" s="29" t="str">
        <f>IFERROR(HYPERLINK("#"&amp;ADDRESS(MATCH(B588&amp;"ES",'LM7 Non-ENG'!$A$1:$A$5000,0),1,,,"LM7 Non-ENG"),IF(IFERROR(VLOOKUP(B588&amp;"ES",'LM7 Non-ENG'!$A$1:$A$4999,1,FALSE),"ERROR")=B588&amp;"ES","Y","")),"")</f>
        <v/>
      </c>
      <c r="H588" s="29" t="str">
        <f>IFERROR(HYPERLINK("#"&amp;ADDRESS(MATCH(B588&amp;"PT",'LM7 Non-ENG'!$A$1:$A$5000,0),1,,,"LM7 Non-ENG"),IF(IFERROR(VLOOKUP(B588&amp;"PT",'LM7 Non-ENG'!$A$1:$A$5000,1,FALSE),"ERROR")=B588&amp;"PT","Y","")),"")</f>
        <v/>
      </c>
      <c r="I588" t="str">
        <f>IFERROR(VLOOKUP(B588,PN!$A:$C,3,FALSE),"")</f>
        <v>Active</v>
      </c>
      <c r="J588" s="3">
        <f>IFERROR(E588*VLOOKUP(B588,PLInter!$A:$D,3,FALSE),"")</f>
        <v>700</v>
      </c>
      <c r="K588" s="68"/>
      <c r="L588" s="68"/>
      <c r="M588" s="68"/>
      <c r="N588" s="68"/>
      <c r="O588" s="68"/>
      <c r="P588" s="68"/>
      <c r="Q588" s="68"/>
      <c r="R588" s="68"/>
      <c r="S588" s="68"/>
      <c r="T588" s="68"/>
    </row>
    <row r="589" spans="2:20" ht="18" customHeight="1">
      <c r="B589" t="str">
        <f>"77-ME07-0001"</f>
        <v>77-ME07-0001</v>
      </c>
      <c r="C589" t="str">
        <f>"LM7 Content, JM, Machine Shaft Couplings"</f>
        <v>LM7 Content, JM, Machine Shaft Couplings</v>
      </c>
      <c r="D589" s="4"/>
      <c r="E589" s="4">
        <v>1</v>
      </c>
      <c r="F589" s="4"/>
      <c r="G589" s="29" t="str">
        <f>IFERROR(HYPERLINK("#"&amp;ADDRESS(MATCH(B589&amp;"ES",'LM7 Non-ENG'!$A$1:$A$5000,0),1,,,"LM7 Non-ENG"),IF(IFERROR(VLOOKUP(B589&amp;"ES",'LM7 Non-ENG'!$A$1:$A$4999,1,FALSE),"ERROR")=B589&amp;"ES","Y","")),"")</f>
        <v>Y</v>
      </c>
      <c r="H589" s="29" t="str">
        <f>IFERROR(HYPERLINK("#"&amp;ADDRESS(MATCH(B589&amp;"PT",'LM7 Non-ENG'!$A$1:$A$5000,0),1,,,"LM7 Non-ENG"),IF(IFERROR(VLOOKUP(B589&amp;"PT",'LM7 Non-ENG'!$A$1:$A$5000,1,FALSE),"ERROR")=B589&amp;"PT","Y","")),"")</f>
        <v/>
      </c>
      <c r="I589" t="str">
        <f>IFERROR(VLOOKUP(B589,PN!$A:$C,3,FALSE),"")</f>
        <v>Active</v>
      </c>
      <c r="J589" s="3">
        <f>IFERROR(E589*VLOOKUP(B589,PLInter!$A:$D,3,FALSE),"")</f>
        <v>700</v>
      </c>
      <c r="K589" s="68"/>
      <c r="L589" s="68"/>
      <c r="M589" s="68"/>
      <c r="N589" s="68"/>
      <c r="O589" s="68"/>
      <c r="P589" s="68"/>
      <c r="Q589" s="68"/>
      <c r="R589" s="68"/>
      <c r="S589" s="68"/>
      <c r="T589" s="68"/>
    </row>
    <row r="590" spans="2:20" ht="18" customHeight="1">
      <c r="B590" s="2" t="str">
        <f>"17-ME07-0001"</f>
        <v>17-ME07-0001</v>
      </c>
      <c r="C590" s="2" t="str">
        <f>"LM5.X Content, JM, Machine Shaft Couplings"</f>
        <v>LM5.X Content, JM, Machine Shaft Couplings</v>
      </c>
      <c r="D590" s="5"/>
      <c r="E590" s="5">
        <v>1</v>
      </c>
      <c r="F590" s="5" t="str">
        <f>"Y"</f>
        <v>Y</v>
      </c>
      <c r="G590" s="29" t="str">
        <f>IFERROR(HYPERLINK("#"&amp;ADDRESS(MATCH(B590&amp;"ES",'LM7 Non-ENG'!$A$1:$A$5000,0),1,,,"LM7 Non-ENG"),IF(IFERROR(VLOOKUP(B590&amp;"ES",'LM7 Non-ENG'!$A$1:$A$4999,1,FALSE),"ERROR")=B590&amp;"ES","Y","")),"")</f>
        <v/>
      </c>
      <c r="H590" s="29" t="str">
        <f>IFERROR(HYPERLINK("#"&amp;ADDRESS(MATCH(B590&amp;"PT",'LM7 Non-ENG'!$A$1:$A$5000,0),1,,,"LM7 Non-ENG"),IF(IFERROR(VLOOKUP(B590&amp;"PT",'LM7 Non-ENG'!$A$1:$A$5000,1,FALSE),"ERROR")=B590&amp;"PT","Y","")),"")</f>
        <v/>
      </c>
      <c r="I590" t="str">
        <f>IFERROR(VLOOKUP(B590,PN!$A:$C,3,FALSE),"")</f>
        <v>Active</v>
      </c>
      <c r="J590" s="3">
        <f>IFERROR(E590*VLOOKUP(B590,PLInter!$A:$D,3,FALSE),"")</f>
        <v>700</v>
      </c>
      <c r="K590" s="68"/>
      <c r="L590" s="68"/>
      <c r="M590" s="68"/>
      <c r="N590" s="68"/>
      <c r="O590" s="68"/>
      <c r="P590" s="68"/>
      <c r="Q590" s="68"/>
      <c r="R590" s="68"/>
      <c r="S590" s="68"/>
      <c r="T590" s="68"/>
    </row>
    <row r="591" spans="2:20" ht="18" customHeight="1">
      <c r="B591" t="str">
        <f>"77-ME08-0001"</f>
        <v>77-ME08-0001</v>
      </c>
      <c r="C591" t="str">
        <f>"LM7 Content, JM, Gear Drives"</f>
        <v>LM7 Content, JM, Gear Drives</v>
      </c>
      <c r="D591" s="4"/>
      <c r="E591" s="4">
        <v>1</v>
      </c>
      <c r="F591" s="4"/>
      <c r="G591" s="29" t="str">
        <f>IFERROR(HYPERLINK("#"&amp;ADDRESS(MATCH(B591&amp;"ES",'LM7 Non-ENG'!$A$1:$A$5000,0),1,,,"LM7 Non-ENG"),IF(IFERROR(VLOOKUP(B591&amp;"ES",'LM7 Non-ENG'!$A$1:$A$4999,1,FALSE),"ERROR")=B591&amp;"ES","Y","")),"")</f>
        <v>Y</v>
      </c>
      <c r="H591" s="29" t="str">
        <f>IFERROR(HYPERLINK("#"&amp;ADDRESS(MATCH(B591&amp;"PT",'LM7 Non-ENG'!$A$1:$A$5000,0),1,,,"LM7 Non-ENG"),IF(IFERROR(VLOOKUP(B591&amp;"PT",'LM7 Non-ENG'!$A$1:$A$5000,1,FALSE),"ERROR")=B591&amp;"PT","Y","")),"")</f>
        <v/>
      </c>
      <c r="I591" t="str">
        <f>IFERROR(VLOOKUP(B591,PN!$A:$C,3,FALSE),"")</f>
        <v>Active</v>
      </c>
      <c r="J591" s="3">
        <f>IFERROR(E591*VLOOKUP(B591,PLInter!$A:$D,3,FALSE),"")</f>
        <v>700</v>
      </c>
      <c r="K591" s="68"/>
      <c r="L591" s="68"/>
      <c r="M591" s="68"/>
      <c r="N591" s="68"/>
      <c r="O591" s="68"/>
      <c r="P591" s="68"/>
      <c r="Q591" s="68"/>
      <c r="R591" s="68"/>
      <c r="S591" s="68"/>
      <c r="T591" s="68"/>
    </row>
    <row r="592" spans="2:20" ht="18" customHeight="1">
      <c r="B592" s="2" t="str">
        <f>"17-ME08-0001"</f>
        <v>17-ME08-0001</v>
      </c>
      <c r="C592" s="2" t="str">
        <f>"LM5.X Content, JM, Gear Drives"</f>
        <v>LM5.X Content, JM, Gear Drives</v>
      </c>
      <c r="D592" s="5"/>
      <c r="E592" s="5">
        <v>1</v>
      </c>
      <c r="F592" s="5" t="str">
        <f>"Y"</f>
        <v>Y</v>
      </c>
      <c r="G592" s="29" t="str">
        <f>IFERROR(HYPERLINK("#"&amp;ADDRESS(MATCH(B592&amp;"ES",'LM7 Non-ENG'!$A$1:$A$5000,0),1,,,"LM7 Non-ENG"),IF(IFERROR(VLOOKUP(B592&amp;"ES",'LM7 Non-ENG'!$A$1:$A$4999,1,FALSE),"ERROR")=B592&amp;"ES","Y","")),"")</f>
        <v/>
      </c>
      <c r="H592" s="29" t="str">
        <f>IFERROR(HYPERLINK("#"&amp;ADDRESS(MATCH(B592&amp;"PT",'LM7 Non-ENG'!$A$1:$A$5000,0),1,,,"LM7 Non-ENG"),IF(IFERROR(VLOOKUP(B592&amp;"PT",'LM7 Non-ENG'!$A$1:$A$5000,1,FALSE),"ERROR")=B592&amp;"PT","Y","")),"")</f>
        <v/>
      </c>
      <c r="I592" t="str">
        <f>IFERROR(VLOOKUP(B592,PN!$A:$C,3,FALSE),"")</f>
        <v>Active</v>
      </c>
      <c r="J592" s="3">
        <f>IFERROR(E592*VLOOKUP(B592,PLInter!$A:$D,3,FALSE),"")</f>
        <v>700</v>
      </c>
      <c r="K592" s="68"/>
      <c r="L592" s="68"/>
      <c r="M592" s="68"/>
      <c r="N592" s="68"/>
      <c r="O592" s="68"/>
      <c r="P592" s="68"/>
      <c r="Q592" s="68"/>
      <c r="R592" s="68"/>
      <c r="S592" s="68"/>
      <c r="T592" s="68"/>
    </row>
    <row r="593" spans="1:20" ht="18" customHeight="1">
      <c r="B593" t="str">
        <f>"77-ME09-0001"</f>
        <v>77-ME09-0001</v>
      </c>
      <c r="C593" t="str">
        <f>"LM7 Content, JM, Machine Speed Reducers"</f>
        <v>LM7 Content, JM, Machine Speed Reducers</v>
      </c>
      <c r="D593" s="4"/>
      <c r="E593" s="4">
        <v>1</v>
      </c>
      <c r="F593" s="4"/>
      <c r="G593" s="29" t="str">
        <f>IFERROR(HYPERLINK("#"&amp;ADDRESS(MATCH(B593&amp;"ES",'LM7 Non-ENG'!$A$1:$A$5000,0),1,,,"LM7 Non-ENG"),IF(IFERROR(VLOOKUP(B593&amp;"ES",'LM7 Non-ENG'!$A$1:$A$4999,1,FALSE),"ERROR")=B593&amp;"ES","Y","")),"")</f>
        <v>Y</v>
      </c>
      <c r="H593" s="29" t="str">
        <f>IFERROR(HYPERLINK("#"&amp;ADDRESS(MATCH(B593&amp;"PT",'LM7 Non-ENG'!$A$1:$A$5000,0),1,,,"LM7 Non-ENG"),IF(IFERROR(VLOOKUP(B593&amp;"PT",'LM7 Non-ENG'!$A$1:$A$5000,1,FALSE),"ERROR")=B593&amp;"PT","Y","")),"")</f>
        <v/>
      </c>
      <c r="I593" t="str">
        <f>IFERROR(VLOOKUP(B593,PN!$A:$C,3,FALSE),"")</f>
        <v>Active</v>
      </c>
      <c r="J593" s="3">
        <f>IFERROR(E593*VLOOKUP(B593,PLInter!$A:$D,3,FALSE),"")</f>
        <v>700</v>
      </c>
      <c r="K593" s="68"/>
      <c r="L593" s="68"/>
      <c r="M593" s="68"/>
      <c r="N593" s="68"/>
      <c r="O593" s="68"/>
      <c r="P593" s="68"/>
      <c r="Q593" s="68"/>
      <c r="R593" s="68"/>
      <c r="S593" s="68"/>
      <c r="T593" s="68"/>
    </row>
    <row r="594" spans="1:20" ht="18" customHeight="1">
      <c r="B594" s="2" t="str">
        <f>"17-ME09-0001"</f>
        <v>17-ME09-0001</v>
      </c>
      <c r="C594" s="2" t="str">
        <f>"LM5.X Content, JM, Machine Speed Reducers"</f>
        <v>LM5.X Content, JM, Machine Speed Reducers</v>
      </c>
      <c r="D594" s="5"/>
      <c r="E594" s="5">
        <v>1</v>
      </c>
      <c r="F594" s="5" t="str">
        <f>"Y"</f>
        <v>Y</v>
      </c>
      <c r="G594" s="29" t="str">
        <f>IFERROR(HYPERLINK("#"&amp;ADDRESS(MATCH(B594&amp;"ES",'LM7 Non-ENG'!$A$1:$A$5000,0),1,,,"LM7 Non-ENG"),IF(IFERROR(VLOOKUP(B594&amp;"ES",'LM7 Non-ENG'!$A$1:$A$4999,1,FALSE),"ERROR")=B594&amp;"ES","Y","")),"")</f>
        <v/>
      </c>
      <c r="H594" s="29" t="str">
        <f>IFERROR(HYPERLINK("#"&amp;ADDRESS(MATCH(B594&amp;"PT",'LM7 Non-ENG'!$A$1:$A$5000,0),1,,,"LM7 Non-ENG"),IF(IFERROR(VLOOKUP(B594&amp;"PT",'LM7 Non-ENG'!$A$1:$A$5000,1,FALSE),"ERROR")=B594&amp;"PT","Y","")),"")</f>
        <v/>
      </c>
      <c r="I594" t="str">
        <f>IFERROR(VLOOKUP(B594,PN!$A:$C,3,FALSE),"")</f>
        <v>Active</v>
      </c>
      <c r="J594" s="3">
        <f>IFERROR(E594*VLOOKUP(B594,PLInter!$A:$D,3,FALSE),"")</f>
        <v>700</v>
      </c>
      <c r="K594" s="68"/>
      <c r="L594" s="68"/>
      <c r="M594" s="68"/>
      <c r="N594" s="68"/>
      <c r="O594" s="68"/>
      <c r="P594" s="68"/>
      <c r="Q594" s="68"/>
      <c r="R594" s="68"/>
      <c r="S594" s="68"/>
      <c r="T594" s="68"/>
    </row>
    <row r="595" spans="1:20" ht="18" customHeight="1">
      <c r="B595" t="str">
        <f>"77-ME10-0001"</f>
        <v>77-ME10-0001</v>
      </c>
      <c r="C595" t="str">
        <f>"LM7 Content, JM, Electric Brakes"</f>
        <v>LM7 Content, JM, Electric Brakes</v>
      </c>
      <c r="D595" s="4"/>
      <c r="E595" s="4">
        <v>1</v>
      </c>
      <c r="F595" s="4"/>
      <c r="G595" s="29" t="str">
        <f>IFERROR(HYPERLINK("#"&amp;ADDRESS(MATCH(B595&amp;"ES",'LM7 Non-ENG'!$A$1:$A$5000,0),1,,,"LM7 Non-ENG"),IF(IFERROR(VLOOKUP(B595&amp;"ES",'LM7 Non-ENG'!$A$1:$A$4999,1,FALSE),"ERROR")=B595&amp;"ES","Y","")),"")</f>
        <v>Y</v>
      </c>
      <c r="H595" s="29" t="str">
        <f>IFERROR(HYPERLINK("#"&amp;ADDRESS(MATCH(B595&amp;"PT",'LM7 Non-ENG'!$A$1:$A$5000,0),1,,,"LM7 Non-ENG"),IF(IFERROR(VLOOKUP(B595&amp;"PT",'LM7 Non-ENG'!$A$1:$A$5000,1,FALSE),"ERROR")=B595&amp;"PT","Y","")),"")</f>
        <v/>
      </c>
      <c r="I595" t="str">
        <f>IFERROR(VLOOKUP(B595,PN!$A:$C,3,FALSE),"")</f>
        <v>Active</v>
      </c>
      <c r="J595" s="3">
        <f>IFERROR(E595*VLOOKUP(B595,PLInter!$A:$D,3,FALSE),"")</f>
        <v>700</v>
      </c>
      <c r="K595" s="68"/>
      <c r="L595" s="68"/>
      <c r="M595" s="68"/>
      <c r="N595" s="68"/>
      <c r="O595" s="68"/>
      <c r="P595" s="68"/>
      <c r="Q595" s="68"/>
      <c r="R595" s="68"/>
      <c r="S595" s="68"/>
      <c r="T595" s="68"/>
    </row>
    <row r="596" spans="1:20" ht="18" customHeight="1">
      <c r="B596" s="2" t="str">
        <f>"17-ME10-0001"</f>
        <v>17-ME10-0001</v>
      </c>
      <c r="C596" s="2" t="str">
        <f>"LM5.X Content, JM, Electric Brakes"</f>
        <v>LM5.X Content, JM, Electric Brakes</v>
      </c>
      <c r="D596" s="5"/>
      <c r="E596" s="5">
        <v>1</v>
      </c>
      <c r="F596" s="5" t="str">
        <f>"Y"</f>
        <v>Y</v>
      </c>
      <c r="G596" s="29" t="str">
        <f>IFERROR(HYPERLINK("#"&amp;ADDRESS(MATCH(B596&amp;"ES",'LM7 Non-ENG'!$A$1:$A$5000,0),1,,,"LM7 Non-ENG"),IF(IFERROR(VLOOKUP(B596&amp;"ES",'LM7 Non-ENG'!$A$1:$A$4999,1,FALSE),"ERROR")=B596&amp;"ES","Y","")),"")</f>
        <v/>
      </c>
      <c r="H596" s="29" t="str">
        <f>IFERROR(HYPERLINK("#"&amp;ADDRESS(MATCH(B596&amp;"PT",'LM7 Non-ENG'!$A$1:$A$5000,0),1,,,"LM7 Non-ENG"),IF(IFERROR(VLOOKUP(B596&amp;"PT",'LM7 Non-ENG'!$A$1:$A$5000,1,FALSE),"ERROR")=B596&amp;"PT","Y","")),"")</f>
        <v/>
      </c>
      <c r="I596" t="str">
        <f>IFERROR(VLOOKUP(B596,PN!$A:$C,3,FALSE),"")</f>
        <v>Active</v>
      </c>
      <c r="J596" s="3">
        <f>IFERROR(E596*VLOOKUP(B596,PLInter!$A:$D,3,FALSE),"")</f>
        <v>700</v>
      </c>
      <c r="K596" s="68"/>
      <c r="L596" s="68"/>
      <c r="M596" s="68"/>
      <c r="N596" s="68"/>
      <c r="O596" s="68"/>
      <c r="P596" s="68"/>
      <c r="Q596" s="68"/>
      <c r="R596" s="68"/>
      <c r="S596" s="68"/>
      <c r="T596" s="68"/>
    </row>
    <row r="597" spans="1:20" ht="18" customHeight="1">
      <c r="G597" s="29" t="str">
        <f>IFERROR(HYPERLINK("#"&amp;ADDRESS(MATCH(B597&amp;"ES",'LM7 Non-ENG'!$A$1:$A$5000,0),1,,,"LM7 Non-ENG"),IF(IFERROR(VLOOKUP(B597&amp;"ES",'LM7 Non-ENG'!$A$1:$A$4999,1,FALSE),"ERROR")=B597&amp;"ES","Y","")),"")</f>
        <v/>
      </c>
      <c r="H597" s="29" t="str">
        <f>IFERROR(HYPERLINK("#"&amp;ADDRESS(MATCH(B597&amp;"PT",'LM7 Non-ENG'!$A$1:$A$5000,0),1,,,"LM7 Non-ENG"),IF(IFERROR(VLOOKUP(B597&amp;"PT",'LM7 Non-ENG'!$A$1:$A$5000,1,FALSE),"ERROR")=B597&amp;"PT","Y","")),"")</f>
        <v/>
      </c>
    </row>
    <row r="598" spans="1:20" s="7" customFormat="1" ht="18" customHeight="1">
      <c r="A598" s="13" t="s">
        <v>99</v>
      </c>
      <c r="B598" s="13"/>
      <c r="C598" s="13" t="s">
        <v>100</v>
      </c>
      <c r="D598" s="14"/>
      <c r="E598" s="14"/>
      <c r="F598" s="14"/>
      <c r="G598" s="14"/>
      <c r="H598" s="14"/>
      <c r="I598" s="14"/>
      <c r="J598" s="14">
        <f>SUMIFS(J599:J620,D599:D620,"&lt;&gt;Y",F599:F620,"&lt;&gt;Y",I599:I620,"&lt;&gt;Inactive",I599:I620,"&lt;&gt;ECO+NFS")</f>
        <v>33134</v>
      </c>
      <c r="K598" s="14"/>
      <c r="L598" s="14"/>
      <c r="M598" s="14"/>
      <c r="N598" s="14"/>
      <c r="O598" s="14"/>
      <c r="P598" s="14"/>
      <c r="Q598" s="14"/>
      <c r="R598" s="14"/>
      <c r="S598" s="14"/>
      <c r="T598" s="14"/>
    </row>
    <row r="599" spans="1:20" ht="18" customHeight="1">
      <c r="A599" s="17" t="str">
        <f>HYPERLINK("#"&amp;ADDRESS(MATCH(A598,Jobmaster!$A$1:$A$4996,0),1,,,"Jobmaster"),"Back to Price List")</f>
        <v>Back to Price List</v>
      </c>
      <c r="B599" t="str">
        <f>"00-ME10-1000"</f>
        <v>00-ME10-1000</v>
      </c>
      <c r="C599" t="str">
        <f>"Assembly, JM, Mechanical Training Bench, 120V"</f>
        <v>Assembly, JM, Mechanical Training Bench, 120V</v>
      </c>
      <c r="D599" s="4"/>
      <c r="E599" s="4">
        <v>1</v>
      </c>
      <c r="F599" s="4"/>
      <c r="G599" s="29" t="str">
        <f>IFERROR(HYPERLINK("#"&amp;ADDRESS(MATCH(B599&amp;"ES",'LM7 Non-ENG'!$A$1:$A$5000,0),1,,,"LM7 Non-ENG"),IF(IFERROR(VLOOKUP(B599&amp;"ES",'LM7 Non-ENG'!$A$1:$A$4999,1,FALSE),"ERROR")=B599&amp;"ES","Y","")),"")</f>
        <v/>
      </c>
      <c r="H599" s="29" t="str">
        <f>IFERROR(HYPERLINK("#"&amp;ADDRESS(MATCH(B599&amp;"PT",'LM7 Non-ENG'!$A$1:$A$5000,0),1,,,"LM7 Non-ENG"),IF(IFERROR(VLOOKUP(B599&amp;"PT",'LM7 Non-ENG'!$A$1:$A$5000,1,FALSE),"ERROR")=B599&amp;"PT","Y","")),"")</f>
        <v/>
      </c>
      <c r="I599" t="str">
        <f>IFERROR(VLOOKUP(B599,PN!$A:$C,3,FALSE),"")</f>
        <v>ECO-N2Buy</v>
      </c>
      <c r="J599" s="3">
        <f>IFERROR(E599*VLOOKUP(B599,PLInter!$A:$D,3,FALSE),"")</f>
        <v>26134</v>
      </c>
      <c r="K599" s="68" t="s">
        <v>101</v>
      </c>
      <c r="L599" s="68"/>
      <c r="M599" s="68"/>
      <c r="N599" s="68"/>
      <c r="O599" s="68"/>
      <c r="P599" s="68"/>
      <c r="Q599" s="68"/>
      <c r="R599" s="68"/>
      <c r="S599" s="68"/>
      <c r="T599" s="68"/>
    </row>
    <row r="600" spans="1:20" ht="18" customHeight="1">
      <c r="B600" s="2" t="str">
        <f>"00-ME10-1002"</f>
        <v>00-ME10-1002</v>
      </c>
      <c r="C600" s="2" t="str">
        <f>"Assembly, JM, Mechanical Training Bench, 220V"</f>
        <v>Assembly, JM, Mechanical Training Bench, 220V</v>
      </c>
      <c r="D600" s="5"/>
      <c r="E600" s="5">
        <v>1</v>
      </c>
      <c r="F600" s="5" t="str">
        <f>"Y"</f>
        <v>Y</v>
      </c>
      <c r="G600" s="29" t="str">
        <f>IFERROR(HYPERLINK("#"&amp;ADDRESS(MATCH(B600&amp;"ES",'LM7 Non-ENG'!$A$1:$A$5000,0),1,,,"LM7 Non-ENG"),IF(IFERROR(VLOOKUP(B600&amp;"ES",'LM7 Non-ENG'!$A$1:$A$4999,1,FALSE),"ERROR")=B600&amp;"ES","Y","")),"")</f>
        <v/>
      </c>
      <c r="H600" s="29" t="str">
        <f>IFERROR(HYPERLINK("#"&amp;ADDRESS(MATCH(B600&amp;"PT",'LM7 Non-ENG'!$A$1:$A$5000,0),1,,,"LM7 Non-ENG"),IF(IFERROR(VLOOKUP(B600&amp;"PT",'LM7 Non-ENG'!$A$1:$A$5000,1,FALSE),"ERROR")=B600&amp;"PT","Y","")),"")</f>
        <v/>
      </c>
      <c r="I600" t="str">
        <f>IFERROR(VLOOKUP(B600,PN!$A:$C,3,FALSE),"")</f>
        <v>Active</v>
      </c>
      <c r="J600" s="3">
        <f>IFERROR(E600*VLOOKUP(B600,PLInter!$A:$D,3,FALSE),"")</f>
        <v>26134</v>
      </c>
      <c r="K600" s="68"/>
      <c r="L600" s="68"/>
      <c r="M600" s="68"/>
      <c r="N600" s="68"/>
      <c r="O600" s="68"/>
      <c r="P600" s="68"/>
      <c r="Q600" s="68"/>
      <c r="R600" s="68"/>
      <c r="S600" s="68"/>
      <c r="T600" s="68"/>
    </row>
    <row r="601" spans="1:20" ht="18" customHeight="1">
      <c r="B601" t="str">
        <f>"77-ME01-0001"</f>
        <v>77-ME01-0001</v>
      </c>
      <c r="C601" t="str">
        <f>"LM7 Content, JM, Basic Machines"</f>
        <v>LM7 Content, JM, Basic Machines</v>
      </c>
      <c r="D601" s="4"/>
      <c r="E601" s="4">
        <v>1</v>
      </c>
      <c r="F601" s="4"/>
      <c r="G601" s="29" t="str">
        <f>IFERROR(HYPERLINK("#"&amp;ADDRESS(MATCH(B601&amp;"ES",'LM7 Non-ENG'!$A$1:$A$5000,0),1,,,"LM7 Non-ENG"),IF(IFERROR(VLOOKUP(B601&amp;"ES",'LM7 Non-ENG'!$A$1:$A$4999,1,FALSE),"ERROR")=B601&amp;"ES","Y","")),"")</f>
        <v>Y</v>
      </c>
      <c r="H601" s="29" t="str">
        <f>IFERROR(HYPERLINK("#"&amp;ADDRESS(MATCH(B601&amp;"PT",'LM7 Non-ENG'!$A$1:$A$5000,0),1,,,"LM7 Non-ENG"),IF(IFERROR(VLOOKUP(B601&amp;"PT",'LM7 Non-ENG'!$A$1:$A$5000,1,FALSE),"ERROR")=B601&amp;"PT","Y","")),"")</f>
        <v/>
      </c>
      <c r="I601" t="str">
        <f>IFERROR(VLOOKUP(B601,PN!$A:$C,3,FALSE),"")</f>
        <v>Active</v>
      </c>
      <c r="J601" s="3">
        <f>IFERROR(E601*VLOOKUP(B601,PLInter!$A:$D,3,FALSE),"")</f>
        <v>700</v>
      </c>
      <c r="K601" s="68"/>
      <c r="L601" s="68"/>
      <c r="M601" s="68"/>
      <c r="N601" s="68"/>
      <c r="O601" s="68"/>
      <c r="P601" s="68"/>
      <c r="Q601" s="68"/>
      <c r="R601" s="68"/>
      <c r="S601" s="68"/>
      <c r="T601" s="68"/>
    </row>
    <row r="602" spans="1:20" ht="18" customHeight="1">
      <c r="B602" s="2" t="str">
        <f>"17-ME01-0001"</f>
        <v>17-ME01-0001</v>
      </c>
      <c r="C602" s="2" t="str">
        <f>"LM5.X Content, JM, Basic Machines"</f>
        <v>LM5.X Content, JM, Basic Machines</v>
      </c>
      <c r="D602" s="5"/>
      <c r="E602" s="5">
        <v>1</v>
      </c>
      <c r="F602" s="5" t="str">
        <f>"Y"</f>
        <v>Y</v>
      </c>
      <c r="G602" s="29" t="str">
        <f>IFERROR(HYPERLINK("#"&amp;ADDRESS(MATCH(B602&amp;"ES",'LM7 Non-ENG'!$A$1:$A$5000,0),1,,,"LM7 Non-ENG"),IF(IFERROR(VLOOKUP(B602&amp;"ES",'LM7 Non-ENG'!$A$1:$A$4999,1,FALSE),"ERROR")=B602&amp;"ES","Y","")),"")</f>
        <v/>
      </c>
      <c r="H602" s="29" t="str">
        <f>IFERROR(HYPERLINK("#"&amp;ADDRESS(MATCH(B602&amp;"PT",'LM7 Non-ENG'!$A$1:$A$5000,0),1,,,"LM7 Non-ENG"),IF(IFERROR(VLOOKUP(B602&amp;"PT",'LM7 Non-ENG'!$A$1:$A$5000,1,FALSE),"ERROR")=B602&amp;"PT","Y","")),"")</f>
        <v/>
      </c>
      <c r="I602" t="str">
        <f>IFERROR(VLOOKUP(B602,PN!$A:$C,3,FALSE),"")</f>
        <v>Active</v>
      </c>
      <c r="J602" s="3">
        <f>IFERROR(E602*VLOOKUP(B602,PLInter!$A:$D,3,FALSE),"")</f>
        <v>700</v>
      </c>
      <c r="K602" s="68"/>
      <c r="L602" s="68"/>
      <c r="M602" s="68"/>
      <c r="N602" s="68"/>
      <c r="O602" s="68"/>
      <c r="P602" s="68"/>
      <c r="Q602" s="68"/>
      <c r="R602" s="68"/>
      <c r="S602" s="68"/>
      <c r="T602" s="68"/>
    </row>
    <row r="603" spans="1:20" ht="18" customHeight="1">
      <c r="B603" t="str">
        <f>"77-ME02-0001"</f>
        <v>77-ME02-0001</v>
      </c>
      <c r="C603" t="str">
        <f>"LM7 Content, JM, Machine Statics and Dynamics"</f>
        <v>LM7 Content, JM, Machine Statics and Dynamics</v>
      </c>
      <c r="D603" s="4"/>
      <c r="E603" s="4">
        <v>1</v>
      </c>
      <c r="F603" s="4"/>
      <c r="G603" s="29" t="str">
        <f>IFERROR(HYPERLINK("#"&amp;ADDRESS(MATCH(B603&amp;"ES",'LM7 Non-ENG'!$A$1:$A$5000,0),1,,,"LM7 Non-ENG"),IF(IFERROR(VLOOKUP(B603&amp;"ES",'LM7 Non-ENG'!$A$1:$A$4999,1,FALSE),"ERROR")=B603&amp;"ES","Y","")),"")</f>
        <v>Y</v>
      </c>
      <c r="H603" s="29" t="str">
        <f>IFERROR(HYPERLINK("#"&amp;ADDRESS(MATCH(B603&amp;"PT",'LM7 Non-ENG'!$A$1:$A$5000,0),1,,,"LM7 Non-ENG"),IF(IFERROR(VLOOKUP(B603&amp;"PT",'LM7 Non-ENG'!$A$1:$A$5000,1,FALSE),"ERROR")=B603&amp;"PT","Y","")),"")</f>
        <v/>
      </c>
      <c r="I603" t="str">
        <f>IFERROR(VLOOKUP(B603,PN!$A:$C,3,FALSE),"")</f>
        <v>Active</v>
      </c>
      <c r="J603" s="3">
        <f>IFERROR(E603*VLOOKUP(B603,PLInter!$A:$D,3,FALSE),"")</f>
        <v>700</v>
      </c>
      <c r="K603" s="68"/>
      <c r="L603" s="68"/>
      <c r="M603" s="68"/>
      <c r="N603" s="68"/>
      <c r="O603" s="68"/>
      <c r="P603" s="68"/>
      <c r="Q603" s="68"/>
      <c r="R603" s="68"/>
      <c r="S603" s="68"/>
      <c r="T603" s="68"/>
    </row>
    <row r="604" spans="1:20" ht="18" customHeight="1">
      <c r="B604" s="2" t="str">
        <f>"17-ME02-0001"</f>
        <v>17-ME02-0001</v>
      </c>
      <c r="C604" s="2" t="str">
        <f>"LM5.X Content, JM, Machine Statics and Dynamics"</f>
        <v>LM5.X Content, JM, Machine Statics and Dynamics</v>
      </c>
      <c r="D604" s="5"/>
      <c r="E604" s="5">
        <v>1</v>
      </c>
      <c r="F604" s="5" t="str">
        <f>"Y"</f>
        <v>Y</v>
      </c>
      <c r="G604" s="29" t="str">
        <f>IFERROR(HYPERLINK("#"&amp;ADDRESS(MATCH(B604&amp;"ES",'LM7 Non-ENG'!$A$1:$A$5000,0),1,,,"LM7 Non-ENG"),IF(IFERROR(VLOOKUP(B604&amp;"ES",'LM7 Non-ENG'!$A$1:$A$4999,1,FALSE),"ERROR")=B604&amp;"ES","Y","")),"")</f>
        <v/>
      </c>
      <c r="H604" s="29" t="str">
        <f>IFERROR(HYPERLINK("#"&amp;ADDRESS(MATCH(B604&amp;"PT",'LM7 Non-ENG'!$A$1:$A$5000,0),1,,,"LM7 Non-ENG"),IF(IFERROR(VLOOKUP(B604&amp;"PT",'LM7 Non-ENG'!$A$1:$A$5000,1,FALSE),"ERROR")=B604&amp;"PT","Y","")),"")</f>
        <v/>
      </c>
      <c r="I604" t="str">
        <f>IFERROR(VLOOKUP(B604,PN!$A:$C,3,FALSE),"")</f>
        <v>Active</v>
      </c>
      <c r="J604" s="3">
        <f>IFERROR(E604*VLOOKUP(B604,PLInter!$A:$D,3,FALSE),"")</f>
        <v>700</v>
      </c>
      <c r="K604" s="68"/>
      <c r="L604" s="68"/>
      <c r="M604" s="68"/>
      <c r="N604" s="68"/>
      <c r="O604" s="68"/>
      <c r="P604" s="68"/>
      <c r="Q604" s="68"/>
      <c r="R604" s="68"/>
      <c r="S604" s="68"/>
      <c r="T604" s="68"/>
    </row>
    <row r="605" spans="1:20" ht="18" customHeight="1">
      <c r="B605" t="str">
        <f>"77-ME03-0001"</f>
        <v>77-ME03-0001</v>
      </c>
      <c r="C605" t="str">
        <f>"LM7 Content, JM, Machine Shafts and Keys"</f>
        <v>LM7 Content, JM, Machine Shafts and Keys</v>
      </c>
      <c r="D605" s="4"/>
      <c r="E605" s="4">
        <v>1</v>
      </c>
      <c r="F605" s="4"/>
      <c r="G605" s="29" t="str">
        <f>IFERROR(HYPERLINK("#"&amp;ADDRESS(MATCH(B605&amp;"ES",'LM7 Non-ENG'!$A$1:$A$5000,0),1,,,"LM7 Non-ENG"),IF(IFERROR(VLOOKUP(B605&amp;"ES",'LM7 Non-ENG'!$A$1:$A$4999,1,FALSE),"ERROR")=B605&amp;"ES","Y","")),"")</f>
        <v>Y</v>
      </c>
      <c r="H605" s="29" t="str">
        <f>IFERROR(HYPERLINK("#"&amp;ADDRESS(MATCH(B605&amp;"PT",'LM7 Non-ENG'!$A$1:$A$5000,0),1,,,"LM7 Non-ENG"),IF(IFERROR(VLOOKUP(B605&amp;"PT",'LM7 Non-ENG'!$A$1:$A$5000,1,FALSE),"ERROR")=B605&amp;"PT","Y","")),"")</f>
        <v/>
      </c>
      <c r="I605" t="str">
        <f>IFERROR(VLOOKUP(B605,PN!$A:$C,3,FALSE),"")</f>
        <v>Active</v>
      </c>
      <c r="J605" s="3">
        <f>IFERROR(E605*VLOOKUP(B605,PLInter!$A:$D,3,FALSE),"")</f>
        <v>700</v>
      </c>
      <c r="K605" s="68"/>
      <c r="L605" s="68"/>
      <c r="M605" s="68"/>
      <c r="N605" s="68"/>
      <c r="O605" s="68"/>
      <c r="P605" s="68"/>
      <c r="Q605" s="68"/>
      <c r="R605" s="68"/>
      <c r="S605" s="68"/>
      <c r="T605" s="68"/>
    </row>
    <row r="606" spans="1:20" ht="18" customHeight="1">
      <c r="B606" s="2" t="str">
        <f>"17-ME03-0001"</f>
        <v>17-ME03-0001</v>
      </c>
      <c r="C606" s="2" t="str">
        <f>"LM5.X Content, JM, Machine Shafts and Keys"</f>
        <v>LM5.X Content, JM, Machine Shafts and Keys</v>
      </c>
      <c r="D606" s="5"/>
      <c r="E606" s="5">
        <v>1</v>
      </c>
      <c r="F606" s="5" t="str">
        <f>"Y"</f>
        <v>Y</v>
      </c>
      <c r="G606" s="29" t="str">
        <f>IFERROR(HYPERLINK("#"&amp;ADDRESS(MATCH(B606&amp;"ES",'LM7 Non-ENG'!$A$1:$A$5000,0),1,,,"LM7 Non-ENG"),IF(IFERROR(VLOOKUP(B606&amp;"ES",'LM7 Non-ENG'!$A$1:$A$4999,1,FALSE),"ERROR")=B606&amp;"ES","Y","")),"")</f>
        <v/>
      </c>
      <c r="H606" s="29" t="str">
        <f>IFERROR(HYPERLINK("#"&amp;ADDRESS(MATCH(B606&amp;"PT",'LM7 Non-ENG'!$A$1:$A$5000,0),1,,,"LM7 Non-ENG"),IF(IFERROR(VLOOKUP(B606&amp;"PT",'LM7 Non-ENG'!$A$1:$A$5000,1,FALSE),"ERROR")=B606&amp;"PT","Y","")),"")</f>
        <v/>
      </c>
      <c r="I606" t="str">
        <f>IFERROR(VLOOKUP(B606,PN!$A:$C,3,FALSE),"")</f>
        <v>Active</v>
      </c>
      <c r="J606" s="3">
        <f>IFERROR(E606*VLOOKUP(B606,PLInter!$A:$D,3,FALSE),"")</f>
        <v>700</v>
      </c>
      <c r="K606" s="68"/>
      <c r="L606" s="68"/>
      <c r="M606" s="68"/>
      <c r="N606" s="68"/>
      <c r="O606" s="68"/>
      <c r="P606" s="68"/>
      <c r="Q606" s="68"/>
      <c r="R606" s="68"/>
      <c r="S606" s="68"/>
      <c r="T606" s="68"/>
    </row>
    <row r="607" spans="1:20" ht="18" customHeight="1">
      <c r="B607" t="str">
        <f>"77-ME04-0001"</f>
        <v>77-ME04-0001</v>
      </c>
      <c r="C607" t="str">
        <f>"LM7 Content, JM, Bearings"</f>
        <v>LM7 Content, JM, Bearings</v>
      </c>
      <c r="D607" s="4"/>
      <c r="E607" s="4">
        <v>1</v>
      </c>
      <c r="F607" s="4"/>
      <c r="G607" s="29" t="str">
        <f>IFERROR(HYPERLINK("#"&amp;ADDRESS(MATCH(B607&amp;"ES",'LM7 Non-ENG'!$A$1:$A$5000,0),1,,,"LM7 Non-ENG"),IF(IFERROR(VLOOKUP(B607&amp;"ES",'LM7 Non-ENG'!$A$1:$A$4999,1,FALSE),"ERROR")=B607&amp;"ES","Y","")),"")</f>
        <v>Y</v>
      </c>
      <c r="H607" s="29" t="str">
        <f>IFERROR(HYPERLINK("#"&amp;ADDRESS(MATCH(B607&amp;"PT",'LM7 Non-ENG'!$A$1:$A$5000,0),1,,,"LM7 Non-ENG"),IF(IFERROR(VLOOKUP(B607&amp;"PT",'LM7 Non-ENG'!$A$1:$A$5000,1,FALSE),"ERROR")=B607&amp;"PT","Y","")),"")</f>
        <v/>
      </c>
      <c r="I607" t="str">
        <f>IFERROR(VLOOKUP(B607,PN!$A:$C,3,FALSE),"")</f>
        <v>Active</v>
      </c>
      <c r="J607" s="3">
        <f>IFERROR(E607*VLOOKUP(B607,PLInter!$A:$D,3,FALSE),"")</f>
        <v>700</v>
      </c>
      <c r="K607" s="68"/>
      <c r="L607" s="68"/>
      <c r="M607" s="68"/>
      <c r="N607" s="68"/>
      <c r="O607" s="68"/>
      <c r="P607" s="68"/>
      <c r="Q607" s="68"/>
      <c r="R607" s="68"/>
      <c r="S607" s="68"/>
      <c r="T607" s="68"/>
    </row>
    <row r="608" spans="1:20" ht="18" customHeight="1">
      <c r="B608" s="2" t="str">
        <f>"17-ME04-0001"</f>
        <v>17-ME04-0001</v>
      </c>
      <c r="C608" s="2" t="str">
        <f>"LM5.X Content, JM, Bearings"</f>
        <v>LM5.X Content, JM, Bearings</v>
      </c>
      <c r="D608" s="5"/>
      <c r="E608" s="5">
        <v>1</v>
      </c>
      <c r="F608" s="5" t="str">
        <f>"Y"</f>
        <v>Y</v>
      </c>
      <c r="G608" s="29" t="str">
        <f>IFERROR(HYPERLINK("#"&amp;ADDRESS(MATCH(B608&amp;"ES",'LM7 Non-ENG'!$A$1:$A$5000,0),1,,,"LM7 Non-ENG"),IF(IFERROR(VLOOKUP(B608&amp;"ES",'LM7 Non-ENG'!$A$1:$A$4999,1,FALSE),"ERROR")=B608&amp;"ES","Y","")),"")</f>
        <v/>
      </c>
      <c r="H608" s="29" t="str">
        <f>IFERROR(HYPERLINK("#"&amp;ADDRESS(MATCH(B608&amp;"PT",'LM7 Non-ENG'!$A$1:$A$5000,0),1,,,"LM7 Non-ENG"),IF(IFERROR(VLOOKUP(B608&amp;"PT",'LM7 Non-ENG'!$A$1:$A$5000,1,FALSE),"ERROR")=B608&amp;"PT","Y","")),"")</f>
        <v/>
      </c>
      <c r="I608" t="str">
        <f>IFERROR(VLOOKUP(B608,PN!$A:$C,3,FALSE),"")</f>
        <v>Active</v>
      </c>
      <c r="J608" s="3">
        <f>IFERROR(E608*VLOOKUP(B608,PLInter!$A:$D,3,FALSE),"")</f>
        <v>700</v>
      </c>
      <c r="K608" s="68"/>
      <c r="L608" s="68"/>
      <c r="M608" s="68"/>
      <c r="N608" s="68"/>
      <c r="O608" s="68"/>
      <c r="P608" s="68"/>
      <c r="Q608" s="68"/>
      <c r="R608" s="68"/>
      <c r="S608" s="68"/>
      <c r="T608" s="68"/>
    </row>
    <row r="609" spans="1:20" ht="18" customHeight="1">
      <c r="B609" t="str">
        <f>"77-ME05-0001"</f>
        <v>77-ME05-0001</v>
      </c>
      <c r="C609" t="str">
        <f>"LM7 Content, JM, Belt Drives"</f>
        <v>LM7 Content, JM, Belt Drives</v>
      </c>
      <c r="D609" s="4"/>
      <c r="E609" s="4">
        <v>1</v>
      </c>
      <c r="F609" s="4"/>
      <c r="G609" s="29" t="str">
        <f>IFERROR(HYPERLINK("#"&amp;ADDRESS(MATCH(B609&amp;"ES",'LM7 Non-ENG'!$A$1:$A$5000,0),1,,,"LM7 Non-ENG"),IF(IFERROR(VLOOKUP(B609&amp;"ES",'LM7 Non-ENG'!$A$1:$A$4999,1,FALSE),"ERROR")=B609&amp;"ES","Y","")),"")</f>
        <v>Y</v>
      </c>
      <c r="H609" s="29" t="str">
        <f>IFERROR(HYPERLINK("#"&amp;ADDRESS(MATCH(B609&amp;"PT",'LM7 Non-ENG'!$A$1:$A$5000,0),1,,,"LM7 Non-ENG"),IF(IFERROR(VLOOKUP(B609&amp;"PT",'LM7 Non-ENG'!$A$1:$A$5000,1,FALSE),"ERROR")=B609&amp;"PT","Y","")),"")</f>
        <v/>
      </c>
      <c r="I609" t="str">
        <f>IFERROR(VLOOKUP(B609,PN!$A:$C,3,FALSE),"")</f>
        <v>Active</v>
      </c>
      <c r="J609" s="3">
        <f>IFERROR(E609*VLOOKUP(B609,PLInter!$A:$D,3,FALSE),"")</f>
        <v>700</v>
      </c>
      <c r="K609" s="68"/>
      <c r="L609" s="68"/>
      <c r="M609" s="68"/>
      <c r="N609" s="68"/>
      <c r="O609" s="68"/>
      <c r="P609" s="68"/>
      <c r="Q609" s="68"/>
      <c r="R609" s="68"/>
      <c r="S609" s="68"/>
      <c r="T609" s="68"/>
    </row>
    <row r="610" spans="1:20" ht="18" customHeight="1">
      <c r="B610" s="2" t="str">
        <f>"17-ME05-0001"</f>
        <v>17-ME05-0001</v>
      </c>
      <c r="C610" s="2" t="str">
        <f>"LM5.X Content, JM, Belt Drives"</f>
        <v>LM5.X Content, JM, Belt Drives</v>
      </c>
      <c r="D610" s="5"/>
      <c r="E610" s="5">
        <v>1</v>
      </c>
      <c r="F610" s="5" t="str">
        <f>"Y"</f>
        <v>Y</v>
      </c>
      <c r="G610" s="29" t="str">
        <f>IFERROR(HYPERLINK("#"&amp;ADDRESS(MATCH(B610&amp;"ES",'LM7 Non-ENG'!$A$1:$A$5000,0),1,,,"LM7 Non-ENG"),IF(IFERROR(VLOOKUP(B610&amp;"ES",'LM7 Non-ENG'!$A$1:$A$4999,1,FALSE),"ERROR")=B610&amp;"ES","Y","")),"")</f>
        <v/>
      </c>
      <c r="H610" s="29" t="str">
        <f>IFERROR(HYPERLINK("#"&amp;ADDRESS(MATCH(B610&amp;"PT",'LM7 Non-ENG'!$A$1:$A$5000,0),1,,,"LM7 Non-ENG"),IF(IFERROR(VLOOKUP(B610&amp;"PT",'LM7 Non-ENG'!$A$1:$A$5000,1,FALSE),"ERROR")=B610&amp;"PT","Y","")),"")</f>
        <v/>
      </c>
      <c r="I610" t="str">
        <f>IFERROR(VLOOKUP(B610,PN!$A:$C,3,FALSE),"")</f>
        <v>Active</v>
      </c>
      <c r="J610" s="3">
        <f>IFERROR(E610*VLOOKUP(B610,PLInter!$A:$D,3,FALSE),"")</f>
        <v>700</v>
      </c>
      <c r="K610" s="68"/>
      <c r="L610" s="68"/>
      <c r="M610" s="68"/>
      <c r="N610" s="68"/>
      <c r="O610" s="68"/>
      <c r="P610" s="68"/>
      <c r="Q610" s="68"/>
      <c r="R610" s="68"/>
      <c r="S610" s="68"/>
      <c r="T610" s="68"/>
    </row>
    <row r="611" spans="1:20" ht="18" customHeight="1">
      <c r="B611" t="str">
        <f>"77-ME06-0001"</f>
        <v>77-ME06-0001</v>
      </c>
      <c r="C611" t="str">
        <f>"LM7 Content, JM, Chain Drives"</f>
        <v>LM7 Content, JM, Chain Drives</v>
      </c>
      <c r="D611" s="4"/>
      <c r="E611" s="4">
        <v>1</v>
      </c>
      <c r="F611" s="4"/>
      <c r="G611" s="29" t="str">
        <f>IFERROR(HYPERLINK("#"&amp;ADDRESS(MATCH(B611&amp;"ES",'LM7 Non-ENG'!$A$1:$A$5000,0),1,,,"LM7 Non-ENG"),IF(IFERROR(VLOOKUP(B611&amp;"ES",'LM7 Non-ENG'!$A$1:$A$4999,1,FALSE),"ERROR")=B611&amp;"ES","Y","")),"")</f>
        <v>Y</v>
      </c>
      <c r="H611" s="29" t="str">
        <f>IFERROR(HYPERLINK("#"&amp;ADDRESS(MATCH(B611&amp;"PT",'LM7 Non-ENG'!$A$1:$A$5000,0),1,,,"LM7 Non-ENG"),IF(IFERROR(VLOOKUP(B611&amp;"PT",'LM7 Non-ENG'!$A$1:$A$5000,1,FALSE),"ERROR")=B611&amp;"PT","Y","")),"")</f>
        <v/>
      </c>
      <c r="I611" t="str">
        <f>IFERROR(VLOOKUP(B611,PN!$A:$C,3,FALSE),"")</f>
        <v>Active</v>
      </c>
      <c r="J611" s="3">
        <f>IFERROR(E611*VLOOKUP(B611,PLInter!$A:$D,3,FALSE),"")</f>
        <v>700</v>
      </c>
      <c r="K611" s="68"/>
      <c r="L611" s="68"/>
      <c r="M611" s="68"/>
      <c r="N611" s="68"/>
      <c r="O611" s="68"/>
      <c r="P611" s="68"/>
      <c r="Q611" s="68"/>
      <c r="R611" s="68"/>
      <c r="S611" s="68"/>
      <c r="T611" s="68"/>
    </row>
    <row r="612" spans="1:20" ht="18" customHeight="1">
      <c r="B612" s="2" t="str">
        <f>"17-ME06-0001"</f>
        <v>17-ME06-0001</v>
      </c>
      <c r="C612" s="2" t="str">
        <f>"LM5.X Content, JM, Chain Drives"</f>
        <v>LM5.X Content, JM, Chain Drives</v>
      </c>
      <c r="D612" s="5"/>
      <c r="E612" s="5">
        <v>1</v>
      </c>
      <c r="F612" s="5" t="str">
        <f>"Y"</f>
        <v>Y</v>
      </c>
      <c r="G612" s="29" t="str">
        <f>IFERROR(HYPERLINK("#"&amp;ADDRESS(MATCH(B612&amp;"ES",'LM7 Non-ENG'!$A$1:$A$5000,0),1,,,"LM7 Non-ENG"),IF(IFERROR(VLOOKUP(B612&amp;"ES",'LM7 Non-ENG'!$A$1:$A$4999,1,FALSE),"ERROR")=B612&amp;"ES","Y","")),"")</f>
        <v/>
      </c>
      <c r="H612" s="29" t="str">
        <f>IFERROR(HYPERLINK("#"&amp;ADDRESS(MATCH(B612&amp;"PT",'LM7 Non-ENG'!$A$1:$A$5000,0),1,,,"LM7 Non-ENG"),IF(IFERROR(VLOOKUP(B612&amp;"PT",'LM7 Non-ENG'!$A$1:$A$5000,1,FALSE),"ERROR")=B612&amp;"PT","Y","")),"")</f>
        <v/>
      </c>
      <c r="I612" t="str">
        <f>IFERROR(VLOOKUP(B612,PN!$A:$C,3,FALSE),"")</f>
        <v>Active</v>
      </c>
      <c r="J612" s="3">
        <f>IFERROR(E612*VLOOKUP(B612,PLInter!$A:$D,3,FALSE),"")</f>
        <v>700</v>
      </c>
      <c r="K612" s="68"/>
      <c r="L612" s="68"/>
      <c r="M612" s="68"/>
      <c r="N612" s="68"/>
      <c r="O612" s="68"/>
      <c r="P612" s="68"/>
      <c r="Q612" s="68"/>
      <c r="R612" s="68"/>
      <c r="S612" s="68"/>
      <c r="T612" s="68"/>
    </row>
    <row r="613" spans="1:20" ht="18" customHeight="1">
      <c r="B613" t="str">
        <f>"77-ME07-0001"</f>
        <v>77-ME07-0001</v>
      </c>
      <c r="C613" t="str">
        <f>"LM7 Content, JM, Machine Shaft Couplings"</f>
        <v>LM7 Content, JM, Machine Shaft Couplings</v>
      </c>
      <c r="D613" s="4"/>
      <c r="E613" s="4">
        <v>1</v>
      </c>
      <c r="F613" s="4"/>
      <c r="G613" s="29" t="str">
        <f>IFERROR(HYPERLINK("#"&amp;ADDRESS(MATCH(B613&amp;"ES",'LM7 Non-ENG'!$A$1:$A$5000,0),1,,,"LM7 Non-ENG"),IF(IFERROR(VLOOKUP(B613&amp;"ES",'LM7 Non-ENG'!$A$1:$A$4999,1,FALSE),"ERROR")=B613&amp;"ES","Y","")),"")</f>
        <v>Y</v>
      </c>
      <c r="H613" s="29" t="str">
        <f>IFERROR(HYPERLINK("#"&amp;ADDRESS(MATCH(B613&amp;"PT",'LM7 Non-ENG'!$A$1:$A$5000,0),1,,,"LM7 Non-ENG"),IF(IFERROR(VLOOKUP(B613&amp;"PT",'LM7 Non-ENG'!$A$1:$A$5000,1,FALSE),"ERROR")=B613&amp;"PT","Y","")),"")</f>
        <v/>
      </c>
      <c r="I613" t="str">
        <f>IFERROR(VLOOKUP(B613,PN!$A:$C,3,FALSE),"")</f>
        <v>Active</v>
      </c>
      <c r="J613" s="3">
        <f>IFERROR(E613*VLOOKUP(B613,PLInter!$A:$D,3,FALSE),"")</f>
        <v>700</v>
      </c>
      <c r="K613" s="68"/>
      <c r="L613" s="68"/>
      <c r="M613" s="68"/>
      <c r="N613" s="68"/>
      <c r="O613" s="68"/>
      <c r="P613" s="68"/>
      <c r="Q613" s="68"/>
      <c r="R613" s="68"/>
      <c r="S613" s="68"/>
      <c r="T613" s="68"/>
    </row>
    <row r="614" spans="1:20" ht="18" customHeight="1">
      <c r="B614" s="2" t="str">
        <f>"17-ME07-0001"</f>
        <v>17-ME07-0001</v>
      </c>
      <c r="C614" s="2" t="str">
        <f>"LM5.X Content, JM, Machine Shaft Couplings"</f>
        <v>LM5.X Content, JM, Machine Shaft Couplings</v>
      </c>
      <c r="D614" s="5"/>
      <c r="E614" s="5">
        <v>1</v>
      </c>
      <c r="F614" s="5" t="str">
        <f>"Y"</f>
        <v>Y</v>
      </c>
      <c r="G614" s="29" t="str">
        <f>IFERROR(HYPERLINK("#"&amp;ADDRESS(MATCH(B614&amp;"ES",'LM7 Non-ENG'!$A$1:$A$5000,0),1,,,"LM7 Non-ENG"),IF(IFERROR(VLOOKUP(B614&amp;"ES",'LM7 Non-ENG'!$A$1:$A$4999,1,FALSE),"ERROR")=B614&amp;"ES","Y","")),"")</f>
        <v/>
      </c>
      <c r="H614" s="29" t="str">
        <f>IFERROR(HYPERLINK("#"&amp;ADDRESS(MATCH(B614&amp;"PT",'LM7 Non-ENG'!$A$1:$A$5000,0),1,,,"LM7 Non-ENG"),IF(IFERROR(VLOOKUP(B614&amp;"PT",'LM7 Non-ENG'!$A$1:$A$5000,1,FALSE),"ERROR")=B614&amp;"PT","Y","")),"")</f>
        <v/>
      </c>
      <c r="I614" t="str">
        <f>IFERROR(VLOOKUP(B614,PN!$A:$C,3,FALSE),"")</f>
        <v>Active</v>
      </c>
      <c r="J614" s="3">
        <f>IFERROR(E614*VLOOKUP(B614,PLInter!$A:$D,3,FALSE),"")</f>
        <v>700</v>
      </c>
      <c r="K614" s="68"/>
      <c r="L614" s="68"/>
      <c r="M614" s="68"/>
      <c r="N614" s="68"/>
      <c r="O614" s="68"/>
      <c r="P614" s="68"/>
      <c r="Q614" s="68"/>
      <c r="R614" s="68"/>
      <c r="S614" s="68"/>
      <c r="T614" s="68"/>
    </row>
    <row r="615" spans="1:20" ht="18" customHeight="1">
      <c r="B615" t="str">
        <f>"77-ME08-0001"</f>
        <v>77-ME08-0001</v>
      </c>
      <c r="C615" t="str">
        <f>"LM7 Content, JM, Gear Drives"</f>
        <v>LM7 Content, JM, Gear Drives</v>
      </c>
      <c r="D615" s="4"/>
      <c r="E615" s="4">
        <v>1</v>
      </c>
      <c r="F615" s="4"/>
      <c r="G615" s="29" t="str">
        <f>IFERROR(HYPERLINK("#"&amp;ADDRESS(MATCH(B615&amp;"ES",'LM7 Non-ENG'!$A$1:$A$5000,0),1,,,"LM7 Non-ENG"),IF(IFERROR(VLOOKUP(B615&amp;"ES",'LM7 Non-ENG'!$A$1:$A$4999,1,FALSE),"ERROR")=B615&amp;"ES","Y","")),"")</f>
        <v>Y</v>
      </c>
      <c r="H615" s="29" t="str">
        <f>IFERROR(HYPERLINK("#"&amp;ADDRESS(MATCH(B615&amp;"PT",'LM7 Non-ENG'!$A$1:$A$5000,0),1,,,"LM7 Non-ENG"),IF(IFERROR(VLOOKUP(B615&amp;"PT",'LM7 Non-ENG'!$A$1:$A$5000,1,FALSE),"ERROR")=B615&amp;"PT","Y","")),"")</f>
        <v/>
      </c>
      <c r="I615" t="str">
        <f>IFERROR(VLOOKUP(B615,PN!$A:$C,3,FALSE),"")</f>
        <v>Active</v>
      </c>
      <c r="J615" s="3">
        <f>IFERROR(E615*VLOOKUP(B615,PLInter!$A:$D,3,FALSE),"")</f>
        <v>700</v>
      </c>
      <c r="K615" s="68"/>
      <c r="L615" s="68"/>
      <c r="M615" s="68"/>
      <c r="N615" s="68"/>
      <c r="O615" s="68"/>
      <c r="P615" s="68"/>
      <c r="Q615" s="68"/>
      <c r="R615" s="68"/>
      <c r="S615" s="68"/>
      <c r="T615" s="68"/>
    </row>
    <row r="616" spans="1:20" ht="18" customHeight="1">
      <c r="B616" s="2" t="str">
        <f>"17-ME08-0001"</f>
        <v>17-ME08-0001</v>
      </c>
      <c r="C616" s="2" t="str">
        <f>"LM5.X Content, JM, Gear Drives"</f>
        <v>LM5.X Content, JM, Gear Drives</v>
      </c>
      <c r="D616" s="5"/>
      <c r="E616" s="5">
        <v>1</v>
      </c>
      <c r="F616" s="5" t="str">
        <f>"Y"</f>
        <v>Y</v>
      </c>
      <c r="G616" s="29" t="str">
        <f>IFERROR(HYPERLINK("#"&amp;ADDRESS(MATCH(B616&amp;"ES",'LM7 Non-ENG'!$A$1:$A$5000,0),1,,,"LM7 Non-ENG"),IF(IFERROR(VLOOKUP(B616&amp;"ES",'LM7 Non-ENG'!$A$1:$A$4999,1,FALSE),"ERROR")=B616&amp;"ES","Y","")),"")</f>
        <v/>
      </c>
      <c r="H616" s="29" t="str">
        <f>IFERROR(HYPERLINK("#"&amp;ADDRESS(MATCH(B616&amp;"PT",'LM7 Non-ENG'!$A$1:$A$5000,0),1,,,"LM7 Non-ENG"),IF(IFERROR(VLOOKUP(B616&amp;"PT",'LM7 Non-ENG'!$A$1:$A$5000,1,FALSE),"ERROR")=B616&amp;"PT","Y","")),"")</f>
        <v/>
      </c>
      <c r="I616" t="str">
        <f>IFERROR(VLOOKUP(B616,PN!$A:$C,3,FALSE),"")</f>
        <v>Active</v>
      </c>
      <c r="J616" s="3">
        <f>IFERROR(E616*VLOOKUP(B616,PLInter!$A:$D,3,FALSE),"")</f>
        <v>700</v>
      </c>
      <c r="K616" s="68"/>
      <c r="L616" s="68"/>
      <c r="M616" s="68"/>
      <c r="N616" s="68"/>
      <c r="O616" s="68"/>
      <c r="P616" s="68"/>
      <c r="Q616" s="68"/>
      <c r="R616" s="68"/>
      <c r="S616" s="68"/>
      <c r="T616" s="68"/>
    </row>
    <row r="617" spans="1:20" ht="18" customHeight="1">
      <c r="B617" t="str">
        <f>"77-ME09-0001"</f>
        <v>77-ME09-0001</v>
      </c>
      <c r="C617" t="str">
        <f>"LM7 Content, JM, Machine Speed Reducers"</f>
        <v>LM7 Content, JM, Machine Speed Reducers</v>
      </c>
      <c r="D617" s="4"/>
      <c r="E617" s="4">
        <v>1</v>
      </c>
      <c r="F617" s="4"/>
      <c r="G617" s="29" t="str">
        <f>IFERROR(HYPERLINK("#"&amp;ADDRESS(MATCH(B617&amp;"ES",'LM7 Non-ENG'!$A$1:$A$5000,0),1,,,"LM7 Non-ENG"),IF(IFERROR(VLOOKUP(B617&amp;"ES",'LM7 Non-ENG'!$A$1:$A$4999,1,FALSE),"ERROR")=B617&amp;"ES","Y","")),"")</f>
        <v>Y</v>
      </c>
      <c r="H617" s="29" t="str">
        <f>IFERROR(HYPERLINK("#"&amp;ADDRESS(MATCH(B617&amp;"PT",'LM7 Non-ENG'!$A$1:$A$5000,0),1,,,"LM7 Non-ENG"),IF(IFERROR(VLOOKUP(B617&amp;"PT",'LM7 Non-ENG'!$A$1:$A$5000,1,FALSE),"ERROR")=B617&amp;"PT","Y","")),"")</f>
        <v/>
      </c>
      <c r="I617" t="str">
        <f>IFERROR(VLOOKUP(B617,PN!$A:$C,3,FALSE),"")</f>
        <v>Active</v>
      </c>
      <c r="J617" s="3">
        <f>IFERROR(E617*VLOOKUP(B617,PLInter!$A:$D,3,FALSE),"")</f>
        <v>700</v>
      </c>
      <c r="K617" s="68"/>
      <c r="L617" s="68"/>
      <c r="M617" s="68"/>
      <c r="N617" s="68"/>
      <c r="O617" s="68"/>
      <c r="P617" s="68"/>
      <c r="Q617" s="68"/>
      <c r="R617" s="68"/>
      <c r="S617" s="68"/>
      <c r="T617" s="68"/>
    </row>
    <row r="618" spans="1:20" ht="18" customHeight="1">
      <c r="B618" s="2" t="str">
        <f>"17-ME09-0001"</f>
        <v>17-ME09-0001</v>
      </c>
      <c r="C618" s="2" t="str">
        <f>"LM5.X Content, JM, Machine Speed Reducers"</f>
        <v>LM5.X Content, JM, Machine Speed Reducers</v>
      </c>
      <c r="D618" s="5"/>
      <c r="E618" s="5">
        <v>1</v>
      </c>
      <c r="F618" s="5" t="str">
        <f>"Y"</f>
        <v>Y</v>
      </c>
      <c r="G618" s="29" t="str">
        <f>IFERROR(HYPERLINK("#"&amp;ADDRESS(MATCH(B618&amp;"ES",'LM7 Non-ENG'!$A$1:$A$5000,0),1,,,"LM7 Non-ENG"),IF(IFERROR(VLOOKUP(B618&amp;"ES",'LM7 Non-ENG'!$A$1:$A$4999,1,FALSE),"ERROR")=B618&amp;"ES","Y","")),"")</f>
        <v/>
      </c>
      <c r="H618" s="29" t="str">
        <f>IFERROR(HYPERLINK("#"&amp;ADDRESS(MATCH(B618&amp;"PT",'LM7 Non-ENG'!$A$1:$A$5000,0),1,,,"LM7 Non-ENG"),IF(IFERROR(VLOOKUP(B618&amp;"PT",'LM7 Non-ENG'!$A$1:$A$5000,1,FALSE),"ERROR")=B618&amp;"PT","Y","")),"")</f>
        <v/>
      </c>
      <c r="I618" t="str">
        <f>IFERROR(VLOOKUP(B618,PN!$A:$C,3,FALSE),"")</f>
        <v>Active</v>
      </c>
      <c r="J618" s="3">
        <f>IFERROR(E618*VLOOKUP(B618,PLInter!$A:$D,3,FALSE),"")</f>
        <v>700</v>
      </c>
      <c r="K618" s="68"/>
      <c r="L618" s="68"/>
      <c r="M618" s="68"/>
      <c r="N618" s="68"/>
      <c r="O618" s="68"/>
      <c r="P618" s="68"/>
      <c r="Q618" s="68"/>
      <c r="R618" s="68"/>
      <c r="S618" s="68"/>
      <c r="T618" s="68"/>
    </row>
    <row r="619" spans="1:20" ht="18" customHeight="1">
      <c r="B619" t="str">
        <f>"77-ME10-0001"</f>
        <v>77-ME10-0001</v>
      </c>
      <c r="C619" t="str">
        <f>"LM7 Content, JM, Electric Brakes"</f>
        <v>LM7 Content, JM, Electric Brakes</v>
      </c>
      <c r="D619" s="4"/>
      <c r="E619" s="4">
        <v>1</v>
      </c>
      <c r="F619" s="4"/>
      <c r="G619" s="29" t="str">
        <f>IFERROR(HYPERLINK("#"&amp;ADDRESS(MATCH(B619&amp;"ES",'LM7 Non-ENG'!$A$1:$A$5000,0),1,,,"LM7 Non-ENG"),IF(IFERROR(VLOOKUP(B619&amp;"ES",'LM7 Non-ENG'!$A$1:$A$4999,1,FALSE),"ERROR")=B619&amp;"ES","Y","")),"")</f>
        <v>Y</v>
      </c>
      <c r="H619" s="29" t="str">
        <f>IFERROR(HYPERLINK("#"&amp;ADDRESS(MATCH(B619&amp;"PT",'LM7 Non-ENG'!$A$1:$A$5000,0),1,,,"LM7 Non-ENG"),IF(IFERROR(VLOOKUP(B619&amp;"PT",'LM7 Non-ENG'!$A$1:$A$5000,1,FALSE),"ERROR")=B619&amp;"PT","Y","")),"")</f>
        <v/>
      </c>
      <c r="I619" t="str">
        <f>IFERROR(VLOOKUP(B619,PN!$A:$C,3,FALSE),"")</f>
        <v>Active</v>
      </c>
      <c r="J619" s="3">
        <f>IFERROR(E619*VLOOKUP(B619,PLInter!$A:$D,3,FALSE),"")</f>
        <v>700</v>
      </c>
      <c r="K619" s="68"/>
      <c r="L619" s="68"/>
      <c r="M619" s="68"/>
      <c r="N619" s="68"/>
      <c r="O619" s="68"/>
      <c r="P619" s="68"/>
      <c r="Q619" s="68"/>
      <c r="R619" s="68"/>
      <c r="S619" s="68"/>
      <c r="T619" s="68"/>
    </row>
    <row r="620" spans="1:20" ht="18" customHeight="1">
      <c r="B620" s="2" t="str">
        <f>"17-ME10-0001"</f>
        <v>17-ME10-0001</v>
      </c>
      <c r="C620" s="2" t="str">
        <f>"LM5.X Content, JM, Electric Brakes"</f>
        <v>LM5.X Content, JM, Electric Brakes</v>
      </c>
      <c r="D620" s="5"/>
      <c r="E620" s="5">
        <v>1</v>
      </c>
      <c r="F620" s="5" t="str">
        <f>"Y"</f>
        <v>Y</v>
      </c>
      <c r="G620" s="29" t="str">
        <f>IFERROR(HYPERLINK("#"&amp;ADDRESS(MATCH(B620&amp;"ES",'LM7 Non-ENG'!$A$1:$A$5000,0),1,,,"LM7 Non-ENG"),IF(IFERROR(VLOOKUP(B620&amp;"ES",'LM7 Non-ENG'!$A$1:$A$4999,1,FALSE),"ERROR")=B620&amp;"ES","Y","")),"")</f>
        <v/>
      </c>
      <c r="H620" s="29" t="str">
        <f>IFERROR(HYPERLINK("#"&amp;ADDRESS(MATCH(B620&amp;"PT",'LM7 Non-ENG'!$A$1:$A$5000,0),1,,,"LM7 Non-ENG"),IF(IFERROR(VLOOKUP(B620&amp;"PT",'LM7 Non-ENG'!$A$1:$A$5000,1,FALSE),"ERROR")=B620&amp;"PT","Y","")),"")</f>
        <v/>
      </c>
      <c r="I620" t="str">
        <f>IFERROR(VLOOKUP(B620,PN!$A:$C,3,FALSE),"")</f>
        <v>Active</v>
      </c>
      <c r="J620" s="3">
        <f>IFERROR(E620*VLOOKUP(B620,PLInter!$A:$D,3,FALSE),"")</f>
        <v>700</v>
      </c>
      <c r="K620" s="68"/>
      <c r="L620" s="68"/>
      <c r="M620" s="68"/>
      <c r="N620" s="68"/>
      <c r="O620" s="68"/>
      <c r="P620" s="68"/>
      <c r="Q620" s="68"/>
      <c r="R620" s="68"/>
      <c r="S620" s="68"/>
      <c r="T620" s="68"/>
    </row>
    <row r="621" spans="1:20" ht="18" customHeight="1">
      <c r="G621" s="29" t="str">
        <f>IFERROR(HYPERLINK("#"&amp;ADDRESS(MATCH(B621&amp;"ES",'LM7 Non-ENG'!$A$1:$A$5000,0),1,,,"LM7 Non-ENG"),IF(IFERROR(VLOOKUP(B621&amp;"ES",'LM7 Non-ENG'!$A$1:$A$4999,1,FALSE),"ERROR")=B621&amp;"ES","Y","")),"")</f>
        <v/>
      </c>
      <c r="H621" s="29" t="str">
        <f>IFERROR(HYPERLINK("#"&amp;ADDRESS(MATCH(B621&amp;"PT",'LM7 Non-ENG'!$A$1:$A$5000,0),1,,,"LM7 Non-ENG"),IF(IFERROR(VLOOKUP(B621&amp;"PT",'LM7 Non-ENG'!$A$1:$A$5000,1,FALSE),"ERROR")=B621&amp;"PT","Y","")),"")</f>
        <v/>
      </c>
    </row>
    <row r="622" spans="1:20" s="7" customFormat="1" ht="18" customHeight="1">
      <c r="A622" s="13" t="s">
        <v>103</v>
      </c>
      <c r="B622" s="13"/>
      <c r="C622" s="13" t="s">
        <v>104</v>
      </c>
      <c r="D622" s="14"/>
      <c r="E622" s="14"/>
      <c r="F622" s="14"/>
      <c r="G622" s="14"/>
      <c r="H622" s="14"/>
      <c r="I622" s="14"/>
      <c r="J622" s="14">
        <f>SUMIFS(J623:J628,D623:D628,"&lt;&gt;Y",F623:F628,"&lt;&gt;Y",I623:I628,"&lt;&gt;Inactive",I623:I628,"&lt;&gt;ECO+NFS")</f>
        <v>3514</v>
      </c>
      <c r="K622" s="14"/>
      <c r="L622" s="14"/>
      <c r="M622" s="14"/>
      <c r="N622" s="14"/>
      <c r="O622" s="14"/>
      <c r="P622" s="14"/>
      <c r="Q622" s="14"/>
      <c r="R622" s="14"/>
      <c r="S622" s="14"/>
      <c r="T622" s="14"/>
    </row>
    <row r="623" spans="1:20" ht="18" customHeight="1">
      <c r="A623" s="17" t="str">
        <f>HYPERLINK("#"&amp;ADDRESS(MATCH(A622,Jobmaster!$A$1:$A$4996,0),1,,,"Jobmaster"),"Back to Price List")</f>
        <v>Back to Price List</v>
      </c>
      <c r="B623" t="str">
        <f>"77-EB01A-0000"</f>
        <v>77-EB01A-0000</v>
      </c>
      <c r="C623" t="str">
        <f>"LM7 Content, JM, Oscilloscope"</f>
        <v>LM7 Content, JM, Oscilloscope</v>
      </c>
      <c r="D623" s="4"/>
      <c r="E623" s="4">
        <v>1</v>
      </c>
      <c r="F623" s="4"/>
      <c r="G623" s="29" t="str">
        <f>IFERROR(HYPERLINK("#"&amp;ADDRESS(MATCH(B623&amp;"ES",'LM7 Non-ENG'!$A$1:$A$5000,0),1,,,"LM7 Non-ENG"),IF(IFERROR(VLOOKUP(B623&amp;"ES",'LM7 Non-ENG'!$A$1:$A$4999,1,FALSE),"ERROR")=B623&amp;"ES","Y","")),"")</f>
        <v/>
      </c>
      <c r="H623" s="29" t="str">
        <f>IFERROR(HYPERLINK("#"&amp;ADDRESS(MATCH(B623&amp;"PT",'LM7 Non-ENG'!$A$1:$A$5000,0),1,,,"LM7 Non-ENG"),IF(IFERROR(VLOOKUP(B623&amp;"PT",'LM7 Non-ENG'!$A$1:$A$5000,1,FALSE),"ERROR")=B623&amp;"PT","Y","")),"")</f>
        <v/>
      </c>
      <c r="I623" t="str">
        <f>IFERROR(VLOOKUP(B623,PN!$A:$C,3,FALSE),"")</f>
        <v>Active</v>
      </c>
      <c r="J623" s="3">
        <f>IFERROR(E623*VLOOKUP(B623,PLInter!$A:$D,3,FALSE),"")</f>
        <v>700</v>
      </c>
      <c r="K623" s="68" t="s">
        <v>105</v>
      </c>
      <c r="L623" s="66"/>
      <c r="M623" s="66"/>
      <c r="N623" s="66"/>
      <c r="O623" s="66"/>
      <c r="P623" s="66"/>
      <c r="Q623" s="66"/>
      <c r="R623" s="66"/>
      <c r="S623" s="66"/>
      <c r="T623" s="66"/>
    </row>
    <row r="624" spans="1:20" ht="18" customHeight="1">
      <c r="B624" s="2" t="str">
        <f>"17-EB01A-0000"</f>
        <v>17-EB01A-0000</v>
      </c>
      <c r="C624" s="2" t="str">
        <f>"LM5.X Content, JM, Oscilloscope"</f>
        <v>LM5.X Content, JM, Oscilloscope</v>
      </c>
      <c r="D624" s="5"/>
      <c r="E624" s="5">
        <v>1</v>
      </c>
      <c r="F624" s="5" t="str">
        <f>"Y"</f>
        <v>Y</v>
      </c>
      <c r="G624" s="29" t="str">
        <f>IFERROR(HYPERLINK("#"&amp;ADDRESS(MATCH(B624&amp;"ES",'LM7 Non-ENG'!$A$1:$A$5000,0),1,,,"LM7 Non-ENG"),IF(IFERROR(VLOOKUP(B624&amp;"ES",'LM7 Non-ENG'!$A$1:$A$4999,1,FALSE),"ERROR")=B624&amp;"ES","Y","")),"")</f>
        <v/>
      </c>
      <c r="H624" s="29" t="str">
        <f>IFERROR(HYPERLINK("#"&amp;ADDRESS(MATCH(B624&amp;"PT",'LM7 Non-ENG'!$A$1:$A$5000,0),1,,,"LM7 Non-ENG"),IF(IFERROR(VLOOKUP(B624&amp;"PT",'LM7 Non-ENG'!$A$1:$A$5000,1,FALSE),"ERROR")=B624&amp;"PT","Y","")),"")</f>
        <v/>
      </c>
      <c r="I624" t="str">
        <f>IFERROR(VLOOKUP(B624,PN!$A:$C,3,FALSE),"")</f>
        <v>Active</v>
      </c>
      <c r="J624" s="3">
        <f>IFERROR(E624*VLOOKUP(B624,PLInter!$A:$D,3,FALSE),"")</f>
        <v>700</v>
      </c>
      <c r="K624" s="66"/>
      <c r="L624" s="66"/>
      <c r="M624" s="66"/>
      <c r="N624" s="66"/>
      <c r="O624" s="66"/>
      <c r="P624" s="66"/>
      <c r="Q624" s="66"/>
      <c r="R624" s="66"/>
      <c r="S624" s="66"/>
      <c r="T624" s="66"/>
    </row>
    <row r="625" spans="1:20" ht="18" customHeight="1">
      <c r="B625" t="str">
        <f>"26-E087-0000"</f>
        <v>26-E087-0000</v>
      </c>
      <c r="C625" t="str">
        <f>"Assembly, JM, E087, Adjustable Power Supply"</f>
        <v>Assembly, JM, E087, Adjustable Power Supply</v>
      </c>
      <c r="D625" s="4"/>
      <c r="E625" s="4">
        <v>1</v>
      </c>
      <c r="F625" s="4"/>
      <c r="G625" s="29" t="str">
        <f>IFERROR(HYPERLINK("#"&amp;ADDRESS(MATCH(B625&amp;"ES",'LM7 Non-ENG'!$A$1:$A$5000,0),1,,,"LM7 Non-ENG"),IF(IFERROR(VLOOKUP(B625&amp;"ES",'LM7 Non-ENG'!$A$1:$A$4999,1,FALSE),"ERROR")=B625&amp;"ES","Y","")),"")</f>
        <v/>
      </c>
      <c r="H625" s="29" t="str">
        <f>IFERROR(HYPERLINK("#"&amp;ADDRESS(MATCH(B625&amp;"PT",'LM7 Non-ENG'!$A$1:$A$5000,0),1,,,"LM7 Non-ENG"),IF(IFERROR(VLOOKUP(B625&amp;"PT",'LM7 Non-ENG'!$A$1:$A$5000,1,FALSE),"ERROR")=B625&amp;"PT","Y","")),"")</f>
        <v/>
      </c>
      <c r="I625" t="str">
        <f>IFERROR(VLOOKUP(B625,PN!$A:$C,3,FALSE),"")</f>
        <v>Active</v>
      </c>
      <c r="J625" s="3">
        <f>IFERROR(E625*VLOOKUP(B625,PLInter!$A:$D,3,FALSE),"")</f>
        <v>280</v>
      </c>
      <c r="K625" s="66"/>
      <c r="L625" s="66"/>
      <c r="M625" s="66"/>
      <c r="N625" s="66"/>
      <c r="O625" s="66"/>
      <c r="P625" s="66"/>
      <c r="Q625" s="66"/>
      <c r="R625" s="66"/>
      <c r="S625" s="66"/>
      <c r="T625" s="66"/>
    </row>
    <row r="626" spans="1:20" ht="18" customHeight="1">
      <c r="B626" t="str">
        <f>"26-E153-0000"</f>
        <v>26-E153-0000</v>
      </c>
      <c r="C626" t="str">
        <f>"Assembly, JM, E153, AC/DC Circuits"</f>
        <v>Assembly, JM, E153, AC/DC Circuits</v>
      </c>
      <c r="D626" s="4"/>
      <c r="E626" s="4">
        <v>1</v>
      </c>
      <c r="F626" s="4"/>
      <c r="G626" s="29" t="str">
        <f>IFERROR(HYPERLINK("#"&amp;ADDRESS(MATCH(B626&amp;"ES",'LM7 Non-ENG'!$A$1:$A$5000,0),1,,,"LM7 Non-ENG"),IF(IFERROR(VLOOKUP(B626&amp;"ES",'LM7 Non-ENG'!$A$1:$A$4999,1,FALSE),"ERROR")=B626&amp;"ES","Y","")),"")</f>
        <v/>
      </c>
      <c r="H626" s="29" t="str">
        <f>IFERROR(HYPERLINK("#"&amp;ADDRESS(MATCH(B626&amp;"PT",'LM7 Non-ENG'!$A$1:$A$5000,0),1,,,"LM7 Non-ENG"),IF(IFERROR(VLOOKUP(B626&amp;"PT",'LM7 Non-ENG'!$A$1:$A$5000,1,FALSE),"ERROR")=B626&amp;"PT","Y","")),"")</f>
        <v/>
      </c>
      <c r="I626" t="str">
        <f>IFERROR(VLOOKUP(B626,PN!$A:$C,3,FALSE),"")</f>
        <v>Active</v>
      </c>
      <c r="J626" s="3">
        <f>IFERROR(E626*VLOOKUP(B626,PLInter!$A:$D,3,FALSE),"")</f>
        <v>534</v>
      </c>
      <c r="K626" s="66"/>
      <c r="L626" s="66"/>
      <c r="M626" s="66"/>
      <c r="N626" s="66"/>
      <c r="O626" s="66"/>
      <c r="P626" s="66"/>
      <c r="Q626" s="66"/>
      <c r="R626" s="66"/>
      <c r="S626" s="66"/>
      <c r="T626" s="66"/>
    </row>
    <row r="627" spans="1:20" ht="18" customHeight="1">
      <c r="B627" t="str">
        <f>"36-8900-0003"</f>
        <v>36-8900-0003</v>
      </c>
      <c r="C627" t="str">
        <f>"JM, Oscilloscope, 30MHz, Analog BK"</f>
        <v>JM, Oscilloscope, 30MHz, Analog BK</v>
      </c>
      <c r="D627" s="4"/>
      <c r="E627" s="4">
        <v>1</v>
      </c>
      <c r="F627" s="4"/>
      <c r="G627" s="29" t="str">
        <f>IFERROR(HYPERLINK("#"&amp;ADDRESS(MATCH(B627&amp;"ES",'LM7 Non-ENG'!$A$1:$A$5000,0),1,,,"LM7 Non-ENG"),IF(IFERROR(VLOOKUP(B627&amp;"ES",'LM7 Non-ENG'!$A$1:$A$4999,1,FALSE),"ERROR")=B627&amp;"ES","Y","")),"")</f>
        <v/>
      </c>
      <c r="H627" s="29" t="str">
        <f>IFERROR(HYPERLINK("#"&amp;ADDRESS(MATCH(B627&amp;"PT",'LM7 Non-ENG'!$A$1:$A$5000,0),1,,,"LM7 Non-ENG"),IF(IFERROR(VLOOKUP(B627&amp;"PT",'LM7 Non-ENG'!$A$1:$A$5000,1,FALSE),"ERROR")=B627&amp;"PT","Y","")),"")</f>
        <v/>
      </c>
      <c r="I627" t="str">
        <f>IFERROR(VLOOKUP(B627,PN!$A:$C,3,FALSE),"")</f>
        <v>Active</v>
      </c>
      <c r="J627" s="3">
        <f>IFERROR(E627*VLOOKUP(B627,PLInter!$A:$D,3,FALSE),"")</f>
        <v>2000</v>
      </c>
      <c r="K627" s="66"/>
      <c r="L627" s="66"/>
      <c r="M627" s="66"/>
      <c r="N627" s="66"/>
      <c r="O627" s="66"/>
      <c r="P627" s="66"/>
      <c r="Q627" s="66"/>
      <c r="R627" s="66"/>
      <c r="S627" s="66"/>
      <c r="T627" s="66"/>
    </row>
    <row r="628" spans="1:20" ht="18" customHeight="1">
      <c r="B628" s="1" t="str">
        <f>"36-EB01A-IG01"</f>
        <v>36-EB01A-IG01</v>
      </c>
      <c r="C628" s="1" t="str">
        <f>"JM, PDF on CD Oscilloscope - EB01A"</f>
        <v>JM, PDF on CD Oscilloscope - EB01A</v>
      </c>
      <c r="D628" s="6" t="s">
        <v>0</v>
      </c>
      <c r="E628" s="6">
        <v>1</v>
      </c>
      <c r="F628" s="6"/>
      <c r="G628" s="29" t="str">
        <f>IFERROR(HYPERLINK("#"&amp;ADDRESS(MATCH(B628&amp;"ES",'LM7 Non-ENG'!$A$1:$A$5000,0),1,,,"LM7 Non-ENG"),IF(IFERROR(VLOOKUP(B628&amp;"ES",'LM7 Non-ENG'!$A$1:$A$4999,1,FALSE),"ERROR")=B628&amp;"ES","Y","")),"")</f>
        <v/>
      </c>
      <c r="H628" s="29" t="str">
        <f>IFERROR(HYPERLINK("#"&amp;ADDRESS(MATCH(B628&amp;"PT",'LM7 Non-ENG'!$A$1:$A$5000,0),1,,,"LM7 Non-ENG"),IF(IFERROR(VLOOKUP(B628&amp;"PT",'LM7 Non-ENG'!$A$1:$A$5000,1,FALSE),"ERROR")=B628&amp;"PT","Y","")),"")</f>
        <v/>
      </c>
      <c r="I628" t="str">
        <f>IFERROR(VLOOKUP(B628,PN!$A:$C,3,FALSE),"")</f>
        <v>Active</v>
      </c>
      <c r="J628" s="3">
        <f>IFERROR(E628*VLOOKUP(B628,PLInter!$A:$D,3,FALSE),"")</f>
        <v>0</v>
      </c>
      <c r="K628" s="66"/>
      <c r="L628" s="66"/>
      <c r="M628" s="66"/>
      <c r="N628" s="66"/>
      <c r="O628" s="66"/>
      <c r="P628" s="66"/>
      <c r="Q628" s="66"/>
      <c r="R628" s="66"/>
      <c r="S628" s="66"/>
      <c r="T628" s="66"/>
    </row>
    <row r="629" spans="1:20" ht="18" customHeight="1">
      <c r="G629" s="29" t="str">
        <f>IFERROR(HYPERLINK("#"&amp;ADDRESS(MATCH(B629&amp;"ES",'LM7 Non-ENG'!$A$1:$A$5000,0),1,,,"LM7 Non-ENG"),IF(IFERROR(VLOOKUP(B629&amp;"ES",'LM7 Non-ENG'!$A$1:$A$4999,1,FALSE),"ERROR")=B629&amp;"ES","Y","")),"")</f>
        <v/>
      </c>
      <c r="H629" s="29" t="str">
        <f>IFERROR(HYPERLINK("#"&amp;ADDRESS(MATCH(B629&amp;"PT",'LM7 Non-ENG'!$A$1:$A$5000,0),1,,,"LM7 Non-ENG"),IF(IFERROR(VLOOKUP(B629&amp;"PT",'LM7 Non-ENG'!$A$1:$A$5000,1,FALSE),"ERROR")=B629&amp;"PT","Y","")),"")</f>
        <v/>
      </c>
    </row>
    <row r="630" spans="1:20" s="7" customFormat="1" ht="18" customHeight="1">
      <c r="A630" s="13" t="s">
        <v>106</v>
      </c>
      <c r="B630" s="13"/>
      <c r="C630" s="13" t="s">
        <v>107</v>
      </c>
      <c r="D630" s="14"/>
      <c r="E630" s="14"/>
      <c r="F630" s="14"/>
      <c r="G630" s="14"/>
      <c r="H630" s="14"/>
      <c r="I630" s="14"/>
      <c r="J630" s="14">
        <f>SUMIFS(J631:J636,D631:D636,"&lt;&gt;Y",F631:F636,"&lt;&gt;Y",I631:I636,"&lt;&gt;Inactive",I631:I636,"&lt;&gt;ECO+NFS")</f>
        <v>2392</v>
      </c>
      <c r="K630" s="14"/>
      <c r="L630" s="14"/>
      <c r="M630" s="14"/>
      <c r="N630" s="14"/>
      <c r="O630" s="14"/>
      <c r="P630" s="14"/>
      <c r="Q630" s="14"/>
      <c r="R630" s="14"/>
      <c r="S630" s="14"/>
      <c r="T630" s="14"/>
    </row>
    <row r="631" spans="1:20" ht="18" customHeight="1">
      <c r="A631" s="17" t="str">
        <f>HYPERLINK("#"&amp;ADDRESS(MATCH(A630,Jobmaster!$A$1:$A$4996,0),1,,,"Jobmaster"),"Back to Price List")</f>
        <v>Back to Price List</v>
      </c>
      <c r="B631" t="str">
        <f>"77-EB01B-0000"</f>
        <v>77-EB01B-0000</v>
      </c>
      <c r="C631" t="str">
        <f>"LM7 Content, JM, Digital Multimeter"</f>
        <v>LM7 Content, JM, Digital Multimeter</v>
      </c>
      <c r="D631" s="4"/>
      <c r="E631" s="4">
        <v>1</v>
      </c>
      <c r="F631" s="4"/>
      <c r="G631" s="29" t="str">
        <f>IFERROR(HYPERLINK("#"&amp;ADDRESS(MATCH(B631&amp;"ES",'LM7 Non-ENG'!$A$1:$A$5000,0),1,,,"LM7 Non-ENG"),IF(IFERROR(VLOOKUP(B631&amp;"ES",'LM7 Non-ENG'!$A$1:$A$4999,1,FALSE),"ERROR")=B631&amp;"ES","Y","")),"")</f>
        <v/>
      </c>
      <c r="H631" s="29" t="str">
        <f>IFERROR(HYPERLINK("#"&amp;ADDRESS(MATCH(B631&amp;"PT",'LM7 Non-ENG'!$A$1:$A$5000,0),1,,,"LM7 Non-ENG"),IF(IFERROR(VLOOKUP(B631&amp;"PT",'LM7 Non-ENG'!$A$1:$A$5000,1,FALSE),"ERROR")=B631&amp;"PT","Y","")),"")</f>
        <v/>
      </c>
      <c r="I631" t="str">
        <f>IFERROR(VLOOKUP(B631,PN!$A:$C,3,FALSE),"")</f>
        <v>Active</v>
      </c>
      <c r="J631" s="3">
        <f>IFERROR(E631*VLOOKUP(B631,PLInter!$A:$D,3,FALSE),"")</f>
        <v>700</v>
      </c>
      <c r="K631" s="68" t="s">
        <v>108</v>
      </c>
      <c r="L631" s="66"/>
      <c r="M631" s="66"/>
      <c r="N631" s="66"/>
      <c r="O631" s="66"/>
      <c r="P631" s="66"/>
      <c r="Q631" s="66"/>
      <c r="R631" s="66"/>
      <c r="S631" s="66"/>
      <c r="T631" s="66"/>
    </row>
    <row r="632" spans="1:20" ht="18" customHeight="1">
      <c r="B632" s="2" t="str">
        <f>"17-EB01B-0000"</f>
        <v>17-EB01B-0000</v>
      </c>
      <c r="C632" s="2" t="str">
        <f>"LM5.X Content, JM, Digital Multimeter"</f>
        <v>LM5.X Content, JM, Digital Multimeter</v>
      </c>
      <c r="D632" s="5"/>
      <c r="E632" s="5">
        <v>1</v>
      </c>
      <c r="F632" s="5" t="str">
        <f>"Y"</f>
        <v>Y</v>
      </c>
      <c r="G632" s="29" t="str">
        <f>IFERROR(HYPERLINK("#"&amp;ADDRESS(MATCH(B632&amp;"ES",'LM7 Non-ENG'!$A$1:$A$5000,0),1,,,"LM7 Non-ENG"),IF(IFERROR(VLOOKUP(B632&amp;"ES",'LM7 Non-ENG'!$A$1:$A$4999,1,FALSE),"ERROR")=B632&amp;"ES","Y","")),"")</f>
        <v/>
      </c>
      <c r="H632" s="29" t="str">
        <f>IFERROR(HYPERLINK("#"&amp;ADDRESS(MATCH(B632&amp;"PT",'LM7 Non-ENG'!$A$1:$A$5000,0),1,,,"LM7 Non-ENG"),IF(IFERROR(VLOOKUP(B632&amp;"PT",'LM7 Non-ENG'!$A$1:$A$5000,1,FALSE),"ERROR")=B632&amp;"PT","Y","")),"")</f>
        <v/>
      </c>
      <c r="I632" t="str">
        <f>IFERROR(VLOOKUP(B632,PN!$A:$C,3,FALSE),"")</f>
        <v>Active</v>
      </c>
      <c r="J632" s="3">
        <f>IFERROR(E632*VLOOKUP(B632,PLInter!$A:$D,3,FALSE),"")</f>
        <v>700</v>
      </c>
      <c r="K632" s="66"/>
      <c r="L632" s="66"/>
      <c r="M632" s="66"/>
      <c r="N632" s="66"/>
      <c r="O632" s="66"/>
      <c r="P632" s="66"/>
      <c r="Q632" s="66"/>
      <c r="R632" s="66"/>
      <c r="S632" s="66"/>
      <c r="T632" s="66"/>
    </row>
    <row r="633" spans="1:20" ht="18" customHeight="1">
      <c r="B633" t="str">
        <f>"26-E052-0000"</f>
        <v>26-E052-0000</v>
      </c>
      <c r="C633" t="str">
        <f>"Assembly, JM, E052, Resistors Panel"</f>
        <v>Assembly, JM, E052, Resistors Panel</v>
      </c>
      <c r="D633" s="4"/>
      <c r="E633" s="4">
        <v>1</v>
      </c>
      <c r="F633" s="4"/>
      <c r="G633" s="29" t="str">
        <f>IFERROR(HYPERLINK("#"&amp;ADDRESS(MATCH(B633&amp;"ES",'LM7 Non-ENG'!$A$1:$A$5000,0),1,,,"LM7 Non-ENG"),IF(IFERROR(VLOOKUP(B633&amp;"ES",'LM7 Non-ENG'!$A$1:$A$4999,1,FALSE),"ERROR")=B633&amp;"ES","Y","")),"")</f>
        <v/>
      </c>
      <c r="H633" s="29" t="str">
        <f>IFERROR(HYPERLINK("#"&amp;ADDRESS(MATCH(B633&amp;"PT",'LM7 Non-ENG'!$A$1:$A$5000,0),1,,,"LM7 Non-ENG"),IF(IFERROR(VLOOKUP(B633&amp;"PT",'LM7 Non-ENG'!$A$1:$A$5000,1,FALSE),"ERROR")=B633&amp;"PT","Y","")),"")</f>
        <v/>
      </c>
      <c r="I633" t="str">
        <f>IFERROR(VLOOKUP(B633,PN!$A:$C,3,FALSE),"")</f>
        <v>Active</v>
      </c>
      <c r="J633" s="3">
        <f>IFERROR(E633*VLOOKUP(B633,PLInter!$A:$D,3,FALSE),"")</f>
        <v>567</v>
      </c>
      <c r="K633" s="66"/>
      <c r="L633" s="66"/>
      <c r="M633" s="66"/>
      <c r="N633" s="66"/>
      <c r="O633" s="66"/>
      <c r="P633" s="66"/>
      <c r="Q633" s="66"/>
      <c r="R633" s="66"/>
      <c r="S633" s="66"/>
      <c r="T633" s="66"/>
    </row>
    <row r="634" spans="1:20" ht="18" customHeight="1">
      <c r="B634" t="str">
        <f>"26-E055-0000"</f>
        <v>26-E055-0000</v>
      </c>
      <c r="C634" t="str">
        <f>"Assembly, JM, E055, Filters/Capacitors Panel"</f>
        <v>Assembly, JM, E055, Filters/Capacitors Panel</v>
      </c>
      <c r="D634" s="4"/>
      <c r="E634" s="4">
        <v>1</v>
      </c>
      <c r="F634" s="4"/>
      <c r="G634" s="29" t="str">
        <f>IFERROR(HYPERLINK("#"&amp;ADDRESS(MATCH(B634&amp;"ES",'LM7 Non-ENG'!$A$1:$A$5000,0),1,,,"LM7 Non-ENG"),IF(IFERROR(VLOOKUP(B634&amp;"ES",'LM7 Non-ENG'!$A$1:$A$4999,1,FALSE),"ERROR")=B634&amp;"ES","Y","")),"")</f>
        <v/>
      </c>
      <c r="H634" s="29" t="str">
        <f>IFERROR(HYPERLINK("#"&amp;ADDRESS(MATCH(B634&amp;"PT",'LM7 Non-ENG'!$A$1:$A$5000,0),1,,,"LM7 Non-ENG"),IF(IFERROR(VLOOKUP(B634&amp;"PT",'LM7 Non-ENG'!$A$1:$A$5000,1,FALSE),"ERROR")=B634&amp;"PT","Y","")),"")</f>
        <v/>
      </c>
      <c r="I634" t="str">
        <f>IFERROR(VLOOKUP(B634,PN!$A:$C,3,FALSE),"")</f>
        <v>Active</v>
      </c>
      <c r="J634" s="3">
        <f>IFERROR(E634*VLOOKUP(B634,PLInter!$A:$D,3,FALSE),"")</f>
        <v>550</v>
      </c>
      <c r="K634" s="66"/>
      <c r="L634" s="66"/>
      <c r="M634" s="66"/>
      <c r="N634" s="66"/>
      <c r="O634" s="66"/>
      <c r="P634" s="66"/>
      <c r="Q634" s="66"/>
      <c r="R634" s="66"/>
      <c r="S634" s="66"/>
      <c r="T634" s="66"/>
    </row>
    <row r="635" spans="1:20" ht="18" customHeight="1">
      <c r="B635" t="str">
        <f>"36-8900-0007"</f>
        <v>36-8900-0007</v>
      </c>
      <c r="C635" t="str">
        <f>"JM, Digital Multimeter, Fluke-115"</f>
        <v>JM, Digital Multimeter, Fluke-115</v>
      </c>
      <c r="D635" s="4"/>
      <c r="E635" s="4">
        <v>1</v>
      </c>
      <c r="F635" s="4"/>
      <c r="G635" s="29" t="str">
        <f>IFERROR(HYPERLINK("#"&amp;ADDRESS(MATCH(B635&amp;"ES",'LM7 Non-ENG'!$A$1:$A$5000,0),1,,,"LM7 Non-ENG"),IF(IFERROR(VLOOKUP(B635&amp;"ES",'LM7 Non-ENG'!$A$1:$A$4999,1,FALSE),"ERROR")=B635&amp;"ES","Y","")),"")</f>
        <v/>
      </c>
      <c r="H635" s="29" t="str">
        <f>IFERROR(HYPERLINK("#"&amp;ADDRESS(MATCH(B635&amp;"PT",'LM7 Non-ENG'!$A$1:$A$5000,0),1,,,"LM7 Non-ENG"),IF(IFERROR(VLOOKUP(B635&amp;"PT",'LM7 Non-ENG'!$A$1:$A$5000,1,FALSE),"ERROR")=B635&amp;"PT","Y","")),"")</f>
        <v/>
      </c>
      <c r="I635" t="str">
        <f>IFERROR(VLOOKUP(B635,PN!$A:$C,3,FALSE),"")</f>
        <v>Active</v>
      </c>
      <c r="J635" s="3">
        <f>IFERROR(E635*VLOOKUP(B635,PLInter!$A:$D,3,FALSE),"")</f>
        <v>575</v>
      </c>
      <c r="K635" s="66"/>
      <c r="L635" s="66"/>
      <c r="M635" s="66"/>
      <c r="N635" s="66"/>
      <c r="O635" s="66"/>
      <c r="P635" s="66"/>
      <c r="Q635" s="66"/>
      <c r="R635" s="66"/>
      <c r="S635" s="66"/>
      <c r="T635" s="66"/>
    </row>
    <row r="636" spans="1:20" ht="18" customHeight="1">
      <c r="B636" s="1" t="str">
        <f>"36-EB01B-IG01"</f>
        <v>36-EB01B-IG01</v>
      </c>
      <c r="C636" s="1" t="str">
        <f>"JM, PDF on CD Digital Multimeter - EB01B"</f>
        <v>JM, PDF on CD Digital Multimeter - EB01B</v>
      </c>
      <c r="D636" s="6" t="s">
        <v>0</v>
      </c>
      <c r="E636" s="6">
        <v>1</v>
      </c>
      <c r="F636" s="6"/>
      <c r="G636" s="29" t="str">
        <f>IFERROR(HYPERLINK("#"&amp;ADDRESS(MATCH(B636&amp;"ES",'LM7 Non-ENG'!$A$1:$A$5000,0),1,,,"LM7 Non-ENG"),IF(IFERROR(VLOOKUP(B636&amp;"ES",'LM7 Non-ENG'!$A$1:$A$4999,1,FALSE),"ERROR")=B636&amp;"ES","Y","")),"")</f>
        <v/>
      </c>
      <c r="H636" s="29" t="str">
        <f>IFERROR(HYPERLINK("#"&amp;ADDRESS(MATCH(B636&amp;"PT",'LM7 Non-ENG'!$A$1:$A$5000,0),1,,,"LM7 Non-ENG"),IF(IFERROR(VLOOKUP(B636&amp;"PT",'LM7 Non-ENG'!$A$1:$A$5000,1,FALSE),"ERROR")=B636&amp;"PT","Y","")),"")</f>
        <v/>
      </c>
      <c r="I636" t="str">
        <f>IFERROR(VLOOKUP(B636,PN!$A:$C,3,FALSE),"")</f>
        <v>Active</v>
      </c>
      <c r="J636" s="3" t="str">
        <f>IFERROR(E636*VLOOKUP(B636,PLInter!$A:$D,3,FALSE),"")</f>
        <v/>
      </c>
      <c r="K636" s="66"/>
      <c r="L636" s="66"/>
      <c r="M636" s="66"/>
      <c r="N636" s="66"/>
      <c r="O636" s="66"/>
      <c r="P636" s="66"/>
      <c r="Q636" s="66"/>
      <c r="R636" s="66"/>
      <c r="S636" s="66"/>
      <c r="T636" s="66"/>
    </row>
    <row r="637" spans="1:20" ht="18" customHeight="1">
      <c r="G637" s="29" t="str">
        <f>IFERROR(HYPERLINK("#"&amp;ADDRESS(MATCH(B637&amp;"ES",'LM7 Non-ENG'!$A$1:$A$5000,0),1,,,"LM7 Non-ENG"),IF(IFERROR(VLOOKUP(B637&amp;"ES",'LM7 Non-ENG'!$A$1:$A$4999,1,FALSE),"ERROR")=B637&amp;"ES","Y","")),"")</f>
        <v/>
      </c>
      <c r="H637" s="29" t="str">
        <f>IFERROR(HYPERLINK("#"&amp;ADDRESS(MATCH(B637&amp;"PT",'LM7 Non-ENG'!$A$1:$A$5000,0),1,,,"LM7 Non-ENG"),IF(IFERROR(VLOOKUP(B637&amp;"PT",'LM7 Non-ENG'!$A$1:$A$5000,1,FALSE),"ERROR")=B637&amp;"PT","Y","")),"")</f>
        <v/>
      </c>
    </row>
    <row r="638" spans="1:20" s="7" customFormat="1" ht="18" customHeight="1">
      <c r="A638" s="13" t="s">
        <v>109</v>
      </c>
      <c r="B638" s="13"/>
      <c r="C638" s="13" t="s">
        <v>110</v>
      </c>
      <c r="D638" s="14"/>
      <c r="E638" s="14"/>
      <c r="F638" s="14"/>
      <c r="G638" s="14"/>
      <c r="H638" s="14"/>
      <c r="I638" s="14"/>
      <c r="J638" s="14">
        <f>SUMIFS(J639:J643,D639:D643,"&lt;&gt;Y",F639:F643,"&lt;&gt;Y",I639:I643,"&lt;&gt;Inactive",I639:I643,"&lt;&gt;ECO+NFS")</f>
        <v>3514</v>
      </c>
      <c r="K638" s="14"/>
      <c r="L638" s="14"/>
      <c r="M638" s="14"/>
      <c r="N638" s="14"/>
      <c r="O638" s="14"/>
      <c r="P638" s="14"/>
      <c r="Q638" s="14"/>
      <c r="R638" s="14"/>
      <c r="S638" s="14"/>
      <c r="T638" s="14"/>
    </row>
    <row r="639" spans="1:20" ht="18" customHeight="1">
      <c r="A639" s="17" t="str">
        <f>HYPERLINK("#"&amp;ADDRESS(MATCH(A638,Jobmaster!$A$1:$A$4996,0),1,,,"Jobmaster"),"Back to Price List")</f>
        <v>Back to Price List</v>
      </c>
      <c r="B639" t="str">
        <f>"77-EB01C-0000"</f>
        <v>77-EB01C-0000</v>
      </c>
      <c r="C639" t="str">
        <f>"LM7 Content, JM, Digital Oscilloscope"</f>
        <v>LM7 Content, JM, Digital Oscilloscope</v>
      </c>
      <c r="D639" s="4"/>
      <c r="E639" s="4">
        <v>1</v>
      </c>
      <c r="F639" s="4"/>
      <c r="G639" s="29" t="str">
        <f>IFERROR(HYPERLINK("#"&amp;ADDRESS(MATCH(B639&amp;"ES",'LM7 Non-ENG'!$A$1:$A$5000,0),1,,,"LM7 Non-ENG"),IF(IFERROR(VLOOKUP(B639&amp;"ES",'LM7 Non-ENG'!$A$1:$A$4999,1,FALSE),"ERROR")=B639&amp;"ES","Y","")),"")</f>
        <v>Y</v>
      </c>
      <c r="H639" s="29" t="str">
        <f>IFERROR(HYPERLINK("#"&amp;ADDRESS(MATCH(B639&amp;"PT",'LM7 Non-ENG'!$A$1:$A$5000,0),1,,,"LM7 Non-ENG"),IF(IFERROR(VLOOKUP(B639&amp;"PT",'LM7 Non-ENG'!$A$1:$A$5000,1,FALSE),"ERROR")=B639&amp;"PT","Y","")),"")</f>
        <v/>
      </c>
      <c r="I639" t="str">
        <f>IFERROR(VLOOKUP(B639,PN!$A:$C,3,FALSE),"")</f>
        <v>Active</v>
      </c>
      <c r="J639" s="3">
        <f>IFERROR(E639*VLOOKUP(B639,PLInter!$A:$D,3,FALSE),"")</f>
        <v>700</v>
      </c>
      <c r="K639" s="68" t="s">
        <v>111</v>
      </c>
      <c r="L639" s="66"/>
      <c r="M639" s="66"/>
      <c r="N639" s="66"/>
      <c r="O639" s="66"/>
      <c r="P639" s="66"/>
      <c r="Q639" s="66"/>
      <c r="R639" s="66"/>
      <c r="S639" s="66"/>
      <c r="T639" s="66"/>
    </row>
    <row r="640" spans="1:20" ht="18" customHeight="1">
      <c r="B640" t="str">
        <f>"26-E087-0000"</f>
        <v>26-E087-0000</v>
      </c>
      <c r="C640" t="str">
        <f>"Assembly, JM, E087, Adjustable Power Supply"</f>
        <v>Assembly, JM, E087, Adjustable Power Supply</v>
      </c>
      <c r="D640" s="4"/>
      <c r="E640" s="4">
        <v>1</v>
      </c>
      <c r="F640" s="4"/>
      <c r="G640" s="29" t="str">
        <f>IFERROR(HYPERLINK("#"&amp;ADDRESS(MATCH(B640&amp;"ES",'LM7 Non-ENG'!$A$1:$A$5000,0),1,,,"LM7 Non-ENG"),IF(IFERROR(VLOOKUP(B640&amp;"ES",'LM7 Non-ENG'!$A$1:$A$4999,1,FALSE),"ERROR")=B640&amp;"ES","Y","")),"")</f>
        <v/>
      </c>
      <c r="H640" s="29" t="str">
        <f>IFERROR(HYPERLINK("#"&amp;ADDRESS(MATCH(B640&amp;"PT",'LM7 Non-ENG'!$A$1:$A$5000,0),1,,,"LM7 Non-ENG"),IF(IFERROR(VLOOKUP(B640&amp;"PT",'LM7 Non-ENG'!$A$1:$A$5000,1,FALSE),"ERROR")=B640&amp;"PT","Y","")),"")</f>
        <v/>
      </c>
      <c r="I640" t="str">
        <f>IFERROR(VLOOKUP(B640,PN!$A:$C,3,FALSE),"")</f>
        <v>Active</v>
      </c>
      <c r="J640" s="3">
        <f>IFERROR(E640*VLOOKUP(B640,PLInter!$A:$D,3,FALSE),"")</f>
        <v>280</v>
      </c>
      <c r="K640" s="66"/>
      <c r="L640" s="66"/>
      <c r="M640" s="66"/>
      <c r="N640" s="66"/>
      <c r="O640" s="66"/>
      <c r="P640" s="66"/>
      <c r="Q640" s="66"/>
      <c r="R640" s="66"/>
      <c r="S640" s="66"/>
      <c r="T640" s="66"/>
    </row>
    <row r="641" spans="1:20" ht="18" customHeight="1">
      <c r="B641" t="str">
        <f>"26-E153-0000"</f>
        <v>26-E153-0000</v>
      </c>
      <c r="C641" t="str">
        <f>"Assembly, JM, E153, AC/DC Circuits"</f>
        <v>Assembly, JM, E153, AC/DC Circuits</v>
      </c>
      <c r="D641" s="4"/>
      <c r="E641" s="4">
        <v>1</v>
      </c>
      <c r="F641" s="4"/>
      <c r="G641" s="29" t="str">
        <f>IFERROR(HYPERLINK("#"&amp;ADDRESS(MATCH(B641&amp;"ES",'LM7 Non-ENG'!$A$1:$A$5000,0),1,,,"LM7 Non-ENG"),IF(IFERROR(VLOOKUP(B641&amp;"ES",'LM7 Non-ENG'!$A$1:$A$4999,1,FALSE),"ERROR")=B641&amp;"ES","Y","")),"")</f>
        <v/>
      </c>
      <c r="H641" s="29" t="str">
        <f>IFERROR(HYPERLINK("#"&amp;ADDRESS(MATCH(B641&amp;"PT",'LM7 Non-ENG'!$A$1:$A$5000,0),1,,,"LM7 Non-ENG"),IF(IFERROR(VLOOKUP(B641&amp;"PT",'LM7 Non-ENG'!$A$1:$A$5000,1,FALSE),"ERROR")=B641&amp;"PT","Y","")),"")</f>
        <v/>
      </c>
      <c r="I641" t="str">
        <f>IFERROR(VLOOKUP(B641,PN!$A:$C,3,FALSE),"")</f>
        <v>Active</v>
      </c>
      <c r="J641" s="3">
        <f>IFERROR(E641*VLOOKUP(B641,PLInter!$A:$D,3,FALSE),"")</f>
        <v>534</v>
      </c>
      <c r="K641" s="66"/>
      <c r="L641" s="66"/>
      <c r="M641" s="66"/>
      <c r="N641" s="66"/>
      <c r="O641" s="66"/>
      <c r="P641" s="66"/>
      <c r="Q641" s="66"/>
      <c r="R641" s="66"/>
      <c r="S641" s="66"/>
      <c r="T641" s="66"/>
    </row>
    <row r="642" spans="1:20" ht="18" customHeight="1">
      <c r="B642" t="str">
        <f>"36-8900-0025"</f>
        <v>36-8900-0025</v>
      </c>
      <c r="C642" t="str">
        <f>"JM, Oscilloscope, 5MHz, Hand Held"</f>
        <v>JM, Oscilloscope, 5MHz, Hand Held</v>
      </c>
      <c r="D642" s="4"/>
      <c r="E642" s="4">
        <v>1</v>
      </c>
      <c r="F642" s="4"/>
      <c r="G642" s="29" t="str">
        <f>IFERROR(HYPERLINK("#"&amp;ADDRESS(MATCH(B642&amp;"ES",'LM7 Non-ENG'!$A$1:$A$5000,0),1,,,"LM7 Non-ENG"),IF(IFERROR(VLOOKUP(B642&amp;"ES",'LM7 Non-ENG'!$A$1:$A$4999,1,FALSE),"ERROR")=B642&amp;"ES","Y","")),"")</f>
        <v/>
      </c>
      <c r="H642" s="29" t="str">
        <f>IFERROR(HYPERLINK("#"&amp;ADDRESS(MATCH(B642&amp;"PT",'LM7 Non-ENG'!$A$1:$A$5000,0),1,,,"LM7 Non-ENG"),IF(IFERROR(VLOOKUP(B642&amp;"PT",'LM7 Non-ENG'!$A$1:$A$5000,1,FALSE),"ERROR")=B642&amp;"PT","Y","")),"")</f>
        <v/>
      </c>
      <c r="I642" t="str">
        <f>IFERROR(VLOOKUP(B642,PN!$A:$C,3,FALSE),"")</f>
        <v>Active</v>
      </c>
      <c r="J642" s="3">
        <f>IFERROR(E642*VLOOKUP(B642,PLInter!$A:$D,3,FALSE),"")</f>
        <v>2000</v>
      </c>
      <c r="K642" s="66"/>
      <c r="L642" s="66"/>
      <c r="M642" s="66"/>
      <c r="N642" s="66"/>
      <c r="O642" s="66"/>
      <c r="P642" s="66"/>
      <c r="Q642" s="66"/>
      <c r="R642" s="66"/>
      <c r="S642" s="66"/>
      <c r="T642" s="66"/>
    </row>
    <row r="643" spans="1:20" ht="18" customHeight="1">
      <c r="B643" t="str">
        <f>"36-EB01C-IG01"</f>
        <v>36-EB01C-IG01</v>
      </c>
      <c r="C643" t="str">
        <f>"JM, PDF on CD Hand Held Oscilloscope - EB01C"</f>
        <v>JM, PDF on CD Hand Held Oscilloscope - EB01C</v>
      </c>
      <c r="D643" s="4"/>
      <c r="E643" s="4">
        <v>1</v>
      </c>
      <c r="F643" s="4"/>
      <c r="G643" s="29" t="str">
        <f>IFERROR(HYPERLINK("#"&amp;ADDRESS(MATCH(B643&amp;"ES",'LM7 Non-ENG'!$A$1:$A$5000,0),1,,,"LM7 Non-ENG"),IF(IFERROR(VLOOKUP(B643&amp;"ES",'LM7 Non-ENG'!$A$1:$A$4999,1,FALSE),"ERROR")=B643&amp;"ES","Y","")),"")</f>
        <v/>
      </c>
      <c r="H643" s="29" t="str">
        <f>IFERROR(HYPERLINK("#"&amp;ADDRESS(MATCH(B643&amp;"PT",'LM7 Non-ENG'!$A$1:$A$5000,0),1,,,"LM7 Non-ENG"),IF(IFERROR(VLOOKUP(B643&amp;"PT",'LM7 Non-ENG'!$A$1:$A$5000,1,FALSE),"ERROR")=B643&amp;"PT","Y","")),"")</f>
        <v/>
      </c>
      <c r="I643" t="str">
        <f>IFERROR(VLOOKUP(B643,PN!$A:$C,3,FALSE),"")</f>
        <v>Active</v>
      </c>
      <c r="J643" s="3">
        <f>IFERROR(E643*VLOOKUP(B643,PLInter!$A:$D,3,FALSE),"")</f>
        <v>0</v>
      </c>
      <c r="K643" s="66"/>
      <c r="L643" s="66"/>
      <c r="M643" s="66"/>
      <c r="N643" s="66"/>
      <c r="O643" s="66"/>
      <c r="P643" s="66"/>
      <c r="Q643" s="66"/>
      <c r="R643" s="66"/>
      <c r="S643" s="66"/>
      <c r="T643" s="66"/>
    </row>
    <row r="644" spans="1:20" ht="18" customHeight="1">
      <c r="G644" s="29" t="str">
        <f>IFERROR(HYPERLINK("#"&amp;ADDRESS(MATCH(B644&amp;"ES",'LM7 Non-ENG'!$A$1:$A$5000,0),1,,,"LM7 Non-ENG"),IF(IFERROR(VLOOKUP(B644&amp;"ES",'LM7 Non-ENG'!$A$1:$A$4999,1,FALSE),"ERROR")=B644&amp;"ES","Y","")),"")</f>
        <v/>
      </c>
      <c r="H644" s="29" t="str">
        <f>IFERROR(HYPERLINK("#"&amp;ADDRESS(MATCH(B644&amp;"PT",'LM7 Non-ENG'!$A$1:$A$5000,0),1,,,"LM7 Non-ENG"),IF(IFERROR(VLOOKUP(B644&amp;"PT",'LM7 Non-ENG'!$A$1:$A$5000,1,FALSE),"ERROR")=B644&amp;"PT","Y","")),"")</f>
        <v/>
      </c>
    </row>
    <row r="645" spans="1:20" s="7" customFormat="1" ht="18" customHeight="1">
      <c r="A645" s="13" t="s">
        <v>112</v>
      </c>
      <c r="B645" s="13"/>
      <c r="C645" s="13" t="s">
        <v>113</v>
      </c>
      <c r="D645" s="14"/>
      <c r="E645" s="14"/>
      <c r="F645" s="14"/>
      <c r="G645" s="14"/>
      <c r="H645" s="14"/>
      <c r="I645" s="14"/>
      <c r="J645" s="14">
        <f>SUMIFS(J646:J651,D646:D651,"&lt;&gt;Y",F646:F651,"&lt;&gt;Y",I646:I651,"&lt;&gt;Inactive",I646:I651,"&lt;&gt;ECO+NFS")</f>
        <v>2330</v>
      </c>
      <c r="K645" s="14"/>
      <c r="L645" s="14"/>
      <c r="M645" s="14"/>
      <c r="N645" s="14"/>
      <c r="O645" s="14"/>
      <c r="P645" s="14"/>
      <c r="Q645" s="14"/>
      <c r="R645" s="14"/>
      <c r="S645" s="14"/>
      <c r="T645" s="14"/>
    </row>
    <row r="646" spans="1:20" ht="18" customHeight="1">
      <c r="A646" s="17" t="str">
        <f>HYPERLINK("#"&amp;ADDRESS(MATCH(A645,Jobmaster!$A$1:$A$4996,0),1,,,"Jobmaster"),"Back to Price List")</f>
        <v>Back to Price List</v>
      </c>
      <c r="B646" t="str">
        <f>"77-EB02A-0000"</f>
        <v>77-EB02A-0000</v>
      </c>
      <c r="C646" t="str">
        <f>"LM7 Content, JM, DC Power Supplies"</f>
        <v>LM7 Content, JM, DC Power Supplies</v>
      </c>
      <c r="D646" s="4"/>
      <c r="E646" s="4">
        <v>1</v>
      </c>
      <c r="F646" s="4"/>
      <c r="G646" s="29" t="str">
        <f>IFERROR(HYPERLINK("#"&amp;ADDRESS(MATCH(B646&amp;"ES",'LM7 Non-ENG'!$A$1:$A$5000,0),1,,,"LM7 Non-ENG"),IF(IFERROR(VLOOKUP(B646&amp;"ES",'LM7 Non-ENG'!$A$1:$A$4999,1,FALSE),"ERROR")=B646&amp;"ES","Y","")),"")</f>
        <v>Y</v>
      </c>
      <c r="H646" s="29" t="str">
        <f>IFERROR(HYPERLINK("#"&amp;ADDRESS(MATCH(B646&amp;"PT",'LM7 Non-ENG'!$A$1:$A$5000,0),1,,,"LM7 Non-ENG"),IF(IFERROR(VLOOKUP(B646&amp;"PT",'LM7 Non-ENG'!$A$1:$A$5000,1,FALSE),"ERROR")=B646&amp;"PT","Y","")),"")</f>
        <v/>
      </c>
      <c r="I646" t="str">
        <f>IFERROR(VLOOKUP(B646,PN!$A:$C,3,FALSE),"")</f>
        <v>Active</v>
      </c>
      <c r="J646" s="3">
        <f>IFERROR(E646*VLOOKUP(B646,PLInter!$A:$D,3,FALSE),"")</f>
        <v>700</v>
      </c>
      <c r="K646" s="68" t="s">
        <v>114</v>
      </c>
      <c r="L646" s="66"/>
      <c r="M646" s="66"/>
      <c r="N646" s="66"/>
      <c r="O646" s="66"/>
      <c r="P646" s="66"/>
      <c r="Q646" s="66"/>
      <c r="R646" s="66"/>
      <c r="S646" s="66"/>
      <c r="T646" s="66"/>
    </row>
    <row r="647" spans="1:20" ht="18" customHeight="1">
      <c r="B647" s="2" t="str">
        <f>"17-EB02A-0000"</f>
        <v>17-EB02A-0000</v>
      </c>
      <c r="C647" s="2" t="str">
        <f>"LM5.X Content, JM, DC Power Supplies"</f>
        <v>LM5.X Content, JM, DC Power Supplies</v>
      </c>
      <c r="D647" s="5"/>
      <c r="E647" s="5">
        <v>1</v>
      </c>
      <c r="F647" s="5" t="str">
        <f>"Y"</f>
        <v>Y</v>
      </c>
      <c r="G647" s="29" t="str">
        <f>IFERROR(HYPERLINK("#"&amp;ADDRESS(MATCH(B647&amp;"ES",'LM7 Non-ENG'!$A$1:$A$5000,0),1,,,"LM7 Non-ENG"),IF(IFERROR(VLOOKUP(B647&amp;"ES",'LM7 Non-ENG'!$A$1:$A$4999,1,FALSE),"ERROR")=B647&amp;"ES","Y","")),"")</f>
        <v/>
      </c>
      <c r="H647" s="29" t="str">
        <f>IFERROR(HYPERLINK("#"&amp;ADDRESS(MATCH(B647&amp;"PT",'LM7 Non-ENG'!$A$1:$A$5000,0),1,,,"LM7 Non-ENG"),IF(IFERROR(VLOOKUP(B647&amp;"PT",'LM7 Non-ENG'!$A$1:$A$5000,1,FALSE),"ERROR")=B647&amp;"PT","Y","")),"")</f>
        <v/>
      </c>
      <c r="I647" t="str">
        <f>IFERROR(VLOOKUP(B647,PN!$A:$C,3,FALSE),"")</f>
        <v>Active</v>
      </c>
      <c r="J647" s="3">
        <f>IFERROR(E647*VLOOKUP(B647,PLInter!$A:$D,3,FALSE),"")</f>
        <v>700</v>
      </c>
      <c r="K647" s="66"/>
      <c r="L647" s="66"/>
      <c r="M647" s="66"/>
      <c r="N647" s="66"/>
      <c r="O647" s="66"/>
      <c r="P647" s="66"/>
      <c r="Q647" s="66"/>
      <c r="R647" s="66"/>
      <c r="S647" s="66"/>
      <c r="T647" s="66"/>
    </row>
    <row r="648" spans="1:20" ht="18" customHeight="1">
      <c r="B648" t="str">
        <f>"26-E039-0000"</f>
        <v>26-E039-0000</v>
      </c>
      <c r="C648" t="str">
        <f>"Assembly, JM, E039,Single Phase Bridge Rectifier"</f>
        <v>Assembly, JM, E039,Single Phase Bridge Rectifier</v>
      </c>
      <c r="D648" s="4"/>
      <c r="E648" s="4">
        <v>1</v>
      </c>
      <c r="F648" s="4"/>
      <c r="G648" s="29" t="str">
        <f>IFERROR(HYPERLINK("#"&amp;ADDRESS(MATCH(B648&amp;"ES",'LM7 Non-ENG'!$A$1:$A$5000,0),1,,,"LM7 Non-ENG"),IF(IFERROR(VLOOKUP(B648&amp;"ES",'LM7 Non-ENG'!$A$1:$A$4999,1,FALSE),"ERROR")=B648&amp;"ES","Y","")),"")</f>
        <v/>
      </c>
      <c r="H648" s="29" t="str">
        <f>IFERROR(HYPERLINK("#"&amp;ADDRESS(MATCH(B648&amp;"PT",'LM7 Non-ENG'!$A$1:$A$5000,0),1,,,"LM7 Non-ENG"),IF(IFERROR(VLOOKUP(B648&amp;"PT",'LM7 Non-ENG'!$A$1:$A$5000,1,FALSE),"ERROR")=B648&amp;"PT","Y","")),"")</f>
        <v/>
      </c>
      <c r="I648" t="str">
        <f>IFERROR(VLOOKUP(B648,PN!$A:$C,3,FALSE),"")</f>
        <v>Active</v>
      </c>
      <c r="J648" s="3">
        <f>IFERROR(E648*VLOOKUP(B648,PLInter!$A:$D,3,FALSE),"")</f>
        <v>450</v>
      </c>
      <c r="K648" s="66"/>
      <c r="L648" s="66"/>
      <c r="M648" s="66"/>
      <c r="N648" s="66"/>
      <c r="O648" s="66"/>
      <c r="P648" s="66"/>
      <c r="Q648" s="66"/>
      <c r="R648" s="66"/>
      <c r="S648" s="66"/>
      <c r="T648" s="66"/>
    </row>
    <row r="649" spans="1:20" ht="18" customHeight="1">
      <c r="B649" t="str">
        <f>"26-E061-0000"</f>
        <v>26-E061-0000</v>
      </c>
      <c r="C649" t="str">
        <f>"Assembly, JM, E061, Low Voltage Transformer"</f>
        <v>Assembly, JM, E061, Low Voltage Transformer</v>
      </c>
      <c r="D649" s="4"/>
      <c r="E649" s="4">
        <v>1</v>
      </c>
      <c r="F649" s="4"/>
      <c r="G649" s="29" t="str">
        <f>IFERROR(HYPERLINK("#"&amp;ADDRESS(MATCH(B649&amp;"ES",'LM7 Non-ENG'!$A$1:$A$5000,0),1,,,"LM7 Non-ENG"),IF(IFERROR(VLOOKUP(B649&amp;"ES",'LM7 Non-ENG'!$A$1:$A$4999,1,FALSE),"ERROR")=B649&amp;"ES","Y","")),"")</f>
        <v/>
      </c>
      <c r="H649" s="29" t="str">
        <f>IFERROR(HYPERLINK("#"&amp;ADDRESS(MATCH(B649&amp;"PT",'LM7 Non-ENG'!$A$1:$A$5000,0),1,,,"LM7 Non-ENG"),IF(IFERROR(VLOOKUP(B649&amp;"PT",'LM7 Non-ENG'!$A$1:$A$5000,1,FALSE),"ERROR")=B649&amp;"PT","Y","")),"")</f>
        <v/>
      </c>
      <c r="I649" t="str">
        <f>IFERROR(VLOOKUP(B649,PN!$A:$C,3,FALSE),"")</f>
        <v>Active</v>
      </c>
      <c r="J649" s="3">
        <f>IFERROR(E649*VLOOKUP(B649,PLInter!$A:$D,3,FALSE),"")</f>
        <v>635</v>
      </c>
      <c r="K649" s="66"/>
      <c r="L649" s="66"/>
      <c r="M649" s="66"/>
      <c r="N649" s="66"/>
      <c r="O649" s="66"/>
      <c r="P649" s="66"/>
      <c r="Q649" s="66"/>
      <c r="R649" s="66"/>
      <c r="S649" s="66"/>
      <c r="T649" s="66"/>
    </row>
    <row r="650" spans="1:20" ht="18" customHeight="1">
      <c r="B650" t="str">
        <f>"26-E062-0000"</f>
        <v>26-E062-0000</v>
      </c>
      <c r="C650" t="str">
        <f>"Assembly, JM, E062, Diode Rectifier Panel"</f>
        <v>Assembly, JM, E062, Diode Rectifier Panel</v>
      </c>
      <c r="D650" s="4"/>
      <c r="E650" s="4">
        <v>1</v>
      </c>
      <c r="F650" s="4"/>
      <c r="G650" s="29" t="str">
        <f>IFERROR(HYPERLINK("#"&amp;ADDRESS(MATCH(B650&amp;"ES",'LM7 Non-ENG'!$A$1:$A$5000,0),1,,,"LM7 Non-ENG"),IF(IFERROR(VLOOKUP(B650&amp;"ES",'LM7 Non-ENG'!$A$1:$A$4999,1,FALSE),"ERROR")=B650&amp;"ES","Y","")),"")</f>
        <v/>
      </c>
      <c r="H650" s="29" t="str">
        <f>IFERROR(HYPERLINK("#"&amp;ADDRESS(MATCH(B650&amp;"PT",'LM7 Non-ENG'!$A$1:$A$5000,0),1,,,"LM7 Non-ENG"),IF(IFERROR(VLOOKUP(B650&amp;"PT",'LM7 Non-ENG'!$A$1:$A$5000,1,FALSE),"ERROR")=B650&amp;"PT","Y","")),"")</f>
        <v/>
      </c>
      <c r="I650" t="str">
        <f>IFERROR(VLOOKUP(B650,PN!$A:$C,3,FALSE),"")</f>
        <v>Active</v>
      </c>
      <c r="J650" s="3">
        <f>IFERROR(E650*VLOOKUP(B650,PLInter!$A:$D,3,FALSE),"")</f>
        <v>545</v>
      </c>
      <c r="K650" s="66"/>
      <c r="L650" s="66"/>
      <c r="M650" s="66"/>
      <c r="N650" s="66"/>
      <c r="O650" s="66"/>
      <c r="P650" s="66"/>
      <c r="Q650" s="66"/>
      <c r="R650" s="66"/>
      <c r="S650" s="66"/>
      <c r="T650" s="66"/>
    </row>
    <row r="651" spans="1:20" ht="18" customHeight="1">
      <c r="B651" s="1" t="str">
        <f>"36-EB02A-IG01"</f>
        <v>36-EB02A-IG01</v>
      </c>
      <c r="C651" s="1" t="str">
        <f>"JM, PDF on CD DC Power Supplies - EB02A"</f>
        <v>JM, PDF on CD DC Power Supplies - EB02A</v>
      </c>
      <c r="D651" s="6" t="s">
        <v>0</v>
      </c>
      <c r="E651" s="6">
        <v>1</v>
      </c>
      <c r="F651" s="6"/>
      <c r="G651" s="29" t="str">
        <f>IFERROR(HYPERLINK("#"&amp;ADDRESS(MATCH(B651&amp;"ES",'LM7 Non-ENG'!$A$1:$A$5000,0),1,,,"LM7 Non-ENG"),IF(IFERROR(VLOOKUP(B651&amp;"ES",'LM7 Non-ENG'!$A$1:$A$4999,1,FALSE),"ERROR")=B651&amp;"ES","Y","")),"")</f>
        <v/>
      </c>
      <c r="H651" s="29" t="str">
        <f>IFERROR(HYPERLINK("#"&amp;ADDRESS(MATCH(B651&amp;"PT",'LM7 Non-ENG'!$A$1:$A$5000,0),1,,,"LM7 Non-ENG"),IF(IFERROR(VLOOKUP(B651&amp;"PT",'LM7 Non-ENG'!$A$1:$A$5000,1,FALSE),"ERROR")=B651&amp;"PT","Y","")),"")</f>
        <v/>
      </c>
      <c r="I651" t="str">
        <f>IFERROR(VLOOKUP(B651,PN!$A:$C,3,FALSE),"")</f>
        <v>Active</v>
      </c>
      <c r="J651" s="3" t="str">
        <f>IFERROR(E651*VLOOKUP(B651,PLInter!$A:$D,3,FALSE),"")</f>
        <v/>
      </c>
      <c r="K651" s="66"/>
      <c r="L651" s="66"/>
      <c r="M651" s="66"/>
      <c r="N651" s="66"/>
      <c r="O651" s="66"/>
      <c r="P651" s="66"/>
      <c r="Q651" s="66"/>
      <c r="R651" s="66"/>
      <c r="S651" s="66"/>
      <c r="T651" s="66"/>
    </row>
    <row r="652" spans="1:20" ht="18" customHeight="1">
      <c r="G652" s="29" t="str">
        <f>IFERROR(HYPERLINK("#"&amp;ADDRESS(MATCH(B652&amp;"ES",'LM7 Non-ENG'!$A$1:$A$5000,0),1,,,"LM7 Non-ENG"),IF(IFERROR(VLOOKUP(B652&amp;"ES",'LM7 Non-ENG'!$A$1:$A$4999,1,FALSE),"ERROR")=B652&amp;"ES","Y","")),"")</f>
        <v/>
      </c>
      <c r="H652" s="29" t="str">
        <f>IFERROR(HYPERLINK("#"&amp;ADDRESS(MATCH(B652&amp;"PT",'LM7 Non-ENG'!$A$1:$A$5000,0),1,,,"LM7 Non-ENG"),IF(IFERROR(VLOOKUP(B652&amp;"PT",'LM7 Non-ENG'!$A$1:$A$5000,1,FALSE),"ERROR")=B652&amp;"PT","Y","")),"")</f>
        <v/>
      </c>
    </row>
    <row r="653" spans="1:20" s="7" customFormat="1" ht="18" customHeight="1">
      <c r="A653" s="13" t="s">
        <v>115</v>
      </c>
      <c r="B653" s="13"/>
      <c r="C653" s="13" t="s">
        <v>116</v>
      </c>
      <c r="D653" s="14"/>
      <c r="E653" s="14"/>
      <c r="F653" s="14"/>
      <c r="G653" s="14"/>
      <c r="H653" s="14"/>
      <c r="I653" s="14"/>
      <c r="J653" s="14">
        <f>SUMIFS(J654:J659,D654:D659,"&lt;&gt;Y",F654:F659,"&lt;&gt;Y",I654:I659,"&lt;&gt;Inactive",I654:I659,"&lt;&gt;ECO+NFS")</f>
        <v>2166</v>
      </c>
      <c r="K653" s="14"/>
      <c r="L653" s="14"/>
      <c r="M653" s="14"/>
      <c r="N653" s="14"/>
      <c r="O653" s="14"/>
      <c r="P653" s="14"/>
      <c r="Q653" s="14"/>
      <c r="R653" s="14"/>
      <c r="S653" s="14"/>
      <c r="T653" s="14"/>
    </row>
    <row r="654" spans="1:20" ht="18" customHeight="1">
      <c r="A654" s="17" t="str">
        <f>HYPERLINK("#"&amp;ADDRESS(MATCH(A653,Jobmaster!$A$1:$A$4996,0),1,,,"Jobmaster"),"Back to Price List")</f>
        <v>Back to Price List</v>
      </c>
      <c r="B654" t="str">
        <f>"77-EB02B-0000"</f>
        <v>77-EB02B-0000</v>
      </c>
      <c r="C654" t="str">
        <f>"LM7 Content, JM, Single &amp; 3 Phase Power Supply"</f>
        <v>LM7 Content, JM, Single &amp; 3 Phase Power Supply</v>
      </c>
      <c r="D654" s="4"/>
      <c r="E654" s="4">
        <v>1</v>
      </c>
      <c r="F654" s="4"/>
      <c r="G654" s="29" t="str">
        <f>IFERROR(HYPERLINK("#"&amp;ADDRESS(MATCH(B654&amp;"ES",'LM7 Non-ENG'!$A$1:$A$5000,0),1,,,"LM7 Non-ENG"),IF(IFERROR(VLOOKUP(B654&amp;"ES",'LM7 Non-ENG'!$A$1:$A$4999,1,FALSE),"ERROR")=B654&amp;"ES","Y","")),"")</f>
        <v>Y</v>
      </c>
      <c r="H654" s="29" t="str">
        <f>IFERROR(HYPERLINK("#"&amp;ADDRESS(MATCH(B654&amp;"PT",'LM7 Non-ENG'!$A$1:$A$5000,0),1,,,"LM7 Non-ENG"),IF(IFERROR(VLOOKUP(B654&amp;"PT",'LM7 Non-ENG'!$A$1:$A$5000,1,FALSE),"ERROR")=B654&amp;"PT","Y","")),"")</f>
        <v>Y</v>
      </c>
      <c r="I654" t="str">
        <f>IFERROR(VLOOKUP(B654,PN!$A:$C,3,FALSE),"")</f>
        <v>Active</v>
      </c>
      <c r="J654" s="3">
        <f>IFERROR(E654*VLOOKUP(B654,PLInter!$A:$D,3,FALSE),"")</f>
        <v>700</v>
      </c>
      <c r="K654" s="68" t="s">
        <v>117</v>
      </c>
      <c r="L654" s="66"/>
      <c r="M654" s="66"/>
      <c r="N654" s="66"/>
      <c r="O654" s="66"/>
      <c r="P654" s="66"/>
      <c r="Q654" s="66"/>
      <c r="R654" s="66"/>
      <c r="S654" s="66"/>
      <c r="T654" s="66"/>
    </row>
    <row r="655" spans="1:20" ht="18" customHeight="1">
      <c r="B655" s="2" t="str">
        <f>"17-EB02B-0000"</f>
        <v>17-EB02B-0000</v>
      </c>
      <c r="C655" s="2" t="str">
        <f>"LM5.X Content, JM,Single &amp; 3 Phase Power Supply"</f>
        <v>LM5.X Content, JM,Single &amp; 3 Phase Power Supply</v>
      </c>
      <c r="D655" s="5"/>
      <c r="E655" s="5">
        <v>1</v>
      </c>
      <c r="F655" s="5" t="str">
        <f>"Y"</f>
        <v>Y</v>
      </c>
      <c r="G655" s="29" t="str">
        <f>IFERROR(HYPERLINK("#"&amp;ADDRESS(MATCH(B655&amp;"ES",'LM7 Non-ENG'!$A$1:$A$5000,0),1,,,"LM7 Non-ENG"),IF(IFERROR(VLOOKUP(B655&amp;"ES",'LM7 Non-ENG'!$A$1:$A$4999,1,FALSE),"ERROR")=B655&amp;"ES","Y","")),"")</f>
        <v/>
      </c>
      <c r="H655" s="29" t="str">
        <f>IFERROR(HYPERLINK("#"&amp;ADDRESS(MATCH(B655&amp;"PT",'LM7 Non-ENG'!$A$1:$A$5000,0),1,,,"LM7 Non-ENG"),IF(IFERROR(VLOOKUP(B655&amp;"PT",'LM7 Non-ENG'!$A$1:$A$5000,1,FALSE),"ERROR")=B655&amp;"PT","Y","")),"")</f>
        <v/>
      </c>
      <c r="I655" t="str">
        <f>IFERROR(VLOOKUP(B655,PN!$A:$C,3,FALSE),"")</f>
        <v>Active</v>
      </c>
      <c r="J655" s="3">
        <f>IFERROR(E655*VLOOKUP(B655,PLInter!$A:$D,3,FALSE),"")</f>
        <v>700</v>
      </c>
      <c r="K655" s="66"/>
      <c r="L655" s="66"/>
      <c r="M655" s="66"/>
      <c r="N655" s="66"/>
      <c r="O655" s="66"/>
      <c r="P655" s="66"/>
      <c r="Q655" s="66"/>
      <c r="R655" s="66"/>
      <c r="S655" s="66"/>
      <c r="T655" s="66"/>
    </row>
    <row r="656" spans="1:20" ht="18" customHeight="1">
      <c r="B656" t="str">
        <f>"26-E049-0000"</f>
        <v>26-E049-0000</v>
      </c>
      <c r="C656" t="str">
        <f>"Assembly, JM, E049, Zener Diode Panel"</f>
        <v>Assembly, JM, E049, Zener Diode Panel</v>
      </c>
      <c r="D656" s="4"/>
      <c r="E656" s="4">
        <v>1</v>
      </c>
      <c r="F656" s="4"/>
      <c r="G656" s="29" t="str">
        <f>IFERROR(HYPERLINK("#"&amp;ADDRESS(MATCH(B656&amp;"ES",'LM7 Non-ENG'!$A$1:$A$5000,0),1,,,"LM7 Non-ENG"),IF(IFERROR(VLOOKUP(B656&amp;"ES",'LM7 Non-ENG'!$A$1:$A$4999,1,FALSE),"ERROR")=B656&amp;"ES","Y","")),"")</f>
        <v/>
      </c>
      <c r="H656" s="29" t="str">
        <f>IFERROR(HYPERLINK("#"&amp;ADDRESS(MATCH(B656&amp;"PT",'LM7 Non-ENG'!$A$1:$A$5000,0),1,,,"LM7 Non-ENG"),IF(IFERROR(VLOOKUP(B656&amp;"PT",'LM7 Non-ENG'!$A$1:$A$5000,1,FALSE),"ERROR")=B656&amp;"PT","Y","")),"")</f>
        <v/>
      </c>
      <c r="I656" t="str">
        <f>IFERROR(VLOOKUP(B656,PN!$A:$C,3,FALSE),"")</f>
        <v>Active</v>
      </c>
      <c r="J656" s="3">
        <f>IFERROR(E656*VLOOKUP(B656,PLInter!$A:$D,3,FALSE),"")</f>
        <v>334</v>
      </c>
      <c r="K656" s="66"/>
      <c r="L656" s="66"/>
      <c r="M656" s="66"/>
      <c r="N656" s="66"/>
      <c r="O656" s="66"/>
      <c r="P656" s="66"/>
      <c r="Q656" s="66"/>
      <c r="R656" s="66"/>
      <c r="S656" s="66"/>
      <c r="T656" s="66"/>
    </row>
    <row r="657" spans="1:20" ht="18" customHeight="1">
      <c r="B657" t="str">
        <f>"26-E050-0000"</f>
        <v>26-E050-0000</v>
      </c>
      <c r="C657" t="str">
        <f>"Assembly, JM, E050, Regulated Power Supply Panel"</f>
        <v>Assembly, JM, E050, Regulated Power Supply Panel</v>
      </c>
      <c r="D657" s="4"/>
      <c r="E657" s="4">
        <v>1</v>
      </c>
      <c r="F657" s="4"/>
      <c r="G657" s="29" t="str">
        <f>IFERROR(HYPERLINK("#"&amp;ADDRESS(MATCH(B657&amp;"ES",'LM7 Non-ENG'!$A$1:$A$5000,0),1,,,"LM7 Non-ENG"),IF(IFERROR(VLOOKUP(B657&amp;"ES",'LM7 Non-ENG'!$A$1:$A$4999,1,FALSE),"ERROR")=B657&amp;"ES","Y","")),"")</f>
        <v/>
      </c>
      <c r="H657" s="29" t="str">
        <f>IFERROR(HYPERLINK("#"&amp;ADDRESS(MATCH(B657&amp;"PT",'LM7 Non-ENG'!$A$1:$A$5000,0),1,,,"LM7 Non-ENG"),IF(IFERROR(VLOOKUP(B657&amp;"PT",'LM7 Non-ENG'!$A$1:$A$5000,1,FALSE),"ERROR")=B657&amp;"PT","Y","")),"")</f>
        <v/>
      </c>
      <c r="I657" t="str">
        <f>IFERROR(VLOOKUP(B657,PN!$A:$C,3,FALSE),"")</f>
        <v>Active</v>
      </c>
      <c r="J657" s="3">
        <f>IFERROR(E657*VLOOKUP(B657,PLInter!$A:$D,3,FALSE),"")</f>
        <v>565</v>
      </c>
      <c r="K657" s="66"/>
      <c r="L657" s="66"/>
      <c r="M657" s="66"/>
      <c r="N657" s="66"/>
      <c r="O657" s="66"/>
      <c r="P657" s="66"/>
      <c r="Q657" s="66"/>
      <c r="R657" s="66"/>
      <c r="S657" s="66"/>
      <c r="T657" s="66"/>
    </row>
    <row r="658" spans="1:20" ht="18" customHeight="1">
      <c r="B658" t="str">
        <f>"26-E053-0000"</f>
        <v>26-E053-0000</v>
      </c>
      <c r="C658" t="str">
        <f>"Assembly, JM, E053, Three Phase Bridge Rectifier"</f>
        <v>Assembly, JM, E053, Three Phase Bridge Rectifier</v>
      </c>
      <c r="D658" s="4"/>
      <c r="E658" s="4">
        <v>1</v>
      </c>
      <c r="F658" s="4"/>
      <c r="G658" s="29" t="str">
        <f>IFERROR(HYPERLINK("#"&amp;ADDRESS(MATCH(B658&amp;"ES",'LM7 Non-ENG'!$A$1:$A$5000,0),1,,,"LM7 Non-ENG"),IF(IFERROR(VLOOKUP(B658&amp;"ES",'LM7 Non-ENG'!$A$1:$A$4999,1,FALSE),"ERROR")=B658&amp;"ES","Y","")),"")</f>
        <v/>
      </c>
      <c r="H658" s="29" t="str">
        <f>IFERROR(HYPERLINK("#"&amp;ADDRESS(MATCH(B658&amp;"PT",'LM7 Non-ENG'!$A$1:$A$5000,0),1,,,"LM7 Non-ENG"),IF(IFERROR(VLOOKUP(B658&amp;"PT",'LM7 Non-ENG'!$A$1:$A$5000,1,FALSE),"ERROR")=B658&amp;"PT","Y","")),"")</f>
        <v/>
      </c>
      <c r="I658" t="str">
        <f>IFERROR(VLOOKUP(B658,PN!$A:$C,3,FALSE),"")</f>
        <v>Active</v>
      </c>
      <c r="J658" s="3">
        <f>IFERROR(E658*VLOOKUP(B658,PLInter!$A:$D,3,FALSE),"")</f>
        <v>567</v>
      </c>
      <c r="K658" s="66"/>
      <c r="L658" s="66"/>
      <c r="M658" s="66"/>
      <c r="N658" s="66"/>
      <c r="O658" s="66"/>
      <c r="P658" s="66"/>
      <c r="Q658" s="66"/>
      <c r="R658" s="66"/>
      <c r="S658" s="66"/>
      <c r="T658" s="66"/>
    </row>
    <row r="659" spans="1:20" ht="18" customHeight="1">
      <c r="B659" s="1" t="str">
        <f>"36-EB02B-IG01"</f>
        <v>36-EB02B-IG01</v>
      </c>
      <c r="C659" s="1" t="str">
        <f>"JM, PDF on CD Single&amp;3 Phase Power - EB02B"</f>
        <v>JM, PDF on CD Single&amp;3 Phase Power - EB02B</v>
      </c>
      <c r="D659" s="6" t="s">
        <v>0</v>
      </c>
      <c r="E659" s="6">
        <v>1</v>
      </c>
      <c r="F659" s="6"/>
      <c r="G659" s="29" t="str">
        <f>IFERROR(HYPERLINK("#"&amp;ADDRESS(MATCH(B659&amp;"ES",'LM7 Non-ENG'!$A$1:$A$5000,0),1,,,"LM7 Non-ENG"),IF(IFERROR(VLOOKUP(B659&amp;"ES",'LM7 Non-ENG'!$A$1:$A$4999,1,FALSE),"ERROR")=B659&amp;"ES","Y","")),"")</f>
        <v/>
      </c>
      <c r="H659" s="29" t="str">
        <f>IFERROR(HYPERLINK("#"&amp;ADDRESS(MATCH(B659&amp;"PT",'LM7 Non-ENG'!$A$1:$A$5000,0),1,,,"LM7 Non-ENG"),IF(IFERROR(VLOOKUP(B659&amp;"PT",'LM7 Non-ENG'!$A$1:$A$5000,1,FALSE),"ERROR")=B659&amp;"PT","Y","")),"")</f>
        <v/>
      </c>
      <c r="I659" t="str">
        <f>IFERROR(VLOOKUP(B659,PN!$A:$C,3,FALSE),"")</f>
        <v>Active</v>
      </c>
      <c r="J659" s="3" t="str">
        <f>IFERROR(E659*VLOOKUP(B659,PLInter!$A:$D,3,FALSE),"")</f>
        <v/>
      </c>
      <c r="K659" s="66"/>
      <c r="L659" s="66"/>
      <c r="M659" s="66"/>
      <c r="N659" s="66"/>
      <c r="O659" s="66"/>
      <c r="P659" s="66"/>
      <c r="Q659" s="66"/>
      <c r="R659" s="66"/>
      <c r="S659" s="66"/>
      <c r="T659" s="66"/>
    </row>
    <row r="660" spans="1:20" ht="18" customHeight="1">
      <c r="G660" s="29" t="str">
        <f>IFERROR(HYPERLINK("#"&amp;ADDRESS(MATCH(B660&amp;"ES",'LM7 Non-ENG'!$A$1:$A$5000,0),1,,,"LM7 Non-ENG"),IF(IFERROR(VLOOKUP(B660&amp;"ES",'LM7 Non-ENG'!$A$1:$A$4999,1,FALSE),"ERROR")=B660&amp;"ES","Y","")),"")</f>
        <v/>
      </c>
      <c r="H660" s="29" t="str">
        <f>IFERROR(HYPERLINK("#"&amp;ADDRESS(MATCH(B660&amp;"PT",'LM7 Non-ENG'!$A$1:$A$5000,0),1,,,"LM7 Non-ENG"),IF(IFERROR(VLOOKUP(B660&amp;"PT",'LM7 Non-ENG'!$A$1:$A$5000,1,FALSE),"ERROR")=B660&amp;"PT","Y","")),"")</f>
        <v/>
      </c>
    </row>
    <row r="661" spans="1:20" s="7" customFormat="1" ht="18" customHeight="1">
      <c r="A661" s="13" t="s">
        <v>118</v>
      </c>
      <c r="B661" s="13"/>
      <c r="C661" s="13" t="s">
        <v>119</v>
      </c>
      <c r="D661" s="14"/>
      <c r="E661" s="14"/>
      <c r="F661" s="14"/>
      <c r="G661" s="14"/>
      <c r="H661" s="14"/>
      <c r="I661" s="14"/>
      <c r="J661" s="14">
        <f>SUMIFS(J662:J672,D662:D672,"&lt;&gt;Y",F662:F672,"&lt;&gt;Y",I662:I672,"&lt;&gt;Inactive",I662:I672,"&lt;&gt;ECO+NFS")</f>
        <v>6083</v>
      </c>
      <c r="K661" s="14"/>
      <c r="L661" s="14"/>
      <c r="M661" s="14"/>
      <c r="N661" s="14"/>
      <c r="O661" s="14"/>
      <c r="P661" s="14"/>
      <c r="Q661" s="14"/>
      <c r="R661" s="14"/>
      <c r="S661" s="14"/>
      <c r="T661" s="14"/>
    </row>
    <row r="662" spans="1:20" ht="18" customHeight="1">
      <c r="A662" s="17" t="str">
        <f>HYPERLINK("#"&amp;ADDRESS(MATCH(A661,Jobmaster!$A$1:$A$4996,0),1,,,"Jobmaster"),"Back to Price List")</f>
        <v>Back to Price List</v>
      </c>
      <c r="B662" t="str">
        <f>"77-EB03-0000"</f>
        <v>77-EB03-0000</v>
      </c>
      <c r="C662" t="str">
        <f>"LM7 Content, JM, Thyristor Motor Drives"</f>
        <v>LM7 Content, JM, Thyristor Motor Drives</v>
      </c>
      <c r="D662" s="4"/>
      <c r="E662" s="4">
        <v>1</v>
      </c>
      <c r="F662" s="4"/>
      <c r="G662" s="29" t="str">
        <f>IFERROR(HYPERLINK("#"&amp;ADDRESS(MATCH(B662&amp;"ES",'LM7 Non-ENG'!$A$1:$A$5000,0),1,,,"LM7 Non-ENG"),IF(IFERROR(VLOOKUP(B662&amp;"ES",'LM7 Non-ENG'!$A$1:$A$4999,1,FALSE),"ERROR")=B662&amp;"ES","Y","")),"")</f>
        <v>Y</v>
      </c>
      <c r="H662" s="29" t="str">
        <f>IFERROR(HYPERLINK("#"&amp;ADDRESS(MATCH(B662&amp;"PT",'LM7 Non-ENG'!$A$1:$A$5000,0),1,,,"LM7 Non-ENG"),IF(IFERROR(VLOOKUP(B662&amp;"PT",'LM7 Non-ENG'!$A$1:$A$5000,1,FALSE),"ERROR")=B662&amp;"PT","Y","")),"")</f>
        <v/>
      </c>
      <c r="I662" t="str">
        <f>IFERROR(VLOOKUP(B662,PN!$A:$C,3,FALSE),"")</f>
        <v>Active</v>
      </c>
      <c r="J662" s="3">
        <f>IFERROR(E662*VLOOKUP(B662,PLInter!$A:$D,3,FALSE),"")</f>
        <v>700</v>
      </c>
      <c r="K662" s="68" t="s">
        <v>120</v>
      </c>
      <c r="L662" s="66"/>
      <c r="M662" s="66"/>
      <c r="N662" s="66"/>
      <c r="O662" s="66"/>
      <c r="P662" s="66"/>
      <c r="Q662" s="66"/>
      <c r="R662" s="66"/>
      <c r="S662" s="66"/>
      <c r="T662" s="66"/>
    </row>
    <row r="663" spans="1:20" ht="18" customHeight="1">
      <c r="B663" s="2" t="str">
        <f>"17-EB03-0000"</f>
        <v>17-EB03-0000</v>
      </c>
      <c r="C663" s="2" t="str">
        <f>"LM5.X Content, JM, Thyristor Motor Drives"</f>
        <v>LM5.X Content, JM, Thyristor Motor Drives</v>
      </c>
      <c r="D663" s="5"/>
      <c r="E663" s="5">
        <v>1</v>
      </c>
      <c r="F663" s="5" t="str">
        <f>"Y"</f>
        <v>Y</v>
      </c>
      <c r="G663" s="29" t="str">
        <f>IFERROR(HYPERLINK("#"&amp;ADDRESS(MATCH(B663&amp;"ES",'LM7 Non-ENG'!$A$1:$A$5000,0),1,,,"LM7 Non-ENG"),IF(IFERROR(VLOOKUP(B663&amp;"ES",'LM7 Non-ENG'!$A$1:$A$4999,1,FALSE),"ERROR")=B663&amp;"ES","Y","")),"")</f>
        <v/>
      </c>
      <c r="H663" s="29" t="str">
        <f>IFERROR(HYPERLINK("#"&amp;ADDRESS(MATCH(B663&amp;"PT",'LM7 Non-ENG'!$A$1:$A$5000,0),1,,,"LM7 Non-ENG"),IF(IFERROR(VLOOKUP(B663&amp;"PT",'LM7 Non-ENG'!$A$1:$A$5000,1,FALSE),"ERROR")=B663&amp;"PT","Y","")),"")</f>
        <v/>
      </c>
      <c r="I663" t="str">
        <f>IFERROR(VLOOKUP(B663,PN!$A:$C,3,FALSE),"")</f>
        <v>Active</v>
      </c>
      <c r="J663" s="3">
        <f>IFERROR(E663*VLOOKUP(B663,PLInter!$A:$D,3,FALSE),"")</f>
        <v>700</v>
      </c>
      <c r="K663" s="66"/>
      <c r="L663" s="66"/>
      <c r="M663" s="66"/>
      <c r="N663" s="66"/>
      <c r="O663" s="66"/>
      <c r="P663" s="66"/>
      <c r="Q663" s="66"/>
      <c r="R663" s="66"/>
      <c r="S663" s="66"/>
      <c r="T663" s="66"/>
    </row>
    <row r="664" spans="1:20" ht="18" customHeight="1">
      <c r="B664" t="str">
        <f>"26-E034-0000"</f>
        <v>26-E034-0000</v>
      </c>
      <c r="C664" t="str">
        <f>"Assembly, JM, E034, DC Motor Panel"</f>
        <v>Assembly, JM, E034, DC Motor Panel</v>
      </c>
      <c r="D664" s="4"/>
      <c r="E664" s="4">
        <v>1</v>
      </c>
      <c r="F664" s="4"/>
      <c r="G664" s="29" t="str">
        <f>IFERROR(HYPERLINK("#"&amp;ADDRESS(MATCH(B664&amp;"ES",'LM7 Non-ENG'!$A$1:$A$5000,0),1,,,"LM7 Non-ENG"),IF(IFERROR(VLOOKUP(B664&amp;"ES",'LM7 Non-ENG'!$A$1:$A$4999,1,FALSE),"ERROR")=B664&amp;"ES","Y","")),"")</f>
        <v/>
      </c>
      <c r="H664" s="29" t="str">
        <f>IFERROR(HYPERLINK("#"&amp;ADDRESS(MATCH(B664&amp;"PT",'LM7 Non-ENG'!$A$1:$A$5000,0),1,,,"LM7 Non-ENG"),IF(IFERROR(VLOOKUP(B664&amp;"PT",'LM7 Non-ENG'!$A$1:$A$5000,1,FALSE),"ERROR")=B664&amp;"PT","Y","")),"")</f>
        <v/>
      </c>
      <c r="I664" t="str">
        <f>IFERROR(VLOOKUP(B664,PN!$A:$C,3,FALSE),"")</f>
        <v>Active</v>
      </c>
      <c r="J664" s="3">
        <f>IFERROR(E664*VLOOKUP(B664,PLInter!$A:$D,3,FALSE),"")</f>
        <v>900</v>
      </c>
      <c r="K664" s="66"/>
      <c r="L664" s="66"/>
      <c r="M664" s="66"/>
      <c r="N664" s="66"/>
      <c r="O664" s="66"/>
      <c r="P664" s="66"/>
      <c r="Q664" s="66"/>
      <c r="R664" s="66"/>
      <c r="S664" s="66"/>
      <c r="T664" s="66"/>
    </row>
    <row r="665" spans="1:20" ht="18" customHeight="1">
      <c r="B665" t="str">
        <f>"26-E081-0000"</f>
        <v>26-E081-0000</v>
      </c>
      <c r="C665" t="str">
        <f>"Assembly, JM, E081, SCR Panel"</f>
        <v>Assembly, JM, E081, SCR Panel</v>
      </c>
      <c r="D665" s="4"/>
      <c r="E665" s="4">
        <v>1</v>
      </c>
      <c r="F665" s="4"/>
      <c r="G665" s="29" t="str">
        <f>IFERROR(HYPERLINK("#"&amp;ADDRESS(MATCH(B665&amp;"ES",'LM7 Non-ENG'!$A$1:$A$5000,0),1,,,"LM7 Non-ENG"),IF(IFERROR(VLOOKUP(B665&amp;"ES",'LM7 Non-ENG'!$A$1:$A$4999,1,FALSE),"ERROR")=B665&amp;"ES","Y","")),"")</f>
        <v/>
      </c>
      <c r="H665" s="29" t="str">
        <f>IFERROR(HYPERLINK("#"&amp;ADDRESS(MATCH(B665&amp;"PT",'LM7 Non-ENG'!$A$1:$A$5000,0),1,,,"LM7 Non-ENG"),IF(IFERROR(VLOOKUP(B665&amp;"PT",'LM7 Non-ENG'!$A$1:$A$5000,1,FALSE),"ERROR")=B665&amp;"PT","Y","")),"")</f>
        <v/>
      </c>
      <c r="I665" t="str">
        <f>IFERROR(VLOOKUP(B665,PN!$A:$C,3,FALSE),"")</f>
        <v>Active</v>
      </c>
      <c r="J665" s="3">
        <f>IFERROR(E665*VLOOKUP(B665,PLInter!$A:$D,3,FALSE),"")</f>
        <v>350</v>
      </c>
      <c r="K665" s="66"/>
      <c r="L665" s="66"/>
      <c r="M665" s="66"/>
      <c r="N665" s="66"/>
      <c r="O665" s="66"/>
      <c r="P665" s="66"/>
      <c r="Q665" s="66"/>
      <c r="R665" s="66"/>
      <c r="S665" s="66"/>
      <c r="T665" s="66"/>
    </row>
    <row r="666" spans="1:20" ht="18" customHeight="1">
      <c r="B666" t="str">
        <f>"26-E083-0000"</f>
        <v>26-E083-0000</v>
      </c>
      <c r="C666" t="str">
        <f>"Assembly, JM, E083, TRIAC Panel"</f>
        <v>Assembly, JM, E083, TRIAC Panel</v>
      </c>
      <c r="D666" s="4"/>
      <c r="E666" s="4">
        <v>1</v>
      </c>
      <c r="F666" s="4"/>
      <c r="G666" s="29" t="str">
        <f>IFERROR(HYPERLINK("#"&amp;ADDRESS(MATCH(B666&amp;"ES",'LM7 Non-ENG'!$A$1:$A$5000,0),1,,,"LM7 Non-ENG"),IF(IFERROR(VLOOKUP(B666&amp;"ES",'LM7 Non-ENG'!$A$1:$A$4999,1,FALSE),"ERROR")=B666&amp;"ES","Y","")),"")</f>
        <v/>
      </c>
      <c r="H666" s="29" t="str">
        <f>IFERROR(HYPERLINK("#"&amp;ADDRESS(MATCH(B666&amp;"PT",'LM7 Non-ENG'!$A$1:$A$5000,0),1,,,"LM7 Non-ENG"),IF(IFERROR(VLOOKUP(B666&amp;"PT",'LM7 Non-ENG'!$A$1:$A$5000,1,FALSE),"ERROR")=B666&amp;"PT","Y","")),"")</f>
        <v/>
      </c>
      <c r="I666" t="str">
        <f>IFERROR(VLOOKUP(B666,PN!$A:$C,3,FALSE),"")</f>
        <v>Active</v>
      </c>
      <c r="J666" s="3">
        <f>IFERROR(E666*VLOOKUP(B666,PLInter!$A:$D,3,FALSE),"")</f>
        <v>307</v>
      </c>
      <c r="K666" s="66"/>
      <c r="L666" s="66"/>
      <c r="M666" s="66"/>
      <c r="N666" s="66"/>
      <c r="O666" s="66"/>
      <c r="P666" s="66"/>
      <c r="Q666" s="66"/>
      <c r="R666" s="66"/>
      <c r="S666" s="66"/>
      <c r="T666" s="66"/>
    </row>
    <row r="667" spans="1:20" ht="18" customHeight="1">
      <c r="B667" t="str">
        <f>"26-E084-0000"</f>
        <v>26-E084-0000</v>
      </c>
      <c r="C667" t="str">
        <f>"Assembly, JM, E084, DIAC Adjustable Resistors"</f>
        <v>Assembly, JM, E084, DIAC Adjustable Resistors</v>
      </c>
      <c r="D667" s="4"/>
      <c r="E667" s="4">
        <v>1</v>
      </c>
      <c r="F667" s="4"/>
      <c r="G667" s="29" t="str">
        <f>IFERROR(HYPERLINK("#"&amp;ADDRESS(MATCH(B667&amp;"ES",'LM7 Non-ENG'!$A$1:$A$5000,0),1,,,"LM7 Non-ENG"),IF(IFERROR(VLOOKUP(B667&amp;"ES",'LM7 Non-ENG'!$A$1:$A$4999,1,FALSE),"ERROR")=B667&amp;"ES","Y","")),"")</f>
        <v/>
      </c>
      <c r="H667" s="29" t="str">
        <f>IFERROR(HYPERLINK("#"&amp;ADDRESS(MATCH(B667&amp;"PT",'LM7 Non-ENG'!$A$1:$A$5000,0),1,,,"LM7 Non-ENG"),IF(IFERROR(VLOOKUP(B667&amp;"PT",'LM7 Non-ENG'!$A$1:$A$5000,1,FALSE),"ERROR")=B667&amp;"PT","Y","")),"")</f>
        <v/>
      </c>
      <c r="I667" t="str">
        <f>IFERROR(VLOOKUP(B667,PN!$A:$C,3,FALSE),"")</f>
        <v>Active</v>
      </c>
      <c r="J667" s="3">
        <f>IFERROR(E667*VLOOKUP(B667,PLInter!$A:$D,3,FALSE),"")</f>
        <v>394</v>
      </c>
      <c r="K667" s="66"/>
      <c r="L667" s="66"/>
      <c r="M667" s="66"/>
      <c r="N667" s="66"/>
      <c r="O667" s="66"/>
      <c r="P667" s="66"/>
      <c r="Q667" s="66"/>
      <c r="R667" s="66"/>
      <c r="S667" s="66"/>
      <c r="T667" s="66"/>
    </row>
    <row r="668" spans="1:20" ht="18" customHeight="1">
      <c r="B668" t="str">
        <f>"26-E085-0000"</f>
        <v>26-E085-0000</v>
      </c>
      <c r="C668" t="str">
        <f>"Assembly, JM, E085, Triac w/ Schmitt Trigger"</f>
        <v>Assembly, JM, E085, Triac w/ Schmitt Trigger</v>
      </c>
      <c r="D668" s="4"/>
      <c r="E668" s="4">
        <v>1</v>
      </c>
      <c r="F668" s="4"/>
      <c r="G668" s="29" t="str">
        <f>IFERROR(HYPERLINK("#"&amp;ADDRESS(MATCH(B668&amp;"ES",'LM7 Non-ENG'!$A$1:$A$5000,0),1,,,"LM7 Non-ENG"),IF(IFERROR(VLOOKUP(B668&amp;"ES",'LM7 Non-ENG'!$A$1:$A$4999,1,FALSE),"ERROR")=B668&amp;"ES","Y","")),"")</f>
        <v/>
      </c>
      <c r="H668" s="29" t="str">
        <f>IFERROR(HYPERLINK("#"&amp;ADDRESS(MATCH(B668&amp;"PT",'LM7 Non-ENG'!$A$1:$A$5000,0),1,,,"LM7 Non-ENG"),IF(IFERROR(VLOOKUP(B668&amp;"PT",'LM7 Non-ENG'!$A$1:$A$5000,1,FALSE),"ERROR")=B668&amp;"PT","Y","")),"")</f>
        <v/>
      </c>
      <c r="I668" t="str">
        <f>IFERROR(VLOOKUP(B668,PN!$A:$C,3,FALSE),"")</f>
        <v>Active</v>
      </c>
      <c r="J668" s="3">
        <f>IFERROR(E668*VLOOKUP(B668,PLInter!$A:$D,3,FALSE),"")</f>
        <v>907</v>
      </c>
      <c r="K668" s="66"/>
      <c r="L668" s="66"/>
      <c r="M668" s="66"/>
      <c r="N668" s="66"/>
      <c r="O668" s="66"/>
      <c r="P668" s="66"/>
      <c r="Q668" s="66"/>
      <c r="R668" s="66"/>
      <c r="S668" s="66"/>
      <c r="T668" s="66"/>
    </row>
    <row r="669" spans="1:20" ht="18" customHeight="1">
      <c r="B669" t="str">
        <f>"26-E088-0000"</f>
        <v>26-E088-0000</v>
      </c>
      <c r="C669" t="str">
        <f>"Assembly, JM, E088, PMW Motor Drive Panel"</f>
        <v>Assembly, JM, E088, PMW Motor Drive Panel</v>
      </c>
      <c r="D669" s="4"/>
      <c r="E669" s="4">
        <v>1</v>
      </c>
      <c r="F669" s="4"/>
      <c r="G669" s="29" t="str">
        <f>IFERROR(HYPERLINK("#"&amp;ADDRESS(MATCH(B669&amp;"ES",'LM7 Non-ENG'!$A$1:$A$5000,0),1,,,"LM7 Non-ENG"),IF(IFERROR(VLOOKUP(B669&amp;"ES",'LM7 Non-ENG'!$A$1:$A$4999,1,FALSE),"ERROR")=B669&amp;"ES","Y","")),"")</f>
        <v/>
      </c>
      <c r="H669" s="29" t="str">
        <f>IFERROR(HYPERLINK("#"&amp;ADDRESS(MATCH(B669&amp;"PT",'LM7 Non-ENG'!$A$1:$A$5000,0),1,,,"LM7 Non-ENG"),IF(IFERROR(VLOOKUP(B669&amp;"PT",'LM7 Non-ENG'!$A$1:$A$5000,1,FALSE),"ERROR")=B669&amp;"PT","Y","")),"")</f>
        <v/>
      </c>
      <c r="I669" t="str">
        <f>IFERROR(VLOOKUP(B669,PN!$A:$C,3,FALSE),"")</f>
        <v>Active</v>
      </c>
      <c r="J669" s="3">
        <f>IFERROR(E669*VLOOKUP(B669,PLInter!$A:$D,3,FALSE),"")</f>
        <v>725</v>
      </c>
      <c r="K669" s="66"/>
      <c r="L669" s="66"/>
      <c r="M669" s="66"/>
      <c r="N669" s="66"/>
      <c r="O669" s="66"/>
      <c r="P669" s="66"/>
      <c r="Q669" s="66"/>
      <c r="R669" s="66"/>
      <c r="S669" s="66"/>
      <c r="T669" s="66"/>
    </row>
    <row r="670" spans="1:20" ht="18" customHeight="1">
      <c r="B670" t="str">
        <f>"26-E157-0000"</f>
        <v>26-E157-0000</v>
      </c>
      <c r="C670" t="str">
        <f>"Assembly, JM, E157, Electric AC/DC Motors"</f>
        <v>Assembly, JM, E157, Electric AC/DC Motors</v>
      </c>
      <c r="D670" s="4"/>
      <c r="E670" s="4">
        <v>1</v>
      </c>
      <c r="F670" s="4"/>
      <c r="G670" s="29" t="str">
        <f>IFERROR(HYPERLINK("#"&amp;ADDRESS(MATCH(B670&amp;"ES",'LM7 Non-ENG'!$A$1:$A$5000,0),1,,,"LM7 Non-ENG"),IF(IFERROR(VLOOKUP(B670&amp;"ES",'LM7 Non-ENG'!$A$1:$A$4999,1,FALSE),"ERROR")=B670&amp;"ES","Y","")),"")</f>
        <v/>
      </c>
      <c r="H670" s="29" t="str">
        <f>IFERROR(HYPERLINK("#"&amp;ADDRESS(MATCH(B670&amp;"PT",'LM7 Non-ENG'!$A$1:$A$5000,0),1,,,"LM7 Non-ENG"),IF(IFERROR(VLOOKUP(B670&amp;"PT",'LM7 Non-ENG'!$A$1:$A$5000,1,FALSE),"ERROR")=B670&amp;"PT","Y","")),"")</f>
        <v/>
      </c>
      <c r="I670" t="str">
        <f>IFERROR(VLOOKUP(B670,PN!$A:$C,3,FALSE),"")</f>
        <v>Active</v>
      </c>
      <c r="J670" s="3">
        <f>IFERROR(E670*VLOOKUP(B670,PLInter!$A:$D,3,FALSE),"")</f>
        <v>800</v>
      </c>
      <c r="K670" s="66"/>
      <c r="L670" s="66"/>
      <c r="M670" s="66"/>
      <c r="N670" s="66"/>
      <c r="O670" s="66"/>
      <c r="P670" s="66"/>
      <c r="Q670" s="66"/>
      <c r="R670" s="66"/>
      <c r="S670" s="66"/>
      <c r="T670" s="66"/>
    </row>
    <row r="671" spans="1:20" ht="18" customHeight="1">
      <c r="B671" s="1" t="str">
        <f>"36-EB03-IG01"</f>
        <v>36-EB03-IG01</v>
      </c>
      <c r="C671" s="1" t="str">
        <f>"JM, PDF on CD Thyristor Motor Drives - EB03"</f>
        <v>JM, PDF on CD Thyristor Motor Drives - EB03</v>
      </c>
      <c r="D671" s="6" t="s">
        <v>0</v>
      </c>
      <c r="E671" s="6">
        <v>1</v>
      </c>
      <c r="F671" s="6"/>
      <c r="G671" s="29" t="str">
        <f>IFERROR(HYPERLINK("#"&amp;ADDRESS(MATCH(B671&amp;"ES",'LM7 Non-ENG'!$A$1:$A$5000,0),1,,,"LM7 Non-ENG"),IF(IFERROR(VLOOKUP(B671&amp;"ES",'LM7 Non-ENG'!$A$1:$A$4999,1,FALSE),"ERROR")=B671&amp;"ES","Y","")),"")</f>
        <v/>
      </c>
      <c r="H671" s="29" t="str">
        <f>IFERROR(HYPERLINK("#"&amp;ADDRESS(MATCH(B671&amp;"PT",'LM7 Non-ENG'!$A$1:$A$5000,0),1,,,"LM7 Non-ENG"),IF(IFERROR(VLOOKUP(B671&amp;"PT",'LM7 Non-ENG'!$A$1:$A$5000,1,FALSE),"ERROR")=B671&amp;"PT","Y","")),"")</f>
        <v/>
      </c>
      <c r="I671" t="str">
        <f>IFERROR(VLOOKUP(B671,PN!$A:$C,3,FALSE),"")</f>
        <v>Active</v>
      </c>
      <c r="J671" s="3" t="str">
        <f>IFERROR(E671*VLOOKUP(B671,PLInter!$A:$D,3,FALSE),"")</f>
        <v/>
      </c>
      <c r="K671" s="66"/>
      <c r="L671" s="66"/>
      <c r="M671" s="66"/>
      <c r="N671" s="66"/>
      <c r="O671" s="66"/>
      <c r="P671" s="66"/>
      <c r="Q671" s="66"/>
      <c r="R671" s="66"/>
      <c r="S671" s="66"/>
      <c r="T671" s="66"/>
    </row>
    <row r="672" spans="1:20" ht="18" customHeight="1">
      <c r="B672" t="str">
        <f>"26-E082-0000"</f>
        <v>26-E082-0000</v>
      </c>
      <c r="C672" t="str">
        <f>"Assembly, JM, E082, Full Wave SCR DC Drive Panel"</f>
        <v>Assembly, JM, E082, Full Wave SCR DC Drive Panel</v>
      </c>
      <c r="D672" s="4"/>
      <c r="E672" s="4">
        <v>1</v>
      </c>
      <c r="F672" s="4"/>
      <c r="G672" s="29" t="str">
        <f>IFERROR(HYPERLINK("#"&amp;ADDRESS(MATCH(B672&amp;"ES",'LM7 Non-ENG'!$A$1:$A$5000,0),1,,,"LM7 Non-ENG"),IF(IFERROR(VLOOKUP(B672&amp;"ES",'LM7 Non-ENG'!$A$1:$A$4999,1,FALSE),"ERROR")=B672&amp;"ES","Y","")),"")</f>
        <v/>
      </c>
      <c r="H672" s="29" t="str">
        <f>IFERROR(HYPERLINK("#"&amp;ADDRESS(MATCH(B672&amp;"PT",'LM7 Non-ENG'!$A$1:$A$5000,0),1,,,"LM7 Non-ENG"),IF(IFERROR(VLOOKUP(B672&amp;"PT",'LM7 Non-ENG'!$A$1:$A$5000,1,FALSE),"ERROR")=B672&amp;"PT","Y","")),"")</f>
        <v/>
      </c>
      <c r="I672" t="str">
        <f>IFERROR(VLOOKUP(B672,PN!$A:$C,3,FALSE),"")</f>
        <v>Active</v>
      </c>
      <c r="J672" s="3">
        <f>IFERROR(E672*VLOOKUP(B672,PLInter!$A:$D,3,FALSE),"")</f>
        <v>1000</v>
      </c>
      <c r="K672" s="66"/>
      <c r="L672" s="66"/>
      <c r="M672" s="66"/>
      <c r="N672" s="66"/>
      <c r="O672" s="66"/>
      <c r="P672" s="66"/>
      <c r="Q672" s="66"/>
      <c r="R672" s="66"/>
      <c r="S672" s="66"/>
      <c r="T672" s="66"/>
    </row>
    <row r="673" spans="1:20" ht="18" customHeight="1">
      <c r="G673" s="29" t="str">
        <f>IFERROR(HYPERLINK("#"&amp;ADDRESS(MATCH(B673&amp;"ES",'LM7 Non-ENG'!$A$1:$A$5000,0),1,,,"LM7 Non-ENG"),IF(IFERROR(VLOOKUP(B673&amp;"ES",'LM7 Non-ENG'!$A$1:$A$4999,1,FALSE),"ERROR")=B673&amp;"ES","Y","")),"")</f>
        <v/>
      </c>
      <c r="H673" s="29" t="str">
        <f>IFERROR(HYPERLINK("#"&amp;ADDRESS(MATCH(B673&amp;"PT",'LM7 Non-ENG'!$A$1:$A$5000,0),1,,,"LM7 Non-ENG"),IF(IFERROR(VLOOKUP(B673&amp;"PT",'LM7 Non-ENG'!$A$1:$A$5000,1,FALSE),"ERROR")=B673&amp;"PT","Y","")),"")</f>
        <v/>
      </c>
    </row>
    <row r="674" spans="1:20" s="7" customFormat="1" ht="18" customHeight="1">
      <c r="A674" s="13" t="s">
        <v>121</v>
      </c>
      <c r="B674" s="13"/>
      <c r="C674" s="13" t="s">
        <v>122</v>
      </c>
      <c r="D674" s="14"/>
      <c r="E674" s="14"/>
      <c r="F674" s="14"/>
      <c r="G674" s="14"/>
      <c r="H674" s="14"/>
      <c r="I674" s="14"/>
      <c r="J674" s="14">
        <f>SUMIFS(J675:J678,D675:D678,"&lt;&gt;Y",F675:F678,"&lt;&gt;Y",I675:I678,"&lt;&gt;Inactive",I675:I678,"&lt;&gt;ECO+NFS")</f>
        <v>1700</v>
      </c>
      <c r="K674" s="14"/>
      <c r="L674" s="14"/>
      <c r="M674" s="14"/>
      <c r="N674" s="14"/>
      <c r="O674" s="14"/>
      <c r="P674" s="14"/>
      <c r="Q674" s="14"/>
      <c r="R674" s="14"/>
      <c r="S674" s="14"/>
      <c r="T674" s="14"/>
    </row>
    <row r="675" spans="1:20" ht="18" customHeight="1">
      <c r="A675" s="17" t="str">
        <f>HYPERLINK("#"&amp;ADDRESS(MATCH(A674,Jobmaster!$A$1:$A$4996,0),1,,,"Jobmaster"),"Back to Price List")</f>
        <v>Back to Price List</v>
      </c>
      <c r="B675" t="str">
        <f>"77-EB04-0000"</f>
        <v>77-EB04-0000</v>
      </c>
      <c r="C675" t="str">
        <f>"LM7 Content, JM, Electronic Timers &amp; Triggers"</f>
        <v>LM7 Content, JM, Electronic Timers &amp; Triggers</v>
      </c>
      <c r="D675" s="4"/>
      <c r="E675" s="4">
        <v>1</v>
      </c>
      <c r="F675" s="4"/>
      <c r="G675" s="29" t="str">
        <f>IFERROR(HYPERLINK("#"&amp;ADDRESS(MATCH(B675&amp;"ES",'LM7 Non-ENG'!$A$1:$A$5000,0),1,,,"LM7 Non-ENG"),IF(IFERROR(VLOOKUP(B675&amp;"ES",'LM7 Non-ENG'!$A$1:$A$4999,1,FALSE),"ERROR")=B675&amp;"ES","Y","")),"")</f>
        <v>Y</v>
      </c>
      <c r="H675" s="29" t="str">
        <f>IFERROR(HYPERLINK("#"&amp;ADDRESS(MATCH(B675&amp;"PT",'LM7 Non-ENG'!$A$1:$A$5000,0),1,,,"LM7 Non-ENG"),IF(IFERROR(VLOOKUP(B675&amp;"PT",'LM7 Non-ENG'!$A$1:$A$5000,1,FALSE),"ERROR")=B675&amp;"PT","Y","")),"")</f>
        <v/>
      </c>
      <c r="I675" t="str">
        <f>IFERROR(VLOOKUP(B675,PN!$A:$C,3,FALSE),"")</f>
        <v>Active</v>
      </c>
      <c r="J675" s="3">
        <f>IFERROR(E675*VLOOKUP(B675,PLInter!$A:$D,3,FALSE),"")</f>
        <v>700</v>
      </c>
      <c r="K675" s="68" t="s">
        <v>123</v>
      </c>
      <c r="L675" s="66"/>
      <c r="M675" s="66"/>
      <c r="N675" s="66"/>
      <c r="O675" s="66"/>
      <c r="P675" s="66"/>
      <c r="Q675" s="66"/>
      <c r="R675" s="66"/>
      <c r="S675" s="66"/>
      <c r="T675" s="66"/>
    </row>
    <row r="676" spans="1:20" ht="18" customHeight="1">
      <c r="B676" s="2" t="str">
        <f>"17-EB04-0000"</f>
        <v>17-EB04-0000</v>
      </c>
      <c r="C676" s="2" t="str">
        <f>"LM5.X Content, JM, Electronic Timers &amp; Triggers"</f>
        <v>LM5.X Content, JM, Electronic Timers &amp; Triggers</v>
      </c>
      <c r="D676" s="5"/>
      <c r="E676" s="5">
        <v>1</v>
      </c>
      <c r="F676" s="5" t="str">
        <f>"Y"</f>
        <v>Y</v>
      </c>
      <c r="G676" s="29" t="str">
        <f>IFERROR(HYPERLINK("#"&amp;ADDRESS(MATCH(B676&amp;"ES",'LM7 Non-ENG'!$A$1:$A$5000,0),1,,,"LM7 Non-ENG"),IF(IFERROR(VLOOKUP(B676&amp;"ES",'LM7 Non-ENG'!$A$1:$A$4999,1,FALSE),"ERROR")=B676&amp;"ES","Y","")),"")</f>
        <v/>
      </c>
      <c r="H676" s="29" t="str">
        <f>IFERROR(HYPERLINK("#"&amp;ADDRESS(MATCH(B676&amp;"PT",'LM7 Non-ENG'!$A$1:$A$5000,0),1,,,"LM7 Non-ENG"),IF(IFERROR(VLOOKUP(B676&amp;"PT",'LM7 Non-ENG'!$A$1:$A$5000,1,FALSE),"ERROR")=B676&amp;"PT","Y","")),"")</f>
        <v/>
      </c>
      <c r="I676" t="str">
        <f>IFERROR(VLOOKUP(B676,PN!$A:$C,3,FALSE),"")</f>
        <v>Active</v>
      </c>
      <c r="J676" s="3">
        <f>IFERROR(E676*VLOOKUP(B676,PLInter!$A:$D,3,FALSE),"")</f>
        <v>700</v>
      </c>
      <c r="K676" s="66"/>
      <c r="L676" s="66"/>
      <c r="M676" s="66"/>
      <c r="N676" s="66"/>
      <c r="O676" s="66"/>
      <c r="P676" s="66"/>
      <c r="Q676" s="66"/>
      <c r="R676" s="66"/>
      <c r="S676" s="66"/>
      <c r="T676" s="66"/>
    </row>
    <row r="677" spans="1:20" ht="18" customHeight="1">
      <c r="B677" t="str">
        <f>"26-E089-0000"</f>
        <v>26-E089-0000</v>
      </c>
      <c r="C677" t="str">
        <f>"Assembly, JM, E089, Timers and Triggers Panel"</f>
        <v>Assembly, JM, E089, Timers and Triggers Panel</v>
      </c>
      <c r="D677" s="4"/>
      <c r="E677" s="4">
        <v>1</v>
      </c>
      <c r="F677" s="4"/>
      <c r="G677" s="29" t="str">
        <f>IFERROR(HYPERLINK("#"&amp;ADDRESS(MATCH(B677&amp;"ES",'LM7 Non-ENG'!$A$1:$A$5000,0),1,,,"LM7 Non-ENG"),IF(IFERROR(VLOOKUP(B677&amp;"ES",'LM7 Non-ENG'!$A$1:$A$4999,1,FALSE),"ERROR")=B677&amp;"ES","Y","")),"")</f>
        <v/>
      </c>
      <c r="H677" s="29" t="str">
        <f>IFERROR(HYPERLINK("#"&amp;ADDRESS(MATCH(B677&amp;"PT",'LM7 Non-ENG'!$A$1:$A$5000,0),1,,,"LM7 Non-ENG"),IF(IFERROR(VLOOKUP(B677&amp;"PT",'LM7 Non-ENG'!$A$1:$A$5000,1,FALSE),"ERROR")=B677&amp;"PT","Y","")),"")</f>
        <v/>
      </c>
      <c r="I677" t="str">
        <f>IFERROR(VLOOKUP(B677,PN!$A:$C,3,FALSE),"")</f>
        <v>Active</v>
      </c>
      <c r="J677" s="3">
        <f>IFERROR(E677*VLOOKUP(B677,PLInter!$A:$D,3,FALSE),"")</f>
        <v>1000</v>
      </c>
      <c r="K677" s="66"/>
      <c r="L677" s="66"/>
      <c r="M677" s="66"/>
      <c r="N677" s="66"/>
      <c r="O677" s="66"/>
      <c r="P677" s="66"/>
      <c r="Q677" s="66"/>
      <c r="R677" s="66"/>
      <c r="S677" s="66"/>
      <c r="T677" s="66"/>
    </row>
    <row r="678" spans="1:20" ht="18" customHeight="1">
      <c r="B678" s="1" t="str">
        <f>"36-EB04-IG01"</f>
        <v>36-EB04-IG01</v>
      </c>
      <c r="C678" s="1" t="str">
        <f>"JM, PDF on CD Electronic Timers &amp; Triggers- EB04"</f>
        <v>JM, PDF on CD Electronic Timers &amp; Triggers- EB04</v>
      </c>
      <c r="D678" s="6" t="s">
        <v>0</v>
      </c>
      <c r="E678" s="6">
        <v>1</v>
      </c>
      <c r="F678" s="6"/>
      <c r="G678" s="29" t="str">
        <f>IFERROR(HYPERLINK("#"&amp;ADDRESS(MATCH(B678&amp;"ES",'LM7 Non-ENG'!$A$1:$A$5000,0),1,,,"LM7 Non-ENG"),IF(IFERROR(VLOOKUP(B678&amp;"ES",'LM7 Non-ENG'!$A$1:$A$4999,1,FALSE),"ERROR")=B678&amp;"ES","Y","")),"")</f>
        <v/>
      </c>
      <c r="H678" s="29" t="str">
        <f>IFERROR(HYPERLINK("#"&amp;ADDRESS(MATCH(B678&amp;"PT",'LM7 Non-ENG'!$A$1:$A$5000,0),1,,,"LM7 Non-ENG"),IF(IFERROR(VLOOKUP(B678&amp;"PT",'LM7 Non-ENG'!$A$1:$A$5000,1,FALSE),"ERROR")=B678&amp;"PT","Y","")),"")</f>
        <v/>
      </c>
      <c r="I678" t="str">
        <f>IFERROR(VLOOKUP(B678,PN!$A:$C,3,FALSE),"")</f>
        <v>Active</v>
      </c>
      <c r="J678" s="3" t="str">
        <f>IFERROR(E678*VLOOKUP(B678,PLInter!$A:$D,3,FALSE),"")</f>
        <v/>
      </c>
      <c r="K678" s="66"/>
      <c r="L678" s="66"/>
      <c r="M678" s="66"/>
      <c r="N678" s="66"/>
      <c r="O678" s="66"/>
      <c r="P678" s="66"/>
      <c r="Q678" s="66"/>
      <c r="R678" s="66"/>
      <c r="S678" s="66"/>
      <c r="T678" s="66"/>
    </row>
    <row r="679" spans="1:20" ht="18" customHeight="1">
      <c r="G679" s="29" t="str">
        <f>IFERROR(HYPERLINK("#"&amp;ADDRESS(MATCH(B679&amp;"ES",'LM7 Non-ENG'!$A$1:$A$5000,0),1,,,"LM7 Non-ENG"),IF(IFERROR(VLOOKUP(B679&amp;"ES",'LM7 Non-ENG'!$A$1:$A$4999,1,FALSE),"ERROR")=B679&amp;"ES","Y","")),"")</f>
        <v/>
      </c>
      <c r="H679" s="29" t="str">
        <f>IFERROR(HYPERLINK("#"&amp;ADDRESS(MATCH(B679&amp;"PT",'LM7 Non-ENG'!$A$1:$A$5000,0),1,,,"LM7 Non-ENG"),IF(IFERROR(VLOOKUP(B679&amp;"PT",'LM7 Non-ENG'!$A$1:$A$5000,1,FALSE),"ERROR")=B679&amp;"PT","Y","")),"")</f>
        <v/>
      </c>
    </row>
    <row r="680" spans="1:20" s="7" customFormat="1" ht="18" customHeight="1">
      <c r="A680" s="13" t="s">
        <v>124</v>
      </c>
      <c r="B680" s="13"/>
      <c r="C680" s="13" t="s">
        <v>125</v>
      </c>
      <c r="D680" s="14"/>
      <c r="E680" s="14"/>
      <c r="F680" s="14"/>
      <c r="G680" s="14"/>
      <c r="H680" s="14"/>
      <c r="I680" s="14"/>
      <c r="J680" s="14">
        <f>SUMIFS(J681:J684,D681:D684,"&lt;&gt;Y",F681:F684,"&lt;&gt;Y",I681:I684,"&lt;&gt;Inactive",I681:I684,"&lt;&gt;ECO+NFS")</f>
        <v>2300</v>
      </c>
      <c r="K680" s="14"/>
      <c r="L680" s="14"/>
      <c r="M680" s="14"/>
      <c r="N680" s="14"/>
      <c r="O680" s="14"/>
      <c r="P680" s="14"/>
      <c r="Q680" s="14"/>
      <c r="R680" s="14"/>
      <c r="S680" s="14"/>
      <c r="T680" s="14"/>
    </row>
    <row r="681" spans="1:20" ht="18" customHeight="1">
      <c r="A681" s="17" t="str">
        <f>HYPERLINK("#"&amp;ADDRESS(MATCH(A680,Jobmaster!$A$1:$A$4996,0),1,,,"Jobmaster"),"Back to Price List")</f>
        <v>Back to Price List</v>
      </c>
      <c r="B681" t="str">
        <f>"77-EB05-0000"</f>
        <v>77-EB05-0000</v>
      </c>
      <c r="C681" t="str">
        <f>"LM7 Content, JM, Basic Stepper Motors &amp; Drives"</f>
        <v>LM7 Content, JM, Basic Stepper Motors &amp; Drives</v>
      </c>
      <c r="D681" s="4"/>
      <c r="E681" s="4">
        <v>1</v>
      </c>
      <c r="F681" s="4"/>
      <c r="G681" s="29" t="str">
        <f>IFERROR(HYPERLINK("#"&amp;ADDRESS(MATCH(B681&amp;"ES",'LM7 Non-ENG'!$A$1:$A$5000,0),1,,,"LM7 Non-ENG"),IF(IFERROR(VLOOKUP(B681&amp;"ES",'LM7 Non-ENG'!$A$1:$A$4999,1,FALSE),"ERROR")=B681&amp;"ES","Y","")),"")</f>
        <v>Y</v>
      </c>
      <c r="H681" s="29" t="str">
        <f>IFERROR(HYPERLINK("#"&amp;ADDRESS(MATCH(B681&amp;"PT",'LM7 Non-ENG'!$A$1:$A$5000,0),1,,,"LM7 Non-ENG"),IF(IFERROR(VLOOKUP(B681&amp;"PT",'LM7 Non-ENG'!$A$1:$A$5000,1,FALSE),"ERROR")=B681&amp;"PT","Y","")),"")</f>
        <v/>
      </c>
      <c r="I681" t="str">
        <f>IFERROR(VLOOKUP(B681,PN!$A:$C,3,FALSE),"")</f>
        <v>Active</v>
      </c>
      <c r="J681" s="3">
        <f>IFERROR(E681*VLOOKUP(B681,PLInter!$A:$D,3,FALSE),"")</f>
        <v>700</v>
      </c>
      <c r="K681" s="68" t="s">
        <v>126</v>
      </c>
      <c r="L681" s="66"/>
      <c r="M681" s="66"/>
      <c r="N681" s="66"/>
      <c r="O681" s="66"/>
      <c r="P681" s="66"/>
      <c r="Q681" s="66"/>
      <c r="R681" s="66"/>
      <c r="S681" s="66"/>
      <c r="T681" s="66"/>
    </row>
    <row r="682" spans="1:20" ht="18" customHeight="1">
      <c r="B682" s="2" t="str">
        <f>"17-EB05-0000"</f>
        <v>17-EB05-0000</v>
      </c>
      <c r="C682" s="2" t="str">
        <f>"LM5.X Content, JM, Basic Stepper Motors &amp; Drives"</f>
        <v>LM5.X Content, JM, Basic Stepper Motors &amp; Drives</v>
      </c>
      <c r="D682" s="5"/>
      <c r="E682" s="5">
        <v>1</v>
      </c>
      <c r="F682" s="5" t="str">
        <f>"Y"</f>
        <v>Y</v>
      </c>
      <c r="G682" s="29" t="str">
        <f>IFERROR(HYPERLINK("#"&amp;ADDRESS(MATCH(B682&amp;"ES",'LM7 Non-ENG'!$A$1:$A$5000,0),1,,,"LM7 Non-ENG"),IF(IFERROR(VLOOKUP(B682&amp;"ES",'LM7 Non-ENG'!$A$1:$A$4999,1,FALSE),"ERROR")=B682&amp;"ES","Y","")),"")</f>
        <v/>
      </c>
      <c r="H682" s="29" t="str">
        <f>IFERROR(HYPERLINK("#"&amp;ADDRESS(MATCH(B682&amp;"PT",'LM7 Non-ENG'!$A$1:$A$5000,0),1,,,"LM7 Non-ENG"),IF(IFERROR(VLOOKUP(B682&amp;"PT",'LM7 Non-ENG'!$A$1:$A$5000,1,FALSE),"ERROR")=B682&amp;"PT","Y","")),"")</f>
        <v/>
      </c>
      <c r="I682" t="str">
        <f>IFERROR(VLOOKUP(B682,PN!$A:$C,3,FALSE),"")</f>
        <v>Active</v>
      </c>
      <c r="J682" s="3">
        <f>IFERROR(E682*VLOOKUP(B682,PLInter!$A:$D,3,FALSE),"")</f>
        <v>700</v>
      </c>
      <c r="K682" s="66"/>
      <c r="L682" s="66"/>
      <c r="M682" s="66"/>
      <c r="N682" s="66"/>
      <c r="O682" s="66"/>
      <c r="P682" s="66"/>
      <c r="Q682" s="66"/>
      <c r="R682" s="66"/>
      <c r="S682" s="66"/>
      <c r="T682" s="66"/>
    </row>
    <row r="683" spans="1:20" ht="18" customHeight="1">
      <c r="B683" t="str">
        <f>"26-E090-0000"</f>
        <v>26-E090-0000</v>
      </c>
      <c r="C683" t="str">
        <f>"Assembly, JM, E090, Stepper Motor &amp; Drive Panel"</f>
        <v>Assembly, JM, E090, Stepper Motor &amp; Drive Panel</v>
      </c>
      <c r="D683" s="4"/>
      <c r="E683" s="4">
        <v>1</v>
      </c>
      <c r="F683" s="4"/>
      <c r="G683" s="29" t="str">
        <f>IFERROR(HYPERLINK("#"&amp;ADDRESS(MATCH(B683&amp;"ES",'LM7 Non-ENG'!$A$1:$A$5000,0),1,,,"LM7 Non-ENG"),IF(IFERROR(VLOOKUP(B683&amp;"ES",'LM7 Non-ENG'!$A$1:$A$4999,1,FALSE),"ERROR")=B683&amp;"ES","Y","")),"")</f>
        <v/>
      </c>
      <c r="H683" s="29" t="str">
        <f>IFERROR(HYPERLINK("#"&amp;ADDRESS(MATCH(B683&amp;"PT",'LM7 Non-ENG'!$A$1:$A$5000,0),1,,,"LM7 Non-ENG"),IF(IFERROR(VLOOKUP(B683&amp;"PT",'LM7 Non-ENG'!$A$1:$A$5000,1,FALSE),"ERROR")=B683&amp;"PT","Y","")),"")</f>
        <v/>
      </c>
      <c r="I683" t="str">
        <f>IFERROR(VLOOKUP(B683,PN!$A:$C,3,FALSE),"")</f>
        <v>Active</v>
      </c>
      <c r="J683" s="3">
        <f>IFERROR(E683*VLOOKUP(B683,PLInter!$A:$D,3,FALSE),"")</f>
        <v>1600</v>
      </c>
      <c r="K683" s="66"/>
      <c r="L683" s="66"/>
      <c r="M683" s="66"/>
      <c r="N683" s="66"/>
      <c r="O683" s="66"/>
      <c r="P683" s="66"/>
      <c r="Q683" s="66"/>
      <c r="R683" s="66"/>
      <c r="S683" s="66"/>
      <c r="T683" s="66"/>
    </row>
    <row r="684" spans="1:20" ht="18" customHeight="1">
      <c r="B684" s="1" t="str">
        <f>"36-EB05-IG01"</f>
        <v>36-EB05-IG01</v>
      </c>
      <c r="C684" s="1" t="str">
        <f>"JM, PDF on CD Basic Stepper Motor &amp; Drives- EB05"</f>
        <v>JM, PDF on CD Basic Stepper Motor &amp; Drives- EB05</v>
      </c>
      <c r="D684" s="6" t="s">
        <v>0</v>
      </c>
      <c r="E684" s="6">
        <v>1</v>
      </c>
      <c r="F684" s="6"/>
      <c r="G684" s="29" t="str">
        <f>IFERROR(HYPERLINK("#"&amp;ADDRESS(MATCH(B684&amp;"ES",'LM7 Non-ENG'!$A$1:$A$5000,0),1,,,"LM7 Non-ENG"),IF(IFERROR(VLOOKUP(B684&amp;"ES",'LM7 Non-ENG'!$A$1:$A$4999,1,FALSE),"ERROR")=B684&amp;"ES","Y","")),"")</f>
        <v/>
      </c>
      <c r="H684" s="29" t="str">
        <f>IFERROR(HYPERLINK("#"&amp;ADDRESS(MATCH(B684&amp;"PT",'LM7 Non-ENG'!$A$1:$A$5000,0),1,,,"LM7 Non-ENG"),IF(IFERROR(VLOOKUP(B684&amp;"PT",'LM7 Non-ENG'!$A$1:$A$5000,1,FALSE),"ERROR")=B684&amp;"PT","Y","")),"")</f>
        <v/>
      </c>
      <c r="I684" t="str">
        <f>IFERROR(VLOOKUP(B684,PN!$A:$C,3,FALSE),"")</f>
        <v>Active</v>
      </c>
      <c r="J684" s="3" t="str">
        <f>IFERROR(E684*VLOOKUP(B684,PLInter!$A:$D,3,FALSE),"")</f>
        <v/>
      </c>
      <c r="K684" s="66"/>
      <c r="L684" s="66"/>
      <c r="M684" s="66"/>
      <c r="N684" s="66"/>
      <c r="O684" s="66"/>
      <c r="P684" s="66"/>
      <c r="Q684" s="66"/>
      <c r="R684" s="66"/>
      <c r="S684" s="66"/>
      <c r="T684" s="66"/>
    </row>
    <row r="685" spans="1:20" ht="18" customHeight="1">
      <c r="G685" s="29" t="str">
        <f>IFERROR(HYPERLINK("#"&amp;ADDRESS(MATCH(B685&amp;"ES",'LM7 Non-ENG'!$A$1:$A$5000,0),1,,,"LM7 Non-ENG"),IF(IFERROR(VLOOKUP(B685&amp;"ES",'LM7 Non-ENG'!$A$1:$A$4999,1,FALSE),"ERROR")=B685&amp;"ES","Y","")),"")</f>
        <v/>
      </c>
      <c r="H685" s="29" t="str">
        <f>IFERROR(HYPERLINK("#"&amp;ADDRESS(MATCH(B685&amp;"PT",'LM7 Non-ENG'!$A$1:$A$5000,0),1,,,"LM7 Non-ENG"),IF(IFERROR(VLOOKUP(B685&amp;"PT",'LM7 Non-ENG'!$A$1:$A$5000,1,FALSE),"ERROR")=B685&amp;"PT","Y","")),"")</f>
        <v/>
      </c>
    </row>
    <row r="686" spans="1:20" s="7" customFormat="1" ht="18" customHeight="1">
      <c r="A686" s="13" t="s">
        <v>127</v>
      </c>
      <c r="B686" s="13"/>
      <c r="C686" s="13" t="s">
        <v>128</v>
      </c>
      <c r="D686" s="14"/>
      <c r="E686" s="14"/>
      <c r="F686" s="14"/>
      <c r="G686" s="14"/>
      <c r="H686" s="14"/>
      <c r="I686" s="14"/>
      <c r="J686" s="14">
        <f>SUMIFS(J687:J690,D687:D690,"&lt;&gt;Y",F687:F690,"&lt;&gt;Y",I687:I690,"&lt;&gt;Inactive",I687:I690,"&lt;&gt;ECO+NFS")</f>
        <v>1467</v>
      </c>
      <c r="K686" s="14"/>
      <c r="L686" s="14"/>
      <c r="M686" s="14"/>
      <c r="N686" s="14"/>
      <c r="O686" s="14"/>
      <c r="P686" s="14"/>
      <c r="Q686" s="14"/>
      <c r="R686" s="14"/>
      <c r="S686" s="14"/>
      <c r="T686" s="14"/>
    </row>
    <row r="687" spans="1:20" ht="18" customHeight="1">
      <c r="A687" s="17" t="str">
        <f>HYPERLINK("#"&amp;ADDRESS(MATCH(A686,Jobmaster!$A$1:$A$4996,0),1,,,"Jobmaster"),"Back to Price List")</f>
        <v>Back to Price List</v>
      </c>
      <c r="B687" t="str">
        <f>"77-EB06-0000"</f>
        <v>77-EB06-0000</v>
      </c>
      <c r="C687" t="str">
        <f>"LM7 Content, JM, Basic Servo Motor Drives"</f>
        <v>LM7 Content, JM, Basic Servo Motor Drives</v>
      </c>
      <c r="D687" s="4"/>
      <c r="E687" s="4">
        <v>1</v>
      </c>
      <c r="F687" s="4"/>
      <c r="G687" s="29" t="str">
        <f>IFERROR(HYPERLINK("#"&amp;ADDRESS(MATCH(B687&amp;"ES",'LM7 Non-ENG'!$A$1:$A$5000,0),1,,,"LM7 Non-ENG"),IF(IFERROR(VLOOKUP(B687&amp;"ES",'LM7 Non-ENG'!$A$1:$A$4999,1,FALSE),"ERROR")=B687&amp;"ES","Y","")),"")</f>
        <v>Y</v>
      </c>
      <c r="H687" s="29" t="str">
        <f>IFERROR(HYPERLINK("#"&amp;ADDRESS(MATCH(B687&amp;"PT",'LM7 Non-ENG'!$A$1:$A$5000,0),1,,,"LM7 Non-ENG"),IF(IFERROR(VLOOKUP(B687&amp;"PT",'LM7 Non-ENG'!$A$1:$A$5000,1,FALSE),"ERROR")=B687&amp;"PT","Y","")),"")</f>
        <v/>
      </c>
      <c r="I687" t="str">
        <f>IFERROR(VLOOKUP(B687,PN!$A:$C,3,FALSE),"")</f>
        <v>Active</v>
      </c>
      <c r="J687" s="3">
        <f>IFERROR(E687*VLOOKUP(B687,PLInter!$A:$D,3,FALSE),"")</f>
        <v>700</v>
      </c>
      <c r="K687" s="68" t="s">
        <v>129</v>
      </c>
      <c r="L687" s="68"/>
      <c r="M687" s="68"/>
      <c r="N687" s="68"/>
      <c r="O687" s="68"/>
      <c r="P687" s="68"/>
      <c r="Q687" s="68"/>
      <c r="R687" s="68"/>
      <c r="S687" s="68"/>
      <c r="T687" s="68"/>
    </row>
    <row r="688" spans="1:20" ht="18" customHeight="1">
      <c r="B688" s="2" t="str">
        <f>"17-EB06-0000"</f>
        <v>17-EB06-0000</v>
      </c>
      <c r="C688" s="2" t="str">
        <f>"LM5.X Content, JM, Basic Servo Motor Drives"</f>
        <v>LM5.X Content, JM, Basic Servo Motor Drives</v>
      </c>
      <c r="D688" s="5"/>
      <c r="E688" s="5">
        <v>1</v>
      </c>
      <c r="F688" s="5" t="str">
        <f>"Y"</f>
        <v>Y</v>
      </c>
      <c r="G688" s="29" t="str">
        <f>IFERROR(HYPERLINK("#"&amp;ADDRESS(MATCH(B688&amp;"ES",'LM7 Non-ENG'!$A$1:$A$5000,0),1,,,"LM7 Non-ENG"),IF(IFERROR(VLOOKUP(B688&amp;"ES",'LM7 Non-ENG'!$A$1:$A$4999,1,FALSE),"ERROR")=B688&amp;"ES","Y","")),"")</f>
        <v/>
      </c>
      <c r="H688" s="29" t="str">
        <f>IFERROR(HYPERLINK("#"&amp;ADDRESS(MATCH(B688&amp;"PT",'LM7 Non-ENG'!$A$1:$A$5000,0),1,,,"LM7 Non-ENG"),IF(IFERROR(VLOOKUP(B688&amp;"PT",'LM7 Non-ENG'!$A$1:$A$5000,1,FALSE),"ERROR")=B688&amp;"PT","Y","")),"")</f>
        <v/>
      </c>
      <c r="I688" t="str">
        <f>IFERROR(VLOOKUP(B688,PN!$A:$C,3,FALSE),"")</f>
        <v>Active</v>
      </c>
      <c r="J688" s="3">
        <f>IFERROR(E688*VLOOKUP(B688,PLInter!$A:$D,3,FALSE),"")</f>
        <v>700</v>
      </c>
      <c r="K688" s="68"/>
      <c r="L688" s="68"/>
      <c r="M688" s="68"/>
      <c r="N688" s="68"/>
      <c r="O688" s="68"/>
      <c r="P688" s="68"/>
      <c r="Q688" s="68"/>
      <c r="R688" s="68"/>
      <c r="S688" s="68"/>
      <c r="T688" s="68"/>
    </row>
    <row r="689" spans="1:20" ht="18" customHeight="1">
      <c r="B689" t="str">
        <f>"26-E091-0000"</f>
        <v>26-E091-0000</v>
      </c>
      <c r="C689" t="str">
        <f>"Assembly, JM, E091, Servo Motor&amp; Drive Panel"</f>
        <v>Assembly, JM, E091, Servo Motor&amp; Drive Panel</v>
      </c>
      <c r="D689" s="4"/>
      <c r="E689" s="4">
        <v>1</v>
      </c>
      <c r="F689" s="4"/>
      <c r="G689" s="29" t="str">
        <f>IFERROR(HYPERLINK("#"&amp;ADDRESS(MATCH(B689&amp;"ES",'LM7 Non-ENG'!$A$1:$A$5000,0),1,,,"LM7 Non-ENG"),IF(IFERROR(VLOOKUP(B689&amp;"ES",'LM7 Non-ENG'!$A$1:$A$4999,1,FALSE),"ERROR")=B689&amp;"ES","Y","")),"")</f>
        <v/>
      </c>
      <c r="H689" s="29" t="str">
        <f>IFERROR(HYPERLINK("#"&amp;ADDRESS(MATCH(B689&amp;"PT",'LM7 Non-ENG'!$A$1:$A$5000,0),1,,,"LM7 Non-ENG"),IF(IFERROR(VLOOKUP(B689&amp;"PT",'LM7 Non-ENG'!$A$1:$A$5000,1,FALSE),"ERROR")=B689&amp;"PT","Y","")),"")</f>
        <v/>
      </c>
      <c r="I689" t="str">
        <f>IFERROR(VLOOKUP(B689,PN!$A:$C,3,FALSE),"")</f>
        <v>Active</v>
      </c>
      <c r="J689" s="3">
        <f>IFERROR(E689*VLOOKUP(B689,PLInter!$A:$D,3,FALSE),"")</f>
        <v>767</v>
      </c>
      <c r="K689" s="68"/>
      <c r="L689" s="68"/>
      <c r="M689" s="68"/>
      <c r="N689" s="68"/>
      <c r="O689" s="68"/>
      <c r="P689" s="68"/>
      <c r="Q689" s="68"/>
      <c r="R689" s="68"/>
      <c r="S689" s="68"/>
      <c r="T689" s="68"/>
    </row>
    <row r="690" spans="1:20" ht="18" customHeight="1">
      <c r="B690" s="1" t="str">
        <f>"36-EB06-IG01"</f>
        <v>36-EB06-IG01</v>
      </c>
      <c r="C690" s="1" t="str">
        <f>"JM, PDF on CD Basic Servo Motor Drives - EB06"</f>
        <v>JM, PDF on CD Basic Servo Motor Drives - EB06</v>
      </c>
      <c r="D690" s="6" t="s">
        <v>0</v>
      </c>
      <c r="E690" s="6">
        <v>1</v>
      </c>
      <c r="F690" s="6"/>
      <c r="G690" s="29" t="str">
        <f>IFERROR(HYPERLINK("#"&amp;ADDRESS(MATCH(B690&amp;"ES",'LM7 Non-ENG'!$A$1:$A$5000,0),1,,,"LM7 Non-ENG"),IF(IFERROR(VLOOKUP(B690&amp;"ES",'LM7 Non-ENG'!$A$1:$A$4999,1,FALSE),"ERROR")=B690&amp;"ES","Y","")),"")</f>
        <v/>
      </c>
      <c r="H690" s="29" t="str">
        <f>IFERROR(HYPERLINK("#"&amp;ADDRESS(MATCH(B690&amp;"PT",'LM7 Non-ENG'!$A$1:$A$5000,0),1,,,"LM7 Non-ENG"),IF(IFERROR(VLOOKUP(B690&amp;"PT",'LM7 Non-ENG'!$A$1:$A$5000,1,FALSE),"ERROR")=B690&amp;"PT","Y","")),"")</f>
        <v/>
      </c>
      <c r="I690" t="str">
        <f>IFERROR(VLOOKUP(B690,PN!$A:$C,3,FALSE),"")</f>
        <v>Active</v>
      </c>
      <c r="J690" s="3" t="str">
        <f>IFERROR(E690*VLOOKUP(B690,PLInter!$A:$D,3,FALSE),"")</f>
        <v/>
      </c>
      <c r="K690" s="68"/>
      <c r="L690" s="68"/>
      <c r="M690" s="68"/>
      <c r="N690" s="68"/>
      <c r="O690" s="68"/>
      <c r="P690" s="68"/>
      <c r="Q690" s="68"/>
      <c r="R690" s="68"/>
      <c r="S690" s="68"/>
      <c r="T690" s="68"/>
    </row>
    <row r="691" spans="1:20" ht="18" customHeight="1">
      <c r="G691" s="29" t="str">
        <f>IFERROR(HYPERLINK("#"&amp;ADDRESS(MATCH(B691&amp;"ES",'LM7 Non-ENG'!$A$1:$A$5000,0),1,,,"LM7 Non-ENG"),IF(IFERROR(VLOOKUP(B691&amp;"ES",'LM7 Non-ENG'!$A$1:$A$4999,1,FALSE),"ERROR")=B691&amp;"ES","Y","")),"")</f>
        <v/>
      </c>
      <c r="H691" s="29" t="str">
        <f>IFERROR(HYPERLINK("#"&amp;ADDRESS(MATCH(B691&amp;"PT",'LM7 Non-ENG'!$A$1:$A$5000,0),1,,,"LM7 Non-ENG"),IF(IFERROR(VLOOKUP(B691&amp;"PT",'LM7 Non-ENG'!$A$1:$A$5000,1,FALSE),"ERROR")=B691&amp;"PT","Y","")),"")</f>
        <v/>
      </c>
    </row>
    <row r="692" spans="1:20" s="7" customFormat="1" ht="18" customHeight="1">
      <c r="A692" s="13" t="s">
        <v>130</v>
      </c>
      <c r="B692" s="13"/>
      <c r="C692" s="13" t="s">
        <v>131</v>
      </c>
      <c r="D692" s="14"/>
      <c r="E692" s="14"/>
      <c r="F692" s="14"/>
      <c r="G692" s="14"/>
      <c r="H692" s="14"/>
      <c r="I692" s="14"/>
      <c r="J692" s="14">
        <f>SUMIFS(J693:J749,D693:D749,"&lt;&gt;Y",F693:F749,"&lt;&gt;Y",I693:I749,"&lt;&gt;Inactive",I693:I749,"&lt;&gt;ECO+NFS")</f>
        <v>57266</v>
      </c>
      <c r="K692" s="14"/>
      <c r="L692" s="14"/>
      <c r="M692" s="14"/>
      <c r="N692" s="14"/>
      <c r="O692" s="14"/>
      <c r="P692" s="14"/>
      <c r="Q692" s="14"/>
      <c r="R692" s="14"/>
      <c r="S692" s="14"/>
      <c r="T692" s="14"/>
    </row>
    <row r="693" spans="1:20" ht="18" customHeight="1">
      <c r="A693" s="17" t="str">
        <f>HYPERLINK("#"&amp;ADDRESS(MATCH(A692,Jobmaster!$A$1:$A$4996,0),1,,,"Jobmaster"),"Back to Price List")</f>
        <v>Back to Price List</v>
      </c>
      <c r="B693" t="str">
        <f>"10-LS00-0200"</f>
        <v>10-LS00-0200</v>
      </c>
      <c r="C693" t="str">
        <f>"LS200:Jobmaster 2-Sided Mobile Learning Station"</f>
        <v>LS200:Jobmaster 2-Sided Mobile Learning Station</v>
      </c>
      <c r="D693" s="4"/>
      <c r="E693" s="4">
        <v>1</v>
      </c>
      <c r="F693" s="4"/>
      <c r="G693" s="29" t="str">
        <f>IFERROR(HYPERLINK("#"&amp;ADDRESS(MATCH(B693&amp;"ES",'LM7 Non-ENG'!$A$1:$A$5000,0),1,,,"LM7 Non-ENG"),IF(IFERROR(VLOOKUP(B693&amp;"ES",'LM7 Non-ENG'!$A$1:$A$4999,1,FALSE),"ERROR")=B693&amp;"ES","Y","")),"")</f>
        <v/>
      </c>
      <c r="H693" s="29" t="str">
        <f>IFERROR(HYPERLINK("#"&amp;ADDRESS(MATCH(B693&amp;"PT",'LM7 Non-ENG'!$A$1:$A$5000,0),1,,,"LM7 Non-ENG"),IF(IFERROR(VLOOKUP(B693&amp;"PT",'LM7 Non-ENG'!$A$1:$A$5000,1,FALSE),"ERROR")=B693&amp;"PT","Y","")),"")</f>
        <v/>
      </c>
      <c r="I693" t="str">
        <f>IFERROR(VLOOKUP(B693,PN!$A:$C,3,FALSE),"")</f>
        <v>Active</v>
      </c>
      <c r="J693" s="3">
        <f>IFERROR(E693*VLOOKUP(B693,PLInter!$A:$D,3,FALSE),"")</f>
        <v>5500</v>
      </c>
      <c r="K693" s="68" t="s">
        <v>132</v>
      </c>
      <c r="L693" s="66"/>
      <c r="M693" s="66"/>
      <c r="N693" s="66"/>
      <c r="O693" s="66"/>
      <c r="P693" s="66"/>
      <c r="Q693" s="66"/>
      <c r="R693" s="66"/>
      <c r="S693" s="66"/>
      <c r="T693" s="66"/>
    </row>
    <row r="694" spans="1:20" ht="18" customHeight="1">
      <c r="B694" t="str">
        <f>"10-PC04-0000"</f>
        <v>10-PC04-0000</v>
      </c>
      <c r="C694" t="str">
        <f>"JM, Panel PC04, 120VAC Power Control"</f>
        <v>JM, Panel PC04, 120VAC Power Control</v>
      </c>
      <c r="D694" s="4"/>
      <c r="E694" s="4">
        <v>2</v>
      </c>
      <c r="F694" s="4"/>
      <c r="G694" s="29" t="str">
        <f>IFERROR(HYPERLINK("#"&amp;ADDRESS(MATCH(B694&amp;"ES",'LM7 Non-ENG'!$A$1:$A$5000,0),1,,,"LM7 Non-ENG"),IF(IFERROR(VLOOKUP(B694&amp;"ES",'LM7 Non-ENG'!$A$1:$A$4999,1,FALSE),"ERROR")=B694&amp;"ES","Y","")),"")</f>
        <v/>
      </c>
      <c r="H694" s="29" t="str">
        <f>IFERROR(HYPERLINK("#"&amp;ADDRESS(MATCH(B694&amp;"PT",'LM7 Non-ENG'!$A$1:$A$5000,0),1,,,"LM7 Non-ENG"),IF(IFERROR(VLOOKUP(B694&amp;"PT",'LM7 Non-ENG'!$A$1:$A$5000,1,FALSE),"ERROR")=B694&amp;"PT","Y","")),"")</f>
        <v/>
      </c>
      <c r="I694" t="str">
        <f>IFERROR(VLOOKUP(B694,PN!$A:$C,3,FALSE),"")</f>
        <v>Active</v>
      </c>
      <c r="J694" s="3">
        <f>IFERROR(E694*VLOOKUP(B694,PLInter!$A:$D,3,FALSE),"")</f>
        <v>2400</v>
      </c>
      <c r="K694" s="66"/>
      <c r="L694" s="66"/>
      <c r="M694" s="66"/>
      <c r="N694" s="66"/>
      <c r="O694" s="66"/>
      <c r="P694" s="66"/>
      <c r="Q694" s="66"/>
      <c r="R694" s="66"/>
      <c r="S694" s="66"/>
      <c r="T694" s="66"/>
    </row>
    <row r="695" spans="1:20" ht="18" customHeight="1">
      <c r="B695" t="str">
        <f>"10-PC06-0000"</f>
        <v>10-PC06-0000</v>
      </c>
      <c r="C695" t="str">
        <f>"JM, Panel PC06, 220VAC Three Phase Power Control"</f>
        <v>JM, Panel PC06, 220VAC Three Phase Power Control</v>
      </c>
      <c r="D695" s="4"/>
      <c r="E695" s="4">
        <v>2</v>
      </c>
      <c r="F695" s="4"/>
      <c r="G695" s="29" t="str">
        <f>IFERROR(HYPERLINK("#"&amp;ADDRESS(MATCH(B695&amp;"ES",'LM7 Non-ENG'!$A$1:$A$5000,0),1,,,"LM7 Non-ENG"),IF(IFERROR(VLOOKUP(B695&amp;"ES",'LM7 Non-ENG'!$A$1:$A$4999,1,FALSE),"ERROR")=B695&amp;"ES","Y","")),"")</f>
        <v/>
      </c>
      <c r="H695" s="29" t="str">
        <f>IFERROR(HYPERLINK("#"&amp;ADDRESS(MATCH(B695&amp;"PT",'LM7 Non-ENG'!$A$1:$A$5000,0),1,,,"LM7 Non-ENG"),IF(IFERROR(VLOOKUP(B695&amp;"PT",'LM7 Non-ENG'!$A$1:$A$5000,1,FALSE),"ERROR")=B695&amp;"PT","Y","")),"")</f>
        <v/>
      </c>
      <c r="I695" t="str">
        <f>IFERROR(VLOOKUP(B695,PN!$A:$C,3,FALSE),"")</f>
        <v>Active</v>
      </c>
      <c r="J695" s="3">
        <f>IFERROR(E695*VLOOKUP(B695,PLInter!$A:$D,3,FALSE),"")</f>
        <v>2534</v>
      </c>
      <c r="K695" s="66"/>
      <c r="L695" s="66"/>
      <c r="M695" s="66"/>
      <c r="N695" s="66"/>
      <c r="O695" s="66"/>
      <c r="P695" s="66"/>
      <c r="Q695" s="66"/>
      <c r="R695" s="66"/>
      <c r="S695" s="66"/>
      <c r="T695" s="66"/>
    </row>
    <row r="696" spans="1:20" ht="18" customHeight="1">
      <c r="B696" t="str">
        <f>"77-EB01A-0000"</f>
        <v>77-EB01A-0000</v>
      </c>
      <c r="C696" t="str">
        <f>"LM7 Content, JM, Oscilloscope"</f>
        <v>LM7 Content, JM, Oscilloscope</v>
      </c>
      <c r="D696" s="4"/>
      <c r="E696" s="4">
        <v>1</v>
      </c>
      <c r="F696" s="4"/>
      <c r="G696" s="29" t="str">
        <f>IFERROR(HYPERLINK("#"&amp;ADDRESS(MATCH(B696&amp;"ES",'LM7 Non-ENG'!$A$1:$A$5000,0),1,,,"LM7 Non-ENG"),IF(IFERROR(VLOOKUP(B696&amp;"ES",'LM7 Non-ENG'!$A$1:$A$4999,1,FALSE),"ERROR")=B696&amp;"ES","Y","")),"")</f>
        <v/>
      </c>
      <c r="H696" s="29" t="str">
        <f>IFERROR(HYPERLINK("#"&amp;ADDRESS(MATCH(B696&amp;"PT",'LM7 Non-ENG'!$A$1:$A$5000,0),1,,,"LM7 Non-ENG"),IF(IFERROR(VLOOKUP(B696&amp;"PT",'LM7 Non-ENG'!$A$1:$A$5000,1,FALSE),"ERROR")=B696&amp;"PT","Y","")),"")</f>
        <v/>
      </c>
      <c r="I696" t="str">
        <f>IFERROR(VLOOKUP(B696,PN!$A:$C,3,FALSE),"")</f>
        <v>Active</v>
      </c>
      <c r="J696" s="3">
        <f>IFERROR(E696*VLOOKUP(B696,PLInter!$A:$D,3,FALSE),"")</f>
        <v>700</v>
      </c>
      <c r="K696" s="66"/>
      <c r="L696" s="66"/>
      <c r="M696" s="66"/>
      <c r="N696" s="66"/>
      <c r="O696" s="66"/>
      <c r="P696" s="66"/>
      <c r="Q696" s="66"/>
      <c r="R696" s="66"/>
      <c r="S696" s="66"/>
      <c r="T696" s="66"/>
    </row>
    <row r="697" spans="1:20" ht="18" customHeight="1">
      <c r="B697" s="2" t="str">
        <f>"17-EB01A-0000"</f>
        <v>17-EB01A-0000</v>
      </c>
      <c r="C697" s="2" t="str">
        <f>"LM5.X Content, JM, Oscilloscope"</f>
        <v>LM5.X Content, JM, Oscilloscope</v>
      </c>
      <c r="D697" s="5"/>
      <c r="E697" s="5">
        <v>1</v>
      </c>
      <c r="F697" s="5" t="str">
        <f>"Y"</f>
        <v>Y</v>
      </c>
      <c r="G697" s="29" t="str">
        <f>IFERROR(HYPERLINK("#"&amp;ADDRESS(MATCH(B697&amp;"ES",'LM7 Non-ENG'!$A$1:$A$5000,0),1,,,"LM7 Non-ENG"),IF(IFERROR(VLOOKUP(B697&amp;"ES",'LM7 Non-ENG'!$A$1:$A$4999,1,FALSE),"ERROR")=B697&amp;"ES","Y","")),"")</f>
        <v/>
      </c>
      <c r="H697" s="29" t="str">
        <f>IFERROR(HYPERLINK("#"&amp;ADDRESS(MATCH(B697&amp;"PT",'LM7 Non-ENG'!$A$1:$A$5000,0),1,,,"LM7 Non-ENG"),IF(IFERROR(VLOOKUP(B697&amp;"PT",'LM7 Non-ENG'!$A$1:$A$5000,1,FALSE),"ERROR")=B697&amp;"PT","Y","")),"")</f>
        <v/>
      </c>
      <c r="I697" t="str">
        <f>IFERROR(VLOOKUP(B697,PN!$A:$C,3,FALSE),"")</f>
        <v>Active</v>
      </c>
      <c r="J697" s="3">
        <f>IFERROR(E697*VLOOKUP(B697,PLInter!$A:$D,3,FALSE),"")</f>
        <v>700</v>
      </c>
      <c r="K697" s="66"/>
      <c r="L697" s="66"/>
      <c r="M697" s="66"/>
      <c r="N697" s="66"/>
      <c r="O697" s="66"/>
      <c r="P697" s="66"/>
      <c r="Q697" s="66"/>
      <c r="R697" s="66"/>
      <c r="S697" s="66"/>
      <c r="T697" s="66"/>
    </row>
    <row r="698" spans="1:20" ht="18" customHeight="1">
      <c r="B698" t="str">
        <f>"26-E087-0000"</f>
        <v>26-E087-0000</v>
      </c>
      <c r="C698" t="str">
        <f>"Assembly, JM, E087, Adjustable Power Supply"</f>
        <v>Assembly, JM, E087, Adjustable Power Supply</v>
      </c>
      <c r="D698" s="4"/>
      <c r="E698" s="4">
        <v>4</v>
      </c>
      <c r="F698" s="4"/>
      <c r="G698" s="29" t="str">
        <f>IFERROR(HYPERLINK("#"&amp;ADDRESS(MATCH(B698&amp;"ES",'LM7 Non-ENG'!$A$1:$A$5000,0),1,,,"LM7 Non-ENG"),IF(IFERROR(VLOOKUP(B698&amp;"ES",'LM7 Non-ENG'!$A$1:$A$4999,1,FALSE),"ERROR")=B698&amp;"ES","Y","")),"")</f>
        <v/>
      </c>
      <c r="H698" s="29" t="str">
        <f>IFERROR(HYPERLINK("#"&amp;ADDRESS(MATCH(B698&amp;"PT",'LM7 Non-ENG'!$A$1:$A$5000,0),1,,,"LM7 Non-ENG"),IF(IFERROR(VLOOKUP(B698&amp;"PT",'LM7 Non-ENG'!$A$1:$A$5000,1,FALSE),"ERROR")=B698&amp;"PT","Y","")),"")</f>
        <v/>
      </c>
      <c r="I698" t="str">
        <f>IFERROR(VLOOKUP(B698,PN!$A:$C,3,FALSE),"")</f>
        <v>Active</v>
      </c>
      <c r="J698" s="3">
        <f>IFERROR(E698*VLOOKUP(B698,PLInter!$A:$D,3,FALSE),"")</f>
        <v>1120</v>
      </c>
      <c r="K698" s="66"/>
      <c r="L698" s="66"/>
      <c r="M698" s="66"/>
      <c r="N698" s="66"/>
      <c r="O698" s="66"/>
      <c r="P698" s="66"/>
      <c r="Q698" s="66"/>
      <c r="R698" s="66"/>
      <c r="S698" s="66"/>
      <c r="T698" s="66"/>
    </row>
    <row r="699" spans="1:20" ht="18" customHeight="1">
      <c r="B699" s="1" t="str">
        <f>"26-E153-0000"</f>
        <v>26-E153-0000</v>
      </c>
      <c r="C699" s="1" t="str">
        <f>"Assembly, JM, E153, AC/DC Circuits"</f>
        <v>Assembly, JM, E153, AC/DC Circuits</v>
      </c>
      <c r="D699" s="6" t="s">
        <v>0</v>
      </c>
      <c r="E699" s="6">
        <v>2</v>
      </c>
      <c r="F699" s="6"/>
      <c r="G699" s="29" t="str">
        <f>IFERROR(HYPERLINK("#"&amp;ADDRESS(MATCH(B699&amp;"ES",'LM7 Non-ENG'!$A$1:$A$5000,0),1,,,"LM7 Non-ENG"),IF(IFERROR(VLOOKUP(B699&amp;"ES",'LM7 Non-ENG'!$A$1:$A$4999,1,FALSE),"ERROR")=B699&amp;"ES","Y","")),"")</f>
        <v/>
      </c>
      <c r="H699" s="29" t="str">
        <f>IFERROR(HYPERLINK("#"&amp;ADDRESS(MATCH(B699&amp;"PT",'LM7 Non-ENG'!$A$1:$A$5000,0),1,,,"LM7 Non-ENG"),IF(IFERROR(VLOOKUP(B699&amp;"PT",'LM7 Non-ENG'!$A$1:$A$5000,1,FALSE),"ERROR")=B699&amp;"PT","Y","")),"")</f>
        <v/>
      </c>
      <c r="I699" t="str">
        <f>IFERROR(VLOOKUP(B699,PN!$A:$C,3,FALSE),"")</f>
        <v>Active</v>
      </c>
      <c r="J699" s="3">
        <f>IFERROR(E699*VLOOKUP(B699,PLInter!$A:$D,3,FALSE),"")</f>
        <v>1068</v>
      </c>
      <c r="K699" s="66"/>
      <c r="L699" s="66"/>
      <c r="M699" s="66"/>
      <c r="N699" s="66"/>
      <c r="O699" s="66"/>
      <c r="P699" s="66"/>
      <c r="Q699" s="66"/>
      <c r="R699" s="66"/>
      <c r="S699" s="66"/>
      <c r="T699" s="66"/>
    </row>
    <row r="700" spans="1:20" ht="18" customHeight="1">
      <c r="B700" t="str">
        <f>"36-8900-0003"</f>
        <v>36-8900-0003</v>
      </c>
      <c r="C700" t="str">
        <f>"JM, Oscilloscope, 30MHz, Analog BK"</f>
        <v>JM, Oscilloscope, 30MHz, Analog BK</v>
      </c>
      <c r="D700" s="4"/>
      <c r="E700" s="4">
        <v>2</v>
      </c>
      <c r="F700" s="4"/>
      <c r="G700" s="29" t="str">
        <f>IFERROR(HYPERLINK("#"&amp;ADDRESS(MATCH(B700&amp;"ES",'LM7 Non-ENG'!$A$1:$A$5000,0),1,,,"LM7 Non-ENG"),IF(IFERROR(VLOOKUP(B700&amp;"ES",'LM7 Non-ENG'!$A$1:$A$4999,1,FALSE),"ERROR")=B700&amp;"ES","Y","")),"")</f>
        <v/>
      </c>
      <c r="H700" s="29" t="str">
        <f>IFERROR(HYPERLINK("#"&amp;ADDRESS(MATCH(B700&amp;"PT",'LM7 Non-ENG'!$A$1:$A$5000,0),1,,,"LM7 Non-ENG"),IF(IFERROR(VLOOKUP(B700&amp;"PT",'LM7 Non-ENG'!$A$1:$A$5000,1,FALSE),"ERROR")=B700&amp;"PT","Y","")),"")</f>
        <v/>
      </c>
      <c r="I700" t="str">
        <f>IFERROR(VLOOKUP(B700,PN!$A:$C,3,FALSE),"")</f>
        <v>Active</v>
      </c>
      <c r="J700" s="3">
        <f>IFERROR(E700*VLOOKUP(B700,PLInter!$A:$D,3,FALSE),"")</f>
        <v>4000</v>
      </c>
      <c r="K700" s="66"/>
      <c r="L700" s="66"/>
      <c r="M700" s="66"/>
      <c r="N700" s="66"/>
      <c r="O700" s="66"/>
      <c r="P700" s="66"/>
      <c r="Q700" s="66"/>
      <c r="R700" s="66"/>
      <c r="S700" s="66"/>
      <c r="T700" s="66"/>
    </row>
    <row r="701" spans="1:20" ht="18" customHeight="1">
      <c r="B701" s="1" t="str">
        <f>"36-EB01A-IG01"</f>
        <v>36-EB01A-IG01</v>
      </c>
      <c r="C701" s="1" t="str">
        <f>"JM, PDF on CD Oscilloscope - EB01A"</f>
        <v>JM, PDF on CD Oscilloscope - EB01A</v>
      </c>
      <c r="D701" s="6" t="s">
        <v>0</v>
      </c>
      <c r="E701" s="6">
        <v>1</v>
      </c>
      <c r="F701" s="6"/>
      <c r="G701" s="29" t="str">
        <f>IFERROR(HYPERLINK("#"&amp;ADDRESS(MATCH(B701&amp;"ES",'LM7 Non-ENG'!$A$1:$A$5000,0),1,,,"LM7 Non-ENG"),IF(IFERROR(VLOOKUP(B701&amp;"ES",'LM7 Non-ENG'!$A$1:$A$4999,1,FALSE),"ERROR")=B701&amp;"ES","Y","")),"")</f>
        <v/>
      </c>
      <c r="H701" s="29" t="str">
        <f>IFERROR(HYPERLINK("#"&amp;ADDRESS(MATCH(B701&amp;"PT",'LM7 Non-ENG'!$A$1:$A$5000,0),1,,,"LM7 Non-ENG"),IF(IFERROR(VLOOKUP(B701&amp;"PT",'LM7 Non-ENG'!$A$1:$A$5000,1,FALSE),"ERROR")=B701&amp;"PT","Y","")),"")</f>
        <v/>
      </c>
      <c r="I701" t="str">
        <f>IFERROR(VLOOKUP(B701,PN!$A:$C,3,FALSE),"")</f>
        <v>Active</v>
      </c>
      <c r="J701" s="3">
        <f>IFERROR(E701*VLOOKUP(B701,PLInter!$A:$D,3,FALSE),"")</f>
        <v>0</v>
      </c>
      <c r="K701" s="66"/>
      <c r="L701" s="66"/>
      <c r="M701" s="66"/>
      <c r="N701" s="66"/>
      <c r="O701" s="66"/>
      <c r="P701" s="66"/>
      <c r="Q701" s="66"/>
      <c r="R701" s="66"/>
      <c r="S701" s="66"/>
      <c r="T701" s="66"/>
    </row>
    <row r="702" spans="1:20" ht="18" customHeight="1">
      <c r="B702" t="str">
        <f>"77-EB01B-0000"</f>
        <v>77-EB01B-0000</v>
      </c>
      <c r="C702" t="str">
        <f>"LM7 Content, JM, Digital Multimeter"</f>
        <v>LM7 Content, JM, Digital Multimeter</v>
      </c>
      <c r="D702" s="4"/>
      <c r="E702" s="4">
        <v>1</v>
      </c>
      <c r="F702" s="4"/>
      <c r="G702" s="29" t="str">
        <f>IFERROR(HYPERLINK("#"&amp;ADDRESS(MATCH(B702&amp;"ES",'LM7 Non-ENG'!$A$1:$A$5000,0),1,,,"LM7 Non-ENG"),IF(IFERROR(VLOOKUP(B702&amp;"ES",'LM7 Non-ENG'!$A$1:$A$4999,1,FALSE),"ERROR")=B702&amp;"ES","Y","")),"")</f>
        <v/>
      </c>
      <c r="H702" s="29" t="str">
        <f>IFERROR(HYPERLINK("#"&amp;ADDRESS(MATCH(B702&amp;"PT",'LM7 Non-ENG'!$A$1:$A$5000,0),1,,,"LM7 Non-ENG"),IF(IFERROR(VLOOKUP(B702&amp;"PT",'LM7 Non-ENG'!$A$1:$A$5000,1,FALSE),"ERROR")=B702&amp;"PT","Y","")),"")</f>
        <v/>
      </c>
      <c r="I702" t="str">
        <f>IFERROR(VLOOKUP(B702,PN!$A:$C,3,FALSE),"")</f>
        <v>Active</v>
      </c>
      <c r="J702" s="3">
        <f>IFERROR(E702*VLOOKUP(B702,PLInter!$A:$D,3,FALSE),"")</f>
        <v>700</v>
      </c>
      <c r="K702" s="66"/>
      <c r="L702" s="66"/>
      <c r="M702" s="66"/>
      <c r="N702" s="66"/>
      <c r="O702" s="66"/>
      <c r="P702" s="66"/>
      <c r="Q702" s="66"/>
      <c r="R702" s="66"/>
      <c r="S702" s="66"/>
      <c r="T702" s="66"/>
    </row>
    <row r="703" spans="1:20" ht="18" customHeight="1">
      <c r="B703" s="2" t="str">
        <f>"17-EB01B-0000"</f>
        <v>17-EB01B-0000</v>
      </c>
      <c r="C703" s="2" t="str">
        <f>"LM5.X Content, JM, Digital Multimeter"</f>
        <v>LM5.X Content, JM, Digital Multimeter</v>
      </c>
      <c r="D703" s="5"/>
      <c r="E703" s="5">
        <v>1</v>
      </c>
      <c r="F703" s="5" t="str">
        <f>"Y"</f>
        <v>Y</v>
      </c>
      <c r="G703" s="29" t="str">
        <f>IFERROR(HYPERLINK("#"&amp;ADDRESS(MATCH(B703&amp;"ES",'LM7 Non-ENG'!$A$1:$A$5000,0),1,,,"LM7 Non-ENG"),IF(IFERROR(VLOOKUP(B703&amp;"ES",'LM7 Non-ENG'!$A$1:$A$4999,1,FALSE),"ERROR")=B703&amp;"ES","Y","")),"")</f>
        <v/>
      </c>
      <c r="H703" s="29" t="str">
        <f>IFERROR(HYPERLINK("#"&amp;ADDRESS(MATCH(B703&amp;"PT",'LM7 Non-ENG'!$A$1:$A$5000,0),1,,,"LM7 Non-ENG"),IF(IFERROR(VLOOKUP(B703&amp;"PT",'LM7 Non-ENG'!$A$1:$A$5000,1,FALSE),"ERROR")=B703&amp;"PT","Y","")),"")</f>
        <v/>
      </c>
      <c r="I703" t="str">
        <f>IFERROR(VLOOKUP(B703,PN!$A:$C,3,FALSE),"")</f>
        <v>Active</v>
      </c>
      <c r="J703" s="3">
        <f>IFERROR(E703*VLOOKUP(B703,PLInter!$A:$D,3,FALSE),"")</f>
        <v>700</v>
      </c>
      <c r="K703" s="66"/>
      <c r="L703" s="66"/>
      <c r="M703" s="66"/>
      <c r="N703" s="66"/>
      <c r="O703" s="66"/>
      <c r="P703" s="66"/>
      <c r="Q703" s="66"/>
      <c r="R703" s="66"/>
      <c r="S703" s="66"/>
      <c r="T703" s="66"/>
    </row>
    <row r="704" spans="1:20" ht="18" customHeight="1">
      <c r="B704" t="str">
        <f>"26-E052-0000"</f>
        <v>26-E052-0000</v>
      </c>
      <c r="C704" t="str">
        <f>"Assembly, JM, E052, Resistors Panel"</f>
        <v>Assembly, JM, E052, Resistors Panel</v>
      </c>
      <c r="D704" s="4"/>
      <c r="E704" s="4">
        <v>2</v>
      </c>
      <c r="F704" s="4"/>
      <c r="G704" s="29" t="str">
        <f>IFERROR(HYPERLINK("#"&amp;ADDRESS(MATCH(B704&amp;"ES",'LM7 Non-ENG'!$A$1:$A$5000,0),1,,,"LM7 Non-ENG"),IF(IFERROR(VLOOKUP(B704&amp;"ES",'LM7 Non-ENG'!$A$1:$A$4999,1,FALSE),"ERROR")=B704&amp;"ES","Y","")),"")</f>
        <v/>
      </c>
      <c r="H704" s="29" t="str">
        <f>IFERROR(HYPERLINK("#"&amp;ADDRESS(MATCH(B704&amp;"PT",'LM7 Non-ENG'!$A$1:$A$5000,0),1,,,"LM7 Non-ENG"),IF(IFERROR(VLOOKUP(B704&amp;"PT",'LM7 Non-ENG'!$A$1:$A$5000,1,FALSE),"ERROR")=B704&amp;"PT","Y","")),"")</f>
        <v/>
      </c>
      <c r="I704" t="str">
        <f>IFERROR(VLOOKUP(B704,PN!$A:$C,3,FALSE),"")</f>
        <v>Active</v>
      </c>
      <c r="J704" s="3">
        <f>IFERROR(E704*VLOOKUP(B704,PLInter!$A:$D,3,FALSE),"")</f>
        <v>1134</v>
      </c>
      <c r="K704" s="66"/>
      <c r="L704" s="66"/>
      <c r="M704" s="66"/>
      <c r="N704" s="66"/>
      <c r="O704" s="66"/>
      <c r="P704" s="66"/>
      <c r="Q704" s="66"/>
      <c r="R704" s="66"/>
      <c r="S704" s="66"/>
      <c r="T704" s="66"/>
    </row>
    <row r="705" spans="2:20" ht="18" customHeight="1">
      <c r="B705" t="str">
        <f>"26-E055-0000"</f>
        <v>26-E055-0000</v>
      </c>
      <c r="C705" t="str">
        <f>"Assembly, JM, E055, Filters/Capacitors Panel"</f>
        <v>Assembly, JM, E055, Filters/Capacitors Panel</v>
      </c>
      <c r="D705" s="4"/>
      <c r="E705" s="4">
        <v>2</v>
      </c>
      <c r="F705" s="4"/>
      <c r="G705" s="29" t="str">
        <f>IFERROR(HYPERLINK("#"&amp;ADDRESS(MATCH(B705&amp;"ES",'LM7 Non-ENG'!$A$1:$A$5000,0),1,,,"LM7 Non-ENG"),IF(IFERROR(VLOOKUP(B705&amp;"ES",'LM7 Non-ENG'!$A$1:$A$4999,1,FALSE),"ERROR")=B705&amp;"ES","Y","")),"")</f>
        <v/>
      </c>
      <c r="H705" s="29" t="str">
        <f>IFERROR(HYPERLINK("#"&amp;ADDRESS(MATCH(B705&amp;"PT",'LM7 Non-ENG'!$A$1:$A$5000,0),1,,,"LM7 Non-ENG"),IF(IFERROR(VLOOKUP(B705&amp;"PT",'LM7 Non-ENG'!$A$1:$A$5000,1,FALSE),"ERROR")=B705&amp;"PT","Y","")),"")</f>
        <v/>
      </c>
      <c r="I705" t="str">
        <f>IFERROR(VLOOKUP(B705,PN!$A:$C,3,FALSE),"")</f>
        <v>Active</v>
      </c>
      <c r="J705" s="3">
        <f>IFERROR(E705*VLOOKUP(B705,PLInter!$A:$D,3,FALSE),"")</f>
        <v>1100</v>
      </c>
      <c r="K705" s="66"/>
      <c r="L705" s="66"/>
      <c r="M705" s="66"/>
      <c r="N705" s="66"/>
      <c r="O705" s="66"/>
      <c r="P705" s="66"/>
      <c r="Q705" s="66"/>
      <c r="R705" s="66"/>
      <c r="S705" s="66"/>
      <c r="T705" s="66"/>
    </row>
    <row r="706" spans="2:20" ht="18" customHeight="1">
      <c r="B706" t="str">
        <f>"36-8900-0007"</f>
        <v>36-8900-0007</v>
      </c>
      <c r="C706" t="str">
        <f>"JM, Digital Multimeter, Fluke-115"</f>
        <v>JM, Digital Multimeter, Fluke-115</v>
      </c>
      <c r="D706" s="4"/>
      <c r="E706" s="4">
        <v>2</v>
      </c>
      <c r="F706" s="4"/>
      <c r="G706" s="29" t="str">
        <f>IFERROR(HYPERLINK("#"&amp;ADDRESS(MATCH(B706&amp;"ES",'LM7 Non-ENG'!$A$1:$A$5000,0),1,,,"LM7 Non-ENG"),IF(IFERROR(VLOOKUP(B706&amp;"ES",'LM7 Non-ENG'!$A$1:$A$4999,1,FALSE),"ERROR")=B706&amp;"ES","Y","")),"")</f>
        <v/>
      </c>
      <c r="H706" s="29" t="str">
        <f>IFERROR(HYPERLINK("#"&amp;ADDRESS(MATCH(B706&amp;"PT",'LM7 Non-ENG'!$A$1:$A$5000,0),1,,,"LM7 Non-ENG"),IF(IFERROR(VLOOKUP(B706&amp;"PT",'LM7 Non-ENG'!$A$1:$A$5000,1,FALSE),"ERROR")=B706&amp;"PT","Y","")),"")</f>
        <v/>
      </c>
      <c r="I706" t="str">
        <f>IFERROR(VLOOKUP(B706,PN!$A:$C,3,FALSE),"")</f>
        <v>Active</v>
      </c>
      <c r="J706" s="3">
        <f>IFERROR(E706*VLOOKUP(B706,PLInter!$A:$D,3,FALSE),"")</f>
        <v>1150</v>
      </c>
      <c r="K706" s="66"/>
      <c r="L706" s="66"/>
      <c r="M706" s="66"/>
      <c r="N706" s="66"/>
      <c r="O706" s="66"/>
      <c r="P706" s="66"/>
      <c r="Q706" s="66"/>
      <c r="R706" s="66"/>
      <c r="S706" s="66"/>
      <c r="T706" s="66"/>
    </row>
    <row r="707" spans="2:20" ht="18" customHeight="1">
      <c r="B707" s="1" t="str">
        <f>"36-EB01B-IG01"</f>
        <v>36-EB01B-IG01</v>
      </c>
      <c r="C707" s="1" t="str">
        <f>"JM, PDF on CD Digital Multimeter - EB01B"</f>
        <v>JM, PDF on CD Digital Multimeter - EB01B</v>
      </c>
      <c r="D707" s="6" t="s">
        <v>0</v>
      </c>
      <c r="E707" s="6">
        <v>1</v>
      </c>
      <c r="F707" s="6"/>
      <c r="G707" s="29" t="str">
        <f>IFERROR(HYPERLINK("#"&amp;ADDRESS(MATCH(B707&amp;"ES",'LM7 Non-ENG'!$A$1:$A$5000,0),1,,,"LM7 Non-ENG"),IF(IFERROR(VLOOKUP(B707&amp;"ES",'LM7 Non-ENG'!$A$1:$A$4999,1,FALSE),"ERROR")=B707&amp;"ES","Y","")),"")</f>
        <v/>
      </c>
      <c r="H707" s="29" t="str">
        <f>IFERROR(HYPERLINK("#"&amp;ADDRESS(MATCH(B707&amp;"PT",'LM7 Non-ENG'!$A$1:$A$5000,0),1,,,"LM7 Non-ENG"),IF(IFERROR(VLOOKUP(B707&amp;"PT",'LM7 Non-ENG'!$A$1:$A$5000,1,FALSE),"ERROR")=B707&amp;"PT","Y","")),"")</f>
        <v/>
      </c>
      <c r="I707" t="str">
        <f>IFERROR(VLOOKUP(B707,PN!$A:$C,3,FALSE),"")</f>
        <v>Active</v>
      </c>
      <c r="J707" s="3" t="str">
        <f>IFERROR(E707*VLOOKUP(B707,PLInter!$A:$D,3,FALSE),"")</f>
        <v/>
      </c>
      <c r="K707" s="66"/>
      <c r="L707" s="66"/>
      <c r="M707" s="66"/>
      <c r="N707" s="66"/>
      <c r="O707" s="66"/>
      <c r="P707" s="66"/>
      <c r="Q707" s="66"/>
      <c r="R707" s="66"/>
      <c r="S707" s="66"/>
      <c r="T707" s="66"/>
    </row>
    <row r="708" spans="2:20" ht="18" customHeight="1">
      <c r="B708" t="str">
        <f>"77-EB01C-0000"</f>
        <v>77-EB01C-0000</v>
      </c>
      <c r="C708" t="str">
        <f>"LM7 Content, JM, Digital Oscilloscope"</f>
        <v>LM7 Content, JM, Digital Oscilloscope</v>
      </c>
      <c r="D708" s="4"/>
      <c r="E708" s="4">
        <v>1</v>
      </c>
      <c r="F708" s="4"/>
      <c r="G708" s="29" t="str">
        <f>IFERROR(HYPERLINK("#"&amp;ADDRESS(MATCH(B708&amp;"ES",'LM7 Non-ENG'!$A$1:$A$5000,0),1,,,"LM7 Non-ENG"),IF(IFERROR(VLOOKUP(B708&amp;"ES",'LM7 Non-ENG'!$A$1:$A$4999,1,FALSE),"ERROR")=B708&amp;"ES","Y","")),"")</f>
        <v>Y</v>
      </c>
      <c r="H708" s="29" t="str">
        <f>IFERROR(HYPERLINK("#"&amp;ADDRESS(MATCH(B708&amp;"PT",'LM7 Non-ENG'!$A$1:$A$5000,0),1,,,"LM7 Non-ENG"),IF(IFERROR(VLOOKUP(B708&amp;"PT",'LM7 Non-ENG'!$A$1:$A$5000,1,FALSE),"ERROR")=B708&amp;"PT","Y","")),"")</f>
        <v/>
      </c>
      <c r="I708" t="str">
        <f>IFERROR(VLOOKUP(B708,PN!$A:$C,3,FALSE),"")</f>
        <v>Active</v>
      </c>
      <c r="J708" s="3">
        <f>IFERROR(E708*VLOOKUP(B708,PLInter!$A:$D,3,FALSE),"")</f>
        <v>700</v>
      </c>
      <c r="K708" s="66"/>
      <c r="L708" s="66"/>
      <c r="M708" s="66"/>
      <c r="N708" s="66"/>
      <c r="O708" s="66"/>
      <c r="P708" s="66"/>
      <c r="Q708" s="66"/>
      <c r="R708" s="66"/>
      <c r="S708" s="66"/>
      <c r="T708" s="66"/>
    </row>
    <row r="709" spans="2:20" ht="18" customHeight="1">
      <c r="B709" s="2" t="str">
        <f>"17-EB01C-0000"</f>
        <v>17-EB01C-0000</v>
      </c>
      <c r="C709" s="2" t="str">
        <f>"LM5.X Content, JM, Digital Oscilloscope"</f>
        <v>LM5.X Content, JM, Digital Oscilloscope</v>
      </c>
      <c r="D709" s="5"/>
      <c r="E709" s="5">
        <v>1</v>
      </c>
      <c r="F709" s="5" t="str">
        <f>"Y"</f>
        <v>Y</v>
      </c>
      <c r="G709" s="29" t="str">
        <f>IFERROR(HYPERLINK("#"&amp;ADDRESS(MATCH(B709&amp;"ES",'LM7 Non-ENG'!$A$1:$A$5000,0),1,,,"LM7 Non-ENG"),IF(IFERROR(VLOOKUP(B709&amp;"ES",'LM7 Non-ENG'!$A$1:$A$4999,1,FALSE),"ERROR")=B709&amp;"ES","Y","")),"")</f>
        <v/>
      </c>
      <c r="H709" s="29" t="str">
        <f>IFERROR(HYPERLINK("#"&amp;ADDRESS(MATCH(B709&amp;"PT",'LM7 Non-ENG'!$A$1:$A$5000,0),1,,,"LM7 Non-ENG"),IF(IFERROR(VLOOKUP(B709&amp;"PT",'LM7 Non-ENG'!$A$1:$A$5000,1,FALSE),"ERROR")=B709&amp;"PT","Y","")),"")</f>
        <v/>
      </c>
      <c r="I709" t="str">
        <f>IFERROR(VLOOKUP(B709,PN!$A:$C,3,FALSE),"")</f>
        <v>Active</v>
      </c>
      <c r="J709" s="3">
        <f>IFERROR(E709*VLOOKUP(B709,PLInter!$A:$D,3,FALSE),"")</f>
        <v>700</v>
      </c>
      <c r="K709" s="66"/>
      <c r="L709" s="66"/>
      <c r="M709" s="66"/>
      <c r="N709" s="66"/>
      <c r="O709" s="66"/>
      <c r="P709" s="66"/>
      <c r="Q709" s="66"/>
      <c r="R709" s="66"/>
      <c r="S709" s="66"/>
      <c r="T709" s="66"/>
    </row>
    <row r="710" spans="2:20" ht="18" customHeight="1">
      <c r="B710" s="1" t="str">
        <f>"26-E087-0000"</f>
        <v>26-E087-0000</v>
      </c>
      <c r="C710" s="1" t="str">
        <f>"Assembly, JM, E087, Adjustable Power Supply"</f>
        <v>Assembly, JM, E087, Adjustable Power Supply</v>
      </c>
      <c r="D710" s="6" t="s">
        <v>0</v>
      </c>
      <c r="E710" s="6">
        <v>2</v>
      </c>
      <c r="F710" s="6"/>
      <c r="G710" s="29" t="str">
        <f>IFERROR(HYPERLINK("#"&amp;ADDRESS(MATCH(B710&amp;"ES",'LM7 Non-ENG'!$A$1:$A$5000,0),1,,,"LM7 Non-ENG"),IF(IFERROR(VLOOKUP(B710&amp;"ES",'LM7 Non-ENG'!$A$1:$A$4999,1,FALSE),"ERROR")=B710&amp;"ES","Y","")),"")</f>
        <v/>
      </c>
      <c r="H710" s="29" t="str">
        <f>IFERROR(HYPERLINK("#"&amp;ADDRESS(MATCH(B710&amp;"PT",'LM7 Non-ENG'!$A$1:$A$5000,0),1,,,"LM7 Non-ENG"),IF(IFERROR(VLOOKUP(B710&amp;"PT",'LM7 Non-ENG'!$A$1:$A$5000,1,FALSE),"ERROR")=B710&amp;"PT","Y","")),"")</f>
        <v/>
      </c>
      <c r="I710" t="str">
        <f>IFERROR(VLOOKUP(B710,PN!$A:$C,3,FALSE),"")</f>
        <v>Active</v>
      </c>
      <c r="J710" s="3">
        <f>IFERROR(E710*VLOOKUP(B710,PLInter!$A:$D,3,FALSE),"")</f>
        <v>560</v>
      </c>
      <c r="K710" s="66"/>
      <c r="L710" s="66"/>
      <c r="M710" s="66"/>
      <c r="N710" s="66"/>
      <c r="O710" s="66"/>
      <c r="P710" s="66"/>
      <c r="Q710" s="66"/>
      <c r="R710" s="66"/>
      <c r="S710" s="66"/>
      <c r="T710" s="66"/>
    </row>
    <row r="711" spans="2:20" ht="18" customHeight="1">
      <c r="B711" t="str">
        <f>"26-E153-0000"</f>
        <v>26-E153-0000</v>
      </c>
      <c r="C711" t="str">
        <f>"Assembly, JM, E153, AC/DC Circuits"</f>
        <v>Assembly, JM, E153, AC/DC Circuits</v>
      </c>
      <c r="D711" s="4"/>
      <c r="E711" s="4">
        <v>4</v>
      </c>
      <c r="F711" s="4"/>
      <c r="G711" s="29" t="str">
        <f>IFERROR(HYPERLINK("#"&amp;ADDRESS(MATCH(B711&amp;"ES",'LM7 Non-ENG'!$A$1:$A$5000,0),1,,,"LM7 Non-ENG"),IF(IFERROR(VLOOKUP(B711&amp;"ES",'LM7 Non-ENG'!$A$1:$A$4999,1,FALSE),"ERROR")=B711&amp;"ES","Y","")),"")</f>
        <v/>
      </c>
      <c r="H711" s="29" t="str">
        <f>IFERROR(HYPERLINK("#"&amp;ADDRESS(MATCH(B711&amp;"PT",'LM7 Non-ENG'!$A$1:$A$5000,0),1,,,"LM7 Non-ENG"),IF(IFERROR(VLOOKUP(B711&amp;"PT",'LM7 Non-ENG'!$A$1:$A$5000,1,FALSE),"ERROR")=B711&amp;"PT","Y","")),"")</f>
        <v/>
      </c>
      <c r="I711" t="str">
        <f>IFERROR(VLOOKUP(B711,PN!$A:$C,3,FALSE),"")</f>
        <v>Active</v>
      </c>
      <c r="J711" s="3">
        <f>IFERROR(E711*VLOOKUP(B711,PLInter!$A:$D,3,FALSE),"")</f>
        <v>2136</v>
      </c>
      <c r="K711" s="66"/>
      <c r="L711" s="66"/>
      <c r="M711" s="66"/>
      <c r="N711" s="66"/>
      <c r="O711" s="66"/>
      <c r="P711" s="66"/>
      <c r="Q711" s="66"/>
      <c r="R711" s="66"/>
      <c r="S711" s="66"/>
      <c r="T711" s="66"/>
    </row>
    <row r="712" spans="2:20" ht="18" customHeight="1">
      <c r="B712" t="str">
        <f>"36-8900-0025"</f>
        <v>36-8900-0025</v>
      </c>
      <c r="C712" t="str">
        <f>"JM, Oscilloscope, 5MHz, Hand Held"</f>
        <v>JM, Oscilloscope, 5MHz, Hand Held</v>
      </c>
      <c r="D712" s="4"/>
      <c r="E712" s="4">
        <v>2</v>
      </c>
      <c r="F712" s="4"/>
      <c r="G712" s="29" t="str">
        <f>IFERROR(HYPERLINK("#"&amp;ADDRESS(MATCH(B712&amp;"ES",'LM7 Non-ENG'!$A$1:$A$5000,0),1,,,"LM7 Non-ENG"),IF(IFERROR(VLOOKUP(B712&amp;"ES",'LM7 Non-ENG'!$A$1:$A$4999,1,FALSE),"ERROR")=B712&amp;"ES","Y","")),"")</f>
        <v/>
      </c>
      <c r="H712" s="29" t="str">
        <f>IFERROR(HYPERLINK("#"&amp;ADDRESS(MATCH(B712&amp;"PT",'LM7 Non-ENG'!$A$1:$A$5000,0),1,,,"LM7 Non-ENG"),IF(IFERROR(VLOOKUP(B712&amp;"PT",'LM7 Non-ENG'!$A$1:$A$5000,1,FALSE),"ERROR")=B712&amp;"PT","Y","")),"")</f>
        <v/>
      </c>
      <c r="I712" t="str">
        <f>IFERROR(VLOOKUP(B712,PN!$A:$C,3,FALSE),"")</f>
        <v>Active</v>
      </c>
      <c r="J712" s="3">
        <f>IFERROR(E712*VLOOKUP(B712,PLInter!$A:$D,3,FALSE),"")</f>
        <v>4000</v>
      </c>
      <c r="K712" s="66"/>
      <c r="L712" s="66"/>
      <c r="M712" s="66"/>
      <c r="N712" s="66"/>
      <c r="O712" s="66"/>
      <c r="P712" s="66"/>
      <c r="Q712" s="66"/>
      <c r="R712" s="66"/>
      <c r="S712" s="66"/>
      <c r="T712" s="66"/>
    </row>
    <row r="713" spans="2:20" ht="18" customHeight="1">
      <c r="B713" s="1" t="str">
        <f>"36-EB01C-IG01"</f>
        <v>36-EB01C-IG01</v>
      </c>
      <c r="C713" s="1" t="str">
        <f>"JM, PDF on CD Hand Held Oscilloscope - EB01C"</f>
        <v>JM, PDF on CD Hand Held Oscilloscope - EB01C</v>
      </c>
      <c r="D713" s="6" t="s">
        <v>0</v>
      </c>
      <c r="E713" s="6">
        <v>1</v>
      </c>
      <c r="F713" s="6"/>
      <c r="G713" s="29" t="str">
        <f>IFERROR(HYPERLINK("#"&amp;ADDRESS(MATCH(B713&amp;"ES",'LM7 Non-ENG'!$A$1:$A$5000,0),1,,,"LM7 Non-ENG"),IF(IFERROR(VLOOKUP(B713&amp;"ES",'LM7 Non-ENG'!$A$1:$A$4999,1,FALSE),"ERROR")=B713&amp;"ES","Y","")),"")</f>
        <v/>
      </c>
      <c r="H713" s="29" t="str">
        <f>IFERROR(HYPERLINK("#"&amp;ADDRESS(MATCH(B713&amp;"PT",'LM7 Non-ENG'!$A$1:$A$5000,0),1,,,"LM7 Non-ENG"),IF(IFERROR(VLOOKUP(B713&amp;"PT",'LM7 Non-ENG'!$A$1:$A$5000,1,FALSE),"ERROR")=B713&amp;"PT","Y","")),"")</f>
        <v/>
      </c>
      <c r="I713" t="str">
        <f>IFERROR(VLOOKUP(B713,PN!$A:$C,3,FALSE),"")</f>
        <v>Active</v>
      </c>
      <c r="J713" s="3">
        <f>IFERROR(E713*VLOOKUP(B713,PLInter!$A:$D,3,FALSE),"")</f>
        <v>0</v>
      </c>
      <c r="K713" s="66"/>
      <c r="L713" s="66"/>
      <c r="M713" s="66"/>
      <c r="N713" s="66"/>
      <c r="O713" s="66"/>
      <c r="P713" s="66"/>
      <c r="Q713" s="66"/>
      <c r="R713" s="66"/>
      <c r="S713" s="66"/>
      <c r="T713" s="66"/>
    </row>
    <row r="714" spans="2:20" ht="18" customHeight="1">
      <c r="B714" t="str">
        <f>"77-EB02A-0000"</f>
        <v>77-EB02A-0000</v>
      </c>
      <c r="C714" t="str">
        <f>"LM7 Content, JM, DC Power Supplies"</f>
        <v>LM7 Content, JM, DC Power Supplies</v>
      </c>
      <c r="D714" s="4"/>
      <c r="E714" s="4">
        <v>1</v>
      </c>
      <c r="F714" s="4"/>
      <c r="G714" s="29" t="str">
        <f>IFERROR(HYPERLINK("#"&amp;ADDRESS(MATCH(B714&amp;"ES",'LM7 Non-ENG'!$A$1:$A$5000,0),1,,,"LM7 Non-ENG"),IF(IFERROR(VLOOKUP(B714&amp;"ES",'LM7 Non-ENG'!$A$1:$A$4999,1,FALSE),"ERROR")=B714&amp;"ES","Y","")),"")</f>
        <v>Y</v>
      </c>
      <c r="H714" s="29" t="str">
        <f>IFERROR(HYPERLINK("#"&amp;ADDRESS(MATCH(B714&amp;"PT",'LM7 Non-ENG'!$A$1:$A$5000,0),1,,,"LM7 Non-ENG"),IF(IFERROR(VLOOKUP(B714&amp;"PT",'LM7 Non-ENG'!$A$1:$A$5000,1,FALSE),"ERROR")=B714&amp;"PT","Y","")),"")</f>
        <v/>
      </c>
      <c r="I714" t="str">
        <f>IFERROR(VLOOKUP(B714,PN!$A:$C,3,FALSE),"")</f>
        <v>Active</v>
      </c>
      <c r="J714" s="3">
        <f>IFERROR(E714*VLOOKUP(B714,PLInter!$A:$D,3,FALSE),"")</f>
        <v>700</v>
      </c>
      <c r="K714" s="66"/>
      <c r="L714" s="66"/>
      <c r="M714" s="66"/>
      <c r="N714" s="66"/>
      <c r="O714" s="66"/>
      <c r="P714" s="66"/>
      <c r="Q714" s="66"/>
      <c r="R714" s="66"/>
      <c r="S714" s="66"/>
      <c r="T714" s="66"/>
    </row>
    <row r="715" spans="2:20" ht="18" customHeight="1">
      <c r="B715" s="2" t="str">
        <f>"17-EB02A-0000"</f>
        <v>17-EB02A-0000</v>
      </c>
      <c r="C715" s="2" t="str">
        <f>"LM5.X Content, JM, DC Power Supplies"</f>
        <v>LM5.X Content, JM, DC Power Supplies</v>
      </c>
      <c r="D715" s="5"/>
      <c r="E715" s="5">
        <v>1</v>
      </c>
      <c r="F715" s="5" t="str">
        <f>"Y"</f>
        <v>Y</v>
      </c>
      <c r="G715" s="29" t="str">
        <f>IFERROR(HYPERLINK("#"&amp;ADDRESS(MATCH(B715&amp;"ES",'LM7 Non-ENG'!$A$1:$A$5000,0),1,,,"LM7 Non-ENG"),IF(IFERROR(VLOOKUP(B715&amp;"ES",'LM7 Non-ENG'!$A$1:$A$4999,1,FALSE),"ERROR")=B715&amp;"ES","Y","")),"")</f>
        <v/>
      </c>
      <c r="H715" s="29" t="str">
        <f>IFERROR(HYPERLINK("#"&amp;ADDRESS(MATCH(B715&amp;"PT",'LM7 Non-ENG'!$A$1:$A$5000,0),1,,,"LM7 Non-ENG"),IF(IFERROR(VLOOKUP(B715&amp;"PT",'LM7 Non-ENG'!$A$1:$A$5000,1,FALSE),"ERROR")=B715&amp;"PT","Y","")),"")</f>
        <v/>
      </c>
      <c r="I715" t="str">
        <f>IFERROR(VLOOKUP(B715,PN!$A:$C,3,FALSE),"")</f>
        <v>Active</v>
      </c>
      <c r="J715" s="3">
        <f>IFERROR(E715*VLOOKUP(B715,PLInter!$A:$D,3,FALSE),"")</f>
        <v>700</v>
      </c>
      <c r="K715" s="66"/>
      <c r="L715" s="66"/>
      <c r="M715" s="66"/>
      <c r="N715" s="66"/>
      <c r="O715" s="66"/>
      <c r="P715" s="66"/>
      <c r="Q715" s="66"/>
      <c r="R715" s="66"/>
      <c r="S715" s="66"/>
      <c r="T715" s="66"/>
    </row>
    <row r="716" spans="2:20" ht="18" customHeight="1">
      <c r="B716" t="str">
        <f>"26-E039-0000"</f>
        <v>26-E039-0000</v>
      </c>
      <c r="C716" t="str">
        <f>"Assembly, JM, E039,Single Phase Bridge Rectifier"</f>
        <v>Assembly, JM, E039,Single Phase Bridge Rectifier</v>
      </c>
      <c r="D716" s="4"/>
      <c r="E716" s="4">
        <v>2</v>
      </c>
      <c r="F716" s="4"/>
      <c r="G716" s="29" t="str">
        <f>IFERROR(HYPERLINK("#"&amp;ADDRESS(MATCH(B716&amp;"ES",'LM7 Non-ENG'!$A$1:$A$5000,0),1,,,"LM7 Non-ENG"),IF(IFERROR(VLOOKUP(B716&amp;"ES",'LM7 Non-ENG'!$A$1:$A$4999,1,FALSE),"ERROR")=B716&amp;"ES","Y","")),"")</f>
        <v/>
      </c>
      <c r="H716" s="29" t="str">
        <f>IFERROR(HYPERLINK("#"&amp;ADDRESS(MATCH(B716&amp;"PT",'LM7 Non-ENG'!$A$1:$A$5000,0),1,,,"LM7 Non-ENG"),IF(IFERROR(VLOOKUP(B716&amp;"PT",'LM7 Non-ENG'!$A$1:$A$5000,1,FALSE),"ERROR")=B716&amp;"PT","Y","")),"")</f>
        <v/>
      </c>
      <c r="I716" t="str">
        <f>IFERROR(VLOOKUP(B716,PN!$A:$C,3,FALSE),"")</f>
        <v>Active</v>
      </c>
      <c r="J716" s="3">
        <f>IFERROR(E716*VLOOKUP(B716,PLInter!$A:$D,3,FALSE),"")</f>
        <v>900</v>
      </c>
      <c r="K716" s="66"/>
      <c r="L716" s="66"/>
      <c r="M716" s="66"/>
      <c r="N716" s="66"/>
      <c r="O716" s="66"/>
      <c r="P716" s="66"/>
      <c r="Q716" s="66"/>
      <c r="R716" s="66"/>
      <c r="S716" s="66"/>
      <c r="T716" s="66"/>
    </row>
    <row r="717" spans="2:20" ht="18" customHeight="1">
      <c r="B717" t="str">
        <f>"26-E061-0000"</f>
        <v>26-E061-0000</v>
      </c>
      <c r="C717" t="str">
        <f>"Assembly, JM, E061, Low Voltage Transformer"</f>
        <v>Assembly, JM, E061, Low Voltage Transformer</v>
      </c>
      <c r="D717" s="4"/>
      <c r="E717" s="4">
        <v>2</v>
      </c>
      <c r="F717" s="4"/>
      <c r="G717" s="29" t="str">
        <f>IFERROR(HYPERLINK("#"&amp;ADDRESS(MATCH(B717&amp;"ES",'LM7 Non-ENG'!$A$1:$A$5000,0),1,,,"LM7 Non-ENG"),IF(IFERROR(VLOOKUP(B717&amp;"ES",'LM7 Non-ENG'!$A$1:$A$4999,1,FALSE),"ERROR")=B717&amp;"ES","Y","")),"")</f>
        <v/>
      </c>
      <c r="H717" s="29" t="str">
        <f>IFERROR(HYPERLINK("#"&amp;ADDRESS(MATCH(B717&amp;"PT",'LM7 Non-ENG'!$A$1:$A$5000,0),1,,,"LM7 Non-ENG"),IF(IFERROR(VLOOKUP(B717&amp;"PT",'LM7 Non-ENG'!$A$1:$A$5000,1,FALSE),"ERROR")=B717&amp;"PT","Y","")),"")</f>
        <v/>
      </c>
      <c r="I717" t="str">
        <f>IFERROR(VLOOKUP(B717,PN!$A:$C,3,FALSE),"")</f>
        <v>Active</v>
      </c>
      <c r="J717" s="3">
        <f>IFERROR(E717*VLOOKUP(B717,PLInter!$A:$D,3,FALSE),"")</f>
        <v>1270</v>
      </c>
      <c r="K717" s="66"/>
      <c r="L717" s="66"/>
      <c r="M717" s="66"/>
      <c r="N717" s="66"/>
      <c r="O717" s="66"/>
      <c r="P717" s="66"/>
      <c r="Q717" s="66"/>
      <c r="R717" s="66"/>
      <c r="S717" s="66"/>
      <c r="T717" s="66"/>
    </row>
    <row r="718" spans="2:20" ht="18" customHeight="1">
      <c r="B718" t="str">
        <f>"26-E062-0000"</f>
        <v>26-E062-0000</v>
      </c>
      <c r="C718" t="str">
        <f>"Assembly, JM, E062, Diode Rectifier Panel"</f>
        <v>Assembly, JM, E062, Diode Rectifier Panel</v>
      </c>
      <c r="D718" s="4"/>
      <c r="E718" s="4">
        <v>2</v>
      </c>
      <c r="F718" s="4"/>
      <c r="G718" s="29" t="str">
        <f>IFERROR(HYPERLINK("#"&amp;ADDRESS(MATCH(B718&amp;"ES",'LM7 Non-ENG'!$A$1:$A$5000,0),1,,,"LM7 Non-ENG"),IF(IFERROR(VLOOKUP(B718&amp;"ES",'LM7 Non-ENG'!$A$1:$A$4999,1,FALSE),"ERROR")=B718&amp;"ES","Y","")),"")</f>
        <v/>
      </c>
      <c r="H718" s="29" t="str">
        <f>IFERROR(HYPERLINK("#"&amp;ADDRESS(MATCH(B718&amp;"PT",'LM7 Non-ENG'!$A$1:$A$5000,0),1,,,"LM7 Non-ENG"),IF(IFERROR(VLOOKUP(B718&amp;"PT",'LM7 Non-ENG'!$A$1:$A$5000,1,FALSE),"ERROR")=B718&amp;"PT","Y","")),"")</f>
        <v/>
      </c>
      <c r="I718" t="str">
        <f>IFERROR(VLOOKUP(B718,PN!$A:$C,3,FALSE),"")</f>
        <v>Active</v>
      </c>
      <c r="J718" s="3">
        <f>IFERROR(E718*VLOOKUP(B718,PLInter!$A:$D,3,FALSE),"")</f>
        <v>1090</v>
      </c>
      <c r="K718" s="66"/>
      <c r="L718" s="66"/>
      <c r="M718" s="66"/>
      <c r="N718" s="66"/>
      <c r="O718" s="66"/>
      <c r="P718" s="66"/>
      <c r="Q718" s="66"/>
      <c r="R718" s="66"/>
      <c r="S718" s="66"/>
      <c r="T718" s="66"/>
    </row>
    <row r="719" spans="2:20" ht="18" customHeight="1">
      <c r="B719" s="1" t="str">
        <f>"36-EB02A-IG01"</f>
        <v>36-EB02A-IG01</v>
      </c>
      <c r="C719" s="1" t="str">
        <f>"JM, PDF on CD DC Power Supplies - EB02A"</f>
        <v>JM, PDF on CD DC Power Supplies - EB02A</v>
      </c>
      <c r="D719" s="6" t="s">
        <v>0</v>
      </c>
      <c r="E719" s="6">
        <v>1</v>
      </c>
      <c r="F719" s="6"/>
      <c r="G719" s="29" t="str">
        <f>IFERROR(HYPERLINK("#"&amp;ADDRESS(MATCH(B719&amp;"ES",'LM7 Non-ENG'!$A$1:$A$5000,0),1,,,"LM7 Non-ENG"),IF(IFERROR(VLOOKUP(B719&amp;"ES",'LM7 Non-ENG'!$A$1:$A$4999,1,FALSE),"ERROR")=B719&amp;"ES","Y","")),"")</f>
        <v/>
      </c>
      <c r="H719" s="29" t="str">
        <f>IFERROR(HYPERLINK("#"&amp;ADDRESS(MATCH(B719&amp;"PT",'LM7 Non-ENG'!$A$1:$A$5000,0),1,,,"LM7 Non-ENG"),IF(IFERROR(VLOOKUP(B719&amp;"PT",'LM7 Non-ENG'!$A$1:$A$5000,1,FALSE),"ERROR")=B719&amp;"PT","Y","")),"")</f>
        <v/>
      </c>
      <c r="I719" t="str">
        <f>IFERROR(VLOOKUP(B719,PN!$A:$C,3,FALSE),"")</f>
        <v>Active</v>
      </c>
      <c r="J719" s="3" t="str">
        <f>IFERROR(E719*VLOOKUP(B719,PLInter!$A:$D,3,FALSE),"")</f>
        <v/>
      </c>
      <c r="K719" s="66"/>
      <c r="L719" s="66"/>
      <c r="M719" s="66"/>
      <c r="N719" s="66"/>
      <c r="O719" s="66"/>
      <c r="P719" s="66"/>
      <c r="Q719" s="66"/>
      <c r="R719" s="66"/>
      <c r="S719" s="66"/>
      <c r="T719" s="66"/>
    </row>
    <row r="720" spans="2:20" ht="18" customHeight="1">
      <c r="B720" t="str">
        <f>"77-EB02B-0000"</f>
        <v>77-EB02B-0000</v>
      </c>
      <c r="C720" t="str">
        <f>"LM7 Content, JM, Single &amp; 3 Phase Power Supply"</f>
        <v>LM7 Content, JM, Single &amp; 3 Phase Power Supply</v>
      </c>
      <c r="D720" s="4"/>
      <c r="E720" s="4">
        <v>1</v>
      </c>
      <c r="F720" s="4"/>
      <c r="G720" s="29" t="str">
        <f>IFERROR(HYPERLINK("#"&amp;ADDRESS(MATCH(B720&amp;"ES",'LM7 Non-ENG'!$A$1:$A$5000,0),1,,,"LM7 Non-ENG"),IF(IFERROR(VLOOKUP(B720&amp;"ES",'LM7 Non-ENG'!$A$1:$A$4999,1,FALSE),"ERROR")=B720&amp;"ES","Y","")),"")</f>
        <v>Y</v>
      </c>
      <c r="H720" s="29" t="str">
        <f>IFERROR(HYPERLINK("#"&amp;ADDRESS(MATCH(B720&amp;"PT",'LM7 Non-ENG'!$A$1:$A$5000,0),1,,,"LM7 Non-ENG"),IF(IFERROR(VLOOKUP(B720&amp;"PT",'LM7 Non-ENG'!$A$1:$A$5000,1,FALSE),"ERROR")=B720&amp;"PT","Y","")),"")</f>
        <v>Y</v>
      </c>
      <c r="I720" t="str">
        <f>IFERROR(VLOOKUP(B720,PN!$A:$C,3,FALSE),"")</f>
        <v>Active</v>
      </c>
      <c r="J720" s="3">
        <f>IFERROR(E720*VLOOKUP(B720,PLInter!$A:$D,3,FALSE),"")</f>
        <v>700</v>
      </c>
      <c r="K720" s="66"/>
      <c r="L720" s="66"/>
      <c r="M720" s="66"/>
      <c r="N720" s="66"/>
      <c r="O720" s="66"/>
      <c r="P720" s="66"/>
      <c r="Q720" s="66"/>
      <c r="R720" s="66"/>
      <c r="S720" s="66"/>
      <c r="T720" s="66"/>
    </row>
    <row r="721" spans="2:20" ht="18" customHeight="1">
      <c r="B721" s="2" t="str">
        <f>"17-EB02B-0000"</f>
        <v>17-EB02B-0000</v>
      </c>
      <c r="C721" s="2" t="str">
        <f>"LM5.X Content, JM,Single &amp; 3 Phase Power Supply"</f>
        <v>LM5.X Content, JM,Single &amp; 3 Phase Power Supply</v>
      </c>
      <c r="D721" s="5"/>
      <c r="E721" s="5">
        <v>1</v>
      </c>
      <c r="F721" s="5" t="str">
        <f>"Y"</f>
        <v>Y</v>
      </c>
      <c r="G721" s="29" t="str">
        <f>IFERROR(HYPERLINK("#"&amp;ADDRESS(MATCH(B721&amp;"ES",'LM7 Non-ENG'!$A$1:$A$5000,0),1,,,"LM7 Non-ENG"),IF(IFERROR(VLOOKUP(B721&amp;"ES",'LM7 Non-ENG'!$A$1:$A$4999,1,FALSE),"ERROR")=B721&amp;"ES","Y","")),"")</f>
        <v/>
      </c>
      <c r="H721" s="29" t="str">
        <f>IFERROR(HYPERLINK("#"&amp;ADDRESS(MATCH(B721&amp;"PT",'LM7 Non-ENG'!$A$1:$A$5000,0),1,,,"LM7 Non-ENG"),IF(IFERROR(VLOOKUP(B721&amp;"PT",'LM7 Non-ENG'!$A$1:$A$5000,1,FALSE),"ERROR")=B721&amp;"PT","Y","")),"")</f>
        <v/>
      </c>
      <c r="I721" t="str">
        <f>IFERROR(VLOOKUP(B721,PN!$A:$C,3,FALSE),"")</f>
        <v>Active</v>
      </c>
      <c r="J721" s="3">
        <f>IFERROR(E721*VLOOKUP(B721,PLInter!$A:$D,3,FALSE),"")</f>
        <v>700</v>
      </c>
      <c r="K721" s="66"/>
      <c r="L721" s="66"/>
      <c r="M721" s="66"/>
      <c r="N721" s="66"/>
      <c r="O721" s="66"/>
      <c r="P721" s="66"/>
      <c r="Q721" s="66"/>
      <c r="R721" s="66"/>
      <c r="S721" s="66"/>
      <c r="T721" s="66"/>
    </row>
    <row r="722" spans="2:20" ht="18" customHeight="1">
      <c r="B722" t="str">
        <f>"26-E049-0000"</f>
        <v>26-E049-0000</v>
      </c>
      <c r="C722" t="str">
        <f>"Assembly, JM, E049, Zener Diode Panel"</f>
        <v>Assembly, JM, E049, Zener Diode Panel</v>
      </c>
      <c r="D722" s="4"/>
      <c r="E722" s="4">
        <v>2</v>
      </c>
      <c r="F722" s="4"/>
      <c r="G722" s="29" t="str">
        <f>IFERROR(HYPERLINK("#"&amp;ADDRESS(MATCH(B722&amp;"ES",'LM7 Non-ENG'!$A$1:$A$5000,0),1,,,"LM7 Non-ENG"),IF(IFERROR(VLOOKUP(B722&amp;"ES",'LM7 Non-ENG'!$A$1:$A$4999,1,FALSE),"ERROR")=B722&amp;"ES","Y","")),"")</f>
        <v/>
      </c>
      <c r="H722" s="29" t="str">
        <f>IFERROR(HYPERLINK("#"&amp;ADDRESS(MATCH(B722&amp;"PT",'LM7 Non-ENG'!$A$1:$A$5000,0),1,,,"LM7 Non-ENG"),IF(IFERROR(VLOOKUP(B722&amp;"PT",'LM7 Non-ENG'!$A$1:$A$5000,1,FALSE),"ERROR")=B722&amp;"PT","Y","")),"")</f>
        <v/>
      </c>
      <c r="I722" t="str">
        <f>IFERROR(VLOOKUP(B722,PN!$A:$C,3,FALSE),"")</f>
        <v>Active</v>
      </c>
      <c r="J722" s="3">
        <f>IFERROR(E722*VLOOKUP(B722,PLInter!$A:$D,3,FALSE),"")</f>
        <v>668</v>
      </c>
      <c r="K722" s="66"/>
      <c r="L722" s="66"/>
      <c r="M722" s="66"/>
      <c r="N722" s="66"/>
      <c r="O722" s="66"/>
      <c r="P722" s="66"/>
      <c r="Q722" s="66"/>
      <c r="R722" s="66"/>
      <c r="S722" s="66"/>
      <c r="T722" s="66"/>
    </row>
    <row r="723" spans="2:20" ht="18" customHeight="1">
      <c r="B723" t="str">
        <f>"26-E050-0000"</f>
        <v>26-E050-0000</v>
      </c>
      <c r="C723" t="str">
        <f>"Assembly, JM, E050, Regulated Power Supply Panel"</f>
        <v>Assembly, JM, E050, Regulated Power Supply Panel</v>
      </c>
      <c r="D723" s="4"/>
      <c r="E723" s="4">
        <v>2</v>
      </c>
      <c r="F723" s="4"/>
      <c r="G723" s="29" t="str">
        <f>IFERROR(HYPERLINK("#"&amp;ADDRESS(MATCH(B723&amp;"ES",'LM7 Non-ENG'!$A$1:$A$5000,0),1,,,"LM7 Non-ENG"),IF(IFERROR(VLOOKUP(B723&amp;"ES",'LM7 Non-ENG'!$A$1:$A$4999,1,FALSE),"ERROR")=B723&amp;"ES","Y","")),"")</f>
        <v/>
      </c>
      <c r="H723" s="29" t="str">
        <f>IFERROR(HYPERLINK("#"&amp;ADDRESS(MATCH(B723&amp;"PT",'LM7 Non-ENG'!$A$1:$A$5000,0),1,,,"LM7 Non-ENG"),IF(IFERROR(VLOOKUP(B723&amp;"PT",'LM7 Non-ENG'!$A$1:$A$5000,1,FALSE),"ERROR")=B723&amp;"PT","Y","")),"")</f>
        <v/>
      </c>
      <c r="I723" t="str">
        <f>IFERROR(VLOOKUP(B723,PN!$A:$C,3,FALSE),"")</f>
        <v>Active</v>
      </c>
      <c r="J723" s="3">
        <f>IFERROR(E723*VLOOKUP(B723,PLInter!$A:$D,3,FALSE),"")</f>
        <v>1130</v>
      </c>
      <c r="K723" s="66"/>
      <c r="L723" s="66"/>
      <c r="M723" s="66"/>
      <c r="N723" s="66"/>
      <c r="O723" s="66"/>
      <c r="P723" s="66"/>
      <c r="Q723" s="66"/>
      <c r="R723" s="66"/>
      <c r="S723" s="66"/>
      <c r="T723" s="66"/>
    </row>
    <row r="724" spans="2:20" ht="18" customHeight="1">
      <c r="B724" t="str">
        <f>"26-E053-0000"</f>
        <v>26-E053-0000</v>
      </c>
      <c r="C724" t="str">
        <f>"Assembly, JM, E053, Three Phase Bridge Rectifier"</f>
        <v>Assembly, JM, E053, Three Phase Bridge Rectifier</v>
      </c>
      <c r="D724" s="4"/>
      <c r="E724" s="4">
        <v>2</v>
      </c>
      <c r="F724" s="4"/>
      <c r="G724" s="29" t="str">
        <f>IFERROR(HYPERLINK("#"&amp;ADDRESS(MATCH(B724&amp;"ES",'LM7 Non-ENG'!$A$1:$A$5000,0),1,,,"LM7 Non-ENG"),IF(IFERROR(VLOOKUP(B724&amp;"ES",'LM7 Non-ENG'!$A$1:$A$4999,1,FALSE),"ERROR")=B724&amp;"ES","Y","")),"")</f>
        <v/>
      </c>
      <c r="H724" s="29" t="str">
        <f>IFERROR(HYPERLINK("#"&amp;ADDRESS(MATCH(B724&amp;"PT",'LM7 Non-ENG'!$A$1:$A$5000,0),1,,,"LM7 Non-ENG"),IF(IFERROR(VLOOKUP(B724&amp;"PT",'LM7 Non-ENG'!$A$1:$A$5000,1,FALSE),"ERROR")=B724&amp;"PT","Y","")),"")</f>
        <v/>
      </c>
      <c r="I724" t="str">
        <f>IFERROR(VLOOKUP(B724,PN!$A:$C,3,FALSE),"")</f>
        <v>Active</v>
      </c>
      <c r="J724" s="3">
        <f>IFERROR(E724*VLOOKUP(B724,PLInter!$A:$D,3,FALSE),"")</f>
        <v>1134</v>
      </c>
      <c r="K724" s="66"/>
      <c r="L724" s="66"/>
      <c r="M724" s="66"/>
      <c r="N724" s="66"/>
      <c r="O724" s="66"/>
      <c r="P724" s="66"/>
      <c r="Q724" s="66"/>
      <c r="R724" s="66"/>
      <c r="S724" s="66"/>
      <c r="T724" s="66"/>
    </row>
    <row r="725" spans="2:20" ht="18" customHeight="1">
      <c r="B725" s="1" t="str">
        <f>"36-EB02B-IG01"</f>
        <v>36-EB02B-IG01</v>
      </c>
      <c r="C725" s="1" t="str">
        <f>"JM, PDF on CD Single&amp;3 Phase Power - EB02B"</f>
        <v>JM, PDF on CD Single&amp;3 Phase Power - EB02B</v>
      </c>
      <c r="D725" s="6" t="s">
        <v>0</v>
      </c>
      <c r="E725" s="6">
        <v>1</v>
      </c>
      <c r="F725" s="6"/>
      <c r="G725" s="29" t="str">
        <f>IFERROR(HYPERLINK("#"&amp;ADDRESS(MATCH(B725&amp;"ES",'LM7 Non-ENG'!$A$1:$A$5000,0),1,,,"LM7 Non-ENG"),IF(IFERROR(VLOOKUP(B725&amp;"ES",'LM7 Non-ENG'!$A$1:$A$4999,1,FALSE),"ERROR")=B725&amp;"ES","Y","")),"")</f>
        <v/>
      </c>
      <c r="H725" s="29" t="str">
        <f>IFERROR(HYPERLINK("#"&amp;ADDRESS(MATCH(B725&amp;"PT",'LM7 Non-ENG'!$A$1:$A$5000,0),1,,,"LM7 Non-ENG"),IF(IFERROR(VLOOKUP(B725&amp;"PT",'LM7 Non-ENG'!$A$1:$A$5000,1,FALSE),"ERROR")=B725&amp;"PT","Y","")),"")</f>
        <v/>
      </c>
      <c r="I725" t="str">
        <f>IFERROR(VLOOKUP(B725,PN!$A:$C,3,FALSE),"")</f>
        <v>Active</v>
      </c>
      <c r="J725" s="3" t="str">
        <f>IFERROR(E725*VLOOKUP(B725,PLInter!$A:$D,3,FALSE),"")</f>
        <v/>
      </c>
      <c r="K725" s="66"/>
      <c r="L725" s="66"/>
      <c r="M725" s="66"/>
      <c r="N725" s="66"/>
      <c r="O725" s="66"/>
      <c r="P725" s="66"/>
      <c r="Q725" s="66"/>
      <c r="R725" s="66"/>
      <c r="S725" s="66"/>
      <c r="T725" s="66"/>
    </row>
    <row r="726" spans="2:20" ht="18" customHeight="1">
      <c r="B726" t="str">
        <f>"77-EB03-0000"</f>
        <v>77-EB03-0000</v>
      </c>
      <c r="C726" t="str">
        <f>"LM7 Content, JM, Thyristor Motor Drives"</f>
        <v>LM7 Content, JM, Thyristor Motor Drives</v>
      </c>
      <c r="D726" s="4"/>
      <c r="E726" s="4">
        <v>1</v>
      </c>
      <c r="F726" s="4"/>
      <c r="G726" s="29" t="str">
        <f>IFERROR(HYPERLINK("#"&amp;ADDRESS(MATCH(B726&amp;"ES",'LM7 Non-ENG'!$A$1:$A$5000,0),1,,,"LM7 Non-ENG"),IF(IFERROR(VLOOKUP(B726&amp;"ES",'LM7 Non-ENG'!$A$1:$A$4999,1,FALSE),"ERROR")=B726&amp;"ES","Y","")),"")</f>
        <v>Y</v>
      </c>
      <c r="H726" s="29" t="str">
        <f>IFERROR(HYPERLINK("#"&amp;ADDRESS(MATCH(B726&amp;"PT",'LM7 Non-ENG'!$A$1:$A$5000,0),1,,,"LM7 Non-ENG"),IF(IFERROR(VLOOKUP(B726&amp;"PT",'LM7 Non-ENG'!$A$1:$A$5000,1,FALSE),"ERROR")=B726&amp;"PT","Y","")),"")</f>
        <v/>
      </c>
      <c r="I726" t="str">
        <f>IFERROR(VLOOKUP(B726,PN!$A:$C,3,FALSE),"")</f>
        <v>Active</v>
      </c>
      <c r="J726" s="3">
        <f>IFERROR(E726*VLOOKUP(B726,PLInter!$A:$D,3,FALSE),"")</f>
        <v>700</v>
      </c>
      <c r="K726" s="66"/>
      <c r="L726" s="66"/>
      <c r="M726" s="66"/>
      <c r="N726" s="66"/>
      <c r="O726" s="66"/>
      <c r="P726" s="66"/>
      <c r="Q726" s="66"/>
      <c r="R726" s="66"/>
      <c r="S726" s="66"/>
      <c r="T726" s="66"/>
    </row>
    <row r="727" spans="2:20" ht="18" customHeight="1">
      <c r="B727" s="2" t="str">
        <f>"17-EB03-0000"</f>
        <v>17-EB03-0000</v>
      </c>
      <c r="C727" s="2" t="str">
        <f>"LM5.X Content, JM, Thyristor Motor Drives"</f>
        <v>LM5.X Content, JM, Thyristor Motor Drives</v>
      </c>
      <c r="D727" s="5"/>
      <c r="E727" s="5">
        <v>1</v>
      </c>
      <c r="F727" s="5" t="str">
        <f>"Y"</f>
        <v>Y</v>
      </c>
      <c r="G727" s="29" t="str">
        <f>IFERROR(HYPERLINK("#"&amp;ADDRESS(MATCH(B727&amp;"ES",'LM7 Non-ENG'!$A$1:$A$5000,0),1,,,"LM7 Non-ENG"),IF(IFERROR(VLOOKUP(B727&amp;"ES",'LM7 Non-ENG'!$A$1:$A$4999,1,FALSE),"ERROR")=B727&amp;"ES","Y","")),"")</f>
        <v/>
      </c>
      <c r="H727" s="29" t="str">
        <f>IFERROR(HYPERLINK("#"&amp;ADDRESS(MATCH(B727&amp;"PT",'LM7 Non-ENG'!$A$1:$A$5000,0),1,,,"LM7 Non-ENG"),IF(IFERROR(VLOOKUP(B727&amp;"PT",'LM7 Non-ENG'!$A$1:$A$5000,1,FALSE),"ERROR")=B727&amp;"PT","Y","")),"")</f>
        <v/>
      </c>
      <c r="I727" t="str">
        <f>IFERROR(VLOOKUP(B727,PN!$A:$C,3,FALSE),"")</f>
        <v>Active</v>
      </c>
      <c r="J727" s="3">
        <f>IFERROR(E727*VLOOKUP(B727,PLInter!$A:$D,3,FALSE),"")</f>
        <v>700</v>
      </c>
      <c r="K727" s="66"/>
      <c r="L727" s="66"/>
      <c r="M727" s="66"/>
      <c r="N727" s="66"/>
      <c r="O727" s="66"/>
      <c r="P727" s="66"/>
      <c r="Q727" s="66"/>
      <c r="R727" s="66"/>
      <c r="S727" s="66"/>
      <c r="T727" s="66"/>
    </row>
    <row r="728" spans="2:20" ht="18" customHeight="1">
      <c r="B728" t="str">
        <f>"26-E034-0000"</f>
        <v>26-E034-0000</v>
      </c>
      <c r="C728" t="str">
        <f>"Assembly, JM, E034, DC Motor Panel"</f>
        <v>Assembly, JM, E034, DC Motor Panel</v>
      </c>
      <c r="D728" s="4"/>
      <c r="E728" s="4">
        <v>2</v>
      </c>
      <c r="F728" s="4"/>
      <c r="G728" s="29" t="str">
        <f>IFERROR(HYPERLINK("#"&amp;ADDRESS(MATCH(B728&amp;"ES",'LM7 Non-ENG'!$A$1:$A$5000,0),1,,,"LM7 Non-ENG"),IF(IFERROR(VLOOKUP(B728&amp;"ES",'LM7 Non-ENG'!$A$1:$A$4999,1,FALSE),"ERROR")=B728&amp;"ES","Y","")),"")</f>
        <v/>
      </c>
      <c r="H728" s="29" t="str">
        <f>IFERROR(HYPERLINK("#"&amp;ADDRESS(MATCH(B728&amp;"PT",'LM7 Non-ENG'!$A$1:$A$5000,0),1,,,"LM7 Non-ENG"),IF(IFERROR(VLOOKUP(B728&amp;"PT",'LM7 Non-ENG'!$A$1:$A$5000,1,FALSE),"ERROR")=B728&amp;"PT","Y","")),"")</f>
        <v/>
      </c>
      <c r="I728" t="str">
        <f>IFERROR(VLOOKUP(B728,PN!$A:$C,3,FALSE),"")</f>
        <v>Active</v>
      </c>
      <c r="J728" s="3">
        <f>IFERROR(E728*VLOOKUP(B728,PLInter!$A:$D,3,FALSE),"")</f>
        <v>1800</v>
      </c>
      <c r="K728" s="66"/>
      <c r="L728" s="66"/>
      <c r="M728" s="66"/>
      <c r="N728" s="66"/>
      <c r="O728" s="66"/>
      <c r="P728" s="66"/>
      <c r="Q728" s="66"/>
      <c r="R728" s="66"/>
      <c r="S728" s="66"/>
      <c r="T728" s="66"/>
    </row>
    <row r="729" spans="2:20" ht="18" customHeight="1">
      <c r="B729" t="str">
        <f>"26-E081-0000"</f>
        <v>26-E081-0000</v>
      </c>
      <c r="C729" t="str">
        <f>"Assembly, JM, E081, SCR Panel"</f>
        <v>Assembly, JM, E081, SCR Panel</v>
      </c>
      <c r="D729" s="4"/>
      <c r="E729" s="4">
        <v>2</v>
      </c>
      <c r="F729" s="4"/>
      <c r="G729" s="29" t="str">
        <f>IFERROR(HYPERLINK("#"&amp;ADDRESS(MATCH(B729&amp;"ES",'LM7 Non-ENG'!$A$1:$A$5000,0),1,,,"LM7 Non-ENG"),IF(IFERROR(VLOOKUP(B729&amp;"ES",'LM7 Non-ENG'!$A$1:$A$4999,1,FALSE),"ERROR")=B729&amp;"ES","Y","")),"")</f>
        <v/>
      </c>
      <c r="H729" s="29" t="str">
        <f>IFERROR(HYPERLINK("#"&amp;ADDRESS(MATCH(B729&amp;"PT",'LM7 Non-ENG'!$A$1:$A$5000,0),1,,,"LM7 Non-ENG"),IF(IFERROR(VLOOKUP(B729&amp;"PT",'LM7 Non-ENG'!$A$1:$A$5000,1,FALSE),"ERROR")=B729&amp;"PT","Y","")),"")</f>
        <v/>
      </c>
      <c r="I729" t="str">
        <f>IFERROR(VLOOKUP(B729,PN!$A:$C,3,FALSE),"")</f>
        <v>Active</v>
      </c>
      <c r="J729" s="3">
        <f>IFERROR(E729*VLOOKUP(B729,PLInter!$A:$D,3,FALSE),"")</f>
        <v>700</v>
      </c>
      <c r="K729" s="66"/>
      <c r="L729" s="66"/>
      <c r="M729" s="66"/>
      <c r="N729" s="66"/>
      <c r="O729" s="66"/>
      <c r="P729" s="66"/>
      <c r="Q729" s="66"/>
      <c r="R729" s="66"/>
      <c r="S729" s="66"/>
      <c r="T729" s="66"/>
    </row>
    <row r="730" spans="2:20" ht="18" customHeight="1">
      <c r="B730" t="str">
        <f>"26-E083-0000"</f>
        <v>26-E083-0000</v>
      </c>
      <c r="C730" t="str">
        <f>"Assembly, JM, E083, TRIAC Panel"</f>
        <v>Assembly, JM, E083, TRIAC Panel</v>
      </c>
      <c r="D730" s="4"/>
      <c r="E730" s="4">
        <v>2</v>
      </c>
      <c r="F730" s="4"/>
      <c r="G730" s="29" t="str">
        <f>IFERROR(HYPERLINK("#"&amp;ADDRESS(MATCH(B730&amp;"ES",'LM7 Non-ENG'!$A$1:$A$5000,0),1,,,"LM7 Non-ENG"),IF(IFERROR(VLOOKUP(B730&amp;"ES",'LM7 Non-ENG'!$A$1:$A$4999,1,FALSE),"ERROR")=B730&amp;"ES","Y","")),"")</f>
        <v/>
      </c>
      <c r="H730" s="29" t="str">
        <f>IFERROR(HYPERLINK("#"&amp;ADDRESS(MATCH(B730&amp;"PT",'LM7 Non-ENG'!$A$1:$A$5000,0),1,,,"LM7 Non-ENG"),IF(IFERROR(VLOOKUP(B730&amp;"PT",'LM7 Non-ENG'!$A$1:$A$5000,1,FALSE),"ERROR")=B730&amp;"PT","Y","")),"")</f>
        <v/>
      </c>
      <c r="I730" t="str">
        <f>IFERROR(VLOOKUP(B730,PN!$A:$C,3,FALSE),"")</f>
        <v>Active</v>
      </c>
      <c r="J730" s="3">
        <f>IFERROR(E730*VLOOKUP(B730,PLInter!$A:$D,3,FALSE),"")</f>
        <v>614</v>
      </c>
      <c r="K730" s="66"/>
      <c r="L730" s="66"/>
      <c r="M730" s="66"/>
      <c r="N730" s="66"/>
      <c r="O730" s="66"/>
      <c r="P730" s="66"/>
      <c r="Q730" s="66"/>
      <c r="R730" s="66"/>
      <c r="S730" s="66"/>
      <c r="T730" s="66"/>
    </row>
    <row r="731" spans="2:20" ht="18" customHeight="1">
      <c r="B731" t="str">
        <f>"26-E084-0000"</f>
        <v>26-E084-0000</v>
      </c>
      <c r="C731" t="str">
        <f>"Assembly, JM, E084, DIAC Adjustable Resistors"</f>
        <v>Assembly, JM, E084, DIAC Adjustable Resistors</v>
      </c>
      <c r="D731" s="4"/>
      <c r="E731" s="4">
        <v>2</v>
      </c>
      <c r="F731" s="4"/>
      <c r="G731" s="29" t="str">
        <f>IFERROR(HYPERLINK("#"&amp;ADDRESS(MATCH(B731&amp;"ES",'LM7 Non-ENG'!$A$1:$A$5000,0),1,,,"LM7 Non-ENG"),IF(IFERROR(VLOOKUP(B731&amp;"ES",'LM7 Non-ENG'!$A$1:$A$4999,1,FALSE),"ERROR")=B731&amp;"ES","Y","")),"")</f>
        <v/>
      </c>
      <c r="H731" s="29" t="str">
        <f>IFERROR(HYPERLINK("#"&amp;ADDRESS(MATCH(B731&amp;"PT",'LM7 Non-ENG'!$A$1:$A$5000,0),1,,,"LM7 Non-ENG"),IF(IFERROR(VLOOKUP(B731&amp;"PT",'LM7 Non-ENG'!$A$1:$A$5000,1,FALSE),"ERROR")=B731&amp;"PT","Y","")),"")</f>
        <v/>
      </c>
      <c r="I731" t="str">
        <f>IFERROR(VLOOKUP(B731,PN!$A:$C,3,FALSE),"")</f>
        <v>Active</v>
      </c>
      <c r="J731" s="3">
        <f>IFERROR(E731*VLOOKUP(B731,PLInter!$A:$D,3,FALSE),"")</f>
        <v>788</v>
      </c>
      <c r="K731" s="66"/>
      <c r="L731" s="66"/>
      <c r="M731" s="66"/>
      <c r="N731" s="66"/>
      <c r="O731" s="66"/>
      <c r="P731" s="66"/>
      <c r="Q731" s="66"/>
      <c r="R731" s="66"/>
      <c r="S731" s="66"/>
      <c r="T731" s="66"/>
    </row>
    <row r="732" spans="2:20" ht="18" customHeight="1">
      <c r="B732" t="str">
        <f>"26-E085-0000"</f>
        <v>26-E085-0000</v>
      </c>
      <c r="C732" t="str">
        <f>"Assembly, JM, E085, Triac w/ Schmitt Trigger"</f>
        <v>Assembly, JM, E085, Triac w/ Schmitt Trigger</v>
      </c>
      <c r="D732" s="4"/>
      <c r="E732" s="4">
        <v>2</v>
      </c>
      <c r="F732" s="4"/>
      <c r="G732" s="29" t="str">
        <f>IFERROR(HYPERLINK("#"&amp;ADDRESS(MATCH(B732&amp;"ES",'LM7 Non-ENG'!$A$1:$A$5000,0),1,,,"LM7 Non-ENG"),IF(IFERROR(VLOOKUP(B732&amp;"ES",'LM7 Non-ENG'!$A$1:$A$4999,1,FALSE),"ERROR")=B732&amp;"ES","Y","")),"")</f>
        <v/>
      </c>
      <c r="H732" s="29" t="str">
        <f>IFERROR(HYPERLINK("#"&amp;ADDRESS(MATCH(B732&amp;"PT",'LM7 Non-ENG'!$A$1:$A$5000,0),1,,,"LM7 Non-ENG"),IF(IFERROR(VLOOKUP(B732&amp;"PT",'LM7 Non-ENG'!$A$1:$A$5000,1,FALSE),"ERROR")=B732&amp;"PT","Y","")),"")</f>
        <v/>
      </c>
      <c r="I732" t="str">
        <f>IFERROR(VLOOKUP(B732,PN!$A:$C,3,FALSE),"")</f>
        <v>Active</v>
      </c>
      <c r="J732" s="3">
        <f>IFERROR(E732*VLOOKUP(B732,PLInter!$A:$D,3,FALSE),"")</f>
        <v>1814</v>
      </c>
      <c r="K732" s="66"/>
      <c r="L732" s="66"/>
      <c r="M732" s="66"/>
      <c r="N732" s="66"/>
      <c r="O732" s="66"/>
      <c r="P732" s="66"/>
      <c r="Q732" s="66"/>
      <c r="R732" s="66"/>
      <c r="S732" s="66"/>
      <c r="T732" s="66"/>
    </row>
    <row r="733" spans="2:20" ht="18" customHeight="1">
      <c r="B733" t="str">
        <f>"26-E088-0000"</f>
        <v>26-E088-0000</v>
      </c>
      <c r="C733" t="str">
        <f>"Assembly, JM, E088, PMW Motor Drive Panel"</f>
        <v>Assembly, JM, E088, PMW Motor Drive Panel</v>
      </c>
      <c r="D733" s="4"/>
      <c r="E733" s="4">
        <v>2</v>
      </c>
      <c r="F733" s="4"/>
      <c r="G733" s="29" t="str">
        <f>IFERROR(HYPERLINK("#"&amp;ADDRESS(MATCH(B733&amp;"ES",'LM7 Non-ENG'!$A$1:$A$5000,0),1,,,"LM7 Non-ENG"),IF(IFERROR(VLOOKUP(B733&amp;"ES",'LM7 Non-ENG'!$A$1:$A$4999,1,FALSE),"ERROR")=B733&amp;"ES","Y","")),"")</f>
        <v/>
      </c>
      <c r="H733" s="29" t="str">
        <f>IFERROR(HYPERLINK("#"&amp;ADDRESS(MATCH(B733&amp;"PT",'LM7 Non-ENG'!$A$1:$A$5000,0),1,,,"LM7 Non-ENG"),IF(IFERROR(VLOOKUP(B733&amp;"PT",'LM7 Non-ENG'!$A$1:$A$5000,1,FALSE),"ERROR")=B733&amp;"PT","Y","")),"")</f>
        <v/>
      </c>
      <c r="I733" t="str">
        <f>IFERROR(VLOOKUP(B733,PN!$A:$C,3,FALSE),"")</f>
        <v>Active</v>
      </c>
      <c r="J733" s="3">
        <f>IFERROR(E733*VLOOKUP(B733,PLInter!$A:$D,3,FALSE),"")</f>
        <v>1450</v>
      </c>
      <c r="K733" s="66"/>
      <c r="L733" s="66"/>
      <c r="M733" s="66"/>
      <c r="N733" s="66"/>
      <c r="O733" s="66"/>
      <c r="P733" s="66"/>
      <c r="Q733" s="66"/>
      <c r="R733" s="66"/>
      <c r="S733" s="66"/>
      <c r="T733" s="66"/>
    </row>
    <row r="734" spans="2:20" ht="18" customHeight="1">
      <c r="B734" t="str">
        <f>"26-E157-0000"</f>
        <v>26-E157-0000</v>
      </c>
      <c r="C734" t="str">
        <f>"Assembly, JM, E157, Electric AC/DC Motors"</f>
        <v>Assembly, JM, E157, Electric AC/DC Motors</v>
      </c>
      <c r="D734" s="4"/>
      <c r="E734" s="4">
        <v>2</v>
      </c>
      <c r="F734" s="4"/>
      <c r="G734" s="29" t="str">
        <f>IFERROR(HYPERLINK("#"&amp;ADDRESS(MATCH(B734&amp;"ES",'LM7 Non-ENG'!$A$1:$A$5000,0),1,,,"LM7 Non-ENG"),IF(IFERROR(VLOOKUP(B734&amp;"ES",'LM7 Non-ENG'!$A$1:$A$4999,1,FALSE),"ERROR")=B734&amp;"ES","Y","")),"")</f>
        <v/>
      </c>
      <c r="H734" s="29" t="str">
        <f>IFERROR(HYPERLINK("#"&amp;ADDRESS(MATCH(B734&amp;"PT",'LM7 Non-ENG'!$A$1:$A$5000,0),1,,,"LM7 Non-ENG"),IF(IFERROR(VLOOKUP(B734&amp;"PT",'LM7 Non-ENG'!$A$1:$A$5000,1,FALSE),"ERROR")=B734&amp;"PT","Y","")),"")</f>
        <v/>
      </c>
      <c r="I734" t="str">
        <f>IFERROR(VLOOKUP(B734,PN!$A:$C,3,FALSE),"")</f>
        <v>Active</v>
      </c>
      <c r="J734" s="3">
        <f>IFERROR(E734*VLOOKUP(B734,PLInter!$A:$D,3,FALSE),"")</f>
        <v>1600</v>
      </c>
      <c r="K734" s="66"/>
      <c r="L734" s="66"/>
      <c r="M734" s="66"/>
      <c r="N734" s="66"/>
      <c r="O734" s="66"/>
      <c r="P734" s="66"/>
      <c r="Q734" s="66"/>
      <c r="R734" s="66"/>
      <c r="S734" s="66"/>
      <c r="T734" s="66"/>
    </row>
    <row r="735" spans="2:20" ht="18" customHeight="1">
      <c r="B735" s="1" t="str">
        <f>"36-EB03-IG01"</f>
        <v>36-EB03-IG01</v>
      </c>
      <c r="C735" s="1" t="str">
        <f>"JM, PDF on CD Thyristor Motor Drives - EB03"</f>
        <v>JM, PDF on CD Thyristor Motor Drives - EB03</v>
      </c>
      <c r="D735" s="6" t="s">
        <v>0</v>
      </c>
      <c r="E735" s="6">
        <v>1</v>
      </c>
      <c r="F735" s="6"/>
      <c r="G735" s="29" t="str">
        <f>IFERROR(HYPERLINK("#"&amp;ADDRESS(MATCH(B735&amp;"ES",'LM7 Non-ENG'!$A$1:$A$5000,0),1,,,"LM7 Non-ENG"),IF(IFERROR(VLOOKUP(B735&amp;"ES",'LM7 Non-ENG'!$A$1:$A$4999,1,FALSE),"ERROR")=B735&amp;"ES","Y","")),"")</f>
        <v/>
      </c>
      <c r="H735" s="29" t="str">
        <f>IFERROR(HYPERLINK("#"&amp;ADDRESS(MATCH(B735&amp;"PT",'LM7 Non-ENG'!$A$1:$A$5000,0),1,,,"LM7 Non-ENG"),IF(IFERROR(VLOOKUP(B735&amp;"PT",'LM7 Non-ENG'!$A$1:$A$5000,1,FALSE),"ERROR")=B735&amp;"PT","Y","")),"")</f>
        <v/>
      </c>
      <c r="I735" t="str">
        <f>IFERROR(VLOOKUP(B735,PN!$A:$C,3,FALSE),"")</f>
        <v>Active</v>
      </c>
      <c r="J735" s="3" t="str">
        <f>IFERROR(E735*VLOOKUP(B735,PLInter!$A:$D,3,FALSE),"")</f>
        <v/>
      </c>
      <c r="K735" s="66"/>
      <c r="L735" s="66"/>
      <c r="M735" s="66"/>
      <c r="N735" s="66"/>
      <c r="O735" s="66"/>
      <c r="P735" s="66"/>
      <c r="Q735" s="66"/>
      <c r="R735" s="66"/>
      <c r="S735" s="66"/>
      <c r="T735" s="66"/>
    </row>
    <row r="736" spans="2:20" ht="18" customHeight="1">
      <c r="B736" t="str">
        <f>"26-E082-0000"</f>
        <v>26-E082-0000</v>
      </c>
      <c r="C736" t="str">
        <f>"Assembly, JM, E082, Full Wave SCR DC Drive Panel"</f>
        <v>Assembly, JM, E082, Full Wave SCR DC Drive Panel</v>
      </c>
      <c r="D736" s="4"/>
      <c r="E736" s="4">
        <v>2</v>
      </c>
      <c r="F736" s="4"/>
      <c r="G736" s="29" t="str">
        <f>IFERROR(HYPERLINK("#"&amp;ADDRESS(MATCH(B736&amp;"ES",'LM7 Non-ENG'!$A$1:$A$5000,0),1,,,"LM7 Non-ENG"),IF(IFERROR(VLOOKUP(B736&amp;"ES",'LM7 Non-ENG'!$A$1:$A$4999,1,FALSE),"ERROR")=B736&amp;"ES","Y","")),"")</f>
        <v/>
      </c>
      <c r="H736" s="29" t="str">
        <f>IFERROR(HYPERLINK("#"&amp;ADDRESS(MATCH(B736&amp;"PT",'LM7 Non-ENG'!$A$1:$A$5000,0),1,,,"LM7 Non-ENG"),IF(IFERROR(VLOOKUP(B736&amp;"PT",'LM7 Non-ENG'!$A$1:$A$5000,1,FALSE),"ERROR")=B736&amp;"PT","Y","")),"")</f>
        <v/>
      </c>
      <c r="I736" t="str">
        <f>IFERROR(VLOOKUP(B736,PN!$A:$C,3,FALSE),"")</f>
        <v>Active</v>
      </c>
      <c r="J736" s="3">
        <f>IFERROR(E736*VLOOKUP(B736,PLInter!$A:$D,3,FALSE),"")</f>
        <v>2000</v>
      </c>
      <c r="K736" s="66"/>
      <c r="L736" s="66"/>
      <c r="M736" s="66"/>
      <c r="N736" s="66"/>
      <c r="O736" s="66"/>
      <c r="P736" s="66"/>
      <c r="Q736" s="66"/>
      <c r="R736" s="66"/>
      <c r="S736" s="66"/>
      <c r="T736" s="66"/>
    </row>
    <row r="737" spans="1:20" ht="18" customHeight="1">
      <c r="B737" t="str">
        <f>"77-EB04-0000"</f>
        <v>77-EB04-0000</v>
      </c>
      <c r="C737" t="str">
        <f>"LM7 Content, JM, Electronic Timers &amp; Triggers"</f>
        <v>LM7 Content, JM, Electronic Timers &amp; Triggers</v>
      </c>
      <c r="D737" s="4"/>
      <c r="E737" s="4">
        <v>1</v>
      </c>
      <c r="F737" s="4"/>
      <c r="G737" s="29" t="str">
        <f>IFERROR(HYPERLINK("#"&amp;ADDRESS(MATCH(B737&amp;"ES",'LM7 Non-ENG'!$A$1:$A$5000,0),1,,,"LM7 Non-ENG"),IF(IFERROR(VLOOKUP(B737&amp;"ES",'LM7 Non-ENG'!$A$1:$A$4999,1,FALSE),"ERROR")=B737&amp;"ES","Y","")),"")</f>
        <v>Y</v>
      </c>
      <c r="H737" s="29" t="str">
        <f>IFERROR(HYPERLINK("#"&amp;ADDRESS(MATCH(B737&amp;"PT",'LM7 Non-ENG'!$A$1:$A$5000,0),1,,,"LM7 Non-ENG"),IF(IFERROR(VLOOKUP(B737&amp;"PT",'LM7 Non-ENG'!$A$1:$A$5000,1,FALSE),"ERROR")=B737&amp;"PT","Y","")),"")</f>
        <v/>
      </c>
      <c r="I737" t="str">
        <f>IFERROR(VLOOKUP(B737,PN!$A:$C,3,FALSE),"")</f>
        <v>Active</v>
      </c>
      <c r="J737" s="3">
        <f>IFERROR(E737*VLOOKUP(B737,PLInter!$A:$D,3,FALSE),"")</f>
        <v>700</v>
      </c>
      <c r="K737" s="66"/>
      <c r="L737" s="66"/>
      <c r="M737" s="66"/>
      <c r="N737" s="66"/>
      <c r="O737" s="66"/>
      <c r="P737" s="66"/>
      <c r="Q737" s="66"/>
      <c r="R737" s="66"/>
      <c r="S737" s="66"/>
      <c r="T737" s="66"/>
    </row>
    <row r="738" spans="1:20" ht="18" customHeight="1">
      <c r="B738" s="2" t="str">
        <f>"17-EB04-0000"</f>
        <v>17-EB04-0000</v>
      </c>
      <c r="C738" s="2" t="str">
        <f>"LM5.X Content, JM, Electronic Timers &amp; Triggers"</f>
        <v>LM5.X Content, JM, Electronic Timers &amp; Triggers</v>
      </c>
      <c r="D738" s="5"/>
      <c r="E738" s="5">
        <v>1</v>
      </c>
      <c r="F738" s="5" t="str">
        <f>"Y"</f>
        <v>Y</v>
      </c>
      <c r="G738" s="29" t="str">
        <f>IFERROR(HYPERLINK("#"&amp;ADDRESS(MATCH(B738&amp;"ES",'LM7 Non-ENG'!$A$1:$A$5000,0),1,,,"LM7 Non-ENG"),IF(IFERROR(VLOOKUP(B738&amp;"ES",'LM7 Non-ENG'!$A$1:$A$4999,1,FALSE),"ERROR")=B738&amp;"ES","Y","")),"")</f>
        <v/>
      </c>
      <c r="H738" s="29" t="str">
        <f>IFERROR(HYPERLINK("#"&amp;ADDRESS(MATCH(B738&amp;"PT",'LM7 Non-ENG'!$A$1:$A$5000,0),1,,,"LM7 Non-ENG"),IF(IFERROR(VLOOKUP(B738&amp;"PT",'LM7 Non-ENG'!$A$1:$A$5000,1,FALSE),"ERROR")=B738&amp;"PT","Y","")),"")</f>
        <v/>
      </c>
      <c r="I738" t="str">
        <f>IFERROR(VLOOKUP(B738,PN!$A:$C,3,FALSE),"")</f>
        <v>Active</v>
      </c>
      <c r="J738" s="3">
        <f>IFERROR(E738*VLOOKUP(B738,PLInter!$A:$D,3,FALSE),"")</f>
        <v>700</v>
      </c>
      <c r="K738" s="66"/>
      <c r="L738" s="66"/>
      <c r="M738" s="66"/>
      <c r="N738" s="66"/>
      <c r="O738" s="66"/>
      <c r="P738" s="66"/>
      <c r="Q738" s="66"/>
      <c r="R738" s="66"/>
      <c r="S738" s="66"/>
      <c r="T738" s="66"/>
    </row>
    <row r="739" spans="1:20" ht="18" customHeight="1">
      <c r="B739" t="str">
        <f>"26-E089-0000"</f>
        <v>26-E089-0000</v>
      </c>
      <c r="C739" t="str">
        <f>"Assembly, JM, E089, Timers and Triggers Panel"</f>
        <v>Assembly, JM, E089, Timers and Triggers Panel</v>
      </c>
      <c r="D739" s="4"/>
      <c r="E739" s="4">
        <v>2</v>
      </c>
      <c r="F739" s="4"/>
      <c r="G739" s="29" t="str">
        <f>IFERROR(HYPERLINK("#"&amp;ADDRESS(MATCH(B739&amp;"ES",'LM7 Non-ENG'!$A$1:$A$5000,0),1,,,"LM7 Non-ENG"),IF(IFERROR(VLOOKUP(B739&amp;"ES",'LM7 Non-ENG'!$A$1:$A$4999,1,FALSE),"ERROR")=B739&amp;"ES","Y","")),"")</f>
        <v/>
      </c>
      <c r="H739" s="29" t="str">
        <f>IFERROR(HYPERLINK("#"&amp;ADDRESS(MATCH(B739&amp;"PT",'LM7 Non-ENG'!$A$1:$A$5000,0),1,,,"LM7 Non-ENG"),IF(IFERROR(VLOOKUP(B739&amp;"PT",'LM7 Non-ENG'!$A$1:$A$5000,1,FALSE),"ERROR")=B739&amp;"PT","Y","")),"")</f>
        <v/>
      </c>
      <c r="I739" t="str">
        <f>IFERROR(VLOOKUP(B739,PN!$A:$C,3,FALSE),"")</f>
        <v>Active</v>
      </c>
      <c r="J739" s="3">
        <f>IFERROR(E739*VLOOKUP(B739,PLInter!$A:$D,3,FALSE),"")</f>
        <v>2000</v>
      </c>
      <c r="K739" s="66"/>
      <c r="L739" s="66"/>
      <c r="M739" s="66"/>
      <c r="N739" s="66"/>
      <c r="O739" s="66"/>
      <c r="P739" s="66"/>
      <c r="Q739" s="66"/>
      <c r="R739" s="66"/>
      <c r="S739" s="66"/>
      <c r="T739" s="66"/>
    </row>
    <row r="740" spans="1:20" ht="18" customHeight="1">
      <c r="B740" s="1" t="str">
        <f>"36-EB04-IG01"</f>
        <v>36-EB04-IG01</v>
      </c>
      <c r="C740" s="1" t="str">
        <f>"JM, PDF on CD Electronic Timers &amp; Triggers- EB04"</f>
        <v>JM, PDF on CD Electronic Timers &amp; Triggers- EB04</v>
      </c>
      <c r="D740" s="6" t="s">
        <v>0</v>
      </c>
      <c r="E740" s="6">
        <v>1</v>
      </c>
      <c r="F740" s="6"/>
      <c r="G740" s="29" t="str">
        <f>IFERROR(HYPERLINK("#"&amp;ADDRESS(MATCH(B740&amp;"ES",'LM7 Non-ENG'!$A$1:$A$5000,0),1,,,"LM7 Non-ENG"),IF(IFERROR(VLOOKUP(B740&amp;"ES",'LM7 Non-ENG'!$A$1:$A$4999,1,FALSE),"ERROR")=B740&amp;"ES","Y","")),"")</f>
        <v/>
      </c>
      <c r="H740" s="29" t="str">
        <f>IFERROR(HYPERLINK("#"&amp;ADDRESS(MATCH(B740&amp;"PT",'LM7 Non-ENG'!$A$1:$A$5000,0),1,,,"LM7 Non-ENG"),IF(IFERROR(VLOOKUP(B740&amp;"PT",'LM7 Non-ENG'!$A$1:$A$5000,1,FALSE),"ERROR")=B740&amp;"PT","Y","")),"")</f>
        <v/>
      </c>
      <c r="I740" t="str">
        <f>IFERROR(VLOOKUP(B740,PN!$A:$C,3,FALSE),"")</f>
        <v>Active</v>
      </c>
      <c r="J740" s="3" t="str">
        <f>IFERROR(E740*VLOOKUP(B740,PLInter!$A:$D,3,FALSE),"")</f>
        <v/>
      </c>
      <c r="K740" s="66"/>
      <c r="L740" s="66"/>
      <c r="M740" s="66"/>
      <c r="N740" s="66"/>
      <c r="O740" s="66"/>
      <c r="P740" s="66"/>
      <c r="Q740" s="66"/>
      <c r="R740" s="66"/>
      <c r="S740" s="66"/>
      <c r="T740" s="66"/>
    </row>
    <row r="741" spans="1:20" ht="18" customHeight="1">
      <c r="B741" t="str">
        <f>"77-EB05-0000"</f>
        <v>77-EB05-0000</v>
      </c>
      <c r="C741" t="str">
        <f>"LM7 Content, JM, Basic Stepper Motors &amp; Drives"</f>
        <v>LM7 Content, JM, Basic Stepper Motors &amp; Drives</v>
      </c>
      <c r="D741" s="4"/>
      <c r="E741" s="4">
        <v>1</v>
      </c>
      <c r="F741" s="4"/>
      <c r="G741" s="29" t="str">
        <f>IFERROR(HYPERLINK("#"&amp;ADDRESS(MATCH(B741&amp;"ES",'LM7 Non-ENG'!$A$1:$A$5000,0),1,,,"LM7 Non-ENG"),IF(IFERROR(VLOOKUP(B741&amp;"ES",'LM7 Non-ENG'!$A$1:$A$4999,1,FALSE),"ERROR")=B741&amp;"ES","Y","")),"")</f>
        <v>Y</v>
      </c>
      <c r="H741" s="29" t="str">
        <f>IFERROR(HYPERLINK("#"&amp;ADDRESS(MATCH(B741&amp;"PT",'LM7 Non-ENG'!$A$1:$A$5000,0),1,,,"LM7 Non-ENG"),IF(IFERROR(VLOOKUP(B741&amp;"PT",'LM7 Non-ENG'!$A$1:$A$5000,1,FALSE),"ERROR")=B741&amp;"PT","Y","")),"")</f>
        <v/>
      </c>
      <c r="I741" t="str">
        <f>IFERROR(VLOOKUP(B741,PN!$A:$C,3,FALSE),"")</f>
        <v>Active</v>
      </c>
      <c r="J741" s="3">
        <f>IFERROR(E741*VLOOKUP(B741,PLInter!$A:$D,3,FALSE),"")</f>
        <v>700</v>
      </c>
      <c r="K741" s="66"/>
      <c r="L741" s="66"/>
      <c r="M741" s="66"/>
      <c r="N741" s="66"/>
      <c r="O741" s="66"/>
      <c r="P741" s="66"/>
      <c r="Q741" s="66"/>
      <c r="R741" s="66"/>
      <c r="S741" s="66"/>
      <c r="T741" s="66"/>
    </row>
    <row r="742" spans="1:20" ht="18" customHeight="1">
      <c r="B742" s="2" t="str">
        <f>"17-EB05-0000"</f>
        <v>17-EB05-0000</v>
      </c>
      <c r="C742" s="2" t="str">
        <f>"LM5.X Content, JM, Basic Stepper Motors &amp; Drives"</f>
        <v>LM5.X Content, JM, Basic Stepper Motors &amp; Drives</v>
      </c>
      <c r="D742" s="5"/>
      <c r="E742" s="5">
        <v>1</v>
      </c>
      <c r="F742" s="5" t="str">
        <f>"Y"</f>
        <v>Y</v>
      </c>
      <c r="G742" s="29" t="str">
        <f>IFERROR(HYPERLINK("#"&amp;ADDRESS(MATCH(B742&amp;"ES",'LM7 Non-ENG'!$A$1:$A$5000,0),1,,,"LM7 Non-ENG"),IF(IFERROR(VLOOKUP(B742&amp;"ES",'LM7 Non-ENG'!$A$1:$A$4999,1,FALSE),"ERROR")=B742&amp;"ES","Y","")),"")</f>
        <v/>
      </c>
      <c r="H742" s="29" t="str">
        <f>IFERROR(HYPERLINK("#"&amp;ADDRESS(MATCH(B742&amp;"PT",'LM7 Non-ENG'!$A$1:$A$5000,0),1,,,"LM7 Non-ENG"),IF(IFERROR(VLOOKUP(B742&amp;"PT",'LM7 Non-ENG'!$A$1:$A$5000,1,FALSE),"ERROR")=B742&amp;"PT","Y","")),"")</f>
        <v/>
      </c>
      <c r="I742" t="str">
        <f>IFERROR(VLOOKUP(B742,PN!$A:$C,3,FALSE),"")</f>
        <v>Active</v>
      </c>
      <c r="J742" s="3">
        <f>IFERROR(E742*VLOOKUP(B742,PLInter!$A:$D,3,FALSE),"")</f>
        <v>700</v>
      </c>
      <c r="K742" s="66"/>
      <c r="L742" s="66"/>
      <c r="M742" s="66"/>
      <c r="N742" s="66"/>
      <c r="O742" s="66"/>
      <c r="P742" s="66"/>
      <c r="Q742" s="66"/>
      <c r="R742" s="66"/>
      <c r="S742" s="66"/>
      <c r="T742" s="66"/>
    </row>
    <row r="743" spans="1:20" ht="18" customHeight="1">
      <c r="B743" t="str">
        <f>"26-E090-0000"</f>
        <v>26-E090-0000</v>
      </c>
      <c r="C743" t="str">
        <f>"Assembly, JM, E090, Stepper Motor &amp; Drive Panel"</f>
        <v>Assembly, JM, E090, Stepper Motor &amp; Drive Panel</v>
      </c>
      <c r="D743" s="4"/>
      <c r="E743" s="4">
        <v>2</v>
      </c>
      <c r="F743" s="4"/>
      <c r="G743" s="29" t="str">
        <f>IFERROR(HYPERLINK("#"&amp;ADDRESS(MATCH(B743&amp;"ES",'LM7 Non-ENG'!$A$1:$A$5000,0),1,,,"LM7 Non-ENG"),IF(IFERROR(VLOOKUP(B743&amp;"ES",'LM7 Non-ENG'!$A$1:$A$4999,1,FALSE),"ERROR")=B743&amp;"ES","Y","")),"")</f>
        <v/>
      </c>
      <c r="H743" s="29" t="str">
        <f>IFERROR(HYPERLINK("#"&amp;ADDRESS(MATCH(B743&amp;"PT",'LM7 Non-ENG'!$A$1:$A$5000,0),1,,,"LM7 Non-ENG"),IF(IFERROR(VLOOKUP(B743&amp;"PT",'LM7 Non-ENG'!$A$1:$A$5000,1,FALSE),"ERROR")=B743&amp;"PT","Y","")),"")</f>
        <v/>
      </c>
      <c r="I743" t="str">
        <f>IFERROR(VLOOKUP(B743,PN!$A:$C,3,FALSE),"")</f>
        <v>Active</v>
      </c>
      <c r="J743" s="3">
        <f>IFERROR(E743*VLOOKUP(B743,PLInter!$A:$D,3,FALSE),"")</f>
        <v>3200</v>
      </c>
      <c r="K743" s="66"/>
      <c r="L743" s="66"/>
      <c r="M743" s="66"/>
      <c r="N743" s="66"/>
      <c r="O743" s="66"/>
      <c r="P743" s="66"/>
      <c r="Q743" s="66"/>
      <c r="R743" s="66"/>
      <c r="S743" s="66"/>
      <c r="T743" s="66"/>
    </row>
    <row r="744" spans="1:20" ht="18" customHeight="1">
      <c r="B744" s="1" t="str">
        <f>"36-EB05-IG01"</f>
        <v>36-EB05-IG01</v>
      </c>
      <c r="C744" s="1" t="str">
        <f>"JM, PDF on CD Basic Stepper Motor &amp; Drives- EB05"</f>
        <v>JM, PDF on CD Basic Stepper Motor &amp; Drives- EB05</v>
      </c>
      <c r="D744" s="6" t="s">
        <v>0</v>
      </c>
      <c r="E744" s="6">
        <v>1</v>
      </c>
      <c r="F744" s="6"/>
      <c r="G744" s="29" t="str">
        <f>IFERROR(HYPERLINK("#"&amp;ADDRESS(MATCH(B744&amp;"ES",'LM7 Non-ENG'!$A$1:$A$5000,0),1,,,"LM7 Non-ENG"),IF(IFERROR(VLOOKUP(B744&amp;"ES",'LM7 Non-ENG'!$A$1:$A$4999,1,FALSE),"ERROR")=B744&amp;"ES","Y","")),"")</f>
        <v/>
      </c>
      <c r="H744" s="29" t="str">
        <f>IFERROR(HYPERLINK("#"&amp;ADDRESS(MATCH(B744&amp;"PT",'LM7 Non-ENG'!$A$1:$A$5000,0),1,,,"LM7 Non-ENG"),IF(IFERROR(VLOOKUP(B744&amp;"PT",'LM7 Non-ENG'!$A$1:$A$5000,1,FALSE),"ERROR")=B744&amp;"PT","Y","")),"")</f>
        <v/>
      </c>
      <c r="I744" t="str">
        <f>IFERROR(VLOOKUP(B744,PN!$A:$C,3,FALSE),"")</f>
        <v>Active</v>
      </c>
      <c r="J744" s="3" t="str">
        <f>IFERROR(E744*VLOOKUP(B744,PLInter!$A:$D,3,FALSE),"")</f>
        <v/>
      </c>
      <c r="K744" s="66"/>
      <c r="L744" s="66"/>
      <c r="M744" s="66"/>
      <c r="N744" s="66"/>
      <c r="O744" s="66"/>
      <c r="P744" s="66"/>
      <c r="Q744" s="66"/>
      <c r="R744" s="66"/>
      <c r="S744" s="66"/>
      <c r="T744" s="66"/>
    </row>
    <row r="745" spans="1:20" ht="18" customHeight="1">
      <c r="B745" t="str">
        <f>"77-EB06-0000"</f>
        <v>77-EB06-0000</v>
      </c>
      <c r="C745" t="str">
        <f>"LM7 Content, JM, Basic Servo Motor Drives"</f>
        <v>LM7 Content, JM, Basic Servo Motor Drives</v>
      </c>
      <c r="D745" s="4"/>
      <c r="E745" s="4">
        <v>1</v>
      </c>
      <c r="F745" s="4"/>
      <c r="G745" s="29" t="str">
        <f>IFERROR(HYPERLINK("#"&amp;ADDRESS(MATCH(B745&amp;"ES",'LM7 Non-ENG'!$A$1:$A$5000,0),1,,,"LM7 Non-ENG"),IF(IFERROR(VLOOKUP(B745&amp;"ES",'LM7 Non-ENG'!$A$1:$A$4999,1,FALSE),"ERROR")=B745&amp;"ES","Y","")),"")</f>
        <v>Y</v>
      </c>
      <c r="H745" s="29" t="str">
        <f>IFERROR(HYPERLINK("#"&amp;ADDRESS(MATCH(B745&amp;"PT",'LM7 Non-ENG'!$A$1:$A$5000,0),1,,,"LM7 Non-ENG"),IF(IFERROR(VLOOKUP(B745&amp;"PT",'LM7 Non-ENG'!$A$1:$A$5000,1,FALSE),"ERROR")=B745&amp;"PT","Y","")),"")</f>
        <v/>
      </c>
      <c r="I745" t="str">
        <f>IFERROR(VLOOKUP(B745,PN!$A:$C,3,FALSE),"")</f>
        <v>Active</v>
      </c>
      <c r="J745" s="3">
        <f>IFERROR(E745*VLOOKUP(B745,PLInter!$A:$D,3,FALSE),"")</f>
        <v>700</v>
      </c>
      <c r="K745" s="66"/>
      <c r="L745" s="66"/>
      <c r="M745" s="66"/>
      <c r="N745" s="66"/>
      <c r="O745" s="66"/>
      <c r="P745" s="66"/>
      <c r="Q745" s="66"/>
      <c r="R745" s="66"/>
      <c r="S745" s="66"/>
      <c r="T745" s="66"/>
    </row>
    <row r="746" spans="1:20" ht="18" customHeight="1">
      <c r="B746" s="2" t="str">
        <f>"17-EB06-0000"</f>
        <v>17-EB06-0000</v>
      </c>
      <c r="C746" s="2" t="str">
        <f>"LM5.X Content, JM, Basic Servo Motor Drives"</f>
        <v>LM5.X Content, JM, Basic Servo Motor Drives</v>
      </c>
      <c r="D746" s="5"/>
      <c r="E746" s="5">
        <v>1</v>
      </c>
      <c r="F746" s="5" t="str">
        <f>"Y"</f>
        <v>Y</v>
      </c>
      <c r="G746" s="29" t="str">
        <f>IFERROR(HYPERLINK("#"&amp;ADDRESS(MATCH(B746&amp;"ES",'LM7 Non-ENG'!$A$1:$A$5000,0),1,,,"LM7 Non-ENG"),IF(IFERROR(VLOOKUP(B746&amp;"ES",'LM7 Non-ENG'!$A$1:$A$4999,1,FALSE),"ERROR")=B746&amp;"ES","Y","")),"")</f>
        <v/>
      </c>
      <c r="H746" s="29" t="str">
        <f>IFERROR(HYPERLINK("#"&amp;ADDRESS(MATCH(B746&amp;"PT",'LM7 Non-ENG'!$A$1:$A$5000,0),1,,,"LM7 Non-ENG"),IF(IFERROR(VLOOKUP(B746&amp;"PT",'LM7 Non-ENG'!$A$1:$A$5000,1,FALSE),"ERROR")=B746&amp;"PT","Y","")),"")</f>
        <v/>
      </c>
      <c r="I746" t="str">
        <f>IFERROR(VLOOKUP(B746,PN!$A:$C,3,FALSE),"")</f>
        <v>Active</v>
      </c>
      <c r="J746" s="3">
        <f>IFERROR(E746*VLOOKUP(B746,PLInter!$A:$D,3,FALSE),"")</f>
        <v>700</v>
      </c>
      <c r="K746" s="66"/>
      <c r="L746" s="66"/>
      <c r="M746" s="66"/>
      <c r="N746" s="66"/>
      <c r="O746" s="66"/>
      <c r="P746" s="66"/>
      <c r="Q746" s="66"/>
      <c r="R746" s="66"/>
      <c r="S746" s="66"/>
      <c r="T746" s="66"/>
    </row>
    <row r="747" spans="1:20" ht="18" customHeight="1">
      <c r="B747" t="str">
        <f>"26-E091-0000"</f>
        <v>26-E091-0000</v>
      </c>
      <c r="C747" t="str">
        <f>"Assembly, JM, E091, Servo Motor&amp; Drive Panel"</f>
        <v>Assembly, JM, E091, Servo Motor&amp; Drive Panel</v>
      </c>
      <c r="D747" s="4"/>
      <c r="E747" s="4">
        <v>2</v>
      </c>
      <c r="F747" s="4"/>
      <c r="G747" s="29" t="str">
        <f>IFERROR(HYPERLINK("#"&amp;ADDRESS(MATCH(B747&amp;"ES",'LM7 Non-ENG'!$A$1:$A$5000,0),1,,,"LM7 Non-ENG"),IF(IFERROR(VLOOKUP(B747&amp;"ES",'LM7 Non-ENG'!$A$1:$A$4999,1,FALSE),"ERROR")=B747&amp;"ES","Y","")),"")</f>
        <v/>
      </c>
      <c r="H747" s="29" t="str">
        <f>IFERROR(HYPERLINK("#"&amp;ADDRESS(MATCH(B747&amp;"PT",'LM7 Non-ENG'!$A$1:$A$5000,0),1,,,"LM7 Non-ENG"),IF(IFERROR(VLOOKUP(B747&amp;"PT",'LM7 Non-ENG'!$A$1:$A$5000,1,FALSE),"ERROR")=B747&amp;"PT","Y","")),"")</f>
        <v/>
      </c>
      <c r="I747" t="str">
        <f>IFERROR(VLOOKUP(B747,PN!$A:$C,3,FALSE),"")</f>
        <v>Active</v>
      </c>
      <c r="J747" s="3">
        <f>IFERROR(E747*VLOOKUP(B747,PLInter!$A:$D,3,FALSE),"")</f>
        <v>1534</v>
      </c>
      <c r="K747" s="66"/>
      <c r="L747" s="66"/>
      <c r="M747" s="66"/>
      <c r="N747" s="66"/>
      <c r="O747" s="66"/>
      <c r="P747" s="66"/>
      <c r="Q747" s="66"/>
      <c r="R747" s="66"/>
      <c r="S747" s="66"/>
      <c r="T747" s="66"/>
    </row>
    <row r="748" spans="1:20" ht="18" customHeight="1">
      <c r="B748" s="1" t="str">
        <f>"36-EB06-IG01"</f>
        <v>36-EB06-IG01</v>
      </c>
      <c r="C748" s="1" t="str">
        <f>"JM, PDF on CD Basic Servo Motor Drives - EB06"</f>
        <v>JM, PDF on CD Basic Servo Motor Drives - EB06</v>
      </c>
      <c r="D748" s="6" t="s">
        <v>0</v>
      </c>
      <c r="E748" s="6">
        <v>1</v>
      </c>
      <c r="F748" s="6"/>
      <c r="G748" s="29" t="str">
        <f>IFERROR(HYPERLINK("#"&amp;ADDRESS(MATCH(B748&amp;"ES",'LM7 Non-ENG'!$A$1:$A$5000,0),1,,,"LM7 Non-ENG"),IF(IFERROR(VLOOKUP(B748&amp;"ES",'LM7 Non-ENG'!$A$1:$A$4999,1,FALSE),"ERROR")=B748&amp;"ES","Y","")),"")</f>
        <v/>
      </c>
      <c r="H748" s="29" t="str">
        <f>IFERROR(HYPERLINK("#"&amp;ADDRESS(MATCH(B748&amp;"PT",'LM7 Non-ENG'!$A$1:$A$5000,0),1,,,"LM7 Non-ENG"),IF(IFERROR(VLOOKUP(B748&amp;"PT",'LM7 Non-ENG'!$A$1:$A$5000,1,FALSE),"ERROR")=B748&amp;"PT","Y","")),"")</f>
        <v/>
      </c>
      <c r="I748" t="str">
        <f>IFERROR(VLOOKUP(B748,PN!$A:$C,3,FALSE),"")</f>
        <v>Active</v>
      </c>
      <c r="J748" s="3" t="str">
        <f>IFERROR(E748*VLOOKUP(B748,PLInter!$A:$D,3,FALSE),"")</f>
        <v/>
      </c>
      <c r="K748" s="66"/>
      <c r="L748" s="66"/>
      <c r="M748" s="66"/>
      <c r="N748" s="66"/>
      <c r="O748" s="66"/>
      <c r="P748" s="66"/>
      <c r="Q748" s="66"/>
      <c r="R748" s="66"/>
      <c r="S748" s="66"/>
      <c r="T748" s="66"/>
    </row>
    <row r="749" spans="1:20" ht="18" customHeight="1">
      <c r="B749" t="str">
        <f>"10-PPSU-0001"</f>
        <v>10-PPSU-0001</v>
      </c>
      <c r="C749" t="str">
        <f>"JM, Portable Panel Storage Unit"</f>
        <v>JM, Portable Panel Storage Unit</v>
      </c>
      <c r="D749" s="4"/>
      <c r="E749" s="4">
        <v>1</v>
      </c>
      <c r="F749" s="4"/>
      <c r="G749" s="29" t="str">
        <f>IFERROR(HYPERLINK("#"&amp;ADDRESS(MATCH(B749&amp;"ES",'LM7 Non-ENG'!$A$1:$A$5000,0),1,,,"LM7 Non-ENG"),IF(IFERROR(VLOOKUP(B749&amp;"ES",'LM7 Non-ENG'!$A$1:$A$4999,1,FALSE),"ERROR")=B749&amp;"ES","Y","")),"")</f>
        <v/>
      </c>
      <c r="H749" s="29" t="str">
        <f>IFERROR(HYPERLINK("#"&amp;ADDRESS(MATCH(B749&amp;"PT",'LM7 Non-ENG'!$A$1:$A$5000,0),1,,,"LM7 Non-ENG"),IF(IFERROR(VLOOKUP(B749&amp;"PT",'LM7 Non-ENG'!$A$1:$A$5000,1,FALSE),"ERROR")=B749&amp;"PT","Y","")),"")</f>
        <v/>
      </c>
      <c r="I749" t="str">
        <f>IFERROR(VLOOKUP(B749,PN!$A:$C,3,FALSE),"")</f>
        <v>Active</v>
      </c>
      <c r="J749" s="3">
        <f>IFERROR(E749*VLOOKUP(B749,PLInter!$A:$D,3,FALSE),"")</f>
        <v>2200</v>
      </c>
      <c r="K749" s="66"/>
      <c r="L749" s="66"/>
      <c r="M749" s="66"/>
      <c r="N749" s="66"/>
      <c r="O749" s="66"/>
      <c r="P749" s="66"/>
      <c r="Q749" s="66"/>
      <c r="R749" s="66"/>
      <c r="S749" s="66"/>
      <c r="T749" s="66"/>
    </row>
    <row r="750" spans="1:20" ht="18" customHeight="1">
      <c r="G750" s="29" t="str">
        <f>IFERROR(HYPERLINK("#"&amp;ADDRESS(MATCH(B750&amp;"ES",'LM7 Non-ENG'!$A$1:$A$5000,0),1,,,"LM7 Non-ENG"),IF(IFERROR(VLOOKUP(B750&amp;"ES",'LM7 Non-ENG'!$A$1:$A$4999,1,FALSE),"ERROR")=B750&amp;"ES","Y","")),"")</f>
        <v/>
      </c>
      <c r="H750" s="29" t="str">
        <f>IFERROR(HYPERLINK("#"&amp;ADDRESS(MATCH(B750&amp;"PT",'LM7 Non-ENG'!$A$1:$A$5000,0),1,,,"LM7 Non-ENG"),IF(IFERROR(VLOOKUP(B750&amp;"PT",'LM7 Non-ENG'!$A$1:$A$5000,1,FALSE),"ERROR")=B750&amp;"PT","Y","")),"")</f>
        <v/>
      </c>
    </row>
    <row r="751" spans="1:20" s="7" customFormat="1" ht="18" customHeight="1">
      <c r="A751" s="13" t="s">
        <v>133</v>
      </c>
      <c r="B751" s="13"/>
      <c r="C751" s="13" t="s">
        <v>134</v>
      </c>
      <c r="D751" s="14"/>
      <c r="E751" s="14"/>
      <c r="F751" s="14"/>
      <c r="G751" s="14"/>
      <c r="H751" s="14"/>
      <c r="I751" s="14"/>
      <c r="J751" s="14">
        <f>SUMIFS(J752:J789,D752:D789,"&lt;&gt;Y",F752:F789,"&lt;&gt;Y",I752:I789,"&lt;&gt;Inactive",I752:I789,"&lt;&gt;ECO+NFS")</f>
        <v>52834</v>
      </c>
      <c r="K751" s="14"/>
      <c r="L751" s="14"/>
      <c r="M751" s="14"/>
      <c r="N751" s="14"/>
      <c r="O751" s="14"/>
      <c r="P751" s="14"/>
      <c r="Q751" s="14"/>
      <c r="R751" s="14"/>
      <c r="S751" s="14"/>
      <c r="T751" s="14"/>
    </row>
    <row r="752" spans="1:20" ht="18" customHeight="1">
      <c r="A752" s="17" t="str">
        <f>HYPERLINK("#"&amp;ADDRESS(MATCH(A751,Jobmaster!$A$1:$A$4996,0),1,,,"Jobmaster"),"Back to Price List")</f>
        <v>Back to Price List</v>
      </c>
      <c r="B752" t="str">
        <f>"10-LS00-0200"</f>
        <v>10-LS00-0200</v>
      </c>
      <c r="C752" t="str">
        <f>"LS200:Jobmaster 2-Sided Mobile Learning Station"</f>
        <v>LS200:Jobmaster 2-Sided Mobile Learning Station</v>
      </c>
      <c r="D752" s="4"/>
      <c r="E752" s="4">
        <v>1</v>
      </c>
      <c r="F752" s="4"/>
      <c r="G752" s="29" t="str">
        <f>IFERROR(HYPERLINK("#"&amp;ADDRESS(MATCH(B752&amp;"ES",'LM7 Non-ENG'!$A$1:$A$5000,0),1,,,"LM7 Non-ENG"),IF(IFERROR(VLOOKUP(B752&amp;"ES",'LM7 Non-ENG'!$A$1:$A$4999,1,FALSE),"ERROR")=B752&amp;"ES","Y","")),"")</f>
        <v/>
      </c>
      <c r="H752" s="29" t="str">
        <f>IFERROR(HYPERLINK("#"&amp;ADDRESS(MATCH(B752&amp;"PT",'LM7 Non-ENG'!$A$1:$A$5000,0),1,,,"LM7 Non-ENG"),IF(IFERROR(VLOOKUP(B752&amp;"PT",'LM7 Non-ENG'!$A$1:$A$5000,1,FALSE),"ERROR")=B752&amp;"PT","Y","")),"")</f>
        <v/>
      </c>
      <c r="I752" t="str">
        <f>IFERROR(VLOOKUP(B752,PN!$A:$C,3,FALSE),"")</f>
        <v>Active</v>
      </c>
      <c r="J752" s="3">
        <f>IFERROR(E752*VLOOKUP(B752,PLInter!$A:$D,3,FALSE),"")</f>
        <v>5500</v>
      </c>
      <c r="K752" s="68" t="s">
        <v>135</v>
      </c>
      <c r="L752" s="66"/>
      <c r="M752" s="66"/>
      <c r="N752" s="66"/>
      <c r="O752" s="66"/>
      <c r="P752" s="66"/>
      <c r="Q752" s="66"/>
      <c r="R752" s="66"/>
      <c r="S752" s="66"/>
      <c r="T752" s="66"/>
    </row>
    <row r="753" spans="2:20" ht="18" customHeight="1">
      <c r="B753" t="str">
        <f>"10-PC04-0000"</f>
        <v>10-PC04-0000</v>
      </c>
      <c r="C753" t="str">
        <f>"JM, Panel PC04, 120VAC Power Control"</f>
        <v>JM, Panel PC04, 120VAC Power Control</v>
      </c>
      <c r="D753" s="4"/>
      <c r="E753" s="4">
        <v>2</v>
      </c>
      <c r="F753" s="4"/>
      <c r="G753" s="29" t="str">
        <f>IFERROR(HYPERLINK("#"&amp;ADDRESS(MATCH(B753&amp;"ES",'LM7 Non-ENG'!$A$1:$A$5000,0),1,,,"LM7 Non-ENG"),IF(IFERROR(VLOOKUP(B753&amp;"ES",'LM7 Non-ENG'!$A$1:$A$4999,1,FALSE),"ERROR")=B753&amp;"ES","Y","")),"")</f>
        <v/>
      </c>
      <c r="H753" s="29" t="str">
        <f>IFERROR(HYPERLINK("#"&amp;ADDRESS(MATCH(B753&amp;"PT",'LM7 Non-ENG'!$A$1:$A$5000,0),1,,,"LM7 Non-ENG"),IF(IFERROR(VLOOKUP(B753&amp;"PT",'LM7 Non-ENG'!$A$1:$A$5000,1,FALSE),"ERROR")=B753&amp;"PT","Y","")),"")</f>
        <v/>
      </c>
      <c r="I753" t="str">
        <f>IFERROR(VLOOKUP(B753,PN!$A:$C,3,FALSE),"")</f>
        <v>Active</v>
      </c>
      <c r="J753" s="3">
        <f>IFERROR(E753*VLOOKUP(B753,PLInter!$A:$D,3,FALSE),"")</f>
        <v>2400</v>
      </c>
      <c r="K753" s="66"/>
      <c r="L753" s="66"/>
      <c r="M753" s="66"/>
      <c r="N753" s="66"/>
      <c r="O753" s="66"/>
      <c r="P753" s="66"/>
      <c r="Q753" s="66"/>
      <c r="R753" s="66"/>
      <c r="S753" s="66"/>
      <c r="T753" s="66"/>
    </row>
    <row r="754" spans="2:20" ht="18" customHeight="1">
      <c r="B754" t="str">
        <f>"10-PC06-0000"</f>
        <v>10-PC06-0000</v>
      </c>
      <c r="C754" t="str">
        <f>"JM, Panel PC06, 220VAC Three Phase Power Control"</f>
        <v>JM, Panel PC06, 220VAC Three Phase Power Control</v>
      </c>
      <c r="D754" s="4"/>
      <c r="E754" s="4">
        <v>2</v>
      </c>
      <c r="F754" s="4"/>
      <c r="G754" s="29" t="str">
        <f>IFERROR(HYPERLINK("#"&amp;ADDRESS(MATCH(B754&amp;"ES",'LM7 Non-ENG'!$A$1:$A$5000,0),1,,,"LM7 Non-ENG"),IF(IFERROR(VLOOKUP(B754&amp;"ES",'LM7 Non-ENG'!$A$1:$A$4999,1,FALSE),"ERROR")=B754&amp;"ES","Y","")),"")</f>
        <v/>
      </c>
      <c r="H754" s="29" t="str">
        <f>IFERROR(HYPERLINK("#"&amp;ADDRESS(MATCH(B754&amp;"PT",'LM7 Non-ENG'!$A$1:$A$5000,0),1,,,"LM7 Non-ENG"),IF(IFERROR(VLOOKUP(B754&amp;"PT",'LM7 Non-ENG'!$A$1:$A$5000,1,FALSE),"ERROR")=B754&amp;"PT","Y","")),"")</f>
        <v/>
      </c>
      <c r="I754" t="str">
        <f>IFERROR(VLOOKUP(B754,PN!$A:$C,3,FALSE),"")</f>
        <v>Active</v>
      </c>
      <c r="J754" s="3">
        <f>IFERROR(E754*VLOOKUP(B754,PLInter!$A:$D,3,FALSE),"")</f>
        <v>2534</v>
      </c>
      <c r="K754" s="66"/>
      <c r="L754" s="66"/>
      <c r="M754" s="66"/>
      <c r="N754" s="66"/>
      <c r="O754" s="66"/>
      <c r="P754" s="66"/>
      <c r="Q754" s="66"/>
      <c r="R754" s="66"/>
      <c r="S754" s="66"/>
      <c r="T754" s="66"/>
    </row>
    <row r="755" spans="2:20" ht="18" customHeight="1">
      <c r="B755" t="str">
        <f>"77-EB01A-0000"</f>
        <v>77-EB01A-0000</v>
      </c>
      <c r="C755" t="str">
        <f>"LM7 Content, JM, Oscilloscope"</f>
        <v>LM7 Content, JM, Oscilloscope</v>
      </c>
      <c r="D755" s="4"/>
      <c r="E755" s="4">
        <v>1</v>
      </c>
      <c r="F755" s="4"/>
      <c r="G755" s="29" t="str">
        <f>IFERROR(HYPERLINK("#"&amp;ADDRESS(MATCH(B755&amp;"ES",'LM7 Non-ENG'!$A$1:$A$5000,0),1,,,"LM7 Non-ENG"),IF(IFERROR(VLOOKUP(B755&amp;"ES",'LM7 Non-ENG'!$A$1:$A$4999,1,FALSE),"ERROR")=B755&amp;"ES","Y","")),"")</f>
        <v/>
      </c>
      <c r="H755" s="29" t="str">
        <f>IFERROR(HYPERLINK("#"&amp;ADDRESS(MATCH(B755&amp;"PT",'LM7 Non-ENG'!$A$1:$A$5000,0),1,,,"LM7 Non-ENG"),IF(IFERROR(VLOOKUP(B755&amp;"PT",'LM7 Non-ENG'!$A$1:$A$5000,1,FALSE),"ERROR")=B755&amp;"PT","Y","")),"")</f>
        <v/>
      </c>
      <c r="I755" t="str">
        <f>IFERROR(VLOOKUP(B755,PN!$A:$C,3,FALSE),"")</f>
        <v>Active</v>
      </c>
      <c r="J755" s="3">
        <f>IFERROR(E755*VLOOKUP(B755,PLInter!$A:$D,3,FALSE),"")</f>
        <v>700</v>
      </c>
      <c r="K755" s="66"/>
      <c r="L755" s="66"/>
      <c r="M755" s="66"/>
      <c r="N755" s="66"/>
      <c r="O755" s="66"/>
      <c r="P755" s="66"/>
      <c r="Q755" s="66"/>
      <c r="R755" s="66"/>
      <c r="S755" s="66"/>
      <c r="T755" s="66"/>
    </row>
    <row r="756" spans="2:20" ht="18" customHeight="1">
      <c r="B756" t="str">
        <f>"26-E087-0000"</f>
        <v>26-E087-0000</v>
      </c>
      <c r="C756" t="str">
        <f>"Assembly, JM, E087, Adjustable Power Supply"</f>
        <v>Assembly, JM, E087, Adjustable Power Supply</v>
      </c>
      <c r="D756" s="4"/>
      <c r="E756" s="4">
        <v>4</v>
      </c>
      <c r="F756" s="4"/>
      <c r="G756" s="29" t="str">
        <f>IFERROR(HYPERLINK("#"&amp;ADDRESS(MATCH(B756&amp;"ES",'LM7 Non-ENG'!$A$1:$A$5000,0),1,,,"LM7 Non-ENG"),IF(IFERROR(VLOOKUP(B756&amp;"ES",'LM7 Non-ENG'!$A$1:$A$4999,1,FALSE),"ERROR")=B756&amp;"ES","Y","")),"")</f>
        <v/>
      </c>
      <c r="H756" s="29" t="str">
        <f>IFERROR(HYPERLINK("#"&amp;ADDRESS(MATCH(B756&amp;"PT",'LM7 Non-ENG'!$A$1:$A$5000,0),1,,,"LM7 Non-ENG"),IF(IFERROR(VLOOKUP(B756&amp;"PT",'LM7 Non-ENG'!$A$1:$A$5000,1,FALSE),"ERROR")=B756&amp;"PT","Y","")),"")</f>
        <v/>
      </c>
      <c r="I756" t="str">
        <f>IFERROR(VLOOKUP(B756,PN!$A:$C,3,FALSE),"")</f>
        <v>Active</v>
      </c>
      <c r="J756" s="3">
        <f>IFERROR(E756*VLOOKUP(B756,PLInter!$A:$D,3,FALSE),"")</f>
        <v>1120</v>
      </c>
      <c r="K756" s="66"/>
      <c r="L756" s="66"/>
      <c r="M756" s="66"/>
      <c r="N756" s="66"/>
      <c r="O756" s="66"/>
      <c r="P756" s="66"/>
      <c r="Q756" s="66"/>
      <c r="R756" s="66"/>
      <c r="S756" s="66"/>
      <c r="T756" s="66"/>
    </row>
    <row r="757" spans="2:20" ht="18" customHeight="1">
      <c r="B757" t="str">
        <f>"26-E153-0000"</f>
        <v>26-E153-0000</v>
      </c>
      <c r="C757" t="str">
        <f>"Assembly, JM, E153, AC/DC Circuits"</f>
        <v>Assembly, JM, E153, AC/DC Circuits</v>
      </c>
      <c r="D757" s="4"/>
      <c r="E757" s="4">
        <v>4</v>
      </c>
      <c r="F757" s="4"/>
      <c r="G757" s="29" t="str">
        <f>IFERROR(HYPERLINK("#"&amp;ADDRESS(MATCH(B757&amp;"ES",'LM7 Non-ENG'!$A$1:$A$5000,0),1,,,"LM7 Non-ENG"),IF(IFERROR(VLOOKUP(B757&amp;"ES",'LM7 Non-ENG'!$A$1:$A$4999,1,FALSE),"ERROR")=B757&amp;"ES","Y","")),"")</f>
        <v/>
      </c>
      <c r="H757" s="29" t="str">
        <f>IFERROR(HYPERLINK("#"&amp;ADDRESS(MATCH(B757&amp;"PT",'LM7 Non-ENG'!$A$1:$A$5000,0),1,,,"LM7 Non-ENG"),IF(IFERROR(VLOOKUP(B757&amp;"PT",'LM7 Non-ENG'!$A$1:$A$5000,1,FALSE),"ERROR")=B757&amp;"PT","Y","")),"")</f>
        <v/>
      </c>
      <c r="I757" t="str">
        <f>IFERROR(VLOOKUP(B757,PN!$A:$C,3,FALSE),"")</f>
        <v>Active</v>
      </c>
      <c r="J757" s="3">
        <f>IFERROR(E757*VLOOKUP(B757,PLInter!$A:$D,3,FALSE),"")</f>
        <v>2136</v>
      </c>
      <c r="K757" s="66"/>
      <c r="L757" s="66"/>
      <c r="M757" s="66"/>
      <c r="N757" s="66"/>
      <c r="O757" s="66"/>
      <c r="P757" s="66"/>
      <c r="Q757" s="66"/>
      <c r="R757" s="66"/>
      <c r="S757" s="66"/>
      <c r="T757" s="66"/>
    </row>
    <row r="758" spans="2:20" ht="18" customHeight="1">
      <c r="B758" t="str">
        <f>"36-8900-0003"</f>
        <v>36-8900-0003</v>
      </c>
      <c r="C758" t="str">
        <f>"JM, Oscilloscope, 30MHz, Analog BK"</f>
        <v>JM, Oscilloscope, 30MHz, Analog BK</v>
      </c>
      <c r="D758" s="4"/>
      <c r="E758" s="4">
        <v>2</v>
      </c>
      <c r="F758" s="4"/>
      <c r="G758" s="29" t="str">
        <f>IFERROR(HYPERLINK("#"&amp;ADDRESS(MATCH(B758&amp;"ES",'LM7 Non-ENG'!$A$1:$A$5000,0),1,,,"LM7 Non-ENG"),IF(IFERROR(VLOOKUP(B758&amp;"ES",'LM7 Non-ENG'!$A$1:$A$4999,1,FALSE),"ERROR")=B758&amp;"ES","Y","")),"")</f>
        <v/>
      </c>
      <c r="H758" s="29" t="str">
        <f>IFERROR(HYPERLINK("#"&amp;ADDRESS(MATCH(B758&amp;"PT",'LM7 Non-ENG'!$A$1:$A$5000,0),1,,,"LM7 Non-ENG"),IF(IFERROR(VLOOKUP(B758&amp;"PT",'LM7 Non-ENG'!$A$1:$A$5000,1,FALSE),"ERROR")=B758&amp;"PT","Y","")),"")</f>
        <v/>
      </c>
      <c r="I758" t="str">
        <f>IFERROR(VLOOKUP(B758,PN!$A:$C,3,FALSE),"")</f>
        <v>Active</v>
      </c>
      <c r="J758" s="3">
        <f>IFERROR(E758*VLOOKUP(B758,PLInter!$A:$D,3,FALSE),"")</f>
        <v>4000</v>
      </c>
      <c r="K758" s="66"/>
      <c r="L758" s="66"/>
      <c r="M758" s="66"/>
      <c r="N758" s="66"/>
      <c r="O758" s="66"/>
      <c r="P758" s="66"/>
      <c r="Q758" s="66"/>
      <c r="R758" s="66"/>
      <c r="S758" s="66"/>
      <c r="T758" s="66"/>
    </row>
    <row r="759" spans="2:20" ht="18" customHeight="1">
      <c r="B759" t="str">
        <f>"77-EB01B-0000"</f>
        <v>77-EB01B-0000</v>
      </c>
      <c r="C759" t="str">
        <f>"LM7 Content, JM, Digital Multimeter"</f>
        <v>LM7 Content, JM, Digital Multimeter</v>
      </c>
      <c r="D759" s="4"/>
      <c r="E759" s="4">
        <v>1</v>
      </c>
      <c r="F759" s="4"/>
      <c r="G759" s="29" t="str">
        <f>IFERROR(HYPERLINK("#"&amp;ADDRESS(MATCH(B759&amp;"ES",'LM7 Non-ENG'!$A$1:$A$5000,0),1,,,"LM7 Non-ENG"),IF(IFERROR(VLOOKUP(B759&amp;"ES",'LM7 Non-ENG'!$A$1:$A$4999,1,FALSE),"ERROR")=B759&amp;"ES","Y","")),"")</f>
        <v/>
      </c>
      <c r="H759" s="29" t="str">
        <f>IFERROR(HYPERLINK("#"&amp;ADDRESS(MATCH(B759&amp;"PT",'LM7 Non-ENG'!$A$1:$A$5000,0),1,,,"LM7 Non-ENG"),IF(IFERROR(VLOOKUP(B759&amp;"PT",'LM7 Non-ENG'!$A$1:$A$5000,1,FALSE),"ERROR")=B759&amp;"PT","Y","")),"")</f>
        <v/>
      </c>
      <c r="I759" t="str">
        <f>IFERROR(VLOOKUP(B759,PN!$A:$C,3,FALSE),"")</f>
        <v>Active</v>
      </c>
      <c r="J759" s="3">
        <f>IFERROR(E759*VLOOKUP(B759,PLInter!$A:$D,3,FALSE),"")</f>
        <v>700</v>
      </c>
      <c r="K759" s="66"/>
      <c r="L759" s="66"/>
      <c r="M759" s="66"/>
      <c r="N759" s="66"/>
      <c r="O759" s="66"/>
      <c r="P759" s="66"/>
      <c r="Q759" s="66"/>
      <c r="R759" s="66"/>
      <c r="S759" s="66"/>
      <c r="T759" s="66"/>
    </row>
    <row r="760" spans="2:20" ht="18" customHeight="1">
      <c r="B760" t="str">
        <f>"26-E052-0000"</f>
        <v>26-E052-0000</v>
      </c>
      <c r="C760" t="str">
        <f>"Assembly, JM, E052, Resistors Panel"</f>
        <v>Assembly, JM, E052, Resistors Panel</v>
      </c>
      <c r="D760" s="4"/>
      <c r="E760" s="4">
        <v>2</v>
      </c>
      <c r="F760" s="4"/>
      <c r="G760" s="29" t="str">
        <f>IFERROR(HYPERLINK("#"&amp;ADDRESS(MATCH(B760&amp;"ES",'LM7 Non-ENG'!$A$1:$A$5000,0),1,,,"LM7 Non-ENG"),IF(IFERROR(VLOOKUP(B760&amp;"ES",'LM7 Non-ENG'!$A$1:$A$4999,1,FALSE),"ERROR")=B760&amp;"ES","Y","")),"")</f>
        <v/>
      </c>
      <c r="H760" s="29" t="str">
        <f>IFERROR(HYPERLINK("#"&amp;ADDRESS(MATCH(B760&amp;"PT",'LM7 Non-ENG'!$A$1:$A$5000,0),1,,,"LM7 Non-ENG"),IF(IFERROR(VLOOKUP(B760&amp;"PT",'LM7 Non-ENG'!$A$1:$A$5000,1,FALSE),"ERROR")=B760&amp;"PT","Y","")),"")</f>
        <v/>
      </c>
      <c r="I760" t="str">
        <f>IFERROR(VLOOKUP(B760,PN!$A:$C,3,FALSE),"")</f>
        <v>Active</v>
      </c>
      <c r="J760" s="3">
        <f>IFERROR(E760*VLOOKUP(B760,PLInter!$A:$D,3,FALSE),"")</f>
        <v>1134</v>
      </c>
      <c r="K760" s="66"/>
      <c r="L760" s="66"/>
      <c r="M760" s="66"/>
      <c r="N760" s="66"/>
      <c r="O760" s="66"/>
      <c r="P760" s="66"/>
      <c r="Q760" s="66"/>
      <c r="R760" s="66"/>
      <c r="S760" s="66"/>
      <c r="T760" s="66"/>
    </row>
    <row r="761" spans="2:20" ht="18" customHeight="1">
      <c r="B761" t="str">
        <f>"26-E055-0000"</f>
        <v>26-E055-0000</v>
      </c>
      <c r="C761" t="str">
        <f>"Assembly, JM, E055, Filters/Capacitors Panel"</f>
        <v>Assembly, JM, E055, Filters/Capacitors Panel</v>
      </c>
      <c r="D761" s="4"/>
      <c r="E761" s="4">
        <v>2</v>
      </c>
      <c r="F761" s="4"/>
      <c r="G761" s="29" t="str">
        <f>IFERROR(HYPERLINK("#"&amp;ADDRESS(MATCH(B761&amp;"ES",'LM7 Non-ENG'!$A$1:$A$5000,0),1,,,"LM7 Non-ENG"),IF(IFERROR(VLOOKUP(B761&amp;"ES",'LM7 Non-ENG'!$A$1:$A$4999,1,FALSE),"ERROR")=B761&amp;"ES","Y","")),"")</f>
        <v/>
      </c>
      <c r="H761" s="29" t="str">
        <f>IFERROR(HYPERLINK("#"&amp;ADDRESS(MATCH(B761&amp;"PT",'LM7 Non-ENG'!$A$1:$A$5000,0),1,,,"LM7 Non-ENG"),IF(IFERROR(VLOOKUP(B761&amp;"PT",'LM7 Non-ENG'!$A$1:$A$5000,1,FALSE),"ERROR")=B761&amp;"PT","Y","")),"")</f>
        <v/>
      </c>
      <c r="I761" t="str">
        <f>IFERROR(VLOOKUP(B761,PN!$A:$C,3,FALSE),"")</f>
        <v>Active</v>
      </c>
      <c r="J761" s="3">
        <f>IFERROR(E761*VLOOKUP(B761,PLInter!$A:$D,3,FALSE),"")</f>
        <v>1100</v>
      </c>
      <c r="K761" s="66"/>
      <c r="L761" s="66"/>
      <c r="M761" s="66"/>
      <c r="N761" s="66"/>
      <c r="O761" s="66"/>
      <c r="P761" s="66"/>
      <c r="Q761" s="66"/>
      <c r="R761" s="66"/>
      <c r="S761" s="66"/>
      <c r="T761" s="66"/>
    </row>
    <row r="762" spans="2:20" ht="18" customHeight="1">
      <c r="B762" t="str">
        <f>"36-8900-0007"</f>
        <v>36-8900-0007</v>
      </c>
      <c r="C762" t="str">
        <f>"JM, Digital Multimeter, Fluke-115"</f>
        <v>JM, Digital Multimeter, Fluke-115</v>
      </c>
      <c r="D762" s="4"/>
      <c r="E762" s="4">
        <v>2</v>
      </c>
      <c r="F762" s="4"/>
      <c r="G762" s="29" t="str">
        <f>IFERROR(HYPERLINK("#"&amp;ADDRESS(MATCH(B762&amp;"ES",'LM7 Non-ENG'!$A$1:$A$5000,0),1,,,"LM7 Non-ENG"),IF(IFERROR(VLOOKUP(B762&amp;"ES",'LM7 Non-ENG'!$A$1:$A$4999,1,FALSE),"ERROR")=B762&amp;"ES","Y","")),"")</f>
        <v/>
      </c>
      <c r="H762" s="29" t="str">
        <f>IFERROR(HYPERLINK("#"&amp;ADDRESS(MATCH(B762&amp;"PT",'LM7 Non-ENG'!$A$1:$A$5000,0),1,,,"LM7 Non-ENG"),IF(IFERROR(VLOOKUP(B762&amp;"PT",'LM7 Non-ENG'!$A$1:$A$5000,1,FALSE),"ERROR")=B762&amp;"PT","Y","")),"")</f>
        <v/>
      </c>
      <c r="I762" t="str">
        <f>IFERROR(VLOOKUP(B762,PN!$A:$C,3,FALSE),"")</f>
        <v>Active</v>
      </c>
      <c r="J762" s="3">
        <f>IFERROR(E762*VLOOKUP(B762,PLInter!$A:$D,3,FALSE),"")</f>
        <v>1150</v>
      </c>
      <c r="K762" s="66"/>
      <c r="L762" s="66"/>
      <c r="M762" s="66"/>
      <c r="N762" s="66"/>
      <c r="O762" s="66"/>
      <c r="P762" s="66"/>
      <c r="Q762" s="66"/>
      <c r="R762" s="66"/>
      <c r="S762" s="66"/>
      <c r="T762" s="66"/>
    </row>
    <row r="763" spans="2:20" ht="18" customHeight="1">
      <c r="B763" t="str">
        <f>"77-EB01C-0000"</f>
        <v>77-EB01C-0000</v>
      </c>
      <c r="C763" t="str">
        <f>"LM7 Content, JM, Digital Oscilloscope"</f>
        <v>LM7 Content, JM, Digital Oscilloscope</v>
      </c>
      <c r="D763" s="4"/>
      <c r="E763" s="4">
        <v>1</v>
      </c>
      <c r="F763" s="4"/>
      <c r="G763" s="29" t="str">
        <f>IFERROR(HYPERLINK("#"&amp;ADDRESS(MATCH(B763&amp;"ES",'LM7 Non-ENG'!$A$1:$A$5000,0),1,,,"LM7 Non-ENG"),IF(IFERROR(VLOOKUP(B763&amp;"ES",'LM7 Non-ENG'!$A$1:$A$4999,1,FALSE),"ERROR")=B763&amp;"ES","Y","")),"")</f>
        <v>Y</v>
      </c>
      <c r="H763" s="29" t="str">
        <f>IFERROR(HYPERLINK("#"&amp;ADDRESS(MATCH(B763&amp;"PT",'LM7 Non-ENG'!$A$1:$A$5000,0),1,,,"LM7 Non-ENG"),IF(IFERROR(VLOOKUP(B763&amp;"PT",'LM7 Non-ENG'!$A$1:$A$5000,1,FALSE),"ERROR")=B763&amp;"PT","Y","")),"")</f>
        <v/>
      </c>
      <c r="I763" t="str">
        <f>IFERROR(VLOOKUP(B763,PN!$A:$C,3,FALSE),"")</f>
        <v>Active</v>
      </c>
      <c r="J763" s="3">
        <f>IFERROR(E763*VLOOKUP(B763,PLInter!$A:$D,3,FALSE),"")</f>
        <v>700</v>
      </c>
      <c r="K763" s="66"/>
      <c r="L763" s="66"/>
      <c r="M763" s="66"/>
      <c r="N763" s="66"/>
      <c r="O763" s="66"/>
      <c r="P763" s="66"/>
      <c r="Q763" s="66"/>
      <c r="R763" s="66"/>
      <c r="S763" s="66"/>
      <c r="T763" s="66"/>
    </row>
    <row r="764" spans="2:20" ht="18" customHeight="1">
      <c r="B764" t="str">
        <f>"36-8900-0025"</f>
        <v>36-8900-0025</v>
      </c>
      <c r="C764" t="str">
        <f>"JM, Oscilloscope, 5MHz, Hand Held"</f>
        <v>JM, Oscilloscope, 5MHz, Hand Held</v>
      </c>
      <c r="D764" s="4"/>
      <c r="E764" s="4">
        <v>2</v>
      </c>
      <c r="F764" s="4"/>
      <c r="G764" s="29" t="str">
        <f>IFERROR(HYPERLINK("#"&amp;ADDRESS(MATCH(B764&amp;"ES",'LM7 Non-ENG'!$A$1:$A$5000,0),1,,,"LM7 Non-ENG"),IF(IFERROR(VLOOKUP(B764&amp;"ES",'LM7 Non-ENG'!$A$1:$A$4999,1,FALSE),"ERROR")=B764&amp;"ES","Y","")),"")</f>
        <v/>
      </c>
      <c r="H764" s="29" t="str">
        <f>IFERROR(HYPERLINK("#"&amp;ADDRESS(MATCH(B764&amp;"PT",'LM7 Non-ENG'!$A$1:$A$5000,0),1,,,"LM7 Non-ENG"),IF(IFERROR(VLOOKUP(B764&amp;"PT",'LM7 Non-ENG'!$A$1:$A$5000,1,FALSE),"ERROR")=B764&amp;"PT","Y","")),"")</f>
        <v/>
      </c>
      <c r="I764" t="str">
        <f>IFERROR(VLOOKUP(B764,PN!$A:$C,3,FALSE),"")</f>
        <v>Active</v>
      </c>
      <c r="J764" s="3">
        <f>IFERROR(E764*VLOOKUP(B764,PLInter!$A:$D,3,FALSE),"")</f>
        <v>4000</v>
      </c>
      <c r="K764" s="66"/>
      <c r="L764" s="66"/>
      <c r="M764" s="66"/>
      <c r="N764" s="66"/>
      <c r="O764" s="66"/>
      <c r="P764" s="66"/>
      <c r="Q764" s="66"/>
      <c r="R764" s="66"/>
      <c r="S764" s="66"/>
      <c r="T764" s="66"/>
    </row>
    <row r="765" spans="2:20" ht="18" customHeight="1">
      <c r="B765" t="str">
        <f>"77-EB02A-0000"</f>
        <v>77-EB02A-0000</v>
      </c>
      <c r="C765" t="str">
        <f>"LM7 Content, JM, DC Power Supplies"</f>
        <v>LM7 Content, JM, DC Power Supplies</v>
      </c>
      <c r="D765" s="4"/>
      <c r="E765" s="4">
        <v>1</v>
      </c>
      <c r="F765" s="4"/>
      <c r="G765" s="29" t="str">
        <f>IFERROR(HYPERLINK("#"&amp;ADDRESS(MATCH(B765&amp;"ES",'LM7 Non-ENG'!$A$1:$A$5000,0),1,,,"LM7 Non-ENG"),IF(IFERROR(VLOOKUP(B765&amp;"ES",'LM7 Non-ENG'!$A$1:$A$4999,1,FALSE),"ERROR")=B765&amp;"ES","Y","")),"")</f>
        <v>Y</v>
      </c>
      <c r="H765" s="29" t="str">
        <f>IFERROR(HYPERLINK("#"&amp;ADDRESS(MATCH(B765&amp;"PT",'LM7 Non-ENG'!$A$1:$A$5000,0),1,,,"LM7 Non-ENG"),IF(IFERROR(VLOOKUP(B765&amp;"PT",'LM7 Non-ENG'!$A$1:$A$5000,1,FALSE),"ERROR")=B765&amp;"PT","Y","")),"")</f>
        <v/>
      </c>
      <c r="I765" t="str">
        <f>IFERROR(VLOOKUP(B765,PN!$A:$C,3,FALSE),"")</f>
        <v>Active</v>
      </c>
      <c r="J765" s="3">
        <f>IFERROR(E765*VLOOKUP(B765,PLInter!$A:$D,3,FALSE),"")</f>
        <v>700</v>
      </c>
      <c r="K765" s="66"/>
      <c r="L765" s="66"/>
      <c r="M765" s="66"/>
      <c r="N765" s="66"/>
      <c r="O765" s="66"/>
      <c r="P765" s="66"/>
      <c r="Q765" s="66"/>
      <c r="R765" s="66"/>
      <c r="S765" s="66"/>
      <c r="T765" s="66"/>
    </row>
    <row r="766" spans="2:20" ht="18" customHeight="1">
      <c r="B766" t="str">
        <f>"26-E039-0000"</f>
        <v>26-E039-0000</v>
      </c>
      <c r="C766" t="str">
        <f>"Assembly, JM, E039,Single Phase Bridge Rectifier"</f>
        <v>Assembly, JM, E039,Single Phase Bridge Rectifier</v>
      </c>
      <c r="D766" s="4"/>
      <c r="E766" s="4">
        <v>2</v>
      </c>
      <c r="F766" s="4"/>
      <c r="G766" s="29" t="str">
        <f>IFERROR(HYPERLINK("#"&amp;ADDRESS(MATCH(B766&amp;"ES",'LM7 Non-ENG'!$A$1:$A$5000,0),1,,,"LM7 Non-ENG"),IF(IFERROR(VLOOKUP(B766&amp;"ES",'LM7 Non-ENG'!$A$1:$A$4999,1,FALSE),"ERROR")=B766&amp;"ES","Y","")),"")</f>
        <v/>
      </c>
      <c r="H766" s="29" t="str">
        <f>IFERROR(HYPERLINK("#"&amp;ADDRESS(MATCH(B766&amp;"PT",'LM7 Non-ENG'!$A$1:$A$5000,0),1,,,"LM7 Non-ENG"),IF(IFERROR(VLOOKUP(B766&amp;"PT",'LM7 Non-ENG'!$A$1:$A$5000,1,FALSE),"ERROR")=B766&amp;"PT","Y","")),"")</f>
        <v/>
      </c>
      <c r="I766" t="str">
        <f>IFERROR(VLOOKUP(B766,PN!$A:$C,3,FALSE),"")</f>
        <v>Active</v>
      </c>
      <c r="J766" s="3">
        <f>IFERROR(E766*VLOOKUP(B766,PLInter!$A:$D,3,FALSE),"")</f>
        <v>900</v>
      </c>
      <c r="K766" s="66"/>
      <c r="L766" s="66"/>
      <c r="M766" s="66"/>
      <c r="N766" s="66"/>
      <c r="O766" s="66"/>
      <c r="P766" s="66"/>
      <c r="Q766" s="66"/>
      <c r="R766" s="66"/>
      <c r="S766" s="66"/>
      <c r="T766" s="66"/>
    </row>
    <row r="767" spans="2:20" ht="18" customHeight="1">
      <c r="B767" t="str">
        <f>"26-E061-0000"</f>
        <v>26-E061-0000</v>
      </c>
      <c r="C767" t="str">
        <f>"Assembly, JM, E061, Low Voltage Transformer"</f>
        <v>Assembly, JM, E061, Low Voltage Transformer</v>
      </c>
      <c r="D767" s="4"/>
      <c r="E767" s="4">
        <v>2</v>
      </c>
      <c r="F767" s="4"/>
      <c r="G767" s="29" t="str">
        <f>IFERROR(HYPERLINK("#"&amp;ADDRESS(MATCH(B767&amp;"ES",'LM7 Non-ENG'!$A$1:$A$5000,0),1,,,"LM7 Non-ENG"),IF(IFERROR(VLOOKUP(B767&amp;"ES",'LM7 Non-ENG'!$A$1:$A$4999,1,FALSE),"ERROR")=B767&amp;"ES","Y","")),"")</f>
        <v/>
      </c>
      <c r="H767" s="29" t="str">
        <f>IFERROR(HYPERLINK("#"&amp;ADDRESS(MATCH(B767&amp;"PT",'LM7 Non-ENG'!$A$1:$A$5000,0),1,,,"LM7 Non-ENG"),IF(IFERROR(VLOOKUP(B767&amp;"PT",'LM7 Non-ENG'!$A$1:$A$5000,1,FALSE),"ERROR")=B767&amp;"PT","Y","")),"")</f>
        <v/>
      </c>
      <c r="I767" t="str">
        <f>IFERROR(VLOOKUP(B767,PN!$A:$C,3,FALSE),"")</f>
        <v>Active</v>
      </c>
      <c r="J767" s="3">
        <f>IFERROR(E767*VLOOKUP(B767,PLInter!$A:$D,3,FALSE),"")</f>
        <v>1270</v>
      </c>
      <c r="K767" s="66"/>
      <c r="L767" s="66"/>
      <c r="M767" s="66"/>
      <c r="N767" s="66"/>
      <c r="O767" s="66"/>
      <c r="P767" s="66"/>
      <c r="Q767" s="66"/>
      <c r="R767" s="66"/>
      <c r="S767" s="66"/>
      <c r="T767" s="66"/>
    </row>
    <row r="768" spans="2:20" ht="18" customHeight="1">
      <c r="B768" t="str">
        <f>"26-E062-0000"</f>
        <v>26-E062-0000</v>
      </c>
      <c r="C768" t="str">
        <f>"Assembly, JM, E062, Diode Rectifier Panel"</f>
        <v>Assembly, JM, E062, Diode Rectifier Panel</v>
      </c>
      <c r="D768" s="4"/>
      <c r="E768" s="4">
        <v>2</v>
      </c>
      <c r="F768" s="4"/>
      <c r="G768" s="29" t="str">
        <f>IFERROR(HYPERLINK("#"&amp;ADDRESS(MATCH(B768&amp;"ES",'LM7 Non-ENG'!$A$1:$A$5000,0),1,,,"LM7 Non-ENG"),IF(IFERROR(VLOOKUP(B768&amp;"ES",'LM7 Non-ENG'!$A$1:$A$4999,1,FALSE),"ERROR")=B768&amp;"ES","Y","")),"")</f>
        <v/>
      </c>
      <c r="H768" s="29" t="str">
        <f>IFERROR(HYPERLINK("#"&amp;ADDRESS(MATCH(B768&amp;"PT",'LM7 Non-ENG'!$A$1:$A$5000,0),1,,,"LM7 Non-ENG"),IF(IFERROR(VLOOKUP(B768&amp;"PT",'LM7 Non-ENG'!$A$1:$A$5000,1,FALSE),"ERROR")=B768&amp;"PT","Y","")),"")</f>
        <v/>
      </c>
      <c r="I768" t="str">
        <f>IFERROR(VLOOKUP(B768,PN!$A:$C,3,FALSE),"")</f>
        <v>Active</v>
      </c>
      <c r="J768" s="3">
        <f>IFERROR(E768*VLOOKUP(B768,PLInter!$A:$D,3,FALSE),"")</f>
        <v>1090</v>
      </c>
      <c r="K768" s="66"/>
      <c r="L768" s="66"/>
      <c r="M768" s="66"/>
      <c r="N768" s="66"/>
      <c r="O768" s="66"/>
      <c r="P768" s="66"/>
      <c r="Q768" s="66"/>
      <c r="R768" s="66"/>
      <c r="S768" s="66"/>
      <c r="T768" s="66"/>
    </row>
    <row r="769" spans="2:20" ht="18" customHeight="1">
      <c r="B769" t="str">
        <f>"77-EB02B-0000"</f>
        <v>77-EB02B-0000</v>
      </c>
      <c r="C769" t="str">
        <f>"LM7 Content, JM, Single &amp; 3 Phase Power Supply"</f>
        <v>LM7 Content, JM, Single &amp; 3 Phase Power Supply</v>
      </c>
      <c r="D769" s="4"/>
      <c r="E769" s="4">
        <v>1</v>
      </c>
      <c r="F769" s="4"/>
      <c r="G769" s="29" t="str">
        <f>IFERROR(HYPERLINK("#"&amp;ADDRESS(MATCH(B769&amp;"ES",'LM7 Non-ENG'!$A$1:$A$5000,0),1,,,"LM7 Non-ENG"),IF(IFERROR(VLOOKUP(B769&amp;"ES",'LM7 Non-ENG'!$A$1:$A$4999,1,FALSE),"ERROR")=B769&amp;"ES","Y","")),"")</f>
        <v>Y</v>
      </c>
      <c r="H769" s="29" t="str">
        <f>IFERROR(HYPERLINK("#"&amp;ADDRESS(MATCH(B769&amp;"PT",'LM7 Non-ENG'!$A$1:$A$5000,0),1,,,"LM7 Non-ENG"),IF(IFERROR(VLOOKUP(B769&amp;"PT",'LM7 Non-ENG'!$A$1:$A$5000,1,FALSE),"ERROR")=B769&amp;"PT","Y","")),"")</f>
        <v>Y</v>
      </c>
      <c r="I769" t="str">
        <f>IFERROR(VLOOKUP(B769,PN!$A:$C,3,FALSE),"")</f>
        <v>Active</v>
      </c>
      <c r="J769" s="3">
        <f>IFERROR(E769*VLOOKUP(B769,PLInter!$A:$D,3,FALSE),"")</f>
        <v>700</v>
      </c>
      <c r="K769" s="66"/>
      <c r="L769" s="66"/>
      <c r="M769" s="66"/>
      <c r="N769" s="66"/>
      <c r="O769" s="66"/>
      <c r="P769" s="66"/>
      <c r="Q769" s="66"/>
      <c r="R769" s="66"/>
      <c r="S769" s="66"/>
      <c r="T769" s="66"/>
    </row>
    <row r="770" spans="2:20" ht="18" customHeight="1">
      <c r="B770" t="str">
        <f>"26-E049-0000"</f>
        <v>26-E049-0000</v>
      </c>
      <c r="C770" t="str">
        <f>"Assembly, JM, E049, Zener Diode Panel"</f>
        <v>Assembly, JM, E049, Zener Diode Panel</v>
      </c>
      <c r="D770" s="4"/>
      <c r="E770" s="4">
        <v>2</v>
      </c>
      <c r="F770" s="4"/>
      <c r="G770" s="29" t="str">
        <f>IFERROR(HYPERLINK("#"&amp;ADDRESS(MATCH(B770&amp;"ES",'LM7 Non-ENG'!$A$1:$A$5000,0),1,,,"LM7 Non-ENG"),IF(IFERROR(VLOOKUP(B770&amp;"ES",'LM7 Non-ENG'!$A$1:$A$4999,1,FALSE),"ERROR")=B770&amp;"ES","Y","")),"")</f>
        <v/>
      </c>
      <c r="H770" s="29" t="str">
        <f>IFERROR(HYPERLINK("#"&amp;ADDRESS(MATCH(B770&amp;"PT",'LM7 Non-ENG'!$A$1:$A$5000,0),1,,,"LM7 Non-ENG"),IF(IFERROR(VLOOKUP(B770&amp;"PT",'LM7 Non-ENG'!$A$1:$A$5000,1,FALSE),"ERROR")=B770&amp;"PT","Y","")),"")</f>
        <v/>
      </c>
      <c r="I770" t="str">
        <f>IFERROR(VLOOKUP(B770,PN!$A:$C,3,FALSE),"")</f>
        <v>Active</v>
      </c>
      <c r="J770" s="3">
        <f>IFERROR(E770*VLOOKUP(B770,PLInter!$A:$D,3,FALSE),"")</f>
        <v>668</v>
      </c>
      <c r="K770" s="66"/>
      <c r="L770" s="66"/>
      <c r="M770" s="66"/>
      <c r="N770" s="66"/>
      <c r="O770" s="66"/>
      <c r="P770" s="66"/>
      <c r="Q770" s="66"/>
      <c r="R770" s="66"/>
      <c r="S770" s="66"/>
      <c r="T770" s="66"/>
    </row>
    <row r="771" spans="2:20" ht="18" customHeight="1">
      <c r="B771" t="str">
        <f>"26-E050-0000"</f>
        <v>26-E050-0000</v>
      </c>
      <c r="C771" t="str">
        <f>"Assembly, JM, E050, Regulated Power Supply Panel"</f>
        <v>Assembly, JM, E050, Regulated Power Supply Panel</v>
      </c>
      <c r="D771" s="4"/>
      <c r="E771" s="4">
        <v>2</v>
      </c>
      <c r="F771" s="4"/>
      <c r="G771" s="29" t="str">
        <f>IFERROR(HYPERLINK("#"&amp;ADDRESS(MATCH(B771&amp;"ES",'LM7 Non-ENG'!$A$1:$A$5000,0),1,,,"LM7 Non-ENG"),IF(IFERROR(VLOOKUP(B771&amp;"ES",'LM7 Non-ENG'!$A$1:$A$4999,1,FALSE),"ERROR")=B771&amp;"ES","Y","")),"")</f>
        <v/>
      </c>
      <c r="H771" s="29" t="str">
        <f>IFERROR(HYPERLINK("#"&amp;ADDRESS(MATCH(B771&amp;"PT",'LM7 Non-ENG'!$A$1:$A$5000,0),1,,,"LM7 Non-ENG"),IF(IFERROR(VLOOKUP(B771&amp;"PT",'LM7 Non-ENG'!$A$1:$A$5000,1,FALSE),"ERROR")=B771&amp;"PT","Y","")),"")</f>
        <v/>
      </c>
      <c r="I771" t="str">
        <f>IFERROR(VLOOKUP(B771,PN!$A:$C,3,FALSE),"")</f>
        <v>Active</v>
      </c>
      <c r="J771" s="3">
        <f>IFERROR(E771*VLOOKUP(B771,PLInter!$A:$D,3,FALSE),"")</f>
        <v>1130</v>
      </c>
      <c r="K771" s="66"/>
      <c r="L771" s="66"/>
      <c r="M771" s="66"/>
      <c r="N771" s="66"/>
      <c r="O771" s="66"/>
      <c r="P771" s="66"/>
      <c r="Q771" s="66"/>
      <c r="R771" s="66"/>
      <c r="S771" s="66"/>
      <c r="T771" s="66"/>
    </row>
    <row r="772" spans="2:20" ht="18" customHeight="1">
      <c r="B772" t="str">
        <f>"26-E053-0000"</f>
        <v>26-E053-0000</v>
      </c>
      <c r="C772" t="str">
        <f>"Assembly, JM, E053, Three Phase Bridge Rectifier"</f>
        <v>Assembly, JM, E053, Three Phase Bridge Rectifier</v>
      </c>
      <c r="D772" s="4"/>
      <c r="E772" s="4">
        <v>2</v>
      </c>
      <c r="F772" s="4"/>
      <c r="G772" s="29" t="str">
        <f>IFERROR(HYPERLINK("#"&amp;ADDRESS(MATCH(B772&amp;"ES",'LM7 Non-ENG'!$A$1:$A$5000,0),1,,,"LM7 Non-ENG"),IF(IFERROR(VLOOKUP(B772&amp;"ES",'LM7 Non-ENG'!$A$1:$A$4999,1,FALSE),"ERROR")=B772&amp;"ES","Y","")),"")</f>
        <v/>
      </c>
      <c r="H772" s="29" t="str">
        <f>IFERROR(HYPERLINK("#"&amp;ADDRESS(MATCH(B772&amp;"PT",'LM7 Non-ENG'!$A$1:$A$5000,0),1,,,"LM7 Non-ENG"),IF(IFERROR(VLOOKUP(B772&amp;"PT",'LM7 Non-ENG'!$A$1:$A$5000,1,FALSE),"ERROR")=B772&amp;"PT","Y","")),"")</f>
        <v/>
      </c>
      <c r="I772" t="str">
        <f>IFERROR(VLOOKUP(B772,PN!$A:$C,3,FALSE),"")</f>
        <v>Active</v>
      </c>
      <c r="J772" s="3">
        <f>IFERROR(E772*VLOOKUP(B772,PLInter!$A:$D,3,FALSE),"")</f>
        <v>1134</v>
      </c>
      <c r="K772" s="66"/>
      <c r="L772" s="66"/>
      <c r="M772" s="66"/>
      <c r="N772" s="66"/>
      <c r="O772" s="66"/>
      <c r="P772" s="66"/>
      <c r="Q772" s="66"/>
      <c r="R772" s="66"/>
      <c r="S772" s="66"/>
      <c r="T772" s="66"/>
    </row>
    <row r="773" spans="2:20" ht="18" customHeight="1">
      <c r="B773" t="str">
        <f>"77-EB03-0000"</f>
        <v>77-EB03-0000</v>
      </c>
      <c r="C773" t="str">
        <f>"LM7 Content, JM, Thyristor Motor Drives"</f>
        <v>LM7 Content, JM, Thyristor Motor Drives</v>
      </c>
      <c r="D773" s="4"/>
      <c r="E773" s="4">
        <v>1</v>
      </c>
      <c r="F773" s="4"/>
      <c r="G773" s="29" t="str">
        <f>IFERROR(HYPERLINK("#"&amp;ADDRESS(MATCH(B773&amp;"ES",'LM7 Non-ENG'!$A$1:$A$5000,0),1,,,"LM7 Non-ENG"),IF(IFERROR(VLOOKUP(B773&amp;"ES",'LM7 Non-ENG'!$A$1:$A$4999,1,FALSE),"ERROR")=B773&amp;"ES","Y","")),"")</f>
        <v>Y</v>
      </c>
      <c r="H773" s="29" t="str">
        <f>IFERROR(HYPERLINK("#"&amp;ADDRESS(MATCH(B773&amp;"PT",'LM7 Non-ENG'!$A$1:$A$5000,0),1,,,"LM7 Non-ENG"),IF(IFERROR(VLOOKUP(B773&amp;"PT",'LM7 Non-ENG'!$A$1:$A$5000,1,FALSE),"ERROR")=B773&amp;"PT","Y","")),"")</f>
        <v/>
      </c>
      <c r="I773" t="str">
        <f>IFERROR(VLOOKUP(B773,PN!$A:$C,3,FALSE),"")</f>
        <v>Active</v>
      </c>
      <c r="J773" s="3">
        <f>IFERROR(E773*VLOOKUP(B773,PLInter!$A:$D,3,FALSE),"")</f>
        <v>700</v>
      </c>
      <c r="K773" s="66"/>
      <c r="L773" s="66"/>
      <c r="M773" s="66"/>
      <c r="N773" s="66"/>
      <c r="O773" s="66"/>
      <c r="P773" s="66"/>
      <c r="Q773" s="66"/>
      <c r="R773" s="66"/>
      <c r="S773" s="66"/>
      <c r="T773" s="66"/>
    </row>
    <row r="774" spans="2:20" ht="18" customHeight="1">
      <c r="B774" s="18" t="str">
        <f>"26-E034-0000"</f>
        <v>26-E034-0000</v>
      </c>
      <c r="C774" s="18" t="str">
        <f>"Assembly, JM, E034, DC Motor Panel"</f>
        <v>Assembly, JM, E034, DC Motor Panel</v>
      </c>
      <c r="D774" s="16" t="s">
        <v>0</v>
      </c>
      <c r="E774" s="16">
        <v>2</v>
      </c>
      <c r="F774" s="16"/>
      <c r="G774" s="16" t="str">
        <f>IFERROR(HYPERLINK("#"&amp;ADDRESS(MATCH(B774&amp;"ES",'LM7 Non-ENG'!$A$1:$A$5000,0),1,,,"LM7 Non-ENG"),IF(IFERROR(VLOOKUP(B774&amp;"ES",'LM7 Non-ENG'!$A$1:$A$4999,1,FALSE),"ERROR")=B774&amp;"ES","Y","")),"")</f>
        <v/>
      </c>
      <c r="H774" s="16" t="str">
        <f>IFERROR(HYPERLINK("#"&amp;ADDRESS(MATCH(B774&amp;"PT",'LM7 Non-ENG'!$A$1:$A$5000,0),1,,,"LM7 Non-ENG"),IF(IFERROR(VLOOKUP(B774&amp;"PT",'LM7 Non-ENG'!$A$1:$A$5000,1,FALSE),"ERROR")=B774&amp;"PT","Y","")),"")</f>
        <v/>
      </c>
      <c r="I774" t="str">
        <f>IFERROR(VLOOKUP(B774,PN!$A:$C,3,FALSE),"")</f>
        <v>Active</v>
      </c>
      <c r="J774" s="46">
        <f>IFERROR(E774*VLOOKUP(B774,PLInter!$A:$D,3,FALSE),"")</f>
        <v>1800</v>
      </c>
      <c r="K774" s="66"/>
      <c r="L774" s="66"/>
      <c r="M774" s="66"/>
      <c r="N774" s="66"/>
      <c r="O774" s="66"/>
      <c r="P774" s="66"/>
      <c r="Q774" s="66"/>
      <c r="R774" s="66"/>
      <c r="S774" s="66"/>
      <c r="T774" s="66"/>
    </row>
    <row r="775" spans="2:20" ht="18" customHeight="1">
      <c r="B775" s="18" t="str">
        <f>"26-E081-0000"</f>
        <v>26-E081-0000</v>
      </c>
      <c r="C775" s="18" t="str">
        <f>"Assembly, JM, E081, SCR Panel"</f>
        <v>Assembly, JM, E081, SCR Panel</v>
      </c>
      <c r="D775" s="16" t="s">
        <v>0</v>
      </c>
      <c r="E775" s="16">
        <v>2</v>
      </c>
      <c r="F775" s="16"/>
      <c r="G775" s="16" t="str">
        <f>IFERROR(HYPERLINK("#"&amp;ADDRESS(MATCH(B775&amp;"ES",'LM7 Non-ENG'!$A$1:$A$5000,0),1,,,"LM7 Non-ENG"),IF(IFERROR(VLOOKUP(B775&amp;"ES",'LM7 Non-ENG'!$A$1:$A$4999,1,FALSE),"ERROR")=B775&amp;"ES","Y","")),"")</f>
        <v/>
      </c>
      <c r="H775" s="16" t="str">
        <f>IFERROR(HYPERLINK("#"&amp;ADDRESS(MATCH(B775&amp;"PT",'LM7 Non-ENG'!$A$1:$A$5000,0),1,,,"LM7 Non-ENG"),IF(IFERROR(VLOOKUP(B775&amp;"PT",'LM7 Non-ENG'!$A$1:$A$5000,1,FALSE),"ERROR")=B775&amp;"PT","Y","")),"")</f>
        <v/>
      </c>
      <c r="I775" t="str">
        <f>IFERROR(VLOOKUP(B775,PN!$A:$C,3,FALSE),"")</f>
        <v>Active</v>
      </c>
      <c r="J775" s="46">
        <f>IFERROR(E775*VLOOKUP(B775,PLInter!$A:$D,3,FALSE),"")</f>
        <v>700</v>
      </c>
      <c r="K775" s="66"/>
      <c r="L775" s="66"/>
      <c r="M775" s="66"/>
      <c r="N775" s="66"/>
      <c r="O775" s="66"/>
      <c r="P775" s="66"/>
      <c r="Q775" s="66"/>
      <c r="R775" s="66"/>
      <c r="S775" s="66"/>
      <c r="T775" s="66"/>
    </row>
    <row r="776" spans="2:20" ht="18" customHeight="1">
      <c r="B776" s="18" t="str">
        <f>"26-E083-0000"</f>
        <v>26-E083-0000</v>
      </c>
      <c r="C776" s="18" t="str">
        <f>"Assembly, JM, E083, TRIAC Panel"</f>
        <v>Assembly, JM, E083, TRIAC Panel</v>
      </c>
      <c r="D776" s="16" t="s">
        <v>0</v>
      </c>
      <c r="E776" s="16">
        <v>2</v>
      </c>
      <c r="F776" s="16"/>
      <c r="G776" s="16" t="str">
        <f>IFERROR(HYPERLINK("#"&amp;ADDRESS(MATCH(B776&amp;"ES",'LM7 Non-ENG'!$A$1:$A$5000,0),1,,,"LM7 Non-ENG"),IF(IFERROR(VLOOKUP(B776&amp;"ES",'LM7 Non-ENG'!$A$1:$A$4999,1,FALSE),"ERROR")=B776&amp;"ES","Y","")),"")</f>
        <v/>
      </c>
      <c r="H776" s="16" t="str">
        <f>IFERROR(HYPERLINK("#"&amp;ADDRESS(MATCH(B776&amp;"PT",'LM7 Non-ENG'!$A$1:$A$5000,0),1,,,"LM7 Non-ENG"),IF(IFERROR(VLOOKUP(B776&amp;"PT",'LM7 Non-ENG'!$A$1:$A$5000,1,FALSE),"ERROR")=B776&amp;"PT","Y","")),"")</f>
        <v/>
      </c>
      <c r="I776" t="str">
        <f>IFERROR(VLOOKUP(B776,PN!$A:$C,3,FALSE),"")</f>
        <v>Active</v>
      </c>
      <c r="J776" s="46">
        <f>IFERROR(E776*VLOOKUP(B776,PLInter!$A:$D,3,FALSE),"")</f>
        <v>614</v>
      </c>
      <c r="K776" s="66"/>
      <c r="L776" s="66"/>
      <c r="M776" s="66"/>
      <c r="N776" s="66"/>
      <c r="O776" s="66"/>
      <c r="P776" s="66"/>
      <c r="Q776" s="66"/>
      <c r="R776" s="66"/>
      <c r="S776" s="66"/>
      <c r="T776" s="66"/>
    </row>
    <row r="777" spans="2:20" ht="18" customHeight="1">
      <c r="B777" s="18" t="str">
        <f>"26-E084-0000"</f>
        <v>26-E084-0000</v>
      </c>
      <c r="C777" s="18" t="str">
        <f>"Assembly, JM, E084, DIAC Adjustable Resistors"</f>
        <v>Assembly, JM, E084, DIAC Adjustable Resistors</v>
      </c>
      <c r="D777" s="16" t="s">
        <v>0</v>
      </c>
      <c r="E777" s="16">
        <v>2</v>
      </c>
      <c r="F777" s="16"/>
      <c r="G777" s="16" t="str">
        <f>IFERROR(HYPERLINK("#"&amp;ADDRESS(MATCH(B777&amp;"ES",'LM7 Non-ENG'!$A$1:$A$5000,0),1,,,"LM7 Non-ENG"),IF(IFERROR(VLOOKUP(B777&amp;"ES",'LM7 Non-ENG'!$A$1:$A$4999,1,FALSE),"ERROR")=B777&amp;"ES","Y","")),"")</f>
        <v/>
      </c>
      <c r="H777" s="16" t="str">
        <f>IFERROR(HYPERLINK("#"&amp;ADDRESS(MATCH(B777&amp;"PT",'LM7 Non-ENG'!$A$1:$A$5000,0),1,,,"LM7 Non-ENG"),IF(IFERROR(VLOOKUP(B777&amp;"PT",'LM7 Non-ENG'!$A$1:$A$5000,1,FALSE),"ERROR")=B777&amp;"PT","Y","")),"")</f>
        <v/>
      </c>
      <c r="I777" t="str">
        <f>IFERROR(VLOOKUP(B777,PN!$A:$C,3,FALSE),"")</f>
        <v>Active</v>
      </c>
      <c r="J777" s="46">
        <f>IFERROR(E777*VLOOKUP(B777,PLInter!$A:$D,3,FALSE),"")</f>
        <v>788</v>
      </c>
      <c r="K777" s="66"/>
      <c r="L777" s="66"/>
      <c r="M777" s="66"/>
      <c r="N777" s="66"/>
      <c r="O777" s="66"/>
      <c r="P777" s="66"/>
      <c r="Q777" s="66"/>
      <c r="R777" s="66"/>
      <c r="S777" s="66"/>
      <c r="T777" s="66"/>
    </row>
    <row r="778" spans="2:20" ht="18" customHeight="1">
      <c r="B778" s="18" t="str">
        <f>"26-E085-0000"</f>
        <v>26-E085-0000</v>
      </c>
      <c r="C778" s="18" t="str">
        <f>"Assembly, JM, E085, Triac w/ Schmitt Trigger"</f>
        <v>Assembly, JM, E085, Triac w/ Schmitt Trigger</v>
      </c>
      <c r="D778" s="16" t="s">
        <v>0</v>
      </c>
      <c r="E778" s="16">
        <v>2</v>
      </c>
      <c r="F778" s="16"/>
      <c r="G778" s="16" t="str">
        <f>IFERROR(HYPERLINK("#"&amp;ADDRESS(MATCH(B778&amp;"ES",'LM7 Non-ENG'!$A$1:$A$5000,0),1,,,"LM7 Non-ENG"),IF(IFERROR(VLOOKUP(B778&amp;"ES",'LM7 Non-ENG'!$A$1:$A$4999,1,FALSE),"ERROR")=B778&amp;"ES","Y","")),"")</f>
        <v/>
      </c>
      <c r="H778" s="16" t="str">
        <f>IFERROR(HYPERLINK("#"&amp;ADDRESS(MATCH(B778&amp;"PT",'LM7 Non-ENG'!$A$1:$A$5000,0),1,,,"LM7 Non-ENG"),IF(IFERROR(VLOOKUP(B778&amp;"PT",'LM7 Non-ENG'!$A$1:$A$5000,1,FALSE),"ERROR")=B778&amp;"PT","Y","")),"")</f>
        <v/>
      </c>
      <c r="I778" t="str">
        <f>IFERROR(VLOOKUP(B778,PN!$A:$C,3,FALSE),"")</f>
        <v>Active</v>
      </c>
      <c r="J778" s="46">
        <f>IFERROR(E778*VLOOKUP(B778,PLInter!$A:$D,3,FALSE),"")</f>
        <v>1814</v>
      </c>
      <c r="K778" s="66"/>
      <c r="L778" s="66"/>
      <c r="M778" s="66"/>
      <c r="N778" s="66"/>
      <c r="O778" s="66"/>
      <c r="P778" s="66"/>
      <c r="Q778" s="66"/>
      <c r="R778" s="66"/>
      <c r="S778" s="66"/>
      <c r="T778" s="66"/>
    </row>
    <row r="779" spans="2:20" ht="18" customHeight="1">
      <c r="B779" s="18" t="str">
        <f>"26-E088-0000"</f>
        <v>26-E088-0000</v>
      </c>
      <c r="C779" s="18" t="str">
        <f>"Assembly, JM, E088, PMW Motor Drive Panel"</f>
        <v>Assembly, JM, E088, PMW Motor Drive Panel</v>
      </c>
      <c r="D779" s="16" t="s">
        <v>0</v>
      </c>
      <c r="E779" s="16">
        <v>2</v>
      </c>
      <c r="F779" s="16"/>
      <c r="G779" s="16" t="str">
        <f>IFERROR(HYPERLINK("#"&amp;ADDRESS(MATCH(B779&amp;"ES",'LM7 Non-ENG'!$A$1:$A$5000,0),1,,,"LM7 Non-ENG"),IF(IFERROR(VLOOKUP(B779&amp;"ES",'LM7 Non-ENG'!$A$1:$A$4999,1,FALSE),"ERROR")=B779&amp;"ES","Y","")),"")</f>
        <v/>
      </c>
      <c r="H779" s="16" t="str">
        <f>IFERROR(HYPERLINK("#"&amp;ADDRESS(MATCH(B779&amp;"PT",'LM7 Non-ENG'!$A$1:$A$5000,0),1,,,"LM7 Non-ENG"),IF(IFERROR(VLOOKUP(B779&amp;"PT",'LM7 Non-ENG'!$A$1:$A$5000,1,FALSE),"ERROR")=B779&amp;"PT","Y","")),"")</f>
        <v/>
      </c>
      <c r="I779" t="str">
        <f>IFERROR(VLOOKUP(B779,PN!$A:$C,3,FALSE),"")</f>
        <v>Active</v>
      </c>
      <c r="J779" s="46">
        <f>IFERROR(E779*VLOOKUP(B779,PLInter!$A:$D,3,FALSE),"")</f>
        <v>1450</v>
      </c>
      <c r="K779" s="66"/>
      <c r="L779" s="66"/>
      <c r="M779" s="66"/>
      <c r="N779" s="66"/>
      <c r="O779" s="66"/>
      <c r="P779" s="66"/>
      <c r="Q779" s="66"/>
      <c r="R779" s="66"/>
      <c r="S779" s="66"/>
      <c r="T779" s="66"/>
    </row>
    <row r="780" spans="2:20" ht="18" customHeight="1">
      <c r="B780" s="18" t="str">
        <f>"26-E157-0000"</f>
        <v>26-E157-0000</v>
      </c>
      <c r="C780" s="18" t="str">
        <f>"Assembly, JM, E157, Electric AC/DC Motors"</f>
        <v>Assembly, JM, E157, Electric AC/DC Motors</v>
      </c>
      <c r="D780" s="16" t="s">
        <v>0</v>
      </c>
      <c r="E780" s="16">
        <v>2</v>
      </c>
      <c r="F780" s="16"/>
      <c r="G780" s="16" t="str">
        <f>IFERROR(HYPERLINK("#"&amp;ADDRESS(MATCH(B780&amp;"ES",'LM7 Non-ENG'!$A$1:$A$5000,0),1,,,"LM7 Non-ENG"),IF(IFERROR(VLOOKUP(B780&amp;"ES",'LM7 Non-ENG'!$A$1:$A$4999,1,FALSE),"ERROR")=B780&amp;"ES","Y","")),"")</f>
        <v/>
      </c>
      <c r="H780" s="16" t="str">
        <f>IFERROR(HYPERLINK("#"&amp;ADDRESS(MATCH(B780&amp;"PT",'LM7 Non-ENG'!$A$1:$A$5000,0),1,,,"LM7 Non-ENG"),IF(IFERROR(VLOOKUP(B780&amp;"PT",'LM7 Non-ENG'!$A$1:$A$5000,1,FALSE),"ERROR")=B780&amp;"PT","Y","")),"")</f>
        <v/>
      </c>
      <c r="I780" t="str">
        <f>IFERROR(VLOOKUP(B780,PN!$A:$C,3,FALSE),"")</f>
        <v>Active</v>
      </c>
      <c r="J780" s="46">
        <f>IFERROR(E780*VLOOKUP(B780,PLInter!$A:$D,3,FALSE),"")</f>
        <v>1600</v>
      </c>
      <c r="K780" s="66"/>
      <c r="L780" s="66"/>
      <c r="M780" s="66"/>
      <c r="N780" s="66"/>
      <c r="O780" s="66"/>
      <c r="P780" s="66"/>
      <c r="Q780" s="66"/>
      <c r="R780" s="66"/>
      <c r="S780" s="66"/>
      <c r="T780" s="66"/>
    </row>
    <row r="781" spans="2:20" ht="18" customHeight="1">
      <c r="B781" t="str">
        <f>"26-E082-0000"</f>
        <v>26-E082-0000</v>
      </c>
      <c r="C781" t="str">
        <f>"Assembly, JM, E082, Full Wave SCR DC Drive Panel"</f>
        <v>Assembly, JM, E082, Full Wave SCR DC Drive Panel</v>
      </c>
      <c r="D781" s="4"/>
      <c r="E781" s="4">
        <v>2</v>
      </c>
      <c r="F781" s="4"/>
      <c r="G781" s="29" t="str">
        <f>IFERROR(HYPERLINK("#"&amp;ADDRESS(MATCH(B781&amp;"ES",'LM7 Non-ENG'!$A$1:$A$5000,0),1,,,"LM7 Non-ENG"),IF(IFERROR(VLOOKUP(B781&amp;"ES",'LM7 Non-ENG'!$A$1:$A$4999,1,FALSE),"ERROR")=B781&amp;"ES","Y","")),"")</f>
        <v/>
      </c>
      <c r="H781" s="29" t="str">
        <f>IFERROR(HYPERLINK("#"&amp;ADDRESS(MATCH(B781&amp;"PT",'LM7 Non-ENG'!$A$1:$A$5000,0),1,,,"LM7 Non-ENG"),IF(IFERROR(VLOOKUP(B781&amp;"PT",'LM7 Non-ENG'!$A$1:$A$5000,1,FALSE),"ERROR")=B781&amp;"PT","Y","")),"")</f>
        <v/>
      </c>
      <c r="I781" t="str">
        <f>IFERROR(VLOOKUP(B781,PN!$A:$C,3,FALSE),"")</f>
        <v>Active</v>
      </c>
      <c r="J781" s="3">
        <f>IFERROR(E781*VLOOKUP(B781,PLInter!$A:$D,3,FALSE),"")</f>
        <v>2000</v>
      </c>
      <c r="K781" s="66"/>
      <c r="L781" s="66"/>
      <c r="M781" s="66"/>
      <c r="N781" s="66"/>
      <c r="O781" s="66"/>
      <c r="P781" s="66"/>
      <c r="Q781" s="66"/>
      <c r="R781" s="66"/>
      <c r="S781" s="66"/>
      <c r="T781" s="66"/>
    </row>
    <row r="782" spans="2:20" ht="18" customHeight="1">
      <c r="B782" t="str">
        <f>"77-EB04-0000"</f>
        <v>77-EB04-0000</v>
      </c>
      <c r="C782" t="str">
        <f>"LM7 Content, JM, Electronic Timers &amp; Triggers"</f>
        <v>LM7 Content, JM, Electronic Timers &amp; Triggers</v>
      </c>
      <c r="D782" s="4"/>
      <c r="E782" s="4">
        <v>1</v>
      </c>
      <c r="F782" s="4"/>
      <c r="G782" s="29" t="str">
        <f>IFERROR(HYPERLINK("#"&amp;ADDRESS(MATCH(B782&amp;"ES",'LM7 Non-ENG'!$A$1:$A$5000,0),1,,,"LM7 Non-ENG"),IF(IFERROR(VLOOKUP(B782&amp;"ES",'LM7 Non-ENG'!$A$1:$A$4999,1,FALSE),"ERROR")=B782&amp;"ES","Y","")),"")</f>
        <v>Y</v>
      </c>
      <c r="H782" s="29" t="str">
        <f>IFERROR(HYPERLINK("#"&amp;ADDRESS(MATCH(B782&amp;"PT",'LM7 Non-ENG'!$A$1:$A$5000,0),1,,,"LM7 Non-ENG"),IF(IFERROR(VLOOKUP(B782&amp;"PT",'LM7 Non-ENG'!$A$1:$A$5000,1,FALSE),"ERROR")=B782&amp;"PT","Y","")),"")</f>
        <v/>
      </c>
      <c r="I782" t="str">
        <f>IFERROR(VLOOKUP(B782,PN!$A:$C,3,FALSE),"")</f>
        <v>Active</v>
      </c>
      <c r="J782" s="3">
        <f>IFERROR(E782*VLOOKUP(B782,PLInter!$A:$D,3,FALSE),"")</f>
        <v>700</v>
      </c>
      <c r="K782" s="66"/>
      <c r="L782" s="66"/>
      <c r="M782" s="66"/>
      <c r="N782" s="66"/>
      <c r="O782" s="66"/>
      <c r="P782" s="66"/>
      <c r="Q782" s="66"/>
      <c r="R782" s="66"/>
      <c r="S782" s="66"/>
      <c r="T782" s="66"/>
    </row>
    <row r="783" spans="2:20" ht="18" customHeight="1">
      <c r="B783" t="str">
        <f>"26-E089-0000"</f>
        <v>26-E089-0000</v>
      </c>
      <c r="C783" t="str">
        <f>"Assembly, JM, E089, Timers and Triggers Panel"</f>
        <v>Assembly, JM, E089, Timers and Triggers Panel</v>
      </c>
      <c r="D783" s="4"/>
      <c r="E783" s="4">
        <v>2</v>
      </c>
      <c r="F783" s="4"/>
      <c r="G783" s="29" t="str">
        <f>IFERROR(HYPERLINK("#"&amp;ADDRESS(MATCH(B783&amp;"ES",'LM7 Non-ENG'!$A$1:$A$5000,0),1,,,"LM7 Non-ENG"),IF(IFERROR(VLOOKUP(B783&amp;"ES",'LM7 Non-ENG'!$A$1:$A$4999,1,FALSE),"ERROR")=B783&amp;"ES","Y","")),"")</f>
        <v/>
      </c>
      <c r="H783" s="29" t="str">
        <f>IFERROR(HYPERLINK("#"&amp;ADDRESS(MATCH(B783&amp;"PT",'LM7 Non-ENG'!$A$1:$A$5000,0),1,,,"LM7 Non-ENG"),IF(IFERROR(VLOOKUP(B783&amp;"PT",'LM7 Non-ENG'!$A$1:$A$5000,1,FALSE),"ERROR")=B783&amp;"PT","Y","")),"")</f>
        <v/>
      </c>
      <c r="I783" t="str">
        <f>IFERROR(VLOOKUP(B783,PN!$A:$C,3,FALSE),"")</f>
        <v>Active</v>
      </c>
      <c r="J783" s="3">
        <f>IFERROR(E783*VLOOKUP(B783,PLInter!$A:$D,3,FALSE),"")</f>
        <v>2000</v>
      </c>
      <c r="K783" s="66"/>
      <c r="L783" s="66"/>
      <c r="M783" s="66"/>
      <c r="N783" s="66"/>
      <c r="O783" s="66"/>
      <c r="P783" s="66"/>
      <c r="Q783" s="66"/>
      <c r="R783" s="66"/>
      <c r="S783" s="66"/>
      <c r="T783" s="66"/>
    </row>
    <row r="784" spans="2:20" ht="18" customHeight="1">
      <c r="B784" t="str">
        <f>"77-EB05-0000"</f>
        <v>77-EB05-0000</v>
      </c>
      <c r="C784" t="str">
        <f>"LM7 Content, JM, Basic Stepper Motors &amp; Drives"</f>
        <v>LM7 Content, JM, Basic Stepper Motors &amp; Drives</v>
      </c>
      <c r="D784" s="4"/>
      <c r="E784" s="4">
        <v>1</v>
      </c>
      <c r="F784" s="4"/>
      <c r="G784" s="29" t="str">
        <f>IFERROR(HYPERLINK("#"&amp;ADDRESS(MATCH(B784&amp;"ES",'LM7 Non-ENG'!$A$1:$A$5000,0),1,,,"LM7 Non-ENG"),IF(IFERROR(VLOOKUP(B784&amp;"ES",'LM7 Non-ENG'!$A$1:$A$4999,1,FALSE),"ERROR")=B784&amp;"ES","Y","")),"")</f>
        <v>Y</v>
      </c>
      <c r="H784" s="29" t="str">
        <f>IFERROR(HYPERLINK("#"&amp;ADDRESS(MATCH(B784&amp;"PT",'LM7 Non-ENG'!$A$1:$A$5000,0),1,,,"LM7 Non-ENG"),IF(IFERROR(VLOOKUP(B784&amp;"PT",'LM7 Non-ENG'!$A$1:$A$5000,1,FALSE),"ERROR")=B784&amp;"PT","Y","")),"")</f>
        <v/>
      </c>
      <c r="I784" t="str">
        <f>IFERROR(VLOOKUP(B784,PN!$A:$C,3,FALSE),"")</f>
        <v>Active</v>
      </c>
      <c r="J784" s="3">
        <f>IFERROR(E784*VLOOKUP(B784,PLInter!$A:$D,3,FALSE),"")</f>
        <v>700</v>
      </c>
      <c r="K784" s="66"/>
      <c r="L784" s="66"/>
      <c r="M784" s="66"/>
      <c r="N784" s="66"/>
      <c r="O784" s="66"/>
      <c r="P784" s="66"/>
      <c r="Q784" s="66"/>
      <c r="R784" s="66"/>
      <c r="S784" s="66"/>
      <c r="T784" s="66"/>
    </row>
    <row r="785" spans="2:20" ht="18" customHeight="1">
      <c r="B785" t="str">
        <f>"26-E090-0000"</f>
        <v>26-E090-0000</v>
      </c>
      <c r="C785" t="str">
        <f>"Assembly, JM, E090, Stepper Motor &amp; Drive Panel"</f>
        <v>Assembly, JM, E090, Stepper Motor &amp; Drive Panel</v>
      </c>
      <c r="D785" s="4"/>
      <c r="E785" s="4">
        <v>2</v>
      </c>
      <c r="F785" s="4"/>
      <c r="G785" s="29" t="str">
        <f>IFERROR(HYPERLINK("#"&amp;ADDRESS(MATCH(B785&amp;"ES",'LM7 Non-ENG'!$A$1:$A$5000,0),1,,,"LM7 Non-ENG"),IF(IFERROR(VLOOKUP(B785&amp;"ES",'LM7 Non-ENG'!$A$1:$A$4999,1,FALSE),"ERROR")=B785&amp;"ES","Y","")),"")</f>
        <v/>
      </c>
      <c r="H785" s="29" t="str">
        <f>IFERROR(HYPERLINK("#"&amp;ADDRESS(MATCH(B785&amp;"PT",'LM7 Non-ENG'!$A$1:$A$5000,0),1,,,"LM7 Non-ENG"),IF(IFERROR(VLOOKUP(B785&amp;"PT",'LM7 Non-ENG'!$A$1:$A$5000,1,FALSE),"ERROR")=B785&amp;"PT","Y","")),"")</f>
        <v/>
      </c>
      <c r="I785" t="str">
        <f>IFERROR(VLOOKUP(B785,PN!$A:$C,3,FALSE),"")</f>
        <v>Active</v>
      </c>
      <c r="J785" s="3">
        <f>IFERROR(E785*VLOOKUP(B785,PLInter!$A:$D,3,FALSE),"")</f>
        <v>3200</v>
      </c>
      <c r="K785" s="66"/>
      <c r="L785" s="66"/>
      <c r="M785" s="66"/>
      <c r="N785" s="66"/>
      <c r="O785" s="66"/>
      <c r="P785" s="66"/>
      <c r="Q785" s="66"/>
      <c r="R785" s="66"/>
      <c r="S785" s="66"/>
      <c r="T785" s="66"/>
    </row>
    <row r="786" spans="2:20" ht="18" customHeight="1">
      <c r="B786" t="str">
        <f>"77-EB06-0000"</f>
        <v>77-EB06-0000</v>
      </c>
      <c r="C786" t="str">
        <f>"LM7 Content, JM, Basic Servo Motor Drives"</f>
        <v>LM7 Content, JM, Basic Servo Motor Drives</v>
      </c>
      <c r="D786" s="4"/>
      <c r="E786" s="4">
        <v>1</v>
      </c>
      <c r="F786" s="4"/>
      <c r="G786" s="29" t="str">
        <f>IFERROR(HYPERLINK("#"&amp;ADDRESS(MATCH(B786&amp;"ES",'LM7 Non-ENG'!$A$1:$A$5000,0),1,,,"LM7 Non-ENG"),IF(IFERROR(VLOOKUP(B786&amp;"ES",'LM7 Non-ENG'!$A$1:$A$4999,1,FALSE),"ERROR")=B786&amp;"ES","Y","")),"")</f>
        <v>Y</v>
      </c>
      <c r="H786" s="29" t="str">
        <f>IFERROR(HYPERLINK("#"&amp;ADDRESS(MATCH(B786&amp;"PT",'LM7 Non-ENG'!$A$1:$A$5000,0),1,,,"LM7 Non-ENG"),IF(IFERROR(VLOOKUP(B786&amp;"PT",'LM7 Non-ENG'!$A$1:$A$5000,1,FALSE),"ERROR")=B786&amp;"PT","Y","")),"")</f>
        <v/>
      </c>
      <c r="I786" t="str">
        <f>IFERROR(VLOOKUP(B786,PN!$A:$C,3,FALSE),"")</f>
        <v>Active</v>
      </c>
      <c r="J786" s="3">
        <f>IFERROR(E786*VLOOKUP(B786,PLInter!$A:$D,3,FALSE),"")</f>
        <v>700</v>
      </c>
      <c r="K786" s="66"/>
      <c r="L786" s="66"/>
      <c r="M786" s="66"/>
      <c r="N786" s="66"/>
      <c r="O786" s="66"/>
      <c r="P786" s="66"/>
      <c r="Q786" s="66"/>
      <c r="R786" s="66"/>
      <c r="S786" s="66"/>
      <c r="T786" s="66"/>
    </row>
    <row r="787" spans="2:20" ht="18" customHeight="1">
      <c r="B787" t="str">
        <f>"26-E091-0000"</f>
        <v>26-E091-0000</v>
      </c>
      <c r="C787" t="str">
        <f>"Assembly, JM, E091, Servo Motor&amp; Drive Panel"</f>
        <v>Assembly, JM, E091, Servo Motor&amp; Drive Panel</v>
      </c>
      <c r="D787" s="4"/>
      <c r="E787" s="4">
        <v>2</v>
      </c>
      <c r="F787" s="4"/>
      <c r="G787" s="29" t="str">
        <f>IFERROR(HYPERLINK("#"&amp;ADDRESS(MATCH(B787&amp;"ES",'LM7 Non-ENG'!$A$1:$A$5000,0),1,,,"LM7 Non-ENG"),IF(IFERROR(VLOOKUP(B787&amp;"ES",'LM7 Non-ENG'!$A$1:$A$4999,1,FALSE),"ERROR")=B787&amp;"ES","Y","")),"")</f>
        <v/>
      </c>
      <c r="H787" s="29" t="str">
        <f>IFERROR(HYPERLINK("#"&amp;ADDRESS(MATCH(B787&amp;"PT",'LM7 Non-ENG'!$A$1:$A$5000,0),1,,,"LM7 Non-ENG"),IF(IFERROR(VLOOKUP(B787&amp;"PT",'LM7 Non-ENG'!$A$1:$A$5000,1,FALSE),"ERROR")=B787&amp;"PT","Y","")),"")</f>
        <v/>
      </c>
      <c r="I787" t="str">
        <f>IFERROR(VLOOKUP(B787,PN!$A:$C,3,FALSE),"")</f>
        <v>Active</v>
      </c>
      <c r="J787" s="3">
        <f>IFERROR(E787*VLOOKUP(B787,PLInter!$A:$D,3,FALSE),"")</f>
        <v>1534</v>
      </c>
      <c r="K787" s="66"/>
      <c r="L787" s="66"/>
      <c r="M787" s="66"/>
      <c r="N787" s="66"/>
      <c r="O787" s="66"/>
      <c r="P787" s="66"/>
      <c r="Q787" s="66"/>
      <c r="R787" s="66"/>
      <c r="S787" s="66"/>
      <c r="T787" s="66"/>
    </row>
    <row r="788" spans="2:20" ht="18" customHeight="1">
      <c r="B788" t="str">
        <f>"10-PPSU-0001"</f>
        <v>10-PPSU-0001</v>
      </c>
      <c r="C788" t="str">
        <f>"JM, Portable Panel Storage Unit"</f>
        <v>JM, Portable Panel Storage Unit</v>
      </c>
      <c r="D788" s="4"/>
      <c r="E788" s="4">
        <v>1</v>
      </c>
      <c r="F788" s="4"/>
      <c r="G788" s="29" t="str">
        <f>IFERROR(HYPERLINK("#"&amp;ADDRESS(MATCH(B788&amp;"ES",'LM7 Non-ENG'!$A$1:$A$5000,0),1,,,"LM7 Non-ENG"),IF(IFERROR(VLOOKUP(B788&amp;"ES",'LM7 Non-ENG'!$A$1:$A$4999,1,FALSE),"ERROR")=B788&amp;"ES","Y","")),"")</f>
        <v/>
      </c>
      <c r="H788" s="29" t="str">
        <f>IFERROR(HYPERLINK("#"&amp;ADDRESS(MATCH(B788&amp;"PT",'LM7 Non-ENG'!$A$1:$A$5000,0),1,,,"LM7 Non-ENG"),IF(IFERROR(VLOOKUP(B788&amp;"PT",'LM7 Non-ENG'!$A$1:$A$5000,1,FALSE),"ERROR")=B788&amp;"PT","Y","")),"")</f>
        <v/>
      </c>
      <c r="I788" t="str">
        <f>IFERROR(VLOOKUP(B788,PN!$A:$C,3,FALSE),"")</f>
        <v>Active</v>
      </c>
      <c r="J788" s="3">
        <f>IFERROR(E788*VLOOKUP(B788,PLInter!$A:$D,3,FALSE),"")</f>
        <v>2200</v>
      </c>
      <c r="K788" s="66"/>
      <c r="L788" s="66"/>
      <c r="M788" s="66"/>
      <c r="N788" s="66"/>
      <c r="O788" s="66"/>
      <c r="P788" s="66"/>
      <c r="Q788" s="66"/>
      <c r="R788" s="66"/>
      <c r="S788" s="66"/>
      <c r="T788" s="66"/>
    </row>
    <row r="789" spans="2:20" ht="18" customHeight="1">
      <c r="B789" t="str">
        <f>"10-PC09-0000"</f>
        <v>10-PC09-0000</v>
      </c>
      <c r="C789" t="str">
        <f>"JM, PC09, Inter. Transformer Pack, LS200 Bench"</f>
        <v>JM, PC09, Inter. Transformer Pack, LS200 Bench</v>
      </c>
      <c r="D789" s="4"/>
      <c r="E789" s="4">
        <v>1</v>
      </c>
      <c r="F789" s="4"/>
      <c r="G789" s="29" t="str">
        <f>IFERROR(HYPERLINK("#"&amp;ADDRESS(MATCH(B789&amp;"ES",'LM7 Non-ENG'!$A$1:$A$5000,0),1,,,"LM7 Non-ENG"),IF(IFERROR(VLOOKUP(B789&amp;"ES",'LM7 Non-ENG'!$A$1:$A$4999,1,FALSE),"ERROR")=B789&amp;"ES","Y","")),"")</f>
        <v/>
      </c>
      <c r="H789" s="29" t="str">
        <f>IFERROR(HYPERLINK("#"&amp;ADDRESS(MATCH(B789&amp;"PT",'LM7 Non-ENG'!$A$1:$A$5000,0),1,,,"LM7 Non-ENG"),IF(IFERROR(VLOOKUP(B789&amp;"PT",'LM7 Non-ENG'!$A$1:$A$5000,1,FALSE),"ERROR")=B789&amp;"PT","Y","")),"")</f>
        <v/>
      </c>
      <c r="I789" t="str">
        <f>IFERROR(VLOOKUP(B789,PN!$A:$C,3,FALSE),"")</f>
        <v>Active</v>
      </c>
      <c r="J789" s="3">
        <f>IFERROR(E789*VLOOKUP(B789,PLInter!$A:$D,3,FALSE),"")</f>
        <v>4334</v>
      </c>
      <c r="K789" s="66"/>
      <c r="L789" s="66"/>
      <c r="M789" s="66"/>
      <c r="N789" s="66"/>
      <c r="O789" s="66"/>
      <c r="P789" s="66"/>
      <c r="Q789" s="66"/>
      <c r="R789" s="66"/>
      <c r="S789" s="66"/>
      <c r="T789" s="66"/>
    </row>
  </sheetData>
  <mergeCells count="36">
    <mergeCell ref="K3:T11"/>
    <mergeCell ref="K1:T1"/>
    <mergeCell ref="K14:T17"/>
    <mergeCell ref="K20:T27"/>
    <mergeCell ref="K330:T333"/>
    <mergeCell ref="K323:T327"/>
    <mergeCell ref="K30:T32"/>
    <mergeCell ref="K35:T60"/>
    <mergeCell ref="K63:T81"/>
    <mergeCell ref="K84:T227"/>
    <mergeCell ref="K230:T320"/>
    <mergeCell ref="K336:T348"/>
    <mergeCell ref="K351:T362"/>
    <mergeCell ref="K365:T369"/>
    <mergeCell ref="K372:T378"/>
    <mergeCell ref="K381:T384"/>
    <mergeCell ref="K528:T532"/>
    <mergeCell ref="K535:T570"/>
    <mergeCell ref="K573:T596"/>
    <mergeCell ref="K599:T620"/>
    <mergeCell ref="K387:T391"/>
    <mergeCell ref="K394:T403"/>
    <mergeCell ref="K406:T472"/>
    <mergeCell ref="K475:T519"/>
    <mergeCell ref="K522:T525"/>
    <mergeCell ref="K623:T628"/>
    <mergeCell ref="K631:T636"/>
    <mergeCell ref="K639:T643"/>
    <mergeCell ref="K646:T651"/>
    <mergeCell ref="K654:T659"/>
    <mergeCell ref="K752:T789"/>
    <mergeCell ref="K662:T672"/>
    <mergeCell ref="K675:T678"/>
    <mergeCell ref="K681:T684"/>
    <mergeCell ref="K687:T690"/>
    <mergeCell ref="K693:T749"/>
  </mergeCells>
  <conditionalFormatting sqref="D11">
    <cfRule type="expression" dxfId="292" priority="80">
      <formula>"$D11=""Y"""</formula>
    </cfRule>
  </conditionalFormatting>
  <conditionalFormatting sqref="D17">
    <cfRule type="expression" dxfId="291" priority="79">
      <formula>"$D11=""Y"""</formula>
    </cfRule>
  </conditionalFormatting>
  <conditionalFormatting sqref="D27">
    <cfRule type="expression" dxfId="290" priority="78">
      <formula>"$D11=""Y"""</formula>
    </cfRule>
  </conditionalFormatting>
  <conditionalFormatting sqref="D32">
    <cfRule type="expression" dxfId="289" priority="77">
      <formula>"$D11=""Y"""</formula>
    </cfRule>
  </conditionalFormatting>
  <conditionalFormatting sqref="D45">
    <cfRule type="expression" dxfId="288" priority="76">
      <formula>"$D11=""Y"""</formula>
    </cfRule>
  </conditionalFormatting>
  <conditionalFormatting sqref="D49">
    <cfRule type="expression" dxfId="287" priority="75">
      <formula>"$D11=""Y"""</formula>
    </cfRule>
  </conditionalFormatting>
  <conditionalFormatting sqref="D57">
    <cfRule type="expression" dxfId="286" priority="74">
      <formula>"$D11=""Y"""</formula>
    </cfRule>
  </conditionalFormatting>
  <conditionalFormatting sqref="D60">
    <cfRule type="expression" dxfId="285" priority="73">
      <formula>"$D11=""Y"""</formula>
    </cfRule>
  </conditionalFormatting>
  <conditionalFormatting sqref="D94">
    <cfRule type="expression" dxfId="284" priority="72">
      <formula>"$D11=""Y"""</formula>
    </cfRule>
  </conditionalFormatting>
  <conditionalFormatting sqref="D122:D124">
    <cfRule type="expression" dxfId="283" priority="71">
      <formula>"$D11=""Y"""</formula>
    </cfRule>
  </conditionalFormatting>
  <conditionalFormatting sqref="D142">
    <cfRule type="expression" dxfId="282" priority="70">
      <formula>"$D11=""Y"""</formula>
    </cfRule>
  </conditionalFormatting>
  <conditionalFormatting sqref="D159">
    <cfRule type="expression" dxfId="281" priority="69">
      <formula>"$D11=""Y"""</formula>
    </cfRule>
  </conditionalFormatting>
  <conditionalFormatting sqref="D169">
    <cfRule type="expression" dxfId="280" priority="68">
      <formula>"$D11=""Y"""</formula>
    </cfRule>
  </conditionalFormatting>
  <conditionalFormatting sqref="D177">
    <cfRule type="expression" dxfId="279" priority="67">
      <formula>"$D11=""Y"""</formula>
    </cfRule>
  </conditionalFormatting>
  <conditionalFormatting sqref="D190">
    <cfRule type="expression" dxfId="278" priority="66">
      <formula>"$D11=""Y"""</formula>
    </cfRule>
  </conditionalFormatting>
  <conditionalFormatting sqref="D207">
    <cfRule type="expression" dxfId="277" priority="65">
      <formula>"$D11=""Y"""</formula>
    </cfRule>
  </conditionalFormatting>
  <conditionalFormatting sqref="D327">
    <cfRule type="expression" dxfId="276" priority="64">
      <formula>"$D11=""Y"""</formula>
    </cfRule>
  </conditionalFormatting>
  <conditionalFormatting sqref="D333">
    <cfRule type="expression" dxfId="275" priority="63">
      <formula>"$D11=""Y"""</formula>
    </cfRule>
  </conditionalFormatting>
  <conditionalFormatting sqref="D348">
    <cfRule type="expression" dxfId="274" priority="62">
      <formula>"$D11=""Y"""</formula>
    </cfRule>
  </conditionalFormatting>
  <conditionalFormatting sqref="D362">
    <cfRule type="expression" dxfId="273" priority="61">
      <formula>"$D11=""Y"""</formula>
    </cfRule>
  </conditionalFormatting>
  <conditionalFormatting sqref="D369">
    <cfRule type="expression" dxfId="272" priority="60">
      <formula>"$D11=""Y"""</formula>
    </cfRule>
  </conditionalFormatting>
  <conditionalFormatting sqref="D378">
    <cfRule type="expression" dxfId="271" priority="59">
      <formula>"$D11=""Y"""</formula>
    </cfRule>
  </conditionalFormatting>
  <conditionalFormatting sqref="D384">
    <cfRule type="expression" dxfId="270" priority="58">
      <formula>"$D11=""Y"""</formula>
    </cfRule>
  </conditionalFormatting>
  <conditionalFormatting sqref="D390">
    <cfRule type="expression" dxfId="269" priority="57">
      <formula>"$D11=""Y"""</formula>
    </cfRule>
  </conditionalFormatting>
  <conditionalFormatting sqref="D413">
    <cfRule type="expression" dxfId="268" priority="56">
      <formula>"$D11=""Y"""</formula>
    </cfRule>
  </conditionalFormatting>
  <conditionalFormatting sqref="D417">
    <cfRule type="expression" dxfId="267" priority="55">
      <formula>"$D11=""Y"""</formula>
    </cfRule>
  </conditionalFormatting>
  <conditionalFormatting sqref="D428">
    <cfRule type="expression" dxfId="266" priority="54">
      <formula>"$D11=""Y"""</formula>
    </cfRule>
  </conditionalFormatting>
  <conditionalFormatting sqref="D430">
    <cfRule type="expression" dxfId="265" priority="53">
      <formula>"$D11=""Y"""</formula>
    </cfRule>
  </conditionalFormatting>
  <conditionalFormatting sqref="D437:D438">
    <cfRule type="expression" dxfId="264" priority="52">
      <formula>"$D11=""Y"""</formula>
    </cfRule>
  </conditionalFormatting>
  <conditionalFormatting sqref="D442">
    <cfRule type="expression" dxfId="263" priority="51">
      <formula>"$D11=""Y"""</formula>
    </cfRule>
  </conditionalFormatting>
  <conditionalFormatting sqref="D447">
    <cfRule type="expression" dxfId="262" priority="50">
      <formula>"$D11=""Y"""</formula>
    </cfRule>
  </conditionalFormatting>
  <conditionalFormatting sqref="D451">
    <cfRule type="expression" dxfId="261" priority="49">
      <formula>"$D11=""Y"""</formula>
    </cfRule>
  </conditionalFormatting>
  <conditionalFormatting sqref="D458">
    <cfRule type="expression" dxfId="260" priority="48">
      <formula>"$D11=""Y"""</formula>
    </cfRule>
  </conditionalFormatting>
  <conditionalFormatting sqref="D462">
    <cfRule type="expression" dxfId="259" priority="47">
      <formula>"$D11=""Y"""</formula>
    </cfRule>
  </conditionalFormatting>
  <conditionalFormatting sqref="D465">
    <cfRule type="expression" dxfId="258" priority="46">
      <formula>"$D11=""Y"""</formula>
    </cfRule>
  </conditionalFormatting>
  <conditionalFormatting sqref="D467">
    <cfRule type="expression" dxfId="257" priority="45">
      <formula>"$D11=""Y"""</formula>
    </cfRule>
  </conditionalFormatting>
  <conditionalFormatting sqref="D471">
    <cfRule type="expression" dxfId="256" priority="44">
      <formula>"$D11=""Y"""</formula>
    </cfRule>
  </conditionalFormatting>
  <conditionalFormatting sqref="D628">
    <cfRule type="expression" dxfId="255" priority="43">
      <formula>"$D11=""Y"""</formula>
    </cfRule>
  </conditionalFormatting>
  <conditionalFormatting sqref="D636">
    <cfRule type="expression" dxfId="254" priority="42">
      <formula>"$D11=""Y"""</formula>
    </cfRule>
  </conditionalFormatting>
  <conditionalFormatting sqref="D651">
    <cfRule type="expression" dxfId="253" priority="41">
      <formula>"$D11=""Y"""</formula>
    </cfRule>
  </conditionalFormatting>
  <conditionalFormatting sqref="D659">
    <cfRule type="expression" dxfId="252" priority="40">
      <formula>"$D11=""Y"""</formula>
    </cfRule>
  </conditionalFormatting>
  <conditionalFormatting sqref="D671">
    <cfRule type="expression" dxfId="251" priority="39">
      <formula>"$D11=""Y"""</formula>
    </cfRule>
  </conditionalFormatting>
  <conditionalFormatting sqref="D678">
    <cfRule type="expression" dxfId="250" priority="38">
      <formula>"$D11=""Y"""</formula>
    </cfRule>
  </conditionalFormatting>
  <conditionalFormatting sqref="D684">
    <cfRule type="expression" dxfId="249" priority="37">
      <formula>"$D11=""Y"""</formula>
    </cfRule>
  </conditionalFormatting>
  <conditionalFormatting sqref="D690">
    <cfRule type="expression" dxfId="248" priority="36">
      <formula>"$D11=""Y"""</formula>
    </cfRule>
  </conditionalFormatting>
  <conditionalFormatting sqref="D699">
    <cfRule type="expression" dxfId="247" priority="35">
      <formula>"$D11=""Y"""</formula>
    </cfRule>
  </conditionalFormatting>
  <conditionalFormatting sqref="D701">
    <cfRule type="expression" dxfId="246" priority="34">
      <formula>"$D11=""Y"""</formula>
    </cfRule>
  </conditionalFormatting>
  <conditionalFormatting sqref="D707">
    <cfRule type="expression" dxfId="245" priority="33">
      <formula>"$D11=""Y"""</formula>
    </cfRule>
  </conditionalFormatting>
  <conditionalFormatting sqref="D710">
    <cfRule type="expression" dxfId="244" priority="32">
      <formula>"$D11=""Y"""</formula>
    </cfRule>
  </conditionalFormatting>
  <conditionalFormatting sqref="D713">
    <cfRule type="expression" dxfId="243" priority="31">
      <formula>"$D11=""Y"""</formula>
    </cfRule>
  </conditionalFormatting>
  <conditionalFormatting sqref="D719">
    <cfRule type="expression" dxfId="242" priority="30">
      <formula>"$D11=""Y"""</formula>
    </cfRule>
  </conditionalFormatting>
  <conditionalFormatting sqref="D725">
    <cfRule type="expression" dxfId="241" priority="29">
      <formula>"$D11=""Y"""</formula>
    </cfRule>
  </conditionalFormatting>
  <conditionalFormatting sqref="D735">
    <cfRule type="expression" dxfId="240" priority="28">
      <formula>"$D11=""Y"""</formula>
    </cfRule>
  </conditionalFormatting>
  <conditionalFormatting sqref="D740">
    <cfRule type="expression" dxfId="239" priority="27">
      <formula>"$D11=""Y"""</formula>
    </cfRule>
  </conditionalFormatting>
  <conditionalFormatting sqref="D744">
    <cfRule type="expression" dxfId="238" priority="26">
      <formula>"$D11=""Y"""</formula>
    </cfRule>
  </conditionalFormatting>
  <conditionalFormatting sqref="D748">
    <cfRule type="expression" dxfId="237" priority="25">
      <formula>"$D11=""Y"""</formula>
    </cfRule>
  </conditionalFormatting>
  <conditionalFormatting sqref="I12 I18 I28 I33 I61 I82 I228 I321 I328 I334 I349 I363 I370 I379 I385 I392 I404 I473 I520 I524:I526 I531:I533 I571 I597 I621 I629 I637 I644 I652 I660 I673 I679 I685 I691 I750">
    <cfRule type="cellIs" dxfId="236" priority="19" operator="equal">
      <formula>"ECO+NFS"</formula>
    </cfRule>
    <cfRule type="cellIs" dxfId="235" priority="20" operator="equal">
      <formula>"ECO-N2Mnf"</formula>
    </cfRule>
    <cfRule type="cellIs" dxfId="234" priority="21" operator="equal">
      <formula>"Inactive"</formula>
    </cfRule>
    <cfRule type="cellIs" dxfId="233" priority="22" operator="equal">
      <formula>"Phase Out"</formula>
    </cfRule>
    <cfRule type="cellIs" dxfId="232" priority="23" operator="equal">
      <formula>"ECO-N2Buy"</formula>
    </cfRule>
    <cfRule type="cellIs" dxfId="231" priority="24" operator="equal">
      <formula>"Not for purc"</formula>
    </cfRule>
  </conditionalFormatting>
  <conditionalFormatting sqref="I3">
    <cfRule type="cellIs" dxfId="230" priority="13" operator="equal">
      <formula>"ECO+NFS"</formula>
    </cfRule>
    <cfRule type="cellIs" dxfId="229" priority="14" operator="equal">
      <formula>"ECO-N2Mnf"</formula>
    </cfRule>
    <cfRule type="cellIs" dxfId="228" priority="15" operator="equal">
      <formula>"Inactive"</formula>
    </cfRule>
    <cfRule type="cellIs" dxfId="227" priority="16" operator="equal">
      <formula>"Phase Out"</formula>
    </cfRule>
    <cfRule type="cellIs" dxfId="226" priority="17" operator="equal">
      <formula>"ECO-N2Buy"</formula>
    </cfRule>
    <cfRule type="cellIs" dxfId="225" priority="18" operator="equal">
      <formula>"Not for purc"</formula>
    </cfRule>
  </conditionalFormatting>
  <conditionalFormatting sqref="I752:I789 I693:I749 I687:I690 I681:I684 I675:I678 I662:I672 I654:I659 I646:I651 I639:I643 I631:I636 I623:I628 I599:I620 I573:I596 I535:I570 I528:I530 I522:I523 I475:I519 I406:I472 I394:I403 I387:I391 I381:I384 I372:I378 I365:I369 I351:I362 I336:I348 I330:I333 I323:I327 I230:I320 I84:I227 I63:I81 I35:I60 I30:I32 I20:I27 I14:I17 I4:I11">
    <cfRule type="cellIs" dxfId="224" priority="1" operator="equal">
      <formula>"ECO+NFS"</formula>
    </cfRule>
    <cfRule type="cellIs" dxfId="223" priority="2" operator="equal">
      <formula>"ECO-N2Mnf"</formula>
    </cfRule>
    <cfRule type="cellIs" dxfId="222" priority="3" operator="equal">
      <formula>"Inactive"</formula>
    </cfRule>
    <cfRule type="cellIs" dxfId="221" priority="4" operator="equal">
      <formula>"Phase Out"</formula>
    </cfRule>
    <cfRule type="cellIs" dxfId="220" priority="5" operator="equal">
      <formula>"ECO-N2Buy"</formula>
    </cfRule>
    <cfRule type="cellIs" dxfId="219" priority="6" operator="equal">
      <formula>"Not for purc"</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sheetPr codeName="Sheet10">
    <tabColor theme="3" tint="0.39997558519241921"/>
  </sheetPr>
  <dimension ref="A1:S108"/>
  <sheetViews>
    <sheetView workbookViewId="0">
      <pane ySplit="1" topLeftCell="A2" activePane="bottomLeft" state="frozen"/>
      <selection pane="bottomLeft" activeCell="I3" sqref="I3"/>
    </sheetView>
  </sheetViews>
  <sheetFormatPr baseColWidth="10" defaultColWidth="9" defaultRowHeight="18" customHeight="1"/>
  <cols>
    <col min="1" max="1" width="16.25" bestFit="1" customWidth="1"/>
    <col min="2" max="2" width="13.75" bestFit="1" customWidth="1"/>
    <col min="3" max="3" width="49.5" customWidth="1"/>
    <col min="4" max="8" width="4.75" customWidth="1"/>
    <col min="9" max="9" width="10.5" bestFit="1" customWidth="1"/>
    <col min="10" max="10" width="11.5" bestFit="1" customWidth="1"/>
  </cols>
  <sheetData>
    <row r="1" spans="1:19" ht="18" customHeight="1">
      <c r="A1" s="21"/>
      <c r="B1" s="21" t="s">
        <v>1</v>
      </c>
      <c r="C1" s="21" t="s">
        <v>2</v>
      </c>
      <c r="D1" s="22" t="s">
        <v>3</v>
      </c>
      <c r="E1" s="22" t="s">
        <v>4</v>
      </c>
      <c r="F1" s="22" t="s">
        <v>5</v>
      </c>
      <c r="G1" s="24" t="s">
        <v>250</v>
      </c>
      <c r="H1" s="24" t="s">
        <v>251</v>
      </c>
      <c r="I1" s="21" t="s">
        <v>6</v>
      </c>
      <c r="J1" s="22" t="s">
        <v>8</v>
      </c>
      <c r="K1" s="67" t="s">
        <v>11</v>
      </c>
      <c r="L1" s="67"/>
      <c r="M1" s="67"/>
      <c r="N1" s="67"/>
      <c r="O1" s="67"/>
      <c r="P1" s="67"/>
      <c r="Q1" s="67"/>
      <c r="R1" s="67"/>
      <c r="S1" s="67"/>
    </row>
    <row r="2" spans="1:19" s="7" customFormat="1" ht="18" customHeight="1">
      <c r="A2" s="13" t="s">
        <v>181</v>
      </c>
      <c r="B2" s="13"/>
      <c r="C2" s="13" t="s">
        <v>182</v>
      </c>
      <c r="D2" s="14"/>
      <c r="E2" s="14"/>
      <c r="F2" s="14"/>
      <c r="G2" s="14"/>
      <c r="H2" s="14"/>
      <c r="I2" s="14"/>
      <c r="J2" s="14">
        <f>SUMIFS(J3:J6,D3:D6,"&lt;&gt;Y",F3:F6,"&lt;&gt;Y",I3:I6,"&lt;&gt;Inactive",I3:I6,"&lt;&gt;ECO+NFS")</f>
        <v>7450</v>
      </c>
      <c r="K2" s="14"/>
      <c r="L2" s="14"/>
      <c r="M2" s="14"/>
      <c r="N2" s="14"/>
      <c r="O2" s="14"/>
      <c r="P2" s="14"/>
      <c r="Q2" s="14"/>
      <c r="R2" s="14"/>
      <c r="S2" s="14"/>
    </row>
    <row r="3" spans="1:19" ht="18" customHeight="1">
      <c r="A3" s="17" t="e">
        <f>HYPERLINK("#"&amp;ADDRESS(MATCH(A2,Robotics!$A$1:$A$5010,0),1,,,"Robotics"),"Back to Price List")</f>
        <v>#N/A</v>
      </c>
      <c r="B3" t="str">
        <f>"00-0300-0001"</f>
        <v>00-0300-0001</v>
      </c>
      <c r="C3" t="str">
        <f>"CytonE 300"</f>
        <v>CytonE 300</v>
      </c>
      <c r="D3" s="4"/>
      <c r="E3" s="4">
        <v>1</v>
      </c>
      <c r="F3" s="4"/>
      <c r="G3" s="29" t="str">
        <f>IFERROR(HYPERLINK("#"&amp;ADDRESS(MATCH(B3&amp;"ES",'LM7 Non-ENG'!$A$1:$A$5000,0),1,,,"LM7 Non-ENG"),IF(IFERROR(VLOOKUP(B3&amp;"ES",'LM7 Non-ENG'!$A$1:$A$4999,1,FALSE),"ERROR")=B3&amp;"ES","Y","")),"")</f>
        <v/>
      </c>
      <c r="H3" s="29" t="str">
        <f>IFERROR(HYPERLINK("#"&amp;ADDRESS(MATCH(B3&amp;"PT",'LM7 Non-ENG'!$A$1:$A$5000,0),1,,,"LM7 Non-ENG"),IF(IFERROR(VLOOKUP(B3&amp;"PT",'LM7 Non-ENG'!$A$1:$A$5000,1,FALSE),"ERROR")=B3&amp;"PT","Y","")),"")</f>
        <v/>
      </c>
      <c r="I3" t="str">
        <f>IFERROR(VLOOKUP(B3,PN!$A:$C,3,FALSE),"")</f>
        <v>Active</v>
      </c>
      <c r="J3" s="3">
        <f>E3*IFERROR(VLOOKUP(B3,PLInter!$A:$D,3,FALSE),"")</f>
        <v>4950</v>
      </c>
      <c r="K3" s="68" t="s">
        <v>183</v>
      </c>
      <c r="L3" s="68"/>
      <c r="M3" s="68"/>
      <c r="N3" s="68"/>
      <c r="O3" s="68"/>
      <c r="P3" s="68"/>
      <c r="Q3" s="68"/>
      <c r="R3" s="68"/>
      <c r="S3" s="68"/>
    </row>
    <row r="4" spans="1:19" ht="18" customHeight="1">
      <c r="B4" t="str">
        <f>"63-0004-0005"</f>
        <v>63-0004-0005</v>
      </c>
      <c r="C4" t="str">
        <f>"ACTIN Five (5) Seat License"</f>
        <v>ACTIN Five (5) Seat License</v>
      </c>
      <c r="D4" s="4"/>
      <c r="E4" s="4">
        <v>1</v>
      </c>
      <c r="F4" s="4"/>
      <c r="G4" s="29" t="str">
        <f>IFERROR(HYPERLINK("#"&amp;ADDRESS(MATCH(B4&amp;"ES",'LM7 Non-ENG'!$A$1:$A$5000,0),1,,,"LM7 Non-ENG"),IF(IFERROR(VLOOKUP(B4&amp;"ES",'LM7 Non-ENG'!$A$1:$A$4999,1,FALSE),"ERROR")=B4&amp;"ES","Y","")),"")</f>
        <v/>
      </c>
      <c r="H4" s="29" t="str">
        <f>IFERROR(HYPERLINK("#"&amp;ADDRESS(MATCH(B4&amp;"PT",'LM7 Non-ENG'!$A$1:$A$5000,0),1,,,"LM7 Non-ENG"),IF(IFERROR(VLOOKUP(B4&amp;"PT",'LM7 Non-ENG'!$A$1:$A$5000,1,FALSE),"ERROR")=B4&amp;"PT","Y","")),"")</f>
        <v/>
      </c>
      <c r="I4" t="str">
        <f>IFERROR(VLOOKUP(B4,PN!$A:$C,3,FALSE),"")</f>
        <v>Active</v>
      </c>
      <c r="J4" s="3">
        <f>E4*IFERROR(VLOOKUP(B4,PLInter!$A:$D,3,FALSE),"")</f>
        <v>2500</v>
      </c>
      <c r="K4" s="68"/>
      <c r="L4" s="68"/>
      <c r="M4" s="68"/>
      <c r="N4" s="68"/>
      <c r="O4" s="68"/>
      <c r="P4" s="68"/>
      <c r="Q4" s="68"/>
      <c r="R4" s="68"/>
      <c r="S4" s="68"/>
    </row>
    <row r="5" spans="1:19" ht="18" customHeight="1">
      <c r="B5" s="2" t="str">
        <f>"63-0005-0010"</f>
        <v>63-0005-0010</v>
      </c>
      <c r="C5" s="2" t="str">
        <f>"ACTIN Ten (10) Seat License"</f>
        <v>ACTIN Ten (10) Seat License</v>
      </c>
      <c r="D5" s="5"/>
      <c r="E5" s="5">
        <v>1</v>
      </c>
      <c r="F5" s="5" t="str">
        <f>"Y"</f>
        <v>Y</v>
      </c>
      <c r="G5" s="29" t="str">
        <f>IFERROR(HYPERLINK("#"&amp;ADDRESS(MATCH(B5&amp;"ES",'LM7 Non-ENG'!$A$1:$A$5000,0),1,,,"LM7 Non-ENG"),IF(IFERROR(VLOOKUP(B5&amp;"ES",'LM7 Non-ENG'!$A$1:$A$4999,1,FALSE),"ERROR")=B5&amp;"ES","Y","")),"")</f>
        <v/>
      </c>
      <c r="H5" s="29" t="str">
        <f>IFERROR(HYPERLINK("#"&amp;ADDRESS(MATCH(B5&amp;"PT",'LM7 Non-ENG'!$A$1:$A$5000,0),1,,,"LM7 Non-ENG"),IF(IFERROR(VLOOKUP(B5&amp;"PT",'LM7 Non-ENG'!$A$1:$A$5000,1,FALSE),"ERROR")=B5&amp;"PT","Y","")),"")</f>
        <v/>
      </c>
      <c r="I5" t="str">
        <f>IFERROR(VLOOKUP(B5,PN!$A:$C,3,FALSE),"")</f>
        <v>Active</v>
      </c>
      <c r="J5" s="3">
        <f>E5*IFERROR(VLOOKUP(B5,PLInter!$A:$D,3,FALSE),"")</f>
        <v>3500</v>
      </c>
      <c r="K5" s="66" t="s">
        <v>186</v>
      </c>
      <c r="L5" s="66"/>
      <c r="M5" s="66"/>
      <c r="N5" s="66"/>
      <c r="O5" s="66"/>
      <c r="P5" s="66"/>
      <c r="Q5" s="66"/>
      <c r="R5" s="66"/>
      <c r="S5" s="66"/>
    </row>
    <row r="6" spans="1:19" ht="18" customHeight="1">
      <c r="B6" s="2" t="str">
        <f>"63-0006-0030"</f>
        <v>63-0006-0030</v>
      </c>
      <c r="C6" s="2" t="str">
        <f>"ACTIN Classroom License (up to 30)"</f>
        <v>ACTIN Classroom License (up to 30)</v>
      </c>
      <c r="D6" s="5"/>
      <c r="E6" s="5">
        <v>1</v>
      </c>
      <c r="F6" s="5" t="str">
        <f>"Y"</f>
        <v>Y</v>
      </c>
      <c r="G6" s="29" t="str">
        <f>IFERROR(HYPERLINK("#"&amp;ADDRESS(MATCH(B6&amp;"ES",'LM7 Non-ENG'!$A$1:$A$5000,0),1,,,"LM7 Non-ENG"),IF(IFERROR(VLOOKUP(B6&amp;"ES",'LM7 Non-ENG'!$A$1:$A$4999,1,FALSE),"ERROR")=B6&amp;"ES","Y","")),"")</f>
        <v/>
      </c>
      <c r="H6" s="29" t="str">
        <f>IFERROR(HYPERLINK("#"&amp;ADDRESS(MATCH(B6&amp;"PT",'LM7 Non-ENG'!$A$1:$A$5000,0),1,,,"LM7 Non-ENG"),IF(IFERROR(VLOOKUP(B6&amp;"PT",'LM7 Non-ENG'!$A$1:$A$5000,1,FALSE),"ERROR")=B6&amp;"PT","Y","")),"")</f>
        <v/>
      </c>
      <c r="I6" t="str">
        <f>IFERROR(VLOOKUP(B6,PN!$A:$C,3,FALSE),"")</f>
        <v>Active</v>
      </c>
      <c r="J6" s="3">
        <f>E6*IFERROR(VLOOKUP(B6,PLInter!$A:$D,3,FALSE),"")</f>
        <v>6500</v>
      </c>
      <c r="K6" s="66" t="s">
        <v>187</v>
      </c>
      <c r="L6" s="66"/>
      <c r="M6" s="66"/>
      <c r="N6" s="66"/>
      <c r="O6" s="66"/>
      <c r="P6" s="66"/>
      <c r="Q6" s="66"/>
      <c r="R6" s="66"/>
      <c r="S6" s="66"/>
    </row>
    <row r="7" spans="1:19" ht="18" customHeight="1">
      <c r="G7" s="29" t="str">
        <f>IFERROR(HYPERLINK("#"&amp;ADDRESS(MATCH(B7&amp;"ES",'LM7 Non-ENG'!$A$1:$A$5000,0),1,,,"LM7 Non-ENG"),IF(IFERROR(VLOOKUP(B7&amp;"ES",'LM7 Non-ENG'!$A$1:$A$4999,1,FALSE),"ERROR")=B7&amp;"ES","Y","")),"")</f>
        <v/>
      </c>
      <c r="H7" s="29" t="str">
        <f>IFERROR(HYPERLINK("#"&amp;ADDRESS(MATCH(B7&amp;"PT",'LM7 Non-ENG'!$A$1:$A$5000,0),1,,,"LM7 Non-ENG"),IF(IFERROR(VLOOKUP(B7&amp;"PT",'LM7 Non-ENG'!$A$1:$A$5000,1,FALSE),"ERROR")=B7&amp;"PT","Y","")),"")</f>
        <v/>
      </c>
    </row>
    <row r="8" spans="1:19" s="7" customFormat="1" ht="18" customHeight="1">
      <c r="A8" s="13" t="s">
        <v>184</v>
      </c>
      <c r="B8" s="13"/>
      <c r="C8" s="13" t="s">
        <v>185</v>
      </c>
      <c r="D8" s="14"/>
      <c r="E8" s="14"/>
      <c r="F8" s="14"/>
      <c r="G8" s="14"/>
      <c r="H8" s="14"/>
      <c r="I8" s="14"/>
      <c r="J8" s="14">
        <f>SUMIFS(J9:J11,D9:D11,"&lt;&gt;Y",F9:F11,"&lt;&gt;Y",I9:I11,"&lt;&gt;Inactive",I9:I11,"&lt;&gt;ECO+NFS")</f>
        <v>15400</v>
      </c>
      <c r="K8" s="14"/>
      <c r="L8" s="14"/>
      <c r="M8" s="14"/>
      <c r="N8" s="14"/>
      <c r="O8" s="14"/>
      <c r="P8" s="14"/>
      <c r="Q8" s="14"/>
      <c r="R8" s="14"/>
      <c r="S8" s="14"/>
    </row>
    <row r="9" spans="1:19" ht="18" customHeight="1">
      <c r="A9" s="17" t="e">
        <f>HYPERLINK("#"&amp;ADDRESS(MATCH(A8,Robotics!$A$1:$A$5010,0),1,,,"Robotics"),"Back to Price List")</f>
        <v>#N/A</v>
      </c>
      <c r="B9" t="str">
        <f>"00-1500-0001"</f>
        <v>00-1500-0001</v>
      </c>
      <c r="C9" t="str">
        <f>"CytonE 1500"</f>
        <v>CytonE 1500</v>
      </c>
      <c r="D9" s="4"/>
      <c r="E9" s="4">
        <v>1</v>
      </c>
      <c r="F9" s="4"/>
      <c r="G9" s="29" t="str">
        <f>IFERROR(HYPERLINK("#"&amp;ADDRESS(MATCH(B9&amp;"ES",'LM7 Non-ENG'!$A$1:$A$5000,0),1,,,"LM7 Non-ENG"),IF(IFERROR(VLOOKUP(B9&amp;"ES",'LM7 Non-ENG'!$A$1:$A$4999,1,FALSE),"ERROR")=B9&amp;"ES","Y","")),"")</f>
        <v/>
      </c>
      <c r="H9" s="29" t="str">
        <f>IFERROR(HYPERLINK("#"&amp;ADDRESS(MATCH(B9&amp;"PT",'LM7 Non-ENG'!$A$1:$A$5000,0),1,,,"LM7 Non-ENG"),IF(IFERROR(VLOOKUP(B9&amp;"PT",'LM7 Non-ENG'!$A$1:$A$5000,1,FALSE),"ERROR")=B9&amp;"PT","Y","")),"")</f>
        <v/>
      </c>
      <c r="I9" t="str">
        <f>IFERROR(VLOOKUP(B9,PN!$A:$C,3,FALSE),"")</f>
        <v>Active</v>
      </c>
      <c r="J9" s="3">
        <f>E9*IFERROR(VLOOKUP(B9,PLInter!$A:$D,3,FALSE),"")</f>
        <v>11900</v>
      </c>
      <c r="K9" s="68" t="s">
        <v>188</v>
      </c>
      <c r="L9" s="68"/>
      <c r="M9" s="68"/>
      <c r="N9" s="68"/>
      <c r="O9" s="68"/>
      <c r="P9" s="68"/>
      <c r="Q9" s="68"/>
      <c r="R9" s="68"/>
      <c r="S9" s="68"/>
    </row>
    <row r="10" spans="1:19" ht="18" customHeight="1">
      <c r="B10" t="str">
        <f>"63-0005-0010"</f>
        <v>63-0005-0010</v>
      </c>
      <c r="C10" t="str">
        <f>"ACTIN Ten (10) Seat License"</f>
        <v>ACTIN Ten (10) Seat License</v>
      </c>
      <c r="D10" s="4"/>
      <c r="E10" s="4">
        <v>1</v>
      </c>
      <c r="F10" s="4"/>
      <c r="G10" s="29" t="str">
        <f>IFERROR(HYPERLINK("#"&amp;ADDRESS(MATCH(B10&amp;"ES",'LM7 Non-ENG'!$A$1:$A$5000,0),1,,,"LM7 Non-ENG"),IF(IFERROR(VLOOKUP(B10&amp;"ES",'LM7 Non-ENG'!$A$1:$A$4999,1,FALSE),"ERROR")=B10&amp;"ES","Y","")),"")</f>
        <v/>
      </c>
      <c r="H10" s="29" t="str">
        <f>IFERROR(HYPERLINK("#"&amp;ADDRESS(MATCH(B10&amp;"PT",'LM7 Non-ENG'!$A$1:$A$5000,0),1,,,"LM7 Non-ENG"),IF(IFERROR(VLOOKUP(B10&amp;"PT",'LM7 Non-ENG'!$A$1:$A$5000,1,FALSE),"ERROR")=B10&amp;"PT","Y","")),"")</f>
        <v/>
      </c>
      <c r="I10" t="str">
        <f>IFERROR(VLOOKUP(B10,PN!$A:$C,3,FALSE),"")</f>
        <v>Active</v>
      </c>
      <c r="J10" s="3">
        <f>E10*IFERROR(VLOOKUP(B10,PLInter!$A:$D,3,FALSE),"")</f>
        <v>3500</v>
      </c>
      <c r="K10" s="68"/>
      <c r="L10" s="68"/>
      <c r="M10" s="68"/>
      <c r="N10" s="68"/>
      <c r="O10" s="68"/>
      <c r="P10" s="68"/>
      <c r="Q10" s="68"/>
      <c r="R10" s="68"/>
      <c r="S10" s="68"/>
    </row>
    <row r="11" spans="1:19" ht="18" customHeight="1">
      <c r="B11" s="2" t="str">
        <f>"63-0006-0030"</f>
        <v>63-0006-0030</v>
      </c>
      <c r="C11" s="2" t="str">
        <f>"ACTIN Classroom License (up to 30)"</f>
        <v>ACTIN Classroom License (up to 30)</v>
      </c>
      <c r="D11" s="5"/>
      <c r="E11" s="5">
        <v>1</v>
      </c>
      <c r="F11" s="5" t="str">
        <f>"Y"</f>
        <v>Y</v>
      </c>
      <c r="G11" s="29" t="str">
        <f>IFERROR(HYPERLINK("#"&amp;ADDRESS(MATCH(B11&amp;"ES",'LM7 Non-ENG'!$A$1:$A$5000,0),1,,,"LM7 Non-ENG"),IF(IFERROR(VLOOKUP(B11&amp;"ES",'LM7 Non-ENG'!$A$1:$A$4999,1,FALSE),"ERROR")=B11&amp;"ES","Y","")),"")</f>
        <v/>
      </c>
      <c r="H11" s="29" t="str">
        <f>IFERROR(HYPERLINK("#"&amp;ADDRESS(MATCH(B11&amp;"PT",'LM7 Non-ENG'!$A$1:$A$5000,0),1,,,"LM7 Non-ENG"),IF(IFERROR(VLOOKUP(B11&amp;"PT",'LM7 Non-ENG'!$A$1:$A$5000,1,FALSE),"ERROR")=B11&amp;"PT","Y","")),"")</f>
        <v/>
      </c>
      <c r="I11" t="str">
        <f>IFERROR(VLOOKUP(B11,PN!$A:$C,3,FALSE),"")</f>
        <v>Active</v>
      </c>
      <c r="J11" s="3">
        <f>E11*IFERROR(VLOOKUP(B11,PLInter!$A:$D,3,FALSE),"")</f>
        <v>6500</v>
      </c>
      <c r="K11" s="66" t="s">
        <v>187</v>
      </c>
      <c r="L11" s="66"/>
      <c r="M11" s="66"/>
      <c r="N11" s="66"/>
      <c r="O11" s="66"/>
      <c r="P11" s="66"/>
      <c r="Q11" s="66"/>
      <c r="R11" s="66"/>
      <c r="S11" s="66"/>
    </row>
    <row r="12" spans="1:19" ht="18" customHeight="1">
      <c r="G12" s="29" t="str">
        <f>IFERROR(HYPERLINK("#"&amp;ADDRESS(MATCH(B12&amp;"ES",'LM7 Non-ENG'!$A$1:$A$5000,0),1,,,"LM7 Non-ENG"),IF(IFERROR(VLOOKUP(B12&amp;"ES",'LM7 Non-ENG'!$A$1:$A$4999,1,FALSE),"ERROR")=B12&amp;"ES","Y","")),"")</f>
        <v/>
      </c>
      <c r="H12" s="29" t="str">
        <f>IFERROR(HYPERLINK("#"&amp;ADDRESS(MATCH(B12&amp;"PT",'LM7 Non-ENG'!$A$1:$A$5000,0),1,,,"LM7 Non-ENG"),IF(IFERROR(VLOOKUP(B12&amp;"PT",'LM7 Non-ENG'!$A$1:$A$5000,1,FALSE),"ERROR")=B12&amp;"PT","Y","")),"")</f>
        <v/>
      </c>
    </row>
    <row r="13" spans="1:19" s="7" customFormat="1" ht="18" customHeight="1">
      <c r="A13" s="13" t="s">
        <v>189</v>
      </c>
      <c r="B13" s="13"/>
      <c r="C13" s="13" t="s">
        <v>190</v>
      </c>
      <c r="D13" s="14"/>
      <c r="E13" s="14"/>
      <c r="F13" s="14"/>
      <c r="G13" s="14"/>
      <c r="H13" s="14"/>
      <c r="I13" s="14"/>
      <c r="J13" s="14">
        <f>SUMIFS(J14:J15,D14:D15,"&lt;&gt;Y",F14:F15,"&lt;&gt;Y",I14:I15,"&lt;&gt;Inactive",I14:I15,"&lt;&gt;ECO+NFS")</f>
        <v>30300</v>
      </c>
      <c r="K13" s="14"/>
      <c r="L13" s="14"/>
      <c r="M13" s="14"/>
      <c r="N13" s="14"/>
      <c r="O13" s="14"/>
      <c r="P13" s="14"/>
      <c r="Q13" s="14"/>
      <c r="R13" s="14"/>
      <c r="S13" s="14"/>
    </row>
    <row r="14" spans="1:19" ht="18" customHeight="1">
      <c r="A14" s="17" t="e">
        <f>HYPERLINK("#"&amp;ADDRESS(MATCH(A13,Robotics!$A$1:$A$5010,0),1,,,"Robotics"),"Back to Price List")</f>
        <v>#N/A</v>
      </c>
      <c r="B14" t="str">
        <f>"00-1500-0001"</f>
        <v>00-1500-0001</v>
      </c>
      <c r="C14" t="str">
        <f>"CytonE 1500"</f>
        <v>CytonE 1500</v>
      </c>
      <c r="D14" s="4"/>
      <c r="E14" s="4">
        <v>2</v>
      </c>
      <c r="F14" s="4"/>
      <c r="G14" s="29" t="str">
        <f>IFERROR(HYPERLINK("#"&amp;ADDRESS(MATCH(B14&amp;"ES",'LM7 Non-ENG'!$A$1:$A$5000,0),1,,,"LM7 Non-ENG"),IF(IFERROR(VLOOKUP(B14&amp;"ES",'LM7 Non-ENG'!$A$1:$A$4999,1,FALSE),"ERROR")=B14&amp;"ES","Y","")),"")</f>
        <v/>
      </c>
      <c r="H14" s="29" t="str">
        <f>IFERROR(HYPERLINK("#"&amp;ADDRESS(MATCH(B14&amp;"PT",'LM7 Non-ENG'!$A$1:$A$5000,0),1,,,"LM7 Non-ENG"),IF(IFERROR(VLOOKUP(B14&amp;"PT",'LM7 Non-ENG'!$A$1:$A$5000,1,FALSE),"ERROR")=B14&amp;"PT","Y","")),"")</f>
        <v/>
      </c>
      <c r="I14" t="str">
        <f>IFERROR(VLOOKUP(B14,PN!$A:$C,3,FALSE),"")</f>
        <v>Active</v>
      </c>
      <c r="J14" s="3">
        <f>E14*IFERROR(VLOOKUP(B14,PLInter!$A:$D,3,FALSE),"")</f>
        <v>23800</v>
      </c>
      <c r="K14" s="66" t="s">
        <v>191</v>
      </c>
      <c r="L14" s="66"/>
      <c r="M14" s="66"/>
      <c r="N14" s="66"/>
      <c r="O14" s="66"/>
      <c r="P14" s="66"/>
      <c r="Q14" s="66"/>
      <c r="R14" s="66"/>
      <c r="S14" s="66"/>
    </row>
    <row r="15" spans="1:19" ht="18" customHeight="1">
      <c r="B15" t="str">
        <f>"63-0006-0030"</f>
        <v>63-0006-0030</v>
      </c>
      <c r="C15" t="str">
        <f>"ACTIN Classroom License (up to 30)"</f>
        <v>ACTIN Classroom License (up to 30)</v>
      </c>
      <c r="D15" s="4"/>
      <c r="E15" s="4">
        <v>1</v>
      </c>
      <c r="F15" s="4"/>
      <c r="G15" s="29" t="str">
        <f>IFERROR(HYPERLINK("#"&amp;ADDRESS(MATCH(B15&amp;"ES",'LM7 Non-ENG'!$A$1:$A$5000,0),1,,,"LM7 Non-ENG"),IF(IFERROR(VLOOKUP(B15&amp;"ES",'LM7 Non-ENG'!$A$1:$A$4999,1,FALSE),"ERROR")=B15&amp;"ES","Y","")),"")</f>
        <v/>
      </c>
      <c r="H15" s="29" t="str">
        <f>IFERROR(HYPERLINK("#"&amp;ADDRESS(MATCH(B15&amp;"PT",'LM7 Non-ENG'!$A$1:$A$5000,0),1,,,"LM7 Non-ENG"),IF(IFERROR(VLOOKUP(B15&amp;"PT",'LM7 Non-ENG'!$A$1:$A$5000,1,FALSE),"ERROR")=B15&amp;"PT","Y","")),"")</f>
        <v/>
      </c>
      <c r="I15" t="str">
        <f>IFERROR(VLOOKUP(B15,PN!$A:$C,3,FALSE),"")</f>
        <v>Active</v>
      </c>
      <c r="J15" s="3">
        <f>E15*IFERROR(VLOOKUP(B15,PLInter!$A:$D,3,FALSE),"")</f>
        <v>6500</v>
      </c>
      <c r="K15" s="66" t="s">
        <v>187</v>
      </c>
      <c r="L15" s="66"/>
      <c r="M15" s="66"/>
      <c r="N15" s="66"/>
      <c r="O15" s="66"/>
      <c r="P15" s="66"/>
      <c r="Q15" s="66"/>
      <c r="R15" s="66"/>
      <c r="S15" s="66"/>
    </row>
    <row r="16" spans="1:19" ht="18" customHeight="1">
      <c r="G16" s="29" t="str">
        <f>IFERROR(HYPERLINK("#"&amp;ADDRESS(MATCH(B16&amp;"ES",'LM7 Non-ENG'!$A$1:$A$5000,0),1,,,"LM7 Non-ENG"),IF(IFERROR(VLOOKUP(B16&amp;"ES",'LM7 Non-ENG'!$A$1:$A$4999,1,FALSE),"ERROR")=B16&amp;"ES","Y","")),"")</f>
        <v/>
      </c>
      <c r="H16" s="29" t="str">
        <f>IFERROR(HYPERLINK("#"&amp;ADDRESS(MATCH(B16&amp;"PT",'LM7 Non-ENG'!$A$1:$A$5000,0),1,,,"LM7 Non-ENG"),IF(IFERROR(VLOOKUP(B16&amp;"PT",'LM7 Non-ENG'!$A$1:$A$5000,1,FALSE),"ERROR")=B16&amp;"PT","Y","")),"")</f>
        <v/>
      </c>
    </row>
    <row r="17" spans="1:19" s="7" customFormat="1" ht="18" customHeight="1">
      <c r="A17" s="13" t="s">
        <v>192</v>
      </c>
      <c r="B17" s="13"/>
      <c r="C17" s="13" t="s">
        <v>193</v>
      </c>
      <c r="D17" s="14"/>
      <c r="E17" s="14"/>
      <c r="F17" s="14"/>
      <c r="G17" s="14"/>
      <c r="H17" s="14"/>
      <c r="I17" s="14"/>
      <c r="J17" s="14">
        <f>SUMIFS(J18:J20,D18:D20,"&lt;&gt;Y",F18:F20,"&lt;&gt;Y",I18:I20,"&lt;&gt;Inactive",I18:I20,"&lt;&gt;ECO+NFS")</f>
        <v>13400</v>
      </c>
      <c r="K17" s="14"/>
      <c r="L17" s="14"/>
      <c r="M17" s="14"/>
      <c r="N17" s="14"/>
      <c r="O17" s="14"/>
      <c r="P17" s="14"/>
      <c r="Q17" s="14"/>
      <c r="R17" s="14"/>
      <c r="S17" s="14"/>
    </row>
    <row r="18" spans="1:19" ht="18" customHeight="1">
      <c r="A18" s="17" t="e">
        <f>HYPERLINK("#"&amp;ADDRESS(MATCH(A17,Robotics!$A$1:$A$5010,0),1,,,"Robotics"),"Back to Price List")</f>
        <v>#N/A</v>
      </c>
      <c r="B18" t="str">
        <f>"00-0300-0001"</f>
        <v>00-0300-0001</v>
      </c>
      <c r="C18" t="str">
        <f>"CytonE 300"</f>
        <v>CytonE 300</v>
      </c>
      <c r="D18" s="4"/>
      <c r="E18" s="4">
        <v>2</v>
      </c>
      <c r="F18" s="4"/>
      <c r="G18" s="29" t="str">
        <f>IFERROR(HYPERLINK("#"&amp;ADDRESS(MATCH(B18&amp;"ES",'LM7 Non-ENG'!$A$1:$A$5000,0),1,,,"LM7 Non-ENG"),IF(IFERROR(VLOOKUP(B18&amp;"ES",'LM7 Non-ENG'!$A$1:$A$4999,1,FALSE),"ERROR")=B18&amp;"ES","Y","")),"")</f>
        <v/>
      </c>
      <c r="H18" s="29" t="str">
        <f>IFERROR(HYPERLINK("#"&amp;ADDRESS(MATCH(B18&amp;"PT",'LM7 Non-ENG'!$A$1:$A$5000,0),1,,,"LM7 Non-ENG"),IF(IFERROR(VLOOKUP(B18&amp;"PT",'LM7 Non-ENG'!$A$1:$A$5000,1,FALSE),"ERROR")=B18&amp;"PT","Y","")),"")</f>
        <v/>
      </c>
      <c r="I18" t="str">
        <f>IFERROR(VLOOKUP(B18,PN!$A:$C,3,FALSE),"")</f>
        <v>Active</v>
      </c>
      <c r="J18" s="3">
        <f>E18*IFERROR(VLOOKUP(B18,PLInter!$A:$D,3,FALSE),"")</f>
        <v>9900</v>
      </c>
      <c r="K18" s="68" t="s">
        <v>194</v>
      </c>
      <c r="L18" s="68"/>
      <c r="M18" s="68"/>
      <c r="N18" s="68"/>
      <c r="O18" s="68"/>
      <c r="P18" s="68"/>
      <c r="Q18" s="68"/>
      <c r="R18" s="68"/>
      <c r="S18" s="68"/>
    </row>
    <row r="19" spans="1:19" ht="18" customHeight="1">
      <c r="B19" t="str">
        <f>"63-0005-0010"</f>
        <v>63-0005-0010</v>
      </c>
      <c r="C19" t="str">
        <f>"ACTIN Ten (10) Seat License"</f>
        <v>ACTIN Ten (10) Seat License</v>
      </c>
      <c r="D19" s="4"/>
      <c r="E19" s="4">
        <v>1</v>
      </c>
      <c r="F19" s="4"/>
      <c r="G19" s="29" t="str">
        <f>IFERROR(HYPERLINK("#"&amp;ADDRESS(MATCH(B19&amp;"ES",'LM7 Non-ENG'!$A$1:$A$5000,0),1,,,"LM7 Non-ENG"),IF(IFERROR(VLOOKUP(B19&amp;"ES",'LM7 Non-ENG'!$A$1:$A$4999,1,FALSE),"ERROR")=B19&amp;"ES","Y","")),"")</f>
        <v/>
      </c>
      <c r="H19" s="29" t="str">
        <f>IFERROR(HYPERLINK("#"&amp;ADDRESS(MATCH(B19&amp;"PT",'LM7 Non-ENG'!$A$1:$A$5000,0),1,,,"LM7 Non-ENG"),IF(IFERROR(VLOOKUP(B19&amp;"PT",'LM7 Non-ENG'!$A$1:$A$5000,1,FALSE),"ERROR")=B19&amp;"PT","Y","")),"")</f>
        <v/>
      </c>
      <c r="I19" t="str">
        <f>IFERROR(VLOOKUP(B19,PN!$A:$C,3,FALSE),"")</f>
        <v>Active</v>
      </c>
      <c r="J19" s="3">
        <f>E19*IFERROR(VLOOKUP(B19,PLInter!$A:$D,3,FALSE),"")</f>
        <v>3500</v>
      </c>
      <c r="K19" s="68"/>
      <c r="L19" s="68"/>
      <c r="M19" s="68"/>
      <c r="N19" s="68"/>
      <c r="O19" s="68"/>
      <c r="P19" s="68"/>
      <c r="Q19" s="68"/>
      <c r="R19" s="68"/>
      <c r="S19" s="68"/>
    </row>
    <row r="20" spans="1:19" ht="18" customHeight="1">
      <c r="B20" s="2" t="str">
        <f>"63-0006-0030"</f>
        <v>63-0006-0030</v>
      </c>
      <c r="C20" s="2" t="str">
        <f>"ACTIN Classroom License (up to 30)"</f>
        <v>ACTIN Classroom License (up to 30)</v>
      </c>
      <c r="D20" s="5"/>
      <c r="E20" s="5">
        <v>1</v>
      </c>
      <c r="F20" s="5" t="str">
        <f>"Y"</f>
        <v>Y</v>
      </c>
      <c r="G20" s="29" t="str">
        <f>IFERROR(HYPERLINK("#"&amp;ADDRESS(MATCH(B20&amp;"ES",'LM7 Non-ENG'!$A$1:$A$5000,0),1,,,"LM7 Non-ENG"),IF(IFERROR(VLOOKUP(B20&amp;"ES",'LM7 Non-ENG'!$A$1:$A$4999,1,FALSE),"ERROR")=B20&amp;"ES","Y","")),"")</f>
        <v/>
      </c>
      <c r="H20" s="29" t="str">
        <f>IFERROR(HYPERLINK("#"&amp;ADDRESS(MATCH(B20&amp;"PT",'LM7 Non-ENG'!$A$1:$A$5000,0),1,,,"LM7 Non-ENG"),IF(IFERROR(VLOOKUP(B20&amp;"PT",'LM7 Non-ENG'!$A$1:$A$5000,1,FALSE),"ERROR")=B20&amp;"PT","Y","")),"")</f>
        <v/>
      </c>
      <c r="I20" t="str">
        <f>IFERROR(VLOOKUP(B20,PN!$A:$C,3,FALSE),"")</f>
        <v>Active</v>
      </c>
      <c r="J20" s="3">
        <f>E20*IFERROR(VLOOKUP(B20,PLInter!$A:$D,3,FALSE),"")</f>
        <v>6500</v>
      </c>
      <c r="K20" s="66" t="s">
        <v>187</v>
      </c>
      <c r="L20" s="66"/>
      <c r="M20" s="66"/>
      <c r="N20" s="66"/>
      <c r="O20" s="66"/>
      <c r="P20" s="66"/>
      <c r="Q20" s="66"/>
      <c r="R20" s="66"/>
      <c r="S20" s="66"/>
    </row>
    <row r="21" spans="1:19" ht="18" customHeight="1">
      <c r="G21" s="29" t="str">
        <f>IFERROR(HYPERLINK("#"&amp;ADDRESS(MATCH(B21&amp;"ES",'LM7 Non-ENG'!$A$1:$A$5000,0),1,,,"LM7 Non-ENG"),IF(IFERROR(VLOOKUP(B21&amp;"ES",'LM7 Non-ENG'!$A$1:$A$4999,1,FALSE),"ERROR")=B21&amp;"ES","Y","")),"")</f>
        <v/>
      </c>
      <c r="H21" s="29" t="str">
        <f>IFERROR(HYPERLINK("#"&amp;ADDRESS(MATCH(B21&amp;"PT",'LM7 Non-ENG'!$A$1:$A$5000,0),1,,,"LM7 Non-ENG"),IF(IFERROR(VLOOKUP(B21&amp;"PT",'LM7 Non-ENG'!$A$1:$A$5000,1,FALSE),"ERROR")=B21&amp;"PT","Y","")),"")</f>
        <v/>
      </c>
    </row>
    <row r="22" spans="1:19" s="7" customFormat="1" ht="18" customHeight="1">
      <c r="A22" s="13" t="s">
        <v>195</v>
      </c>
      <c r="B22" s="13"/>
      <c r="C22" s="13" t="s">
        <v>200</v>
      </c>
      <c r="D22" s="14"/>
      <c r="E22" s="14"/>
      <c r="F22" s="14"/>
      <c r="G22" s="14"/>
      <c r="H22" s="14"/>
      <c r="I22" s="14"/>
      <c r="J22" s="14">
        <f>SUMIFS(J23:J30,D23:D30,"&lt;&gt;Y",F23:F30,"&lt;&gt;Y",I23:I30,"&lt;&gt;Inactive",I23:I30,"&lt;&gt;ECO+NFS")</f>
        <v>16806</v>
      </c>
      <c r="K22" s="14"/>
      <c r="L22" s="14"/>
      <c r="M22" s="14"/>
      <c r="N22" s="14"/>
      <c r="O22" s="14"/>
      <c r="P22" s="14"/>
      <c r="Q22" s="14"/>
      <c r="R22" s="14"/>
      <c r="S22" s="14"/>
    </row>
    <row r="23" spans="1:19" ht="18" customHeight="1">
      <c r="A23" s="17" t="e">
        <f>HYPERLINK("#"&amp;ADDRESS(MATCH(A22,Robotics!$A$1:$A$5010,0),1,,,"Robotics"),"Back to Price List")</f>
        <v>#N/A</v>
      </c>
      <c r="B23" t="str">
        <f>"00-0413-0000"</f>
        <v>00-0413-0000</v>
      </c>
      <c r="C23" t="str">
        <f>"SCORBOT-ER 4u (Package)"</f>
        <v>SCORBOT-ER 4u (Package)</v>
      </c>
      <c r="D23" s="4"/>
      <c r="E23" s="4">
        <v>1</v>
      </c>
      <c r="F23" s="4"/>
      <c r="G23" s="29" t="str">
        <f>IFERROR(HYPERLINK("#"&amp;ADDRESS(MATCH(B23&amp;"ES",'LM7 Non-ENG'!$A$1:$A$5000,0),1,,,"LM7 Non-ENG"),IF(IFERROR(VLOOKUP(B23&amp;"ES",'LM7 Non-ENG'!$A$1:$A$4999,1,FALSE),"ERROR")=B23&amp;"ES","Y","")),"")</f>
        <v/>
      </c>
      <c r="H23" s="29" t="str">
        <f>IFERROR(HYPERLINK("#"&amp;ADDRESS(MATCH(B23&amp;"PT",'LM7 Non-ENG'!$A$1:$A$5000,0),1,,,"LM7 Non-ENG"),IF(IFERROR(VLOOKUP(B23&amp;"PT",'LM7 Non-ENG'!$A$1:$A$5000,1,FALSE),"ERROR")=B23&amp;"PT","Y","")),"")</f>
        <v/>
      </c>
      <c r="I23" t="str">
        <f>IFERROR(VLOOKUP(B23,PN!$A:$C,3,FALSE),"")</f>
        <v>Active</v>
      </c>
      <c r="J23" s="3">
        <f>E23*IFERROR(VLOOKUP(B23,PLInter!$A:$D,3,FALSE),"")</f>
        <v>11726</v>
      </c>
      <c r="K23" s="68" t="s">
        <v>197</v>
      </c>
      <c r="L23" s="66"/>
      <c r="M23" s="66"/>
      <c r="N23" s="66"/>
      <c r="O23" s="66"/>
      <c r="P23" s="66"/>
      <c r="Q23" s="66"/>
      <c r="R23" s="66"/>
      <c r="S23" s="66"/>
    </row>
    <row r="24" spans="1:19" ht="18" customHeight="1">
      <c r="B24" t="str">
        <f>"00-0609-0000"</f>
        <v>00-0609-0000</v>
      </c>
      <c r="C24" t="str">
        <f>"End Effector Attachment for ER4U Gripper"</f>
        <v>End Effector Attachment for ER4U Gripper</v>
      </c>
      <c r="D24" s="4"/>
      <c r="E24" s="4">
        <v>1</v>
      </c>
      <c r="F24" s="4"/>
      <c r="G24" s="29" t="str">
        <f>IFERROR(HYPERLINK("#"&amp;ADDRESS(MATCH(B24&amp;"ES",'LM7 Non-ENG'!$A$1:$A$5000,0),1,,,"LM7 Non-ENG"),IF(IFERROR(VLOOKUP(B24&amp;"ES",'LM7 Non-ENG'!$A$1:$A$4999,1,FALSE),"ERROR")=B24&amp;"ES","Y","")),"")</f>
        <v/>
      </c>
      <c r="H24" s="29" t="str">
        <f>IFERROR(HYPERLINK("#"&amp;ADDRESS(MATCH(B24&amp;"PT",'LM7 Non-ENG'!$A$1:$A$5000,0),1,,,"LM7 Non-ENG"),IF(IFERROR(VLOOKUP(B24&amp;"PT",'LM7 Non-ENG'!$A$1:$A$5000,1,FALSE),"ERROR")=B24&amp;"PT","Y","")),"")</f>
        <v/>
      </c>
      <c r="I24" t="str">
        <f>IFERROR(VLOOKUP(B24,PN!$A:$C,3,FALSE),"")</f>
        <v>Active</v>
      </c>
      <c r="J24" s="3">
        <f>E24*IFERROR(VLOOKUP(B24,PLInter!$A:$D,3,FALSE),"")</f>
        <v>125</v>
      </c>
      <c r="K24" s="66"/>
      <c r="L24" s="66"/>
      <c r="M24" s="66"/>
      <c r="N24" s="66"/>
      <c r="O24" s="66"/>
      <c r="P24" s="66"/>
      <c r="Q24" s="66"/>
      <c r="R24" s="66"/>
      <c r="S24" s="66"/>
    </row>
    <row r="25" spans="1:19" ht="18" customHeight="1">
      <c r="B25" t="str">
        <f>"00-1710-0000"</f>
        <v>00-1710-0000</v>
      </c>
      <c r="C25" t="str">
        <f>"Teach Pendant for USB/USB Pro Controllers"</f>
        <v>Teach Pendant for USB/USB Pro Controllers</v>
      </c>
      <c r="D25" s="4"/>
      <c r="E25" s="4">
        <v>1</v>
      </c>
      <c r="F25" s="4"/>
      <c r="G25" s="29" t="str">
        <f>IFERROR(HYPERLINK("#"&amp;ADDRESS(MATCH(B25&amp;"ES",'LM7 Non-ENG'!$A$1:$A$5000,0),1,,,"LM7 Non-ENG"),IF(IFERROR(VLOOKUP(B25&amp;"ES",'LM7 Non-ENG'!$A$1:$A$4999,1,FALSE),"ERROR")=B25&amp;"ES","Y","")),"")</f>
        <v/>
      </c>
      <c r="H25" s="29" t="str">
        <f>IFERROR(HYPERLINK("#"&amp;ADDRESS(MATCH(B25&amp;"PT",'LM7 Non-ENG'!$A$1:$A$5000,0),1,,,"LM7 Non-ENG"),IF(IFERROR(VLOOKUP(B25&amp;"PT",'LM7 Non-ENG'!$A$1:$A$5000,1,FALSE),"ERROR")=B25&amp;"PT","Y","")),"")</f>
        <v/>
      </c>
      <c r="I25" t="str">
        <f>IFERROR(VLOOKUP(B25,PN!$A:$C,3,FALSE),"")</f>
        <v>Active</v>
      </c>
      <c r="J25" s="3">
        <f>E25*IFERROR(VLOOKUP(B25,PLInter!$A:$D,3,FALSE),"")</f>
        <v>1680</v>
      </c>
      <c r="K25" s="66"/>
      <c r="L25" s="66"/>
      <c r="M25" s="66"/>
      <c r="N25" s="66"/>
      <c r="O25" s="66"/>
      <c r="P25" s="66"/>
      <c r="Q25" s="66"/>
      <c r="R25" s="66"/>
      <c r="S25" s="66"/>
    </row>
    <row r="26" spans="1:19" ht="18" customHeight="1">
      <c r="B26" t="str">
        <f>"00-1010-0000"</f>
        <v>00-1010-0000</v>
      </c>
      <c r="C26" t="str">
        <f>"Conveyor Belt (24V)"</f>
        <v>Conveyor Belt (24V)</v>
      </c>
      <c r="D26" s="4"/>
      <c r="E26" s="4">
        <v>1</v>
      </c>
      <c r="F26" s="4"/>
      <c r="G26" s="29" t="str">
        <f>IFERROR(HYPERLINK("#"&amp;ADDRESS(MATCH(B26&amp;"ES",'LM7 Non-ENG'!$A$1:$A$5000,0),1,,,"LM7 Non-ENG"),IF(IFERROR(VLOOKUP(B26&amp;"ES",'LM7 Non-ENG'!$A$1:$A$4999,1,FALSE),"ERROR")=B26&amp;"ES","Y","")),"")</f>
        <v/>
      </c>
      <c r="H26" s="29" t="str">
        <f>IFERROR(HYPERLINK("#"&amp;ADDRESS(MATCH(B26&amp;"PT",'LM7 Non-ENG'!$A$1:$A$5000,0),1,,,"LM7 Non-ENG"),IF(IFERROR(VLOOKUP(B26&amp;"PT",'LM7 Non-ENG'!$A$1:$A$5000,1,FALSE),"ERROR")=B26&amp;"PT","Y","")),"")</f>
        <v/>
      </c>
      <c r="I26" t="str">
        <f>IFERROR(VLOOKUP(B26,PN!$A:$C,3,FALSE),"")</f>
        <v>Active</v>
      </c>
      <c r="J26" s="3">
        <f>E26*IFERROR(VLOOKUP(B26,PLInter!$A:$D,3,FALSE),"")</f>
        <v>1986</v>
      </c>
      <c r="K26" s="66"/>
      <c r="L26" s="66"/>
      <c r="M26" s="66"/>
      <c r="N26" s="66"/>
      <c r="O26" s="66"/>
      <c r="P26" s="66"/>
      <c r="Q26" s="66"/>
      <c r="R26" s="66"/>
      <c r="S26" s="66"/>
    </row>
    <row r="27" spans="1:19" ht="18" customHeight="1">
      <c r="B27" t="str">
        <f>"00-1203-0000"</f>
        <v>00-1203-0000</v>
      </c>
      <c r="C27" t="str">
        <f>"Photoelectric Sensor for Belt Conveyor"</f>
        <v>Photoelectric Sensor for Belt Conveyor</v>
      </c>
      <c r="D27" s="4"/>
      <c r="E27" s="4">
        <v>1</v>
      </c>
      <c r="F27" s="4"/>
      <c r="G27" s="29" t="str">
        <f>IFERROR(HYPERLINK("#"&amp;ADDRESS(MATCH(B27&amp;"ES",'LM7 Non-ENG'!$A$1:$A$5000,0),1,,,"LM7 Non-ENG"),IF(IFERROR(VLOOKUP(B27&amp;"ES",'LM7 Non-ENG'!$A$1:$A$4999,1,FALSE),"ERROR")=B27&amp;"ES","Y","")),"")</f>
        <v/>
      </c>
      <c r="H27" s="29" t="str">
        <f>IFERROR(HYPERLINK("#"&amp;ADDRESS(MATCH(B27&amp;"PT",'LM7 Non-ENG'!$A$1:$A$5000,0),1,,,"LM7 Non-ENG"),IF(IFERROR(VLOOKUP(B27&amp;"PT",'LM7 Non-ENG'!$A$1:$A$5000,1,FALSE),"ERROR")=B27&amp;"PT","Y","")),"")</f>
        <v/>
      </c>
      <c r="I27" t="str">
        <f>IFERROR(VLOOKUP(B27,PN!$A:$C,3,FALSE),"")</f>
        <v>Active</v>
      </c>
      <c r="J27" s="3">
        <f>E27*IFERROR(VLOOKUP(B27,PLInter!$A:$D,3,FALSE),"")</f>
        <v>295</v>
      </c>
      <c r="K27" s="66"/>
      <c r="L27" s="66"/>
      <c r="M27" s="66"/>
      <c r="N27" s="66"/>
      <c r="O27" s="66"/>
      <c r="P27" s="66"/>
      <c r="Q27" s="66"/>
      <c r="R27" s="66"/>
      <c r="S27" s="66"/>
    </row>
    <row r="28" spans="1:19" ht="18" customHeight="1">
      <c r="B28" t="str">
        <f>"10-1007-4000"</f>
        <v>10-1007-4000</v>
      </c>
      <c r="C28" t="str">
        <f>"Gravity Parts Feeder (incl.microswitch sensor)"</f>
        <v>Gravity Parts Feeder (incl.microswitch sensor)</v>
      </c>
      <c r="D28" s="4"/>
      <c r="E28" s="4">
        <v>1</v>
      </c>
      <c r="F28" s="4"/>
      <c r="G28" s="29" t="str">
        <f>IFERROR(HYPERLINK("#"&amp;ADDRESS(MATCH(B28&amp;"ES",'LM7 Non-ENG'!$A$1:$A$5000,0),1,,,"LM7 Non-ENG"),IF(IFERROR(VLOOKUP(B28&amp;"ES",'LM7 Non-ENG'!$A$1:$A$4999,1,FALSE),"ERROR")=B28&amp;"ES","Y","")),"")</f>
        <v/>
      </c>
      <c r="H28" s="29" t="str">
        <f>IFERROR(HYPERLINK("#"&amp;ADDRESS(MATCH(B28&amp;"PT",'LM7 Non-ENG'!$A$1:$A$5000,0),1,,,"LM7 Non-ENG"),IF(IFERROR(VLOOKUP(B28&amp;"PT",'LM7 Non-ENG'!$A$1:$A$5000,1,FALSE),"ERROR")=B28&amp;"PT","Y","")),"")</f>
        <v/>
      </c>
      <c r="I28" t="str">
        <f>IFERROR(VLOOKUP(B28,PN!$A:$C,3,FALSE),"")</f>
        <v>Active</v>
      </c>
      <c r="J28" s="3">
        <f>E28*IFERROR(VLOOKUP(B28,PLInter!$A:$D,3,FALSE),"")</f>
        <v>494</v>
      </c>
      <c r="K28" s="66"/>
      <c r="L28" s="66"/>
      <c r="M28" s="66"/>
      <c r="N28" s="66"/>
      <c r="O28" s="66"/>
      <c r="P28" s="66"/>
      <c r="Q28" s="66"/>
      <c r="R28" s="66"/>
      <c r="S28" s="66"/>
    </row>
    <row r="29" spans="1:19" ht="18" customHeight="1">
      <c r="B29" s="1" t="str">
        <f>"63-9234-0000"</f>
        <v>63-9234-0000</v>
      </c>
      <c r="C29" s="1" t="str">
        <f>"Robotic Software for Controller USB"</f>
        <v>Robotic Software for Controller USB</v>
      </c>
      <c r="D29" s="6" t="s">
        <v>0</v>
      </c>
      <c r="E29" s="6">
        <v>1</v>
      </c>
      <c r="F29" s="6"/>
      <c r="G29" s="29" t="str">
        <f>IFERROR(HYPERLINK("#"&amp;ADDRESS(MATCH(B29&amp;"ES",'LM7 Non-ENG'!$A$1:$A$5000,0),1,,,"LM7 Non-ENG"),IF(IFERROR(VLOOKUP(B29&amp;"ES",'LM7 Non-ENG'!$A$1:$A$4999,1,FALSE),"ERROR")=B29&amp;"ES","Y","")),"")</f>
        <v/>
      </c>
      <c r="H29" s="29" t="str">
        <f>IFERROR(HYPERLINK("#"&amp;ADDRESS(MATCH(B29&amp;"PT",'LM7 Non-ENG'!$A$1:$A$5000,0),1,,,"LM7 Non-ENG"),IF(IFERROR(VLOOKUP(B29&amp;"PT",'LM7 Non-ENG'!$A$1:$A$5000,1,FALSE),"ERROR")=B29&amp;"PT","Y","")),"")</f>
        <v/>
      </c>
      <c r="I29" t="str">
        <f>IFERROR(VLOOKUP(B29,PN!$A:$C,3,FALSE),"")</f>
        <v>Active</v>
      </c>
      <c r="J29" s="3">
        <f>E29*IFERROR(VLOOKUP(B29,PLInter!$A:$D,3,FALSE),"")</f>
        <v>500</v>
      </c>
      <c r="K29" s="66"/>
      <c r="L29" s="66"/>
      <c r="M29" s="66"/>
      <c r="N29" s="66"/>
      <c r="O29" s="66"/>
      <c r="P29" s="66"/>
      <c r="Q29" s="66"/>
      <c r="R29" s="66"/>
      <c r="S29" s="66"/>
    </row>
    <row r="30" spans="1:19" ht="18" customHeight="1">
      <c r="B30" t="str">
        <f>"63-7000-0100"</f>
        <v>63-7000-0100</v>
      </c>
      <c r="C30" t="str">
        <f>"License Key for RoboCell/SCORBASE USB"</f>
        <v>License Key for RoboCell/SCORBASE USB</v>
      </c>
      <c r="D30" s="4"/>
      <c r="E30" s="4">
        <v>1</v>
      </c>
      <c r="F30" s="4"/>
      <c r="G30" s="29" t="str">
        <f>IFERROR(HYPERLINK("#"&amp;ADDRESS(MATCH(B30&amp;"ES",'LM7 Non-ENG'!$A$1:$A$5000,0),1,,,"LM7 Non-ENG"),IF(IFERROR(VLOOKUP(B30&amp;"ES",'LM7 Non-ENG'!$A$1:$A$4999,1,FALSE),"ERROR")=B30&amp;"ES","Y","")),"")</f>
        <v/>
      </c>
      <c r="H30" s="29" t="str">
        <f>IFERROR(HYPERLINK("#"&amp;ADDRESS(MATCH(B30&amp;"PT",'LM7 Non-ENG'!$A$1:$A$5000,0),1,,,"LM7 Non-ENG"),IF(IFERROR(VLOOKUP(B30&amp;"PT",'LM7 Non-ENG'!$A$1:$A$5000,1,FALSE),"ERROR")=B30&amp;"PT","Y","")),"")</f>
        <v/>
      </c>
      <c r="I30" t="str">
        <f>IFERROR(VLOOKUP(B30,PN!$A:$C,3,FALSE),"")</f>
        <v>Active</v>
      </c>
      <c r="J30" s="3">
        <f>E30*IFERROR(VLOOKUP(B30,PLInter!$A:$D,3,FALSE),"")</f>
        <v>500</v>
      </c>
      <c r="K30" s="66"/>
      <c r="L30" s="66"/>
      <c r="M30" s="66"/>
      <c r="N30" s="66"/>
      <c r="O30" s="66"/>
      <c r="P30" s="66"/>
      <c r="Q30" s="66"/>
      <c r="R30" s="66"/>
      <c r="S30" s="66"/>
    </row>
    <row r="31" spans="1:19" ht="18" customHeight="1">
      <c r="G31" s="29" t="str">
        <f>IFERROR(HYPERLINK("#"&amp;ADDRESS(MATCH(B31&amp;"ES",'LM7 Non-ENG'!$A$1:$A$5000,0),1,,,"LM7 Non-ENG"),IF(IFERROR(VLOOKUP(B31&amp;"ES",'LM7 Non-ENG'!$A$1:$A$4999,1,FALSE),"ERROR")=B31&amp;"ES","Y","")),"")</f>
        <v/>
      </c>
      <c r="H31" s="29" t="str">
        <f>IFERROR(HYPERLINK("#"&amp;ADDRESS(MATCH(B31&amp;"PT",'LM7 Non-ENG'!$A$1:$A$5000,0),1,,,"LM7 Non-ENG"),IF(IFERROR(VLOOKUP(B31&amp;"PT",'LM7 Non-ENG'!$A$1:$A$5000,1,FALSE),"ERROR")=B31&amp;"PT","Y","")),"")</f>
        <v/>
      </c>
    </row>
    <row r="32" spans="1:19" s="7" customFormat="1" ht="18" customHeight="1">
      <c r="A32" s="13" t="s">
        <v>198</v>
      </c>
      <c r="B32" s="13"/>
      <c r="C32" s="13" t="s">
        <v>199</v>
      </c>
      <c r="D32" s="14"/>
      <c r="E32" s="14"/>
      <c r="F32" s="14"/>
      <c r="G32" s="14"/>
      <c r="H32" s="14"/>
      <c r="I32" s="14"/>
      <c r="J32" s="14">
        <f>SUMIFS(J33:J44,D33:D44,"&lt;&gt;Y",F33:F44,"&lt;&gt;Y",I33:I44,"&lt;&gt;Inactive",I33:I44,"&lt;&gt;ECO+NFS")</f>
        <v>21019</v>
      </c>
      <c r="K32" s="14"/>
      <c r="L32" s="14"/>
      <c r="M32" s="14"/>
      <c r="N32" s="14"/>
      <c r="O32" s="14"/>
      <c r="P32" s="14"/>
      <c r="Q32" s="14"/>
      <c r="R32" s="14"/>
      <c r="S32" s="14"/>
    </row>
    <row r="33" spans="1:19" ht="18" customHeight="1">
      <c r="A33" s="17" t="e">
        <f>HYPERLINK("#"&amp;ADDRESS(MATCH(A32,Robotics!$A$1:$A$5010,0),1,,,"Robotics"),"Back to Price List")</f>
        <v>#N/A</v>
      </c>
      <c r="B33" t="str">
        <f>"00-0413-0000"</f>
        <v>00-0413-0000</v>
      </c>
      <c r="C33" t="str">
        <f>"SCORBOT-ER 4u (Package)"</f>
        <v>SCORBOT-ER 4u (Package)</v>
      </c>
      <c r="D33" s="4"/>
      <c r="E33" s="4">
        <v>1</v>
      </c>
      <c r="F33" s="4"/>
      <c r="G33" s="29" t="str">
        <f>IFERROR(HYPERLINK("#"&amp;ADDRESS(MATCH(B33&amp;"ES",'LM7 Non-ENG'!$A$1:$A$5000,0),1,,,"LM7 Non-ENG"),IF(IFERROR(VLOOKUP(B33&amp;"ES",'LM7 Non-ENG'!$A$1:$A$4999,1,FALSE),"ERROR")=B33&amp;"ES","Y","")),"")</f>
        <v/>
      </c>
      <c r="H33" s="29" t="str">
        <f>IFERROR(HYPERLINK("#"&amp;ADDRESS(MATCH(B33&amp;"PT",'LM7 Non-ENG'!$A$1:$A$5000,0),1,,,"LM7 Non-ENG"),IF(IFERROR(VLOOKUP(B33&amp;"PT",'LM7 Non-ENG'!$A$1:$A$5000,1,FALSE),"ERROR")=B33&amp;"PT","Y","")),"")</f>
        <v/>
      </c>
      <c r="I33" t="str">
        <f>IFERROR(VLOOKUP(B33,PN!$A:$C,3,FALSE),"")</f>
        <v>Active</v>
      </c>
      <c r="J33" s="3">
        <f>E33*IFERROR(VLOOKUP(B33,PLInter!$A:$D,3,FALSE),"")</f>
        <v>11726</v>
      </c>
      <c r="K33" s="68" t="s">
        <v>201</v>
      </c>
      <c r="L33" s="66"/>
      <c r="M33" s="66"/>
      <c r="N33" s="66"/>
      <c r="O33" s="66"/>
      <c r="P33" s="66"/>
      <c r="Q33" s="66"/>
      <c r="R33" s="66"/>
      <c r="S33" s="66"/>
    </row>
    <row r="34" spans="1:19" ht="18" customHeight="1">
      <c r="B34" t="str">
        <f>"00-0609-0000"</f>
        <v>00-0609-0000</v>
      </c>
      <c r="C34" t="str">
        <f>"End Effector Attachment for ER4U Gripper"</f>
        <v>End Effector Attachment for ER4U Gripper</v>
      </c>
      <c r="D34" s="4"/>
      <c r="E34" s="4">
        <v>1</v>
      </c>
      <c r="F34" s="4"/>
      <c r="G34" s="29" t="str">
        <f>IFERROR(HYPERLINK("#"&amp;ADDRESS(MATCH(B34&amp;"ES",'LM7 Non-ENG'!$A$1:$A$5000,0),1,,,"LM7 Non-ENG"),IF(IFERROR(VLOOKUP(B34&amp;"ES",'LM7 Non-ENG'!$A$1:$A$4999,1,FALSE),"ERROR")=B34&amp;"ES","Y","")),"")</f>
        <v/>
      </c>
      <c r="H34" s="29" t="str">
        <f>IFERROR(HYPERLINK("#"&amp;ADDRESS(MATCH(B34&amp;"PT",'LM7 Non-ENG'!$A$1:$A$5000,0),1,,,"LM7 Non-ENG"),IF(IFERROR(VLOOKUP(B34&amp;"PT",'LM7 Non-ENG'!$A$1:$A$5000,1,FALSE),"ERROR")=B34&amp;"PT","Y","")),"")</f>
        <v/>
      </c>
      <c r="I34" t="str">
        <f>IFERROR(VLOOKUP(B34,PN!$A:$C,3,FALSE),"")</f>
        <v>Active</v>
      </c>
      <c r="J34" s="3">
        <f>E34*IFERROR(VLOOKUP(B34,PLInter!$A:$D,3,FALSE),"")</f>
        <v>125</v>
      </c>
      <c r="K34" s="66"/>
      <c r="L34" s="66"/>
      <c r="M34" s="66"/>
      <c r="N34" s="66"/>
      <c r="O34" s="66"/>
      <c r="P34" s="66"/>
      <c r="Q34" s="66"/>
      <c r="R34" s="66"/>
      <c r="S34" s="66"/>
    </row>
    <row r="35" spans="1:19" ht="18" customHeight="1">
      <c r="B35" t="str">
        <f>"00-1710-0000"</f>
        <v>00-1710-0000</v>
      </c>
      <c r="C35" t="str">
        <f>"Teach Pendant for USB/USB Pro Controllers"</f>
        <v>Teach Pendant for USB/USB Pro Controllers</v>
      </c>
      <c r="D35" s="4"/>
      <c r="E35" s="4">
        <v>1</v>
      </c>
      <c r="F35" s="4"/>
      <c r="G35" s="29" t="str">
        <f>IFERROR(HYPERLINK("#"&amp;ADDRESS(MATCH(B35&amp;"ES",'LM7 Non-ENG'!$A$1:$A$5000,0),1,,,"LM7 Non-ENG"),IF(IFERROR(VLOOKUP(B35&amp;"ES",'LM7 Non-ENG'!$A$1:$A$4999,1,FALSE),"ERROR")=B35&amp;"ES","Y","")),"")</f>
        <v/>
      </c>
      <c r="H35" s="29" t="str">
        <f>IFERROR(HYPERLINK("#"&amp;ADDRESS(MATCH(B35&amp;"PT",'LM7 Non-ENG'!$A$1:$A$5000,0),1,,,"LM7 Non-ENG"),IF(IFERROR(VLOOKUP(B35&amp;"PT",'LM7 Non-ENG'!$A$1:$A$5000,1,FALSE),"ERROR")=B35&amp;"PT","Y","")),"")</f>
        <v/>
      </c>
      <c r="I35" t="str">
        <f>IFERROR(VLOOKUP(B35,PN!$A:$C,3,FALSE),"")</f>
        <v>Active</v>
      </c>
      <c r="J35" s="3">
        <f>E35*IFERROR(VLOOKUP(B35,PLInter!$A:$D,3,FALSE),"")</f>
        <v>1680</v>
      </c>
      <c r="K35" s="66"/>
      <c r="L35" s="66"/>
      <c r="M35" s="66"/>
      <c r="N35" s="66"/>
      <c r="O35" s="66"/>
      <c r="P35" s="66"/>
      <c r="Q35" s="66"/>
      <c r="R35" s="66"/>
      <c r="S35" s="66"/>
    </row>
    <row r="36" spans="1:19" ht="18" customHeight="1">
      <c r="B36" t="str">
        <f>"00-1201-0000"</f>
        <v>00-1201-0000</v>
      </c>
      <c r="C36" t="str">
        <f>"I/O Experiment Table"</f>
        <v>I/O Experiment Table</v>
      </c>
      <c r="D36" s="4"/>
      <c r="E36" s="4">
        <v>1</v>
      </c>
      <c r="F36" s="4"/>
      <c r="G36" s="29" t="str">
        <f>IFERROR(HYPERLINK("#"&amp;ADDRESS(MATCH(B36&amp;"ES",'LM7 Non-ENG'!$A$1:$A$5000,0),1,,,"LM7 Non-ENG"),IF(IFERROR(VLOOKUP(B36&amp;"ES",'LM7 Non-ENG'!$A$1:$A$4999,1,FALSE),"ERROR")=B36&amp;"ES","Y","")),"")</f>
        <v/>
      </c>
      <c r="H36" s="29" t="str">
        <f>IFERROR(HYPERLINK("#"&amp;ADDRESS(MATCH(B36&amp;"PT",'LM7 Non-ENG'!$A$1:$A$5000,0),1,,,"LM7 Non-ENG"),IF(IFERROR(VLOOKUP(B36&amp;"PT",'LM7 Non-ENG'!$A$1:$A$5000,1,FALSE),"ERROR")=B36&amp;"PT","Y","")),"")</f>
        <v/>
      </c>
      <c r="I36" t="str">
        <f>IFERROR(VLOOKUP(B36,PN!$A:$C,3,FALSE),"")</f>
        <v>Active</v>
      </c>
      <c r="J36" s="3">
        <f>E36*IFERROR(VLOOKUP(B36,PLInter!$A:$D,3,FALSE),"")</f>
        <v>615</v>
      </c>
      <c r="K36" s="66"/>
      <c r="L36" s="66"/>
      <c r="M36" s="66"/>
      <c r="N36" s="66"/>
      <c r="O36" s="66"/>
      <c r="P36" s="66"/>
      <c r="Q36" s="66"/>
      <c r="R36" s="66"/>
      <c r="S36" s="66"/>
    </row>
    <row r="37" spans="1:19" ht="18" customHeight="1">
      <c r="B37" t="str">
        <f>"00-1010-0000"</f>
        <v>00-1010-0000</v>
      </c>
      <c r="C37" t="str">
        <f>"Conveyor Belt (24V)"</f>
        <v>Conveyor Belt (24V)</v>
      </c>
      <c r="D37" s="4"/>
      <c r="E37" s="4">
        <v>1</v>
      </c>
      <c r="F37" s="4"/>
      <c r="G37" s="29" t="str">
        <f>IFERROR(HYPERLINK("#"&amp;ADDRESS(MATCH(B37&amp;"ES",'LM7 Non-ENG'!$A$1:$A$5000,0),1,,,"LM7 Non-ENG"),IF(IFERROR(VLOOKUP(B37&amp;"ES",'LM7 Non-ENG'!$A$1:$A$4999,1,FALSE),"ERROR")=B37&amp;"ES","Y","")),"")</f>
        <v/>
      </c>
      <c r="H37" s="29" t="str">
        <f>IFERROR(HYPERLINK("#"&amp;ADDRESS(MATCH(B37&amp;"PT",'LM7 Non-ENG'!$A$1:$A$5000,0),1,,,"LM7 Non-ENG"),IF(IFERROR(VLOOKUP(B37&amp;"PT",'LM7 Non-ENG'!$A$1:$A$5000,1,FALSE),"ERROR")=B37&amp;"PT","Y","")),"")</f>
        <v/>
      </c>
      <c r="I37" t="str">
        <f>IFERROR(VLOOKUP(B37,PN!$A:$C,3,FALSE),"")</f>
        <v>Active</v>
      </c>
      <c r="J37" s="3">
        <f>E37*IFERROR(VLOOKUP(B37,PLInter!$A:$D,3,FALSE),"")</f>
        <v>1986</v>
      </c>
      <c r="K37" s="66"/>
      <c r="L37" s="66"/>
      <c r="M37" s="66"/>
      <c r="N37" s="66"/>
      <c r="O37" s="66"/>
      <c r="P37" s="66"/>
      <c r="Q37" s="66"/>
      <c r="R37" s="66"/>
      <c r="S37" s="66"/>
    </row>
    <row r="38" spans="1:19" ht="18" customHeight="1">
      <c r="B38" t="str">
        <f>"00-1203-0000"</f>
        <v>00-1203-0000</v>
      </c>
      <c r="C38" t="str">
        <f>"Photoelectric Sensor for Belt Conveyor"</f>
        <v>Photoelectric Sensor for Belt Conveyor</v>
      </c>
      <c r="D38" s="4"/>
      <c r="E38" s="4">
        <v>1</v>
      </c>
      <c r="F38" s="4"/>
      <c r="G38" s="29" t="str">
        <f>IFERROR(HYPERLINK("#"&amp;ADDRESS(MATCH(B38&amp;"ES",'LM7 Non-ENG'!$A$1:$A$5000,0),1,,,"LM7 Non-ENG"),IF(IFERROR(VLOOKUP(B38&amp;"ES",'LM7 Non-ENG'!$A$1:$A$4999,1,FALSE),"ERROR")=B38&amp;"ES","Y","")),"")</f>
        <v/>
      </c>
      <c r="H38" s="29" t="str">
        <f>IFERROR(HYPERLINK("#"&amp;ADDRESS(MATCH(B38&amp;"PT",'LM7 Non-ENG'!$A$1:$A$5000,0),1,,,"LM7 Non-ENG"),IF(IFERROR(VLOOKUP(B38&amp;"PT",'LM7 Non-ENG'!$A$1:$A$5000,1,FALSE),"ERROR")=B38&amp;"PT","Y","")),"")</f>
        <v/>
      </c>
      <c r="I38" t="str">
        <f>IFERROR(VLOOKUP(B38,PN!$A:$C,3,FALSE),"")</f>
        <v>Active</v>
      </c>
      <c r="J38" s="3">
        <f>E38*IFERROR(VLOOKUP(B38,PLInter!$A:$D,3,FALSE),"")</f>
        <v>295</v>
      </c>
      <c r="K38" s="66"/>
      <c r="L38" s="66"/>
      <c r="M38" s="66"/>
      <c r="N38" s="66"/>
      <c r="O38" s="66"/>
      <c r="P38" s="66"/>
      <c r="Q38" s="66"/>
      <c r="R38" s="66"/>
      <c r="S38" s="66"/>
    </row>
    <row r="39" spans="1:19" ht="18" customHeight="1">
      <c r="B39" t="str">
        <f>"10-1007-4000"</f>
        <v>10-1007-4000</v>
      </c>
      <c r="C39" t="str">
        <f>"Gravity Parts Feeder (incl.microswitch sensor)"</f>
        <v>Gravity Parts Feeder (incl.microswitch sensor)</v>
      </c>
      <c r="D39" s="4"/>
      <c r="E39" s="4">
        <v>1</v>
      </c>
      <c r="F39" s="4"/>
      <c r="G39" s="29" t="str">
        <f>IFERROR(HYPERLINK("#"&amp;ADDRESS(MATCH(B39&amp;"ES",'LM7 Non-ENG'!$A$1:$A$5000,0),1,,,"LM7 Non-ENG"),IF(IFERROR(VLOOKUP(B39&amp;"ES",'LM7 Non-ENG'!$A$1:$A$4999,1,FALSE),"ERROR")=B39&amp;"ES","Y","")),"")</f>
        <v/>
      </c>
      <c r="H39" s="29" t="str">
        <f>IFERROR(HYPERLINK("#"&amp;ADDRESS(MATCH(B39&amp;"PT",'LM7 Non-ENG'!$A$1:$A$5000,0),1,,,"LM7 Non-ENG"),IF(IFERROR(VLOOKUP(B39&amp;"PT",'LM7 Non-ENG'!$A$1:$A$5000,1,FALSE),"ERROR")=B39&amp;"PT","Y","")),"")</f>
        <v/>
      </c>
      <c r="I39" t="str">
        <f>IFERROR(VLOOKUP(B39,PN!$A:$C,3,FALSE),"")</f>
        <v>Active</v>
      </c>
      <c r="J39" s="3">
        <f>E39*IFERROR(VLOOKUP(B39,PLInter!$A:$D,3,FALSE),"")</f>
        <v>494</v>
      </c>
      <c r="K39" s="66"/>
      <c r="L39" s="66"/>
      <c r="M39" s="66"/>
      <c r="N39" s="66"/>
      <c r="O39" s="66"/>
      <c r="P39" s="66"/>
      <c r="Q39" s="66"/>
      <c r="R39" s="66"/>
      <c r="S39" s="66"/>
    </row>
    <row r="40" spans="1:19" ht="18" customHeight="1">
      <c r="B40" t="str">
        <f>"00-1009-0000"</f>
        <v>00-1009-0000</v>
      </c>
      <c r="C40" t="str">
        <f>"Rotary Index Table (24V)"</f>
        <v>Rotary Index Table (24V)</v>
      </c>
      <c r="D40" s="4"/>
      <c r="E40" s="4">
        <v>1</v>
      </c>
      <c r="F40" s="4"/>
      <c r="G40" s="29" t="str">
        <f>IFERROR(HYPERLINK("#"&amp;ADDRESS(MATCH(B40&amp;"ES",'LM7 Non-ENG'!$A$1:$A$5000,0),1,,,"LM7 Non-ENG"),IF(IFERROR(VLOOKUP(B40&amp;"ES",'LM7 Non-ENG'!$A$1:$A$4999,1,FALSE),"ERROR")=B40&amp;"ES","Y","")),"")</f>
        <v/>
      </c>
      <c r="H40" s="29" t="str">
        <f>IFERROR(HYPERLINK("#"&amp;ADDRESS(MATCH(B40&amp;"PT",'LM7 Non-ENG'!$A$1:$A$5000,0),1,,,"LM7 Non-ENG"),IF(IFERROR(VLOOKUP(B40&amp;"PT",'LM7 Non-ENG'!$A$1:$A$5000,1,FALSE),"ERROR")=B40&amp;"PT","Y","")),"")</f>
        <v/>
      </c>
      <c r="I40" t="str">
        <f>IFERROR(VLOOKUP(B40,PN!$A:$C,3,FALSE),"")</f>
        <v>Active</v>
      </c>
      <c r="J40" s="3">
        <f>E40*IFERROR(VLOOKUP(B40,PLInter!$A:$D,3,FALSE),"")</f>
        <v>1425</v>
      </c>
      <c r="K40" s="66"/>
      <c r="L40" s="66"/>
      <c r="M40" s="66"/>
      <c r="N40" s="66"/>
      <c r="O40" s="66"/>
      <c r="P40" s="66"/>
      <c r="Q40" s="66"/>
      <c r="R40" s="66"/>
      <c r="S40" s="66"/>
    </row>
    <row r="41" spans="1:19" ht="18" customHeight="1">
      <c r="B41" t="str">
        <f>"00-1209-0000"</f>
        <v>00-1209-0000</v>
      </c>
      <c r="C41" t="str">
        <f>"Photoelectric Sensor for Rotary Index Table"</f>
        <v>Photoelectric Sensor for Rotary Index Table</v>
      </c>
      <c r="D41" s="4"/>
      <c r="E41" s="4">
        <v>1</v>
      </c>
      <c r="F41" s="4"/>
      <c r="G41" s="29" t="str">
        <f>IFERROR(HYPERLINK("#"&amp;ADDRESS(MATCH(B41&amp;"ES",'LM7 Non-ENG'!$A$1:$A$5000,0),1,,,"LM7 Non-ENG"),IF(IFERROR(VLOOKUP(B41&amp;"ES",'LM7 Non-ENG'!$A$1:$A$4999,1,FALSE),"ERROR")=B41&amp;"ES","Y","")),"")</f>
        <v/>
      </c>
      <c r="H41" s="29" t="str">
        <f>IFERROR(HYPERLINK("#"&amp;ADDRESS(MATCH(B41&amp;"PT",'LM7 Non-ENG'!$A$1:$A$5000,0),1,,,"LM7 Non-ENG"),IF(IFERROR(VLOOKUP(B41&amp;"PT",'LM7 Non-ENG'!$A$1:$A$5000,1,FALSE),"ERROR")=B41&amp;"PT","Y","")),"")</f>
        <v/>
      </c>
      <c r="I41" t="str">
        <f>IFERROR(VLOOKUP(B41,PN!$A:$C,3,FALSE),"")</f>
        <v>Active</v>
      </c>
      <c r="J41" s="3">
        <f>E41*IFERROR(VLOOKUP(B41,PLInter!$A:$D,3,FALSE),"")</f>
        <v>506</v>
      </c>
      <c r="K41" s="66"/>
      <c r="L41" s="66"/>
      <c r="M41" s="66"/>
      <c r="N41" s="66"/>
      <c r="O41" s="66"/>
      <c r="P41" s="66"/>
      <c r="Q41" s="66"/>
      <c r="R41" s="66"/>
      <c r="S41" s="66"/>
    </row>
    <row r="42" spans="1:19" ht="18" customHeight="1">
      <c r="B42" t="str">
        <f>"00-1250-0000"</f>
        <v>00-1250-0000</v>
      </c>
      <c r="C42" t="str">
        <f>"Workbench 1800x800mm (Formica Top)"</f>
        <v>Workbench 1800x800mm (Formica Top)</v>
      </c>
      <c r="D42" s="4"/>
      <c r="E42" s="4">
        <v>1</v>
      </c>
      <c r="F42" s="4"/>
      <c r="G42" s="29" t="str">
        <f>IFERROR(HYPERLINK("#"&amp;ADDRESS(MATCH(B42&amp;"ES",'LM7 Non-ENG'!$A$1:$A$5000,0),1,,,"LM7 Non-ENG"),IF(IFERROR(VLOOKUP(B42&amp;"ES",'LM7 Non-ENG'!$A$1:$A$4999,1,FALSE),"ERROR")=B42&amp;"ES","Y","")),"")</f>
        <v/>
      </c>
      <c r="H42" s="29" t="str">
        <f>IFERROR(HYPERLINK("#"&amp;ADDRESS(MATCH(B42&amp;"PT",'LM7 Non-ENG'!$A$1:$A$5000,0),1,,,"LM7 Non-ENG"),IF(IFERROR(VLOOKUP(B42&amp;"PT",'LM7 Non-ENG'!$A$1:$A$5000,1,FALSE),"ERROR")=B42&amp;"PT","Y","")),"")</f>
        <v/>
      </c>
      <c r="I42" t="str">
        <f>IFERROR(VLOOKUP(B42,PN!$A:$C,3,FALSE),"")</f>
        <v>Active</v>
      </c>
      <c r="J42" s="3">
        <f>E42*IFERROR(VLOOKUP(B42,PLInter!$A:$D,3,FALSE),"")</f>
        <v>1667</v>
      </c>
      <c r="K42" s="66"/>
      <c r="L42" s="66"/>
      <c r="M42" s="66"/>
      <c r="N42" s="66"/>
      <c r="O42" s="66"/>
      <c r="P42" s="66"/>
      <c r="Q42" s="66"/>
      <c r="R42" s="66"/>
      <c r="S42" s="66"/>
    </row>
    <row r="43" spans="1:19" ht="18" customHeight="1">
      <c r="B43" s="1" t="str">
        <f>"63-9234-0000"</f>
        <v>63-9234-0000</v>
      </c>
      <c r="C43" s="1" t="str">
        <f>"Robotic Software for Controller USB"</f>
        <v>Robotic Software for Controller USB</v>
      </c>
      <c r="D43" s="6" t="s">
        <v>0</v>
      </c>
      <c r="E43" s="6">
        <v>1</v>
      </c>
      <c r="F43" s="6"/>
      <c r="G43" s="29" t="str">
        <f>IFERROR(HYPERLINK("#"&amp;ADDRESS(MATCH(B43&amp;"ES",'LM7 Non-ENG'!$A$1:$A$5000,0),1,,,"LM7 Non-ENG"),IF(IFERROR(VLOOKUP(B43&amp;"ES",'LM7 Non-ENG'!$A$1:$A$4999,1,FALSE),"ERROR")=B43&amp;"ES","Y","")),"")</f>
        <v/>
      </c>
      <c r="H43" s="29" t="str">
        <f>IFERROR(HYPERLINK("#"&amp;ADDRESS(MATCH(B43&amp;"PT",'LM7 Non-ENG'!$A$1:$A$5000,0),1,,,"LM7 Non-ENG"),IF(IFERROR(VLOOKUP(B43&amp;"PT",'LM7 Non-ENG'!$A$1:$A$5000,1,FALSE),"ERROR")=B43&amp;"PT","Y","")),"")</f>
        <v/>
      </c>
      <c r="I43" t="str">
        <f>IFERROR(VLOOKUP(B43,PN!$A:$C,3,FALSE),"")</f>
        <v>Active</v>
      </c>
      <c r="J43" s="3">
        <f>E43*IFERROR(VLOOKUP(B43,PLInter!$A:$D,3,FALSE),"")</f>
        <v>500</v>
      </c>
      <c r="K43" s="66"/>
      <c r="L43" s="66"/>
      <c r="M43" s="66"/>
      <c r="N43" s="66"/>
      <c r="O43" s="66"/>
      <c r="P43" s="66"/>
      <c r="Q43" s="66"/>
      <c r="R43" s="66"/>
      <c r="S43" s="66"/>
    </row>
    <row r="44" spans="1:19" ht="18" customHeight="1">
      <c r="B44" t="str">
        <f>"63-7000-0100"</f>
        <v>63-7000-0100</v>
      </c>
      <c r="C44" t="str">
        <f>"License Key for RoboCell/SCORBASE USB"</f>
        <v>License Key for RoboCell/SCORBASE USB</v>
      </c>
      <c r="D44" s="4"/>
      <c r="E44" s="4">
        <v>1</v>
      </c>
      <c r="F44" s="4"/>
      <c r="G44" s="29" t="str">
        <f>IFERROR(HYPERLINK("#"&amp;ADDRESS(MATCH(B44&amp;"ES",'LM7 Non-ENG'!$A$1:$A$5000,0),1,,,"LM7 Non-ENG"),IF(IFERROR(VLOOKUP(B44&amp;"ES",'LM7 Non-ENG'!$A$1:$A$4999,1,FALSE),"ERROR")=B44&amp;"ES","Y","")),"")</f>
        <v/>
      </c>
      <c r="H44" s="29" t="str">
        <f>IFERROR(HYPERLINK("#"&amp;ADDRESS(MATCH(B44&amp;"PT",'LM7 Non-ENG'!$A$1:$A$5000,0),1,,,"LM7 Non-ENG"),IF(IFERROR(VLOOKUP(B44&amp;"PT",'LM7 Non-ENG'!$A$1:$A$5000,1,FALSE),"ERROR")=B44&amp;"PT","Y","")),"")</f>
        <v/>
      </c>
      <c r="I44" t="str">
        <f>IFERROR(VLOOKUP(B44,PN!$A:$C,3,FALSE),"")</f>
        <v>Active</v>
      </c>
      <c r="J44" s="3">
        <f>E44*IFERROR(VLOOKUP(B44,PLInter!$A:$D,3,FALSE),"")</f>
        <v>500</v>
      </c>
      <c r="K44" s="66"/>
      <c r="L44" s="66"/>
      <c r="M44" s="66"/>
      <c r="N44" s="66"/>
      <c r="O44" s="66"/>
      <c r="P44" s="66"/>
      <c r="Q44" s="66"/>
      <c r="R44" s="66"/>
      <c r="S44" s="66"/>
    </row>
    <row r="45" spans="1:19" ht="18" customHeight="1">
      <c r="G45" s="29" t="str">
        <f>IFERROR(HYPERLINK("#"&amp;ADDRESS(MATCH(B45&amp;"ES",'LM7 Non-ENG'!$A$1:$A$5000,0),1,,,"LM7 Non-ENG"),IF(IFERROR(VLOOKUP(B45&amp;"ES",'LM7 Non-ENG'!$A$1:$A$4999,1,FALSE),"ERROR")=B45&amp;"ES","Y","")),"")</f>
        <v/>
      </c>
      <c r="H45" s="29" t="str">
        <f>IFERROR(HYPERLINK("#"&amp;ADDRESS(MATCH(B45&amp;"PT",'LM7 Non-ENG'!$A$1:$A$5000,0),1,,,"LM7 Non-ENG"),IF(IFERROR(VLOOKUP(B45&amp;"PT",'LM7 Non-ENG'!$A$1:$A$5000,1,FALSE),"ERROR")=B45&amp;"PT","Y","")),"")</f>
        <v/>
      </c>
    </row>
    <row r="46" spans="1:19" s="7" customFormat="1" ht="18" customHeight="1">
      <c r="A46" s="13" t="s">
        <v>202</v>
      </c>
      <c r="B46" s="13"/>
      <c r="C46" s="13" t="s">
        <v>203</v>
      </c>
      <c r="D46" s="14"/>
      <c r="E46" s="14"/>
      <c r="F46" s="14"/>
      <c r="G46" s="14"/>
      <c r="H46" s="14"/>
      <c r="I46" s="14"/>
      <c r="J46" s="14">
        <f>SUMIFS(J47:J62,D47:D62,"&lt;&gt;Y",F47:F62,"&lt;&gt;Y",I47:I62,"&lt;&gt;Inactive",I47:I62,"&lt;&gt;ECO+NFS")</f>
        <v>27054</v>
      </c>
      <c r="K46" s="14"/>
      <c r="L46" s="14"/>
      <c r="M46" s="14"/>
      <c r="N46" s="14"/>
      <c r="O46" s="14"/>
      <c r="P46" s="14"/>
      <c r="Q46" s="14"/>
      <c r="R46" s="14"/>
      <c r="S46" s="14"/>
    </row>
    <row r="47" spans="1:19" ht="18" customHeight="1">
      <c r="A47" s="17" t="e">
        <f>HYPERLINK("#"&amp;ADDRESS(MATCH(A46,Robotics!$A$1:$A$5010,0),1,,,"Robotics"),"Back to Price List")</f>
        <v>#N/A</v>
      </c>
      <c r="B47" t="str">
        <f>"00-0413-0000"</f>
        <v>00-0413-0000</v>
      </c>
      <c r="C47" t="str">
        <f>"SCORBOT-ER 4u (Package)"</f>
        <v>SCORBOT-ER 4u (Package)</v>
      </c>
      <c r="D47" s="4"/>
      <c r="E47" s="4">
        <v>1</v>
      </c>
      <c r="F47" s="4"/>
      <c r="G47" s="29" t="str">
        <f>IFERROR(HYPERLINK("#"&amp;ADDRESS(MATCH(B47&amp;"ES",'LM7 Non-ENG'!$A$1:$A$5000,0),1,,,"LM7 Non-ENG"),IF(IFERROR(VLOOKUP(B47&amp;"ES",'LM7 Non-ENG'!$A$1:$A$4999,1,FALSE),"ERROR")=B47&amp;"ES","Y","")),"")</f>
        <v/>
      </c>
      <c r="H47" s="29" t="str">
        <f>IFERROR(HYPERLINK("#"&amp;ADDRESS(MATCH(B47&amp;"PT",'LM7 Non-ENG'!$A$1:$A$5000,0),1,,,"LM7 Non-ENG"),IF(IFERROR(VLOOKUP(B47&amp;"PT",'LM7 Non-ENG'!$A$1:$A$5000,1,FALSE),"ERROR")=B47&amp;"PT","Y","")),"")</f>
        <v/>
      </c>
      <c r="I47" t="str">
        <f>IFERROR(VLOOKUP(B47,PN!$A:$C,3,FALSE),"")</f>
        <v>Active</v>
      </c>
      <c r="J47" s="3">
        <f>E47*IFERROR(VLOOKUP(B47,PLInter!$A:$D,3,FALSE),"")</f>
        <v>11726</v>
      </c>
      <c r="K47" s="68" t="s">
        <v>204</v>
      </c>
      <c r="L47" s="66"/>
      <c r="M47" s="66"/>
      <c r="N47" s="66"/>
      <c r="O47" s="66"/>
      <c r="P47" s="66"/>
      <c r="Q47" s="66"/>
      <c r="R47" s="66"/>
      <c r="S47" s="66"/>
    </row>
    <row r="48" spans="1:19" ht="18" customHeight="1">
      <c r="B48" t="str">
        <f>"00-0609-0000"</f>
        <v>00-0609-0000</v>
      </c>
      <c r="C48" t="str">
        <f>"End Effector Attachment for ER4U Gripper"</f>
        <v>End Effector Attachment for ER4U Gripper</v>
      </c>
      <c r="D48" s="4"/>
      <c r="E48" s="4">
        <v>1</v>
      </c>
      <c r="F48" s="4"/>
      <c r="G48" s="29" t="str">
        <f>IFERROR(HYPERLINK("#"&amp;ADDRESS(MATCH(B48&amp;"ES",'LM7 Non-ENG'!$A$1:$A$5000,0),1,,,"LM7 Non-ENG"),IF(IFERROR(VLOOKUP(B48&amp;"ES",'LM7 Non-ENG'!$A$1:$A$4999,1,FALSE),"ERROR")=B48&amp;"ES","Y","")),"")</f>
        <v/>
      </c>
      <c r="H48" s="29" t="str">
        <f>IFERROR(HYPERLINK("#"&amp;ADDRESS(MATCH(B48&amp;"PT",'LM7 Non-ENG'!$A$1:$A$5000,0),1,,,"LM7 Non-ENG"),IF(IFERROR(VLOOKUP(B48&amp;"PT",'LM7 Non-ENG'!$A$1:$A$5000,1,FALSE),"ERROR")=B48&amp;"PT","Y","")),"")</f>
        <v/>
      </c>
      <c r="I48" t="str">
        <f>IFERROR(VLOOKUP(B48,PN!$A:$C,3,FALSE),"")</f>
        <v>Active</v>
      </c>
      <c r="J48" s="3">
        <f>E48*IFERROR(VLOOKUP(B48,PLInter!$A:$D,3,FALSE),"")</f>
        <v>125</v>
      </c>
      <c r="K48" s="66"/>
      <c r="L48" s="66"/>
      <c r="M48" s="66"/>
      <c r="N48" s="66"/>
      <c r="O48" s="66"/>
      <c r="P48" s="66"/>
      <c r="Q48" s="66"/>
      <c r="R48" s="66"/>
      <c r="S48" s="66"/>
    </row>
    <row r="49" spans="1:19" ht="18" customHeight="1">
      <c r="B49" t="str">
        <f>"00-1201-0000"</f>
        <v>00-1201-0000</v>
      </c>
      <c r="C49" t="str">
        <f>"I/O Experiment Table"</f>
        <v>I/O Experiment Table</v>
      </c>
      <c r="D49" s="4"/>
      <c r="E49" s="4">
        <v>1</v>
      </c>
      <c r="F49" s="4"/>
      <c r="G49" s="29" t="str">
        <f>IFERROR(HYPERLINK("#"&amp;ADDRESS(MATCH(B49&amp;"ES",'LM7 Non-ENG'!$A$1:$A$5000,0),1,,,"LM7 Non-ENG"),IF(IFERROR(VLOOKUP(B49&amp;"ES",'LM7 Non-ENG'!$A$1:$A$4999,1,FALSE),"ERROR")=B49&amp;"ES","Y","")),"")</f>
        <v/>
      </c>
      <c r="H49" s="29" t="str">
        <f>IFERROR(HYPERLINK("#"&amp;ADDRESS(MATCH(B49&amp;"PT",'LM7 Non-ENG'!$A$1:$A$5000,0),1,,,"LM7 Non-ENG"),IF(IFERROR(VLOOKUP(B49&amp;"PT",'LM7 Non-ENG'!$A$1:$A$5000,1,FALSE),"ERROR")=B49&amp;"PT","Y","")),"")</f>
        <v/>
      </c>
      <c r="I49" t="str">
        <f>IFERROR(VLOOKUP(B49,PN!$A:$C,3,FALSE),"")</f>
        <v>Active</v>
      </c>
      <c r="J49" s="3">
        <f>E49*IFERROR(VLOOKUP(B49,PLInter!$A:$D,3,FALSE),"")</f>
        <v>615</v>
      </c>
      <c r="K49" s="66"/>
      <c r="L49" s="66"/>
      <c r="M49" s="66"/>
      <c r="N49" s="66"/>
      <c r="O49" s="66"/>
      <c r="P49" s="66"/>
      <c r="Q49" s="66"/>
      <c r="R49" s="66"/>
      <c r="S49" s="66"/>
    </row>
    <row r="50" spans="1:19" ht="18" customHeight="1">
      <c r="B50" t="str">
        <f>"00-1010-0000"</f>
        <v>00-1010-0000</v>
      </c>
      <c r="C50" t="str">
        <f>"Conveyor Belt (24V)"</f>
        <v>Conveyor Belt (24V)</v>
      </c>
      <c r="D50" s="4"/>
      <c r="E50" s="4">
        <v>1</v>
      </c>
      <c r="F50" s="4"/>
      <c r="G50" s="29" t="str">
        <f>IFERROR(HYPERLINK("#"&amp;ADDRESS(MATCH(B50&amp;"ES",'LM7 Non-ENG'!$A$1:$A$5000,0),1,,,"LM7 Non-ENG"),IF(IFERROR(VLOOKUP(B50&amp;"ES",'LM7 Non-ENG'!$A$1:$A$4999,1,FALSE),"ERROR")=B50&amp;"ES","Y","")),"")</f>
        <v/>
      </c>
      <c r="H50" s="29" t="str">
        <f>IFERROR(HYPERLINK("#"&amp;ADDRESS(MATCH(B50&amp;"PT",'LM7 Non-ENG'!$A$1:$A$5000,0),1,,,"LM7 Non-ENG"),IF(IFERROR(VLOOKUP(B50&amp;"PT",'LM7 Non-ENG'!$A$1:$A$5000,1,FALSE),"ERROR")=B50&amp;"PT","Y","")),"")</f>
        <v/>
      </c>
      <c r="I50" t="str">
        <f>IFERROR(VLOOKUP(B50,PN!$A:$C,3,FALSE),"")</f>
        <v>Active</v>
      </c>
      <c r="J50" s="3">
        <f>E50*IFERROR(VLOOKUP(B50,PLInter!$A:$D,3,FALSE),"")</f>
        <v>1986</v>
      </c>
      <c r="K50" s="66"/>
      <c r="L50" s="66"/>
      <c r="M50" s="66"/>
      <c r="N50" s="66"/>
      <c r="O50" s="66"/>
      <c r="P50" s="66"/>
      <c r="Q50" s="66"/>
      <c r="R50" s="66"/>
      <c r="S50" s="66"/>
    </row>
    <row r="51" spans="1:19" ht="18" customHeight="1">
      <c r="B51" t="str">
        <f>"00-1203-0000"</f>
        <v>00-1203-0000</v>
      </c>
      <c r="C51" t="str">
        <f>"Photoelectric Sensor for Belt Conveyor"</f>
        <v>Photoelectric Sensor for Belt Conveyor</v>
      </c>
      <c r="D51" s="4"/>
      <c r="E51" s="4">
        <v>1</v>
      </c>
      <c r="F51" s="4"/>
      <c r="G51" s="29" t="str">
        <f>IFERROR(HYPERLINK("#"&amp;ADDRESS(MATCH(B51&amp;"ES",'LM7 Non-ENG'!$A$1:$A$5000,0),1,,,"LM7 Non-ENG"),IF(IFERROR(VLOOKUP(B51&amp;"ES",'LM7 Non-ENG'!$A$1:$A$4999,1,FALSE),"ERROR")=B51&amp;"ES","Y","")),"")</f>
        <v/>
      </c>
      <c r="H51" s="29" t="str">
        <f>IFERROR(HYPERLINK("#"&amp;ADDRESS(MATCH(B51&amp;"PT",'LM7 Non-ENG'!$A$1:$A$5000,0),1,,,"LM7 Non-ENG"),IF(IFERROR(VLOOKUP(B51&amp;"PT",'LM7 Non-ENG'!$A$1:$A$5000,1,FALSE),"ERROR")=B51&amp;"PT","Y","")),"")</f>
        <v/>
      </c>
      <c r="I51" t="str">
        <f>IFERROR(VLOOKUP(B51,PN!$A:$C,3,FALSE),"")</f>
        <v>Active</v>
      </c>
      <c r="J51" s="3">
        <f>E51*IFERROR(VLOOKUP(B51,PLInter!$A:$D,3,FALSE),"")</f>
        <v>295</v>
      </c>
      <c r="K51" s="66"/>
      <c r="L51" s="66"/>
      <c r="M51" s="66"/>
      <c r="N51" s="66"/>
      <c r="O51" s="66"/>
      <c r="P51" s="66"/>
      <c r="Q51" s="66"/>
      <c r="R51" s="66"/>
      <c r="S51" s="66"/>
    </row>
    <row r="52" spans="1:19" ht="18" customHeight="1">
      <c r="B52" t="str">
        <f>"10-1007-4000"</f>
        <v>10-1007-4000</v>
      </c>
      <c r="C52" t="str">
        <f>"Gravity Parts Feeder (incl.microswitch sensor)"</f>
        <v>Gravity Parts Feeder (incl.microswitch sensor)</v>
      </c>
      <c r="D52" s="4"/>
      <c r="E52" s="4">
        <v>1</v>
      </c>
      <c r="F52" s="4"/>
      <c r="G52" s="29" t="str">
        <f>IFERROR(HYPERLINK("#"&amp;ADDRESS(MATCH(B52&amp;"ES",'LM7 Non-ENG'!$A$1:$A$5000,0),1,,,"LM7 Non-ENG"),IF(IFERROR(VLOOKUP(B52&amp;"ES",'LM7 Non-ENG'!$A$1:$A$4999,1,FALSE),"ERROR")=B52&amp;"ES","Y","")),"")</f>
        <v/>
      </c>
      <c r="H52" s="29" t="str">
        <f>IFERROR(HYPERLINK("#"&amp;ADDRESS(MATCH(B52&amp;"PT",'LM7 Non-ENG'!$A$1:$A$5000,0),1,,,"LM7 Non-ENG"),IF(IFERROR(VLOOKUP(B52&amp;"PT",'LM7 Non-ENG'!$A$1:$A$5000,1,FALSE),"ERROR")=B52&amp;"PT","Y","")),"")</f>
        <v/>
      </c>
      <c r="I52" t="str">
        <f>IFERROR(VLOOKUP(B52,PN!$A:$C,3,FALSE),"")</f>
        <v>Active</v>
      </c>
      <c r="J52" s="3">
        <f>E52*IFERROR(VLOOKUP(B52,PLInter!$A:$D,3,FALSE),"")</f>
        <v>494</v>
      </c>
      <c r="K52" s="66"/>
      <c r="L52" s="66"/>
      <c r="M52" s="66"/>
      <c r="N52" s="66"/>
      <c r="O52" s="66"/>
      <c r="P52" s="66"/>
      <c r="Q52" s="66"/>
      <c r="R52" s="66"/>
      <c r="S52" s="66"/>
    </row>
    <row r="53" spans="1:19" ht="18" customHeight="1">
      <c r="B53" t="str">
        <f>"00-1009-0000"</f>
        <v>00-1009-0000</v>
      </c>
      <c r="C53" t="str">
        <f>"Rotary Index Table (24V)"</f>
        <v>Rotary Index Table (24V)</v>
      </c>
      <c r="D53" s="4"/>
      <c r="E53" s="4">
        <v>1</v>
      </c>
      <c r="F53" s="4"/>
      <c r="G53" s="29" t="str">
        <f>IFERROR(HYPERLINK("#"&amp;ADDRESS(MATCH(B53&amp;"ES",'LM7 Non-ENG'!$A$1:$A$5000,0),1,,,"LM7 Non-ENG"),IF(IFERROR(VLOOKUP(B53&amp;"ES",'LM7 Non-ENG'!$A$1:$A$4999,1,FALSE),"ERROR")=B53&amp;"ES","Y","")),"")</f>
        <v/>
      </c>
      <c r="H53" s="29" t="str">
        <f>IFERROR(HYPERLINK("#"&amp;ADDRESS(MATCH(B53&amp;"PT",'LM7 Non-ENG'!$A$1:$A$5000,0),1,,,"LM7 Non-ENG"),IF(IFERROR(VLOOKUP(B53&amp;"PT",'LM7 Non-ENG'!$A$1:$A$5000,1,FALSE),"ERROR")=B53&amp;"PT","Y","")),"")</f>
        <v/>
      </c>
      <c r="I53" t="str">
        <f>IFERROR(VLOOKUP(B53,PN!$A:$C,3,FALSE),"")</f>
        <v>Active</v>
      </c>
      <c r="J53" s="3">
        <f>E53*IFERROR(VLOOKUP(B53,PLInter!$A:$D,3,FALSE),"")</f>
        <v>1425</v>
      </c>
      <c r="K53" s="66"/>
      <c r="L53" s="66"/>
      <c r="M53" s="66"/>
      <c r="N53" s="66"/>
      <c r="O53" s="66"/>
      <c r="P53" s="66"/>
      <c r="Q53" s="66"/>
      <c r="R53" s="66"/>
      <c r="S53" s="66"/>
    </row>
    <row r="54" spans="1:19" ht="18" customHeight="1">
      <c r="B54" t="str">
        <f>"00-1209-0000"</f>
        <v>00-1209-0000</v>
      </c>
      <c r="C54" t="str">
        <f>"Photoelectric Sensor for Rotary Index Table"</f>
        <v>Photoelectric Sensor for Rotary Index Table</v>
      </c>
      <c r="D54" s="4"/>
      <c r="E54" s="4">
        <v>1</v>
      </c>
      <c r="F54" s="4"/>
      <c r="G54" s="29" t="str">
        <f>IFERROR(HYPERLINK("#"&amp;ADDRESS(MATCH(B54&amp;"ES",'LM7 Non-ENG'!$A$1:$A$5000,0),1,,,"LM7 Non-ENG"),IF(IFERROR(VLOOKUP(B54&amp;"ES",'LM7 Non-ENG'!$A$1:$A$4999,1,FALSE),"ERROR")=B54&amp;"ES","Y","")),"")</f>
        <v/>
      </c>
      <c r="H54" s="29" t="str">
        <f>IFERROR(HYPERLINK("#"&amp;ADDRESS(MATCH(B54&amp;"PT",'LM7 Non-ENG'!$A$1:$A$5000,0),1,,,"LM7 Non-ENG"),IF(IFERROR(VLOOKUP(B54&amp;"PT",'LM7 Non-ENG'!$A$1:$A$5000,1,FALSE),"ERROR")=B54&amp;"PT","Y","")),"")</f>
        <v/>
      </c>
      <c r="I54" t="str">
        <f>IFERROR(VLOOKUP(B54,PN!$A:$C,3,FALSE),"")</f>
        <v>Active</v>
      </c>
      <c r="J54" s="3">
        <f>E54*IFERROR(VLOOKUP(B54,PLInter!$A:$D,3,FALSE),"")</f>
        <v>506</v>
      </c>
      <c r="K54" s="66"/>
      <c r="L54" s="66"/>
      <c r="M54" s="66"/>
      <c r="N54" s="66"/>
      <c r="O54" s="66"/>
      <c r="P54" s="66"/>
      <c r="Q54" s="66"/>
      <c r="R54" s="66"/>
      <c r="S54" s="66"/>
    </row>
    <row r="55" spans="1:19" ht="18" customHeight="1">
      <c r="B55" t="str">
        <f>"00-1710-0000"</f>
        <v>00-1710-0000</v>
      </c>
      <c r="C55" t="str">
        <f>"Teach Pendant for USB/USB Pro Controllers"</f>
        <v>Teach Pendant for USB/USB Pro Controllers</v>
      </c>
      <c r="D55" s="4"/>
      <c r="E55" s="4">
        <v>1</v>
      </c>
      <c r="F55" s="4"/>
      <c r="G55" s="29" t="str">
        <f>IFERROR(HYPERLINK("#"&amp;ADDRESS(MATCH(B55&amp;"ES",'LM7 Non-ENG'!$A$1:$A$5000,0),1,,,"LM7 Non-ENG"),IF(IFERROR(VLOOKUP(B55&amp;"ES",'LM7 Non-ENG'!$A$1:$A$4999,1,FALSE),"ERROR")=B55&amp;"ES","Y","")),"")</f>
        <v/>
      </c>
      <c r="H55" s="29" t="str">
        <f>IFERROR(HYPERLINK("#"&amp;ADDRESS(MATCH(B55&amp;"PT",'LM7 Non-ENG'!$A$1:$A$5000,0),1,,,"LM7 Non-ENG"),IF(IFERROR(VLOOKUP(B55&amp;"PT",'LM7 Non-ENG'!$A$1:$A$5000,1,FALSE),"ERROR")=B55&amp;"PT","Y","")),"")</f>
        <v/>
      </c>
      <c r="I55" t="str">
        <f>IFERROR(VLOOKUP(B55,PN!$A:$C,3,FALSE),"")</f>
        <v>Active</v>
      </c>
      <c r="J55" s="3">
        <f>E55*IFERROR(VLOOKUP(B55,PLInter!$A:$D,3,FALSE),"")</f>
        <v>1680</v>
      </c>
      <c r="K55" s="66"/>
      <c r="L55" s="66"/>
      <c r="M55" s="66"/>
      <c r="N55" s="66"/>
      <c r="O55" s="66"/>
      <c r="P55" s="66"/>
      <c r="Q55" s="66"/>
      <c r="R55" s="66"/>
      <c r="S55" s="66"/>
    </row>
    <row r="56" spans="1:19" ht="18" customHeight="1">
      <c r="B56" t="str">
        <f>"00-1426-0000"</f>
        <v>00-1426-0000</v>
      </c>
      <c r="C56" t="str">
        <f>"Viewflex for Robot Guidance (Stand 1000mm)"</f>
        <v>Viewflex for Robot Guidance (Stand 1000mm)</v>
      </c>
      <c r="D56" s="4"/>
      <c r="E56" s="4">
        <v>1</v>
      </c>
      <c r="F56" s="4"/>
      <c r="G56" s="29" t="str">
        <f>IFERROR(HYPERLINK("#"&amp;ADDRESS(MATCH(B56&amp;"ES",'LM7 Non-ENG'!$A$1:$A$5000,0),1,,,"LM7 Non-ENG"),IF(IFERROR(VLOOKUP(B56&amp;"ES",'LM7 Non-ENG'!$A$1:$A$4999,1,FALSE),"ERROR")=B56&amp;"ES","Y","")),"")</f>
        <v/>
      </c>
      <c r="H56" s="29" t="str">
        <f>IFERROR(HYPERLINK("#"&amp;ADDRESS(MATCH(B56&amp;"PT",'LM7 Non-ENG'!$A$1:$A$5000,0),1,,,"LM7 Non-ENG"),IF(IFERROR(VLOOKUP(B56&amp;"PT",'LM7 Non-ENG'!$A$1:$A$5000,1,FALSE),"ERROR")=B56&amp;"PT","Y","")),"")</f>
        <v/>
      </c>
      <c r="I56" t="str">
        <f>IFERROR(VLOOKUP(B56,PN!$A:$C,3,FALSE),"")</f>
        <v>Active</v>
      </c>
      <c r="J56" s="3">
        <f>E56*IFERROR(VLOOKUP(B56,PLInter!$A:$D,3,FALSE),"")</f>
        <v>4195</v>
      </c>
      <c r="K56" s="66"/>
      <c r="L56" s="66"/>
      <c r="M56" s="66"/>
      <c r="N56" s="66"/>
      <c r="O56" s="66"/>
      <c r="P56" s="66"/>
      <c r="Q56" s="66"/>
      <c r="R56" s="66"/>
      <c r="S56" s="66"/>
    </row>
    <row r="57" spans="1:19" ht="18" customHeight="1">
      <c r="B57" t="str">
        <f>"112713"</f>
        <v>112713</v>
      </c>
      <c r="C57" t="str">
        <f>"Mark Al. Cylinder Diam. 35x28 MicroCIM"</f>
        <v>Mark Al. Cylinder Diam. 35x28 MicroCIM</v>
      </c>
      <c r="D57" s="4"/>
      <c r="E57" s="4">
        <v>3</v>
      </c>
      <c r="F57" s="4"/>
      <c r="G57" s="29" t="str">
        <f>IFERROR(HYPERLINK("#"&amp;ADDRESS(MATCH(B57&amp;"ES",'LM7 Non-ENG'!$A$1:$A$5000,0),1,,,"LM7 Non-ENG"),IF(IFERROR(VLOOKUP(B57&amp;"ES",'LM7 Non-ENG'!$A$1:$A$4999,1,FALSE),"ERROR")=B57&amp;"ES","Y","")),"")</f>
        <v/>
      </c>
      <c r="H57" s="29" t="str">
        <f>IFERROR(HYPERLINK("#"&amp;ADDRESS(MATCH(B57&amp;"PT",'LM7 Non-ENG'!$A$1:$A$5000,0),1,,,"LM7 Non-ENG"),IF(IFERROR(VLOOKUP(B57&amp;"PT",'LM7 Non-ENG'!$A$1:$A$5000,1,FALSE),"ERROR")=B57&amp;"PT","Y","")),"")</f>
        <v/>
      </c>
      <c r="I57" t="str">
        <f>IFERROR(VLOOKUP(B57,PN!$A:$C,3,FALSE),"")</f>
        <v>Active</v>
      </c>
      <c r="J57" s="3">
        <f>E57*IFERROR(VLOOKUP(B57,PLInter!$A:$D,3,FALSE),"")</f>
        <v>300</v>
      </c>
      <c r="K57" s="66"/>
      <c r="L57" s="66"/>
      <c r="M57" s="66"/>
      <c r="N57" s="66"/>
      <c r="O57" s="66"/>
      <c r="P57" s="66"/>
      <c r="Q57" s="66"/>
      <c r="R57" s="66"/>
      <c r="S57" s="66"/>
    </row>
    <row r="58" spans="1:19" ht="18" customHeight="1">
      <c r="B58" t="str">
        <f>"113316"</f>
        <v>113316</v>
      </c>
      <c r="C58" t="str">
        <f>"Parts Bin; Plastic Box"</f>
        <v>Parts Bin; Plastic Box</v>
      </c>
      <c r="D58" s="4"/>
      <c r="E58" s="4">
        <v>1</v>
      </c>
      <c r="F58" s="4"/>
      <c r="G58" s="29" t="str">
        <f>IFERROR(HYPERLINK("#"&amp;ADDRESS(MATCH(B58&amp;"ES",'LM7 Non-ENG'!$A$1:$A$5000,0),1,,,"LM7 Non-ENG"),IF(IFERROR(VLOOKUP(B58&amp;"ES",'LM7 Non-ENG'!$A$1:$A$4999,1,FALSE),"ERROR")=B58&amp;"ES","Y","")),"")</f>
        <v/>
      </c>
      <c r="H58" s="29" t="str">
        <f>IFERROR(HYPERLINK("#"&amp;ADDRESS(MATCH(B58&amp;"PT",'LM7 Non-ENG'!$A$1:$A$5000,0),1,,,"LM7 Non-ENG"),IF(IFERROR(VLOOKUP(B58&amp;"PT",'LM7 Non-ENG'!$A$1:$A$5000,1,FALSE),"ERROR")=B58&amp;"PT","Y","")),"")</f>
        <v/>
      </c>
      <c r="I58" t="str">
        <f>IFERROR(VLOOKUP(B58,PN!$A:$C,3,FALSE),"")</f>
        <v>Active</v>
      </c>
      <c r="J58" s="3">
        <f>E58*IFERROR(VLOOKUP(B58,PLInter!$A:$D,3,FALSE),"")</f>
        <v>20</v>
      </c>
      <c r="K58" s="66"/>
      <c r="L58" s="66"/>
      <c r="M58" s="66"/>
      <c r="N58" s="66"/>
      <c r="O58" s="66"/>
      <c r="P58" s="66"/>
      <c r="Q58" s="66"/>
      <c r="R58" s="66"/>
      <c r="S58" s="66"/>
    </row>
    <row r="59" spans="1:19" ht="18" customHeight="1">
      <c r="B59" t="str">
        <f>"00-1249-0000"</f>
        <v>00-1249-0000</v>
      </c>
      <c r="C59" t="str">
        <f>"Workbench 1500x800mm (slotted aluminum top)"</f>
        <v>Workbench 1500x800mm (slotted aluminum top)</v>
      </c>
      <c r="D59" s="4"/>
      <c r="E59" s="4">
        <v>1</v>
      </c>
      <c r="F59" s="4"/>
      <c r="G59" s="29" t="str">
        <f>IFERROR(HYPERLINK("#"&amp;ADDRESS(MATCH(B59&amp;"ES",'LM7 Non-ENG'!$A$1:$A$5000,0),1,,,"LM7 Non-ENG"),IF(IFERROR(VLOOKUP(B59&amp;"ES",'LM7 Non-ENG'!$A$1:$A$4999,1,FALSE),"ERROR")=B59&amp;"ES","Y","")),"")</f>
        <v/>
      </c>
      <c r="H59" s="29" t="str">
        <f>IFERROR(HYPERLINK("#"&amp;ADDRESS(MATCH(B59&amp;"PT",'LM7 Non-ENG'!$A$1:$A$5000,0),1,,,"LM7 Non-ENG"),IF(IFERROR(VLOOKUP(B59&amp;"PT",'LM7 Non-ENG'!$A$1:$A$5000,1,FALSE),"ERROR")=B59&amp;"PT","Y","")),"")</f>
        <v/>
      </c>
      <c r="I59" t="str">
        <f>IFERROR(VLOOKUP(B59,PN!$A:$C,3,FALSE),"")</f>
        <v>Active</v>
      </c>
      <c r="J59" s="3">
        <f>E59*IFERROR(VLOOKUP(B59,PLInter!$A:$D,3,FALSE),"")</f>
        <v>2760</v>
      </c>
      <c r="K59" s="66"/>
      <c r="L59" s="66"/>
      <c r="M59" s="66"/>
      <c r="N59" s="66"/>
      <c r="O59" s="66"/>
      <c r="P59" s="66"/>
      <c r="Q59" s="66"/>
      <c r="R59" s="66"/>
      <c r="S59" s="66"/>
    </row>
    <row r="60" spans="1:19" ht="18" customHeight="1">
      <c r="B60" t="str">
        <f>"10-1010-9000"</f>
        <v>10-1010-9000</v>
      </c>
      <c r="C60" t="str">
        <f>"Adapter Mounting Plate for ER4u"</f>
        <v>Adapter Mounting Plate for ER4u</v>
      </c>
      <c r="D60" s="4"/>
      <c r="E60" s="4">
        <v>1</v>
      </c>
      <c r="F60" s="4"/>
      <c r="G60" s="29" t="str">
        <f>IFERROR(HYPERLINK("#"&amp;ADDRESS(MATCH(B60&amp;"ES",'LM7 Non-ENG'!$A$1:$A$5000,0),1,,,"LM7 Non-ENG"),IF(IFERROR(VLOOKUP(B60&amp;"ES",'LM7 Non-ENG'!$A$1:$A$4999,1,FALSE),"ERROR")=B60&amp;"ES","Y","")),"")</f>
        <v/>
      </c>
      <c r="H60" s="29" t="str">
        <f>IFERROR(HYPERLINK("#"&amp;ADDRESS(MATCH(B60&amp;"PT",'LM7 Non-ENG'!$A$1:$A$5000,0),1,,,"LM7 Non-ENG"),IF(IFERROR(VLOOKUP(B60&amp;"PT",'LM7 Non-ENG'!$A$1:$A$5000,1,FALSE),"ERROR")=B60&amp;"PT","Y","")),"")</f>
        <v/>
      </c>
      <c r="I60" t="str">
        <f>IFERROR(VLOOKUP(B60,PN!$A:$C,3,FALSE),"")</f>
        <v>Active</v>
      </c>
      <c r="J60" s="3">
        <f>E60*IFERROR(VLOOKUP(B60,PLInter!$A:$D,3,FALSE),"")</f>
        <v>427</v>
      </c>
      <c r="K60" s="66"/>
      <c r="L60" s="66"/>
      <c r="M60" s="66"/>
      <c r="N60" s="66"/>
      <c r="O60" s="66"/>
      <c r="P60" s="66"/>
      <c r="Q60" s="66"/>
      <c r="R60" s="66"/>
      <c r="S60" s="66"/>
    </row>
    <row r="61" spans="1:19" ht="18" customHeight="1">
      <c r="B61" s="1" t="str">
        <f>"63-9234-0000"</f>
        <v>63-9234-0000</v>
      </c>
      <c r="C61" s="1" t="str">
        <f>"Robotic Software for Controller USB"</f>
        <v>Robotic Software for Controller USB</v>
      </c>
      <c r="D61" s="6" t="s">
        <v>0</v>
      </c>
      <c r="E61" s="6">
        <v>1</v>
      </c>
      <c r="F61" s="6"/>
      <c r="G61" s="29" t="str">
        <f>IFERROR(HYPERLINK("#"&amp;ADDRESS(MATCH(B61&amp;"ES",'LM7 Non-ENG'!$A$1:$A$5000,0),1,,,"LM7 Non-ENG"),IF(IFERROR(VLOOKUP(B61&amp;"ES",'LM7 Non-ENG'!$A$1:$A$4999,1,FALSE),"ERROR")=B61&amp;"ES","Y","")),"")</f>
        <v/>
      </c>
      <c r="H61" s="29" t="str">
        <f>IFERROR(HYPERLINK("#"&amp;ADDRESS(MATCH(B61&amp;"PT",'LM7 Non-ENG'!$A$1:$A$5000,0),1,,,"LM7 Non-ENG"),IF(IFERROR(VLOOKUP(B61&amp;"PT",'LM7 Non-ENG'!$A$1:$A$5000,1,FALSE),"ERROR")=B61&amp;"PT","Y","")),"")</f>
        <v/>
      </c>
      <c r="I61" t="str">
        <f>IFERROR(VLOOKUP(B61,PN!$A:$C,3,FALSE),"")</f>
        <v>Active</v>
      </c>
      <c r="J61" s="3">
        <f>E61*IFERROR(VLOOKUP(B61,PLInter!$A:$D,3,FALSE),"")</f>
        <v>500</v>
      </c>
      <c r="K61" s="66"/>
      <c r="L61" s="66"/>
      <c r="M61" s="66"/>
      <c r="N61" s="66"/>
      <c r="O61" s="66"/>
      <c r="P61" s="66"/>
      <c r="Q61" s="66"/>
      <c r="R61" s="66"/>
      <c r="S61" s="66"/>
    </row>
    <row r="62" spans="1:19" ht="18" customHeight="1">
      <c r="B62" t="str">
        <f>"63-7000-0100"</f>
        <v>63-7000-0100</v>
      </c>
      <c r="C62" t="str">
        <f>"License Key for RoboCell/SCORBASE USB"</f>
        <v>License Key for RoboCell/SCORBASE USB</v>
      </c>
      <c r="D62" s="4"/>
      <c r="E62" s="4">
        <v>1</v>
      </c>
      <c r="F62" s="4"/>
      <c r="G62" s="29" t="str">
        <f>IFERROR(HYPERLINK("#"&amp;ADDRESS(MATCH(B62&amp;"ES",'LM7 Non-ENG'!$A$1:$A$5000,0),1,,,"LM7 Non-ENG"),IF(IFERROR(VLOOKUP(B62&amp;"ES",'LM7 Non-ENG'!$A$1:$A$4999,1,FALSE),"ERROR")=B62&amp;"ES","Y","")),"")</f>
        <v/>
      </c>
      <c r="H62" s="29" t="str">
        <f>IFERROR(HYPERLINK("#"&amp;ADDRESS(MATCH(B62&amp;"PT",'LM7 Non-ENG'!$A$1:$A$5000,0),1,,,"LM7 Non-ENG"),IF(IFERROR(VLOOKUP(B62&amp;"PT",'LM7 Non-ENG'!$A$1:$A$5000,1,FALSE),"ERROR")=B62&amp;"PT","Y","")),"")</f>
        <v/>
      </c>
      <c r="I62" t="str">
        <f>IFERROR(VLOOKUP(B62,PN!$A:$C,3,FALSE),"")</f>
        <v>Active</v>
      </c>
      <c r="J62" s="3">
        <f>E62*IFERROR(VLOOKUP(B62,PLInter!$A:$D,3,FALSE),"")</f>
        <v>500</v>
      </c>
      <c r="K62" s="66"/>
      <c r="L62" s="66"/>
      <c r="M62" s="66"/>
      <c r="N62" s="66"/>
      <c r="O62" s="66"/>
      <c r="P62" s="66"/>
      <c r="Q62" s="66"/>
      <c r="R62" s="66"/>
      <c r="S62" s="66"/>
    </row>
    <row r="63" spans="1:19" ht="18" customHeight="1">
      <c r="G63" s="29" t="str">
        <f>IFERROR(HYPERLINK("#"&amp;ADDRESS(MATCH(B63&amp;"ES",'LM7 Non-ENG'!$A$1:$A$5000,0),1,,,"LM7 Non-ENG"),IF(IFERROR(VLOOKUP(B63&amp;"ES",'LM7 Non-ENG'!$A$1:$A$4999,1,FALSE),"ERROR")=B63&amp;"ES","Y","")),"")</f>
        <v/>
      </c>
      <c r="H63" s="29" t="str">
        <f>IFERROR(HYPERLINK("#"&amp;ADDRESS(MATCH(B63&amp;"PT",'LM7 Non-ENG'!$A$1:$A$5000,0),1,,,"LM7 Non-ENG"),IF(IFERROR(VLOOKUP(B63&amp;"PT",'LM7 Non-ENG'!$A$1:$A$5000,1,FALSE),"ERROR")=B63&amp;"PT","Y","")),"")</f>
        <v/>
      </c>
    </row>
    <row r="64" spans="1:19" s="7" customFormat="1" ht="18" customHeight="1">
      <c r="A64" s="13" t="s">
        <v>205</v>
      </c>
      <c r="B64" s="13"/>
      <c r="C64" s="13" t="s">
        <v>206</v>
      </c>
      <c r="D64" s="14"/>
      <c r="E64" s="14"/>
      <c r="F64" s="14"/>
      <c r="G64" s="14"/>
      <c r="H64" s="14"/>
      <c r="I64" s="14"/>
      <c r="J64" s="14">
        <f>SUMIFS(J65:J73,D65:D73,"&lt;&gt;Y",F65:F73,"&lt;&gt;Y",I65:I73,"&lt;&gt;Inactive",I65:I73,"&lt;&gt;ECO+NFS")</f>
        <v>29388</v>
      </c>
      <c r="K64" s="14"/>
      <c r="L64" s="14"/>
      <c r="M64" s="14"/>
      <c r="N64" s="14"/>
      <c r="O64" s="14"/>
      <c r="P64" s="14"/>
      <c r="Q64" s="14"/>
      <c r="R64" s="14"/>
      <c r="S64" s="14"/>
    </row>
    <row r="65" spans="1:19" ht="18" customHeight="1">
      <c r="A65" s="17" t="e">
        <f>HYPERLINK("#"&amp;ADDRESS(MATCH(A64,Robotics!$A$1:$A$5010,0),1,,,"Robotics"),"Back to Price List")</f>
        <v>#N/A</v>
      </c>
      <c r="B65" t="str">
        <f>"00-0430-0000"</f>
        <v>00-0430-0000</v>
      </c>
      <c r="C65" t="str">
        <f>"SCORBOT-ER 9Pro (incl. USB-Pro Controller)"</f>
        <v>SCORBOT-ER 9Pro (incl. USB-Pro Controller)</v>
      </c>
      <c r="D65" s="4"/>
      <c r="E65" s="4">
        <v>1</v>
      </c>
      <c r="F65" s="4"/>
      <c r="G65" s="29" t="str">
        <f>IFERROR(HYPERLINK("#"&amp;ADDRESS(MATCH(B65&amp;"ES",'LM7 Non-ENG'!$A$1:$A$5000,0),1,,,"LM7 Non-ENG"),IF(IFERROR(VLOOKUP(B65&amp;"ES",'LM7 Non-ENG'!$A$1:$A$4999,1,FALSE),"ERROR")=B65&amp;"ES","Y","")),"")</f>
        <v/>
      </c>
      <c r="H65" s="29" t="str">
        <f>IFERROR(HYPERLINK("#"&amp;ADDRESS(MATCH(B65&amp;"PT",'LM7 Non-ENG'!$A$1:$A$5000,0),1,,,"LM7 Non-ENG"),IF(IFERROR(VLOOKUP(B65&amp;"PT",'LM7 Non-ENG'!$A$1:$A$5000,1,FALSE),"ERROR")=B65&amp;"PT","Y","")),"")</f>
        <v/>
      </c>
      <c r="I65" t="str">
        <f>IFERROR(VLOOKUP(B65,PN!$A:$C,3,FALSE),"")</f>
        <v>Active</v>
      </c>
      <c r="J65" s="3">
        <f>E65*IFERROR(VLOOKUP(B65,PLInter!$A:$D,3,FALSE),"")</f>
        <v>24000</v>
      </c>
      <c r="K65" s="68" t="s">
        <v>196</v>
      </c>
      <c r="L65" s="66"/>
      <c r="M65" s="66"/>
      <c r="N65" s="66"/>
      <c r="O65" s="66"/>
      <c r="P65" s="66"/>
      <c r="Q65" s="66"/>
      <c r="R65" s="66"/>
      <c r="S65" s="66"/>
    </row>
    <row r="66" spans="1:19" ht="18" customHeight="1">
      <c r="B66" t="str">
        <f>"00-0633-0000"</f>
        <v>00-0633-0000</v>
      </c>
      <c r="C66" t="str">
        <f>"Pneumatic Gripper for ER 9Pro"</f>
        <v>Pneumatic Gripper for ER 9Pro</v>
      </c>
      <c r="D66" s="4"/>
      <c r="E66" s="4">
        <v>1</v>
      </c>
      <c r="F66" s="4"/>
      <c r="G66" s="29" t="str">
        <f>IFERROR(HYPERLINK("#"&amp;ADDRESS(MATCH(B66&amp;"ES",'LM7 Non-ENG'!$A$1:$A$5000,0),1,,,"LM7 Non-ENG"),IF(IFERROR(VLOOKUP(B66&amp;"ES",'LM7 Non-ENG'!$A$1:$A$4999,1,FALSE),"ERROR")=B66&amp;"ES","Y","")),"")</f>
        <v/>
      </c>
      <c r="H66" s="29" t="str">
        <f>IFERROR(HYPERLINK("#"&amp;ADDRESS(MATCH(B66&amp;"PT",'LM7 Non-ENG'!$A$1:$A$5000,0),1,,,"LM7 Non-ENG"),IF(IFERROR(VLOOKUP(B66&amp;"PT",'LM7 Non-ENG'!$A$1:$A$5000,1,FALSE),"ERROR")=B66&amp;"PT","Y","")),"")</f>
        <v/>
      </c>
      <c r="I66" t="str">
        <f>IFERROR(VLOOKUP(B66,PN!$A:$C,3,FALSE),"")</f>
        <v>Active</v>
      </c>
      <c r="J66" s="3">
        <f>E66*IFERROR(VLOOKUP(B66,PLInter!$A:$D,3,FALSE),"")</f>
        <v>2134</v>
      </c>
      <c r="K66" s="66"/>
      <c r="L66" s="66"/>
      <c r="M66" s="66"/>
      <c r="N66" s="66"/>
      <c r="O66" s="66"/>
      <c r="P66" s="66"/>
      <c r="Q66" s="66"/>
      <c r="R66" s="66"/>
      <c r="S66" s="66"/>
    </row>
    <row r="67" spans="1:19" ht="18" customHeight="1">
      <c r="B67" s="2" t="str">
        <f>"00-0613-0000"</f>
        <v>00-0613-0000</v>
      </c>
      <c r="C67" s="2" t="str">
        <f>"DC Servo Gripper (ER 9Pro, ER 14Pro and ER 7Pro)"</f>
        <v>DC Servo Gripper (ER 9Pro, ER 14Pro and ER 7Pro)</v>
      </c>
      <c r="D67" s="5"/>
      <c r="E67" s="5">
        <v>1</v>
      </c>
      <c r="F67" s="5" t="str">
        <f>"Y"</f>
        <v>Y</v>
      </c>
      <c r="G67" s="29" t="str">
        <f>IFERROR(HYPERLINK("#"&amp;ADDRESS(MATCH(B67&amp;"ES",'LM7 Non-ENG'!$A$1:$A$5000,0),1,,,"LM7 Non-ENG"),IF(IFERROR(VLOOKUP(B67&amp;"ES",'LM7 Non-ENG'!$A$1:$A$4999,1,FALSE),"ERROR")=B67&amp;"ES","Y","")),"")</f>
        <v/>
      </c>
      <c r="H67" s="29" t="str">
        <f>IFERROR(HYPERLINK("#"&amp;ADDRESS(MATCH(B67&amp;"PT",'LM7 Non-ENG'!$A$1:$A$5000,0),1,,,"LM7 Non-ENG"),IF(IFERROR(VLOOKUP(B67&amp;"PT",'LM7 Non-ENG'!$A$1:$A$5000,1,FALSE),"ERROR")=B67&amp;"PT","Y","")),"")</f>
        <v/>
      </c>
      <c r="I67" t="str">
        <f>IFERROR(VLOOKUP(B67,PN!$A:$C,3,FALSE),"")</f>
        <v>Active</v>
      </c>
      <c r="J67" s="3">
        <f>E67*IFERROR(VLOOKUP(B67,PLInter!$A:$D,3,FALSE),"")</f>
        <v>1700</v>
      </c>
      <c r="K67" s="66"/>
      <c r="L67" s="66"/>
      <c r="M67" s="66"/>
      <c r="N67" s="66"/>
      <c r="O67" s="66"/>
      <c r="P67" s="66"/>
      <c r="Q67" s="66"/>
      <c r="R67" s="66"/>
      <c r="S67" s="66"/>
    </row>
    <row r="68" spans="1:19" ht="18" customHeight="1">
      <c r="B68" s="2" t="str">
        <f>"00-0640-0000"</f>
        <v>00-0640-0000</v>
      </c>
      <c r="C68" s="2" t="str">
        <f>"Automatic Tool Changer for SCORBOT-ER 9Pro"</f>
        <v>Automatic Tool Changer for SCORBOT-ER 9Pro</v>
      </c>
      <c r="D68" s="5"/>
      <c r="E68" s="5">
        <v>1</v>
      </c>
      <c r="F68" s="5" t="str">
        <f>"Y"</f>
        <v>Y</v>
      </c>
      <c r="G68" s="29" t="str">
        <f>IFERROR(HYPERLINK("#"&amp;ADDRESS(MATCH(B68&amp;"ES",'LM7 Non-ENG'!$A$1:$A$5000,0),1,,,"LM7 Non-ENG"),IF(IFERROR(VLOOKUP(B68&amp;"ES",'LM7 Non-ENG'!$A$1:$A$4999,1,FALSE),"ERROR")=B68&amp;"ES","Y","")),"")</f>
        <v/>
      </c>
      <c r="H68" s="29" t="str">
        <f>IFERROR(HYPERLINK("#"&amp;ADDRESS(MATCH(B68&amp;"PT",'LM7 Non-ENG'!$A$1:$A$5000,0),1,,,"LM7 Non-ENG"),IF(IFERROR(VLOOKUP(B68&amp;"PT",'LM7 Non-ENG'!$A$1:$A$5000,1,FALSE),"ERROR")=B68&amp;"PT","Y","")),"")</f>
        <v/>
      </c>
      <c r="I68" t="str">
        <f>IFERROR(VLOOKUP(B68,PN!$A:$C,3,FALSE),"")</f>
        <v>Active</v>
      </c>
      <c r="J68" s="3">
        <f>E68*IFERROR(VLOOKUP(B68,PLInter!$A:$D,3,FALSE),"")</f>
        <v>9334</v>
      </c>
      <c r="K68" s="66"/>
      <c r="L68" s="66"/>
      <c r="M68" s="66"/>
      <c r="N68" s="66"/>
      <c r="O68" s="66"/>
      <c r="P68" s="66"/>
      <c r="Q68" s="66"/>
      <c r="R68" s="66"/>
      <c r="S68" s="66"/>
    </row>
    <row r="69" spans="1:19" ht="18" customHeight="1">
      <c r="B69" t="str">
        <f>"00-1710-0000"</f>
        <v>00-1710-0000</v>
      </c>
      <c r="C69" t="str">
        <f>"Teach Pendant for USB/USB Pro Controllers"</f>
        <v>Teach Pendant for USB/USB Pro Controllers</v>
      </c>
      <c r="D69" s="4"/>
      <c r="E69" s="4">
        <v>1</v>
      </c>
      <c r="F69" s="4"/>
      <c r="G69" s="29" t="str">
        <f>IFERROR(HYPERLINK("#"&amp;ADDRESS(MATCH(B69&amp;"ES",'LM7 Non-ENG'!$A$1:$A$5000,0),1,,,"LM7 Non-ENG"),IF(IFERROR(VLOOKUP(B69&amp;"ES",'LM7 Non-ENG'!$A$1:$A$4999,1,FALSE),"ERROR")=B69&amp;"ES","Y","")),"")</f>
        <v/>
      </c>
      <c r="H69" s="29" t="str">
        <f>IFERROR(HYPERLINK("#"&amp;ADDRESS(MATCH(B69&amp;"PT",'LM7 Non-ENG'!$A$1:$A$5000,0),1,,,"LM7 Non-ENG"),IF(IFERROR(VLOOKUP(B69&amp;"PT",'LM7 Non-ENG'!$A$1:$A$5000,1,FALSE),"ERROR")=B69&amp;"PT","Y","")),"")</f>
        <v/>
      </c>
      <c r="I69" t="str">
        <f>IFERROR(VLOOKUP(B69,PN!$A:$C,3,FALSE),"")</f>
        <v>Active</v>
      </c>
      <c r="J69" s="3">
        <f>E69*IFERROR(VLOOKUP(B69,PLInter!$A:$D,3,FALSE),"")</f>
        <v>1680</v>
      </c>
      <c r="K69" s="66"/>
      <c r="L69" s="66"/>
      <c r="M69" s="66"/>
      <c r="N69" s="66"/>
      <c r="O69" s="66"/>
      <c r="P69" s="66"/>
      <c r="Q69" s="66"/>
      <c r="R69" s="66"/>
      <c r="S69" s="66"/>
    </row>
    <row r="70" spans="1:19" ht="18" customHeight="1">
      <c r="B70" t="str">
        <f>"00-1110-0000"</f>
        <v>00-1110-0000</v>
      </c>
      <c r="C70" t="str">
        <f>"Palletizing Rack (incl. Pins for creating Jigs)"</f>
        <v>Palletizing Rack (incl. Pins for creating Jigs)</v>
      </c>
      <c r="D70" s="4"/>
      <c r="E70" s="4">
        <v>1</v>
      </c>
      <c r="F70" s="4"/>
      <c r="G70" s="29" t="str">
        <f>IFERROR(HYPERLINK("#"&amp;ADDRESS(MATCH(B70&amp;"ES",'LM7 Non-ENG'!$A$1:$A$5000,0),1,,,"LM7 Non-ENG"),IF(IFERROR(VLOOKUP(B70&amp;"ES",'LM7 Non-ENG'!$A$1:$A$4999,1,FALSE),"ERROR")=B70&amp;"ES","Y","")),"")</f>
        <v/>
      </c>
      <c r="H70" s="29" t="str">
        <f>IFERROR(HYPERLINK("#"&amp;ADDRESS(MATCH(B70&amp;"PT",'LM7 Non-ENG'!$A$1:$A$5000,0),1,,,"LM7 Non-ENG"),IF(IFERROR(VLOOKUP(B70&amp;"PT",'LM7 Non-ENG'!$A$1:$A$5000,1,FALSE),"ERROR")=B70&amp;"PT","Y","")),"")</f>
        <v/>
      </c>
      <c r="I70" t="str">
        <f>IFERROR(VLOOKUP(B70,PN!$A:$C,3,FALSE),"")</f>
        <v>Active</v>
      </c>
      <c r="J70" s="3">
        <f>E70*IFERROR(VLOOKUP(B70,PLInter!$A:$D,3,FALSE),"")</f>
        <v>580</v>
      </c>
      <c r="K70" s="66"/>
      <c r="L70" s="66"/>
      <c r="M70" s="66"/>
      <c r="N70" s="66"/>
      <c r="O70" s="66"/>
      <c r="P70" s="66"/>
      <c r="Q70" s="66"/>
      <c r="R70" s="66"/>
      <c r="S70" s="66"/>
    </row>
    <row r="71" spans="1:19" ht="18" customHeight="1">
      <c r="B71" t="str">
        <f>"10-1007-4000"</f>
        <v>10-1007-4000</v>
      </c>
      <c r="C71" t="str">
        <f>"Gravity Parts Feeder (incl.microswitch sensor)"</f>
        <v>Gravity Parts Feeder (incl.microswitch sensor)</v>
      </c>
      <c r="D71" s="4"/>
      <c r="E71" s="4">
        <v>1</v>
      </c>
      <c r="F71" s="4"/>
      <c r="G71" s="29" t="str">
        <f>IFERROR(HYPERLINK("#"&amp;ADDRESS(MATCH(B71&amp;"ES",'LM7 Non-ENG'!$A$1:$A$5000,0),1,,,"LM7 Non-ENG"),IF(IFERROR(VLOOKUP(B71&amp;"ES",'LM7 Non-ENG'!$A$1:$A$4999,1,FALSE),"ERROR")=B71&amp;"ES","Y","")),"")</f>
        <v/>
      </c>
      <c r="H71" s="29" t="str">
        <f>IFERROR(HYPERLINK("#"&amp;ADDRESS(MATCH(B71&amp;"PT",'LM7 Non-ENG'!$A$1:$A$5000,0),1,,,"LM7 Non-ENG"),IF(IFERROR(VLOOKUP(B71&amp;"PT",'LM7 Non-ENG'!$A$1:$A$5000,1,FALSE),"ERROR")=B71&amp;"PT","Y","")),"")</f>
        <v/>
      </c>
      <c r="I71" t="str">
        <f>IFERROR(VLOOKUP(B71,PN!$A:$C,3,FALSE),"")</f>
        <v>Active</v>
      </c>
      <c r="J71" s="3">
        <f>E71*IFERROR(VLOOKUP(B71,PLInter!$A:$D,3,FALSE),"")</f>
        <v>494</v>
      </c>
      <c r="K71" s="66"/>
      <c r="L71" s="66"/>
      <c r="M71" s="66"/>
      <c r="N71" s="66"/>
      <c r="O71" s="66"/>
      <c r="P71" s="66"/>
      <c r="Q71" s="66"/>
      <c r="R71" s="66"/>
      <c r="S71" s="66"/>
    </row>
    <row r="72" spans="1:19" ht="18" customHeight="1">
      <c r="B72" s="1" t="str">
        <f>"63-9248-0000"</f>
        <v>63-9248-0000</v>
      </c>
      <c r="C72" s="1" t="str">
        <f>"Robotic Software for Controller USB Pro"</f>
        <v>Robotic Software for Controller USB Pro</v>
      </c>
      <c r="D72" s="6" t="s">
        <v>0</v>
      </c>
      <c r="E72" s="6">
        <v>1</v>
      </c>
      <c r="F72" s="6"/>
      <c r="G72" s="29" t="str">
        <f>IFERROR(HYPERLINK("#"&amp;ADDRESS(MATCH(B72&amp;"ES",'LM7 Non-ENG'!$A$1:$A$5000,0),1,,,"LM7 Non-ENG"),IF(IFERROR(VLOOKUP(B72&amp;"ES",'LM7 Non-ENG'!$A$1:$A$4999,1,FALSE),"ERROR")=B72&amp;"ES","Y","")),"")</f>
        <v/>
      </c>
      <c r="H72" s="29" t="str">
        <f>IFERROR(HYPERLINK("#"&amp;ADDRESS(MATCH(B72&amp;"PT",'LM7 Non-ENG'!$A$1:$A$5000,0),1,,,"LM7 Non-ENG"),IF(IFERROR(VLOOKUP(B72&amp;"PT",'LM7 Non-ENG'!$A$1:$A$5000,1,FALSE),"ERROR")=B72&amp;"PT","Y","")),"")</f>
        <v/>
      </c>
      <c r="I72" t="str">
        <f>IFERROR(VLOOKUP(B72,PN!$A:$C,3,FALSE),"")</f>
        <v>Active</v>
      </c>
      <c r="J72" s="3">
        <f>E72*IFERROR(VLOOKUP(B72,PLInter!$A:$D,3,FALSE),"")</f>
        <v>600</v>
      </c>
      <c r="K72" s="66"/>
      <c r="L72" s="66"/>
      <c r="M72" s="66"/>
      <c r="N72" s="66"/>
      <c r="O72" s="66"/>
      <c r="P72" s="66"/>
      <c r="Q72" s="66"/>
      <c r="R72" s="66"/>
      <c r="S72" s="66"/>
    </row>
    <row r="73" spans="1:19" ht="18" customHeight="1">
      <c r="B73" t="str">
        <f>"63-7000-1800"</f>
        <v>63-7000-1800</v>
      </c>
      <c r="C73" t="str">
        <f>"License Key for RoboCell/SCORBASE USB Pro"</f>
        <v>License Key for RoboCell/SCORBASE USB Pro</v>
      </c>
      <c r="D73" s="4"/>
      <c r="E73" s="4">
        <v>1</v>
      </c>
      <c r="F73" s="4"/>
      <c r="G73" s="29" t="str">
        <f>IFERROR(HYPERLINK("#"&amp;ADDRESS(MATCH(B73&amp;"ES",'LM7 Non-ENG'!$A$1:$A$5000,0),1,,,"LM7 Non-ENG"),IF(IFERROR(VLOOKUP(B73&amp;"ES",'LM7 Non-ENG'!$A$1:$A$4999,1,FALSE),"ERROR")=B73&amp;"ES","Y","")),"")</f>
        <v/>
      </c>
      <c r="H73" s="29" t="str">
        <f>IFERROR(HYPERLINK("#"&amp;ADDRESS(MATCH(B73&amp;"PT",'LM7 Non-ENG'!$A$1:$A$5000,0),1,,,"LM7 Non-ENG"),IF(IFERROR(VLOOKUP(B73&amp;"PT",'LM7 Non-ENG'!$A$1:$A$5000,1,FALSE),"ERROR")=B73&amp;"PT","Y","")),"")</f>
        <v/>
      </c>
      <c r="I73" t="str">
        <f>IFERROR(VLOOKUP(B73,PN!$A:$C,3,FALSE),"")</f>
        <v>Active</v>
      </c>
      <c r="J73" s="3">
        <f>E73*IFERROR(VLOOKUP(B73,PLInter!$A:$D,3,FALSE),"")</f>
        <v>500</v>
      </c>
      <c r="K73" s="66"/>
      <c r="L73" s="66"/>
      <c r="M73" s="66"/>
      <c r="N73" s="66"/>
      <c r="O73" s="66"/>
      <c r="P73" s="66"/>
      <c r="Q73" s="66"/>
      <c r="R73" s="66"/>
      <c r="S73" s="66"/>
    </row>
    <row r="74" spans="1:19" ht="18" customHeight="1">
      <c r="G74" s="29" t="str">
        <f>IFERROR(HYPERLINK("#"&amp;ADDRESS(MATCH(B74&amp;"ES",'LM7 Non-ENG'!$A$1:$A$5000,0),1,,,"LM7 Non-ENG"),IF(IFERROR(VLOOKUP(B74&amp;"ES",'LM7 Non-ENG'!$A$1:$A$4999,1,FALSE),"ERROR")=B74&amp;"ES","Y","")),"")</f>
        <v/>
      </c>
      <c r="H74" s="29" t="str">
        <f>IFERROR(HYPERLINK("#"&amp;ADDRESS(MATCH(B74&amp;"PT",'LM7 Non-ENG'!$A$1:$A$5000,0),1,,,"LM7 Non-ENG"),IF(IFERROR(VLOOKUP(B74&amp;"PT",'LM7 Non-ENG'!$A$1:$A$5000,1,FALSE),"ERROR")=B74&amp;"PT","Y","")),"")</f>
        <v/>
      </c>
    </row>
    <row r="75" spans="1:19" s="7" customFormat="1" ht="18" customHeight="1">
      <c r="A75" s="13" t="s">
        <v>207</v>
      </c>
      <c r="B75" s="13"/>
      <c r="C75" s="13" t="s">
        <v>208</v>
      </c>
      <c r="D75" s="14"/>
      <c r="E75" s="14"/>
      <c r="F75" s="14"/>
      <c r="G75" s="14"/>
      <c r="H75" s="14"/>
      <c r="I75" s="14"/>
      <c r="J75" s="14">
        <f>SUMIFS(J76:J88,D76:D88,"&lt;&gt;Y",F76:F88,"&lt;&gt;Y",I76:I88,"&lt;&gt;Inactive",I76:I88,"&lt;&gt;ECO+NFS")</f>
        <v>34896</v>
      </c>
      <c r="K75" s="14"/>
      <c r="L75" s="14"/>
      <c r="M75" s="14"/>
      <c r="N75" s="14"/>
      <c r="O75" s="14"/>
      <c r="P75" s="14"/>
      <c r="Q75" s="14"/>
      <c r="R75" s="14"/>
      <c r="S75" s="14"/>
    </row>
    <row r="76" spans="1:19" ht="18" customHeight="1">
      <c r="A76" s="17" t="e">
        <f>HYPERLINK("#"&amp;ADDRESS(MATCH(A75,Robotics!$A$1:$A$5010,0),1,,,"Robotics"),"Back to Price List")</f>
        <v>#N/A</v>
      </c>
      <c r="B76" t="str">
        <f>"00-0430-0000"</f>
        <v>00-0430-0000</v>
      </c>
      <c r="C76" t="str">
        <f>"SCORBOT-ER 9Pro (incl. USB-Pro Controller)"</f>
        <v>SCORBOT-ER 9Pro (incl. USB-Pro Controller)</v>
      </c>
      <c r="D76" s="4"/>
      <c r="E76" s="4">
        <v>1</v>
      </c>
      <c r="F76" s="4"/>
      <c r="G76" s="29" t="str">
        <f>IFERROR(HYPERLINK("#"&amp;ADDRESS(MATCH(B76&amp;"ES",'LM7 Non-ENG'!$A$1:$A$5000,0),1,,,"LM7 Non-ENG"),IF(IFERROR(VLOOKUP(B76&amp;"ES",'LM7 Non-ENG'!$A$1:$A$4999,1,FALSE),"ERROR")=B76&amp;"ES","Y","")),"")</f>
        <v/>
      </c>
      <c r="H76" s="29" t="str">
        <f>IFERROR(HYPERLINK("#"&amp;ADDRESS(MATCH(B76&amp;"PT",'LM7 Non-ENG'!$A$1:$A$5000,0),1,,,"LM7 Non-ENG"),IF(IFERROR(VLOOKUP(B76&amp;"PT",'LM7 Non-ENG'!$A$1:$A$5000,1,FALSE),"ERROR")=B76&amp;"PT","Y","")),"")</f>
        <v/>
      </c>
      <c r="I76" t="str">
        <f>IFERROR(VLOOKUP(B76,PN!$A:$C,3,FALSE),"")</f>
        <v>Active</v>
      </c>
      <c r="J76" s="3">
        <f>E76*IFERROR(VLOOKUP(B76,PLInter!$A:$D,3,FALSE),"")</f>
        <v>24000</v>
      </c>
      <c r="K76" s="68" t="s">
        <v>209</v>
      </c>
      <c r="L76" s="66"/>
      <c r="M76" s="66"/>
      <c r="N76" s="66"/>
      <c r="O76" s="66"/>
      <c r="P76" s="66"/>
      <c r="Q76" s="66"/>
      <c r="R76" s="66"/>
      <c r="S76" s="66"/>
    </row>
    <row r="77" spans="1:19" ht="18" customHeight="1">
      <c r="B77" t="str">
        <f>"00-0633-0000"</f>
        <v>00-0633-0000</v>
      </c>
      <c r="C77" t="str">
        <f>"Pneumatic Gripper for ER 9Pro"</f>
        <v>Pneumatic Gripper for ER 9Pro</v>
      </c>
      <c r="D77" s="4"/>
      <c r="E77" s="4">
        <v>1</v>
      </c>
      <c r="F77" s="4"/>
      <c r="G77" s="29" t="str">
        <f>IFERROR(HYPERLINK("#"&amp;ADDRESS(MATCH(B77&amp;"ES",'LM7 Non-ENG'!$A$1:$A$5000,0),1,,,"LM7 Non-ENG"),IF(IFERROR(VLOOKUP(B77&amp;"ES",'LM7 Non-ENG'!$A$1:$A$4999,1,FALSE),"ERROR")=B77&amp;"ES","Y","")),"")</f>
        <v/>
      </c>
      <c r="H77" s="29" t="str">
        <f>IFERROR(HYPERLINK("#"&amp;ADDRESS(MATCH(B77&amp;"PT",'LM7 Non-ENG'!$A$1:$A$5000,0),1,,,"LM7 Non-ENG"),IF(IFERROR(VLOOKUP(B77&amp;"PT",'LM7 Non-ENG'!$A$1:$A$5000,1,FALSE),"ERROR")=B77&amp;"PT","Y","")),"")</f>
        <v/>
      </c>
      <c r="I77" t="str">
        <f>IFERROR(VLOOKUP(B77,PN!$A:$C,3,FALSE),"")</f>
        <v>Active</v>
      </c>
      <c r="J77" s="3">
        <f>E77*IFERROR(VLOOKUP(B77,PLInter!$A:$D,3,FALSE),"")</f>
        <v>2134</v>
      </c>
      <c r="K77" s="66"/>
      <c r="L77" s="66"/>
      <c r="M77" s="66"/>
      <c r="N77" s="66"/>
      <c r="O77" s="66"/>
      <c r="P77" s="66"/>
      <c r="Q77" s="66"/>
      <c r="R77" s="66"/>
      <c r="S77" s="66"/>
    </row>
    <row r="78" spans="1:19" ht="18" customHeight="1">
      <c r="B78" s="2" t="str">
        <f>"00-0613-0000"</f>
        <v>00-0613-0000</v>
      </c>
      <c r="C78" s="2" t="str">
        <f>"DC Servo Gripper (ER 9Pro, ER 14Pro and ER 7Pro)"</f>
        <v>DC Servo Gripper (ER 9Pro, ER 14Pro and ER 7Pro)</v>
      </c>
      <c r="D78" s="5"/>
      <c r="E78" s="5">
        <v>1</v>
      </c>
      <c r="F78" s="5" t="str">
        <f>"Y"</f>
        <v>Y</v>
      </c>
      <c r="G78" s="29" t="str">
        <f>IFERROR(HYPERLINK("#"&amp;ADDRESS(MATCH(B78&amp;"ES",'LM7 Non-ENG'!$A$1:$A$5000,0),1,,,"LM7 Non-ENG"),IF(IFERROR(VLOOKUP(B78&amp;"ES",'LM7 Non-ENG'!$A$1:$A$4999,1,FALSE),"ERROR")=B78&amp;"ES","Y","")),"")</f>
        <v/>
      </c>
      <c r="H78" s="29" t="str">
        <f>IFERROR(HYPERLINK("#"&amp;ADDRESS(MATCH(B78&amp;"PT",'LM7 Non-ENG'!$A$1:$A$5000,0),1,,,"LM7 Non-ENG"),IF(IFERROR(VLOOKUP(B78&amp;"PT",'LM7 Non-ENG'!$A$1:$A$5000,1,FALSE),"ERROR")=B78&amp;"PT","Y","")),"")</f>
        <v/>
      </c>
      <c r="I78" t="str">
        <f>IFERROR(VLOOKUP(B78,PN!$A:$C,3,FALSE),"")</f>
        <v>Active</v>
      </c>
      <c r="J78" s="3">
        <f>E78*IFERROR(VLOOKUP(B78,PLInter!$A:$D,3,FALSE),"")</f>
        <v>1700</v>
      </c>
      <c r="K78" s="66"/>
      <c r="L78" s="66"/>
      <c r="M78" s="66"/>
      <c r="N78" s="66"/>
      <c r="O78" s="66"/>
      <c r="P78" s="66"/>
      <c r="Q78" s="66"/>
      <c r="R78" s="66"/>
      <c r="S78" s="66"/>
    </row>
    <row r="79" spans="1:19" ht="18" customHeight="1">
      <c r="B79" s="2" t="str">
        <f>"00-0640-0000"</f>
        <v>00-0640-0000</v>
      </c>
      <c r="C79" s="2" t="str">
        <f>"Automatic Tool Changer for SCORBOT-ER 9Pro"</f>
        <v>Automatic Tool Changer for SCORBOT-ER 9Pro</v>
      </c>
      <c r="D79" s="5"/>
      <c r="E79" s="5">
        <v>1</v>
      </c>
      <c r="F79" s="5" t="str">
        <f>"Y"</f>
        <v>Y</v>
      </c>
      <c r="G79" s="29" t="str">
        <f>IFERROR(HYPERLINK("#"&amp;ADDRESS(MATCH(B79&amp;"ES",'LM7 Non-ENG'!$A$1:$A$5000,0),1,,,"LM7 Non-ENG"),IF(IFERROR(VLOOKUP(B79&amp;"ES",'LM7 Non-ENG'!$A$1:$A$4999,1,FALSE),"ERROR")=B79&amp;"ES","Y","")),"")</f>
        <v/>
      </c>
      <c r="H79" s="29" t="str">
        <f>IFERROR(HYPERLINK("#"&amp;ADDRESS(MATCH(B79&amp;"PT",'LM7 Non-ENG'!$A$1:$A$5000,0),1,,,"LM7 Non-ENG"),IF(IFERROR(VLOOKUP(B79&amp;"PT",'LM7 Non-ENG'!$A$1:$A$5000,1,FALSE),"ERROR")=B79&amp;"PT","Y","")),"")</f>
        <v/>
      </c>
      <c r="I79" t="str">
        <f>IFERROR(VLOOKUP(B79,PN!$A:$C,3,FALSE),"")</f>
        <v>Active</v>
      </c>
      <c r="J79" s="3">
        <f>E79*IFERROR(VLOOKUP(B79,PLInter!$A:$D,3,FALSE),"")</f>
        <v>9334</v>
      </c>
      <c r="K79" s="66"/>
      <c r="L79" s="66"/>
      <c r="M79" s="66"/>
      <c r="N79" s="66"/>
      <c r="O79" s="66"/>
      <c r="P79" s="66"/>
      <c r="Q79" s="66"/>
      <c r="R79" s="66"/>
      <c r="S79" s="66"/>
    </row>
    <row r="80" spans="1:19" ht="18" customHeight="1">
      <c r="B80" t="str">
        <f>"00-1710-0000"</f>
        <v>00-1710-0000</v>
      </c>
      <c r="C80" t="str">
        <f>"Teach Pendant for USB/USB Pro Controllers"</f>
        <v>Teach Pendant for USB/USB Pro Controllers</v>
      </c>
      <c r="D80" s="4"/>
      <c r="E80" s="4">
        <v>1</v>
      </c>
      <c r="F80" s="4"/>
      <c r="G80" s="29" t="str">
        <f>IFERROR(HYPERLINK("#"&amp;ADDRESS(MATCH(B80&amp;"ES",'LM7 Non-ENG'!$A$1:$A$5000,0),1,,,"LM7 Non-ENG"),IF(IFERROR(VLOOKUP(B80&amp;"ES",'LM7 Non-ENG'!$A$1:$A$4999,1,FALSE),"ERROR")=B80&amp;"ES","Y","")),"")</f>
        <v/>
      </c>
      <c r="H80" s="29" t="str">
        <f>IFERROR(HYPERLINK("#"&amp;ADDRESS(MATCH(B80&amp;"PT",'LM7 Non-ENG'!$A$1:$A$5000,0),1,,,"LM7 Non-ENG"),IF(IFERROR(VLOOKUP(B80&amp;"PT",'LM7 Non-ENG'!$A$1:$A$5000,1,FALSE),"ERROR")=B80&amp;"PT","Y","")),"")</f>
        <v/>
      </c>
      <c r="I80" t="str">
        <f>IFERROR(VLOOKUP(B80,PN!$A:$C,3,FALSE),"")</f>
        <v>Active</v>
      </c>
      <c r="J80" s="3">
        <f>E80*IFERROR(VLOOKUP(B80,PLInter!$A:$D,3,FALSE),"")</f>
        <v>1680</v>
      </c>
      <c r="K80" s="66"/>
      <c r="L80" s="66"/>
      <c r="M80" s="66"/>
      <c r="N80" s="66"/>
      <c r="O80" s="66"/>
      <c r="P80" s="66"/>
      <c r="Q80" s="66"/>
      <c r="R80" s="66"/>
      <c r="S80" s="66"/>
    </row>
    <row r="81" spans="1:19" ht="18" customHeight="1">
      <c r="B81" t="str">
        <f>"00-1110-0000"</f>
        <v>00-1110-0000</v>
      </c>
      <c r="C81" t="str">
        <f>"Palletizing Rack (incl. Pins for creating Jigs)"</f>
        <v>Palletizing Rack (incl. Pins for creating Jigs)</v>
      </c>
      <c r="D81" s="4"/>
      <c r="E81" s="4">
        <v>1</v>
      </c>
      <c r="F81" s="4"/>
      <c r="G81" s="29" t="str">
        <f>IFERROR(HYPERLINK("#"&amp;ADDRESS(MATCH(B81&amp;"ES",'LM7 Non-ENG'!$A$1:$A$5000,0),1,,,"LM7 Non-ENG"),IF(IFERROR(VLOOKUP(B81&amp;"ES",'LM7 Non-ENG'!$A$1:$A$4999,1,FALSE),"ERROR")=B81&amp;"ES","Y","")),"")</f>
        <v/>
      </c>
      <c r="H81" s="29" t="str">
        <f>IFERROR(HYPERLINK("#"&amp;ADDRESS(MATCH(B81&amp;"PT",'LM7 Non-ENG'!$A$1:$A$5000,0),1,,,"LM7 Non-ENG"),IF(IFERROR(VLOOKUP(B81&amp;"PT",'LM7 Non-ENG'!$A$1:$A$5000,1,FALSE),"ERROR")=B81&amp;"PT","Y","")),"")</f>
        <v/>
      </c>
      <c r="I81" t="str">
        <f>IFERROR(VLOOKUP(B81,PN!$A:$C,3,FALSE),"")</f>
        <v>Active</v>
      </c>
      <c r="J81" s="3">
        <f>E81*IFERROR(VLOOKUP(B81,PLInter!$A:$D,3,FALSE),"")</f>
        <v>580</v>
      </c>
      <c r="K81" s="66"/>
      <c r="L81" s="66"/>
      <c r="M81" s="66"/>
      <c r="N81" s="66"/>
      <c r="O81" s="66"/>
      <c r="P81" s="66"/>
      <c r="Q81" s="66"/>
      <c r="R81" s="66"/>
      <c r="S81" s="66"/>
    </row>
    <row r="82" spans="1:19" ht="18" customHeight="1">
      <c r="B82" t="str">
        <f>"10-1007-4000"</f>
        <v>10-1007-4000</v>
      </c>
      <c r="C82" t="str">
        <f>"Gravity Parts Feeder (incl.microswitch sensor)"</f>
        <v>Gravity Parts Feeder (incl.microswitch sensor)</v>
      </c>
      <c r="D82" s="4"/>
      <c r="E82" s="4">
        <v>1</v>
      </c>
      <c r="F82" s="4"/>
      <c r="G82" s="29" t="str">
        <f>IFERROR(HYPERLINK("#"&amp;ADDRESS(MATCH(B82&amp;"ES",'LM7 Non-ENG'!$A$1:$A$5000,0),1,,,"LM7 Non-ENG"),IF(IFERROR(VLOOKUP(B82&amp;"ES",'LM7 Non-ENG'!$A$1:$A$4999,1,FALSE),"ERROR")=B82&amp;"ES","Y","")),"")</f>
        <v/>
      </c>
      <c r="H82" s="29" t="str">
        <f>IFERROR(HYPERLINK("#"&amp;ADDRESS(MATCH(B82&amp;"PT",'LM7 Non-ENG'!$A$1:$A$5000,0),1,,,"LM7 Non-ENG"),IF(IFERROR(VLOOKUP(B82&amp;"PT",'LM7 Non-ENG'!$A$1:$A$5000,1,FALSE),"ERROR")=B82&amp;"PT","Y","")),"")</f>
        <v/>
      </c>
      <c r="I82" t="str">
        <f>IFERROR(VLOOKUP(B82,PN!$A:$C,3,FALSE),"")</f>
        <v>Active</v>
      </c>
      <c r="J82" s="3">
        <f>E82*IFERROR(VLOOKUP(B82,PLInter!$A:$D,3,FALSE),"")</f>
        <v>494</v>
      </c>
      <c r="K82" s="66"/>
      <c r="L82" s="66"/>
      <c r="M82" s="66"/>
      <c r="N82" s="66"/>
      <c r="O82" s="66"/>
      <c r="P82" s="66"/>
      <c r="Q82" s="66"/>
      <c r="R82" s="66"/>
      <c r="S82" s="66"/>
    </row>
    <row r="83" spans="1:19" ht="18" customHeight="1">
      <c r="B83" t="str">
        <f>"00-1010-0000"</f>
        <v>00-1010-0000</v>
      </c>
      <c r="C83" t="str">
        <f>"Conveyor Belt (24V)"</f>
        <v>Conveyor Belt (24V)</v>
      </c>
      <c r="D83" s="4"/>
      <c r="E83" s="4">
        <v>1</v>
      </c>
      <c r="F83" s="4"/>
      <c r="G83" s="29" t="str">
        <f>IFERROR(HYPERLINK("#"&amp;ADDRESS(MATCH(B83&amp;"ES",'LM7 Non-ENG'!$A$1:$A$5000,0),1,,,"LM7 Non-ENG"),IF(IFERROR(VLOOKUP(B83&amp;"ES",'LM7 Non-ENG'!$A$1:$A$4999,1,FALSE),"ERROR")=B83&amp;"ES","Y","")),"")</f>
        <v/>
      </c>
      <c r="H83" s="29" t="str">
        <f>IFERROR(HYPERLINK("#"&amp;ADDRESS(MATCH(B83&amp;"PT",'LM7 Non-ENG'!$A$1:$A$5000,0),1,,,"LM7 Non-ENG"),IF(IFERROR(VLOOKUP(B83&amp;"PT",'LM7 Non-ENG'!$A$1:$A$5000,1,FALSE),"ERROR")=B83&amp;"PT","Y","")),"")</f>
        <v/>
      </c>
      <c r="I83" t="str">
        <f>IFERROR(VLOOKUP(B83,PN!$A:$C,3,FALSE),"")</f>
        <v>Active</v>
      </c>
      <c r="J83" s="3">
        <f>E83*IFERROR(VLOOKUP(B83,PLInter!$A:$D,3,FALSE),"")</f>
        <v>1986</v>
      </c>
      <c r="K83" s="66"/>
      <c r="L83" s="66"/>
      <c r="M83" s="66"/>
      <c r="N83" s="66"/>
      <c r="O83" s="66"/>
      <c r="P83" s="66"/>
      <c r="Q83" s="66"/>
      <c r="R83" s="66"/>
      <c r="S83" s="66"/>
    </row>
    <row r="84" spans="1:19" ht="18" customHeight="1">
      <c r="B84" t="str">
        <f>"00-1203-0000"</f>
        <v>00-1203-0000</v>
      </c>
      <c r="C84" t="str">
        <f>"Photoelectric Sensor for Belt Conveyor"</f>
        <v>Photoelectric Sensor for Belt Conveyor</v>
      </c>
      <c r="D84" s="4"/>
      <c r="E84" s="4">
        <v>1</v>
      </c>
      <c r="F84" s="4"/>
      <c r="G84" s="29" t="str">
        <f>IFERROR(HYPERLINK("#"&amp;ADDRESS(MATCH(B84&amp;"ES",'LM7 Non-ENG'!$A$1:$A$5000,0),1,,,"LM7 Non-ENG"),IF(IFERROR(VLOOKUP(B84&amp;"ES",'LM7 Non-ENG'!$A$1:$A$4999,1,FALSE),"ERROR")=B84&amp;"ES","Y","")),"")</f>
        <v/>
      </c>
      <c r="H84" s="29" t="str">
        <f>IFERROR(HYPERLINK("#"&amp;ADDRESS(MATCH(B84&amp;"PT",'LM7 Non-ENG'!$A$1:$A$5000,0),1,,,"LM7 Non-ENG"),IF(IFERROR(VLOOKUP(B84&amp;"PT",'LM7 Non-ENG'!$A$1:$A$5000,1,FALSE),"ERROR")=B84&amp;"PT","Y","")),"")</f>
        <v/>
      </c>
      <c r="I84" t="str">
        <f>IFERROR(VLOOKUP(B84,PN!$A:$C,3,FALSE),"")</f>
        <v>Active</v>
      </c>
      <c r="J84" s="3">
        <f>E84*IFERROR(VLOOKUP(B84,PLInter!$A:$D,3,FALSE),"")</f>
        <v>295</v>
      </c>
      <c r="K84" s="66"/>
      <c r="L84" s="66"/>
      <c r="M84" s="66"/>
      <c r="N84" s="66"/>
      <c r="O84" s="66"/>
      <c r="P84" s="66"/>
      <c r="Q84" s="66"/>
      <c r="R84" s="66"/>
      <c r="S84" s="66"/>
    </row>
    <row r="85" spans="1:19" ht="18" customHeight="1">
      <c r="B85" t="str">
        <f>"00-1249-0000"</f>
        <v>00-1249-0000</v>
      </c>
      <c r="C85" t="str">
        <f>"Workbench 1500x800mm (slotted aluminum top)"</f>
        <v>Workbench 1500x800mm (slotted aluminum top)</v>
      </c>
      <c r="D85" s="4"/>
      <c r="E85" s="4">
        <v>1</v>
      </c>
      <c r="F85" s="4"/>
      <c r="G85" s="29" t="str">
        <f>IFERROR(HYPERLINK("#"&amp;ADDRESS(MATCH(B85&amp;"ES",'LM7 Non-ENG'!$A$1:$A$5000,0),1,,,"LM7 Non-ENG"),IF(IFERROR(VLOOKUP(B85&amp;"ES",'LM7 Non-ENG'!$A$1:$A$4999,1,FALSE),"ERROR")=B85&amp;"ES","Y","")),"")</f>
        <v/>
      </c>
      <c r="H85" s="29" t="str">
        <f>IFERROR(HYPERLINK("#"&amp;ADDRESS(MATCH(B85&amp;"PT",'LM7 Non-ENG'!$A$1:$A$5000,0),1,,,"LM7 Non-ENG"),IF(IFERROR(VLOOKUP(B85&amp;"PT",'LM7 Non-ENG'!$A$1:$A$5000,1,FALSE),"ERROR")=B85&amp;"PT","Y","")),"")</f>
        <v/>
      </c>
      <c r="I85" t="str">
        <f>IFERROR(VLOOKUP(B85,PN!$A:$C,3,FALSE),"")</f>
        <v>Active</v>
      </c>
      <c r="J85" s="3">
        <f>E85*IFERROR(VLOOKUP(B85,PLInter!$A:$D,3,FALSE),"")</f>
        <v>2760</v>
      </c>
      <c r="K85" s="66"/>
      <c r="L85" s="66"/>
      <c r="M85" s="66"/>
      <c r="N85" s="66"/>
      <c r="O85" s="66"/>
      <c r="P85" s="66"/>
      <c r="Q85" s="66"/>
      <c r="R85" s="66"/>
      <c r="S85" s="66"/>
    </row>
    <row r="86" spans="1:19" ht="18" customHeight="1">
      <c r="B86" t="str">
        <f>"00-1241-0000"</f>
        <v>00-1241-0000</v>
      </c>
      <c r="C86" t="str">
        <f>"Adapter Mounting Plate for ER9/14Pro &amp; HP3"</f>
        <v>Adapter Mounting Plate for ER9/14Pro &amp; HP3</v>
      </c>
      <c r="D86" s="4"/>
      <c r="E86" s="4">
        <v>1</v>
      </c>
      <c r="F86" s="4"/>
      <c r="G86" s="29" t="str">
        <f>IFERROR(HYPERLINK("#"&amp;ADDRESS(MATCH(B86&amp;"ES",'LM7 Non-ENG'!$A$1:$A$5000,0),1,,,"LM7 Non-ENG"),IF(IFERROR(VLOOKUP(B86&amp;"ES",'LM7 Non-ENG'!$A$1:$A$4999,1,FALSE),"ERROR")=B86&amp;"ES","Y","")),"")</f>
        <v/>
      </c>
      <c r="H86" s="29" t="str">
        <f>IFERROR(HYPERLINK("#"&amp;ADDRESS(MATCH(B86&amp;"PT",'LM7 Non-ENG'!$A$1:$A$5000,0),1,,,"LM7 Non-ENG"),IF(IFERROR(VLOOKUP(B86&amp;"PT",'LM7 Non-ENG'!$A$1:$A$5000,1,FALSE),"ERROR")=B86&amp;"PT","Y","")),"")</f>
        <v/>
      </c>
      <c r="I86" t="str">
        <f>IFERROR(VLOOKUP(B86,PN!$A:$C,3,FALSE),"")</f>
        <v>Active</v>
      </c>
      <c r="J86" s="3">
        <f>E86*IFERROR(VLOOKUP(B86,PLInter!$A:$D,3,FALSE),"")</f>
        <v>467</v>
      </c>
      <c r="K86" s="66"/>
      <c r="L86" s="66"/>
      <c r="M86" s="66"/>
      <c r="N86" s="66"/>
      <c r="O86" s="66"/>
      <c r="P86" s="66"/>
      <c r="Q86" s="66"/>
      <c r="R86" s="66"/>
      <c r="S86" s="66"/>
    </row>
    <row r="87" spans="1:19" ht="18" customHeight="1">
      <c r="B87" s="1" t="str">
        <f>"63-9248-0000"</f>
        <v>63-9248-0000</v>
      </c>
      <c r="C87" s="1" t="str">
        <f>"Robotic Software for Controller USB Pro"</f>
        <v>Robotic Software for Controller USB Pro</v>
      </c>
      <c r="D87" s="6" t="s">
        <v>0</v>
      </c>
      <c r="E87" s="6">
        <v>1</v>
      </c>
      <c r="F87" s="6"/>
      <c r="G87" s="29" t="str">
        <f>IFERROR(HYPERLINK("#"&amp;ADDRESS(MATCH(B87&amp;"ES",'LM7 Non-ENG'!$A$1:$A$5000,0),1,,,"LM7 Non-ENG"),IF(IFERROR(VLOOKUP(B87&amp;"ES",'LM7 Non-ENG'!$A$1:$A$4999,1,FALSE),"ERROR")=B87&amp;"ES","Y","")),"")</f>
        <v/>
      </c>
      <c r="H87" s="29" t="str">
        <f>IFERROR(HYPERLINK("#"&amp;ADDRESS(MATCH(B87&amp;"PT",'LM7 Non-ENG'!$A$1:$A$5000,0),1,,,"LM7 Non-ENG"),IF(IFERROR(VLOOKUP(B87&amp;"PT",'LM7 Non-ENG'!$A$1:$A$5000,1,FALSE),"ERROR")=B87&amp;"PT","Y","")),"")</f>
        <v/>
      </c>
      <c r="I87" t="str">
        <f>IFERROR(VLOOKUP(B87,PN!$A:$C,3,FALSE),"")</f>
        <v>Active</v>
      </c>
      <c r="J87" s="3">
        <f>E87*IFERROR(VLOOKUP(B87,PLInter!$A:$D,3,FALSE),"")</f>
        <v>600</v>
      </c>
      <c r="K87" s="66"/>
      <c r="L87" s="66"/>
      <c r="M87" s="66"/>
      <c r="N87" s="66"/>
      <c r="O87" s="66"/>
      <c r="P87" s="66"/>
      <c r="Q87" s="66"/>
      <c r="R87" s="66"/>
      <c r="S87" s="66"/>
    </row>
    <row r="88" spans="1:19" ht="18" customHeight="1">
      <c r="B88" t="str">
        <f>"63-7000-1800"</f>
        <v>63-7000-1800</v>
      </c>
      <c r="C88" t="str">
        <f>"License Key for RoboCell/SCORBASE USB Pro"</f>
        <v>License Key for RoboCell/SCORBASE USB Pro</v>
      </c>
      <c r="D88" s="4"/>
      <c r="E88" s="4">
        <v>1</v>
      </c>
      <c r="F88" s="4"/>
      <c r="G88" s="29" t="str">
        <f>IFERROR(HYPERLINK("#"&amp;ADDRESS(MATCH(B88&amp;"ES",'LM7 Non-ENG'!$A$1:$A$5000,0),1,,,"LM7 Non-ENG"),IF(IFERROR(VLOOKUP(B88&amp;"ES",'LM7 Non-ENG'!$A$1:$A$4999,1,FALSE),"ERROR")=B88&amp;"ES","Y","")),"")</f>
        <v/>
      </c>
      <c r="H88" s="29" t="str">
        <f>IFERROR(HYPERLINK("#"&amp;ADDRESS(MATCH(B88&amp;"PT",'LM7 Non-ENG'!$A$1:$A$5000,0),1,,,"LM7 Non-ENG"),IF(IFERROR(VLOOKUP(B88&amp;"PT",'LM7 Non-ENG'!$A$1:$A$5000,1,FALSE),"ERROR")=B88&amp;"PT","Y","")),"")</f>
        <v/>
      </c>
      <c r="I88" t="str">
        <f>IFERROR(VLOOKUP(B88,PN!$A:$C,3,FALSE),"")</f>
        <v>Active</v>
      </c>
      <c r="J88" s="3">
        <f>E88*IFERROR(VLOOKUP(B88,PLInter!$A:$D,3,FALSE),"")</f>
        <v>500</v>
      </c>
      <c r="K88" s="66"/>
      <c r="L88" s="66"/>
      <c r="M88" s="66"/>
      <c r="N88" s="66"/>
      <c r="O88" s="66"/>
      <c r="P88" s="66"/>
      <c r="Q88" s="66"/>
      <c r="R88" s="66"/>
      <c r="S88" s="66"/>
    </row>
    <row r="89" spans="1:19" ht="18" customHeight="1">
      <c r="G89" s="29" t="str">
        <f>IFERROR(HYPERLINK("#"&amp;ADDRESS(MATCH(B89&amp;"ES",'LM7 Non-ENG'!$A$1:$A$5000,0),1,,,"LM7 Non-ENG"),IF(IFERROR(VLOOKUP(B89&amp;"ES",'LM7 Non-ENG'!$A$1:$A$4999,1,FALSE),"ERROR")=B89&amp;"ES","Y","")),"")</f>
        <v/>
      </c>
      <c r="H89" s="29" t="str">
        <f>IFERROR(HYPERLINK("#"&amp;ADDRESS(MATCH(B89&amp;"PT",'LM7 Non-ENG'!$A$1:$A$5000,0),1,,,"LM7 Non-ENG"),IF(IFERROR(VLOOKUP(B89&amp;"PT",'LM7 Non-ENG'!$A$1:$A$5000,1,FALSE),"ERROR")=B89&amp;"PT","Y","")),"")</f>
        <v/>
      </c>
    </row>
    <row r="90" spans="1:19" s="7" customFormat="1" ht="18" customHeight="1">
      <c r="A90" s="13" t="s">
        <v>210</v>
      </c>
      <c r="B90" s="13"/>
      <c r="C90" s="13" t="s">
        <v>211</v>
      </c>
      <c r="D90" s="14"/>
      <c r="E90" s="14"/>
      <c r="F90" s="14"/>
      <c r="G90" s="14"/>
      <c r="H90" s="14"/>
      <c r="I90" s="14"/>
      <c r="J90" s="14">
        <f>SUMIFS(J91:J108,D91:D108,"&lt;&gt;Y",F91:F108,"&lt;&gt;Y",I91:I108,"&lt;&gt;Inactive",I91:I108,"&lt;&gt;ECO+NFS")</f>
        <v>41342</v>
      </c>
      <c r="K90" s="14"/>
      <c r="L90" s="14"/>
      <c r="M90" s="14"/>
      <c r="N90" s="14"/>
      <c r="O90" s="14"/>
      <c r="P90" s="14"/>
      <c r="Q90" s="14"/>
      <c r="R90" s="14"/>
      <c r="S90" s="14"/>
    </row>
    <row r="91" spans="1:19" ht="18" customHeight="1">
      <c r="A91" s="17" t="e">
        <f>HYPERLINK("#"&amp;ADDRESS(MATCH(A90,Robotics!$A$1:$A$5010,0),1,,,"Robotics"),"Back to Price List")</f>
        <v>#N/A</v>
      </c>
      <c r="B91" t="str">
        <f>"00-0430-0000"</f>
        <v>00-0430-0000</v>
      </c>
      <c r="C91" t="str">
        <f>"SCORBOT-ER 9Pro (incl. USB-Pro Controller)"</f>
        <v>SCORBOT-ER 9Pro (incl. USB-Pro Controller)</v>
      </c>
      <c r="D91" s="4"/>
      <c r="E91" s="4">
        <v>1</v>
      </c>
      <c r="F91" s="4"/>
      <c r="G91" s="29" t="str">
        <f>IFERROR(HYPERLINK("#"&amp;ADDRESS(MATCH(B91&amp;"ES",'LM7 Non-ENG'!$A$1:$A$5000,0),1,,,"LM7 Non-ENG"),IF(IFERROR(VLOOKUP(B91&amp;"ES",'LM7 Non-ENG'!$A$1:$A$4999,1,FALSE),"ERROR")=B91&amp;"ES","Y","")),"")</f>
        <v/>
      </c>
      <c r="H91" s="29" t="str">
        <f>IFERROR(HYPERLINK("#"&amp;ADDRESS(MATCH(B91&amp;"PT",'LM7 Non-ENG'!$A$1:$A$5000,0),1,,,"LM7 Non-ENG"),IF(IFERROR(VLOOKUP(B91&amp;"PT",'LM7 Non-ENG'!$A$1:$A$5000,1,FALSE),"ERROR")=B91&amp;"PT","Y","")),"")</f>
        <v/>
      </c>
      <c r="I91" t="str">
        <f>IFERROR(VLOOKUP(B91,PN!$A:$C,3,FALSE),"")</f>
        <v>Active</v>
      </c>
      <c r="J91" s="3">
        <f>E91*IFERROR(VLOOKUP(B91,PLInter!$A:$D,3,FALSE),"")</f>
        <v>24000</v>
      </c>
      <c r="K91" s="68" t="s">
        <v>212</v>
      </c>
      <c r="L91" s="68"/>
      <c r="M91" s="68"/>
      <c r="N91" s="68"/>
      <c r="O91" s="68"/>
      <c r="P91" s="68"/>
      <c r="Q91" s="68"/>
      <c r="R91" s="68"/>
      <c r="S91" s="68"/>
    </row>
    <row r="92" spans="1:19" ht="18" customHeight="1">
      <c r="B92" t="str">
        <f>"00-0633-0000"</f>
        <v>00-0633-0000</v>
      </c>
      <c r="C92" t="str">
        <f>"Pneumatic Gripper for ER 9Pro"</f>
        <v>Pneumatic Gripper for ER 9Pro</v>
      </c>
      <c r="D92" s="4"/>
      <c r="E92" s="4">
        <v>1</v>
      </c>
      <c r="F92" s="4"/>
      <c r="G92" s="29" t="str">
        <f>IFERROR(HYPERLINK("#"&amp;ADDRESS(MATCH(B92&amp;"ES",'LM7 Non-ENG'!$A$1:$A$5000,0),1,,,"LM7 Non-ENG"),IF(IFERROR(VLOOKUP(B92&amp;"ES",'LM7 Non-ENG'!$A$1:$A$4999,1,FALSE),"ERROR")=B92&amp;"ES","Y","")),"")</f>
        <v/>
      </c>
      <c r="H92" s="29" t="str">
        <f>IFERROR(HYPERLINK("#"&amp;ADDRESS(MATCH(B92&amp;"PT",'LM7 Non-ENG'!$A$1:$A$5000,0),1,,,"LM7 Non-ENG"),IF(IFERROR(VLOOKUP(B92&amp;"PT",'LM7 Non-ENG'!$A$1:$A$5000,1,FALSE),"ERROR")=B92&amp;"PT","Y","")),"")</f>
        <v/>
      </c>
      <c r="I92" t="str">
        <f>IFERROR(VLOOKUP(B92,PN!$A:$C,3,FALSE),"")</f>
        <v>Active</v>
      </c>
      <c r="J92" s="3">
        <f>E92*IFERROR(VLOOKUP(B92,PLInter!$A:$D,3,FALSE),"")</f>
        <v>2134</v>
      </c>
      <c r="K92" s="68"/>
      <c r="L92" s="68"/>
      <c r="M92" s="68"/>
      <c r="N92" s="68"/>
      <c r="O92" s="68"/>
      <c r="P92" s="68"/>
      <c r="Q92" s="68"/>
      <c r="R92" s="68"/>
      <c r="S92" s="68"/>
    </row>
    <row r="93" spans="1:19" ht="18" customHeight="1">
      <c r="B93" s="2" t="str">
        <f>"00-0613-0000"</f>
        <v>00-0613-0000</v>
      </c>
      <c r="C93" s="2" t="str">
        <f>"DC Servo Gripper (ER 9Pro, ER 14Pro and ER 7Pro)"</f>
        <v>DC Servo Gripper (ER 9Pro, ER 14Pro and ER 7Pro)</v>
      </c>
      <c r="D93" s="5"/>
      <c r="E93" s="5">
        <v>1</v>
      </c>
      <c r="F93" s="5" t="str">
        <f>"Y"</f>
        <v>Y</v>
      </c>
      <c r="G93" s="29" t="str">
        <f>IFERROR(HYPERLINK("#"&amp;ADDRESS(MATCH(B93&amp;"ES",'LM7 Non-ENG'!$A$1:$A$5000,0),1,,,"LM7 Non-ENG"),IF(IFERROR(VLOOKUP(B93&amp;"ES",'LM7 Non-ENG'!$A$1:$A$4999,1,FALSE),"ERROR")=B93&amp;"ES","Y","")),"")</f>
        <v/>
      </c>
      <c r="H93" s="29" t="str">
        <f>IFERROR(HYPERLINK("#"&amp;ADDRESS(MATCH(B93&amp;"PT",'LM7 Non-ENG'!$A$1:$A$5000,0),1,,,"LM7 Non-ENG"),IF(IFERROR(VLOOKUP(B93&amp;"PT",'LM7 Non-ENG'!$A$1:$A$5000,1,FALSE),"ERROR")=B93&amp;"PT","Y","")),"")</f>
        <v/>
      </c>
      <c r="I93" t="str">
        <f>IFERROR(VLOOKUP(B93,PN!$A:$C,3,FALSE),"")</f>
        <v>Active</v>
      </c>
      <c r="J93" s="3">
        <f>E93*IFERROR(VLOOKUP(B93,PLInter!$A:$D,3,FALSE),"")</f>
        <v>1700</v>
      </c>
      <c r="K93" s="68"/>
      <c r="L93" s="68"/>
      <c r="M93" s="68"/>
      <c r="N93" s="68"/>
      <c r="O93" s="68"/>
      <c r="P93" s="68"/>
      <c r="Q93" s="68"/>
      <c r="R93" s="68"/>
      <c r="S93" s="68"/>
    </row>
    <row r="94" spans="1:19" ht="18" customHeight="1">
      <c r="B94" s="2" t="str">
        <f>"00-0640-0000"</f>
        <v>00-0640-0000</v>
      </c>
      <c r="C94" s="2" t="str">
        <f>"Automatic Tool Changer for SCORBOT-ER 9Pro"</f>
        <v>Automatic Tool Changer for SCORBOT-ER 9Pro</v>
      </c>
      <c r="D94" s="5"/>
      <c r="E94" s="5">
        <v>1</v>
      </c>
      <c r="F94" s="5" t="str">
        <f>"Y"</f>
        <v>Y</v>
      </c>
      <c r="G94" s="29" t="str">
        <f>IFERROR(HYPERLINK("#"&amp;ADDRESS(MATCH(B94&amp;"ES",'LM7 Non-ENG'!$A$1:$A$5000,0),1,,,"LM7 Non-ENG"),IF(IFERROR(VLOOKUP(B94&amp;"ES",'LM7 Non-ENG'!$A$1:$A$4999,1,FALSE),"ERROR")=B94&amp;"ES","Y","")),"")</f>
        <v/>
      </c>
      <c r="H94" s="29" t="str">
        <f>IFERROR(HYPERLINK("#"&amp;ADDRESS(MATCH(B94&amp;"PT",'LM7 Non-ENG'!$A$1:$A$5000,0),1,,,"LM7 Non-ENG"),IF(IFERROR(VLOOKUP(B94&amp;"PT",'LM7 Non-ENG'!$A$1:$A$5000,1,FALSE),"ERROR")=B94&amp;"PT","Y","")),"")</f>
        <v/>
      </c>
      <c r="I94" t="str">
        <f>IFERROR(VLOOKUP(B94,PN!$A:$C,3,FALSE),"")</f>
        <v>Active</v>
      </c>
      <c r="J94" s="3">
        <f>E94*IFERROR(VLOOKUP(B94,PLInter!$A:$D,3,FALSE),"")</f>
        <v>9334</v>
      </c>
      <c r="K94" s="68"/>
      <c r="L94" s="68"/>
      <c r="M94" s="68"/>
      <c r="N94" s="68"/>
      <c r="O94" s="68"/>
      <c r="P94" s="68"/>
      <c r="Q94" s="68"/>
      <c r="R94" s="68"/>
      <c r="S94" s="68"/>
    </row>
    <row r="95" spans="1:19" ht="18" customHeight="1">
      <c r="B95" t="str">
        <f>"00-1710-0000"</f>
        <v>00-1710-0000</v>
      </c>
      <c r="C95" t="str">
        <f>"Teach Pendant for USB/USB Pro Controllers"</f>
        <v>Teach Pendant for USB/USB Pro Controllers</v>
      </c>
      <c r="D95" s="4"/>
      <c r="E95" s="4">
        <v>1</v>
      </c>
      <c r="F95" s="4"/>
      <c r="G95" s="29" t="str">
        <f>IFERROR(HYPERLINK("#"&amp;ADDRESS(MATCH(B95&amp;"ES",'LM7 Non-ENG'!$A$1:$A$5000,0),1,,,"LM7 Non-ENG"),IF(IFERROR(VLOOKUP(B95&amp;"ES",'LM7 Non-ENG'!$A$1:$A$4999,1,FALSE),"ERROR")=B95&amp;"ES","Y","")),"")</f>
        <v/>
      </c>
      <c r="H95" s="29" t="str">
        <f>IFERROR(HYPERLINK("#"&amp;ADDRESS(MATCH(B95&amp;"PT",'LM7 Non-ENG'!$A$1:$A$5000,0),1,,,"LM7 Non-ENG"),IF(IFERROR(VLOOKUP(B95&amp;"PT",'LM7 Non-ENG'!$A$1:$A$5000,1,FALSE),"ERROR")=B95&amp;"PT","Y","")),"")</f>
        <v/>
      </c>
      <c r="I95" t="str">
        <f>IFERROR(VLOOKUP(B95,PN!$A:$C,3,FALSE),"")</f>
        <v>Active</v>
      </c>
      <c r="J95" s="3">
        <f>E95*IFERROR(VLOOKUP(B95,PLInter!$A:$D,3,FALSE),"")</f>
        <v>1680</v>
      </c>
      <c r="K95" s="68"/>
      <c r="L95" s="68"/>
      <c r="M95" s="68"/>
      <c r="N95" s="68"/>
      <c r="O95" s="68"/>
      <c r="P95" s="68"/>
      <c r="Q95" s="68"/>
      <c r="R95" s="68"/>
      <c r="S95" s="68"/>
    </row>
    <row r="96" spans="1:19" ht="18" customHeight="1">
      <c r="B96" t="str">
        <f>"00-1110-0000"</f>
        <v>00-1110-0000</v>
      </c>
      <c r="C96" t="str">
        <f>"Palletizing Rack (incl. Pins for creating Jigs)"</f>
        <v>Palletizing Rack (incl. Pins for creating Jigs)</v>
      </c>
      <c r="D96" s="4"/>
      <c r="E96" s="4">
        <v>1</v>
      </c>
      <c r="F96" s="4"/>
      <c r="G96" s="29" t="str">
        <f>IFERROR(HYPERLINK("#"&amp;ADDRESS(MATCH(B96&amp;"ES",'LM7 Non-ENG'!$A$1:$A$5000,0),1,,,"LM7 Non-ENG"),IF(IFERROR(VLOOKUP(B96&amp;"ES",'LM7 Non-ENG'!$A$1:$A$4999,1,FALSE),"ERROR")=B96&amp;"ES","Y","")),"")</f>
        <v/>
      </c>
      <c r="H96" s="29" t="str">
        <f>IFERROR(HYPERLINK("#"&amp;ADDRESS(MATCH(B96&amp;"PT",'LM7 Non-ENG'!$A$1:$A$5000,0),1,,,"LM7 Non-ENG"),IF(IFERROR(VLOOKUP(B96&amp;"PT",'LM7 Non-ENG'!$A$1:$A$5000,1,FALSE),"ERROR")=B96&amp;"PT","Y","")),"")</f>
        <v/>
      </c>
      <c r="I96" t="str">
        <f>IFERROR(VLOOKUP(B96,PN!$A:$C,3,FALSE),"")</f>
        <v>Active</v>
      </c>
      <c r="J96" s="3">
        <f>E96*IFERROR(VLOOKUP(B96,PLInter!$A:$D,3,FALSE),"")</f>
        <v>580</v>
      </c>
      <c r="K96" s="68"/>
      <c r="L96" s="68"/>
      <c r="M96" s="68"/>
      <c r="N96" s="68"/>
      <c r="O96" s="68"/>
      <c r="P96" s="68"/>
      <c r="Q96" s="68"/>
      <c r="R96" s="68"/>
      <c r="S96" s="68"/>
    </row>
    <row r="97" spans="2:19" ht="18" customHeight="1">
      <c r="B97" t="str">
        <f>"10-1007-4000"</f>
        <v>10-1007-4000</v>
      </c>
      <c r="C97" t="str">
        <f>"Gravity Parts Feeder (incl.microswitch sensor)"</f>
        <v>Gravity Parts Feeder (incl.microswitch sensor)</v>
      </c>
      <c r="D97" s="4"/>
      <c r="E97" s="4">
        <v>1</v>
      </c>
      <c r="F97" s="4"/>
      <c r="G97" s="29" t="str">
        <f>IFERROR(HYPERLINK("#"&amp;ADDRESS(MATCH(B97&amp;"ES",'LM7 Non-ENG'!$A$1:$A$5000,0),1,,,"LM7 Non-ENG"),IF(IFERROR(VLOOKUP(B97&amp;"ES",'LM7 Non-ENG'!$A$1:$A$4999,1,FALSE),"ERROR")=B97&amp;"ES","Y","")),"")</f>
        <v/>
      </c>
      <c r="H97" s="29" t="str">
        <f>IFERROR(HYPERLINK("#"&amp;ADDRESS(MATCH(B97&amp;"PT",'LM7 Non-ENG'!$A$1:$A$5000,0),1,,,"LM7 Non-ENG"),IF(IFERROR(VLOOKUP(B97&amp;"PT",'LM7 Non-ENG'!$A$1:$A$5000,1,FALSE),"ERROR")=B97&amp;"PT","Y","")),"")</f>
        <v/>
      </c>
      <c r="I97" t="str">
        <f>IFERROR(VLOOKUP(B97,PN!$A:$C,3,FALSE),"")</f>
        <v>Active</v>
      </c>
      <c r="J97" s="3">
        <f>E97*IFERROR(VLOOKUP(B97,PLInter!$A:$D,3,FALSE),"")</f>
        <v>494</v>
      </c>
      <c r="K97" s="68"/>
      <c r="L97" s="68"/>
      <c r="M97" s="68"/>
      <c r="N97" s="68"/>
      <c r="O97" s="68"/>
      <c r="P97" s="68"/>
      <c r="Q97" s="68"/>
      <c r="R97" s="68"/>
      <c r="S97" s="68"/>
    </row>
    <row r="98" spans="2:19" ht="18" customHeight="1">
      <c r="B98" t="str">
        <f>"00-1010-0000"</f>
        <v>00-1010-0000</v>
      </c>
      <c r="C98" t="str">
        <f>"Conveyor Belt (24V)"</f>
        <v>Conveyor Belt (24V)</v>
      </c>
      <c r="D98" s="4"/>
      <c r="E98" s="4">
        <v>1</v>
      </c>
      <c r="F98" s="4"/>
      <c r="G98" s="29" t="str">
        <f>IFERROR(HYPERLINK("#"&amp;ADDRESS(MATCH(B98&amp;"ES",'LM7 Non-ENG'!$A$1:$A$5000,0),1,,,"LM7 Non-ENG"),IF(IFERROR(VLOOKUP(B98&amp;"ES",'LM7 Non-ENG'!$A$1:$A$4999,1,FALSE),"ERROR")=B98&amp;"ES","Y","")),"")</f>
        <v/>
      </c>
      <c r="H98" s="29" t="str">
        <f>IFERROR(HYPERLINK("#"&amp;ADDRESS(MATCH(B98&amp;"PT",'LM7 Non-ENG'!$A$1:$A$5000,0),1,,,"LM7 Non-ENG"),IF(IFERROR(VLOOKUP(B98&amp;"PT",'LM7 Non-ENG'!$A$1:$A$5000,1,FALSE),"ERROR")=B98&amp;"PT","Y","")),"")</f>
        <v/>
      </c>
      <c r="I98" t="str">
        <f>IFERROR(VLOOKUP(B98,PN!$A:$C,3,FALSE),"")</f>
        <v>Active</v>
      </c>
      <c r="J98" s="3">
        <f>E98*IFERROR(VLOOKUP(B98,PLInter!$A:$D,3,FALSE),"")</f>
        <v>1986</v>
      </c>
      <c r="K98" s="68"/>
      <c r="L98" s="68"/>
      <c r="M98" s="68"/>
      <c r="N98" s="68"/>
      <c r="O98" s="68"/>
      <c r="P98" s="68"/>
      <c r="Q98" s="68"/>
      <c r="R98" s="68"/>
      <c r="S98" s="68"/>
    </row>
    <row r="99" spans="2:19" ht="18" customHeight="1">
      <c r="B99" t="str">
        <f>"00-1203-0000"</f>
        <v>00-1203-0000</v>
      </c>
      <c r="C99" t="str">
        <f>"Photoelectric Sensor for Belt Conveyor"</f>
        <v>Photoelectric Sensor for Belt Conveyor</v>
      </c>
      <c r="D99" s="4"/>
      <c r="E99" s="4">
        <v>1</v>
      </c>
      <c r="F99" s="4"/>
      <c r="G99" s="29" t="str">
        <f>IFERROR(HYPERLINK("#"&amp;ADDRESS(MATCH(B99&amp;"ES",'LM7 Non-ENG'!$A$1:$A$5000,0),1,,,"LM7 Non-ENG"),IF(IFERROR(VLOOKUP(B99&amp;"ES",'LM7 Non-ENG'!$A$1:$A$4999,1,FALSE),"ERROR")=B99&amp;"ES","Y","")),"")</f>
        <v/>
      </c>
      <c r="H99" s="29" t="str">
        <f>IFERROR(HYPERLINK("#"&amp;ADDRESS(MATCH(B99&amp;"PT",'LM7 Non-ENG'!$A$1:$A$5000,0),1,,,"LM7 Non-ENG"),IF(IFERROR(VLOOKUP(B99&amp;"PT",'LM7 Non-ENG'!$A$1:$A$5000,1,FALSE),"ERROR")=B99&amp;"PT","Y","")),"")</f>
        <v/>
      </c>
      <c r="I99" t="str">
        <f>IFERROR(VLOOKUP(B99,PN!$A:$C,3,FALSE),"")</f>
        <v>Active</v>
      </c>
      <c r="J99" s="3">
        <f>E99*IFERROR(VLOOKUP(B99,PLInter!$A:$D,3,FALSE),"")</f>
        <v>295</v>
      </c>
      <c r="K99" s="68"/>
      <c r="L99" s="68"/>
      <c r="M99" s="68"/>
      <c r="N99" s="68"/>
      <c r="O99" s="68"/>
      <c r="P99" s="68"/>
      <c r="Q99" s="68"/>
      <c r="R99" s="68"/>
      <c r="S99" s="68"/>
    </row>
    <row r="100" spans="2:19" ht="18" customHeight="1">
      <c r="B100" t="str">
        <f>"00-1009-0000"</f>
        <v>00-1009-0000</v>
      </c>
      <c r="C100" t="str">
        <f>"Rotary Index Table (24V)"</f>
        <v>Rotary Index Table (24V)</v>
      </c>
      <c r="D100" s="4"/>
      <c r="E100" s="4">
        <v>1</v>
      </c>
      <c r="F100" s="4"/>
      <c r="G100" s="29" t="str">
        <f>IFERROR(HYPERLINK("#"&amp;ADDRESS(MATCH(B100&amp;"ES",'LM7 Non-ENG'!$A$1:$A$5000,0),1,,,"LM7 Non-ENG"),IF(IFERROR(VLOOKUP(B100&amp;"ES",'LM7 Non-ENG'!$A$1:$A$4999,1,FALSE),"ERROR")=B100&amp;"ES","Y","")),"")</f>
        <v/>
      </c>
      <c r="H100" s="29" t="str">
        <f>IFERROR(HYPERLINK("#"&amp;ADDRESS(MATCH(B100&amp;"PT",'LM7 Non-ENG'!$A$1:$A$5000,0),1,,,"LM7 Non-ENG"),IF(IFERROR(VLOOKUP(B100&amp;"PT",'LM7 Non-ENG'!$A$1:$A$5000,1,FALSE),"ERROR")=B100&amp;"PT","Y","")),"")</f>
        <v/>
      </c>
      <c r="I100" t="str">
        <f>IFERROR(VLOOKUP(B100,PN!$A:$C,3,FALSE),"")</f>
        <v>Active</v>
      </c>
      <c r="J100" s="3">
        <f>E100*IFERROR(VLOOKUP(B100,PLInter!$A:$D,3,FALSE),"")</f>
        <v>1425</v>
      </c>
      <c r="K100" s="68"/>
      <c r="L100" s="68"/>
      <c r="M100" s="68"/>
      <c r="N100" s="68"/>
      <c r="O100" s="68"/>
      <c r="P100" s="68"/>
      <c r="Q100" s="68"/>
      <c r="R100" s="68"/>
      <c r="S100" s="68"/>
    </row>
    <row r="101" spans="2:19" ht="18" customHeight="1">
      <c r="B101" t="str">
        <f>"00-1209-0000"</f>
        <v>00-1209-0000</v>
      </c>
      <c r="C101" t="str">
        <f>"Photoelectric Sensor for Rotary Index Table"</f>
        <v>Photoelectric Sensor for Rotary Index Table</v>
      </c>
      <c r="D101" s="4"/>
      <c r="E101" s="4">
        <v>1</v>
      </c>
      <c r="F101" s="4"/>
      <c r="G101" s="29" t="str">
        <f>IFERROR(HYPERLINK("#"&amp;ADDRESS(MATCH(B101&amp;"ES",'LM7 Non-ENG'!$A$1:$A$5000,0),1,,,"LM7 Non-ENG"),IF(IFERROR(VLOOKUP(B101&amp;"ES",'LM7 Non-ENG'!$A$1:$A$4999,1,FALSE),"ERROR")=B101&amp;"ES","Y","")),"")</f>
        <v/>
      </c>
      <c r="H101" s="29" t="str">
        <f>IFERROR(HYPERLINK("#"&amp;ADDRESS(MATCH(B101&amp;"PT",'LM7 Non-ENG'!$A$1:$A$5000,0),1,,,"LM7 Non-ENG"),IF(IFERROR(VLOOKUP(B101&amp;"PT",'LM7 Non-ENG'!$A$1:$A$5000,1,FALSE),"ERROR")=B101&amp;"PT","Y","")),"")</f>
        <v/>
      </c>
      <c r="I101" t="str">
        <f>IFERROR(VLOOKUP(B101,PN!$A:$C,3,FALSE),"")</f>
        <v>Active</v>
      </c>
      <c r="J101" s="3">
        <f>E101*IFERROR(VLOOKUP(B101,PLInter!$A:$D,3,FALSE),"")</f>
        <v>506</v>
      </c>
      <c r="K101" s="68"/>
      <c r="L101" s="68"/>
      <c r="M101" s="68"/>
      <c r="N101" s="68"/>
      <c r="O101" s="68"/>
      <c r="P101" s="68"/>
      <c r="Q101" s="68"/>
      <c r="R101" s="68"/>
      <c r="S101" s="68"/>
    </row>
    <row r="102" spans="2:19" ht="18" customHeight="1">
      <c r="B102" t="str">
        <f>"00-1426-0000"</f>
        <v>00-1426-0000</v>
      </c>
      <c r="C102" t="str">
        <f>"Viewflex for Robot Guidance (Stand 1000mm)"</f>
        <v>Viewflex for Robot Guidance (Stand 1000mm)</v>
      </c>
      <c r="D102" s="4"/>
      <c r="E102" s="4">
        <v>1</v>
      </c>
      <c r="F102" s="4"/>
      <c r="G102" s="29" t="str">
        <f>IFERROR(HYPERLINK("#"&amp;ADDRESS(MATCH(B102&amp;"ES",'LM7 Non-ENG'!$A$1:$A$5000,0),1,,,"LM7 Non-ENG"),IF(IFERROR(VLOOKUP(B102&amp;"ES",'LM7 Non-ENG'!$A$1:$A$4999,1,FALSE),"ERROR")=B102&amp;"ES","Y","")),"")</f>
        <v/>
      </c>
      <c r="H102" s="29" t="str">
        <f>IFERROR(HYPERLINK("#"&amp;ADDRESS(MATCH(B102&amp;"PT",'LM7 Non-ENG'!$A$1:$A$5000,0),1,,,"LM7 Non-ENG"),IF(IFERROR(VLOOKUP(B102&amp;"PT",'LM7 Non-ENG'!$A$1:$A$5000,1,FALSE),"ERROR")=B102&amp;"PT","Y","")),"")</f>
        <v/>
      </c>
      <c r="I102" t="str">
        <f>IFERROR(VLOOKUP(B102,PN!$A:$C,3,FALSE),"")</f>
        <v>Active</v>
      </c>
      <c r="J102" s="3">
        <f>E102*IFERROR(VLOOKUP(B102,PLInter!$A:$D,3,FALSE),"")</f>
        <v>4195</v>
      </c>
      <c r="K102" s="68"/>
      <c r="L102" s="68"/>
      <c r="M102" s="68"/>
      <c r="N102" s="68"/>
      <c r="O102" s="68"/>
      <c r="P102" s="68"/>
      <c r="Q102" s="68"/>
      <c r="R102" s="68"/>
      <c r="S102" s="68"/>
    </row>
    <row r="103" spans="2:19" ht="18" customHeight="1">
      <c r="B103" t="str">
        <f>"112713"</f>
        <v>112713</v>
      </c>
      <c r="C103" t="str">
        <f>"Mark Al. Cylinder Diam. 35x28 MicroCIM"</f>
        <v>Mark Al. Cylinder Diam. 35x28 MicroCIM</v>
      </c>
      <c r="D103" s="4"/>
      <c r="E103" s="4">
        <v>3</v>
      </c>
      <c r="F103" s="4"/>
      <c r="G103" s="29" t="str">
        <f>IFERROR(HYPERLINK("#"&amp;ADDRESS(MATCH(B103&amp;"ES",'LM7 Non-ENG'!$A$1:$A$5000,0),1,,,"LM7 Non-ENG"),IF(IFERROR(VLOOKUP(B103&amp;"ES",'LM7 Non-ENG'!$A$1:$A$4999,1,FALSE),"ERROR")=B103&amp;"ES","Y","")),"")</f>
        <v/>
      </c>
      <c r="H103" s="29" t="str">
        <f>IFERROR(HYPERLINK("#"&amp;ADDRESS(MATCH(B103&amp;"PT",'LM7 Non-ENG'!$A$1:$A$5000,0),1,,,"LM7 Non-ENG"),IF(IFERROR(VLOOKUP(B103&amp;"PT",'LM7 Non-ENG'!$A$1:$A$5000,1,FALSE),"ERROR")=B103&amp;"PT","Y","")),"")</f>
        <v/>
      </c>
      <c r="I103" t="str">
        <f>IFERROR(VLOOKUP(B103,PN!$A:$C,3,FALSE),"")</f>
        <v>Active</v>
      </c>
      <c r="J103" s="3">
        <f>E103*IFERROR(VLOOKUP(B103,PLInter!$A:$D,3,FALSE),"")</f>
        <v>300</v>
      </c>
      <c r="K103" s="68"/>
      <c r="L103" s="68"/>
      <c r="M103" s="68"/>
      <c r="N103" s="68"/>
      <c r="O103" s="68"/>
      <c r="P103" s="68"/>
      <c r="Q103" s="68"/>
      <c r="R103" s="68"/>
      <c r="S103" s="68"/>
    </row>
    <row r="104" spans="2:19" ht="18" customHeight="1">
      <c r="B104" t="str">
        <f>"113316"</f>
        <v>113316</v>
      </c>
      <c r="C104" t="str">
        <f>"Parts Bin; Plastic Box"</f>
        <v>Parts Bin; Plastic Box</v>
      </c>
      <c r="D104" s="4"/>
      <c r="E104" s="4">
        <v>1</v>
      </c>
      <c r="F104" s="4"/>
      <c r="G104" s="29" t="str">
        <f>IFERROR(HYPERLINK("#"&amp;ADDRESS(MATCH(B104&amp;"ES",'LM7 Non-ENG'!$A$1:$A$5000,0),1,,,"LM7 Non-ENG"),IF(IFERROR(VLOOKUP(B104&amp;"ES",'LM7 Non-ENG'!$A$1:$A$4999,1,FALSE),"ERROR")=B104&amp;"ES","Y","")),"")</f>
        <v/>
      </c>
      <c r="H104" s="29" t="str">
        <f>IFERROR(HYPERLINK("#"&amp;ADDRESS(MATCH(B104&amp;"PT",'LM7 Non-ENG'!$A$1:$A$5000,0),1,,,"LM7 Non-ENG"),IF(IFERROR(VLOOKUP(B104&amp;"PT",'LM7 Non-ENG'!$A$1:$A$5000,1,FALSE),"ERROR")=B104&amp;"PT","Y","")),"")</f>
        <v/>
      </c>
      <c r="I104" t="str">
        <f>IFERROR(VLOOKUP(B104,PN!$A:$C,3,FALSE),"")</f>
        <v>Active</v>
      </c>
      <c r="J104" s="3">
        <f>E104*IFERROR(VLOOKUP(B104,PLInter!$A:$D,3,FALSE),"")</f>
        <v>20</v>
      </c>
      <c r="K104" s="68"/>
      <c r="L104" s="68"/>
      <c r="M104" s="68"/>
      <c r="N104" s="68"/>
      <c r="O104" s="68"/>
      <c r="P104" s="68"/>
      <c r="Q104" s="68"/>
      <c r="R104" s="68"/>
      <c r="S104" s="68"/>
    </row>
    <row r="105" spans="2:19" ht="18" customHeight="1">
      <c r="B105" t="str">
        <f>"00-1249-0000"</f>
        <v>00-1249-0000</v>
      </c>
      <c r="C105" t="str">
        <f>"Workbench 1500x800mm (slotted aluminum top)"</f>
        <v>Workbench 1500x800mm (slotted aluminum top)</v>
      </c>
      <c r="D105" s="4"/>
      <c r="E105" s="4">
        <v>1</v>
      </c>
      <c r="F105" s="4"/>
      <c r="G105" s="29" t="str">
        <f>IFERROR(HYPERLINK("#"&amp;ADDRESS(MATCH(B105&amp;"ES",'LM7 Non-ENG'!$A$1:$A$5000,0),1,,,"LM7 Non-ENG"),IF(IFERROR(VLOOKUP(B105&amp;"ES",'LM7 Non-ENG'!$A$1:$A$4999,1,FALSE),"ERROR")=B105&amp;"ES","Y","")),"")</f>
        <v/>
      </c>
      <c r="H105" s="29" t="str">
        <f>IFERROR(HYPERLINK("#"&amp;ADDRESS(MATCH(B105&amp;"PT",'LM7 Non-ENG'!$A$1:$A$5000,0),1,,,"LM7 Non-ENG"),IF(IFERROR(VLOOKUP(B105&amp;"PT",'LM7 Non-ENG'!$A$1:$A$5000,1,FALSE),"ERROR")=B105&amp;"PT","Y","")),"")</f>
        <v/>
      </c>
      <c r="I105" t="str">
        <f>IFERROR(VLOOKUP(B105,PN!$A:$C,3,FALSE),"")</f>
        <v>Active</v>
      </c>
      <c r="J105" s="3">
        <f>E105*IFERROR(VLOOKUP(B105,PLInter!$A:$D,3,FALSE),"")</f>
        <v>2760</v>
      </c>
      <c r="K105" s="68"/>
      <c r="L105" s="68"/>
      <c r="M105" s="68"/>
      <c r="N105" s="68"/>
      <c r="O105" s="68"/>
      <c r="P105" s="68"/>
      <c r="Q105" s="68"/>
      <c r="R105" s="68"/>
      <c r="S105" s="68"/>
    </row>
    <row r="106" spans="2:19" ht="18" customHeight="1">
      <c r="B106" t="str">
        <f>"00-1241-0000"</f>
        <v>00-1241-0000</v>
      </c>
      <c r="C106" t="str">
        <f>"Adapter Mounting Plate for ER9/14Pro &amp; HP3"</f>
        <v>Adapter Mounting Plate for ER9/14Pro &amp; HP3</v>
      </c>
      <c r="D106" s="4"/>
      <c r="E106" s="4">
        <v>1</v>
      </c>
      <c r="F106" s="4"/>
      <c r="G106" s="29" t="str">
        <f>IFERROR(HYPERLINK("#"&amp;ADDRESS(MATCH(B106&amp;"ES",'LM7 Non-ENG'!$A$1:$A$5000,0),1,,,"LM7 Non-ENG"),IF(IFERROR(VLOOKUP(B106&amp;"ES",'LM7 Non-ENG'!$A$1:$A$4999,1,FALSE),"ERROR")=B106&amp;"ES","Y","")),"")</f>
        <v/>
      </c>
      <c r="H106" s="29" t="str">
        <f>IFERROR(HYPERLINK("#"&amp;ADDRESS(MATCH(B106&amp;"PT",'LM7 Non-ENG'!$A$1:$A$5000,0),1,,,"LM7 Non-ENG"),IF(IFERROR(VLOOKUP(B106&amp;"PT",'LM7 Non-ENG'!$A$1:$A$5000,1,FALSE),"ERROR")=B106&amp;"PT","Y","")),"")</f>
        <v/>
      </c>
      <c r="I106" t="str">
        <f>IFERROR(VLOOKUP(B106,PN!$A:$C,3,FALSE),"")</f>
        <v>Active</v>
      </c>
      <c r="J106" s="3">
        <f>E106*IFERROR(VLOOKUP(B106,PLInter!$A:$D,3,FALSE),"")</f>
        <v>467</v>
      </c>
      <c r="K106" s="68"/>
      <c r="L106" s="68"/>
      <c r="M106" s="68"/>
      <c r="N106" s="68"/>
      <c r="O106" s="68"/>
      <c r="P106" s="68"/>
      <c r="Q106" s="68"/>
      <c r="R106" s="68"/>
      <c r="S106" s="68"/>
    </row>
    <row r="107" spans="2:19" ht="18" customHeight="1">
      <c r="B107" s="1" t="str">
        <f>"63-9248-0000"</f>
        <v>63-9248-0000</v>
      </c>
      <c r="C107" s="1" t="str">
        <f>"Robotic Software for Controller USB Pro"</f>
        <v>Robotic Software for Controller USB Pro</v>
      </c>
      <c r="D107" s="6" t="s">
        <v>0</v>
      </c>
      <c r="E107" s="6">
        <v>1</v>
      </c>
      <c r="F107" s="6"/>
      <c r="G107" s="29" t="str">
        <f>IFERROR(HYPERLINK("#"&amp;ADDRESS(MATCH(B107&amp;"ES",'LM7 Non-ENG'!$A$1:$A$5000,0),1,,,"LM7 Non-ENG"),IF(IFERROR(VLOOKUP(B107&amp;"ES",'LM7 Non-ENG'!$A$1:$A$4999,1,FALSE),"ERROR")=B107&amp;"ES","Y","")),"")</f>
        <v/>
      </c>
      <c r="H107" s="29" t="str">
        <f>IFERROR(HYPERLINK("#"&amp;ADDRESS(MATCH(B107&amp;"PT",'LM7 Non-ENG'!$A$1:$A$5000,0),1,,,"LM7 Non-ENG"),IF(IFERROR(VLOOKUP(B107&amp;"PT",'LM7 Non-ENG'!$A$1:$A$5000,1,FALSE),"ERROR")=B107&amp;"PT","Y","")),"")</f>
        <v/>
      </c>
      <c r="I107" t="str">
        <f>IFERROR(VLOOKUP(B107,PN!$A:$C,3,FALSE),"")</f>
        <v>Active</v>
      </c>
      <c r="J107" s="3">
        <f>E107*IFERROR(VLOOKUP(B107,PLInter!$A:$D,3,FALSE),"")</f>
        <v>600</v>
      </c>
      <c r="K107" s="68"/>
      <c r="L107" s="68"/>
      <c r="M107" s="68"/>
      <c r="N107" s="68"/>
      <c r="O107" s="68"/>
      <c r="P107" s="68"/>
      <c r="Q107" s="68"/>
      <c r="R107" s="68"/>
      <c r="S107" s="68"/>
    </row>
    <row r="108" spans="2:19" ht="18" customHeight="1">
      <c r="B108" t="str">
        <f>"63-7000-1800"</f>
        <v>63-7000-1800</v>
      </c>
      <c r="C108" t="str">
        <f>"License Key for RoboCell/SCORBASE USB Pro"</f>
        <v>License Key for RoboCell/SCORBASE USB Pro</v>
      </c>
      <c r="D108" s="4"/>
      <c r="E108" s="4">
        <v>1</v>
      </c>
      <c r="F108" s="4"/>
      <c r="G108" s="29" t="str">
        <f>IFERROR(HYPERLINK("#"&amp;ADDRESS(MATCH(B108&amp;"ES",'LM7 Non-ENG'!$A$1:$A$5000,0),1,,,"LM7 Non-ENG"),IF(IFERROR(VLOOKUP(B108&amp;"ES",'LM7 Non-ENG'!$A$1:$A$4999,1,FALSE),"ERROR")=B108&amp;"ES","Y","")),"")</f>
        <v/>
      </c>
      <c r="H108" s="29" t="str">
        <f>IFERROR(HYPERLINK("#"&amp;ADDRESS(MATCH(B108&amp;"PT",'LM7 Non-ENG'!$A$1:$A$5000,0),1,,,"LM7 Non-ENG"),IF(IFERROR(VLOOKUP(B108&amp;"PT",'LM7 Non-ENG'!$A$1:$A$5000,1,FALSE),"ERROR")=B108&amp;"PT","Y","")),"")</f>
        <v/>
      </c>
      <c r="I108" t="str">
        <f>IFERROR(VLOOKUP(B108,PN!$A:$C,3,FALSE),"")</f>
        <v>Active</v>
      </c>
      <c r="J108" s="3">
        <f>E108*IFERROR(VLOOKUP(B108,PLInter!$A:$D,3,FALSE),"")</f>
        <v>500</v>
      </c>
      <c r="K108" s="68"/>
      <c r="L108" s="68"/>
      <c r="M108" s="68"/>
      <c r="N108" s="68"/>
      <c r="O108" s="68"/>
      <c r="P108" s="68"/>
      <c r="Q108" s="68"/>
      <c r="R108" s="68"/>
      <c r="S108" s="68"/>
    </row>
  </sheetData>
  <mergeCells count="16">
    <mergeCell ref="K1:S1"/>
    <mergeCell ref="K3:S4"/>
    <mergeCell ref="K5:S5"/>
    <mergeCell ref="K6:S6"/>
    <mergeCell ref="K91:S108"/>
    <mergeCell ref="K9:S10"/>
    <mergeCell ref="K11:S11"/>
    <mergeCell ref="K15:S15"/>
    <mergeCell ref="K14:S14"/>
    <mergeCell ref="K18:S19"/>
    <mergeCell ref="K20:S20"/>
    <mergeCell ref="K23:S30"/>
    <mergeCell ref="K33:S44"/>
    <mergeCell ref="K47:S62"/>
    <mergeCell ref="K65:S73"/>
    <mergeCell ref="K76:S88"/>
  </mergeCells>
  <conditionalFormatting sqref="I7 I12 I16 I21 I31 I45 I63 I74 I89">
    <cfRule type="cellIs" dxfId="218" priority="13" operator="equal">
      <formula>"ECO+NFS"</formula>
    </cfRule>
    <cfRule type="cellIs" dxfId="217" priority="14" operator="equal">
      <formula>"ECO-N2Mnf"</formula>
    </cfRule>
    <cfRule type="cellIs" dxfId="216" priority="15" operator="equal">
      <formula>"Inactive"</formula>
    </cfRule>
    <cfRule type="cellIs" dxfId="215" priority="16" operator="equal">
      <formula>"Phase Out"</formula>
    </cfRule>
    <cfRule type="cellIs" dxfId="214" priority="17" operator="equal">
      <formula>"ECO-N2Buy"</formula>
    </cfRule>
    <cfRule type="cellIs" dxfId="213" priority="18" operator="equal">
      <formula>"Not for purc"</formula>
    </cfRule>
  </conditionalFormatting>
  <conditionalFormatting sqref="I3">
    <cfRule type="cellIs" dxfId="212" priority="7" operator="equal">
      <formula>"ECO+NFS"</formula>
    </cfRule>
    <cfRule type="cellIs" dxfId="211" priority="8" operator="equal">
      <formula>"ECO-N2Mnf"</formula>
    </cfRule>
    <cfRule type="cellIs" dxfId="210" priority="9" operator="equal">
      <formula>"Inactive"</formula>
    </cfRule>
    <cfRule type="cellIs" dxfId="209" priority="10" operator="equal">
      <formula>"Phase Out"</formula>
    </cfRule>
    <cfRule type="cellIs" dxfId="208" priority="11" operator="equal">
      <formula>"ECO-N2Buy"</formula>
    </cfRule>
    <cfRule type="cellIs" dxfId="207" priority="12" operator="equal">
      <formula>"Not for purc"</formula>
    </cfRule>
  </conditionalFormatting>
  <conditionalFormatting sqref="I91:I108 I76:I88 I65:I73 I47:I62 I33:I44 I23:I30 I18:I20 I14:I15 I9:I11 I4:I6">
    <cfRule type="cellIs" dxfId="206" priority="1" operator="equal">
      <formula>"ECO+NFS"</formula>
    </cfRule>
    <cfRule type="cellIs" dxfId="205" priority="2" operator="equal">
      <formula>"ECO-N2Mnf"</formula>
    </cfRule>
    <cfRule type="cellIs" dxfId="204" priority="3" operator="equal">
      <formula>"Inactive"</formula>
    </cfRule>
    <cfRule type="cellIs" dxfId="203" priority="4" operator="equal">
      <formula>"Phase Out"</formula>
    </cfRule>
    <cfRule type="cellIs" dxfId="202" priority="5" operator="equal">
      <formula>"ECO-N2Buy"</formula>
    </cfRule>
    <cfRule type="cellIs" dxfId="201" priority="6" operator="equal">
      <formula>"Not for purc"</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tabColor theme="3" tint="0.39997558519241921"/>
  </sheetPr>
  <dimension ref="A1:T409"/>
  <sheetViews>
    <sheetView workbookViewId="0">
      <pane ySplit="1" topLeftCell="A2" activePane="bottomLeft" state="frozen"/>
      <selection pane="bottomLeft" activeCell="I3" sqref="I3"/>
    </sheetView>
  </sheetViews>
  <sheetFormatPr baseColWidth="10" defaultColWidth="9" defaultRowHeight="18" customHeight="1"/>
  <cols>
    <col min="1" max="1" width="16.25" bestFit="1" customWidth="1"/>
    <col min="2" max="2" width="13.75" bestFit="1" customWidth="1"/>
    <col min="3" max="3" width="51.125" bestFit="1" customWidth="1"/>
    <col min="4" max="8" width="4.75" customWidth="1"/>
    <col min="9" max="9" width="7" customWidth="1"/>
    <col min="10" max="10" width="10.875" customWidth="1"/>
    <col min="11" max="20" width="8.375" customWidth="1"/>
  </cols>
  <sheetData>
    <row r="1" spans="1:20" ht="18" customHeight="1">
      <c r="A1" s="27"/>
      <c r="B1" s="27" t="s">
        <v>1</v>
      </c>
      <c r="C1" s="27" t="s">
        <v>2</v>
      </c>
      <c r="D1" s="28" t="s">
        <v>3</v>
      </c>
      <c r="E1" s="28" t="s">
        <v>4</v>
      </c>
      <c r="F1" s="28" t="s">
        <v>5</v>
      </c>
      <c r="G1" s="28" t="s">
        <v>248</v>
      </c>
      <c r="H1" s="28" t="s">
        <v>249</v>
      </c>
      <c r="I1" s="27" t="s">
        <v>6</v>
      </c>
      <c r="J1" s="28" t="s">
        <v>8</v>
      </c>
      <c r="K1" s="67" t="s">
        <v>11</v>
      </c>
      <c r="L1" s="67"/>
      <c r="M1" s="67"/>
      <c r="N1" s="67"/>
      <c r="O1" s="67"/>
      <c r="P1" s="67"/>
      <c r="Q1" s="67"/>
      <c r="R1" s="67"/>
      <c r="S1" s="67"/>
      <c r="T1" s="67"/>
    </row>
    <row r="2" spans="1:20" s="7" customFormat="1" ht="18" customHeight="1">
      <c r="A2" s="13" t="s">
        <v>252</v>
      </c>
      <c r="B2" s="13"/>
      <c r="C2" s="13" t="s">
        <v>254</v>
      </c>
      <c r="D2" s="14"/>
      <c r="E2" s="14"/>
      <c r="F2" s="14"/>
      <c r="G2" s="14"/>
      <c r="H2" s="14"/>
      <c r="I2" s="14"/>
      <c r="J2" s="14">
        <f>SUMIFS(J3:J8,D3:D8,"&lt;&gt;Y",F3:F8,"&lt;&gt;Y",I3:I8,"&lt;&gt;Inactive",I3:I8,"&lt;&gt;ECO+NFS")</f>
        <v>9890</v>
      </c>
      <c r="K2" s="14"/>
      <c r="L2" s="14"/>
      <c r="M2" s="14"/>
      <c r="N2" s="14"/>
      <c r="O2" s="14"/>
      <c r="P2" s="14"/>
      <c r="Q2" s="14"/>
      <c r="R2" s="14"/>
      <c r="S2" s="14"/>
      <c r="T2" s="14"/>
    </row>
    <row r="3" spans="1:20" ht="18" customHeight="1">
      <c r="A3" s="17" t="str">
        <f>HYPERLINK("#"&amp;ADDRESS(MATCH(A2,'Automation &amp; Process Control'!$A$1:$A$4987,0),1,,,"Automation &amp; Process Control"),"Back to Price List")</f>
        <v>Back to Price List</v>
      </c>
      <c r="B3" t="str">
        <f>"00-1904-0000"</f>
        <v>00-1904-0000</v>
      </c>
      <c r="C3" t="str">
        <f>"PneuFlex P1 -Pneumatic package w T-slot panel"</f>
        <v>PneuFlex P1 -Pneumatic package w T-slot panel</v>
      </c>
      <c r="D3" s="4"/>
      <c r="E3" s="4">
        <v>1</v>
      </c>
      <c r="F3" s="4"/>
      <c r="G3" s="29" t="str">
        <f>IFERROR(HYPERLINK("#"&amp;ADDRESS(MATCH(B3&amp;"ES",'LM7 Non-ENG'!$A$1:$A$5000,0),1,,,"LM7 Non-ENG"),IF(IFERROR(VLOOKUP(B3&amp;"ES",'LM7 Non-ENG'!$A$1:$A$4999,1,FALSE),"ERROR")=B3&amp;"ES","Y","")),"")</f>
        <v/>
      </c>
      <c r="H3" s="29" t="str">
        <f>IFERROR(HYPERLINK("#"&amp;ADDRESS(MATCH(B3&amp;"PT",'LM7 Non-ENG'!$A$1:$A$5000,0),1,,,"LM7 Non-ENG"),IF(IFERROR(VLOOKUP(B3&amp;"PT",'LM7 Non-ENG'!$A$1:$A$5000,1,FALSE),"ERROR")=B3&amp;"PT","Y","")),"")</f>
        <v/>
      </c>
      <c r="I3" t="str">
        <f>IFERROR(VLOOKUP(B3,PN!$A:$C,3,FALSE),"")</f>
        <v>Active</v>
      </c>
      <c r="J3" s="3">
        <f>IFERROR(E3*VLOOKUP(B3,PLInter!$A:$D,3,FALSE),"")</f>
        <v>6395</v>
      </c>
      <c r="K3" s="68" t="s">
        <v>255</v>
      </c>
      <c r="L3" s="66"/>
      <c r="M3" s="66"/>
      <c r="N3" s="66"/>
      <c r="O3" s="66"/>
      <c r="P3" s="66"/>
      <c r="Q3" s="66"/>
      <c r="R3" s="66"/>
      <c r="S3" s="66"/>
      <c r="T3" s="66"/>
    </row>
    <row r="4" spans="1:20" ht="18" customHeight="1">
      <c r="B4" t="str">
        <f>"34-8068-9000"</f>
        <v>34-8068-9000</v>
      </c>
      <c r="C4" t="str">
        <f>"Install Guide, Pneumatics 1 w/ PneuFlex, LM Lab"</f>
        <v>Install Guide, Pneumatics 1 w/ PneuFlex, LM Lab</v>
      </c>
      <c r="D4" s="4"/>
      <c r="E4" s="4">
        <v>1</v>
      </c>
      <c r="F4" s="4"/>
      <c r="G4" s="29" t="str">
        <f>IFERROR(HYPERLINK("#"&amp;ADDRESS(MATCH(B4&amp;"ES",'LM7 Non-ENG'!$A$1:$A$5000,0),1,,,"LM7 Non-ENG"),IF(IFERROR(VLOOKUP(B4&amp;"ES",'LM7 Non-ENG'!$A$1:$A$4999,1,FALSE),"ERROR")=B4&amp;"ES","Y","")),"")</f>
        <v/>
      </c>
      <c r="H4" s="29" t="str">
        <f>IFERROR(HYPERLINK("#"&amp;ADDRESS(MATCH(B4&amp;"PT",'LM7 Non-ENG'!$A$1:$A$5000,0),1,,,"LM7 Non-ENG"),IF(IFERROR(VLOOKUP(B4&amp;"PT",'LM7 Non-ENG'!$A$1:$A$5000,1,FALSE),"ERROR")=B4&amp;"PT","Y","")),"")</f>
        <v/>
      </c>
      <c r="I4" t="str">
        <f>IFERROR(VLOOKUP(B4,PN!$A:$C,3,FALSE),"")</f>
        <v>Active</v>
      </c>
      <c r="J4" s="3" t="str">
        <f>IFERROR(E4*VLOOKUP(B4,PLInter!$A:$D,3,FALSE),"")</f>
        <v/>
      </c>
      <c r="K4" s="66"/>
      <c r="L4" s="66"/>
      <c r="M4" s="66"/>
      <c r="N4" s="66"/>
      <c r="O4" s="66"/>
      <c r="P4" s="66"/>
      <c r="Q4" s="66"/>
      <c r="R4" s="66"/>
      <c r="S4" s="66"/>
      <c r="T4" s="66"/>
    </row>
    <row r="5" spans="1:20" ht="18" customHeight="1">
      <c r="B5" t="str">
        <f>"77-8068-0000"</f>
        <v>77-8068-0000</v>
      </c>
      <c r="C5" t="str">
        <f>"LM7 Content, Lab/Vir, Pneumatics 1 w/PneuFlex"</f>
        <v>LM7 Content, Lab/Vir, Pneumatics 1 w/PneuFlex</v>
      </c>
      <c r="D5" s="4"/>
      <c r="E5" s="4">
        <v>1</v>
      </c>
      <c r="F5" s="4"/>
      <c r="G5" s="29" t="str">
        <f>IFERROR(HYPERLINK("#"&amp;ADDRESS(MATCH(B5&amp;"ES",'LM7 Non-ENG'!$A$1:$A$5000,0),1,,,"LM7 Non-ENG"),IF(IFERROR(VLOOKUP(B5&amp;"ES",'LM7 Non-ENG'!$A$1:$A$4999,1,FALSE),"ERROR")=B5&amp;"ES","Y","")),"")</f>
        <v>Y</v>
      </c>
      <c r="H5" s="29" t="str">
        <f>IFERROR(HYPERLINK("#"&amp;ADDRESS(MATCH(B5&amp;"PT",'LM7 Non-ENG'!$A$1:$A$5000,0),1,,,"LM7 Non-ENG"),IF(IFERROR(VLOOKUP(B5&amp;"PT",'LM7 Non-ENG'!$A$1:$A$5000,1,FALSE),"ERROR")=B5&amp;"PT","Y","")),"")</f>
        <v>Y</v>
      </c>
      <c r="I5" t="str">
        <f>IFERROR(VLOOKUP(B5,PN!$A:$C,3,FALSE),"")</f>
        <v>Active</v>
      </c>
      <c r="J5" s="3">
        <f>IFERROR(E5*VLOOKUP(B5,PLInter!$A:$D,3,FALSE),"")</f>
        <v>2995</v>
      </c>
      <c r="K5" s="66"/>
      <c r="L5" s="66"/>
      <c r="M5" s="66"/>
      <c r="N5" s="66"/>
      <c r="O5" s="66"/>
      <c r="P5" s="66"/>
      <c r="Q5" s="66"/>
      <c r="R5" s="66"/>
      <c r="S5" s="66"/>
      <c r="T5" s="66"/>
    </row>
    <row r="6" spans="1:20" ht="18" customHeight="1">
      <c r="B6" s="2" t="str">
        <f>"17-8068-0000"</f>
        <v>17-8068-0000</v>
      </c>
      <c r="C6" s="2" t="str">
        <f>"LM5.X Content, Lab/Vir, Pneumatics 1 w/PneuFlex"</f>
        <v>LM5.X Content, Lab/Vir, Pneumatics 1 w/PneuFlex</v>
      </c>
      <c r="D6" s="5"/>
      <c r="E6" s="5">
        <v>1</v>
      </c>
      <c r="F6" s="5" t="str">
        <f>"Y"</f>
        <v>Y</v>
      </c>
      <c r="G6" s="29" t="str">
        <f>IFERROR(HYPERLINK("#"&amp;ADDRESS(MATCH(B6&amp;"ES",'LM7 Non-ENG'!$A$1:$A$5000,0),1,,,"LM7 Non-ENG"),IF(IFERROR(VLOOKUP(B6&amp;"ES",'LM7 Non-ENG'!$A$1:$A$4999,1,FALSE),"ERROR")=B6&amp;"ES","Y","")),"")</f>
        <v/>
      </c>
      <c r="H6" s="29" t="str">
        <f>IFERROR(HYPERLINK("#"&amp;ADDRESS(MATCH(B6&amp;"PT",'LM7 Non-ENG'!$A$1:$A$5000,0),1,,,"LM7 Non-ENG"),IF(IFERROR(VLOOKUP(B6&amp;"PT",'LM7 Non-ENG'!$A$1:$A$5000,1,FALSE),"ERROR")=B6&amp;"PT","Y","")),"")</f>
        <v/>
      </c>
      <c r="I6" t="str">
        <f>IFERROR(VLOOKUP(B6,PN!$A:$C,3,FALSE),"")</f>
        <v>Active</v>
      </c>
      <c r="J6" s="3">
        <f>IFERROR(E6*VLOOKUP(B6,PLInter!$A:$D,3,FALSE),"")</f>
        <v>2995</v>
      </c>
      <c r="K6" s="66"/>
      <c r="L6" s="66"/>
      <c r="M6" s="66"/>
      <c r="N6" s="66"/>
      <c r="O6" s="66"/>
      <c r="P6" s="66"/>
      <c r="Q6" s="66"/>
      <c r="R6" s="66"/>
      <c r="S6" s="66"/>
      <c r="T6" s="66"/>
    </row>
    <row r="7" spans="1:20" ht="18" customHeight="1">
      <c r="B7" t="str">
        <f>"63-9239-0000"</f>
        <v>63-9239-0000</v>
      </c>
      <c r="C7" t="str">
        <f>"PneuMotion Pneumatic Simulation Software Package"</f>
        <v>PneuMotion Pneumatic Simulation Software Package</v>
      </c>
      <c r="D7" s="4"/>
      <c r="E7" s="4">
        <v>1</v>
      </c>
      <c r="F7" s="4"/>
      <c r="G7" s="29" t="str">
        <f>IFERROR(HYPERLINK("#"&amp;ADDRESS(MATCH(B7&amp;"ES",'LM7 Non-ENG'!$A$1:$A$5000,0),1,,,"LM7 Non-ENG"),IF(IFERROR(VLOOKUP(B7&amp;"ES",'LM7 Non-ENG'!$A$1:$A$4999,1,FALSE),"ERROR")=B7&amp;"ES","Y","")),"")</f>
        <v/>
      </c>
      <c r="H7" s="29" t="str">
        <f>IFERROR(HYPERLINK("#"&amp;ADDRESS(MATCH(B7&amp;"PT",'LM7 Non-ENG'!$A$1:$A$5000,0),1,,,"LM7 Non-ENG"),IF(IFERROR(VLOOKUP(B7&amp;"PT",'LM7 Non-ENG'!$A$1:$A$5000,1,FALSE),"ERROR")=B7&amp;"PT","Y","")),"")</f>
        <v/>
      </c>
      <c r="I7" t="str">
        <f>IFERROR(VLOOKUP(B7,PN!$A:$C,3,FALSE),"")</f>
        <v>Active</v>
      </c>
      <c r="J7" s="3">
        <f>IFERROR(E7*VLOOKUP(B7,PLInter!$A:$D,3,FALSE),"")</f>
        <v>500</v>
      </c>
      <c r="K7" s="66"/>
      <c r="L7" s="66"/>
      <c r="M7" s="66"/>
      <c r="N7" s="66"/>
      <c r="O7" s="66"/>
      <c r="P7" s="66"/>
      <c r="Q7" s="66"/>
      <c r="R7" s="66"/>
      <c r="S7" s="66"/>
      <c r="T7" s="66"/>
    </row>
    <row r="8" spans="1:20" ht="18" customHeight="1">
      <c r="B8" t="str">
        <f>"63-7000-0800"</f>
        <v>63-7000-0800</v>
      </c>
      <c r="C8" t="str">
        <f>"License Key For Pneu Motion Software"</f>
        <v>License Key For Pneu Motion Software</v>
      </c>
      <c r="D8" s="4"/>
      <c r="E8" s="4">
        <v>1</v>
      </c>
      <c r="F8" s="4"/>
      <c r="G8" s="29" t="str">
        <f>IFERROR(HYPERLINK("#"&amp;ADDRESS(MATCH(B8&amp;"ES",'LM7 Non-ENG'!$A$1:$A$5000,0),1,,,"LM7 Non-ENG"),IF(IFERROR(VLOOKUP(B8&amp;"ES",'LM7 Non-ENG'!$A$1:$A$4999,1,FALSE),"ERROR")=B8&amp;"ES","Y","")),"")</f>
        <v/>
      </c>
      <c r="H8" s="29" t="str">
        <f>IFERROR(HYPERLINK("#"&amp;ADDRESS(MATCH(B8&amp;"PT",'LM7 Non-ENG'!$A$1:$A$5000,0),1,,,"LM7 Non-ENG"),IF(IFERROR(VLOOKUP(B8&amp;"PT",'LM7 Non-ENG'!$A$1:$A$5000,1,FALSE),"ERROR")=B8&amp;"PT","Y","")),"")</f>
        <v/>
      </c>
      <c r="I8" t="str">
        <f>IFERROR(VLOOKUP(B8,PN!$A:$C,3,FALSE),"")</f>
        <v>Active</v>
      </c>
      <c r="J8" s="3" t="str">
        <f>IFERROR(E8*VLOOKUP(B8,PLInter!$A:$D,3,FALSE),"")</f>
        <v/>
      </c>
      <c r="K8" s="66"/>
      <c r="L8" s="66"/>
      <c r="M8" s="66"/>
      <c r="N8" s="66"/>
      <c r="O8" s="66"/>
      <c r="P8" s="66"/>
      <c r="Q8" s="66"/>
      <c r="R8" s="66"/>
      <c r="S8" s="66"/>
      <c r="T8" s="66"/>
    </row>
    <row r="9" spans="1:20" ht="18" customHeight="1">
      <c r="G9" s="29" t="str">
        <f>IFERROR(HYPERLINK("#"&amp;ADDRESS(MATCH(B9&amp;"ES",'LM7 Non-ENG'!$A$1:$A$5000,0),1,,,"LM7 Non-ENG"),IF(IFERROR(VLOOKUP(B9&amp;"ES",'LM7 Non-ENG'!$A$1:$A$4999,1,FALSE),"ERROR")=B9&amp;"ES","Y","")),"")</f>
        <v/>
      </c>
      <c r="H9" s="29" t="str">
        <f>IFERROR(HYPERLINK("#"&amp;ADDRESS(MATCH(B9&amp;"PT",'LM7 Non-ENG'!$A$1:$A$5000,0),1,,,"LM7 Non-ENG"),IF(IFERROR(VLOOKUP(B9&amp;"PT",'LM7 Non-ENG'!$A$1:$A$5000,1,FALSE),"ERROR")=B9&amp;"PT","Y","")),"")</f>
        <v/>
      </c>
    </row>
    <row r="10" spans="1:20" s="7" customFormat="1" ht="18" customHeight="1">
      <c r="A10" s="13" t="s">
        <v>256</v>
      </c>
      <c r="B10" s="13"/>
      <c r="C10" s="13" t="s">
        <v>257</v>
      </c>
      <c r="D10" s="14"/>
      <c r="E10" s="14"/>
      <c r="F10" s="14"/>
      <c r="G10" s="14"/>
      <c r="H10" s="14"/>
      <c r="I10" s="14"/>
      <c r="J10" s="14">
        <f>SUMIFS(J11:J11,D11:D11,"&lt;&gt;Y",F11:F11,"&lt;&gt;Y",I11:I11,"&lt;&gt;Inactive",I11:I11,"&lt;&gt;ECO+NFS")</f>
        <v>2667</v>
      </c>
      <c r="K10" s="14"/>
      <c r="L10" s="14"/>
      <c r="M10" s="14"/>
      <c r="N10" s="14"/>
      <c r="O10" s="14"/>
      <c r="P10" s="14"/>
      <c r="Q10" s="14"/>
      <c r="R10" s="14"/>
      <c r="S10" s="14"/>
      <c r="T10" s="14"/>
    </row>
    <row r="11" spans="1:20" ht="18" customHeight="1">
      <c r="A11" s="17" t="str">
        <f>HYPERLINK("#"&amp;ADDRESS(MATCH(A10,'Automation &amp; Process Control'!$A$1:$A$4987,0),1,,,"Automation &amp; Process Control"),"Back to Price List")</f>
        <v>Back to Price List</v>
      </c>
      <c r="B11" t="str">
        <f>"00-1905-0000"</f>
        <v>00-1905-0000</v>
      </c>
      <c r="C11" t="str">
        <f>"PneuFlex P2 - Advanced Pneumatic package"</f>
        <v>PneuFlex P2 - Advanced Pneumatic package</v>
      </c>
      <c r="D11" s="4"/>
      <c r="E11" s="4">
        <v>1</v>
      </c>
      <c r="F11" s="4"/>
      <c r="G11" s="29" t="str">
        <f>IFERROR(HYPERLINK("#"&amp;ADDRESS(MATCH(B11&amp;"ES",'LM7 Non-ENG'!$A$1:$A$5000,0),1,,,"LM7 Non-ENG"),IF(IFERROR(VLOOKUP(B11&amp;"ES",'LM7 Non-ENG'!$A$1:$A$4999,1,FALSE),"ERROR")=B11&amp;"ES","Y","")),"")</f>
        <v/>
      </c>
      <c r="H11" s="29" t="str">
        <f>IFERROR(HYPERLINK("#"&amp;ADDRESS(MATCH(B11&amp;"PT",'LM7 Non-ENG'!$A$1:$A$5000,0),1,,,"LM7 Non-ENG"),IF(IFERROR(VLOOKUP(B11&amp;"PT",'LM7 Non-ENG'!$A$1:$A$5000,1,FALSE),"ERROR")=B11&amp;"PT","Y","")),"")</f>
        <v/>
      </c>
      <c r="I11" t="str">
        <f>IFERROR(VLOOKUP(B11,PN!$A:$C,3,FALSE),"")</f>
        <v>Active</v>
      </c>
      <c r="J11" s="3">
        <f>IFERROR(E11*VLOOKUP(B11,PLInter!$A:$D,3,FALSE),"")</f>
        <v>2667</v>
      </c>
      <c r="K11" s="68" t="s">
        <v>258</v>
      </c>
      <c r="L11" s="68"/>
      <c r="M11" s="68"/>
      <c r="N11" s="68"/>
      <c r="O11" s="68"/>
      <c r="P11" s="68"/>
      <c r="Q11" s="68"/>
      <c r="R11" s="68"/>
      <c r="S11" s="68"/>
      <c r="T11" s="68"/>
    </row>
    <row r="12" spans="1:20" ht="18" customHeight="1">
      <c r="G12" s="29" t="str">
        <f>IFERROR(HYPERLINK("#"&amp;ADDRESS(MATCH(B12&amp;"ES",'LM7 Non-ENG'!$A$1:$A$5000,0),1,,,"LM7 Non-ENG"),IF(IFERROR(VLOOKUP(B12&amp;"ES",'LM7 Non-ENG'!$A$1:$A$4999,1,FALSE),"ERROR")=B12&amp;"ES","Y","")),"")</f>
        <v/>
      </c>
      <c r="H12" s="29" t="str">
        <f>IFERROR(HYPERLINK("#"&amp;ADDRESS(MATCH(B12&amp;"PT",'LM7 Non-ENG'!$A$1:$A$5000,0),1,,,"LM7 Non-ENG"),IF(IFERROR(VLOOKUP(B12&amp;"PT",'LM7 Non-ENG'!$A$1:$A$5000,1,FALSE),"ERROR")=B12&amp;"PT","Y","")),"")</f>
        <v/>
      </c>
      <c r="K12" s="68"/>
      <c r="L12" s="68"/>
      <c r="M12" s="68"/>
      <c r="N12" s="68"/>
      <c r="O12" s="68"/>
      <c r="P12" s="68"/>
      <c r="Q12" s="68"/>
      <c r="R12" s="68"/>
      <c r="S12" s="68"/>
      <c r="T12" s="68"/>
    </row>
    <row r="13" spans="1:20" ht="18" customHeight="1">
      <c r="G13" s="29" t="str">
        <f>IFERROR(HYPERLINK("#"&amp;ADDRESS(MATCH(B13&amp;"ES",'LM7 Non-ENG'!$A$1:$A$5000,0),1,,,"LM7 Non-ENG"),IF(IFERROR(VLOOKUP(B13&amp;"ES",'LM7 Non-ENG'!$A$1:$A$4999,1,FALSE),"ERROR")=B13&amp;"ES","Y","")),"")</f>
        <v/>
      </c>
      <c r="H13" s="29" t="str">
        <f>IFERROR(HYPERLINK("#"&amp;ADDRESS(MATCH(B13&amp;"PT",'LM7 Non-ENG'!$A$1:$A$5000,0),1,,,"LM7 Non-ENG"),IF(IFERROR(VLOOKUP(B13&amp;"PT",'LM7 Non-ENG'!$A$1:$A$5000,1,FALSE),"ERROR")=B13&amp;"PT","Y","")),"")</f>
        <v/>
      </c>
    </row>
    <row r="14" spans="1:20" s="7" customFormat="1" ht="18" customHeight="1">
      <c r="A14" s="13" t="s">
        <v>259</v>
      </c>
      <c r="B14" s="13"/>
      <c r="C14" s="13" t="s">
        <v>260</v>
      </c>
      <c r="D14" s="14"/>
      <c r="E14" s="14"/>
      <c r="F14" s="14"/>
      <c r="G14" s="14" t="str">
        <f>IFERROR(HYPERLINK("#"&amp;ADDRESS(MATCH(B14&amp;"ES",'LM7 Non-ENG'!$A$1:$A$5000,0),1,,,"LM7 Non-ENG"),IF(IFERROR(VLOOKUP(B14&amp;"ES",'LM7 Non-ENG'!$A$1:$A$4999,1,FALSE),"ERROR")=B14&amp;"ES","Y","")),"")</f>
        <v/>
      </c>
      <c r="H14" s="14" t="str">
        <f>IFERROR(HYPERLINK("#"&amp;ADDRESS(MATCH(B14&amp;"PT",'LM7 Non-ENG'!$A$1:$A$5000,0),1,,,"LM7 Non-ENG"),IF(IFERROR(VLOOKUP(B14&amp;"PT",'LM7 Non-ENG'!$A$1:$A$5000,1,FALSE),"ERROR")=B14&amp;"PT","Y","")),"")</f>
        <v/>
      </c>
      <c r="I14" s="14"/>
      <c r="J14" s="14">
        <f>SUMIFS(J15:J20,D15:D20,"&lt;&gt;Y",F15:F20,"&lt;&gt;Y",I15:I20,"&lt;&gt;Inactive",I15:I20,"&lt;&gt;ECO+NFS")</f>
        <v>13590</v>
      </c>
      <c r="K14" s="14"/>
      <c r="L14" s="14"/>
      <c r="M14" s="14"/>
      <c r="N14" s="14"/>
      <c r="O14" s="14"/>
      <c r="P14" s="14"/>
      <c r="Q14" s="14"/>
      <c r="R14" s="14"/>
      <c r="S14" s="14"/>
      <c r="T14" s="14"/>
    </row>
    <row r="15" spans="1:20" ht="18" customHeight="1">
      <c r="A15" s="17" t="str">
        <f>HYPERLINK("#"&amp;ADDRESS(MATCH(A14,'Automation &amp; Process Control'!$A$1:$A$4987,0),1,,,"Automation &amp; Process Control"),"Back to Price List")</f>
        <v>Back to Price List</v>
      </c>
      <c r="B15" t="str">
        <f>"00-2105-0000"</f>
        <v>00-2105-0000</v>
      </c>
      <c r="C15" t="str">
        <f>"HydraFlex H1 Basic Hydraulic Package incl. panel"</f>
        <v>HydraFlex H1 Basic Hydraulic Package incl. panel</v>
      </c>
      <c r="D15" s="4"/>
      <c r="E15" s="4">
        <v>1</v>
      </c>
      <c r="F15" s="4"/>
      <c r="G15" s="29" t="str">
        <f>IFERROR(HYPERLINK("#"&amp;ADDRESS(MATCH(B15&amp;"ES",'LM7 Non-ENG'!$A$1:$A$5000,0),1,,,"LM7 Non-ENG"),IF(IFERROR(VLOOKUP(B15&amp;"ES",'LM7 Non-ENG'!$A$1:$A$4999,1,FALSE),"ERROR")=B15&amp;"ES","Y","")),"")</f>
        <v/>
      </c>
      <c r="H15" s="29" t="str">
        <f>IFERROR(HYPERLINK("#"&amp;ADDRESS(MATCH(B15&amp;"PT",'LM7 Non-ENG'!$A$1:$A$5000,0),1,,,"LM7 Non-ENG"),IF(IFERROR(VLOOKUP(B15&amp;"PT",'LM7 Non-ENG'!$A$1:$A$5000,1,FALSE),"ERROR")=B15&amp;"PT","Y","")),"")</f>
        <v/>
      </c>
      <c r="I15" t="str">
        <f>IFERROR(VLOOKUP(B15,PN!$A:$C,3,FALSE),"")</f>
        <v>Active</v>
      </c>
      <c r="J15" s="3">
        <f>IFERROR(E15*VLOOKUP(B15,PLInter!$A:$D,3,FALSE),"")</f>
        <v>8435</v>
      </c>
      <c r="K15" s="68" t="s">
        <v>262</v>
      </c>
      <c r="L15" s="68"/>
      <c r="M15" s="68"/>
      <c r="N15" s="68"/>
      <c r="O15" s="68"/>
      <c r="P15" s="68"/>
      <c r="Q15" s="68"/>
      <c r="R15" s="68"/>
      <c r="S15" s="68"/>
      <c r="T15" s="68"/>
    </row>
    <row r="16" spans="1:20" ht="18" customHeight="1">
      <c r="B16" s="1" t="str">
        <f>"10-2542-7000"</f>
        <v>10-2542-7000</v>
      </c>
      <c r="C16" s="1" t="str">
        <f>"Oil collector tray for HydraFlex T-slot panel"</f>
        <v>Oil collector tray for HydraFlex T-slot panel</v>
      </c>
      <c r="D16" s="6" t="s">
        <v>0</v>
      </c>
      <c r="E16" s="6">
        <v>1</v>
      </c>
      <c r="F16" s="6"/>
      <c r="G16" s="29" t="str">
        <f>IFERROR(HYPERLINK("#"&amp;ADDRESS(MATCH(B16&amp;"ES",'LM7 Non-ENG'!$A$1:$A$5000,0),1,,,"LM7 Non-ENG"),IF(IFERROR(VLOOKUP(B16&amp;"ES",'LM7 Non-ENG'!$A$1:$A$4999,1,FALSE),"ERROR")=B16&amp;"ES","Y","")),"")</f>
        <v/>
      </c>
      <c r="H16" s="29" t="str">
        <f>IFERROR(HYPERLINK("#"&amp;ADDRESS(MATCH(B16&amp;"PT",'LM7 Non-ENG'!$A$1:$A$5000,0),1,,,"LM7 Non-ENG"),IF(IFERROR(VLOOKUP(B16&amp;"PT",'LM7 Non-ENG'!$A$1:$A$5000,1,FALSE),"ERROR")=B16&amp;"PT","Y","")),"")</f>
        <v/>
      </c>
      <c r="I16" t="str">
        <f>IFERROR(VLOOKUP(B16,PN!$A:$C,3,FALSE),"")</f>
        <v>Active</v>
      </c>
      <c r="J16" s="3">
        <f>IFERROR(E16*VLOOKUP(B16,PLInter!$A:$D,3,FALSE),"")</f>
        <v>294</v>
      </c>
      <c r="K16" s="68"/>
      <c r="L16" s="68"/>
      <c r="M16" s="68"/>
      <c r="N16" s="68"/>
      <c r="O16" s="68"/>
      <c r="P16" s="68"/>
      <c r="Q16" s="68"/>
      <c r="R16" s="68"/>
      <c r="S16" s="68"/>
      <c r="T16" s="68"/>
    </row>
    <row r="17" spans="1:20" ht="18" customHeight="1">
      <c r="B17" t="str">
        <f>"77-8008-0000"</f>
        <v>77-8008-0000</v>
      </c>
      <c r="C17" t="str">
        <f>"LM7 Content, Lab/Vir, Hydraulics 1 w/HydraFlex"</f>
        <v>LM7 Content, Lab/Vir, Hydraulics 1 w/HydraFlex</v>
      </c>
      <c r="D17" s="4"/>
      <c r="E17" s="4">
        <v>1</v>
      </c>
      <c r="F17" s="4"/>
      <c r="G17" s="29" t="str">
        <f>IFERROR(HYPERLINK("#"&amp;ADDRESS(MATCH(B17&amp;"ES",'LM7 Non-ENG'!$A$1:$A$5000,0),1,,,"LM7 Non-ENG"),IF(IFERROR(VLOOKUP(B17&amp;"ES",'LM7 Non-ENG'!$A$1:$A$4999,1,FALSE),"ERROR")=B17&amp;"ES","Y","")),"")</f>
        <v>Y</v>
      </c>
      <c r="H17" s="29" t="str">
        <f>IFERROR(HYPERLINK("#"&amp;ADDRESS(MATCH(B17&amp;"PT",'LM7 Non-ENG'!$A$1:$A$5000,0),1,,,"LM7 Non-ENG"),IF(IFERROR(VLOOKUP(B17&amp;"PT",'LM7 Non-ENG'!$A$1:$A$5000,1,FALSE),"ERROR")=B17&amp;"PT","Y","")),"")</f>
        <v>Y</v>
      </c>
      <c r="I17" t="str">
        <f>IFERROR(VLOOKUP(B17,PN!$A:$C,3,FALSE),"")</f>
        <v>Active</v>
      </c>
      <c r="J17" s="3">
        <f>IFERROR(E17*VLOOKUP(B17,PLInter!$A:$D,3,FALSE),"")</f>
        <v>2995</v>
      </c>
      <c r="K17" s="68"/>
      <c r="L17" s="68"/>
      <c r="M17" s="68"/>
      <c r="N17" s="68"/>
      <c r="O17" s="68"/>
      <c r="P17" s="68"/>
      <c r="Q17" s="68"/>
      <c r="R17" s="68"/>
      <c r="S17" s="68"/>
      <c r="T17" s="68"/>
    </row>
    <row r="18" spans="1:20" ht="18" customHeight="1">
      <c r="B18" s="2" t="str">
        <f>"17-8008-0000"</f>
        <v>17-8008-0000</v>
      </c>
      <c r="C18" s="2" t="str">
        <f>"LM5.X Content, Lab/Vir, Hydraulics 1 w/HydraFlex"</f>
        <v>LM5.X Content, Lab/Vir, Hydraulics 1 w/HydraFlex</v>
      </c>
      <c r="D18" s="5"/>
      <c r="E18" s="5">
        <v>1</v>
      </c>
      <c r="F18" s="5" t="str">
        <f>"Y"</f>
        <v>Y</v>
      </c>
      <c r="G18" s="29" t="str">
        <f>IFERROR(HYPERLINK("#"&amp;ADDRESS(MATCH(B18&amp;"ES",'LM7 Non-ENG'!$A$1:$A$5000,0),1,,,"LM7 Non-ENG"),IF(IFERROR(VLOOKUP(B18&amp;"ES",'LM7 Non-ENG'!$A$1:$A$4999,1,FALSE),"ERROR")=B18&amp;"ES","Y","")),"")</f>
        <v/>
      </c>
      <c r="H18" s="29" t="str">
        <f>IFERROR(HYPERLINK("#"&amp;ADDRESS(MATCH(B18&amp;"PT",'LM7 Non-ENG'!$A$1:$A$5000,0),1,,,"LM7 Non-ENG"),IF(IFERROR(VLOOKUP(B18&amp;"PT",'LM7 Non-ENG'!$A$1:$A$5000,1,FALSE),"ERROR")=B18&amp;"PT","Y","")),"")</f>
        <v/>
      </c>
      <c r="I18" t="str">
        <f>IFERROR(VLOOKUP(B18,PN!$A:$C,3,FALSE),"")</f>
        <v>Active</v>
      </c>
      <c r="J18" s="3">
        <f>IFERROR(E18*VLOOKUP(B18,PLInter!$A:$D,3,FALSE),"")</f>
        <v>2995</v>
      </c>
      <c r="K18" s="68"/>
      <c r="L18" s="68"/>
      <c r="M18" s="68"/>
      <c r="N18" s="68"/>
      <c r="O18" s="68"/>
      <c r="P18" s="68"/>
      <c r="Q18" s="68"/>
      <c r="R18" s="68"/>
      <c r="S18" s="68"/>
      <c r="T18" s="68"/>
    </row>
    <row r="19" spans="1:20" ht="18" customHeight="1">
      <c r="B19" t="str">
        <f>"22-0004-0001"</f>
        <v>22-0004-0001</v>
      </c>
      <c r="C19" t="str">
        <f>"Assembly, Hydraulic Power Unit w/Switch, 110V"</f>
        <v>Assembly, Hydraulic Power Unit w/Switch, 110V</v>
      </c>
      <c r="D19" s="4"/>
      <c r="E19" s="4">
        <v>1</v>
      </c>
      <c r="F19" s="4"/>
      <c r="G19" s="29" t="str">
        <f>IFERROR(HYPERLINK("#"&amp;ADDRESS(MATCH(B19&amp;"ES",'LM7 Non-ENG'!$A$1:$A$5000,0),1,,,"LM7 Non-ENG"),IF(IFERROR(VLOOKUP(B19&amp;"ES",'LM7 Non-ENG'!$A$1:$A$4999,1,FALSE),"ERROR")=B19&amp;"ES","Y","")),"")</f>
        <v/>
      </c>
      <c r="H19" s="29" t="str">
        <f>IFERROR(HYPERLINK("#"&amp;ADDRESS(MATCH(B19&amp;"PT",'LM7 Non-ENG'!$A$1:$A$5000,0),1,,,"LM7 Non-ENG"),IF(IFERROR(VLOOKUP(B19&amp;"PT",'LM7 Non-ENG'!$A$1:$A$5000,1,FALSE),"ERROR")=B19&amp;"PT","Y","")),"")</f>
        <v/>
      </c>
      <c r="I19" t="str">
        <f>IFERROR(VLOOKUP(B19,PN!$A:$C,3,FALSE),"")</f>
        <v>Active</v>
      </c>
      <c r="J19" s="3">
        <f>IFERROR(E19*VLOOKUP(B19,PLInter!$A:$D,3,FALSE),"")</f>
        <v>2160</v>
      </c>
      <c r="K19" s="68"/>
      <c r="L19" s="68"/>
      <c r="M19" s="68"/>
      <c r="N19" s="68"/>
      <c r="O19" s="68"/>
      <c r="P19" s="68"/>
      <c r="Q19" s="68"/>
      <c r="R19" s="68"/>
      <c r="S19" s="68"/>
      <c r="T19" s="68"/>
    </row>
    <row r="20" spans="1:20" ht="18" customHeight="1">
      <c r="B20" s="2" t="str">
        <f>"22-0004-0002"</f>
        <v>22-0004-0002</v>
      </c>
      <c r="C20" s="2" t="str">
        <f>"Hydraulic Power Unit Assy. w/Switch, 220V"</f>
        <v>Hydraulic Power Unit Assy. w/Switch, 220V</v>
      </c>
      <c r="D20" s="5"/>
      <c r="E20" s="5">
        <v>0</v>
      </c>
      <c r="F20" s="5" t="str">
        <f>"Y"</f>
        <v>Y</v>
      </c>
      <c r="G20" s="29" t="str">
        <f>IFERROR(HYPERLINK("#"&amp;ADDRESS(MATCH(B20&amp;"ES",'LM7 Non-ENG'!$A$1:$A$5000,0),1,,,"LM7 Non-ENG"),IF(IFERROR(VLOOKUP(B20&amp;"ES",'LM7 Non-ENG'!$A$1:$A$4999,1,FALSE),"ERROR")=B20&amp;"ES","Y","")),"")</f>
        <v/>
      </c>
      <c r="H20" s="29" t="str">
        <f>IFERROR(HYPERLINK("#"&amp;ADDRESS(MATCH(B20&amp;"PT",'LM7 Non-ENG'!$A$1:$A$5000,0),1,,,"LM7 Non-ENG"),IF(IFERROR(VLOOKUP(B20&amp;"PT",'LM7 Non-ENG'!$A$1:$A$5000,1,FALSE),"ERROR")=B20&amp;"PT","Y","")),"")</f>
        <v/>
      </c>
      <c r="I20" t="str">
        <f>IFERROR(VLOOKUP(B20,PN!$A:$C,3,FALSE),"")</f>
        <v>Active</v>
      </c>
      <c r="J20" s="3" t="str">
        <f>IFERROR(E20*VLOOKUP(B20,PLInter!$A:$D,3,FALSE),"")</f>
        <v/>
      </c>
      <c r="K20" s="68"/>
      <c r="L20" s="68"/>
      <c r="M20" s="68"/>
      <c r="N20" s="68"/>
      <c r="O20" s="68"/>
      <c r="P20" s="68"/>
      <c r="Q20" s="68"/>
      <c r="R20" s="68"/>
      <c r="S20" s="68"/>
      <c r="T20" s="68"/>
    </row>
    <row r="21" spans="1:20" ht="18" customHeight="1">
      <c r="G21" s="29" t="str">
        <f>IFERROR(HYPERLINK("#"&amp;ADDRESS(MATCH(B21&amp;"ES",'LM7 Non-ENG'!$A$1:$A$5000,0),1,,,"LM7 Non-ENG"),IF(IFERROR(VLOOKUP(B21&amp;"ES",'LM7 Non-ENG'!$A$1:$A$4999,1,FALSE),"ERROR")=B21&amp;"ES","Y","")),"")</f>
        <v/>
      </c>
      <c r="H21" s="29" t="str">
        <f>IFERROR(HYPERLINK("#"&amp;ADDRESS(MATCH(B21&amp;"PT",'LM7 Non-ENG'!$A$1:$A$5000,0),1,,,"LM7 Non-ENG"),IF(IFERROR(VLOOKUP(B21&amp;"PT",'LM7 Non-ENG'!$A$1:$A$5000,1,FALSE),"ERROR")=B21&amp;"PT","Y","")),"")</f>
        <v/>
      </c>
    </row>
    <row r="22" spans="1:20" s="7" customFormat="1" ht="18" customHeight="1">
      <c r="A22" s="13" t="s">
        <v>261</v>
      </c>
      <c r="B22" s="13"/>
      <c r="C22" s="13" t="s">
        <v>263</v>
      </c>
      <c r="D22" s="14"/>
      <c r="E22" s="14"/>
      <c r="F22" s="14"/>
      <c r="G22" s="14" t="str">
        <f>IFERROR(HYPERLINK("#"&amp;ADDRESS(MATCH(B22&amp;"ES",'LM7 Non-ENG'!$A$1:$A$5000,0),1,,,"LM7 Non-ENG"),IF(IFERROR(VLOOKUP(B22&amp;"ES",'LM7 Non-ENG'!$A$1:$A$4999,1,FALSE),"ERROR")=B22&amp;"ES","Y","")),"")</f>
        <v/>
      </c>
      <c r="H22" s="14" t="str">
        <f>IFERROR(HYPERLINK("#"&amp;ADDRESS(MATCH(B22&amp;"PT",'LM7 Non-ENG'!$A$1:$A$5000,0),1,,,"LM7 Non-ENG"),IF(IFERROR(VLOOKUP(B22&amp;"PT",'LM7 Non-ENG'!$A$1:$A$5000,1,FALSE),"ERROR")=B22&amp;"PT","Y","")),"")</f>
        <v/>
      </c>
      <c r="I22" s="14"/>
      <c r="J22" s="14">
        <f>SUMIFS(J23:J29,D23:D29,"&lt;&gt;Y",F23:F29,"&lt;&gt;Y",I23:I29,"&lt;&gt;Inactive",I23:I29,"&lt;&gt;ECO+NFS")</f>
        <v>16030.25</v>
      </c>
      <c r="K22" s="14"/>
      <c r="L22" s="14"/>
      <c r="M22" s="14"/>
      <c r="N22" s="14"/>
      <c r="O22" s="14"/>
      <c r="P22" s="14"/>
      <c r="Q22" s="14"/>
      <c r="R22" s="14"/>
      <c r="S22" s="14"/>
      <c r="T22" s="14"/>
    </row>
    <row r="23" spans="1:20" ht="18" customHeight="1">
      <c r="A23" s="17" t="str">
        <f>HYPERLINK("#"&amp;ADDRESS(MATCH(A22,'Automation &amp; Process Control'!$A$1:$A$4987,0),1,,,"Automation &amp; Process Control"),"Back to Price List")</f>
        <v>Back to Price List</v>
      </c>
      <c r="B23" t="str">
        <f>"00-2105-0000"</f>
        <v>00-2105-0000</v>
      </c>
      <c r="C23" t="str">
        <f>"HydraFlex H1 Basic Hydraulic Package incl. panel"</f>
        <v>HydraFlex H1 Basic Hydraulic Package incl. panel</v>
      </c>
      <c r="D23" s="4"/>
      <c r="E23" s="4">
        <v>1</v>
      </c>
      <c r="F23" s="4"/>
      <c r="G23" s="29" t="str">
        <f>IFERROR(HYPERLINK("#"&amp;ADDRESS(MATCH(B23&amp;"ES",'LM7 Non-ENG'!$A$1:$A$5000,0),1,,,"LM7 Non-ENG"),IF(IFERROR(VLOOKUP(B23&amp;"ES",'LM7 Non-ENG'!$A$1:$A$4999,1,FALSE),"ERROR")=B23&amp;"ES","Y","")),"")</f>
        <v/>
      </c>
      <c r="H23" s="29" t="str">
        <f>IFERROR(HYPERLINK("#"&amp;ADDRESS(MATCH(B23&amp;"PT",'LM7 Non-ENG'!$A$1:$A$5000,0),1,,,"LM7 Non-ENG"),IF(IFERROR(VLOOKUP(B23&amp;"PT",'LM7 Non-ENG'!$A$1:$A$5000,1,FALSE),"ERROR")=B23&amp;"PT","Y","")),"")</f>
        <v/>
      </c>
      <c r="I23" t="str">
        <f>IFERROR(VLOOKUP(B23,PN!$A:$C,3,FALSE),"")</f>
        <v>Active</v>
      </c>
      <c r="J23" s="3">
        <f>IFERROR(E23*VLOOKUP(B23,PLInter!$A:$D,3,FALSE),"")</f>
        <v>8435</v>
      </c>
      <c r="K23" s="68" t="s">
        <v>262</v>
      </c>
      <c r="L23" s="68"/>
      <c r="M23" s="68"/>
      <c r="N23" s="68"/>
      <c r="O23" s="68"/>
      <c r="P23" s="68"/>
      <c r="Q23" s="68"/>
      <c r="R23" s="68"/>
      <c r="S23" s="68"/>
      <c r="T23" s="68"/>
    </row>
    <row r="24" spans="1:20" ht="18" customHeight="1">
      <c r="B24" t="str">
        <f>"10-2542-7000"</f>
        <v>10-2542-7000</v>
      </c>
      <c r="C24" t="str">
        <f>"Oil collector tray for HydraFlex T-slot panel"</f>
        <v>Oil collector tray for HydraFlex T-slot panel</v>
      </c>
      <c r="D24" s="4"/>
      <c r="E24" s="4">
        <v>1</v>
      </c>
      <c r="F24" s="4"/>
      <c r="G24" s="29" t="str">
        <f>IFERROR(HYPERLINK("#"&amp;ADDRESS(MATCH(B24&amp;"ES",'LM7 Non-ENG'!$A$1:$A$5000,0),1,,,"LM7 Non-ENG"),IF(IFERROR(VLOOKUP(B24&amp;"ES",'LM7 Non-ENG'!$A$1:$A$4999,1,FALSE),"ERROR")=B24&amp;"ES","Y","")),"")</f>
        <v/>
      </c>
      <c r="H24" s="29" t="str">
        <f>IFERROR(HYPERLINK("#"&amp;ADDRESS(MATCH(B24&amp;"PT",'LM7 Non-ENG'!$A$1:$A$5000,0),1,,,"LM7 Non-ENG"),IF(IFERROR(VLOOKUP(B24&amp;"PT",'LM7 Non-ENG'!$A$1:$A$5000,1,FALSE),"ERROR")=B24&amp;"PT","Y","")),"")</f>
        <v/>
      </c>
      <c r="I24" t="str">
        <f>IFERROR(VLOOKUP(B24,PN!$A:$C,3,FALSE),"")</f>
        <v>Active</v>
      </c>
      <c r="J24" s="3">
        <f>IFERROR(E24*VLOOKUP(B24,PLInter!$A:$D,3,FALSE),"")</f>
        <v>294</v>
      </c>
      <c r="K24" s="68"/>
      <c r="L24" s="68"/>
      <c r="M24" s="68"/>
      <c r="N24" s="68"/>
      <c r="O24" s="68"/>
      <c r="P24" s="68"/>
      <c r="Q24" s="68"/>
      <c r="R24" s="68"/>
      <c r="S24" s="68"/>
      <c r="T24" s="68"/>
    </row>
    <row r="25" spans="1:20" ht="18" customHeight="1">
      <c r="B25" t="str">
        <f>"77-8008-0000"</f>
        <v>77-8008-0000</v>
      </c>
      <c r="C25" t="str">
        <f>"LM7 Content, Lab/Vir, Hydraulics 1 w/HydraFlex"</f>
        <v>LM7 Content, Lab/Vir, Hydraulics 1 w/HydraFlex</v>
      </c>
      <c r="D25" s="4"/>
      <c r="E25" s="4">
        <v>1</v>
      </c>
      <c r="F25" s="4"/>
      <c r="G25" s="29" t="str">
        <f>IFERROR(HYPERLINK("#"&amp;ADDRESS(MATCH(B25&amp;"ES",'LM7 Non-ENG'!$A$1:$A$5000,0),1,,,"LM7 Non-ENG"),IF(IFERROR(VLOOKUP(B25&amp;"ES",'LM7 Non-ENG'!$A$1:$A$4999,1,FALSE),"ERROR")=B25&amp;"ES","Y","")),"")</f>
        <v>Y</v>
      </c>
      <c r="H25" s="29" t="str">
        <f>IFERROR(HYPERLINK("#"&amp;ADDRESS(MATCH(B25&amp;"PT",'LM7 Non-ENG'!$A$1:$A$5000,0),1,,,"LM7 Non-ENG"),IF(IFERROR(VLOOKUP(B25&amp;"PT",'LM7 Non-ENG'!$A$1:$A$5000,1,FALSE),"ERROR")=B25&amp;"PT","Y","")),"")</f>
        <v>Y</v>
      </c>
      <c r="I25" t="str">
        <f>IFERROR(VLOOKUP(B25,PN!$A:$C,3,FALSE),"")</f>
        <v>Active</v>
      </c>
      <c r="J25" s="3">
        <f>IFERROR(E25*VLOOKUP(B25,PLInter!$A:$D,3,FALSE),"")</f>
        <v>2995</v>
      </c>
      <c r="K25" s="68"/>
      <c r="L25" s="68"/>
      <c r="M25" s="68"/>
      <c r="N25" s="68"/>
      <c r="O25" s="68"/>
      <c r="P25" s="68"/>
      <c r="Q25" s="68"/>
      <c r="R25" s="68"/>
      <c r="S25" s="68"/>
      <c r="T25" s="68"/>
    </row>
    <row r="26" spans="1:20" ht="18" customHeight="1">
      <c r="B26" t="str">
        <f>"10-2540-1000"</f>
        <v>10-2540-1000</v>
      </c>
      <c r="C26" t="str">
        <f>"Hyd.Power Pack,Tank 10L,0.75kW,3.5L,220V"</f>
        <v>Hyd.Power Pack,Tank 10L,0.75kW,3.5L,220V</v>
      </c>
      <c r="D26" s="4"/>
      <c r="E26" s="4">
        <v>1</v>
      </c>
      <c r="F26" s="4"/>
      <c r="G26" s="29" t="str">
        <f>IFERROR(HYPERLINK("#"&amp;ADDRESS(MATCH(B26&amp;"ES",'LM7 Non-ENG'!$A$1:$A$5000,0),1,,,"LM7 Non-ENG"),IF(IFERROR(VLOOKUP(B26&amp;"ES",'LM7 Non-ENG'!$A$1:$A$4999,1,FALSE),"ERROR")=B26&amp;"ES","Y","")),"")</f>
        <v/>
      </c>
      <c r="H26" s="29" t="str">
        <f>IFERROR(HYPERLINK("#"&amp;ADDRESS(MATCH(B26&amp;"PT",'LM7 Non-ENG'!$A$1:$A$5000,0),1,,,"LM7 Non-ENG"),IF(IFERROR(VLOOKUP(B26&amp;"PT",'LM7 Non-ENG'!$A$1:$A$5000,1,FALSE),"ERROR")=B26&amp;"PT","Y","")),"")</f>
        <v/>
      </c>
      <c r="I26" t="str">
        <f>IFERROR(VLOOKUP(B26,PN!$A:$C,3,FALSE),"")</f>
        <v>Active</v>
      </c>
      <c r="J26" s="3">
        <f>IFERROR(E26*VLOOKUP(B26,PLInter!$A:$D,3,FALSE),"")</f>
        <v>3806.25</v>
      </c>
      <c r="K26" s="68"/>
      <c r="L26" s="68"/>
      <c r="M26" s="68"/>
      <c r="N26" s="68"/>
      <c r="O26" s="68"/>
      <c r="P26" s="68"/>
      <c r="Q26" s="68"/>
      <c r="R26" s="68"/>
      <c r="S26" s="68"/>
      <c r="T26" s="68"/>
    </row>
    <row r="27" spans="1:20" ht="18" customHeight="1">
      <c r="B27" t="str">
        <f>"34-8008-9000"</f>
        <v>34-8008-9000</v>
      </c>
      <c r="C27" t="str">
        <f>"Install Guide, Hydraulics 1 w/ HydaFlex, LM Lab"</f>
        <v>Install Guide, Hydraulics 1 w/ HydaFlex, LM Lab</v>
      </c>
      <c r="D27" s="4"/>
      <c r="E27" s="4">
        <v>1</v>
      </c>
      <c r="F27" s="4"/>
      <c r="G27" s="29" t="str">
        <f>IFERROR(HYPERLINK("#"&amp;ADDRESS(MATCH(B27&amp;"ES",'LM7 Non-ENG'!$A$1:$A$5000,0),1,,,"LM7 Non-ENG"),IF(IFERROR(VLOOKUP(B27&amp;"ES",'LM7 Non-ENG'!$A$1:$A$4999,1,FALSE),"ERROR")=B27&amp;"ES","Y","")),"")</f>
        <v/>
      </c>
      <c r="H27" s="29" t="str">
        <f>IFERROR(HYPERLINK("#"&amp;ADDRESS(MATCH(B27&amp;"PT",'LM7 Non-ENG'!$A$1:$A$5000,0),1,,,"LM7 Non-ENG"),IF(IFERROR(VLOOKUP(B27&amp;"PT",'LM7 Non-ENG'!$A$1:$A$5000,1,FALSE),"ERROR")=B27&amp;"PT","Y","")),"")</f>
        <v/>
      </c>
      <c r="I27" t="str">
        <f>IFERROR(VLOOKUP(B27,PN!$A:$C,3,FALSE),"")</f>
        <v>Active</v>
      </c>
      <c r="J27" s="3">
        <f>IFERROR(E27*VLOOKUP(B27,PLInter!$A:$D,3,FALSE),"")</f>
        <v>0</v>
      </c>
      <c r="K27" s="68"/>
      <c r="L27" s="68"/>
      <c r="M27" s="68"/>
      <c r="N27" s="68"/>
      <c r="O27" s="68"/>
      <c r="P27" s="68"/>
      <c r="Q27" s="68"/>
      <c r="R27" s="68"/>
      <c r="S27" s="68"/>
      <c r="T27" s="68"/>
    </row>
    <row r="28" spans="1:20" ht="18" customHeight="1">
      <c r="B28" t="str">
        <f>"63-9240-0000"</f>
        <v>63-9240-0000</v>
      </c>
      <c r="C28" t="str">
        <f>"HydraMotion Hydraulic Simulation Softw. Package"</f>
        <v>HydraMotion Hydraulic Simulation Softw. Package</v>
      </c>
      <c r="D28" s="4"/>
      <c r="E28" s="4">
        <v>1</v>
      </c>
      <c r="F28" s="4"/>
      <c r="G28" s="29" t="str">
        <f>IFERROR(HYPERLINK("#"&amp;ADDRESS(MATCH(B28&amp;"ES",'LM7 Non-ENG'!$A$1:$A$5000,0),1,,,"LM7 Non-ENG"),IF(IFERROR(VLOOKUP(B28&amp;"ES",'LM7 Non-ENG'!$A$1:$A$4999,1,FALSE),"ERROR")=B28&amp;"ES","Y","")),"")</f>
        <v/>
      </c>
      <c r="H28" s="29" t="str">
        <f>IFERROR(HYPERLINK("#"&amp;ADDRESS(MATCH(B28&amp;"PT",'LM7 Non-ENG'!$A$1:$A$5000,0),1,,,"LM7 Non-ENG"),IF(IFERROR(VLOOKUP(B28&amp;"PT",'LM7 Non-ENG'!$A$1:$A$5000,1,FALSE),"ERROR")=B28&amp;"PT","Y","")),"")</f>
        <v/>
      </c>
      <c r="I28" t="str">
        <f>IFERROR(VLOOKUP(B28,PN!$A:$C,3,FALSE),"")</f>
        <v>Active</v>
      </c>
      <c r="J28" s="3">
        <f>IFERROR(E28*VLOOKUP(B28,PLInter!$A:$D,3,FALSE),"")</f>
        <v>500</v>
      </c>
      <c r="K28" s="68"/>
      <c r="L28" s="68"/>
      <c r="M28" s="68"/>
      <c r="N28" s="68"/>
      <c r="O28" s="68"/>
      <c r="P28" s="68"/>
      <c r="Q28" s="68"/>
      <c r="R28" s="68"/>
      <c r="S28" s="68"/>
      <c r="T28" s="68"/>
    </row>
    <row r="29" spans="1:20" ht="18" customHeight="1">
      <c r="B29" t="str">
        <f>"63-7000-0900"</f>
        <v>63-7000-0900</v>
      </c>
      <c r="C29" t="str">
        <f>"License Key For HydraMotion Software"</f>
        <v>License Key For HydraMotion Software</v>
      </c>
      <c r="D29" s="4"/>
      <c r="E29" s="4">
        <v>1</v>
      </c>
      <c r="F29" s="4"/>
      <c r="G29" s="29" t="str">
        <f>IFERROR(HYPERLINK("#"&amp;ADDRESS(MATCH(B29&amp;"ES",'LM7 Non-ENG'!$A$1:$A$5000,0),1,,,"LM7 Non-ENG"),IF(IFERROR(VLOOKUP(B29&amp;"ES",'LM7 Non-ENG'!$A$1:$A$4999,1,FALSE),"ERROR")=B29&amp;"ES","Y","")),"")</f>
        <v/>
      </c>
      <c r="H29" s="29" t="str">
        <f>IFERROR(HYPERLINK("#"&amp;ADDRESS(MATCH(B29&amp;"PT",'LM7 Non-ENG'!$A$1:$A$5000,0),1,,,"LM7 Non-ENG"),IF(IFERROR(VLOOKUP(B29&amp;"PT",'LM7 Non-ENG'!$A$1:$A$5000,1,FALSE),"ERROR")=B29&amp;"PT","Y","")),"")</f>
        <v/>
      </c>
      <c r="I29" t="str">
        <f>IFERROR(VLOOKUP(B29,PN!$A:$C,3,FALSE),"")</f>
        <v>Active</v>
      </c>
      <c r="J29" s="3" t="str">
        <f>IFERROR(E29*VLOOKUP(B29,PLInter!$A:$D,3,FALSE),"")</f>
        <v/>
      </c>
      <c r="K29" s="68"/>
      <c r="L29" s="68"/>
      <c r="M29" s="68"/>
      <c r="N29" s="68"/>
      <c r="O29" s="68"/>
      <c r="P29" s="68"/>
      <c r="Q29" s="68"/>
      <c r="R29" s="68"/>
      <c r="S29" s="68"/>
      <c r="T29" s="68"/>
    </row>
    <row r="30" spans="1:20" ht="18" customHeight="1">
      <c r="G30" s="29" t="str">
        <f>IFERROR(HYPERLINK("#"&amp;ADDRESS(MATCH(B30&amp;"ES",'LM7 Non-ENG'!$A$1:$A$5000,0),1,,,"LM7 Non-ENG"),IF(IFERROR(VLOOKUP(B30&amp;"ES",'LM7 Non-ENG'!$A$1:$A$4999,1,FALSE),"ERROR")=B30&amp;"ES","Y","")),"")</f>
        <v/>
      </c>
      <c r="H30" s="29" t="str">
        <f>IFERROR(HYPERLINK("#"&amp;ADDRESS(MATCH(B30&amp;"PT",'LM7 Non-ENG'!$A$1:$A$5000,0),1,,,"LM7 Non-ENG"),IF(IFERROR(VLOOKUP(B30&amp;"PT",'LM7 Non-ENG'!$A$1:$A$5000,1,FALSE),"ERROR")=B30&amp;"PT","Y","")),"")</f>
        <v/>
      </c>
    </row>
    <row r="31" spans="1:20" s="7" customFormat="1" ht="18" customHeight="1">
      <c r="A31" s="13" t="s">
        <v>264</v>
      </c>
      <c r="B31" s="13"/>
      <c r="C31" s="13" t="s">
        <v>265</v>
      </c>
      <c r="D31" s="14"/>
      <c r="E31" s="14"/>
      <c r="F31" s="14"/>
      <c r="G31" s="14" t="str">
        <f>IFERROR(HYPERLINK("#"&amp;ADDRESS(MATCH(B31&amp;"ES",'LM7 Non-ENG'!$A$1:$A$5000,0),1,,,"LM7 Non-ENG"),IF(IFERROR(VLOOKUP(B31&amp;"ES",'LM7 Non-ENG'!$A$1:$A$4999,1,FALSE),"ERROR")=B31&amp;"ES","Y","")),"")</f>
        <v/>
      </c>
      <c r="H31" s="14" t="str">
        <f>IFERROR(HYPERLINK("#"&amp;ADDRESS(MATCH(B31&amp;"PT",'LM7 Non-ENG'!$A$1:$A$5000,0),1,,,"LM7 Non-ENG"),IF(IFERROR(VLOOKUP(B31&amp;"PT",'LM7 Non-ENG'!$A$1:$A$5000,1,FALSE),"ERROR")=B31&amp;"PT","Y","")),"")</f>
        <v/>
      </c>
      <c r="I31" s="14"/>
      <c r="J31" s="14">
        <f>SUMIFS(J32:J34,D32:D34,"&lt;&gt;Y",F32:F34,"&lt;&gt;Y",I32:I34,"&lt;&gt;Inactive",I32:I34,"&lt;&gt;ECO+NFS")</f>
        <v>6229</v>
      </c>
      <c r="K31" s="14"/>
      <c r="L31" s="14"/>
      <c r="M31" s="14"/>
      <c r="N31" s="14"/>
      <c r="O31" s="14"/>
      <c r="P31" s="14"/>
      <c r="Q31" s="14"/>
      <c r="R31" s="14"/>
      <c r="S31" s="14"/>
      <c r="T31" s="14"/>
    </row>
    <row r="32" spans="1:20" ht="18" customHeight="1">
      <c r="A32" s="17" t="str">
        <f>HYPERLINK("#"&amp;ADDRESS(MATCH(A31,'Automation &amp; Process Control'!$A$1:$A$4987,0),1,,,"Automation &amp; Process Control"),"Back to Price List")</f>
        <v>Back to Price List</v>
      </c>
      <c r="B32" t="str">
        <f>"00-2106-0000"</f>
        <v>00-2106-0000</v>
      </c>
      <c r="C32" t="str">
        <f>"HydraFlex H2 - Advanced Hydraulic Package"</f>
        <v>HydraFlex H2 - Advanced Hydraulic Package</v>
      </c>
      <c r="D32" s="4"/>
      <c r="E32" s="4">
        <v>1</v>
      </c>
      <c r="F32" s="4"/>
      <c r="G32" s="29" t="str">
        <f>IFERROR(HYPERLINK("#"&amp;ADDRESS(MATCH(B32&amp;"ES",'LM7 Non-ENG'!$A$1:$A$5000,0),1,,,"LM7 Non-ENG"),IF(IFERROR(VLOOKUP(B32&amp;"ES",'LM7 Non-ENG'!$A$1:$A$4999,1,FALSE),"ERROR")=B32&amp;"ES","Y","")),"")</f>
        <v/>
      </c>
      <c r="H32" s="29" t="str">
        <f>IFERROR(HYPERLINK("#"&amp;ADDRESS(MATCH(B32&amp;"PT",'LM7 Non-ENG'!$A$1:$A$5000,0),1,,,"LM7 Non-ENG"),IF(IFERROR(VLOOKUP(B32&amp;"PT",'LM7 Non-ENG'!$A$1:$A$5000,1,FALSE),"ERROR")=B32&amp;"PT","Y","")),"")</f>
        <v/>
      </c>
      <c r="I32" t="str">
        <f>IFERROR(VLOOKUP(B32,PN!$A:$C,3,FALSE),"")</f>
        <v>Active</v>
      </c>
      <c r="J32" s="3">
        <f>IFERROR(E32*VLOOKUP(B32,PLInter!$A:$D,3,FALSE),"")</f>
        <v>3734</v>
      </c>
      <c r="K32" s="68" t="s">
        <v>266</v>
      </c>
      <c r="L32" s="68"/>
      <c r="M32" s="68"/>
      <c r="N32" s="68"/>
      <c r="O32" s="68"/>
      <c r="P32" s="68"/>
      <c r="Q32" s="68"/>
      <c r="R32" s="68"/>
      <c r="S32" s="68"/>
      <c r="T32" s="68"/>
    </row>
    <row r="33" spans="1:20" ht="18" customHeight="1">
      <c r="B33" t="str">
        <f>"77-3025-0000"</f>
        <v>77-3025-0000</v>
      </c>
      <c r="C33" t="str">
        <f>"LM7 Content, Vir, Hydraulics 2"</f>
        <v>LM7 Content, Vir, Hydraulics 2</v>
      </c>
      <c r="D33" s="4"/>
      <c r="E33" s="4">
        <v>1</v>
      </c>
      <c r="F33" s="4"/>
      <c r="G33" s="29" t="str">
        <f>IFERROR(HYPERLINK("#"&amp;ADDRESS(MATCH(B33&amp;"ES",'LM7 Non-ENG'!$A$1:$A$5000,0),1,,,"LM7 Non-ENG"),IF(IFERROR(VLOOKUP(B33&amp;"ES",'LM7 Non-ENG'!$A$1:$A$4999,1,FALSE),"ERROR")=B33&amp;"ES","Y","")),"")</f>
        <v>Y</v>
      </c>
      <c r="H33" s="29" t="str">
        <f>IFERROR(HYPERLINK("#"&amp;ADDRESS(MATCH(B33&amp;"PT",'LM7 Non-ENG'!$A$1:$A$5000,0),1,,,"LM7 Non-ENG"),IF(IFERROR(VLOOKUP(B33&amp;"PT",'LM7 Non-ENG'!$A$1:$A$5000,1,FALSE),"ERROR")=B33&amp;"PT","Y","")),"")</f>
        <v>Y</v>
      </c>
      <c r="I33" t="str">
        <f>IFERROR(VLOOKUP(B33,PN!$A:$C,3,FALSE),"")</f>
        <v>Active</v>
      </c>
      <c r="J33" s="3">
        <f>IFERROR(E33*VLOOKUP(B33,PLInter!$A:$D,3,FALSE),"")</f>
        <v>2495</v>
      </c>
      <c r="K33" s="68"/>
      <c r="L33" s="68"/>
      <c r="M33" s="68"/>
      <c r="N33" s="68"/>
      <c r="O33" s="68"/>
      <c r="P33" s="68"/>
      <c r="Q33" s="68"/>
      <c r="R33" s="68"/>
      <c r="S33" s="68"/>
      <c r="T33" s="68"/>
    </row>
    <row r="34" spans="1:20" ht="18" customHeight="1">
      <c r="B34" s="2" t="str">
        <f>"17-3025-0000"</f>
        <v>17-3025-0000</v>
      </c>
      <c r="C34" s="2" t="str">
        <f>"LM5.X Content, Virtual, Hydraulics 2"</f>
        <v>LM5.X Content, Virtual, Hydraulics 2</v>
      </c>
      <c r="D34" s="5"/>
      <c r="E34" s="5">
        <v>1</v>
      </c>
      <c r="F34" s="5" t="str">
        <f>"Y"</f>
        <v>Y</v>
      </c>
      <c r="G34" s="29" t="str">
        <f>IFERROR(HYPERLINK("#"&amp;ADDRESS(MATCH(B34&amp;"ES",'LM7 Non-ENG'!$A$1:$A$5000,0),1,,,"LM7 Non-ENG"),IF(IFERROR(VLOOKUP(B34&amp;"ES",'LM7 Non-ENG'!$A$1:$A$4999,1,FALSE),"ERROR")=B34&amp;"ES","Y","")),"")</f>
        <v/>
      </c>
      <c r="H34" s="29" t="str">
        <f>IFERROR(HYPERLINK("#"&amp;ADDRESS(MATCH(B34&amp;"PT",'LM7 Non-ENG'!$A$1:$A$5000,0),1,,,"LM7 Non-ENG"),IF(IFERROR(VLOOKUP(B34&amp;"PT",'LM7 Non-ENG'!$A$1:$A$5000,1,FALSE),"ERROR")=B34&amp;"PT","Y","")),"")</f>
        <v/>
      </c>
      <c r="I34" t="str">
        <f>IFERROR(VLOOKUP(B34,PN!$A:$C,3,FALSE),"")</f>
        <v>Active</v>
      </c>
      <c r="J34" s="3">
        <f>IFERROR(E34*VLOOKUP(B34,PLInter!$A:$D,3,FALSE),"")</f>
        <v>2495</v>
      </c>
      <c r="K34" s="68"/>
      <c r="L34" s="68"/>
      <c r="M34" s="68"/>
      <c r="N34" s="68"/>
      <c r="O34" s="68"/>
      <c r="P34" s="68"/>
      <c r="Q34" s="68"/>
      <c r="R34" s="68"/>
      <c r="S34" s="68"/>
      <c r="T34" s="68"/>
    </row>
    <row r="35" spans="1:20" ht="18" customHeight="1">
      <c r="G35" s="29" t="str">
        <f>IFERROR(HYPERLINK("#"&amp;ADDRESS(MATCH(B35&amp;"ES",'LM7 Non-ENG'!$A$1:$A$5000,0),1,,,"LM7 Non-ENG"),IF(IFERROR(VLOOKUP(B35&amp;"ES",'LM7 Non-ENG'!$A$1:$A$4999,1,FALSE),"ERROR")=B35&amp;"ES","Y","")),"")</f>
        <v/>
      </c>
      <c r="H35" s="29" t="str">
        <f>IFERROR(HYPERLINK("#"&amp;ADDRESS(MATCH(B35&amp;"PT",'LM7 Non-ENG'!$A$1:$A$5000,0),1,,,"LM7 Non-ENG"),IF(IFERROR(VLOOKUP(B35&amp;"PT",'LM7 Non-ENG'!$A$1:$A$5000,1,FALSE),"ERROR")=B35&amp;"PT","Y","")),"")</f>
        <v/>
      </c>
    </row>
    <row r="36" spans="1:20" s="7" customFormat="1" ht="18" customHeight="1">
      <c r="A36" s="13" t="s">
        <v>267</v>
      </c>
      <c r="B36" s="13"/>
      <c r="C36" s="13" t="s">
        <v>268</v>
      </c>
      <c r="D36" s="14"/>
      <c r="E36" s="14"/>
      <c r="F36" s="14"/>
      <c r="G36" s="14" t="str">
        <f>IFERROR(HYPERLINK("#"&amp;ADDRESS(MATCH(B36&amp;"ES",'LM7 Non-ENG'!$A$1:$A$5000,0),1,,,"LM7 Non-ENG"),IF(IFERROR(VLOOKUP(B36&amp;"ES",'LM7 Non-ENG'!$A$1:$A$4999,1,FALSE),"ERROR")=B36&amp;"ES","Y","")),"")</f>
        <v/>
      </c>
      <c r="H36" s="14" t="str">
        <f>IFERROR(HYPERLINK("#"&amp;ADDRESS(MATCH(B36&amp;"PT",'LM7 Non-ENG'!$A$1:$A$5000,0),1,,,"LM7 Non-ENG"),IF(IFERROR(VLOOKUP(B36&amp;"PT",'LM7 Non-ENG'!$A$1:$A$5000,1,FALSE),"ERROR")=B36&amp;"PT","Y","")),"")</f>
        <v/>
      </c>
      <c r="I36" s="14"/>
      <c r="J36" s="14">
        <f>SUMIFS(J37:J37,D37:D37,"&lt;&gt;Y",F37:F37,"&lt;&gt;Y",I37:I37,"&lt;&gt;Inactive",I37:I37,"&lt;&gt;ECO+NFS")</f>
        <v>5867</v>
      </c>
      <c r="K36" s="14"/>
      <c r="L36" s="14"/>
      <c r="M36" s="14"/>
      <c r="N36" s="14"/>
      <c r="O36" s="14"/>
      <c r="P36" s="14"/>
      <c r="Q36" s="14"/>
      <c r="R36" s="14"/>
      <c r="S36" s="14"/>
      <c r="T36" s="14"/>
    </row>
    <row r="37" spans="1:20" ht="18" customHeight="1">
      <c r="A37" s="17" t="str">
        <f>HYPERLINK("#"&amp;ADDRESS(MATCH(A36,'Automation &amp; Process Control'!$A$1:$A$4987,0),1,,,"Automation &amp; Process Control"),"Back to Price List")</f>
        <v>Back to Price List</v>
      </c>
      <c r="B37" t="str">
        <f>"00-3075-0000"</f>
        <v>00-3075-0000</v>
      </c>
      <c r="C37" t="str">
        <f>"PLCLine Panel with PLC A/B MicroLogix"</f>
        <v>PLCLine Panel with PLC A/B MicroLogix</v>
      </c>
      <c r="D37" s="4"/>
      <c r="E37" s="4">
        <v>1</v>
      </c>
      <c r="F37" s="4"/>
      <c r="G37" s="29" t="str">
        <f>IFERROR(HYPERLINK("#"&amp;ADDRESS(MATCH(B37&amp;"ES",'LM7 Non-ENG'!$A$1:$A$5000,0),1,,,"LM7 Non-ENG"),IF(IFERROR(VLOOKUP(B37&amp;"ES",'LM7 Non-ENG'!$A$1:$A$4999,1,FALSE),"ERROR")=B37&amp;"ES","Y","")),"")</f>
        <v/>
      </c>
      <c r="H37" s="29" t="str">
        <f>IFERROR(HYPERLINK("#"&amp;ADDRESS(MATCH(B37&amp;"PT",'LM7 Non-ENG'!$A$1:$A$5000,0),1,,,"LM7 Non-ENG"),IF(IFERROR(VLOOKUP(B37&amp;"PT",'LM7 Non-ENG'!$A$1:$A$5000,1,FALSE),"ERROR")=B37&amp;"PT","Y","")),"")</f>
        <v/>
      </c>
      <c r="I37" t="str">
        <f>IFERROR(VLOOKUP(B37,PN!$A:$C,3,FALSE),"")</f>
        <v>Active</v>
      </c>
      <c r="J37" s="3">
        <f>IFERROR(E37*VLOOKUP(B37,PLInter!$A:$D,3,FALSE),"")</f>
        <v>5867</v>
      </c>
      <c r="K37" s="68" t="s">
        <v>269</v>
      </c>
      <c r="L37" s="68"/>
      <c r="M37" s="68"/>
      <c r="N37" s="68"/>
      <c r="O37" s="68"/>
      <c r="P37" s="68"/>
      <c r="Q37" s="68"/>
      <c r="R37" s="68"/>
      <c r="S37" s="68"/>
      <c r="T37" s="68"/>
    </row>
    <row r="38" spans="1:20" ht="18" customHeight="1">
      <c r="G38" s="29" t="str">
        <f>IFERROR(HYPERLINK("#"&amp;ADDRESS(MATCH(B38&amp;"ES",'LM7 Non-ENG'!$A$1:$A$5000,0),1,,,"LM7 Non-ENG"),IF(IFERROR(VLOOKUP(B38&amp;"ES",'LM7 Non-ENG'!$A$1:$A$4999,1,FALSE),"ERROR")=B38&amp;"ES","Y","")),"")</f>
        <v/>
      </c>
      <c r="H38" s="29" t="str">
        <f>IFERROR(HYPERLINK("#"&amp;ADDRESS(MATCH(B38&amp;"PT",'LM7 Non-ENG'!$A$1:$A$5000,0),1,,,"LM7 Non-ENG"),IF(IFERROR(VLOOKUP(B38&amp;"PT",'LM7 Non-ENG'!$A$1:$A$5000,1,FALSE),"ERROR")=B38&amp;"PT","Y","")),"")</f>
        <v/>
      </c>
      <c r="K38" s="68"/>
      <c r="L38" s="68"/>
      <c r="M38" s="68"/>
      <c r="N38" s="68"/>
      <c r="O38" s="68"/>
      <c r="P38" s="68"/>
      <c r="Q38" s="68"/>
      <c r="R38" s="68"/>
      <c r="S38" s="68"/>
      <c r="T38" s="68"/>
    </row>
    <row r="39" spans="1:20" ht="18" customHeight="1">
      <c r="G39" s="29" t="str">
        <f>IFERROR(HYPERLINK("#"&amp;ADDRESS(MATCH(B39&amp;"ES",'LM7 Non-ENG'!$A$1:$A$5000,0),1,,,"LM7 Non-ENG"),IF(IFERROR(VLOOKUP(B39&amp;"ES",'LM7 Non-ENG'!$A$1:$A$4999,1,FALSE),"ERROR")=B39&amp;"ES","Y","")),"")</f>
        <v/>
      </c>
      <c r="H39" s="29" t="str">
        <f>IFERROR(HYPERLINK("#"&amp;ADDRESS(MATCH(B39&amp;"PT",'LM7 Non-ENG'!$A$1:$A$5000,0),1,,,"LM7 Non-ENG"),IF(IFERROR(VLOOKUP(B39&amp;"PT",'LM7 Non-ENG'!$A$1:$A$5000,1,FALSE),"ERROR")=B39&amp;"PT","Y","")),"")</f>
        <v/>
      </c>
      <c r="K39" s="68"/>
      <c r="L39" s="68"/>
      <c r="M39" s="68"/>
      <c r="N39" s="68"/>
      <c r="O39" s="68"/>
      <c r="P39" s="68"/>
      <c r="Q39" s="68"/>
      <c r="R39" s="68"/>
      <c r="S39" s="68"/>
      <c r="T39" s="68"/>
    </row>
    <row r="40" spans="1:20" ht="18" customHeight="1">
      <c r="G40" s="29" t="str">
        <f>IFERROR(HYPERLINK("#"&amp;ADDRESS(MATCH(B40&amp;"ES",'LM7 Non-ENG'!$A$1:$A$5000,0),1,,,"LM7 Non-ENG"),IF(IFERROR(VLOOKUP(B40&amp;"ES",'LM7 Non-ENG'!$A$1:$A$4999,1,FALSE),"ERROR")=B40&amp;"ES","Y","")),"")</f>
        <v/>
      </c>
      <c r="H40" s="29" t="str">
        <f>IFERROR(HYPERLINK("#"&amp;ADDRESS(MATCH(B40&amp;"PT",'LM7 Non-ENG'!$A$1:$A$5000,0),1,,,"LM7 Non-ENG"),IF(IFERROR(VLOOKUP(B40&amp;"PT",'LM7 Non-ENG'!$A$1:$A$5000,1,FALSE),"ERROR")=B40&amp;"PT","Y","")),"")</f>
        <v/>
      </c>
      <c r="K40" s="68"/>
      <c r="L40" s="68"/>
      <c r="M40" s="68"/>
      <c r="N40" s="68"/>
      <c r="O40" s="68"/>
      <c r="P40" s="68"/>
      <c r="Q40" s="68"/>
      <c r="R40" s="68"/>
      <c r="S40" s="68"/>
      <c r="T40" s="68"/>
    </row>
    <row r="41" spans="1:20" ht="18" customHeight="1">
      <c r="G41" s="29" t="str">
        <f>IFERROR(HYPERLINK("#"&amp;ADDRESS(MATCH(B41&amp;"ES",'LM7 Non-ENG'!$A$1:$A$5000,0),1,,,"LM7 Non-ENG"),IF(IFERROR(VLOOKUP(B41&amp;"ES",'LM7 Non-ENG'!$A$1:$A$4999,1,FALSE),"ERROR")=B41&amp;"ES","Y","")),"")</f>
        <v/>
      </c>
      <c r="H41" s="29" t="str">
        <f>IFERROR(HYPERLINK("#"&amp;ADDRESS(MATCH(B41&amp;"PT",'LM7 Non-ENG'!$A$1:$A$5000,0),1,,,"LM7 Non-ENG"),IF(IFERROR(VLOOKUP(B41&amp;"PT",'LM7 Non-ENG'!$A$1:$A$5000,1,FALSE),"ERROR")=B41&amp;"PT","Y","")),"")</f>
        <v/>
      </c>
      <c r="K41" s="68"/>
      <c r="L41" s="68"/>
      <c r="M41" s="68"/>
      <c r="N41" s="68"/>
      <c r="O41" s="68"/>
      <c r="P41" s="68"/>
      <c r="Q41" s="68"/>
      <c r="R41" s="68"/>
      <c r="S41" s="68"/>
      <c r="T41" s="68"/>
    </row>
    <row r="42" spans="1:20" ht="18" customHeight="1">
      <c r="G42" s="29" t="str">
        <f>IFERROR(HYPERLINK("#"&amp;ADDRESS(MATCH(B42&amp;"ES",'LM7 Non-ENG'!$A$1:$A$5000,0),1,,,"LM7 Non-ENG"),IF(IFERROR(VLOOKUP(B42&amp;"ES",'LM7 Non-ENG'!$A$1:$A$4999,1,FALSE),"ERROR")=B42&amp;"ES","Y","")),"")</f>
        <v/>
      </c>
      <c r="H42" s="29" t="str">
        <f>IFERROR(HYPERLINK("#"&amp;ADDRESS(MATCH(B42&amp;"PT",'LM7 Non-ENG'!$A$1:$A$5000,0),1,,,"LM7 Non-ENG"),IF(IFERROR(VLOOKUP(B42&amp;"PT",'LM7 Non-ENG'!$A$1:$A$5000,1,FALSE),"ERROR")=B42&amp;"PT","Y","")),"")</f>
        <v/>
      </c>
      <c r="K42" s="68"/>
      <c r="L42" s="68"/>
      <c r="M42" s="68"/>
      <c r="N42" s="68"/>
      <c r="O42" s="68"/>
      <c r="P42" s="68"/>
      <c r="Q42" s="68"/>
      <c r="R42" s="68"/>
      <c r="S42" s="68"/>
      <c r="T42" s="68"/>
    </row>
    <row r="43" spans="1:20" ht="18" customHeight="1">
      <c r="G43" s="29" t="str">
        <f>IFERROR(HYPERLINK("#"&amp;ADDRESS(MATCH(B43&amp;"ES",'LM7 Non-ENG'!$A$1:$A$5000,0),1,,,"LM7 Non-ENG"),IF(IFERROR(VLOOKUP(B43&amp;"ES",'LM7 Non-ENG'!$A$1:$A$4999,1,FALSE),"ERROR")=B43&amp;"ES","Y","")),"")</f>
        <v/>
      </c>
      <c r="H43" s="29" t="str">
        <f>IFERROR(HYPERLINK("#"&amp;ADDRESS(MATCH(B43&amp;"PT",'LM7 Non-ENG'!$A$1:$A$5000,0),1,,,"LM7 Non-ENG"),IF(IFERROR(VLOOKUP(B43&amp;"PT",'LM7 Non-ENG'!$A$1:$A$5000,1,FALSE),"ERROR")=B43&amp;"PT","Y","")),"")</f>
        <v/>
      </c>
    </row>
    <row r="44" spans="1:20" s="7" customFormat="1" ht="18" customHeight="1">
      <c r="A44" s="13" t="s">
        <v>270</v>
      </c>
      <c r="B44" s="13"/>
      <c r="C44" s="13" t="s">
        <v>271</v>
      </c>
      <c r="D44" s="14"/>
      <c r="E44" s="14"/>
      <c r="F44" s="14"/>
      <c r="G44" s="14" t="str">
        <f>IFERROR(HYPERLINK("#"&amp;ADDRESS(MATCH(B44&amp;"ES",'LM7 Non-ENG'!$A$1:$A$5000,0),1,,,"LM7 Non-ENG"),IF(IFERROR(VLOOKUP(B44&amp;"ES",'LM7 Non-ENG'!$A$1:$A$4999,1,FALSE),"ERROR")=B44&amp;"ES","Y","")),"")</f>
        <v/>
      </c>
      <c r="H44" s="14" t="str">
        <f>IFERROR(HYPERLINK("#"&amp;ADDRESS(MATCH(B44&amp;"PT",'LM7 Non-ENG'!$A$1:$A$5000,0),1,,,"LM7 Non-ENG"),IF(IFERROR(VLOOKUP(B44&amp;"PT",'LM7 Non-ENG'!$A$1:$A$5000,1,FALSE),"ERROR")=B44&amp;"PT","Y","")),"")</f>
        <v/>
      </c>
      <c r="I44" s="14"/>
      <c r="J44" s="14">
        <f>SUMIFS(J45:J45,D45:D45,"&lt;&gt;Y",F45:F45,"&lt;&gt;Y",I45:I45,"&lt;&gt;Inactive",I45:I45,"&lt;&gt;ECO+NFS")</f>
        <v>10400</v>
      </c>
      <c r="K44" s="14"/>
      <c r="L44" s="14"/>
      <c r="M44" s="14"/>
      <c r="N44" s="14"/>
      <c r="O44" s="14"/>
      <c r="P44" s="14"/>
      <c r="Q44" s="14"/>
      <c r="R44" s="14"/>
      <c r="S44" s="14"/>
      <c r="T44" s="14"/>
    </row>
    <row r="45" spans="1:20" ht="18" customHeight="1">
      <c r="A45" s="17" t="str">
        <f>HYPERLINK("#"&amp;ADDRESS(MATCH(A44,'Automation &amp; Process Control'!$A$1:$A$4987,0),1,,,"Automation &amp; Process Control"),"Back to Price List")</f>
        <v>Back to Price List</v>
      </c>
      <c r="B45" t="str">
        <f>"00-3053-0000"</f>
        <v>00-3053-0000</v>
      </c>
      <c r="C45" t="str">
        <f>"PLC Line Panel A/B SLC 500, 115V"</f>
        <v>PLC Line Panel A/B SLC 500, 115V</v>
      </c>
      <c r="D45" s="4"/>
      <c r="E45" s="4">
        <v>1</v>
      </c>
      <c r="F45" s="4"/>
      <c r="G45" s="29" t="str">
        <f>IFERROR(HYPERLINK("#"&amp;ADDRESS(MATCH(B45&amp;"ES",'LM7 Non-ENG'!$A$1:$A$5000,0),1,,,"LM7 Non-ENG"),IF(IFERROR(VLOOKUP(B45&amp;"ES",'LM7 Non-ENG'!$A$1:$A$4999,1,FALSE),"ERROR")=B45&amp;"ES","Y","")),"")</f>
        <v/>
      </c>
      <c r="H45" s="29" t="str">
        <f>IFERROR(HYPERLINK("#"&amp;ADDRESS(MATCH(B45&amp;"PT",'LM7 Non-ENG'!$A$1:$A$5000,0),1,,,"LM7 Non-ENG"),IF(IFERROR(VLOOKUP(B45&amp;"PT",'LM7 Non-ENG'!$A$1:$A$5000,1,FALSE),"ERROR")=B45&amp;"PT","Y","")),"")</f>
        <v/>
      </c>
      <c r="I45" t="str">
        <f>IFERROR(VLOOKUP(B45,PN!$A:$C,3,FALSE),"")</f>
        <v>Active</v>
      </c>
      <c r="J45" s="3">
        <f>IFERROR(E45*VLOOKUP(B45,PLInter!$A:$D,3,FALSE),"")</f>
        <v>10400</v>
      </c>
      <c r="K45" s="68" t="s">
        <v>272</v>
      </c>
      <c r="L45" s="68"/>
      <c r="M45" s="68"/>
      <c r="N45" s="68"/>
      <c r="O45" s="68"/>
      <c r="P45" s="68"/>
      <c r="Q45" s="68"/>
      <c r="R45" s="68"/>
      <c r="S45" s="68"/>
      <c r="T45" s="68"/>
    </row>
    <row r="46" spans="1:20" ht="18" customHeight="1">
      <c r="G46" s="29" t="str">
        <f>IFERROR(HYPERLINK("#"&amp;ADDRESS(MATCH(B46&amp;"ES",'LM7 Non-ENG'!$A$1:$A$5000,0),1,,,"LM7 Non-ENG"),IF(IFERROR(VLOOKUP(B46&amp;"ES",'LM7 Non-ENG'!$A$1:$A$4999,1,FALSE),"ERROR")=B46&amp;"ES","Y","")),"")</f>
        <v/>
      </c>
      <c r="H46" s="29" t="str">
        <f>IFERROR(HYPERLINK("#"&amp;ADDRESS(MATCH(B46&amp;"PT",'LM7 Non-ENG'!$A$1:$A$5000,0),1,,,"LM7 Non-ENG"),IF(IFERROR(VLOOKUP(B46&amp;"PT",'LM7 Non-ENG'!$A$1:$A$5000,1,FALSE),"ERROR")=B46&amp;"PT","Y","")),"")</f>
        <v/>
      </c>
      <c r="K46" s="68"/>
      <c r="L46" s="68"/>
      <c r="M46" s="68"/>
      <c r="N46" s="68"/>
      <c r="O46" s="68"/>
      <c r="P46" s="68"/>
      <c r="Q46" s="68"/>
      <c r="R46" s="68"/>
      <c r="S46" s="68"/>
      <c r="T46" s="68"/>
    </row>
    <row r="47" spans="1:20" ht="18" customHeight="1">
      <c r="G47" s="29" t="str">
        <f>IFERROR(HYPERLINK("#"&amp;ADDRESS(MATCH(B47&amp;"ES",'LM7 Non-ENG'!$A$1:$A$5000,0),1,,,"LM7 Non-ENG"),IF(IFERROR(VLOOKUP(B47&amp;"ES",'LM7 Non-ENG'!$A$1:$A$4999,1,FALSE),"ERROR")=B47&amp;"ES","Y","")),"")</f>
        <v/>
      </c>
      <c r="H47" s="29" t="str">
        <f>IFERROR(HYPERLINK("#"&amp;ADDRESS(MATCH(B47&amp;"PT",'LM7 Non-ENG'!$A$1:$A$5000,0),1,,,"LM7 Non-ENG"),IF(IFERROR(VLOOKUP(B47&amp;"PT",'LM7 Non-ENG'!$A$1:$A$5000,1,FALSE),"ERROR")=B47&amp;"PT","Y","")),"")</f>
        <v/>
      </c>
      <c r="K47" s="68"/>
      <c r="L47" s="68"/>
      <c r="M47" s="68"/>
      <c r="N47" s="68"/>
      <c r="O47" s="68"/>
      <c r="P47" s="68"/>
      <c r="Q47" s="68"/>
      <c r="R47" s="68"/>
      <c r="S47" s="68"/>
      <c r="T47" s="68"/>
    </row>
    <row r="48" spans="1:20" ht="18" customHeight="1">
      <c r="G48" s="29" t="str">
        <f>IFERROR(HYPERLINK("#"&amp;ADDRESS(MATCH(B48&amp;"ES",'LM7 Non-ENG'!$A$1:$A$5000,0),1,,,"LM7 Non-ENG"),IF(IFERROR(VLOOKUP(B48&amp;"ES",'LM7 Non-ENG'!$A$1:$A$4999,1,FALSE),"ERROR")=B48&amp;"ES","Y","")),"")</f>
        <v/>
      </c>
      <c r="H48" s="29" t="str">
        <f>IFERROR(HYPERLINK("#"&amp;ADDRESS(MATCH(B48&amp;"PT",'LM7 Non-ENG'!$A$1:$A$5000,0),1,,,"LM7 Non-ENG"),IF(IFERROR(VLOOKUP(B48&amp;"PT",'LM7 Non-ENG'!$A$1:$A$5000,1,FALSE),"ERROR")=B48&amp;"PT","Y","")),"")</f>
        <v/>
      </c>
      <c r="K48" s="68"/>
      <c r="L48" s="68"/>
      <c r="M48" s="68"/>
      <c r="N48" s="68"/>
      <c r="O48" s="68"/>
      <c r="P48" s="68"/>
      <c r="Q48" s="68"/>
      <c r="R48" s="68"/>
      <c r="S48" s="68"/>
      <c r="T48" s="68"/>
    </row>
    <row r="49" spans="1:20" ht="18" customHeight="1">
      <c r="G49" s="29" t="str">
        <f>IFERROR(HYPERLINK("#"&amp;ADDRESS(MATCH(B49&amp;"ES",'LM7 Non-ENG'!$A$1:$A$5000,0),1,,,"LM7 Non-ENG"),IF(IFERROR(VLOOKUP(B49&amp;"ES",'LM7 Non-ENG'!$A$1:$A$4999,1,FALSE),"ERROR")=B49&amp;"ES","Y","")),"")</f>
        <v/>
      </c>
      <c r="H49" s="29" t="str">
        <f>IFERROR(HYPERLINK("#"&amp;ADDRESS(MATCH(B49&amp;"PT",'LM7 Non-ENG'!$A$1:$A$5000,0),1,,,"LM7 Non-ENG"),IF(IFERROR(VLOOKUP(B49&amp;"PT",'LM7 Non-ENG'!$A$1:$A$5000,1,FALSE),"ERROR")=B49&amp;"PT","Y","")),"")</f>
        <v/>
      </c>
      <c r="K49" s="68"/>
      <c r="L49" s="68"/>
      <c r="M49" s="68"/>
      <c r="N49" s="68"/>
      <c r="O49" s="68"/>
      <c r="P49" s="68"/>
      <c r="Q49" s="68"/>
      <c r="R49" s="68"/>
      <c r="S49" s="68"/>
      <c r="T49" s="68"/>
    </row>
    <row r="50" spans="1:20" ht="18" customHeight="1">
      <c r="G50" s="29" t="str">
        <f>IFERROR(HYPERLINK("#"&amp;ADDRESS(MATCH(B50&amp;"ES",'LM7 Non-ENG'!$A$1:$A$5000,0),1,,,"LM7 Non-ENG"),IF(IFERROR(VLOOKUP(B50&amp;"ES",'LM7 Non-ENG'!$A$1:$A$4999,1,FALSE),"ERROR")=B50&amp;"ES","Y","")),"")</f>
        <v/>
      </c>
      <c r="H50" s="29" t="str">
        <f>IFERROR(HYPERLINK("#"&amp;ADDRESS(MATCH(B50&amp;"PT",'LM7 Non-ENG'!$A$1:$A$5000,0),1,,,"LM7 Non-ENG"),IF(IFERROR(VLOOKUP(B50&amp;"PT",'LM7 Non-ENG'!$A$1:$A$5000,1,FALSE),"ERROR")=B50&amp;"PT","Y","")),"")</f>
        <v/>
      </c>
      <c r="K50" s="68"/>
      <c r="L50" s="68"/>
      <c r="M50" s="68"/>
      <c r="N50" s="68"/>
      <c r="O50" s="68"/>
      <c r="P50" s="68"/>
      <c r="Q50" s="68"/>
      <c r="R50" s="68"/>
      <c r="S50" s="68"/>
      <c r="T50" s="68"/>
    </row>
    <row r="51" spans="1:20" ht="18" customHeight="1">
      <c r="G51" s="29" t="str">
        <f>IFERROR(HYPERLINK("#"&amp;ADDRESS(MATCH(B51&amp;"ES",'LM7 Non-ENG'!$A$1:$A$5000,0),1,,,"LM7 Non-ENG"),IF(IFERROR(VLOOKUP(B51&amp;"ES",'LM7 Non-ENG'!$A$1:$A$4999,1,FALSE),"ERROR")=B51&amp;"ES","Y","")),"")</f>
        <v/>
      </c>
      <c r="H51" s="29" t="str">
        <f>IFERROR(HYPERLINK("#"&amp;ADDRESS(MATCH(B51&amp;"PT",'LM7 Non-ENG'!$A$1:$A$5000,0),1,,,"LM7 Non-ENG"),IF(IFERROR(VLOOKUP(B51&amp;"PT",'LM7 Non-ENG'!$A$1:$A$5000,1,FALSE),"ERROR")=B51&amp;"PT","Y","")),"")</f>
        <v/>
      </c>
    </row>
    <row r="52" spans="1:20" s="7" customFormat="1" ht="18" customHeight="1">
      <c r="A52" s="13" t="s">
        <v>273</v>
      </c>
      <c r="B52" s="13"/>
      <c r="C52" s="13" t="s">
        <v>274</v>
      </c>
      <c r="D52" s="14"/>
      <c r="E52" s="14"/>
      <c r="F52" s="14"/>
      <c r="G52" s="14" t="str">
        <f>IFERROR(HYPERLINK("#"&amp;ADDRESS(MATCH(B52&amp;"ES",'LM7 Non-ENG'!$A$1:$A$5000,0),1,,,"LM7 Non-ENG"),IF(IFERROR(VLOOKUP(B52&amp;"ES",'LM7 Non-ENG'!$A$1:$A$4999,1,FALSE),"ERROR")=B52&amp;"ES","Y","")),"")</f>
        <v/>
      </c>
      <c r="H52" s="14" t="str">
        <f>IFERROR(HYPERLINK("#"&amp;ADDRESS(MATCH(B52&amp;"PT",'LM7 Non-ENG'!$A$1:$A$5000,0),1,,,"LM7 Non-ENG"),IF(IFERROR(VLOOKUP(B52&amp;"PT",'LM7 Non-ENG'!$A$1:$A$5000,1,FALSE),"ERROR")=B52&amp;"PT","Y","")),"")</f>
        <v/>
      </c>
      <c r="I52" s="14"/>
      <c r="J52" s="14">
        <f>SUMIFS(J53:J53,D53:D53,"&lt;&gt;Y",F53:F53,"&lt;&gt;Y",I53:I53,"&lt;&gt;Inactive",I53:I53,"&lt;&gt;ECO+NFS")</f>
        <v>4267</v>
      </c>
      <c r="K52" s="14"/>
      <c r="L52" s="14"/>
      <c r="M52" s="14"/>
      <c r="N52" s="14"/>
      <c r="O52" s="14"/>
      <c r="P52" s="14"/>
      <c r="Q52" s="14"/>
      <c r="R52" s="14"/>
      <c r="S52" s="14"/>
      <c r="T52" s="14"/>
    </row>
    <row r="53" spans="1:20" ht="18" customHeight="1">
      <c r="A53" s="17" t="str">
        <f>HYPERLINK("#"&amp;ADDRESS(MATCH(A52,'Automation &amp; Process Control'!$A$1:$A$4987,0),1,,,"Automation &amp; Process Control"),"Back to Price List")</f>
        <v>Back to Price List</v>
      </c>
      <c r="B53" t="str">
        <f>"00-3014-0000"</f>
        <v>00-3014-0000</v>
      </c>
      <c r="C53" t="str">
        <f>"SensorLine Panel package"</f>
        <v>SensorLine Panel package</v>
      </c>
      <c r="D53" s="4"/>
      <c r="E53" s="4">
        <v>1</v>
      </c>
      <c r="F53" s="4"/>
      <c r="G53" s="29" t="str">
        <f>IFERROR(HYPERLINK("#"&amp;ADDRESS(MATCH(B53&amp;"ES",'LM7 Non-ENG'!$A$1:$A$5000,0),1,,,"LM7 Non-ENG"),IF(IFERROR(VLOOKUP(B53&amp;"ES",'LM7 Non-ENG'!$A$1:$A$4999,1,FALSE),"ERROR")=B53&amp;"ES","Y","")),"")</f>
        <v/>
      </c>
      <c r="H53" s="29" t="str">
        <f>IFERROR(HYPERLINK("#"&amp;ADDRESS(MATCH(B53&amp;"PT",'LM7 Non-ENG'!$A$1:$A$5000,0),1,,,"LM7 Non-ENG"),IF(IFERROR(VLOOKUP(B53&amp;"PT",'LM7 Non-ENG'!$A$1:$A$5000,1,FALSE),"ERROR")=B53&amp;"PT","Y","")),"")</f>
        <v/>
      </c>
      <c r="I53" t="str">
        <f>IFERROR(VLOOKUP(B53,PN!$A:$C,3,FALSE),"")</f>
        <v>Active</v>
      </c>
      <c r="J53" s="3">
        <f>IFERROR(E53*VLOOKUP(B53,PLInter!$A:$D,3,FALSE),"")</f>
        <v>4267</v>
      </c>
      <c r="K53" s="68" t="s">
        <v>275</v>
      </c>
      <c r="L53" s="68"/>
      <c r="M53" s="68"/>
      <c r="N53" s="68"/>
      <c r="O53" s="68"/>
      <c r="P53" s="68"/>
      <c r="Q53" s="68"/>
      <c r="R53" s="68"/>
      <c r="S53" s="68"/>
      <c r="T53" s="68"/>
    </row>
    <row r="54" spans="1:20" ht="18" customHeight="1">
      <c r="G54" s="29" t="str">
        <f>IFERROR(HYPERLINK("#"&amp;ADDRESS(MATCH(B54&amp;"ES",'LM7 Non-ENG'!$A$1:$A$5000,0),1,,,"LM7 Non-ENG"),IF(IFERROR(VLOOKUP(B54&amp;"ES",'LM7 Non-ENG'!$A$1:$A$4999,1,FALSE),"ERROR")=B54&amp;"ES","Y","")),"")</f>
        <v/>
      </c>
      <c r="H54" s="29" t="str">
        <f>IFERROR(HYPERLINK("#"&amp;ADDRESS(MATCH(B54&amp;"PT",'LM7 Non-ENG'!$A$1:$A$5000,0),1,,,"LM7 Non-ENG"),IF(IFERROR(VLOOKUP(B54&amp;"PT",'LM7 Non-ENG'!$A$1:$A$5000,1,FALSE),"ERROR")=B54&amp;"PT","Y","")),"")</f>
        <v/>
      </c>
      <c r="K54" s="68"/>
      <c r="L54" s="68"/>
      <c r="M54" s="68"/>
      <c r="N54" s="68"/>
      <c r="O54" s="68"/>
      <c r="P54" s="68"/>
      <c r="Q54" s="68"/>
      <c r="R54" s="68"/>
      <c r="S54" s="68"/>
      <c r="T54" s="68"/>
    </row>
    <row r="55" spans="1:20" ht="18" customHeight="1">
      <c r="G55" s="29" t="str">
        <f>IFERROR(HYPERLINK("#"&amp;ADDRESS(MATCH(B55&amp;"ES",'LM7 Non-ENG'!$A$1:$A$5000,0),1,,,"LM7 Non-ENG"),IF(IFERROR(VLOOKUP(B55&amp;"ES",'LM7 Non-ENG'!$A$1:$A$4999,1,FALSE),"ERROR")=B55&amp;"ES","Y","")),"")</f>
        <v/>
      </c>
      <c r="H55" s="29" t="str">
        <f>IFERROR(HYPERLINK("#"&amp;ADDRESS(MATCH(B55&amp;"PT",'LM7 Non-ENG'!$A$1:$A$5000,0),1,,,"LM7 Non-ENG"),IF(IFERROR(VLOOKUP(B55&amp;"PT",'LM7 Non-ENG'!$A$1:$A$5000,1,FALSE),"ERROR")=B55&amp;"PT","Y","")),"")</f>
        <v/>
      </c>
    </row>
    <row r="56" spans="1:20" ht="18" customHeight="1">
      <c r="G56" s="29" t="str">
        <f>IFERROR(HYPERLINK("#"&amp;ADDRESS(MATCH(B56&amp;"ES",'LM7 Non-ENG'!$A$1:$A$5000,0),1,,,"LM7 Non-ENG"),IF(IFERROR(VLOOKUP(B56&amp;"ES",'LM7 Non-ENG'!$A$1:$A$4999,1,FALSE),"ERROR")=B56&amp;"ES","Y","")),"")</f>
        <v/>
      </c>
      <c r="H56" s="29" t="str">
        <f>IFERROR(HYPERLINK("#"&amp;ADDRESS(MATCH(B56&amp;"PT",'LM7 Non-ENG'!$A$1:$A$5000,0),1,,,"LM7 Non-ENG"),IF(IFERROR(VLOOKUP(B56&amp;"PT",'LM7 Non-ENG'!$A$1:$A$5000,1,FALSE),"ERROR")=B56&amp;"PT","Y","")),"")</f>
        <v/>
      </c>
    </row>
    <row r="57" spans="1:20" ht="18" customHeight="1">
      <c r="G57" s="29" t="str">
        <f>IFERROR(HYPERLINK("#"&amp;ADDRESS(MATCH(B57&amp;"ES",'LM7 Non-ENG'!$A$1:$A$5000,0),1,,,"LM7 Non-ENG"),IF(IFERROR(VLOOKUP(B57&amp;"ES",'LM7 Non-ENG'!$A$1:$A$4999,1,FALSE),"ERROR")=B57&amp;"ES","Y","")),"")</f>
        <v/>
      </c>
      <c r="H57" s="29" t="str">
        <f>IFERROR(HYPERLINK("#"&amp;ADDRESS(MATCH(B57&amp;"PT",'LM7 Non-ENG'!$A$1:$A$5000,0),1,,,"LM7 Non-ENG"),IF(IFERROR(VLOOKUP(B57&amp;"PT",'LM7 Non-ENG'!$A$1:$A$5000,1,FALSE),"ERROR")=B57&amp;"PT","Y","")),"")</f>
        <v/>
      </c>
    </row>
    <row r="58" spans="1:20" ht="18" customHeight="1">
      <c r="G58" s="29" t="str">
        <f>IFERROR(HYPERLINK("#"&amp;ADDRESS(MATCH(B58&amp;"ES",'LM7 Non-ENG'!$A$1:$A$5000,0),1,,,"LM7 Non-ENG"),IF(IFERROR(VLOOKUP(B58&amp;"ES",'LM7 Non-ENG'!$A$1:$A$4999,1,FALSE),"ERROR")=B58&amp;"ES","Y","")),"")</f>
        <v/>
      </c>
      <c r="H58" s="29" t="str">
        <f>IFERROR(HYPERLINK("#"&amp;ADDRESS(MATCH(B58&amp;"PT",'LM7 Non-ENG'!$A$1:$A$5000,0),1,,,"LM7 Non-ENG"),IF(IFERROR(VLOOKUP(B58&amp;"PT",'LM7 Non-ENG'!$A$1:$A$5000,1,FALSE),"ERROR")=B58&amp;"PT","Y","")),"")</f>
        <v/>
      </c>
    </row>
    <row r="59" spans="1:20" ht="18" customHeight="1">
      <c r="G59" s="29" t="str">
        <f>IFERROR(HYPERLINK("#"&amp;ADDRESS(MATCH(B59&amp;"ES",'LM7 Non-ENG'!$A$1:$A$5000,0),1,,,"LM7 Non-ENG"),IF(IFERROR(VLOOKUP(B59&amp;"ES",'LM7 Non-ENG'!$A$1:$A$4999,1,FALSE),"ERROR")=B59&amp;"ES","Y","")),"")</f>
        <v/>
      </c>
      <c r="H59" s="29" t="str">
        <f>IFERROR(HYPERLINK("#"&amp;ADDRESS(MATCH(B59&amp;"PT",'LM7 Non-ENG'!$A$1:$A$5000,0),1,,,"LM7 Non-ENG"),IF(IFERROR(VLOOKUP(B59&amp;"PT",'LM7 Non-ENG'!$A$1:$A$5000,1,FALSE),"ERROR")=B59&amp;"PT","Y","")),"")</f>
        <v/>
      </c>
    </row>
    <row r="60" spans="1:20" ht="18" customHeight="1">
      <c r="G60" s="29" t="str">
        <f>IFERROR(HYPERLINK("#"&amp;ADDRESS(MATCH(B60&amp;"ES",'LM7 Non-ENG'!$A$1:$A$5000,0),1,,,"LM7 Non-ENG"),IF(IFERROR(VLOOKUP(B60&amp;"ES",'LM7 Non-ENG'!$A$1:$A$4999,1,FALSE),"ERROR")=B60&amp;"ES","Y","")),"")</f>
        <v/>
      </c>
      <c r="H60" s="29" t="str">
        <f>IFERROR(HYPERLINK("#"&amp;ADDRESS(MATCH(B60&amp;"PT",'LM7 Non-ENG'!$A$1:$A$5000,0),1,,,"LM7 Non-ENG"),IF(IFERROR(VLOOKUP(B60&amp;"PT",'LM7 Non-ENG'!$A$1:$A$5000,1,FALSE),"ERROR")=B60&amp;"PT","Y","")),"")</f>
        <v/>
      </c>
    </row>
    <row r="61" spans="1:20" ht="18" customHeight="1">
      <c r="G61" s="29" t="str">
        <f>IFERROR(HYPERLINK("#"&amp;ADDRESS(MATCH(B61&amp;"ES",'LM7 Non-ENG'!$A$1:$A$5000,0),1,,,"LM7 Non-ENG"),IF(IFERROR(VLOOKUP(B61&amp;"ES",'LM7 Non-ENG'!$A$1:$A$4999,1,FALSE),"ERROR")=B61&amp;"ES","Y","")),"")</f>
        <v/>
      </c>
      <c r="H61" s="29" t="str">
        <f>IFERROR(HYPERLINK("#"&amp;ADDRESS(MATCH(B61&amp;"PT",'LM7 Non-ENG'!$A$1:$A$5000,0),1,,,"LM7 Non-ENG"),IF(IFERROR(VLOOKUP(B61&amp;"PT",'LM7 Non-ENG'!$A$1:$A$5000,1,FALSE),"ERROR")=B61&amp;"PT","Y","")),"")</f>
        <v/>
      </c>
    </row>
    <row r="62" spans="1:20" ht="18" customHeight="1">
      <c r="G62" s="29" t="str">
        <f>IFERROR(HYPERLINK("#"&amp;ADDRESS(MATCH(B62&amp;"ES",'LM7 Non-ENG'!$A$1:$A$5000,0),1,,,"LM7 Non-ENG"),IF(IFERROR(VLOOKUP(B62&amp;"ES",'LM7 Non-ENG'!$A$1:$A$4999,1,FALSE),"ERROR")=B62&amp;"ES","Y","")),"")</f>
        <v/>
      </c>
      <c r="H62" s="29" t="str">
        <f>IFERROR(HYPERLINK("#"&amp;ADDRESS(MATCH(B62&amp;"PT",'LM7 Non-ENG'!$A$1:$A$5000,0),1,,,"LM7 Non-ENG"),IF(IFERROR(VLOOKUP(B62&amp;"PT",'LM7 Non-ENG'!$A$1:$A$5000,1,FALSE),"ERROR")=B62&amp;"PT","Y","")),"")</f>
        <v/>
      </c>
    </row>
    <row r="63" spans="1:20" ht="18" customHeight="1">
      <c r="G63" s="29" t="str">
        <f>IFERROR(HYPERLINK("#"&amp;ADDRESS(MATCH(B63&amp;"ES",'LM7 Non-ENG'!$A$1:$A$5000,0),1,,,"LM7 Non-ENG"),IF(IFERROR(VLOOKUP(B63&amp;"ES",'LM7 Non-ENG'!$A$1:$A$4999,1,FALSE),"ERROR")=B63&amp;"ES","Y","")),"")</f>
        <v/>
      </c>
      <c r="H63" s="29" t="str">
        <f>IFERROR(HYPERLINK("#"&amp;ADDRESS(MATCH(B63&amp;"PT",'LM7 Non-ENG'!$A$1:$A$5000,0),1,,,"LM7 Non-ENG"),IF(IFERROR(VLOOKUP(B63&amp;"PT",'LM7 Non-ENG'!$A$1:$A$5000,1,FALSE),"ERROR")=B63&amp;"PT","Y","")),"")</f>
        <v/>
      </c>
    </row>
    <row r="64" spans="1:20" ht="18" customHeight="1">
      <c r="G64" s="29" t="str">
        <f>IFERROR(HYPERLINK("#"&amp;ADDRESS(MATCH(B64&amp;"ES",'LM7 Non-ENG'!$A$1:$A$5000,0),1,,,"LM7 Non-ENG"),IF(IFERROR(VLOOKUP(B64&amp;"ES",'LM7 Non-ENG'!$A$1:$A$4999,1,FALSE),"ERROR")=B64&amp;"ES","Y","")),"")</f>
        <v/>
      </c>
      <c r="H64" s="29" t="str">
        <f>IFERROR(HYPERLINK("#"&amp;ADDRESS(MATCH(B64&amp;"PT",'LM7 Non-ENG'!$A$1:$A$5000,0),1,,,"LM7 Non-ENG"),IF(IFERROR(VLOOKUP(B64&amp;"PT",'LM7 Non-ENG'!$A$1:$A$5000,1,FALSE),"ERROR")=B64&amp;"PT","Y","")),"")</f>
        <v/>
      </c>
    </row>
    <row r="65" spans="7:8" ht="18" customHeight="1">
      <c r="G65" s="29" t="str">
        <f>IFERROR(HYPERLINK("#"&amp;ADDRESS(MATCH(B65&amp;"ES",'LM7 Non-ENG'!$A$1:$A$5000,0),1,,,"LM7 Non-ENG"),IF(IFERROR(VLOOKUP(B65&amp;"ES",'LM7 Non-ENG'!$A$1:$A$4999,1,FALSE),"ERROR")=B65&amp;"ES","Y","")),"")</f>
        <v/>
      </c>
      <c r="H65" s="29" t="str">
        <f>IFERROR(HYPERLINK("#"&amp;ADDRESS(MATCH(B65&amp;"PT",'LM7 Non-ENG'!$A$1:$A$5000,0),1,,,"LM7 Non-ENG"),IF(IFERROR(VLOOKUP(B65&amp;"PT",'LM7 Non-ENG'!$A$1:$A$5000,1,FALSE),"ERROR")=B65&amp;"PT","Y","")),"")</f>
        <v/>
      </c>
    </row>
    <row r="66" spans="7:8" ht="18" customHeight="1">
      <c r="G66" s="29" t="str">
        <f>IFERROR(HYPERLINK("#"&amp;ADDRESS(MATCH(B66&amp;"ES",'LM7 Non-ENG'!$A$1:$A$5000,0),1,,,"LM7 Non-ENG"),IF(IFERROR(VLOOKUP(B66&amp;"ES",'LM7 Non-ENG'!$A$1:$A$4999,1,FALSE),"ERROR")=B66&amp;"ES","Y","")),"")</f>
        <v/>
      </c>
      <c r="H66" s="29" t="str">
        <f>IFERROR(HYPERLINK("#"&amp;ADDRESS(MATCH(B66&amp;"PT",'LM7 Non-ENG'!$A$1:$A$5000,0),1,,,"LM7 Non-ENG"),IF(IFERROR(VLOOKUP(B66&amp;"PT",'LM7 Non-ENG'!$A$1:$A$5000,1,FALSE),"ERROR")=B66&amp;"PT","Y","")),"")</f>
        <v/>
      </c>
    </row>
    <row r="67" spans="7:8" ht="18" customHeight="1">
      <c r="G67" s="29" t="str">
        <f>IFERROR(HYPERLINK("#"&amp;ADDRESS(MATCH(B67&amp;"ES",'LM7 Non-ENG'!$A$1:$A$5000,0),1,,,"LM7 Non-ENG"),IF(IFERROR(VLOOKUP(B67&amp;"ES",'LM7 Non-ENG'!$A$1:$A$4999,1,FALSE),"ERROR")=B67&amp;"ES","Y","")),"")</f>
        <v/>
      </c>
      <c r="H67" s="29" t="str">
        <f>IFERROR(HYPERLINK("#"&amp;ADDRESS(MATCH(B67&amp;"PT",'LM7 Non-ENG'!$A$1:$A$5000,0),1,,,"LM7 Non-ENG"),IF(IFERROR(VLOOKUP(B67&amp;"PT",'LM7 Non-ENG'!$A$1:$A$5000,1,FALSE),"ERROR")=B67&amp;"PT","Y","")),"")</f>
        <v/>
      </c>
    </row>
    <row r="68" spans="7:8" ht="18" customHeight="1">
      <c r="G68" s="29" t="str">
        <f>IFERROR(HYPERLINK("#"&amp;ADDRESS(MATCH(B68&amp;"ES",'LM7 Non-ENG'!$A$1:$A$5000,0),1,,,"LM7 Non-ENG"),IF(IFERROR(VLOOKUP(B68&amp;"ES",'LM7 Non-ENG'!$A$1:$A$4999,1,FALSE),"ERROR")=B68&amp;"ES","Y","")),"")</f>
        <v/>
      </c>
      <c r="H68" s="29" t="str">
        <f>IFERROR(HYPERLINK("#"&amp;ADDRESS(MATCH(B68&amp;"PT",'LM7 Non-ENG'!$A$1:$A$5000,0),1,,,"LM7 Non-ENG"),IF(IFERROR(VLOOKUP(B68&amp;"PT",'LM7 Non-ENG'!$A$1:$A$5000,1,FALSE),"ERROR")=B68&amp;"PT","Y","")),"")</f>
        <v/>
      </c>
    </row>
    <row r="69" spans="7:8" ht="18" customHeight="1">
      <c r="G69" s="29" t="str">
        <f>IFERROR(HYPERLINK("#"&amp;ADDRESS(MATCH(B69&amp;"ES",'LM7 Non-ENG'!$A$1:$A$5000,0),1,,,"LM7 Non-ENG"),IF(IFERROR(VLOOKUP(B69&amp;"ES",'LM7 Non-ENG'!$A$1:$A$4999,1,FALSE),"ERROR")=B69&amp;"ES","Y","")),"")</f>
        <v/>
      </c>
      <c r="H69" s="29" t="str">
        <f>IFERROR(HYPERLINK("#"&amp;ADDRESS(MATCH(B69&amp;"PT",'LM7 Non-ENG'!$A$1:$A$5000,0),1,,,"LM7 Non-ENG"),IF(IFERROR(VLOOKUP(B69&amp;"PT",'LM7 Non-ENG'!$A$1:$A$5000,1,FALSE),"ERROR")=B69&amp;"PT","Y","")),"")</f>
        <v/>
      </c>
    </row>
    <row r="70" spans="7:8" ht="18" customHeight="1">
      <c r="G70" s="29" t="str">
        <f>IFERROR(HYPERLINK("#"&amp;ADDRESS(MATCH(B70&amp;"ES",'LM7 Non-ENG'!$A$1:$A$5000,0),1,,,"LM7 Non-ENG"),IF(IFERROR(VLOOKUP(B70&amp;"ES",'LM7 Non-ENG'!$A$1:$A$4999,1,FALSE),"ERROR")=B70&amp;"ES","Y","")),"")</f>
        <v/>
      </c>
      <c r="H70" s="29" t="str">
        <f>IFERROR(HYPERLINK("#"&amp;ADDRESS(MATCH(B70&amp;"PT",'LM7 Non-ENG'!$A$1:$A$5000,0),1,,,"LM7 Non-ENG"),IF(IFERROR(VLOOKUP(B70&amp;"PT",'LM7 Non-ENG'!$A$1:$A$5000,1,FALSE),"ERROR")=B70&amp;"PT","Y","")),"")</f>
        <v/>
      </c>
    </row>
    <row r="71" spans="7:8" ht="18" customHeight="1">
      <c r="G71" s="29" t="str">
        <f>IFERROR(HYPERLINK("#"&amp;ADDRESS(MATCH(B71&amp;"ES",'LM7 Non-ENG'!$A$1:$A$5000,0),1,,,"LM7 Non-ENG"),IF(IFERROR(VLOOKUP(B71&amp;"ES",'LM7 Non-ENG'!$A$1:$A$4999,1,FALSE),"ERROR")=B71&amp;"ES","Y","")),"")</f>
        <v/>
      </c>
      <c r="H71" s="29" t="str">
        <f>IFERROR(HYPERLINK("#"&amp;ADDRESS(MATCH(B71&amp;"PT",'LM7 Non-ENG'!$A$1:$A$5000,0),1,,,"LM7 Non-ENG"),IF(IFERROR(VLOOKUP(B71&amp;"PT",'LM7 Non-ENG'!$A$1:$A$5000,1,FALSE),"ERROR")=B71&amp;"PT","Y","")),"")</f>
        <v/>
      </c>
    </row>
    <row r="72" spans="7:8" ht="18" customHeight="1">
      <c r="G72" s="29" t="str">
        <f>IFERROR(HYPERLINK("#"&amp;ADDRESS(MATCH(B72&amp;"ES",'LM7 Non-ENG'!$A$1:$A$5000,0),1,,,"LM7 Non-ENG"),IF(IFERROR(VLOOKUP(B72&amp;"ES",'LM7 Non-ENG'!$A$1:$A$4999,1,FALSE),"ERROR")=B72&amp;"ES","Y","")),"")</f>
        <v/>
      </c>
      <c r="H72" s="29" t="str">
        <f>IFERROR(HYPERLINK("#"&amp;ADDRESS(MATCH(B72&amp;"PT",'LM7 Non-ENG'!$A$1:$A$5000,0),1,,,"LM7 Non-ENG"),IF(IFERROR(VLOOKUP(B72&amp;"PT",'LM7 Non-ENG'!$A$1:$A$5000,1,FALSE),"ERROR")=B72&amp;"PT","Y","")),"")</f>
        <v/>
      </c>
    </row>
    <row r="73" spans="7:8" ht="18" customHeight="1">
      <c r="G73" s="29" t="str">
        <f>IFERROR(HYPERLINK("#"&amp;ADDRESS(MATCH(B73&amp;"ES",'LM7 Non-ENG'!$A$1:$A$5000,0),1,,,"LM7 Non-ENG"),IF(IFERROR(VLOOKUP(B73&amp;"ES",'LM7 Non-ENG'!$A$1:$A$4999,1,FALSE),"ERROR")=B73&amp;"ES","Y","")),"")</f>
        <v/>
      </c>
      <c r="H73" s="29" t="str">
        <f>IFERROR(HYPERLINK("#"&amp;ADDRESS(MATCH(B73&amp;"PT",'LM7 Non-ENG'!$A$1:$A$5000,0),1,,,"LM7 Non-ENG"),IF(IFERROR(VLOOKUP(B73&amp;"PT",'LM7 Non-ENG'!$A$1:$A$5000,1,FALSE),"ERROR")=B73&amp;"PT","Y","")),"")</f>
        <v/>
      </c>
    </row>
    <row r="74" spans="7:8" ht="18" customHeight="1">
      <c r="G74" s="29" t="str">
        <f>IFERROR(HYPERLINK("#"&amp;ADDRESS(MATCH(B74&amp;"ES",'LM7 Non-ENG'!$A$1:$A$5000,0),1,,,"LM7 Non-ENG"),IF(IFERROR(VLOOKUP(B74&amp;"ES",'LM7 Non-ENG'!$A$1:$A$4999,1,FALSE),"ERROR")=B74&amp;"ES","Y","")),"")</f>
        <v/>
      </c>
      <c r="H74" s="29" t="str">
        <f>IFERROR(HYPERLINK("#"&amp;ADDRESS(MATCH(B74&amp;"PT",'LM7 Non-ENG'!$A$1:$A$5000,0),1,,,"LM7 Non-ENG"),IF(IFERROR(VLOOKUP(B74&amp;"PT",'LM7 Non-ENG'!$A$1:$A$5000,1,FALSE),"ERROR")=B74&amp;"PT","Y","")),"")</f>
        <v/>
      </c>
    </row>
    <row r="75" spans="7:8" ht="18" customHeight="1">
      <c r="G75" s="29" t="str">
        <f>IFERROR(HYPERLINK("#"&amp;ADDRESS(MATCH(B75&amp;"ES",'LM7 Non-ENG'!$A$1:$A$5000,0),1,,,"LM7 Non-ENG"),IF(IFERROR(VLOOKUP(B75&amp;"ES",'LM7 Non-ENG'!$A$1:$A$4999,1,FALSE),"ERROR")=B75&amp;"ES","Y","")),"")</f>
        <v/>
      </c>
      <c r="H75" s="29" t="str">
        <f>IFERROR(HYPERLINK("#"&amp;ADDRESS(MATCH(B75&amp;"PT",'LM7 Non-ENG'!$A$1:$A$5000,0),1,,,"LM7 Non-ENG"),IF(IFERROR(VLOOKUP(B75&amp;"PT",'LM7 Non-ENG'!$A$1:$A$5000,1,FALSE),"ERROR")=B75&amp;"PT","Y","")),"")</f>
        <v/>
      </c>
    </row>
    <row r="76" spans="7:8" ht="18" customHeight="1">
      <c r="G76" s="29" t="str">
        <f>IFERROR(HYPERLINK("#"&amp;ADDRESS(MATCH(B76&amp;"ES",'LM7 Non-ENG'!$A$1:$A$5000,0),1,,,"LM7 Non-ENG"),IF(IFERROR(VLOOKUP(B76&amp;"ES",'LM7 Non-ENG'!$A$1:$A$4999,1,FALSE),"ERROR")=B76&amp;"ES","Y","")),"")</f>
        <v/>
      </c>
      <c r="H76" s="29" t="str">
        <f>IFERROR(HYPERLINK("#"&amp;ADDRESS(MATCH(B76&amp;"PT",'LM7 Non-ENG'!$A$1:$A$5000,0),1,,,"LM7 Non-ENG"),IF(IFERROR(VLOOKUP(B76&amp;"PT",'LM7 Non-ENG'!$A$1:$A$5000,1,FALSE),"ERROR")=B76&amp;"PT","Y","")),"")</f>
        <v/>
      </c>
    </row>
    <row r="77" spans="7:8" ht="18" customHeight="1">
      <c r="G77" s="29" t="str">
        <f>IFERROR(HYPERLINK("#"&amp;ADDRESS(MATCH(B77&amp;"ES",'LM7 Non-ENG'!$A$1:$A$5000,0),1,,,"LM7 Non-ENG"),IF(IFERROR(VLOOKUP(B77&amp;"ES",'LM7 Non-ENG'!$A$1:$A$4999,1,FALSE),"ERROR")=B77&amp;"ES","Y","")),"")</f>
        <v/>
      </c>
      <c r="H77" s="29" t="str">
        <f>IFERROR(HYPERLINK("#"&amp;ADDRESS(MATCH(B77&amp;"PT",'LM7 Non-ENG'!$A$1:$A$5000,0),1,,,"LM7 Non-ENG"),IF(IFERROR(VLOOKUP(B77&amp;"PT",'LM7 Non-ENG'!$A$1:$A$5000,1,FALSE),"ERROR")=B77&amp;"PT","Y","")),"")</f>
        <v/>
      </c>
    </row>
    <row r="78" spans="7:8" ht="18" customHeight="1">
      <c r="G78" s="29" t="str">
        <f>IFERROR(HYPERLINK("#"&amp;ADDRESS(MATCH(B78&amp;"ES",'LM7 Non-ENG'!$A$1:$A$5000,0),1,,,"LM7 Non-ENG"),IF(IFERROR(VLOOKUP(B78&amp;"ES",'LM7 Non-ENG'!$A$1:$A$4999,1,FALSE),"ERROR")=B78&amp;"ES","Y","")),"")</f>
        <v/>
      </c>
      <c r="H78" s="29" t="str">
        <f>IFERROR(HYPERLINK("#"&amp;ADDRESS(MATCH(B78&amp;"PT",'LM7 Non-ENG'!$A$1:$A$5000,0),1,,,"LM7 Non-ENG"),IF(IFERROR(VLOOKUP(B78&amp;"PT",'LM7 Non-ENG'!$A$1:$A$5000,1,FALSE),"ERROR")=B78&amp;"PT","Y","")),"")</f>
        <v/>
      </c>
    </row>
    <row r="79" spans="7:8" ht="18" customHeight="1">
      <c r="G79" s="29" t="str">
        <f>IFERROR(HYPERLINK("#"&amp;ADDRESS(MATCH(B79&amp;"ES",'LM7 Non-ENG'!$A$1:$A$5000,0),1,,,"LM7 Non-ENG"),IF(IFERROR(VLOOKUP(B79&amp;"ES",'LM7 Non-ENG'!$A$1:$A$4999,1,FALSE),"ERROR")=B79&amp;"ES","Y","")),"")</f>
        <v/>
      </c>
      <c r="H79" s="29" t="str">
        <f>IFERROR(HYPERLINK("#"&amp;ADDRESS(MATCH(B79&amp;"PT",'LM7 Non-ENG'!$A$1:$A$5000,0),1,,,"LM7 Non-ENG"),IF(IFERROR(VLOOKUP(B79&amp;"PT",'LM7 Non-ENG'!$A$1:$A$5000,1,FALSE),"ERROR")=B79&amp;"PT","Y","")),"")</f>
        <v/>
      </c>
    </row>
    <row r="80" spans="7:8" ht="18" customHeight="1">
      <c r="G80" s="29" t="str">
        <f>IFERROR(HYPERLINK("#"&amp;ADDRESS(MATCH(B80&amp;"ES",'LM7 Non-ENG'!$A$1:$A$5000,0),1,,,"LM7 Non-ENG"),IF(IFERROR(VLOOKUP(B80&amp;"ES",'LM7 Non-ENG'!$A$1:$A$4999,1,FALSE),"ERROR")=B80&amp;"ES","Y","")),"")</f>
        <v/>
      </c>
      <c r="H80" s="29" t="str">
        <f>IFERROR(HYPERLINK("#"&amp;ADDRESS(MATCH(B80&amp;"PT",'LM7 Non-ENG'!$A$1:$A$5000,0),1,,,"LM7 Non-ENG"),IF(IFERROR(VLOOKUP(B80&amp;"PT",'LM7 Non-ENG'!$A$1:$A$5000,1,FALSE),"ERROR")=B80&amp;"PT","Y","")),"")</f>
        <v/>
      </c>
    </row>
    <row r="81" spans="7:8" ht="18" customHeight="1">
      <c r="G81" s="29" t="str">
        <f>IFERROR(HYPERLINK("#"&amp;ADDRESS(MATCH(B81&amp;"ES",'LM7 Non-ENG'!$A$1:$A$5000,0),1,,,"LM7 Non-ENG"),IF(IFERROR(VLOOKUP(B81&amp;"ES",'LM7 Non-ENG'!$A$1:$A$4999,1,FALSE),"ERROR")=B81&amp;"ES","Y","")),"")</f>
        <v/>
      </c>
      <c r="H81" s="29" t="str">
        <f>IFERROR(HYPERLINK("#"&amp;ADDRESS(MATCH(B81&amp;"PT",'LM7 Non-ENG'!$A$1:$A$5000,0),1,,,"LM7 Non-ENG"),IF(IFERROR(VLOOKUP(B81&amp;"PT",'LM7 Non-ENG'!$A$1:$A$5000,1,FALSE),"ERROR")=B81&amp;"PT","Y","")),"")</f>
        <v/>
      </c>
    </row>
    <row r="82" spans="7:8" ht="18" customHeight="1">
      <c r="G82" s="29" t="str">
        <f>IFERROR(HYPERLINK("#"&amp;ADDRESS(MATCH(B82&amp;"ES",'LM7 Non-ENG'!$A$1:$A$5000,0),1,,,"LM7 Non-ENG"),IF(IFERROR(VLOOKUP(B82&amp;"ES",'LM7 Non-ENG'!$A$1:$A$4999,1,FALSE),"ERROR")=B82&amp;"ES","Y","")),"")</f>
        <v/>
      </c>
      <c r="H82" s="29" t="str">
        <f>IFERROR(HYPERLINK("#"&amp;ADDRESS(MATCH(B82&amp;"PT",'LM7 Non-ENG'!$A$1:$A$5000,0),1,,,"LM7 Non-ENG"),IF(IFERROR(VLOOKUP(B82&amp;"PT",'LM7 Non-ENG'!$A$1:$A$5000,1,FALSE),"ERROR")=B82&amp;"PT","Y","")),"")</f>
        <v/>
      </c>
    </row>
    <row r="83" spans="7:8" ht="18" customHeight="1">
      <c r="G83" s="29" t="str">
        <f>IFERROR(HYPERLINK("#"&amp;ADDRESS(MATCH(B83&amp;"ES",'LM7 Non-ENG'!$A$1:$A$5000,0),1,,,"LM7 Non-ENG"),IF(IFERROR(VLOOKUP(B83&amp;"ES",'LM7 Non-ENG'!$A$1:$A$4999,1,FALSE),"ERROR")=B83&amp;"ES","Y","")),"")</f>
        <v/>
      </c>
      <c r="H83" s="29" t="str">
        <f>IFERROR(HYPERLINK("#"&amp;ADDRESS(MATCH(B83&amp;"PT",'LM7 Non-ENG'!$A$1:$A$5000,0),1,,,"LM7 Non-ENG"),IF(IFERROR(VLOOKUP(B83&amp;"PT",'LM7 Non-ENG'!$A$1:$A$5000,1,FALSE),"ERROR")=B83&amp;"PT","Y","")),"")</f>
        <v/>
      </c>
    </row>
    <row r="84" spans="7:8" ht="18" customHeight="1">
      <c r="G84" s="29" t="str">
        <f>IFERROR(HYPERLINK("#"&amp;ADDRESS(MATCH(B84&amp;"ES",'LM7 Non-ENG'!$A$1:$A$5000,0),1,,,"LM7 Non-ENG"),IF(IFERROR(VLOOKUP(B84&amp;"ES",'LM7 Non-ENG'!$A$1:$A$4999,1,FALSE),"ERROR")=B84&amp;"ES","Y","")),"")</f>
        <v/>
      </c>
      <c r="H84" s="29" t="str">
        <f>IFERROR(HYPERLINK("#"&amp;ADDRESS(MATCH(B84&amp;"PT",'LM7 Non-ENG'!$A$1:$A$5000,0),1,,,"LM7 Non-ENG"),IF(IFERROR(VLOOKUP(B84&amp;"PT",'LM7 Non-ENG'!$A$1:$A$5000,1,FALSE),"ERROR")=B84&amp;"PT","Y","")),"")</f>
        <v/>
      </c>
    </row>
    <row r="85" spans="7:8" ht="18" customHeight="1">
      <c r="G85" s="29" t="str">
        <f>IFERROR(HYPERLINK("#"&amp;ADDRESS(MATCH(B85&amp;"ES",'LM7 Non-ENG'!$A$1:$A$5000,0),1,,,"LM7 Non-ENG"),IF(IFERROR(VLOOKUP(B85&amp;"ES",'LM7 Non-ENG'!$A$1:$A$4999,1,FALSE),"ERROR")=B85&amp;"ES","Y","")),"")</f>
        <v/>
      </c>
      <c r="H85" s="29" t="str">
        <f>IFERROR(HYPERLINK("#"&amp;ADDRESS(MATCH(B85&amp;"PT",'LM7 Non-ENG'!$A$1:$A$5000,0),1,,,"LM7 Non-ENG"),IF(IFERROR(VLOOKUP(B85&amp;"PT",'LM7 Non-ENG'!$A$1:$A$5000,1,FALSE),"ERROR")=B85&amp;"PT","Y","")),"")</f>
        <v/>
      </c>
    </row>
    <row r="86" spans="7:8" ht="18" customHeight="1">
      <c r="G86" s="29" t="str">
        <f>IFERROR(HYPERLINK("#"&amp;ADDRESS(MATCH(B86&amp;"ES",'LM7 Non-ENG'!$A$1:$A$5000,0),1,,,"LM7 Non-ENG"),IF(IFERROR(VLOOKUP(B86&amp;"ES",'LM7 Non-ENG'!$A$1:$A$4999,1,FALSE),"ERROR")=B86&amp;"ES","Y","")),"")</f>
        <v/>
      </c>
      <c r="H86" s="29" t="str">
        <f>IFERROR(HYPERLINK("#"&amp;ADDRESS(MATCH(B86&amp;"PT",'LM7 Non-ENG'!$A$1:$A$5000,0),1,,,"LM7 Non-ENG"),IF(IFERROR(VLOOKUP(B86&amp;"PT",'LM7 Non-ENG'!$A$1:$A$5000,1,FALSE),"ERROR")=B86&amp;"PT","Y","")),"")</f>
        <v/>
      </c>
    </row>
    <row r="87" spans="7:8" ht="18" customHeight="1">
      <c r="G87" s="29" t="str">
        <f>IFERROR(HYPERLINK("#"&amp;ADDRESS(MATCH(B87&amp;"ES",'LM7 Non-ENG'!$A$1:$A$5000,0),1,,,"LM7 Non-ENG"),IF(IFERROR(VLOOKUP(B87&amp;"ES",'LM7 Non-ENG'!$A$1:$A$4999,1,FALSE),"ERROR")=B87&amp;"ES","Y","")),"")</f>
        <v/>
      </c>
      <c r="H87" s="29" t="str">
        <f>IFERROR(HYPERLINK("#"&amp;ADDRESS(MATCH(B87&amp;"PT",'LM7 Non-ENG'!$A$1:$A$5000,0),1,,,"LM7 Non-ENG"),IF(IFERROR(VLOOKUP(B87&amp;"PT",'LM7 Non-ENG'!$A$1:$A$5000,1,FALSE),"ERROR")=B87&amp;"PT","Y","")),"")</f>
        <v/>
      </c>
    </row>
    <row r="88" spans="7:8" ht="18" customHeight="1">
      <c r="G88" s="29" t="str">
        <f>IFERROR(HYPERLINK("#"&amp;ADDRESS(MATCH(B88&amp;"ES",'LM7 Non-ENG'!$A$1:$A$5000,0),1,,,"LM7 Non-ENG"),IF(IFERROR(VLOOKUP(B88&amp;"ES",'LM7 Non-ENG'!$A$1:$A$4999,1,FALSE),"ERROR")=B88&amp;"ES","Y","")),"")</f>
        <v/>
      </c>
      <c r="H88" s="29" t="str">
        <f>IFERROR(HYPERLINK("#"&amp;ADDRESS(MATCH(B88&amp;"PT",'LM7 Non-ENG'!$A$1:$A$5000,0),1,,,"LM7 Non-ENG"),IF(IFERROR(VLOOKUP(B88&amp;"PT",'LM7 Non-ENG'!$A$1:$A$5000,1,FALSE),"ERROR")=B88&amp;"PT","Y","")),"")</f>
        <v/>
      </c>
    </row>
    <row r="89" spans="7:8" ht="18" customHeight="1">
      <c r="G89" s="29" t="str">
        <f>IFERROR(HYPERLINK("#"&amp;ADDRESS(MATCH(B89&amp;"ES",'LM7 Non-ENG'!$A$1:$A$5000,0),1,,,"LM7 Non-ENG"),IF(IFERROR(VLOOKUP(B89&amp;"ES",'LM7 Non-ENG'!$A$1:$A$4999,1,FALSE),"ERROR")=B89&amp;"ES","Y","")),"")</f>
        <v/>
      </c>
      <c r="H89" s="29" t="str">
        <f>IFERROR(HYPERLINK("#"&amp;ADDRESS(MATCH(B89&amp;"PT",'LM7 Non-ENG'!$A$1:$A$5000,0),1,,,"LM7 Non-ENG"),IF(IFERROR(VLOOKUP(B89&amp;"PT",'LM7 Non-ENG'!$A$1:$A$5000,1,FALSE),"ERROR")=B89&amp;"PT","Y","")),"")</f>
        <v/>
      </c>
    </row>
    <row r="90" spans="7:8" ht="18" customHeight="1">
      <c r="G90" s="29" t="str">
        <f>IFERROR(HYPERLINK("#"&amp;ADDRESS(MATCH(B90&amp;"ES",'LM7 Non-ENG'!$A$1:$A$5000,0),1,,,"LM7 Non-ENG"),IF(IFERROR(VLOOKUP(B90&amp;"ES",'LM7 Non-ENG'!$A$1:$A$4999,1,FALSE),"ERROR")=B90&amp;"ES","Y","")),"")</f>
        <v/>
      </c>
      <c r="H90" s="29" t="str">
        <f>IFERROR(HYPERLINK("#"&amp;ADDRESS(MATCH(B90&amp;"PT",'LM7 Non-ENG'!$A$1:$A$5000,0),1,,,"LM7 Non-ENG"),IF(IFERROR(VLOOKUP(B90&amp;"PT",'LM7 Non-ENG'!$A$1:$A$5000,1,FALSE),"ERROR")=B90&amp;"PT","Y","")),"")</f>
        <v/>
      </c>
    </row>
    <row r="91" spans="7:8" ht="18" customHeight="1">
      <c r="G91" s="29" t="str">
        <f>IFERROR(HYPERLINK("#"&amp;ADDRESS(MATCH(B91&amp;"ES",'LM7 Non-ENG'!$A$1:$A$5000,0),1,,,"LM7 Non-ENG"),IF(IFERROR(VLOOKUP(B91&amp;"ES",'LM7 Non-ENG'!$A$1:$A$4999,1,FALSE),"ERROR")=B91&amp;"ES","Y","")),"")</f>
        <v/>
      </c>
      <c r="H91" s="29" t="str">
        <f>IFERROR(HYPERLINK("#"&amp;ADDRESS(MATCH(B91&amp;"PT",'LM7 Non-ENG'!$A$1:$A$5000,0),1,,,"LM7 Non-ENG"),IF(IFERROR(VLOOKUP(B91&amp;"PT",'LM7 Non-ENG'!$A$1:$A$5000,1,FALSE),"ERROR")=B91&amp;"PT","Y","")),"")</f>
        <v/>
      </c>
    </row>
    <row r="92" spans="7:8" ht="18" customHeight="1">
      <c r="G92" s="29" t="str">
        <f>IFERROR(HYPERLINK("#"&amp;ADDRESS(MATCH(B92&amp;"ES",'LM7 Non-ENG'!$A$1:$A$5000,0),1,,,"LM7 Non-ENG"),IF(IFERROR(VLOOKUP(B92&amp;"ES",'LM7 Non-ENG'!$A$1:$A$4999,1,FALSE),"ERROR")=B92&amp;"ES","Y","")),"")</f>
        <v/>
      </c>
      <c r="H92" s="29" t="str">
        <f>IFERROR(HYPERLINK("#"&amp;ADDRESS(MATCH(B92&amp;"PT",'LM7 Non-ENG'!$A$1:$A$5000,0),1,,,"LM7 Non-ENG"),IF(IFERROR(VLOOKUP(B92&amp;"PT",'LM7 Non-ENG'!$A$1:$A$5000,1,FALSE),"ERROR")=B92&amp;"PT","Y","")),"")</f>
        <v/>
      </c>
    </row>
    <row r="93" spans="7:8" ht="18" customHeight="1">
      <c r="G93" s="29" t="str">
        <f>IFERROR(HYPERLINK("#"&amp;ADDRESS(MATCH(B93&amp;"ES",'LM7 Non-ENG'!$A$1:$A$5000,0),1,,,"LM7 Non-ENG"),IF(IFERROR(VLOOKUP(B93&amp;"ES",'LM7 Non-ENG'!$A$1:$A$4999,1,FALSE),"ERROR")=B93&amp;"ES","Y","")),"")</f>
        <v/>
      </c>
      <c r="H93" s="29" t="str">
        <f>IFERROR(HYPERLINK("#"&amp;ADDRESS(MATCH(B93&amp;"PT",'LM7 Non-ENG'!$A$1:$A$5000,0),1,,,"LM7 Non-ENG"),IF(IFERROR(VLOOKUP(B93&amp;"PT",'LM7 Non-ENG'!$A$1:$A$5000,1,FALSE),"ERROR")=B93&amp;"PT","Y","")),"")</f>
        <v/>
      </c>
    </row>
    <row r="94" spans="7:8" ht="18" customHeight="1">
      <c r="G94" s="29" t="str">
        <f>IFERROR(HYPERLINK("#"&amp;ADDRESS(MATCH(B94&amp;"ES",'LM7 Non-ENG'!$A$1:$A$5000,0),1,,,"LM7 Non-ENG"),IF(IFERROR(VLOOKUP(B94&amp;"ES",'LM7 Non-ENG'!$A$1:$A$4999,1,FALSE),"ERROR")=B94&amp;"ES","Y","")),"")</f>
        <v/>
      </c>
      <c r="H94" s="29" t="str">
        <f>IFERROR(HYPERLINK("#"&amp;ADDRESS(MATCH(B94&amp;"PT",'LM7 Non-ENG'!$A$1:$A$5000,0),1,,,"LM7 Non-ENG"),IF(IFERROR(VLOOKUP(B94&amp;"PT",'LM7 Non-ENG'!$A$1:$A$5000,1,FALSE),"ERROR")=B94&amp;"PT","Y","")),"")</f>
        <v/>
      </c>
    </row>
    <row r="95" spans="7:8" ht="18" customHeight="1">
      <c r="G95" s="29" t="str">
        <f>IFERROR(HYPERLINK("#"&amp;ADDRESS(MATCH(B95&amp;"ES",'LM7 Non-ENG'!$A$1:$A$5000,0),1,,,"LM7 Non-ENG"),IF(IFERROR(VLOOKUP(B95&amp;"ES",'LM7 Non-ENG'!$A$1:$A$4999,1,FALSE),"ERROR")=B95&amp;"ES","Y","")),"")</f>
        <v/>
      </c>
      <c r="H95" s="29" t="str">
        <f>IFERROR(HYPERLINK("#"&amp;ADDRESS(MATCH(B95&amp;"PT",'LM7 Non-ENG'!$A$1:$A$5000,0),1,,,"LM7 Non-ENG"),IF(IFERROR(VLOOKUP(B95&amp;"PT",'LM7 Non-ENG'!$A$1:$A$5000,1,FALSE),"ERROR")=B95&amp;"PT","Y","")),"")</f>
        <v/>
      </c>
    </row>
    <row r="96" spans="7:8" ht="18" customHeight="1">
      <c r="G96" s="29" t="str">
        <f>IFERROR(HYPERLINK("#"&amp;ADDRESS(MATCH(B96&amp;"ES",'LM7 Non-ENG'!$A$1:$A$5000,0),1,,,"LM7 Non-ENG"),IF(IFERROR(VLOOKUP(B96&amp;"ES",'LM7 Non-ENG'!$A$1:$A$4999,1,FALSE),"ERROR")=B96&amp;"ES","Y","")),"")</f>
        <v/>
      </c>
      <c r="H96" s="29" t="str">
        <f>IFERROR(HYPERLINK("#"&amp;ADDRESS(MATCH(B96&amp;"PT",'LM7 Non-ENG'!$A$1:$A$5000,0),1,,,"LM7 Non-ENG"),IF(IFERROR(VLOOKUP(B96&amp;"PT",'LM7 Non-ENG'!$A$1:$A$5000,1,FALSE),"ERROR")=B96&amp;"PT","Y","")),"")</f>
        <v/>
      </c>
    </row>
    <row r="97" spans="7:8" ht="18" customHeight="1">
      <c r="G97" s="29" t="str">
        <f>IFERROR(HYPERLINK("#"&amp;ADDRESS(MATCH(B97&amp;"ES",'LM7 Non-ENG'!$A$1:$A$5000,0),1,,,"LM7 Non-ENG"),IF(IFERROR(VLOOKUP(B97&amp;"ES",'LM7 Non-ENG'!$A$1:$A$4999,1,FALSE),"ERROR")=B97&amp;"ES","Y","")),"")</f>
        <v/>
      </c>
      <c r="H97" s="29" t="str">
        <f>IFERROR(HYPERLINK("#"&amp;ADDRESS(MATCH(B97&amp;"PT",'LM7 Non-ENG'!$A$1:$A$5000,0),1,,,"LM7 Non-ENG"),IF(IFERROR(VLOOKUP(B97&amp;"PT",'LM7 Non-ENG'!$A$1:$A$5000,1,FALSE),"ERROR")=B97&amp;"PT","Y","")),"")</f>
        <v/>
      </c>
    </row>
    <row r="98" spans="7:8" ht="18" customHeight="1">
      <c r="G98" s="29" t="str">
        <f>IFERROR(HYPERLINK("#"&amp;ADDRESS(MATCH(B98&amp;"ES",'LM7 Non-ENG'!$A$1:$A$5000,0),1,,,"LM7 Non-ENG"),IF(IFERROR(VLOOKUP(B98&amp;"ES",'LM7 Non-ENG'!$A$1:$A$4999,1,FALSE),"ERROR")=B98&amp;"ES","Y","")),"")</f>
        <v/>
      </c>
      <c r="H98" s="29" t="str">
        <f>IFERROR(HYPERLINK("#"&amp;ADDRESS(MATCH(B98&amp;"PT",'LM7 Non-ENG'!$A$1:$A$5000,0),1,,,"LM7 Non-ENG"),IF(IFERROR(VLOOKUP(B98&amp;"PT",'LM7 Non-ENG'!$A$1:$A$5000,1,FALSE),"ERROR")=B98&amp;"PT","Y","")),"")</f>
        <v/>
      </c>
    </row>
    <row r="99" spans="7:8" ht="18" customHeight="1">
      <c r="G99" s="29" t="str">
        <f>IFERROR(HYPERLINK("#"&amp;ADDRESS(MATCH(B99&amp;"ES",'LM7 Non-ENG'!$A$1:$A$5000,0),1,,,"LM7 Non-ENG"),IF(IFERROR(VLOOKUP(B99&amp;"ES",'LM7 Non-ENG'!$A$1:$A$4999,1,FALSE),"ERROR")=B99&amp;"ES","Y","")),"")</f>
        <v/>
      </c>
      <c r="H99" s="29" t="str">
        <f>IFERROR(HYPERLINK("#"&amp;ADDRESS(MATCH(B99&amp;"PT",'LM7 Non-ENG'!$A$1:$A$5000,0),1,,,"LM7 Non-ENG"),IF(IFERROR(VLOOKUP(B99&amp;"PT",'LM7 Non-ENG'!$A$1:$A$5000,1,FALSE),"ERROR")=B99&amp;"PT","Y","")),"")</f>
        <v/>
      </c>
    </row>
    <row r="100" spans="7:8" ht="18" customHeight="1">
      <c r="G100" s="29" t="str">
        <f>IFERROR(HYPERLINK("#"&amp;ADDRESS(MATCH(B100&amp;"ES",'LM7 Non-ENG'!$A$1:$A$5000,0),1,,,"LM7 Non-ENG"),IF(IFERROR(VLOOKUP(B100&amp;"ES",'LM7 Non-ENG'!$A$1:$A$4999,1,FALSE),"ERROR")=B100&amp;"ES","Y","")),"")</f>
        <v/>
      </c>
      <c r="H100" s="29" t="str">
        <f>IFERROR(HYPERLINK("#"&amp;ADDRESS(MATCH(B100&amp;"PT",'LM7 Non-ENG'!$A$1:$A$5000,0),1,,,"LM7 Non-ENG"),IF(IFERROR(VLOOKUP(B100&amp;"PT",'LM7 Non-ENG'!$A$1:$A$5000,1,FALSE),"ERROR")=B100&amp;"PT","Y","")),"")</f>
        <v/>
      </c>
    </row>
    <row r="101" spans="7:8" ht="18" customHeight="1">
      <c r="G101" s="29" t="str">
        <f>IFERROR(HYPERLINK("#"&amp;ADDRESS(MATCH(B101&amp;"ES",'LM7 Non-ENG'!$A$1:$A$5000,0),1,,,"LM7 Non-ENG"),IF(IFERROR(VLOOKUP(B101&amp;"ES",'LM7 Non-ENG'!$A$1:$A$4999,1,FALSE),"ERROR")=B101&amp;"ES","Y","")),"")</f>
        <v/>
      </c>
      <c r="H101" s="29" t="str">
        <f>IFERROR(HYPERLINK("#"&amp;ADDRESS(MATCH(B101&amp;"PT",'LM7 Non-ENG'!$A$1:$A$5000,0),1,,,"LM7 Non-ENG"),IF(IFERROR(VLOOKUP(B101&amp;"PT",'LM7 Non-ENG'!$A$1:$A$5000,1,FALSE),"ERROR")=B101&amp;"PT","Y","")),"")</f>
        <v/>
      </c>
    </row>
    <row r="102" spans="7:8" ht="18" customHeight="1">
      <c r="G102" s="29" t="str">
        <f>IFERROR(HYPERLINK("#"&amp;ADDRESS(MATCH(B102&amp;"ES",'LM7 Non-ENG'!$A$1:$A$5000,0),1,,,"LM7 Non-ENG"),IF(IFERROR(VLOOKUP(B102&amp;"ES",'LM7 Non-ENG'!$A$1:$A$4999,1,FALSE),"ERROR")=B102&amp;"ES","Y","")),"")</f>
        <v/>
      </c>
      <c r="H102" s="29" t="str">
        <f>IFERROR(HYPERLINK("#"&amp;ADDRESS(MATCH(B102&amp;"PT",'LM7 Non-ENG'!$A$1:$A$5000,0),1,,,"LM7 Non-ENG"),IF(IFERROR(VLOOKUP(B102&amp;"PT",'LM7 Non-ENG'!$A$1:$A$5000,1,FALSE),"ERROR")=B102&amp;"PT","Y","")),"")</f>
        <v/>
      </c>
    </row>
    <row r="103" spans="7:8" ht="18" customHeight="1">
      <c r="G103" s="29" t="str">
        <f>IFERROR(HYPERLINK("#"&amp;ADDRESS(MATCH(B103&amp;"ES",'LM7 Non-ENG'!$A$1:$A$5000,0),1,,,"LM7 Non-ENG"),IF(IFERROR(VLOOKUP(B103&amp;"ES",'LM7 Non-ENG'!$A$1:$A$4999,1,FALSE),"ERROR")=B103&amp;"ES","Y","")),"")</f>
        <v/>
      </c>
      <c r="H103" s="29" t="str">
        <f>IFERROR(HYPERLINK("#"&amp;ADDRESS(MATCH(B103&amp;"PT",'LM7 Non-ENG'!$A$1:$A$5000,0),1,,,"LM7 Non-ENG"),IF(IFERROR(VLOOKUP(B103&amp;"PT",'LM7 Non-ENG'!$A$1:$A$5000,1,FALSE),"ERROR")=B103&amp;"PT","Y","")),"")</f>
        <v/>
      </c>
    </row>
    <row r="104" spans="7:8" ht="18" customHeight="1">
      <c r="G104" s="29" t="str">
        <f>IFERROR(HYPERLINK("#"&amp;ADDRESS(MATCH(B104&amp;"ES",'LM7 Non-ENG'!$A$1:$A$5000,0),1,,,"LM7 Non-ENG"),IF(IFERROR(VLOOKUP(B104&amp;"ES",'LM7 Non-ENG'!$A$1:$A$4999,1,FALSE),"ERROR")=B104&amp;"ES","Y","")),"")</f>
        <v/>
      </c>
      <c r="H104" s="29" t="str">
        <f>IFERROR(HYPERLINK("#"&amp;ADDRESS(MATCH(B104&amp;"PT",'LM7 Non-ENG'!$A$1:$A$5000,0),1,,,"LM7 Non-ENG"),IF(IFERROR(VLOOKUP(B104&amp;"PT",'LM7 Non-ENG'!$A$1:$A$5000,1,FALSE),"ERROR")=B104&amp;"PT","Y","")),"")</f>
        <v/>
      </c>
    </row>
    <row r="105" spans="7:8" ht="18" customHeight="1">
      <c r="G105" s="29" t="str">
        <f>IFERROR(HYPERLINK("#"&amp;ADDRESS(MATCH(B105&amp;"ES",'LM7 Non-ENG'!$A$1:$A$5000,0),1,,,"LM7 Non-ENG"),IF(IFERROR(VLOOKUP(B105&amp;"ES",'LM7 Non-ENG'!$A$1:$A$4999,1,FALSE),"ERROR")=B105&amp;"ES","Y","")),"")</f>
        <v/>
      </c>
      <c r="H105" s="29" t="str">
        <f>IFERROR(HYPERLINK("#"&amp;ADDRESS(MATCH(B105&amp;"PT",'LM7 Non-ENG'!$A$1:$A$5000,0),1,,,"LM7 Non-ENG"),IF(IFERROR(VLOOKUP(B105&amp;"PT",'LM7 Non-ENG'!$A$1:$A$5000,1,FALSE),"ERROR")=B105&amp;"PT","Y","")),"")</f>
        <v/>
      </c>
    </row>
    <row r="106" spans="7:8" ht="18" customHeight="1">
      <c r="G106" s="29" t="str">
        <f>IFERROR(HYPERLINK("#"&amp;ADDRESS(MATCH(B106&amp;"ES",'LM7 Non-ENG'!$A$1:$A$5000,0),1,,,"LM7 Non-ENG"),IF(IFERROR(VLOOKUP(B106&amp;"ES",'LM7 Non-ENG'!$A$1:$A$4999,1,FALSE),"ERROR")=B106&amp;"ES","Y","")),"")</f>
        <v/>
      </c>
      <c r="H106" s="29" t="str">
        <f>IFERROR(HYPERLINK("#"&amp;ADDRESS(MATCH(B106&amp;"PT",'LM7 Non-ENG'!$A$1:$A$5000,0),1,,,"LM7 Non-ENG"),IF(IFERROR(VLOOKUP(B106&amp;"PT",'LM7 Non-ENG'!$A$1:$A$5000,1,FALSE),"ERROR")=B106&amp;"PT","Y","")),"")</f>
        <v/>
      </c>
    </row>
    <row r="107" spans="7:8" ht="18" customHeight="1">
      <c r="G107" s="29" t="str">
        <f>IFERROR(HYPERLINK("#"&amp;ADDRESS(MATCH(B107&amp;"ES",'LM7 Non-ENG'!$A$1:$A$5000,0),1,,,"LM7 Non-ENG"),IF(IFERROR(VLOOKUP(B107&amp;"ES",'LM7 Non-ENG'!$A$1:$A$4999,1,FALSE),"ERROR")=B107&amp;"ES","Y","")),"")</f>
        <v/>
      </c>
      <c r="H107" s="29" t="str">
        <f>IFERROR(HYPERLINK("#"&amp;ADDRESS(MATCH(B107&amp;"PT",'LM7 Non-ENG'!$A$1:$A$5000,0),1,,,"LM7 Non-ENG"),IF(IFERROR(VLOOKUP(B107&amp;"PT",'LM7 Non-ENG'!$A$1:$A$5000,1,FALSE),"ERROR")=B107&amp;"PT","Y","")),"")</f>
        <v/>
      </c>
    </row>
    <row r="108" spans="7:8" ht="18" customHeight="1">
      <c r="G108" s="29" t="str">
        <f>IFERROR(HYPERLINK("#"&amp;ADDRESS(MATCH(B108&amp;"ES",'LM7 Non-ENG'!$A$1:$A$5000,0),1,,,"LM7 Non-ENG"),IF(IFERROR(VLOOKUP(B108&amp;"ES",'LM7 Non-ENG'!$A$1:$A$4999,1,FALSE),"ERROR")=B108&amp;"ES","Y","")),"")</f>
        <v/>
      </c>
      <c r="H108" s="29" t="str">
        <f>IFERROR(HYPERLINK("#"&amp;ADDRESS(MATCH(B108&amp;"PT",'LM7 Non-ENG'!$A$1:$A$5000,0),1,,,"LM7 Non-ENG"),IF(IFERROR(VLOOKUP(B108&amp;"PT",'LM7 Non-ENG'!$A$1:$A$5000,1,FALSE),"ERROR")=B108&amp;"PT","Y","")),"")</f>
        <v/>
      </c>
    </row>
    <row r="109" spans="7:8" ht="18" customHeight="1">
      <c r="G109" s="29" t="str">
        <f>IFERROR(HYPERLINK("#"&amp;ADDRESS(MATCH(B109&amp;"ES",'LM7 Non-ENG'!$A$1:$A$5000,0),1,,,"LM7 Non-ENG"),IF(IFERROR(VLOOKUP(B109&amp;"ES",'LM7 Non-ENG'!$A$1:$A$4999,1,FALSE),"ERROR")=B109&amp;"ES","Y","")),"")</f>
        <v/>
      </c>
      <c r="H109" s="29" t="str">
        <f>IFERROR(HYPERLINK("#"&amp;ADDRESS(MATCH(B109&amp;"PT",'LM7 Non-ENG'!$A$1:$A$5000,0),1,,,"LM7 Non-ENG"),IF(IFERROR(VLOOKUP(B109&amp;"PT",'LM7 Non-ENG'!$A$1:$A$5000,1,FALSE),"ERROR")=B109&amp;"PT","Y","")),"")</f>
        <v/>
      </c>
    </row>
    <row r="110" spans="7:8" ht="18" customHeight="1">
      <c r="G110" s="29" t="str">
        <f>IFERROR(HYPERLINK("#"&amp;ADDRESS(MATCH(B110&amp;"ES",'LM7 Non-ENG'!$A$1:$A$5000,0),1,,,"LM7 Non-ENG"),IF(IFERROR(VLOOKUP(B110&amp;"ES",'LM7 Non-ENG'!$A$1:$A$4999,1,FALSE),"ERROR")=B110&amp;"ES","Y","")),"")</f>
        <v/>
      </c>
      <c r="H110" s="29" t="str">
        <f>IFERROR(HYPERLINK("#"&amp;ADDRESS(MATCH(B110&amp;"PT",'LM7 Non-ENG'!$A$1:$A$5000,0),1,,,"LM7 Non-ENG"),IF(IFERROR(VLOOKUP(B110&amp;"PT",'LM7 Non-ENG'!$A$1:$A$5000,1,FALSE),"ERROR")=B110&amp;"PT","Y","")),"")</f>
        <v/>
      </c>
    </row>
    <row r="111" spans="7:8" ht="18" customHeight="1">
      <c r="G111" s="29" t="str">
        <f>IFERROR(HYPERLINK("#"&amp;ADDRESS(MATCH(B111&amp;"ES",'LM7 Non-ENG'!$A$1:$A$5000,0),1,,,"LM7 Non-ENG"),IF(IFERROR(VLOOKUP(B111&amp;"ES",'LM7 Non-ENG'!$A$1:$A$4999,1,FALSE),"ERROR")=B111&amp;"ES","Y","")),"")</f>
        <v/>
      </c>
      <c r="H111" s="29" t="str">
        <f>IFERROR(HYPERLINK("#"&amp;ADDRESS(MATCH(B111&amp;"PT",'LM7 Non-ENG'!$A$1:$A$5000,0),1,,,"LM7 Non-ENG"),IF(IFERROR(VLOOKUP(B111&amp;"PT",'LM7 Non-ENG'!$A$1:$A$5000,1,FALSE),"ERROR")=B111&amp;"PT","Y","")),"")</f>
        <v/>
      </c>
    </row>
    <row r="112" spans="7:8" ht="18" customHeight="1">
      <c r="G112" s="29" t="str">
        <f>IFERROR(HYPERLINK("#"&amp;ADDRESS(MATCH(B112&amp;"ES",'LM7 Non-ENG'!$A$1:$A$5000,0),1,,,"LM7 Non-ENG"),IF(IFERROR(VLOOKUP(B112&amp;"ES",'LM7 Non-ENG'!$A$1:$A$4999,1,FALSE),"ERROR")=B112&amp;"ES","Y","")),"")</f>
        <v/>
      </c>
      <c r="H112" s="29" t="str">
        <f>IFERROR(HYPERLINK("#"&amp;ADDRESS(MATCH(B112&amp;"PT",'LM7 Non-ENG'!$A$1:$A$5000,0),1,,,"LM7 Non-ENG"),IF(IFERROR(VLOOKUP(B112&amp;"PT",'LM7 Non-ENG'!$A$1:$A$5000,1,FALSE),"ERROR")=B112&amp;"PT","Y","")),"")</f>
        <v/>
      </c>
    </row>
    <row r="113" spans="7:8" ht="18" customHeight="1">
      <c r="G113" s="29" t="str">
        <f>IFERROR(HYPERLINK("#"&amp;ADDRESS(MATCH(B113&amp;"ES",'LM7 Non-ENG'!$A$1:$A$5000,0),1,,,"LM7 Non-ENG"),IF(IFERROR(VLOOKUP(B113&amp;"ES",'LM7 Non-ENG'!$A$1:$A$4999,1,FALSE),"ERROR")=B113&amp;"ES","Y","")),"")</f>
        <v/>
      </c>
      <c r="H113" s="29" t="str">
        <f>IFERROR(HYPERLINK("#"&amp;ADDRESS(MATCH(B113&amp;"PT",'LM7 Non-ENG'!$A$1:$A$5000,0),1,,,"LM7 Non-ENG"),IF(IFERROR(VLOOKUP(B113&amp;"PT",'LM7 Non-ENG'!$A$1:$A$5000,1,FALSE),"ERROR")=B113&amp;"PT","Y","")),"")</f>
        <v/>
      </c>
    </row>
    <row r="114" spans="7:8" ht="18" customHeight="1">
      <c r="G114" s="29" t="str">
        <f>IFERROR(HYPERLINK("#"&amp;ADDRESS(MATCH(B114&amp;"ES",'LM7 Non-ENG'!$A$1:$A$5000,0),1,,,"LM7 Non-ENG"),IF(IFERROR(VLOOKUP(B114&amp;"ES",'LM7 Non-ENG'!$A$1:$A$4999,1,FALSE),"ERROR")=B114&amp;"ES","Y","")),"")</f>
        <v/>
      </c>
      <c r="H114" s="29" t="str">
        <f>IFERROR(HYPERLINK("#"&amp;ADDRESS(MATCH(B114&amp;"PT",'LM7 Non-ENG'!$A$1:$A$5000,0),1,,,"LM7 Non-ENG"),IF(IFERROR(VLOOKUP(B114&amp;"PT",'LM7 Non-ENG'!$A$1:$A$5000,1,FALSE),"ERROR")=B114&amp;"PT","Y","")),"")</f>
        <v/>
      </c>
    </row>
    <row r="115" spans="7:8" ht="18" customHeight="1">
      <c r="G115" s="29" t="str">
        <f>IFERROR(HYPERLINK("#"&amp;ADDRESS(MATCH(B115&amp;"ES",'LM7 Non-ENG'!$A$1:$A$5000,0),1,,,"LM7 Non-ENG"),IF(IFERROR(VLOOKUP(B115&amp;"ES",'LM7 Non-ENG'!$A$1:$A$4999,1,FALSE),"ERROR")=B115&amp;"ES","Y","")),"")</f>
        <v/>
      </c>
      <c r="H115" s="29" t="str">
        <f>IFERROR(HYPERLINK("#"&amp;ADDRESS(MATCH(B115&amp;"PT",'LM7 Non-ENG'!$A$1:$A$5000,0),1,,,"LM7 Non-ENG"),IF(IFERROR(VLOOKUP(B115&amp;"PT",'LM7 Non-ENG'!$A$1:$A$5000,1,FALSE),"ERROR")=B115&amp;"PT","Y","")),"")</f>
        <v/>
      </c>
    </row>
    <row r="116" spans="7:8" ht="18" customHeight="1">
      <c r="G116" s="29" t="str">
        <f>IFERROR(HYPERLINK("#"&amp;ADDRESS(MATCH(B116&amp;"ES",'LM7 Non-ENG'!$A$1:$A$5000,0),1,,,"LM7 Non-ENG"),IF(IFERROR(VLOOKUP(B116&amp;"ES",'LM7 Non-ENG'!$A$1:$A$4999,1,FALSE),"ERROR")=B116&amp;"ES","Y","")),"")</f>
        <v/>
      </c>
      <c r="H116" s="29" t="str">
        <f>IFERROR(HYPERLINK("#"&amp;ADDRESS(MATCH(B116&amp;"PT",'LM7 Non-ENG'!$A$1:$A$5000,0),1,,,"LM7 Non-ENG"),IF(IFERROR(VLOOKUP(B116&amp;"PT",'LM7 Non-ENG'!$A$1:$A$5000,1,FALSE),"ERROR")=B116&amp;"PT","Y","")),"")</f>
        <v/>
      </c>
    </row>
    <row r="117" spans="7:8" ht="18" customHeight="1">
      <c r="G117" s="29" t="str">
        <f>IFERROR(HYPERLINK("#"&amp;ADDRESS(MATCH(B117&amp;"ES",'LM7 Non-ENG'!$A$1:$A$5000,0),1,,,"LM7 Non-ENG"),IF(IFERROR(VLOOKUP(B117&amp;"ES",'LM7 Non-ENG'!$A$1:$A$4999,1,FALSE),"ERROR")=B117&amp;"ES","Y","")),"")</f>
        <v/>
      </c>
      <c r="H117" s="29" t="str">
        <f>IFERROR(HYPERLINK("#"&amp;ADDRESS(MATCH(B117&amp;"PT",'LM7 Non-ENG'!$A$1:$A$5000,0),1,,,"LM7 Non-ENG"),IF(IFERROR(VLOOKUP(B117&amp;"PT",'LM7 Non-ENG'!$A$1:$A$5000,1,FALSE),"ERROR")=B117&amp;"PT","Y","")),"")</f>
        <v/>
      </c>
    </row>
    <row r="118" spans="7:8" ht="18" customHeight="1">
      <c r="G118" s="29" t="str">
        <f>IFERROR(HYPERLINK("#"&amp;ADDRESS(MATCH(B118&amp;"ES",'LM7 Non-ENG'!$A$1:$A$5000,0),1,,,"LM7 Non-ENG"),IF(IFERROR(VLOOKUP(B118&amp;"ES",'LM7 Non-ENG'!$A$1:$A$4999,1,FALSE),"ERROR")=B118&amp;"ES","Y","")),"")</f>
        <v/>
      </c>
      <c r="H118" s="29" t="str">
        <f>IFERROR(HYPERLINK("#"&amp;ADDRESS(MATCH(B118&amp;"PT",'LM7 Non-ENG'!$A$1:$A$5000,0),1,,,"LM7 Non-ENG"),IF(IFERROR(VLOOKUP(B118&amp;"PT",'LM7 Non-ENG'!$A$1:$A$5000,1,FALSE),"ERROR")=B118&amp;"PT","Y","")),"")</f>
        <v/>
      </c>
    </row>
    <row r="119" spans="7:8" ht="18" customHeight="1">
      <c r="G119" s="29" t="str">
        <f>IFERROR(HYPERLINK("#"&amp;ADDRESS(MATCH(B119&amp;"ES",'LM7 Non-ENG'!$A$1:$A$5000,0),1,,,"LM7 Non-ENG"),IF(IFERROR(VLOOKUP(B119&amp;"ES",'LM7 Non-ENG'!$A$1:$A$4999,1,FALSE),"ERROR")=B119&amp;"ES","Y","")),"")</f>
        <v/>
      </c>
      <c r="H119" s="29" t="str">
        <f>IFERROR(HYPERLINK("#"&amp;ADDRESS(MATCH(B119&amp;"PT",'LM7 Non-ENG'!$A$1:$A$5000,0),1,,,"LM7 Non-ENG"),IF(IFERROR(VLOOKUP(B119&amp;"PT",'LM7 Non-ENG'!$A$1:$A$5000,1,FALSE),"ERROR")=B119&amp;"PT","Y","")),"")</f>
        <v/>
      </c>
    </row>
    <row r="120" spans="7:8" ht="18" customHeight="1">
      <c r="G120" s="29" t="str">
        <f>IFERROR(HYPERLINK("#"&amp;ADDRESS(MATCH(B120&amp;"ES",'LM7 Non-ENG'!$A$1:$A$5000,0),1,,,"LM7 Non-ENG"),IF(IFERROR(VLOOKUP(B120&amp;"ES",'LM7 Non-ENG'!$A$1:$A$4999,1,FALSE),"ERROR")=B120&amp;"ES","Y","")),"")</f>
        <v/>
      </c>
      <c r="H120" s="29" t="str">
        <f>IFERROR(HYPERLINK("#"&amp;ADDRESS(MATCH(B120&amp;"PT",'LM7 Non-ENG'!$A$1:$A$5000,0),1,,,"LM7 Non-ENG"),IF(IFERROR(VLOOKUP(B120&amp;"PT",'LM7 Non-ENG'!$A$1:$A$5000,1,FALSE),"ERROR")=B120&amp;"PT","Y","")),"")</f>
        <v/>
      </c>
    </row>
    <row r="121" spans="7:8" ht="18" customHeight="1">
      <c r="G121" s="29" t="str">
        <f>IFERROR(HYPERLINK("#"&amp;ADDRESS(MATCH(B121&amp;"ES",'LM7 Non-ENG'!$A$1:$A$5000,0),1,,,"LM7 Non-ENG"),IF(IFERROR(VLOOKUP(B121&amp;"ES",'LM7 Non-ENG'!$A$1:$A$4999,1,FALSE),"ERROR")=B121&amp;"ES","Y","")),"")</f>
        <v/>
      </c>
      <c r="H121" s="29" t="str">
        <f>IFERROR(HYPERLINK("#"&amp;ADDRESS(MATCH(B121&amp;"PT",'LM7 Non-ENG'!$A$1:$A$5000,0),1,,,"LM7 Non-ENG"),IF(IFERROR(VLOOKUP(B121&amp;"PT",'LM7 Non-ENG'!$A$1:$A$5000,1,FALSE),"ERROR")=B121&amp;"PT","Y","")),"")</f>
        <v/>
      </c>
    </row>
    <row r="122" spans="7:8" ht="18" customHeight="1">
      <c r="G122" s="29" t="str">
        <f>IFERROR(HYPERLINK("#"&amp;ADDRESS(MATCH(B122&amp;"ES",'LM7 Non-ENG'!$A$1:$A$5000,0),1,,,"LM7 Non-ENG"),IF(IFERROR(VLOOKUP(B122&amp;"ES",'LM7 Non-ENG'!$A$1:$A$4999,1,FALSE),"ERROR")=B122&amp;"ES","Y","")),"")</f>
        <v/>
      </c>
      <c r="H122" s="29" t="str">
        <f>IFERROR(HYPERLINK("#"&amp;ADDRESS(MATCH(B122&amp;"PT",'LM7 Non-ENG'!$A$1:$A$5000,0),1,,,"LM7 Non-ENG"),IF(IFERROR(VLOOKUP(B122&amp;"PT",'LM7 Non-ENG'!$A$1:$A$5000,1,FALSE),"ERROR")=B122&amp;"PT","Y","")),"")</f>
        <v/>
      </c>
    </row>
    <row r="123" spans="7:8" ht="18" customHeight="1">
      <c r="G123" s="29" t="str">
        <f>IFERROR(HYPERLINK("#"&amp;ADDRESS(MATCH(B123&amp;"ES",'LM7 Non-ENG'!$A$1:$A$5000,0),1,,,"LM7 Non-ENG"),IF(IFERROR(VLOOKUP(B123&amp;"ES",'LM7 Non-ENG'!$A$1:$A$4999,1,FALSE),"ERROR")=B123&amp;"ES","Y","")),"")</f>
        <v/>
      </c>
      <c r="H123" s="29" t="str">
        <f>IFERROR(HYPERLINK("#"&amp;ADDRESS(MATCH(B123&amp;"PT",'LM7 Non-ENG'!$A$1:$A$5000,0),1,,,"LM7 Non-ENG"),IF(IFERROR(VLOOKUP(B123&amp;"PT",'LM7 Non-ENG'!$A$1:$A$5000,1,FALSE),"ERROR")=B123&amp;"PT","Y","")),"")</f>
        <v/>
      </c>
    </row>
    <row r="124" spans="7:8" ht="18" customHeight="1">
      <c r="G124" s="29" t="str">
        <f>IFERROR(HYPERLINK("#"&amp;ADDRESS(MATCH(B124&amp;"ES",'LM7 Non-ENG'!$A$1:$A$5000,0),1,,,"LM7 Non-ENG"),IF(IFERROR(VLOOKUP(B124&amp;"ES",'LM7 Non-ENG'!$A$1:$A$4999,1,FALSE),"ERROR")=B124&amp;"ES","Y","")),"")</f>
        <v/>
      </c>
      <c r="H124" s="29" t="str">
        <f>IFERROR(HYPERLINK("#"&amp;ADDRESS(MATCH(B124&amp;"PT",'LM7 Non-ENG'!$A$1:$A$5000,0),1,,,"LM7 Non-ENG"),IF(IFERROR(VLOOKUP(B124&amp;"PT",'LM7 Non-ENG'!$A$1:$A$5000,1,FALSE),"ERROR")=B124&amp;"PT","Y","")),"")</f>
        <v/>
      </c>
    </row>
    <row r="125" spans="7:8" ht="18" customHeight="1">
      <c r="G125" s="29" t="str">
        <f>IFERROR(HYPERLINK("#"&amp;ADDRESS(MATCH(B125&amp;"ES",'LM7 Non-ENG'!$A$1:$A$5000,0),1,,,"LM7 Non-ENG"),IF(IFERROR(VLOOKUP(B125&amp;"ES",'LM7 Non-ENG'!$A$1:$A$4999,1,FALSE),"ERROR")=B125&amp;"ES","Y","")),"")</f>
        <v/>
      </c>
      <c r="H125" s="29" t="str">
        <f>IFERROR(HYPERLINK("#"&amp;ADDRESS(MATCH(B125&amp;"PT",'LM7 Non-ENG'!$A$1:$A$5000,0),1,,,"LM7 Non-ENG"),IF(IFERROR(VLOOKUP(B125&amp;"PT",'LM7 Non-ENG'!$A$1:$A$5000,1,FALSE),"ERROR")=B125&amp;"PT","Y","")),"")</f>
        <v/>
      </c>
    </row>
    <row r="126" spans="7:8" ht="18" customHeight="1">
      <c r="G126" s="29" t="str">
        <f>IFERROR(HYPERLINK("#"&amp;ADDRESS(MATCH(B126&amp;"ES",'LM7 Non-ENG'!$A$1:$A$5000,0),1,,,"LM7 Non-ENG"),IF(IFERROR(VLOOKUP(B126&amp;"ES",'LM7 Non-ENG'!$A$1:$A$4999,1,FALSE),"ERROR")=B126&amp;"ES","Y","")),"")</f>
        <v/>
      </c>
      <c r="H126" s="29" t="str">
        <f>IFERROR(HYPERLINK("#"&amp;ADDRESS(MATCH(B126&amp;"PT",'LM7 Non-ENG'!$A$1:$A$5000,0),1,,,"LM7 Non-ENG"),IF(IFERROR(VLOOKUP(B126&amp;"PT",'LM7 Non-ENG'!$A$1:$A$5000,1,FALSE),"ERROR")=B126&amp;"PT","Y","")),"")</f>
        <v/>
      </c>
    </row>
    <row r="127" spans="7:8" ht="18" customHeight="1">
      <c r="G127" s="29" t="str">
        <f>IFERROR(HYPERLINK("#"&amp;ADDRESS(MATCH(B127&amp;"ES",'LM7 Non-ENG'!$A$1:$A$5000,0),1,,,"LM7 Non-ENG"),IF(IFERROR(VLOOKUP(B127&amp;"ES",'LM7 Non-ENG'!$A$1:$A$4999,1,FALSE),"ERROR")=B127&amp;"ES","Y","")),"")</f>
        <v/>
      </c>
      <c r="H127" s="29" t="str">
        <f>IFERROR(HYPERLINK("#"&amp;ADDRESS(MATCH(B127&amp;"PT",'LM7 Non-ENG'!$A$1:$A$5000,0),1,,,"LM7 Non-ENG"),IF(IFERROR(VLOOKUP(B127&amp;"PT",'LM7 Non-ENG'!$A$1:$A$5000,1,FALSE),"ERROR")=B127&amp;"PT","Y","")),"")</f>
        <v/>
      </c>
    </row>
    <row r="128" spans="7:8" ht="18" customHeight="1">
      <c r="G128" s="29" t="str">
        <f>IFERROR(HYPERLINK("#"&amp;ADDRESS(MATCH(B128&amp;"ES",'LM7 Non-ENG'!$A$1:$A$5000,0),1,,,"LM7 Non-ENG"),IF(IFERROR(VLOOKUP(B128&amp;"ES",'LM7 Non-ENG'!$A$1:$A$4999,1,FALSE),"ERROR")=B128&amp;"ES","Y","")),"")</f>
        <v/>
      </c>
      <c r="H128" s="29" t="str">
        <f>IFERROR(HYPERLINK("#"&amp;ADDRESS(MATCH(B128&amp;"PT",'LM7 Non-ENG'!$A$1:$A$5000,0),1,,,"LM7 Non-ENG"),IF(IFERROR(VLOOKUP(B128&amp;"PT",'LM7 Non-ENG'!$A$1:$A$5000,1,FALSE),"ERROR")=B128&amp;"PT","Y","")),"")</f>
        <v/>
      </c>
    </row>
    <row r="129" spans="7:8" ht="18" customHeight="1">
      <c r="G129" s="29" t="str">
        <f>IFERROR(HYPERLINK("#"&amp;ADDRESS(MATCH(B129&amp;"ES",'LM7 Non-ENG'!$A$1:$A$5000,0),1,,,"LM7 Non-ENG"),IF(IFERROR(VLOOKUP(B129&amp;"ES",'LM7 Non-ENG'!$A$1:$A$4999,1,FALSE),"ERROR")=B129&amp;"ES","Y","")),"")</f>
        <v/>
      </c>
      <c r="H129" s="29" t="str">
        <f>IFERROR(HYPERLINK("#"&amp;ADDRESS(MATCH(B129&amp;"PT",'LM7 Non-ENG'!$A$1:$A$5000,0),1,,,"LM7 Non-ENG"),IF(IFERROR(VLOOKUP(B129&amp;"PT",'LM7 Non-ENG'!$A$1:$A$5000,1,FALSE),"ERROR")=B129&amp;"PT","Y","")),"")</f>
        <v/>
      </c>
    </row>
    <row r="130" spans="7:8" ht="18" customHeight="1">
      <c r="G130" s="29" t="str">
        <f>IFERROR(HYPERLINK("#"&amp;ADDRESS(MATCH(B130&amp;"ES",'LM7 Non-ENG'!$A$1:$A$5000,0),1,,,"LM7 Non-ENG"),IF(IFERROR(VLOOKUP(B130&amp;"ES",'LM7 Non-ENG'!$A$1:$A$4999,1,FALSE),"ERROR")=B130&amp;"ES","Y","")),"")</f>
        <v/>
      </c>
      <c r="H130" s="29" t="str">
        <f>IFERROR(HYPERLINK("#"&amp;ADDRESS(MATCH(B130&amp;"PT",'LM7 Non-ENG'!$A$1:$A$5000,0),1,,,"LM7 Non-ENG"),IF(IFERROR(VLOOKUP(B130&amp;"PT",'LM7 Non-ENG'!$A$1:$A$5000,1,FALSE),"ERROR")=B130&amp;"PT","Y","")),"")</f>
        <v/>
      </c>
    </row>
    <row r="131" spans="7:8" ht="18" customHeight="1">
      <c r="G131" s="29" t="str">
        <f>IFERROR(HYPERLINK("#"&amp;ADDRESS(MATCH(B131&amp;"ES",'LM7 Non-ENG'!$A$1:$A$5000,0),1,,,"LM7 Non-ENG"),IF(IFERROR(VLOOKUP(B131&amp;"ES",'LM7 Non-ENG'!$A$1:$A$4999,1,FALSE),"ERROR")=B131&amp;"ES","Y","")),"")</f>
        <v/>
      </c>
      <c r="H131" s="29" t="str">
        <f>IFERROR(HYPERLINK("#"&amp;ADDRESS(MATCH(B131&amp;"PT",'LM7 Non-ENG'!$A$1:$A$5000,0),1,,,"LM7 Non-ENG"),IF(IFERROR(VLOOKUP(B131&amp;"PT",'LM7 Non-ENG'!$A$1:$A$5000,1,FALSE),"ERROR")=B131&amp;"PT","Y","")),"")</f>
        <v/>
      </c>
    </row>
    <row r="132" spans="7:8" ht="18" customHeight="1">
      <c r="G132" s="29" t="str">
        <f>IFERROR(HYPERLINK("#"&amp;ADDRESS(MATCH(B132&amp;"ES",'LM7 Non-ENG'!$A$1:$A$5000,0),1,,,"LM7 Non-ENG"),IF(IFERROR(VLOOKUP(B132&amp;"ES",'LM7 Non-ENG'!$A$1:$A$4999,1,FALSE),"ERROR")=B132&amp;"ES","Y","")),"")</f>
        <v/>
      </c>
      <c r="H132" s="29" t="str">
        <f>IFERROR(HYPERLINK("#"&amp;ADDRESS(MATCH(B132&amp;"PT",'LM7 Non-ENG'!$A$1:$A$5000,0),1,,,"LM7 Non-ENG"),IF(IFERROR(VLOOKUP(B132&amp;"PT",'LM7 Non-ENG'!$A$1:$A$5000,1,FALSE),"ERROR")=B132&amp;"PT","Y","")),"")</f>
        <v/>
      </c>
    </row>
    <row r="133" spans="7:8" ht="18" customHeight="1">
      <c r="G133" s="29" t="str">
        <f>IFERROR(HYPERLINK("#"&amp;ADDRESS(MATCH(B133&amp;"ES",'LM7 Non-ENG'!$A$1:$A$5000,0),1,,,"LM7 Non-ENG"),IF(IFERROR(VLOOKUP(B133&amp;"ES",'LM7 Non-ENG'!$A$1:$A$4999,1,FALSE),"ERROR")=B133&amp;"ES","Y","")),"")</f>
        <v/>
      </c>
      <c r="H133" s="29" t="str">
        <f>IFERROR(HYPERLINK("#"&amp;ADDRESS(MATCH(B133&amp;"PT",'LM7 Non-ENG'!$A$1:$A$5000,0),1,,,"LM7 Non-ENG"),IF(IFERROR(VLOOKUP(B133&amp;"PT",'LM7 Non-ENG'!$A$1:$A$5000,1,FALSE),"ERROR")=B133&amp;"PT","Y","")),"")</f>
        <v/>
      </c>
    </row>
    <row r="134" spans="7:8" ht="18" customHeight="1">
      <c r="G134" s="29" t="str">
        <f>IFERROR(HYPERLINK("#"&amp;ADDRESS(MATCH(B134&amp;"ES",'LM7 Non-ENG'!$A$1:$A$5000,0),1,,,"LM7 Non-ENG"),IF(IFERROR(VLOOKUP(B134&amp;"ES",'LM7 Non-ENG'!$A$1:$A$4999,1,FALSE),"ERROR")=B134&amp;"ES","Y","")),"")</f>
        <v/>
      </c>
      <c r="H134" s="29" t="str">
        <f>IFERROR(HYPERLINK("#"&amp;ADDRESS(MATCH(B134&amp;"PT",'LM7 Non-ENG'!$A$1:$A$5000,0),1,,,"LM7 Non-ENG"),IF(IFERROR(VLOOKUP(B134&amp;"PT",'LM7 Non-ENG'!$A$1:$A$5000,1,FALSE),"ERROR")=B134&amp;"PT","Y","")),"")</f>
        <v/>
      </c>
    </row>
    <row r="135" spans="7:8" ht="18" customHeight="1">
      <c r="G135" s="29" t="str">
        <f>IFERROR(HYPERLINK("#"&amp;ADDRESS(MATCH(B135&amp;"ES",'LM7 Non-ENG'!$A$1:$A$5000,0),1,,,"LM7 Non-ENG"),IF(IFERROR(VLOOKUP(B135&amp;"ES",'LM7 Non-ENG'!$A$1:$A$4999,1,FALSE),"ERROR")=B135&amp;"ES","Y","")),"")</f>
        <v/>
      </c>
      <c r="H135" s="29" t="str">
        <f>IFERROR(HYPERLINK("#"&amp;ADDRESS(MATCH(B135&amp;"PT",'LM7 Non-ENG'!$A$1:$A$5000,0),1,,,"LM7 Non-ENG"),IF(IFERROR(VLOOKUP(B135&amp;"PT",'LM7 Non-ENG'!$A$1:$A$5000,1,FALSE),"ERROR")=B135&amp;"PT","Y","")),"")</f>
        <v/>
      </c>
    </row>
    <row r="136" spans="7:8" ht="18" customHeight="1">
      <c r="G136" s="29" t="str">
        <f>IFERROR(HYPERLINK("#"&amp;ADDRESS(MATCH(B136&amp;"ES",'LM7 Non-ENG'!$A$1:$A$5000,0),1,,,"LM7 Non-ENG"),IF(IFERROR(VLOOKUP(B136&amp;"ES",'LM7 Non-ENG'!$A$1:$A$4999,1,FALSE),"ERROR")=B136&amp;"ES","Y","")),"")</f>
        <v/>
      </c>
      <c r="H136" s="29" t="str">
        <f>IFERROR(HYPERLINK("#"&amp;ADDRESS(MATCH(B136&amp;"PT",'LM7 Non-ENG'!$A$1:$A$5000,0),1,,,"LM7 Non-ENG"),IF(IFERROR(VLOOKUP(B136&amp;"PT",'LM7 Non-ENG'!$A$1:$A$5000,1,FALSE),"ERROR")=B136&amp;"PT","Y","")),"")</f>
        <v/>
      </c>
    </row>
    <row r="137" spans="7:8" ht="18" customHeight="1">
      <c r="G137" s="29" t="str">
        <f>IFERROR(HYPERLINK("#"&amp;ADDRESS(MATCH(B137&amp;"ES",'LM7 Non-ENG'!$A$1:$A$5000,0),1,,,"LM7 Non-ENG"),IF(IFERROR(VLOOKUP(B137&amp;"ES",'LM7 Non-ENG'!$A$1:$A$4999,1,FALSE),"ERROR")=B137&amp;"ES","Y","")),"")</f>
        <v/>
      </c>
      <c r="H137" s="29" t="str">
        <f>IFERROR(HYPERLINK("#"&amp;ADDRESS(MATCH(B137&amp;"PT",'LM7 Non-ENG'!$A$1:$A$5000,0),1,,,"LM7 Non-ENG"),IF(IFERROR(VLOOKUP(B137&amp;"PT",'LM7 Non-ENG'!$A$1:$A$5000,1,FALSE),"ERROR")=B137&amp;"PT","Y","")),"")</f>
        <v/>
      </c>
    </row>
    <row r="138" spans="7:8" ht="18" customHeight="1">
      <c r="G138" s="29" t="str">
        <f>IFERROR(HYPERLINK("#"&amp;ADDRESS(MATCH(B138&amp;"ES",'LM7 Non-ENG'!$A$1:$A$5000,0),1,,,"LM7 Non-ENG"),IF(IFERROR(VLOOKUP(B138&amp;"ES",'LM7 Non-ENG'!$A$1:$A$4999,1,FALSE),"ERROR")=B138&amp;"ES","Y","")),"")</f>
        <v/>
      </c>
      <c r="H138" s="29" t="str">
        <f>IFERROR(HYPERLINK("#"&amp;ADDRESS(MATCH(B138&amp;"PT",'LM7 Non-ENG'!$A$1:$A$5000,0),1,,,"LM7 Non-ENG"),IF(IFERROR(VLOOKUP(B138&amp;"PT",'LM7 Non-ENG'!$A$1:$A$5000,1,FALSE),"ERROR")=B138&amp;"PT","Y","")),"")</f>
        <v/>
      </c>
    </row>
    <row r="139" spans="7:8" ht="18" customHeight="1">
      <c r="G139" s="29" t="str">
        <f>IFERROR(HYPERLINK("#"&amp;ADDRESS(MATCH(B139&amp;"ES",'LM7 Non-ENG'!$A$1:$A$5000,0),1,,,"LM7 Non-ENG"),IF(IFERROR(VLOOKUP(B139&amp;"ES",'LM7 Non-ENG'!$A$1:$A$4999,1,FALSE),"ERROR")=B139&amp;"ES","Y","")),"")</f>
        <v/>
      </c>
      <c r="H139" s="29" t="str">
        <f>IFERROR(HYPERLINK("#"&amp;ADDRESS(MATCH(B139&amp;"PT",'LM7 Non-ENG'!$A$1:$A$5000,0),1,,,"LM7 Non-ENG"),IF(IFERROR(VLOOKUP(B139&amp;"PT",'LM7 Non-ENG'!$A$1:$A$5000,1,FALSE),"ERROR")=B139&amp;"PT","Y","")),"")</f>
        <v/>
      </c>
    </row>
    <row r="140" spans="7:8" ht="18" customHeight="1">
      <c r="G140" s="29" t="str">
        <f>IFERROR(HYPERLINK("#"&amp;ADDRESS(MATCH(B140&amp;"ES",'LM7 Non-ENG'!$A$1:$A$5000,0),1,,,"LM7 Non-ENG"),IF(IFERROR(VLOOKUP(B140&amp;"ES",'LM7 Non-ENG'!$A$1:$A$4999,1,FALSE),"ERROR")=B140&amp;"ES","Y","")),"")</f>
        <v/>
      </c>
      <c r="H140" s="29" t="str">
        <f>IFERROR(HYPERLINK("#"&amp;ADDRESS(MATCH(B140&amp;"PT",'LM7 Non-ENG'!$A$1:$A$5000,0),1,,,"LM7 Non-ENG"),IF(IFERROR(VLOOKUP(B140&amp;"PT",'LM7 Non-ENG'!$A$1:$A$5000,1,FALSE),"ERROR")=B140&amp;"PT","Y","")),"")</f>
        <v/>
      </c>
    </row>
    <row r="141" spans="7:8" ht="18" customHeight="1">
      <c r="G141" s="29" t="str">
        <f>IFERROR(HYPERLINK("#"&amp;ADDRESS(MATCH(B141&amp;"ES",'LM7 Non-ENG'!$A$1:$A$5000,0),1,,,"LM7 Non-ENG"),IF(IFERROR(VLOOKUP(B141&amp;"ES",'LM7 Non-ENG'!$A$1:$A$4999,1,FALSE),"ERROR")=B141&amp;"ES","Y","")),"")</f>
        <v/>
      </c>
      <c r="H141" s="29" t="str">
        <f>IFERROR(HYPERLINK("#"&amp;ADDRESS(MATCH(B141&amp;"PT",'LM7 Non-ENG'!$A$1:$A$5000,0),1,,,"LM7 Non-ENG"),IF(IFERROR(VLOOKUP(B141&amp;"PT",'LM7 Non-ENG'!$A$1:$A$5000,1,FALSE),"ERROR")=B141&amp;"PT","Y","")),"")</f>
        <v/>
      </c>
    </row>
    <row r="142" spans="7:8" ht="18" customHeight="1">
      <c r="G142" s="29" t="str">
        <f>IFERROR(HYPERLINK("#"&amp;ADDRESS(MATCH(B142&amp;"ES",'LM7 Non-ENG'!$A$1:$A$5000,0),1,,,"LM7 Non-ENG"),IF(IFERROR(VLOOKUP(B142&amp;"ES",'LM7 Non-ENG'!$A$1:$A$4999,1,FALSE),"ERROR")=B142&amp;"ES","Y","")),"")</f>
        <v/>
      </c>
      <c r="H142" s="29" t="str">
        <f>IFERROR(HYPERLINK("#"&amp;ADDRESS(MATCH(B142&amp;"PT",'LM7 Non-ENG'!$A$1:$A$5000,0),1,,,"LM7 Non-ENG"),IF(IFERROR(VLOOKUP(B142&amp;"PT",'LM7 Non-ENG'!$A$1:$A$5000,1,FALSE),"ERROR")=B142&amp;"PT","Y","")),"")</f>
        <v/>
      </c>
    </row>
    <row r="143" spans="7:8" ht="18" customHeight="1">
      <c r="G143" s="29" t="str">
        <f>IFERROR(HYPERLINK("#"&amp;ADDRESS(MATCH(B143&amp;"ES",'LM7 Non-ENG'!$A$1:$A$5000,0),1,,,"LM7 Non-ENG"),IF(IFERROR(VLOOKUP(B143&amp;"ES",'LM7 Non-ENG'!$A$1:$A$4999,1,FALSE),"ERROR")=B143&amp;"ES","Y","")),"")</f>
        <v/>
      </c>
      <c r="H143" s="29" t="str">
        <f>IFERROR(HYPERLINK("#"&amp;ADDRESS(MATCH(B143&amp;"PT",'LM7 Non-ENG'!$A$1:$A$5000,0),1,,,"LM7 Non-ENG"),IF(IFERROR(VLOOKUP(B143&amp;"PT",'LM7 Non-ENG'!$A$1:$A$5000,1,FALSE),"ERROR")=B143&amp;"PT","Y","")),"")</f>
        <v/>
      </c>
    </row>
    <row r="144" spans="7:8" ht="18" customHeight="1">
      <c r="G144" s="29" t="str">
        <f>IFERROR(HYPERLINK("#"&amp;ADDRESS(MATCH(B144&amp;"ES",'LM7 Non-ENG'!$A$1:$A$5000,0),1,,,"LM7 Non-ENG"),IF(IFERROR(VLOOKUP(B144&amp;"ES",'LM7 Non-ENG'!$A$1:$A$4999,1,FALSE),"ERROR")=B144&amp;"ES","Y","")),"")</f>
        <v/>
      </c>
      <c r="H144" s="29" t="str">
        <f>IFERROR(HYPERLINK("#"&amp;ADDRESS(MATCH(B144&amp;"PT",'LM7 Non-ENG'!$A$1:$A$5000,0),1,,,"LM7 Non-ENG"),IF(IFERROR(VLOOKUP(B144&amp;"PT",'LM7 Non-ENG'!$A$1:$A$5000,1,FALSE),"ERROR")=B144&amp;"PT","Y","")),"")</f>
        <v/>
      </c>
    </row>
    <row r="145" spans="7:8" ht="18" customHeight="1">
      <c r="G145" s="29" t="str">
        <f>IFERROR(HYPERLINK("#"&amp;ADDRESS(MATCH(B145&amp;"ES",'LM7 Non-ENG'!$A$1:$A$5000,0),1,,,"LM7 Non-ENG"),IF(IFERROR(VLOOKUP(B145&amp;"ES",'LM7 Non-ENG'!$A$1:$A$4999,1,FALSE),"ERROR")=B145&amp;"ES","Y","")),"")</f>
        <v/>
      </c>
      <c r="H145" s="29" t="str">
        <f>IFERROR(HYPERLINK("#"&amp;ADDRESS(MATCH(B145&amp;"PT",'LM7 Non-ENG'!$A$1:$A$5000,0),1,,,"LM7 Non-ENG"),IF(IFERROR(VLOOKUP(B145&amp;"PT",'LM7 Non-ENG'!$A$1:$A$5000,1,FALSE),"ERROR")=B145&amp;"PT","Y","")),"")</f>
        <v/>
      </c>
    </row>
    <row r="146" spans="7:8" ht="18" customHeight="1">
      <c r="G146" s="29" t="str">
        <f>IFERROR(HYPERLINK("#"&amp;ADDRESS(MATCH(B146&amp;"ES",'LM7 Non-ENG'!$A$1:$A$5000,0),1,,,"LM7 Non-ENG"),IF(IFERROR(VLOOKUP(B146&amp;"ES",'LM7 Non-ENG'!$A$1:$A$4999,1,FALSE),"ERROR")=B146&amp;"ES","Y","")),"")</f>
        <v/>
      </c>
      <c r="H146" s="29" t="str">
        <f>IFERROR(HYPERLINK("#"&amp;ADDRESS(MATCH(B146&amp;"PT",'LM7 Non-ENG'!$A$1:$A$5000,0),1,,,"LM7 Non-ENG"),IF(IFERROR(VLOOKUP(B146&amp;"PT",'LM7 Non-ENG'!$A$1:$A$5000,1,FALSE),"ERROR")=B146&amp;"PT","Y","")),"")</f>
        <v/>
      </c>
    </row>
    <row r="147" spans="7:8" ht="18" customHeight="1">
      <c r="G147" s="29" t="str">
        <f>IFERROR(HYPERLINK("#"&amp;ADDRESS(MATCH(B147&amp;"ES",'LM7 Non-ENG'!$A$1:$A$5000,0),1,,,"LM7 Non-ENG"),IF(IFERROR(VLOOKUP(B147&amp;"ES",'LM7 Non-ENG'!$A$1:$A$4999,1,FALSE),"ERROR")=B147&amp;"ES","Y","")),"")</f>
        <v/>
      </c>
      <c r="H147" s="29" t="str">
        <f>IFERROR(HYPERLINK("#"&amp;ADDRESS(MATCH(B147&amp;"PT",'LM7 Non-ENG'!$A$1:$A$5000,0),1,,,"LM7 Non-ENG"),IF(IFERROR(VLOOKUP(B147&amp;"PT",'LM7 Non-ENG'!$A$1:$A$5000,1,FALSE),"ERROR")=B147&amp;"PT","Y","")),"")</f>
        <v/>
      </c>
    </row>
    <row r="148" spans="7:8" ht="18" customHeight="1">
      <c r="G148" s="29" t="str">
        <f>IFERROR(HYPERLINK("#"&amp;ADDRESS(MATCH(B148&amp;"ES",'LM7 Non-ENG'!$A$1:$A$5000,0),1,,,"LM7 Non-ENG"),IF(IFERROR(VLOOKUP(B148&amp;"ES",'LM7 Non-ENG'!$A$1:$A$4999,1,FALSE),"ERROR")=B148&amp;"ES","Y","")),"")</f>
        <v/>
      </c>
      <c r="H148" s="29" t="str">
        <f>IFERROR(HYPERLINK("#"&amp;ADDRESS(MATCH(B148&amp;"PT",'LM7 Non-ENG'!$A$1:$A$5000,0),1,,,"LM7 Non-ENG"),IF(IFERROR(VLOOKUP(B148&amp;"PT",'LM7 Non-ENG'!$A$1:$A$5000,1,FALSE),"ERROR")=B148&amp;"PT","Y","")),"")</f>
        <v/>
      </c>
    </row>
    <row r="149" spans="7:8" ht="18" customHeight="1">
      <c r="G149" s="29" t="str">
        <f>IFERROR(HYPERLINK("#"&amp;ADDRESS(MATCH(B149&amp;"ES",'LM7 Non-ENG'!$A$1:$A$5000,0),1,,,"LM7 Non-ENG"),IF(IFERROR(VLOOKUP(B149&amp;"ES",'LM7 Non-ENG'!$A$1:$A$4999,1,FALSE),"ERROR")=B149&amp;"ES","Y","")),"")</f>
        <v/>
      </c>
      <c r="H149" s="29" t="str">
        <f>IFERROR(HYPERLINK("#"&amp;ADDRESS(MATCH(B149&amp;"PT",'LM7 Non-ENG'!$A$1:$A$5000,0),1,,,"LM7 Non-ENG"),IF(IFERROR(VLOOKUP(B149&amp;"PT",'LM7 Non-ENG'!$A$1:$A$5000,1,FALSE),"ERROR")=B149&amp;"PT","Y","")),"")</f>
        <v/>
      </c>
    </row>
    <row r="150" spans="7:8" ht="18" customHeight="1">
      <c r="G150" s="29" t="str">
        <f>IFERROR(HYPERLINK("#"&amp;ADDRESS(MATCH(B150&amp;"ES",'LM7 Non-ENG'!$A$1:$A$5000,0),1,,,"LM7 Non-ENG"),IF(IFERROR(VLOOKUP(B150&amp;"ES",'LM7 Non-ENG'!$A$1:$A$4999,1,FALSE),"ERROR")=B150&amp;"ES","Y","")),"")</f>
        <v/>
      </c>
      <c r="H150" s="29" t="str">
        <f>IFERROR(HYPERLINK("#"&amp;ADDRESS(MATCH(B150&amp;"PT",'LM7 Non-ENG'!$A$1:$A$5000,0),1,,,"LM7 Non-ENG"),IF(IFERROR(VLOOKUP(B150&amp;"PT",'LM7 Non-ENG'!$A$1:$A$5000,1,FALSE),"ERROR")=B150&amp;"PT","Y","")),"")</f>
        <v/>
      </c>
    </row>
    <row r="151" spans="7:8" ht="18" customHeight="1">
      <c r="G151" s="29" t="str">
        <f>IFERROR(HYPERLINK("#"&amp;ADDRESS(MATCH(B151&amp;"ES",'LM7 Non-ENG'!$A$1:$A$5000,0),1,,,"LM7 Non-ENG"),IF(IFERROR(VLOOKUP(B151&amp;"ES",'LM7 Non-ENG'!$A$1:$A$4999,1,FALSE),"ERROR")=B151&amp;"ES","Y","")),"")</f>
        <v/>
      </c>
      <c r="H151" s="29" t="str">
        <f>IFERROR(HYPERLINK("#"&amp;ADDRESS(MATCH(B151&amp;"PT",'LM7 Non-ENG'!$A$1:$A$5000,0),1,,,"LM7 Non-ENG"),IF(IFERROR(VLOOKUP(B151&amp;"PT",'LM7 Non-ENG'!$A$1:$A$5000,1,FALSE),"ERROR")=B151&amp;"PT","Y","")),"")</f>
        <v/>
      </c>
    </row>
    <row r="152" spans="7:8" ht="18" customHeight="1">
      <c r="G152" s="29" t="str">
        <f>IFERROR(HYPERLINK("#"&amp;ADDRESS(MATCH(B152&amp;"ES",'LM7 Non-ENG'!$A$1:$A$5000,0),1,,,"LM7 Non-ENG"),IF(IFERROR(VLOOKUP(B152&amp;"ES",'LM7 Non-ENG'!$A$1:$A$4999,1,FALSE),"ERROR")=B152&amp;"ES","Y","")),"")</f>
        <v/>
      </c>
      <c r="H152" s="29" t="str">
        <f>IFERROR(HYPERLINK("#"&amp;ADDRESS(MATCH(B152&amp;"PT",'LM7 Non-ENG'!$A$1:$A$5000,0),1,,,"LM7 Non-ENG"),IF(IFERROR(VLOOKUP(B152&amp;"PT",'LM7 Non-ENG'!$A$1:$A$5000,1,FALSE),"ERROR")=B152&amp;"PT","Y","")),"")</f>
        <v/>
      </c>
    </row>
    <row r="153" spans="7:8" ht="18" customHeight="1">
      <c r="G153" s="29" t="str">
        <f>IFERROR(HYPERLINK("#"&amp;ADDRESS(MATCH(B153&amp;"ES",'LM7 Non-ENG'!$A$1:$A$5000,0),1,,,"LM7 Non-ENG"),IF(IFERROR(VLOOKUP(B153&amp;"ES",'LM7 Non-ENG'!$A$1:$A$4999,1,FALSE),"ERROR")=B153&amp;"ES","Y","")),"")</f>
        <v/>
      </c>
      <c r="H153" s="29" t="str">
        <f>IFERROR(HYPERLINK("#"&amp;ADDRESS(MATCH(B153&amp;"PT",'LM7 Non-ENG'!$A$1:$A$5000,0),1,,,"LM7 Non-ENG"),IF(IFERROR(VLOOKUP(B153&amp;"PT",'LM7 Non-ENG'!$A$1:$A$5000,1,FALSE),"ERROR")=B153&amp;"PT","Y","")),"")</f>
        <v/>
      </c>
    </row>
    <row r="154" spans="7:8" ht="18" customHeight="1">
      <c r="G154" s="29" t="str">
        <f>IFERROR(HYPERLINK("#"&amp;ADDRESS(MATCH(B154&amp;"ES",'LM7 Non-ENG'!$A$1:$A$5000,0),1,,,"LM7 Non-ENG"),IF(IFERROR(VLOOKUP(B154&amp;"ES",'LM7 Non-ENG'!$A$1:$A$4999,1,FALSE),"ERROR")=B154&amp;"ES","Y","")),"")</f>
        <v/>
      </c>
      <c r="H154" s="29" t="str">
        <f>IFERROR(HYPERLINK("#"&amp;ADDRESS(MATCH(B154&amp;"PT",'LM7 Non-ENG'!$A$1:$A$5000,0),1,,,"LM7 Non-ENG"),IF(IFERROR(VLOOKUP(B154&amp;"PT",'LM7 Non-ENG'!$A$1:$A$5000,1,FALSE),"ERROR")=B154&amp;"PT","Y","")),"")</f>
        <v/>
      </c>
    </row>
    <row r="155" spans="7:8" ht="18" customHeight="1">
      <c r="G155" s="29" t="str">
        <f>IFERROR(HYPERLINK("#"&amp;ADDRESS(MATCH(B155&amp;"ES",'LM7 Non-ENG'!$A$1:$A$5000,0),1,,,"LM7 Non-ENG"),IF(IFERROR(VLOOKUP(B155&amp;"ES",'LM7 Non-ENG'!$A$1:$A$4999,1,FALSE),"ERROR")=B155&amp;"ES","Y","")),"")</f>
        <v/>
      </c>
      <c r="H155" s="29" t="str">
        <f>IFERROR(HYPERLINK("#"&amp;ADDRESS(MATCH(B155&amp;"PT",'LM7 Non-ENG'!$A$1:$A$5000,0),1,,,"LM7 Non-ENG"),IF(IFERROR(VLOOKUP(B155&amp;"PT",'LM7 Non-ENG'!$A$1:$A$5000,1,FALSE),"ERROR")=B155&amp;"PT","Y","")),"")</f>
        <v/>
      </c>
    </row>
    <row r="156" spans="7:8" ht="18" customHeight="1">
      <c r="G156" s="29" t="str">
        <f>IFERROR(HYPERLINK("#"&amp;ADDRESS(MATCH(B156&amp;"ES",'LM7 Non-ENG'!$A$1:$A$5000,0),1,,,"LM7 Non-ENG"),IF(IFERROR(VLOOKUP(B156&amp;"ES",'LM7 Non-ENG'!$A$1:$A$4999,1,FALSE),"ERROR")=B156&amp;"ES","Y","")),"")</f>
        <v/>
      </c>
      <c r="H156" s="29" t="str">
        <f>IFERROR(HYPERLINK("#"&amp;ADDRESS(MATCH(B156&amp;"PT",'LM7 Non-ENG'!$A$1:$A$5000,0),1,,,"LM7 Non-ENG"),IF(IFERROR(VLOOKUP(B156&amp;"PT",'LM7 Non-ENG'!$A$1:$A$5000,1,FALSE),"ERROR")=B156&amp;"PT","Y","")),"")</f>
        <v/>
      </c>
    </row>
    <row r="157" spans="7:8" ht="18" customHeight="1">
      <c r="G157" s="29" t="str">
        <f>IFERROR(HYPERLINK("#"&amp;ADDRESS(MATCH(B157&amp;"ES",'LM7 Non-ENG'!$A$1:$A$5000,0),1,,,"LM7 Non-ENG"),IF(IFERROR(VLOOKUP(B157&amp;"ES",'LM7 Non-ENG'!$A$1:$A$4999,1,FALSE),"ERROR")=B157&amp;"ES","Y","")),"")</f>
        <v/>
      </c>
      <c r="H157" s="29" t="str">
        <f>IFERROR(HYPERLINK("#"&amp;ADDRESS(MATCH(B157&amp;"PT",'LM7 Non-ENG'!$A$1:$A$5000,0),1,,,"LM7 Non-ENG"),IF(IFERROR(VLOOKUP(B157&amp;"PT",'LM7 Non-ENG'!$A$1:$A$5000,1,FALSE),"ERROR")=B157&amp;"PT","Y","")),"")</f>
        <v/>
      </c>
    </row>
    <row r="158" spans="7:8" ht="18" customHeight="1">
      <c r="G158" s="29" t="str">
        <f>IFERROR(HYPERLINK("#"&amp;ADDRESS(MATCH(B158&amp;"ES",'LM7 Non-ENG'!$A$1:$A$5000,0),1,,,"LM7 Non-ENG"),IF(IFERROR(VLOOKUP(B158&amp;"ES",'LM7 Non-ENG'!$A$1:$A$4999,1,FALSE),"ERROR")=B158&amp;"ES","Y","")),"")</f>
        <v/>
      </c>
      <c r="H158" s="29" t="str">
        <f>IFERROR(HYPERLINK("#"&amp;ADDRESS(MATCH(B158&amp;"PT",'LM7 Non-ENG'!$A$1:$A$5000,0),1,,,"LM7 Non-ENG"),IF(IFERROR(VLOOKUP(B158&amp;"PT",'LM7 Non-ENG'!$A$1:$A$5000,1,FALSE),"ERROR")=B158&amp;"PT","Y","")),"")</f>
        <v/>
      </c>
    </row>
    <row r="159" spans="7:8" ht="18" customHeight="1">
      <c r="G159" s="29" t="str">
        <f>IFERROR(HYPERLINK("#"&amp;ADDRESS(MATCH(B159&amp;"ES",'LM7 Non-ENG'!$A$1:$A$5000,0),1,,,"LM7 Non-ENG"),IF(IFERROR(VLOOKUP(B159&amp;"ES",'LM7 Non-ENG'!$A$1:$A$4999,1,FALSE),"ERROR")=B159&amp;"ES","Y","")),"")</f>
        <v/>
      </c>
      <c r="H159" s="29" t="str">
        <f>IFERROR(HYPERLINK("#"&amp;ADDRESS(MATCH(B159&amp;"PT",'LM7 Non-ENG'!$A$1:$A$5000,0),1,,,"LM7 Non-ENG"),IF(IFERROR(VLOOKUP(B159&amp;"PT",'LM7 Non-ENG'!$A$1:$A$5000,1,FALSE),"ERROR")=B159&amp;"PT","Y","")),"")</f>
        <v/>
      </c>
    </row>
    <row r="160" spans="7:8" ht="18" customHeight="1">
      <c r="G160" s="29" t="str">
        <f>IFERROR(HYPERLINK("#"&amp;ADDRESS(MATCH(B160&amp;"ES",'LM7 Non-ENG'!$A$1:$A$5000,0),1,,,"LM7 Non-ENG"),IF(IFERROR(VLOOKUP(B160&amp;"ES",'LM7 Non-ENG'!$A$1:$A$4999,1,FALSE),"ERROR")=B160&amp;"ES","Y","")),"")</f>
        <v/>
      </c>
      <c r="H160" s="29" t="str">
        <f>IFERROR(HYPERLINK("#"&amp;ADDRESS(MATCH(B160&amp;"PT",'LM7 Non-ENG'!$A$1:$A$5000,0),1,,,"LM7 Non-ENG"),IF(IFERROR(VLOOKUP(B160&amp;"PT",'LM7 Non-ENG'!$A$1:$A$5000,1,FALSE),"ERROR")=B160&amp;"PT","Y","")),"")</f>
        <v/>
      </c>
    </row>
    <row r="161" spans="7:8" ht="18" customHeight="1">
      <c r="G161" s="29" t="str">
        <f>IFERROR(HYPERLINK("#"&amp;ADDRESS(MATCH(B161&amp;"ES",'LM7 Non-ENG'!$A$1:$A$5000,0),1,,,"LM7 Non-ENG"),IF(IFERROR(VLOOKUP(B161&amp;"ES",'LM7 Non-ENG'!$A$1:$A$4999,1,FALSE),"ERROR")=B161&amp;"ES","Y","")),"")</f>
        <v/>
      </c>
      <c r="H161" s="29" t="str">
        <f>IFERROR(HYPERLINK("#"&amp;ADDRESS(MATCH(B161&amp;"PT",'LM7 Non-ENG'!$A$1:$A$5000,0),1,,,"LM7 Non-ENG"),IF(IFERROR(VLOOKUP(B161&amp;"PT",'LM7 Non-ENG'!$A$1:$A$5000,1,FALSE),"ERROR")=B161&amp;"PT","Y","")),"")</f>
        <v/>
      </c>
    </row>
    <row r="162" spans="7:8" ht="18" customHeight="1">
      <c r="G162" s="29" t="str">
        <f>IFERROR(HYPERLINK("#"&amp;ADDRESS(MATCH(B162&amp;"ES",'LM7 Non-ENG'!$A$1:$A$5000,0),1,,,"LM7 Non-ENG"),IF(IFERROR(VLOOKUP(B162&amp;"ES",'LM7 Non-ENG'!$A$1:$A$4999,1,FALSE),"ERROR")=B162&amp;"ES","Y","")),"")</f>
        <v/>
      </c>
      <c r="H162" s="29" t="str">
        <f>IFERROR(HYPERLINK("#"&amp;ADDRESS(MATCH(B162&amp;"PT",'LM7 Non-ENG'!$A$1:$A$5000,0),1,,,"LM7 Non-ENG"),IF(IFERROR(VLOOKUP(B162&amp;"PT",'LM7 Non-ENG'!$A$1:$A$5000,1,FALSE),"ERROR")=B162&amp;"PT","Y","")),"")</f>
        <v/>
      </c>
    </row>
    <row r="163" spans="7:8" ht="18" customHeight="1">
      <c r="G163" s="29" t="str">
        <f>IFERROR(HYPERLINK("#"&amp;ADDRESS(MATCH(B163&amp;"ES",'LM7 Non-ENG'!$A$1:$A$5000,0),1,,,"LM7 Non-ENG"),IF(IFERROR(VLOOKUP(B163&amp;"ES",'LM7 Non-ENG'!$A$1:$A$4999,1,FALSE),"ERROR")=B163&amp;"ES","Y","")),"")</f>
        <v/>
      </c>
      <c r="H163" s="29" t="str">
        <f>IFERROR(HYPERLINK("#"&amp;ADDRESS(MATCH(B163&amp;"PT",'LM7 Non-ENG'!$A$1:$A$5000,0),1,,,"LM7 Non-ENG"),IF(IFERROR(VLOOKUP(B163&amp;"PT",'LM7 Non-ENG'!$A$1:$A$5000,1,FALSE),"ERROR")=B163&amp;"PT","Y","")),"")</f>
        <v/>
      </c>
    </row>
    <row r="164" spans="7:8" ht="18" customHeight="1">
      <c r="G164" s="29" t="str">
        <f>IFERROR(HYPERLINK("#"&amp;ADDRESS(MATCH(B164&amp;"ES",'LM7 Non-ENG'!$A$1:$A$5000,0),1,,,"LM7 Non-ENG"),IF(IFERROR(VLOOKUP(B164&amp;"ES",'LM7 Non-ENG'!$A$1:$A$4999,1,FALSE),"ERROR")=B164&amp;"ES","Y","")),"")</f>
        <v/>
      </c>
      <c r="H164" s="29" t="str">
        <f>IFERROR(HYPERLINK("#"&amp;ADDRESS(MATCH(B164&amp;"PT",'LM7 Non-ENG'!$A$1:$A$5000,0),1,,,"LM7 Non-ENG"),IF(IFERROR(VLOOKUP(B164&amp;"PT",'LM7 Non-ENG'!$A$1:$A$5000,1,FALSE),"ERROR")=B164&amp;"PT","Y","")),"")</f>
        <v/>
      </c>
    </row>
    <row r="165" spans="7:8" ht="18" customHeight="1">
      <c r="G165" s="29" t="str">
        <f>IFERROR(HYPERLINK("#"&amp;ADDRESS(MATCH(B165&amp;"ES",'LM7 Non-ENG'!$A$1:$A$5000,0),1,,,"LM7 Non-ENG"),IF(IFERROR(VLOOKUP(B165&amp;"ES",'LM7 Non-ENG'!$A$1:$A$4999,1,FALSE),"ERROR")=B165&amp;"ES","Y","")),"")</f>
        <v/>
      </c>
      <c r="H165" s="29" t="str">
        <f>IFERROR(HYPERLINK("#"&amp;ADDRESS(MATCH(B165&amp;"PT",'LM7 Non-ENG'!$A$1:$A$5000,0),1,,,"LM7 Non-ENG"),IF(IFERROR(VLOOKUP(B165&amp;"PT",'LM7 Non-ENG'!$A$1:$A$5000,1,FALSE),"ERROR")=B165&amp;"PT","Y","")),"")</f>
        <v/>
      </c>
    </row>
    <row r="166" spans="7:8" ht="18" customHeight="1">
      <c r="G166" s="29" t="str">
        <f>IFERROR(HYPERLINK("#"&amp;ADDRESS(MATCH(B166&amp;"ES",'LM7 Non-ENG'!$A$1:$A$5000,0),1,,,"LM7 Non-ENG"),IF(IFERROR(VLOOKUP(B166&amp;"ES",'LM7 Non-ENG'!$A$1:$A$4999,1,FALSE),"ERROR")=B166&amp;"ES","Y","")),"")</f>
        <v/>
      </c>
      <c r="H166" s="29" t="str">
        <f>IFERROR(HYPERLINK("#"&amp;ADDRESS(MATCH(B166&amp;"PT",'LM7 Non-ENG'!$A$1:$A$5000,0),1,,,"LM7 Non-ENG"),IF(IFERROR(VLOOKUP(B166&amp;"PT",'LM7 Non-ENG'!$A$1:$A$5000,1,FALSE),"ERROR")=B166&amp;"PT","Y","")),"")</f>
        <v/>
      </c>
    </row>
    <row r="167" spans="7:8" ht="18" customHeight="1">
      <c r="G167" s="29" t="str">
        <f>IFERROR(HYPERLINK("#"&amp;ADDRESS(MATCH(B167&amp;"ES",'LM7 Non-ENG'!$A$1:$A$5000,0),1,,,"LM7 Non-ENG"),IF(IFERROR(VLOOKUP(B167&amp;"ES",'LM7 Non-ENG'!$A$1:$A$4999,1,FALSE),"ERROR")=B167&amp;"ES","Y","")),"")</f>
        <v/>
      </c>
      <c r="H167" s="29" t="str">
        <f>IFERROR(HYPERLINK("#"&amp;ADDRESS(MATCH(B167&amp;"PT",'LM7 Non-ENG'!$A$1:$A$5000,0),1,,,"LM7 Non-ENG"),IF(IFERROR(VLOOKUP(B167&amp;"PT",'LM7 Non-ENG'!$A$1:$A$5000,1,FALSE),"ERROR")=B167&amp;"PT","Y","")),"")</f>
        <v/>
      </c>
    </row>
    <row r="168" spans="7:8" ht="18" customHeight="1">
      <c r="G168" s="29" t="str">
        <f>IFERROR(HYPERLINK("#"&amp;ADDRESS(MATCH(B168&amp;"ES",'LM7 Non-ENG'!$A$1:$A$5000,0),1,,,"LM7 Non-ENG"),IF(IFERROR(VLOOKUP(B168&amp;"ES",'LM7 Non-ENG'!$A$1:$A$4999,1,FALSE),"ERROR")=B168&amp;"ES","Y","")),"")</f>
        <v/>
      </c>
      <c r="H168" s="29" t="str">
        <f>IFERROR(HYPERLINK("#"&amp;ADDRESS(MATCH(B168&amp;"PT",'LM7 Non-ENG'!$A$1:$A$5000,0),1,,,"LM7 Non-ENG"),IF(IFERROR(VLOOKUP(B168&amp;"PT",'LM7 Non-ENG'!$A$1:$A$5000,1,FALSE),"ERROR")=B168&amp;"PT","Y","")),"")</f>
        <v/>
      </c>
    </row>
    <row r="169" spans="7:8" ht="18" customHeight="1">
      <c r="G169" s="29" t="str">
        <f>IFERROR(HYPERLINK("#"&amp;ADDRESS(MATCH(B169&amp;"ES",'LM7 Non-ENG'!$A$1:$A$5000,0),1,,,"LM7 Non-ENG"),IF(IFERROR(VLOOKUP(B169&amp;"ES",'LM7 Non-ENG'!$A$1:$A$4999,1,FALSE),"ERROR")=B169&amp;"ES","Y","")),"")</f>
        <v/>
      </c>
      <c r="H169" s="29" t="str">
        <f>IFERROR(HYPERLINK("#"&amp;ADDRESS(MATCH(B169&amp;"PT",'LM7 Non-ENG'!$A$1:$A$5000,0),1,,,"LM7 Non-ENG"),IF(IFERROR(VLOOKUP(B169&amp;"PT",'LM7 Non-ENG'!$A$1:$A$5000,1,FALSE),"ERROR")=B169&amp;"PT","Y","")),"")</f>
        <v/>
      </c>
    </row>
    <row r="170" spans="7:8" ht="18" customHeight="1">
      <c r="G170" s="29" t="str">
        <f>IFERROR(HYPERLINK("#"&amp;ADDRESS(MATCH(B170&amp;"ES",'LM7 Non-ENG'!$A$1:$A$5000,0),1,,,"LM7 Non-ENG"),IF(IFERROR(VLOOKUP(B170&amp;"ES",'LM7 Non-ENG'!$A$1:$A$4999,1,FALSE),"ERROR")=B170&amp;"ES","Y","")),"")</f>
        <v/>
      </c>
      <c r="H170" s="29" t="str">
        <f>IFERROR(HYPERLINK("#"&amp;ADDRESS(MATCH(B170&amp;"PT",'LM7 Non-ENG'!$A$1:$A$5000,0),1,,,"LM7 Non-ENG"),IF(IFERROR(VLOOKUP(B170&amp;"PT",'LM7 Non-ENG'!$A$1:$A$5000,1,FALSE),"ERROR")=B170&amp;"PT","Y","")),"")</f>
        <v/>
      </c>
    </row>
    <row r="171" spans="7:8" ht="18" customHeight="1">
      <c r="G171" s="29" t="str">
        <f>IFERROR(HYPERLINK("#"&amp;ADDRESS(MATCH(B171&amp;"ES",'LM7 Non-ENG'!$A$1:$A$5000,0),1,,,"LM7 Non-ENG"),IF(IFERROR(VLOOKUP(B171&amp;"ES",'LM7 Non-ENG'!$A$1:$A$4999,1,FALSE),"ERROR")=B171&amp;"ES","Y","")),"")</f>
        <v/>
      </c>
      <c r="H171" s="29" t="str">
        <f>IFERROR(HYPERLINK("#"&amp;ADDRESS(MATCH(B171&amp;"PT",'LM7 Non-ENG'!$A$1:$A$5000,0),1,,,"LM7 Non-ENG"),IF(IFERROR(VLOOKUP(B171&amp;"PT",'LM7 Non-ENG'!$A$1:$A$5000,1,FALSE),"ERROR")=B171&amp;"PT","Y","")),"")</f>
        <v/>
      </c>
    </row>
    <row r="172" spans="7:8" ht="18" customHeight="1">
      <c r="G172" s="29" t="str">
        <f>IFERROR(HYPERLINK("#"&amp;ADDRESS(MATCH(B172&amp;"ES",'LM7 Non-ENG'!$A$1:$A$5000,0),1,,,"LM7 Non-ENG"),IF(IFERROR(VLOOKUP(B172&amp;"ES",'LM7 Non-ENG'!$A$1:$A$4999,1,FALSE),"ERROR")=B172&amp;"ES","Y","")),"")</f>
        <v/>
      </c>
      <c r="H172" s="29" t="str">
        <f>IFERROR(HYPERLINK("#"&amp;ADDRESS(MATCH(B172&amp;"PT",'LM7 Non-ENG'!$A$1:$A$5000,0),1,,,"LM7 Non-ENG"),IF(IFERROR(VLOOKUP(B172&amp;"PT",'LM7 Non-ENG'!$A$1:$A$5000,1,FALSE),"ERROR")=B172&amp;"PT","Y","")),"")</f>
        <v/>
      </c>
    </row>
    <row r="173" spans="7:8" ht="18" customHeight="1">
      <c r="G173" s="29" t="str">
        <f>IFERROR(HYPERLINK("#"&amp;ADDRESS(MATCH(B173&amp;"ES",'LM7 Non-ENG'!$A$1:$A$5000,0),1,,,"LM7 Non-ENG"),IF(IFERROR(VLOOKUP(B173&amp;"ES",'LM7 Non-ENG'!$A$1:$A$4999,1,FALSE),"ERROR")=B173&amp;"ES","Y","")),"")</f>
        <v/>
      </c>
      <c r="H173" s="29" t="str">
        <f>IFERROR(HYPERLINK("#"&amp;ADDRESS(MATCH(B173&amp;"PT",'LM7 Non-ENG'!$A$1:$A$5000,0),1,,,"LM7 Non-ENG"),IF(IFERROR(VLOOKUP(B173&amp;"PT",'LM7 Non-ENG'!$A$1:$A$5000,1,FALSE),"ERROR")=B173&amp;"PT","Y","")),"")</f>
        <v/>
      </c>
    </row>
    <row r="174" spans="7:8" ht="18" customHeight="1">
      <c r="G174" s="29" t="str">
        <f>IFERROR(HYPERLINK("#"&amp;ADDRESS(MATCH(B174&amp;"ES",'LM7 Non-ENG'!$A$1:$A$5000,0),1,,,"LM7 Non-ENG"),IF(IFERROR(VLOOKUP(B174&amp;"ES",'LM7 Non-ENG'!$A$1:$A$4999,1,FALSE),"ERROR")=B174&amp;"ES","Y","")),"")</f>
        <v/>
      </c>
      <c r="H174" s="29" t="str">
        <f>IFERROR(HYPERLINK("#"&amp;ADDRESS(MATCH(B174&amp;"PT",'LM7 Non-ENG'!$A$1:$A$5000,0),1,,,"LM7 Non-ENG"),IF(IFERROR(VLOOKUP(B174&amp;"PT",'LM7 Non-ENG'!$A$1:$A$5000,1,FALSE),"ERROR")=B174&amp;"PT","Y","")),"")</f>
        <v/>
      </c>
    </row>
    <row r="175" spans="7:8" ht="18" customHeight="1">
      <c r="G175" s="29" t="str">
        <f>IFERROR(HYPERLINK("#"&amp;ADDRESS(MATCH(B175&amp;"ES",'LM7 Non-ENG'!$A$1:$A$5000,0),1,,,"LM7 Non-ENG"),IF(IFERROR(VLOOKUP(B175&amp;"ES",'LM7 Non-ENG'!$A$1:$A$4999,1,FALSE),"ERROR")=B175&amp;"ES","Y","")),"")</f>
        <v/>
      </c>
      <c r="H175" s="29" t="str">
        <f>IFERROR(HYPERLINK("#"&amp;ADDRESS(MATCH(B175&amp;"PT",'LM7 Non-ENG'!$A$1:$A$5000,0),1,,,"LM7 Non-ENG"),IF(IFERROR(VLOOKUP(B175&amp;"PT",'LM7 Non-ENG'!$A$1:$A$5000,1,FALSE),"ERROR")=B175&amp;"PT","Y","")),"")</f>
        <v/>
      </c>
    </row>
    <row r="176" spans="7:8" ht="18" customHeight="1">
      <c r="G176" s="29" t="str">
        <f>IFERROR(HYPERLINK("#"&amp;ADDRESS(MATCH(B176&amp;"ES",'LM7 Non-ENG'!$A$1:$A$5000,0),1,,,"LM7 Non-ENG"),IF(IFERROR(VLOOKUP(B176&amp;"ES",'LM7 Non-ENG'!$A$1:$A$4999,1,FALSE),"ERROR")=B176&amp;"ES","Y","")),"")</f>
        <v/>
      </c>
      <c r="H176" s="29" t="str">
        <f>IFERROR(HYPERLINK("#"&amp;ADDRESS(MATCH(B176&amp;"PT",'LM7 Non-ENG'!$A$1:$A$5000,0),1,,,"LM7 Non-ENG"),IF(IFERROR(VLOOKUP(B176&amp;"PT",'LM7 Non-ENG'!$A$1:$A$5000,1,FALSE),"ERROR")=B176&amp;"PT","Y","")),"")</f>
        <v/>
      </c>
    </row>
    <row r="177" spans="7:8" ht="18" customHeight="1">
      <c r="G177" s="29" t="str">
        <f>IFERROR(HYPERLINK("#"&amp;ADDRESS(MATCH(B177&amp;"ES",'LM7 Non-ENG'!$A$1:$A$5000,0),1,,,"LM7 Non-ENG"),IF(IFERROR(VLOOKUP(B177&amp;"ES",'LM7 Non-ENG'!$A$1:$A$4999,1,FALSE),"ERROR")=B177&amp;"ES","Y","")),"")</f>
        <v/>
      </c>
      <c r="H177" s="29" t="str">
        <f>IFERROR(HYPERLINK("#"&amp;ADDRESS(MATCH(B177&amp;"PT",'LM7 Non-ENG'!$A$1:$A$5000,0),1,,,"LM7 Non-ENG"),IF(IFERROR(VLOOKUP(B177&amp;"PT",'LM7 Non-ENG'!$A$1:$A$5000,1,FALSE),"ERROR")=B177&amp;"PT","Y","")),"")</f>
        <v/>
      </c>
    </row>
    <row r="178" spans="7:8" ht="18" customHeight="1">
      <c r="G178" s="29" t="str">
        <f>IFERROR(HYPERLINK("#"&amp;ADDRESS(MATCH(B178&amp;"ES",'LM7 Non-ENG'!$A$1:$A$5000,0),1,,,"LM7 Non-ENG"),IF(IFERROR(VLOOKUP(B178&amp;"ES",'LM7 Non-ENG'!$A$1:$A$4999,1,FALSE),"ERROR")=B178&amp;"ES","Y","")),"")</f>
        <v/>
      </c>
      <c r="H178" s="29" t="str">
        <f>IFERROR(HYPERLINK("#"&amp;ADDRESS(MATCH(B178&amp;"PT",'LM7 Non-ENG'!$A$1:$A$5000,0),1,,,"LM7 Non-ENG"),IF(IFERROR(VLOOKUP(B178&amp;"PT",'LM7 Non-ENG'!$A$1:$A$5000,1,FALSE),"ERROR")=B178&amp;"PT","Y","")),"")</f>
        <v/>
      </c>
    </row>
    <row r="179" spans="7:8" ht="18" customHeight="1">
      <c r="G179" s="29" t="str">
        <f>IFERROR(HYPERLINK("#"&amp;ADDRESS(MATCH(B179&amp;"ES",'LM7 Non-ENG'!$A$1:$A$5000,0),1,,,"LM7 Non-ENG"),IF(IFERROR(VLOOKUP(B179&amp;"ES",'LM7 Non-ENG'!$A$1:$A$4999,1,FALSE),"ERROR")=B179&amp;"ES","Y","")),"")</f>
        <v/>
      </c>
      <c r="H179" s="29" t="str">
        <f>IFERROR(HYPERLINK("#"&amp;ADDRESS(MATCH(B179&amp;"PT",'LM7 Non-ENG'!$A$1:$A$5000,0),1,,,"LM7 Non-ENG"),IF(IFERROR(VLOOKUP(B179&amp;"PT",'LM7 Non-ENG'!$A$1:$A$5000,1,FALSE),"ERROR")=B179&amp;"PT","Y","")),"")</f>
        <v/>
      </c>
    </row>
    <row r="180" spans="7:8" ht="18" customHeight="1">
      <c r="G180" s="29" t="str">
        <f>IFERROR(HYPERLINK("#"&amp;ADDRESS(MATCH(B180&amp;"ES",'LM7 Non-ENG'!$A$1:$A$5000,0),1,,,"LM7 Non-ENG"),IF(IFERROR(VLOOKUP(B180&amp;"ES",'LM7 Non-ENG'!$A$1:$A$4999,1,FALSE),"ERROR")=B180&amp;"ES","Y","")),"")</f>
        <v/>
      </c>
      <c r="H180" s="29" t="str">
        <f>IFERROR(HYPERLINK("#"&amp;ADDRESS(MATCH(B180&amp;"PT",'LM7 Non-ENG'!$A$1:$A$5000,0),1,,,"LM7 Non-ENG"),IF(IFERROR(VLOOKUP(B180&amp;"PT",'LM7 Non-ENG'!$A$1:$A$5000,1,FALSE),"ERROR")=B180&amp;"PT","Y","")),"")</f>
        <v/>
      </c>
    </row>
    <row r="181" spans="7:8" ht="18" customHeight="1">
      <c r="G181" s="29" t="str">
        <f>IFERROR(HYPERLINK("#"&amp;ADDRESS(MATCH(B181&amp;"ES",'LM7 Non-ENG'!$A$1:$A$5000,0),1,,,"LM7 Non-ENG"),IF(IFERROR(VLOOKUP(B181&amp;"ES",'LM7 Non-ENG'!$A$1:$A$4999,1,FALSE),"ERROR")=B181&amp;"ES","Y","")),"")</f>
        <v/>
      </c>
      <c r="H181" s="29" t="str">
        <f>IFERROR(HYPERLINK("#"&amp;ADDRESS(MATCH(B181&amp;"PT",'LM7 Non-ENG'!$A$1:$A$5000,0),1,,,"LM7 Non-ENG"),IF(IFERROR(VLOOKUP(B181&amp;"PT",'LM7 Non-ENG'!$A$1:$A$5000,1,FALSE),"ERROR")=B181&amp;"PT","Y","")),"")</f>
        <v/>
      </c>
    </row>
    <row r="182" spans="7:8" ht="18" customHeight="1">
      <c r="G182" s="29" t="str">
        <f>IFERROR(HYPERLINK("#"&amp;ADDRESS(MATCH(B182&amp;"ES",'LM7 Non-ENG'!$A$1:$A$5000,0),1,,,"LM7 Non-ENG"),IF(IFERROR(VLOOKUP(B182&amp;"ES",'LM7 Non-ENG'!$A$1:$A$4999,1,FALSE),"ERROR")=B182&amp;"ES","Y","")),"")</f>
        <v/>
      </c>
      <c r="H182" s="29" t="str">
        <f>IFERROR(HYPERLINK("#"&amp;ADDRESS(MATCH(B182&amp;"PT",'LM7 Non-ENG'!$A$1:$A$5000,0),1,,,"LM7 Non-ENG"),IF(IFERROR(VLOOKUP(B182&amp;"PT",'LM7 Non-ENG'!$A$1:$A$5000,1,FALSE),"ERROR")=B182&amp;"PT","Y","")),"")</f>
        <v/>
      </c>
    </row>
    <row r="183" spans="7:8" ht="18" customHeight="1">
      <c r="G183" s="29" t="str">
        <f>IFERROR(HYPERLINK("#"&amp;ADDRESS(MATCH(B183&amp;"ES",'LM7 Non-ENG'!$A$1:$A$5000,0),1,,,"LM7 Non-ENG"),IF(IFERROR(VLOOKUP(B183&amp;"ES",'LM7 Non-ENG'!$A$1:$A$4999,1,FALSE),"ERROR")=B183&amp;"ES","Y","")),"")</f>
        <v/>
      </c>
      <c r="H183" s="29" t="str">
        <f>IFERROR(HYPERLINK("#"&amp;ADDRESS(MATCH(B183&amp;"PT",'LM7 Non-ENG'!$A$1:$A$5000,0),1,,,"LM7 Non-ENG"),IF(IFERROR(VLOOKUP(B183&amp;"PT",'LM7 Non-ENG'!$A$1:$A$5000,1,FALSE),"ERROR")=B183&amp;"PT","Y","")),"")</f>
        <v/>
      </c>
    </row>
    <row r="184" spans="7:8" ht="18" customHeight="1">
      <c r="G184" s="29" t="str">
        <f>IFERROR(HYPERLINK("#"&amp;ADDRESS(MATCH(B184&amp;"ES",'LM7 Non-ENG'!$A$1:$A$5000,0),1,,,"LM7 Non-ENG"),IF(IFERROR(VLOOKUP(B184&amp;"ES",'LM7 Non-ENG'!$A$1:$A$4999,1,FALSE),"ERROR")=B184&amp;"ES","Y","")),"")</f>
        <v/>
      </c>
      <c r="H184" s="29" t="str">
        <f>IFERROR(HYPERLINK("#"&amp;ADDRESS(MATCH(B184&amp;"PT",'LM7 Non-ENG'!$A$1:$A$5000,0),1,,,"LM7 Non-ENG"),IF(IFERROR(VLOOKUP(B184&amp;"PT",'LM7 Non-ENG'!$A$1:$A$5000,1,FALSE),"ERROR")=B184&amp;"PT","Y","")),"")</f>
        <v/>
      </c>
    </row>
    <row r="185" spans="7:8" ht="18" customHeight="1">
      <c r="G185" s="29" t="str">
        <f>IFERROR(HYPERLINK("#"&amp;ADDRESS(MATCH(B185&amp;"ES",'LM7 Non-ENG'!$A$1:$A$5000,0),1,,,"LM7 Non-ENG"),IF(IFERROR(VLOOKUP(B185&amp;"ES",'LM7 Non-ENG'!$A$1:$A$4999,1,FALSE),"ERROR")=B185&amp;"ES","Y","")),"")</f>
        <v/>
      </c>
      <c r="H185" s="29" t="str">
        <f>IFERROR(HYPERLINK("#"&amp;ADDRESS(MATCH(B185&amp;"PT",'LM7 Non-ENG'!$A$1:$A$5000,0),1,,,"LM7 Non-ENG"),IF(IFERROR(VLOOKUP(B185&amp;"PT",'LM7 Non-ENG'!$A$1:$A$5000,1,FALSE),"ERROR")=B185&amp;"PT","Y","")),"")</f>
        <v/>
      </c>
    </row>
    <row r="186" spans="7:8" ht="18" customHeight="1">
      <c r="G186" s="29" t="str">
        <f>IFERROR(HYPERLINK("#"&amp;ADDRESS(MATCH(B186&amp;"ES",'LM7 Non-ENG'!$A$1:$A$5000,0),1,,,"LM7 Non-ENG"),IF(IFERROR(VLOOKUP(B186&amp;"ES",'LM7 Non-ENG'!$A$1:$A$4999,1,FALSE),"ERROR")=B186&amp;"ES","Y","")),"")</f>
        <v/>
      </c>
      <c r="H186" s="29" t="str">
        <f>IFERROR(HYPERLINK("#"&amp;ADDRESS(MATCH(B186&amp;"PT",'LM7 Non-ENG'!$A$1:$A$5000,0),1,,,"LM7 Non-ENG"),IF(IFERROR(VLOOKUP(B186&amp;"PT",'LM7 Non-ENG'!$A$1:$A$5000,1,FALSE),"ERROR")=B186&amp;"PT","Y","")),"")</f>
        <v/>
      </c>
    </row>
    <row r="187" spans="7:8" ht="18" customHeight="1">
      <c r="G187" s="29" t="str">
        <f>IFERROR(HYPERLINK("#"&amp;ADDRESS(MATCH(B187&amp;"ES",'LM7 Non-ENG'!$A$1:$A$5000,0),1,,,"LM7 Non-ENG"),IF(IFERROR(VLOOKUP(B187&amp;"ES",'LM7 Non-ENG'!$A$1:$A$4999,1,FALSE),"ERROR")=B187&amp;"ES","Y","")),"")</f>
        <v/>
      </c>
      <c r="H187" s="29" t="str">
        <f>IFERROR(HYPERLINK("#"&amp;ADDRESS(MATCH(B187&amp;"PT",'LM7 Non-ENG'!$A$1:$A$5000,0),1,,,"LM7 Non-ENG"),IF(IFERROR(VLOOKUP(B187&amp;"PT",'LM7 Non-ENG'!$A$1:$A$5000,1,FALSE),"ERROR")=B187&amp;"PT","Y","")),"")</f>
        <v/>
      </c>
    </row>
    <row r="188" spans="7:8" ht="18" customHeight="1">
      <c r="G188" s="29" t="str">
        <f>IFERROR(HYPERLINK("#"&amp;ADDRESS(MATCH(B188&amp;"ES",'LM7 Non-ENG'!$A$1:$A$5000,0),1,,,"LM7 Non-ENG"),IF(IFERROR(VLOOKUP(B188&amp;"ES",'LM7 Non-ENG'!$A$1:$A$4999,1,FALSE),"ERROR")=B188&amp;"ES","Y","")),"")</f>
        <v/>
      </c>
      <c r="H188" s="29" t="str">
        <f>IFERROR(HYPERLINK("#"&amp;ADDRESS(MATCH(B188&amp;"PT",'LM7 Non-ENG'!$A$1:$A$5000,0),1,,,"LM7 Non-ENG"),IF(IFERROR(VLOOKUP(B188&amp;"PT",'LM7 Non-ENG'!$A$1:$A$5000,1,FALSE),"ERROR")=B188&amp;"PT","Y","")),"")</f>
        <v/>
      </c>
    </row>
    <row r="189" spans="7:8" ht="18" customHeight="1">
      <c r="G189" s="29" t="str">
        <f>IFERROR(HYPERLINK("#"&amp;ADDRESS(MATCH(B189&amp;"ES",'LM7 Non-ENG'!$A$1:$A$5000,0),1,,,"LM7 Non-ENG"),IF(IFERROR(VLOOKUP(B189&amp;"ES",'LM7 Non-ENG'!$A$1:$A$4999,1,FALSE),"ERROR")=B189&amp;"ES","Y","")),"")</f>
        <v/>
      </c>
      <c r="H189" s="29" t="str">
        <f>IFERROR(HYPERLINK("#"&amp;ADDRESS(MATCH(B189&amp;"PT",'LM7 Non-ENG'!$A$1:$A$5000,0),1,,,"LM7 Non-ENG"),IF(IFERROR(VLOOKUP(B189&amp;"PT",'LM7 Non-ENG'!$A$1:$A$5000,1,FALSE),"ERROR")=B189&amp;"PT","Y","")),"")</f>
        <v/>
      </c>
    </row>
    <row r="190" spans="7:8" ht="18" customHeight="1">
      <c r="G190" s="29" t="str">
        <f>IFERROR(HYPERLINK("#"&amp;ADDRESS(MATCH(B190&amp;"ES",'LM7 Non-ENG'!$A$1:$A$5000,0),1,,,"LM7 Non-ENG"),IF(IFERROR(VLOOKUP(B190&amp;"ES",'LM7 Non-ENG'!$A$1:$A$4999,1,FALSE),"ERROR")=B190&amp;"ES","Y","")),"")</f>
        <v/>
      </c>
      <c r="H190" s="29" t="str">
        <f>IFERROR(HYPERLINK("#"&amp;ADDRESS(MATCH(B190&amp;"PT",'LM7 Non-ENG'!$A$1:$A$5000,0),1,,,"LM7 Non-ENG"),IF(IFERROR(VLOOKUP(B190&amp;"PT",'LM7 Non-ENG'!$A$1:$A$5000,1,FALSE),"ERROR")=B190&amp;"PT","Y","")),"")</f>
        <v/>
      </c>
    </row>
    <row r="191" spans="7:8" ht="18" customHeight="1">
      <c r="G191" s="29" t="str">
        <f>IFERROR(HYPERLINK("#"&amp;ADDRESS(MATCH(B191&amp;"ES",'LM7 Non-ENG'!$A$1:$A$5000,0),1,,,"LM7 Non-ENG"),IF(IFERROR(VLOOKUP(B191&amp;"ES",'LM7 Non-ENG'!$A$1:$A$4999,1,FALSE),"ERROR")=B191&amp;"ES","Y","")),"")</f>
        <v/>
      </c>
      <c r="H191" s="29" t="str">
        <f>IFERROR(HYPERLINK("#"&amp;ADDRESS(MATCH(B191&amp;"PT",'LM7 Non-ENG'!$A$1:$A$5000,0),1,,,"LM7 Non-ENG"),IF(IFERROR(VLOOKUP(B191&amp;"PT",'LM7 Non-ENG'!$A$1:$A$5000,1,FALSE),"ERROR")=B191&amp;"PT","Y","")),"")</f>
        <v/>
      </c>
    </row>
    <row r="192" spans="7:8" ht="18" customHeight="1">
      <c r="G192" s="29" t="str">
        <f>IFERROR(HYPERLINK("#"&amp;ADDRESS(MATCH(B192&amp;"ES",'LM7 Non-ENG'!$A$1:$A$5000,0),1,,,"LM7 Non-ENG"),IF(IFERROR(VLOOKUP(B192&amp;"ES",'LM7 Non-ENG'!$A$1:$A$4999,1,FALSE),"ERROR")=B192&amp;"ES","Y","")),"")</f>
        <v/>
      </c>
      <c r="H192" s="29" t="str">
        <f>IFERROR(HYPERLINK("#"&amp;ADDRESS(MATCH(B192&amp;"PT",'LM7 Non-ENG'!$A$1:$A$5000,0),1,,,"LM7 Non-ENG"),IF(IFERROR(VLOOKUP(B192&amp;"PT",'LM7 Non-ENG'!$A$1:$A$5000,1,FALSE),"ERROR")=B192&amp;"PT","Y","")),"")</f>
        <v/>
      </c>
    </row>
    <row r="193" spans="7:8" ht="18" customHeight="1">
      <c r="G193" s="29" t="str">
        <f>IFERROR(HYPERLINK("#"&amp;ADDRESS(MATCH(B193&amp;"ES",'LM7 Non-ENG'!$A$1:$A$5000,0),1,,,"LM7 Non-ENG"),IF(IFERROR(VLOOKUP(B193&amp;"ES",'LM7 Non-ENG'!$A$1:$A$4999,1,FALSE),"ERROR")=B193&amp;"ES","Y","")),"")</f>
        <v/>
      </c>
      <c r="H193" s="29" t="str">
        <f>IFERROR(HYPERLINK("#"&amp;ADDRESS(MATCH(B193&amp;"PT",'LM7 Non-ENG'!$A$1:$A$5000,0),1,,,"LM7 Non-ENG"),IF(IFERROR(VLOOKUP(B193&amp;"PT",'LM7 Non-ENG'!$A$1:$A$5000,1,FALSE),"ERROR")=B193&amp;"PT","Y","")),"")</f>
        <v/>
      </c>
    </row>
    <row r="194" spans="7:8" ht="18" customHeight="1">
      <c r="G194" s="29" t="str">
        <f>IFERROR(HYPERLINK("#"&amp;ADDRESS(MATCH(B194&amp;"ES",'LM7 Non-ENG'!$A$1:$A$5000,0),1,,,"LM7 Non-ENG"),IF(IFERROR(VLOOKUP(B194&amp;"ES",'LM7 Non-ENG'!$A$1:$A$4999,1,FALSE),"ERROR")=B194&amp;"ES","Y","")),"")</f>
        <v/>
      </c>
      <c r="H194" s="29" t="str">
        <f>IFERROR(HYPERLINK("#"&amp;ADDRESS(MATCH(B194&amp;"PT",'LM7 Non-ENG'!$A$1:$A$5000,0),1,,,"LM7 Non-ENG"),IF(IFERROR(VLOOKUP(B194&amp;"PT",'LM7 Non-ENG'!$A$1:$A$5000,1,FALSE),"ERROR")=B194&amp;"PT","Y","")),"")</f>
        <v/>
      </c>
    </row>
    <row r="195" spans="7:8" ht="18" customHeight="1">
      <c r="G195" s="29" t="str">
        <f>IFERROR(HYPERLINK("#"&amp;ADDRESS(MATCH(B195&amp;"ES",'LM7 Non-ENG'!$A$1:$A$5000,0),1,,,"LM7 Non-ENG"),IF(IFERROR(VLOOKUP(B195&amp;"ES",'LM7 Non-ENG'!$A$1:$A$4999,1,FALSE),"ERROR")=B195&amp;"ES","Y","")),"")</f>
        <v/>
      </c>
      <c r="H195" s="29" t="str">
        <f>IFERROR(HYPERLINK("#"&amp;ADDRESS(MATCH(B195&amp;"PT",'LM7 Non-ENG'!$A$1:$A$5000,0),1,,,"LM7 Non-ENG"),IF(IFERROR(VLOOKUP(B195&amp;"PT",'LM7 Non-ENG'!$A$1:$A$5000,1,FALSE),"ERROR")=B195&amp;"PT","Y","")),"")</f>
        <v/>
      </c>
    </row>
    <row r="196" spans="7:8" ht="18" customHeight="1">
      <c r="G196" s="29" t="str">
        <f>IFERROR(HYPERLINK("#"&amp;ADDRESS(MATCH(B196&amp;"ES",'LM7 Non-ENG'!$A$1:$A$5000,0),1,,,"LM7 Non-ENG"),IF(IFERROR(VLOOKUP(B196&amp;"ES",'LM7 Non-ENG'!$A$1:$A$4999,1,FALSE),"ERROR")=B196&amp;"ES","Y","")),"")</f>
        <v/>
      </c>
      <c r="H196" s="29" t="str">
        <f>IFERROR(HYPERLINK("#"&amp;ADDRESS(MATCH(B196&amp;"PT",'LM7 Non-ENG'!$A$1:$A$5000,0),1,,,"LM7 Non-ENG"),IF(IFERROR(VLOOKUP(B196&amp;"PT",'LM7 Non-ENG'!$A$1:$A$5000,1,FALSE),"ERROR")=B196&amp;"PT","Y","")),"")</f>
        <v/>
      </c>
    </row>
    <row r="197" spans="7:8" ht="18" customHeight="1">
      <c r="G197" s="29" t="str">
        <f>IFERROR(HYPERLINK("#"&amp;ADDRESS(MATCH(B197&amp;"ES",'LM7 Non-ENG'!$A$1:$A$5000,0),1,,,"LM7 Non-ENG"),IF(IFERROR(VLOOKUP(B197&amp;"ES",'LM7 Non-ENG'!$A$1:$A$4999,1,FALSE),"ERROR")=B197&amp;"ES","Y","")),"")</f>
        <v/>
      </c>
      <c r="H197" s="29" t="str">
        <f>IFERROR(HYPERLINK("#"&amp;ADDRESS(MATCH(B197&amp;"PT",'LM7 Non-ENG'!$A$1:$A$5000,0),1,,,"LM7 Non-ENG"),IF(IFERROR(VLOOKUP(B197&amp;"PT",'LM7 Non-ENG'!$A$1:$A$5000,1,FALSE),"ERROR")=B197&amp;"PT","Y","")),"")</f>
        <v/>
      </c>
    </row>
    <row r="198" spans="7:8" ht="18" customHeight="1">
      <c r="G198" s="29" t="str">
        <f>IFERROR(HYPERLINK("#"&amp;ADDRESS(MATCH(B198&amp;"ES",'LM7 Non-ENG'!$A$1:$A$5000,0),1,,,"LM7 Non-ENG"),IF(IFERROR(VLOOKUP(B198&amp;"ES",'LM7 Non-ENG'!$A$1:$A$4999,1,FALSE),"ERROR")=B198&amp;"ES","Y","")),"")</f>
        <v/>
      </c>
      <c r="H198" s="29" t="str">
        <f>IFERROR(HYPERLINK("#"&amp;ADDRESS(MATCH(B198&amp;"PT",'LM7 Non-ENG'!$A$1:$A$5000,0),1,,,"LM7 Non-ENG"),IF(IFERROR(VLOOKUP(B198&amp;"PT",'LM7 Non-ENG'!$A$1:$A$5000,1,FALSE),"ERROR")=B198&amp;"PT","Y","")),"")</f>
        <v/>
      </c>
    </row>
    <row r="199" spans="7:8" ht="18" customHeight="1">
      <c r="G199" s="29" t="str">
        <f>IFERROR(HYPERLINK("#"&amp;ADDRESS(MATCH(B199&amp;"ES",'LM7 Non-ENG'!$A$1:$A$5000,0),1,,,"LM7 Non-ENG"),IF(IFERROR(VLOOKUP(B199&amp;"ES",'LM7 Non-ENG'!$A$1:$A$4999,1,FALSE),"ERROR")=B199&amp;"ES","Y","")),"")</f>
        <v/>
      </c>
      <c r="H199" s="29" t="str">
        <f>IFERROR(HYPERLINK("#"&amp;ADDRESS(MATCH(B199&amp;"PT",'LM7 Non-ENG'!$A$1:$A$5000,0),1,,,"LM7 Non-ENG"),IF(IFERROR(VLOOKUP(B199&amp;"PT",'LM7 Non-ENG'!$A$1:$A$5000,1,FALSE),"ERROR")=B199&amp;"PT","Y","")),"")</f>
        <v/>
      </c>
    </row>
    <row r="200" spans="7:8" ht="18" customHeight="1">
      <c r="G200" s="29" t="str">
        <f>IFERROR(HYPERLINK("#"&amp;ADDRESS(MATCH(B200&amp;"ES",'LM7 Non-ENG'!$A$1:$A$5000,0),1,,,"LM7 Non-ENG"),IF(IFERROR(VLOOKUP(B200&amp;"ES",'LM7 Non-ENG'!$A$1:$A$4999,1,FALSE),"ERROR")=B200&amp;"ES","Y","")),"")</f>
        <v/>
      </c>
      <c r="H200" s="29" t="str">
        <f>IFERROR(HYPERLINK("#"&amp;ADDRESS(MATCH(B200&amp;"PT",'LM7 Non-ENG'!$A$1:$A$5000,0),1,,,"LM7 Non-ENG"),IF(IFERROR(VLOOKUP(B200&amp;"PT",'LM7 Non-ENG'!$A$1:$A$5000,1,FALSE),"ERROR")=B200&amp;"PT","Y","")),"")</f>
        <v/>
      </c>
    </row>
    <row r="201" spans="7:8" ht="18" customHeight="1">
      <c r="G201" s="29" t="str">
        <f>IFERROR(HYPERLINK("#"&amp;ADDRESS(MATCH(B201&amp;"ES",'LM7 Non-ENG'!$A$1:$A$5000,0),1,,,"LM7 Non-ENG"),IF(IFERROR(VLOOKUP(B201&amp;"ES",'LM7 Non-ENG'!$A$1:$A$4999,1,FALSE),"ERROR")=B201&amp;"ES","Y","")),"")</f>
        <v/>
      </c>
      <c r="H201" s="29" t="str">
        <f>IFERROR(HYPERLINK("#"&amp;ADDRESS(MATCH(B201&amp;"PT",'LM7 Non-ENG'!$A$1:$A$5000,0),1,,,"LM7 Non-ENG"),IF(IFERROR(VLOOKUP(B201&amp;"PT",'LM7 Non-ENG'!$A$1:$A$5000,1,FALSE),"ERROR")=B201&amp;"PT","Y","")),"")</f>
        <v/>
      </c>
    </row>
    <row r="202" spans="7:8" ht="18" customHeight="1">
      <c r="G202" s="29" t="str">
        <f>IFERROR(HYPERLINK("#"&amp;ADDRESS(MATCH(B202&amp;"ES",'LM7 Non-ENG'!$A$1:$A$5000,0),1,,,"LM7 Non-ENG"),IF(IFERROR(VLOOKUP(B202&amp;"ES",'LM7 Non-ENG'!$A$1:$A$4999,1,FALSE),"ERROR")=B202&amp;"ES","Y","")),"")</f>
        <v/>
      </c>
      <c r="H202" s="29" t="str">
        <f>IFERROR(HYPERLINK("#"&amp;ADDRESS(MATCH(B202&amp;"PT",'LM7 Non-ENG'!$A$1:$A$5000,0),1,,,"LM7 Non-ENG"),IF(IFERROR(VLOOKUP(B202&amp;"PT",'LM7 Non-ENG'!$A$1:$A$5000,1,FALSE),"ERROR")=B202&amp;"PT","Y","")),"")</f>
        <v/>
      </c>
    </row>
    <row r="203" spans="7:8" ht="18" customHeight="1">
      <c r="G203" s="29" t="str">
        <f>IFERROR(HYPERLINK("#"&amp;ADDRESS(MATCH(B203&amp;"ES",'LM7 Non-ENG'!$A$1:$A$5000,0),1,,,"LM7 Non-ENG"),IF(IFERROR(VLOOKUP(B203&amp;"ES",'LM7 Non-ENG'!$A$1:$A$4999,1,FALSE),"ERROR")=B203&amp;"ES","Y","")),"")</f>
        <v/>
      </c>
      <c r="H203" s="29" t="str">
        <f>IFERROR(HYPERLINK("#"&amp;ADDRESS(MATCH(B203&amp;"PT",'LM7 Non-ENG'!$A$1:$A$5000,0),1,,,"LM7 Non-ENG"),IF(IFERROR(VLOOKUP(B203&amp;"PT",'LM7 Non-ENG'!$A$1:$A$5000,1,FALSE),"ERROR")=B203&amp;"PT","Y","")),"")</f>
        <v/>
      </c>
    </row>
    <row r="204" spans="7:8" ht="18" customHeight="1">
      <c r="G204" s="29" t="str">
        <f>IFERROR(HYPERLINK("#"&amp;ADDRESS(MATCH(B204&amp;"ES",'LM7 Non-ENG'!$A$1:$A$5000,0),1,,,"LM7 Non-ENG"),IF(IFERROR(VLOOKUP(B204&amp;"ES",'LM7 Non-ENG'!$A$1:$A$4999,1,FALSE),"ERROR")=B204&amp;"ES","Y","")),"")</f>
        <v/>
      </c>
      <c r="H204" s="29" t="str">
        <f>IFERROR(HYPERLINK("#"&amp;ADDRESS(MATCH(B204&amp;"PT",'LM7 Non-ENG'!$A$1:$A$5000,0),1,,,"LM7 Non-ENG"),IF(IFERROR(VLOOKUP(B204&amp;"PT",'LM7 Non-ENG'!$A$1:$A$5000,1,FALSE),"ERROR")=B204&amp;"PT","Y","")),"")</f>
        <v/>
      </c>
    </row>
    <row r="205" spans="7:8" ht="18" customHeight="1">
      <c r="G205" s="29" t="str">
        <f>IFERROR(HYPERLINK("#"&amp;ADDRESS(MATCH(B205&amp;"ES",'LM7 Non-ENG'!$A$1:$A$5000,0),1,,,"LM7 Non-ENG"),IF(IFERROR(VLOOKUP(B205&amp;"ES",'LM7 Non-ENG'!$A$1:$A$4999,1,FALSE),"ERROR")=B205&amp;"ES","Y","")),"")</f>
        <v/>
      </c>
      <c r="H205" s="29" t="str">
        <f>IFERROR(HYPERLINK("#"&amp;ADDRESS(MATCH(B205&amp;"PT",'LM7 Non-ENG'!$A$1:$A$5000,0),1,,,"LM7 Non-ENG"),IF(IFERROR(VLOOKUP(B205&amp;"PT",'LM7 Non-ENG'!$A$1:$A$5000,1,FALSE),"ERROR")=B205&amp;"PT","Y","")),"")</f>
        <v/>
      </c>
    </row>
    <row r="206" spans="7:8" ht="18" customHeight="1">
      <c r="G206" s="29" t="str">
        <f>IFERROR(HYPERLINK("#"&amp;ADDRESS(MATCH(B206&amp;"ES",'LM7 Non-ENG'!$A$1:$A$5000,0),1,,,"LM7 Non-ENG"),IF(IFERROR(VLOOKUP(B206&amp;"ES",'LM7 Non-ENG'!$A$1:$A$4999,1,FALSE),"ERROR")=B206&amp;"ES","Y","")),"")</f>
        <v/>
      </c>
      <c r="H206" s="29" t="str">
        <f>IFERROR(HYPERLINK("#"&amp;ADDRESS(MATCH(B206&amp;"PT",'LM7 Non-ENG'!$A$1:$A$5000,0),1,,,"LM7 Non-ENG"),IF(IFERROR(VLOOKUP(B206&amp;"PT",'LM7 Non-ENG'!$A$1:$A$5000,1,FALSE),"ERROR")=B206&amp;"PT","Y","")),"")</f>
        <v/>
      </c>
    </row>
    <row r="207" spans="7:8" ht="18" customHeight="1">
      <c r="G207" s="29" t="str">
        <f>IFERROR(HYPERLINK("#"&amp;ADDRESS(MATCH(B207&amp;"ES",'LM7 Non-ENG'!$A$1:$A$5000,0),1,,,"LM7 Non-ENG"),IF(IFERROR(VLOOKUP(B207&amp;"ES",'LM7 Non-ENG'!$A$1:$A$4999,1,FALSE),"ERROR")=B207&amp;"ES","Y","")),"")</f>
        <v/>
      </c>
      <c r="H207" s="29" t="str">
        <f>IFERROR(HYPERLINK("#"&amp;ADDRESS(MATCH(B207&amp;"PT",'LM7 Non-ENG'!$A$1:$A$5000,0),1,,,"LM7 Non-ENG"),IF(IFERROR(VLOOKUP(B207&amp;"PT",'LM7 Non-ENG'!$A$1:$A$5000,1,FALSE),"ERROR")=B207&amp;"PT","Y","")),"")</f>
        <v/>
      </c>
    </row>
    <row r="208" spans="7:8" ht="18" customHeight="1">
      <c r="G208" s="29" t="str">
        <f>IFERROR(HYPERLINK("#"&amp;ADDRESS(MATCH(B208&amp;"ES",'LM7 Non-ENG'!$A$1:$A$5000,0),1,,,"LM7 Non-ENG"),IF(IFERROR(VLOOKUP(B208&amp;"ES",'LM7 Non-ENG'!$A$1:$A$4999,1,FALSE),"ERROR")=B208&amp;"ES","Y","")),"")</f>
        <v/>
      </c>
      <c r="H208" s="29" t="str">
        <f>IFERROR(HYPERLINK("#"&amp;ADDRESS(MATCH(B208&amp;"PT",'LM7 Non-ENG'!$A$1:$A$5000,0),1,,,"LM7 Non-ENG"),IF(IFERROR(VLOOKUP(B208&amp;"PT",'LM7 Non-ENG'!$A$1:$A$5000,1,FALSE),"ERROR")=B208&amp;"PT","Y","")),"")</f>
        <v/>
      </c>
    </row>
    <row r="209" spans="7:8" ht="18" customHeight="1">
      <c r="G209" s="29" t="str">
        <f>IFERROR(HYPERLINK("#"&amp;ADDRESS(MATCH(B209&amp;"ES",'LM7 Non-ENG'!$A$1:$A$5000,0),1,,,"LM7 Non-ENG"),IF(IFERROR(VLOOKUP(B209&amp;"ES",'LM7 Non-ENG'!$A$1:$A$4999,1,FALSE),"ERROR")=B209&amp;"ES","Y","")),"")</f>
        <v/>
      </c>
      <c r="H209" s="29" t="str">
        <f>IFERROR(HYPERLINK("#"&amp;ADDRESS(MATCH(B209&amp;"PT",'LM7 Non-ENG'!$A$1:$A$5000,0),1,,,"LM7 Non-ENG"),IF(IFERROR(VLOOKUP(B209&amp;"PT",'LM7 Non-ENG'!$A$1:$A$5000,1,FALSE),"ERROR")=B209&amp;"PT","Y","")),"")</f>
        <v/>
      </c>
    </row>
    <row r="210" spans="7:8" ht="18" customHeight="1">
      <c r="G210" s="29" t="str">
        <f>IFERROR(HYPERLINK("#"&amp;ADDRESS(MATCH(B210&amp;"ES",'LM7 Non-ENG'!$A$1:$A$5000,0),1,,,"LM7 Non-ENG"),IF(IFERROR(VLOOKUP(B210&amp;"ES",'LM7 Non-ENG'!$A$1:$A$4999,1,FALSE),"ERROR")=B210&amp;"ES","Y","")),"")</f>
        <v/>
      </c>
      <c r="H210" s="29" t="str">
        <f>IFERROR(HYPERLINK("#"&amp;ADDRESS(MATCH(B210&amp;"PT",'LM7 Non-ENG'!$A$1:$A$5000,0),1,,,"LM7 Non-ENG"),IF(IFERROR(VLOOKUP(B210&amp;"PT",'LM7 Non-ENG'!$A$1:$A$5000,1,FALSE),"ERROR")=B210&amp;"PT","Y","")),"")</f>
        <v/>
      </c>
    </row>
    <row r="211" spans="7:8" ht="18" customHeight="1">
      <c r="G211" s="29" t="str">
        <f>IFERROR(HYPERLINK("#"&amp;ADDRESS(MATCH(B211&amp;"ES",'LM7 Non-ENG'!$A$1:$A$5000,0),1,,,"LM7 Non-ENG"),IF(IFERROR(VLOOKUP(B211&amp;"ES",'LM7 Non-ENG'!$A$1:$A$4999,1,FALSE),"ERROR")=B211&amp;"ES","Y","")),"")</f>
        <v/>
      </c>
      <c r="H211" s="29" t="str">
        <f>IFERROR(HYPERLINK("#"&amp;ADDRESS(MATCH(B211&amp;"PT",'LM7 Non-ENG'!$A$1:$A$5000,0),1,,,"LM7 Non-ENG"),IF(IFERROR(VLOOKUP(B211&amp;"PT",'LM7 Non-ENG'!$A$1:$A$5000,1,FALSE),"ERROR")=B211&amp;"PT","Y","")),"")</f>
        <v/>
      </c>
    </row>
    <row r="212" spans="7:8" ht="18" customHeight="1">
      <c r="G212" s="29" t="str">
        <f>IFERROR(HYPERLINK("#"&amp;ADDRESS(MATCH(B212&amp;"ES",'LM7 Non-ENG'!$A$1:$A$5000,0),1,,,"LM7 Non-ENG"),IF(IFERROR(VLOOKUP(B212&amp;"ES",'LM7 Non-ENG'!$A$1:$A$4999,1,FALSE),"ERROR")=B212&amp;"ES","Y","")),"")</f>
        <v/>
      </c>
      <c r="H212" s="29" t="str">
        <f>IFERROR(HYPERLINK("#"&amp;ADDRESS(MATCH(B212&amp;"PT",'LM7 Non-ENG'!$A$1:$A$5000,0),1,,,"LM7 Non-ENG"),IF(IFERROR(VLOOKUP(B212&amp;"PT",'LM7 Non-ENG'!$A$1:$A$5000,1,FALSE),"ERROR")=B212&amp;"PT","Y","")),"")</f>
        <v/>
      </c>
    </row>
    <row r="213" spans="7:8" ht="18" customHeight="1">
      <c r="G213" s="29" t="str">
        <f>IFERROR(HYPERLINK("#"&amp;ADDRESS(MATCH(B213&amp;"ES",'LM7 Non-ENG'!$A$1:$A$5000,0),1,,,"LM7 Non-ENG"),IF(IFERROR(VLOOKUP(B213&amp;"ES",'LM7 Non-ENG'!$A$1:$A$4999,1,FALSE),"ERROR")=B213&amp;"ES","Y","")),"")</f>
        <v/>
      </c>
      <c r="H213" s="29" t="str">
        <f>IFERROR(HYPERLINK("#"&amp;ADDRESS(MATCH(B213&amp;"PT",'LM7 Non-ENG'!$A$1:$A$5000,0),1,,,"LM7 Non-ENG"),IF(IFERROR(VLOOKUP(B213&amp;"PT",'LM7 Non-ENG'!$A$1:$A$5000,1,FALSE),"ERROR")=B213&amp;"PT","Y","")),"")</f>
        <v/>
      </c>
    </row>
    <row r="214" spans="7:8" ht="18" customHeight="1">
      <c r="G214" s="29" t="str">
        <f>IFERROR(HYPERLINK("#"&amp;ADDRESS(MATCH(B214&amp;"ES",'LM7 Non-ENG'!$A$1:$A$5000,0),1,,,"LM7 Non-ENG"),IF(IFERROR(VLOOKUP(B214&amp;"ES",'LM7 Non-ENG'!$A$1:$A$4999,1,FALSE),"ERROR")=B214&amp;"ES","Y","")),"")</f>
        <v/>
      </c>
      <c r="H214" s="29" t="str">
        <f>IFERROR(HYPERLINK("#"&amp;ADDRESS(MATCH(B214&amp;"PT",'LM7 Non-ENG'!$A$1:$A$5000,0),1,,,"LM7 Non-ENG"),IF(IFERROR(VLOOKUP(B214&amp;"PT",'LM7 Non-ENG'!$A$1:$A$5000,1,FALSE),"ERROR")=B214&amp;"PT","Y","")),"")</f>
        <v/>
      </c>
    </row>
    <row r="215" spans="7:8" ht="18" customHeight="1">
      <c r="G215" s="29" t="str">
        <f>IFERROR(HYPERLINK("#"&amp;ADDRESS(MATCH(B215&amp;"ES",'LM7 Non-ENG'!$A$1:$A$5000,0),1,,,"LM7 Non-ENG"),IF(IFERROR(VLOOKUP(B215&amp;"ES",'LM7 Non-ENG'!$A$1:$A$4999,1,FALSE),"ERROR")=B215&amp;"ES","Y","")),"")</f>
        <v/>
      </c>
      <c r="H215" s="29" t="str">
        <f>IFERROR(HYPERLINK("#"&amp;ADDRESS(MATCH(B215&amp;"PT",'LM7 Non-ENG'!$A$1:$A$5000,0),1,,,"LM7 Non-ENG"),IF(IFERROR(VLOOKUP(B215&amp;"PT",'LM7 Non-ENG'!$A$1:$A$5000,1,FALSE),"ERROR")=B215&amp;"PT","Y","")),"")</f>
        <v/>
      </c>
    </row>
    <row r="216" spans="7:8" ht="18" customHeight="1">
      <c r="G216" s="29" t="str">
        <f>IFERROR(HYPERLINK("#"&amp;ADDRESS(MATCH(B216&amp;"ES",'LM7 Non-ENG'!$A$1:$A$5000,0),1,,,"LM7 Non-ENG"),IF(IFERROR(VLOOKUP(B216&amp;"ES",'LM7 Non-ENG'!$A$1:$A$4999,1,FALSE),"ERROR")=B216&amp;"ES","Y","")),"")</f>
        <v/>
      </c>
      <c r="H216" s="29" t="str">
        <f>IFERROR(HYPERLINK("#"&amp;ADDRESS(MATCH(B216&amp;"PT",'LM7 Non-ENG'!$A$1:$A$5000,0),1,,,"LM7 Non-ENG"),IF(IFERROR(VLOOKUP(B216&amp;"PT",'LM7 Non-ENG'!$A$1:$A$5000,1,FALSE),"ERROR")=B216&amp;"PT","Y","")),"")</f>
        <v/>
      </c>
    </row>
    <row r="217" spans="7:8" ht="18" customHeight="1">
      <c r="G217" s="29" t="str">
        <f>IFERROR(HYPERLINK("#"&amp;ADDRESS(MATCH(B217&amp;"ES",'LM7 Non-ENG'!$A$1:$A$5000,0),1,,,"LM7 Non-ENG"),IF(IFERROR(VLOOKUP(B217&amp;"ES",'LM7 Non-ENG'!$A$1:$A$4999,1,FALSE),"ERROR")=B217&amp;"ES","Y","")),"")</f>
        <v/>
      </c>
      <c r="H217" s="29" t="str">
        <f>IFERROR(HYPERLINK("#"&amp;ADDRESS(MATCH(B217&amp;"PT",'LM7 Non-ENG'!$A$1:$A$5000,0),1,,,"LM7 Non-ENG"),IF(IFERROR(VLOOKUP(B217&amp;"PT",'LM7 Non-ENG'!$A$1:$A$5000,1,FALSE),"ERROR")=B217&amp;"PT","Y","")),"")</f>
        <v/>
      </c>
    </row>
    <row r="218" spans="7:8" ht="18" customHeight="1">
      <c r="G218" s="29" t="str">
        <f>IFERROR(HYPERLINK("#"&amp;ADDRESS(MATCH(B218&amp;"ES",'LM7 Non-ENG'!$A$1:$A$5000,0),1,,,"LM7 Non-ENG"),IF(IFERROR(VLOOKUP(B218&amp;"ES",'LM7 Non-ENG'!$A$1:$A$4999,1,FALSE),"ERROR")=B218&amp;"ES","Y","")),"")</f>
        <v/>
      </c>
      <c r="H218" s="29" t="str">
        <f>IFERROR(HYPERLINK("#"&amp;ADDRESS(MATCH(B218&amp;"PT",'LM7 Non-ENG'!$A$1:$A$5000,0),1,,,"LM7 Non-ENG"),IF(IFERROR(VLOOKUP(B218&amp;"PT",'LM7 Non-ENG'!$A$1:$A$5000,1,FALSE),"ERROR")=B218&amp;"PT","Y","")),"")</f>
        <v/>
      </c>
    </row>
    <row r="219" spans="7:8" ht="18" customHeight="1">
      <c r="G219" s="29" t="str">
        <f>IFERROR(HYPERLINK("#"&amp;ADDRESS(MATCH(B219&amp;"ES",'LM7 Non-ENG'!$A$1:$A$5000,0),1,,,"LM7 Non-ENG"),IF(IFERROR(VLOOKUP(B219&amp;"ES",'LM7 Non-ENG'!$A$1:$A$4999,1,FALSE),"ERROR")=B219&amp;"ES","Y","")),"")</f>
        <v/>
      </c>
      <c r="H219" s="29" t="str">
        <f>IFERROR(HYPERLINK("#"&amp;ADDRESS(MATCH(B219&amp;"PT",'LM7 Non-ENG'!$A$1:$A$5000,0),1,,,"LM7 Non-ENG"),IF(IFERROR(VLOOKUP(B219&amp;"PT",'LM7 Non-ENG'!$A$1:$A$5000,1,FALSE),"ERROR")=B219&amp;"PT","Y","")),"")</f>
        <v/>
      </c>
    </row>
    <row r="220" spans="7:8" ht="18" customHeight="1">
      <c r="G220" s="29" t="str">
        <f>IFERROR(HYPERLINK("#"&amp;ADDRESS(MATCH(B220&amp;"ES",'LM7 Non-ENG'!$A$1:$A$5000,0),1,,,"LM7 Non-ENG"),IF(IFERROR(VLOOKUP(B220&amp;"ES",'LM7 Non-ENG'!$A$1:$A$4999,1,FALSE),"ERROR")=B220&amp;"ES","Y","")),"")</f>
        <v/>
      </c>
      <c r="H220" s="29" t="str">
        <f>IFERROR(HYPERLINK("#"&amp;ADDRESS(MATCH(B220&amp;"PT",'LM7 Non-ENG'!$A$1:$A$5000,0),1,,,"LM7 Non-ENG"),IF(IFERROR(VLOOKUP(B220&amp;"PT",'LM7 Non-ENG'!$A$1:$A$5000,1,FALSE),"ERROR")=B220&amp;"PT","Y","")),"")</f>
        <v/>
      </c>
    </row>
    <row r="221" spans="7:8" ht="18" customHeight="1">
      <c r="G221" s="29" t="str">
        <f>IFERROR(HYPERLINK("#"&amp;ADDRESS(MATCH(B221&amp;"ES",'LM7 Non-ENG'!$A$1:$A$5000,0),1,,,"LM7 Non-ENG"),IF(IFERROR(VLOOKUP(B221&amp;"ES",'LM7 Non-ENG'!$A$1:$A$4999,1,FALSE),"ERROR")=B221&amp;"ES","Y","")),"")</f>
        <v/>
      </c>
      <c r="H221" s="29" t="str">
        <f>IFERROR(HYPERLINK("#"&amp;ADDRESS(MATCH(B221&amp;"PT",'LM7 Non-ENG'!$A$1:$A$5000,0),1,,,"LM7 Non-ENG"),IF(IFERROR(VLOOKUP(B221&amp;"PT",'LM7 Non-ENG'!$A$1:$A$5000,1,FALSE),"ERROR")=B221&amp;"PT","Y","")),"")</f>
        <v/>
      </c>
    </row>
    <row r="222" spans="7:8" ht="18" customHeight="1">
      <c r="G222" s="29" t="str">
        <f>IFERROR(HYPERLINK("#"&amp;ADDRESS(MATCH(B222&amp;"ES",'LM7 Non-ENG'!$A$1:$A$5000,0),1,,,"LM7 Non-ENG"),IF(IFERROR(VLOOKUP(B222&amp;"ES",'LM7 Non-ENG'!$A$1:$A$4999,1,FALSE),"ERROR")=B222&amp;"ES","Y","")),"")</f>
        <v/>
      </c>
      <c r="H222" s="29" t="str">
        <f>IFERROR(HYPERLINK("#"&amp;ADDRESS(MATCH(B222&amp;"PT",'LM7 Non-ENG'!$A$1:$A$5000,0),1,,,"LM7 Non-ENG"),IF(IFERROR(VLOOKUP(B222&amp;"PT",'LM7 Non-ENG'!$A$1:$A$5000,1,FALSE),"ERROR")=B222&amp;"PT","Y","")),"")</f>
        <v/>
      </c>
    </row>
    <row r="223" spans="7:8" ht="18" customHeight="1">
      <c r="G223" s="29" t="str">
        <f>IFERROR(HYPERLINK("#"&amp;ADDRESS(MATCH(B223&amp;"ES",'LM7 Non-ENG'!$A$1:$A$5000,0),1,,,"LM7 Non-ENG"),IF(IFERROR(VLOOKUP(B223&amp;"ES",'LM7 Non-ENG'!$A$1:$A$4999,1,FALSE),"ERROR")=B223&amp;"ES","Y","")),"")</f>
        <v/>
      </c>
      <c r="H223" s="29" t="str">
        <f>IFERROR(HYPERLINK("#"&amp;ADDRESS(MATCH(B223&amp;"PT",'LM7 Non-ENG'!$A$1:$A$5000,0),1,,,"LM7 Non-ENG"),IF(IFERROR(VLOOKUP(B223&amp;"PT",'LM7 Non-ENG'!$A$1:$A$5000,1,FALSE),"ERROR")=B223&amp;"PT","Y","")),"")</f>
        <v/>
      </c>
    </row>
    <row r="224" spans="7:8" ht="18" customHeight="1">
      <c r="G224" s="29" t="str">
        <f>IFERROR(HYPERLINK("#"&amp;ADDRESS(MATCH(B224&amp;"ES",'LM7 Non-ENG'!$A$1:$A$5000,0),1,,,"LM7 Non-ENG"),IF(IFERROR(VLOOKUP(B224&amp;"ES",'LM7 Non-ENG'!$A$1:$A$4999,1,FALSE),"ERROR")=B224&amp;"ES","Y","")),"")</f>
        <v/>
      </c>
      <c r="H224" s="29" t="str">
        <f>IFERROR(HYPERLINK("#"&amp;ADDRESS(MATCH(B224&amp;"PT",'LM7 Non-ENG'!$A$1:$A$5000,0),1,,,"LM7 Non-ENG"),IF(IFERROR(VLOOKUP(B224&amp;"PT",'LM7 Non-ENG'!$A$1:$A$5000,1,FALSE),"ERROR")=B224&amp;"PT","Y","")),"")</f>
        <v/>
      </c>
    </row>
    <row r="225" spans="7:8" ht="18" customHeight="1">
      <c r="G225" s="29" t="str">
        <f>IFERROR(HYPERLINK("#"&amp;ADDRESS(MATCH(B225&amp;"ES",'LM7 Non-ENG'!$A$1:$A$5000,0),1,,,"LM7 Non-ENG"),IF(IFERROR(VLOOKUP(B225&amp;"ES",'LM7 Non-ENG'!$A$1:$A$4999,1,FALSE),"ERROR")=B225&amp;"ES","Y","")),"")</f>
        <v/>
      </c>
      <c r="H225" s="29" t="str">
        <f>IFERROR(HYPERLINK("#"&amp;ADDRESS(MATCH(B225&amp;"PT",'LM7 Non-ENG'!$A$1:$A$5000,0),1,,,"LM7 Non-ENG"),IF(IFERROR(VLOOKUP(B225&amp;"PT",'LM7 Non-ENG'!$A$1:$A$5000,1,FALSE),"ERROR")=B225&amp;"PT","Y","")),"")</f>
        <v/>
      </c>
    </row>
    <row r="226" spans="7:8" ht="18" customHeight="1">
      <c r="G226" s="29" t="str">
        <f>IFERROR(HYPERLINK("#"&amp;ADDRESS(MATCH(B226&amp;"ES",'LM7 Non-ENG'!$A$1:$A$5000,0),1,,,"LM7 Non-ENG"),IF(IFERROR(VLOOKUP(B226&amp;"ES",'LM7 Non-ENG'!$A$1:$A$4999,1,FALSE),"ERROR")=B226&amp;"ES","Y","")),"")</f>
        <v/>
      </c>
      <c r="H226" s="29" t="str">
        <f>IFERROR(HYPERLINK("#"&amp;ADDRESS(MATCH(B226&amp;"PT",'LM7 Non-ENG'!$A$1:$A$5000,0),1,,,"LM7 Non-ENG"),IF(IFERROR(VLOOKUP(B226&amp;"PT",'LM7 Non-ENG'!$A$1:$A$5000,1,FALSE),"ERROR")=B226&amp;"PT","Y","")),"")</f>
        <v/>
      </c>
    </row>
    <row r="227" spans="7:8" ht="18" customHeight="1">
      <c r="G227" s="29" t="str">
        <f>IFERROR(HYPERLINK("#"&amp;ADDRESS(MATCH(B227&amp;"ES",'LM7 Non-ENG'!$A$1:$A$5000,0),1,,,"LM7 Non-ENG"),IF(IFERROR(VLOOKUP(B227&amp;"ES",'LM7 Non-ENG'!$A$1:$A$4999,1,FALSE),"ERROR")=B227&amp;"ES","Y","")),"")</f>
        <v/>
      </c>
      <c r="H227" s="29" t="str">
        <f>IFERROR(HYPERLINK("#"&amp;ADDRESS(MATCH(B227&amp;"PT",'LM7 Non-ENG'!$A$1:$A$5000,0),1,,,"LM7 Non-ENG"),IF(IFERROR(VLOOKUP(B227&amp;"PT",'LM7 Non-ENG'!$A$1:$A$5000,1,FALSE),"ERROR")=B227&amp;"PT","Y","")),"")</f>
        <v/>
      </c>
    </row>
    <row r="228" spans="7:8" ht="18" customHeight="1">
      <c r="G228" s="29" t="str">
        <f>IFERROR(HYPERLINK("#"&amp;ADDRESS(MATCH(B228&amp;"ES",'LM7 Non-ENG'!$A$1:$A$5000,0),1,,,"LM7 Non-ENG"),IF(IFERROR(VLOOKUP(B228&amp;"ES",'LM7 Non-ENG'!$A$1:$A$4999,1,FALSE),"ERROR")=B228&amp;"ES","Y","")),"")</f>
        <v/>
      </c>
      <c r="H228" s="29" t="str">
        <f>IFERROR(HYPERLINK("#"&amp;ADDRESS(MATCH(B228&amp;"PT",'LM7 Non-ENG'!$A$1:$A$5000,0),1,,,"LM7 Non-ENG"),IF(IFERROR(VLOOKUP(B228&amp;"PT",'LM7 Non-ENG'!$A$1:$A$5000,1,FALSE),"ERROR")=B228&amp;"PT","Y","")),"")</f>
        <v/>
      </c>
    </row>
    <row r="229" spans="7:8" ht="18" customHeight="1">
      <c r="G229" s="29" t="str">
        <f>IFERROR(HYPERLINK("#"&amp;ADDRESS(MATCH(B229&amp;"ES",'LM7 Non-ENG'!$A$1:$A$5000,0),1,,,"LM7 Non-ENG"),IF(IFERROR(VLOOKUP(B229&amp;"ES",'LM7 Non-ENG'!$A$1:$A$4999,1,FALSE),"ERROR")=B229&amp;"ES","Y","")),"")</f>
        <v/>
      </c>
      <c r="H229" s="29" t="str">
        <f>IFERROR(HYPERLINK("#"&amp;ADDRESS(MATCH(B229&amp;"PT",'LM7 Non-ENG'!$A$1:$A$5000,0),1,,,"LM7 Non-ENG"),IF(IFERROR(VLOOKUP(B229&amp;"PT",'LM7 Non-ENG'!$A$1:$A$5000,1,FALSE),"ERROR")=B229&amp;"PT","Y","")),"")</f>
        <v/>
      </c>
    </row>
    <row r="230" spans="7:8" ht="18" customHeight="1">
      <c r="G230" s="29" t="str">
        <f>IFERROR(HYPERLINK("#"&amp;ADDRESS(MATCH(B230&amp;"ES",'LM7 Non-ENG'!$A$1:$A$5000,0),1,,,"LM7 Non-ENG"),IF(IFERROR(VLOOKUP(B230&amp;"ES",'LM7 Non-ENG'!$A$1:$A$4999,1,FALSE),"ERROR")=B230&amp;"ES","Y","")),"")</f>
        <v/>
      </c>
      <c r="H230" s="29" t="str">
        <f>IFERROR(HYPERLINK("#"&amp;ADDRESS(MATCH(B230&amp;"PT",'LM7 Non-ENG'!$A$1:$A$5000,0),1,,,"LM7 Non-ENG"),IF(IFERROR(VLOOKUP(B230&amp;"PT",'LM7 Non-ENG'!$A$1:$A$5000,1,FALSE),"ERROR")=B230&amp;"PT","Y","")),"")</f>
        <v/>
      </c>
    </row>
    <row r="231" spans="7:8" ht="18" customHeight="1">
      <c r="G231" s="29" t="str">
        <f>IFERROR(HYPERLINK("#"&amp;ADDRESS(MATCH(B231&amp;"ES",'LM7 Non-ENG'!$A$1:$A$5000,0),1,,,"LM7 Non-ENG"),IF(IFERROR(VLOOKUP(B231&amp;"ES",'LM7 Non-ENG'!$A$1:$A$4999,1,FALSE),"ERROR")=B231&amp;"ES","Y","")),"")</f>
        <v/>
      </c>
      <c r="H231" s="29" t="str">
        <f>IFERROR(HYPERLINK("#"&amp;ADDRESS(MATCH(B231&amp;"PT",'LM7 Non-ENG'!$A$1:$A$5000,0),1,,,"LM7 Non-ENG"),IF(IFERROR(VLOOKUP(B231&amp;"PT",'LM7 Non-ENG'!$A$1:$A$5000,1,FALSE),"ERROR")=B231&amp;"PT","Y","")),"")</f>
        <v/>
      </c>
    </row>
    <row r="232" spans="7:8" ht="18" customHeight="1">
      <c r="G232" s="29" t="str">
        <f>IFERROR(HYPERLINK("#"&amp;ADDRESS(MATCH(B232&amp;"ES",'LM7 Non-ENG'!$A$1:$A$5000,0),1,,,"LM7 Non-ENG"),IF(IFERROR(VLOOKUP(B232&amp;"ES",'LM7 Non-ENG'!$A$1:$A$4999,1,FALSE),"ERROR")=B232&amp;"ES","Y","")),"")</f>
        <v/>
      </c>
      <c r="H232" s="29" t="str">
        <f>IFERROR(HYPERLINK("#"&amp;ADDRESS(MATCH(B232&amp;"PT",'LM7 Non-ENG'!$A$1:$A$5000,0),1,,,"LM7 Non-ENG"),IF(IFERROR(VLOOKUP(B232&amp;"PT",'LM7 Non-ENG'!$A$1:$A$5000,1,FALSE),"ERROR")=B232&amp;"PT","Y","")),"")</f>
        <v/>
      </c>
    </row>
    <row r="233" spans="7:8" ht="18" customHeight="1">
      <c r="G233" s="29" t="str">
        <f>IFERROR(HYPERLINK("#"&amp;ADDRESS(MATCH(B233&amp;"ES",'LM7 Non-ENG'!$A$1:$A$5000,0),1,,,"LM7 Non-ENG"),IF(IFERROR(VLOOKUP(B233&amp;"ES",'LM7 Non-ENG'!$A$1:$A$4999,1,FALSE),"ERROR")=B233&amp;"ES","Y","")),"")</f>
        <v/>
      </c>
      <c r="H233" s="29" t="str">
        <f>IFERROR(HYPERLINK("#"&amp;ADDRESS(MATCH(B233&amp;"PT",'LM7 Non-ENG'!$A$1:$A$5000,0),1,,,"LM7 Non-ENG"),IF(IFERROR(VLOOKUP(B233&amp;"PT",'LM7 Non-ENG'!$A$1:$A$5000,1,FALSE),"ERROR")=B233&amp;"PT","Y","")),"")</f>
        <v/>
      </c>
    </row>
    <row r="234" spans="7:8" ht="18" customHeight="1">
      <c r="G234" s="29" t="str">
        <f>IFERROR(HYPERLINK("#"&amp;ADDRESS(MATCH(B234&amp;"ES",'LM7 Non-ENG'!$A$1:$A$5000,0),1,,,"LM7 Non-ENG"),IF(IFERROR(VLOOKUP(B234&amp;"ES",'LM7 Non-ENG'!$A$1:$A$4999,1,FALSE),"ERROR")=B234&amp;"ES","Y","")),"")</f>
        <v/>
      </c>
      <c r="H234" s="29" t="str">
        <f>IFERROR(HYPERLINK("#"&amp;ADDRESS(MATCH(B234&amp;"PT",'LM7 Non-ENG'!$A$1:$A$5000,0),1,,,"LM7 Non-ENG"),IF(IFERROR(VLOOKUP(B234&amp;"PT",'LM7 Non-ENG'!$A$1:$A$5000,1,FALSE),"ERROR")=B234&amp;"PT","Y","")),"")</f>
        <v/>
      </c>
    </row>
    <row r="235" spans="7:8" ht="18" customHeight="1">
      <c r="G235" s="29" t="str">
        <f>IFERROR(HYPERLINK("#"&amp;ADDRESS(MATCH(B235&amp;"ES",'LM7 Non-ENG'!$A$1:$A$5000,0),1,,,"LM7 Non-ENG"),IF(IFERROR(VLOOKUP(B235&amp;"ES",'LM7 Non-ENG'!$A$1:$A$4999,1,FALSE),"ERROR")=B235&amp;"ES","Y","")),"")</f>
        <v/>
      </c>
      <c r="H235" s="29" t="str">
        <f>IFERROR(HYPERLINK("#"&amp;ADDRESS(MATCH(B235&amp;"PT",'LM7 Non-ENG'!$A$1:$A$5000,0),1,,,"LM7 Non-ENG"),IF(IFERROR(VLOOKUP(B235&amp;"PT",'LM7 Non-ENG'!$A$1:$A$5000,1,FALSE),"ERROR")=B235&amp;"PT","Y","")),"")</f>
        <v/>
      </c>
    </row>
    <row r="236" spans="7:8" ht="18" customHeight="1">
      <c r="G236" s="29" t="str">
        <f>IFERROR(HYPERLINK("#"&amp;ADDRESS(MATCH(B236&amp;"ES",'LM7 Non-ENG'!$A$1:$A$5000,0),1,,,"LM7 Non-ENG"),IF(IFERROR(VLOOKUP(B236&amp;"ES",'LM7 Non-ENG'!$A$1:$A$4999,1,FALSE),"ERROR")=B236&amp;"ES","Y","")),"")</f>
        <v/>
      </c>
      <c r="H236" s="29" t="str">
        <f>IFERROR(HYPERLINK("#"&amp;ADDRESS(MATCH(B236&amp;"PT",'LM7 Non-ENG'!$A$1:$A$5000,0),1,,,"LM7 Non-ENG"),IF(IFERROR(VLOOKUP(B236&amp;"PT",'LM7 Non-ENG'!$A$1:$A$5000,1,FALSE),"ERROR")=B236&amp;"PT","Y","")),"")</f>
        <v/>
      </c>
    </row>
    <row r="237" spans="7:8" ht="18" customHeight="1">
      <c r="G237" s="29" t="str">
        <f>IFERROR(HYPERLINK("#"&amp;ADDRESS(MATCH(B237&amp;"ES",'LM7 Non-ENG'!$A$1:$A$5000,0),1,,,"LM7 Non-ENG"),IF(IFERROR(VLOOKUP(B237&amp;"ES",'LM7 Non-ENG'!$A$1:$A$4999,1,FALSE),"ERROR")=B237&amp;"ES","Y","")),"")</f>
        <v/>
      </c>
      <c r="H237" s="29" t="str">
        <f>IFERROR(HYPERLINK("#"&amp;ADDRESS(MATCH(B237&amp;"PT",'LM7 Non-ENG'!$A$1:$A$5000,0),1,,,"LM7 Non-ENG"),IF(IFERROR(VLOOKUP(B237&amp;"PT",'LM7 Non-ENG'!$A$1:$A$5000,1,FALSE),"ERROR")=B237&amp;"PT","Y","")),"")</f>
        <v/>
      </c>
    </row>
    <row r="238" spans="7:8" ht="18" customHeight="1">
      <c r="G238" s="29" t="str">
        <f>IFERROR(HYPERLINK("#"&amp;ADDRESS(MATCH(B238&amp;"ES",'LM7 Non-ENG'!$A$1:$A$5000,0),1,,,"LM7 Non-ENG"),IF(IFERROR(VLOOKUP(B238&amp;"ES",'LM7 Non-ENG'!$A$1:$A$4999,1,FALSE),"ERROR")=B238&amp;"ES","Y","")),"")</f>
        <v/>
      </c>
      <c r="H238" s="29" t="str">
        <f>IFERROR(HYPERLINK("#"&amp;ADDRESS(MATCH(B238&amp;"PT",'LM7 Non-ENG'!$A$1:$A$5000,0),1,,,"LM7 Non-ENG"),IF(IFERROR(VLOOKUP(B238&amp;"PT",'LM7 Non-ENG'!$A$1:$A$5000,1,FALSE),"ERROR")=B238&amp;"PT","Y","")),"")</f>
        <v/>
      </c>
    </row>
    <row r="239" spans="7:8" ht="18" customHeight="1">
      <c r="G239" s="29" t="str">
        <f>IFERROR(HYPERLINK("#"&amp;ADDRESS(MATCH(B239&amp;"ES",'LM7 Non-ENG'!$A$1:$A$5000,0),1,,,"LM7 Non-ENG"),IF(IFERROR(VLOOKUP(B239&amp;"ES",'LM7 Non-ENG'!$A$1:$A$4999,1,FALSE),"ERROR")=B239&amp;"ES","Y","")),"")</f>
        <v/>
      </c>
      <c r="H239" s="29" t="str">
        <f>IFERROR(HYPERLINK("#"&amp;ADDRESS(MATCH(B239&amp;"PT",'LM7 Non-ENG'!$A$1:$A$5000,0),1,,,"LM7 Non-ENG"),IF(IFERROR(VLOOKUP(B239&amp;"PT",'LM7 Non-ENG'!$A$1:$A$5000,1,FALSE),"ERROR")=B239&amp;"PT","Y","")),"")</f>
        <v/>
      </c>
    </row>
    <row r="240" spans="7:8" ht="18" customHeight="1">
      <c r="G240" s="29" t="str">
        <f>IFERROR(HYPERLINK("#"&amp;ADDRESS(MATCH(B240&amp;"ES",'LM7 Non-ENG'!$A$1:$A$5000,0),1,,,"LM7 Non-ENG"),IF(IFERROR(VLOOKUP(B240&amp;"ES",'LM7 Non-ENG'!$A$1:$A$4999,1,FALSE),"ERROR")=B240&amp;"ES","Y","")),"")</f>
        <v/>
      </c>
      <c r="H240" s="29" t="str">
        <f>IFERROR(HYPERLINK("#"&amp;ADDRESS(MATCH(B240&amp;"PT",'LM7 Non-ENG'!$A$1:$A$5000,0),1,,,"LM7 Non-ENG"),IF(IFERROR(VLOOKUP(B240&amp;"PT",'LM7 Non-ENG'!$A$1:$A$5000,1,FALSE),"ERROR")=B240&amp;"PT","Y","")),"")</f>
        <v/>
      </c>
    </row>
    <row r="241" spans="7:8" ht="18" customHeight="1">
      <c r="G241" s="29" t="str">
        <f>IFERROR(HYPERLINK("#"&amp;ADDRESS(MATCH(B241&amp;"ES",'LM7 Non-ENG'!$A$1:$A$5000,0),1,,,"LM7 Non-ENG"),IF(IFERROR(VLOOKUP(B241&amp;"ES",'LM7 Non-ENG'!$A$1:$A$4999,1,FALSE),"ERROR")=B241&amp;"ES","Y","")),"")</f>
        <v/>
      </c>
      <c r="H241" s="29" t="str">
        <f>IFERROR(HYPERLINK("#"&amp;ADDRESS(MATCH(B241&amp;"PT",'LM7 Non-ENG'!$A$1:$A$5000,0),1,,,"LM7 Non-ENG"),IF(IFERROR(VLOOKUP(B241&amp;"PT",'LM7 Non-ENG'!$A$1:$A$5000,1,FALSE),"ERROR")=B241&amp;"PT","Y","")),"")</f>
        <v/>
      </c>
    </row>
    <row r="242" spans="7:8" ht="18" customHeight="1">
      <c r="G242" s="29" t="str">
        <f>IFERROR(HYPERLINK("#"&amp;ADDRESS(MATCH(B242&amp;"ES",'LM7 Non-ENG'!$A$1:$A$5000,0),1,,,"LM7 Non-ENG"),IF(IFERROR(VLOOKUP(B242&amp;"ES",'LM7 Non-ENG'!$A$1:$A$4999,1,FALSE),"ERROR")=B242&amp;"ES","Y","")),"")</f>
        <v/>
      </c>
      <c r="H242" s="29" t="str">
        <f>IFERROR(HYPERLINK("#"&amp;ADDRESS(MATCH(B242&amp;"PT",'LM7 Non-ENG'!$A$1:$A$5000,0),1,,,"LM7 Non-ENG"),IF(IFERROR(VLOOKUP(B242&amp;"PT",'LM7 Non-ENG'!$A$1:$A$5000,1,FALSE),"ERROR")=B242&amp;"PT","Y","")),"")</f>
        <v/>
      </c>
    </row>
    <row r="243" spans="7:8" ht="18" customHeight="1">
      <c r="G243" s="29" t="str">
        <f>IFERROR(HYPERLINK("#"&amp;ADDRESS(MATCH(B243&amp;"ES",'LM7 Non-ENG'!$A$1:$A$5000,0),1,,,"LM7 Non-ENG"),IF(IFERROR(VLOOKUP(B243&amp;"ES",'LM7 Non-ENG'!$A$1:$A$4999,1,FALSE),"ERROR")=B243&amp;"ES","Y","")),"")</f>
        <v/>
      </c>
      <c r="H243" s="29" t="str">
        <f>IFERROR(HYPERLINK("#"&amp;ADDRESS(MATCH(B243&amp;"PT",'LM7 Non-ENG'!$A$1:$A$5000,0),1,,,"LM7 Non-ENG"),IF(IFERROR(VLOOKUP(B243&amp;"PT",'LM7 Non-ENG'!$A$1:$A$5000,1,FALSE),"ERROR")=B243&amp;"PT","Y","")),"")</f>
        <v/>
      </c>
    </row>
    <row r="244" spans="7:8" ht="18" customHeight="1">
      <c r="G244" s="29" t="str">
        <f>IFERROR(HYPERLINK("#"&amp;ADDRESS(MATCH(B244&amp;"ES",'LM7 Non-ENG'!$A$1:$A$5000,0),1,,,"LM7 Non-ENG"),IF(IFERROR(VLOOKUP(B244&amp;"ES",'LM7 Non-ENG'!$A$1:$A$4999,1,FALSE),"ERROR")=B244&amp;"ES","Y","")),"")</f>
        <v/>
      </c>
      <c r="H244" s="29" t="str">
        <f>IFERROR(HYPERLINK("#"&amp;ADDRESS(MATCH(B244&amp;"PT",'LM7 Non-ENG'!$A$1:$A$5000,0),1,,,"LM7 Non-ENG"),IF(IFERROR(VLOOKUP(B244&amp;"PT",'LM7 Non-ENG'!$A$1:$A$5000,1,FALSE),"ERROR")=B244&amp;"PT","Y","")),"")</f>
        <v/>
      </c>
    </row>
    <row r="245" spans="7:8" ht="18" customHeight="1">
      <c r="G245" s="29" t="str">
        <f>IFERROR(HYPERLINK("#"&amp;ADDRESS(MATCH(B245&amp;"ES",'LM7 Non-ENG'!$A$1:$A$5000,0),1,,,"LM7 Non-ENG"),IF(IFERROR(VLOOKUP(B245&amp;"ES",'LM7 Non-ENG'!$A$1:$A$4999,1,FALSE),"ERROR")=B245&amp;"ES","Y","")),"")</f>
        <v/>
      </c>
      <c r="H245" s="29" t="str">
        <f>IFERROR(HYPERLINK("#"&amp;ADDRESS(MATCH(B245&amp;"PT",'LM7 Non-ENG'!$A$1:$A$5000,0),1,,,"LM7 Non-ENG"),IF(IFERROR(VLOOKUP(B245&amp;"PT",'LM7 Non-ENG'!$A$1:$A$5000,1,FALSE),"ERROR")=B245&amp;"PT","Y","")),"")</f>
        <v/>
      </c>
    </row>
    <row r="246" spans="7:8" ht="18" customHeight="1">
      <c r="G246" s="29" t="str">
        <f>IFERROR(HYPERLINK("#"&amp;ADDRESS(MATCH(B246&amp;"ES",'LM7 Non-ENG'!$A$1:$A$5000,0),1,,,"LM7 Non-ENG"),IF(IFERROR(VLOOKUP(B246&amp;"ES",'LM7 Non-ENG'!$A$1:$A$4999,1,FALSE),"ERROR")=B246&amp;"ES","Y","")),"")</f>
        <v/>
      </c>
      <c r="H246" s="29" t="str">
        <f>IFERROR(HYPERLINK("#"&amp;ADDRESS(MATCH(B246&amp;"PT",'LM7 Non-ENG'!$A$1:$A$5000,0),1,,,"LM7 Non-ENG"),IF(IFERROR(VLOOKUP(B246&amp;"PT",'LM7 Non-ENG'!$A$1:$A$5000,1,FALSE),"ERROR")=B246&amp;"PT","Y","")),"")</f>
        <v/>
      </c>
    </row>
    <row r="247" spans="7:8" ht="18" customHeight="1">
      <c r="G247" s="29" t="str">
        <f>IFERROR(HYPERLINK("#"&amp;ADDRESS(MATCH(B247&amp;"ES",'LM7 Non-ENG'!$A$1:$A$5000,0),1,,,"LM7 Non-ENG"),IF(IFERROR(VLOOKUP(B247&amp;"ES",'LM7 Non-ENG'!$A$1:$A$4999,1,FALSE),"ERROR")=B247&amp;"ES","Y","")),"")</f>
        <v/>
      </c>
      <c r="H247" s="29" t="str">
        <f>IFERROR(HYPERLINK("#"&amp;ADDRESS(MATCH(B247&amp;"PT",'LM7 Non-ENG'!$A$1:$A$5000,0),1,,,"LM7 Non-ENG"),IF(IFERROR(VLOOKUP(B247&amp;"PT",'LM7 Non-ENG'!$A$1:$A$5000,1,FALSE),"ERROR")=B247&amp;"PT","Y","")),"")</f>
        <v/>
      </c>
    </row>
    <row r="248" spans="7:8" ht="18" customHeight="1">
      <c r="G248" s="29" t="str">
        <f>IFERROR(HYPERLINK("#"&amp;ADDRESS(MATCH(B248&amp;"ES",'LM7 Non-ENG'!$A$1:$A$5000,0),1,,,"LM7 Non-ENG"),IF(IFERROR(VLOOKUP(B248&amp;"ES",'LM7 Non-ENG'!$A$1:$A$4999,1,FALSE),"ERROR")=B248&amp;"ES","Y","")),"")</f>
        <v/>
      </c>
      <c r="H248" s="29" t="str">
        <f>IFERROR(HYPERLINK("#"&amp;ADDRESS(MATCH(B248&amp;"PT",'LM7 Non-ENG'!$A$1:$A$5000,0),1,,,"LM7 Non-ENG"),IF(IFERROR(VLOOKUP(B248&amp;"PT",'LM7 Non-ENG'!$A$1:$A$5000,1,FALSE),"ERROR")=B248&amp;"PT","Y","")),"")</f>
        <v/>
      </c>
    </row>
    <row r="249" spans="7:8" ht="18" customHeight="1">
      <c r="G249" s="29" t="str">
        <f>IFERROR(HYPERLINK("#"&amp;ADDRESS(MATCH(B249&amp;"ES",'LM7 Non-ENG'!$A$1:$A$5000,0),1,,,"LM7 Non-ENG"),IF(IFERROR(VLOOKUP(B249&amp;"ES",'LM7 Non-ENG'!$A$1:$A$4999,1,FALSE),"ERROR")=B249&amp;"ES","Y","")),"")</f>
        <v/>
      </c>
      <c r="H249" s="29" t="str">
        <f>IFERROR(HYPERLINK("#"&amp;ADDRESS(MATCH(B249&amp;"PT",'LM7 Non-ENG'!$A$1:$A$5000,0),1,,,"LM7 Non-ENG"),IF(IFERROR(VLOOKUP(B249&amp;"PT",'LM7 Non-ENG'!$A$1:$A$5000,1,FALSE),"ERROR")=B249&amp;"PT","Y","")),"")</f>
        <v/>
      </c>
    </row>
    <row r="250" spans="7:8" ht="18" customHeight="1">
      <c r="G250" s="29" t="str">
        <f>IFERROR(HYPERLINK("#"&amp;ADDRESS(MATCH(B250&amp;"ES",'LM7 Non-ENG'!$A$1:$A$5000,0),1,,,"LM7 Non-ENG"),IF(IFERROR(VLOOKUP(B250&amp;"ES",'LM7 Non-ENG'!$A$1:$A$4999,1,FALSE),"ERROR")=B250&amp;"ES","Y","")),"")</f>
        <v/>
      </c>
      <c r="H250" s="29" t="str">
        <f>IFERROR(HYPERLINK("#"&amp;ADDRESS(MATCH(B250&amp;"PT",'LM7 Non-ENG'!$A$1:$A$5000,0),1,,,"LM7 Non-ENG"),IF(IFERROR(VLOOKUP(B250&amp;"PT",'LM7 Non-ENG'!$A$1:$A$5000,1,FALSE),"ERROR")=B250&amp;"PT","Y","")),"")</f>
        <v/>
      </c>
    </row>
    <row r="251" spans="7:8" ht="18" customHeight="1">
      <c r="G251" s="29" t="str">
        <f>IFERROR(HYPERLINK("#"&amp;ADDRESS(MATCH(B251&amp;"ES",'LM7 Non-ENG'!$A$1:$A$5000,0),1,,,"LM7 Non-ENG"),IF(IFERROR(VLOOKUP(B251&amp;"ES",'LM7 Non-ENG'!$A$1:$A$4999,1,FALSE),"ERROR")=B251&amp;"ES","Y","")),"")</f>
        <v/>
      </c>
      <c r="H251" s="29" t="str">
        <f>IFERROR(HYPERLINK("#"&amp;ADDRESS(MATCH(B251&amp;"PT",'LM7 Non-ENG'!$A$1:$A$5000,0),1,,,"LM7 Non-ENG"),IF(IFERROR(VLOOKUP(B251&amp;"PT",'LM7 Non-ENG'!$A$1:$A$5000,1,FALSE),"ERROR")=B251&amp;"PT","Y","")),"")</f>
        <v/>
      </c>
    </row>
    <row r="252" spans="7:8" ht="18" customHeight="1">
      <c r="G252" s="29" t="str">
        <f>IFERROR(HYPERLINK("#"&amp;ADDRESS(MATCH(B252&amp;"ES",'LM7 Non-ENG'!$A$1:$A$5000,0),1,,,"LM7 Non-ENG"),IF(IFERROR(VLOOKUP(B252&amp;"ES",'LM7 Non-ENG'!$A$1:$A$4999,1,FALSE),"ERROR")=B252&amp;"ES","Y","")),"")</f>
        <v/>
      </c>
      <c r="H252" s="29" t="str">
        <f>IFERROR(HYPERLINK("#"&amp;ADDRESS(MATCH(B252&amp;"PT",'LM7 Non-ENG'!$A$1:$A$5000,0),1,,,"LM7 Non-ENG"),IF(IFERROR(VLOOKUP(B252&amp;"PT",'LM7 Non-ENG'!$A$1:$A$5000,1,FALSE),"ERROR")=B252&amp;"PT","Y","")),"")</f>
        <v/>
      </c>
    </row>
    <row r="253" spans="7:8" ht="18" customHeight="1">
      <c r="G253" s="29" t="str">
        <f>IFERROR(HYPERLINK("#"&amp;ADDRESS(MATCH(B253&amp;"ES",'LM7 Non-ENG'!$A$1:$A$5000,0),1,,,"LM7 Non-ENG"),IF(IFERROR(VLOOKUP(B253&amp;"ES",'LM7 Non-ENG'!$A$1:$A$4999,1,FALSE),"ERROR")=B253&amp;"ES","Y","")),"")</f>
        <v/>
      </c>
      <c r="H253" s="29" t="str">
        <f>IFERROR(HYPERLINK("#"&amp;ADDRESS(MATCH(B253&amp;"PT",'LM7 Non-ENG'!$A$1:$A$5000,0),1,,,"LM7 Non-ENG"),IF(IFERROR(VLOOKUP(B253&amp;"PT",'LM7 Non-ENG'!$A$1:$A$5000,1,FALSE),"ERROR")=B253&amp;"PT","Y","")),"")</f>
        <v/>
      </c>
    </row>
    <row r="254" spans="7:8" ht="18" customHeight="1">
      <c r="G254" s="29" t="str">
        <f>IFERROR(HYPERLINK("#"&amp;ADDRESS(MATCH(B254&amp;"ES",'LM7 Non-ENG'!$A$1:$A$5000,0),1,,,"LM7 Non-ENG"),IF(IFERROR(VLOOKUP(B254&amp;"ES",'LM7 Non-ENG'!$A$1:$A$4999,1,FALSE),"ERROR")=B254&amp;"ES","Y","")),"")</f>
        <v/>
      </c>
      <c r="H254" s="29" t="str">
        <f>IFERROR(HYPERLINK("#"&amp;ADDRESS(MATCH(B254&amp;"PT",'LM7 Non-ENG'!$A$1:$A$5000,0),1,,,"LM7 Non-ENG"),IF(IFERROR(VLOOKUP(B254&amp;"PT",'LM7 Non-ENG'!$A$1:$A$5000,1,FALSE),"ERROR")=B254&amp;"PT","Y","")),"")</f>
        <v/>
      </c>
    </row>
    <row r="255" spans="7:8" ht="18" customHeight="1">
      <c r="G255" s="29" t="str">
        <f>IFERROR(HYPERLINK("#"&amp;ADDRESS(MATCH(B255&amp;"ES",'LM7 Non-ENG'!$A$1:$A$5000,0),1,,,"LM7 Non-ENG"),IF(IFERROR(VLOOKUP(B255&amp;"ES",'LM7 Non-ENG'!$A$1:$A$4999,1,FALSE),"ERROR")=B255&amp;"ES","Y","")),"")</f>
        <v/>
      </c>
      <c r="H255" s="29" t="str">
        <f>IFERROR(HYPERLINK("#"&amp;ADDRESS(MATCH(B255&amp;"PT",'LM7 Non-ENG'!$A$1:$A$5000,0),1,,,"LM7 Non-ENG"),IF(IFERROR(VLOOKUP(B255&amp;"PT",'LM7 Non-ENG'!$A$1:$A$5000,1,FALSE),"ERROR")=B255&amp;"PT","Y","")),"")</f>
        <v/>
      </c>
    </row>
    <row r="256" spans="7:8" ht="18" customHeight="1">
      <c r="G256" s="29" t="str">
        <f>IFERROR(HYPERLINK("#"&amp;ADDRESS(MATCH(B256&amp;"ES",'LM7 Non-ENG'!$A$1:$A$5000,0),1,,,"LM7 Non-ENG"),IF(IFERROR(VLOOKUP(B256&amp;"ES",'LM7 Non-ENG'!$A$1:$A$4999,1,FALSE),"ERROR")=B256&amp;"ES","Y","")),"")</f>
        <v/>
      </c>
      <c r="H256" s="29" t="str">
        <f>IFERROR(HYPERLINK("#"&amp;ADDRESS(MATCH(B256&amp;"PT",'LM7 Non-ENG'!$A$1:$A$5000,0),1,,,"LM7 Non-ENG"),IF(IFERROR(VLOOKUP(B256&amp;"PT",'LM7 Non-ENG'!$A$1:$A$5000,1,FALSE),"ERROR")=B256&amp;"PT","Y","")),"")</f>
        <v/>
      </c>
    </row>
    <row r="257" spans="7:8" ht="18" customHeight="1">
      <c r="G257" s="29" t="str">
        <f>IFERROR(HYPERLINK("#"&amp;ADDRESS(MATCH(B257&amp;"ES",'LM7 Non-ENG'!$A$1:$A$5000,0),1,,,"LM7 Non-ENG"),IF(IFERROR(VLOOKUP(B257&amp;"ES",'LM7 Non-ENG'!$A$1:$A$4999,1,FALSE),"ERROR")=B257&amp;"ES","Y","")),"")</f>
        <v/>
      </c>
      <c r="H257" s="29" t="str">
        <f>IFERROR(HYPERLINK("#"&amp;ADDRESS(MATCH(B257&amp;"PT",'LM7 Non-ENG'!$A$1:$A$5000,0),1,,,"LM7 Non-ENG"),IF(IFERROR(VLOOKUP(B257&amp;"PT",'LM7 Non-ENG'!$A$1:$A$5000,1,FALSE),"ERROR")=B257&amp;"PT","Y","")),"")</f>
        <v/>
      </c>
    </row>
    <row r="258" spans="7:8" ht="18" customHeight="1">
      <c r="G258" s="29" t="str">
        <f>IFERROR(HYPERLINK("#"&amp;ADDRESS(MATCH(B258&amp;"ES",'LM7 Non-ENG'!$A$1:$A$5000,0),1,,,"LM7 Non-ENG"),IF(IFERROR(VLOOKUP(B258&amp;"ES",'LM7 Non-ENG'!$A$1:$A$4999,1,FALSE),"ERROR")=B258&amp;"ES","Y","")),"")</f>
        <v/>
      </c>
      <c r="H258" s="29" t="str">
        <f>IFERROR(HYPERLINK("#"&amp;ADDRESS(MATCH(B258&amp;"PT",'LM7 Non-ENG'!$A$1:$A$5000,0),1,,,"LM7 Non-ENG"),IF(IFERROR(VLOOKUP(B258&amp;"PT",'LM7 Non-ENG'!$A$1:$A$5000,1,FALSE),"ERROR")=B258&amp;"PT","Y","")),"")</f>
        <v/>
      </c>
    </row>
    <row r="259" spans="7:8" ht="18" customHeight="1">
      <c r="G259" s="29" t="str">
        <f>IFERROR(HYPERLINK("#"&amp;ADDRESS(MATCH(B259&amp;"ES",'LM7 Non-ENG'!$A$1:$A$5000,0),1,,,"LM7 Non-ENG"),IF(IFERROR(VLOOKUP(B259&amp;"ES",'LM7 Non-ENG'!$A$1:$A$4999,1,FALSE),"ERROR")=B259&amp;"ES","Y","")),"")</f>
        <v/>
      </c>
      <c r="H259" s="29" t="str">
        <f>IFERROR(HYPERLINK("#"&amp;ADDRESS(MATCH(B259&amp;"PT",'LM7 Non-ENG'!$A$1:$A$5000,0),1,,,"LM7 Non-ENG"),IF(IFERROR(VLOOKUP(B259&amp;"PT",'LM7 Non-ENG'!$A$1:$A$5000,1,FALSE),"ERROR")=B259&amp;"PT","Y","")),"")</f>
        <v/>
      </c>
    </row>
    <row r="260" spans="7:8" ht="18" customHeight="1">
      <c r="G260" s="29" t="str">
        <f>IFERROR(HYPERLINK("#"&amp;ADDRESS(MATCH(B260&amp;"ES",'LM7 Non-ENG'!$A$1:$A$5000,0),1,,,"LM7 Non-ENG"),IF(IFERROR(VLOOKUP(B260&amp;"ES",'LM7 Non-ENG'!$A$1:$A$4999,1,FALSE),"ERROR")=B260&amp;"ES","Y","")),"")</f>
        <v/>
      </c>
      <c r="H260" s="29" t="str">
        <f>IFERROR(HYPERLINK("#"&amp;ADDRESS(MATCH(B260&amp;"PT",'LM7 Non-ENG'!$A$1:$A$5000,0),1,,,"LM7 Non-ENG"),IF(IFERROR(VLOOKUP(B260&amp;"PT",'LM7 Non-ENG'!$A$1:$A$5000,1,FALSE),"ERROR")=B260&amp;"PT","Y","")),"")</f>
        <v/>
      </c>
    </row>
    <row r="261" spans="7:8" ht="18" customHeight="1">
      <c r="G261" s="29" t="str">
        <f>IFERROR(HYPERLINK("#"&amp;ADDRESS(MATCH(B261&amp;"ES",'LM7 Non-ENG'!$A$1:$A$5000,0),1,,,"LM7 Non-ENG"),IF(IFERROR(VLOOKUP(B261&amp;"ES",'LM7 Non-ENG'!$A$1:$A$4999,1,FALSE),"ERROR")=B261&amp;"ES","Y","")),"")</f>
        <v/>
      </c>
      <c r="H261" s="29" t="str">
        <f>IFERROR(HYPERLINK("#"&amp;ADDRESS(MATCH(B261&amp;"PT",'LM7 Non-ENG'!$A$1:$A$5000,0),1,,,"LM7 Non-ENG"),IF(IFERROR(VLOOKUP(B261&amp;"PT",'LM7 Non-ENG'!$A$1:$A$5000,1,FALSE),"ERROR")=B261&amp;"PT","Y","")),"")</f>
        <v/>
      </c>
    </row>
    <row r="262" spans="7:8" ht="18" customHeight="1">
      <c r="G262" s="29" t="str">
        <f>IFERROR(HYPERLINK("#"&amp;ADDRESS(MATCH(B262&amp;"ES",'LM7 Non-ENG'!$A$1:$A$5000,0),1,,,"LM7 Non-ENG"),IF(IFERROR(VLOOKUP(B262&amp;"ES",'LM7 Non-ENG'!$A$1:$A$4999,1,FALSE),"ERROR")=B262&amp;"ES","Y","")),"")</f>
        <v/>
      </c>
      <c r="H262" s="29" t="str">
        <f>IFERROR(HYPERLINK("#"&amp;ADDRESS(MATCH(B262&amp;"PT",'LM7 Non-ENG'!$A$1:$A$5000,0),1,,,"LM7 Non-ENG"),IF(IFERROR(VLOOKUP(B262&amp;"PT",'LM7 Non-ENG'!$A$1:$A$5000,1,FALSE),"ERROR")=B262&amp;"PT","Y","")),"")</f>
        <v/>
      </c>
    </row>
    <row r="263" spans="7:8" ht="18" customHeight="1">
      <c r="G263" s="29" t="str">
        <f>IFERROR(HYPERLINK("#"&amp;ADDRESS(MATCH(B263&amp;"ES",'LM7 Non-ENG'!$A$1:$A$5000,0),1,,,"LM7 Non-ENG"),IF(IFERROR(VLOOKUP(B263&amp;"ES",'LM7 Non-ENG'!$A$1:$A$4999,1,FALSE),"ERROR")=B263&amp;"ES","Y","")),"")</f>
        <v/>
      </c>
      <c r="H263" s="29" t="str">
        <f>IFERROR(HYPERLINK("#"&amp;ADDRESS(MATCH(B263&amp;"PT",'LM7 Non-ENG'!$A$1:$A$5000,0),1,,,"LM7 Non-ENG"),IF(IFERROR(VLOOKUP(B263&amp;"PT",'LM7 Non-ENG'!$A$1:$A$5000,1,FALSE),"ERROR")=B263&amp;"PT","Y","")),"")</f>
        <v/>
      </c>
    </row>
    <row r="264" spans="7:8" ht="18" customHeight="1">
      <c r="G264" s="29" t="str">
        <f>IFERROR(HYPERLINK("#"&amp;ADDRESS(MATCH(B264&amp;"ES",'LM7 Non-ENG'!$A$1:$A$5000,0),1,,,"LM7 Non-ENG"),IF(IFERROR(VLOOKUP(B264&amp;"ES",'LM7 Non-ENG'!$A$1:$A$4999,1,FALSE),"ERROR")=B264&amp;"ES","Y","")),"")</f>
        <v/>
      </c>
      <c r="H264" s="29" t="str">
        <f>IFERROR(HYPERLINK("#"&amp;ADDRESS(MATCH(B264&amp;"PT",'LM7 Non-ENG'!$A$1:$A$5000,0),1,,,"LM7 Non-ENG"),IF(IFERROR(VLOOKUP(B264&amp;"PT",'LM7 Non-ENG'!$A$1:$A$5000,1,FALSE),"ERROR")=B264&amp;"PT","Y","")),"")</f>
        <v/>
      </c>
    </row>
    <row r="265" spans="7:8" ht="18" customHeight="1">
      <c r="G265" s="29" t="str">
        <f>IFERROR(HYPERLINK("#"&amp;ADDRESS(MATCH(B265&amp;"ES",'LM7 Non-ENG'!$A$1:$A$5000,0),1,,,"LM7 Non-ENG"),IF(IFERROR(VLOOKUP(B265&amp;"ES",'LM7 Non-ENG'!$A$1:$A$4999,1,FALSE),"ERROR")=B265&amp;"ES","Y","")),"")</f>
        <v/>
      </c>
      <c r="H265" s="29" t="str">
        <f>IFERROR(HYPERLINK("#"&amp;ADDRESS(MATCH(B265&amp;"PT",'LM7 Non-ENG'!$A$1:$A$5000,0),1,,,"LM7 Non-ENG"),IF(IFERROR(VLOOKUP(B265&amp;"PT",'LM7 Non-ENG'!$A$1:$A$5000,1,FALSE),"ERROR")=B265&amp;"PT","Y","")),"")</f>
        <v/>
      </c>
    </row>
    <row r="266" spans="7:8" ht="18" customHeight="1">
      <c r="G266" s="29" t="str">
        <f>IFERROR(HYPERLINK("#"&amp;ADDRESS(MATCH(B266&amp;"ES",'LM7 Non-ENG'!$A$1:$A$5000,0),1,,,"LM7 Non-ENG"),IF(IFERROR(VLOOKUP(B266&amp;"ES",'LM7 Non-ENG'!$A$1:$A$4999,1,FALSE),"ERROR")=B266&amp;"ES","Y","")),"")</f>
        <v/>
      </c>
      <c r="H266" s="29" t="str">
        <f>IFERROR(HYPERLINK("#"&amp;ADDRESS(MATCH(B266&amp;"PT",'LM7 Non-ENG'!$A$1:$A$5000,0),1,,,"LM7 Non-ENG"),IF(IFERROR(VLOOKUP(B266&amp;"PT",'LM7 Non-ENG'!$A$1:$A$5000,1,FALSE),"ERROR")=B266&amp;"PT","Y","")),"")</f>
        <v/>
      </c>
    </row>
    <row r="267" spans="7:8" ht="18" customHeight="1">
      <c r="G267" s="29" t="str">
        <f>IFERROR(HYPERLINK("#"&amp;ADDRESS(MATCH(B267&amp;"ES",'LM7 Non-ENG'!$A$1:$A$5000,0),1,,,"LM7 Non-ENG"),IF(IFERROR(VLOOKUP(B267&amp;"ES",'LM7 Non-ENG'!$A$1:$A$4999,1,FALSE),"ERROR")=B267&amp;"ES","Y","")),"")</f>
        <v/>
      </c>
      <c r="H267" s="29" t="str">
        <f>IFERROR(HYPERLINK("#"&amp;ADDRESS(MATCH(B267&amp;"PT",'LM7 Non-ENG'!$A$1:$A$5000,0),1,,,"LM7 Non-ENG"),IF(IFERROR(VLOOKUP(B267&amp;"PT",'LM7 Non-ENG'!$A$1:$A$5000,1,FALSE),"ERROR")=B267&amp;"PT","Y","")),"")</f>
        <v/>
      </c>
    </row>
    <row r="268" spans="7:8" ht="18" customHeight="1">
      <c r="G268" s="29" t="str">
        <f>IFERROR(HYPERLINK("#"&amp;ADDRESS(MATCH(B268&amp;"ES",'LM7 Non-ENG'!$A$1:$A$5000,0),1,,,"LM7 Non-ENG"),IF(IFERROR(VLOOKUP(B268&amp;"ES",'LM7 Non-ENG'!$A$1:$A$4999,1,FALSE),"ERROR")=B268&amp;"ES","Y","")),"")</f>
        <v/>
      </c>
      <c r="H268" s="29" t="str">
        <f>IFERROR(HYPERLINK("#"&amp;ADDRESS(MATCH(B268&amp;"PT",'LM7 Non-ENG'!$A$1:$A$5000,0),1,,,"LM7 Non-ENG"),IF(IFERROR(VLOOKUP(B268&amp;"PT",'LM7 Non-ENG'!$A$1:$A$5000,1,FALSE),"ERROR")=B268&amp;"PT","Y","")),"")</f>
        <v/>
      </c>
    </row>
    <row r="269" spans="7:8" ht="18" customHeight="1">
      <c r="G269" s="29" t="str">
        <f>IFERROR(HYPERLINK("#"&amp;ADDRESS(MATCH(B269&amp;"ES",'LM7 Non-ENG'!$A$1:$A$5000,0),1,,,"LM7 Non-ENG"),IF(IFERROR(VLOOKUP(B269&amp;"ES",'LM7 Non-ENG'!$A$1:$A$4999,1,FALSE),"ERROR")=B269&amp;"ES","Y","")),"")</f>
        <v/>
      </c>
      <c r="H269" s="29" t="str">
        <f>IFERROR(HYPERLINK("#"&amp;ADDRESS(MATCH(B269&amp;"PT",'LM7 Non-ENG'!$A$1:$A$5000,0),1,,,"LM7 Non-ENG"),IF(IFERROR(VLOOKUP(B269&amp;"PT",'LM7 Non-ENG'!$A$1:$A$5000,1,FALSE),"ERROR")=B269&amp;"PT","Y","")),"")</f>
        <v/>
      </c>
    </row>
    <row r="270" spans="7:8" ht="18" customHeight="1">
      <c r="G270" s="29" t="str">
        <f>IFERROR(HYPERLINK("#"&amp;ADDRESS(MATCH(B270&amp;"ES",'LM7 Non-ENG'!$A$1:$A$5000,0),1,,,"LM7 Non-ENG"),IF(IFERROR(VLOOKUP(B270&amp;"ES",'LM7 Non-ENG'!$A$1:$A$4999,1,FALSE),"ERROR")=B270&amp;"ES","Y","")),"")</f>
        <v/>
      </c>
      <c r="H270" s="29" t="str">
        <f>IFERROR(HYPERLINK("#"&amp;ADDRESS(MATCH(B270&amp;"PT",'LM7 Non-ENG'!$A$1:$A$5000,0),1,,,"LM7 Non-ENG"),IF(IFERROR(VLOOKUP(B270&amp;"PT",'LM7 Non-ENG'!$A$1:$A$5000,1,FALSE),"ERROR")=B270&amp;"PT","Y","")),"")</f>
        <v/>
      </c>
    </row>
    <row r="271" spans="7:8" ht="18" customHeight="1">
      <c r="G271" s="29" t="str">
        <f>IFERROR(HYPERLINK("#"&amp;ADDRESS(MATCH(B271&amp;"ES",'LM7 Non-ENG'!$A$1:$A$5000,0),1,,,"LM7 Non-ENG"),IF(IFERROR(VLOOKUP(B271&amp;"ES",'LM7 Non-ENG'!$A$1:$A$4999,1,FALSE),"ERROR")=B271&amp;"ES","Y","")),"")</f>
        <v/>
      </c>
      <c r="H271" s="29" t="str">
        <f>IFERROR(HYPERLINK("#"&amp;ADDRESS(MATCH(B271&amp;"PT",'LM7 Non-ENG'!$A$1:$A$5000,0),1,,,"LM7 Non-ENG"),IF(IFERROR(VLOOKUP(B271&amp;"PT",'LM7 Non-ENG'!$A$1:$A$5000,1,FALSE),"ERROR")=B271&amp;"PT","Y","")),"")</f>
        <v/>
      </c>
    </row>
    <row r="272" spans="7:8" ht="18" customHeight="1">
      <c r="G272" s="29" t="str">
        <f>IFERROR(HYPERLINK("#"&amp;ADDRESS(MATCH(B272&amp;"ES",'LM7 Non-ENG'!$A$1:$A$5000,0),1,,,"LM7 Non-ENG"),IF(IFERROR(VLOOKUP(B272&amp;"ES",'LM7 Non-ENG'!$A$1:$A$4999,1,FALSE),"ERROR")=B272&amp;"ES","Y","")),"")</f>
        <v/>
      </c>
      <c r="H272" s="29" t="str">
        <f>IFERROR(HYPERLINK("#"&amp;ADDRESS(MATCH(B272&amp;"PT",'LM7 Non-ENG'!$A$1:$A$5000,0),1,,,"LM7 Non-ENG"),IF(IFERROR(VLOOKUP(B272&amp;"PT",'LM7 Non-ENG'!$A$1:$A$5000,1,FALSE),"ERROR")=B272&amp;"PT","Y","")),"")</f>
        <v/>
      </c>
    </row>
    <row r="273" spans="7:8" ht="18" customHeight="1">
      <c r="G273" s="29" t="str">
        <f>IFERROR(HYPERLINK("#"&amp;ADDRESS(MATCH(B273&amp;"ES",'LM7 Non-ENG'!$A$1:$A$5000,0),1,,,"LM7 Non-ENG"),IF(IFERROR(VLOOKUP(B273&amp;"ES",'LM7 Non-ENG'!$A$1:$A$4999,1,FALSE),"ERROR")=B273&amp;"ES","Y","")),"")</f>
        <v/>
      </c>
      <c r="H273" s="29" t="str">
        <f>IFERROR(HYPERLINK("#"&amp;ADDRESS(MATCH(B273&amp;"PT",'LM7 Non-ENG'!$A$1:$A$5000,0),1,,,"LM7 Non-ENG"),IF(IFERROR(VLOOKUP(B273&amp;"PT",'LM7 Non-ENG'!$A$1:$A$5000,1,FALSE),"ERROR")=B273&amp;"PT","Y","")),"")</f>
        <v/>
      </c>
    </row>
    <row r="274" spans="7:8" ht="18" customHeight="1">
      <c r="G274" s="29" t="str">
        <f>IFERROR(HYPERLINK("#"&amp;ADDRESS(MATCH(B274&amp;"ES",'LM7 Non-ENG'!$A$1:$A$5000,0),1,,,"LM7 Non-ENG"),IF(IFERROR(VLOOKUP(B274&amp;"ES",'LM7 Non-ENG'!$A$1:$A$4999,1,FALSE),"ERROR")=B274&amp;"ES","Y","")),"")</f>
        <v/>
      </c>
      <c r="H274" s="29" t="str">
        <f>IFERROR(HYPERLINK("#"&amp;ADDRESS(MATCH(B274&amp;"PT",'LM7 Non-ENG'!$A$1:$A$5000,0),1,,,"LM7 Non-ENG"),IF(IFERROR(VLOOKUP(B274&amp;"PT",'LM7 Non-ENG'!$A$1:$A$5000,1,FALSE),"ERROR")=B274&amp;"PT","Y","")),"")</f>
        <v/>
      </c>
    </row>
    <row r="275" spans="7:8" ht="18" customHeight="1">
      <c r="G275" s="29" t="str">
        <f>IFERROR(HYPERLINK("#"&amp;ADDRESS(MATCH(B275&amp;"ES",'LM7 Non-ENG'!$A$1:$A$5000,0),1,,,"LM7 Non-ENG"),IF(IFERROR(VLOOKUP(B275&amp;"ES",'LM7 Non-ENG'!$A$1:$A$4999,1,FALSE),"ERROR")=B275&amp;"ES","Y","")),"")</f>
        <v/>
      </c>
      <c r="H275" s="29" t="str">
        <f>IFERROR(HYPERLINK("#"&amp;ADDRESS(MATCH(B275&amp;"PT",'LM7 Non-ENG'!$A$1:$A$5000,0),1,,,"LM7 Non-ENG"),IF(IFERROR(VLOOKUP(B275&amp;"PT",'LM7 Non-ENG'!$A$1:$A$5000,1,FALSE),"ERROR")=B275&amp;"PT","Y","")),"")</f>
        <v/>
      </c>
    </row>
    <row r="276" spans="7:8" ht="18" customHeight="1">
      <c r="G276" s="29" t="str">
        <f>IFERROR(HYPERLINK("#"&amp;ADDRESS(MATCH(B276&amp;"ES",'LM7 Non-ENG'!$A$1:$A$5000,0),1,,,"LM7 Non-ENG"),IF(IFERROR(VLOOKUP(B276&amp;"ES",'LM7 Non-ENG'!$A$1:$A$4999,1,FALSE),"ERROR")=B276&amp;"ES","Y","")),"")</f>
        <v/>
      </c>
      <c r="H276" s="29" t="str">
        <f>IFERROR(HYPERLINK("#"&amp;ADDRESS(MATCH(B276&amp;"PT",'LM7 Non-ENG'!$A$1:$A$5000,0),1,,,"LM7 Non-ENG"),IF(IFERROR(VLOOKUP(B276&amp;"PT",'LM7 Non-ENG'!$A$1:$A$5000,1,FALSE),"ERROR")=B276&amp;"PT","Y","")),"")</f>
        <v/>
      </c>
    </row>
    <row r="277" spans="7:8" ht="18" customHeight="1">
      <c r="G277" s="29" t="str">
        <f>IFERROR(HYPERLINK("#"&amp;ADDRESS(MATCH(B277&amp;"ES",'LM7 Non-ENG'!$A$1:$A$5000,0),1,,,"LM7 Non-ENG"),IF(IFERROR(VLOOKUP(B277&amp;"ES",'LM7 Non-ENG'!$A$1:$A$4999,1,FALSE),"ERROR")=B277&amp;"ES","Y","")),"")</f>
        <v/>
      </c>
      <c r="H277" s="29" t="str">
        <f>IFERROR(HYPERLINK("#"&amp;ADDRESS(MATCH(B277&amp;"PT",'LM7 Non-ENG'!$A$1:$A$5000,0),1,,,"LM7 Non-ENG"),IF(IFERROR(VLOOKUP(B277&amp;"PT",'LM7 Non-ENG'!$A$1:$A$5000,1,FALSE),"ERROR")=B277&amp;"PT","Y","")),"")</f>
        <v/>
      </c>
    </row>
    <row r="278" spans="7:8" ht="18" customHeight="1">
      <c r="G278" s="29" t="str">
        <f>IFERROR(HYPERLINK("#"&amp;ADDRESS(MATCH(B278&amp;"ES",'LM7 Non-ENG'!$A$1:$A$5000,0),1,,,"LM7 Non-ENG"),IF(IFERROR(VLOOKUP(B278&amp;"ES",'LM7 Non-ENG'!$A$1:$A$4999,1,FALSE),"ERROR")=B278&amp;"ES","Y","")),"")</f>
        <v/>
      </c>
      <c r="H278" s="29" t="str">
        <f>IFERROR(HYPERLINK("#"&amp;ADDRESS(MATCH(B278&amp;"PT",'LM7 Non-ENG'!$A$1:$A$5000,0),1,,,"LM7 Non-ENG"),IF(IFERROR(VLOOKUP(B278&amp;"PT",'LM7 Non-ENG'!$A$1:$A$5000,1,FALSE),"ERROR")=B278&amp;"PT","Y","")),"")</f>
        <v/>
      </c>
    </row>
    <row r="279" spans="7:8" ht="18" customHeight="1">
      <c r="G279" s="29" t="str">
        <f>IFERROR(HYPERLINK("#"&amp;ADDRESS(MATCH(B279&amp;"ES",'LM7 Non-ENG'!$A$1:$A$5000,0),1,,,"LM7 Non-ENG"),IF(IFERROR(VLOOKUP(B279&amp;"ES",'LM7 Non-ENG'!$A$1:$A$4999,1,FALSE),"ERROR")=B279&amp;"ES","Y","")),"")</f>
        <v/>
      </c>
      <c r="H279" s="29" t="str">
        <f>IFERROR(HYPERLINK("#"&amp;ADDRESS(MATCH(B279&amp;"PT",'LM7 Non-ENG'!$A$1:$A$5000,0),1,,,"LM7 Non-ENG"),IF(IFERROR(VLOOKUP(B279&amp;"PT",'LM7 Non-ENG'!$A$1:$A$5000,1,FALSE),"ERROR")=B279&amp;"PT","Y","")),"")</f>
        <v/>
      </c>
    </row>
    <row r="280" spans="7:8" ht="18" customHeight="1">
      <c r="G280" s="29" t="str">
        <f>IFERROR(HYPERLINK("#"&amp;ADDRESS(MATCH(B280&amp;"ES",'LM7 Non-ENG'!$A$1:$A$5000,0),1,,,"LM7 Non-ENG"),IF(IFERROR(VLOOKUP(B280&amp;"ES",'LM7 Non-ENG'!$A$1:$A$4999,1,FALSE),"ERROR")=B280&amp;"ES","Y","")),"")</f>
        <v/>
      </c>
      <c r="H280" s="29" t="str">
        <f>IFERROR(HYPERLINK("#"&amp;ADDRESS(MATCH(B280&amp;"PT",'LM7 Non-ENG'!$A$1:$A$5000,0),1,,,"LM7 Non-ENG"),IF(IFERROR(VLOOKUP(B280&amp;"PT",'LM7 Non-ENG'!$A$1:$A$5000,1,FALSE),"ERROR")=B280&amp;"PT","Y","")),"")</f>
        <v/>
      </c>
    </row>
    <row r="281" spans="7:8" ht="18" customHeight="1">
      <c r="G281" s="29" t="str">
        <f>IFERROR(HYPERLINK("#"&amp;ADDRESS(MATCH(B281&amp;"ES",'LM7 Non-ENG'!$A$1:$A$5000,0),1,,,"LM7 Non-ENG"),IF(IFERROR(VLOOKUP(B281&amp;"ES",'LM7 Non-ENG'!$A$1:$A$4999,1,FALSE),"ERROR")=B281&amp;"ES","Y","")),"")</f>
        <v/>
      </c>
      <c r="H281" s="29" t="str">
        <f>IFERROR(HYPERLINK("#"&amp;ADDRESS(MATCH(B281&amp;"PT",'LM7 Non-ENG'!$A$1:$A$5000,0),1,,,"LM7 Non-ENG"),IF(IFERROR(VLOOKUP(B281&amp;"PT",'LM7 Non-ENG'!$A$1:$A$5000,1,FALSE),"ERROR")=B281&amp;"PT","Y","")),"")</f>
        <v/>
      </c>
    </row>
    <row r="282" spans="7:8" ht="18" customHeight="1">
      <c r="G282" s="29" t="str">
        <f>IFERROR(HYPERLINK("#"&amp;ADDRESS(MATCH(B282&amp;"ES",'LM7 Non-ENG'!$A$1:$A$5000,0),1,,,"LM7 Non-ENG"),IF(IFERROR(VLOOKUP(B282&amp;"ES",'LM7 Non-ENG'!$A$1:$A$4999,1,FALSE),"ERROR")=B282&amp;"ES","Y","")),"")</f>
        <v/>
      </c>
      <c r="H282" s="29" t="str">
        <f>IFERROR(HYPERLINK("#"&amp;ADDRESS(MATCH(B282&amp;"PT",'LM7 Non-ENG'!$A$1:$A$5000,0),1,,,"LM7 Non-ENG"),IF(IFERROR(VLOOKUP(B282&amp;"PT",'LM7 Non-ENG'!$A$1:$A$5000,1,FALSE),"ERROR")=B282&amp;"PT","Y","")),"")</f>
        <v/>
      </c>
    </row>
    <row r="283" spans="7:8" ht="18" customHeight="1">
      <c r="G283" s="29" t="str">
        <f>IFERROR(HYPERLINK("#"&amp;ADDRESS(MATCH(B283&amp;"ES",'LM7 Non-ENG'!$A$1:$A$5000,0),1,,,"LM7 Non-ENG"),IF(IFERROR(VLOOKUP(B283&amp;"ES",'LM7 Non-ENG'!$A$1:$A$4999,1,FALSE),"ERROR")=B283&amp;"ES","Y","")),"")</f>
        <v/>
      </c>
      <c r="H283" s="29" t="str">
        <f>IFERROR(HYPERLINK("#"&amp;ADDRESS(MATCH(B283&amp;"PT",'LM7 Non-ENG'!$A$1:$A$5000,0),1,,,"LM7 Non-ENG"),IF(IFERROR(VLOOKUP(B283&amp;"PT",'LM7 Non-ENG'!$A$1:$A$5000,1,FALSE),"ERROR")=B283&amp;"PT","Y","")),"")</f>
        <v/>
      </c>
    </row>
    <row r="284" spans="7:8" ht="18" customHeight="1">
      <c r="G284" s="29" t="str">
        <f>IFERROR(HYPERLINK("#"&amp;ADDRESS(MATCH(B284&amp;"ES",'LM7 Non-ENG'!$A$1:$A$5000,0),1,,,"LM7 Non-ENG"),IF(IFERROR(VLOOKUP(B284&amp;"ES",'LM7 Non-ENG'!$A$1:$A$4999,1,FALSE),"ERROR")=B284&amp;"ES","Y","")),"")</f>
        <v/>
      </c>
      <c r="H284" s="29" t="str">
        <f>IFERROR(HYPERLINK("#"&amp;ADDRESS(MATCH(B284&amp;"PT",'LM7 Non-ENG'!$A$1:$A$5000,0),1,,,"LM7 Non-ENG"),IF(IFERROR(VLOOKUP(B284&amp;"PT",'LM7 Non-ENG'!$A$1:$A$5000,1,FALSE),"ERROR")=B284&amp;"PT","Y","")),"")</f>
        <v/>
      </c>
    </row>
    <row r="285" spans="7:8" ht="18" customHeight="1">
      <c r="G285" s="29" t="str">
        <f>IFERROR(HYPERLINK("#"&amp;ADDRESS(MATCH(B285&amp;"ES",'LM7 Non-ENG'!$A$1:$A$5000,0),1,,,"LM7 Non-ENG"),IF(IFERROR(VLOOKUP(B285&amp;"ES",'LM7 Non-ENG'!$A$1:$A$4999,1,FALSE),"ERROR")=B285&amp;"ES","Y","")),"")</f>
        <v/>
      </c>
      <c r="H285" s="29" t="str">
        <f>IFERROR(HYPERLINK("#"&amp;ADDRESS(MATCH(B285&amp;"PT",'LM7 Non-ENG'!$A$1:$A$5000,0),1,,,"LM7 Non-ENG"),IF(IFERROR(VLOOKUP(B285&amp;"PT",'LM7 Non-ENG'!$A$1:$A$5000,1,FALSE),"ERROR")=B285&amp;"PT","Y","")),"")</f>
        <v/>
      </c>
    </row>
    <row r="286" spans="7:8" ht="18" customHeight="1">
      <c r="G286" s="29" t="str">
        <f>IFERROR(HYPERLINK("#"&amp;ADDRESS(MATCH(B286&amp;"ES",'LM7 Non-ENG'!$A$1:$A$5000,0),1,,,"LM7 Non-ENG"),IF(IFERROR(VLOOKUP(B286&amp;"ES",'LM7 Non-ENG'!$A$1:$A$4999,1,FALSE),"ERROR")=B286&amp;"ES","Y","")),"")</f>
        <v/>
      </c>
      <c r="H286" s="29" t="str">
        <f>IFERROR(HYPERLINK("#"&amp;ADDRESS(MATCH(B286&amp;"PT",'LM7 Non-ENG'!$A$1:$A$5000,0),1,,,"LM7 Non-ENG"),IF(IFERROR(VLOOKUP(B286&amp;"PT",'LM7 Non-ENG'!$A$1:$A$5000,1,FALSE),"ERROR")=B286&amp;"PT","Y","")),"")</f>
        <v/>
      </c>
    </row>
    <row r="287" spans="7:8" ht="18" customHeight="1">
      <c r="G287" s="29" t="str">
        <f>IFERROR(HYPERLINK("#"&amp;ADDRESS(MATCH(B287&amp;"ES",'LM7 Non-ENG'!$A$1:$A$5000,0),1,,,"LM7 Non-ENG"),IF(IFERROR(VLOOKUP(B287&amp;"ES",'LM7 Non-ENG'!$A$1:$A$4999,1,FALSE),"ERROR")=B287&amp;"ES","Y","")),"")</f>
        <v/>
      </c>
      <c r="H287" s="29" t="str">
        <f>IFERROR(HYPERLINK("#"&amp;ADDRESS(MATCH(B287&amp;"PT",'LM7 Non-ENG'!$A$1:$A$5000,0),1,,,"LM7 Non-ENG"),IF(IFERROR(VLOOKUP(B287&amp;"PT",'LM7 Non-ENG'!$A$1:$A$5000,1,FALSE),"ERROR")=B287&amp;"PT","Y","")),"")</f>
        <v/>
      </c>
    </row>
    <row r="288" spans="7:8" ht="18" customHeight="1">
      <c r="G288" s="29" t="str">
        <f>IFERROR(HYPERLINK("#"&amp;ADDRESS(MATCH(B288&amp;"ES",'LM7 Non-ENG'!$A$1:$A$5000,0),1,,,"LM7 Non-ENG"),IF(IFERROR(VLOOKUP(B288&amp;"ES",'LM7 Non-ENG'!$A$1:$A$4999,1,FALSE),"ERROR")=B288&amp;"ES","Y","")),"")</f>
        <v/>
      </c>
      <c r="H288" s="29" t="str">
        <f>IFERROR(HYPERLINK("#"&amp;ADDRESS(MATCH(B288&amp;"PT",'LM7 Non-ENG'!$A$1:$A$5000,0),1,,,"LM7 Non-ENG"),IF(IFERROR(VLOOKUP(B288&amp;"PT",'LM7 Non-ENG'!$A$1:$A$5000,1,FALSE),"ERROR")=B288&amp;"PT","Y","")),"")</f>
        <v/>
      </c>
    </row>
    <row r="289" spans="7:8" ht="18" customHeight="1">
      <c r="G289" s="29" t="str">
        <f>IFERROR(HYPERLINK("#"&amp;ADDRESS(MATCH(B289&amp;"ES",'LM7 Non-ENG'!$A$1:$A$5000,0),1,,,"LM7 Non-ENG"),IF(IFERROR(VLOOKUP(B289&amp;"ES",'LM7 Non-ENG'!$A$1:$A$4999,1,FALSE),"ERROR")=B289&amp;"ES","Y","")),"")</f>
        <v/>
      </c>
      <c r="H289" s="29" t="str">
        <f>IFERROR(HYPERLINK("#"&amp;ADDRESS(MATCH(B289&amp;"PT",'LM7 Non-ENG'!$A$1:$A$5000,0),1,,,"LM7 Non-ENG"),IF(IFERROR(VLOOKUP(B289&amp;"PT",'LM7 Non-ENG'!$A$1:$A$5000,1,FALSE),"ERROR")=B289&amp;"PT","Y","")),"")</f>
        <v/>
      </c>
    </row>
    <row r="290" spans="7:8" ht="18" customHeight="1">
      <c r="G290" s="29" t="str">
        <f>IFERROR(HYPERLINK("#"&amp;ADDRESS(MATCH(B290&amp;"ES",'LM7 Non-ENG'!$A$1:$A$5000,0),1,,,"LM7 Non-ENG"),IF(IFERROR(VLOOKUP(B290&amp;"ES",'LM7 Non-ENG'!$A$1:$A$4999,1,FALSE),"ERROR")=B290&amp;"ES","Y","")),"")</f>
        <v/>
      </c>
      <c r="H290" s="29" t="str">
        <f>IFERROR(HYPERLINK("#"&amp;ADDRESS(MATCH(B290&amp;"PT",'LM7 Non-ENG'!$A$1:$A$5000,0),1,,,"LM7 Non-ENG"),IF(IFERROR(VLOOKUP(B290&amp;"PT",'LM7 Non-ENG'!$A$1:$A$5000,1,FALSE),"ERROR")=B290&amp;"PT","Y","")),"")</f>
        <v/>
      </c>
    </row>
    <row r="291" spans="7:8" ht="18" customHeight="1">
      <c r="G291" s="29" t="str">
        <f>IFERROR(HYPERLINK("#"&amp;ADDRESS(MATCH(B291&amp;"ES",'LM7 Non-ENG'!$A$1:$A$5000,0),1,,,"LM7 Non-ENG"),IF(IFERROR(VLOOKUP(B291&amp;"ES",'LM7 Non-ENG'!$A$1:$A$4999,1,FALSE),"ERROR")=B291&amp;"ES","Y","")),"")</f>
        <v/>
      </c>
      <c r="H291" s="29" t="str">
        <f>IFERROR(HYPERLINK("#"&amp;ADDRESS(MATCH(B291&amp;"PT",'LM7 Non-ENG'!$A$1:$A$5000,0),1,,,"LM7 Non-ENG"),IF(IFERROR(VLOOKUP(B291&amp;"PT",'LM7 Non-ENG'!$A$1:$A$5000,1,FALSE),"ERROR")=B291&amp;"PT","Y","")),"")</f>
        <v/>
      </c>
    </row>
    <row r="292" spans="7:8" ht="18" customHeight="1">
      <c r="G292" s="29" t="str">
        <f>IFERROR(HYPERLINK("#"&amp;ADDRESS(MATCH(B292&amp;"ES",'LM7 Non-ENG'!$A$1:$A$5000,0),1,,,"LM7 Non-ENG"),IF(IFERROR(VLOOKUP(B292&amp;"ES",'LM7 Non-ENG'!$A$1:$A$4999,1,FALSE),"ERROR")=B292&amp;"ES","Y","")),"")</f>
        <v/>
      </c>
      <c r="H292" s="29" t="str">
        <f>IFERROR(HYPERLINK("#"&amp;ADDRESS(MATCH(B292&amp;"PT",'LM7 Non-ENG'!$A$1:$A$5000,0),1,,,"LM7 Non-ENG"),IF(IFERROR(VLOOKUP(B292&amp;"PT",'LM7 Non-ENG'!$A$1:$A$5000,1,FALSE),"ERROR")=B292&amp;"PT","Y","")),"")</f>
        <v/>
      </c>
    </row>
    <row r="293" spans="7:8" ht="18" customHeight="1">
      <c r="G293" s="29" t="str">
        <f>IFERROR(HYPERLINK("#"&amp;ADDRESS(MATCH(B293&amp;"ES",'LM7 Non-ENG'!$A$1:$A$5000,0),1,,,"LM7 Non-ENG"),IF(IFERROR(VLOOKUP(B293&amp;"ES",'LM7 Non-ENG'!$A$1:$A$4999,1,FALSE),"ERROR")=B293&amp;"ES","Y","")),"")</f>
        <v/>
      </c>
      <c r="H293" s="29" t="str">
        <f>IFERROR(HYPERLINK("#"&amp;ADDRESS(MATCH(B293&amp;"PT",'LM7 Non-ENG'!$A$1:$A$5000,0),1,,,"LM7 Non-ENG"),IF(IFERROR(VLOOKUP(B293&amp;"PT",'LM7 Non-ENG'!$A$1:$A$5000,1,FALSE),"ERROR")=B293&amp;"PT","Y","")),"")</f>
        <v/>
      </c>
    </row>
    <row r="294" spans="7:8" ht="18" customHeight="1">
      <c r="G294" s="29" t="str">
        <f>IFERROR(HYPERLINK("#"&amp;ADDRESS(MATCH(B294&amp;"ES",'LM7 Non-ENG'!$A$1:$A$5000,0),1,,,"LM7 Non-ENG"),IF(IFERROR(VLOOKUP(B294&amp;"ES",'LM7 Non-ENG'!$A$1:$A$4999,1,FALSE),"ERROR")=B294&amp;"ES","Y","")),"")</f>
        <v/>
      </c>
      <c r="H294" s="29" t="str">
        <f>IFERROR(HYPERLINK("#"&amp;ADDRESS(MATCH(B294&amp;"PT",'LM7 Non-ENG'!$A$1:$A$5000,0),1,,,"LM7 Non-ENG"),IF(IFERROR(VLOOKUP(B294&amp;"PT",'LM7 Non-ENG'!$A$1:$A$5000,1,FALSE),"ERROR")=B294&amp;"PT","Y","")),"")</f>
        <v/>
      </c>
    </row>
    <row r="295" spans="7:8" ht="18" customHeight="1">
      <c r="G295" s="29" t="str">
        <f>IFERROR(HYPERLINK("#"&amp;ADDRESS(MATCH(B295&amp;"ES",'LM7 Non-ENG'!$A$1:$A$5000,0),1,,,"LM7 Non-ENG"),IF(IFERROR(VLOOKUP(B295&amp;"ES",'LM7 Non-ENG'!$A$1:$A$4999,1,FALSE),"ERROR")=B295&amp;"ES","Y","")),"")</f>
        <v/>
      </c>
      <c r="H295" s="29" t="str">
        <f>IFERROR(HYPERLINK("#"&amp;ADDRESS(MATCH(B295&amp;"PT",'LM7 Non-ENG'!$A$1:$A$5000,0),1,,,"LM7 Non-ENG"),IF(IFERROR(VLOOKUP(B295&amp;"PT",'LM7 Non-ENG'!$A$1:$A$5000,1,FALSE),"ERROR")=B295&amp;"PT","Y","")),"")</f>
        <v/>
      </c>
    </row>
    <row r="296" spans="7:8" ht="18" customHeight="1">
      <c r="G296" s="29" t="str">
        <f>IFERROR(HYPERLINK("#"&amp;ADDRESS(MATCH(B296&amp;"ES",'LM7 Non-ENG'!$A$1:$A$5000,0),1,,,"LM7 Non-ENG"),IF(IFERROR(VLOOKUP(B296&amp;"ES",'LM7 Non-ENG'!$A$1:$A$4999,1,FALSE),"ERROR")=B296&amp;"ES","Y","")),"")</f>
        <v/>
      </c>
      <c r="H296" s="29" t="str">
        <f>IFERROR(HYPERLINK("#"&amp;ADDRESS(MATCH(B296&amp;"PT",'LM7 Non-ENG'!$A$1:$A$5000,0),1,,,"LM7 Non-ENG"),IF(IFERROR(VLOOKUP(B296&amp;"PT",'LM7 Non-ENG'!$A$1:$A$5000,1,FALSE),"ERROR")=B296&amp;"PT","Y","")),"")</f>
        <v/>
      </c>
    </row>
    <row r="297" spans="7:8" ht="18" customHeight="1">
      <c r="G297" s="29" t="str">
        <f>IFERROR(HYPERLINK("#"&amp;ADDRESS(MATCH(B297&amp;"ES",'LM7 Non-ENG'!$A$1:$A$5000,0),1,,,"LM7 Non-ENG"),IF(IFERROR(VLOOKUP(B297&amp;"ES",'LM7 Non-ENG'!$A$1:$A$4999,1,FALSE),"ERROR")=B297&amp;"ES","Y","")),"")</f>
        <v/>
      </c>
      <c r="H297" s="29" t="str">
        <f>IFERROR(HYPERLINK("#"&amp;ADDRESS(MATCH(B297&amp;"PT",'LM7 Non-ENG'!$A$1:$A$5000,0),1,,,"LM7 Non-ENG"),IF(IFERROR(VLOOKUP(B297&amp;"PT",'LM7 Non-ENG'!$A$1:$A$5000,1,FALSE),"ERROR")=B297&amp;"PT","Y","")),"")</f>
        <v/>
      </c>
    </row>
    <row r="298" spans="7:8" ht="18" customHeight="1">
      <c r="G298" s="29" t="str">
        <f>IFERROR(HYPERLINK("#"&amp;ADDRESS(MATCH(B298&amp;"ES",'LM7 Non-ENG'!$A$1:$A$5000,0),1,,,"LM7 Non-ENG"),IF(IFERROR(VLOOKUP(B298&amp;"ES",'LM7 Non-ENG'!$A$1:$A$4999,1,FALSE),"ERROR")=B298&amp;"ES","Y","")),"")</f>
        <v/>
      </c>
      <c r="H298" s="29" t="str">
        <f>IFERROR(HYPERLINK("#"&amp;ADDRESS(MATCH(B298&amp;"PT",'LM7 Non-ENG'!$A$1:$A$5000,0),1,,,"LM7 Non-ENG"),IF(IFERROR(VLOOKUP(B298&amp;"PT",'LM7 Non-ENG'!$A$1:$A$5000,1,FALSE),"ERROR")=B298&amp;"PT","Y","")),"")</f>
        <v/>
      </c>
    </row>
    <row r="299" spans="7:8" ht="18" customHeight="1">
      <c r="G299" s="29" t="str">
        <f>IFERROR(HYPERLINK("#"&amp;ADDRESS(MATCH(B299&amp;"ES",'LM7 Non-ENG'!$A$1:$A$5000,0),1,,,"LM7 Non-ENG"),IF(IFERROR(VLOOKUP(B299&amp;"ES",'LM7 Non-ENG'!$A$1:$A$4999,1,FALSE),"ERROR")=B299&amp;"ES","Y","")),"")</f>
        <v/>
      </c>
      <c r="H299" s="29" t="str">
        <f>IFERROR(HYPERLINK("#"&amp;ADDRESS(MATCH(B299&amp;"PT",'LM7 Non-ENG'!$A$1:$A$5000,0),1,,,"LM7 Non-ENG"),IF(IFERROR(VLOOKUP(B299&amp;"PT",'LM7 Non-ENG'!$A$1:$A$5000,1,FALSE),"ERROR")=B299&amp;"PT","Y","")),"")</f>
        <v/>
      </c>
    </row>
    <row r="300" spans="7:8" ht="18" customHeight="1">
      <c r="G300" s="29" t="str">
        <f>IFERROR(HYPERLINK("#"&amp;ADDRESS(MATCH(B300&amp;"ES",'LM7 Non-ENG'!$A$1:$A$5000,0),1,,,"LM7 Non-ENG"),IF(IFERROR(VLOOKUP(B300&amp;"ES",'LM7 Non-ENG'!$A$1:$A$4999,1,FALSE),"ERROR")=B300&amp;"ES","Y","")),"")</f>
        <v/>
      </c>
      <c r="H300" s="29" t="str">
        <f>IFERROR(HYPERLINK("#"&amp;ADDRESS(MATCH(B300&amp;"PT",'LM7 Non-ENG'!$A$1:$A$5000,0),1,,,"LM7 Non-ENG"),IF(IFERROR(VLOOKUP(B300&amp;"PT",'LM7 Non-ENG'!$A$1:$A$5000,1,FALSE),"ERROR")=B300&amp;"PT","Y","")),"")</f>
        <v/>
      </c>
    </row>
    <row r="301" spans="7:8" ht="18" customHeight="1">
      <c r="G301" s="29" t="str">
        <f>IFERROR(HYPERLINK("#"&amp;ADDRESS(MATCH(B301&amp;"ES",'LM7 Non-ENG'!$A$1:$A$5000,0),1,,,"LM7 Non-ENG"),IF(IFERROR(VLOOKUP(B301&amp;"ES",'LM7 Non-ENG'!$A$1:$A$4999,1,FALSE),"ERROR")=B301&amp;"ES","Y","")),"")</f>
        <v/>
      </c>
      <c r="H301" s="29" t="str">
        <f>IFERROR(HYPERLINK("#"&amp;ADDRESS(MATCH(B301&amp;"PT",'LM7 Non-ENG'!$A$1:$A$5000,0),1,,,"LM7 Non-ENG"),IF(IFERROR(VLOOKUP(B301&amp;"PT",'LM7 Non-ENG'!$A$1:$A$5000,1,FALSE),"ERROR")=B301&amp;"PT","Y","")),"")</f>
        <v/>
      </c>
    </row>
    <row r="302" spans="7:8" ht="18" customHeight="1">
      <c r="G302" s="29" t="str">
        <f>IFERROR(HYPERLINK("#"&amp;ADDRESS(MATCH(B302&amp;"ES",'LM7 Non-ENG'!$A$1:$A$5000,0),1,,,"LM7 Non-ENG"),IF(IFERROR(VLOOKUP(B302&amp;"ES",'LM7 Non-ENG'!$A$1:$A$4999,1,FALSE),"ERROR")=B302&amp;"ES","Y","")),"")</f>
        <v/>
      </c>
      <c r="H302" s="29" t="str">
        <f>IFERROR(HYPERLINK("#"&amp;ADDRESS(MATCH(B302&amp;"PT",'LM7 Non-ENG'!$A$1:$A$5000,0),1,,,"LM7 Non-ENG"),IF(IFERROR(VLOOKUP(B302&amp;"PT",'LM7 Non-ENG'!$A$1:$A$5000,1,FALSE),"ERROR")=B302&amp;"PT","Y","")),"")</f>
        <v/>
      </c>
    </row>
    <row r="303" spans="7:8" ht="18" customHeight="1">
      <c r="G303" s="29" t="str">
        <f>IFERROR(HYPERLINK("#"&amp;ADDRESS(MATCH(B303&amp;"ES",'LM7 Non-ENG'!$A$1:$A$5000,0),1,,,"LM7 Non-ENG"),IF(IFERROR(VLOOKUP(B303&amp;"ES",'LM7 Non-ENG'!$A$1:$A$4999,1,FALSE),"ERROR")=B303&amp;"ES","Y","")),"")</f>
        <v/>
      </c>
      <c r="H303" s="29" t="str">
        <f>IFERROR(HYPERLINK("#"&amp;ADDRESS(MATCH(B303&amp;"PT",'LM7 Non-ENG'!$A$1:$A$5000,0),1,,,"LM7 Non-ENG"),IF(IFERROR(VLOOKUP(B303&amp;"PT",'LM7 Non-ENG'!$A$1:$A$5000,1,FALSE),"ERROR")=B303&amp;"PT","Y","")),"")</f>
        <v/>
      </c>
    </row>
    <row r="304" spans="7:8" ht="18" customHeight="1">
      <c r="G304" s="29" t="str">
        <f>IFERROR(HYPERLINK("#"&amp;ADDRESS(MATCH(B304&amp;"ES",'LM7 Non-ENG'!$A$1:$A$5000,0),1,,,"LM7 Non-ENG"),IF(IFERROR(VLOOKUP(B304&amp;"ES",'LM7 Non-ENG'!$A$1:$A$4999,1,FALSE),"ERROR")=B304&amp;"ES","Y","")),"")</f>
        <v/>
      </c>
      <c r="H304" s="29" t="str">
        <f>IFERROR(HYPERLINK("#"&amp;ADDRESS(MATCH(B304&amp;"PT",'LM7 Non-ENG'!$A$1:$A$5000,0),1,,,"LM7 Non-ENG"),IF(IFERROR(VLOOKUP(B304&amp;"PT",'LM7 Non-ENG'!$A$1:$A$5000,1,FALSE),"ERROR")=B304&amp;"PT","Y","")),"")</f>
        <v/>
      </c>
    </row>
    <row r="305" spans="7:8" ht="18" customHeight="1">
      <c r="G305" s="29" t="str">
        <f>IFERROR(HYPERLINK("#"&amp;ADDRESS(MATCH(B305&amp;"ES",'LM7 Non-ENG'!$A$1:$A$5000,0),1,,,"LM7 Non-ENG"),IF(IFERROR(VLOOKUP(B305&amp;"ES",'LM7 Non-ENG'!$A$1:$A$4999,1,FALSE),"ERROR")=B305&amp;"ES","Y","")),"")</f>
        <v/>
      </c>
      <c r="H305" s="29" t="str">
        <f>IFERROR(HYPERLINK("#"&amp;ADDRESS(MATCH(B305&amp;"PT",'LM7 Non-ENG'!$A$1:$A$5000,0),1,,,"LM7 Non-ENG"),IF(IFERROR(VLOOKUP(B305&amp;"PT",'LM7 Non-ENG'!$A$1:$A$5000,1,FALSE),"ERROR")=B305&amp;"PT","Y","")),"")</f>
        <v/>
      </c>
    </row>
    <row r="306" spans="7:8" ht="18" customHeight="1">
      <c r="G306" s="29" t="str">
        <f>IFERROR(HYPERLINK("#"&amp;ADDRESS(MATCH(B306&amp;"ES",'LM7 Non-ENG'!$A$1:$A$5000,0),1,,,"LM7 Non-ENG"),IF(IFERROR(VLOOKUP(B306&amp;"ES",'LM7 Non-ENG'!$A$1:$A$4999,1,FALSE),"ERROR")=B306&amp;"ES","Y","")),"")</f>
        <v/>
      </c>
      <c r="H306" s="29" t="str">
        <f>IFERROR(HYPERLINK("#"&amp;ADDRESS(MATCH(B306&amp;"PT",'LM7 Non-ENG'!$A$1:$A$5000,0),1,,,"LM7 Non-ENG"),IF(IFERROR(VLOOKUP(B306&amp;"PT",'LM7 Non-ENG'!$A$1:$A$5000,1,FALSE),"ERROR")=B306&amp;"PT","Y","")),"")</f>
        <v/>
      </c>
    </row>
    <row r="307" spans="7:8" ht="18" customHeight="1">
      <c r="G307" s="29" t="str">
        <f>IFERROR(HYPERLINK("#"&amp;ADDRESS(MATCH(B307&amp;"ES",'LM7 Non-ENG'!$A$1:$A$5000,0),1,,,"LM7 Non-ENG"),IF(IFERROR(VLOOKUP(B307&amp;"ES",'LM7 Non-ENG'!$A$1:$A$4999,1,FALSE),"ERROR")=B307&amp;"ES","Y","")),"")</f>
        <v/>
      </c>
      <c r="H307" s="29" t="str">
        <f>IFERROR(HYPERLINK("#"&amp;ADDRESS(MATCH(B307&amp;"PT",'LM7 Non-ENG'!$A$1:$A$5000,0),1,,,"LM7 Non-ENG"),IF(IFERROR(VLOOKUP(B307&amp;"PT",'LM7 Non-ENG'!$A$1:$A$5000,1,FALSE),"ERROR")=B307&amp;"PT","Y","")),"")</f>
        <v/>
      </c>
    </row>
    <row r="308" spans="7:8" ht="18" customHeight="1">
      <c r="G308" s="29" t="str">
        <f>IFERROR(HYPERLINK("#"&amp;ADDRESS(MATCH(B308&amp;"ES",'LM7 Non-ENG'!$A$1:$A$5000,0),1,,,"LM7 Non-ENG"),IF(IFERROR(VLOOKUP(B308&amp;"ES",'LM7 Non-ENG'!$A$1:$A$4999,1,FALSE),"ERROR")=B308&amp;"ES","Y","")),"")</f>
        <v/>
      </c>
      <c r="H308" s="29" t="str">
        <f>IFERROR(HYPERLINK("#"&amp;ADDRESS(MATCH(B308&amp;"PT",'LM7 Non-ENG'!$A$1:$A$5000,0),1,,,"LM7 Non-ENG"),IF(IFERROR(VLOOKUP(B308&amp;"PT",'LM7 Non-ENG'!$A$1:$A$5000,1,FALSE),"ERROR")=B308&amp;"PT","Y","")),"")</f>
        <v/>
      </c>
    </row>
    <row r="309" spans="7:8" ht="18" customHeight="1">
      <c r="G309" s="29" t="str">
        <f>IFERROR(HYPERLINK("#"&amp;ADDRESS(MATCH(B309&amp;"ES",'LM7 Non-ENG'!$A$1:$A$5000,0),1,,,"LM7 Non-ENG"),IF(IFERROR(VLOOKUP(B309&amp;"ES",'LM7 Non-ENG'!$A$1:$A$4999,1,FALSE),"ERROR")=B309&amp;"ES","Y","")),"")</f>
        <v/>
      </c>
      <c r="H309" s="29" t="str">
        <f>IFERROR(HYPERLINK("#"&amp;ADDRESS(MATCH(B309&amp;"PT",'LM7 Non-ENG'!$A$1:$A$5000,0),1,,,"LM7 Non-ENG"),IF(IFERROR(VLOOKUP(B309&amp;"PT",'LM7 Non-ENG'!$A$1:$A$5000,1,FALSE),"ERROR")=B309&amp;"PT","Y","")),"")</f>
        <v/>
      </c>
    </row>
    <row r="310" spans="7:8" ht="18" customHeight="1">
      <c r="G310" s="29" t="str">
        <f>IFERROR(HYPERLINK("#"&amp;ADDRESS(MATCH(B310&amp;"ES",'LM7 Non-ENG'!$A$1:$A$5000,0),1,,,"LM7 Non-ENG"),IF(IFERROR(VLOOKUP(B310&amp;"ES",'LM7 Non-ENG'!$A$1:$A$4999,1,FALSE),"ERROR")=B310&amp;"ES","Y","")),"")</f>
        <v/>
      </c>
      <c r="H310" s="29" t="str">
        <f>IFERROR(HYPERLINK("#"&amp;ADDRESS(MATCH(B310&amp;"PT",'LM7 Non-ENG'!$A$1:$A$5000,0),1,,,"LM7 Non-ENG"),IF(IFERROR(VLOOKUP(B310&amp;"PT",'LM7 Non-ENG'!$A$1:$A$5000,1,FALSE),"ERROR")=B310&amp;"PT","Y","")),"")</f>
        <v/>
      </c>
    </row>
    <row r="311" spans="7:8" ht="18" customHeight="1">
      <c r="G311" s="29" t="str">
        <f>IFERROR(HYPERLINK("#"&amp;ADDRESS(MATCH(B311&amp;"ES",'LM7 Non-ENG'!$A$1:$A$5000,0),1,,,"LM7 Non-ENG"),IF(IFERROR(VLOOKUP(B311&amp;"ES",'LM7 Non-ENG'!$A$1:$A$4999,1,FALSE),"ERROR")=B311&amp;"ES","Y","")),"")</f>
        <v/>
      </c>
      <c r="H311" s="29" t="str">
        <f>IFERROR(HYPERLINK("#"&amp;ADDRESS(MATCH(B311&amp;"PT",'LM7 Non-ENG'!$A$1:$A$5000,0),1,,,"LM7 Non-ENG"),IF(IFERROR(VLOOKUP(B311&amp;"PT",'LM7 Non-ENG'!$A$1:$A$5000,1,FALSE),"ERROR")=B311&amp;"PT","Y","")),"")</f>
        <v/>
      </c>
    </row>
    <row r="312" spans="7:8" ht="18" customHeight="1">
      <c r="G312" s="29" t="str">
        <f>IFERROR(HYPERLINK("#"&amp;ADDRESS(MATCH(B312&amp;"ES",'LM7 Non-ENG'!$A$1:$A$5000,0),1,,,"LM7 Non-ENG"),IF(IFERROR(VLOOKUP(B312&amp;"ES",'LM7 Non-ENG'!$A$1:$A$4999,1,FALSE),"ERROR")=B312&amp;"ES","Y","")),"")</f>
        <v/>
      </c>
      <c r="H312" s="29" t="str">
        <f>IFERROR(HYPERLINK("#"&amp;ADDRESS(MATCH(B312&amp;"PT",'LM7 Non-ENG'!$A$1:$A$5000,0),1,,,"LM7 Non-ENG"),IF(IFERROR(VLOOKUP(B312&amp;"PT",'LM7 Non-ENG'!$A$1:$A$5000,1,FALSE),"ERROR")=B312&amp;"PT","Y","")),"")</f>
        <v/>
      </c>
    </row>
    <row r="313" spans="7:8" ht="18" customHeight="1">
      <c r="G313" s="29" t="str">
        <f>IFERROR(HYPERLINK("#"&amp;ADDRESS(MATCH(B313&amp;"ES",'LM7 Non-ENG'!$A$1:$A$5000,0),1,,,"LM7 Non-ENG"),IF(IFERROR(VLOOKUP(B313&amp;"ES",'LM7 Non-ENG'!$A$1:$A$4999,1,FALSE),"ERROR")=B313&amp;"ES","Y","")),"")</f>
        <v/>
      </c>
      <c r="H313" s="29" t="str">
        <f>IFERROR(HYPERLINK("#"&amp;ADDRESS(MATCH(B313&amp;"PT",'LM7 Non-ENG'!$A$1:$A$5000,0),1,,,"LM7 Non-ENG"),IF(IFERROR(VLOOKUP(B313&amp;"PT",'LM7 Non-ENG'!$A$1:$A$5000,1,FALSE),"ERROR")=B313&amp;"PT","Y","")),"")</f>
        <v/>
      </c>
    </row>
    <row r="314" spans="7:8" ht="18" customHeight="1">
      <c r="G314" s="29" t="str">
        <f>IFERROR(HYPERLINK("#"&amp;ADDRESS(MATCH(B314&amp;"ES",'LM7 Non-ENG'!$A$1:$A$5000,0),1,,,"LM7 Non-ENG"),IF(IFERROR(VLOOKUP(B314&amp;"ES",'LM7 Non-ENG'!$A$1:$A$4999,1,FALSE),"ERROR")=B314&amp;"ES","Y","")),"")</f>
        <v/>
      </c>
      <c r="H314" s="29" t="str">
        <f>IFERROR(HYPERLINK("#"&amp;ADDRESS(MATCH(B314&amp;"PT",'LM7 Non-ENG'!$A$1:$A$5000,0),1,,,"LM7 Non-ENG"),IF(IFERROR(VLOOKUP(B314&amp;"PT",'LM7 Non-ENG'!$A$1:$A$5000,1,FALSE),"ERROR")=B314&amp;"PT","Y","")),"")</f>
        <v/>
      </c>
    </row>
    <row r="315" spans="7:8" ht="18" customHeight="1">
      <c r="G315" s="29" t="str">
        <f>IFERROR(HYPERLINK("#"&amp;ADDRESS(MATCH(B315&amp;"ES",'LM7 Non-ENG'!$A$1:$A$5000,0),1,,,"LM7 Non-ENG"),IF(IFERROR(VLOOKUP(B315&amp;"ES",'LM7 Non-ENG'!$A$1:$A$4999,1,FALSE),"ERROR")=B315&amp;"ES","Y","")),"")</f>
        <v/>
      </c>
      <c r="H315" s="29" t="str">
        <f>IFERROR(HYPERLINK("#"&amp;ADDRESS(MATCH(B315&amp;"PT",'LM7 Non-ENG'!$A$1:$A$5000,0),1,,,"LM7 Non-ENG"),IF(IFERROR(VLOOKUP(B315&amp;"PT",'LM7 Non-ENG'!$A$1:$A$5000,1,FALSE),"ERROR")=B315&amp;"PT","Y","")),"")</f>
        <v/>
      </c>
    </row>
    <row r="316" spans="7:8" ht="18" customHeight="1">
      <c r="G316" s="29" t="str">
        <f>IFERROR(HYPERLINK("#"&amp;ADDRESS(MATCH(B316&amp;"ES",'LM7 Non-ENG'!$A$1:$A$5000,0),1,,,"LM7 Non-ENG"),IF(IFERROR(VLOOKUP(B316&amp;"ES",'LM7 Non-ENG'!$A$1:$A$4999,1,FALSE),"ERROR")=B316&amp;"ES","Y","")),"")</f>
        <v/>
      </c>
      <c r="H316" s="29" t="str">
        <f>IFERROR(HYPERLINK("#"&amp;ADDRESS(MATCH(B316&amp;"PT",'LM7 Non-ENG'!$A$1:$A$5000,0),1,,,"LM7 Non-ENG"),IF(IFERROR(VLOOKUP(B316&amp;"PT",'LM7 Non-ENG'!$A$1:$A$5000,1,FALSE),"ERROR")=B316&amp;"PT","Y","")),"")</f>
        <v/>
      </c>
    </row>
    <row r="317" spans="7:8" ht="18" customHeight="1">
      <c r="G317" s="29" t="str">
        <f>IFERROR(HYPERLINK("#"&amp;ADDRESS(MATCH(B317&amp;"ES",'LM7 Non-ENG'!$A$1:$A$5000,0),1,,,"LM7 Non-ENG"),IF(IFERROR(VLOOKUP(B317&amp;"ES",'LM7 Non-ENG'!$A$1:$A$4999,1,FALSE),"ERROR")=B317&amp;"ES","Y","")),"")</f>
        <v/>
      </c>
      <c r="H317" s="29" t="str">
        <f>IFERROR(HYPERLINK("#"&amp;ADDRESS(MATCH(B317&amp;"PT",'LM7 Non-ENG'!$A$1:$A$5000,0),1,,,"LM7 Non-ENG"),IF(IFERROR(VLOOKUP(B317&amp;"PT",'LM7 Non-ENG'!$A$1:$A$5000,1,FALSE),"ERROR")=B317&amp;"PT","Y","")),"")</f>
        <v/>
      </c>
    </row>
    <row r="318" spans="7:8" ht="18" customHeight="1">
      <c r="G318" s="29" t="str">
        <f>IFERROR(HYPERLINK("#"&amp;ADDRESS(MATCH(B318&amp;"ES",'LM7 Non-ENG'!$A$1:$A$5000,0),1,,,"LM7 Non-ENG"),IF(IFERROR(VLOOKUP(B318&amp;"ES",'LM7 Non-ENG'!$A$1:$A$4999,1,FALSE),"ERROR")=B318&amp;"ES","Y","")),"")</f>
        <v/>
      </c>
      <c r="H318" s="29" t="str">
        <f>IFERROR(HYPERLINK("#"&amp;ADDRESS(MATCH(B318&amp;"PT",'LM7 Non-ENG'!$A$1:$A$5000,0),1,,,"LM7 Non-ENG"),IF(IFERROR(VLOOKUP(B318&amp;"PT",'LM7 Non-ENG'!$A$1:$A$5000,1,FALSE),"ERROR")=B318&amp;"PT","Y","")),"")</f>
        <v/>
      </c>
    </row>
    <row r="319" spans="7:8" ht="18" customHeight="1">
      <c r="G319" s="29" t="str">
        <f>IFERROR(HYPERLINK("#"&amp;ADDRESS(MATCH(B319&amp;"ES",'LM7 Non-ENG'!$A$1:$A$5000,0),1,,,"LM7 Non-ENG"),IF(IFERROR(VLOOKUP(B319&amp;"ES",'LM7 Non-ENG'!$A$1:$A$4999,1,FALSE),"ERROR")=B319&amp;"ES","Y","")),"")</f>
        <v/>
      </c>
      <c r="H319" s="29" t="str">
        <f>IFERROR(HYPERLINK("#"&amp;ADDRESS(MATCH(B319&amp;"PT",'LM7 Non-ENG'!$A$1:$A$5000,0),1,,,"LM7 Non-ENG"),IF(IFERROR(VLOOKUP(B319&amp;"PT",'LM7 Non-ENG'!$A$1:$A$5000,1,FALSE),"ERROR")=B319&amp;"PT","Y","")),"")</f>
        <v/>
      </c>
    </row>
    <row r="320" spans="7:8" ht="18" customHeight="1">
      <c r="G320" s="29" t="str">
        <f>IFERROR(HYPERLINK("#"&amp;ADDRESS(MATCH(B320&amp;"ES",'LM7 Non-ENG'!$A$1:$A$5000,0),1,,,"LM7 Non-ENG"),IF(IFERROR(VLOOKUP(B320&amp;"ES",'LM7 Non-ENG'!$A$1:$A$4999,1,FALSE),"ERROR")=B320&amp;"ES","Y","")),"")</f>
        <v/>
      </c>
      <c r="H320" s="29" t="str">
        <f>IFERROR(HYPERLINK("#"&amp;ADDRESS(MATCH(B320&amp;"PT",'LM7 Non-ENG'!$A$1:$A$5000,0),1,,,"LM7 Non-ENG"),IF(IFERROR(VLOOKUP(B320&amp;"PT",'LM7 Non-ENG'!$A$1:$A$5000,1,FALSE),"ERROR")=B320&amp;"PT","Y","")),"")</f>
        <v/>
      </c>
    </row>
    <row r="321" spans="7:8" ht="18" customHeight="1">
      <c r="G321" s="29" t="str">
        <f>IFERROR(HYPERLINK("#"&amp;ADDRESS(MATCH(B321&amp;"ES",'LM7 Non-ENG'!$A$1:$A$5000,0),1,,,"LM7 Non-ENG"),IF(IFERROR(VLOOKUP(B321&amp;"ES",'LM7 Non-ENG'!$A$1:$A$4999,1,FALSE),"ERROR")=B321&amp;"ES","Y","")),"")</f>
        <v/>
      </c>
      <c r="H321" s="29" t="str">
        <f>IFERROR(HYPERLINK("#"&amp;ADDRESS(MATCH(B321&amp;"PT",'LM7 Non-ENG'!$A$1:$A$5000,0),1,,,"LM7 Non-ENG"),IF(IFERROR(VLOOKUP(B321&amp;"PT",'LM7 Non-ENG'!$A$1:$A$5000,1,FALSE),"ERROR")=B321&amp;"PT","Y","")),"")</f>
        <v/>
      </c>
    </row>
    <row r="322" spans="7:8" ht="18" customHeight="1">
      <c r="G322" s="29" t="str">
        <f>IFERROR(HYPERLINK("#"&amp;ADDRESS(MATCH(B322&amp;"ES",'LM7 Non-ENG'!$A$1:$A$5000,0),1,,,"LM7 Non-ENG"),IF(IFERROR(VLOOKUP(B322&amp;"ES",'LM7 Non-ENG'!$A$1:$A$4999,1,FALSE),"ERROR")=B322&amp;"ES","Y","")),"")</f>
        <v/>
      </c>
      <c r="H322" s="29" t="str">
        <f>IFERROR(HYPERLINK("#"&amp;ADDRESS(MATCH(B322&amp;"PT",'LM7 Non-ENG'!$A$1:$A$5000,0),1,,,"LM7 Non-ENG"),IF(IFERROR(VLOOKUP(B322&amp;"PT",'LM7 Non-ENG'!$A$1:$A$5000,1,FALSE),"ERROR")=B322&amp;"PT","Y","")),"")</f>
        <v/>
      </c>
    </row>
    <row r="323" spans="7:8" ht="18" customHeight="1">
      <c r="G323" s="29" t="str">
        <f>IFERROR(HYPERLINK("#"&amp;ADDRESS(MATCH(B323&amp;"ES",'LM7 Non-ENG'!$A$1:$A$5000,0),1,,,"LM7 Non-ENG"),IF(IFERROR(VLOOKUP(B323&amp;"ES",'LM7 Non-ENG'!$A$1:$A$4999,1,FALSE),"ERROR")=B323&amp;"ES","Y","")),"")</f>
        <v/>
      </c>
      <c r="H323" s="29" t="str">
        <f>IFERROR(HYPERLINK("#"&amp;ADDRESS(MATCH(B323&amp;"PT",'LM7 Non-ENG'!$A$1:$A$5000,0),1,,,"LM7 Non-ENG"),IF(IFERROR(VLOOKUP(B323&amp;"PT",'LM7 Non-ENG'!$A$1:$A$5000,1,FALSE),"ERROR")=B323&amp;"PT","Y","")),"")</f>
        <v/>
      </c>
    </row>
    <row r="324" spans="7:8" ht="18" customHeight="1">
      <c r="G324" s="29" t="str">
        <f>IFERROR(HYPERLINK("#"&amp;ADDRESS(MATCH(B324&amp;"ES",'LM7 Non-ENG'!$A$1:$A$5000,0),1,,,"LM7 Non-ENG"),IF(IFERROR(VLOOKUP(B324&amp;"ES",'LM7 Non-ENG'!$A$1:$A$4999,1,FALSE),"ERROR")=B324&amp;"ES","Y","")),"")</f>
        <v/>
      </c>
      <c r="H324" s="29" t="str">
        <f>IFERROR(HYPERLINK("#"&amp;ADDRESS(MATCH(B324&amp;"PT",'LM7 Non-ENG'!$A$1:$A$5000,0),1,,,"LM7 Non-ENG"),IF(IFERROR(VLOOKUP(B324&amp;"PT",'LM7 Non-ENG'!$A$1:$A$5000,1,FALSE),"ERROR")=B324&amp;"PT","Y","")),"")</f>
        <v/>
      </c>
    </row>
    <row r="325" spans="7:8" ht="18" customHeight="1">
      <c r="G325" s="29" t="str">
        <f>IFERROR(HYPERLINK("#"&amp;ADDRESS(MATCH(B325&amp;"ES",'LM7 Non-ENG'!$A$1:$A$5000,0),1,,,"LM7 Non-ENG"),IF(IFERROR(VLOOKUP(B325&amp;"ES",'LM7 Non-ENG'!$A$1:$A$4999,1,FALSE),"ERROR")=B325&amp;"ES","Y","")),"")</f>
        <v/>
      </c>
      <c r="H325" s="29" t="str">
        <f>IFERROR(HYPERLINK("#"&amp;ADDRESS(MATCH(B325&amp;"PT",'LM7 Non-ENG'!$A$1:$A$5000,0),1,,,"LM7 Non-ENG"),IF(IFERROR(VLOOKUP(B325&amp;"PT",'LM7 Non-ENG'!$A$1:$A$5000,1,FALSE),"ERROR")=B325&amp;"PT","Y","")),"")</f>
        <v/>
      </c>
    </row>
    <row r="326" spans="7:8" ht="18" customHeight="1">
      <c r="G326" s="29" t="str">
        <f>IFERROR(HYPERLINK("#"&amp;ADDRESS(MATCH(B326&amp;"ES",'LM7 Non-ENG'!$A$1:$A$5000,0),1,,,"LM7 Non-ENG"),IF(IFERROR(VLOOKUP(B326&amp;"ES",'LM7 Non-ENG'!$A$1:$A$4999,1,FALSE),"ERROR")=B326&amp;"ES","Y","")),"")</f>
        <v/>
      </c>
      <c r="H326" s="29" t="str">
        <f>IFERROR(HYPERLINK("#"&amp;ADDRESS(MATCH(B326&amp;"PT",'LM7 Non-ENG'!$A$1:$A$5000,0),1,,,"LM7 Non-ENG"),IF(IFERROR(VLOOKUP(B326&amp;"PT",'LM7 Non-ENG'!$A$1:$A$5000,1,FALSE),"ERROR")=B326&amp;"PT","Y","")),"")</f>
        <v/>
      </c>
    </row>
    <row r="327" spans="7:8" ht="18" customHeight="1">
      <c r="G327" s="29" t="str">
        <f>IFERROR(HYPERLINK("#"&amp;ADDRESS(MATCH(B327&amp;"ES",'LM7 Non-ENG'!$A$1:$A$5000,0),1,,,"LM7 Non-ENG"),IF(IFERROR(VLOOKUP(B327&amp;"ES",'LM7 Non-ENG'!$A$1:$A$4999,1,FALSE),"ERROR")=B327&amp;"ES","Y","")),"")</f>
        <v/>
      </c>
      <c r="H327" s="29" t="str">
        <f>IFERROR(HYPERLINK("#"&amp;ADDRESS(MATCH(B327&amp;"PT",'LM7 Non-ENG'!$A$1:$A$5000,0),1,,,"LM7 Non-ENG"),IF(IFERROR(VLOOKUP(B327&amp;"PT",'LM7 Non-ENG'!$A$1:$A$5000,1,FALSE),"ERROR")=B327&amp;"PT","Y","")),"")</f>
        <v/>
      </c>
    </row>
    <row r="328" spans="7:8" ht="18" customHeight="1">
      <c r="G328" s="29" t="str">
        <f>IFERROR(HYPERLINK("#"&amp;ADDRESS(MATCH(B328&amp;"ES",'LM7 Non-ENG'!$A$1:$A$5000,0),1,,,"LM7 Non-ENG"),IF(IFERROR(VLOOKUP(B328&amp;"ES",'LM7 Non-ENG'!$A$1:$A$4999,1,FALSE),"ERROR")=B328&amp;"ES","Y","")),"")</f>
        <v/>
      </c>
      <c r="H328" s="29" t="str">
        <f>IFERROR(HYPERLINK("#"&amp;ADDRESS(MATCH(B328&amp;"PT",'LM7 Non-ENG'!$A$1:$A$5000,0),1,,,"LM7 Non-ENG"),IF(IFERROR(VLOOKUP(B328&amp;"PT",'LM7 Non-ENG'!$A$1:$A$5000,1,FALSE),"ERROR")=B328&amp;"PT","Y","")),"")</f>
        <v/>
      </c>
    </row>
    <row r="329" spans="7:8" ht="18" customHeight="1">
      <c r="G329" s="29" t="str">
        <f>IFERROR(HYPERLINK("#"&amp;ADDRESS(MATCH(B329&amp;"ES",'LM7 Non-ENG'!$A$1:$A$5000,0),1,,,"LM7 Non-ENG"),IF(IFERROR(VLOOKUP(B329&amp;"ES",'LM7 Non-ENG'!$A$1:$A$4999,1,FALSE),"ERROR")=B329&amp;"ES","Y","")),"")</f>
        <v/>
      </c>
      <c r="H329" s="29" t="str">
        <f>IFERROR(HYPERLINK("#"&amp;ADDRESS(MATCH(B329&amp;"PT",'LM7 Non-ENG'!$A$1:$A$5000,0),1,,,"LM7 Non-ENG"),IF(IFERROR(VLOOKUP(B329&amp;"PT",'LM7 Non-ENG'!$A$1:$A$5000,1,FALSE),"ERROR")=B329&amp;"PT","Y","")),"")</f>
        <v/>
      </c>
    </row>
    <row r="330" spans="7:8" ht="18" customHeight="1">
      <c r="G330" s="29" t="str">
        <f>IFERROR(HYPERLINK("#"&amp;ADDRESS(MATCH(B330&amp;"ES",'LM7 Non-ENG'!$A$1:$A$5000,0),1,,,"LM7 Non-ENG"),IF(IFERROR(VLOOKUP(B330&amp;"ES",'LM7 Non-ENG'!$A$1:$A$4999,1,FALSE),"ERROR")=B330&amp;"ES","Y","")),"")</f>
        <v/>
      </c>
      <c r="H330" s="29" t="str">
        <f>IFERROR(HYPERLINK("#"&amp;ADDRESS(MATCH(B330&amp;"PT",'LM7 Non-ENG'!$A$1:$A$5000,0),1,,,"LM7 Non-ENG"),IF(IFERROR(VLOOKUP(B330&amp;"PT",'LM7 Non-ENG'!$A$1:$A$5000,1,FALSE),"ERROR")=B330&amp;"PT","Y","")),"")</f>
        <v/>
      </c>
    </row>
    <row r="331" spans="7:8" ht="18" customHeight="1">
      <c r="G331" s="29" t="str">
        <f>IFERROR(HYPERLINK("#"&amp;ADDRESS(MATCH(B331&amp;"ES",'LM7 Non-ENG'!$A$1:$A$5000,0),1,,,"LM7 Non-ENG"),IF(IFERROR(VLOOKUP(B331&amp;"ES",'LM7 Non-ENG'!$A$1:$A$4999,1,FALSE),"ERROR")=B331&amp;"ES","Y","")),"")</f>
        <v/>
      </c>
      <c r="H331" s="29" t="str">
        <f>IFERROR(HYPERLINK("#"&amp;ADDRESS(MATCH(B331&amp;"PT",'LM7 Non-ENG'!$A$1:$A$5000,0),1,,,"LM7 Non-ENG"),IF(IFERROR(VLOOKUP(B331&amp;"PT",'LM7 Non-ENG'!$A$1:$A$5000,1,FALSE),"ERROR")=B331&amp;"PT","Y","")),"")</f>
        <v/>
      </c>
    </row>
    <row r="332" spans="7:8" ht="18" customHeight="1">
      <c r="G332" s="29" t="str">
        <f>IFERROR(HYPERLINK("#"&amp;ADDRESS(MATCH(B332&amp;"ES",'LM7 Non-ENG'!$A$1:$A$5000,0),1,,,"LM7 Non-ENG"),IF(IFERROR(VLOOKUP(B332&amp;"ES",'LM7 Non-ENG'!$A$1:$A$4999,1,FALSE),"ERROR")=B332&amp;"ES","Y","")),"")</f>
        <v/>
      </c>
      <c r="H332" s="29" t="str">
        <f>IFERROR(HYPERLINK("#"&amp;ADDRESS(MATCH(B332&amp;"PT",'LM7 Non-ENG'!$A$1:$A$5000,0),1,,,"LM7 Non-ENG"),IF(IFERROR(VLOOKUP(B332&amp;"PT",'LM7 Non-ENG'!$A$1:$A$5000,1,FALSE),"ERROR")=B332&amp;"PT","Y","")),"")</f>
        <v/>
      </c>
    </row>
    <row r="333" spans="7:8" ht="18" customHeight="1">
      <c r="G333" s="29" t="str">
        <f>IFERROR(HYPERLINK("#"&amp;ADDRESS(MATCH(B333&amp;"ES",'LM7 Non-ENG'!$A$1:$A$5000,0),1,,,"LM7 Non-ENG"),IF(IFERROR(VLOOKUP(B333&amp;"ES",'LM7 Non-ENG'!$A$1:$A$4999,1,FALSE),"ERROR")=B333&amp;"ES","Y","")),"")</f>
        <v/>
      </c>
      <c r="H333" s="29" t="str">
        <f>IFERROR(HYPERLINK("#"&amp;ADDRESS(MATCH(B333&amp;"PT",'LM7 Non-ENG'!$A$1:$A$5000,0),1,,,"LM7 Non-ENG"),IF(IFERROR(VLOOKUP(B333&amp;"PT",'LM7 Non-ENG'!$A$1:$A$5000,1,FALSE),"ERROR")=B333&amp;"PT","Y","")),"")</f>
        <v/>
      </c>
    </row>
    <row r="334" spans="7:8" ht="18" customHeight="1">
      <c r="G334" s="29" t="str">
        <f>IFERROR(HYPERLINK("#"&amp;ADDRESS(MATCH(B334&amp;"ES",'LM7 Non-ENG'!$A$1:$A$5000,0),1,,,"LM7 Non-ENG"),IF(IFERROR(VLOOKUP(B334&amp;"ES",'LM7 Non-ENG'!$A$1:$A$4999,1,FALSE),"ERROR")=B334&amp;"ES","Y","")),"")</f>
        <v/>
      </c>
      <c r="H334" s="29" t="str">
        <f>IFERROR(HYPERLINK("#"&amp;ADDRESS(MATCH(B334&amp;"PT",'LM7 Non-ENG'!$A$1:$A$5000,0),1,,,"LM7 Non-ENG"),IF(IFERROR(VLOOKUP(B334&amp;"PT",'LM7 Non-ENG'!$A$1:$A$5000,1,FALSE),"ERROR")=B334&amp;"PT","Y","")),"")</f>
        <v/>
      </c>
    </row>
    <row r="335" spans="7:8" ht="18" customHeight="1">
      <c r="G335" s="29" t="str">
        <f>IFERROR(HYPERLINK("#"&amp;ADDRESS(MATCH(B335&amp;"ES",'LM7 Non-ENG'!$A$1:$A$5000,0),1,,,"LM7 Non-ENG"),IF(IFERROR(VLOOKUP(B335&amp;"ES",'LM7 Non-ENG'!$A$1:$A$4999,1,FALSE),"ERROR")=B335&amp;"ES","Y","")),"")</f>
        <v/>
      </c>
      <c r="H335" s="29" t="str">
        <f>IFERROR(HYPERLINK("#"&amp;ADDRESS(MATCH(B335&amp;"PT",'LM7 Non-ENG'!$A$1:$A$5000,0),1,,,"LM7 Non-ENG"),IF(IFERROR(VLOOKUP(B335&amp;"PT",'LM7 Non-ENG'!$A$1:$A$5000,1,FALSE),"ERROR")=B335&amp;"PT","Y","")),"")</f>
        <v/>
      </c>
    </row>
    <row r="336" spans="7:8" ht="18" customHeight="1">
      <c r="G336" s="29" t="str">
        <f>IFERROR(HYPERLINK("#"&amp;ADDRESS(MATCH(B336&amp;"ES",'LM7 Non-ENG'!$A$1:$A$5000,0),1,,,"LM7 Non-ENG"),IF(IFERROR(VLOOKUP(B336&amp;"ES",'LM7 Non-ENG'!$A$1:$A$4999,1,FALSE),"ERROR")=B336&amp;"ES","Y","")),"")</f>
        <v/>
      </c>
      <c r="H336" s="29" t="str">
        <f>IFERROR(HYPERLINK("#"&amp;ADDRESS(MATCH(B336&amp;"PT",'LM7 Non-ENG'!$A$1:$A$5000,0),1,,,"LM7 Non-ENG"),IF(IFERROR(VLOOKUP(B336&amp;"PT",'LM7 Non-ENG'!$A$1:$A$5000,1,FALSE),"ERROR")=B336&amp;"PT","Y","")),"")</f>
        <v/>
      </c>
    </row>
    <row r="337" spans="7:8" ht="18" customHeight="1">
      <c r="G337" s="29" t="str">
        <f>IFERROR(HYPERLINK("#"&amp;ADDRESS(MATCH(B337&amp;"ES",'LM7 Non-ENG'!$A$1:$A$5000,0),1,,,"LM7 Non-ENG"),IF(IFERROR(VLOOKUP(B337&amp;"ES",'LM7 Non-ENG'!$A$1:$A$4999,1,FALSE),"ERROR")=B337&amp;"ES","Y","")),"")</f>
        <v/>
      </c>
      <c r="H337" s="29" t="str">
        <f>IFERROR(HYPERLINK("#"&amp;ADDRESS(MATCH(B337&amp;"PT",'LM7 Non-ENG'!$A$1:$A$5000,0),1,,,"LM7 Non-ENG"),IF(IFERROR(VLOOKUP(B337&amp;"PT",'LM7 Non-ENG'!$A$1:$A$5000,1,FALSE),"ERROR")=B337&amp;"PT","Y","")),"")</f>
        <v/>
      </c>
    </row>
    <row r="338" spans="7:8" ht="18" customHeight="1">
      <c r="G338" s="29" t="str">
        <f>IFERROR(HYPERLINK("#"&amp;ADDRESS(MATCH(B338&amp;"ES",'LM7 Non-ENG'!$A$1:$A$5000,0),1,,,"LM7 Non-ENG"),IF(IFERROR(VLOOKUP(B338&amp;"ES",'LM7 Non-ENG'!$A$1:$A$4999,1,FALSE),"ERROR")=B338&amp;"ES","Y","")),"")</f>
        <v/>
      </c>
      <c r="H338" s="29" t="str">
        <f>IFERROR(HYPERLINK("#"&amp;ADDRESS(MATCH(B338&amp;"PT",'LM7 Non-ENG'!$A$1:$A$5000,0),1,,,"LM7 Non-ENG"),IF(IFERROR(VLOOKUP(B338&amp;"PT",'LM7 Non-ENG'!$A$1:$A$5000,1,FALSE),"ERROR")=B338&amp;"PT","Y","")),"")</f>
        <v/>
      </c>
    </row>
    <row r="339" spans="7:8" ht="18" customHeight="1">
      <c r="G339" s="29" t="str">
        <f>IFERROR(HYPERLINK("#"&amp;ADDRESS(MATCH(B339&amp;"ES",'LM7 Non-ENG'!$A$1:$A$5000,0),1,,,"LM7 Non-ENG"),IF(IFERROR(VLOOKUP(B339&amp;"ES",'LM7 Non-ENG'!$A$1:$A$4999,1,FALSE),"ERROR")=B339&amp;"ES","Y","")),"")</f>
        <v/>
      </c>
      <c r="H339" s="29" t="str">
        <f>IFERROR(HYPERLINK("#"&amp;ADDRESS(MATCH(B339&amp;"PT",'LM7 Non-ENG'!$A$1:$A$5000,0),1,,,"LM7 Non-ENG"),IF(IFERROR(VLOOKUP(B339&amp;"PT",'LM7 Non-ENG'!$A$1:$A$5000,1,FALSE),"ERROR")=B339&amp;"PT","Y","")),"")</f>
        <v/>
      </c>
    </row>
    <row r="340" spans="7:8" ht="18" customHeight="1">
      <c r="G340" s="29" t="str">
        <f>IFERROR(HYPERLINK("#"&amp;ADDRESS(MATCH(B340&amp;"ES",'LM7 Non-ENG'!$A$1:$A$5000,0),1,,,"LM7 Non-ENG"),IF(IFERROR(VLOOKUP(B340&amp;"ES",'LM7 Non-ENG'!$A$1:$A$4999,1,FALSE),"ERROR")=B340&amp;"ES","Y","")),"")</f>
        <v/>
      </c>
      <c r="H340" s="29" t="str">
        <f>IFERROR(HYPERLINK("#"&amp;ADDRESS(MATCH(B340&amp;"PT",'LM7 Non-ENG'!$A$1:$A$5000,0),1,,,"LM7 Non-ENG"),IF(IFERROR(VLOOKUP(B340&amp;"PT",'LM7 Non-ENG'!$A$1:$A$5000,1,FALSE),"ERROR")=B340&amp;"PT","Y","")),"")</f>
        <v/>
      </c>
    </row>
    <row r="341" spans="7:8" ht="18" customHeight="1">
      <c r="G341" s="29" t="str">
        <f>IFERROR(HYPERLINK("#"&amp;ADDRESS(MATCH(B341&amp;"ES",'LM7 Non-ENG'!$A$1:$A$5000,0),1,,,"LM7 Non-ENG"),IF(IFERROR(VLOOKUP(B341&amp;"ES",'LM7 Non-ENG'!$A$1:$A$4999,1,FALSE),"ERROR")=B341&amp;"ES","Y","")),"")</f>
        <v/>
      </c>
      <c r="H341" s="29" t="str">
        <f>IFERROR(HYPERLINK("#"&amp;ADDRESS(MATCH(B341&amp;"PT",'LM7 Non-ENG'!$A$1:$A$5000,0),1,,,"LM7 Non-ENG"),IF(IFERROR(VLOOKUP(B341&amp;"PT",'LM7 Non-ENG'!$A$1:$A$5000,1,FALSE),"ERROR")=B341&amp;"PT","Y","")),"")</f>
        <v/>
      </c>
    </row>
    <row r="342" spans="7:8" ht="18" customHeight="1">
      <c r="G342" s="29" t="str">
        <f>IFERROR(HYPERLINK("#"&amp;ADDRESS(MATCH(B342&amp;"ES",'LM7 Non-ENG'!$A$1:$A$5000,0),1,,,"LM7 Non-ENG"),IF(IFERROR(VLOOKUP(B342&amp;"ES",'LM7 Non-ENG'!$A$1:$A$4999,1,FALSE),"ERROR")=B342&amp;"ES","Y","")),"")</f>
        <v/>
      </c>
      <c r="H342" s="29" t="str">
        <f>IFERROR(HYPERLINK("#"&amp;ADDRESS(MATCH(B342&amp;"PT",'LM7 Non-ENG'!$A$1:$A$5000,0),1,,,"LM7 Non-ENG"),IF(IFERROR(VLOOKUP(B342&amp;"PT",'LM7 Non-ENG'!$A$1:$A$5000,1,FALSE),"ERROR")=B342&amp;"PT","Y","")),"")</f>
        <v/>
      </c>
    </row>
    <row r="343" spans="7:8" ht="18" customHeight="1">
      <c r="G343" s="29" t="str">
        <f>IFERROR(HYPERLINK("#"&amp;ADDRESS(MATCH(B343&amp;"ES",'LM7 Non-ENG'!$A$1:$A$5000,0),1,,,"LM7 Non-ENG"),IF(IFERROR(VLOOKUP(B343&amp;"ES",'LM7 Non-ENG'!$A$1:$A$4999,1,FALSE),"ERROR")=B343&amp;"ES","Y","")),"")</f>
        <v/>
      </c>
      <c r="H343" s="29" t="str">
        <f>IFERROR(HYPERLINK("#"&amp;ADDRESS(MATCH(B343&amp;"PT",'LM7 Non-ENG'!$A$1:$A$5000,0),1,,,"LM7 Non-ENG"),IF(IFERROR(VLOOKUP(B343&amp;"PT",'LM7 Non-ENG'!$A$1:$A$5000,1,FALSE),"ERROR")=B343&amp;"PT","Y","")),"")</f>
        <v/>
      </c>
    </row>
    <row r="344" spans="7:8" ht="18" customHeight="1">
      <c r="G344" s="29" t="str">
        <f>IFERROR(HYPERLINK("#"&amp;ADDRESS(MATCH(B344&amp;"ES",'LM7 Non-ENG'!$A$1:$A$5000,0),1,,,"LM7 Non-ENG"),IF(IFERROR(VLOOKUP(B344&amp;"ES",'LM7 Non-ENG'!$A$1:$A$4999,1,FALSE),"ERROR")=B344&amp;"ES","Y","")),"")</f>
        <v/>
      </c>
      <c r="H344" s="29" t="str">
        <f>IFERROR(HYPERLINK("#"&amp;ADDRESS(MATCH(B344&amp;"PT",'LM7 Non-ENG'!$A$1:$A$5000,0),1,,,"LM7 Non-ENG"),IF(IFERROR(VLOOKUP(B344&amp;"PT",'LM7 Non-ENG'!$A$1:$A$5000,1,FALSE),"ERROR")=B344&amp;"PT","Y","")),"")</f>
        <v/>
      </c>
    </row>
    <row r="345" spans="7:8" ht="18" customHeight="1">
      <c r="G345" s="29" t="str">
        <f>IFERROR(HYPERLINK("#"&amp;ADDRESS(MATCH(B345&amp;"ES",'LM7 Non-ENG'!$A$1:$A$5000,0),1,,,"LM7 Non-ENG"),IF(IFERROR(VLOOKUP(B345&amp;"ES",'LM7 Non-ENG'!$A$1:$A$4999,1,FALSE),"ERROR")=B345&amp;"ES","Y","")),"")</f>
        <v/>
      </c>
      <c r="H345" s="29" t="str">
        <f>IFERROR(HYPERLINK("#"&amp;ADDRESS(MATCH(B345&amp;"PT",'LM7 Non-ENG'!$A$1:$A$5000,0),1,,,"LM7 Non-ENG"),IF(IFERROR(VLOOKUP(B345&amp;"PT",'LM7 Non-ENG'!$A$1:$A$5000,1,FALSE),"ERROR")=B345&amp;"PT","Y","")),"")</f>
        <v/>
      </c>
    </row>
    <row r="346" spans="7:8" ht="18" customHeight="1">
      <c r="G346" s="29" t="str">
        <f>IFERROR(HYPERLINK("#"&amp;ADDRESS(MATCH(B346&amp;"ES",'LM7 Non-ENG'!$A$1:$A$5000,0),1,,,"LM7 Non-ENG"),IF(IFERROR(VLOOKUP(B346&amp;"ES",'LM7 Non-ENG'!$A$1:$A$4999,1,FALSE),"ERROR")=B346&amp;"ES","Y","")),"")</f>
        <v/>
      </c>
      <c r="H346" s="29" t="str">
        <f>IFERROR(HYPERLINK("#"&amp;ADDRESS(MATCH(B346&amp;"PT",'LM7 Non-ENG'!$A$1:$A$5000,0),1,,,"LM7 Non-ENG"),IF(IFERROR(VLOOKUP(B346&amp;"PT",'LM7 Non-ENG'!$A$1:$A$5000,1,FALSE),"ERROR")=B346&amp;"PT","Y","")),"")</f>
        <v/>
      </c>
    </row>
    <row r="347" spans="7:8" ht="18" customHeight="1">
      <c r="G347" s="29" t="str">
        <f>IFERROR(HYPERLINK("#"&amp;ADDRESS(MATCH(B347&amp;"ES",'LM7 Non-ENG'!$A$1:$A$5000,0),1,,,"LM7 Non-ENG"),IF(IFERROR(VLOOKUP(B347&amp;"ES",'LM7 Non-ENG'!$A$1:$A$4999,1,FALSE),"ERROR")=B347&amp;"ES","Y","")),"")</f>
        <v/>
      </c>
      <c r="H347" s="29" t="str">
        <f>IFERROR(HYPERLINK("#"&amp;ADDRESS(MATCH(B347&amp;"PT",'LM7 Non-ENG'!$A$1:$A$5000,0),1,,,"LM7 Non-ENG"),IF(IFERROR(VLOOKUP(B347&amp;"PT",'LM7 Non-ENG'!$A$1:$A$5000,1,FALSE),"ERROR")=B347&amp;"PT","Y","")),"")</f>
        <v/>
      </c>
    </row>
    <row r="348" spans="7:8" ht="18" customHeight="1">
      <c r="G348" s="29" t="str">
        <f>IFERROR(HYPERLINK("#"&amp;ADDRESS(MATCH(B348&amp;"ES",'LM7 Non-ENG'!$A$1:$A$5000,0),1,,,"LM7 Non-ENG"),IF(IFERROR(VLOOKUP(B348&amp;"ES",'LM7 Non-ENG'!$A$1:$A$4999,1,FALSE),"ERROR")=B348&amp;"ES","Y","")),"")</f>
        <v/>
      </c>
      <c r="H348" s="29" t="str">
        <f>IFERROR(HYPERLINK("#"&amp;ADDRESS(MATCH(B348&amp;"PT",'LM7 Non-ENG'!$A$1:$A$5000,0),1,,,"LM7 Non-ENG"),IF(IFERROR(VLOOKUP(B348&amp;"PT",'LM7 Non-ENG'!$A$1:$A$5000,1,FALSE),"ERROR")=B348&amp;"PT","Y","")),"")</f>
        <v/>
      </c>
    </row>
    <row r="349" spans="7:8" ht="18" customHeight="1">
      <c r="G349" s="29" t="str">
        <f>IFERROR(HYPERLINK("#"&amp;ADDRESS(MATCH(B349&amp;"ES",'LM7 Non-ENG'!$A$1:$A$5000,0),1,,,"LM7 Non-ENG"),IF(IFERROR(VLOOKUP(B349&amp;"ES",'LM7 Non-ENG'!$A$1:$A$4999,1,FALSE),"ERROR")=B349&amp;"ES","Y","")),"")</f>
        <v/>
      </c>
      <c r="H349" s="29" t="str">
        <f>IFERROR(HYPERLINK("#"&amp;ADDRESS(MATCH(B349&amp;"PT",'LM7 Non-ENG'!$A$1:$A$5000,0),1,,,"LM7 Non-ENG"),IF(IFERROR(VLOOKUP(B349&amp;"PT",'LM7 Non-ENG'!$A$1:$A$5000,1,FALSE),"ERROR")=B349&amp;"PT","Y","")),"")</f>
        <v/>
      </c>
    </row>
    <row r="350" spans="7:8" ht="18" customHeight="1">
      <c r="G350" s="29" t="str">
        <f>IFERROR(HYPERLINK("#"&amp;ADDRESS(MATCH(B350&amp;"ES",'LM7 Non-ENG'!$A$1:$A$5000,0),1,,,"LM7 Non-ENG"),IF(IFERROR(VLOOKUP(B350&amp;"ES",'LM7 Non-ENG'!$A$1:$A$4999,1,FALSE),"ERROR")=B350&amp;"ES","Y","")),"")</f>
        <v/>
      </c>
      <c r="H350" s="29" t="str">
        <f>IFERROR(HYPERLINK("#"&amp;ADDRESS(MATCH(B350&amp;"PT",'LM7 Non-ENG'!$A$1:$A$5000,0),1,,,"LM7 Non-ENG"),IF(IFERROR(VLOOKUP(B350&amp;"PT",'LM7 Non-ENG'!$A$1:$A$5000,1,FALSE),"ERROR")=B350&amp;"PT","Y","")),"")</f>
        <v/>
      </c>
    </row>
    <row r="351" spans="7:8" ht="18" customHeight="1">
      <c r="G351" s="29" t="str">
        <f>IFERROR(HYPERLINK("#"&amp;ADDRESS(MATCH(B351&amp;"ES",'LM7 Non-ENG'!$A$1:$A$5000,0),1,,,"LM7 Non-ENG"),IF(IFERROR(VLOOKUP(B351&amp;"ES",'LM7 Non-ENG'!$A$1:$A$4999,1,FALSE),"ERROR")=B351&amp;"ES","Y","")),"")</f>
        <v/>
      </c>
      <c r="H351" s="29" t="str">
        <f>IFERROR(HYPERLINK("#"&amp;ADDRESS(MATCH(B351&amp;"PT",'LM7 Non-ENG'!$A$1:$A$5000,0),1,,,"LM7 Non-ENG"),IF(IFERROR(VLOOKUP(B351&amp;"PT",'LM7 Non-ENG'!$A$1:$A$5000,1,FALSE),"ERROR")=B351&amp;"PT","Y","")),"")</f>
        <v/>
      </c>
    </row>
    <row r="352" spans="7:8" ht="18" customHeight="1">
      <c r="G352" s="29" t="str">
        <f>IFERROR(HYPERLINK("#"&amp;ADDRESS(MATCH(B352&amp;"ES",'LM7 Non-ENG'!$A$1:$A$5000,0),1,,,"LM7 Non-ENG"),IF(IFERROR(VLOOKUP(B352&amp;"ES",'LM7 Non-ENG'!$A$1:$A$4999,1,FALSE),"ERROR")=B352&amp;"ES","Y","")),"")</f>
        <v/>
      </c>
      <c r="H352" s="29" t="str">
        <f>IFERROR(HYPERLINK("#"&amp;ADDRESS(MATCH(B352&amp;"PT",'LM7 Non-ENG'!$A$1:$A$5000,0),1,,,"LM7 Non-ENG"),IF(IFERROR(VLOOKUP(B352&amp;"PT",'LM7 Non-ENG'!$A$1:$A$5000,1,FALSE),"ERROR")=B352&amp;"PT","Y","")),"")</f>
        <v/>
      </c>
    </row>
    <row r="353" spans="7:8" ht="18" customHeight="1">
      <c r="G353" s="29" t="str">
        <f>IFERROR(HYPERLINK("#"&amp;ADDRESS(MATCH(B353&amp;"ES",'LM7 Non-ENG'!$A$1:$A$5000,0),1,,,"LM7 Non-ENG"),IF(IFERROR(VLOOKUP(B353&amp;"ES",'LM7 Non-ENG'!$A$1:$A$4999,1,FALSE),"ERROR")=B353&amp;"ES","Y","")),"")</f>
        <v/>
      </c>
      <c r="H353" s="29" t="str">
        <f>IFERROR(HYPERLINK("#"&amp;ADDRESS(MATCH(B353&amp;"PT",'LM7 Non-ENG'!$A$1:$A$5000,0),1,,,"LM7 Non-ENG"),IF(IFERROR(VLOOKUP(B353&amp;"PT",'LM7 Non-ENG'!$A$1:$A$5000,1,FALSE),"ERROR")=B353&amp;"PT","Y","")),"")</f>
        <v/>
      </c>
    </row>
    <row r="354" spans="7:8" ht="18" customHeight="1">
      <c r="G354" s="29" t="str">
        <f>IFERROR(HYPERLINK("#"&amp;ADDRESS(MATCH(B354&amp;"ES",'LM7 Non-ENG'!$A$1:$A$5000,0),1,,,"LM7 Non-ENG"),IF(IFERROR(VLOOKUP(B354&amp;"ES",'LM7 Non-ENG'!$A$1:$A$4999,1,FALSE),"ERROR")=B354&amp;"ES","Y","")),"")</f>
        <v/>
      </c>
      <c r="H354" s="29" t="str">
        <f>IFERROR(HYPERLINK("#"&amp;ADDRESS(MATCH(B354&amp;"PT",'LM7 Non-ENG'!$A$1:$A$5000,0),1,,,"LM7 Non-ENG"),IF(IFERROR(VLOOKUP(B354&amp;"PT",'LM7 Non-ENG'!$A$1:$A$5000,1,FALSE),"ERROR")=B354&amp;"PT","Y","")),"")</f>
        <v/>
      </c>
    </row>
    <row r="355" spans="7:8" ht="18" customHeight="1">
      <c r="G355" s="29" t="str">
        <f>IFERROR(HYPERLINK("#"&amp;ADDRESS(MATCH(B355&amp;"ES",'LM7 Non-ENG'!$A$1:$A$5000,0),1,,,"LM7 Non-ENG"),IF(IFERROR(VLOOKUP(B355&amp;"ES",'LM7 Non-ENG'!$A$1:$A$4999,1,FALSE),"ERROR")=B355&amp;"ES","Y","")),"")</f>
        <v/>
      </c>
      <c r="H355" s="29" t="str">
        <f>IFERROR(HYPERLINK("#"&amp;ADDRESS(MATCH(B355&amp;"PT",'LM7 Non-ENG'!$A$1:$A$5000,0),1,,,"LM7 Non-ENG"),IF(IFERROR(VLOOKUP(B355&amp;"PT",'LM7 Non-ENG'!$A$1:$A$5000,1,FALSE),"ERROR")=B355&amp;"PT","Y","")),"")</f>
        <v/>
      </c>
    </row>
    <row r="356" spans="7:8" ht="18" customHeight="1">
      <c r="G356" s="29" t="str">
        <f>IFERROR(HYPERLINK("#"&amp;ADDRESS(MATCH(B356&amp;"ES",'LM7 Non-ENG'!$A$1:$A$5000,0),1,,,"LM7 Non-ENG"),IF(IFERROR(VLOOKUP(B356&amp;"ES",'LM7 Non-ENG'!$A$1:$A$4999,1,FALSE),"ERROR")=B356&amp;"ES","Y","")),"")</f>
        <v/>
      </c>
      <c r="H356" s="29" t="str">
        <f>IFERROR(HYPERLINK("#"&amp;ADDRESS(MATCH(B356&amp;"PT",'LM7 Non-ENG'!$A$1:$A$5000,0),1,,,"LM7 Non-ENG"),IF(IFERROR(VLOOKUP(B356&amp;"PT",'LM7 Non-ENG'!$A$1:$A$5000,1,FALSE),"ERROR")=B356&amp;"PT","Y","")),"")</f>
        <v/>
      </c>
    </row>
    <row r="357" spans="7:8" ht="18" customHeight="1">
      <c r="G357" s="29" t="str">
        <f>IFERROR(HYPERLINK("#"&amp;ADDRESS(MATCH(B357&amp;"ES",'LM7 Non-ENG'!$A$1:$A$5000,0),1,,,"LM7 Non-ENG"),IF(IFERROR(VLOOKUP(B357&amp;"ES",'LM7 Non-ENG'!$A$1:$A$4999,1,FALSE),"ERROR")=B357&amp;"ES","Y","")),"")</f>
        <v/>
      </c>
      <c r="H357" s="29" t="str">
        <f>IFERROR(HYPERLINK("#"&amp;ADDRESS(MATCH(B357&amp;"PT",'LM7 Non-ENG'!$A$1:$A$5000,0),1,,,"LM7 Non-ENG"),IF(IFERROR(VLOOKUP(B357&amp;"PT",'LM7 Non-ENG'!$A$1:$A$5000,1,FALSE),"ERROR")=B357&amp;"PT","Y","")),"")</f>
        <v/>
      </c>
    </row>
    <row r="358" spans="7:8" ht="18" customHeight="1">
      <c r="G358" s="29" t="str">
        <f>IFERROR(HYPERLINK("#"&amp;ADDRESS(MATCH(B358&amp;"ES",'LM7 Non-ENG'!$A$1:$A$5000,0),1,,,"LM7 Non-ENG"),IF(IFERROR(VLOOKUP(B358&amp;"ES",'LM7 Non-ENG'!$A$1:$A$4999,1,FALSE),"ERROR")=B358&amp;"ES","Y","")),"")</f>
        <v/>
      </c>
      <c r="H358" s="29" t="str">
        <f>IFERROR(HYPERLINK("#"&amp;ADDRESS(MATCH(B358&amp;"PT",'LM7 Non-ENG'!$A$1:$A$5000,0),1,,,"LM7 Non-ENG"),IF(IFERROR(VLOOKUP(B358&amp;"PT",'LM7 Non-ENG'!$A$1:$A$5000,1,FALSE),"ERROR")=B358&amp;"PT","Y","")),"")</f>
        <v/>
      </c>
    </row>
    <row r="359" spans="7:8" ht="18" customHeight="1">
      <c r="G359" s="29" t="str">
        <f>IFERROR(HYPERLINK("#"&amp;ADDRESS(MATCH(B359&amp;"ES",'LM7 Non-ENG'!$A$1:$A$5000,0),1,,,"LM7 Non-ENG"),IF(IFERROR(VLOOKUP(B359&amp;"ES",'LM7 Non-ENG'!$A$1:$A$4999,1,FALSE),"ERROR")=B359&amp;"ES","Y","")),"")</f>
        <v/>
      </c>
      <c r="H359" s="29" t="str">
        <f>IFERROR(HYPERLINK("#"&amp;ADDRESS(MATCH(B359&amp;"PT",'LM7 Non-ENG'!$A$1:$A$5000,0),1,,,"LM7 Non-ENG"),IF(IFERROR(VLOOKUP(B359&amp;"PT",'LM7 Non-ENG'!$A$1:$A$5000,1,FALSE),"ERROR")=B359&amp;"PT","Y","")),"")</f>
        <v/>
      </c>
    </row>
    <row r="360" spans="7:8" ht="18" customHeight="1">
      <c r="G360" s="29" t="str">
        <f>IFERROR(HYPERLINK("#"&amp;ADDRESS(MATCH(B360&amp;"ES",'LM7 Non-ENG'!$A$1:$A$5000,0),1,,,"LM7 Non-ENG"),IF(IFERROR(VLOOKUP(B360&amp;"ES",'LM7 Non-ENG'!$A$1:$A$4999,1,FALSE),"ERROR")=B360&amp;"ES","Y","")),"")</f>
        <v/>
      </c>
      <c r="H360" s="29" t="str">
        <f>IFERROR(HYPERLINK("#"&amp;ADDRESS(MATCH(B360&amp;"PT",'LM7 Non-ENG'!$A$1:$A$5000,0),1,,,"LM7 Non-ENG"),IF(IFERROR(VLOOKUP(B360&amp;"PT",'LM7 Non-ENG'!$A$1:$A$5000,1,FALSE),"ERROR")=B360&amp;"PT","Y","")),"")</f>
        <v/>
      </c>
    </row>
    <row r="361" spans="7:8" ht="18" customHeight="1">
      <c r="G361" s="29" t="str">
        <f>IFERROR(HYPERLINK("#"&amp;ADDRESS(MATCH(B361&amp;"ES",'LM7 Non-ENG'!$A$1:$A$5000,0),1,,,"LM7 Non-ENG"),IF(IFERROR(VLOOKUP(B361&amp;"ES",'LM7 Non-ENG'!$A$1:$A$4999,1,FALSE),"ERROR")=B361&amp;"ES","Y","")),"")</f>
        <v/>
      </c>
      <c r="H361" s="29" t="str">
        <f>IFERROR(HYPERLINK("#"&amp;ADDRESS(MATCH(B361&amp;"PT",'LM7 Non-ENG'!$A$1:$A$5000,0),1,,,"LM7 Non-ENG"),IF(IFERROR(VLOOKUP(B361&amp;"PT",'LM7 Non-ENG'!$A$1:$A$5000,1,FALSE),"ERROR")=B361&amp;"PT","Y","")),"")</f>
        <v/>
      </c>
    </row>
    <row r="362" spans="7:8" ht="18" customHeight="1">
      <c r="G362" s="29" t="str">
        <f>IFERROR(HYPERLINK("#"&amp;ADDRESS(MATCH(B362&amp;"ES",'LM7 Non-ENG'!$A$1:$A$5000,0),1,,,"LM7 Non-ENG"),IF(IFERROR(VLOOKUP(B362&amp;"ES",'LM7 Non-ENG'!$A$1:$A$4999,1,FALSE),"ERROR")=B362&amp;"ES","Y","")),"")</f>
        <v/>
      </c>
      <c r="H362" s="29" t="str">
        <f>IFERROR(HYPERLINK("#"&amp;ADDRESS(MATCH(B362&amp;"PT",'LM7 Non-ENG'!$A$1:$A$5000,0),1,,,"LM7 Non-ENG"),IF(IFERROR(VLOOKUP(B362&amp;"PT",'LM7 Non-ENG'!$A$1:$A$5000,1,FALSE),"ERROR")=B362&amp;"PT","Y","")),"")</f>
        <v/>
      </c>
    </row>
    <row r="363" spans="7:8" ht="18" customHeight="1">
      <c r="G363" s="29" t="str">
        <f>IFERROR(HYPERLINK("#"&amp;ADDRESS(MATCH(B363&amp;"ES",'LM7 Non-ENG'!$A$1:$A$5000,0),1,,,"LM7 Non-ENG"),IF(IFERROR(VLOOKUP(B363&amp;"ES",'LM7 Non-ENG'!$A$1:$A$4999,1,FALSE),"ERROR")=B363&amp;"ES","Y","")),"")</f>
        <v/>
      </c>
      <c r="H363" s="29" t="str">
        <f>IFERROR(HYPERLINK("#"&amp;ADDRESS(MATCH(B363&amp;"PT",'LM7 Non-ENG'!$A$1:$A$5000,0),1,,,"LM7 Non-ENG"),IF(IFERROR(VLOOKUP(B363&amp;"PT",'LM7 Non-ENG'!$A$1:$A$5000,1,FALSE),"ERROR")=B363&amp;"PT","Y","")),"")</f>
        <v/>
      </c>
    </row>
    <row r="364" spans="7:8" ht="18" customHeight="1">
      <c r="G364" s="29" t="str">
        <f>IFERROR(HYPERLINK("#"&amp;ADDRESS(MATCH(B364&amp;"ES",'LM7 Non-ENG'!$A$1:$A$5000,0),1,,,"LM7 Non-ENG"),IF(IFERROR(VLOOKUP(B364&amp;"ES",'LM7 Non-ENG'!$A$1:$A$4999,1,FALSE),"ERROR")=B364&amp;"ES","Y","")),"")</f>
        <v/>
      </c>
      <c r="H364" s="29" t="str">
        <f>IFERROR(HYPERLINK("#"&amp;ADDRESS(MATCH(B364&amp;"PT",'LM7 Non-ENG'!$A$1:$A$5000,0),1,,,"LM7 Non-ENG"),IF(IFERROR(VLOOKUP(B364&amp;"PT",'LM7 Non-ENG'!$A$1:$A$5000,1,FALSE),"ERROR")=B364&amp;"PT","Y","")),"")</f>
        <v/>
      </c>
    </row>
    <row r="365" spans="7:8" ht="18" customHeight="1">
      <c r="G365" s="29" t="str">
        <f>IFERROR(HYPERLINK("#"&amp;ADDRESS(MATCH(B365&amp;"ES",'LM7 Non-ENG'!$A$1:$A$5000,0),1,,,"LM7 Non-ENG"),IF(IFERROR(VLOOKUP(B365&amp;"ES",'LM7 Non-ENG'!$A$1:$A$4999,1,FALSE),"ERROR")=B365&amp;"ES","Y","")),"")</f>
        <v/>
      </c>
      <c r="H365" s="29" t="str">
        <f>IFERROR(HYPERLINK("#"&amp;ADDRESS(MATCH(B365&amp;"PT",'LM7 Non-ENG'!$A$1:$A$5000,0),1,,,"LM7 Non-ENG"),IF(IFERROR(VLOOKUP(B365&amp;"PT",'LM7 Non-ENG'!$A$1:$A$5000,1,FALSE),"ERROR")=B365&amp;"PT","Y","")),"")</f>
        <v/>
      </c>
    </row>
    <row r="366" spans="7:8" ht="18" customHeight="1">
      <c r="G366" s="29" t="str">
        <f>IFERROR(HYPERLINK("#"&amp;ADDRESS(MATCH(B366&amp;"ES",'LM7 Non-ENG'!$A$1:$A$5000,0),1,,,"LM7 Non-ENG"),IF(IFERROR(VLOOKUP(B366&amp;"ES",'LM7 Non-ENG'!$A$1:$A$4999,1,FALSE),"ERROR")=B366&amp;"ES","Y","")),"")</f>
        <v/>
      </c>
      <c r="H366" s="29" t="str">
        <f>IFERROR(HYPERLINK("#"&amp;ADDRESS(MATCH(B366&amp;"PT",'LM7 Non-ENG'!$A$1:$A$5000,0),1,,,"LM7 Non-ENG"),IF(IFERROR(VLOOKUP(B366&amp;"PT",'LM7 Non-ENG'!$A$1:$A$5000,1,FALSE),"ERROR")=B366&amp;"PT","Y","")),"")</f>
        <v/>
      </c>
    </row>
    <row r="367" spans="7:8" ht="18" customHeight="1">
      <c r="G367" s="29" t="str">
        <f>IFERROR(HYPERLINK("#"&amp;ADDRESS(MATCH(B367&amp;"ES",'LM7 Non-ENG'!$A$1:$A$5000,0),1,,,"LM7 Non-ENG"),IF(IFERROR(VLOOKUP(B367&amp;"ES",'LM7 Non-ENG'!$A$1:$A$4999,1,FALSE),"ERROR")=B367&amp;"ES","Y","")),"")</f>
        <v/>
      </c>
      <c r="H367" s="29" t="str">
        <f>IFERROR(HYPERLINK("#"&amp;ADDRESS(MATCH(B367&amp;"PT",'LM7 Non-ENG'!$A$1:$A$5000,0),1,,,"LM7 Non-ENG"),IF(IFERROR(VLOOKUP(B367&amp;"PT",'LM7 Non-ENG'!$A$1:$A$5000,1,FALSE),"ERROR")=B367&amp;"PT","Y","")),"")</f>
        <v/>
      </c>
    </row>
    <row r="368" spans="7:8" ht="18" customHeight="1">
      <c r="G368" s="29" t="str">
        <f>IFERROR(HYPERLINK("#"&amp;ADDRESS(MATCH(B368&amp;"ES",'LM7 Non-ENG'!$A$1:$A$5000,0),1,,,"LM7 Non-ENG"),IF(IFERROR(VLOOKUP(B368&amp;"ES",'LM7 Non-ENG'!$A$1:$A$4999,1,FALSE),"ERROR")=B368&amp;"ES","Y","")),"")</f>
        <v/>
      </c>
      <c r="H368" s="29" t="str">
        <f>IFERROR(HYPERLINK("#"&amp;ADDRESS(MATCH(B368&amp;"PT",'LM7 Non-ENG'!$A$1:$A$5000,0),1,,,"LM7 Non-ENG"),IF(IFERROR(VLOOKUP(B368&amp;"PT",'LM7 Non-ENG'!$A$1:$A$5000,1,FALSE),"ERROR")=B368&amp;"PT","Y","")),"")</f>
        <v/>
      </c>
    </row>
    <row r="369" spans="7:8" ht="18" customHeight="1">
      <c r="G369" s="29" t="str">
        <f>IFERROR(HYPERLINK("#"&amp;ADDRESS(MATCH(B369&amp;"ES",'LM7 Non-ENG'!$A$1:$A$5000,0),1,,,"LM7 Non-ENG"),IF(IFERROR(VLOOKUP(B369&amp;"ES",'LM7 Non-ENG'!$A$1:$A$4999,1,FALSE),"ERROR")=B369&amp;"ES","Y","")),"")</f>
        <v/>
      </c>
      <c r="H369" s="29" t="str">
        <f>IFERROR(HYPERLINK("#"&amp;ADDRESS(MATCH(B369&amp;"PT",'LM7 Non-ENG'!$A$1:$A$5000,0),1,,,"LM7 Non-ENG"),IF(IFERROR(VLOOKUP(B369&amp;"PT",'LM7 Non-ENG'!$A$1:$A$5000,1,FALSE),"ERROR")=B369&amp;"PT","Y","")),"")</f>
        <v/>
      </c>
    </row>
    <row r="370" spans="7:8" ht="18" customHeight="1">
      <c r="G370" s="29" t="str">
        <f>IFERROR(HYPERLINK("#"&amp;ADDRESS(MATCH(B370&amp;"ES",'LM7 Non-ENG'!$A$1:$A$5000,0),1,,,"LM7 Non-ENG"),IF(IFERROR(VLOOKUP(B370&amp;"ES",'LM7 Non-ENG'!$A$1:$A$4999,1,FALSE),"ERROR")=B370&amp;"ES","Y","")),"")</f>
        <v/>
      </c>
      <c r="H370" s="29" t="str">
        <f>IFERROR(HYPERLINK("#"&amp;ADDRESS(MATCH(B370&amp;"PT",'LM7 Non-ENG'!$A$1:$A$5000,0),1,,,"LM7 Non-ENG"),IF(IFERROR(VLOOKUP(B370&amp;"PT",'LM7 Non-ENG'!$A$1:$A$5000,1,FALSE),"ERROR")=B370&amp;"PT","Y","")),"")</f>
        <v/>
      </c>
    </row>
    <row r="371" spans="7:8" ht="18" customHeight="1">
      <c r="G371" s="29" t="str">
        <f>IFERROR(HYPERLINK("#"&amp;ADDRESS(MATCH(B371&amp;"ES",'LM7 Non-ENG'!$A$1:$A$5000,0),1,,,"LM7 Non-ENG"),IF(IFERROR(VLOOKUP(B371&amp;"ES",'LM7 Non-ENG'!$A$1:$A$4999,1,FALSE),"ERROR")=B371&amp;"ES","Y","")),"")</f>
        <v/>
      </c>
      <c r="H371" s="29" t="str">
        <f>IFERROR(HYPERLINK("#"&amp;ADDRESS(MATCH(B371&amp;"PT",'LM7 Non-ENG'!$A$1:$A$5000,0),1,,,"LM7 Non-ENG"),IF(IFERROR(VLOOKUP(B371&amp;"PT",'LM7 Non-ENG'!$A$1:$A$5000,1,FALSE),"ERROR")=B371&amp;"PT","Y","")),"")</f>
        <v/>
      </c>
    </row>
    <row r="372" spans="7:8" ht="18" customHeight="1">
      <c r="G372" s="29" t="str">
        <f>IFERROR(HYPERLINK("#"&amp;ADDRESS(MATCH(B372&amp;"ES",'LM7 Non-ENG'!$A$1:$A$5000,0),1,,,"LM7 Non-ENG"),IF(IFERROR(VLOOKUP(B372&amp;"ES",'LM7 Non-ENG'!$A$1:$A$4999,1,FALSE),"ERROR")=B372&amp;"ES","Y","")),"")</f>
        <v/>
      </c>
      <c r="H372" s="29" t="str">
        <f>IFERROR(HYPERLINK("#"&amp;ADDRESS(MATCH(B372&amp;"PT",'LM7 Non-ENG'!$A$1:$A$5000,0),1,,,"LM7 Non-ENG"),IF(IFERROR(VLOOKUP(B372&amp;"PT",'LM7 Non-ENG'!$A$1:$A$5000,1,FALSE),"ERROR")=B372&amp;"PT","Y","")),"")</f>
        <v/>
      </c>
    </row>
    <row r="373" spans="7:8" ht="18" customHeight="1">
      <c r="G373" s="29" t="str">
        <f>IFERROR(HYPERLINK("#"&amp;ADDRESS(MATCH(B373&amp;"ES",'LM7 Non-ENG'!$A$1:$A$5000,0),1,,,"LM7 Non-ENG"),IF(IFERROR(VLOOKUP(B373&amp;"ES",'LM7 Non-ENG'!$A$1:$A$4999,1,FALSE),"ERROR")=B373&amp;"ES","Y","")),"")</f>
        <v/>
      </c>
      <c r="H373" s="29" t="str">
        <f>IFERROR(HYPERLINK("#"&amp;ADDRESS(MATCH(B373&amp;"PT",'LM7 Non-ENG'!$A$1:$A$5000,0),1,,,"LM7 Non-ENG"),IF(IFERROR(VLOOKUP(B373&amp;"PT",'LM7 Non-ENG'!$A$1:$A$5000,1,FALSE),"ERROR")=B373&amp;"PT","Y","")),"")</f>
        <v/>
      </c>
    </row>
    <row r="374" spans="7:8" ht="18" customHeight="1">
      <c r="G374" s="29" t="str">
        <f>IFERROR(HYPERLINK("#"&amp;ADDRESS(MATCH(B374&amp;"ES",'LM7 Non-ENG'!$A$1:$A$5000,0),1,,,"LM7 Non-ENG"),IF(IFERROR(VLOOKUP(B374&amp;"ES",'LM7 Non-ENG'!$A$1:$A$4999,1,FALSE),"ERROR")=B374&amp;"ES","Y","")),"")</f>
        <v/>
      </c>
      <c r="H374" s="29" t="str">
        <f>IFERROR(HYPERLINK("#"&amp;ADDRESS(MATCH(B374&amp;"PT",'LM7 Non-ENG'!$A$1:$A$5000,0),1,,,"LM7 Non-ENG"),IF(IFERROR(VLOOKUP(B374&amp;"PT",'LM7 Non-ENG'!$A$1:$A$5000,1,FALSE),"ERROR")=B374&amp;"PT","Y","")),"")</f>
        <v/>
      </c>
    </row>
    <row r="375" spans="7:8" ht="18" customHeight="1">
      <c r="G375" s="29" t="str">
        <f>IFERROR(HYPERLINK("#"&amp;ADDRESS(MATCH(B375&amp;"ES",'LM7 Non-ENG'!$A$1:$A$5000,0),1,,,"LM7 Non-ENG"),IF(IFERROR(VLOOKUP(B375&amp;"ES",'LM7 Non-ENG'!$A$1:$A$4999,1,FALSE),"ERROR")=B375&amp;"ES","Y","")),"")</f>
        <v/>
      </c>
      <c r="H375" s="29" t="str">
        <f>IFERROR(HYPERLINK("#"&amp;ADDRESS(MATCH(B375&amp;"PT",'LM7 Non-ENG'!$A$1:$A$5000,0),1,,,"LM7 Non-ENG"),IF(IFERROR(VLOOKUP(B375&amp;"PT",'LM7 Non-ENG'!$A$1:$A$5000,1,FALSE),"ERROR")=B375&amp;"PT","Y","")),"")</f>
        <v/>
      </c>
    </row>
    <row r="376" spans="7:8" ht="18" customHeight="1">
      <c r="G376" s="29" t="str">
        <f>IFERROR(HYPERLINK("#"&amp;ADDRESS(MATCH(B376&amp;"ES",'LM7 Non-ENG'!$A$1:$A$5000,0),1,,,"LM7 Non-ENG"),IF(IFERROR(VLOOKUP(B376&amp;"ES",'LM7 Non-ENG'!$A$1:$A$4999,1,FALSE),"ERROR")=B376&amp;"ES","Y","")),"")</f>
        <v/>
      </c>
      <c r="H376" s="29" t="str">
        <f>IFERROR(HYPERLINK("#"&amp;ADDRESS(MATCH(B376&amp;"PT",'LM7 Non-ENG'!$A$1:$A$5000,0),1,,,"LM7 Non-ENG"),IF(IFERROR(VLOOKUP(B376&amp;"PT",'LM7 Non-ENG'!$A$1:$A$5000,1,FALSE),"ERROR")=B376&amp;"PT","Y","")),"")</f>
        <v/>
      </c>
    </row>
    <row r="377" spans="7:8" ht="18" customHeight="1">
      <c r="G377" s="29" t="str">
        <f>IFERROR(HYPERLINK("#"&amp;ADDRESS(MATCH(B377&amp;"ES",'LM7 Non-ENG'!$A$1:$A$5000,0),1,,,"LM7 Non-ENG"),IF(IFERROR(VLOOKUP(B377&amp;"ES",'LM7 Non-ENG'!$A$1:$A$4999,1,FALSE),"ERROR")=B377&amp;"ES","Y","")),"")</f>
        <v/>
      </c>
      <c r="H377" s="29" t="str">
        <f>IFERROR(HYPERLINK("#"&amp;ADDRESS(MATCH(B377&amp;"PT",'LM7 Non-ENG'!$A$1:$A$5000,0),1,,,"LM7 Non-ENG"),IF(IFERROR(VLOOKUP(B377&amp;"PT",'LM7 Non-ENG'!$A$1:$A$5000,1,FALSE),"ERROR")=B377&amp;"PT","Y","")),"")</f>
        <v/>
      </c>
    </row>
    <row r="378" spans="7:8" ht="18" customHeight="1">
      <c r="G378" s="29" t="str">
        <f>IFERROR(HYPERLINK("#"&amp;ADDRESS(MATCH(B378&amp;"ES",'LM7 Non-ENG'!$A$1:$A$5000,0),1,,,"LM7 Non-ENG"),IF(IFERROR(VLOOKUP(B378&amp;"ES",'LM7 Non-ENG'!$A$1:$A$4999,1,FALSE),"ERROR")=B378&amp;"ES","Y","")),"")</f>
        <v/>
      </c>
      <c r="H378" s="29" t="str">
        <f>IFERROR(HYPERLINK("#"&amp;ADDRESS(MATCH(B378&amp;"PT",'LM7 Non-ENG'!$A$1:$A$5000,0),1,,,"LM7 Non-ENG"),IF(IFERROR(VLOOKUP(B378&amp;"PT",'LM7 Non-ENG'!$A$1:$A$5000,1,FALSE),"ERROR")=B378&amp;"PT","Y","")),"")</f>
        <v/>
      </c>
    </row>
    <row r="379" spans="7:8" ht="18" customHeight="1">
      <c r="G379" s="29" t="str">
        <f>IFERROR(HYPERLINK("#"&amp;ADDRESS(MATCH(B379&amp;"ES",'LM7 Non-ENG'!$A$1:$A$5000,0),1,,,"LM7 Non-ENG"),IF(IFERROR(VLOOKUP(B379&amp;"ES",'LM7 Non-ENG'!$A$1:$A$4999,1,FALSE),"ERROR")=B379&amp;"ES","Y","")),"")</f>
        <v/>
      </c>
      <c r="H379" s="29" t="str">
        <f>IFERROR(HYPERLINK("#"&amp;ADDRESS(MATCH(B379&amp;"PT",'LM7 Non-ENG'!$A$1:$A$5000,0),1,,,"LM7 Non-ENG"),IF(IFERROR(VLOOKUP(B379&amp;"PT",'LM7 Non-ENG'!$A$1:$A$5000,1,FALSE),"ERROR")=B379&amp;"PT","Y","")),"")</f>
        <v/>
      </c>
    </row>
    <row r="380" spans="7:8" ht="18" customHeight="1">
      <c r="G380" s="29" t="str">
        <f>IFERROR(HYPERLINK("#"&amp;ADDRESS(MATCH(B380&amp;"ES",'LM7 Non-ENG'!$A$1:$A$5000,0),1,,,"LM7 Non-ENG"),IF(IFERROR(VLOOKUP(B380&amp;"ES",'LM7 Non-ENG'!$A$1:$A$4999,1,FALSE),"ERROR")=B380&amp;"ES","Y","")),"")</f>
        <v/>
      </c>
      <c r="H380" s="29" t="str">
        <f>IFERROR(HYPERLINK("#"&amp;ADDRESS(MATCH(B380&amp;"PT",'LM7 Non-ENG'!$A$1:$A$5000,0),1,,,"LM7 Non-ENG"),IF(IFERROR(VLOOKUP(B380&amp;"PT",'LM7 Non-ENG'!$A$1:$A$5000,1,FALSE),"ERROR")=B380&amp;"PT","Y","")),"")</f>
        <v/>
      </c>
    </row>
    <row r="381" spans="7:8" ht="18" customHeight="1">
      <c r="G381" s="29" t="str">
        <f>IFERROR(HYPERLINK("#"&amp;ADDRESS(MATCH(B381&amp;"ES",'LM7 Non-ENG'!$A$1:$A$5000,0),1,,,"LM7 Non-ENG"),IF(IFERROR(VLOOKUP(B381&amp;"ES",'LM7 Non-ENG'!$A$1:$A$4999,1,FALSE),"ERROR")=B381&amp;"ES","Y","")),"")</f>
        <v/>
      </c>
      <c r="H381" s="29" t="str">
        <f>IFERROR(HYPERLINK("#"&amp;ADDRESS(MATCH(B381&amp;"PT",'LM7 Non-ENG'!$A$1:$A$5000,0),1,,,"LM7 Non-ENG"),IF(IFERROR(VLOOKUP(B381&amp;"PT",'LM7 Non-ENG'!$A$1:$A$5000,1,FALSE),"ERROR")=B381&amp;"PT","Y","")),"")</f>
        <v/>
      </c>
    </row>
    <row r="382" spans="7:8" ht="18" customHeight="1">
      <c r="G382" s="29" t="str">
        <f>IFERROR(HYPERLINK("#"&amp;ADDRESS(MATCH(B382&amp;"ES",'LM7 Non-ENG'!$A$1:$A$5000,0),1,,,"LM7 Non-ENG"),IF(IFERROR(VLOOKUP(B382&amp;"ES",'LM7 Non-ENG'!$A$1:$A$4999,1,FALSE),"ERROR")=B382&amp;"ES","Y","")),"")</f>
        <v/>
      </c>
      <c r="H382" s="29" t="str">
        <f>IFERROR(HYPERLINK("#"&amp;ADDRESS(MATCH(B382&amp;"PT",'LM7 Non-ENG'!$A$1:$A$5000,0),1,,,"LM7 Non-ENG"),IF(IFERROR(VLOOKUP(B382&amp;"PT",'LM7 Non-ENG'!$A$1:$A$5000,1,FALSE),"ERROR")=B382&amp;"PT","Y","")),"")</f>
        <v/>
      </c>
    </row>
    <row r="383" spans="7:8" ht="18" customHeight="1">
      <c r="G383" s="29" t="str">
        <f>IFERROR(HYPERLINK("#"&amp;ADDRESS(MATCH(B383&amp;"ES",'LM7 Non-ENG'!$A$1:$A$5000,0),1,,,"LM7 Non-ENG"),IF(IFERROR(VLOOKUP(B383&amp;"ES",'LM7 Non-ENG'!$A$1:$A$4999,1,FALSE),"ERROR")=B383&amp;"ES","Y","")),"")</f>
        <v/>
      </c>
      <c r="H383" s="29" t="str">
        <f>IFERROR(HYPERLINK("#"&amp;ADDRESS(MATCH(B383&amp;"PT",'LM7 Non-ENG'!$A$1:$A$5000,0),1,,,"LM7 Non-ENG"),IF(IFERROR(VLOOKUP(B383&amp;"PT",'LM7 Non-ENG'!$A$1:$A$5000,1,FALSE),"ERROR")=B383&amp;"PT","Y","")),"")</f>
        <v/>
      </c>
    </row>
    <row r="384" spans="7:8" ht="18" customHeight="1">
      <c r="G384" s="29" t="str">
        <f>IFERROR(HYPERLINK("#"&amp;ADDRESS(MATCH(B384&amp;"ES",'LM7 Non-ENG'!$A$1:$A$5000,0),1,,,"LM7 Non-ENG"),IF(IFERROR(VLOOKUP(B384&amp;"ES",'LM7 Non-ENG'!$A$1:$A$4999,1,FALSE),"ERROR")=B384&amp;"ES","Y","")),"")</f>
        <v/>
      </c>
      <c r="H384" s="29" t="str">
        <f>IFERROR(HYPERLINK("#"&amp;ADDRESS(MATCH(B384&amp;"PT",'LM7 Non-ENG'!$A$1:$A$5000,0),1,,,"LM7 Non-ENG"),IF(IFERROR(VLOOKUP(B384&amp;"PT",'LM7 Non-ENG'!$A$1:$A$5000,1,FALSE),"ERROR")=B384&amp;"PT","Y","")),"")</f>
        <v/>
      </c>
    </row>
    <row r="385" spans="7:8" ht="18" customHeight="1">
      <c r="G385" s="29" t="str">
        <f>IFERROR(HYPERLINK("#"&amp;ADDRESS(MATCH(B385&amp;"ES",'LM7 Non-ENG'!$A$1:$A$5000,0),1,,,"LM7 Non-ENG"),IF(IFERROR(VLOOKUP(B385&amp;"ES",'LM7 Non-ENG'!$A$1:$A$4999,1,FALSE),"ERROR")=B385&amp;"ES","Y","")),"")</f>
        <v/>
      </c>
      <c r="H385" s="29" t="str">
        <f>IFERROR(HYPERLINK("#"&amp;ADDRESS(MATCH(B385&amp;"PT",'LM7 Non-ENG'!$A$1:$A$5000,0),1,,,"LM7 Non-ENG"),IF(IFERROR(VLOOKUP(B385&amp;"PT",'LM7 Non-ENG'!$A$1:$A$5000,1,FALSE),"ERROR")=B385&amp;"PT","Y","")),"")</f>
        <v/>
      </c>
    </row>
    <row r="386" spans="7:8" ht="18" customHeight="1">
      <c r="G386" s="29" t="str">
        <f>IFERROR(HYPERLINK("#"&amp;ADDRESS(MATCH(B386&amp;"ES",'LM7 Non-ENG'!$A$1:$A$5000,0),1,,,"LM7 Non-ENG"),IF(IFERROR(VLOOKUP(B386&amp;"ES",'LM7 Non-ENG'!$A$1:$A$4999,1,FALSE),"ERROR")=B386&amp;"ES","Y","")),"")</f>
        <v/>
      </c>
      <c r="H386" s="29" t="str">
        <f>IFERROR(HYPERLINK("#"&amp;ADDRESS(MATCH(B386&amp;"PT",'LM7 Non-ENG'!$A$1:$A$5000,0),1,,,"LM7 Non-ENG"),IF(IFERROR(VLOOKUP(B386&amp;"PT",'LM7 Non-ENG'!$A$1:$A$5000,1,FALSE),"ERROR")=B386&amp;"PT","Y","")),"")</f>
        <v/>
      </c>
    </row>
    <row r="387" spans="7:8" ht="18" customHeight="1">
      <c r="G387" s="29" t="str">
        <f>IFERROR(HYPERLINK("#"&amp;ADDRESS(MATCH(B387&amp;"ES",'LM7 Non-ENG'!$A$1:$A$5000,0),1,,,"LM7 Non-ENG"),IF(IFERROR(VLOOKUP(B387&amp;"ES",'LM7 Non-ENG'!$A$1:$A$4999,1,FALSE),"ERROR")=B387&amp;"ES","Y","")),"")</f>
        <v/>
      </c>
      <c r="H387" s="29" t="str">
        <f>IFERROR(HYPERLINK("#"&amp;ADDRESS(MATCH(B387&amp;"PT",'LM7 Non-ENG'!$A$1:$A$5000,0),1,,,"LM7 Non-ENG"),IF(IFERROR(VLOOKUP(B387&amp;"PT",'LM7 Non-ENG'!$A$1:$A$5000,1,FALSE),"ERROR")=B387&amp;"PT","Y","")),"")</f>
        <v/>
      </c>
    </row>
    <row r="388" spans="7:8" ht="18" customHeight="1">
      <c r="G388" s="29" t="str">
        <f>IFERROR(HYPERLINK("#"&amp;ADDRESS(MATCH(B388&amp;"ES",'LM7 Non-ENG'!$A$1:$A$5000,0),1,,,"LM7 Non-ENG"),IF(IFERROR(VLOOKUP(B388&amp;"ES",'LM7 Non-ENG'!$A$1:$A$4999,1,FALSE),"ERROR")=B388&amp;"ES","Y","")),"")</f>
        <v/>
      </c>
      <c r="H388" s="29" t="str">
        <f>IFERROR(HYPERLINK("#"&amp;ADDRESS(MATCH(B388&amp;"PT",'LM7 Non-ENG'!$A$1:$A$5000,0),1,,,"LM7 Non-ENG"),IF(IFERROR(VLOOKUP(B388&amp;"PT",'LM7 Non-ENG'!$A$1:$A$5000,1,FALSE),"ERROR")=B388&amp;"PT","Y","")),"")</f>
        <v/>
      </c>
    </row>
    <row r="389" spans="7:8" ht="18" customHeight="1">
      <c r="G389" s="29" t="str">
        <f>IFERROR(HYPERLINK("#"&amp;ADDRESS(MATCH(B389&amp;"ES",'LM7 Non-ENG'!$A$1:$A$5000,0),1,,,"LM7 Non-ENG"),IF(IFERROR(VLOOKUP(B389&amp;"ES",'LM7 Non-ENG'!$A$1:$A$4999,1,FALSE),"ERROR")=B389&amp;"ES","Y","")),"")</f>
        <v/>
      </c>
      <c r="H389" s="29" t="str">
        <f>IFERROR(HYPERLINK("#"&amp;ADDRESS(MATCH(B389&amp;"PT",'LM7 Non-ENG'!$A$1:$A$5000,0),1,,,"LM7 Non-ENG"),IF(IFERROR(VLOOKUP(B389&amp;"PT",'LM7 Non-ENG'!$A$1:$A$5000,1,FALSE),"ERROR")=B389&amp;"PT","Y","")),"")</f>
        <v/>
      </c>
    </row>
    <row r="390" spans="7:8" ht="18" customHeight="1">
      <c r="G390" s="29" t="str">
        <f>IFERROR(HYPERLINK("#"&amp;ADDRESS(MATCH(B390&amp;"ES",'LM7 Non-ENG'!$A$1:$A$5000,0),1,,,"LM7 Non-ENG"),IF(IFERROR(VLOOKUP(B390&amp;"ES",'LM7 Non-ENG'!$A$1:$A$4999,1,FALSE),"ERROR")=B390&amp;"ES","Y","")),"")</f>
        <v/>
      </c>
      <c r="H390" s="29" t="str">
        <f>IFERROR(HYPERLINK("#"&amp;ADDRESS(MATCH(B390&amp;"PT",'LM7 Non-ENG'!$A$1:$A$5000,0),1,,,"LM7 Non-ENG"),IF(IFERROR(VLOOKUP(B390&amp;"PT",'LM7 Non-ENG'!$A$1:$A$5000,1,FALSE),"ERROR")=B390&amp;"PT","Y","")),"")</f>
        <v/>
      </c>
    </row>
    <row r="391" spans="7:8" ht="18" customHeight="1">
      <c r="G391" s="29" t="str">
        <f>IFERROR(HYPERLINK("#"&amp;ADDRESS(MATCH(B391&amp;"ES",'LM7 Non-ENG'!$A$1:$A$5000,0),1,,,"LM7 Non-ENG"),IF(IFERROR(VLOOKUP(B391&amp;"ES",'LM7 Non-ENG'!$A$1:$A$4999,1,FALSE),"ERROR")=B391&amp;"ES","Y","")),"")</f>
        <v/>
      </c>
      <c r="H391" s="29" t="str">
        <f>IFERROR(HYPERLINK("#"&amp;ADDRESS(MATCH(B391&amp;"PT",'LM7 Non-ENG'!$A$1:$A$5000,0),1,,,"LM7 Non-ENG"),IF(IFERROR(VLOOKUP(B391&amp;"PT",'LM7 Non-ENG'!$A$1:$A$5000,1,FALSE),"ERROR")=B391&amp;"PT","Y","")),"")</f>
        <v/>
      </c>
    </row>
    <row r="392" spans="7:8" ht="18" customHeight="1">
      <c r="G392" s="29" t="str">
        <f>IFERROR(HYPERLINK("#"&amp;ADDRESS(MATCH(B392&amp;"ES",'LM7 Non-ENG'!$A$1:$A$5000,0),1,,,"LM7 Non-ENG"),IF(IFERROR(VLOOKUP(B392&amp;"ES",'LM7 Non-ENG'!$A$1:$A$4999,1,FALSE),"ERROR")=B392&amp;"ES","Y","")),"")</f>
        <v/>
      </c>
      <c r="H392" s="29" t="str">
        <f>IFERROR(HYPERLINK("#"&amp;ADDRESS(MATCH(B392&amp;"PT",'LM7 Non-ENG'!$A$1:$A$5000,0),1,,,"LM7 Non-ENG"),IF(IFERROR(VLOOKUP(B392&amp;"PT",'LM7 Non-ENG'!$A$1:$A$5000,1,FALSE),"ERROR")=B392&amp;"PT","Y","")),"")</f>
        <v/>
      </c>
    </row>
    <row r="393" spans="7:8" ht="18" customHeight="1">
      <c r="G393" s="29" t="str">
        <f>IFERROR(HYPERLINK("#"&amp;ADDRESS(MATCH(B393&amp;"ES",'LM7 Non-ENG'!$A$1:$A$5000,0),1,,,"LM7 Non-ENG"),IF(IFERROR(VLOOKUP(B393&amp;"ES",'LM7 Non-ENG'!$A$1:$A$4999,1,FALSE),"ERROR")=B393&amp;"ES","Y","")),"")</f>
        <v/>
      </c>
      <c r="H393" s="29" t="str">
        <f>IFERROR(HYPERLINK("#"&amp;ADDRESS(MATCH(B393&amp;"PT",'LM7 Non-ENG'!$A$1:$A$5000,0),1,,,"LM7 Non-ENG"),IF(IFERROR(VLOOKUP(B393&amp;"PT",'LM7 Non-ENG'!$A$1:$A$5000,1,FALSE),"ERROR")=B393&amp;"PT","Y","")),"")</f>
        <v/>
      </c>
    </row>
    <row r="394" spans="7:8" ht="18" customHeight="1">
      <c r="G394" s="29" t="str">
        <f>IFERROR(HYPERLINK("#"&amp;ADDRESS(MATCH(B394&amp;"ES",'LM7 Non-ENG'!$A$1:$A$5000,0),1,,,"LM7 Non-ENG"),IF(IFERROR(VLOOKUP(B394&amp;"ES",'LM7 Non-ENG'!$A$1:$A$4999,1,FALSE),"ERROR")=B394&amp;"ES","Y","")),"")</f>
        <v/>
      </c>
      <c r="H394" s="29" t="str">
        <f>IFERROR(HYPERLINK("#"&amp;ADDRESS(MATCH(B394&amp;"PT",'LM7 Non-ENG'!$A$1:$A$5000,0),1,,,"LM7 Non-ENG"),IF(IFERROR(VLOOKUP(B394&amp;"PT",'LM7 Non-ENG'!$A$1:$A$5000,1,FALSE),"ERROR")=B394&amp;"PT","Y","")),"")</f>
        <v/>
      </c>
    </row>
    <row r="395" spans="7:8" ht="18" customHeight="1">
      <c r="G395" s="29" t="str">
        <f>IFERROR(HYPERLINK("#"&amp;ADDRESS(MATCH(B395&amp;"ES",'LM7 Non-ENG'!$A$1:$A$5000,0),1,,,"LM7 Non-ENG"),IF(IFERROR(VLOOKUP(B395&amp;"ES",'LM7 Non-ENG'!$A$1:$A$4999,1,FALSE),"ERROR")=B395&amp;"ES","Y","")),"")</f>
        <v/>
      </c>
      <c r="H395" s="29" t="str">
        <f>IFERROR(HYPERLINK("#"&amp;ADDRESS(MATCH(B395&amp;"PT",'LM7 Non-ENG'!$A$1:$A$5000,0),1,,,"LM7 Non-ENG"),IF(IFERROR(VLOOKUP(B395&amp;"PT",'LM7 Non-ENG'!$A$1:$A$5000,1,FALSE),"ERROR")=B395&amp;"PT","Y","")),"")</f>
        <v/>
      </c>
    </row>
    <row r="396" spans="7:8" ht="18" customHeight="1">
      <c r="G396" s="29" t="str">
        <f>IFERROR(HYPERLINK("#"&amp;ADDRESS(MATCH(B396&amp;"ES",'LM7 Non-ENG'!$A$1:$A$5000,0),1,,,"LM7 Non-ENG"),IF(IFERROR(VLOOKUP(B396&amp;"ES",'LM7 Non-ENG'!$A$1:$A$4999,1,FALSE),"ERROR")=B396&amp;"ES","Y","")),"")</f>
        <v/>
      </c>
      <c r="H396" s="29" t="str">
        <f>IFERROR(HYPERLINK("#"&amp;ADDRESS(MATCH(B396&amp;"PT",'LM7 Non-ENG'!$A$1:$A$5000,0),1,,,"LM7 Non-ENG"),IF(IFERROR(VLOOKUP(B396&amp;"PT",'LM7 Non-ENG'!$A$1:$A$5000,1,FALSE),"ERROR")=B396&amp;"PT","Y","")),"")</f>
        <v/>
      </c>
    </row>
    <row r="397" spans="7:8" ht="18" customHeight="1">
      <c r="G397" s="29" t="str">
        <f>IFERROR(HYPERLINK("#"&amp;ADDRESS(MATCH(B397&amp;"ES",'LM7 Non-ENG'!$A$1:$A$5000,0),1,,,"LM7 Non-ENG"),IF(IFERROR(VLOOKUP(B397&amp;"ES",'LM7 Non-ENG'!$A$1:$A$4999,1,FALSE),"ERROR")=B397&amp;"ES","Y","")),"")</f>
        <v/>
      </c>
      <c r="H397" s="29" t="str">
        <f>IFERROR(HYPERLINK("#"&amp;ADDRESS(MATCH(B397&amp;"PT",'LM7 Non-ENG'!$A$1:$A$5000,0),1,,,"LM7 Non-ENG"),IF(IFERROR(VLOOKUP(B397&amp;"PT",'LM7 Non-ENG'!$A$1:$A$5000,1,FALSE),"ERROR")=B397&amp;"PT","Y","")),"")</f>
        <v/>
      </c>
    </row>
    <row r="398" spans="7:8" ht="18" customHeight="1">
      <c r="G398" s="29" t="str">
        <f>IFERROR(HYPERLINK("#"&amp;ADDRESS(MATCH(B398&amp;"ES",'LM7 Non-ENG'!$A$1:$A$5000,0),1,,,"LM7 Non-ENG"),IF(IFERROR(VLOOKUP(B398&amp;"ES",'LM7 Non-ENG'!$A$1:$A$4999,1,FALSE),"ERROR")=B398&amp;"ES","Y","")),"")</f>
        <v/>
      </c>
      <c r="H398" s="29" t="str">
        <f>IFERROR(HYPERLINK("#"&amp;ADDRESS(MATCH(B398&amp;"PT",'LM7 Non-ENG'!$A$1:$A$5000,0),1,,,"LM7 Non-ENG"),IF(IFERROR(VLOOKUP(B398&amp;"PT",'LM7 Non-ENG'!$A$1:$A$5000,1,FALSE),"ERROR")=B398&amp;"PT","Y","")),"")</f>
        <v/>
      </c>
    </row>
    <row r="399" spans="7:8" ht="18" customHeight="1">
      <c r="G399" s="29" t="str">
        <f>IFERROR(HYPERLINK("#"&amp;ADDRESS(MATCH(B399&amp;"ES",'LM7 Non-ENG'!$A$1:$A$5000,0),1,,,"LM7 Non-ENG"),IF(IFERROR(VLOOKUP(B399&amp;"ES",'LM7 Non-ENG'!$A$1:$A$4999,1,FALSE),"ERROR")=B399&amp;"ES","Y","")),"")</f>
        <v/>
      </c>
      <c r="H399" s="29" t="str">
        <f>IFERROR(HYPERLINK("#"&amp;ADDRESS(MATCH(B399&amp;"PT",'LM7 Non-ENG'!$A$1:$A$5000,0),1,,,"LM7 Non-ENG"),IF(IFERROR(VLOOKUP(B399&amp;"PT",'LM7 Non-ENG'!$A$1:$A$5000,1,FALSE),"ERROR")=B399&amp;"PT","Y","")),"")</f>
        <v/>
      </c>
    </row>
    <row r="400" spans="7:8" ht="18" customHeight="1">
      <c r="G400" s="29" t="str">
        <f>IFERROR(HYPERLINK("#"&amp;ADDRESS(MATCH(B400&amp;"ES",'LM7 Non-ENG'!$A$1:$A$5000,0),1,,,"LM7 Non-ENG"),IF(IFERROR(VLOOKUP(B400&amp;"ES",'LM7 Non-ENG'!$A$1:$A$4999,1,FALSE),"ERROR")=B400&amp;"ES","Y","")),"")</f>
        <v/>
      </c>
      <c r="H400" s="29" t="str">
        <f>IFERROR(HYPERLINK("#"&amp;ADDRESS(MATCH(B400&amp;"PT",'LM7 Non-ENG'!$A$1:$A$5000,0),1,,,"LM7 Non-ENG"),IF(IFERROR(VLOOKUP(B400&amp;"PT",'LM7 Non-ENG'!$A$1:$A$5000,1,FALSE),"ERROR")=B400&amp;"PT","Y","")),"")</f>
        <v/>
      </c>
    </row>
    <row r="401" spans="7:8" ht="18" customHeight="1">
      <c r="G401" s="29" t="str">
        <f>IFERROR(HYPERLINK("#"&amp;ADDRESS(MATCH(B401&amp;"ES",'LM7 Non-ENG'!$A$1:$A$5000,0),1,,,"LM7 Non-ENG"),IF(IFERROR(VLOOKUP(B401&amp;"ES",'LM7 Non-ENG'!$A$1:$A$4999,1,FALSE),"ERROR")=B401&amp;"ES","Y","")),"")</f>
        <v/>
      </c>
      <c r="H401" s="29" t="str">
        <f>IFERROR(HYPERLINK("#"&amp;ADDRESS(MATCH(B401&amp;"PT",'LM7 Non-ENG'!$A$1:$A$5000,0),1,,,"LM7 Non-ENG"),IF(IFERROR(VLOOKUP(B401&amp;"PT",'LM7 Non-ENG'!$A$1:$A$5000,1,FALSE),"ERROR")=B401&amp;"PT","Y","")),"")</f>
        <v/>
      </c>
    </row>
    <row r="402" spans="7:8" ht="18" customHeight="1">
      <c r="G402" s="29" t="str">
        <f>IFERROR(HYPERLINK("#"&amp;ADDRESS(MATCH(B402&amp;"ES",'LM7 Non-ENG'!$A$1:$A$5000,0),1,,,"LM7 Non-ENG"),IF(IFERROR(VLOOKUP(B402&amp;"ES",'LM7 Non-ENG'!$A$1:$A$4999,1,FALSE),"ERROR")=B402&amp;"ES","Y","")),"")</f>
        <v/>
      </c>
      <c r="H402" s="29" t="str">
        <f>IFERROR(HYPERLINK("#"&amp;ADDRESS(MATCH(B402&amp;"PT",'LM7 Non-ENG'!$A$1:$A$5000,0),1,,,"LM7 Non-ENG"),IF(IFERROR(VLOOKUP(B402&amp;"PT",'LM7 Non-ENG'!$A$1:$A$5000,1,FALSE),"ERROR")=B402&amp;"PT","Y","")),"")</f>
        <v/>
      </c>
    </row>
    <row r="403" spans="7:8" ht="18" customHeight="1">
      <c r="G403" s="29" t="str">
        <f>IFERROR(HYPERLINK("#"&amp;ADDRESS(MATCH(B403&amp;"ES",'LM7 Non-ENG'!$A$1:$A$5000,0),1,,,"LM7 Non-ENG"),IF(IFERROR(VLOOKUP(B403&amp;"ES",'LM7 Non-ENG'!$A$1:$A$4999,1,FALSE),"ERROR")=B403&amp;"ES","Y","")),"")</f>
        <v/>
      </c>
      <c r="H403" s="29" t="str">
        <f>IFERROR(HYPERLINK("#"&amp;ADDRESS(MATCH(B403&amp;"PT",'LM7 Non-ENG'!$A$1:$A$5000,0),1,,,"LM7 Non-ENG"),IF(IFERROR(VLOOKUP(B403&amp;"PT",'LM7 Non-ENG'!$A$1:$A$5000,1,FALSE),"ERROR")=B403&amp;"PT","Y","")),"")</f>
        <v/>
      </c>
    </row>
    <row r="404" spans="7:8" ht="18" customHeight="1">
      <c r="G404" s="29" t="str">
        <f>IFERROR(HYPERLINK("#"&amp;ADDRESS(MATCH(B404&amp;"ES",'LM7 Non-ENG'!$A$1:$A$5000,0),1,,,"LM7 Non-ENG"),IF(IFERROR(VLOOKUP(B404&amp;"ES",'LM7 Non-ENG'!$A$1:$A$4999,1,FALSE),"ERROR")=B404&amp;"ES","Y","")),"")</f>
        <v/>
      </c>
      <c r="H404" s="29" t="str">
        <f>IFERROR(HYPERLINK("#"&amp;ADDRESS(MATCH(B404&amp;"PT",'LM7 Non-ENG'!$A$1:$A$5000,0),1,,,"LM7 Non-ENG"),IF(IFERROR(VLOOKUP(B404&amp;"PT",'LM7 Non-ENG'!$A$1:$A$5000,1,FALSE),"ERROR")=B404&amp;"PT","Y","")),"")</f>
        <v/>
      </c>
    </row>
    <row r="405" spans="7:8" ht="18" customHeight="1">
      <c r="G405" s="29" t="str">
        <f>IFERROR(HYPERLINK("#"&amp;ADDRESS(MATCH(B405&amp;"ES",'LM7 Non-ENG'!$A$1:$A$5000,0),1,,,"LM7 Non-ENG"),IF(IFERROR(VLOOKUP(B405&amp;"ES",'LM7 Non-ENG'!$A$1:$A$4999,1,FALSE),"ERROR")=B405&amp;"ES","Y","")),"")</f>
        <v/>
      </c>
      <c r="H405" s="29" t="str">
        <f>IFERROR(HYPERLINK("#"&amp;ADDRESS(MATCH(B405&amp;"PT",'LM7 Non-ENG'!$A$1:$A$5000,0),1,,,"LM7 Non-ENG"),IF(IFERROR(VLOOKUP(B405&amp;"PT",'LM7 Non-ENG'!$A$1:$A$5000,1,FALSE),"ERROR")=B405&amp;"PT","Y","")),"")</f>
        <v/>
      </c>
    </row>
    <row r="406" spans="7:8" ht="18" customHeight="1">
      <c r="G406" s="29" t="str">
        <f>IFERROR(HYPERLINK("#"&amp;ADDRESS(MATCH(B406&amp;"ES",'LM7 Non-ENG'!$A$1:$A$5000,0),1,,,"LM7 Non-ENG"),IF(IFERROR(VLOOKUP(B406&amp;"ES",'LM7 Non-ENG'!$A$1:$A$4999,1,FALSE),"ERROR")=B406&amp;"ES","Y","")),"")</f>
        <v/>
      </c>
      <c r="H406" s="29" t="str">
        <f>IFERROR(HYPERLINK("#"&amp;ADDRESS(MATCH(B406&amp;"PT",'LM7 Non-ENG'!$A$1:$A$5000,0),1,,,"LM7 Non-ENG"),IF(IFERROR(VLOOKUP(B406&amp;"PT",'LM7 Non-ENG'!$A$1:$A$5000,1,FALSE),"ERROR")=B406&amp;"PT","Y","")),"")</f>
        <v/>
      </c>
    </row>
    <row r="407" spans="7:8" ht="18" customHeight="1">
      <c r="G407" s="29" t="str">
        <f>IFERROR(HYPERLINK("#"&amp;ADDRESS(MATCH(B407&amp;"ES",'LM7 Non-ENG'!$A$1:$A$5000,0),1,,,"LM7 Non-ENG"),IF(IFERROR(VLOOKUP(B407&amp;"ES",'LM7 Non-ENG'!$A$1:$A$4999,1,FALSE),"ERROR")=B407&amp;"ES","Y","")),"")</f>
        <v/>
      </c>
      <c r="H407" s="29" t="str">
        <f>IFERROR(HYPERLINK("#"&amp;ADDRESS(MATCH(B407&amp;"PT",'LM7 Non-ENG'!$A$1:$A$5000,0),1,,,"LM7 Non-ENG"),IF(IFERROR(VLOOKUP(B407&amp;"PT",'LM7 Non-ENG'!$A$1:$A$5000,1,FALSE),"ERROR")=B407&amp;"PT","Y","")),"")</f>
        <v/>
      </c>
    </row>
    <row r="408" spans="7:8" ht="18" customHeight="1">
      <c r="G408" s="29" t="str">
        <f>IFERROR(HYPERLINK("#"&amp;ADDRESS(MATCH(B408&amp;"ES",'LM7 Non-ENG'!$A$1:$A$5000,0),1,,,"LM7 Non-ENG"),IF(IFERROR(VLOOKUP(B408&amp;"ES",'LM7 Non-ENG'!$A$1:$A$4999,1,FALSE),"ERROR")=B408&amp;"ES","Y","")),"")</f>
        <v/>
      </c>
      <c r="H408" s="29" t="str">
        <f>IFERROR(HYPERLINK("#"&amp;ADDRESS(MATCH(B408&amp;"PT",'LM7 Non-ENG'!$A$1:$A$5000,0),1,,,"LM7 Non-ENG"),IF(IFERROR(VLOOKUP(B408&amp;"PT",'LM7 Non-ENG'!$A$1:$A$5000,1,FALSE),"ERROR")=B408&amp;"PT","Y","")),"")</f>
        <v/>
      </c>
    </row>
    <row r="409" spans="7:8" ht="18" customHeight="1">
      <c r="G409" s="29" t="str">
        <f>IFERROR(HYPERLINK("#"&amp;ADDRESS(MATCH(B409&amp;"ES",'LM7 Non-ENG'!$A$1:$A$5000,0),1,,,"LM7 Non-ENG"),IF(IFERROR(VLOOKUP(B409&amp;"ES",'LM7 Non-ENG'!$A$1:$A$4999,1,FALSE),"ERROR")=B409&amp;"ES","Y","")),"")</f>
        <v/>
      </c>
      <c r="H409" s="29" t="str">
        <f>IFERROR(HYPERLINK("#"&amp;ADDRESS(MATCH(B409&amp;"PT",'LM7 Non-ENG'!$A$1:$A$5000,0),1,,,"LM7 Non-ENG"),IF(IFERROR(VLOOKUP(B409&amp;"PT",'LM7 Non-ENG'!$A$1:$A$5000,1,FALSE),"ERROR")=B409&amp;"PT","Y","")),"")</f>
        <v/>
      </c>
    </row>
  </sheetData>
  <mergeCells count="9">
    <mergeCell ref="K1:T1"/>
    <mergeCell ref="K53:T54"/>
    <mergeCell ref="K37:T42"/>
    <mergeCell ref="K45:T50"/>
    <mergeCell ref="K3:T8"/>
    <mergeCell ref="K11:T12"/>
    <mergeCell ref="K15:T20"/>
    <mergeCell ref="K23:T29"/>
    <mergeCell ref="K32:T34"/>
  </mergeCells>
  <conditionalFormatting sqref="I9 I12:I13 I21 I30 I35 I38:I43 I46:I51">
    <cfRule type="cellIs" dxfId="200" priority="13" operator="equal">
      <formula>"ECO+NFS"</formula>
    </cfRule>
    <cfRule type="cellIs" dxfId="199" priority="14" operator="equal">
      <formula>"ECO-N2Mnf"</formula>
    </cfRule>
    <cfRule type="cellIs" dxfId="198" priority="15" operator="equal">
      <formula>"Inactive"</formula>
    </cfRule>
    <cfRule type="cellIs" dxfId="197" priority="16" operator="equal">
      <formula>"Phase Out"</formula>
    </cfRule>
    <cfRule type="cellIs" dxfId="196" priority="17" operator="equal">
      <formula>"ECO-N2Buy"</formula>
    </cfRule>
    <cfRule type="cellIs" dxfId="195" priority="18" operator="equal">
      <formula>"Not for purc"</formula>
    </cfRule>
  </conditionalFormatting>
  <conditionalFormatting sqref="I3">
    <cfRule type="cellIs" dxfId="194" priority="7" operator="equal">
      <formula>"ECO+NFS"</formula>
    </cfRule>
    <cfRule type="cellIs" dxfId="193" priority="8" operator="equal">
      <formula>"ECO-N2Mnf"</formula>
    </cfRule>
    <cfRule type="cellIs" dxfId="192" priority="9" operator="equal">
      <formula>"Inactive"</formula>
    </cfRule>
    <cfRule type="cellIs" dxfId="191" priority="10" operator="equal">
      <formula>"Phase Out"</formula>
    </cfRule>
    <cfRule type="cellIs" dxfId="190" priority="11" operator="equal">
      <formula>"ECO-N2Buy"</formula>
    </cfRule>
    <cfRule type="cellIs" dxfId="189" priority="12" operator="equal">
      <formula>"Not for purc"</formula>
    </cfRule>
  </conditionalFormatting>
  <conditionalFormatting sqref="I53 I45 I37 I32:I34 I23:I29 I15:I20 I11 I4:I8">
    <cfRule type="cellIs" dxfId="188" priority="1" operator="equal">
      <formula>"ECO+NFS"</formula>
    </cfRule>
    <cfRule type="cellIs" dxfId="187" priority="2" operator="equal">
      <formula>"ECO-N2Mnf"</formula>
    </cfRule>
    <cfRule type="cellIs" dxfId="186" priority="3" operator="equal">
      <formula>"Inactive"</formula>
    </cfRule>
    <cfRule type="cellIs" dxfId="185" priority="4" operator="equal">
      <formula>"Phase Out"</formula>
    </cfRule>
    <cfRule type="cellIs" dxfId="184" priority="5" operator="equal">
      <formula>"ECO-N2Buy"</formula>
    </cfRule>
    <cfRule type="cellIs" dxfId="183" priority="6" operator="equal">
      <formula>"Not for purc"</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2">
    <tabColor theme="3" tint="0.39997558519241921"/>
  </sheetPr>
  <dimension ref="A1:T316"/>
  <sheetViews>
    <sheetView workbookViewId="0">
      <pane ySplit="1" topLeftCell="A2" activePane="bottomLeft" state="frozen"/>
      <selection pane="bottomLeft" activeCell="I3" sqref="I3"/>
    </sheetView>
  </sheetViews>
  <sheetFormatPr baseColWidth="10" defaultColWidth="9" defaultRowHeight="18" customHeight="1"/>
  <cols>
    <col min="1" max="1" width="16.25" bestFit="1" customWidth="1"/>
    <col min="2" max="2" width="13.75" bestFit="1" customWidth="1"/>
    <col min="3" max="3" width="51.125" bestFit="1" customWidth="1"/>
    <col min="4" max="8" width="4.75" customWidth="1"/>
    <col min="9" max="9" width="7" customWidth="1"/>
    <col min="10" max="10" width="10.875" customWidth="1"/>
    <col min="11" max="20" width="8.375" customWidth="1"/>
  </cols>
  <sheetData>
    <row r="1" spans="1:20" ht="18" customHeight="1">
      <c r="A1" s="30"/>
      <c r="B1" s="30" t="s">
        <v>1</v>
      </c>
      <c r="C1" s="30" t="s">
        <v>2</v>
      </c>
      <c r="D1" s="31" t="s">
        <v>3</v>
      </c>
      <c r="E1" s="31" t="s">
        <v>4</v>
      </c>
      <c r="F1" s="31" t="s">
        <v>5</v>
      </c>
      <c r="G1" s="31" t="s">
        <v>250</v>
      </c>
      <c r="H1" s="31" t="s">
        <v>251</v>
      </c>
      <c r="I1" s="30" t="s">
        <v>6</v>
      </c>
      <c r="J1" s="31" t="s">
        <v>8</v>
      </c>
      <c r="K1" s="67" t="s">
        <v>11</v>
      </c>
      <c r="L1" s="67"/>
      <c r="M1" s="67"/>
      <c r="N1" s="67"/>
      <c r="O1" s="67"/>
      <c r="P1" s="67"/>
      <c r="Q1" s="67"/>
      <c r="R1" s="67"/>
      <c r="S1" s="67"/>
      <c r="T1" s="67"/>
    </row>
    <row r="2" spans="1:20" s="7" customFormat="1" ht="18" customHeight="1">
      <c r="A2" s="13" t="s">
        <v>393</v>
      </c>
      <c r="B2" s="13"/>
      <c r="C2" s="13" t="s">
        <v>394</v>
      </c>
      <c r="D2" s="14"/>
      <c r="E2" s="14"/>
      <c r="F2" s="14"/>
      <c r="G2" s="14"/>
      <c r="H2" s="14"/>
      <c r="I2" s="14"/>
      <c r="J2" s="14">
        <f>SUMIFS(J3:J8,D3:D8,"&lt;&gt;Y",F3:F8,"&lt;&gt;Y",I3:I8,"&lt;&gt;Inactive",I3:I8,"&lt;&gt;ECO+NFS")</f>
        <v>6700</v>
      </c>
      <c r="K2" s="14"/>
      <c r="L2" s="14"/>
      <c r="M2" s="14"/>
      <c r="N2" s="14"/>
      <c r="O2" s="14"/>
      <c r="P2" s="14"/>
      <c r="Q2" s="14"/>
      <c r="R2" s="14"/>
      <c r="S2" s="14"/>
      <c r="T2" s="14"/>
    </row>
    <row r="3" spans="1:20" ht="18" customHeight="1">
      <c r="A3" s="17" t="str">
        <f>HYPERLINK("#"&amp;ADDRESS(MATCH(A2,Machining!$A$1:$A$4990,0),1,,,"Machining"),"Back to Price List")</f>
        <v>Back to Price List</v>
      </c>
      <c r="B3" t="str">
        <f>"00-1000-0110"</f>
        <v>00-1000-0110</v>
      </c>
      <c r="C3" t="str">
        <f>"Bench Router 1000 16in x 24in HSS - 110V"</f>
        <v>Bench Router 1000 16in x 24in HSS - 110V</v>
      </c>
      <c r="D3" s="4"/>
      <c r="E3" s="4">
        <v>1</v>
      </c>
      <c r="F3" s="4"/>
      <c r="G3" s="29" t="str">
        <f>IFERROR(HYPERLINK("#"&amp;ADDRESS(MATCH(B3&amp;"ES",'LM7 Non-ENG'!$A$1:$A$5000,0),1,,,"LM7 Non-ENG"),IF(IFERROR(VLOOKUP(B3&amp;"ES",'LM7 Non-ENG'!$A$1:$A$4999,1,FALSE),"ERROR")=B3&amp;"ES","Y","")),"")</f>
        <v/>
      </c>
      <c r="H3" s="29" t="str">
        <f>IFERROR(HYPERLINK("#"&amp;ADDRESS(MATCH(B3&amp;"PT",'LM7 Non-ENG'!$A$1:$A$5000,0),1,,,"LM7 Non-ENG"),IF(IFERROR(VLOOKUP(B3&amp;"PT",'LM7 Non-ENG'!$A$1:$A$5000,1,FALSE),"ERROR")=B3&amp;"PT","Y","")),"")</f>
        <v/>
      </c>
      <c r="I3" t="str">
        <f>IFERROR(VLOOKUP(B3,PN!$A:$C,3,FALSE),"")</f>
        <v>Active</v>
      </c>
      <c r="J3" s="3">
        <f>IFERROR(E3*VLOOKUP(B3,PLInter!$A:$D,3,FALSE),"")</f>
        <v>6700</v>
      </c>
      <c r="K3" s="68" t="s">
        <v>395</v>
      </c>
      <c r="L3" s="68"/>
      <c r="M3" s="68"/>
      <c r="N3" s="68"/>
      <c r="O3" s="68"/>
      <c r="P3" s="68"/>
      <c r="Q3" s="68"/>
      <c r="R3" s="68"/>
      <c r="S3" s="68"/>
      <c r="T3" s="68"/>
    </row>
    <row r="4" spans="1:20" ht="18" customHeight="1">
      <c r="B4" s="2" t="str">
        <f>"00-1000-0220"</f>
        <v>00-1000-0220</v>
      </c>
      <c r="C4" s="2" t="str">
        <f>"Bench Router 1000 16in x 24in HSS - 220V"</f>
        <v>Bench Router 1000 16in x 24in HSS - 220V</v>
      </c>
      <c r="D4" s="5"/>
      <c r="E4" s="5">
        <v>1</v>
      </c>
      <c r="F4" s="5" t="str">
        <f>"Y"</f>
        <v>Y</v>
      </c>
      <c r="G4" s="29" t="str">
        <f>IFERROR(HYPERLINK("#"&amp;ADDRESS(MATCH(B4&amp;"ES",'LM7 Non-ENG'!$A$1:$A$5000,0),1,,,"LM7 Non-ENG"),IF(IFERROR(VLOOKUP(B4&amp;"ES",'LM7 Non-ENG'!$A$1:$A$4999,1,FALSE),"ERROR")=B4&amp;"ES","Y","")),"")</f>
        <v/>
      </c>
      <c r="H4" s="29" t="str">
        <f>IFERROR(HYPERLINK("#"&amp;ADDRESS(MATCH(B4&amp;"PT",'LM7 Non-ENG'!$A$1:$A$5000,0),1,,,"LM7 Non-ENG"),IF(IFERROR(VLOOKUP(B4&amp;"PT",'LM7 Non-ENG'!$A$1:$A$5000,1,FALSE),"ERROR")=B4&amp;"PT","Y","")),"")</f>
        <v/>
      </c>
      <c r="I4" t="str">
        <f>IFERROR(VLOOKUP(B4,PN!$A:$C,3,FALSE),"")</f>
        <v>Active</v>
      </c>
      <c r="J4" s="3">
        <f>IFERROR(E4*VLOOKUP(B4,PLInter!$A:$D,3,FALSE),"")</f>
        <v>6700</v>
      </c>
      <c r="K4" s="68"/>
      <c r="L4" s="68"/>
      <c r="M4" s="68"/>
      <c r="N4" s="68"/>
      <c r="O4" s="68"/>
      <c r="P4" s="68"/>
      <c r="Q4" s="68"/>
      <c r="R4" s="68"/>
      <c r="S4" s="68"/>
      <c r="T4" s="68"/>
    </row>
    <row r="5" spans="1:20" ht="18" customHeight="1">
      <c r="B5" t="str">
        <f>"63-2000-VCRV"</f>
        <v>63-2000-VCRV</v>
      </c>
      <c r="C5" t="str">
        <f>"Vcarve Pro Education Software; 40 Seats"</f>
        <v>Vcarve Pro Education Software; 40 Seats</v>
      </c>
      <c r="D5" s="4"/>
      <c r="E5" s="4">
        <v>1</v>
      </c>
      <c r="F5" s="4"/>
      <c r="G5" s="29" t="str">
        <f>IFERROR(HYPERLINK("#"&amp;ADDRESS(MATCH(B5&amp;"ES",'LM7 Non-ENG'!$A$1:$A$5000,0),1,,,"LM7 Non-ENG"),IF(IFERROR(VLOOKUP(B5&amp;"ES",'LM7 Non-ENG'!$A$1:$A$4999,1,FALSE),"ERROR")=B5&amp;"ES","Y","")),"")</f>
        <v/>
      </c>
      <c r="H5" s="29" t="str">
        <f>IFERROR(HYPERLINK("#"&amp;ADDRESS(MATCH(B5&amp;"PT",'LM7 Non-ENG'!$A$1:$A$5000,0),1,,,"LM7 Non-ENG"),IF(IFERROR(VLOOKUP(B5&amp;"PT",'LM7 Non-ENG'!$A$1:$A$5000,1,FALSE),"ERROR")=B5&amp;"PT","Y","")),"")</f>
        <v/>
      </c>
      <c r="I5" t="str">
        <f>IFERROR(VLOOKUP(B5,PN!$A:$C,3,FALSE),"")</f>
        <v>Active</v>
      </c>
      <c r="J5" s="3" t="str">
        <f>IFERROR(E5*VLOOKUP(B5,PLInter!$A:$D,3,FALSE),"")</f>
        <v/>
      </c>
      <c r="K5" s="68"/>
      <c r="L5" s="68"/>
      <c r="M5" s="68"/>
      <c r="N5" s="68"/>
      <c r="O5" s="68"/>
      <c r="P5" s="68"/>
      <c r="Q5" s="68"/>
      <c r="R5" s="68"/>
      <c r="S5" s="68"/>
      <c r="T5" s="68"/>
    </row>
    <row r="6" spans="1:20" ht="18" customHeight="1">
      <c r="B6" t="str">
        <f>"34-1000-VCRV"</f>
        <v>34-1000-VCRV</v>
      </c>
      <c r="C6" t="str">
        <f>"VCarve Pro Licensing Notification Document"</f>
        <v>VCarve Pro Licensing Notification Document</v>
      </c>
      <c r="D6" s="4"/>
      <c r="E6" s="4">
        <v>1</v>
      </c>
      <c r="F6" s="4"/>
      <c r="G6" s="29" t="str">
        <f>IFERROR(HYPERLINK("#"&amp;ADDRESS(MATCH(B6&amp;"ES",'LM7 Non-ENG'!$A$1:$A$5000,0),1,,,"LM7 Non-ENG"),IF(IFERROR(VLOOKUP(B6&amp;"ES",'LM7 Non-ENG'!$A$1:$A$4999,1,FALSE),"ERROR")=B6&amp;"ES","Y","")),"")</f>
        <v/>
      </c>
      <c r="H6" s="29" t="str">
        <f>IFERROR(HYPERLINK("#"&amp;ADDRESS(MATCH(B6&amp;"PT",'LM7 Non-ENG'!$A$1:$A$5000,0),1,,,"LM7 Non-ENG"),IF(IFERROR(VLOOKUP(B6&amp;"PT",'LM7 Non-ENG'!$A$1:$A$5000,1,FALSE),"ERROR")=B6&amp;"PT","Y","")),"")</f>
        <v/>
      </c>
      <c r="I6" t="str">
        <f>IFERROR(VLOOKUP(B6,PN!$A:$C,3,FALSE),"")</f>
        <v>Active</v>
      </c>
      <c r="J6" s="3" t="str">
        <f>IFERROR(E6*VLOOKUP(B6,PLInter!$A:$D,3,FALSE),"")</f>
        <v/>
      </c>
      <c r="K6" s="68"/>
      <c r="L6" s="68"/>
      <c r="M6" s="68"/>
      <c r="N6" s="68"/>
      <c r="O6" s="68"/>
      <c r="P6" s="68"/>
      <c r="Q6" s="68"/>
      <c r="R6" s="68"/>
      <c r="S6" s="68"/>
      <c r="T6" s="68"/>
    </row>
    <row r="7" spans="1:20" ht="18" customHeight="1">
      <c r="B7" t="str">
        <f>"77-8160-0001-L"</f>
        <v>77-8160-0001-L</v>
      </c>
      <c r="C7" t="str">
        <f>"OL Content, Intro to CNC Routers, 1 Year Lease"</f>
        <v>OL Content, Intro to CNC Routers, 1 Year Lease</v>
      </c>
      <c r="D7" s="4"/>
      <c r="E7" s="4">
        <v>1</v>
      </c>
      <c r="F7" s="4"/>
      <c r="G7" s="29" t="str">
        <f>IFERROR(HYPERLINK("#"&amp;ADDRESS(MATCH(B7&amp;"ES",'LM7 Non-ENG'!$A$1:$A$5000,0),1,,,"LM7 Non-ENG"),IF(IFERROR(VLOOKUP(B7&amp;"ES",'LM7 Non-ENG'!$A$1:$A$4999,1,FALSE),"ERROR")=B7&amp;"ES","Y","")),"")</f>
        <v/>
      </c>
      <c r="H7" s="29" t="str">
        <f>IFERROR(HYPERLINK("#"&amp;ADDRESS(MATCH(B7&amp;"PT",'LM7 Non-ENG'!$A$1:$A$5000,0),1,,,"LM7 Non-ENG"),IF(IFERROR(VLOOKUP(B7&amp;"PT",'LM7 Non-ENG'!$A$1:$A$5000,1,FALSE),"ERROR")=B7&amp;"PT","Y","")),"")</f>
        <v/>
      </c>
      <c r="I7" t="str">
        <f>IFERROR(VLOOKUP(B7,PN!$A:$C,3,FALSE),"")</f>
        <v>New</v>
      </c>
      <c r="J7" s="3" t="str">
        <f>IFERROR(E7*VLOOKUP(B7,PLInter!$A:$D,3,FALSE),"")</f>
        <v/>
      </c>
      <c r="K7" s="68"/>
      <c r="L7" s="68"/>
      <c r="M7" s="68"/>
      <c r="N7" s="68"/>
      <c r="O7" s="68"/>
      <c r="P7" s="68"/>
      <c r="Q7" s="68"/>
      <c r="R7" s="68"/>
      <c r="S7" s="68"/>
      <c r="T7" s="68"/>
    </row>
    <row r="8" spans="1:20" ht="18" customHeight="1">
      <c r="B8" s="2" t="str">
        <f>"77-8160-0001"</f>
        <v>77-8160-0001</v>
      </c>
      <c r="C8" s="2" t="str">
        <f>"LM7 Content, Lab, Intro to CNC Routers VcarvePro"</f>
        <v>LM7 Content, Lab, Intro to CNC Routers VcarvePro</v>
      </c>
      <c r="D8" s="5"/>
      <c r="E8" s="5">
        <v>1</v>
      </c>
      <c r="F8" s="5" t="str">
        <f>"Y"</f>
        <v>Y</v>
      </c>
      <c r="G8" s="29" t="str">
        <f>IFERROR(HYPERLINK("#"&amp;ADDRESS(MATCH(B8&amp;"ES",'LM7 Non-ENG'!$A$1:$A$5000,0),1,,,"LM7 Non-ENG"),IF(IFERROR(VLOOKUP(B8&amp;"ES",'LM7 Non-ENG'!$A$1:$A$4999,1,FALSE),"ERROR")=B8&amp;"ES","Y","")),"")</f>
        <v/>
      </c>
      <c r="H8" s="29" t="str">
        <f>IFERROR(HYPERLINK("#"&amp;ADDRESS(MATCH(B8&amp;"PT",'LM7 Non-ENG'!$A$1:$A$5000,0),1,,,"LM7 Non-ENG"),IF(IFERROR(VLOOKUP(B8&amp;"PT",'LM7 Non-ENG'!$A$1:$A$5000,1,FALSE),"ERROR")=B8&amp;"PT","Y","")),"")</f>
        <v/>
      </c>
      <c r="I8" t="str">
        <f>IFERROR(VLOOKUP(B8,PN!$A:$C,3,FALSE),"")</f>
        <v>New</v>
      </c>
      <c r="J8" s="3" t="str">
        <f>IFERROR(E8*VLOOKUP(B8,PLInter!$A:$D,3,FALSE),"")</f>
        <v/>
      </c>
      <c r="K8" s="68"/>
      <c r="L8" s="68"/>
      <c r="M8" s="68"/>
      <c r="N8" s="68"/>
      <c r="O8" s="68"/>
      <c r="P8" s="68"/>
      <c r="Q8" s="68"/>
      <c r="R8" s="68"/>
      <c r="S8" s="68"/>
      <c r="T8" s="68"/>
    </row>
    <row r="9" spans="1:20" ht="18" customHeight="1">
      <c r="G9" s="29"/>
      <c r="H9" s="29"/>
    </row>
    <row r="10" spans="1:20" s="7" customFormat="1" ht="18" customHeight="1">
      <c r="A10" s="13" t="s">
        <v>396</v>
      </c>
      <c r="B10" s="13"/>
      <c r="C10" s="13" t="s">
        <v>404</v>
      </c>
      <c r="D10" s="14"/>
      <c r="E10" s="14"/>
      <c r="F10" s="14"/>
      <c r="G10" s="14"/>
      <c r="H10" s="14"/>
      <c r="I10" s="14"/>
      <c r="J10" s="14">
        <f>SUMIFS(J11:J13,D11:D13,"&lt;&gt;Y",F11:F13,"&lt;&gt;Y",I11:I13,"&lt;&gt;Inactive",I11:I13,"&lt;&gt;ECO+NFS")</f>
        <v>18700</v>
      </c>
      <c r="K10" s="14"/>
      <c r="L10" s="14"/>
      <c r="M10" s="14"/>
      <c r="N10" s="14"/>
      <c r="O10" s="14"/>
      <c r="P10" s="14"/>
      <c r="Q10" s="14"/>
      <c r="R10" s="14"/>
      <c r="S10" s="14"/>
      <c r="T10" s="14"/>
    </row>
    <row r="11" spans="1:20" ht="18" customHeight="1">
      <c r="A11" s="17" t="str">
        <f>HYPERLINK("#"&amp;ADDRESS(MATCH(A10,Machining!$A$1:$A$4990,0),1,,,"Machining"),"Back to Price List")</f>
        <v>Back to Price List</v>
      </c>
      <c r="B11" t="str">
        <f>"00-2044-0220"</f>
        <v>00-2044-0220</v>
      </c>
      <c r="C11" t="str">
        <f>"Pro Router 2000 4ft x 4ft HSS - 220V"</f>
        <v>Pro Router 2000 4ft x 4ft HSS - 220V</v>
      </c>
      <c r="D11" s="4"/>
      <c r="E11" s="4">
        <v>1</v>
      </c>
      <c r="F11" s="4"/>
      <c r="H11" s="29"/>
      <c r="I11" t="str">
        <f>IFERROR(VLOOKUP(B11,PN!$A:$C,3,FALSE),"")</f>
        <v>Active</v>
      </c>
      <c r="J11" s="3">
        <f>IFERROR(E11*VLOOKUP(B11,PLInter!$A:$D,3,FALSE),"")</f>
        <v>18700</v>
      </c>
      <c r="K11" s="68" t="s">
        <v>397</v>
      </c>
      <c r="L11" s="68"/>
      <c r="M11" s="68"/>
      <c r="N11" s="68"/>
      <c r="O11" s="68"/>
      <c r="P11" s="68"/>
      <c r="Q11" s="68"/>
      <c r="R11" s="68"/>
      <c r="S11" s="68"/>
      <c r="T11" s="68"/>
    </row>
    <row r="12" spans="1:20" ht="18" customHeight="1">
      <c r="B12" t="str">
        <f>"63-2000-VCRV"</f>
        <v>63-2000-VCRV</v>
      </c>
      <c r="C12" t="str">
        <f>"Vcarve Pro Education Software; 40 Seats"</f>
        <v>Vcarve Pro Education Software; 40 Seats</v>
      </c>
      <c r="D12" s="4"/>
      <c r="E12" s="4">
        <v>1</v>
      </c>
      <c r="F12" s="4"/>
      <c r="H12" s="29"/>
      <c r="I12" t="str">
        <f>IFERROR(VLOOKUP(B12,PN!$A:$C,3,FALSE),"")</f>
        <v>Active</v>
      </c>
      <c r="J12" s="3" t="str">
        <f>IFERROR(E12*VLOOKUP(B12,PLInter!$A:$D,3,FALSE),"")</f>
        <v/>
      </c>
      <c r="K12" s="68"/>
      <c r="L12" s="68"/>
      <c r="M12" s="68"/>
      <c r="N12" s="68"/>
      <c r="O12" s="68"/>
      <c r="P12" s="68"/>
      <c r="Q12" s="68"/>
      <c r="R12" s="68"/>
      <c r="S12" s="68"/>
      <c r="T12" s="68"/>
    </row>
    <row r="13" spans="1:20" ht="18" customHeight="1">
      <c r="B13" t="str">
        <f>"34-1000-VCRV"</f>
        <v>34-1000-VCRV</v>
      </c>
      <c r="C13" t="str">
        <f>"VCarve Pro Licensing Notification Document"</f>
        <v>VCarve Pro Licensing Notification Document</v>
      </c>
      <c r="D13" s="4"/>
      <c r="E13" s="4">
        <v>1</v>
      </c>
      <c r="F13" s="4"/>
      <c r="H13" s="29"/>
      <c r="I13" t="str">
        <f>IFERROR(VLOOKUP(B13,PN!$A:$C,3,FALSE),"")</f>
        <v>Active</v>
      </c>
      <c r="J13" s="3" t="str">
        <f>IFERROR(E13*VLOOKUP(B13,PLInter!$A:$D,3,FALSE),"")</f>
        <v/>
      </c>
      <c r="K13" s="68"/>
      <c r="L13" s="68"/>
      <c r="M13" s="68"/>
      <c r="N13" s="68"/>
      <c r="O13" s="68"/>
      <c r="P13" s="68"/>
      <c r="Q13" s="68"/>
      <c r="R13" s="68"/>
      <c r="S13" s="68"/>
      <c r="T13" s="68"/>
    </row>
    <row r="14" spans="1:20" ht="18" customHeight="1">
      <c r="D14" s="4"/>
      <c r="E14" s="4"/>
      <c r="F14" s="4"/>
      <c r="G14" s="29"/>
      <c r="H14" s="29"/>
      <c r="K14" s="68"/>
      <c r="L14" s="68"/>
      <c r="M14" s="68"/>
      <c r="N14" s="68"/>
      <c r="O14" s="68"/>
      <c r="P14" s="68"/>
      <c r="Q14" s="68"/>
      <c r="R14" s="68"/>
      <c r="S14" s="68"/>
      <c r="T14" s="68"/>
    </row>
    <row r="15" spans="1:20" ht="18" customHeight="1">
      <c r="G15" s="29"/>
      <c r="H15" s="29"/>
    </row>
    <row r="16" spans="1:20" s="7" customFormat="1" ht="18" customHeight="1">
      <c r="A16" s="13" t="s">
        <v>398</v>
      </c>
      <c r="B16" s="13"/>
      <c r="C16" s="13" t="s">
        <v>399</v>
      </c>
      <c r="D16" s="14"/>
      <c r="E16" s="14"/>
      <c r="F16" s="14"/>
      <c r="G16" s="14"/>
      <c r="H16" s="14"/>
      <c r="I16" s="14"/>
      <c r="J16" s="14">
        <f>SUMIFS(J17:J19,D17:D19,"&lt;&gt;Y",F17:F19,"&lt;&gt;Y",I17:I19,"&lt;&gt;Inactive",I17:I19,"&lt;&gt;ECO+NFS")</f>
        <v>20700</v>
      </c>
      <c r="K16" s="14"/>
      <c r="L16" s="14"/>
      <c r="M16" s="14"/>
      <c r="N16" s="14"/>
      <c r="O16" s="14"/>
      <c r="P16" s="14"/>
      <c r="Q16" s="14"/>
      <c r="R16" s="14"/>
      <c r="S16" s="14"/>
      <c r="T16" s="14"/>
    </row>
    <row r="17" spans="1:20" ht="18" customHeight="1">
      <c r="A17" s="17" t="str">
        <f>HYPERLINK("#"&amp;ADDRESS(MATCH(A16,Machining!$A$1:$A$4990,0),1,,,"Machining"),"Back to Price List")</f>
        <v>Back to Price List</v>
      </c>
      <c r="B17" t="str">
        <f>"00-2048-0220"</f>
        <v>00-2048-0220</v>
      </c>
      <c r="C17" t="str">
        <f>"Pro Router 2100 4ft x 8ft HSS - 220V"</f>
        <v>Pro Router 2100 4ft x 8ft HSS - 220V</v>
      </c>
      <c r="D17" s="4"/>
      <c r="E17" s="4">
        <v>1</v>
      </c>
      <c r="F17" s="4"/>
      <c r="G17" s="29" t="str">
        <f>IFERROR(HYPERLINK("#"&amp;ADDRESS(MATCH(B17&amp;"ES",'LM7 Non-ENG'!$A$1:$A$5000,0),1,,,"LM7 Non-ENG"),IF(IFERROR(VLOOKUP(B17&amp;"ES",'LM7 Non-ENG'!$A$1:$A$4999,1,FALSE),"ERROR")=B17&amp;"ES","Y","")),"")</f>
        <v/>
      </c>
      <c r="H17" s="29" t="str">
        <f>IFERROR(HYPERLINK("#"&amp;ADDRESS(MATCH(B17&amp;"PT",'LM7 Non-ENG'!$A$1:$A$5000,0),1,,,"LM7 Non-ENG"),IF(IFERROR(VLOOKUP(B17&amp;"PT",'LM7 Non-ENG'!$A$1:$A$5000,1,FALSE),"ERROR")=B17&amp;"PT","Y","")),"")</f>
        <v/>
      </c>
      <c r="I17" t="str">
        <f>IFERROR(VLOOKUP(B17,PN!$A:$C,3,FALSE),"")</f>
        <v>Active</v>
      </c>
      <c r="J17" s="3">
        <f>IFERROR(E17*VLOOKUP(B17,PLInter!$A:$D,3,FALSE),"")</f>
        <v>20700</v>
      </c>
      <c r="K17" s="68" t="s">
        <v>400</v>
      </c>
      <c r="L17" s="68"/>
      <c r="M17" s="68"/>
      <c r="N17" s="68"/>
      <c r="O17" s="68"/>
      <c r="P17" s="68"/>
      <c r="Q17" s="68"/>
      <c r="R17" s="68"/>
      <c r="S17" s="68"/>
      <c r="T17" s="68"/>
    </row>
    <row r="18" spans="1:20" ht="18" customHeight="1">
      <c r="B18" t="str">
        <f>"63-2000-VCRV"</f>
        <v>63-2000-VCRV</v>
      </c>
      <c r="C18" t="str">
        <f>"Vcarve Pro Education Software; 40 Seats"</f>
        <v>Vcarve Pro Education Software; 40 Seats</v>
      </c>
      <c r="D18" s="4"/>
      <c r="E18" s="4">
        <v>1</v>
      </c>
      <c r="F18" s="4"/>
      <c r="G18" s="29" t="str">
        <f>IFERROR(HYPERLINK("#"&amp;ADDRESS(MATCH(B18&amp;"ES",'LM7 Non-ENG'!$A$1:$A$5000,0),1,,,"LM7 Non-ENG"),IF(IFERROR(VLOOKUP(B18&amp;"ES",'LM7 Non-ENG'!$A$1:$A$4999,1,FALSE),"ERROR")=B18&amp;"ES","Y","")),"")</f>
        <v/>
      </c>
      <c r="H18" s="29" t="str">
        <f>IFERROR(HYPERLINK("#"&amp;ADDRESS(MATCH(B18&amp;"PT",'LM7 Non-ENG'!$A$1:$A$5000,0),1,,,"LM7 Non-ENG"),IF(IFERROR(VLOOKUP(B18&amp;"PT",'LM7 Non-ENG'!$A$1:$A$5000,1,FALSE),"ERROR")=B18&amp;"PT","Y","")),"")</f>
        <v/>
      </c>
      <c r="I18" t="str">
        <f>IFERROR(VLOOKUP(B18,PN!$A:$C,3,FALSE),"")</f>
        <v>Active</v>
      </c>
      <c r="J18" s="3" t="str">
        <f>IFERROR(E18*VLOOKUP(B18,PLInter!$A:$D,3,FALSE),"")</f>
        <v/>
      </c>
      <c r="K18" s="68"/>
      <c r="L18" s="68"/>
      <c r="M18" s="68"/>
      <c r="N18" s="68"/>
      <c r="O18" s="68"/>
      <c r="P18" s="68"/>
      <c r="Q18" s="68"/>
      <c r="R18" s="68"/>
      <c r="S18" s="68"/>
      <c r="T18" s="68"/>
    </row>
    <row r="19" spans="1:20" ht="18" customHeight="1">
      <c r="B19" t="str">
        <f>"34-1000-VCRV"</f>
        <v>34-1000-VCRV</v>
      </c>
      <c r="C19" t="str">
        <f>"VCarve Pro Licensing Notification Document"</f>
        <v>VCarve Pro Licensing Notification Document</v>
      </c>
      <c r="D19" s="4"/>
      <c r="E19" s="4">
        <v>1</v>
      </c>
      <c r="F19" s="4"/>
      <c r="G19" s="29" t="str">
        <f>IFERROR(HYPERLINK("#"&amp;ADDRESS(MATCH(B19&amp;"ES",'LM7 Non-ENG'!$A$1:$A$5000,0),1,,,"LM7 Non-ENG"),IF(IFERROR(VLOOKUP(B19&amp;"ES",'LM7 Non-ENG'!$A$1:$A$4999,1,FALSE),"ERROR")=B19&amp;"ES","Y","")),"")</f>
        <v/>
      </c>
      <c r="H19" s="29" t="str">
        <f>IFERROR(HYPERLINK("#"&amp;ADDRESS(MATCH(B19&amp;"PT",'LM7 Non-ENG'!$A$1:$A$5000,0),1,,,"LM7 Non-ENG"),IF(IFERROR(VLOOKUP(B19&amp;"PT",'LM7 Non-ENG'!$A$1:$A$5000,1,FALSE),"ERROR")=B19&amp;"PT","Y","")),"")</f>
        <v/>
      </c>
      <c r="I19" t="str">
        <f>IFERROR(VLOOKUP(B19,PN!$A:$C,3,FALSE),"")</f>
        <v>Active</v>
      </c>
      <c r="J19" s="3" t="str">
        <f>IFERROR(E19*VLOOKUP(B19,PLInter!$A:$D,3,FALSE),"")</f>
        <v/>
      </c>
      <c r="K19" s="68"/>
      <c r="L19" s="68"/>
      <c r="M19" s="68"/>
      <c r="N19" s="68"/>
      <c r="O19" s="68"/>
      <c r="P19" s="68"/>
      <c r="Q19" s="68"/>
      <c r="R19" s="68"/>
      <c r="S19" s="68"/>
      <c r="T19" s="68"/>
    </row>
    <row r="20" spans="1:20" ht="18" customHeight="1">
      <c r="G20" s="29"/>
      <c r="H20" s="29"/>
      <c r="K20" s="68"/>
      <c r="L20" s="68"/>
      <c r="M20" s="68"/>
      <c r="N20" s="68"/>
      <c r="O20" s="68"/>
      <c r="P20" s="68"/>
      <c r="Q20" s="68"/>
      <c r="R20" s="68"/>
      <c r="S20" s="68"/>
      <c r="T20" s="68"/>
    </row>
    <row r="21" spans="1:20" ht="18" customHeight="1">
      <c r="G21" s="29"/>
      <c r="H21" s="29"/>
      <c r="K21" s="68"/>
      <c r="L21" s="68"/>
      <c r="M21" s="68"/>
      <c r="N21" s="68"/>
      <c r="O21" s="68"/>
      <c r="P21" s="68"/>
      <c r="Q21" s="68"/>
      <c r="R21" s="68"/>
      <c r="S21" s="68"/>
      <c r="T21" s="68"/>
    </row>
    <row r="22" spans="1:20" ht="18" customHeight="1">
      <c r="G22" s="29"/>
      <c r="H22" s="29"/>
    </row>
    <row r="23" spans="1:20" s="7" customFormat="1" ht="18" customHeight="1">
      <c r="A23" s="13" t="s">
        <v>406</v>
      </c>
      <c r="B23" s="13"/>
      <c r="C23" s="13" t="s">
        <v>407</v>
      </c>
      <c r="D23" s="14"/>
      <c r="E23" s="14"/>
      <c r="F23" s="14"/>
      <c r="G23" s="14"/>
      <c r="H23" s="14"/>
      <c r="I23" s="14"/>
      <c r="J23" s="14">
        <f>SUMIFS(J24:J34,D24:D34,"&lt;&gt;Y",F24:F34,"&lt;&gt;Y",I24:I34,"&lt;&gt;Inactive",I24:I34,"&lt;&gt;ECO+NFS")</f>
        <v>18736</v>
      </c>
      <c r="K23" s="14"/>
      <c r="L23" s="14"/>
      <c r="M23" s="14"/>
      <c r="N23" s="14"/>
      <c r="O23" s="14"/>
      <c r="P23" s="14"/>
      <c r="Q23" s="14"/>
      <c r="R23" s="14"/>
      <c r="S23" s="14"/>
      <c r="T23" s="14"/>
    </row>
    <row r="24" spans="1:20" ht="18" customHeight="1">
      <c r="A24" s="17" t="str">
        <f>HYPERLINK("#"&amp;ADDRESS(MATCH(A23,Machining!$A$1:$A$4990,0),1,,,"Machining"),"Back to Price List")</f>
        <v>Back to Price List</v>
      </c>
      <c r="B24" t="str">
        <f>"00-5505-0110"</f>
        <v>00-5505-0110</v>
      </c>
      <c r="C24" t="str">
        <f>"CNC BenchMILL 6000, 110 VAC"</f>
        <v>CNC BenchMILL 6000, 110 VAC</v>
      </c>
      <c r="D24" s="4"/>
      <c r="E24" s="4">
        <v>1</v>
      </c>
      <c r="F24" s="4"/>
      <c r="G24" s="29" t="str">
        <f>IFERROR(HYPERLINK("#"&amp;ADDRESS(MATCH(B24&amp;"ES",'LM7 Non-ENG'!$A$1:$A$5000,0),1,,,"LM7 Non-ENG"),IF(IFERROR(VLOOKUP(B24&amp;"ES",'LM7 Non-ENG'!$A$1:$A$4999,1,FALSE),"ERROR")=B24&amp;"ES","Y","")),"")</f>
        <v/>
      </c>
      <c r="H24" s="29" t="str">
        <f>IFERROR(HYPERLINK("#"&amp;ADDRESS(MATCH(B24&amp;"PT",'LM7 Non-ENG'!$A$1:$A$5000,0),1,,,"LM7 Non-ENG"),IF(IFERROR(VLOOKUP(B24&amp;"PT",'LM7 Non-ENG'!$A$1:$A$5000,1,FALSE),"ERROR")=B24&amp;"PT","Y","")),"")</f>
        <v/>
      </c>
      <c r="I24" t="str">
        <f>IFERROR(VLOOKUP(B24,PN!$A:$C,3,FALSE),"")</f>
        <v>Active</v>
      </c>
      <c r="J24" s="3">
        <f>IFERROR(E24*VLOOKUP(B24,PLInter!$A:$D,3,FALSE),"")</f>
        <v>14934</v>
      </c>
      <c r="K24" s="68" t="s">
        <v>408</v>
      </c>
      <c r="L24" s="66"/>
      <c r="M24" s="66"/>
      <c r="N24" s="66"/>
      <c r="O24" s="66"/>
      <c r="P24" s="66"/>
      <c r="Q24" s="66"/>
      <c r="R24" s="66"/>
      <c r="S24" s="66"/>
      <c r="T24" s="66"/>
    </row>
    <row r="25" spans="1:20" ht="18" customHeight="1">
      <c r="B25" s="2" t="str">
        <f>"00-5505-0220"</f>
        <v>00-5505-0220</v>
      </c>
      <c r="C25" s="2" t="str">
        <f>"CNC BenchMILL 6000, 220 VAC"</f>
        <v>CNC BenchMILL 6000, 220 VAC</v>
      </c>
      <c r="D25" s="5"/>
      <c r="E25" s="5">
        <v>1</v>
      </c>
      <c r="F25" s="5" t="str">
        <f>"Y"</f>
        <v>Y</v>
      </c>
      <c r="G25" s="29" t="str">
        <f>IFERROR(HYPERLINK("#"&amp;ADDRESS(MATCH(B25&amp;"ES",'LM7 Non-ENG'!$A$1:$A$5000,0),1,,,"LM7 Non-ENG"),IF(IFERROR(VLOOKUP(B25&amp;"ES",'LM7 Non-ENG'!$A$1:$A$4999,1,FALSE),"ERROR")=B25&amp;"ES","Y","")),"")</f>
        <v/>
      </c>
      <c r="H25" s="29" t="str">
        <f>IFERROR(HYPERLINK("#"&amp;ADDRESS(MATCH(B25&amp;"PT",'LM7 Non-ENG'!$A$1:$A$5000,0),1,,,"LM7 Non-ENG"),IF(IFERROR(VLOOKUP(B25&amp;"PT",'LM7 Non-ENG'!$A$1:$A$5000,1,FALSE),"ERROR")=B25&amp;"PT","Y","")),"")</f>
        <v/>
      </c>
      <c r="I25" t="str">
        <f>IFERROR(VLOOKUP(B25,PN!$A:$C,3,FALSE),"")</f>
        <v>Active</v>
      </c>
      <c r="J25" s="3">
        <f>IFERROR(E25*VLOOKUP(B25,PLInter!$A:$D,3,FALSE),"")</f>
        <v>14934</v>
      </c>
      <c r="K25" s="66"/>
      <c r="L25" s="66"/>
      <c r="M25" s="66"/>
      <c r="N25" s="66"/>
      <c r="O25" s="66"/>
      <c r="P25" s="66"/>
      <c r="Q25" s="66"/>
      <c r="R25" s="66"/>
      <c r="S25" s="66"/>
      <c r="T25" s="66"/>
    </row>
    <row r="26" spans="1:20" ht="18" customHeight="1">
      <c r="B26" t="str">
        <f>"10-1111-6000"</f>
        <v>10-1111-6000</v>
      </c>
      <c r="C26" t="str">
        <f>"4"" Precision Maching Vise"</f>
        <v>4" Precision Maching Vise</v>
      </c>
      <c r="D26" s="4"/>
      <c r="E26" s="4">
        <v>1</v>
      </c>
      <c r="F26" s="4"/>
      <c r="G26" s="29" t="str">
        <f>IFERROR(HYPERLINK("#"&amp;ADDRESS(MATCH(B26&amp;"ES",'LM7 Non-ENG'!$A$1:$A$5000,0),1,,,"LM7 Non-ENG"),IF(IFERROR(VLOOKUP(B26&amp;"ES",'LM7 Non-ENG'!$A$1:$A$4999,1,FALSE),"ERROR")=B26&amp;"ES","Y","")),"")</f>
        <v/>
      </c>
      <c r="H26" s="29" t="str">
        <f>IFERROR(HYPERLINK("#"&amp;ADDRESS(MATCH(B26&amp;"PT",'LM7 Non-ENG'!$A$1:$A$5000,0),1,,,"LM7 Non-ENG"),IF(IFERROR(VLOOKUP(B26&amp;"PT",'LM7 Non-ENG'!$A$1:$A$5000,1,FALSE),"ERROR")=B26&amp;"PT","Y","")),"")</f>
        <v/>
      </c>
      <c r="I26" t="str">
        <f>IFERROR(VLOOKUP(B26,PN!$A:$C,3,FALSE),"")</f>
        <v>Active</v>
      </c>
      <c r="J26" s="3">
        <f>IFERROR(E26*VLOOKUP(B26,PLInter!$A:$D,3,FALSE),"")</f>
        <v>206</v>
      </c>
      <c r="K26" s="66"/>
      <c r="L26" s="66"/>
      <c r="M26" s="66"/>
      <c r="N26" s="66"/>
      <c r="O26" s="66"/>
      <c r="P26" s="66"/>
      <c r="Q26" s="66"/>
      <c r="R26" s="66"/>
      <c r="S26" s="66"/>
      <c r="T26" s="66"/>
    </row>
    <row r="27" spans="1:20" ht="18" customHeight="1">
      <c r="B27" t="str">
        <f>"10-1111-5000"</f>
        <v>10-1111-5000</v>
      </c>
      <c r="C27" t="str">
        <f>"clamping kit 58 pcs set"</f>
        <v>clamping kit 58 pcs set</v>
      </c>
      <c r="D27" s="4"/>
      <c r="E27" s="4">
        <v>1</v>
      </c>
      <c r="F27" s="4"/>
      <c r="G27" s="29" t="str">
        <f>IFERROR(HYPERLINK("#"&amp;ADDRESS(MATCH(B27&amp;"ES",'LM7 Non-ENG'!$A$1:$A$5000,0),1,,,"LM7 Non-ENG"),IF(IFERROR(VLOOKUP(B27&amp;"ES",'LM7 Non-ENG'!$A$1:$A$4999,1,FALSE),"ERROR")=B27&amp;"ES","Y","")),"")</f>
        <v/>
      </c>
      <c r="H27" s="29" t="str">
        <f>IFERROR(HYPERLINK("#"&amp;ADDRESS(MATCH(B27&amp;"PT",'LM7 Non-ENG'!$A$1:$A$5000,0),1,,,"LM7 Non-ENG"),IF(IFERROR(VLOOKUP(B27&amp;"PT",'LM7 Non-ENG'!$A$1:$A$5000,1,FALSE),"ERROR")=B27&amp;"PT","Y","")),"")</f>
        <v/>
      </c>
      <c r="I27" t="str">
        <f>IFERROR(VLOOKUP(B27,PN!$A:$C,3,FALSE),"")</f>
        <v>Active</v>
      </c>
      <c r="J27" s="3">
        <f>IFERROR(E27*VLOOKUP(B27,PLInter!$A:$D,3,FALSE),"")</f>
        <v>175</v>
      </c>
      <c r="K27" s="66"/>
      <c r="L27" s="66"/>
      <c r="M27" s="66"/>
      <c r="N27" s="66"/>
      <c r="O27" s="66"/>
      <c r="P27" s="66"/>
      <c r="Q27" s="66"/>
      <c r="R27" s="66"/>
      <c r="S27" s="66"/>
      <c r="T27" s="66"/>
    </row>
    <row r="28" spans="1:20" ht="18" customHeight="1">
      <c r="B28" t="str">
        <f>"10-1112-2000"</f>
        <v>10-1112-2000</v>
      </c>
      <c r="C28" t="str">
        <f>"ER16 Collet set-8 pieces(3,4,5,6,7,8,9 and 10mm)"</f>
        <v>ER16 Collet set-8 pieces(3,4,5,6,7,8,9 and 10mm)</v>
      </c>
      <c r="D28" s="4"/>
      <c r="E28" s="4">
        <v>1</v>
      </c>
      <c r="F28" s="4"/>
      <c r="G28" s="29" t="str">
        <f>IFERROR(HYPERLINK("#"&amp;ADDRESS(MATCH(B28&amp;"ES",'LM7 Non-ENG'!$A$1:$A$5000,0),1,,,"LM7 Non-ENG"),IF(IFERROR(VLOOKUP(B28&amp;"ES",'LM7 Non-ENG'!$A$1:$A$4999,1,FALSE),"ERROR")=B28&amp;"ES","Y","")),"")</f>
        <v/>
      </c>
      <c r="H28" s="29" t="str">
        <f>IFERROR(HYPERLINK("#"&amp;ADDRESS(MATCH(B28&amp;"PT",'LM7 Non-ENG'!$A$1:$A$5000,0),1,,,"LM7 Non-ENG"),IF(IFERROR(VLOOKUP(B28&amp;"PT",'LM7 Non-ENG'!$A$1:$A$5000,1,FALSE),"ERROR")=B28&amp;"PT","Y","")),"")</f>
        <v/>
      </c>
      <c r="I28" t="str">
        <f>IFERROR(VLOOKUP(B28,PN!$A:$C,3,FALSE),"")</f>
        <v>Active</v>
      </c>
      <c r="J28" s="3">
        <f>IFERROR(E28*VLOOKUP(B28,PLInter!$A:$D,3,FALSE),"")</f>
        <v>226</v>
      </c>
      <c r="K28" s="66"/>
      <c r="L28" s="66"/>
      <c r="M28" s="66"/>
      <c r="N28" s="66"/>
      <c r="O28" s="66"/>
      <c r="P28" s="66"/>
      <c r="Q28" s="66"/>
      <c r="R28" s="66"/>
      <c r="S28" s="66"/>
      <c r="T28" s="66"/>
    </row>
    <row r="29" spans="1:20" ht="18" customHeight="1">
      <c r="B29" t="str">
        <f>"10-1113-5000"</f>
        <v>10-1113-5000</v>
      </c>
      <c r="C29" t="str">
        <f>"Imperial Advanced End Mill Package 5120"</f>
        <v>Imperial Advanced End Mill Package 5120</v>
      </c>
      <c r="D29" s="4"/>
      <c r="E29" s="4">
        <v>1</v>
      </c>
      <c r="F29" s="4"/>
      <c r="G29" s="29" t="str">
        <f>IFERROR(HYPERLINK("#"&amp;ADDRESS(MATCH(B29&amp;"ES",'LM7 Non-ENG'!$A$1:$A$5000,0),1,,,"LM7 Non-ENG"),IF(IFERROR(VLOOKUP(B29&amp;"ES",'LM7 Non-ENG'!$A$1:$A$4999,1,FALSE),"ERROR")=B29&amp;"ES","Y","")),"")</f>
        <v/>
      </c>
      <c r="H29" s="29" t="str">
        <f>IFERROR(HYPERLINK("#"&amp;ADDRESS(MATCH(B29&amp;"PT",'LM7 Non-ENG'!$A$1:$A$5000,0),1,,,"LM7 Non-ENG"),IF(IFERROR(VLOOKUP(B29&amp;"PT",'LM7 Non-ENG'!$A$1:$A$5000,1,FALSE),"ERROR")=B29&amp;"PT","Y","")),"")</f>
        <v/>
      </c>
      <c r="I29" t="str">
        <f>IFERROR(VLOOKUP(B29,PN!$A:$C,3,FALSE),"")</f>
        <v>Active</v>
      </c>
      <c r="J29" s="3">
        <f>IFERROR(E29*VLOOKUP(B29,PLInter!$A:$D,3,FALSE),"")</f>
        <v>200</v>
      </c>
      <c r="K29" s="66"/>
      <c r="L29" s="66"/>
      <c r="M29" s="66"/>
      <c r="N29" s="66"/>
      <c r="O29" s="66"/>
      <c r="P29" s="66"/>
      <c r="Q29" s="66"/>
      <c r="R29" s="66"/>
      <c r="S29" s="66"/>
      <c r="T29" s="66"/>
    </row>
    <row r="30" spans="1:20" ht="18" customHeight="1">
      <c r="B30" s="2" t="str">
        <f>"10-1113-4000"</f>
        <v>10-1113-4000</v>
      </c>
      <c r="C30" s="2" t="str">
        <f>"Metric Advanced End Mill Package 5121"</f>
        <v>Metric Advanced End Mill Package 5121</v>
      </c>
      <c r="D30" s="5"/>
      <c r="E30" s="5">
        <v>1</v>
      </c>
      <c r="F30" s="5" t="str">
        <f>"Y"</f>
        <v>Y</v>
      </c>
      <c r="G30" s="29" t="str">
        <f>IFERROR(HYPERLINK("#"&amp;ADDRESS(MATCH(B30&amp;"ES",'LM7 Non-ENG'!$A$1:$A$5000,0),1,,,"LM7 Non-ENG"),IF(IFERROR(VLOOKUP(B30&amp;"ES",'LM7 Non-ENG'!$A$1:$A$4999,1,FALSE),"ERROR")=B30&amp;"ES","Y","")),"")</f>
        <v/>
      </c>
      <c r="H30" s="29" t="str">
        <f>IFERROR(HYPERLINK("#"&amp;ADDRESS(MATCH(B30&amp;"PT",'LM7 Non-ENG'!$A$1:$A$5000,0),1,,,"LM7 Non-ENG"),IF(IFERROR(VLOOKUP(B30&amp;"PT",'LM7 Non-ENG'!$A$1:$A$5000,1,FALSE),"ERROR")=B30&amp;"PT","Y","")),"")</f>
        <v/>
      </c>
      <c r="I30" t="str">
        <f>IFERROR(VLOOKUP(B30,PN!$A:$C,3,FALSE),"")</f>
        <v>Active</v>
      </c>
      <c r="J30" s="3">
        <f>IFERROR(E30*VLOOKUP(B30,PLInter!$A:$D,3,FALSE),"")</f>
        <v>200</v>
      </c>
      <c r="K30" s="66"/>
      <c r="L30" s="66"/>
      <c r="M30" s="66"/>
      <c r="N30" s="66"/>
      <c r="O30" s="66"/>
      <c r="P30" s="66"/>
      <c r="Q30" s="66"/>
      <c r="R30" s="66"/>
      <c r="S30" s="66"/>
      <c r="T30" s="66"/>
    </row>
    <row r="31" spans="1:20" ht="18" customHeight="1">
      <c r="B31" t="str">
        <f>"77-3140-0001"</f>
        <v>77-3140-0001</v>
      </c>
      <c r="C31" t="str">
        <f>"LM7 Content, Vir, CNC Milling w/BenchMill 6000"</f>
        <v>LM7 Content, Vir, CNC Milling w/BenchMill 6000</v>
      </c>
      <c r="D31" s="4"/>
      <c r="E31" s="4">
        <v>1</v>
      </c>
      <c r="F31" s="4"/>
      <c r="G31" s="29" t="str">
        <f>IFERROR(HYPERLINK("#"&amp;ADDRESS(MATCH(B31&amp;"ES",'LM7 Non-ENG'!$A$1:$A$5000,0),1,,,"LM7 Non-ENG"),IF(IFERROR(VLOOKUP(B31&amp;"ES",'LM7 Non-ENG'!$A$1:$A$4999,1,FALSE),"ERROR")=B31&amp;"ES","Y","")),"")</f>
        <v/>
      </c>
      <c r="H31" s="29" t="str">
        <f>IFERROR(HYPERLINK("#"&amp;ADDRESS(MATCH(B31&amp;"PT",'LM7 Non-ENG'!$A$1:$A$5000,0),1,,,"LM7 Non-ENG"),IF(IFERROR(VLOOKUP(B31&amp;"PT",'LM7 Non-ENG'!$A$1:$A$5000,1,FALSE),"ERROR")=B31&amp;"PT","Y","")),"")</f>
        <v/>
      </c>
      <c r="I31" t="str">
        <f>IFERROR(VLOOKUP(B31,PN!$A:$C,3,FALSE),"")</f>
        <v>Active</v>
      </c>
      <c r="J31" s="3">
        <f>IFERROR(E31*VLOOKUP(B31,PLInter!$A:$D,3,FALSE),"")</f>
        <v>2995</v>
      </c>
      <c r="K31" s="66"/>
      <c r="L31" s="66"/>
      <c r="M31" s="66"/>
      <c r="N31" s="66"/>
      <c r="O31" s="66"/>
      <c r="P31" s="66"/>
      <c r="Q31" s="66"/>
      <c r="R31" s="66"/>
      <c r="S31" s="66"/>
      <c r="T31" s="66"/>
    </row>
    <row r="32" spans="1:20" ht="18" customHeight="1">
      <c r="B32" s="2" t="str">
        <f>"17-3140-0001"</f>
        <v>17-3140-0001</v>
      </c>
      <c r="C32" s="2" t="str">
        <f>"LM5.X Content, Vir, CNC Milling w/BenchMill 6000"</f>
        <v>LM5.X Content, Vir, CNC Milling w/BenchMill 6000</v>
      </c>
      <c r="D32" s="5"/>
      <c r="E32" s="5">
        <v>1</v>
      </c>
      <c r="F32" s="5" t="str">
        <f>"Y"</f>
        <v>Y</v>
      </c>
      <c r="G32" s="29" t="str">
        <f>IFERROR(HYPERLINK("#"&amp;ADDRESS(MATCH(B32&amp;"ES",'LM7 Non-ENG'!$A$1:$A$5000,0),1,,,"LM7 Non-ENG"),IF(IFERROR(VLOOKUP(B32&amp;"ES",'LM7 Non-ENG'!$A$1:$A$4999,1,FALSE),"ERROR")=B32&amp;"ES","Y","")),"")</f>
        <v/>
      </c>
      <c r="H32" s="29" t="str">
        <f>IFERROR(HYPERLINK("#"&amp;ADDRESS(MATCH(B32&amp;"PT",'LM7 Non-ENG'!$A$1:$A$5000,0),1,,,"LM7 Non-ENG"),IF(IFERROR(VLOOKUP(B32&amp;"PT",'LM7 Non-ENG'!$A$1:$A$5000,1,FALSE),"ERROR")=B32&amp;"PT","Y","")),"")</f>
        <v/>
      </c>
      <c r="I32" t="str">
        <f>IFERROR(VLOOKUP(B32,PN!$A:$C,3,FALSE),"")</f>
        <v>Active</v>
      </c>
      <c r="J32" s="3">
        <f>IFERROR(E32*VLOOKUP(B32,PLInter!$A:$D,3,FALSE),"")</f>
        <v>2995</v>
      </c>
      <c r="K32" s="66"/>
      <c r="L32" s="66"/>
      <c r="M32" s="66"/>
      <c r="N32" s="66"/>
      <c r="O32" s="66"/>
      <c r="P32" s="66"/>
      <c r="Q32" s="66"/>
      <c r="R32" s="66"/>
      <c r="S32" s="66"/>
      <c r="T32" s="66"/>
    </row>
    <row r="33" spans="1:20" ht="18" customHeight="1">
      <c r="B33" s="2" t="str">
        <f>"17-3140-0002"</f>
        <v>17-3140-0002</v>
      </c>
      <c r="C33" s="2" t="str">
        <f>"LM5 Content,Vir, CNCMilling w/BenchMill 6000 (M)"</f>
        <v>LM5 Content,Vir, CNCMilling w/BenchMill 6000 (M)</v>
      </c>
      <c r="D33" s="5"/>
      <c r="E33" s="5">
        <v>1</v>
      </c>
      <c r="F33" s="5" t="str">
        <f>"Y"</f>
        <v>Y</v>
      </c>
      <c r="G33" s="29" t="str">
        <f>IFERROR(HYPERLINK("#"&amp;ADDRESS(MATCH(B33&amp;"ES",'LM7 Non-ENG'!$A$1:$A$5000,0),1,,,"LM7 Non-ENG"),IF(IFERROR(VLOOKUP(B33&amp;"ES",'LM7 Non-ENG'!$A$1:$A$4999,1,FALSE),"ERROR")=B33&amp;"ES","Y","")),"")</f>
        <v/>
      </c>
      <c r="H33" s="29" t="str">
        <f>IFERROR(HYPERLINK("#"&amp;ADDRESS(MATCH(B33&amp;"PT",'LM7 Non-ENG'!$A$1:$A$5000,0),1,,,"LM7 Non-ENG"),IF(IFERROR(VLOOKUP(B33&amp;"PT",'LM7 Non-ENG'!$A$1:$A$5000,1,FALSE),"ERROR")=B33&amp;"PT","Y","")),"")</f>
        <v/>
      </c>
      <c r="I33" t="str">
        <f>IFERROR(VLOOKUP(B33,PN!$A:$C,3,FALSE),"")</f>
        <v>Active</v>
      </c>
      <c r="J33" s="3">
        <f>IFERROR(E33*VLOOKUP(B33,PLInter!$A:$D,3,FALSE),"")</f>
        <v>2995</v>
      </c>
      <c r="K33" s="66"/>
      <c r="L33" s="66"/>
      <c r="M33" s="66"/>
      <c r="N33" s="66"/>
      <c r="O33" s="66"/>
      <c r="P33" s="66"/>
      <c r="Q33" s="66"/>
      <c r="R33" s="66"/>
      <c r="S33" s="66"/>
      <c r="T33" s="66"/>
    </row>
    <row r="34" spans="1:20" ht="18" customHeight="1">
      <c r="B34" s="2" t="str">
        <f>"77-3140-0002"</f>
        <v>77-3140-0002</v>
      </c>
      <c r="C34" s="2" t="str">
        <f>"LM7 Content, Vir, CNCMilling w/BenchMill 6000(M)"</f>
        <v>LM7 Content, Vir, CNCMilling w/BenchMill 6000(M)</v>
      </c>
      <c r="D34" s="5"/>
      <c r="E34" s="5">
        <v>1</v>
      </c>
      <c r="F34" s="5" t="str">
        <f>"Y"</f>
        <v>Y</v>
      </c>
      <c r="G34" s="29" t="str">
        <f>IFERROR(HYPERLINK("#"&amp;ADDRESS(MATCH(B34&amp;"ES",'LM7 Non-ENG'!$A$1:$A$5000,0),1,,,"LM7 Non-ENG"),IF(IFERROR(VLOOKUP(B34&amp;"ES",'LM7 Non-ENG'!$A$1:$A$4999,1,FALSE),"ERROR")=B34&amp;"ES","Y","")),"")</f>
        <v>Y</v>
      </c>
      <c r="H34" s="29" t="str">
        <f>IFERROR(HYPERLINK("#"&amp;ADDRESS(MATCH(B34&amp;"PT",'LM7 Non-ENG'!$A$1:$A$5000,0),1,,,"LM7 Non-ENG"),IF(IFERROR(VLOOKUP(B34&amp;"PT",'LM7 Non-ENG'!$A$1:$A$5000,1,FALSE),"ERROR")=B34&amp;"PT","Y","")),"")</f>
        <v>Y</v>
      </c>
      <c r="I34" t="str">
        <f>IFERROR(VLOOKUP(B34,PN!$A:$C,3,FALSE),"")</f>
        <v>Active</v>
      </c>
      <c r="J34" s="3">
        <f>IFERROR(E34*VLOOKUP(B34,PLInter!$A:$D,3,FALSE),"")</f>
        <v>2995</v>
      </c>
      <c r="K34" s="66"/>
      <c r="L34" s="66"/>
      <c r="M34" s="66"/>
      <c r="N34" s="66"/>
      <c r="O34" s="66"/>
      <c r="P34" s="66"/>
      <c r="Q34" s="66"/>
      <c r="R34" s="66"/>
      <c r="S34" s="66"/>
      <c r="T34" s="66"/>
    </row>
    <row r="35" spans="1:20" ht="18" customHeight="1">
      <c r="G35" s="29"/>
      <c r="H35" s="29"/>
    </row>
    <row r="36" spans="1:20" s="7" customFormat="1" ht="18" customHeight="1">
      <c r="A36" s="13" t="s">
        <v>409</v>
      </c>
      <c r="B36" s="13"/>
      <c r="C36" s="13" t="s">
        <v>410</v>
      </c>
      <c r="D36" s="14"/>
      <c r="E36" s="14"/>
      <c r="F36" s="14"/>
      <c r="G36" s="14"/>
      <c r="H36" s="14"/>
      <c r="I36" s="14"/>
      <c r="J36" s="14">
        <f>SUMIFS(J37:J48,D37:D48,"&lt;&gt;Y",F37:F48,"&lt;&gt;Y",I37:I48,"&lt;&gt;Inactive",I37:I48,"&lt;&gt;ECO+NFS")</f>
        <v>22736</v>
      </c>
      <c r="K36" s="14"/>
      <c r="L36" s="14"/>
      <c r="M36" s="14"/>
      <c r="N36" s="14"/>
      <c r="O36" s="14"/>
      <c r="P36" s="14"/>
      <c r="Q36" s="14"/>
      <c r="R36" s="14"/>
      <c r="S36" s="14"/>
      <c r="T36" s="14"/>
    </row>
    <row r="37" spans="1:20" ht="18" customHeight="1">
      <c r="A37" s="17" t="str">
        <f>HYPERLINK("#"&amp;ADDRESS(MATCH(A36,Machining!$A$1:$A$4990,0),1,,,"Machining"),"Back to Price List")</f>
        <v>Back to Price List</v>
      </c>
      <c r="B37" t="str">
        <f>"00-5505-0110"</f>
        <v>00-5505-0110</v>
      </c>
      <c r="C37" t="str">
        <f>"CNC BenchMILL 6000, 110 VAC"</f>
        <v>CNC BenchMILL 6000, 110 VAC</v>
      </c>
      <c r="D37" s="4"/>
      <c r="E37" s="4">
        <v>1</v>
      </c>
      <c r="F37" s="4"/>
      <c r="G37" s="29" t="str">
        <f>IFERROR(HYPERLINK("#"&amp;ADDRESS(MATCH(B37&amp;"ES",'LM7 Non-ENG'!$A$1:$A$5000,0),1,,,"LM7 Non-ENG"),IF(IFERROR(VLOOKUP(B37&amp;"ES",'LM7 Non-ENG'!$A$1:$A$4999,1,FALSE),"ERROR")=B37&amp;"ES","Y","")),"")</f>
        <v/>
      </c>
      <c r="H37" s="29" t="str">
        <f>IFERROR(HYPERLINK("#"&amp;ADDRESS(MATCH(B37&amp;"PT",'LM7 Non-ENG'!$A$1:$A$5000,0),1,,,"LM7 Non-ENG"),IF(IFERROR(VLOOKUP(B37&amp;"PT",'LM7 Non-ENG'!$A$1:$A$5000,1,FALSE),"ERROR")=B37&amp;"PT","Y","")),"")</f>
        <v/>
      </c>
      <c r="I37" t="str">
        <f>IFERROR(VLOOKUP(B37,PN!$A:$C,3,FALSE),"")</f>
        <v>Active</v>
      </c>
      <c r="J37" s="3">
        <f>IFERROR(E37*VLOOKUP(B37,PLInter!$A:$D,3,FALSE),"")</f>
        <v>14934</v>
      </c>
      <c r="K37" s="68" t="s">
        <v>411</v>
      </c>
      <c r="L37" s="66"/>
      <c r="M37" s="66"/>
      <c r="N37" s="66"/>
      <c r="O37" s="66"/>
      <c r="P37" s="66"/>
      <c r="Q37" s="66"/>
      <c r="R37" s="66"/>
      <c r="S37" s="66"/>
      <c r="T37" s="66"/>
    </row>
    <row r="38" spans="1:20" ht="18" customHeight="1">
      <c r="B38" s="2" t="str">
        <f>"00-5505-0220"</f>
        <v>00-5505-0220</v>
      </c>
      <c r="C38" s="2" t="str">
        <f>"CNC BenchMILL 6000, 220 VAC"</f>
        <v>CNC BenchMILL 6000, 220 VAC</v>
      </c>
      <c r="D38" s="5"/>
      <c r="E38" s="5">
        <v>1</v>
      </c>
      <c r="F38" s="5" t="str">
        <f>"Y"</f>
        <v>Y</v>
      </c>
      <c r="G38" s="29" t="str">
        <f>IFERROR(HYPERLINK("#"&amp;ADDRESS(MATCH(B38&amp;"ES",'LM7 Non-ENG'!$A$1:$A$5000,0),1,,,"LM7 Non-ENG"),IF(IFERROR(VLOOKUP(B38&amp;"ES",'LM7 Non-ENG'!$A$1:$A$4999,1,FALSE),"ERROR")=B38&amp;"ES","Y","")),"")</f>
        <v/>
      </c>
      <c r="H38" s="29" t="str">
        <f>IFERROR(HYPERLINK("#"&amp;ADDRESS(MATCH(B38&amp;"PT",'LM7 Non-ENG'!$A$1:$A$5000,0),1,,,"LM7 Non-ENG"),IF(IFERROR(VLOOKUP(B38&amp;"PT",'LM7 Non-ENG'!$A$1:$A$5000,1,FALSE),"ERROR")=B38&amp;"PT","Y","")),"")</f>
        <v/>
      </c>
      <c r="I38" t="str">
        <f>IFERROR(VLOOKUP(B38,PN!$A:$C,3,FALSE),"")</f>
        <v>Active</v>
      </c>
      <c r="J38" s="3">
        <f>IFERROR(E38*VLOOKUP(B38,PLInter!$A:$D,3,FALSE),"")</f>
        <v>14934</v>
      </c>
      <c r="K38" s="66"/>
      <c r="L38" s="66"/>
      <c r="M38" s="66"/>
      <c r="N38" s="66"/>
      <c r="O38" s="66"/>
      <c r="P38" s="66"/>
      <c r="Q38" s="66"/>
      <c r="R38" s="66"/>
      <c r="S38" s="66"/>
      <c r="T38" s="66"/>
    </row>
    <row r="39" spans="1:20" ht="18" customHeight="1">
      <c r="B39" t="str">
        <f>"10-1111-6000"</f>
        <v>10-1111-6000</v>
      </c>
      <c r="C39" t="str">
        <f>"4"" Precision Maching Vise"</f>
        <v>4" Precision Maching Vise</v>
      </c>
      <c r="D39" s="4"/>
      <c r="E39" s="4">
        <v>1</v>
      </c>
      <c r="F39" s="4"/>
      <c r="G39" s="29" t="str">
        <f>IFERROR(HYPERLINK("#"&amp;ADDRESS(MATCH(B39&amp;"ES",'LM7 Non-ENG'!$A$1:$A$5000,0),1,,,"LM7 Non-ENG"),IF(IFERROR(VLOOKUP(B39&amp;"ES",'LM7 Non-ENG'!$A$1:$A$4999,1,FALSE),"ERROR")=B39&amp;"ES","Y","")),"")</f>
        <v/>
      </c>
      <c r="H39" s="29" t="str">
        <f>IFERROR(HYPERLINK("#"&amp;ADDRESS(MATCH(B39&amp;"PT",'LM7 Non-ENG'!$A$1:$A$5000,0),1,,,"LM7 Non-ENG"),IF(IFERROR(VLOOKUP(B39&amp;"PT",'LM7 Non-ENG'!$A$1:$A$5000,1,FALSE),"ERROR")=B39&amp;"PT","Y","")),"")</f>
        <v/>
      </c>
      <c r="I39" t="str">
        <f>IFERROR(VLOOKUP(B39,PN!$A:$C,3,FALSE),"")</f>
        <v>Active</v>
      </c>
      <c r="J39" s="3">
        <f>IFERROR(E39*VLOOKUP(B39,PLInter!$A:$D,3,FALSE),"")</f>
        <v>206</v>
      </c>
      <c r="K39" s="66"/>
      <c r="L39" s="66"/>
      <c r="M39" s="66"/>
      <c r="N39" s="66"/>
      <c r="O39" s="66"/>
      <c r="P39" s="66"/>
      <c r="Q39" s="66"/>
      <c r="R39" s="66"/>
      <c r="S39" s="66"/>
      <c r="T39" s="66"/>
    </row>
    <row r="40" spans="1:20" ht="18" customHeight="1">
      <c r="B40" t="str">
        <f>"10-1111-5000"</f>
        <v>10-1111-5000</v>
      </c>
      <c r="C40" t="str">
        <f>"clamping kit 58 pcs set"</f>
        <v>clamping kit 58 pcs set</v>
      </c>
      <c r="D40" s="4"/>
      <c r="E40" s="4">
        <v>1</v>
      </c>
      <c r="F40" s="4"/>
      <c r="G40" s="29" t="str">
        <f>IFERROR(HYPERLINK("#"&amp;ADDRESS(MATCH(B40&amp;"ES",'LM7 Non-ENG'!$A$1:$A$5000,0),1,,,"LM7 Non-ENG"),IF(IFERROR(VLOOKUP(B40&amp;"ES",'LM7 Non-ENG'!$A$1:$A$4999,1,FALSE),"ERROR")=B40&amp;"ES","Y","")),"")</f>
        <v/>
      </c>
      <c r="H40" s="29" t="str">
        <f>IFERROR(HYPERLINK("#"&amp;ADDRESS(MATCH(B40&amp;"PT",'LM7 Non-ENG'!$A$1:$A$5000,0),1,,,"LM7 Non-ENG"),IF(IFERROR(VLOOKUP(B40&amp;"PT",'LM7 Non-ENG'!$A$1:$A$5000,1,FALSE),"ERROR")=B40&amp;"PT","Y","")),"")</f>
        <v/>
      </c>
      <c r="I40" t="str">
        <f>IFERROR(VLOOKUP(B40,PN!$A:$C,3,FALSE),"")</f>
        <v>Active</v>
      </c>
      <c r="J40" s="3">
        <f>IFERROR(E40*VLOOKUP(B40,PLInter!$A:$D,3,FALSE),"")</f>
        <v>175</v>
      </c>
      <c r="K40" s="66"/>
      <c r="L40" s="66"/>
      <c r="M40" s="66"/>
      <c r="N40" s="66"/>
      <c r="O40" s="66"/>
      <c r="P40" s="66"/>
      <c r="Q40" s="66"/>
      <c r="R40" s="66"/>
      <c r="S40" s="66"/>
      <c r="T40" s="66"/>
    </row>
    <row r="41" spans="1:20" ht="18" customHeight="1">
      <c r="B41" t="str">
        <f>"10-1111-9000"</f>
        <v>10-1111-9000</v>
      </c>
      <c r="C41" t="str">
        <f>"ISO 20 tool holder with nut"</f>
        <v>ISO 20 tool holder with nut</v>
      </c>
      <c r="D41" s="4"/>
      <c r="E41" s="4">
        <v>1</v>
      </c>
      <c r="F41" s="4"/>
      <c r="G41" s="29" t="str">
        <f>IFERROR(HYPERLINK("#"&amp;ADDRESS(MATCH(B41&amp;"ES",'LM7 Non-ENG'!$A$1:$A$5000,0),1,,,"LM7 Non-ENG"),IF(IFERROR(VLOOKUP(B41&amp;"ES",'LM7 Non-ENG'!$A$1:$A$4999,1,FALSE),"ERROR")=B41&amp;"ES","Y","")),"")</f>
        <v/>
      </c>
      <c r="H41" s="29" t="str">
        <f>IFERROR(HYPERLINK("#"&amp;ADDRESS(MATCH(B41&amp;"PT",'LM7 Non-ENG'!$A$1:$A$5000,0),1,,,"LM7 Non-ENG"),IF(IFERROR(VLOOKUP(B41&amp;"PT",'LM7 Non-ENG'!$A$1:$A$5000,1,FALSE),"ERROR")=B41&amp;"PT","Y","")),"")</f>
        <v/>
      </c>
      <c r="I41" t="str">
        <f>IFERROR(VLOOKUP(B41,PN!$A:$C,3,FALSE),"")</f>
        <v>Active</v>
      </c>
      <c r="J41" s="3">
        <f>IFERROR(E41*VLOOKUP(B41,PLInter!$A:$D,3,FALSE),"")</f>
        <v>360</v>
      </c>
      <c r="K41" s="66"/>
      <c r="L41" s="66"/>
      <c r="M41" s="66"/>
      <c r="N41" s="66"/>
      <c r="O41" s="66"/>
      <c r="P41" s="66"/>
      <c r="Q41" s="66"/>
      <c r="R41" s="66"/>
      <c r="S41" s="66"/>
      <c r="T41" s="66"/>
    </row>
    <row r="42" spans="1:20" ht="18" customHeight="1">
      <c r="B42" t="str">
        <f>"10-1113-5000"</f>
        <v>10-1113-5000</v>
      </c>
      <c r="C42" t="str">
        <f>"Imperial Advanced End Mill Package 5120"</f>
        <v>Imperial Advanced End Mill Package 5120</v>
      </c>
      <c r="D42" s="4"/>
      <c r="E42" s="4">
        <v>1</v>
      </c>
      <c r="F42" s="4"/>
      <c r="G42" s="29" t="str">
        <f>IFERROR(HYPERLINK("#"&amp;ADDRESS(MATCH(B42&amp;"ES",'LM7 Non-ENG'!$A$1:$A$5000,0),1,,,"LM7 Non-ENG"),IF(IFERROR(VLOOKUP(B42&amp;"ES",'LM7 Non-ENG'!$A$1:$A$4999,1,FALSE),"ERROR")=B42&amp;"ES","Y","")),"")</f>
        <v/>
      </c>
      <c r="H42" s="29" t="str">
        <f>IFERROR(HYPERLINK("#"&amp;ADDRESS(MATCH(B42&amp;"PT",'LM7 Non-ENG'!$A$1:$A$5000,0),1,,,"LM7 Non-ENG"),IF(IFERROR(VLOOKUP(B42&amp;"PT",'LM7 Non-ENG'!$A$1:$A$5000,1,FALSE),"ERROR")=B42&amp;"PT","Y","")),"")</f>
        <v/>
      </c>
      <c r="I42" t="str">
        <f>IFERROR(VLOOKUP(B42,PN!$A:$C,3,FALSE),"")</f>
        <v>Active</v>
      </c>
      <c r="J42" s="3">
        <f>IFERROR(E42*VLOOKUP(B42,PLInter!$A:$D,3,FALSE),"")</f>
        <v>200</v>
      </c>
      <c r="K42" s="66"/>
      <c r="L42" s="66"/>
      <c r="M42" s="66"/>
      <c r="N42" s="66"/>
      <c r="O42" s="66"/>
      <c r="P42" s="66"/>
      <c r="Q42" s="66"/>
      <c r="R42" s="66"/>
      <c r="S42" s="66"/>
      <c r="T42" s="66"/>
    </row>
    <row r="43" spans="1:20" ht="18" customHeight="1">
      <c r="B43" t="str">
        <f>"10-1115-2000"</f>
        <v>10-1115-2000</v>
      </c>
      <c r="C43" t="str">
        <f>"Table mounted ATC package"</f>
        <v>Table mounted ATC package</v>
      </c>
      <c r="D43" s="4"/>
      <c r="E43" s="4">
        <v>1</v>
      </c>
      <c r="F43" s="4"/>
      <c r="G43" s="29" t="str">
        <f>IFERROR(HYPERLINK("#"&amp;ADDRESS(MATCH(B43&amp;"ES",'LM7 Non-ENG'!$A$1:$A$5000,0),1,,,"LM7 Non-ENG"),IF(IFERROR(VLOOKUP(B43&amp;"ES",'LM7 Non-ENG'!$A$1:$A$4999,1,FALSE),"ERROR")=B43&amp;"ES","Y","")),"")</f>
        <v/>
      </c>
      <c r="H43" s="29" t="str">
        <f>IFERROR(HYPERLINK("#"&amp;ADDRESS(MATCH(B43&amp;"PT",'LM7 Non-ENG'!$A$1:$A$5000,0),1,,,"LM7 Non-ENG"),IF(IFERROR(VLOOKUP(B43&amp;"PT",'LM7 Non-ENG'!$A$1:$A$5000,1,FALSE),"ERROR")=B43&amp;"PT","Y","")),"")</f>
        <v/>
      </c>
      <c r="I43" t="str">
        <f>IFERROR(VLOOKUP(B43,PN!$A:$C,3,FALSE),"")</f>
        <v>Active</v>
      </c>
      <c r="J43" s="3">
        <f>IFERROR(E43*VLOOKUP(B43,PLInter!$A:$D,3,FALSE),"")</f>
        <v>2188</v>
      </c>
      <c r="K43" s="66"/>
      <c r="L43" s="66"/>
      <c r="M43" s="66"/>
      <c r="N43" s="66"/>
      <c r="O43" s="66"/>
      <c r="P43" s="66"/>
      <c r="Q43" s="66"/>
      <c r="R43" s="66"/>
      <c r="S43" s="66"/>
      <c r="T43" s="66"/>
    </row>
    <row r="44" spans="1:20" ht="18" customHeight="1">
      <c r="B44" t="str">
        <f>"10-1111-1000"</f>
        <v>10-1111-1000</v>
      </c>
      <c r="C44" t="str">
        <f>"Jog Pendant Handwheel"</f>
        <v>Jog Pendant Handwheel</v>
      </c>
      <c r="D44" s="4"/>
      <c r="E44" s="4">
        <v>1</v>
      </c>
      <c r="F44" s="4"/>
      <c r="G44" s="29" t="str">
        <f>IFERROR(HYPERLINK("#"&amp;ADDRESS(MATCH(B44&amp;"ES",'LM7 Non-ENG'!$A$1:$A$5000,0),1,,,"LM7 Non-ENG"),IF(IFERROR(VLOOKUP(B44&amp;"ES",'LM7 Non-ENG'!$A$1:$A$4999,1,FALSE),"ERROR")=B44&amp;"ES","Y","")),"")</f>
        <v/>
      </c>
      <c r="H44" s="29" t="str">
        <f>IFERROR(HYPERLINK("#"&amp;ADDRESS(MATCH(B44&amp;"PT",'LM7 Non-ENG'!$A$1:$A$5000,0),1,,,"LM7 Non-ENG"),IF(IFERROR(VLOOKUP(B44&amp;"PT",'LM7 Non-ENG'!$A$1:$A$5000,1,FALSE),"ERROR")=B44&amp;"PT","Y","")),"")</f>
        <v/>
      </c>
      <c r="I44" t="str">
        <f>IFERROR(VLOOKUP(B44,PN!$A:$C,3,FALSE),"")</f>
        <v>Active</v>
      </c>
      <c r="J44" s="3">
        <f>IFERROR(E44*VLOOKUP(B44,PLInter!$A:$D,3,FALSE),"")</f>
        <v>795</v>
      </c>
      <c r="K44" s="66"/>
      <c r="L44" s="66"/>
      <c r="M44" s="66"/>
      <c r="N44" s="66"/>
      <c r="O44" s="66"/>
      <c r="P44" s="66"/>
      <c r="Q44" s="66"/>
      <c r="R44" s="66"/>
      <c r="S44" s="66"/>
      <c r="T44" s="66"/>
    </row>
    <row r="45" spans="1:20" ht="18" customHeight="1">
      <c r="B45" t="str">
        <f>"10-9120-0000"</f>
        <v>10-9120-0000</v>
      </c>
      <c r="C45" t="str">
        <f>"Stock Package, WaxStock Pa3” x 2” x 1.5”– 50 Pcs"</f>
        <v>Stock Package, WaxStock Pa3” x 2” x 1.5”– 50 Pcs</v>
      </c>
      <c r="D45" s="4"/>
      <c r="E45" s="4">
        <v>1</v>
      </c>
      <c r="F45" s="4"/>
      <c r="G45" s="29" t="str">
        <f>IFERROR(HYPERLINK("#"&amp;ADDRESS(MATCH(B45&amp;"ES",'LM7 Non-ENG'!$A$1:$A$5000,0),1,,,"LM7 Non-ENG"),IF(IFERROR(VLOOKUP(B45&amp;"ES",'LM7 Non-ENG'!$A$1:$A$4999,1,FALSE),"ERROR")=B45&amp;"ES","Y","")),"")</f>
        <v/>
      </c>
      <c r="H45" s="29" t="str">
        <f>IFERROR(HYPERLINK("#"&amp;ADDRESS(MATCH(B45&amp;"PT",'LM7 Non-ENG'!$A$1:$A$5000,0),1,,,"LM7 Non-ENG"),IF(IFERROR(VLOOKUP(B45&amp;"PT",'LM7 Non-ENG'!$A$1:$A$5000,1,FALSE),"ERROR")=B45&amp;"PT","Y","")),"")</f>
        <v/>
      </c>
      <c r="I45" t="str">
        <f>IFERROR(VLOOKUP(B45,PN!$A:$C,3,FALSE),"")</f>
        <v>Active</v>
      </c>
      <c r="J45" s="3">
        <f>IFERROR(E45*VLOOKUP(B45,PLInter!$A:$D,3,FALSE),"")</f>
        <v>657</v>
      </c>
      <c r="K45" s="66"/>
      <c r="L45" s="66"/>
      <c r="M45" s="66"/>
      <c r="N45" s="66"/>
      <c r="O45" s="66"/>
      <c r="P45" s="66"/>
      <c r="Q45" s="66"/>
      <c r="R45" s="66"/>
      <c r="S45" s="66"/>
      <c r="T45" s="66"/>
    </row>
    <row r="46" spans="1:20" ht="18" customHeight="1">
      <c r="B46" t="str">
        <f>"77-3140-0001"</f>
        <v>77-3140-0001</v>
      </c>
      <c r="C46" t="str">
        <f>"LM7 Content, Vir, CNC Milling w/BenchMill 6000"</f>
        <v>LM7 Content, Vir, CNC Milling w/BenchMill 6000</v>
      </c>
      <c r="D46" s="4"/>
      <c r="E46" s="4">
        <v>1</v>
      </c>
      <c r="F46" s="4"/>
      <c r="G46" s="29" t="str">
        <f>IFERROR(HYPERLINK("#"&amp;ADDRESS(MATCH(B46&amp;"ES",'LM7 Non-ENG'!$A$1:$A$5000,0),1,,,"LM7 Non-ENG"),IF(IFERROR(VLOOKUP(B46&amp;"ES",'LM7 Non-ENG'!$A$1:$A$4999,1,FALSE),"ERROR")=B46&amp;"ES","Y","")),"")</f>
        <v/>
      </c>
      <c r="H46" s="29" t="str">
        <f>IFERROR(HYPERLINK("#"&amp;ADDRESS(MATCH(B46&amp;"PT",'LM7 Non-ENG'!$A$1:$A$5000,0),1,,,"LM7 Non-ENG"),IF(IFERROR(VLOOKUP(B46&amp;"PT",'LM7 Non-ENG'!$A$1:$A$5000,1,FALSE),"ERROR")=B46&amp;"PT","Y","")),"")</f>
        <v/>
      </c>
      <c r="I46" t="str">
        <f>IFERROR(VLOOKUP(B46,PN!$A:$C,3,FALSE),"")</f>
        <v>Active</v>
      </c>
      <c r="J46" s="3">
        <f>IFERROR(E46*VLOOKUP(B46,PLInter!$A:$D,3,FALSE),"")</f>
        <v>2995</v>
      </c>
      <c r="K46" s="66"/>
      <c r="L46" s="66"/>
      <c r="M46" s="66"/>
      <c r="N46" s="66"/>
      <c r="O46" s="66"/>
      <c r="P46" s="66"/>
      <c r="Q46" s="66"/>
      <c r="R46" s="66"/>
      <c r="S46" s="66"/>
      <c r="T46" s="66"/>
    </row>
    <row r="47" spans="1:20" ht="18" customHeight="1">
      <c r="B47" s="2" t="str">
        <f>"17-3140-0001"</f>
        <v>17-3140-0001</v>
      </c>
      <c r="C47" s="2" t="str">
        <f>"LM5.X Content, Vir, CNC Milling w/BenchMill 6000"</f>
        <v>LM5.X Content, Vir, CNC Milling w/BenchMill 6000</v>
      </c>
      <c r="D47" s="5"/>
      <c r="E47" s="5">
        <v>1</v>
      </c>
      <c r="F47" s="5" t="str">
        <f>"Y"</f>
        <v>Y</v>
      </c>
      <c r="G47" s="29" t="str">
        <f>IFERROR(HYPERLINK("#"&amp;ADDRESS(MATCH(B47&amp;"ES",'LM7 Non-ENG'!$A$1:$A$5000,0),1,,,"LM7 Non-ENG"),IF(IFERROR(VLOOKUP(B47&amp;"ES",'LM7 Non-ENG'!$A$1:$A$4999,1,FALSE),"ERROR")=B47&amp;"ES","Y","")),"")</f>
        <v/>
      </c>
      <c r="H47" s="29" t="str">
        <f>IFERROR(HYPERLINK("#"&amp;ADDRESS(MATCH(B47&amp;"PT",'LM7 Non-ENG'!$A$1:$A$5000,0),1,,,"LM7 Non-ENG"),IF(IFERROR(VLOOKUP(B47&amp;"PT",'LM7 Non-ENG'!$A$1:$A$5000,1,FALSE),"ERROR")=B47&amp;"PT","Y","")),"")</f>
        <v/>
      </c>
      <c r="I47" t="str">
        <f>IFERROR(VLOOKUP(B47,PN!$A:$C,3,FALSE),"")</f>
        <v>Active</v>
      </c>
      <c r="J47" s="3">
        <f>IFERROR(E47*VLOOKUP(B47,PLInter!$A:$D,3,FALSE),"")</f>
        <v>2995</v>
      </c>
      <c r="K47" s="66"/>
      <c r="L47" s="66"/>
      <c r="M47" s="66"/>
      <c r="N47" s="66"/>
      <c r="O47" s="66"/>
      <c r="P47" s="66"/>
      <c r="Q47" s="66"/>
      <c r="R47" s="66"/>
      <c r="S47" s="66"/>
      <c r="T47" s="66"/>
    </row>
    <row r="48" spans="1:20" ht="18" customHeight="1">
      <c r="B48" t="str">
        <f>"10-1112-2000"</f>
        <v>10-1112-2000</v>
      </c>
      <c r="C48" t="str">
        <f>"ER16 Collet set-8 pieces(3,4,5,6,7,8,9 and 10mm)"</f>
        <v>ER16 Collet set-8 pieces(3,4,5,6,7,8,9 and 10mm)</v>
      </c>
      <c r="D48" s="4"/>
      <c r="E48" s="4">
        <v>1</v>
      </c>
      <c r="F48" s="4"/>
      <c r="G48" s="29" t="str">
        <f>IFERROR(HYPERLINK("#"&amp;ADDRESS(MATCH(B48&amp;"ES",'LM7 Non-ENG'!$A$1:$A$5000,0),1,,,"LM7 Non-ENG"),IF(IFERROR(VLOOKUP(B48&amp;"ES",'LM7 Non-ENG'!$A$1:$A$4999,1,FALSE),"ERROR")=B48&amp;"ES","Y","")),"")</f>
        <v/>
      </c>
      <c r="H48" s="29" t="str">
        <f>IFERROR(HYPERLINK("#"&amp;ADDRESS(MATCH(B48&amp;"PT",'LM7 Non-ENG'!$A$1:$A$5000,0),1,,,"LM7 Non-ENG"),IF(IFERROR(VLOOKUP(B48&amp;"PT",'LM7 Non-ENG'!$A$1:$A$5000,1,FALSE),"ERROR")=B48&amp;"PT","Y","")),"")</f>
        <v/>
      </c>
      <c r="I48" t="str">
        <f>IFERROR(VLOOKUP(B48,PN!$A:$C,3,FALSE),"")</f>
        <v>Active</v>
      </c>
      <c r="J48" s="3">
        <f>IFERROR(E48*VLOOKUP(B48,PLInter!$A:$D,3,FALSE),"")</f>
        <v>226</v>
      </c>
      <c r="K48" s="66"/>
      <c r="L48" s="66"/>
      <c r="M48" s="66"/>
      <c r="N48" s="66"/>
      <c r="O48" s="66"/>
      <c r="P48" s="66"/>
      <c r="Q48" s="66"/>
      <c r="R48" s="66"/>
      <c r="S48" s="66"/>
      <c r="T48" s="66"/>
    </row>
    <row r="49" spans="1:20" ht="18" customHeight="1">
      <c r="G49" s="29"/>
      <c r="H49" s="29"/>
    </row>
    <row r="50" spans="1:20" s="7" customFormat="1" ht="18" customHeight="1">
      <c r="A50" s="13" t="s">
        <v>412</v>
      </c>
      <c r="B50" s="13"/>
      <c r="C50" s="13" t="s">
        <v>413</v>
      </c>
      <c r="D50" s="14"/>
      <c r="E50" s="14"/>
      <c r="F50" s="14"/>
      <c r="G50" s="14"/>
      <c r="H50" s="14"/>
      <c r="I50" s="14"/>
      <c r="J50" s="14">
        <f>SUMIFS(J51:J63,D51:D63,"&lt;&gt;Y",F51:F63,"&lt;&gt;Y",I51:I63,"&lt;&gt;Inactive",I51:I63,"&lt;&gt;ECO+NFS")</f>
        <v>22943</v>
      </c>
      <c r="K50" s="14"/>
      <c r="L50" s="14"/>
      <c r="M50" s="14"/>
      <c r="N50" s="14"/>
      <c r="O50" s="14"/>
      <c r="P50" s="14"/>
      <c r="Q50" s="14"/>
      <c r="R50" s="14"/>
      <c r="S50" s="14"/>
      <c r="T50" s="14"/>
    </row>
    <row r="51" spans="1:20" ht="18" customHeight="1">
      <c r="A51" s="17" t="str">
        <f>HYPERLINK("#"&amp;ADDRESS(MATCH(A50,Machining!$A$1:$A$4990,0),1,,,"Machining"),"Back to Price List")</f>
        <v>Back to Price List</v>
      </c>
      <c r="B51" t="str">
        <f>"00-5505-0220"</f>
        <v>00-5505-0220</v>
      </c>
      <c r="C51" t="str">
        <f>"CNC BenchMILL 6000, 220 VAC"</f>
        <v>CNC BenchMILL 6000, 220 VAC</v>
      </c>
      <c r="D51" s="4"/>
      <c r="E51" s="4">
        <v>1</v>
      </c>
      <c r="F51" s="4"/>
      <c r="G51" s="29" t="str">
        <f>IFERROR(HYPERLINK("#"&amp;ADDRESS(MATCH(B51&amp;"ES",'LM7 Non-ENG'!$A$1:$A$5000,0),1,,,"LM7 Non-ENG"),IF(IFERROR(VLOOKUP(B51&amp;"ES",'LM7 Non-ENG'!$A$1:$A$4999,1,FALSE),"ERROR")=B51&amp;"ES","Y","")),"")</f>
        <v/>
      </c>
      <c r="H51" s="29" t="str">
        <f>IFERROR(HYPERLINK("#"&amp;ADDRESS(MATCH(B51&amp;"PT",'LM7 Non-ENG'!$A$1:$A$5000,0),1,,,"LM7 Non-ENG"),IF(IFERROR(VLOOKUP(B51&amp;"PT",'LM7 Non-ENG'!$A$1:$A$5000,1,FALSE),"ERROR")=B51&amp;"PT","Y","")),"")</f>
        <v/>
      </c>
      <c r="I51" t="str">
        <f>IFERROR(VLOOKUP(B51,PN!$A:$C,3,FALSE),"")</f>
        <v>Active</v>
      </c>
      <c r="J51" s="3">
        <f>IFERROR(E51*VLOOKUP(B51,PLInter!$A:$D,3,FALSE),"")</f>
        <v>14934</v>
      </c>
      <c r="K51" s="68" t="s">
        <v>414</v>
      </c>
      <c r="L51" s="66"/>
      <c r="M51" s="66"/>
      <c r="N51" s="66"/>
      <c r="O51" s="66"/>
      <c r="P51" s="66"/>
      <c r="Q51" s="66"/>
      <c r="R51" s="66"/>
      <c r="S51" s="66"/>
      <c r="T51" s="66"/>
    </row>
    <row r="52" spans="1:20" ht="18" customHeight="1">
      <c r="B52" s="2" t="str">
        <f>"00-5505-0110"</f>
        <v>00-5505-0110</v>
      </c>
      <c r="C52" s="2" t="str">
        <f>"CNC BenchMILL 6000, 110 VAC"</f>
        <v>CNC BenchMILL 6000, 110 VAC</v>
      </c>
      <c r="D52" s="5"/>
      <c r="E52" s="5">
        <v>1</v>
      </c>
      <c r="F52" s="5" t="str">
        <f>"Y"</f>
        <v>Y</v>
      </c>
      <c r="G52" s="29" t="str">
        <f>IFERROR(HYPERLINK("#"&amp;ADDRESS(MATCH(B52&amp;"ES",'LM7 Non-ENG'!$A$1:$A$5000,0),1,,,"LM7 Non-ENG"),IF(IFERROR(VLOOKUP(B52&amp;"ES",'LM7 Non-ENG'!$A$1:$A$4999,1,FALSE),"ERROR")=B52&amp;"ES","Y","")),"")</f>
        <v/>
      </c>
      <c r="H52" s="29" t="str">
        <f>IFERROR(HYPERLINK("#"&amp;ADDRESS(MATCH(B52&amp;"PT",'LM7 Non-ENG'!$A$1:$A$5000,0),1,,,"LM7 Non-ENG"),IF(IFERROR(VLOOKUP(B52&amp;"PT",'LM7 Non-ENG'!$A$1:$A$5000,1,FALSE),"ERROR")=B52&amp;"PT","Y","")),"")</f>
        <v/>
      </c>
      <c r="I52" t="str">
        <f>IFERROR(VLOOKUP(B52,PN!$A:$C,3,FALSE),"")</f>
        <v>Active</v>
      </c>
      <c r="J52" s="3">
        <f>IFERROR(E52*VLOOKUP(B52,PLInter!$A:$D,3,FALSE),"")</f>
        <v>14934</v>
      </c>
      <c r="K52" s="66"/>
      <c r="L52" s="66"/>
      <c r="M52" s="66"/>
      <c r="N52" s="66"/>
      <c r="O52" s="66"/>
      <c r="P52" s="66"/>
      <c r="Q52" s="66"/>
      <c r="R52" s="66"/>
      <c r="S52" s="66"/>
      <c r="T52" s="66"/>
    </row>
    <row r="53" spans="1:20" ht="18" customHeight="1">
      <c r="B53" t="str">
        <f>"10-1111-6000"</f>
        <v>10-1111-6000</v>
      </c>
      <c r="C53" t="str">
        <f>"4"" Precision Maching Vise"</f>
        <v>4" Precision Maching Vise</v>
      </c>
      <c r="D53" s="4"/>
      <c r="E53" s="4">
        <v>1</v>
      </c>
      <c r="F53" s="4"/>
      <c r="G53" s="29" t="str">
        <f>IFERROR(HYPERLINK("#"&amp;ADDRESS(MATCH(B53&amp;"ES",'LM7 Non-ENG'!$A$1:$A$5000,0),1,,,"LM7 Non-ENG"),IF(IFERROR(VLOOKUP(B53&amp;"ES",'LM7 Non-ENG'!$A$1:$A$4999,1,FALSE),"ERROR")=B53&amp;"ES","Y","")),"")</f>
        <v/>
      </c>
      <c r="H53" s="29" t="str">
        <f>IFERROR(HYPERLINK("#"&amp;ADDRESS(MATCH(B53&amp;"PT",'LM7 Non-ENG'!$A$1:$A$5000,0),1,,,"LM7 Non-ENG"),IF(IFERROR(VLOOKUP(B53&amp;"PT",'LM7 Non-ENG'!$A$1:$A$5000,1,FALSE),"ERROR")=B53&amp;"PT","Y","")),"")</f>
        <v/>
      </c>
      <c r="I53" t="str">
        <f>IFERROR(VLOOKUP(B53,PN!$A:$C,3,FALSE),"")</f>
        <v>Active</v>
      </c>
      <c r="J53" s="3">
        <f>IFERROR(E53*VLOOKUP(B53,PLInter!$A:$D,3,FALSE),"")</f>
        <v>206</v>
      </c>
      <c r="K53" s="66"/>
      <c r="L53" s="66"/>
      <c r="M53" s="66"/>
      <c r="N53" s="66"/>
      <c r="O53" s="66"/>
      <c r="P53" s="66"/>
      <c r="Q53" s="66"/>
      <c r="R53" s="66"/>
      <c r="S53" s="66"/>
      <c r="T53" s="66"/>
    </row>
    <row r="54" spans="1:20" ht="18" customHeight="1">
      <c r="B54" t="str">
        <f>"10-1111-5000"</f>
        <v>10-1111-5000</v>
      </c>
      <c r="C54" t="str">
        <f>"clamping kit 58 pcs set"</f>
        <v>clamping kit 58 pcs set</v>
      </c>
      <c r="D54" s="4"/>
      <c r="E54" s="4">
        <v>1</v>
      </c>
      <c r="F54" s="4"/>
      <c r="G54" s="29" t="str">
        <f>IFERROR(HYPERLINK("#"&amp;ADDRESS(MATCH(B54&amp;"ES",'LM7 Non-ENG'!$A$1:$A$5000,0),1,,,"LM7 Non-ENG"),IF(IFERROR(VLOOKUP(B54&amp;"ES",'LM7 Non-ENG'!$A$1:$A$4999,1,FALSE),"ERROR")=B54&amp;"ES","Y","")),"")</f>
        <v/>
      </c>
      <c r="H54" s="29" t="str">
        <f>IFERROR(HYPERLINK("#"&amp;ADDRESS(MATCH(B54&amp;"PT",'LM7 Non-ENG'!$A$1:$A$5000,0),1,,,"LM7 Non-ENG"),IF(IFERROR(VLOOKUP(B54&amp;"PT",'LM7 Non-ENG'!$A$1:$A$5000,1,FALSE),"ERROR")=B54&amp;"PT","Y","")),"")</f>
        <v/>
      </c>
      <c r="I54" t="str">
        <f>IFERROR(VLOOKUP(B54,PN!$A:$C,3,FALSE),"")</f>
        <v>Active</v>
      </c>
      <c r="J54" s="3">
        <f>IFERROR(E54*VLOOKUP(B54,PLInter!$A:$D,3,FALSE),"")</f>
        <v>175</v>
      </c>
      <c r="K54" s="66"/>
      <c r="L54" s="66"/>
      <c r="M54" s="66"/>
      <c r="N54" s="66"/>
      <c r="O54" s="66"/>
      <c r="P54" s="66"/>
      <c r="Q54" s="66"/>
      <c r="R54" s="66"/>
      <c r="S54" s="66"/>
      <c r="T54" s="66"/>
    </row>
    <row r="55" spans="1:20" ht="18" customHeight="1">
      <c r="B55" t="str">
        <f>"10-1111-9000"</f>
        <v>10-1111-9000</v>
      </c>
      <c r="C55" t="str">
        <f>"ISO 20 tool holder with nut"</f>
        <v>ISO 20 tool holder with nut</v>
      </c>
      <c r="D55" s="4"/>
      <c r="E55" s="4">
        <v>1</v>
      </c>
      <c r="F55" s="4"/>
      <c r="G55" s="29" t="str">
        <f>IFERROR(HYPERLINK("#"&amp;ADDRESS(MATCH(B55&amp;"ES",'LM7 Non-ENG'!$A$1:$A$5000,0),1,,,"LM7 Non-ENG"),IF(IFERROR(VLOOKUP(B55&amp;"ES",'LM7 Non-ENG'!$A$1:$A$4999,1,FALSE),"ERROR")=B55&amp;"ES","Y","")),"")</f>
        <v/>
      </c>
      <c r="H55" s="29" t="str">
        <f>IFERROR(HYPERLINK("#"&amp;ADDRESS(MATCH(B55&amp;"PT",'LM7 Non-ENG'!$A$1:$A$5000,0),1,,,"LM7 Non-ENG"),IF(IFERROR(VLOOKUP(B55&amp;"PT",'LM7 Non-ENG'!$A$1:$A$5000,1,FALSE),"ERROR")=B55&amp;"PT","Y","")),"")</f>
        <v/>
      </c>
      <c r="I55" t="str">
        <f>IFERROR(VLOOKUP(B55,PN!$A:$C,3,FALSE),"")</f>
        <v>Active</v>
      </c>
      <c r="J55" s="3">
        <f>IFERROR(E55*VLOOKUP(B55,PLInter!$A:$D,3,FALSE),"")</f>
        <v>360</v>
      </c>
      <c r="K55" s="66"/>
      <c r="L55" s="66"/>
      <c r="M55" s="66"/>
      <c r="N55" s="66"/>
      <c r="O55" s="66"/>
      <c r="P55" s="66"/>
      <c r="Q55" s="66"/>
      <c r="R55" s="66"/>
      <c r="S55" s="66"/>
      <c r="T55" s="66"/>
    </row>
    <row r="56" spans="1:20" ht="18" customHeight="1">
      <c r="B56" t="str">
        <f>"10-1113-4000"</f>
        <v>10-1113-4000</v>
      </c>
      <c r="C56" t="str">
        <f>"Metric Advanced End Mill Package 5121"</f>
        <v>Metric Advanced End Mill Package 5121</v>
      </c>
      <c r="D56" s="4"/>
      <c r="E56" s="4">
        <v>1</v>
      </c>
      <c r="F56" s="4"/>
      <c r="G56" s="29" t="str">
        <f>IFERROR(HYPERLINK("#"&amp;ADDRESS(MATCH(B56&amp;"ES",'LM7 Non-ENG'!$A$1:$A$5000,0),1,,,"LM7 Non-ENG"),IF(IFERROR(VLOOKUP(B56&amp;"ES",'LM7 Non-ENG'!$A$1:$A$4999,1,FALSE),"ERROR")=B56&amp;"ES","Y","")),"")</f>
        <v/>
      </c>
      <c r="H56" s="29" t="str">
        <f>IFERROR(HYPERLINK("#"&amp;ADDRESS(MATCH(B56&amp;"PT",'LM7 Non-ENG'!$A$1:$A$5000,0),1,,,"LM7 Non-ENG"),IF(IFERROR(VLOOKUP(B56&amp;"PT",'LM7 Non-ENG'!$A$1:$A$5000,1,FALSE),"ERROR")=B56&amp;"PT","Y","")),"")</f>
        <v/>
      </c>
      <c r="I56" t="str">
        <f>IFERROR(VLOOKUP(B56,PN!$A:$C,3,FALSE),"")</f>
        <v>Active</v>
      </c>
      <c r="J56" s="3">
        <f>IFERROR(E56*VLOOKUP(B56,PLInter!$A:$D,3,FALSE),"")</f>
        <v>200</v>
      </c>
      <c r="K56" s="66"/>
      <c r="L56" s="66"/>
      <c r="M56" s="66"/>
      <c r="N56" s="66"/>
      <c r="O56" s="66"/>
      <c r="P56" s="66"/>
      <c r="Q56" s="66"/>
      <c r="R56" s="66"/>
      <c r="S56" s="66"/>
      <c r="T56" s="66"/>
    </row>
    <row r="57" spans="1:20" ht="18" customHeight="1">
      <c r="B57" t="str">
        <f>"10-1112-2000"</f>
        <v>10-1112-2000</v>
      </c>
      <c r="C57" t="str">
        <f>"ER16 Collet set-8 pieces(3,4,5,6,7,8,9 and 10mm)"</f>
        <v>ER16 Collet set-8 pieces(3,4,5,6,7,8,9 and 10mm)</v>
      </c>
      <c r="D57" s="4"/>
      <c r="E57" s="4">
        <v>1</v>
      </c>
      <c r="F57" s="4"/>
      <c r="G57" s="29" t="str">
        <f>IFERROR(HYPERLINK("#"&amp;ADDRESS(MATCH(B57&amp;"ES",'LM7 Non-ENG'!$A$1:$A$5000,0),1,,,"LM7 Non-ENG"),IF(IFERROR(VLOOKUP(B57&amp;"ES",'LM7 Non-ENG'!$A$1:$A$4999,1,FALSE),"ERROR")=B57&amp;"ES","Y","")),"")</f>
        <v/>
      </c>
      <c r="H57" s="29" t="str">
        <f>IFERROR(HYPERLINK("#"&amp;ADDRESS(MATCH(B57&amp;"PT",'LM7 Non-ENG'!$A$1:$A$5000,0),1,,,"LM7 Non-ENG"),IF(IFERROR(VLOOKUP(B57&amp;"PT",'LM7 Non-ENG'!$A$1:$A$5000,1,FALSE),"ERROR")=B57&amp;"PT","Y","")),"")</f>
        <v/>
      </c>
      <c r="I57" t="str">
        <f>IFERROR(VLOOKUP(B57,PN!$A:$C,3,FALSE),"")</f>
        <v>Active</v>
      </c>
      <c r="J57" s="3">
        <f>IFERROR(E57*VLOOKUP(B57,PLInter!$A:$D,3,FALSE),"")</f>
        <v>226</v>
      </c>
      <c r="K57" s="66"/>
      <c r="L57" s="66"/>
      <c r="M57" s="66"/>
      <c r="N57" s="66"/>
      <c r="O57" s="66"/>
      <c r="P57" s="66"/>
      <c r="Q57" s="66"/>
      <c r="R57" s="66"/>
      <c r="S57" s="66"/>
      <c r="T57" s="66"/>
    </row>
    <row r="58" spans="1:20" ht="18" customHeight="1">
      <c r="B58" t="str">
        <f>"10-1115-0000"</f>
        <v>10-1115-0000</v>
      </c>
      <c r="C58" t="str">
        <f>"ER16 Collet set-8 pieces(2)3,(2)6,(2)8,(2)10mm"</f>
        <v>ER16 Collet set-8 pieces(2)3,(2)6,(2)8,(2)10mm</v>
      </c>
      <c r="D58" s="4"/>
      <c r="E58" s="4">
        <v>1</v>
      </c>
      <c r="F58" s="4"/>
      <c r="G58" s="29" t="str">
        <f>IFERROR(HYPERLINK("#"&amp;ADDRESS(MATCH(B58&amp;"ES",'LM7 Non-ENG'!$A$1:$A$5000,0),1,,,"LM7 Non-ENG"),IF(IFERROR(VLOOKUP(B58&amp;"ES",'LM7 Non-ENG'!$A$1:$A$4999,1,FALSE),"ERROR")=B58&amp;"ES","Y","")),"")</f>
        <v/>
      </c>
      <c r="H58" s="29" t="str">
        <f>IFERROR(HYPERLINK("#"&amp;ADDRESS(MATCH(B58&amp;"PT",'LM7 Non-ENG'!$A$1:$A$5000,0),1,,,"LM7 Non-ENG"),IF(IFERROR(VLOOKUP(B58&amp;"PT",'LM7 Non-ENG'!$A$1:$A$5000,1,FALSE),"ERROR")=B58&amp;"PT","Y","")),"")</f>
        <v/>
      </c>
      <c r="I58" t="str">
        <f>IFERROR(VLOOKUP(B58,PN!$A:$C,3,FALSE),"")</f>
        <v>Active</v>
      </c>
      <c r="J58" s="3">
        <f>IFERROR(E58*VLOOKUP(B58,PLInter!$A:$D,3,FALSE),"")</f>
        <v>207</v>
      </c>
      <c r="K58" s="66"/>
      <c r="L58" s="66"/>
      <c r="M58" s="66"/>
      <c r="N58" s="66"/>
      <c r="O58" s="66"/>
      <c r="P58" s="66"/>
      <c r="Q58" s="66"/>
      <c r="R58" s="66"/>
      <c r="S58" s="66"/>
      <c r="T58" s="66"/>
    </row>
    <row r="59" spans="1:20" ht="18" customHeight="1">
      <c r="B59" t="str">
        <f>"10-1115-2000"</f>
        <v>10-1115-2000</v>
      </c>
      <c r="C59" t="str">
        <f>"Table mounted ATC package"</f>
        <v>Table mounted ATC package</v>
      </c>
      <c r="D59" s="4"/>
      <c r="E59" s="4">
        <v>1</v>
      </c>
      <c r="F59" s="4"/>
      <c r="G59" s="29" t="str">
        <f>IFERROR(HYPERLINK("#"&amp;ADDRESS(MATCH(B59&amp;"ES",'LM7 Non-ENG'!$A$1:$A$5000,0),1,,,"LM7 Non-ENG"),IF(IFERROR(VLOOKUP(B59&amp;"ES",'LM7 Non-ENG'!$A$1:$A$4999,1,FALSE),"ERROR")=B59&amp;"ES","Y","")),"")</f>
        <v/>
      </c>
      <c r="H59" s="29" t="str">
        <f>IFERROR(HYPERLINK("#"&amp;ADDRESS(MATCH(B59&amp;"PT",'LM7 Non-ENG'!$A$1:$A$5000,0),1,,,"LM7 Non-ENG"),IF(IFERROR(VLOOKUP(B59&amp;"PT",'LM7 Non-ENG'!$A$1:$A$5000,1,FALSE),"ERROR")=B59&amp;"PT","Y","")),"")</f>
        <v/>
      </c>
      <c r="I59" t="str">
        <f>IFERROR(VLOOKUP(B59,PN!$A:$C,3,FALSE),"")</f>
        <v>Active</v>
      </c>
      <c r="J59" s="3">
        <f>IFERROR(E59*VLOOKUP(B59,PLInter!$A:$D,3,FALSE),"")</f>
        <v>2188</v>
      </c>
      <c r="K59" s="66"/>
      <c r="L59" s="66"/>
      <c r="M59" s="66"/>
      <c r="N59" s="66"/>
      <c r="O59" s="66"/>
      <c r="P59" s="66"/>
      <c r="Q59" s="66"/>
      <c r="R59" s="66"/>
      <c r="S59" s="66"/>
      <c r="T59" s="66"/>
    </row>
    <row r="60" spans="1:20" ht="18" customHeight="1">
      <c r="B60" t="str">
        <f>"10-1111-1000"</f>
        <v>10-1111-1000</v>
      </c>
      <c r="C60" t="str">
        <f>"Jog Pendant Handwheel"</f>
        <v>Jog Pendant Handwheel</v>
      </c>
      <c r="D60" s="4"/>
      <c r="E60" s="4">
        <v>1</v>
      </c>
      <c r="F60" s="4"/>
      <c r="G60" s="29" t="str">
        <f>IFERROR(HYPERLINK("#"&amp;ADDRESS(MATCH(B60&amp;"ES",'LM7 Non-ENG'!$A$1:$A$5000,0),1,,,"LM7 Non-ENG"),IF(IFERROR(VLOOKUP(B60&amp;"ES",'LM7 Non-ENG'!$A$1:$A$4999,1,FALSE),"ERROR")=B60&amp;"ES","Y","")),"")</f>
        <v/>
      </c>
      <c r="H60" s="29" t="str">
        <f>IFERROR(HYPERLINK("#"&amp;ADDRESS(MATCH(B60&amp;"PT",'LM7 Non-ENG'!$A$1:$A$5000,0),1,,,"LM7 Non-ENG"),IF(IFERROR(VLOOKUP(B60&amp;"PT",'LM7 Non-ENG'!$A$1:$A$5000,1,FALSE),"ERROR")=B60&amp;"PT","Y","")),"")</f>
        <v/>
      </c>
      <c r="I60" t="str">
        <f>IFERROR(VLOOKUP(B60,PN!$A:$C,3,FALSE),"")</f>
        <v>Active</v>
      </c>
      <c r="J60" s="3">
        <f>IFERROR(E60*VLOOKUP(B60,PLInter!$A:$D,3,FALSE),"")</f>
        <v>795</v>
      </c>
      <c r="K60" s="66"/>
      <c r="L60" s="66"/>
      <c r="M60" s="66"/>
      <c r="N60" s="66"/>
      <c r="O60" s="66"/>
      <c r="P60" s="66"/>
      <c r="Q60" s="66"/>
      <c r="R60" s="66"/>
      <c r="S60" s="66"/>
      <c r="T60" s="66"/>
    </row>
    <row r="61" spans="1:20" ht="18" customHeight="1">
      <c r="B61" t="str">
        <f>"10-9120-0000"</f>
        <v>10-9120-0000</v>
      </c>
      <c r="C61" t="str">
        <f>"Stock Package, WaxStock Pa3” x 2” x 1.5”– 50 Pcs"</f>
        <v>Stock Package, WaxStock Pa3” x 2” x 1.5”– 50 Pcs</v>
      </c>
      <c r="D61" s="4"/>
      <c r="E61" s="4">
        <v>1</v>
      </c>
      <c r="F61" s="4"/>
      <c r="G61" s="29" t="str">
        <f>IFERROR(HYPERLINK("#"&amp;ADDRESS(MATCH(B61&amp;"ES",'LM7 Non-ENG'!$A$1:$A$5000,0),1,,,"LM7 Non-ENG"),IF(IFERROR(VLOOKUP(B61&amp;"ES",'LM7 Non-ENG'!$A$1:$A$4999,1,FALSE),"ERROR")=B61&amp;"ES","Y","")),"")</f>
        <v/>
      </c>
      <c r="H61" s="29" t="str">
        <f>IFERROR(HYPERLINK("#"&amp;ADDRESS(MATCH(B61&amp;"PT",'LM7 Non-ENG'!$A$1:$A$5000,0),1,,,"LM7 Non-ENG"),IF(IFERROR(VLOOKUP(B61&amp;"PT",'LM7 Non-ENG'!$A$1:$A$5000,1,FALSE),"ERROR")=B61&amp;"PT","Y","")),"")</f>
        <v/>
      </c>
      <c r="I61" t="str">
        <f>IFERROR(VLOOKUP(B61,PN!$A:$C,3,FALSE),"")</f>
        <v>Active</v>
      </c>
      <c r="J61" s="3">
        <f>IFERROR(E61*VLOOKUP(B61,PLInter!$A:$D,3,FALSE),"")</f>
        <v>657</v>
      </c>
      <c r="K61" s="66"/>
      <c r="L61" s="66"/>
      <c r="M61" s="66"/>
      <c r="N61" s="66"/>
      <c r="O61" s="66"/>
      <c r="P61" s="66"/>
      <c r="Q61" s="66"/>
      <c r="R61" s="66"/>
      <c r="S61" s="66"/>
      <c r="T61" s="66"/>
    </row>
    <row r="62" spans="1:20" ht="18" customHeight="1">
      <c r="B62" t="str">
        <f>"77-3140-0002"</f>
        <v>77-3140-0002</v>
      </c>
      <c r="C62" t="str">
        <f>"LM7 Content, Vir, CNCMilling w/BenchMill 6000(M)"</f>
        <v>LM7 Content, Vir, CNCMilling w/BenchMill 6000(M)</v>
      </c>
      <c r="D62" s="4"/>
      <c r="E62" s="4">
        <v>1</v>
      </c>
      <c r="F62" s="4"/>
      <c r="G62" s="29" t="str">
        <f>IFERROR(HYPERLINK("#"&amp;ADDRESS(MATCH(B62&amp;"ES",'LM7 Non-ENG'!$A$1:$A$5000,0),1,,,"LM7 Non-ENG"),IF(IFERROR(VLOOKUP(B62&amp;"ES",'LM7 Non-ENG'!$A$1:$A$4999,1,FALSE),"ERROR")=B62&amp;"ES","Y","")),"")</f>
        <v>Y</v>
      </c>
      <c r="H62" s="29" t="str">
        <f>IFERROR(HYPERLINK("#"&amp;ADDRESS(MATCH(B62&amp;"PT",'LM7 Non-ENG'!$A$1:$A$5000,0),1,,,"LM7 Non-ENG"),IF(IFERROR(VLOOKUP(B62&amp;"PT",'LM7 Non-ENG'!$A$1:$A$5000,1,FALSE),"ERROR")=B62&amp;"PT","Y","")),"")</f>
        <v>Y</v>
      </c>
      <c r="I62" t="str">
        <f>IFERROR(VLOOKUP(B62,PN!$A:$C,3,FALSE),"")</f>
        <v>Active</v>
      </c>
      <c r="J62" s="3">
        <f>IFERROR(E62*VLOOKUP(B62,PLInter!$A:$D,3,FALSE),"")</f>
        <v>2995</v>
      </c>
      <c r="K62" s="66"/>
      <c r="L62" s="66"/>
      <c r="M62" s="66"/>
      <c r="N62" s="66"/>
      <c r="O62" s="66"/>
      <c r="P62" s="66"/>
      <c r="Q62" s="66"/>
      <c r="R62" s="66"/>
      <c r="S62" s="66"/>
      <c r="T62" s="66"/>
    </row>
    <row r="63" spans="1:20" ht="18" customHeight="1">
      <c r="B63" s="2" t="str">
        <f>"17-3140-0002"</f>
        <v>17-3140-0002</v>
      </c>
      <c r="C63" s="2" t="str">
        <f>"LM5 Content,Vir, CNCMilling w/BenchMill 6000 (M)"</f>
        <v>LM5 Content,Vir, CNCMilling w/BenchMill 6000 (M)</v>
      </c>
      <c r="D63" s="5"/>
      <c r="E63" s="5">
        <v>1</v>
      </c>
      <c r="F63" s="5" t="str">
        <f>"Y"</f>
        <v>Y</v>
      </c>
      <c r="G63" s="29" t="str">
        <f>IFERROR(HYPERLINK("#"&amp;ADDRESS(MATCH(B63&amp;"ES",'LM7 Non-ENG'!$A$1:$A$5000,0),1,,,"LM7 Non-ENG"),IF(IFERROR(VLOOKUP(B63&amp;"ES",'LM7 Non-ENG'!$A$1:$A$4999,1,FALSE),"ERROR")=B63&amp;"ES","Y","")),"")</f>
        <v/>
      </c>
      <c r="H63" s="29" t="str">
        <f>IFERROR(HYPERLINK("#"&amp;ADDRESS(MATCH(B63&amp;"PT",'LM7 Non-ENG'!$A$1:$A$5000,0),1,,,"LM7 Non-ENG"),IF(IFERROR(VLOOKUP(B63&amp;"PT",'LM7 Non-ENG'!$A$1:$A$5000,1,FALSE),"ERROR")=B63&amp;"PT","Y","")),"")</f>
        <v/>
      </c>
      <c r="I63" t="str">
        <f>IFERROR(VLOOKUP(B63,PN!$A:$C,3,FALSE),"")</f>
        <v>Active</v>
      </c>
      <c r="J63" s="3">
        <f>IFERROR(E63*VLOOKUP(B63,PLInter!$A:$D,3,FALSE),"")</f>
        <v>2995</v>
      </c>
      <c r="K63" s="66"/>
      <c r="L63" s="66"/>
      <c r="M63" s="66"/>
      <c r="N63" s="66"/>
      <c r="O63" s="66"/>
      <c r="P63" s="66"/>
      <c r="Q63" s="66"/>
      <c r="R63" s="66"/>
      <c r="S63" s="66"/>
      <c r="T63" s="66"/>
    </row>
    <row r="64" spans="1:20" ht="18" customHeight="1">
      <c r="G64" s="29"/>
      <c r="H64" s="29"/>
    </row>
    <row r="65" spans="1:20" s="7" customFormat="1" ht="18" customHeight="1">
      <c r="A65" s="13" t="s">
        <v>415</v>
      </c>
      <c r="B65" s="13"/>
      <c r="C65" s="13" t="s">
        <v>416</v>
      </c>
      <c r="D65" s="14"/>
      <c r="E65" s="14"/>
      <c r="F65" s="14"/>
      <c r="G65" s="14"/>
      <c r="H65" s="14"/>
      <c r="I65" s="14"/>
      <c r="J65" s="14">
        <f>SUMIFS(J66:J82,D66:D82,"&lt;&gt;Y",F66:F82,"&lt;&gt;Y",I66:I82,"&lt;&gt;Inactive",I66:I82,"&lt;&gt;ECO+NFS")</f>
        <v>25612</v>
      </c>
      <c r="K65" s="14"/>
      <c r="L65" s="14"/>
      <c r="M65" s="14"/>
      <c r="N65" s="14"/>
      <c r="O65" s="14"/>
      <c r="P65" s="14"/>
      <c r="Q65" s="14"/>
      <c r="R65" s="14"/>
      <c r="S65" s="14"/>
      <c r="T65" s="14"/>
    </row>
    <row r="66" spans="1:20" ht="18" customHeight="1">
      <c r="A66" s="17" t="str">
        <f>HYPERLINK("#"&amp;ADDRESS(MATCH(A65,Machining!$A$1:$A$4990,0),1,,,"Machining"),"Back to Price List")</f>
        <v>Back to Price List</v>
      </c>
      <c r="B66" t="str">
        <f>"00-5505-0110"</f>
        <v>00-5505-0110</v>
      </c>
      <c r="C66" t="str">
        <f>"CNC BenchMILL 6000, 110 VAC"</f>
        <v>CNC BenchMILL 6000, 110 VAC</v>
      </c>
      <c r="D66" s="4"/>
      <c r="E66" s="4">
        <v>1</v>
      </c>
      <c r="F66" s="4"/>
      <c r="G66" s="29" t="str">
        <f>IFERROR(HYPERLINK("#"&amp;ADDRESS(MATCH(B66&amp;"ES",'LM7 Non-ENG'!$A$1:$A$5000,0),1,,,"LM7 Non-ENG"),IF(IFERROR(VLOOKUP(B66&amp;"ES",'LM7 Non-ENG'!$A$1:$A$4999,1,FALSE),"ERROR")=B66&amp;"ES","Y","")),"")</f>
        <v/>
      </c>
      <c r="H66" s="29" t="str">
        <f>IFERROR(HYPERLINK("#"&amp;ADDRESS(MATCH(B66&amp;"PT",'LM7 Non-ENG'!$A$1:$A$5000,0),1,,,"LM7 Non-ENG"),IF(IFERROR(VLOOKUP(B66&amp;"PT",'LM7 Non-ENG'!$A$1:$A$5000,1,FALSE),"ERROR")=B66&amp;"PT","Y","")),"")</f>
        <v/>
      </c>
      <c r="I66" t="str">
        <f>IFERROR(VLOOKUP(B66,PN!$A:$C,3,FALSE),"")</f>
        <v>Active</v>
      </c>
      <c r="J66" s="3">
        <f>IFERROR(E66*VLOOKUP(B66,PLInter!$A:$D,3,FALSE),"")</f>
        <v>14934</v>
      </c>
      <c r="K66" s="68" t="s">
        <v>417</v>
      </c>
      <c r="L66" s="66"/>
      <c r="M66" s="66"/>
      <c r="N66" s="66"/>
      <c r="O66" s="66"/>
      <c r="P66" s="66"/>
      <c r="Q66" s="66"/>
      <c r="R66" s="66"/>
      <c r="S66" s="66"/>
      <c r="T66" s="66"/>
    </row>
    <row r="67" spans="1:20" ht="18" customHeight="1">
      <c r="B67" s="2" t="str">
        <f>"00-5505-0220"</f>
        <v>00-5505-0220</v>
      </c>
      <c r="C67" s="2" t="str">
        <f>"CNC BenchMILL 6000, 220 VAC"</f>
        <v>CNC BenchMILL 6000, 220 VAC</v>
      </c>
      <c r="D67" s="5"/>
      <c r="E67" s="5">
        <v>1</v>
      </c>
      <c r="F67" s="5" t="str">
        <f>"Y"</f>
        <v>Y</v>
      </c>
      <c r="G67" s="29" t="str">
        <f>IFERROR(HYPERLINK("#"&amp;ADDRESS(MATCH(B67&amp;"ES",'LM7 Non-ENG'!$A$1:$A$5000,0),1,,,"LM7 Non-ENG"),IF(IFERROR(VLOOKUP(B67&amp;"ES",'LM7 Non-ENG'!$A$1:$A$4999,1,FALSE),"ERROR")=B67&amp;"ES","Y","")),"")</f>
        <v/>
      </c>
      <c r="H67" s="29" t="str">
        <f>IFERROR(HYPERLINK("#"&amp;ADDRESS(MATCH(B67&amp;"PT",'LM7 Non-ENG'!$A$1:$A$5000,0),1,,,"LM7 Non-ENG"),IF(IFERROR(VLOOKUP(B67&amp;"PT",'LM7 Non-ENG'!$A$1:$A$5000,1,FALSE),"ERROR")=B67&amp;"PT","Y","")),"")</f>
        <v/>
      </c>
      <c r="I67" t="str">
        <f>IFERROR(VLOOKUP(B67,PN!$A:$C,3,FALSE),"")</f>
        <v>Active</v>
      </c>
      <c r="J67" s="3">
        <f>IFERROR(E67*VLOOKUP(B67,PLInter!$A:$D,3,FALSE),"")</f>
        <v>14934</v>
      </c>
      <c r="K67" s="66"/>
      <c r="L67" s="66"/>
      <c r="M67" s="66"/>
      <c r="N67" s="66"/>
      <c r="O67" s="66"/>
      <c r="P67" s="66"/>
      <c r="Q67" s="66"/>
      <c r="R67" s="66"/>
      <c r="S67" s="66"/>
      <c r="T67" s="66"/>
    </row>
    <row r="68" spans="1:20" ht="18" customHeight="1">
      <c r="B68" t="str">
        <f>"10-1111-6000"</f>
        <v>10-1111-6000</v>
      </c>
      <c r="C68" t="str">
        <f>"4"" Precision Maching Vise"</f>
        <v>4" Precision Maching Vise</v>
      </c>
      <c r="D68" s="4"/>
      <c r="E68" s="4">
        <v>1</v>
      </c>
      <c r="F68" s="4"/>
      <c r="G68" s="29" t="str">
        <f>IFERROR(HYPERLINK("#"&amp;ADDRESS(MATCH(B68&amp;"ES",'LM7 Non-ENG'!$A$1:$A$5000,0),1,,,"LM7 Non-ENG"),IF(IFERROR(VLOOKUP(B68&amp;"ES",'LM7 Non-ENG'!$A$1:$A$4999,1,FALSE),"ERROR")=B68&amp;"ES","Y","")),"")</f>
        <v/>
      </c>
      <c r="H68" s="29" t="str">
        <f>IFERROR(HYPERLINK("#"&amp;ADDRESS(MATCH(B68&amp;"PT",'LM7 Non-ENG'!$A$1:$A$5000,0),1,,,"LM7 Non-ENG"),IF(IFERROR(VLOOKUP(B68&amp;"PT",'LM7 Non-ENG'!$A$1:$A$5000,1,FALSE),"ERROR")=B68&amp;"PT","Y","")),"")</f>
        <v/>
      </c>
      <c r="I68" t="str">
        <f>IFERROR(VLOOKUP(B68,PN!$A:$C,3,FALSE),"")</f>
        <v>Active</v>
      </c>
      <c r="J68" s="3">
        <f>IFERROR(E68*VLOOKUP(B68,PLInter!$A:$D,3,FALSE),"")</f>
        <v>206</v>
      </c>
      <c r="K68" s="66"/>
      <c r="L68" s="66"/>
      <c r="M68" s="66"/>
      <c r="N68" s="66"/>
      <c r="O68" s="66"/>
      <c r="P68" s="66"/>
      <c r="Q68" s="66"/>
      <c r="R68" s="66"/>
      <c r="S68" s="66"/>
      <c r="T68" s="66"/>
    </row>
    <row r="69" spans="1:20" ht="18" customHeight="1">
      <c r="B69" t="str">
        <f>"10-1111-5000"</f>
        <v>10-1111-5000</v>
      </c>
      <c r="C69" t="str">
        <f>"clamping kit 58 pcs set"</f>
        <v>clamping kit 58 pcs set</v>
      </c>
      <c r="D69" s="4"/>
      <c r="E69" s="4">
        <v>1</v>
      </c>
      <c r="F69" s="4"/>
      <c r="G69" s="29" t="str">
        <f>IFERROR(HYPERLINK("#"&amp;ADDRESS(MATCH(B69&amp;"ES",'LM7 Non-ENG'!$A$1:$A$5000,0),1,,,"LM7 Non-ENG"),IF(IFERROR(VLOOKUP(B69&amp;"ES",'LM7 Non-ENG'!$A$1:$A$4999,1,FALSE),"ERROR")=B69&amp;"ES","Y","")),"")</f>
        <v/>
      </c>
      <c r="H69" s="29" t="str">
        <f>IFERROR(HYPERLINK("#"&amp;ADDRESS(MATCH(B69&amp;"PT",'LM7 Non-ENG'!$A$1:$A$5000,0),1,,,"LM7 Non-ENG"),IF(IFERROR(VLOOKUP(B69&amp;"PT",'LM7 Non-ENG'!$A$1:$A$5000,1,FALSE),"ERROR")=B69&amp;"PT","Y","")),"")</f>
        <v/>
      </c>
      <c r="I69" t="str">
        <f>IFERROR(VLOOKUP(B69,PN!$A:$C,3,FALSE),"")</f>
        <v>Active</v>
      </c>
      <c r="J69" s="3">
        <f>IFERROR(E69*VLOOKUP(B69,PLInter!$A:$D,3,FALSE),"")</f>
        <v>175</v>
      </c>
      <c r="K69" s="66"/>
      <c r="L69" s="66"/>
      <c r="M69" s="66"/>
      <c r="N69" s="66"/>
      <c r="O69" s="66"/>
      <c r="P69" s="66"/>
      <c r="Q69" s="66"/>
      <c r="R69" s="66"/>
      <c r="S69" s="66"/>
      <c r="T69" s="66"/>
    </row>
    <row r="70" spans="1:20" ht="18" customHeight="1">
      <c r="B70" t="str">
        <f>"10-1111-9000"</f>
        <v>10-1111-9000</v>
      </c>
      <c r="C70" t="str">
        <f>"ISO 20 tool holder with nut"</f>
        <v>ISO 20 tool holder with nut</v>
      </c>
      <c r="D70" s="4"/>
      <c r="E70" s="4">
        <v>1</v>
      </c>
      <c r="F70" s="4"/>
      <c r="G70" s="29" t="str">
        <f>IFERROR(HYPERLINK("#"&amp;ADDRESS(MATCH(B70&amp;"ES",'LM7 Non-ENG'!$A$1:$A$5000,0),1,,,"LM7 Non-ENG"),IF(IFERROR(VLOOKUP(B70&amp;"ES",'LM7 Non-ENG'!$A$1:$A$4999,1,FALSE),"ERROR")=B70&amp;"ES","Y","")),"")</f>
        <v/>
      </c>
      <c r="H70" s="29" t="str">
        <f>IFERROR(HYPERLINK("#"&amp;ADDRESS(MATCH(B70&amp;"PT",'LM7 Non-ENG'!$A$1:$A$5000,0),1,,,"LM7 Non-ENG"),IF(IFERROR(VLOOKUP(B70&amp;"PT",'LM7 Non-ENG'!$A$1:$A$5000,1,FALSE),"ERROR")=B70&amp;"PT","Y","")),"")</f>
        <v/>
      </c>
      <c r="I70" t="str">
        <f>IFERROR(VLOOKUP(B70,PN!$A:$C,3,FALSE),"")</f>
        <v>Active</v>
      </c>
      <c r="J70" s="3">
        <f>IFERROR(E70*VLOOKUP(B70,PLInter!$A:$D,3,FALSE),"")</f>
        <v>360</v>
      </c>
      <c r="K70" s="66"/>
      <c r="L70" s="66"/>
      <c r="M70" s="66"/>
      <c r="N70" s="66"/>
      <c r="O70" s="66"/>
      <c r="P70" s="66"/>
      <c r="Q70" s="66"/>
      <c r="R70" s="66"/>
      <c r="S70" s="66"/>
      <c r="T70" s="66"/>
    </row>
    <row r="71" spans="1:20" ht="18" customHeight="1">
      <c r="B71" t="str">
        <f>"10-1113-5000"</f>
        <v>10-1113-5000</v>
      </c>
      <c r="C71" t="str">
        <f>"Imperial Advanced End Mill Package 5120"</f>
        <v>Imperial Advanced End Mill Package 5120</v>
      </c>
      <c r="D71" s="4"/>
      <c r="E71" s="4">
        <v>1</v>
      </c>
      <c r="F71" s="4"/>
      <c r="G71" s="29" t="str">
        <f>IFERROR(HYPERLINK("#"&amp;ADDRESS(MATCH(B71&amp;"ES",'LM7 Non-ENG'!$A$1:$A$5000,0),1,,,"LM7 Non-ENG"),IF(IFERROR(VLOOKUP(B71&amp;"ES",'LM7 Non-ENG'!$A$1:$A$4999,1,FALSE),"ERROR")=B71&amp;"ES","Y","")),"")</f>
        <v/>
      </c>
      <c r="H71" s="29" t="str">
        <f>IFERROR(HYPERLINK("#"&amp;ADDRESS(MATCH(B71&amp;"PT",'LM7 Non-ENG'!$A$1:$A$5000,0),1,,,"LM7 Non-ENG"),IF(IFERROR(VLOOKUP(B71&amp;"PT",'LM7 Non-ENG'!$A$1:$A$5000,1,FALSE),"ERROR")=B71&amp;"PT","Y","")),"")</f>
        <v/>
      </c>
      <c r="I71" t="str">
        <f>IFERROR(VLOOKUP(B71,PN!$A:$C,3,FALSE),"")</f>
        <v>Active</v>
      </c>
      <c r="J71" s="3">
        <f>IFERROR(E71*VLOOKUP(B71,PLInter!$A:$D,3,FALSE),"")</f>
        <v>200</v>
      </c>
      <c r="K71" s="66"/>
      <c r="L71" s="66"/>
      <c r="M71" s="66"/>
      <c r="N71" s="66"/>
      <c r="O71" s="66"/>
      <c r="P71" s="66"/>
      <c r="Q71" s="66"/>
      <c r="R71" s="66"/>
      <c r="S71" s="66"/>
      <c r="T71" s="66"/>
    </row>
    <row r="72" spans="1:20" ht="18" customHeight="1">
      <c r="B72" t="str">
        <f>"10-1112-2000"</f>
        <v>10-1112-2000</v>
      </c>
      <c r="C72" t="str">
        <f>"ER16 Collet set-8 pieces(3,4,5,6,7,8,9 and 10mm)"</f>
        <v>ER16 Collet set-8 pieces(3,4,5,6,7,8,9 and 10mm)</v>
      </c>
      <c r="D72" s="4"/>
      <c r="E72" s="4">
        <v>1</v>
      </c>
      <c r="F72" s="4"/>
      <c r="G72" s="29" t="str">
        <f>IFERROR(HYPERLINK("#"&amp;ADDRESS(MATCH(B72&amp;"ES",'LM7 Non-ENG'!$A$1:$A$5000,0),1,,,"LM7 Non-ENG"),IF(IFERROR(VLOOKUP(B72&amp;"ES",'LM7 Non-ENG'!$A$1:$A$4999,1,FALSE),"ERROR")=B72&amp;"ES","Y","")),"")</f>
        <v/>
      </c>
      <c r="H72" s="29" t="str">
        <f>IFERROR(HYPERLINK("#"&amp;ADDRESS(MATCH(B72&amp;"PT",'LM7 Non-ENG'!$A$1:$A$5000,0),1,,,"LM7 Non-ENG"),IF(IFERROR(VLOOKUP(B72&amp;"PT",'LM7 Non-ENG'!$A$1:$A$5000,1,FALSE),"ERROR")=B72&amp;"PT","Y","")),"")</f>
        <v/>
      </c>
      <c r="I72" t="str">
        <f>IFERROR(VLOOKUP(B72,PN!$A:$C,3,FALSE),"")</f>
        <v>Active</v>
      </c>
      <c r="J72" s="3">
        <f>IFERROR(E72*VLOOKUP(B72,PLInter!$A:$D,3,FALSE),"")</f>
        <v>226</v>
      </c>
      <c r="K72" s="66"/>
      <c r="L72" s="66"/>
      <c r="M72" s="66"/>
      <c r="N72" s="66"/>
      <c r="O72" s="66"/>
      <c r="P72" s="66"/>
      <c r="Q72" s="66"/>
      <c r="R72" s="66"/>
      <c r="S72" s="66"/>
      <c r="T72" s="66"/>
    </row>
    <row r="73" spans="1:20" ht="18" customHeight="1">
      <c r="B73" t="str">
        <f>"10-1115-2000"</f>
        <v>10-1115-2000</v>
      </c>
      <c r="C73" t="str">
        <f>"Table mounted ATC package"</f>
        <v>Table mounted ATC package</v>
      </c>
      <c r="D73" s="4"/>
      <c r="E73" s="4">
        <v>1</v>
      </c>
      <c r="F73" s="4"/>
      <c r="G73" s="29" t="str">
        <f>IFERROR(HYPERLINK("#"&amp;ADDRESS(MATCH(B73&amp;"ES",'LM7 Non-ENG'!$A$1:$A$5000,0),1,,,"LM7 Non-ENG"),IF(IFERROR(VLOOKUP(B73&amp;"ES",'LM7 Non-ENG'!$A$1:$A$4999,1,FALSE),"ERROR")=B73&amp;"ES","Y","")),"")</f>
        <v/>
      </c>
      <c r="H73" s="29" t="str">
        <f>IFERROR(HYPERLINK("#"&amp;ADDRESS(MATCH(B73&amp;"PT",'LM7 Non-ENG'!$A$1:$A$5000,0),1,,,"LM7 Non-ENG"),IF(IFERROR(VLOOKUP(B73&amp;"PT",'LM7 Non-ENG'!$A$1:$A$5000,1,FALSE),"ERROR")=B73&amp;"PT","Y","")),"")</f>
        <v/>
      </c>
      <c r="I73" t="str">
        <f>IFERROR(VLOOKUP(B73,PN!$A:$C,3,FALSE),"")</f>
        <v>Active</v>
      </c>
      <c r="J73" s="3">
        <f>IFERROR(E73*VLOOKUP(B73,PLInter!$A:$D,3,FALSE),"")</f>
        <v>2188</v>
      </c>
      <c r="K73" s="66"/>
      <c r="L73" s="66"/>
      <c r="M73" s="66"/>
      <c r="N73" s="66"/>
      <c r="O73" s="66"/>
      <c r="P73" s="66"/>
      <c r="Q73" s="66"/>
      <c r="R73" s="66"/>
      <c r="S73" s="66"/>
      <c r="T73" s="66"/>
    </row>
    <row r="74" spans="1:20" ht="18" customHeight="1">
      <c r="B74" t="str">
        <f>"10-1111-1000"</f>
        <v>10-1111-1000</v>
      </c>
      <c r="C74" t="str">
        <f>"Jog Pendant Handwheel"</f>
        <v>Jog Pendant Handwheel</v>
      </c>
      <c r="D74" s="4"/>
      <c r="E74" s="4">
        <v>1</v>
      </c>
      <c r="F74" s="4"/>
      <c r="G74" s="29" t="str">
        <f>IFERROR(HYPERLINK("#"&amp;ADDRESS(MATCH(B74&amp;"ES",'LM7 Non-ENG'!$A$1:$A$5000,0),1,,,"LM7 Non-ENG"),IF(IFERROR(VLOOKUP(B74&amp;"ES",'LM7 Non-ENG'!$A$1:$A$4999,1,FALSE),"ERROR")=B74&amp;"ES","Y","")),"")</f>
        <v/>
      </c>
      <c r="H74" s="29" t="str">
        <f>IFERROR(HYPERLINK("#"&amp;ADDRESS(MATCH(B74&amp;"PT",'LM7 Non-ENG'!$A$1:$A$5000,0),1,,,"LM7 Non-ENG"),IF(IFERROR(VLOOKUP(B74&amp;"PT",'LM7 Non-ENG'!$A$1:$A$5000,1,FALSE),"ERROR")=B74&amp;"PT","Y","")),"")</f>
        <v/>
      </c>
      <c r="I74" t="str">
        <f>IFERROR(VLOOKUP(B74,PN!$A:$C,3,FALSE),"")</f>
        <v>Active</v>
      </c>
      <c r="J74" s="3">
        <f>IFERROR(E74*VLOOKUP(B74,PLInter!$A:$D,3,FALSE),"")</f>
        <v>795</v>
      </c>
      <c r="K74" s="66"/>
      <c r="L74" s="66"/>
      <c r="M74" s="66"/>
      <c r="N74" s="66"/>
      <c r="O74" s="66"/>
      <c r="P74" s="66"/>
      <c r="Q74" s="66"/>
      <c r="R74" s="66"/>
      <c r="S74" s="66"/>
      <c r="T74" s="66"/>
    </row>
    <row r="75" spans="1:20" ht="18" customHeight="1">
      <c r="B75" t="str">
        <f>"10-1108-1110"</f>
        <v>10-1108-1110</v>
      </c>
      <c r="C75" t="str">
        <f>"Coolant system 27L - 110V"</f>
        <v>Coolant system 27L - 110V</v>
      </c>
      <c r="D75" s="4"/>
      <c r="E75" s="4">
        <v>1</v>
      </c>
      <c r="F75" s="4"/>
      <c r="G75" s="29" t="str">
        <f>IFERROR(HYPERLINK("#"&amp;ADDRESS(MATCH(B75&amp;"ES",'LM7 Non-ENG'!$A$1:$A$5000,0),1,,,"LM7 Non-ENG"),IF(IFERROR(VLOOKUP(B75&amp;"ES",'LM7 Non-ENG'!$A$1:$A$4999,1,FALSE),"ERROR")=B75&amp;"ES","Y","")),"")</f>
        <v/>
      </c>
      <c r="H75" s="29" t="str">
        <f>IFERROR(HYPERLINK("#"&amp;ADDRESS(MATCH(B75&amp;"PT",'LM7 Non-ENG'!$A$1:$A$5000,0),1,,,"LM7 Non-ENG"),IF(IFERROR(VLOOKUP(B75&amp;"PT",'LM7 Non-ENG'!$A$1:$A$5000,1,FALSE),"ERROR")=B75&amp;"PT","Y","")),"")</f>
        <v/>
      </c>
      <c r="I75" t="str">
        <f>IFERROR(VLOOKUP(B75,PN!$A:$C,3,FALSE),"")</f>
        <v>Active</v>
      </c>
      <c r="J75" s="3">
        <f>IFERROR(E75*VLOOKUP(B75,PLInter!$A:$D,3,FALSE),"")</f>
        <v>407</v>
      </c>
      <c r="K75" s="66"/>
      <c r="L75" s="66"/>
      <c r="M75" s="66"/>
      <c r="N75" s="66"/>
      <c r="O75" s="66"/>
      <c r="P75" s="66"/>
      <c r="Q75" s="66"/>
      <c r="R75" s="66"/>
      <c r="S75" s="66"/>
      <c r="T75" s="66"/>
    </row>
    <row r="76" spans="1:20" ht="18" customHeight="1">
      <c r="B76" s="2" t="str">
        <f>"10-1108-1220"</f>
        <v>10-1108-1220</v>
      </c>
      <c r="C76" s="2" t="str">
        <f>"Coolant system 27L - 220V"</f>
        <v>Coolant system 27L - 220V</v>
      </c>
      <c r="D76" s="5"/>
      <c r="E76" s="5">
        <v>1</v>
      </c>
      <c r="F76" s="5" t="str">
        <f>"Y"</f>
        <v>Y</v>
      </c>
      <c r="G76" s="29" t="str">
        <f>IFERROR(HYPERLINK("#"&amp;ADDRESS(MATCH(B76&amp;"ES",'LM7 Non-ENG'!$A$1:$A$5000,0),1,,,"LM7 Non-ENG"),IF(IFERROR(VLOOKUP(B76&amp;"ES",'LM7 Non-ENG'!$A$1:$A$4999,1,FALSE),"ERROR")=B76&amp;"ES","Y","")),"")</f>
        <v/>
      </c>
      <c r="H76" s="29" t="str">
        <f>IFERROR(HYPERLINK("#"&amp;ADDRESS(MATCH(B76&amp;"PT",'LM7 Non-ENG'!$A$1:$A$5000,0),1,,,"LM7 Non-ENG"),IF(IFERROR(VLOOKUP(B76&amp;"PT",'LM7 Non-ENG'!$A$1:$A$5000,1,FALSE),"ERROR")=B76&amp;"PT","Y","")),"")</f>
        <v/>
      </c>
      <c r="I76" t="str">
        <f>IFERROR(VLOOKUP(B76,PN!$A:$C,3,FALSE),"")</f>
        <v>Active</v>
      </c>
      <c r="J76" s="3">
        <f>IFERROR(E76*VLOOKUP(B76,PLInter!$A:$D,3,FALSE),"")</f>
        <v>407</v>
      </c>
      <c r="K76" s="66"/>
      <c r="L76" s="66"/>
      <c r="M76" s="66"/>
      <c r="N76" s="66"/>
      <c r="O76" s="66"/>
      <c r="P76" s="66"/>
      <c r="Q76" s="66"/>
      <c r="R76" s="66"/>
      <c r="S76" s="66"/>
      <c r="T76" s="66"/>
    </row>
    <row r="77" spans="1:20" ht="18" customHeight="1">
      <c r="B77" t="str">
        <f>"10-1109-3000"</f>
        <v>10-1109-3000</v>
      </c>
      <c r="C77" t="str">
        <f>"80mm 3-jaw chuck"</f>
        <v>80mm 3-jaw chuck</v>
      </c>
      <c r="D77" s="4"/>
      <c r="E77" s="4">
        <v>1</v>
      </c>
      <c r="F77" s="4"/>
      <c r="G77" s="29" t="str">
        <f>IFERROR(HYPERLINK("#"&amp;ADDRESS(MATCH(B77&amp;"ES",'LM7 Non-ENG'!$A$1:$A$5000,0),1,,,"LM7 Non-ENG"),IF(IFERROR(VLOOKUP(B77&amp;"ES",'LM7 Non-ENG'!$A$1:$A$4999,1,FALSE),"ERROR")=B77&amp;"ES","Y","")),"")</f>
        <v/>
      </c>
      <c r="H77" s="29" t="str">
        <f>IFERROR(HYPERLINK("#"&amp;ADDRESS(MATCH(B77&amp;"PT",'LM7 Non-ENG'!$A$1:$A$5000,0),1,,,"LM7 Non-ENG"),IF(IFERROR(VLOOKUP(B77&amp;"PT",'LM7 Non-ENG'!$A$1:$A$5000,1,FALSE),"ERROR")=B77&amp;"PT","Y","")),"")</f>
        <v/>
      </c>
      <c r="I77" t="str">
        <f>IFERROR(VLOOKUP(B77,PN!$A:$C,3,FALSE),"")</f>
        <v>Active</v>
      </c>
      <c r="J77" s="3">
        <f>IFERROR(E77*VLOOKUP(B77,PLInter!$A:$D,3,FALSE),"")</f>
        <v>186</v>
      </c>
      <c r="K77" s="66"/>
      <c r="L77" s="66"/>
      <c r="M77" s="66"/>
      <c r="N77" s="66"/>
      <c r="O77" s="66"/>
      <c r="P77" s="66"/>
      <c r="Q77" s="66"/>
      <c r="R77" s="66"/>
      <c r="S77" s="66"/>
      <c r="T77" s="66"/>
    </row>
    <row r="78" spans="1:20" ht="18" customHeight="1">
      <c r="B78" t="str">
        <f>"10-1113-7000"</f>
        <v>10-1113-7000</v>
      </c>
      <c r="C78" t="str">
        <f>"Imperial Engraving Package 5710"</f>
        <v>Imperial Engraving Package 5710</v>
      </c>
      <c r="D78" s="4"/>
      <c r="E78" s="4">
        <v>1</v>
      </c>
      <c r="F78" s="4"/>
      <c r="G78" s="29" t="str">
        <f>IFERROR(HYPERLINK("#"&amp;ADDRESS(MATCH(B78&amp;"ES",'LM7 Non-ENG'!$A$1:$A$5000,0),1,,,"LM7 Non-ENG"),IF(IFERROR(VLOOKUP(B78&amp;"ES",'LM7 Non-ENG'!$A$1:$A$4999,1,FALSE),"ERROR")=B78&amp;"ES","Y","")),"")</f>
        <v/>
      </c>
      <c r="H78" s="29" t="str">
        <f>IFERROR(HYPERLINK("#"&amp;ADDRESS(MATCH(B78&amp;"PT",'LM7 Non-ENG'!$A$1:$A$5000,0),1,,,"LM7 Non-ENG"),IF(IFERROR(VLOOKUP(B78&amp;"PT",'LM7 Non-ENG'!$A$1:$A$5000,1,FALSE),"ERROR")=B78&amp;"PT","Y","")),"")</f>
        <v/>
      </c>
      <c r="I78" t="str">
        <f>IFERROR(VLOOKUP(B78,PN!$A:$C,3,FALSE),"")</f>
        <v>Active</v>
      </c>
      <c r="J78" s="3">
        <f>IFERROR(E78*VLOOKUP(B78,PLInter!$A:$D,3,FALSE),"")</f>
        <v>157</v>
      </c>
      <c r="K78" s="66"/>
      <c r="L78" s="66"/>
      <c r="M78" s="66"/>
      <c r="N78" s="66"/>
      <c r="O78" s="66"/>
      <c r="P78" s="66"/>
      <c r="Q78" s="66"/>
      <c r="R78" s="66"/>
      <c r="S78" s="66"/>
      <c r="T78" s="66"/>
    </row>
    <row r="79" spans="1:20" ht="18" customHeight="1">
      <c r="B79" t="str">
        <f>"10-9120-0000"</f>
        <v>10-9120-0000</v>
      </c>
      <c r="C79" t="str">
        <f>"Stock Package, WaxStock Pa3” x 2” x 1.5”– 50 Pcs"</f>
        <v>Stock Package, WaxStock Pa3” x 2” x 1.5”– 50 Pcs</v>
      </c>
      <c r="D79" s="4"/>
      <c r="E79" s="4">
        <v>1</v>
      </c>
      <c r="F79" s="4"/>
      <c r="G79" s="29" t="str">
        <f>IFERROR(HYPERLINK("#"&amp;ADDRESS(MATCH(B79&amp;"ES",'LM7 Non-ENG'!$A$1:$A$5000,0),1,,,"LM7 Non-ENG"),IF(IFERROR(VLOOKUP(B79&amp;"ES",'LM7 Non-ENG'!$A$1:$A$4999,1,FALSE),"ERROR")=B79&amp;"ES","Y","")),"")</f>
        <v/>
      </c>
      <c r="H79" s="29" t="str">
        <f>IFERROR(HYPERLINK("#"&amp;ADDRESS(MATCH(B79&amp;"PT",'LM7 Non-ENG'!$A$1:$A$5000,0),1,,,"LM7 Non-ENG"),IF(IFERROR(VLOOKUP(B79&amp;"PT",'LM7 Non-ENG'!$A$1:$A$5000,1,FALSE),"ERROR")=B79&amp;"PT","Y","")),"")</f>
        <v/>
      </c>
      <c r="I79" t="str">
        <f>IFERROR(VLOOKUP(B79,PN!$A:$C,3,FALSE),"")</f>
        <v>Active</v>
      </c>
      <c r="J79" s="3">
        <f>IFERROR(E79*VLOOKUP(B79,PLInter!$A:$D,3,FALSE),"")</f>
        <v>657</v>
      </c>
      <c r="K79" s="66"/>
      <c r="L79" s="66"/>
      <c r="M79" s="66"/>
      <c r="N79" s="66"/>
      <c r="O79" s="66"/>
      <c r="P79" s="66"/>
      <c r="Q79" s="66"/>
      <c r="R79" s="66"/>
      <c r="S79" s="66"/>
      <c r="T79" s="66"/>
    </row>
    <row r="80" spans="1:20" ht="18" customHeight="1">
      <c r="B80" t="str">
        <f>"77-3140-0001"</f>
        <v>77-3140-0001</v>
      </c>
      <c r="C80" t="str">
        <f>"LM7 Content, Vir, CNC Milling w/BenchMill 6000"</f>
        <v>LM7 Content, Vir, CNC Milling w/BenchMill 6000</v>
      </c>
      <c r="D80" s="4"/>
      <c r="E80" s="4">
        <v>1</v>
      </c>
      <c r="F80" s="4"/>
      <c r="G80" s="29" t="str">
        <f>IFERROR(HYPERLINK("#"&amp;ADDRESS(MATCH(B80&amp;"ES",'LM7 Non-ENG'!$A$1:$A$5000,0),1,,,"LM7 Non-ENG"),IF(IFERROR(VLOOKUP(B80&amp;"ES",'LM7 Non-ENG'!$A$1:$A$4999,1,FALSE),"ERROR")=B80&amp;"ES","Y","")),"")</f>
        <v/>
      </c>
      <c r="H80" s="29" t="str">
        <f>IFERROR(HYPERLINK("#"&amp;ADDRESS(MATCH(B80&amp;"PT",'LM7 Non-ENG'!$A$1:$A$5000,0),1,,,"LM7 Non-ENG"),IF(IFERROR(VLOOKUP(B80&amp;"PT",'LM7 Non-ENG'!$A$1:$A$5000,1,FALSE),"ERROR")=B80&amp;"PT","Y","")),"")</f>
        <v/>
      </c>
      <c r="I80" t="str">
        <f>IFERROR(VLOOKUP(B80,PN!$A:$C,3,FALSE),"")</f>
        <v>Active</v>
      </c>
      <c r="J80" s="3">
        <f>IFERROR(E80*VLOOKUP(B80,PLInter!$A:$D,3,FALSE),"")</f>
        <v>2995</v>
      </c>
      <c r="K80" s="66"/>
      <c r="L80" s="66"/>
      <c r="M80" s="66"/>
      <c r="N80" s="66"/>
      <c r="O80" s="66"/>
      <c r="P80" s="66"/>
      <c r="Q80" s="66"/>
      <c r="R80" s="66"/>
      <c r="S80" s="66"/>
      <c r="T80" s="66"/>
    </row>
    <row r="81" spans="1:20" ht="18" customHeight="1">
      <c r="B81" s="2" t="str">
        <f>"17-3140-0001"</f>
        <v>17-3140-0001</v>
      </c>
      <c r="C81" s="2" t="str">
        <f>"LM5.X Content, Vir, CNC Milling w/BenchMill 6000"</f>
        <v>LM5.X Content, Vir, CNC Milling w/BenchMill 6000</v>
      </c>
      <c r="D81" s="5"/>
      <c r="E81" s="5">
        <v>1</v>
      </c>
      <c r="F81" s="5" t="str">
        <f>"Y"</f>
        <v>Y</v>
      </c>
      <c r="G81" s="29" t="str">
        <f>IFERROR(HYPERLINK("#"&amp;ADDRESS(MATCH(B81&amp;"ES",'LM7 Non-ENG'!$A$1:$A$5000,0),1,,,"LM7 Non-ENG"),IF(IFERROR(VLOOKUP(B81&amp;"ES",'LM7 Non-ENG'!$A$1:$A$4999,1,FALSE),"ERROR")=B81&amp;"ES","Y","")),"")</f>
        <v/>
      </c>
      <c r="H81" s="29" t="str">
        <f>IFERROR(HYPERLINK("#"&amp;ADDRESS(MATCH(B81&amp;"PT",'LM7 Non-ENG'!$A$1:$A$5000,0),1,,,"LM7 Non-ENG"),IF(IFERROR(VLOOKUP(B81&amp;"PT",'LM7 Non-ENG'!$A$1:$A$5000,1,FALSE),"ERROR")=B81&amp;"PT","Y","")),"")</f>
        <v/>
      </c>
      <c r="I81" t="str">
        <f>IFERROR(VLOOKUP(B81,PN!$A:$C,3,FALSE),"")</f>
        <v>Active</v>
      </c>
      <c r="J81" s="3">
        <f>IFERROR(E81*VLOOKUP(B81,PLInter!$A:$D,3,FALSE),"")</f>
        <v>2995</v>
      </c>
      <c r="K81" s="66"/>
      <c r="L81" s="66"/>
      <c r="M81" s="66"/>
      <c r="N81" s="66"/>
      <c r="O81" s="66"/>
      <c r="P81" s="66"/>
      <c r="Q81" s="66"/>
      <c r="R81" s="66"/>
      <c r="S81" s="66"/>
      <c r="T81" s="66"/>
    </row>
    <row r="82" spans="1:20" ht="18" customHeight="1">
      <c r="B82" t="str">
        <f>"10-1108-8000"</f>
        <v>10-1108-8000</v>
      </c>
      <c r="C82" t="str">
        <f>"100mm rotary worktable (4th axis) with tailstock"</f>
        <v>100mm rotary worktable (4th axis) with tailstock</v>
      </c>
      <c r="D82" s="4"/>
      <c r="E82" s="4">
        <v>1</v>
      </c>
      <c r="F82" s="4"/>
      <c r="G82" s="29" t="str">
        <f>IFERROR(HYPERLINK("#"&amp;ADDRESS(MATCH(B82&amp;"ES",'LM7 Non-ENG'!$A$1:$A$5000,0),1,,,"LM7 Non-ENG"),IF(IFERROR(VLOOKUP(B82&amp;"ES",'LM7 Non-ENG'!$A$1:$A$4999,1,FALSE),"ERROR")=B82&amp;"ES","Y","")),"")</f>
        <v/>
      </c>
      <c r="H82" s="29" t="str">
        <f>IFERROR(HYPERLINK("#"&amp;ADDRESS(MATCH(B82&amp;"PT",'LM7 Non-ENG'!$A$1:$A$5000,0),1,,,"LM7 Non-ENG"),IF(IFERROR(VLOOKUP(B82&amp;"PT",'LM7 Non-ENG'!$A$1:$A$5000,1,FALSE),"ERROR")=B82&amp;"PT","Y","")),"")</f>
        <v/>
      </c>
      <c r="I82" t="str">
        <f>IFERROR(VLOOKUP(B82,PN!$A:$C,3,FALSE),"")</f>
        <v>Active</v>
      </c>
      <c r="J82" s="3">
        <f>IFERROR(E82*VLOOKUP(B82,PLInter!$A:$D,3,FALSE),"")</f>
        <v>2126</v>
      </c>
      <c r="K82" s="66"/>
      <c r="L82" s="66"/>
      <c r="M82" s="66"/>
      <c r="N82" s="66"/>
      <c r="O82" s="66"/>
      <c r="P82" s="66"/>
      <c r="Q82" s="66"/>
      <c r="R82" s="66"/>
      <c r="S82" s="66"/>
      <c r="T82" s="66"/>
    </row>
    <row r="83" spans="1:20" ht="18" customHeight="1">
      <c r="G83" s="29"/>
      <c r="H83" s="29"/>
    </row>
    <row r="84" spans="1:20" s="7" customFormat="1" ht="18" customHeight="1">
      <c r="A84" s="13" t="s">
        <v>418</v>
      </c>
      <c r="B84" s="13"/>
      <c r="C84" s="13" t="s">
        <v>419</v>
      </c>
      <c r="D84" s="14"/>
      <c r="E84" s="14"/>
      <c r="F84" s="14"/>
      <c r="G84" s="14"/>
      <c r="H84" s="14"/>
      <c r="I84" s="14"/>
      <c r="J84" s="14">
        <f>SUMIFS(J85:J103,D85:D103,"&lt;&gt;Y",F85:F103,"&lt;&gt;Y",I85:I103,"&lt;&gt;Inactive",I85:I103,"&lt;&gt;ECO+NFS")</f>
        <v>26019</v>
      </c>
      <c r="K84" s="14"/>
      <c r="L84" s="14"/>
      <c r="M84" s="14"/>
      <c r="N84" s="14"/>
      <c r="O84" s="14"/>
      <c r="P84" s="14"/>
      <c r="Q84" s="14"/>
      <c r="R84" s="14"/>
      <c r="S84" s="14"/>
      <c r="T84" s="14"/>
    </row>
    <row r="85" spans="1:20" ht="18" customHeight="1">
      <c r="A85" s="17" t="str">
        <f>HYPERLINK("#"&amp;ADDRESS(MATCH(A84,Machining!$A$1:$A$4990,0),1,,,"Machining"),"Back to Price List")</f>
        <v>Back to Price List</v>
      </c>
      <c r="B85" t="str">
        <f>"00-5505-0220"</f>
        <v>00-5505-0220</v>
      </c>
      <c r="C85" t="str">
        <f>"CNC BenchMILL 6000, 220 VAC"</f>
        <v>CNC BenchMILL 6000, 220 VAC</v>
      </c>
      <c r="D85" s="4"/>
      <c r="E85" s="4">
        <v>1</v>
      </c>
      <c r="F85" s="4"/>
      <c r="G85" s="29" t="str">
        <f>IFERROR(HYPERLINK("#"&amp;ADDRESS(MATCH(B85&amp;"ES",'LM7 Non-ENG'!$A$1:$A$5000,0),1,,,"LM7 Non-ENG"),IF(IFERROR(VLOOKUP(B85&amp;"ES",'LM7 Non-ENG'!$A$1:$A$4999,1,FALSE),"ERROR")=B85&amp;"ES","Y","")),"")</f>
        <v/>
      </c>
      <c r="H85" s="29" t="str">
        <f>IFERROR(HYPERLINK("#"&amp;ADDRESS(MATCH(B85&amp;"PT",'LM7 Non-ENG'!$A$1:$A$5000,0),1,,,"LM7 Non-ENG"),IF(IFERROR(VLOOKUP(B85&amp;"PT",'LM7 Non-ENG'!$A$1:$A$5000,1,FALSE),"ERROR")=B85&amp;"PT","Y","")),"")</f>
        <v/>
      </c>
      <c r="I85" t="str">
        <f>IFERROR(VLOOKUP(B85,PN!$A:$C,3,FALSE),"")</f>
        <v>Active</v>
      </c>
      <c r="J85" s="3">
        <f>IFERROR(E85*VLOOKUP(B85,PLInter!$A:$D,3,FALSE),"")</f>
        <v>14934</v>
      </c>
      <c r="K85" s="68" t="s">
        <v>420</v>
      </c>
      <c r="L85" s="66"/>
      <c r="M85" s="66"/>
      <c r="N85" s="66"/>
      <c r="O85" s="66"/>
      <c r="P85" s="66"/>
      <c r="Q85" s="66"/>
      <c r="R85" s="66"/>
      <c r="S85" s="66"/>
      <c r="T85" s="66"/>
    </row>
    <row r="86" spans="1:20" ht="18" customHeight="1">
      <c r="B86" s="2" t="str">
        <f>"00-5505-0110"</f>
        <v>00-5505-0110</v>
      </c>
      <c r="C86" s="2" t="str">
        <f>"CNC BenchMILL 6000, 110 VAC"</f>
        <v>CNC BenchMILL 6000, 110 VAC</v>
      </c>
      <c r="D86" s="5"/>
      <c r="E86" s="5">
        <v>1</v>
      </c>
      <c r="F86" s="5" t="str">
        <f>"Y"</f>
        <v>Y</v>
      </c>
      <c r="G86" s="29" t="str">
        <f>IFERROR(HYPERLINK("#"&amp;ADDRESS(MATCH(B86&amp;"ES",'LM7 Non-ENG'!$A$1:$A$5000,0),1,,,"LM7 Non-ENG"),IF(IFERROR(VLOOKUP(B86&amp;"ES",'LM7 Non-ENG'!$A$1:$A$4999,1,FALSE),"ERROR")=B86&amp;"ES","Y","")),"")</f>
        <v/>
      </c>
      <c r="H86" s="29" t="str">
        <f>IFERROR(HYPERLINK("#"&amp;ADDRESS(MATCH(B86&amp;"PT",'LM7 Non-ENG'!$A$1:$A$5000,0),1,,,"LM7 Non-ENG"),IF(IFERROR(VLOOKUP(B86&amp;"PT",'LM7 Non-ENG'!$A$1:$A$5000,1,FALSE),"ERROR")=B86&amp;"PT","Y","")),"")</f>
        <v/>
      </c>
      <c r="I86" t="str">
        <f>IFERROR(VLOOKUP(B86,PN!$A:$C,3,FALSE),"")</f>
        <v>Active</v>
      </c>
      <c r="J86" s="3">
        <f>IFERROR(E86*VLOOKUP(B86,PLInter!$A:$D,3,FALSE),"")</f>
        <v>14934</v>
      </c>
      <c r="K86" s="66"/>
      <c r="L86" s="66"/>
      <c r="M86" s="66"/>
      <c r="N86" s="66"/>
      <c r="O86" s="66"/>
      <c r="P86" s="66"/>
      <c r="Q86" s="66"/>
      <c r="R86" s="66"/>
      <c r="S86" s="66"/>
      <c r="T86" s="66"/>
    </row>
    <row r="87" spans="1:20" ht="18" customHeight="1">
      <c r="B87" t="str">
        <f>"10-1111-6000"</f>
        <v>10-1111-6000</v>
      </c>
      <c r="C87" t="str">
        <f>"4"" Precision Maching Vise"</f>
        <v>4" Precision Maching Vise</v>
      </c>
      <c r="D87" s="4"/>
      <c r="E87" s="4">
        <v>1</v>
      </c>
      <c r="F87" s="4"/>
      <c r="G87" s="29" t="str">
        <f>IFERROR(HYPERLINK("#"&amp;ADDRESS(MATCH(B87&amp;"ES",'LM7 Non-ENG'!$A$1:$A$5000,0),1,,,"LM7 Non-ENG"),IF(IFERROR(VLOOKUP(B87&amp;"ES",'LM7 Non-ENG'!$A$1:$A$4999,1,FALSE),"ERROR")=B87&amp;"ES","Y","")),"")</f>
        <v/>
      </c>
      <c r="H87" s="29" t="str">
        <f>IFERROR(HYPERLINK("#"&amp;ADDRESS(MATCH(B87&amp;"PT",'LM7 Non-ENG'!$A$1:$A$5000,0),1,,,"LM7 Non-ENG"),IF(IFERROR(VLOOKUP(B87&amp;"PT",'LM7 Non-ENG'!$A$1:$A$5000,1,FALSE),"ERROR")=B87&amp;"PT","Y","")),"")</f>
        <v/>
      </c>
      <c r="I87" t="str">
        <f>IFERROR(VLOOKUP(B87,PN!$A:$C,3,FALSE),"")</f>
        <v>Active</v>
      </c>
      <c r="J87" s="3">
        <f>IFERROR(E87*VLOOKUP(B87,PLInter!$A:$D,3,FALSE),"")</f>
        <v>206</v>
      </c>
      <c r="K87" s="66"/>
      <c r="L87" s="66"/>
      <c r="M87" s="66"/>
      <c r="N87" s="66"/>
      <c r="O87" s="66"/>
      <c r="P87" s="66"/>
      <c r="Q87" s="66"/>
      <c r="R87" s="66"/>
      <c r="S87" s="66"/>
      <c r="T87" s="66"/>
    </row>
    <row r="88" spans="1:20" ht="18" customHeight="1">
      <c r="B88" t="str">
        <f>"10-1111-5000"</f>
        <v>10-1111-5000</v>
      </c>
      <c r="C88" t="str">
        <f>"clamping kit 58 pcs set"</f>
        <v>clamping kit 58 pcs set</v>
      </c>
      <c r="D88" s="4"/>
      <c r="E88" s="4">
        <v>1</v>
      </c>
      <c r="F88" s="4"/>
      <c r="G88" s="29" t="str">
        <f>IFERROR(HYPERLINK("#"&amp;ADDRESS(MATCH(B88&amp;"ES",'LM7 Non-ENG'!$A$1:$A$5000,0),1,,,"LM7 Non-ENG"),IF(IFERROR(VLOOKUP(B88&amp;"ES",'LM7 Non-ENG'!$A$1:$A$4999,1,FALSE),"ERROR")=B88&amp;"ES","Y","")),"")</f>
        <v/>
      </c>
      <c r="H88" s="29" t="str">
        <f>IFERROR(HYPERLINK("#"&amp;ADDRESS(MATCH(B88&amp;"PT",'LM7 Non-ENG'!$A$1:$A$5000,0),1,,,"LM7 Non-ENG"),IF(IFERROR(VLOOKUP(B88&amp;"PT",'LM7 Non-ENG'!$A$1:$A$5000,1,FALSE),"ERROR")=B88&amp;"PT","Y","")),"")</f>
        <v/>
      </c>
      <c r="I88" t="str">
        <f>IFERROR(VLOOKUP(B88,PN!$A:$C,3,FALSE),"")</f>
        <v>Active</v>
      </c>
      <c r="J88" s="3">
        <f>IFERROR(E88*VLOOKUP(B88,PLInter!$A:$D,3,FALSE),"")</f>
        <v>175</v>
      </c>
      <c r="K88" s="66"/>
      <c r="L88" s="66"/>
      <c r="M88" s="66"/>
      <c r="N88" s="66"/>
      <c r="O88" s="66"/>
      <c r="P88" s="66"/>
      <c r="Q88" s="66"/>
      <c r="R88" s="66"/>
      <c r="S88" s="66"/>
      <c r="T88" s="66"/>
    </row>
    <row r="89" spans="1:20" ht="18" customHeight="1">
      <c r="B89" t="str">
        <f>"10-1111-9000"</f>
        <v>10-1111-9000</v>
      </c>
      <c r="C89" t="str">
        <f>"ISO 20 tool holder with nut"</f>
        <v>ISO 20 tool holder with nut</v>
      </c>
      <c r="D89" s="4"/>
      <c r="E89" s="4">
        <v>1</v>
      </c>
      <c r="F89" s="4"/>
      <c r="G89" s="29" t="str">
        <f>IFERROR(HYPERLINK("#"&amp;ADDRESS(MATCH(B89&amp;"ES",'LM7 Non-ENG'!$A$1:$A$5000,0),1,,,"LM7 Non-ENG"),IF(IFERROR(VLOOKUP(B89&amp;"ES",'LM7 Non-ENG'!$A$1:$A$4999,1,FALSE),"ERROR")=B89&amp;"ES","Y","")),"")</f>
        <v/>
      </c>
      <c r="H89" s="29" t="str">
        <f>IFERROR(HYPERLINK("#"&amp;ADDRESS(MATCH(B89&amp;"PT",'LM7 Non-ENG'!$A$1:$A$5000,0),1,,,"LM7 Non-ENG"),IF(IFERROR(VLOOKUP(B89&amp;"PT",'LM7 Non-ENG'!$A$1:$A$5000,1,FALSE),"ERROR")=B89&amp;"PT","Y","")),"")</f>
        <v/>
      </c>
      <c r="I89" t="str">
        <f>IFERROR(VLOOKUP(B89,PN!$A:$C,3,FALSE),"")</f>
        <v>Active</v>
      </c>
      <c r="J89" s="3">
        <f>IFERROR(E89*VLOOKUP(B89,PLInter!$A:$D,3,FALSE),"")</f>
        <v>360</v>
      </c>
      <c r="K89" s="66"/>
      <c r="L89" s="66"/>
      <c r="M89" s="66"/>
      <c r="N89" s="66"/>
      <c r="O89" s="66"/>
      <c r="P89" s="66"/>
      <c r="Q89" s="66"/>
      <c r="R89" s="66"/>
      <c r="S89" s="66"/>
      <c r="T89" s="66"/>
    </row>
    <row r="90" spans="1:20" ht="18" customHeight="1">
      <c r="B90" t="str">
        <f>"10-1113-4000"</f>
        <v>10-1113-4000</v>
      </c>
      <c r="C90" t="str">
        <f>"Metric Advanced End Mill Package 5121"</f>
        <v>Metric Advanced End Mill Package 5121</v>
      </c>
      <c r="D90" s="4"/>
      <c r="E90" s="4">
        <v>1</v>
      </c>
      <c r="F90" s="4"/>
      <c r="G90" s="29" t="str">
        <f>IFERROR(HYPERLINK("#"&amp;ADDRESS(MATCH(B90&amp;"ES",'LM7 Non-ENG'!$A$1:$A$5000,0),1,,,"LM7 Non-ENG"),IF(IFERROR(VLOOKUP(B90&amp;"ES",'LM7 Non-ENG'!$A$1:$A$4999,1,FALSE),"ERROR")=B90&amp;"ES","Y","")),"")</f>
        <v/>
      </c>
      <c r="H90" s="29" t="str">
        <f>IFERROR(HYPERLINK("#"&amp;ADDRESS(MATCH(B90&amp;"PT",'LM7 Non-ENG'!$A$1:$A$5000,0),1,,,"LM7 Non-ENG"),IF(IFERROR(VLOOKUP(B90&amp;"PT",'LM7 Non-ENG'!$A$1:$A$5000,1,FALSE),"ERROR")=B90&amp;"PT","Y","")),"")</f>
        <v/>
      </c>
      <c r="I90" t="str">
        <f>IFERROR(VLOOKUP(B90,PN!$A:$C,3,FALSE),"")</f>
        <v>Active</v>
      </c>
      <c r="J90" s="3">
        <f>IFERROR(E90*VLOOKUP(B90,PLInter!$A:$D,3,FALSE),"")</f>
        <v>200</v>
      </c>
      <c r="K90" s="66"/>
      <c r="L90" s="66"/>
      <c r="M90" s="66"/>
      <c r="N90" s="66"/>
      <c r="O90" s="66"/>
      <c r="P90" s="66"/>
      <c r="Q90" s="66"/>
      <c r="R90" s="66"/>
      <c r="S90" s="66"/>
      <c r="T90" s="66"/>
    </row>
    <row r="91" spans="1:20" ht="18" customHeight="1">
      <c r="B91" t="str">
        <f>"10-1112-2000"</f>
        <v>10-1112-2000</v>
      </c>
      <c r="C91" t="str">
        <f>"ER16 Collet set-8 pieces(3,4,5,6,7,8,9 and 10mm)"</f>
        <v>ER16 Collet set-8 pieces(3,4,5,6,7,8,9 and 10mm)</v>
      </c>
      <c r="D91" s="4"/>
      <c r="E91" s="4">
        <v>1</v>
      </c>
      <c r="F91" s="4"/>
      <c r="G91" s="29" t="str">
        <f>IFERROR(HYPERLINK("#"&amp;ADDRESS(MATCH(B91&amp;"ES",'LM7 Non-ENG'!$A$1:$A$5000,0),1,,,"LM7 Non-ENG"),IF(IFERROR(VLOOKUP(B91&amp;"ES",'LM7 Non-ENG'!$A$1:$A$4999,1,FALSE),"ERROR")=B91&amp;"ES","Y","")),"")</f>
        <v/>
      </c>
      <c r="H91" s="29" t="str">
        <f>IFERROR(HYPERLINK("#"&amp;ADDRESS(MATCH(B91&amp;"PT",'LM7 Non-ENG'!$A$1:$A$5000,0),1,,,"LM7 Non-ENG"),IF(IFERROR(VLOOKUP(B91&amp;"PT",'LM7 Non-ENG'!$A$1:$A$5000,1,FALSE),"ERROR")=B91&amp;"PT","Y","")),"")</f>
        <v/>
      </c>
      <c r="I91" t="str">
        <f>IFERROR(VLOOKUP(B91,PN!$A:$C,3,FALSE),"")</f>
        <v>Active</v>
      </c>
      <c r="J91" s="3">
        <f>IFERROR(E91*VLOOKUP(B91,PLInter!$A:$D,3,FALSE),"")</f>
        <v>226</v>
      </c>
      <c r="K91" s="66"/>
      <c r="L91" s="66"/>
      <c r="M91" s="66"/>
      <c r="N91" s="66"/>
      <c r="O91" s="66"/>
      <c r="P91" s="66"/>
      <c r="Q91" s="66"/>
      <c r="R91" s="66"/>
      <c r="S91" s="66"/>
      <c r="T91" s="66"/>
    </row>
    <row r="92" spans="1:20" ht="18" customHeight="1">
      <c r="B92" t="str">
        <f>"10-1115-2000"</f>
        <v>10-1115-2000</v>
      </c>
      <c r="C92" t="str">
        <f>"Table mounted ATC package"</f>
        <v>Table mounted ATC package</v>
      </c>
      <c r="D92" s="4"/>
      <c r="E92" s="4">
        <v>1</v>
      </c>
      <c r="F92" s="4"/>
      <c r="G92" s="29" t="str">
        <f>IFERROR(HYPERLINK("#"&amp;ADDRESS(MATCH(B92&amp;"ES",'LM7 Non-ENG'!$A$1:$A$5000,0),1,,,"LM7 Non-ENG"),IF(IFERROR(VLOOKUP(B92&amp;"ES",'LM7 Non-ENG'!$A$1:$A$4999,1,FALSE),"ERROR")=B92&amp;"ES","Y","")),"")</f>
        <v/>
      </c>
      <c r="H92" s="29" t="str">
        <f>IFERROR(HYPERLINK("#"&amp;ADDRESS(MATCH(B92&amp;"PT",'LM7 Non-ENG'!$A$1:$A$5000,0),1,,,"LM7 Non-ENG"),IF(IFERROR(VLOOKUP(B92&amp;"PT",'LM7 Non-ENG'!$A$1:$A$5000,1,FALSE),"ERROR")=B92&amp;"PT","Y","")),"")</f>
        <v/>
      </c>
      <c r="I92" t="str">
        <f>IFERROR(VLOOKUP(B92,PN!$A:$C,3,FALSE),"")</f>
        <v>Active</v>
      </c>
      <c r="J92" s="3">
        <f>IFERROR(E92*VLOOKUP(B92,PLInter!$A:$D,3,FALSE),"")</f>
        <v>2188</v>
      </c>
      <c r="K92" s="66"/>
      <c r="L92" s="66"/>
      <c r="M92" s="66"/>
      <c r="N92" s="66"/>
      <c r="O92" s="66"/>
      <c r="P92" s="66"/>
      <c r="Q92" s="66"/>
      <c r="R92" s="66"/>
      <c r="S92" s="66"/>
      <c r="T92" s="66"/>
    </row>
    <row r="93" spans="1:20" ht="18" customHeight="1">
      <c r="B93" t="str">
        <f>"10-1115-0000"</f>
        <v>10-1115-0000</v>
      </c>
      <c r="C93" t="str">
        <f>"ER16 Collet set-8 pieces(2)3,(2)6,(2)8,(2)10mm"</f>
        <v>ER16 Collet set-8 pieces(2)3,(2)6,(2)8,(2)10mm</v>
      </c>
      <c r="D93" s="4"/>
      <c r="E93" s="4">
        <v>1</v>
      </c>
      <c r="F93" s="4"/>
      <c r="G93" s="29" t="str">
        <f>IFERROR(HYPERLINK("#"&amp;ADDRESS(MATCH(B93&amp;"ES",'LM7 Non-ENG'!$A$1:$A$5000,0),1,,,"LM7 Non-ENG"),IF(IFERROR(VLOOKUP(B93&amp;"ES",'LM7 Non-ENG'!$A$1:$A$4999,1,FALSE),"ERROR")=B93&amp;"ES","Y","")),"")</f>
        <v/>
      </c>
      <c r="H93" s="29" t="str">
        <f>IFERROR(HYPERLINK("#"&amp;ADDRESS(MATCH(B93&amp;"PT",'LM7 Non-ENG'!$A$1:$A$5000,0),1,,,"LM7 Non-ENG"),IF(IFERROR(VLOOKUP(B93&amp;"PT",'LM7 Non-ENG'!$A$1:$A$5000,1,FALSE),"ERROR")=B93&amp;"PT","Y","")),"")</f>
        <v/>
      </c>
      <c r="I93" t="str">
        <f>IFERROR(VLOOKUP(B93,PN!$A:$C,3,FALSE),"")</f>
        <v>Active</v>
      </c>
      <c r="J93" s="3">
        <f>IFERROR(E93*VLOOKUP(B93,PLInter!$A:$D,3,FALSE),"")</f>
        <v>207</v>
      </c>
      <c r="K93" s="66"/>
      <c r="L93" s="66"/>
      <c r="M93" s="66"/>
      <c r="N93" s="66"/>
      <c r="O93" s="66"/>
      <c r="P93" s="66"/>
      <c r="Q93" s="66"/>
      <c r="R93" s="66"/>
      <c r="S93" s="66"/>
      <c r="T93" s="66"/>
    </row>
    <row r="94" spans="1:20" ht="18" customHeight="1">
      <c r="B94" t="str">
        <f>"10-1111-1000"</f>
        <v>10-1111-1000</v>
      </c>
      <c r="C94" t="str">
        <f>"Jog Pendant Handwheel"</f>
        <v>Jog Pendant Handwheel</v>
      </c>
      <c r="D94" s="4"/>
      <c r="E94" s="4">
        <v>1</v>
      </c>
      <c r="F94" s="4"/>
      <c r="G94" s="29" t="str">
        <f>IFERROR(HYPERLINK("#"&amp;ADDRESS(MATCH(B94&amp;"ES",'LM7 Non-ENG'!$A$1:$A$5000,0),1,,,"LM7 Non-ENG"),IF(IFERROR(VLOOKUP(B94&amp;"ES",'LM7 Non-ENG'!$A$1:$A$4999,1,FALSE),"ERROR")=B94&amp;"ES","Y","")),"")</f>
        <v/>
      </c>
      <c r="H94" s="29" t="str">
        <f>IFERROR(HYPERLINK("#"&amp;ADDRESS(MATCH(B94&amp;"PT",'LM7 Non-ENG'!$A$1:$A$5000,0),1,,,"LM7 Non-ENG"),IF(IFERROR(VLOOKUP(B94&amp;"PT",'LM7 Non-ENG'!$A$1:$A$5000,1,FALSE),"ERROR")=B94&amp;"PT","Y","")),"")</f>
        <v/>
      </c>
      <c r="I94" t="str">
        <f>IFERROR(VLOOKUP(B94,PN!$A:$C,3,FALSE),"")</f>
        <v>Active</v>
      </c>
      <c r="J94" s="3">
        <f>IFERROR(E94*VLOOKUP(B94,PLInter!$A:$D,3,FALSE),"")</f>
        <v>795</v>
      </c>
      <c r="K94" s="66"/>
      <c r="L94" s="66"/>
      <c r="M94" s="66"/>
      <c r="N94" s="66"/>
      <c r="O94" s="66"/>
      <c r="P94" s="66"/>
      <c r="Q94" s="66"/>
      <c r="R94" s="66"/>
      <c r="S94" s="66"/>
      <c r="T94" s="66"/>
    </row>
    <row r="95" spans="1:20" ht="18" customHeight="1">
      <c r="B95" t="str">
        <f>"10-1108-1220"</f>
        <v>10-1108-1220</v>
      </c>
      <c r="C95" t="str">
        <f>"Coolant system 27L - 220V"</f>
        <v>Coolant system 27L - 220V</v>
      </c>
      <c r="D95" s="4"/>
      <c r="E95" s="4">
        <v>1</v>
      </c>
      <c r="F95" s="4"/>
      <c r="G95" s="29" t="str">
        <f>IFERROR(HYPERLINK("#"&amp;ADDRESS(MATCH(B95&amp;"ES",'LM7 Non-ENG'!$A$1:$A$5000,0),1,,,"LM7 Non-ENG"),IF(IFERROR(VLOOKUP(B95&amp;"ES",'LM7 Non-ENG'!$A$1:$A$4999,1,FALSE),"ERROR")=B95&amp;"ES","Y","")),"")</f>
        <v/>
      </c>
      <c r="H95" s="29" t="str">
        <f>IFERROR(HYPERLINK("#"&amp;ADDRESS(MATCH(B95&amp;"PT",'LM7 Non-ENG'!$A$1:$A$5000,0),1,,,"LM7 Non-ENG"),IF(IFERROR(VLOOKUP(B95&amp;"PT",'LM7 Non-ENG'!$A$1:$A$5000,1,FALSE),"ERROR")=B95&amp;"PT","Y","")),"")</f>
        <v/>
      </c>
      <c r="I95" t="str">
        <f>IFERROR(VLOOKUP(B95,PN!$A:$C,3,FALSE),"")</f>
        <v>Active</v>
      </c>
      <c r="J95" s="3">
        <f>IFERROR(E95*VLOOKUP(B95,PLInter!$A:$D,3,FALSE),"")</f>
        <v>407</v>
      </c>
      <c r="K95" s="66"/>
      <c r="L95" s="66"/>
      <c r="M95" s="66"/>
      <c r="N95" s="66"/>
      <c r="O95" s="66"/>
      <c r="P95" s="66"/>
      <c r="Q95" s="66"/>
      <c r="R95" s="66"/>
      <c r="S95" s="66"/>
      <c r="T95" s="66"/>
    </row>
    <row r="96" spans="1:20" ht="18" customHeight="1">
      <c r="B96" s="2" t="str">
        <f>"10-1108-1110"</f>
        <v>10-1108-1110</v>
      </c>
      <c r="C96" s="2" t="str">
        <f>"Coolant system 27L - 110V"</f>
        <v>Coolant system 27L - 110V</v>
      </c>
      <c r="D96" s="5"/>
      <c r="E96" s="5">
        <v>1</v>
      </c>
      <c r="F96" s="5" t="str">
        <f>"Y"</f>
        <v>Y</v>
      </c>
      <c r="G96" s="29" t="str">
        <f>IFERROR(HYPERLINK("#"&amp;ADDRESS(MATCH(B96&amp;"ES",'LM7 Non-ENG'!$A$1:$A$5000,0),1,,,"LM7 Non-ENG"),IF(IFERROR(VLOOKUP(B96&amp;"ES",'LM7 Non-ENG'!$A$1:$A$4999,1,FALSE),"ERROR")=B96&amp;"ES","Y","")),"")</f>
        <v/>
      </c>
      <c r="H96" s="29" t="str">
        <f>IFERROR(HYPERLINK("#"&amp;ADDRESS(MATCH(B96&amp;"PT",'LM7 Non-ENG'!$A$1:$A$5000,0),1,,,"LM7 Non-ENG"),IF(IFERROR(VLOOKUP(B96&amp;"PT",'LM7 Non-ENG'!$A$1:$A$5000,1,FALSE),"ERROR")=B96&amp;"PT","Y","")),"")</f>
        <v/>
      </c>
      <c r="I96" t="str">
        <f>IFERROR(VLOOKUP(B96,PN!$A:$C,3,FALSE),"")</f>
        <v>Active</v>
      </c>
      <c r="J96" s="3">
        <f>IFERROR(E96*VLOOKUP(B96,PLInter!$A:$D,3,FALSE),"")</f>
        <v>407</v>
      </c>
      <c r="K96" s="66"/>
      <c r="L96" s="66"/>
      <c r="M96" s="66"/>
      <c r="N96" s="66"/>
      <c r="O96" s="66"/>
      <c r="P96" s="66"/>
      <c r="Q96" s="66"/>
      <c r="R96" s="66"/>
      <c r="S96" s="66"/>
      <c r="T96" s="66"/>
    </row>
    <row r="97" spans="1:20" ht="18" customHeight="1">
      <c r="B97" t="str">
        <f>"10-1109-3000"</f>
        <v>10-1109-3000</v>
      </c>
      <c r="C97" t="str">
        <f>"80mm 3-jaw chuck"</f>
        <v>80mm 3-jaw chuck</v>
      </c>
      <c r="D97" s="4"/>
      <c r="E97" s="4">
        <v>1</v>
      </c>
      <c r="F97" s="4"/>
      <c r="G97" s="29" t="str">
        <f>IFERROR(HYPERLINK("#"&amp;ADDRESS(MATCH(B97&amp;"ES",'LM7 Non-ENG'!$A$1:$A$5000,0),1,,,"LM7 Non-ENG"),IF(IFERROR(VLOOKUP(B97&amp;"ES",'LM7 Non-ENG'!$A$1:$A$4999,1,FALSE),"ERROR")=B97&amp;"ES","Y","")),"")</f>
        <v/>
      </c>
      <c r="H97" s="29" t="str">
        <f>IFERROR(HYPERLINK("#"&amp;ADDRESS(MATCH(B97&amp;"PT",'LM7 Non-ENG'!$A$1:$A$5000,0),1,,,"LM7 Non-ENG"),IF(IFERROR(VLOOKUP(B97&amp;"PT",'LM7 Non-ENG'!$A$1:$A$5000,1,FALSE),"ERROR")=B97&amp;"PT","Y","")),"")</f>
        <v/>
      </c>
      <c r="I97" t="str">
        <f>IFERROR(VLOOKUP(B97,PN!$A:$C,3,FALSE),"")</f>
        <v>Active</v>
      </c>
      <c r="J97" s="3">
        <f>IFERROR(E97*VLOOKUP(B97,PLInter!$A:$D,3,FALSE),"")</f>
        <v>186</v>
      </c>
      <c r="K97" s="66"/>
      <c r="L97" s="66"/>
      <c r="M97" s="66"/>
      <c r="N97" s="66"/>
      <c r="O97" s="66"/>
      <c r="P97" s="66"/>
      <c r="Q97" s="66"/>
      <c r="R97" s="66"/>
      <c r="S97" s="66"/>
      <c r="T97" s="66"/>
    </row>
    <row r="98" spans="1:20" ht="18" customHeight="1">
      <c r="B98" t="str">
        <f>"10-1108-8000"</f>
        <v>10-1108-8000</v>
      </c>
      <c r="C98" t="str">
        <f>"100mm rotary worktable (4th axis) with tailstock"</f>
        <v>100mm rotary worktable (4th axis) with tailstock</v>
      </c>
      <c r="D98" s="4"/>
      <c r="E98" s="4">
        <v>1</v>
      </c>
      <c r="F98" s="4"/>
      <c r="G98" s="29" t="str">
        <f>IFERROR(HYPERLINK("#"&amp;ADDRESS(MATCH(B98&amp;"ES",'LM7 Non-ENG'!$A$1:$A$5000,0),1,,,"LM7 Non-ENG"),IF(IFERROR(VLOOKUP(B98&amp;"ES",'LM7 Non-ENG'!$A$1:$A$4999,1,FALSE),"ERROR")=B98&amp;"ES","Y","")),"")</f>
        <v/>
      </c>
      <c r="H98" s="29" t="str">
        <f>IFERROR(HYPERLINK("#"&amp;ADDRESS(MATCH(B98&amp;"PT",'LM7 Non-ENG'!$A$1:$A$5000,0),1,,,"LM7 Non-ENG"),IF(IFERROR(VLOOKUP(B98&amp;"PT",'LM7 Non-ENG'!$A$1:$A$5000,1,FALSE),"ERROR")=B98&amp;"PT","Y","")),"")</f>
        <v/>
      </c>
      <c r="I98" t="str">
        <f>IFERROR(VLOOKUP(B98,PN!$A:$C,3,FALSE),"")</f>
        <v>Active</v>
      </c>
      <c r="J98" s="3">
        <f>IFERROR(E98*VLOOKUP(B98,PLInter!$A:$D,3,FALSE),"")</f>
        <v>2126</v>
      </c>
      <c r="K98" s="66"/>
      <c r="L98" s="66"/>
      <c r="M98" s="66"/>
      <c r="N98" s="66"/>
      <c r="O98" s="66"/>
      <c r="P98" s="66"/>
      <c r="Q98" s="66"/>
      <c r="R98" s="66"/>
      <c r="S98" s="66"/>
      <c r="T98" s="66"/>
    </row>
    <row r="99" spans="1:20" ht="18" customHeight="1">
      <c r="B99" t="str">
        <f>"10-1113-6000"</f>
        <v>10-1113-6000</v>
      </c>
      <c r="C99" t="str">
        <f>"Metric Engraving Package 5711"</f>
        <v>Metric Engraving Package 5711</v>
      </c>
      <c r="D99" s="4"/>
      <c r="E99" s="4">
        <v>1</v>
      </c>
      <c r="F99" s="4"/>
      <c r="G99" s="29" t="str">
        <f>IFERROR(HYPERLINK("#"&amp;ADDRESS(MATCH(B99&amp;"ES",'LM7 Non-ENG'!$A$1:$A$5000,0),1,,,"LM7 Non-ENG"),IF(IFERROR(VLOOKUP(B99&amp;"ES",'LM7 Non-ENG'!$A$1:$A$4999,1,FALSE),"ERROR")=B99&amp;"ES","Y","")),"")</f>
        <v/>
      </c>
      <c r="H99" s="29" t="str">
        <f>IFERROR(HYPERLINK("#"&amp;ADDRESS(MATCH(B99&amp;"PT",'LM7 Non-ENG'!$A$1:$A$5000,0),1,,,"LM7 Non-ENG"),IF(IFERROR(VLOOKUP(B99&amp;"PT",'LM7 Non-ENG'!$A$1:$A$5000,1,FALSE),"ERROR")=B99&amp;"PT","Y","")),"")</f>
        <v/>
      </c>
      <c r="I99" t="str">
        <f>IFERROR(VLOOKUP(B99,PN!$A:$C,3,FALSE),"")</f>
        <v>Active</v>
      </c>
      <c r="J99" s="3">
        <f>IFERROR(E99*VLOOKUP(B99,PLInter!$A:$D,3,FALSE),"")</f>
        <v>157</v>
      </c>
      <c r="K99" s="66"/>
      <c r="L99" s="66"/>
      <c r="M99" s="66"/>
      <c r="N99" s="66"/>
      <c r="O99" s="66"/>
      <c r="P99" s="66"/>
      <c r="Q99" s="66"/>
      <c r="R99" s="66"/>
      <c r="S99" s="66"/>
      <c r="T99" s="66"/>
    </row>
    <row r="100" spans="1:20" ht="18" customHeight="1">
      <c r="B100" t="str">
        <f>"10-1108-6000"</f>
        <v>10-1108-6000</v>
      </c>
      <c r="C100" t="str">
        <f>"6mm engraving tool set"</f>
        <v>6mm engraving tool set</v>
      </c>
      <c r="D100" s="4"/>
      <c r="E100" s="4">
        <v>1</v>
      </c>
      <c r="F100" s="4"/>
      <c r="G100" s="29" t="str">
        <f>IFERROR(HYPERLINK("#"&amp;ADDRESS(MATCH(B100&amp;"ES",'LM7 Non-ENG'!$A$1:$A$5000,0),1,,,"LM7 Non-ENG"),IF(IFERROR(VLOOKUP(B100&amp;"ES",'LM7 Non-ENG'!$A$1:$A$4999,1,FALSE),"ERROR")=B100&amp;"ES","Y","")),"")</f>
        <v/>
      </c>
      <c r="H100" s="29" t="str">
        <f>IFERROR(HYPERLINK("#"&amp;ADDRESS(MATCH(B100&amp;"PT",'LM7 Non-ENG'!$A$1:$A$5000,0),1,,,"LM7 Non-ENG"),IF(IFERROR(VLOOKUP(B100&amp;"PT",'LM7 Non-ENG'!$A$1:$A$5000,1,FALSE),"ERROR")=B100&amp;"PT","Y","")),"")</f>
        <v/>
      </c>
      <c r="I100" t="str">
        <f>IFERROR(VLOOKUP(B100,PN!$A:$C,3,FALSE),"")</f>
        <v>Active</v>
      </c>
      <c r="J100" s="3">
        <f>IFERROR(E100*VLOOKUP(B100,PLInter!$A:$D,3,FALSE),"")</f>
        <v>200</v>
      </c>
      <c r="K100" s="66"/>
      <c r="L100" s="66"/>
      <c r="M100" s="66"/>
      <c r="N100" s="66"/>
      <c r="O100" s="66"/>
      <c r="P100" s="66"/>
      <c r="Q100" s="66"/>
      <c r="R100" s="66"/>
      <c r="S100" s="66"/>
      <c r="T100" s="66"/>
    </row>
    <row r="101" spans="1:20" ht="18" customHeight="1">
      <c r="B101" t="str">
        <f>"10-9120-0000"</f>
        <v>10-9120-0000</v>
      </c>
      <c r="C101" t="str">
        <f>"Stock Package, WaxStock Pa3” x 2” x 1.5”– 50 Pcs"</f>
        <v>Stock Package, WaxStock Pa3” x 2” x 1.5”– 50 Pcs</v>
      </c>
      <c r="D101" s="4"/>
      <c r="E101" s="4">
        <v>1</v>
      </c>
      <c r="F101" s="4"/>
      <c r="G101" s="29" t="str">
        <f>IFERROR(HYPERLINK("#"&amp;ADDRESS(MATCH(B101&amp;"ES",'LM7 Non-ENG'!$A$1:$A$5000,0),1,,,"LM7 Non-ENG"),IF(IFERROR(VLOOKUP(B101&amp;"ES",'LM7 Non-ENG'!$A$1:$A$4999,1,FALSE),"ERROR")=B101&amp;"ES","Y","")),"")</f>
        <v/>
      </c>
      <c r="H101" s="29" t="str">
        <f>IFERROR(HYPERLINK("#"&amp;ADDRESS(MATCH(B101&amp;"PT",'LM7 Non-ENG'!$A$1:$A$5000,0),1,,,"LM7 Non-ENG"),IF(IFERROR(VLOOKUP(B101&amp;"PT",'LM7 Non-ENG'!$A$1:$A$5000,1,FALSE),"ERROR")=B101&amp;"PT","Y","")),"")</f>
        <v/>
      </c>
      <c r="I101" t="str">
        <f>IFERROR(VLOOKUP(B101,PN!$A:$C,3,FALSE),"")</f>
        <v>Active</v>
      </c>
      <c r="J101" s="3">
        <f>IFERROR(E101*VLOOKUP(B101,PLInter!$A:$D,3,FALSE),"")</f>
        <v>657</v>
      </c>
      <c r="K101" s="66"/>
      <c r="L101" s="66"/>
      <c r="M101" s="66"/>
      <c r="N101" s="66"/>
      <c r="O101" s="66"/>
      <c r="P101" s="66"/>
      <c r="Q101" s="66"/>
      <c r="R101" s="66"/>
      <c r="S101" s="66"/>
      <c r="T101" s="66"/>
    </row>
    <row r="102" spans="1:20" ht="18" customHeight="1">
      <c r="B102" t="str">
        <f>"77-3140-0002"</f>
        <v>77-3140-0002</v>
      </c>
      <c r="C102" t="str">
        <f>"LM7 Content, Vir, CNCMilling w/BenchMill 6000(M)"</f>
        <v>LM7 Content, Vir, CNCMilling w/BenchMill 6000(M)</v>
      </c>
      <c r="D102" s="4"/>
      <c r="E102" s="4">
        <v>1</v>
      </c>
      <c r="F102" s="4"/>
      <c r="G102" s="29" t="str">
        <f>IFERROR(HYPERLINK("#"&amp;ADDRESS(MATCH(B102&amp;"ES",'LM7 Non-ENG'!$A$1:$A$5000,0),1,,,"LM7 Non-ENG"),IF(IFERROR(VLOOKUP(B102&amp;"ES",'LM7 Non-ENG'!$A$1:$A$4999,1,FALSE),"ERROR")=B102&amp;"ES","Y","")),"")</f>
        <v>Y</v>
      </c>
      <c r="H102" s="29" t="str">
        <f>IFERROR(HYPERLINK("#"&amp;ADDRESS(MATCH(B102&amp;"PT",'LM7 Non-ENG'!$A$1:$A$5000,0),1,,,"LM7 Non-ENG"),IF(IFERROR(VLOOKUP(B102&amp;"PT",'LM7 Non-ENG'!$A$1:$A$5000,1,FALSE),"ERROR")=B102&amp;"PT","Y","")),"")</f>
        <v>Y</v>
      </c>
      <c r="I102" t="str">
        <f>IFERROR(VLOOKUP(B102,PN!$A:$C,3,FALSE),"")</f>
        <v>Active</v>
      </c>
      <c r="J102" s="3">
        <f>IFERROR(E102*VLOOKUP(B102,PLInter!$A:$D,3,FALSE),"")</f>
        <v>2995</v>
      </c>
      <c r="K102" s="66"/>
      <c r="L102" s="66"/>
      <c r="M102" s="66"/>
      <c r="N102" s="66"/>
      <c r="O102" s="66"/>
      <c r="P102" s="66"/>
      <c r="Q102" s="66"/>
      <c r="R102" s="66"/>
      <c r="S102" s="66"/>
      <c r="T102" s="66"/>
    </row>
    <row r="103" spans="1:20" ht="18" customHeight="1">
      <c r="B103" s="2" t="str">
        <f>"17-3140-0002"</f>
        <v>17-3140-0002</v>
      </c>
      <c r="C103" s="2" t="str">
        <f>"LM5 Content,Vir, CNCMilling w/BenchMill 6000 (M)"</f>
        <v>LM5 Content,Vir, CNCMilling w/BenchMill 6000 (M)</v>
      </c>
      <c r="D103" s="5"/>
      <c r="E103" s="5">
        <v>1</v>
      </c>
      <c r="F103" s="5" t="str">
        <f>"Y"</f>
        <v>Y</v>
      </c>
      <c r="G103" s="29" t="str">
        <f>IFERROR(HYPERLINK("#"&amp;ADDRESS(MATCH(B103&amp;"ES",'LM7 Non-ENG'!$A$1:$A$5000,0),1,,,"LM7 Non-ENG"),IF(IFERROR(VLOOKUP(B103&amp;"ES",'LM7 Non-ENG'!$A$1:$A$4999,1,FALSE),"ERROR")=B103&amp;"ES","Y","")),"")</f>
        <v/>
      </c>
      <c r="H103" s="29" t="str">
        <f>IFERROR(HYPERLINK("#"&amp;ADDRESS(MATCH(B103&amp;"PT",'LM7 Non-ENG'!$A$1:$A$5000,0),1,,,"LM7 Non-ENG"),IF(IFERROR(VLOOKUP(B103&amp;"PT",'LM7 Non-ENG'!$A$1:$A$5000,1,FALSE),"ERROR")=B103&amp;"PT","Y","")),"")</f>
        <v/>
      </c>
      <c r="I103" t="str">
        <f>IFERROR(VLOOKUP(B103,PN!$A:$C,3,FALSE),"")</f>
        <v>Active</v>
      </c>
      <c r="J103" s="3">
        <f>IFERROR(E103*VLOOKUP(B103,PLInter!$A:$D,3,FALSE),"")</f>
        <v>2995</v>
      </c>
      <c r="K103" s="66"/>
      <c r="L103" s="66"/>
      <c r="M103" s="66"/>
      <c r="N103" s="66"/>
      <c r="O103" s="66"/>
      <c r="P103" s="66"/>
      <c r="Q103" s="66"/>
      <c r="R103" s="66"/>
      <c r="S103" s="66"/>
      <c r="T103" s="66"/>
    </row>
    <row r="104" spans="1:20" ht="18" customHeight="1">
      <c r="G104" s="29"/>
      <c r="H104" s="29"/>
    </row>
    <row r="105" spans="1:20" s="7" customFormat="1" ht="18" customHeight="1">
      <c r="A105" s="13" t="s">
        <v>421</v>
      </c>
      <c r="B105" s="13"/>
      <c r="C105" s="13" t="s">
        <v>422</v>
      </c>
      <c r="D105" s="14"/>
      <c r="E105" s="14"/>
      <c r="F105" s="14"/>
      <c r="G105" s="14"/>
      <c r="H105" s="14"/>
      <c r="I105" s="14"/>
      <c r="J105" s="14">
        <f>SUMIFS(J106:J117,D106:D117,"&lt;&gt;Y",F106:F117,"&lt;&gt;Y",I106:I117,"&lt;&gt;Inactive",I106:I117,"&lt;&gt;ECO+NFS")</f>
        <v>30829</v>
      </c>
      <c r="K105" s="14"/>
      <c r="L105" s="14"/>
      <c r="M105" s="14"/>
      <c r="N105" s="14"/>
      <c r="O105" s="14"/>
      <c r="P105" s="14"/>
      <c r="Q105" s="14"/>
      <c r="R105" s="14"/>
      <c r="S105" s="14"/>
      <c r="T105" s="14"/>
    </row>
    <row r="106" spans="1:20" ht="18" customHeight="1">
      <c r="A106" s="17" t="str">
        <f>HYPERLINK("#"&amp;ADDRESS(MATCH(A105,Machining!$A$1:$A$4990,0),1,,,"Machining"),"Back to Price List")</f>
        <v>Back to Price List</v>
      </c>
      <c r="B106" t="str">
        <f>"00-5509-0110"</f>
        <v>00-5509-0110</v>
      </c>
      <c r="C106" t="str">
        <f>"ProMill 8000 AC with 12 Tool ATC 110V"</f>
        <v>ProMill 8000 AC with 12 Tool ATC 110V</v>
      </c>
      <c r="D106" s="4"/>
      <c r="E106" s="4">
        <v>1</v>
      </c>
      <c r="F106" s="4"/>
      <c r="G106" s="29" t="str">
        <f>IFERROR(HYPERLINK("#"&amp;ADDRESS(MATCH(B106&amp;"ES",'LM7 Non-ENG'!$A$1:$A$5000,0),1,,,"LM7 Non-ENG"),IF(IFERROR(VLOOKUP(B106&amp;"ES",'LM7 Non-ENG'!$A$1:$A$4999,1,FALSE),"ERROR")=B106&amp;"ES","Y","")),"")</f>
        <v/>
      </c>
      <c r="H106" s="29" t="str">
        <f>IFERROR(HYPERLINK("#"&amp;ADDRESS(MATCH(B106&amp;"PT",'LM7 Non-ENG'!$A$1:$A$5000,0),1,,,"LM7 Non-ENG"),IF(IFERROR(VLOOKUP(B106&amp;"PT",'LM7 Non-ENG'!$A$1:$A$5000,1,FALSE),"ERROR")=B106&amp;"PT","Y","")),"")</f>
        <v/>
      </c>
      <c r="I106" t="str">
        <f>IFERROR(VLOOKUP(B106,PN!$A:$C,3,FALSE),"")</f>
        <v>Active</v>
      </c>
      <c r="J106" s="3">
        <f>IFERROR(E106*VLOOKUP(B106,PLInter!$A:$D,3,FALSE),"")</f>
        <v>26667</v>
      </c>
      <c r="K106" s="68" t="s">
        <v>423</v>
      </c>
      <c r="L106" s="66"/>
      <c r="M106" s="66"/>
      <c r="N106" s="66"/>
      <c r="O106" s="66"/>
      <c r="P106" s="66"/>
      <c r="Q106" s="66"/>
      <c r="R106" s="66"/>
      <c r="S106" s="66"/>
      <c r="T106" s="66"/>
    </row>
    <row r="107" spans="1:20" ht="18" customHeight="1">
      <c r="B107" s="2" t="str">
        <f>"00-5509-0220"</f>
        <v>00-5509-0220</v>
      </c>
      <c r="C107" s="2" t="str">
        <f>"ProMill 8000 AC with 12 Tool ATC 220V"</f>
        <v>ProMill 8000 AC with 12 Tool ATC 220V</v>
      </c>
      <c r="D107" s="5"/>
      <c r="E107" s="5">
        <v>1</v>
      </c>
      <c r="F107" s="5" t="str">
        <f>"Y"</f>
        <v>Y</v>
      </c>
      <c r="G107" s="29" t="str">
        <f>IFERROR(HYPERLINK("#"&amp;ADDRESS(MATCH(B107&amp;"ES",'LM7 Non-ENG'!$A$1:$A$5000,0),1,,,"LM7 Non-ENG"),IF(IFERROR(VLOOKUP(B107&amp;"ES",'LM7 Non-ENG'!$A$1:$A$4999,1,FALSE),"ERROR")=B107&amp;"ES","Y","")),"")</f>
        <v/>
      </c>
      <c r="H107" s="29" t="str">
        <f>IFERROR(HYPERLINK("#"&amp;ADDRESS(MATCH(B107&amp;"PT",'LM7 Non-ENG'!$A$1:$A$5000,0),1,,,"LM7 Non-ENG"),IF(IFERROR(VLOOKUP(B107&amp;"PT",'LM7 Non-ENG'!$A$1:$A$5000,1,FALSE),"ERROR")=B107&amp;"PT","Y","")),"")</f>
        <v/>
      </c>
      <c r="I107" t="str">
        <f>IFERROR(VLOOKUP(B107,PN!$A:$C,3,FALSE),"")</f>
        <v>Active</v>
      </c>
      <c r="J107" s="3">
        <f>IFERROR(E107*VLOOKUP(B107,PLInter!$A:$D,3,FALSE),"")</f>
        <v>26667</v>
      </c>
      <c r="K107" s="66"/>
      <c r="L107" s="66"/>
      <c r="M107" s="66"/>
      <c r="N107" s="66"/>
      <c r="O107" s="66"/>
      <c r="P107" s="66"/>
      <c r="Q107" s="66"/>
      <c r="R107" s="66"/>
      <c r="S107" s="66"/>
      <c r="T107" s="66"/>
    </row>
    <row r="108" spans="1:20" ht="18" customHeight="1">
      <c r="B108" t="str">
        <f>"10-1111-6000"</f>
        <v>10-1111-6000</v>
      </c>
      <c r="C108" t="str">
        <f>"4"" Precision Maching Vise"</f>
        <v>4" Precision Maching Vise</v>
      </c>
      <c r="D108" s="4"/>
      <c r="E108" s="4">
        <v>1</v>
      </c>
      <c r="F108" s="4"/>
      <c r="G108" s="29" t="str">
        <f>IFERROR(HYPERLINK("#"&amp;ADDRESS(MATCH(B108&amp;"ES",'LM7 Non-ENG'!$A$1:$A$5000,0),1,,,"LM7 Non-ENG"),IF(IFERROR(VLOOKUP(B108&amp;"ES",'LM7 Non-ENG'!$A$1:$A$4999,1,FALSE),"ERROR")=B108&amp;"ES","Y","")),"")</f>
        <v/>
      </c>
      <c r="H108" s="29" t="str">
        <f>IFERROR(HYPERLINK("#"&amp;ADDRESS(MATCH(B108&amp;"PT",'LM7 Non-ENG'!$A$1:$A$5000,0),1,,,"LM7 Non-ENG"),IF(IFERROR(VLOOKUP(B108&amp;"PT",'LM7 Non-ENG'!$A$1:$A$5000,1,FALSE),"ERROR")=B108&amp;"PT","Y","")),"")</f>
        <v/>
      </c>
      <c r="I108" t="str">
        <f>IFERROR(VLOOKUP(B108,PN!$A:$C,3,FALSE),"")</f>
        <v>Active</v>
      </c>
      <c r="J108" s="3">
        <f>IFERROR(E108*VLOOKUP(B108,PLInter!$A:$D,3,FALSE),"")</f>
        <v>206</v>
      </c>
      <c r="K108" s="66"/>
      <c r="L108" s="66"/>
      <c r="M108" s="66"/>
      <c r="N108" s="66"/>
      <c r="O108" s="66"/>
      <c r="P108" s="66"/>
      <c r="Q108" s="66"/>
      <c r="R108" s="66"/>
      <c r="S108" s="66"/>
      <c r="T108" s="66"/>
    </row>
    <row r="109" spans="1:20" ht="18" customHeight="1">
      <c r="B109" t="str">
        <f>"10-1111-5000"</f>
        <v>10-1111-5000</v>
      </c>
      <c r="C109" t="str">
        <f>"clamping kit 58 pcs set"</f>
        <v>clamping kit 58 pcs set</v>
      </c>
      <c r="D109" s="4"/>
      <c r="E109" s="4">
        <v>1</v>
      </c>
      <c r="F109" s="4"/>
      <c r="G109" s="29" t="str">
        <f>IFERROR(HYPERLINK("#"&amp;ADDRESS(MATCH(B109&amp;"ES",'LM7 Non-ENG'!$A$1:$A$5000,0),1,,,"LM7 Non-ENG"),IF(IFERROR(VLOOKUP(B109&amp;"ES",'LM7 Non-ENG'!$A$1:$A$4999,1,FALSE),"ERROR")=B109&amp;"ES","Y","")),"")</f>
        <v/>
      </c>
      <c r="H109" s="29" t="str">
        <f>IFERROR(HYPERLINK("#"&amp;ADDRESS(MATCH(B109&amp;"PT",'LM7 Non-ENG'!$A$1:$A$5000,0),1,,,"LM7 Non-ENG"),IF(IFERROR(VLOOKUP(B109&amp;"PT",'LM7 Non-ENG'!$A$1:$A$5000,1,FALSE),"ERROR")=B109&amp;"PT","Y","")),"")</f>
        <v/>
      </c>
      <c r="I109" t="str">
        <f>IFERROR(VLOOKUP(B109,PN!$A:$C,3,FALSE),"")</f>
        <v>Active</v>
      </c>
      <c r="J109" s="3">
        <f>IFERROR(E109*VLOOKUP(B109,PLInter!$A:$D,3,FALSE),"")</f>
        <v>175</v>
      </c>
      <c r="K109" s="66"/>
      <c r="L109" s="66"/>
      <c r="M109" s="66"/>
      <c r="N109" s="66"/>
      <c r="O109" s="66"/>
      <c r="P109" s="66"/>
      <c r="Q109" s="66"/>
      <c r="R109" s="66"/>
      <c r="S109" s="66"/>
      <c r="T109" s="66"/>
    </row>
    <row r="110" spans="1:20" ht="18" customHeight="1">
      <c r="B110" t="str">
        <f>"10-1111-9000"</f>
        <v>10-1111-9000</v>
      </c>
      <c r="C110" t="str">
        <f>"ISO 20 tool holder with nut"</f>
        <v>ISO 20 tool holder with nut</v>
      </c>
      <c r="D110" s="4"/>
      <c r="E110" s="4">
        <v>1</v>
      </c>
      <c r="F110" s="4"/>
      <c r="G110" s="29" t="str">
        <f>IFERROR(HYPERLINK("#"&amp;ADDRESS(MATCH(B110&amp;"ES",'LM7 Non-ENG'!$A$1:$A$5000,0),1,,,"LM7 Non-ENG"),IF(IFERROR(VLOOKUP(B110&amp;"ES",'LM7 Non-ENG'!$A$1:$A$4999,1,FALSE),"ERROR")=B110&amp;"ES","Y","")),"")</f>
        <v/>
      </c>
      <c r="H110" s="29" t="str">
        <f>IFERROR(HYPERLINK("#"&amp;ADDRESS(MATCH(B110&amp;"PT",'LM7 Non-ENG'!$A$1:$A$5000,0),1,,,"LM7 Non-ENG"),IF(IFERROR(VLOOKUP(B110&amp;"PT",'LM7 Non-ENG'!$A$1:$A$5000,1,FALSE),"ERROR")=B110&amp;"PT","Y","")),"")</f>
        <v/>
      </c>
      <c r="I110" t="str">
        <f>IFERROR(VLOOKUP(B110,PN!$A:$C,3,FALSE),"")</f>
        <v>Active</v>
      </c>
      <c r="J110" s="3">
        <f>IFERROR(E110*VLOOKUP(B110,PLInter!$A:$D,3,FALSE),"")</f>
        <v>360</v>
      </c>
      <c r="K110" s="66"/>
      <c r="L110" s="66"/>
      <c r="M110" s="66"/>
      <c r="N110" s="66"/>
      <c r="O110" s="66"/>
      <c r="P110" s="66"/>
      <c r="Q110" s="66"/>
      <c r="R110" s="66"/>
      <c r="S110" s="66"/>
      <c r="T110" s="66"/>
    </row>
    <row r="111" spans="1:20" ht="18" customHeight="1">
      <c r="B111" t="str">
        <f>"10-1113-5000"</f>
        <v>10-1113-5000</v>
      </c>
      <c r="C111" t="str">
        <f>"Imperial Advanced End Mill Package 5120"</f>
        <v>Imperial Advanced End Mill Package 5120</v>
      </c>
      <c r="D111" s="4"/>
      <c r="E111" s="4">
        <v>1</v>
      </c>
      <c r="F111" s="4"/>
      <c r="G111" s="29" t="str">
        <f>IFERROR(HYPERLINK("#"&amp;ADDRESS(MATCH(B111&amp;"ES",'LM7 Non-ENG'!$A$1:$A$5000,0),1,,,"LM7 Non-ENG"),IF(IFERROR(VLOOKUP(B111&amp;"ES",'LM7 Non-ENG'!$A$1:$A$4999,1,FALSE),"ERROR")=B111&amp;"ES","Y","")),"")</f>
        <v/>
      </c>
      <c r="H111" s="29" t="str">
        <f>IFERROR(HYPERLINK("#"&amp;ADDRESS(MATCH(B111&amp;"PT",'LM7 Non-ENG'!$A$1:$A$5000,0),1,,,"LM7 Non-ENG"),IF(IFERROR(VLOOKUP(B111&amp;"PT",'LM7 Non-ENG'!$A$1:$A$5000,1,FALSE),"ERROR")=B111&amp;"PT","Y","")),"")</f>
        <v/>
      </c>
      <c r="I111" t="str">
        <f>IFERROR(VLOOKUP(B111,PN!$A:$C,3,FALSE),"")</f>
        <v>Active</v>
      </c>
      <c r="J111" s="3">
        <f>IFERROR(E111*VLOOKUP(B111,PLInter!$A:$D,3,FALSE),"")</f>
        <v>200</v>
      </c>
      <c r="K111" s="66"/>
      <c r="L111" s="66"/>
      <c r="M111" s="66"/>
      <c r="N111" s="66"/>
      <c r="O111" s="66"/>
      <c r="P111" s="66"/>
      <c r="Q111" s="66"/>
      <c r="R111" s="66"/>
      <c r="S111" s="66"/>
      <c r="T111" s="66"/>
    </row>
    <row r="112" spans="1:20" ht="18" customHeight="1">
      <c r="B112" s="2" t="str">
        <f>"10-1113-4000"</f>
        <v>10-1113-4000</v>
      </c>
      <c r="C112" s="2" t="str">
        <f>"Metric Advanced End Mill Package 5121"</f>
        <v>Metric Advanced End Mill Package 5121</v>
      </c>
      <c r="D112" s="5"/>
      <c r="E112" s="5">
        <v>1</v>
      </c>
      <c r="F112" s="5" t="str">
        <f>"Y"</f>
        <v>Y</v>
      </c>
      <c r="G112" s="29" t="str">
        <f>IFERROR(HYPERLINK("#"&amp;ADDRESS(MATCH(B112&amp;"ES",'LM7 Non-ENG'!$A$1:$A$5000,0),1,,,"LM7 Non-ENG"),IF(IFERROR(VLOOKUP(B112&amp;"ES",'LM7 Non-ENG'!$A$1:$A$4999,1,FALSE),"ERROR")=B112&amp;"ES","Y","")),"")</f>
        <v/>
      </c>
      <c r="H112" s="29" t="str">
        <f>IFERROR(HYPERLINK("#"&amp;ADDRESS(MATCH(B112&amp;"PT",'LM7 Non-ENG'!$A$1:$A$5000,0),1,,,"LM7 Non-ENG"),IF(IFERROR(VLOOKUP(B112&amp;"PT",'LM7 Non-ENG'!$A$1:$A$5000,1,FALSE),"ERROR")=B112&amp;"PT","Y","")),"")</f>
        <v/>
      </c>
      <c r="I112" t="str">
        <f>IFERROR(VLOOKUP(B112,PN!$A:$C,3,FALSE),"")</f>
        <v>Active</v>
      </c>
      <c r="J112" s="3">
        <f>IFERROR(E112*VLOOKUP(B112,PLInter!$A:$D,3,FALSE),"")</f>
        <v>200</v>
      </c>
      <c r="K112" s="66"/>
      <c r="L112" s="66"/>
      <c r="M112" s="66"/>
      <c r="N112" s="66"/>
      <c r="O112" s="66"/>
      <c r="P112" s="66"/>
      <c r="Q112" s="66"/>
      <c r="R112" s="66"/>
      <c r="S112" s="66"/>
      <c r="T112" s="66"/>
    </row>
    <row r="113" spans="1:20" ht="18" customHeight="1">
      <c r="B113" t="str">
        <f>"10-1112-2000"</f>
        <v>10-1112-2000</v>
      </c>
      <c r="C113" t="str">
        <f>"ER16 Collet set-8 pieces(3,4,5,6,7,8,9 and 10mm)"</f>
        <v>ER16 Collet set-8 pieces(3,4,5,6,7,8,9 and 10mm)</v>
      </c>
      <c r="D113" s="4"/>
      <c r="E113" s="4">
        <v>1</v>
      </c>
      <c r="F113" s="4"/>
      <c r="G113" s="29" t="str">
        <f>IFERROR(HYPERLINK("#"&amp;ADDRESS(MATCH(B113&amp;"ES",'LM7 Non-ENG'!$A$1:$A$5000,0),1,,,"LM7 Non-ENG"),IF(IFERROR(VLOOKUP(B113&amp;"ES",'LM7 Non-ENG'!$A$1:$A$4999,1,FALSE),"ERROR")=B113&amp;"ES","Y","")),"")</f>
        <v/>
      </c>
      <c r="H113" s="29" t="str">
        <f>IFERROR(HYPERLINK("#"&amp;ADDRESS(MATCH(B113&amp;"PT",'LM7 Non-ENG'!$A$1:$A$5000,0),1,,,"LM7 Non-ENG"),IF(IFERROR(VLOOKUP(B113&amp;"PT",'LM7 Non-ENG'!$A$1:$A$5000,1,FALSE),"ERROR")=B113&amp;"PT","Y","")),"")</f>
        <v/>
      </c>
      <c r="I113" t="str">
        <f>IFERROR(VLOOKUP(B113,PN!$A:$C,3,FALSE),"")</f>
        <v>Active</v>
      </c>
      <c r="J113" s="3">
        <f>IFERROR(E113*VLOOKUP(B113,PLInter!$A:$D,3,FALSE),"")</f>
        <v>226</v>
      </c>
      <c r="K113" s="66"/>
      <c r="L113" s="66"/>
      <c r="M113" s="66"/>
      <c r="N113" s="66"/>
      <c r="O113" s="66"/>
      <c r="P113" s="66"/>
      <c r="Q113" s="66"/>
      <c r="R113" s="66"/>
      <c r="S113" s="66"/>
      <c r="T113" s="66"/>
    </row>
    <row r="114" spans="1:20" ht="18" customHeight="1">
      <c r="B114" t="str">
        <f>"77-3142-0001"</f>
        <v>77-3142-0001</v>
      </c>
      <c r="C114" t="str">
        <f>"LM7 Content, Vir, CNC Milling w/ProMill 8000"</f>
        <v>LM7 Content, Vir, CNC Milling w/ProMill 8000</v>
      </c>
      <c r="D114" s="4"/>
      <c r="E114" s="4">
        <v>1</v>
      </c>
      <c r="F114" s="4"/>
      <c r="G114" s="29" t="str">
        <f>IFERROR(HYPERLINK("#"&amp;ADDRESS(MATCH(B114&amp;"ES",'LM7 Non-ENG'!$A$1:$A$5000,0),1,,,"LM7 Non-ENG"),IF(IFERROR(VLOOKUP(B114&amp;"ES",'LM7 Non-ENG'!$A$1:$A$4999,1,FALSE),"ERROR")=B114&amp;"ES","Y","")),"")</f>
        <v/>
      </c>
      <c r="H114" s="29" t="str">
        <f>IFERROR(HYPERLINK("#"&amp;ADDRESS(MATCH(B114&amp;"PT",'LM7 Non-ENG'!$A$1:$A$5000,0),1,,,"LM7 Non-ENG"),IF(IFERROR(VLOOKUP(B114&amp;"PT",'LM7 Non-ENG'!$A$1:$A$5000,1,FALSE),"ERROR")=B114&amp;"PT","Y","")),"")</f>
        <v/>
      </c>
      <c r="I114" t="str">
        <f>IFERROR(VLOOKUP(B114,PN!$A:$C,3,FALSE),"")</f>
        <v>Active</v>
      </c>
      <c r="J114" s="3">
        <f>IFERROR(E114*VLOOKUP(B114,PLInter!$A:$D,3,FALSE),"")</f>
        <v>2995</v>
      </c>
      <c r="K114" s="66"/>
      <c r="L114" s="66"/>
      <c r="M114" s="66"/>
      <c r="N114" s="66"/>
      <c r="O114" s="66"/>
      <c r="P114" s="66"/>
      <c r="Q114" s="66"/>
      <c r="R114" s="66"/>
      <c r="S114" s="66"/>
      <c r="T114" s="66"/>
    </row>
    <row r="115" spans="1:20" ht="18" customHeight="1">
      <c r="B115" s="2" t="str">
        <f>"17-3142-0001"</f>
        <v>17-3142-0001</v>
      </c>
      <c r="C115" s="2" t="str">
        <f>"LM5.X Content, Vir, CNC Milling w/ProMill 8000"</f>
        <v>LM5.X Content, Vir, CNC Milling w/ProMill 8000</v>
      </c>
      <c r="D115" s="5"/>
      <c r="E115" s="5">
        <v>1</v>
      </c>
      <c r="F115" s="5" t="str">
        <f>"Y"</f>
        <v>Y</v>
      </c>
      <c r="G115" s="29" t="str">
        <f>IFERROR(HYPERLINK("#"&amp;ADDRESS(MATCH(B115&amp;"ES",'LM7 Non-ENG'!$A$1:$A$5000,0),1,,,"LM7 Non-ENG"),IF(IFERROR(VLOOKUP(B115&amp;"ES",'LM7 Non-ENG'!$A$1:$A$4999,1,FALSE),"ERROR")=B115&amp;"ES","Y","")),"")</f>
        <v/>
      </c>
      <c r="H115" s="29" t="str">
        <f>IFERROR(HYPERLINK("#"&amp;ADDRESS(MATCH(B115&amp;"PT",'LM7 Non-ENG'!$A$1:$A$5000,0),1,,,"LM7 Non-ENG"),IF(IFERROR(VLOOKUP(B115&amp;"PT",'LM7 Non-ENG'!$A$1:$A$5000,1,FALSE),"ERROR")=B115&amp;"PT","Y","")),"")</f>
        <v/>
      </c>
      <c r="I115" t="str">
        <f>IFERROR(VLOOKUP(B115,PN!$A:$C,3,FALSE),"")</f>
        <v>Active</v>
      </c>
      <c r="J115" s="3">
        <f>IFERROR(E115*VLOOKUP(B115,PLInter!$A:$D,3,FALSE),"")</f>
        <v>2995</v>
      </c>
      <c r="K115" s="66"/>
      <c r="L115" s="66"/>
      <c r="M115" s="66"/>
      <c r="N115" s="66"/>
      <c r="O115" s="66"/>
      <c r="P115" s="66"/>
      <c r="Q115" s="66"/>
      <c r="R115" s="66"/>
      <c r="S115" s="66"/>
      <c r="T115" s="66"/>
    </row>
    <row r="116" spans="1:20" ht="18" customHeight="1">
      <c r="B116" s="2" t="str">
        <f>"17-3142-0002"</f>
        <v>17-3142-0002</v>
      </c>
      <c r="C116" s="2" t="str">
        <f>"LM5 Content, Vir, CNC Milling w/ProMill 8000 (M)"</f>
        <v>LM5 Content, Vir, CNC Milling w/ProMill 8000 (M)</v>
      </c>
      <c r="D116" s="5"/>
      <c r="E116" s="5">
        <v>1</v>
      </c>
      <c r="F116" s="5" t="str">
        <f>"Y"</f>
        <v>Y</v>
      </c>
      <c r="G116" s="29" t="str">
        <f>IFERROR(HYPERLINK("#"&amp;ADDRESS(MATCH(B116&amp;"ES",'LM7 Non-ENG'!$A$1:$A$5000,0),1,,,"LM7 Non-ENG"),IF(IFERROR(VLOOKUP(B116&amp;"ES",'LM7 Non-ENG'!$A$1:$A$4999,1,FALSE),"ERROR")=B116&amp;"ES","Y","")),"")</f>
        <v/>
      </c>
      <c r="H116" s="29" t="str">
        <f>IFERROR(HYPERLINK("#"&amp;ADDRESS(MATCH(B116&amp;"PT",'LM7 Non-ENG'!$A$1:$A$5000,0),1,,,"LM7 Non-ENG"),IF(IFERROR(VLOOKUP(B116&amp;"PT",'LM7 Non-ENG'!$A$1:$A$5000,1,FALSE),"ERROR")=B116&amp;"PT","Y","")),"")</f>
        <v/>
      </c>
      <c r="I116" t="str">
        <f>IFERROR(VLOOKUP(B116,PN!$A:$C,3,FALSE),"")</f>
        <v>Active</v>
      </c>
      <c r="J116" s="3">
        <f>IFERROR(E116*VLOOKUP(B116,PLInter!$A:$D,3,FALSE),"")</f>
        <v>2995</v>
      </c>
      <c r="K116" s="66"/>
      <c r="L116" s="66"/>
      <c r="M116" s="66"/>
      <c r="N116" s="66"/>
      <c r="O116" s="66"/>
      <c r="P116" s="66"/>
      <c r="Q116" s="66"/>
      <c r="R116" s="66"/>
      <c r="S116" s="66"/>
      <c r="T116" s="66"/>
    </row>
    <row r="117" spans="1:20" ht="18" customHeight="1">
      <c r="B117" s="2" t="str">
        <f>"77-3142-0002"</f>
        <v>77-3142-0002</v>
      </c>
      <c r="C117" s="2" t="str">
        <f>"LM7 Content, Vir, CNC Milling w/ProMill 8000 (M)"</f>
        <v>LM7 Content, Vir, CNC Milling w/ProMill 8000 (M)</v>
      </c>
      <c r="D117" s="5"/>
      <c r="E117" s="5">
        <v>1</v>
      </c>
      <c r="F117" s="5" t="str">
        <f>"Y"</f>
        <v>Y</v>
      </c>
      <c r="G117" s="29" t="str">
        <f>IFERROR(HYPERLINK("#"&amp;ADDRESS(MATCH(B117&amp;"ES",'LM7 Non-ENG'!$A$1:$A$5000,0),1,,,"LM7 Non-ENG"),IF(IFERROR(VLOOKUP(B117&amp;"ES",'LM7 Non-ENG'!$A$1:$A$4999,1,FALSE),"ERROR")=B117&amp;"ES","Y","")),"")</f>
        <v/>
      </c>
      <c r="H117" s="29" t="str">
        <f>IFERROR(HYPERLINK("#"&amp;ADDRESS(MATCH(B117&amp;"PT",'LM7 Non-ENG'!$A$1:$A$5000,0),1,,,"LM7 Non-ENG"),IF(IFERROR(VLOOKUP(B117&amp;"PT",'LM7 Non-ENG'!$A$1:$A$5000,1,FALSE),"ERROR")=B117&amp;"PT","Y","")),"")</f>
        <v/>
      </c>
      <c r="I117" t="str">
        <f>IFERROR(VLOOKUP(B117,PN!$A:$C,3,FALSE),"")</f>
        <v>Active</v>
      </c>
      <c r="J117" s="3">
        <f>IFERROR(E117*VLOOKUP(B117,PLInter!$A:$D,3,FALSE),"")</f>
        <v>2995</v>
      </c>
      <c r="K117" s="66"/>
      <c r="L117" s="66"/>
      <c r="M117" s="66"/>
      <c r="N117" s="66"/>
      <c r="O117" s="66"/>
      <c r="P117" s="66"/>
      <c r="Q117" s="66"/>
      <c r="R117" s="66"/>
      <c r="S117" s="66"/>
      <c r="T117" s="66"/>
    </row>
    <row r="118" spans="1:20" ht="18" customHeight="1">
      <c r="G118" s="29"/>
      <c r="H118" s="29"/>
    </row>
    <row r="119" spans="1:20" s="7" customFormat="1" ht="18" customHeight="1">
      <c r="A119" s="13" t="s">
        <v>424</v>
      </c>
      <c r="B119" s="13"/>
      <c r="C119" s="13" t="s">
        <v>425</v>
      </c>
      <c r="D119" s="14"/>
      <c r="E119" s="14"/>
      <c r="F119" s="14"/>
      <c r="G119" s="14"/>
      <c r="H119" s="14"/>
      <c r="I119" s="14"/>
      <c r="J119" s="14">
        <f>SUMIFS(J120:J129,D120:D129,"&lt;&gt;Y",F120:F129,"&lt;&gt;Y",I120:I129,"&lt;&gt;Inactive",I120:I129,"&lt;&gt;ECO+NFS")</f>
        <v>33352</v>
      </c>
      <c r="K119" s="14"/>
      <c r="L119" s="14"/>
      <c r="M119" s="14"/>
      <c r="N119" s="14"/>
      <c r="O119" s="14"/>
      <c r="P119" s="14"/>
      <c r="Q119" s="14"/>
      <c r="R119" s="14"/>
      <c r="S119" s="14"/>
      <c r="T119" s="14"/>
    </row>
    <row r="120" spans="1:20" ht="18" customHeight="1">
      <c r="A120" s="17" t="str">
        <f>HYPERLINK("#"&amp;ADDRESS(MATCH(A119,Machining!$A$1:$A$4990,0),1,,,"Machining"),"Back to Price List")</f>
        <v>Back to Price List</v>
      </c>
      <c r="B120" t="str">
        <f>"00-5509-0110"</f>
        <v>00-5509-0110</v>
      </c>
      <c r="C120" t="str">
        <f>"ProMill 8000 AC with 12 Tool ATC 110V"</f>
        <v>ProMill 8000 AC with 12 Tool ATC 110V</v>
      </c>
      <c r="D120" s="4"/>
      <c r="E120" s="4">
        <v>1</v>
      </c>
      <c r="F120" s="4"/>
      <c r="G120" s="29" t="str">
        <f>IFERROR(HYPERLINK("#"&amp;ADDRESS(MATCH(B120&amp;"ES",'LM7 Non-ENG'!$A$1:$A$5000,0),1,,,"LM7 Non-ENG"),IF(IFERROR(VLOOKUP(B120&amp;"ES",'LM7 Non-ENG'!$A$1:$A$4999,1,FALSE),"ERROR")=B120&amp;"ES","Y","")),"")</f>
        <v/>
      </c>
      <c r="H120" s="29" t="str">
        <f>IFERROR(HYPERLINK("#"&amp;ADDRESS(MATCH(B120&amp;"PT",'LM7 Non-ENG'!$A$1:$A$5000,0),1,,,"LM7 Non-ENG"),IF(IFERROR(VLOOKUP(B120&amp;"PT",'LM7 Non-ENG'!$A$1:$A$5000,1,FALSE),"ERROR")=B120&amp;"PT","Y","")),"")</f>
        <v/>
      </c>
      <c r="I120" t="str">
        <f>IFERROR(VLOOKUP(B120,PN!$A:$C,3,FALSE),"")</f>
        <v>Active</v>
      </c>
      <c r="J120" s="3">
        <f>IFERROR(E120*VLOOKUP(B120,PLInter!$A:$D,3,FALSE),"")</f>
        <v>26667</v>
      </c>
      <c r="K120" s="68" t="s">
        <v>426</v>
      </c>
      <c r="L120" s="66"/>
      <c r="M120" s="66"/>
      <c r="N120" s="66"/>
      <c r="O120" s="66"/>
      <c r="P120" s="66"/>
      <c r="Q120" s="66"/>
      <c r="R120" s="66"/>
      <c r="S120" s="66"/>
      <c r="T120" s="66"/>
    </row>
    <row r="121" spans="1:20" ht="18" customHeight="1">
      <c r="B121" s="2" t="str">
        <f>"00-5509-0220"</f>
        <v>00-5509-0220</v>
      </c>
      <c r="C121" s="2" t="str">
        <f>"ProMill 8000 AC with 12 Tool ATC 220V"</f>
        <v>ProMill 8000 AC with 12 Tool ATC 220V</v>
      </c>
      <c r="D121" s="5"/>
      <c r="E121" s="5">
        <v>1</v>
      </c>
      <c r="F121" s="5" t="str">
        <f>"Y"</f>
        <v>Y</v>
      </c>
      <c r="G121" s="29" t="str">
        <f>IFERROR(HYPERLINK("#"&amp;ADDRESS(MATCH(B121&amp;"ES",'LM7 Non-ENG'!$A$1:$A$5000,0),1,,,"LM7 Non-ENG"),IF(IFERROR(VLOOKUP(B121&amp;"ES",'LM7 Non-ENG'!$A$1:$A$4999,1,FALSE),"ERROR")=B121&amp;"ES","Y","")),"")</f>
        <v/>
      </c>
      <c r="H121" s="29" t="str">
        <f>IFERROR(HYPERLINK("#"&amp;ADDRESS(MATCH(B121&amp;"PT",'LM7 Non-ENG'!$A$1:$A$5000,0),1,,,"LM7 Non-ENG"),IF(IFERROR(VLOOKUP(B121&amp;"PT",'LM7 Non-ENG'!$A$1:$A$5000,1,FALSE),"ERROR")=B121&amp;"PT","Y","")),"")</f>
        <v/>
      </c>
      <c r="I121" t="str">
        <f>IFERROR(VLOOKUP(B121,PN!$A:$C,3,FALSE),"")</f>
        <v>Active</v>
      </c>
      <c r="J121" s="3">
        <f>IFERROR(E121*VLOOKUP(B121,PLInter!$A:$D,3,FALSE),"")</f>
        <v>26667</v>
      </c>
      <c r="K121" s="66"/>
      <c r="L121" s="66"/>
      <c r="M121" s="66"/>
      <c r="N121" s="66"/>
      <c r="O121" s="66"/>
      <c r="P121" s="66"/>
      <c r="Q121" s="66"/>
      <c r="R121" s="66"/>
      <c r="S121" s="66"/>
      <c r="T121" s="66"/>
    </row>
    <row r="122" spans="1:20" ht="18" customHeight="1">
      <c r="B122" t="str">
        <f>"10-1111-6000"</f>
        <v>10-1111-6000</v>
      </c>
      <c r="C122" t="str">
        <f>"4"" Precision Maching Vise"</f>
        <v>4" Precision Maching Vise</v>
      </c>
      <c r="D122" s="4"/>
      <c r="E122" s="4">
        <v>1</v>
      </c>
      <c r="F122" s="4"/>
      <c r="G122" s="29" t="str">
        <f>IFERROR(HYPERLINK("#"&amp;ADDRESS(MATCH(B122&amp;"ES",'LM7 Non-ENG'!$A$1:$A$5000,0),1,,,"LM7 Non-ENG"),IF(IFERROR(VLOOKUP(B122&amp;"ES",'LM7 Non-ENG'!$A$1:$A$4999,1,FALSE),"ERROR")=B122&amp;"ES","Y","")),"")</f>
        <v/>
      </c>
      <c r="H122" s="29" t="str">
        <f>IFERROR(HYPERLINK("#"&amp;ADDRESS(MATCH(B122&amp;"PT",'LM7 Non-ENG'!$A$1:$A$5000,0),1,,,"LM7 Non-ENG"),IF(IFERROR(VLOOKUP(B122&amp;"PT",'LM7 Non-ENG'!$A$1:$A$5000,1,FALSE),"ERROR")=B122&amp;"PT","Y","")),"")</f>
        <v/>
      </c>
      <c r="I122" t="str">
        <f>IFERROR(VLOOKUP(B122,PN!$A:$C,3,FALSE),"")</f>
        <v>Active</v>
      </c>
      <c r="J122" s="3">
        <f>IFERROR(E122*VLOOKUP(B122,PLInter!$A:$D,3,FALSE),"")</f>
        <v>206</v>
      </c>
      <c r="K122" s="66"/>
      <c r="L122" s="66"/>
      <c r="M122" s="66"/>
      <c r="N122" s="66"/>
      <c r="O122" s="66"/>
      <c r="P122" s="66"/>
      <c r="Q122" s="66"/>
      <c r="R122" s="66"/>
      <c r="S122" s="66"/>
      <c r="T122" s="66"/>
    </row>
    <row r="123" spans="1:20" ht="18" customHeight="1">
      <c r="B123" t="str">
        <f>"10-1111-5000"</f>
        <v>10-1111-5000</v>
      </c>
      <c r="C123" t="str">
        <f>"clamping kit 58 pcs set"</f>
        <v>clamping kit 58 pcs set</v>
      </c>
      <c r="D123" s="4"/>
      <c r="E123" s="4">
        <v>1</v>
      </c>
      <c r="F123" s="4"/>
      <c r="G123" s="29" t="str">
        <f>IFERROR(HYPERLINK("#"&amp;ADDRESS(MATCH(B123&amp;"ES",'LM7 Non-ENG'!$A$1:$A$5000,0),1,,,"LM7 Non-ENG"),IF(IFERROR(VLOOKUP(B123&amp;"ES",'LM7 Non-ENG'!$A$1:$A$4999,1,FALSE),"ERROR")=B123&amp;"ES","Y","")),"")</f>
        <v/>
      </c>
      <c r="H123" s="29" t="str">
        <f>IFERROR(HYPERLINK("#"&amp;ADDRESS(MATCH(B123&amp;"PT",'LM7 Non-ENG'!$A$1:$A$5000,0),1,,,"LM7 Non-ENG"),IF(IFERROR(VLOOKUP(B123&amp;"PT",'LM7 Non-ENG'!$A$1:$A$5000,1,FALSE),"ERROR")=B123&amp;"PT","Y","")),"")</f>
        <v/>
      </c>
      <c r="I123" t="str">
        <f>IFERROR(VLOOKUP(B123,PN!$A:$C,3,FALSE),"")</f>
        <v>Active</v>
      </c>
      <c r="J123" s="3">
        <f>IFERROR(E123*VLOOKUP(B123,PLInter!$A:$D,3,FALSE),"")</f>
        <v>175</v>
      </c>
      <c r="K123" s="66"/>
      <c r="L123" s="66"/>
      <c r="M123" s="66"/>
      <c r="N123" s="66"/>
      <c r="O123" s="66"/>
      <c r="P123" s="66"/>
      <c r="Q123" s="66"/>
      <c r="R123" s="66"/>
      <c r="S123" s="66"/>
      <c r="T123" s="66"/>
    </row>
    <row r="124" spans="1:20" ht="18" customHeight="1">
      <c r="B124" t="str">
        <f>"10-1111-7000"</f>
        <v>10-1111-7000</v>
      </c>
      <c r="C124" t="str">
        <f>"Imperial 4 tool ISO 20 tool holder package"</f>
        <v>Imperial 4 tool ISO 20 tool holder package</v>
      </c>
      <c r="D124" s="4"/>
      <c r="E124" s="4">
        <v>1</v>
      </c>
      <c r="F124" s="4"/>
      <c r="G124" s="29" t="str">
        <f>IFERROR(HYPERLINK("#"&amp;ADDRESS(MATCH(B124&amp;"ES",'LM7 Non-ENG'!$A$1:$A$5000,0),1,,,"LM7 Non-ENG"),IF(IFERROR(VLOOKUP(B124&amp;"ES",'LM7 Non-ENG'!$A$1:$A$4999,1,FALSE),"ERROR")=B124&amp;"ES","Y","")),"")</f>
        <v/>
      </c>
      <c r="H124" s="29" t="str">
        <f>IFERROR(HYPERLINK("#"&amp;ADDRESS(MATCH(B124&amp;"PT",'LM7 Non-ENG'!$A$1:$A$5000,0),1,,,"LM7 Non-ENG"),IF(IFERROR(VLOOKUP(B124&amp;"PT",'LM7 Non-ENG'!$A$1:$A$5000,1,FALSE),"ERROR")=B124&amp;"PT","Y","")),"")</f>
        <v/>
      </c>
      <c r="I124" t="str">
        <f>IFERROR(VLOOKUP(B124,PN!$A:$C,3,FALSE),"")</f>
        <v>Active</v>
      </c>
      <c r="J124" s="3">
        <f>IFERROR(E124*VLOOKUP(B124,PLInter!$A:$D,3,FALSE),"")</f>
        <v>1657</v>
      </c>
      <c r="K124" s="66"/>
      <c r="L124" s="66"/>
      <c r="M124" s="66"/>
      <c r="N124" s="66"/>
      <c r="O124" s="66"/>
      <c r="P124" s="66"/>
      <c r="Q124" s="66"/>
      <c r="R124" s="66"/>
      <c r="S124" s="66"/>
      <c r="T124" s="66"/>
    </row>
    <row r="125" spans="1:20" ht="18" customHeight="1">
      <c r="B125" t="str">
        <f>"10-1113-5000"</f>
        <v>10-1113-5000</v>
      </c>
      <c r="C125" t="str">
        <f>"Imperial Advanced End Mill Package 5120"</f>
        <v>Imperial Advanced End Mill Package 5120</v>
      </c>
      <c r="D125" s="4"/>
      <c r="E125" s="4">
        <v>1</v>
      </c>
      <c r="F125" s="4"/>
      <c r="G125" s="29" t="str">
        <f>IFERROR(HYPERLINK("#"&amp;ADDRESS(MATCH(B125&amp;"ES",'LM7 Non-ENG'!$A$1:$A$5000,0),1,,,"LM7 Non-ENG"),IF(IFERROR(VLOOKUP(B125&amp;"ES",'LM7 Non-ENG'!$A$1:$A$4999,1,FALSE),"ERROR")=B125&amp;"ES","Y","")),"")</f>
        <v/>
      </c>
      <c r="H125" s="29" t="str">
        <f>IFERROR(HYPERLINK("#"&amp;ADDRESS(MATCH(B125&amp;"PT",'LM7 Non-ENG'!$A$1:$A$5000,0),1,,,"LM7 Non-ENG"),IF(IFERROR(VLOOKUP(B125&amp;"PT",'LM7 Non-ENG'!$A$1:$A$5000,1,FALSE),"ERROR")=B125&amp;"PT","Y","")),"")</f>
        <v/>
      </c>
      <c r="I125" t="str">
        <f>IFERROR(VLOOKUP(B125,PN!$A:$C,3,FALSE),"")</f>
        <v>Active</v>
      </c>
      <c r="J125" s="3">
        <f>IFERROR(E125*VLOOKUP(B125,PLInter!$A:$D,3,FALSE),"")</f>
        <v>200</v>
      </c>
      <c r="K125" s="66"/>
      <c r="L125" s="66"/>
      <c r="M125" s="66"/>
      <c r="N125" s="66"/>
      <c r="O125" s="66"/>
      <c r="P125" s="66"/>
      <c r="Q125" s="66"/>
      <c r="R125" s="66"/>
      <c r="S125" s="66"/>
      <c r="T125" s="66"/>
    </row>
    <row r="126" spans="1:20" ht="18" customHeight="1">
      <c r="B126" t="str">
        <f>"10-1111-1000"</f>
        <v>10-1111-1000</v>
      </c>
      <c r="C126" t="str">
        <f>"Jog Pendant Handwheel"</f>
        <v>Jog Pendant Handwheel</v>
      </c>
      <c r="D126" s="4"/>
      <c r="E126" s="4">
        <v>1</v>
      </c>
      <c r="F126" s="4"/>
      <c r="G126" s="29" t="str">
        <f>IFERROR(HYPERLINK("#"&amp;ADDRESS(MATCH(B126&amp;"ES",'LM7 Non-ENG'!$A$1:$A$5000,0),1,,,"LM7 Non-ENG"),IF(IFERROR(VLOOKUP(B126&amp;"ES",'LM7 Non-ENG'!$A$1:$A$4999,1,FALSE),"ERROR")=B126&amp;"ES","Y","")),"")</f>
        <v/>
      </c>
      <c r="H126" s="29" t="str">
        <f>IFERROR(HYPERLINK("#"&amp;ADDRESS(MATCH(B126&amp;"PT",'LM7 Non-ENG'!$A$1:$A$5000,0),1,,,"LM7 Non-ENG"),IF(IFERROR(VLOOKUP(B126&amp;"PT",'LM7 Non-ENG'!$A$1:$A$5000,1,FALSE),"ERROR")=B126&amp;"PT","Y","")),"")</f>
        <v/>
      </c>
      <c r="I126" t="str">
        <f>IFERROR(VLOOKUP(B126,PN!$A:$C,3,FALSE),"")</f>
        <v>Active</v>
      </c>
      <c r="J126" s="3">
        <f>IFERROR(E126*VLOOKUP(B126,PLInter!$A:$D,3,FALSE),"")</f>
        <v>795</v>
      </c>
      <c r="K126" s="66"/>
      <c r="L126" s="66"/>
      <c r="M126" s="66"/>
      <c r="N126" s="66"/>
      <c r="O126" s="66"/>
      <c r="P126" s="66"/>
      <c r="Q126" s="66"/>
      <c r="R126" s="66"/>
      <c r="S126" s="66"/>
      <c r="T126" s="66"/>
    </row>
    <row r="127" spans="1:20" ht="18" customHeight="1">
      <c r="B127" t="str">
        <f>"10-9120-0000"</f>
        <v>10-9120-0000</v>
      </c>
      <c r="C127" t="str">
        <f>"Stock Package, WaxStock Pa3” x 2” x 1.5”– 50 Pcs"</f>
        <v>Stock Package, WaxStock Pa3” x 2” x 1.5”– 50 Pcs</v>
      </c>
      <c r="D127" s="4"/>
      <c r="E127" s="4">
        <v>1</v>
      </c>
      <c r="F127" s="4"/>
      <c r="G127" s="29" t="str">
        <f>IFERROR(HYPERLINK("#"&amp;ADDRESS(MATCH(B127&amp;"ES",'LM7 Non-ENG'!$A$1:$A$5000,0),1,,,"LM7 Non-ENG"),IF(IFERROR(VLOOKUP(B127&amp;"ES",'LM7 Non-ENG'!$A$1:$A$4999,1,FALSE),"ERROR")=B127&amp;"ES","Y","")),"")</f>
        <v/>
      </c>
      <c r="H127" s="29" t="str">
        <f>IFERROR(HYPERLINK("#"&amp;ADDRESS(MATCH(B127&amp;"PT",'LM7 Non-ENG'!$A$1:$A$5000,0),1,,,"LM7 Non-ENG"),IF(IFERROR(VLOOKUP(B127&amp;"PT",'LM7 Non-ENG'!$A$1:$A$5000,1,FALSE),"ERROR")=B127&amp;"PT","Y","")),"")</f>
        <v/>
      </c>
      <c r="I127" t="str">
        <f>IFERROR(VLOOKUP(B127,PN!$A:$C,3,FALSE),"")</f>
        <v>Active</v>
      </c>
      <c r="J127" s="3">
        <f>IFERROR(E127*VLOOKUP(B127,PLInter!$A:$D,3,FALSE),"")</f>
        <v>657</v>
      </c>
      <c r="K127" s="66"/>
      <c r="L127" s="66"/>
      <c r="M127" s="66"/>
      <c r="N127" s="66"/>
      <c r="O127" s="66"/>
      <c r="P127" s="66"/>
      <c r="Q127" s="66"/>
      <c r="R127" s="66"/>
      <c r="S127" s="66"/>
      <c r="T127" s="66"/>
    </row>
    <row r="128" spans="1:20" ht="18" customHeight="1">
      <c r="B128" t="str">
        <f>"77-3142-0001"</f>
        <v>77-3142-0001</v>
      </c>
      <c r="C128" t="str">
        <f>"LM7 Content, Vir, CNC Milling w/ProMill 8000"</f>
        <v>LM7 Content, Vir, CNC Milling w/ProMill 8000</v>
      </c>
      <c r="D128" s="4"/>
      <c r="E128" s="4">
        <v>1</v>
      </c>
      <c r="F128" s="4"/>
      <c r="G128" s="29" t="str">
        <f>IFERROR(HYPERLINK("#"&amp;ADDRESS(MATCH(B128&amp;"ES",'LM7 Non-ENG'!$A$1:$A$5000,0),1,,,"LM7 Non-ENG"),IF(IFERROR(VLOOKUP(B128&amp;"ES",'LM7 Non-ENG'!$A$1:$A$4999,1,FALSE),"ERROR")=B128&amp;"ES","Y","")),"")</f>
        <v/>
      </c>
      <c r="H128" s="29" t="str">
        <f>IFERROR(HYPERLINK("#"&amp;ADDRESS(MATCH(B128&amp;"PT",'LM7 Non-ENG'!$A$1:$A$5000,0),1,,,"LM7 Non-ENG"),IF(IFERROR(VLOOKUP(B128&amp;"PT",'LM7 Non-ENG'!$A$1:$A$5000,1,FALSE),"ERROR")=B128&amp;"PT","Y","")),"")</f>
        <v/>
      </c>
      <c r="I128" t="str">
        <f>IFERROR(VLOOKUP(B128,PN!$A:$C,3,FALSE),"")</f>
        <v>Active</v>
      </c>
      <c r="J128" s="3">
        <f>IFERROR(E128*VLOOKUP(B128,PLInter!$A:$D,3,FALSE),"")</f>
        <v>2995</v>
      </c>
      <c r="K128" s="66"/>
      <c r="L128" s="66"/>
      <c r="M128" s="66"/>
      <c r="N128" s="66"/>
      <c r="O128" s="66"/>
      <c r="P128" s="66"/>
      <c r="Q128" s="66"/>
      <c r="R128" s="66"/>
      <c r="S128" s="66"/>
      <c r="T128" s="66"/>
    </row>
    <row r="129" spans="1:20" ht="18" customHeight="1">
      <c r="B129" s="2" t="str">
        <f>"17-3142-0001"</f>
        <v>17-3142-0001</v>
      </c>
      <c r="C129" s="2" t="str">
        <f>"LM5.X Content, Vir, CNC Milling w/ProMill 8000"</f>
        <v>LM5.X Content, Vir, CNC Milling w/ProMill 8000</v>
      </c>
      <c r="D129" s="5"/>
      <c r="E129" s="5">
        <v>1</v>
      </c>
      <c r="F129" s="5" t="str">
        <f>"Y"</f>
        <v>Y</v>
      </c>
      <c r="G129" s="29" t="str">
        <f>IFERROR(HYPERLINK("#"&amp;ADDRESS(MATCH(B129&amp;"ES",'LM7 Non-ENG'!$A$1:$A$5000,0),1,,,"LM7 Non-ENG"),IF(IFERROR(VLOOKUP(B129&amp;"ES",'LM7 Non-ENG'!$A$1:$A$4999,1,FALSE),"ERROR")=B129&amp;"ES","Y","")),"")</f>
        <v/>
      </c>
      <c r="H129" s="29" t="str">
        <f>IFERROR(HYPERLINK("#"&amp;ADDRESS(MATCH(B129&amp;"PT",'LM7 Non-ENG'!$A$1:$A$5000,0),1,,,"LM7 Non-ENG"),IF(IFERROR(VLOOKUP(B129&amp;"PT",'LM7 Non-ENG'!$A$1:$A$5000,1,FALSE),"ERROR")=B129&amp;"PT","Y","")),"")</f>
        <v/>
      </c>
      <c r="I129" t="str">
        <f>IFERROR(VLOOKUP(B129,PN!$A:$C,3,FALSE),"")</f>
        <v>Active</v>
      </c>
      <c r="J129" s="3">
        <f>IFERROR(E129*VLOOKUP(B129,PLInter!$A:$D,3,FALSE),"")</f>
        <v>2995</v>
      </c>
      <c r="K129" s="66"/>
      <c r="L129" s="66"/>
      <c r="M129" s="66"/>
      <c r="N129" s="66"/>
      <c r="O129" s="66"/>
      <c r="P129" s="66"/>
      <c r="Q129" s="66"/>
      <c r="R129" s="66"/>
      <c r="S129" s="66"/>
      <c r="T129" s="66"/>
    </row>
    <row r="130" spans="1:20" ht="18" customHeight="1">
      <c r="G130" s="29"/>
      <c r="H130" s="29"/>
    </row>
    <row r="131" spans="1:20" s="7" customFormat="1" ht="18" customHeight="1">
      <c r="A131" s="13" t="s">
        <v>427</v>
      </c>
      <c r="B131" s="13"/>
      <c r="C131" s="13" t="s">
        <v>428</v>
      </c>
      <c r="D131" s="14"/>
      <c r="E131" s="14"/>
      <c r="F131" s="14"/>
      <c r="G131" s="14"/>
      <c r="H131" s="14"/>
      <c r="I131" s="14"/>
      <c r="J131" s="14">
        <f>SUMIFS(J132:J143,D132:D143,"&lt;&gt;Y",F132:F143,"&lt;&gt;Y",I132:I143,"&lt;&gt;Inactive",I132:I143,"&lt;&gt;ECO+NFS")</f>
        <v>33568</v>
      </c>
      <c r="K131" s="14"/>
      <c r="L131" s="14"/>
      <c r="M131" s="14"/>
      <c r="N131" s="14"/>
      <c r="O131" s="14"/>
      <c r="P131" s="14"/>
      <c r="Q131" s="14"/>
      <c r="R131" s="14"/>
      <c r="S131" s="14"/>
      <c r="T131" s="14"/>
    </row>
    <row r="132" spans="1:20" ht="18" customHeight="1">
      <c r="A132" s="17" t="str">
        <f>HYPERLINK("#"&amp;ADDRESS(MATCH(A131,Machining!$A$1:$A$4990,0),1,,,"Machining"),"Back to Price List")</f>
        <v>Back to Price List</v>
      </c>
      <c r="B132" t="str">
        <f>"00-5509-0220"</f>
        <v>00-5509-0220</v>
      </c>
      <c r="C132" t="str">
        <f>"ProMill 8000 AC with 12 Tool ATC 220V"</f>
        <v>ProMill 8000 AC with 12 Tool ATC 220V</v>
      </c>
      <c r="D132" s="4"/>
      <c r="E132" s="4">
        <v>1</v>
      </c>
      <c r="F132" s="4"/>
      <c r="G132" s="29" t="str">
        <f>IFERROR(HYPERLINK("#"&amp;ADDRESS(MATCH(B132&amp;"ES",'LM7 Non-ENG'!$A$1:$A$5000,0),1,,,"LM7 Non-ENG"),IF(IFERROR(VLOOKUP(B132&amp;"ES",'LM7 Non-ENG'!$A$1:$A$4999,1,FALSE),"ERROR")=B132&amp;"ES","Y","")),"")</f>
        <v/>
      </c>
      <c r="H132" s="29" t="str">
        <f>IFERROR(HYPERLINK("#"&amp;ADDRESS(MATCH(B132&amp;"PT",'LM7 Non-ENG'!$A$1:$A$5000,0),1,,,"LM7 Non-ENG"),IF(IFERROR(VLOOKUP(B132&amp;"PT",'LM7 Non-ENG'!$A$1:$A$5000,1,FALSE),"ERROR")=B132&amp;"PT","Y","")),"")</f>
        <v/>
      </c>
      <c r="I132" t="str">
        <f>IFERROR(VLOOKUP(B132,PN!$A:$C,3,FALSE),"")</f>
        <v>Active</v>
      </c>
      <c r="J132" s="3">
        <f>IFERROR(E132*VLOOKUP(B132,PLInter!$A:$D,3,FALSE),"")</f>
        <v>26667</v>
      </c>
      <c r="K132" s="68" t="s">
        <v>429</v>
      </c>
      <c r="L132" s="66"/>
      <c r="M132" s="66"/>
      <c r="N132" s="66"/>
      <c r="O132" s="66"/>
      <c r="P132" s="66"/>
      <c r="Q132" s="66"/>
      <c r="R132" s="66"/>
      <c r="S132" s="66"/>
      <c r="T132" s="66"/>
    </row>
    <row r="133" spans="1:20" ht="18" customHeight="1">
      <c r="B133" s="2" t="str">
        <f>"00-5509-0110"</f>
        <v>00-5509-0110</v>
      </c>
      <c r="C133" s="2" t="str">
        <f>"ProMill 8000 AC with 12 Tool ATC 110V"</f>
        <v>ProMill 8000 AC with 12 Tool ATC 110V</v>
      </c>
      <c r="D133" s="5"/>
      <c r="E133" s="5">
        <v>1</v>
      </c>
      <c r="F133" s="5" t="str">
        <f>"Y"</f>
        <v>Y</v>
      </c>
      <c r="G133" s="29" t="str">
        <f>IFERROR(HYPERLINK("#"&amp;ADDRESS(MATCH(B133&amp;"ES",'LM7 Non-ENG'!$A$1:$A$5000,0),1,,,"LM7 Non-ENG"),IF(IFERROR(VLOOKUP(B133&amp;"ES",'LM7 Non-ENG'!$A$1:$A$4999,1,FALSE),"ERROR")=B133&amp;"ES","Y","")),"")</f>
        <v/>
      </c>
      <c r="H133" s="29" t="str">
        <f>IFERROR(HYPERLINK("#"&amp;ADDRESS(MATCH(B133&amp;"PT",'LM7 Non-ENG'!$A$1:$A$5000,0),1,,,"LM7 Non-ENG"),IF(IFERROR(VLOOKUP(B133&amp;"PT",'LM7 Non-ENG'!$A$1:$A$5000,1,FALSE),"ERROR")=B133&amp;"PT","Y","")),"")</f>
        <v/>
      </c>
      <c r="I133" t="str">
        <f>IFERROR(VLOOKUP(B133,PN!$A:$C,3,FALSE),"")</f>
        <v>Active</v>
      </c>
      <c r="J133" s="3">
        <f>IFERROR(E133*VLOOKUP(B133,PLInter!$A:$D,3,FALSE),"")</f>
        <v>26667</v>
      </c>
      <c r="K133" s="66"/>
      <c r="L133" s="66"/>
      <c r="M133" s="66"/>
      <c r="N133" s="66"/>
      <c r="O133" s="66"/>
      <c r="P133" s="66"/>
      <c r="Q133" s="66"/>
      <c r="R133" s="66"/>
      <c r="S133" s="66"/>
      <c r="T133" s="66"/>
    </row>
    <row r="134" spans="1:20" ht="18" customHeight="1">
      <c r="B134" t="str">
        <f>"10-1111-6000"</f>
        <v>10-1111-6000</v>
      </c>
      <c r="C134" t="str">
        <f>"4"" Precision Maching Vise"</f>
        <v>4" Precision Maching Vise</v>
      </c>
      <c r="D134" s="4"/>
      <c r="E134" s="4">
        <v>1</v>
      </c>
      <c r="F134" s="4"/>
      <c r="G134" s="29" t="str">
        <f>IFERROR(HYPERLINK("#"&amp;ADDRESS(MATCH(B134&amp;"ES",'LM7 Non-ENG'!$A$1:$A$5000,0),1,,,"LM7 Non-ENG"),IF(IFERROR(VLOOKUP(B134&amp;"ES",'LM7 Non-ENG'!$A$1:$A$4999,1,FALSE),"ERROR")=B134&amp;"ES","Y","")),"")</f>
        <v/>
      </c>
      <c r="H134" s="29" t="str">
        <f>IFERROR(HYPERLINK("#"&amp;ADDRESS(MATCH(B134&amp;"PT",'LM7 Non-ENG'!$A$1:$A$5000,0),1,,,"LM7 Non-ENG"),IF(IFERROR(VLOOKUP(B134&amp;"PT",'LM7 Non-ENG'!$A$1:$A$5000,1,FALSE),"ERROR")=B134&amp;"PT","Y","")),"")</f>
        <v/>
      </c>
      <c r="I134" t="str">
        <f>IFERROR(VLOOKUP(B134,PN!$A:$C,3,FALSE),"")</f>
        <v>Active</v>
      </c>
      <c r="J134" s="3">
        <f>IFERROR(E134*VLOOKUP(B134,PLInter!$A:$D,3,FALSE),"")</f>
        <v>206</v>
      </c>
      <c r="K134" s="66"/>
      <c r="L134" s="66"/>
      <c r="M134" s="66"/>
      <c r="N134" s="66"/>
      <c r="O134" s="66"/>
      <c r="P134" s="66"/>
      <c r="Q134" s="66"/>
      <c r="R134" s="66"/>
      <c r="S134" s="66"/>
      <c r="T134" s="66"/>
    </row>
    <row r="135" spans="1:20" ht="18" customHeight="1">
      <c r="B135" t="str">
        <f>"10-1111-5000"</f>
        <v>10-1111-5000</v>
      </c>
      <c r="C135" t="str">
        <f>"clamping kit 58 pcs set"</f>
        <v>clamping kit 58 pcs set</v>
      </c>
      <c r="D135" s="4"/>
      <c r="E135" s="4">
        <v>1</v>
      </c>
      <c r="F135" s="4"/>
      <c r="G135" s="29" t="str">
        <f>IFERROR(HYPERLINK("#"&amp;ADDRESS(MATCH(B135&amp;"ES",'LM7 Non-ENG'!$A$1:$A$5000,0),1,,,"LM7 Non-ENG"),IF(IFERROR(VLOOKUP(B135&amp;"ES",'LM7 Non-ENG'!$A$1:$A$4999,1,FALSE),"ERROR")=B135&amp;"ES","Y","")),"")</f>
        <v/>
      </c>
      <c r="H135" s="29" t="str">
        <f>IFERROR(HYPERLINK("#"&amp;ADDRESS(MATCH(B135&amp;"PT",'LM7 Non-ENG'!$A$1:$A$5000,0),1,,,"LM7 Non-ENG"),IF(IFERROR(VLOOKUP(B135&amp;"PT",'LM7 Non-ENG'!$A$1:$A$5000,1,FALSE),"ERROR")=B135&amp;"PT","Y","")),"")</f>
        <v/>
      </c>
      <c r="I135" t="str">
        <f>IFERROR(VLOOKUP(B135,PN!$A:$C,3,FALSE),"")</f>
        <v>Active</v>
      </c>
      <c r="J135" s="3">
        <f>IFERROR(E135*VLOOKUP(B135,PLInter!$A:$D,3,FALSE),"")</f>
        <v>175</v>
      </c>
      <c r="K135" s="66"/>
      <c r="L135" s="66"/>
      <c r="M135" s="66"/>
      <c r="N135" s="66"/>
      <c r="O135" s="66"/>
      <c r="P135" s="66"/>
      <c r="Q135" s="66"/>
      <c r="R135" s="66"/>
      <c r="S135" s="66"/>
      <c r="T135" s="66"/>
    </row>
    <row r="136" spans="1:20" ht="18" customHeight="1">
      <c r="B136" t="str">
        <f>"10-1115-0000"</f>
        <v>10-1115-0000</v>
      </c>
      <c r="C136" t="str">
        <f>"ER16 Collet set-8 pieces(2)3,(2)6,(2)8,(2)10mm"</f>
        <v>ER16 Collet set-8 pieces(2)3,(2)6,(2)8,(2)10mm</v>
      </c>
      <c r="D136" s="4"/>
      <c r="E136" s="4">
        <v>1</v>
      </c>
      <c r="F136" s="4"/>
      <c r="G136" s="29" t="str">
        <f>IFERROR(HYPERLINK("#"&amp;ADDRESS(MATCH(B136&amp;"ES",'LM7 Non-ENG'!$A$1:$A$5000,0),1,,,"LM7 Non-ENG"),IF(IFERROR(VLOOKUP(B136&amp;"ES",'LM7 Non-ENG'!$A$1:$A$4999,1,FALSE),"ERROR")=B136&amp;"ES","Y","")),"")</f>
        <v/>
      </c>
      <c r="H136" s="29" t="str">
        <f>IFERROR(HYPERLINK("#"&amp;ADDRESS(MATCH(B136&amp;"PT",'LM7 Non-ENG'!$A$1:$A$5000,0),1,,,"LM7 Non-ENG"),IF(IFERROR(VLOOKUP(B136&amp;"PT",'LM7 Non-ENG'!$A$1:$A$5000,1,FALSE),"ERROR")=B136&amp;"PT","Y","")),"")</f>
        <v/>
      </c>
      <c r="I136" t="str">
        <f>IFERROR(VLOOKUP(B136,PN!$A:$C,3,FALSE),"")</f>
        <v>Active</v>
      </c>
      <c r="J136" s="3">
        <f>IFERROR(E136*VLOOKUP(B136,PLInter!$A:$D,3,FALSE),"")</f>
        <v>207</v>
      </c>
      <c r="K136" s="66"/>
      <c r="L136" s="66"/>
      <c r="M136" s="66"/>
      <c r="N136" s="66"/>
      <c r="O136" s="66"/>
      <c r="P136" s="66"/>
      <c r="Q136" s="66"/>
      <c r="R136" s="66"/>
      <c r="S136" s="66"/>
      <c r="T136" s="66"/>
    </row>
    <row r="137" spans="1:20" ht="18" customHeight="1">
      <c r="B137" t="str">
        <f>"10-1111-9000"</f>
        <v>10-1111-9000</v>
      </c>
      <c r="C137" t="str">
        <f>"ISO 20 tool holder with nut"</f>
        <v>ISO 20 tool holder with nut</v>
      </c>
      <c r="D137" s="4"/>
      <c r="E137" s="4">
        <v>4</v>
      </c>
      <c r="F137" s="4"/>
      <c r="G137" s="29" t="str">
        <f>IFERROR(HYPERLINK("#"&amp;ADDRESS(MATCH(B137&amp;"ES",'LM7 Non-ENG'!$A$1:$A$5000,0),1,,,"LM7 Non-ENG"),IF(IFERROR(VLOOKUP(B137&amp;"ES",'LM7 Non-ENG'!$A$1:$A$4999,1,FALSE),"ERROR")=B137&amp;"ES","Y","")),"")</f>
        <v/>
      </c>
      <c r="H137" s="29" t="str">
        <f>IFERROR(HYPERLINK("#"&amp;ADDRESS(MATCH(B137&amp;"PT",'LM7 Non-ENG'!$A$1:$A$5000,0),1,,,"LM7 Non-ENG"),IF(IFERROR(VLOOKUP(B137&amp;"PT",'LM7 Non-ENG'!$A$1:$A$5000,1,FALSE),"ERROR")=B137&amp;"PT","Y","")),"")</f>
        <v/>
      </c>
      <c r="I137" t="str">
        <f>IFERROR(VLOOKUP(B137,PN!$A:$C,3,FALSE),"")</f>
        <v>Active</v>
      </c>
      <c r="J137" s="3">
        <f>IFERROR(E137*VLOOKUP(B137,PLInter!$A:$D,3,FALSE),"")</f>
        <v>1440</v>
      </c>
      <c r="K137" s="66"/>
      <c r="L137" s="66"/>
      <c r="M137" s="66"/>
      <c r="N137" s="66"/>
      <c r="O137" s="66"/>
      <c r="P137" s="66"/>
      <c r="Q137" s="66"/>
      <c r="R137" s="66"/>
      <c r="S137" s="66"/>
      <c r="T137" s="66"/>
    </row>
    <row r="138" spans="1:20" ht="18" customHeight="1">
      <c r="B138" t="str">
        <f>"10-1113-4000"</f>
        <v>10-1113-4000</v>
      </c>
      <c r="C138" t="str">
        <f>"Metric Advanced End Mill Package 5121"</f>
        <v>Metric Advanced End Mill Package 5121</v>
      </c>
      <c r="D138" s="4"/>
      <c r="E138" s="4">
        <v>1</v>
      </c>
      <c r="F138" s="4"/>
      <c r="G138" s="29" t="str">
        <f>IFERROR(HYPERLINK("#"&amp;ADDRESS(MATCH(B138&amp;"ES",'LM7 Non-ENG'!$A$1:$A$5000,0),1,,,"LM7 Non-ENG"),IF(IFERROR(VLOOKUP(B138&amp;"ES",'LM7 Non-ENG'!$A$1:$A$4999,1,FALSE),"ERROR")=B138&amp;"ES","Y","")),"")</f>
        <v/>
      </c>
      <c r="H138" s="29" t="str">
        <f>IFERROR(HYPERLINK("#"&amp;ADDRESS(MATCH(B138&amp;"PT",'LM7 Non-ENG'!$A$1:$A$5000,0),1,,,"LM7 Non-ENG"),IF(IFERROR(VLOOKUP(B138&amp;"PT",'LM7 Non-ENG'!$A$1:$A$5000,1,FALSE),"ERROR")=B138&amp;"PT","Y","")),"")</f>
        <v/>
      </c>
      <c r="I138" t="str">
        <f>IFERROR(VLOOKUP(B138,PN!$A:$C,3,FALSE),"")</f>
        <v>Active</v>
      </c>
      <c r="J138" s="3">
        <f>IFERROR(E138*VLOOKUP(B138,PLInter!$A:$D,3,FALSE),"")</f>
        <v>200</v>
      </c>
      <c r="K138" s="66"/>
      <c r="L138" s="66"/>
      <c r="M138" s="66"/>
      <c r="N138" s="66"/>
      <c r="O138" s="66"/>
      <c r="P138" s="66"/>
      <c r="Q138" s="66"/>
      <c r="R138" s="66"/>
      <c r="S138" s="66"/>
      <c r="T138" s="66"/>
    </row>
    <row r="139" spans="1:20" ht="18" customHeight="1">
      <c r="B139" t="str">
        <f>"10-1112-2000"</f>
        <v>10-1112-2000</v>
      </c>
      <c r="C139" t="str">
        <f>"ER16 Collet set-8 pieces(3,4,5,6,7,8,9 and 10mm)"</f>
        <v>ER16 Collet set-8 pieces(3,4,5,6,7,8,9 and 10mm)</v>
      </c>
      <c r="D139" s="4"/>
      <c r="E139" s="4">
        <v>1</v>
      </c>
      <c r="F139" s="4"/>
      <c r="G139" s="29" t="str">
        <f>IFERROR(HYPERLINK("#"&amp;ADDRESS(MATCH(B139&amp;"ES",'LM7 Non-ENG'!$A$1:$A$5000,0),1,,,"LM7 Non-ENG"),IF(IFERROR(VLOOKUP(B139&amp;"ES",'LM7 Non-ENG'!$A$1:$A$4999,1,FALSE),"ERROR")=B139&amp;"ES","Y","")),"")</f>
        <v/>
      </c>
      <c r="H139" s="29" t="str">
        <f>IFERROR(HYPERLINK("#"&amp;ADDRESS(MATCH(B139&amp;"PT",'LM7 Non-ENG'!$A$1:$A$5000,0),1,,,"LM7 Non-ENG"),IF(IFERROR(VLOOKUP(B139&amp;"PT",'LM7 Non-ENG'!$A$1:$A$5000,1,FALSE),"ERROR")=B139&amp;"PT","Y","")),"")</f>
        <v/>
      </c>
      <c r="I139" t="str">
        <f>IFERROR(VLOOKUP(B139,PN!$A:$C,3,FALSE),"")</f>
        <v>Active</v>
      </c>
      <c r="J139" s="3">
        <f>IFERROR(E139*VLOOKUP(B139,PLInter!$A:$D,3,FALSE),"")</f>
        <v>226</v>
      </c>
      <c r="K139" s="66"/>
      <c r="L139" s="66"/>
      <c r="M139" s="66"/>
      <c r="N139" s="66"/>
      <c r="O139" s="66"/>
      <c r="P139" s="66"/>
      <c r="Q139" s="66"/>
      <c r="R139" s="66"/>
      <c r="S139" s="66"/>
      <c r="T139" s="66"/>
    </row>
    <row r="140" spans="1:20" ht="18" customHeight="1">
      <c r="B140" t="str">
        <f>"10-1111-1000"</f>
        <v>10-1111-1000</v>
      </c>
      <c r="C140" t="str">
        <f>"Jog Pendant Handwheel"</f>
        <v>Jog Pendant Handwheel</v>
      </c>
      <c r="D140" s="4"/>
      <c r="E140" s="4">
        <v>1</v>
      </c>
      <c r="F140" s="4"/>
      <c r="G140" s="29" t="str">
        <f>IFERROR(HYPERLINK("#"&amp;ADDRESS(MATCH(B140&amp;"ES",'LM7 Non-ENG'!$A$1:$A$5000,0),1,,,"LM7 Non-ENG"),IF(IFERROR(VLOOKUP(B140&amp;"ES",'LM7 Non-ENG'!$A$1:$A$4999,1,FALSE),"ERROR")=B140&amp;"ES","Y","")),"")</f>
        <v/>
      </c>
      <c r="H140" s="29" t="str">
        <f>IFERROR(HYPERLINK("#"&amp;ADDRESS(MATCH(B140&amp;"PT",'LM7 Non-ENG'!$A$1:$A$5000,0),1,,,"LM7 Non-ENG"),IF(IFERROR(VLOOKUP(B140&amp;"PT",'LM7 Non-ENG'!$A$1:$A$5000,1,FALSE),"ERROR")=B140&amp;"PT","Y","")),"")</f>
        <v/>
      </c>
      <c r="I140" t="str">
        <f>IFERROR(VLOOKUP(B140,PN!$A:$C,3,FALSE),"")</f>
        <v>Active</v>
      </c>
      <c r="J140" s="3">
        <f>IFERROR(E140*VLOOKUP(B140,PLInter!$A:$D,3,FALSE),"")</f>
        <v>795</v>
      </c>
      <c r="K140" s="66"/>
      <c r="L140" s="66"/>
      <c r="M140" s="66"/>
      <c r="N140" s="66"/>
      <c r="O140" s="66"/>
      <c r="P140" s="66"/>
      <c r="Q140" s="66"/>
      <c r="R140" s="66"/>
      <c r="S140" s="66"/>
      <c r="T140" s="66"/>
    </row>
    <row r="141" spans="1:20" ht="18" customHeight="1">
      <c r="B141" t="str">
        <f>"10-9120-0000"</f>
        <v>10-9120-0000</v>
      </c>
      <c r="C141" t="str">
        <f>"Stock Package, WaxStock Pa3” x 2” x 1.5”– 50 Pcs"</f>
        <v>Stock Package, WaxStock Pa3” x 2” x 1.5”– 50 Pcs</v>
      </c>
      <c r="D141" s="4"/>
      <c r="E141" s="4">
        <v>1</v>
      </c>
      <c r="F141" s="4"/>
      <c r="G141" s="29" t="str">
        <f>IFERROR(HYPERLINK("#"&amp;ADDRESS(MATCH(B141&amp;"ES",'LM7 Non-ENG'!$A$1:$A$5000,0),1,,,"LM7 Non-ENG"),IF(IFERROR(VLOOKUP(B141&amp;"ES",'LM7 Non-ENG'!$A$1:$A$4999,1,FALSE),"ERROR")=B141&amp;"ES","Y","")),"")</f>
        <v/>
      </c>
      <c r="H141" s="29" t="str">
        <f>IFERROR(HYPERLINK("#"&amp;ADDRESS(MATCH(B141&amp;"PT",'LM7 Non-ENG'!$A$1:$A$5000,0),1,,,"LM7 Non-ENG"),IF(IFERROR(VLOOKUP(B141&amp;"PT",'LM7 Non-ENG'!$A$1:$A$5000,1,FALSE),"ERROR")=B141&amp;"PT","Y","")),"")</f>
        <v/>
      </c>
      <c r="I141" t="str">
        <f>IFERROR(VLOOKUP(B141,PN!$A:$C,3,FALSE),"")</f>
        <v>Active</v>
      </c>
      <c r="J141" s="3">
        <f>IFERROR(E141*VLOOKUP(B141,PLInter!$A:$D,3,FALSE),"")</f>
        <v>657</v>
      </c>
      <c r="K141" s="66"/>
      <c r="L141" s="66"/>
      <c r="M141" s="66"/>
      <c r="N141" s="66"/>
      <c r="O141" s="66"/>
      <c r="P141" s="66"/>
      <c r="Q141" s="66"/>
      <c r="R141" s="66"/>
      <c r="S141" s="66"/>
      <c r="T141" s="66"/>
    </row>
    <row r="142" spans="1:20" ht="18" customHeight="1">
      <c r="B142" t="str">
        <f>"77-3142-0002"</f>
        <v>77-3142-0002</v>
      </c>
      <c r="C142" t="str">
        <f>"LM7 Content, Vir, CNC Milling w/ProMill 8000 (M)"</f>
        <v>LM7 Content, Vir, CNC Milling w/ProMill 8000 (M)</v>
      </c>
      <c r="D142" s="4"/>
      <c r="E142" s="4">
        <v>1</v>
      </c>
      <c r="F142" s="4"/>
      <c r="G142" s="29" t="str">
        <f>IFERROR(HYPERLINK("#"&amp;ADDRESS(MATCH(B142&amp;"ES",'LM7 Non-ENG'!$A$1:$A$5000,0),1,,,"LM7 Non-ENG"),IF(IFERROR(VLOOKUP(B142&amp;"ES",'LM7 Non-ENG'!$A$1:$A$4999,1,FALSE),"ERROR")=B142&amp;"ES","Y","")),"")</f>
        <v/>
      </c>
      <c r="H142" s="29" t="str">
        <f>IFERROR(HYPERLINK("#"&amp;ADDRESS(MATCH(B142&amp;"PT",'LM7 Non-ENG'!$A$1:$A$5000,0),1,,,"LM7 Non-ENG"),IF(IFERROR(VLOOKUP(B142&amp;"PT",'LM7 Non-ENG'!$A$1:$A$5000,1,FALSE),"ERROR")=B142&amp;"PT","Y","")),"")</f>
        <v/>
      </c>
      <c r="I142" t="str">
        <f>IFERROR(VLOOKUP(B142,PN!$A:$C,3,FALSE),"")</f>
        <v>Active</v>
      </c>
      <c r="J142" s="3">
        <f>IFERROR(E142*VLOOKUP(B142,PLInter!$A:$D,3,FALSE),"")</f>
        <v>2995</v>
      </c>
      <c r="K142" s="66"/>
      <c r="L142" s="66"/>
      <c r="M142" s="66"/>
      <c r="N142" s="66"/>
      <c r="O142" s="66"/>
      <c r="P142" s="66"/>
      <c r="Q142" s="66"/>
      <c r="R142" s="66"/>
      <c r="S142" s="66"/>
      <c r="T142" s="66"/>
    </row>
    <row r="143" spans="1:20" ht="18" customHeight="1">
      <c r="B143" s="2" t="str">
        <f>"17-3142-0002"</f>
        <v>17-3142-0002</v>
      </c>
      <c r="C143" s="2" t="str">
        <f>"LM5 Content, Vir, CNC Milling w/ProMill 8000 (M)"</f>
        <v>LM5 Content, Vir, CNC Milling w/ProMill 8000 (M)</v>
      </c>
      <c r="D143" s="5"/>
      <c r="E143" s="5">
        <v>1</v>
      </c>
      <c r="F143" s="5" t="str">
        <f>"Y"</f>
        <v>Y</v>
      </c>
      <c r="G143" s="29" t="str">
        <f>IFERROR(HYPERLINK("#"&amp;ADDRESS(MATCH(B143&amp;"ES",'LM7 Non-ENG'!$A$1:$A$5000,0),1,,,"LM7 Non-ENG"),IF(IFERROR(VLOOKUP(B143&amp;"ES",'LM7 Non-ENG'!$A$1:$A$4999,1,FALSE),"ERROR")=B143&amp;"ES","Y","")),"")</f>
        <v/>
      </c>
      <c r="H143" s="29" t="str">
        <f>IFERROR(HYPERLINK("#"&amp;ADDRESS(MATCH(B143&amp;"PT",'LM7 Non-ENG'!$A$1:$A$5000,0),1,,,"LM7 Non-ENG"),IF(IFERROR(VLOOKUP(B143&amp;"PT",'LM7 Non-ENG'!$A$1:$A$5000,1,FALSE),"ERROR")=B143&amp;"PT","Y","")),"")</f>
        <v/>
      </c>
      <c r="I143" t="str">
        <f>IFERROR(VLOOKUP(B143,PN!$A:$C,3,FALSE),"")</f>
        <v>Active</v>
      </c>
      <c r="J143" s="3">
        <f>IFERROR(E143*VLOOKUP(B143,PLInter!$A:$D,3,FALSE),"")</f>
        <v>2995</v>
      </c>
      <c r="K143" s="66"/>
      <c r="L143" s="66"/>
      <c r="M143" s="66"/>
      <c r="N143" s="66"/>
      <c r="O143" s="66"/>
      <c r="P143" s="66"/>
      <c r="Q143" s="66"/>
      <c r="R143" s="66"/>
      <c r="S143" s="66"/>
      <c r="T143" s="66"/>
    </row>
    <row r="144" spans="1:20" ht="18" customHeight="1">
      <c r="G144" s="29"/>
      <c r="H144" s="29"/>
    </row>
    <row r="145" spans="1:20" s="7" customFormat="1" ht="18" customHeight="1">
      <c r="A145" s="13" t="s">
        <v>430</v>
      </c>
      <c r="B145" s="13"/>
      <c r="C145" s="13" t="s">
        <v>431</v>
      </c>
      <c r="D145" s="14"/>
      <c r="E145" s="14"/>
      <c r="F145" s="14"/>
      <c r="G145" s="14"/>
      <c r="H145" s="14"/>
      <c r="I145" s="14"/>
      <c r="J145" s="14">
        <f>SUMIFS(J146:J163,D146:D163,"&lt;&gt;Y",F146:F163,"&lt;&gt;Y",I146:I163,"&lt;&gt;Inactive",I146:I163,"&lt;&gt;ECO+NFS")</f>
        <v>38207</v>
      </c>
      <c r="K145" s="14"/>
      <c r="L145" s="14"/>
      <c r="M145" s="14"/>
      <c r="N145" s="14"/>
      <c r="O145" s="14"/>
      <c r="P145" s="14"/>
      <c r="Q145" s="14"/>
      <c r="R145" s="14"/>
      <c r="S145" s="14"/>
      <c r="T145" s="14"/>
    </row>
    <row r="146" spans="1:20" ht="18" customHeight="1">
      <c r="A146" s="17" t="str">
        <f>HYPERLINK("#"&amp;ADDRESS(MATCH(A145,Machining!$A$1:$A$4990,0),1,,,"Machining"),"Back to Price List")</f>
        <v>Back to Price List</v>
      </c>
      <c r="B146" t="str">
        <f>"00-5509-0110"</f>
        <v>00-5509-0110</v>
      </c>
      <c r="C146" t="str">
        <f>"ProMill 8000 AC with 12 Tool ATC 110V"</f>
        <v>ProMill 8000 AC with 12 Tool ATC 110V</v>
      </c>
      <c r="D146" s="4"/>
      <c r="E146" s="4">
        <v>1</v>
      </c>
      <c r="F146" s="4"/>
      <c r="G146" s="29" t="str">
        <f>IFERROR(HYPERLINK("#"&amp;ADDRESS(MATCH(B146&amp;"ES",'LM7 Non-ENG'!$A$1:$A$5000,0),1,,,"LM7 Non-ENG"),IF(IFERROR(VLOOKUP(B146&amp;"ES",'LM7 Non-ENG'!$A$1:$A$4999,1,FALSE),"ERROR")=B146&amp;"ES","Y","")),"")</f>
        <v/>
      </c>
      <c r="H146" s="29" t="str">
        <f>IFERROR(HYPERLINK("#"&amp;ADDRESS(MATCH(B146&amp;"PT",'LM7 Non-ENG'!$A$1:$A$5000,0),1,,,"LM7 Non-ENG"),IF(IFERROR(VLOOKUP(B146&amp;"PT",'LM7 Non-ENG'!$A$1:$A$5000,1,FALSE),"ERROR")=B146&amp;"PT","Y","")),"")</f>
        <v/>
      </c>
      <c r="I146" t="str">
        <f>IFERROR(VLOOKUP(B146,PN!$A:$C,3,FALSE),"")</f>
        <v>Active</v>
      </c>
      <c r="J146" s="3">
        <f>IFERROR(E146*VLOOKUP(B146,PLInter!$A:$D,3,FALSE),"")</f>
        <v>26667</v>
      </c>
      <c r="K146" s="68" t="s">
        <v>432</v>
      </c>
      <c r="L146" s="66"/>
      <c r="M146" s="66"/>
      <c r="N146" s="66"/>
      <c r="O146" s="66"/>
      <c r="P146" s="66"/>
      <c r="Q146" s="66"/>
      <c r="R146" s="66"/>
      <c r="S146" s="66"/>
      <c r="T146" s="66"/>
    </row>
    <row r="147" spans="1:20" ht="18" customHeight="1">
      <c r="B147" s="2" t="str">
        <f>"00-5509-0220"</f>
        <v>00-5509-0220</v>
      </c>
      <c r="C147" s="2" t="str">
        <f>"ProMill 8000 AC with 12 Tool ATC 220V"</f>
        <v>ProMill 8000 AC with 12 Tool ATC 220V</v>
      </c>
      <c r="D147" s="5"/>
      <c r="E147" s="5">
        <v>1</v>
      </c>
      <c r="F147" s="5" t="str">
        <f>"Y"</f>
        <v>Y</v>
      </c>
      <c r="G147" s="29" t="str">
        <f>IFERROR(HYPERLINK("#"&amp;ADDRESS(MATCH(B147&amp;"ES",'LM7 Non-ENG'!$A$1:$A$5000,0),1,,,"LM7 Non-ENG"),IF(IFERROR(VLOOKUP(B147&amp;"ES",'LM7 Non-ENG'!$A$1:$A$4999,1,FALSE),"ERROR")=B147&amp;"ES","Y","")),"")</f>
        <v/>
      </c>
      <c r="H147" s="29" t="str">
        <f>IFERROR(HYPERLINK("#"&amp;ADDRESS(MATCH(B147&amp;"PT",'LM7 Non-ENG'!$A$1:$A$5000,0),1,,,"LM7 Non-ENG"),IF(IFERROR(VLOOKUP(B147&amp;"PT",'LM7 Non-ENG'!$A$1:$A$5000,1,FALSE),"ERROR")=B147&amp;"PT","Y","")),"")</f>
        <v/>
      </c>
      <c r="I147" t="str">
        <f>IFERROR(VLOOKUP(B147,PN!$A:$C,3,FALSE),"")</f>
        <v>Active</v>
      </c>
      <c r="J147" s="3">
        <f>IFERROR(E147*VLOOKUP(B147,PLInter!$A:$D,3,FALSE),"")</f>
        <v>26667</v>
      </c>
      <c r="K147" s="66"/>
      <c r="L147" s="66"/>
      <c r="M147" s="66"/>
      <c r="N147" s="66"/>
      <c r="O147" s="66"/>
      <c r="P147" s="66"/>
      <c r="Q147" s="66"/>
      <c r="R147" s="66"/>
      <c r="S147" s="66"/>
      <c r="T147" s="66"/>
    </row>
    <row r="148" spans="1:20" ht="18" customHeight="1">
      <c r="B148" t="str">
        <f>"10-1111-6000"</f>
        <v>10-1111-6000</v>
      </c>
      <c r="C148" t="str">
        <f>"4"" Precision Maching Vise"</f>
        <v>4" Precision Maching Vise</v>
      </c>
      <c r="D148" s="4"/>
      <c r="E148" s="4">
        <v>1</v>
      </c>
      <c r="F148" s="4"/>
      <c r="G148" s="29" t="str">
        <f>IFERROR(HYPERLINK("#"&amp;ADDRESS(MATCH(B148&amp;"ES",'LM7 Non-ENG'!$A$1:$A$5000,0),1,,,"LM7 Non-ENG"),IF(IFERROR(VLOOKUP(B148&amp;"ES",'LM7 Non-ENG'!$A$1:$A$4999,1,FALSE),"ERROR")=B148&amp;"ES","Y","")),"")</f>
        <v/>
      </c>
      <c r="H148" s="29" t="str">
        <f>IFERROR(HYPERLINK("#"&amp;ADDRESS(MATCH(B148&amp;"PT",'LM7 Non-ENG'!$A$1:$A$5000,0),1,,,"LM7 Non-ENG"),IF(IFERROR(VLOOKUP(B148&amp;"PT",'LM7 Non-ENG'!$A$1:$A$5000,1,FALSE),"ERROR")=B148&amp;"PT","Y","")),"")</f>
        <v/>
      </c>
      <c r="I148" t="str">
        <f>IFERROR(VLOOKUP(B148,PN!$A:$C,3,FALSE),"")</f>
        <v>Active</v>
      </c>
      <c r="J148" s="3">
        <f>IFERROR(E148*VLOOKUP(B148,PLInter!$A:$D,3,FALSE),"")</f>
        <v>206</v>
      </c>
      <c r="K148" s="66"/>
      <c r="L148" s="66"/>
      <c r="M148" s="66"/>
      <c r="N148" s="66"/>
      <c r="O148" s="66"/>
      <c r="P148" s="66"/>
      <c r="Q148" s="66"/>
      <c r="R148" s="66"/>
      <c r="S148" s="66"/>
      <c r="T148" s="66"/>
    </row>
    <row r="149" spans="1:20" ht="18" customHeight="1">
      <c r="B149" t="str">
        <f>"10-1111-5000"</f>
        <v>10-1111-5000</v>
      </c>
      <c r="C149" t="str">
        <f>"clamping kit 58 pcs set"</f>
        <v>clamping kit 58 pcs set</v>
      </c>
      <c r="D149" s="4"/>
      <c r="E149" s="4">
        <v>1</v>
      </c>
      <c r="F149" s="4"/>
      <c r="G149" s="29" t="str">
        <f>IFERROR(HYPERLINK("#"&amp;ADDRESS(MATCH(B149&amp;"ES",'LM7 Non-ENG'!$A$1:$A$5000,0),1,,,"LM7 Non-ENG"),IF(IFERROR(VLOOKUP(B149&amp;"ES",'LM7 Non-ENG'!$A$1:$A$4999,1,FALSE),"ERROR")=B149&amp;"ES","Y","")),"")</f>
        <v/>
      </c>
      <c r="H149" s="29" t="str">
        <f>IFERROR(HYPERLINK("#"&amp;ADDRESS(MATCH(B149&amp;"PT",'LM7 Non-ENG'!$A$1:$A$5000,0),1,,,"LM7 Non-ENG"),IF(IFERROR(VLOOKUP(B149&amp;"PT",'LM7 Non-ENG'!$A$1:$A$5000,1,FALSE),"ERROR")=B149&amp;"PT","Y","")),"")</f>
        <v/>
      </c>
      <c r="I149" t="str">
        <f>IFERROR(VLOOKUP(B149,PN!$A:$C,3,FALSE),"")</f>
        <v>Active</v>
      </c>
      <c r="J149" s="3">
        <f>IFERROR(E149*VLOOKUP(B149,PLInter!$A:$D,3,FALSE),"")</f>
        <v>175</v>
      </c>
      <c r="K149" s="66"/>
      <c r="L149" s="66"/>
      <c r="M149" s="66"/>
      <c r="N149" s="66"/>
      <c r="O149" s="66"/>
      <c r="P149" s="66"/>
      <c r="Q149" s="66"/>
      <c r="R149" s="66"/>
      <c r="S149" s="66"/>
      <c r="T149" s="66"/>
    </row>
    <row r="150" spans="1:20" ht="18" customHeight="1">
      <c r="B150" t="str">
        <f>"10-1113-5000"</f>
        <v>10-1113-5000</v>
      </c>
      <c r="C150" t="str">
        <f>"Imperial Advanced End Mill Package 5120"</f>
        <v>Imperial Advanced End Mill Package 5120</v>
      </c>
      <c r="D150" s="4"/>
      <c r="E150" s="4">
        <v>1</v>
      </c>
      <c r="F150" s="4"/>
      <c r="G150" s="29" t="str">
        <f>IFERROR(HYPERLINK("#"&amp;ADDRESS(MATCH(B150&amp;"ES",'LM7 Non-ENG'!$A$1:$A$5000,0),1,,,"LM7 Non-ENG"),IF(IFERROR(VLOOKUP(B150&amp;"ES",'LM7 Non-ENG'!$A$1:$A$4999,1,FALSE),"ERROR")=B150&amp;"ES","Y","")),"")</f>
        <v/>
      </c>
      <c r="H150" s="29" t="str">
        <f>IFERROR(HYPERLINK("#"&amp;ADDRESS(MATCH(B150&amp;"PT",'LM7 Non-ENG'!$A$1:$A$5000,0),1,,,"LM7 Non-ENG"),IF(IFERROR(VLOOKUP(B150&amp;"PT",'LM7 Non-ENG'!$A$1:$A$5000,1,FALSE),"ERROR")=B150&amp;"PT","Y","")),"")</f>
        <v/>
      </c>
      <c r="I150" t="str">
        <f>IFERROR(VLOOKUP(B150,PN!$A:$C,3,FALSE),"")</f>
        <v>Active</v>
      </c>
      <c r="J150" s="3">
        <f>IFERROR(E150*VLOOKUP(B150,PLInter!$A:$D,3,FALSE),"")</f>
        <v>200</v>
      </c>
      <c r="K150" s="66"/>
      <c r="L150" s="66"/>
      <c r="M150" s="66"/>
      <c r="N150" s="66"/>
      <c r="O150" s="66"/>
      <c r="P150" s="66"/>
      <c r="Q150" s="66"/>
      <c r="R150" s="66"/>
      <c r="S150" s="66"/>
      <c r="T150" s="66"/>
    </row>
    <row r="151" spans="1:20" ht="18" customHeight="1">
      <c r="B151" t="str">
        <f>"10-1112-2000"</f>
        <v>10-1112-2000</v>
      </c>
      <c r="C151" t="str">
        <f>"ER16 Collet set-8 pieces(3,4,5,6,7,8,9 and 10mm)"</f>
        <v>ER16 Collet set-8 pieces(3,4,5,6,7,8,9 and 10mm)</v>
      </c>
      <c r="D151" s="4"/>
      <c r="E151" s="4">
        <v>1</v>
      </c>
      <c r="F151" s="4"/>
      <c r="G151" s="29" t="str">
        <f>IFERROR(HYPERLINK("#"&amp;ADDRESS(MATCH(B151&amp;"ES",'LM7 Non-ENG'!$A$1:$A$5000,0),1,,,"LM7 Non-ENG"),IF(IFERROR(VLOOKUP(B151&amp;"ES",'LM7 Non-ENG'!$A$1:$A$4999,1,FALSE),"ERROR")=B151&amp;"ES","Y","")),"")</f>
        <v/>
      </c>
      <c r="H151" s="29" t="str">
        <f>IFERROR(HYPERLINK("#"&amp;ADDRESS(MATCH(B151&amp;"PT",'LM7 Non-ENG'!$A$1:$A$5000,0),1,,,"LM7 Non-ENG"),IF(IFERROR(VLOOKUP(B151&amp;"PT",'LM7 Non-ENG'!$A$1:$A$5000,1,FALSE),"ERROR")=B151&amp;"PT","Y","")),"")</f>
        <v/>
      </c>
      <c r="I151" t="str">
        <f>IFERROR(VLOOKUP(B151,PN!$A:$C,3,FALSE),"")</f>
        <v>Active</v>
      </c>
      <c r="J151" s="3">
        <f>IFERROR(E151*VLOOKUP(B151,PLInter!$A:$D,3,FALSE),"")</f>
        <v>226</v>
      </c>
      <c r="K151" s="66"/>
      <c r="L151" s="66"/>
      <c r="M151" s="66"/>
      <c r="N151" s="66"/>
      <c r="O151" s="66"/>
      <c r="P151" s="66"/>
      <c r="Q151" s="66"/>
      <c r="R151" s="66"/>
      <c r="S151" s="66"/>
      <c r="T151" s="66"/>
    </row>
    <row r="152" spans="1:20" ht="18" customHeight="1">
      <c r="B152" t="str">
        <f>"10-1111-7000"</f>
        <v>10-1111-7000</v>
      </c>
      <c r="C152" t="str">
        <f>"Imperial 4 tool ISO 20 tool holder package"</f>
        <v>Imperial 4 tool ISO 20 tool holder package</v>
      </c>
      <c r="D152" s="4"/>
      <c r="E152" s="4">
        <v>1</v>
      </c>
      <c r="F152" s="4"/>
      <c r="G152" s="29" t="str">
        <f>IFERROR(HYPERLINK("#"&amp;ADDRESS(MATCH(B152&amp;"ES",'LM7 Non-ENG'!$A$1:$A$5000,0),1,,,"LM7 Non-ENG"),IF(IFERROR(VLOOKUP(B152&amp;"ES",'LM7 Non-ENG'!$A$1:$A$4999,1,FALSE),"ERROR")=B152&amp;"ES","Y","")),"")</f>
        <v/>
      </c>
      <c r="H152" s="29" t="str">
        <f>IFERROR(HYPERLINK("#"&amp;ADDRESS(MATCH(B152&amp;"PT",'LM7 Non-ENG'!$A$1:$A$5000,0),1,,,"LM7 Non-ENG"),IF(IFERROR(VLOOKUP(B152&amp;"PT",'LM7 Non-ENG'!$A$1:$A$5000,1,FALSE),"ERROR")=B152&amp;"PT","Y","")),"")</f>
        <v/>
      </c>
      <c r="I152" t="str">
        <f>IFERROR(VLOOKUP(B152,PN!$A:$C,3,FALSE),"")</f>
        <v>Active</v>
      </c>
      <c r="J152" s="3">
        <f>IFERROR(E152*VLOOKUP(B152,PLInter!$A:$D,3,FALSE),"")</f>
        <v>1657</v>
      </c>
      <c r="K152" s="66"/>
      <c r="L152" s="66"/>
      <c r="M152" s="66"/>
      <c r="N152" s="66"/>
      <c r="O152" s="66"/>
      <c r="P152" s="66"/>
      <c r="Q152" s="66"/>
      <c r="R152" s="66"/>
      <c r="S152" s="66"/>
      <c r="T152" s="66"/>
    </row>
    <row r="153" spans="1:20" ht="18" customHeight="1">
      <c r="B153" t="str">
        <f>"10-1111-1000"</f>
        <v>10-1111-1000</v>
      </c>
      <c r="C153" t="str">
        <f>"Jog Pendant Handwheel"</f>
        <v>Jog Pendant Handwheel</v>
      </c>
      <c r="D153" s="4"/>
      <c r="E153" s="4">
        <v>1</v>
      </c>
      <c r="F153" s="4"/>
      <c r="G153" s="29" t="str">
        <f>IFERROR(HYPERLINK("#"&amp;ADDRESS(MATCH(B153&amp;"ES",'LM7 Non-ENG'!$A$1:$A$5000,0),1,,,"LM7 Non-ENG"),IF(IFERROR(VLOOKUP(B153&amp;"ES",'LM7 Non-ENG'!$A$1:$A$4999,1,FALSE),"ERROR")=B153&amp;"ES","Y","")),"")</f>
        <v/>
      </c>
      <c r="H153" s="29" t="str">
        <f>IFERROR(HYPERLINK("#"&amp;ADDRESS(MATCH(B153&amp;"PT",'LM7 Non-ENG'!$A$1:$A$5000,0),1,,,"LM7 Non-ENG"),IF(IFERROR(VLOOKUP(B153&amp;"PT",'LM7 Non-ENG'!$A$1:$A$5000,1,FALSE),"ERROR")=B153&amp;"PT","Y","")),"")</f>
        <v/>
      </c>
      <c r="I153" t="str">
        <f>IFERROR(VLOOKUP(B153,PN!$A:$C,3,FALSE),"")</f>
        <v>Active</v>
      </c>
      <c r="J153" s="3">
        <f>IFERROR(E153*VLOOKUP(B153,PLInter!$A:$D,3,FALSE),"")</f>
        <v>795</v>
      </c>
      <c r="K153" s="66"/>
      <c r="L153" s="66"/>
      <c r="M153" s="66"/>
      <c r="N153" s="66"/>
      <c r="O153" s="66"/>
      <c r="P153" s="66"/>
      <c r="Q153" s="66"/>
      <c r="R153" s="66"/>
      <c r="S153" s="66"/>
      <c r="T153" s="66"/>
    </row>
    <row r="154" spans="1:20" ht="18" customHeight="1">
      <c r="B154" t="str">
        <f>"10-1108-1110"</f>
        <v>10-1108-1110</v>
      </c>
      <c r="C154" t="str">
        <f>"Coolant system 27L - 110V"</f>
        <v>Coolant system 27L - 110V</v>
      </c>
      <c r="D154" s="4"/>
      <c r="E154" s="4">
        <v>1</v>
      </c>
      <c r="F154" s="4"/>
      <c r="G154" s="29" t="str">
        <f>IFERROR(HYPERLINK("#"&amp;ADDRESS(MATCH(B154&amp;"ES",'LM7 Non-ENG'!$A$1:$A$5000,0),1,,,"LM7 Non-ENG"),IF(IFERROR(VLOOKUP(B154&amp;"ES",'LM7 Non-ENG'!$A$1:$A$4999,1,FALSE),"ERROR")=B154&amp;"ES","Y","")),"")</f>
        <v/>
      </c>
      <c r="H154" s="29" t="str">
        <f>IFERROR(HYPERLINK("#"&amp;ADDRESS(MATCH(B154&amp;"PT",'LM7 Non-ENG'!$A$1:$A$5000,0),1,,,"LM7 Non-ENG"),IF(IFERROR(VLOOKUP(B154&amp;"PT",'LM7 Non-ENG'!$A$1:$A$5000,1,FALSE),"ERROR")=B154&amp;"PT","Y","")),"")</f>
        <v/>
      </c>
      <c r="I154" t="str">
        <f>IFERROR(VLOOKUP(B154,PN!$A:$C,3,FALSE),"")</f>
        <v>Active</v>
      </c>
      <c r="J154" s="3">
        <f>IFERROR(E154*VLOOKUP(B154,PLInter!$A:$D,3,FALSE),"")</f>
        <v>407</v>
      </c>
      <c r="K154" s="66"/>
      <c r="L154" s="66"/>
      <c r="M154" s="66"/>
      <c r="N154" s="66"/>
      <c r="O154" s="66"/>
      <c r="P154" s="66"/>
      <c r="Q154" s="66"/>
      <c r="R154" s="66"/>
      <c r="S154" s="66"/>
      <c r="T154" s="66"/>
    </row>
    <row r="155" spans="1:20" ht="18" customHeight="1">
      <c r="B155" s="2" t="str">
        <f>"10-1108-1220"</f>
        <v>10-1108-1220</v>
      </c>
      <c r="C155" s="2" t="str">
        <f>"Coolant system 27L - 220V"</f>
        <v>Coolant system 27L - 220V</v>
      </c>
      <c r="D155" s="5"/>
      <c r="E155" s="5">
        <v>1</v>
      </c>
      <c r="F155" s="5" t="str">
        <f>"Y"</f>
        <v>Y</v>
      </c>
      <c r="G155" s="29" t="str">
        <f>IFERROR(HYPERLINK("#"&amp;ADDRESS(MATCH(B155&amp;"ES",'LM7 Non-ENG'!$A$1:$A$5000,0),1,,,"LM7 Non-ENG"),IF(IFERROR(VLOOKUP(B155&amp;"ES",'LM7 Non-ENG'!$A$1:$A$4999,1,FALSE),"ERROR")=B155&amp;"ES","Y","")),"")</f>
        <v/>
      </c>
      <c r="H155" s="29" t="str">
        <f>IFERROR(HYPERLINK("#"&amp;ADDRESS(MATCH(B155&amp;"PT",'LM7 Non-ENG'!$A$1:$A$5000,0),1,,,"LM7 Non-ENG"),IF(IFERROR(VLOOKUP(B155&amp;"PT",'LM7 Non-ENG'!$A$1:$A$5000,1,FALSE),"ERROR")=B155&amp;"PT","Y","")),"")</f>
        <v/>
      </c>
      <c r="I155" t="str">
        <f>IFERROR(VLOOKUP(B155,PN!$A:$C,3,FALSE),"")</f>
        <v>Active</v>
      </c>
      <c r="J155" s="3">
        <f>IFERROR(E155*VLOOKUP(B155,PLInter!$A:$D,3,FALSE),"")</f>
        <v>407</v>
      </c>
      <c r="K155" s="66"/>
      <c r="L155" s="66"/>
      <c r="M155" s="66"/>
      <c r="N155" s="66"/>
      <c r="O155" s="66"/>
      <c r="P155" s="66"/>
      <c r="Q155" s="66"/>
      <c r="R155" s="66"/>
      <c r="S155" s="66"/>
      <c r="T155" s="66"/>
    </row>
    <row r="156" spans="1:20" ht="18" customHeight="1">
      <c r="B156" t="str">
        <f>"10-1108-8000"</f>
        <v>10-1108-8000</v>
      </c>
      <c r="C156" t="str">
        <f>"100mm rotary worktable (4th axis) with tailstock"</f>
        <v>100mm rotary worktable (4th axis) with tailstock</v>
      </c>
      <c r="D156" s="4"/>
      <c r="E156" s="4">
        <v>1</v>
      </c>
      <c r="F156" s="4"/>
      <c r="G156" s="29" t="str">
        <f>IFERROR(HYPERLINK("#"&amp;ADDRESS(MATCH(B156&amp;"ES",'LM7 Non-ENG'!$A$1:$A$5000,0),1,,,"LM7 Non-ENG"),IF(IFERROR(VLOOKUP(B156&amp;"ES",'LM7 Non-ENG'!$A$1:$A$4999,1,FALSE),"ERROR")=B156&amp;"ES","Y","")),"")</f>
        <v/>
      </c>
      <c r="H156" s="29" t="str">
        <f>IFERROR(HYPERLINK("#"&amp;ADDRESS(MATCH(B156&amp;"PT",'LM7 Non-ENG'!$A$1:$A$5000,0),1,,,"LM7 Non-ENG"),IF(IFERROR(VLOOKUP(B156&amp;"PT",'LM7 Non-ENG'!$A$1:$A$5000,1,FALSE),"ERROR")=B156&amp;"PT","Y","")),"")</f>
        <v/>
      </c>
      <c r="I156" t="str">
        <f>IFERROR(VLOOKUP(B156,PN!$A:$C,3,FALSE),"")</f>
        <v>Active</v>
      </c>
      <c r="J156" s="3">
        <f>IFERROR(E156*VLOOKUP(B156,PLInter!$A:$D,3,FALSE),"")</f>
        <v>2126</v>
      </c>
      <c r="K156" s="66"/>
      <c r="L156" s="66"/>
      <c r="M156" s="66"/>
      <c r="N156" s="66"/>
      <c r="O156" s="66"/>
      <c r="P156" s="66"/>
      <c r="Q156" s="66"/>
      <c r="R156" s="66"/>
      <c r="S156" s="66"/>
      <c r="T156" s="66"/>
    </row>
    <row r="157" spans="1:20" ht="18" customHeight="1">
      <c r="B157" t="str">
        <f>"10-1109-3000"</f>
        <v>10-1109-3000</v>
      </c>
      <c r="C157" t="str">
        <f>"80mm 3-jaw chuck"</f>
        <v>80mm 3-jaw chuck</v>
      </c>
      <c r="D157" s="4"/>
      <c r="E157" s="4">
        <v>1</v>
      </c>
      <c r="F157" s="4"/>
      <c r="G157" s="29" t="str">
        <f>IFERROR(HYPERLINK("#"&amp;ADDRESS(MATCH(B157&amp;"ES",'LM7 Non-ENG'!$A$1:$A$5000,0),1,,,"LM7 Non-ENG"),IF(IFERROR(VLOOKUP(B157&amp;"ES",'LM7 Non-ENG'!$A$1:$A$4999,1,FALSE),"ERROR")=B157&amp;"ES","Y","")),"")</f>
        <v/>
      </c>
      <c r="H157" s="29" t="str">
        <f>IFERROR(HYPERLINK("#"&amp;ADDRESS(MATCH(B157&amp;"PT",'LM7 Non-ENG'!$A$1:$A$5000,0),1,,,"LM7 Non-ENG"),IF(IFERROR(VLOOKUP(B157&amp;"PT",'LM7 Non-ENG'!$A$1:$A$5000,1,FALSE),"ERROR")=B157&amp;"PT","Y","")),"")</f>
        <v/>
      </c>
      <c r="I157" t="str">
        <f>IFERROR(VLOOKUP(B157,PN!$A:$C,3,FALSE),"")</f>
        <v>Active</v>
      </c>
      <c r="J157" s="3">
        <f>IFERROR(E157*VLOOKUP(B157,PLInter!$A:$D,3,FALSE),"")</f>
        <v>186</v>
      </c>
      <c r="K157" s="66"/>
      <c r="L157" s="66"/>
      <c r="M157" s="66"/>
      <c r="N157" s="66"/>
      <c r="O157" s="66"/>
      <c r="P157" s="66"/>
      <c r="Q157" s="66"/>
      <c r="R157" s="66"/>
      <c r="S157" s="66"/>
      <c r="T157" s="66"/>
    </row>
    <row r="158" spans="1:20" ht="18" customHeight="1">
      <c r="B158" t="str">
        <f>"10-1113-7000"</f>
        <v>10-1113-7000</v>
      </c>
      <c r="C158" t="str">
        <f>"Imperial Engraving Package 5710"</f>
        <v>Imperial Engraving Package 5710</v>
      </c>
      <c r="D158" s="4"/>
      <c r="E158" s="4">
        <v>1</v>
      </c>
      <c r="F158" s="4"/>
      <c r="G158" s="29" t="str">
        <f>IFERROR(HYPERLINK("#"&amp;ADDRESS(MATCH(B158&amp;"ES",'LM7 Non-ENG'!$A$1:$A$5000,0),1,,,"LM7 Non-ENG"),IF(IFERROR(VLOOKUP(B158&amp;"ES",'LM7 Non-ENG'!$A$1:$A$4999,1,FALSE),"ERROR")=B158&amp;"ES","Y","")),"")</f>
        <v/>
      </c>
      <c r="H158" s="29" t="str">
        <f>IFERROR(HYPERLINK("#"&amp;ADDRESS(MATCH(B158&amp;"PT",'LM7 Non-ENG'!$A$1:$A$5000,0),1,,,"LM7 Non-ENG"),IF(IFERROR(VLOOKUP(B158&amp;"PT",'LM7 Non-ENG'!$A$1:$A$5000,1,FALSE),"ERROR")=B158&amp;"PT","Y","")),"")</f>
        <v/>
      </c>
      <c r="I158" t="str">
        <f>IFERROR(VLOOKUP(B158,PN!$A:$C,3,FALSE),"")</f>
        <v>Active</v>
      </c>
      <c r="J158" s="3">
        <f>IFERROR(E158*VLOOKUP(B158,PLInter!$A:$D,3,FALSE),"")</f>
        <v>157</v>
      </c>
      <c r="K158" s="66"/>
      <c r="L158" s="66"/>
      <c r="M158" s="66"/>
      <c r="N158" s="66"/>
      <c r="O158" s="66"/>
      <c r="P158" s="66"/>
      <c r="Q158" s="66"/>
      <c r="R158" s="66"/>
      <c r="S158" s="66"/>
      <c r="T158" s="66"/>
    </row>
    <row r="159" spans="1:20" ht="18" customHeight="1">
      <c r="B159" t="str">
        <f>"10-1111-9000"</f>
        <v>10-1111-9000</v>
      </c>
      <c r="C159" t="str">
        <f>"ISO 20 tool holder with nut"</f>
        <v>ISO 20 tool holder with nut</v>
      </c>
      <c r="D159" s="4"/>
      <c r="E159" s="4">
        <v>4</v>
      </c>
      <c r="F159" s="4"/>
      <c r="G159" s="29" t="str">
        <f>IFERROR(HYPERLINK("#"&amp;ADDRESS(MATCH(B159&amp;"ES",'LM7 Non-ENG'!$A$1:$A$5000,0),1,,,"LM7 Non-ENG"),IF(IFERROR(VLOOKUP(B159&amp;"ES",'LM7 Non-ENG'!$A$1:$A$4999,1,FALSE),"ERROR")=B159&amp;"ES","Y","")),"")</f>
        <v/>
      </c>
      <c r="H159" s="29" t="str">
        <f>IFERROR(HYPERLINK("#"&amp;ADDRESS(MATCH(B159&amp;"PT",'LM7 Non-ENG'!$A$1:$A$5000,0),1,,,"LM7 Non-ENG"),IF(IFERROR(VLOOKUP(B159&amp;"PT",'LM7 Non-ENG'!$A$1:$A$5000,1,FALSE),"ERROR")=B159&amp;"PT","Y","")),"")</f>
        <v/>
      </c>
      <c r="I159" t="str">
        <f>IFERROR(VLOOKUP(B159,PN!$A:$C,3,FALSE),"")</f>
        <v>Active</v>
      </c>
      <c r="J159" s="3">
        <f>IFERROR(E159*VLOOKUP(B159,PLInter!$A:$D,3,FALSE),"")</f>
        <v>1440</v>
      </c>
      <c r="K159" s="66"/>
      <c r="L159" s="66"/>
      <c r="M159" s="66"/>
      <c r="N159" s="66"/>
      <c r="O159" s="66"/>
      <c r="P159" s="66"/>
      <c r="Q159" s="66"/>
      <c r="R159" s="66"/>
      <c r="S159" s="66"/>
      <c r="T159" s="66"/>
    </row>
    <row r="160" spans="1:20" ht="18" customHeight="1">
      <c r="B160" t="str">
        <f>"10-9120-0000"</f>
        <v>10-9120-0000</v>
      </c>
      <c r="C160" t="str">
        <f>"Stock Package, WaxStock Pa3” x 2” x 1.5”– 50 Pcs"</f>
        <v>Stock Package, WaxStock Pa3” x 2” x 1.5”– 50 Pcs</v>
      </c>
      <c r="D160" s="4"/>
      <c r="E160" s="4">
        <v>1</v>
      </c>
      <c r="F160" s="4"/>
      <c r="G160" s="29" t="str">
        <f>IFERROR(HYPERLINK("#"&amp;ADDRESS(MATCH(B160&amp;"ES",'LM7 Non-ENG'!$A$1:$A$5000,0),1,,,"LM7 Non-ENG"),IF(IFERROR(VLOOKUP(B160&amp;"ES",'LM7 Non-ENG'!$A$1:$A$4999,1,FALSE),"ERROR")=B160&amp;"ES","Y","")),"")</f>
        <v/>
      </c>
      <c r="H160" s="29" t="str">
        <f>IFERROR(HYPERLINK("#"&amp;ADDRESS(MATCH(B160&amp;"PT",'LM7 Non-ENG'!$A$1:$A$5000,0),1,,,"LM7 Non-ENG"),IF(IFERROR(VLOOKUP(B160&amp;"PT",'LM7 Non-ENG'!$A$1:$A$5000,1,FALSE),"ERROR")=B160&amp;"PT","Y","")),"")</f>
        <v/>
      </c>
      <c r="I160" t="str">
        <f>IFERROR(VLOOKUP(B160,PN!$A:$C,3,FALSE),"")</f>
        <v>Active</v>
      </c>
      <c r="J160" s="3">
        <f>IFERROR(E160*VLOOKUP(B160,PLInter!$A:$D,3,FALSE),"")</f>
        <v>657</v>
      </c>
      <c r="K160" s="66"/>
      <c r="L160" s="66"/>
      <c r="M160" s="66"/>
      <c r="N160" s="66"/>
      <c r="O160" s="66"/>
      <c r="P160" s="66"/>
      <c r="Q160" s="66"/>
      <c r="R160" s="66"/>
      <c r="S160" s="66"/>
      <c r="T160" s="66"/>
    </row>
    <row r="161" spans="1:20" ht="18" customHeight="1">
      <c r="B161" t="str">
        <f>"77-3142-0001"</f>
        <v>77-3142-0001</v>
      </c>
      <c r="C161" t="str">
        <f>"LM7 Content, Vir, CNC Milling w/ProMill 8000"</f>
        <v>LM7 Content, Vir, CNC Milling w/ProMill 8000</v>
      </c>
      <c r="D161" s="4"/>
      <c r="E161" s="4">
        <v>1</v>
      </c>
      <c r="F161" s="4"/>
      <c r="G161" s="29" t="str">
        <f>IFERROR(HYPERLINK("#"&amp;ADDRESS(MATCH(B161&amp;"ES",'LM7 Non-ENG'!$A$1:$A$5000,0),1,,,"LM7 Non-ENG"),IF(IFERROR(VLOOKUP(B161&amp;"ES",'LM7 Non-ENG'!$A$1:$A$4999,1,FALSE),"ERROR")=B161&amp;"ES","Y","")),"")</f>
        <v/>
      </c>
      <c r="H161" s="29" t="str">
        <f>IFERROR(HYPERLINK("#"&amp;ADDRESS(MATCH(B161&amp;"PT",'LM7 Non-ENG'!$A$1:$A$5000,0),1,,,"LM7 Non-ENG"),IF(IFERROR(VLOOKUP(B161&amp;"PT",'LM7 Non-ENG'!$A$1:$A$5000,1,FALSE),"ERROR")=B161&amp;"PT","Y","")),"")</f>
        <v/>
      </c>
      <c r="I161" t="str">
        <f>IFERROR(VLOOKUP(B161,PN!$A:$C,3,FALSE),"")</f>
        <v>Active</v>
      </c>
      <c r="J161" s="3">
        <f>IFERROR(E161*VLOOKUP(B161,PLInter!$A:$D,3,FALSE),"")</f>
        <v>2995</v>
      </c>
      <c r="K161" s="66"/>
      <c r="L161" s="66"/>
      <c r="M161" s="66"/>
      <c r="N161" s="66"/>
      <c r="O161" s="66"/>
      <c r="P161" s="66"/>
      <c r="Q161" s="66"/>
      <c r="R161" s="66"/>
      <c r="S161" s="66"/>
      <c r="T161" s="66"/>
    </row>
    <row r="162" spans="1:20" ht="18" customHeight="1">
      <c r="B162" s="2" t="str">
        <f>"17-3142-0001"</f>
        <v>17-3142-0001</v>
      </c>
      <c r="C162" s="2" t="str">
        <f>"LM5.X Content, Vir, CNC Milling w/ProMill 8000"</f>
        <v>LM5.X Content, Vir, CNC Milling w/ProMill 8000</v>
      </c>
      <c r="D162" s="5"/>
      <c r="E162" s="5">
        <v>1</v>
      </c>
      <c r="F162" s="5" t="str">
        <f>"Y"</f>
        <v>Y</v>
      </c>
      <c r="G162" s="29" t="str">
        <f>IFERROR(HYPERLINK("#"&amp;ADDRESS(MATCH(B162&amp;"ES",'LM7 Non-ENG'!$A$1:$A$5000,0),1,,,"LM7 Non-ENG"),IF(IFERROR(VLOOKUP(B162&amp;"ES",'LM7 Non-ENG'!$A$1:$A$4999,1,FALSE),"ERROR")=B162&amp;"ES","Y","")),"")</f>
        <v/>
      </c>
      <c r="H162" s="29" t="str">
        <f>IFERROR(HYPERLINK("#"&amp;ADDRESS(MATCH(B162&amp;"PT",'LM7 Non-ENG'!$A$1:$A$5000,0),1,,,"LM7 Non-ENG"),IF(IFERROR(VLOOKUP(B162&amp;"PT",'LM7 Non-ENG'!$A$1:$A$5000,1,FALSE),"ERROR")=B162&amp;"PT","Y","")),"")</f>
        <v/>
      </c>
      <c r="I162" t="str">
        <f>IFERROR(VLOOKUP(B162,PN!$A:$C,3,FALSE),"")</f>
        <v>Active</v>
      </c>
      <c r="J162" s="3">
        <f>IFERROR(E162*VLOOKUP(B162,PLInter!$A:$D,3,FALSE),"")</f>
        <v>2995</v>
      </c>
      <c r="K162" s="66"/>
      <c r="L162" s="66"/>
      <c r="M162" s="66"/>
      <c r="N162" s="66"/>
      <c r="O162" s="66"/>
      <c r="P162" s="66"/>
      <c r="Q162" s="66"/>
      <c r="R162" s="66"/>
      <c r="S162" s="66"/>
      <c r="T162" s="66"/>
    </row>
    <row r="163" spans="1:20" ht="18" customHeight="1">
      <c r="B163" t="str">
        <f>"10-1105-5000"</f>
        <v>10-1105-5000</v>
      </c>
      <c r="C163" t="str">
        <f>"Computer and monitor stand (attached to machine)"</f>
        <v>Computer and monitor stand (attached to machine)</v>
      </c>
      <c r="D163" s="4"/>
      <c r="E163" s="4">
        <v>1</v>
      </c>
      <c r="F163" s="4"/>
      <c r="G163" s="29" t="str">
        <f>IFERROR(HYPERLINK("#"&amp;ADDRESS(MATCH(B163&amp;"ES",'LM7 Non-ENG'!$A$1:$A$5000,0),1,,,"LM7 Non-ENG"),IF(IFERROR(VLOOKUP(B163&amp;"ES",'LM7 Non-ENG'!$A$1:$A$4999,1,FALSE),"ERROR")=B163&amp;"ES","Y","")),"")</f>
        <v/>
      </c>
      <c r="H163" s="29" t="str">
        <f>IFERROR(HYPERLINK("#"&amp;ADDRESS(MATCH(B163&amp;"PT",'LM7 Non-ENG'!$A$1:$A$5000,0),1,,,"LM7 Non-ENG"),IF(IFERROR(VLOOKUP(B163&amp;"PT",'LM7 Non-ENG'!$A$1:$A$5000,1,FALSE),"ERROR")=B163&amp;"PT","Y","")),"")</f>
        <v/>
      </c>
      <c r="I163" t="str">
        <f>IFERROR(VLOOKUP(B163,PN!$A:$C,3,FALSE),"")</f>
        <v>Active</v>
      </c>
      <c r="J163" s="3">
        <f>IFERROR(E163*VLOOKUP(B163,PLInter!$A:$D,3,FALSE),"")</f>
        <v>313</v>
      </c>
      <c r="K163" s="66"/>
      <c r="L163" s="66"/>
      <c r="M163" s="66"/>
      <c r="N163" s="66"/>
      <c r="O163" s="66"/>
      <c r="P163" s="66"/>
      <c r="Q163" s="66"/>
      <c r="R163" s="66"/>
      <c r="S163" s="66"/>
      <c r="T163" s="66"/>
    </row>
    <row r="164" spans="1:20" ht="18" customHeight="1">
      <c r="G164" s="29"/>
      <c r="H164" s="29"/>
    </row>
    <row r="165" spans="1:20" s="7" customFormat="1" ht="18" customHeight="1">
      <c r="A165" s="13" t="s">
        <v>433</v>
      </c>
      <c r="B165" s="13"/>
      <c r="C165" s="13" t="s">
        <v>434</v>
      </c>
      <c r="D165" s="14"/>
      <c r="E165" s="14"/>
      <c r="F165" s="14"/>
      <c r="G165" s="14"/>
      <c r="H165" s="14"/>
      <c r="I165" s="14"/>
      <c r="J165" s="14">
        <f>SUMIFS(J166:J184,D166:D184,"&lt;&gt;Y",F166:F184,"&lt;&gt;Y",I166:I184,"&lt;&gt;Inactive",I166:I184,"&lt;&gt;ECO+NFS")</f>
        <v>38397</v>
      </c>
      <c r="K165" s="14"/>
      <c r="L165" s="14"/>
      <c r="M165" s="14"/>
      <c r="N165" s="14"/>
      <c r="O165" s="14"/>
      <c r="P165" s="14"/>
      <c r="Q165" s="14"/>
      <c r="R165" s="14"/>
      <c r="S165" s="14"/>
      <c r="T165" s="14"/>
    </row>
    <row r="166" spans="1:20" ht="18" customHeight="1">
      <c r="A166" s="17" t="str">
        <f>HYPERLINK("#"&amp;ADDRESS(MATCH(A165,Machining!$A$1:$A$4990,0),1,,,"Machining"),"Back to Price List")</f>
        <v>Back to Price List</v>
      </c>
      <c r="B166" t="str">
        <f>"00-5509-0220"</f>
        <v>00-5509-0220</v>
      </c>
      <c r="C166" t="str">
        <f>"ProMill 8000 AC with 12 Tool ATC 220V"</f>
        <v>ProMill 8000 AC with 12 Tool ATC 220V</v>
      </c>
      <c r="D166" s="4"/>
      <c r="E166" s="4">
        <v>1</v>
      </c>
      <c r="F166" s="4"/>
      <c r="G166" s="29" t="str">
        <f>IFERROR(HYPERLINK("#"&amp;ADDRESS(MATCH(B166&amp;"ES",'LM7 Non-ENG'!$A$1:$A$5000,0),1,,,"LM7 Non-ENG"),IF(IFERROR(VLOOKUP(B166&amp;"ES",'LM7 Non-ENG'!$A$1:$A$4999,1,FALSE),"ERROR")=B166&amp;"ES","Y","")),"")</f>
        <v/>
      </c>
      <c r="H166" s="29" t="str">
        <f>IFERROR(HYPERLINK("#"&amp;ADDRESS(MATCH(B166&amp;"PT",'LM7 Non-ENG'!$A$1:$A$5000,0),1,,,"LM7 Non-ENG"),IF(IFERROR(VLOOKUP(B166&amp;"PT",'LM7 Non-ENG'!$A$1:$A$5000,1,FALSE),"ERROR")=B166&amp;"PT","Y","")),"")</f>
        <v/>
      </c>
      <c r="I166" t="str">
        <f>IFERROR(VLOOKUP(B166,PN!$A:$C,3,FALSE),"")</f>
        <v>Active</v>
      </c>
      <c r="J166" s="3">
        <f>IFERROR(E166*VLOOKUP(B166,PLInter!$A:$D,3,FALSE),"")</f>
        <v>26667</v>
      </c>
      <c r="K166" s="68" t="s">
        <v>435</v>
      </c>
      <c r="L166" s="66"/>
      <c r="M166" s="66"/>
      <c r="N166" s="66"/>
      <c r="O166" s="66"/>
      <c r="P166" s="66"/>
      <c r="Q166" s="66"/>
      <c r="R166" s="66"/>
      <c r="S166" s="66"/>
      <c r="T166" s="66"/>
    </row>
    <row r="167" spans="1:20" ht="18" customHeight="1">
      <c r="B167" s="2" t="str">
        <f>"00-5509-0110"</f>
        <v>00-5509-0110</v>
      </c>
      <c r="C167" s="2" t="str">
        <f>"ProMill 8000 AC with 12 Tool ATC 110V"</f>
        <v>ProMill 8000 AC with 12 Tool ATC 110V</v>
      </c>
      <c r="D167" s="5"/>
      <c r="E167" s="5">
        <v>1</v>
      </c>
      <c r="F167" s="5" t="str">
        <f>"Y"</f>
        <v>Y</v>
      </c>
      <c r="G167" s="29" t="str">
        <f>IFERROR(HYPERLINK("#"&amp;ADDRESS(MATCH(B167&amp;"ES",'LM7 Non-ENG'!$A$1:$A$5000,0),1,,,"LM7 Non-ENG"),IF(IFERROR(VLOOKUP(B167&amp;"ES",'LM7 Non-ENG'!$A$1:$A$4999,1,FALSE),"ERROR")=B167&amp;"ES","Y","")),"")</f>
        <v/>
      </c>
      <c r="H167" s="29" t="str">
        <f>IFERROR(HYPERLINK("#"&amp;ADDRESS(MATCH(B167&amp;"PT",'LM7 Non-ENG'!$A$1:$A$5000,0),1,,,"LM7 Non-ENG"),IF(IFERROR(VLOOKUP(B167&amp;"PT",'LM7 Non-ENG'!$A$1:$A$5000,1,FALSE),"ERROR")=B167&amp;"PT","Y","")),"")</f>
        <v/>
      </c>
      <c r="I167" t="str">
        <f>IFERROR(VLOOKUP(B167,PN!$A:$C,3,FALSE),"")</f>
        <v>Active</v>
      </c>
      <c r="J167" s="3">
        <f>IFERROR(E167*VLOOKUP(B167,PLInter!$A:$D,3,FALSE),"")</f>
        <v>26667</v>
      </c>
      <c r="K167" s="66"/>
      <c r="L167" s="66"/>
      <c r="M167" s="66"/>
      <c r="N167" s="66"/>
      <c r="O167" s="66"/>
      <c r="P167" s="66"/>
      <c r="Q167" s="66"/>
      <c r="R167" s="66"/>
      <c r="S167" s="66"/>
      <c r="T167" s="66"/>
    </row>
    <row r="168" spans="1:20" ht="18" customHeight="1">
      <c r="B168" t="str">
        <f>"10-1111-6000"</f>
        <v>10-1111-6000</v>
      </c>
      <c r="C168" t="str">
        <f>"4"" Precision Maching Vise"</f>
        <v>4" Precision Maching Vise</v>
      </c>
      <c r="D168" s="4"/>
      <c r="E168" s="4">
        <v>1</v>
      </c>
      <c r="F168" s="4"/>
      <c r="G168" s="29" t="str">
        <f>IFERROR(HYPERLINK("#"&amp;ADDRESS(MATCH(B168&amp;"ES",'LM7 Non-ENG'!$A$1:$A$5000,0),1,,,"LM7 Non-ENG"),IF(IFERROR(VLOOKUP(B168&amp;"ES",'LM7 Non-ENG'!$A$1:$A$4999,1,FALSE),"ERROR")=B168&amp;"ES","Y","")),"")</f>
        <v/>
      </c>
      <c r="H168" s="29" t="str">
        <f>IFERROR(HYPERLINK("#"&amp;ADDRESS(MATCH(B168&amp;"PT",'LM7 Non-ENG'!$A$1:$A$5000,0),1,,,"LM7 Non-ENG"),IF(IFERROR(VLOOKUP(B168&amp;"PT",'LM7 Non-ENG'!$A$1:$A$5000,1,FALSE),"ERROR")=B168&amp;"PT","Y","")),"")</f>
        <v/>
      </c>
      <c r="I168" t="str">
        <f>IFERROR(VLOOKUP(B168,PN!$A:$C,3,FALSE),"")</f>
        <v>Active</v>
      </c>
      <c r="J168" s="3">
        <f>IFERROR(E168*VLOOKUP(B168,PLInter!$A:$D,3,FALSE),"")</f>
        <v>206</v>
      </c>
      <c r="K168" s="66"/>
      <c r="L168" s="66"/>
      <c r="M168" s="66"/>
      <c r="N168" s="66"/>
      <c r="O168" s="66"/>
      <c r="P168" s="66"/>
      <c r="Q168" s="66"/>
      <c r="R168" s="66"/>
      <c r="S168" s="66"/>
      <c r="T168" s="66"/>
    </row>
    <row r="169" spans="1:20" ht="18" customHeight="1">
      <c r="B169" t="str">
        <f>"10-1111-5000"</f>
        <v>10-1111-5000</v>
      </c>
      <c r="C169" t="str">
        <f>"clamping kit 58 pcs set"</f>
        <v>clamping kit 58 pcs set</v>
      </c>
      <c r="D169" s="4"/>
      <c r="E169" s="4">
        <v>1</v>
      </c>
      <c r="F169" s="4"/>
      <c r="G169" s="29" t="str">
        <f>IFERROR(HYPERLINK("#"&amp;ADDRESS(MATCH(B169&amp;"ES",'LM7 Non-ENG'!$A$1:$A$5000,0),1,,,"LM7 Non-ENG"),IF(IFERROR(VLOOKUP(B169&amp;"ES",'LM7 Non-ENG'!$A$1:$A$4999,1,FALSE),"ERROR")=B169&amp;"ES","Y","")),"")</f>
        <v/>
      </c>
      <c r="H169" s="29" t="str">
        <f>IFERROR(HYPERLINK("#"&amp;ADDRESS(MATCH(B169&amp;"PT",'LM7 Non-ENG'!$A$1:$A$5000,0),1,,,"LM7 Non-ENG"),IF(IFERROR(VLOOKUP(B169&amp;"PT",'LM7 Non-ENG'!$A$1:$A$5000,1,FALSE),"ERROR")=B169&amp;"PT","Y","")),"")</f>
        <v/>
      </c>
      <c r="I169" t="str">
        <f>IFERROR(VLOOKUP(B169,PN!$A:$C,3,FALSE),"")</f>
        <v>Active</v>
      </c>
      <c r="J169" s="3">
        <f>IFERROR(E169*VLOOKUP(B169,PLInter!$A:$D,3,FALSE),"")</f>
        <v>175</v>
      </c>
      <c r="K169" s="66"/>
      <c r="L169" s="66"/>
      <c r="M169" s="66"/>
      <c r="N169" s="66"/>
      <c r="O169" s="66"/>
      <c r="P169" s="66"/>
      <c r="Q169" s="66"/>
      <c r="R169" s="66"/>
      <c r="S169" s="66"/>
      <c r="T169" s="66"/>
    </row>
    <row r="170" spans="1:20" ht="18" customHeight="1">
      <c r="B170" t="str">
        <f>"10-1111-9000"</f>
        <v>10-1111-9000</v>
      </c>
      <c r="C170" t="str">
        <f>"ISO 20 tool holder with nut"</f>
        <v>ISO 20 tool holder with nut</v>
      </c>
      <c r="D170" s="4"/>
      <c r="E170" s="4">
        <v>8</v>
      </c>
      <c r="F170" s="4"/>
      <c r="G170" s="29" t="str">
        <f>IFERROR(HYPERLINK("#"&amp;ADDRESS(MATCH(B170&amp;"ES",'LM7 Non-ENG'!$A$1:$A$5000,0),1,,,"LM7 Non-ENG"),IF(IFERROR(VLOOKUP(B170&amp;"ES",'LM7 Non-ENG'!$A$1:$A$4999,1,FALSE),"ERROR")=B170&amp;"ES","Y","")),"")</f>
        <v/>
      </c>
      <c r="H170" s="29" t="str">
        <f>IFERROR(HYPERLINK("#"&amp;ADDRESS(MATCH(B170&amp;"PT",'LM7 Non-ENG'!$A$1:$A$5000,0),1,,,"LM7 Non-ENG"),IF(IFERROR(VLOOKUP(B170&amp;"PT",'LM7 Non-ENG'!$A$1:$A$5000,1,FALSE),"ERROR")=B170&amp;"PT","Y","")),"")</f>
        <v/>
      </c>
      <c r="I170" t="str">
        <f>IFERROR(VLOOKUP(B170,PN!$A:$C,3,FALSE),"")</f>
        <v>Active</v>
      </c>
      <c r="J170" s="3">
        <f>IFERROR(E170*VLOOKUP(B170,PLInter!$A:$D,3,FALSE),"")</f>
        <v>2880</v>
      </c>
      <c r="K170" s="66"/>
      <c r="L170" s="66"/>
      <c r="M170" s="66"/>
      <c r="N170" s="66"/>
      <c r="O170" s="66"/>
      <c r="P170" s="66"/>
      <c r="Q170" s="66"/>
      <c r="R170" s="66"/>
      <c r="S170" s="66"/>
      <c r="T170" s="66"/>
    </row>
    <row r="171" spans="1:20" ht="18" customHeight="1">
      <c r="B171" t="str">
        <f>"10-1113-4000"</f>
        <v>10-1113-4000</v>
      </c>
      <c r="C171" t="str">
        <f>"Metric Advanced End Mill Package 5121"</f>
        <v>Metric Advanced End Mill Package 5121</v>
      </c>
      <c r="D171" s="4"/>
      <c r="E171" s="4">
        <v>1</v>
      </c>
      <c r="F171" s="4"/>
      <c r="G171" s="29" t="str">
        <f>IFERROR(HYPERLINK("#"&amp;ADDRESS(MATCH(B171&amp;"ES",'LM7 Non-ENG'!$A$1:$A$5000,0),1,,,"LM7 Non-ENG"),IF(IFERROR(VLOOKUP(B171&amp;"ES",'LM7 Non-ENG'!$A$1:$A$4999,1,FALSE),"ERROR")=B171&amp;"ES","Y","")),"")</f>
        <v/>
      </c>
      <c r="H171" s="29" t="str">
        <f>IFERROR(HYPERLINK("#"&amp;ADDRESS(MATCH(B171&amp;"PT",'LM7 Non-ENG'!$A$1:$A$5000,0),1,,,"LM7 Non-ENG"),IF(IFERROR(VLOOKUP(B171&amp;"PT",'LM7 Non-ENG'!$A$1:$A$5000,1,FALSE),"ERROR")=B171&amp;"PT","Y","")),"")</f>
        <v/>
      </c>
      <c r="I171" t="str">
        <f>IFERROR(VLOOKUP(B171,PN!$A:$C,3,FALSE),"")</f>
        <v>Active</v>
      </c>
      <c r="J171" s="3">
        <f>IFERROR(E171*VLOOKUP(B171,PLInter!$A:$D,3,FALSE),"")</f>
        <v>200</v>
      </c>
      <c r="K171" s="66"/>
      <c r="L171" s="66"/>
      <c r="M171" s="66"/>
      <c r="N171" s="66"/>
      <c r="O171" s="66"/>
      <c r="P171" s="66"/>
      <c r="Q171" s="66"/>
      <c r="R171" s="66"/>
      <c r="S171" s="66"/>
      <c r="T171" s="66"/>
    </row>
    <row r="172" spans="1:20" ht="18" customHeight="1">
      <c r="B172" t="str">
        <f>"10-1112-2000"</f>
        <v>10-1112-2000</v>
      </c>
      <c r="C172" t="str">
        <f>"ER16 Collet set-8 pieces(3,4,5,6,7,8,9 and 10mm)"</f>
        <v>ER16 Collet set-8 pieces(3,4,5,6,7,8,9 and 10mm)</v>
      </c>
      <c r="D172" s="4"/>
      <c r="E172" s="4">
        <v>1</v>
      </c>
      <c r="F172" s="4"/>
      <c r="G172" s="29" t="str">
        <f>IFERROR(HYPERLINK("#"&amp;ADDRESS(MATCH(B172&amp;"ES",'LM7 Non-ENG'!$A$1:$A$5000,0),1,,,"LM7 Non-ENG"),IF(IFERROR(VLOOKUP(B172&amp;"ES",'LM7 Non-ENG'!$A$1:$A$4999,1,FALSE),"ERROR")=B172&amp;"ES","Y","")),"")</f>
        <v/>
      </c>
      <c r="H172" s="29" t="str">
        <f>IFERROR(HYPERLINK("#"&amp;ADDRESS(MATCH(B172&amp;"PT",'LM7 Non-ENG'!$A$1:$A$5000,0),1,,,"LM7 Non-ENG"),IF(IFERROR(VLOOKUP(B172&amp;"PT",'LM7 Non-ENG'!$A$1:$A$5000,1,FALSE),"ERROR")=B172&amp;"PT","Y","")),"")</f>
        <v/>
      </c>
      <c r="I172" t="str">
        <f>IFERROR(VLOOKUP(B172,PN!$A:$C,3,FALSE),"")</f>
        <v>Active</v>
      </c>
      <c r="J172" s="3">
        <f>IFERROR(E172*VLOOKUP(B172,PLInter!$A:$D,3,FALSE),"")</f>
        <v>226</v>
      </c>
      <c r="K172" s="66"/>
      <c r="L172" s="66"/>
      <c r="M172" s="66"/>
      <c r="N172" s="66"/>
      <c r="O172" s="66"/>
      <c r="P172" s="66"/>
      <c r="Q172" s="66"/>
      <c r="R172" s="66"/>
      <c r="S172" s="66"/>
      <c r="T172" s="66"/>
    </row>
    <row r="173" spans="1:20" ht="18" customHeight="1">
      <c r="B173" t="str">
        <f>"10-1115-0000"</f>
        <v>10-1115-0000</v>
      </c>
      <c r="C173" t="str">
        <f>"ER16 Collet set-8 pieces(2)3,(2)6,(2)8,(2)10mm"</f>
        <v>ER16 Collet set-8 pieces(2)3,(2)6,(2)8,(2)10mm</v>
      </c>
      <c r="D173" s="4"/>
      <c r="E173" s="4">
        <v>1</v>
      </c>
      <c r="F173" s="4"/>
      <c r="G173" s="29" t="str">
        <f>IFERROR(HYPERLINK("#"&amp;ADDRESS(MATCH(B173&amp;"ES",'LM7 Non-ENG'!$A$1:$A$5000,0),1,,,"LM7 Non-ENG"),IF(IFERROR(VLOOKUP(B173&amp;"ES",'LM7 Non-ENG'!$A$1:$A$4999,1,FALSE),"ERROR")=B173&amp;"ES","Y","")),"")</f>
        <v/>
      </c>
      <c r="H173" s="29" t="str">
        <f>IFERROR(HYPERLINK("#"&amp;ADDRESS(MATCH(B173&amp;"PT",'LM7 Non-ENG'!$A$1:$A$5000,0),1,,,"LM7 Non-ENG"),IF(IFERROR(VLOOKUP(B173&amp;"PT",'LM7 Non-ENG'!$A$1:$A$5000,1,FALSE),"ERROR")=B173&amp;"PT","Y","")),"")</f>
        <v/>
      </c>
      <c r="I173" t="str">
        <f>IFERROR(VLOOKUP(B173,PN!$A:$C,3,FALSE),"")</f>
        <v>Active</v>
      </c>
      <c r="J173" s="3">
        <f>IFERROR(E173*VLOOKUP(B173,PLInter!$A:$D,3,FALSE),"")</f>
        <v>207</v>
      </c>
      <c r="K173" s="66"/>
      <c r="L173" s="66"/>
      <c r="M173" s="66"/>
      <c r="N173" s="66"/>
      <c r="O173" s="66"/>
      <c r="P173" s="66"/>
      <c r="Q173" s="66"/>
      <c r="R173" s="66"/>
      <c r="S173" s="66"/>
      <c r="T173" s="66"/>
    </row>
    <row r="174" spans="1:20" ht="18" customHeight="1">
      <c r="B174" t="str">
        <f>"10-1111-1000"</f>
        <v>10-1111-1000</v>
      </c>
      <c r="C174" t="str">
        <f>"Jog Pendant Handwheel"</f>
        <v>Jog Pendant Handwheel</v>
      </c>
      <c r="D174" s="4"/>
      <c r="E174" s="4">
        <v>1</v>
      </c>
      <c r="F174" s="4"/>
      <c r="G174" s="29" t="str">
        <f>IFERROR(HYPERLINK("#"&amp;ADDRESS(MATCH(B174&amp;"ES",'LM7 Non-ENG'!$A$1:$A$5000,0),1,,,"LM7 Non-ENG"),IF(IFERROR(VLOOKUP(B174&amp;"ES",'LM7 Non-ENG'!$A$1:$A$4999,1,FALSE),"ERROR")=B174&amp;"ES","Y","")),"")</f>
        <v/>
      </c>
      <c r="H174" s="29" t="str">
        <f>IFERROR(HYPERLINK("#"&amp;ADDRESS(MATCH(B174&amp;"PT",'LM7 Non-ENG'!$A$1:$A$5000,0),1,,,"LM7 Non-ENG"),IF(IFERROR(VLOOKUP(B174&amp;"PT",'LM7 Non-ENG'!$A$1:$A$5000,1,FALSE),"ERROR")=B174&amp;"PT","Y","")),"")</f>
        <v/>
      </c>
      <c r="I174" t="str">
        <f>IFERROR(VLOOKUP(B174,PN!$A:$C,3,FALSE),"")</f>
        <v>Active</v>
      </c>
      <c r="J174" s="3">
        <f>IFERROR(E174*VLOOKUP(B174,PLInter!$A:$D,3,FALSE),"")</f>
        <v>795</v>
      </c>
      <c r="K174" s="66"/>
      <c r="L174" s="66"/>
      <c r="M174" s="66"/>
      <c r="N174" s="66"/>
      <c r="O174" s="66"/>
      <c r="P174" s="66"/>
      <c r="Q174" s="66"/>
      <c r="R174" s="66"/>
      <c r="S174" s="66"/>
      <c r="T174" s="66"/>
    </row>
    <row r="175" spans="1:20" ht="18" customHeight="1">
      <c r="B175" t="str">
        <f>"10-1108-1220"</f>
        <v>10-1108-1220</v>
      </c>
      <c r="C175" t="str">
        <f>"Coolant system 27L - 220V"</f>
        <v>Coolant system 27L - 220V</v>
      </c>
      <c r="D175" s="4"/>
      <c r="E175" s="4">
        <v>1</v>
      </c>
      <c r="F175" s="4"/>
      <c r="G175" s="29" t="str">
        <f>IFERROR(HYPERLINK("#"&amp;ADDRESS(MATCH(B175&amp;"ES",'LM7 Non-ENG'!$A$1:$A$5000,0),1,,,"LM7 Non-ENG"),IF(IFERROR(VLOOKUP(B175&amp;"ES",'LM7 Non-ENG'!$A$1:$A$4999,1,FALSE),"ERROR")=B175&amp;"ES","Y","")),"")</f>
        <v/>
      </c>
      <c r="H175" s="29" t="str">
        <f>IFERROR(HYPERLINK("#"&amp;ADDRESS(MATCH(B175&amp;"PT",'LM7 Non-ENG'!$A$1:$A$5000,0),1,,,"LM7 Non-ENG"),IF(IFERROR(VLOOKUP(B175&amp;"PT",'LM7 Non-ENG'!$A$1:$A$5000,1,FALSE),"ERROR")=B175&amp;"PT","Y","")),"")</f>
        <v/>
      </c>
      <c r="I175" t="str">
        <f>IFERROR(VLOOKUP(B175,PN!$A:$C,3,FALSE),"")</f>
        <v>Active</v>
      </c>
      <c r="J175" s="3">
        <f>IFERROR(E175*VLOOKUP(B175,PLInter!$A:$D,3,FALSE),"")</f>
        <v>407</v>
      </c>
      <c r="K175" s="66"/>
      <c r="L175" s="66"/>
      <c r="M175" s="66"/>
      <c r="N175" s="66"/>
      <c r="O175" s="66"/>
      <c r="P175" s="66"/>
      <c r="Q175" s="66"/>
      <c r="R175" s="66"/>
      <c r="S175" s="66"/>
      <c r="T175" s="66"/>
    </row>
    <row r="176" spans="1:20" ht="18" customHeight="1">
      <c r="B176" s="2" t="str">
        <f>"10-1108-1110"</f>
        <v>10-1108-1110</v>
      </c>
      <c r="C176" s="2" t="str">
        <f>"Coolant system 27L - 110V"</f>
        <v>Coolant system 27L - 110V</v>
      </c>
      <c r="D176" s="5"/>
      <c r="E176" s="5">
        <v>1</v>
      </c>
      <c r="F176" s="5" t="str">
        <f>"Y"</f>
        <v>Y</v>
      </c>
      <c r="G176" s="29" t="str">
        <f>IFERROR(HYPERLINK("#"&amp;ADDRESS(MATCH(B176&amp;"ES",'LM7 Non-ENG'!$A$1:$A$5000,0),1,,,"LM7 Non-ENG"),IF(IFERROR(VLOOKUP(B176&amp;"ES",'LM7 Non-ENG'!$A$1:$A$4999,1,FALSE),"ERROR")=B176&amp;"ES","Y","")),"")</f>
        <v/>
      </c>
      <c r="H176" s="29" t="str">
        <f>IFERROR(HYPERLINK("#"&amp;ADDRESS(MATCH(B176&amp;"PT",'LM7 Non-ENG'!$A$1:$A$5000,0),1,,,"LM7 Non-ENG"),IF(IFERROR(VLOOKUP(B176&amp;"PT",'LM7 Non-ENG'!$A$1:$A$5000,1,FALSE),"ERROR")=B176&amp;"PT","Y","")),"")</f>
        <v/>
      </c>
      <c r="I176" t="str">
        <f>IFERROR(VLOOKUP(B176,PN!$A:$C,3,FALSE),"")</f>
        <v>Active</v>
      </c>
      <c r="J176" s="3">
        <f>IFERROR(E176*VLOOKUP(B176,PLInter!$A:$D,3,FALSE),"")</f>
        <v>407</v>
      </c>
      <c r="K176" s="66"/>
      <c r="L176" s="66"/>
      <c r="M176" s="66"/>
      <c r="N176" s="66"/>
      <c r="O176" s="66"/>
      <c r="P176" s="66"/>
      <c r="Q176" s="66"/>
      <c r="R176" s="66"/>
      <c r="S176" s="66"/>
      <c r="T176" s="66"/>
    </row>
    <row r="177" spans="1:20" ht="18" customHeight="1">
      <c r="B177" t="str">
        <f>"10-1108-8000"</f>
        <v>10-1108-8000</v>
      </c>
      <c r="C177" t="str">
        <f>"100mm rotary worktable (4th axis) with tailstock"</f>
        <v>100mm rotary worktable (4th axis) with tailstock</v>
      </c>
      <c r="D177" s="4"/>
      <c r="E177" s="4">
        <v>1</v>
      </c>
      <c r="F177" s="4"/>
      <c r="G177" s="29" t="str">
        <f>IFERROR(HYPERLINK("#"&amp;ADDRESS(MATCH(B177&amp;"ES",'LM7 Non-ENG'!$A$1:$A$5000,0),1,,,"LM7 Non-ENG"),IF(IFERROR(VLOOKUP(B177&amp;"ES",'LM7 Non-ENG'!$A$1:$A$4999,1,FALSE),"ERROR")=B177&amp;"ES","Y","")),"")</f>
        <v/>
      </c>
      <c r="H177" s="29" t="str">
        <f>IFERROR(HYPERLINK("#"&amp;ADDRESS(MATCH(B177&amp;"PT",'LM7 Non-ENG'!$A$1:$A$5000,0),1,,,"LM7 Non-ENG"),IF(IFERROR(VLOOKUP(B177&amp;"PT",'LM7 Non-ENG'!$A$1:$A$5000,1,FALSE),"ERROR")=B177&amp;"PT","Y","")),"")</f>
        <v/>
      </c>
      <c r="I177" t="str">
        <f>IFERROR(VLOOKUP(B177,PN!$A:$C,3,FALSE),"")</f>
        <v>Active</v>
      </c>
      <c r="J177" s="3">
        <f>IFERROR(E177*VLOOKUP(B177,PLInter!$A:$D,3,FALSE),"")</f>
        <v>2126</v>
      </c>
      <c r="K177" s="66"/>
      <c r="L177" s="66"/>
      <c r="M177" s="66"/>
      <c r="N177" s="66"/>
      <c r="O177" s="66"/>
      <c r="P177" s="66"/>
      <c r="Q177" s="66"/>
      <c r="R177" s="66"/>
      <c r="S177" s="66"/>
      <c r="T177" s="66"/>
    </row>
    <row r="178" spans="1:20" ht="18" customHeight="1">
      <c r="B178" t="str">
        <f>"10-1109-3000"</f>
        <v>10-1109-3000</v>
      </c>
      <c r="C178" t="str">
        <f>"80mm 3-jaw chuck"</f>
        <v>80mm 3-jaw chuck</v>
      </c>
      <c r="D178" s="4"/>
      <c r="E178" s="4">
        <v>1</v>
      </c>
      <c r="F178" s="4"/>
      <c r="G178" s="29" t="str">
        <f>IFERROR(HYPERLINK("#"&amp;ADDRESS(MATCH(B178&amp;"ES",'LM7 Non-ENG'!$A$1:$A$5000,0),1,,,"LM7 Non-ENG"),IF(IFERROR(VLOOKUP(B178&amp;"ES",'LM7 Non-ENG'!$A$1:$A$4999,1,FALSE),"ERROR")=B178&amp;"ES","Y","")),"")</f>
        <v/>
      </c>
      <c r="H178" s="29" t="str">
        <f>IFERROR(HYPERLINK("#"&amp;ADDRESS(MATCH(B178&amp;"PT",'LM7 Non-ENG'!$A$1:$A$5000,0),1,,,"LM7 Non-ENG"),IF(IFERROR(VLOOKUP(B178&amp;"PT",'LM7 Non-ENG'!$A$1:$A$5000,1,FALSE),"ERROR")=B178&amp;"PT","Y","")),"")</f>
        <v/>
      </c>
      <c r="I178" t="str">
        <f>IFERROR(VLOOKUP(B178,PN!$A:$C,3,FALSE),"")</f>
        <v>Active</v>
      </c>
      <c r="J178" s="3">
        <f>IFERROR(E178*VLOOKUP(B178,PLInter!$A:$D,3,FALSE),"")</f>
        <v>186</v>
      </c>
      <c r="K178" s="66"/>
      <c r="L178" s="66"/>
      <c r="M178" s="66"/>
      <c r="N178" s="66"/>
      <c r="O178" s="66"/>
      <c r="P178" s="66"/>
      <c r="Q178" s="66"/>
      <c r="R178" s="66"/>
      <c r="S178" s="66"/>
      <c r="T178" s="66"/>
    </row>
    <row r="179" spans="1:20" ht="18" customHeight="1">
      <c r="B179" t="str">
        <f>"10-1113-6000"</f>
        <v>10-1113-6000</v>
      </c>
      <c r="C179" t="str">
        <f>"Metric Engraving Package 5711"</f>
        <v>Metric Engraving Package 5711</v>
      </c>
      <c r="D179" s="4"/>
      <c r="E179" s="4">
        <v>1</v>
      </c>
      <c r="F179" s="4"/>
      <c r="G179" s="29" t="str">
        <f>IFERROR(HYPERLINK("#"&amp;ADDRESS(MATCH(B179&amp;"ES",'LM7 Non-ENG'!$A$1:$A$5000,0),1,,,"LM7 Non-ENG"),IF(IFERROR(VLOOKUP(B179&amp;"ES",'LM7 Non-ENG'!$A$1:$A$4999,1,FALSE),"ERROR")=B179&amp;"ES","Y","")),"")</f>
        <v/>
      </c>
      <c r="H179" s="29" t="str">
        <f>IFERROR(HYPERLINK("#"&amp;ADDRESS(MATCH(B179&amp;"PT",'LM7 Non-ENG'!$A$1:$A$5000,0),1,,,"LM7 Non-ENG"),IF(IFERROR(VLOOKUP(B179&amp;"PT",'LM7 Non-ENG'!$A$1:$A$5000,1,FALSE),"ERROR")=B179&amp;"PT","Y","")),"")</f>
        <v/>
      </c>
      <c r="I179" t="str">
        <f>IFERROR(VLOOKUP(B179,PN!$A:$C,3,FALSE),"")</f>
        <v>Active</v>
      </c>
      <c r="J179" s="3">
        <f>IFERROR(E179*VLOOKUP(B179,PLInter!$A:$D,3,FALSE),"")</f>
        <v>157</v>
      </c>
      <c r="K179" s="66"/>
      <c r="L179" s="66"/>
      <c r="M179" s="66"/>
      <c r="N179" s="66"/>
      <c r="O179" s="66"/>
      <c r="P179" s="66"/>
      <c r="Q179" s="66"/>
      <c r="R179" s="66"/>
      <c r="S179" s="66"/>
      <c r="T179" s="66"/>
    </row>
    <row r="180" spans="1:20" ht="18" customHeight="1">
      <c r="B180" t="str">
        <f>"10-1108-6000"</f>
        <v>10-1108-6000</v>
      </c>
      <c r="C180" t="str">
        <f>"6mm engraving tool set"</f>
        <v>6mm engraving tool set</v>
      </c>
      <c r="D180" s="4"/>
      <c r="E180" s="4">
        <v>1</v>
      </c>
      <c r="F180" s="4"/>
      <c r="G180" s="29" t="str">
        <f>IFERROR(HYPERLINK("#"&amp;ADDRESS(MATCH(B180&amp;"ES",'LM7 Non-ENG'!$A$1:$A$5000,0),1,,,"LM7 Non-ENG"),IF(IFERROR(VLOOKUP(B180&amp;"ES",'LM7 Non-ENG'!$A$1:$A$4999,1,FALSE),"ERROR")=B180&amp;"ES","Y","")),"")</f>
        <v/>
      </c>
      <c r="H180" s="29" t="str">
        <f>IFERROR(HYPERLINK("#"&amp;ADDRESS(MATCH(B180&amp;"PT",'LM7 Non-ENG'!$A$1:$A$5000,0),1,,,"LM7 Non-ENG"),IF(IFERROR(VLOOKUP(B180&amp;"PT",'LM7 Non-ENG'!$A$1:$A$5000,1,FALSE),"ERROR")=B180&amp;"PT","Y","")),"")</f>
        <v/>
      </c>
      <c r="I180" t="str">
        <f>IFERROR(VLOOKUP(B180,PN!$A:$C,3,FALSE),"")</f>
        <v>Active</v>
      </c>
      <c r="J180" s="3">
        <f>IFERROR(E180*VLOOKUP(B180,PLInter!$A:$D,3,FALSE),"")</f>
        <v>200</v>
      </c>
      <c r="K180" s="66"/>
      <c r="L180" s="66"/>
      <c r="M180" s="66"/>
      <c r="N180" s="66"/>
      <c r="O180" s="66"/>
      <c r="P180" s="66"/>
      <c r="Q180" s="66"/>
      <c r="R180" s="66"/>
      <c r="S180" s="66"/>
      <c r="T180" s="66"/>
    </row>
    <row r="181" spans="1:20" ht="18" customHeight="1">
      <c r="B181" t="str">
        <f>"10-9120-0000"</f>
        <v>10-9120-0000</v>
      </c>
      <c r="C181" t="str">
        <f>"Stock Package, WaxStock Pa3” x 2” x 1.5”– 50 Pcs"</f>
        <v>Stock Package, WaxStock Pa3” x 2” x 1.5”– 50 Pcs</v>
      </c>
      <c r="D181" s="4"/>
      <c r="E181" s="4">
        <v>1</v>
      </c>
      <c r="F181" s="4"/>
      <c r="G181" s="29" t="str">
        <f>IFERROR(HYPERLINK("#"&amp;ADDRESS(MATCH(B181&amp;"ES",'LM7 Non-ENG'!$A$1:$A$5000,0),1,,,"LM7 Non-ENG"),IF(IFERROR(VLOOKUP(B181&amp;"ES",'LM7 Non-ENG'!$A$1:$A$4999,1,FALSE),"ERROR")=B181&amp;"ES","Y","")),"")</f>
        <v/>
      </c>
      <c r="H181" s="29" t="str">
        <f>IFERROR(HYPERLINK("#"&amp;ADDRESS(MATCH(B181&amp;"PT",'LM7 Non-ENG'!$A$1:$A$5000,0),1,,,"LM7 Non-ENG"),IF(IFERROR(VLOOKUP(B181&amp;"PT",'LM7 Non-ENG'!$A$1:$A$5000,1,FALSE),"ERROR")=B181&amp;"PT","Y","")),"")</f>
        <v/>
      </c>
      <c r="I181" t="str">
        <f>IFERROR(VLOOKUP(B181,PN!$A:$C,3,FALSE),"")</f>
        <v>Active</v>
      </c>
      <c r="J181" s="3">
        <f>IFERROR(E181*VLOOKUP(B181,PLInter!$A:$D,3,FALSE),"")</f>
        <v>657</v>
      </c>
      <c r="K181" s="66"/>
      <c r="L181" s="66"/>
      <c r="M181" s="66"/>
      <c r="N181" s="66"/>
      <c r="O181" s="66"/>
      <c r="P181" s="66"/>
      <c r="Q181" s="66"/>
      <c r="R181" s="66"/>
      <c r="S181" s="66"/>
      <c r="T181" s="66"/>
    </row>
    <row r="182" spans="1:20" ht="18" customHeight="1">
      <c r="B182" t="str">
        <f>"77-3142-0002"</f>
        <v>77-3142-0002</v>
      </c>
      <c r="C182" t="str">
        <f>"LM7 Content, Vir, CNC Milling w/ProMill 8000 (M)"</f>
        <v>LM7 Content, Vir, CNC Milling w/ProMill 8000 (M)</v>
      </c>
      <c r="D182" s="4"/>
      <c r="E182" s="4">
        <v>1</v>
      </c>
      <c r="F182" s="4"/>
      <c r="G182" s="29" t="str">
        <f>IFERROR(HYPERLINK("#"&amp;ADDRESS(MATCH(B182&amp;"ES",'LM7 Non-ENG'!$A$1:$A$5000,0),1,,,"LM7 Non-ENG"),IF(IFERROR(VLOOKUP(B182&amp;"ES",'LM7 Non-ENG'!$A$1:$A$4999,1,FALSE),"ERROR")=B182&amp;"ES","Y","")),"")</f>
        <v/>
      </c>
      <c r="H182" s="29" t="str">
        <f>IFERROR(HYPERLINK("#"&amp;ADDRESS(MATCH(B182&amp;"PT",'LM7 Non-ENG'!$A$1:$A$5000,0),1,,,"LM7 Non-ENG"),IF(IFERROR(VLOOKUP(B182&amp;"PT",'LM7 Non-ENG'!$A$1:$A$5000,1,FALSE),"ERROR")=B182&amp;"PT","Y","")),"")</f>
        <v/>
      </c>
      <c r="I182" t="str">
        <f>IFERROR(VLOOKUP(B182,PN!$A:$C,3,FALSE),"")</f>
        <v>Active</v>
      </c>
      <c r="J182" s="3">
        <f>IFERROR(E182*VLOOKUP(B182,PLInter!$A:$D,3,FALSE),"")</f>
        <v>2995</v>
      </c>
      <c r="K182" s="66"/>
      <c r="L182" s="66"/>
      <c r="M182" s="66"/>
      <c r="N182" s="66"/>
      <c r="O182" s="66"/>
      <c r="P182" s="66"/>
      <c r="Q182" s="66"/>
      <c r="R182" s="66"/>
      <c r="S182" s="66"/>
      <c r="T182" s="66"/>
    </row>
    <row r="183" spans="1:20" ht="18" customHeight="1">
      <c r="B183" s="2" t="str">
        <f>"17-3142-0002"</f>
        <v>17-3142-0002</v>
      </c>
      <c r="C183" s="2" t="str">
        <f>"LM5 Content, Vir, CNC Milling w/ProMill 8000 (M)"</f>
        <v>LM5 Content, Vir, CNC Milling w/ProMill 8000 (M)</v>
      </c>
      <c r="D183" s="5"/>
      <c r="E183" s="5">
        <v>1</v>
      </c>
      <c r="F183" s="5" t="str">
        <f>"Y"</f>
        <v>Y</v>
      </c>
      <c r="G183" s="29" t="str">
        <f>IFERROR(HYPERLINK("#"&amp;ADDRESS(MATCH(B183&amp;"ES",'LM7 Non-ENG'!$A$1:$A$5000,0),1,,,"LM7 Non-ENG"),IF(IFERROR(VLOOKUP(B183&amp;"ES",'LM7 Non-ENG'!$A$1:$A$4999,1,FALSE),"ERROR")=B183&amp;"ES","Y","")),"")</f>
        <v/>
      </c>
      <c r="H183" s="29" t="str">
        <f>IFERROR(HYPERLINK("#"&amp;ADDRESS(MATCH(B183&amp;"PT",'LM7 Non-ENG'!$A$1:$A$5000,0),1,,,"LM7 Non-ENG"),IF(IFERROR(VLOOKUP(B183&amp;"PT",'LM7 Non-ENG'!$A$1:$A$5000,1,FALSE),"ERROR")=B183&amp;"PT","Y","")),"")</f>
        <v/>
      </c>
      <c r="I183" t="str">
        <f>IFERROR(VLOOKUP(B183,PN!$A:$C,3,FALSE),"")</f>
        <v>Active</v>
      </c>
      <c r="J183" s="3">
        <f>IFERROR(E183*VLOOKUP(B183,PLInter!$A:$D,3,FALSE),"")</f>
        <v>2995</v>
      </c>
      <c r="K183" s="66"/>
      <c r="L183" s="66"/>
      <c r="M183" s="66"/>
      <c r="N183" s="66"/>
      <c r="O183" s="66"/>
      <c r="P183" s="66"/>
      <c r="Q183" s="66"/>
      <c r="R183" s="66"/>
      <c r="S183" s="66"/>
      <c r="T183" s="66"/>
    </row>
    <row r="184" spans="1:20" ht="18" customHeight="1">
      <c r="B184" t="str">
        <f>"10-1105-5000"</f>
        <v>10-1105-5000</v>
      </c>
      <c r="C184" t="str">
        <f>"Computer and monitor stand (attached to machine)"</f>
        <v>Computer and monitor stand (attached to machine)</v>
      </c>
      <c r="D184" s="4"/>
      <c r="E184" s="4">
        <v>1</v>
      </c>
      <c r="F184" s="4"/>
      <c r="G184" s="29" t="str">
        <f>IFERROR(HYPERLINK("#"&amp;ADDRESS(MATCH(B184&amp;"ES",'LM7 Non-ENG'!$A$1:$A$5000,0),1,,,"LM7 Non-ENG"),IF(IFERROR(VLOOKUP(B184&amp;"ES",'LM7 Non-ENG'!$A$1:$A$4999,1,FALSE),"ERROR")=B184&amp;"ES","Y","")),"")</f>
        <v/>
      </c>
      <c r="H184" s="29" t="str">
        <f>IFERROR(HYPERLINK("#"&amp;ADDRESS(MATCH(B184&amp;"PT",'LM7 Non-ENG'!$A$1:$A$5000,0),1,,,"LM7 Non-ENG"),IF(IFERROR(VLOOKUP(B184&amp;"PT",'LM7 Non-ENG'!$A$1:$A$5000,1,FALSE),"ERROR")=B184&amp;"PT","Y","")),"")</f>
        <v/>
      </c>
      <c r="I184" t="str">
        <f>IFERROR(VLOOKUP(B184,PN!$A:$C,3,FALSE),"")</f>
        <v>Active</v>
      </c>
      <c r="J184" s="3">
        <f>IFERROR(E184*VLOOKUP(B184,PLInter!$A:$D,3,FALSE),"")</f>
        <v>313</v>
      </c>
      <c r="K184" s="66"/>
      <c r="L184" s="66"/>
      <c r="M184" s="66"/>
      <c r="N184" s="66"/>
      <c r="O184" s="66"/>
      <c r="P184" s="66"/>
      <c r="Q184" s="66"/>
      <c r="R184" s="66"/>
      <c r="S184" s="66"/>
      <c r="T184" s="66"/>
    </row>
    <row r="185" spans="1:20" ht="18" customHeight="1">
      <c r="G185" s="29"/>
      <c r="H185" s="29"/>
    </row>
    <row r="186" spans="1:20" s="7" customFormat="1" ht="18" customHeight="1">
      <c r="A186" s="13" t="s">
        <v>437</v>
      </c>
      <c r="B186" s="13"/>
      <c r="C186" s="13" t="s">
        <v>439</v>
      </c>
      <c r="D186" s="14"/>
      <c r="E186" s="14"/>
      <c r="F186" s="14"/>
      <c r="G186" s="14"/>
      <c r="H186" s="14"/>
      <c r="I186" s="14"/>
      <c r="J186" s="14">
        <f>SUMIFS(J187:J196,D187:D196,"&lt;&gt;Y",F187:F196,"&lt;&gt;Y",I187:I196,"&lt;&gt;Inactive",I187:I196,"&lt;&gt;ECO+NFS")</f>
        <v>18517</v>
      </c>
      <c r="K186" s="14"/>
      <c r="L186" s="14"/>
      <c r="M186" s="14"/>
      <c r="N186" s="14"/>
      <c r="O186" s="14"/>
      <c r="P186" s="14"/>
      <c r="Q186" s="14"/>
      <c r="R186" s="14"/>
      <c r="S186" s="14"/>
      <c r="T186" s="14"/>
    </row>
    <row r="187" spans="1:20" ht="18" customHeight="1">
      <c r="A187" s="17" t="str">
        <f>HYPERLINK("#"&amp;ADDRESS(MATCH(A186,Machining!$A$1:$A$4990,0),1,,,"Machining"),"Back to Price List")</f>
        <v>Back to Price List</v>
      </c>
      <c r="B187" t="str">
        <f>"00-5504-0110"</f>
        <v>00-5504-0110</v>
      </c>
      <c r="C187" t="str">
        <f>"CNC BenchTurn 7000 110V"</f>
        <v>CNC BenchTurn 7000 110V</v>
      </c>
      <c r="D187" s="4"/>
      <c r="E187" s="4">
        <v>1</v>
      </c>
      <c r="F187" s="4"/>
      <c r="G187" s="29" t="str">
        <f>IFERROR(HYPERLINK("#"&amp;ADDRESS(MATCH(B187&amp;"ES",'LM7 Non-ENG'!$A$1:$A$5000,0),1,,,"LM7 Non-ENG"),IF(IFERROR(VLOOKUP(B187&amp;"ES",'LM7 Non-ENG'!$A$1:$A$4999,1,FALSE),"ERROR")=B187&amp;"ES","Y","")),"")</f>
        <v/>
      </c>
      <c r="H187" s="29" t="str">
        <f>IFERROR(HYPERLINK("#"&amp;ADDRESS(MATCH(B187&amp;"PT",'LM7 Non-ENG'!$A$1:$A$5000,0),1,,,"LM7 Non-ENG"),IF(IFERROR(VLOOKUP(B187&amp;"PT",'LM7 Non-ENG'!$A$1:$A$5000,1,FALSE),"ERROR")=B187&amp;"PT","Y","")),"")</f>
        <v/>
      </c>
      <c r="I187" t="str">
        <f>IFERROR(VLOOKUP(B187,PN!$A:$C,3,FALSE),"")</f>
        <v>Active</v>
      </c>
      <c r="J187" s="3">
        <f>IFERROR(E187*VLOOKUP(B187,PLInter!$A:$D,3,FALSE),"")</f>
        <v>14934</v>
      </c>
      <c r="K187" s="68" t="s">
        <v>438</v>
      </c>
      <c r="L187" s="66"/>
      <c r="M187" s="66"/>
      <c r="N187" s="66"/>
      <c r="O187" s="66"/>
      <c r="P187" s="66"/>
      <c r="Q187" s="66"/>
      <c r="R187" s="66"/>
      <c r="S187" s="66"/>
      <c r="T187" s="66"/>
    </row>
    <row r="188" spans="1:20" ht="18" customHeight="1">
      <c r="B188" s="2" t="str">
        <f>"00-5504-0220"</f>
        <v>00-5504-0220</v>
      </c>
      <c r="C188" s="2" t="str">
        <f>"CNC BenchTurn 7000 220V"</f>
        <v>CNC BenchTurn 7000 220V</v>
      </c>
      <c r="D188" s="5"/>
      <c r="E188" s="5">
        <v>1</v>
      </c>
      <c r="F188" s="5" t="str">
        <f>"Y"</f>
        <v>Y</v>
      </c>
      <c r="G188" s="29" t="str">
        <f>IFERROR(HYPERLINK("#"&amp;ADDRESS(MATCH(B188&amp;"ES",'LM7 Non-ENG'!$A$1:$A$5000,0),1,,,"LM7 Non-ENG"),IF(IFERROR(VLOOKUP(B188&amp;"ES",'LM7 Non-ENG'!$A$1:$A$4999,1,FALSE),"ERROR")=B188&amp;"ES","Y","")),"")</f>
        <v/>
      </c>
      <c r="H188" s="29" t="str">
        <f>IFERROR(HYPERLINK("#"&amp;ADDRESS(MATCH(B188&amp;"PT",'LM7 Non-ENG'!$A$1:$A$5000,0),1,,,"LM7 Non-ENG"),IF(IFERROR(VLOOKUP(B188&amp;"PT",'LM7 Non-ENG'!$A$1:$A$5000,1,FALSE),"ERROR")=B188&amp;"PT","Y","")),"")</f>
        <v/>
      </c>
      <c r="I188" t="str">
        <f>IFERROR(VLOOKUP(B188,PN!$A:$C,3,FALSE),"")</f>
        <v>Active</v>
      </c>
      <c r="J188" s="3">
        <f>IFERROR(E188*VLOOKUP(B188,PLInter!$A:$D,3,FALSE),"")</f>
        <v>14934</v>
      </c>
      <c r="K188" s="66"/>
      <c r="L188" s="66"/>
      <c r="M188" s="66"/>
      <c r="N188" s="66"/>
      <c r="O188" s="66"/>
      <c r="P188" s="66"/>
      <c r="Q188" s="66"/>
      <c r="R188" s="66"/>
      <c r="S188" s="66"/>
      <c r="T188" s="66"/>
    </row>
    <row r="189" spans="1:20" ht="18" customHeight="1">
      <c r="B189" t="str">
        <f>"10-1110-1000"</f>
        <v>10-1110-1000</v>
      </c>
      <c r="C189" t="str">
        <f>"10x10mm TiN coated cutter set (replaceable tip)"</f>
        <v>10x10mm TiN coated cutter set (replaceable tip)</v>
      </c>
      <c r="D189" s="4"/>
      <c r="E189" s="4">
        <v>1</v>
      </c>
      <c r="F189" s="4"/>
      <c r="G189" s="29" t="str">
        <f>IFERROR(HYPERLINK("#"&amp;ADDRESS(MATCH(B189&amp;"ES",'LM7 Non-ENG'!$A$1:$A$5000,0),1,,,"LM7 Non-ENG"),IF(IFERROR(VLOOKUP(B189&amp;"ES",'LM7 Non-ENG'!$A$1:$A$4999,1,FALSE),"ERROR")=B189&amp;"ES","Y","")),"")</f>
        <v/>
      </c>
      <c r="H189" s="29" t="str">
        <f>IFERROR(HYPERLINK("#"&amp;ADDRESS(MATCH(B189&amp;"PT",'LM7 Non-ENG'!$A$1:$A$5000,0),1,,,"LM7 Non-ENG"),IF(IFERROR(VLOOKUP(B189&amp;"PT",'LM7 Non-ENG'!$A$1:$A$5000,1,FALSE),"ERROR")=B189&amp;"PT","Y","")),"")</f>
        <v/>
      </c>
      <c r="I189" t="str">
        <f>IFERROR(VLOOKUP(B189,PN!$A:$C,3,FALSE),"")</f>
        <v>Active</v>
      </c>
      <c r="J189" s="3">
        <f>IFERROR(E189*VLOOKUP(B189,PLInter!$A:$D,3,FALSE),"")</f>
        <v>227</v>
      </c>
      <c r="K189" s="66"/>
      <c r="L189" s="66"/>
      <c r="M189" s="66"/>
      <c r="N189" s="66"/>
      <c r="O189" s="66"/>
      <c r="P189" s="66"/>
      <c r="Q189" s="66"/>
      <c r="R189" s="66"/>
      <c r="S189" s="66"/>
      <c r="T189" s="66"/>
    </row>
    <row r="190" spans="1:20" ht="18" customHeight="1">
      <c r="B190" t="str">
        <f>"10-1110-2000"</f>
        <v>10-1110-2000</v>
      </c>
      <c r="C190" t="str">
        <f>"TiN coated tip for 011101"</f>
        <v>TiN coated tip for 011101</v>
      </c>
      <c r="D190" s="4"/>
      <c r="E190" s="4">
        <v>1</v>
      </c>
      <c r="F190" s="4"/>
      <c r="G190" s="29" t="str">
        <f>IFERROR(HYPERLINK("#"&amp;ADDRESS(MATCH(B190&amp;"ES",'LM7 Non-ENG'!$A$1:$A$5000,0),1,,,"LM7 Non-ENG"),IF(IFERROR(VLOOKUP(B190&amp;"ES",'LM7 Non-ENG'!$A$1:$A$4999,1,FALSE),"ERROR")=B190&amp;"ES","Y","")),"")</f>
        <v/>
      </c>
      <c r="H190" s="29" t="str">
        <f>IFERROR(HYPERLINK("#"&amp;ADDRESS(MATCH(B190&amp;"PT",'LM7 Non-ENG'!$A$1:$A$5000,0),1,,,"LM7 Non-ENG"),IF(IFERROR(VLOOKUP(B190&amp;"PT",'LM7 Non-ENG'!$A$1:$A$5000,1,FALSE),"ERROR")=B190&amp;"PT","Y","")),"")</f>
        <v/>
      </c>
      <c r="I190" t="str">
        <f>IFERROR(VLOOKUP(B190,PN!$A:$C,3,FALSE),"")</f>
        <v>Active</v>
      </c>
      <c r="J190" s="3">
        <f>IFERROR(E190*VLOOKUP(B190,PLInter!$A:$D,3,FALSE),"")</f>
        <v>200</v>
      </c>
      <c r="K190" s="66"/>
      <c r="L190" s="66"/>
      <c r="M190" s="66"/>
      <c r="N190" s="66"/>
      <c r="O190" s="66"/>
      <c r="P190" s="66"/>
      <c r="Q190" s="66"/>
      <c r="R190" s="66"/>
      <c r="S190" s="66"/>
      <c r="T190" s="66"/>
    </row>
    <row r="191" spans="1:20" ht="18" customHeight="1">
      <c r="B191" t="str">
        <f>"10-1105-7000"</f>
        <v>10-1105-7000</v>
      </c>
      <c r="C191" t="str">
        <f>"Drill Chuck for Tailstock MT2 13mm"</f>
        <v>Drill Chuck for Tailstock MT2 13mm</v>
      </c>
      <c r="D191" s="4"/>
      <c r="E191" s="4">
        <v>1</v>
      </c>
      <c r="F191" s="4"/>
      <c r="G191" s="29" t="str">
        <f>IFERROR(HYPERLINK("#"&amp;ADDRESS(MATCH(B191&amp;"ES",'LM7 Non-ENG'!$A$1:$A$5000,0),1,,,"LM7 Non-ENG"),IF(IFERROR(VLOOKUP(B191&amp;"ES",'LM7 Non-ENG'!$A$1:$A$4999,1,FALSE),"ERROR")=B191&amp;"ES","Y","")),"")</f>
        <v/>
      </c>
      <c r="H191" s="29" t="str">
        <f>IFERROR(HYPERLINK("#"&amp;ADDRESS(MATCH(B191&amp;"PT",'LM7 Non-ENG'!$A$1:$A$5000,0),1,,,"LM7 Non-ENG"),IF(IFERROR(VLOOKUP(B191&amp;"PT",'LM7 Non-ENG'!$A$1:$A$5000,1,FALSE),"ERROR")=B191&amp;"PT","Y","")),"")</f>
        <v/>
      </c>
      <c r="I191" t="str">
        <f>IFERROR(VLOOKUP(B191,PN!$A:$C,3,FALSE),"")</f>
        <v>Active</v>
      </c>
      <c r="J191" s="3">
        <f>IFERROR(E191*VLOOKUP(B191,PLInter!$A:$D,3,FALSE),"")</f>
        <v>74</v>
      </c>
      <c r="K191" s="66"/>
      <c r="L191" s="66"/>
      <c r="M191" s="66"/>
      <c r="N191" s="66"/>
      <c r="O191" s="66"/>
      <c r="P191" s="66"/>
      <c r="Q191" s="66"/>
      <c r="R191" s="66"/>
      <c r="S191" s="66"/>
      <c r="T191" s="66"/>
    </row>
    <row r="192" spans="1:20" ht="18" customHeight="1">
      <c r="B192" t="str">
        <f>"10-1106-6000"</f>
        <v>10-1106-6000</v>
      </c>
      <c r="C192" t="str">
        <f>"Rolling center"</f>
        <v>Rolling center</v>
      </c>
      <c r="D192" s="4"/>
      <c r="E192" s="4">
        <v>1</v>
      </c>
      <c r="F192" s="4"/>
      <c r="G192" s="29" t="str">
        <f>IFERROR(HYPERLINK("#"&amp;ADDRESS(MATCH(B192&amp;"ES",'LM7 Non-ENG'!$A$1:$A$5000,0),1,,,"LM7 Non-ENG"),IF(IFERROR(VLOOKUP(B192&amp;"ES",'LM7 Non-ENG'!$A$1:$A$4999,1,FALSE),"ERROR")=B192&amp;"ES","Y","")),"")</f>
        <v/>
      </c>
      <c r="H192" s="29" t="str">
        <f>IFERROR(HYPERLINK("#"&amp;ADDRESS(MATCH(B192&amp;"PT",'LM7 Non-ENG'!$A$1:$A$5000,0),1,,,"LM7 Non-ENG"),IF(IFERROR(VLOOKUP(B192&amp;"PT",'LM7 Non-ENG'!$A$1:$A$5000,1,FALSE),"ERROR")=B192&amp;"PT","Y","")),"")</f>
        <v/>
      </c>
      <c r="I192" t="str">
        <f>IFERROR(VLOOKUP(B192,PN!$A:$C,3,FALSE),"")</f>
        <v>Active</v>
      </c>
      <c r="J192" s="3">
        <f>IFERROR(E192*VLOOKUP(B192,PLInter!$A:$D,3,FALSE),"")</f>
        <v>87</v>
      </c>
      <c r="K192" s="66"/>
      <c r="L192" s="66"/>
      <c r="M192" s="66"/>
      <c r="N192" s="66"/>
      <c r="O192" s="66"/>
      <c r="P192" s="66"/>
      <c r="Q192" s="66"/>
      <c r="R192" s="66"/>
      <c r="S192" s="66"/>
      <c r="T192" s="66"/>
    </row>
    <row r="193" spans="1:20" ht="18" customHeight="1">
      <c r="B193" t="str">
        <f>"77-3141-0001"</f>
        <v>77-3141-0001</v>
      </c>
      <c r="C193" t="str">
        <f>"LM7 Content, Vir, CNC Turning w/BenchTurn 7000"</f>
        <v>LM7 Content, Vir, CNC Turning w/BenchTurn 7000</v>
      </c>
      <c r="D193" s="4"/>
      <c r="E193" s="4">
        <v>1</v>
      </c>
      <c r="F193" s="4"/>
      <c r="G193" s="29" t="str">
        <f>IFERROR(HYPERLINK("#"&amp;ADDRESS(MATCH(B193&amp;"ES",'LM7 Non-ENG'!$A$1:$A$5000,0),1,,,"LM7 Non-ENG"),IF(IFERROR(VLOOKUP(B193&amp;"ES",'LM7 Non-ENG'!$A$1:$A$4999,1,FALSE),"ERROR")=B193&amp;"ES","Y","")),"")</f>
        <v/>
      </c>
      <c r="H193" s="29" t="str">
        <f>IFERROR(HYPERLINK("#"&amp;ADDRESS(MATCH(B193&amp;"PT",'LM7 Non-ENG'!$A$1:$A$5000,0),1,,,"LM7 Non-ENG"),IF(IFERROR(VLOOKUP(B193&amp;"PT",'LM7 Non-ENG'!$A$1:$A$5000,1,FALSE),"ERROR")=B193&amp;"PT","Y","")),"")</f>
        <v/>
      </c>
      <c r="I193" t="str">
        <f>IFERROR(VLOOKUP(B193,PN!$A:$C,3,FALSE),"")</f>
        <v>Active</v>
      </c>
      <c r="J193" s="3">
        <f>IFERROR(E193*VLOOKUP(B193,PLInter!$A:$D,3,FALSE),"")</f>
        <v>2995</v>
      </c>
      <c r="K193" s="66"/>
      <c r="L193" s="66"/>
      <c r="M193" s="66"/>
      <c r="N193" s="66"/>
      <c r="O193" s="66"/>
      <c r="P193" s="66"/>
      <c r="Q193" s="66"/>
      <c r="R193" s="66"/>
      <c r="S193" s="66"/>
      <c r="T193" s="66"/>
    </row>
    <row r="194" spans="1:20" ht="18" customHeight="1">
      <c r="B194" s="2" t="str">
        <f>"17-3141-0001"</f>
        <v>17-3141-0001</v>
      </c>
      <c r="C194" s="2" t="str">
        <f>"LM5.X Content, Vir, CNC Turning w/BenchTurn 7000"</f>
        <v>LM5.X Content, Vir, CNC Turning w/BenchTurn 7000</v>
      </c>
      <c r="D194" s="5"/>
      <c r="E194" s="5">
        <v>1</v>
      </c>
      <c r="F194" s="5" t="str">
        <f>"Y"</f>
        <v>Y</v>
      </c>
      <c r="G194" s="29" t="str">
        <f>IFERROR(HYPERLINK("#"&amp;ADDRESS(MATCH(B194&amp;"ES",'LM7 Non-ENG'!$A$1:$A$5000,0),1,,,"LM7 Non-ENG"),IF(IFERROR(VLOOKUP(B194&amp;"ES",'LM7 Non-ENG'!$A$1:$A$4999,1,FALSE),"ERROR")=B194&amp;"ES","Y","")),"")</f>
        <v/>
      </c>
      <c r="H194" s="29" t="str">
        <f>IFERROR(HYPERLINK("#"&amp;ADDRESS(MATCH(B194&amp;"PT",'LM7 Non-ENG'!$A$1:$A$5000,0),1,,,"LM7 Non-ENG"),IF(IFERROR(VLOOKUP(B194&amp;"PT",'LM7 Non-ENG'!$A$1:$A$5000,1,FALSE),"ERROR")=B194&amp;"PT","Y","")),"")</f>
        <v/>
      </c>
      <c r="I194" t="str">
        <f>IFERROR(VLOOKUP(B194,PN!$A:$C,3,FALSE),"")</f>
        <v>Active</v>
      </c>
      <c r="J194" s="3">
        <f>IFERROR(E194*VLOOKUP(B194,PLInter!$A:$D,3,FALSE),"")</f>
        <v>2995</v>
      </c>
      <c r="K194" s="66"/>
      <c r="L194" s="66"/>
      <c r="M194" s="66"/>
      <c r="N194" s="66"/>
      <c r="O194" s="66"/>
      <c r="P194" s="66"/>
      <c r="Q194" s="66"/>
      <c r="R194" s="66"/>
      <c r="S194" s="66"/>
      <c r="T194" s="66"/>
    </row>
    <row r="195" spans="1:20" ht="18" customHeight="1">
      <c r="B195" s="2" t="str">
        <f>"17-3141-0002"</f>
        <v>17-3141-0002</v>
      </c>
      <c r="C195" s="2" t="str">
        <f>"LM5 Content,Vir, CNCTurning w/BenchTurn 7000 (M)"</f>
        <v>LM5 Content,Vir, CNCTurning w/BenchTurn 7000 (M)</v>
      </c>
      <c r="D195" s="5"/>
      <c r="E195" s="5">
        <v>1</v>
      </c>
      <c r="F195" s="5" t="str">
        <f>"Y"</f>
        <v>Y</v>
      </c>
      <c r="G195" s="29" t="str">
        <f>IFERROR(HYPERLINK("#"&amp;ADDRESS(MATCH(B195&amp;"ES",'LM7 Non-ENG'!$A$1:$A$5000,0),1,,,"LM7 Non-ENG"),IF(IFERROR(VLOOKUP(B195&amp;"ES",'LM7 Non-ENG'!$A$1:$A$4999,1,FALSE),"ERROR")=B195&amp;"ES","Y","")),"")</f>
        <v/>
      </c>
      <c r="H195" s="29" t="str">
        <f>IFERROR(HYPERLINK("#"&amp;ADDRESS(MATCH(B195&amp;"PT",'LM7 Non-ENG'!$A$1:$A$5000,0),1,,,"LM7 Non-ENG"),IF(IFERROR(VLOOKUP(B195&amp;"PT",'LM7 Non-ENG'!$A$1:$A$5000,1,FALSE),"ERROR")=B195&amp;"PT","Y","")),"")</f>
        <v/>
      </c>
      <c r="I195" t="str">
        <f>IFERROR(VLOOKUP(B195,PN!$A:$C,3,FALSE),"")</f>
        <v>Active</v>
      </c>
      <c r="J195" s="3">
        <f>IFERROR(E195*VLOOKUP(B195,PLInter!$A:$D,3,FALSE),"")</f>
        <v>2995</v>
      </c>
      <c r="K195" s="66"/>
      <c r="L195" s="66"/>
      <c r="M195" s="66"/>
      <c r="N195" s="66"/>
      <c r="O195" s="66"/>
      <c r="P195" s="66"/>
      <c r="Q195" s="66"/>
      <c r="R195" s="66"/>
      <c r="S195" s="66"/>
      <c r="T195" s="66"/>
    </row>
    <row r="196" spans="1:20" ht="18" customHeight="1">
      <c r="B196" s="2" t="str">
        <f>"77-3141-0002"</f>
        <v>77-3141-0002</v>
      </c>
      <c r="C196" s="2" t="str">
        <f>"LM7 Content, Vir, CNCTurning w/BenchTurn 7000(M)"</f>
        <v>LM7 Content, Vir, CNCTurning w/BenchTurn 7000(M)</v>
      </c>
      <c r="D196" s="5"/>
      <c r="E196" s="5">
        <v>1</v>
      </c>
      <c r="F196" s="5" t="str">
        <f>"Y"</f>
        <v>Y</v>
      </c>
      <c r="G196" s="29" t="str">
        <f>IFERROR(HYPERLINK("#"&amp;ADDRESS(MATCH(B196&amp;"ES",'LM7 Non-ENG'!$A$1:$A$5000,0),1,,,"LM7 Non-ENG"),IF(IFERROR(VLOOKUP(B196&amp;"ES",'LM7 Non-ENG'!$A$1:$A$4999,1,FALSE),"ERROR")=B196&amp;"ES","Y","")),"")</f>
        <v>Y</v>
      </c>
      <c r="H196" s="29" t="str">
        <f>IFERROR(HYPERLINK("#"&amp;ADDRESS(MATCH(B196&amp;"PT",'LM7 Non-ENG'!$A$1:$A$5000,0),1,,,"LM7 Non-ENG"),IF(IFERROR(VLOOKUP(B196&amp;"PT",'LM7 Non-ENG'!$A$1:$A$5000,1,FALSE),"ERROR")=B196&amp;"PT","Y","")),"")</f>
        <v>Y</v>
      </c>
      <c r="I196" t="str">
        <f>IFERROR(VLOOKUP(B196,PN!$A:$C,3,FALSE),"")</f>
        <v>Active</v>
      </c>
      <c r="J196" s="3">
        <f>IFERROR(E196*VLOOKUP(B196,PLInter!$A:$D,3,FALSE),"")</f>
        <v>2995</v>
      </c>
      <c r="K196" s="66"/>
      <c r="L196" s="66"/>
      <c r="M196" s="66"/>
      <c r="N196" s="66"/>
      <c r="O196" s="66"/>
      <c r="P196" s="66"/>
      <c r="Q196" s="66"/>
      <c r="R196" s="66"/>
      <c r="S196" s="66"/>
      <c r="T196" s="66"/>
    </row>
    <row r="197" spans="1:20" ht="18" customHeight="1">
      <c r="G197" s="29"/>
      <c r="H197" s="29"/>
    </row>
    <row r="198" spans="1:20" s="7" customFormat="1" ht="18" customHeight="1">
      <c r="A198" s="13" t="s">
        <v>440</v>
      </c>
      <c r="B198" s="13"/>
      <c r="C198" s="13" t="s">
        <v>441</v>
      </c>
      <c r="D198" s="14"/>
      <c r="E198" s="14"/>
      <c r="F198" s="14"/>
      <c r="G198" s="14"/>
      <c r="H198" s="14"/>
      <c r="I198" s="14"/>
      <c r="J198" s="14">
        <f>SUMIFS(J199:J213,D199:D213,"&lt;&gt;Y",F199:F213,"&lt;&gt;Y",I199:I213,"&lt;&gt;Inactive",I199:I213,"&lt;&gt;ECO+NFS")</f>
        <v>20200</v>
      </c>
      <c r="K198" s="14"/>
      <c r="L198" s="14"/>
      <c r="M198" s="14"/>
      <c r="N198" s="14"/>
      <c r="O198" s="14"/>
      <c r="P198" s="14"/>
      <c r="Q198" s="14"/>
      <c r="R198" s="14"/>
      <c r="S198" s="14"/>
      <c r="T198" s="14"/>
    </row>
    <row r="199" spans="1:20" ht="18" customHeight="1">
      <c r="A199" s="17" t="str">
        <f>HYPERLINK("#"&amp;ADDRESS(MATCH(A198,Machining!$A$1:$A$4990,0),1,,,"Machining"),"Back to Price List")</f>
        <v>Back to Price List</v>
      </c>
      <c r="B199" t="str">
        <f>"00-5504-0110"</f>
        <v>00-5504-0110</v>
      </c>
      <c r="C199" t="str">
        <f>"CNC BenchTurn 7000 110V"</f>
        <v>CNC BenchTurn 7000 110V</v>
      </c>
      <c r="D199" s="4"/>
      <c r="E199" s="4">
        <v>1</v>
      </c>
      <c r="F199" s="4"/>
      <c r="G199" s="29" t="str">
        <f>IFERROR(HYPERLINK("#"&amp;ADDRESS(MATCH(B199&amp;"ES",'LM7 Non-ENG'!$A$1:$A$5000,0),1,,,"LM7 Non-ENG"),IF(IFERROR(VLOOKUP(B199&amp;"ES",'LM7 Non-ENG'!$A$1:$A$4999,1,FALSE),"ERROR")=B199&amp;"ES","Y","")),"")</f>
        <v/>
      </c>
      <c r="H199" s="29" t="str">
        <f>IFERROR(HYPERLINK("#"&amp;ADDRESS(MATCH(B199&amp;"PT",'LM7 Non-ENG'!$A$1:$A$5000,0),1,,,"LM7 Non-ENG"),IF(IFERROR(VLOOKUP(B199&amp;"PT",'LM7 Non-ENG'!$A$1:$A$5000,1,FALSE),"ERROR")=B199&amp;"PT","Y","")),"")</f>
        <v/>
      </c>
      <c r="I199" t="str">
        <f>IFERROR(VLOOKUP(B199,PN!$A:$C,3,FALSE),"")</f>
        <v>Active</v>
      </c>
      <c r="J199" s="3">
        <f>IFERROR(E199*VLOOKUP(B199,PLInter!$A:$D,3,FALSE),"")</f>
        <v>14934</v>
      </c>
      <c r="K199" s="68" t="s">
        <v>442</v>
      </c>
      <c r="L199" s="66"/>
      <c r="M199" s="66"/>
      <c r="N199" s="66"/>
      <c r="O199" s="66"/>
      <c r="P199" s="66"/>
      <c r="Q199" s="66"/>
      <c r="R199" s="66"/>
      <c r="S199" s="66"/>
      <c r="T199" s="66"/>
    </row>
    <row r="200" spans="1:20" ht="18" customHeight="1">
      <c r="B200" s="2" t="str">
        <f>"00-5504-0220"</f>
        <v>00-5504-0220</v>
      </c>
      <c r="C200" s="2" t="str">
        <f>"CNC BenchTurn 7000 220V"</f>
        <v>CNC BenchTurn 7000 220V</v>
      </c>
      <c r="D200" s="5"/>
      <c r="E200" s="5">
        <v>1</v>
      </c>
      <c r="F200" s="5" t="str">
        <f>"Y"</f>
        <v>Y</v>
      </c>
      <c r="G200" s="29" t="str">
        <f>IFERROR(HYPERLINK("#"&amp;ADDRESS(MATCH(B200&amp;"ES",'LM7 Non-ENG'!$A$1:$A$5000,0),1,,,"LM7 Non-ENG"),IF(IFERROR(VLOOKUP(B200&amp;"ES",'LM7 Non-ENG'!$A$1:$A$4999,1,FALSE),"ERROR")=B200&amp;"ES","Y","")),"")</f>
        <v/>
      </c>
      <c r="H200" s="29" t="str">
        <f>IFERROR(HYPERLINK("#"&amp;ADDRESS(MATCH(B200&amp;"PT",'LM7 Non-ENG'!$A$1:$A$5000,0),1,,,"LM7 Non-ENG"),IF(IFERROR(VLOOKUP(B200&amp;"PT",'LM7 Non-ENG'!$A$1:$A$5000,1,FALSE),"ERROR")=B200&amp;"PT","Y","")),"")</f>
        <v/>
      </c>
      <c r="I200" t="str">
        <f>IFERROR(VLOOKUP(B200,PN!$A:$C,3,FALSE),"")</f>
        <v>Active</v>
      </c>
      <c r="J200" s="3">
        <f>IFERROR(E200*VLOOKUP(B200,PLInter!$A:$D,3,FALSE),"")</f>
        <v>14934</v>
      </c>
      <c r="K200" s="66"/>
      <c r="L200" s="66"/>
      <c r="M200" s="66"/>
      <c r="N200" s="66"/>
      <c r="O200" s="66"/>
      <c r="P200" s="66"/>
      <c r="Q200" s="66"/>
      <c r="R200" s="66"/>
      <c r="S200" s="66"/>
      <c r="T200" s="66"/>
    </row>
    <row r="201" spans="1:20" ht="18" customHeight="1">
      <c r="B201" t="str">
        <f>"10-1110-1000"</f>
        <v>10-1110-1000</v>
      </c>
      <c r="C201" t="str">
        <f>"10x10mm TiN coated cutter set (replaceable tip)"</f>
        <v>10x10mm TiN coated cutter set (replaceable tip)</v>
      </c>
      <c r="D201" s="4"/>
      <c r="E201" s="4">
        <v>1</v>
      </c>
      <c r="F201" s="4"/>
      <c r="G201" s="29" t="str">
        <f>IFERROR(HYPERLINK("#"&amp;ADDRESS(MATCH(B201&amp;"ES",'LM7 Non-ENG'!$A$1:$A$5000,0),1,,,"LM7 Non-ENG"),IF(IFERROR(VLOOKUP(B201&amp;"ES",'LM7 Non-ENG'!$A$1:$A$4999,1,FALSE),"ERROR")=B201&amp;"ES","Y","")),"")</f>
        <v/>
      </c>
      <c r="H201" s="29" t="str">
        <f>IFERROR(HYPERLINK("#"&amp;ADDRESS(MATCH(B201&amp;"PT",'LM7 Non-ENG'!$A$1:$A$5000,0),1,,,"LM7 Non-ENG"),IF(IFERROR(VLOOKUP(B201&amp;"PT",'LM7 Non-ENG'!$A$1:$A$5000,1,FALSE),"ERROR")=B201&amp;"PT","Y","")),"")</f>
        <v/>
      </c>
      <c r="I201" t="str">
        <f>IFERROR(VLOOKUP(B201,PN!$A:$C,3,FALSE),"")</f>
        <v>Active</v>
      </c>
      <c r="J201" s="3">
        <f>IFERROR(E201*VLOOKUP(B201,PLInter!$A:$D,3,FALSE),"")</f>
        <v>227</v>
      </c>
      <c r="K201" s="66"/>
      <c r="L201" s="66"/>
      <c r="M201" s="66"/>
      <c r="N201" s="66"/>
      <c r="O201" s="66"/>
      <c r="P201" s="66"/>
      <c r="Q201" s="66"/>
      <c r="R201" s="66"/>
      <c r="S201" s="66"/>
      <c r="T201" s="66"/>
    </row>
    <row r="202" spans="1:20" ht="18" customHeight="1">
      <c r="B202" t="str">
        <f>"10-1110-2000"</f>
        <v>10-1110-2000</v>
      </c>
      <c r="C202" t="str">
        <f>"TiN coated tip for 011101"</f>
        <v>TiN coated tip for 011101</v>
      </c>
      <c r="D202" s="4"/>
      <c r="E202" s="4">
        <v>1</v>
      </c>
      <c r="F202" s="4"/>
      <c r="G202" s="29" t="str">
        <f>IFERROR(HYPERLINK("#"&amp;ADDRESS(MATCH(B202&amp;"ES",'LM7 Non-ENG'!$A$1:$A$5000,0),1,,,"LM7 Non-ENG"),IF(IFERROR(VLOOKUP(B202&amp;"ES",'LM7 Non-ENG'!$A$1:$A$4999,1,FALSE),"ERROR")=B202&amp;"ES","Y","")),"")</f>
        <v/>
      </c>
      <c r="H202" s="29" t="str">
        <f>IFERROR(HYPERLINK("#"&amp;ADDRESS(MATCH(B202&amp;"PT",'LM7 Non-ENG'!$A$1:$A$5000,0),1,,,"LM7 Non-ENG"),IF(IFERROR(VLOOKUP(B202&amp;"PT",'LM7 Non-ENG'!$A$1:$A$5000,1,FALSE),"ERROR")=B202&amp;"PT","Y","")),"")</f>
        <v/>
      </c>
      <c r="I202" t="str">
        <f>IFERROR(VLOOKUP(B202,PN!$A:$C,3,FALSE),"")</f>
        <v>Active</v>
      </c>
      <c r="J202" s="3">
        <f>IFERROR(E202*VLOOKUP(B202,PLInter!$A:$D,3,FALSE),"")</f>
        <v>200</v>
      </c>
      <c r="K202" s="66"/>
      <c r="L202" s="66"/>
      <c r="M202" s="66"/>
      <c r="N202" s="66"/>
      <c r="O202" s="66"/>
      <c r="P202" s="66"/>
      <c r="Q202" s="66"/>
      <c r="R202" s="66"/>
      <c r="S202" s="66"/>
      <c r="T202" s="66"/>
    </row>
    <row r="203" spans="1:20" ht="18" customHeight="1">
      <c r="B203" t="str">
        <f>"10-1105-7000"</f>
        <v>10-1105-7000</v>
      </c>
      <c r="C203" t="str">
        <f>"Drill Chuck for Tailstock MT2 13mm"</f>
        <v>Drill Chuck for Tailstock MT2 13mm</v>
      </c>
      <c r="D203" s="4"/>
      <c r="E203" s="4">
        <v>1</v>
      </c>
      <c r="F203" s="4"/>
      <c r="G203" s="29" t="str">
        <f>IFERROR(HYPERLINK("#"&amp;ADDRESS(MATCH(B203&amp;"ES",'LM7 Non-ENG'!$A$1:$A$5000,0),1,,,"LM7 Non-ENG"),IF(IFERROR(VLOOKUP(B203&amp;"ES",'LM7 Non-ENG'!$A$1:$A$4999,1,FALSE),"ERROR")=B203&amp;"ES","Y","")),"")</f>
        <v/>
      </c>
      <c r="H203" s="29" t="str">
        <f>IFERROR(HYPERLINK("#"&amp;ADDRESS(MATCH(B203&amp;"PT",'LM7 Non-ENG'!$A$1:$A$5000,0),1,,,"LM7 Non-ENG"),IF(IFERROR(VLOOKUP(B203&amp;"PT",'LM7 Non-ENG'!$A$1:$A$5000,1,FALSE),"ERROR")=B203&amp;"PT","Y","")),"")</f>
        <v/>
      </c>
      <c r="I203" t="str">
        <f>IFERROR(VLOOKUP(B203,PN!$A:$C,3,FALSE),"")</f>
        <v>Active</v>
      </c>
      <c r="J203" s="3">
        <f>IFERROR(E203*VLOOKUP(B203,PLInter!$A:$D,3,FALSE),"")</f>
        <v>74</v>
      </c>
      <c r="K203" s="66"/>
      <c r="L203" s="66"/>
      <c r="M203" s="66"/>
      <c r="N203" s="66"/>
      <c r="O203" s="66"/>
      <c r="P203" s="66"/>
      <c r="Q203" s="66"/>
      <c r="R203" s="66"/>
      <c r="S203" s="66"/>
      <c r="T203" s="66"/>
    </row>
    <row r="204" spans="1:20" ht="18" customHeight="1">
      <c r="B204" t="str">
        <f>"10-1106-7000"</f>
        <v>10-1106-7000</v>
      </c>
      <c r="C204" t="str">
        <f>"100mm 4-jaw chuck (independent)"</f>
        <v>100mm 4-jaw chuck (independent)</v>
      </c>
      <c r="D204" s="4"/>
      <c r="E204" s="4">
        <v>1</v>
      </c>
      <c r="F204" s="4"/>
      <c r="G204" s="29" t="str">
        <f>IFERROR(HYPERLINK("#"&amp;ADDRESS(MATCH(B204&amp;"ES",'LM7 Non-ENG'!$A$1:$A$5000,0),1,,,"LM7 Non-ENG"),IF(IFERROR(VLOOKUP(B204&amp;"ES",'LM7 Non-ENG'!$A$1:$A$4999,1,FALSE),"ERROR")=B204&amp;"ES","Y","")),"")</f>
        <v/>
      </c>
      <c r="H204" s="29" t="str">
        <f>IFERROR(HYPERLINK("#"&amp;ADDRESS(MATCH(B204&amp;"PT",'LM7 Non-ENG'!$A$1:$A$5000,0),1,,,"LM7 Non-ENG"),IF(IFERROR(VLOOKUP(B204&amp;"PT",'LM7 Non-ENG'!$A$1:$A$5000,1,FALSE),"ERROR")=B204&amp;"PT","Y","")),"")</f>
        <v/>
      </c>
      <c r="I204" t="str">
        <f>IFERROR(VLOOKUP(B204,PN!$A:$C,3,FALSE),"")</f>
        <v>Active</v>
      </c>
      <c r="J204" s="3">
        <f>IFERROR(E204*VLOOKUP(B204,PLInter!$A:$D,3,FALSE),"")</f>
        <v>231</v>
      </c>
      <c r="K204" s="66"/>
      <c r="L204" s="66"/>
      <c r="M204" s="66"/>
      <c r="N204" s="66"/>
      <c r="O204" s="66"/>
      <c r="P204" s="66"/>
      <c r="Q204" s="66"/>
      <c r="R204" s="66"/>
      <c r="S204" s="66"/>
      <c r="T204" s="66"/>
    </row>
    <row r="205" spans="1:20" ht="18" customHeight="1">
      <c r="B205" t="str">
        <f>"10-1106-6000"</f>
        <v>10-1106-6000</v>
      </c>
      <c r="C205" t="str">
        <f>"Rolling center"</f>
        <v>Rolling center</v>
      </c>
      <c r="D205" s="4"/>
      <c r="E205" s="4">
        <v>1</v>
      </c>
      <c r="F205" s="4"/>
      <c r="G205" s="29" t="str">
        <f>IFERROR(HYPERLINK("#"&amp;ADDRESS(MATCH(B205&amp;"ES",'LM7 Non-ENG'!$A$1:$A$5000,0),1,,,"LM7 Non-ENG"),IF(IFERROR(VLOOKUP(B205&amp;"ES",'LM7 Non-ENG'!$A$1:$A$4999,1,FALSE),"ERROR")=B205&amp;"ES","Y","")),"")</f>
        <v/>
      </c>
      <c r="H205" s="29" t="str">
        <f>IFERROR(HYPERLINK("#"&amp;ADDRESS(MATCH(B205&amp;"PT",'LM7 Non-ENG'!$A$1:$A$5000,0),1,,,"LM7 Non-ENG"),IF(IFERROR(VLOOKUP(B205&amp;"PT",'LM7 Non-ENG'!$A$1:$A$5000,1,FALSE),"ERROR")=B205&amp;"PT","Y","")),"")</f>
        <v/>
      </c>
      <c r="I205" t="str">
        <f>IFERROR(VLOOKUP(B205,PN!$A:$C,3,FALSE),"")</f>
        <v>Active</v>
      </c>
      <c r="J205" s="3">
        <f>IFERROR(E205*VLOOKUP(B205,PLInter!$A:$D,3,FALSE),"")</f>
        <v>87</v>
      </c>
      <c r="K205" s="66"/>
      <c r="L205" s="66"/>
      <c r="M205" s="66"/>
      <c r="N205" s="66"/>
      <c r="O205" s="66"/>
      <c r="P205" s="66"/>
      <c r="Q205" s="66"/>
      <c r="R205" s="66"/>
      <c r="S205" s="66"/>
      <c r="T205" s="66"/>
    </row>
    <row r="206" spans="1:20" ht="18" customHeight="1">
      <c r="B206" t="str">
        <f>"10-1111-1000"</f>
        <v>10-1111-1000</v>
      </c>
      <c r="C206" t="str">
        <f>"Jog Pendant Handwheel"</f>
        <v>Jog Pendant Handwheel</v>
      </c>
      <c r="D206" s="4"/>
      <c r="E206" s="4">
        <v>1</v>
      </c>
      <c r="F206" s="4"/>
      <c r="G206" s="29" t="str">
        <f>IFERROR(HYPERLINK("#"&amp;ADDRESS(MATCH(B206&amp;"ES",'LM7 Non-ENG'!$A$1:$A$5000,0),1,,,"LM7 Non-ENG"),IF(IFERROR(VLOOKUP(B206&amp;"ES",'LM7 Non-ENG'!$A$1:$A$4999,1,FALSE),"ERROR")=B206&amp;"ES","Y","")),"")</f>
        <v/>
      </c>
      <c r="H206" s="29" t="str">
        <f>IFERROR(HYPERLINK("#"&amp;ADDRESS(MATCH(B206&amp;"PT",'LM7 Non-ENG'!$A$1:$A$5000,0),1,,,"LM7 Non-ENG"),IF(IFERROR(VLOOKUP(B206&amp;"PT",'LM7 Non-ENG'!$A$1:$A$5000,1,FALSE),"ERROR")=B206&amp;"PT","Y","")),"")</f>
        <v/>
      </c>
      <c r="I206" t="str">
        <f>IFERROR(VLOOKUP(B206,PN!$A:$C,3,FALSE),"")</f>
        <v>Active</v>
      </c>
      <c r="J206" s="3">
        <f>IFERROR(E206*VLOOKUP(B206,PLInter!$A:$D,3,FALSE),"")</f>
        <v>795</v>
      </c>
      <c r="K206" s="66"/>
      <c r="L206" s="66"/>
      <c r="M206" s="66"/>
      <c r="N206" s="66"/>
      <c r="O206" s="66"/>
      <c r="P206" s="66"/>
      <c r="Q206" s="66"/>
      <c r="R206" s="66"/>
      <c r="S206" s="66"/>
      <c r="T206" s="66"/>
    </row>
    <row r="207" spans="1:20" ht="18" customHeight="1">
      <c r="B207" t="str">
        <f>"10-1108-1110"</f>
        <v>10-1108-1110</v>
      </c>
      <c r="C207" t="str">
        <f>"Coolant system 27L - 110V"</f>
        <v>Coolant system 27L - 110V</v>
      </c>
      <c r="D207" s="4"/>
      <c r="E207" s="4">
        <v>1</v>
      </c>
      <c r="F207" s="4"/>
      <c r="G207" s="29" t="str">
        <f>IFERROR(HYPERLINK("#"&amp;ADDRESS(MATCH(B207&amp;"ES",'LM7 Non-ENG'!$A$1:$A$5000,0),1,,,"LM7 Non-ENG"),IF(IFERROR(VLOOKUP(B207&amp;"ES",'LM7 Non-ENG'!$A$1:$A$4999,1,FALSE),"ERROR")=B207&amp;"ES","Y","")),"")</f>
        <v/>
      </c>
      <c r="H207" s="29" t="str">
        <f>IFERROR(HYPERLINK("#"&amp;ADDRESS(MATCH(B207&amp;"PT",'LM7 Non-ENG'!$A$1:$A$5000,0),1,,,"LM7 Non-ENG"),IF(IFERROR(VLOOKUP(B207&amp;"PT",'LM7 Non-ENG'!$A$1:$A$5000,1,FALSE),"ERROR")=B207&amp;"PT","Y","")),"")</f>
        <v/>
      </c>
      <c r="I207" t="str">
        <f>IFERROR(VLOOKUP(B207,PN!$A:$C,3,FALSE),"")</f>
        <v>Active</v>
      </c>
      <c r="J207" s="3">
        <f>IFERROR(E207*VLOOKUP(B207,PLInter!$A:$D,3,FALSE),"")</f>
        <v>407</v>
      </c>
      <c r="K207" s="66"/>
      <c r="L207" s="66"/>
      <c r="M207" s="66"/>
      <c r="N207" s="66"/>
      <c r="O207" s="66"/>
      <c r="P207" s="66"/>
      <c r="Q207" s="66"/>
      <c r="R207" s="66"/>
      <c r="S207" s="66"/>
      <c r="T207" s="66"/>
    </row>
    <row r="208" spans="1:20" ht="18" customHeight="1">
      <c r="B208" s="2" t="str">
        <f>"10-1108-1220"</f>
        <v>10-1108-1220</v>
      </c>
      <c r="C208" s="2" t="str">
        <f>"Coolant system 27L - 220V"</f>
        <v>Coolant system 27L - 220V</v>
      </c>
      <c r="D208" s="5"/>
      <c r="E208" s="5">
        <v>1</v>
      </c>
      <c r="F208" s="5" t="str">
        <f>"Y"</f>
        <v>Y</v>
      </c>
      <c r="G208" s="29" t="str">
        <f>IFERROR(HYPERLINK("#"&amp;ADDRESS(MATCH(B208&amp;"ES",'LM7 Non-ENG'!$A$1:$A$5000,0),1,,,"LM7 Non-ENG"),IF(IFERROR(VLOOKUP(B208&amp;"ES",'LM7 Non-ENG'!$A$1:$A$4999,1,FALSE),"ERROR")=B208&amp;"ES","Y","")),"")</f>
        <v/>
      </c>
      <c r="H208" s="29" t="str">
        <f>IFERROR(HYPERLINK("#"&amp;ADDRESS(MATCH(B208&amp;"PT",'LM7 Non-ENG'!$A$1:$A$5000,0),1,,,"LM7 Non-ENG"),IF(IFERROR(VLOOKUP(B208&amp;"PT",'LM7 Non-ENG'!$A$1:$A$5000,1,FALSE),"ERROR")=B208&amp;"PT","Y","")),"")</f>
        <v/>
      </c>
      <c r="I208" t="str">
        <f>IFERROR(VLOOKUP(B208,PN!$A:$C,3,FALSE),"")</f>
        <v>Active</v>
      </c>
      <c r="J208" s="3">
        <f>IFERROR(E208*VLOOKUP(B208,PLInter!$A:$D,3,FALSE),"")</f>
        <v>407</v>
      </c>
      <c r="K208" s="66"/>
      <c r="L208" s="66"/>
      <c r="M208" s="66"/>
      <c r="N208" s="66"/>
      <c r="O208" s="66"/>
      <c r="P208" s="66"/>
      <c r="Q208" s="66"/>
      <c r="R208" s="66"/>
      <c r="S208" s="66"/>
      <c r="T208" s="66"/>
    </row>
    <row r="209" spans="1:20" ht="18" customHeight="1">
      <c r="B209" t="str">
        <f>"10-9350-0000"</f>
        <v>10-9350-0000</v>
      </c>
      <c r="C209" t="str">
        <f>"Stock Package, Machinable Wax, Turn, 1""x 12"""</f>
        <v>Stock Package, Machinable Wax, Turn, 1"x 12"</v>
      </c>
      <c r="D209" s="4"/>
      <c r="E209" s="4">
        <v>1</v>
      </c>
      <c r="F209" s="4"/>
      <c r="G209" s="29" t="str">
        <f>IFERROR(HYPERLINK("#"&amp;ADDRESS(MATCH(B209&amp;"ES",'LM7 Non-ENG'!$A$1:$A$5000,0),1,,,"LM7 Non-ENG"),IF(IFERROR(VLOOKUP(B209&amp;"ES",'LM7 Non-ENG'!$A$1:$A$4999,1,FALSE),"ERROR")=B209&amp;"ES","Y","")),"")</f>
        <v/>
      </c>
      <c r="H209" s="29" t="str">
        <f>IFERROR(HYPERLINK("#"&amp;ADDRESS(MATCH(B209&amp;"PT",'LM7 Non-ENG'!$A$1:$A$5000,0),1,,,"LM7 Non-ENG"),IF(IFERROR(VLOOKUP(B209&amp;"PT",'LM7 Non-ENG'!$A$1:$A$5000,1,FALSE),"ERROR")=B209&amp;"PT","Y","")),"")</f>
        <v/>
      </c>
      <c r="I209" t="str">
        <f>IFERROR(VLOOKUP(B209,PN!$A:$C,3,FALSE),"")</f>
        <v>Active</v>
      </c>
      <c r="J209" s="3">
        <f>IFERROR(E209*VLOOKUP(B209,PLInter!$A:$D,3,FALSE),"")</f>
        <v>250</v>
      </c>
      <c r="K209" s="66"/>
      <c r="L209" s="66"/>
      <c r="M209" s="66"/>
      <c r="N209" s="66"/>
      <c r="O209" s="66"/>
      <c r="P209" s="66"/>
      <c r="Q209" s="66"/>
      <c r="R209" s="66"/>
      <c r="S209" s="66"/>
      <c r="T209" s="66"/>
    </row>
    <row r="210" spans="1:20" ht="18" customHeight="1">
      <c r="B210" t="str">
        <f>"77-3141-0001"</f>
        <v>77-3141-0001</v>
      </c>
      <c r="C210" t="str">
        <f>"LM7 Content, Vir, CNC Turning w/BenchTurn 7000"</f>
        <v>LM7 Content, Vir, CNC Turning w/BenchTurn 7000</v>
      </c>
      <c r="D210" s="4"/>
      <c r="E210" s="4">
        <v>1</v>
      </c>
      <c r="F210" s="4"/>
      <c r="G210" s="29" t="str">
        <f>IFERROR(HYPERLINK("#"&amp;ADDRESS(MATCH(B210&amp;"ES",'LM7 Non-ENG'!$A$1:$A$5000,0),1,,,"LM7 Non-ENG"),IF(IFERROR(VLOOKUP(B210&amp;"ES",'LM7 Non-ENG'!$A$1:$A$4999,1,FALSE),"ERROR")=B210&amp;"ES","Y","")),"")</f>
        <v/>
      </c>
      <c r="H210" s="29" t="str">
        <f>IFERROR(HYPERLINK("#"&amp;ADDRESS(MATCH(B210&amp;"PT",'LM7 Non-ENG'!$A$1:$A$5000,0),1,,,"LM7 Non-ENG"),IF(IFERROR(VLOOKUP(B210&amp;"PT",'LM7 Non-ENG'!$A$1:$A$5000,1,FALSE),"ERROR")=B210&amp;"PT","Y","")),"")</f>
        <v/>
      </c>
      <c r="I210" t="str">
        <f>IFERROR(VLOOKUP(B210,PN!$A:$C,3,FALSE),"")</f>
        <v>Active</v>
      </c>
      <c r="J210" s="3">
        <f>IFERROR(E210*VLOOKUP(B210,PLInter!$A:$D,3,FALSE),"")</f>
        <v>2995</v>
      </c>
      <c r="K210" s="66"/>
      <c r="L210" s="66"/>
      <c r="M210" s="66"/>
      <c r="N210" s="66"/>
      <c r="O210" s="66"/>
      <c r="P210" s="66"/>
      <c r="Q210" s="66"/>
      <c r="R210" s="66"/>
      <c r="S210" s="66"/>
      <c r="T210" s="66"/>
    </row>
    <row r="211" spans="1:20" ht="18" customHeight="1">
      <c r="B211" s="2" t="str">
        <f>"17-3141-0001"</f>
        <v>17-3141-0001</v>
      </c>
      <c r="C211" s="2" t="str">
        <f>"LM5.X Content, Vir, CNC Turning w/BenchTurn 7000"</f>
        <v>LM5.X Content, Vir, CNC Turning w/BenchTurn 7000</v>
      </c>
      <c r="D211" s="5"/>
      <c r="E211" s="5">
        <v>1</v>
      </c>
      <c r="F211" s="5" t="str">
        <f>"Y"</f>
        <v>Y</v>
      </c>
      <c r="G211" s="29" t="str">
        <f>IFERROR(HYPERLINK("#"&amp;ADDRESS(MATCH(B211&amp;"ES",'LM7 Non-ENG'!$A$1:$A$5000,0),1,,,"LM7 Non-ENG"),IF(IFERROR(VLOOKUP(B211&amp;"ES",'LM7 Non-ENG'!$A$1:$A$4999,1,FALSE),"ERROR")=B211&amp;"ES","Y","")),"")</f>
        <v/>
      </c>
      <c r="H211" s="29" t="str">
        <f>IFERROR(HYPERLINK("#"&amp;ADDRESS(MATCH(B211&amp;"PT",'LM7 Non-ENG'!$A$1:$A$5000,0),1,,,"LM7 Non-ENG"),IF(IFERROR(VLOOKUP(B211&amp;"PT",'LM7 Non-ENG'!$A$1:$A$5000,1,FALSE),"ERROR")=B211&amp;"PT","Y","")),"")</f>
        <v/>
      </c>
      <c r="I211" t="str">
        <f>IFERROR(VLOOKUP(B211,PN!$A:$C,3,FALSE),"")</f>
        <v>Active</v>
      </c>
      <c r="J211" s="3">
        <f>IFERROR(E211*VLOOKUP(B211,PLInter!$A:$D,3,FALSE),"")</f>
        <v>2995</v>
      </c>
      <c r="K211" s="66"/>
      <c r="L211" s="66"/>
      <c r="M211" s="66"/>
      <c r="N211" s="66"/>
      <c r="O211" s="66"/>
      <c r="P211" s="66"/>
      <c r="Q211" s="66"/>
      <c r="R211" s="66"/>
      <c r="S211" s="66"/>
      <c r="T211" s="66"/>
    </row>
    <row r="212" spans="1:20" ht="18" customHeight="1">
      <c r="B212" s="2" t="str">
        <f>"17-3141-0002"</f>
        <v>17-3141-0002</v>
      </c>
      <c r="C212" s="2" t="str">
        <f>"LM5 Content,Vir, CNCTurning w/BenchTurn 7000 (M)"</f>
        <v>LM5 Content,Vir, CNCTurning w/BenchTurn 7000 (M)</v>
      </c>
      <c r="D212" s="5"/>
      <c r="E212" s="5">
        <v>1</v>
      </c>
      <c r="F212" s="5" t="str">
        <f>"Y"</f>
        <v>Y</v>
      </c>
      <c r="G212" s="29" t="str">
        <f>IFERROR(HYPERLINK("#"&amp;ADDRESS(MATCH(B212&amp;"ES",'LM7 Non-ENG'!$A$1:$A$5000,0),1,,,"LM7 Non-ENG"),IF(IFERROR(VLOOKUP(B212&amp;"ES",'LM7 Non-ENG'!$A$1:$A$4999,1,FALSE),"ERROR")=B212&amp;"ES","Y","")),"")</f>
        <v/>
      </c>
      <c r="H212" s="29" t="str">
        <f>IFERROR(HYPERLINK("#"&amp;ADDRESS(MATCH(B212&amp;"PT",'LM7 Non-ENG'!$A$1:$A$5000,0),1,,,"LM7 Non-ENG"),IF(IFERROR(VLOOKUP(B212&amp;"PT",'LM7 Non-ENG'!$A$1:$A$5000,1,FALSE),"ERROR")=B212&amp;"PT","Y","")),"")</f>
        <v/>
      </c>
      <c r="I212" t="str">
        <f>IFERROR(VLOOKUP(B212,PN!$A:$C,3,FALSE),"")</f>
        <v>Active</v>
      </c>
      <c r="J212" s="3">
        <f>IFERROR(E212*VLOOKUP(B212,PLInter!$A:$D,3,FALSE),"")</f>
        <v>2995</v>
      </c>
      <c r="K212" s="66"/>
      <c r="L212" s="66"/>
      <c r="M212" s="66"/>
      <c r="N212" s="66"/>
      <c r="O212" s="66"/>
      <c r="P212" s="66"/>
      <c r="Q212" s="66"/>
      <c r="R212" s="66"/>
      <c r="S212" s="66"/>
      <c r="T212" s="66"/>
    </row>
    <row r="213" spans="1:20" ht="18" customHeight="1">
      <c r="B213" s="2" t="str">
        <f>"77-3141-0002"</f>
        <v>77-3141-0002</v>
      </c>
      <c r="C213" s="2" t="str">
        <f>"LM7 Content, Vir, CNCTurning w/BenchTurn 7000(M)"</f>
        <v>LM7 Content, Vir, CNCTurning w/BenchTurn 7000(M)</v>
      </c>
      <c r="D213" s="5"/>
      <c r="E213" s="5">
        <v>1</v>
      </c>
      <c r="F213" s="5" t="str">
        <f>"Y"</f>
        <v>Y</v>
      </c>
      <c r="G213" s="29" t="str">
        <f>IFERROR(HYPERLINK("#"&amp;ADDRESS(MATCH(B213&amp;"ES",'LM7 Non-ENG'!$A$1:$A$5000,0),1,,,"LM7 Non-ENG"),IF(IFERROR(VLOOKUP(B213&amp;"ES",'LM7 Non-ENG'!$A$1:$A$4999,1,FALSE),"ERROR")=B213&amp;"ES","Y","")),"")</f>
        <v>Y</v>
      </c>
      <c r="H213" s="29" t="str">
        <f>IFERROR(HYPERLINK("#"&amp;ADDRESS(MATCH(B213&amp;"PT",'LM7 Non-ENG'!$A$1:$A$5000,0),1,,,"LM7 Non-ENG"),IF(IFERROR(VLOOKUP(B213&amp;"PT",'LM7 Non-ENG'!$A$1:$A$5000,1,FALSE),"ERROR")=B213&amp;"PT","Y","")),"")</f>
        <v>Y</v>
      </c>
      <c r="I213" t="str">
        <f>IFERROR(VLOOKUP(B213,PN!$A:$C,3,FALSE),"")</f>
        <v>Active</v>
      </c>
      <c r="J213" s="3">
        <f>IFERROR(E213*VLOOKUP(B213,PLInter!$A:$D,3,FALSE),"")</f>
        <v>2995</v>
      </c>
      <c r="K213" s="66"/>
      <c r="L213" s="66"/>
      <c r="M213" s="66"/>
      <c r="N213" s="66"/>
      <c r="O213" s="66"/>
      <c r="P213" s="66"/>
      <c r="Q213" s="66"/>
      <c r="R213" s="66"/>
      <c r="S213" s="66"/>
      <c r="T213" s="66"/>
    </row>
    <row r="214" spans="1:20" ht="18" customHeight="1">
      <c r="G214" s="29"/>
      <c r="H214" s="29"/>
    </row>
    <row r="215" spans="1:20" s="7" customFormat="1" ht="18" customHeight="1">
      <c r="A215" s="13" t="s">
        <v>443</v>
      </c>
      <c r="B215" s="13"/>
      <c r="C215" s="13" t="s">
        <v>444</v>
      </c>
      <c r="D215" s="14"/>
      <c r="E215" s="14"/>
      <c r="F215" s="14"/>
      <c r="G215" s="14"/>
      <c r="H215" s="14"/>
      <c r="I215" s="14"/>
      <c r="J215" s="14">
        <f>SUMIFS(J216:J225,D216:D225,"&lt;&gt;Y",F216:F225,"&lt;&gt;Y",I216:I225,"&lt;&gt;Inactive",I216:I225,"&lt;&gt;ECO+NFS")</f>
        <v>24577</v>
      </c>
      <c r="K215" s="14"/>
      <c r="L215" s="14"/>
      <c r="M215" s="14"/>
      <c r="N215" s="14"/>
      <c r="O215" s="14"/>
      <c r="P215" s="14"/>
      <c r="Q215" s="14"/>
      <c r="R215" s="14"/>
      <c r="S215" s="14"/>
      <c r="T215" s="14"/>
    </row>
    <row r="216" spans="1:20" ht="18" customHeight="1">
      <c r="A216" s="17" t="str">
        <f>HYPERLINK("#"&amp;ADDRESS(MATCH(A215,Machining!$A$1:$A$4990,0),1,,,"Machining"),"Back to Price List")</f>
        <v>Back to Price List</v>
      </c>
      <c r="B216" t="str">
        <f>"00-5501-0110"</f>
        <v>00-5501-0110</v>
      </c>
      <c r="C216" t="str">
        <f>"CNC ProTurn 9000 AC 110V"</f>
        <v>CNC ProTurn 9000 AC 110V</v>
      </c>
      <c r="D216" s="4"/>
      <c r="E216" s="4">
        <v>1</v>
      </c>
      <c r="F216" s="4"/>
      <c r="G216" s="29" t="str">
        <f>IFERROR(HYPERLINK("#"&amp;ADDRESS(MATCH(B216&amp;"ES",'LM7 Non-ENG'!$A$1:$A$5000,0),1,,,"LM7 Non-ENG"),IF(IFERROR(VLOOKUP(B216&amp;"ES",'LM7 Non-ENG'!$A$1:$A$4999,1,FALSE),"ERROR")=B216&amp;"ES","Y","")),"")</f>
        <v/>
      </c>
      <c r="H216" s="29" t="str">
        <f>IFERROR(HYPERLINK("#"&amp;ADDRESS(MATCH(B216&amp;"PT",'LM7 Non-ENG'!$A$1:$A$5000,0),1,,,"LM7 Non-ENG"),IF(IFERROR(VLOOKUP(B216&amp;"PT",'LM7 Non-ENG'!$A$1:$A$5000,1,FALSE),"ERROR")=B216&amp;"PT","Y","")),"")</f>
        <v/>
      </c>
      <c r="I216" t="str">
        <f>IFERROR(VLOOKUP(B216,PN!$A:$C,3,FALSE),"")</f>
        <v>Active</v>
      </c>
      <c r="J216" s="3">
        <f>IFERROR(E216*VLOOKUP(B216,PLInter!$A:$D,3,FALSE),"")</f>
        <v>20994</v>
      </c>
      <c r="K216" s="68" t="s">
        <v>445</v>
      </c>
      <c r="L216" s="66"/>
      <c r="M216" s="66"/>
      <c r="N216" s="66"/>
      <c r="O216" s="66"/>
      <c r="P216" s="66"/>
      <c r="Q216" s="66"/>
      <c r="R216" s="66"/>
      <c r="S216" s="66"/>
      <c r="T216" s="66"/>
    </row>
    <row r="217" spans="1:20" ht="18" customHeight="1">
      <c r="B217" s="2" t="str">
        <f>"00-5501-0220"</f>
        <v>00-5501-0220</v>
      </c>
      <c r="C217" s="2" t="str">
        <f>"CNC ProTurn 9000 AC 220V"</f>
        <v>CNC ProTurn 9000 AC 220V</v>
      </c>
      <c r="D217" s="5"/>
      <c r="E217" s="5">
        <v>1</v>
      </c>
      <c r="F217" s="5" t="str">
        <f>"Y"</f>
        <v>Y</v>
      </c>
      <c r="G217" s="29" t="str">
        <f>IFERROR(HYPERLINK("#"&amp;ADDRESS(MATCH(B217&amp;"ES",'LM7 Non-ENG'!$A$1:$A$5000,0),1,,,"LM7 Non-ENG"),IF(IFERROR(VLOOKUP(B217&amp;"ES",'LM7 Non-ENG'!$A$1:$A$4999,1,FALSE),"ERROR")=B217&amp;"ES","Y","")),"")</f>
        <v/>
      </c>
      <c r="H217" s="29" t="str">
        <f>IFERROR(HYPERLINK("#"&amp;ADDRESS(MATCH(B217&amp;"PT",'LM7 Non-ENG'!$A$1:$A$5000,0),1,,,"LM7 Non-ENG"),IF(IFERROR(VLOOKUP(B217&amp;"PT",'LM7 Non-ENG'!$A$1:$A$5000,1,FALSE),"ERROR")=B217&amp;"PT","Y","")),"")</f>
        <v/>
      </c>
      <c r="I217" t="str">
        <f>IFERROR(VLOOKUP(B217,PN!$A:$C,3,FALSE),"")</f>
        <v>Active</v>
      </c>
      <c r="J217" s="3">
        <f>IFERROR(E217*VLOOKUP(B217,PLInter!$A:$D,3,FALSE),"")</f>
        <v>20994</v>
      </c>
      <c r="K217" s="66"/>
      <c r="L217" s="66"/>
      <c r="M217" s="66"/>
      <c r="N217" s="66"/>
      <c r="O217" s="66"/>
      <c r="P217" s="66"/>
      <c r="Q217" s="66"/>
      <c r="R217" s="66"/>
      <c r="S217" s="66"/>
      <c r="T217" s="66"/>
    </row>
    <row r="218" spans="1:20" ht="18" customHeight="1">
      <c r="B218" t="str">
        <f>"10-1110-1000"</f>
        <v>10-1110-1000</v>
      </c>
      <c r="C218" t="str">
        <f>"10x10mm TiN coated cutter set (replaceable tip)"</f>
        <v>10x10mm TiN coated cutter set (replaceable tip)</v>
      </c>
      <c r="D218" s="4"/>
      <c r="E218" s="4">
        <v>1</v>
      </c>
      <c r="F218" s="4"/>
      <c r="G218" s="29" t="str">
        <f>IFERROR(HYPERLINK("#"&amp;ADDRESS(MATCH(B218&amp;"ES",'LM7 Non-ENG'!$A$1:$A$5000,0),1,,,"LM7 Non-ENG"),IF(IFERROR(VLOOKUP(B218&amp;"ES",'LM7 Non-ENG'!$A$1:$A$4999,1,FALSE),"ERROR")=B218&amp;"ES","Y","")),"")</f>
        <v/>
      </c>
      <c r="H218" s="29" t="str">
        <f>IFERROR(HYPERLINK("#"&amp;ADDRESS(MATCH(B218&amp;"PT",'LM7 Non-ENG'!$A$1:$A$5000,0),1,,,"LM7 Non-ENG"),IF(IFERROR(VLOOKUP(B218&amp;"PT",'LM7 Non-ENG'!$A$1:$A$5000,1,FALSE),"ERROR")=B218&amp;"PT","Y","")),"")</f>
        <v/>
      </c>
      <c r="I218" t="str">
        <f>IFERROR(VLOOKUP(B218,PN!$A:$C,3,FALSE),"")</f>
        <v>Active</v>
      </c>
      <c r="J218" s="3">
        <f>IFERROR(E218*VLOOKUP(B218,PLInter!$A:$D,3,FALSE),"")</f>
        <v>227</v>
      </c>
      <c r="K218" s="66"/>
      <c r="L218" s="66"/>
      <c r="M218" s="66"/>
      <c r="N218" s="66"/>
      <c r="O218" s="66"/>
      <c r="P218" s="66"/>
      <c r="Q218" s="66"/>
      <c r="R218" s="66"/>
      <c r="S218" s="66"/>
      <c r="T218" s="66"/>
    </row>
    <row r="219" spans="1:20" ht="18" customHeight="1">
      <c r="B219" t="str">
        <f>"10-1110-2000"</f>
        <v>10-1110-2000</v>
      </c>
      <c r="C219" t="str">
        <f>"TiN coated tip for 011101"</f>
        <v>TiN coated tip for 011101</v>
      </c>
      <c r="D219" s="4"/>
      <c r="E219" s="4">
        <v>1</v>
      </c>
      <c r="F219" s="4"/>
      <c r="G219" s="29" t="str">
        <f>IFERROR(HYPERLINK("#"&amp;ADDRESS(MATCH(B219&amp;"ES",'LM7 Non-ENG'!$A$1:$A$5000,0),1,,,"LM7 Non-ENG"),IF(IFERROR(VLOOKUP(B219&amp;"ES",'LM7 Non-ENG'!$A$1:$A$4999,1,FALSE),"ERROR")=B219&amp;"ES","Y","")),"")</f>
        <v/>
      </c>
      <c r="H219" s="29" t="str">
        <f>IFERROR(HYPERLINK("#"&amp;ADDRESS(MATCH(B219&amp;"PT",'LM7 Non-ENG'!$A$1:$A$5000,0),1,,,"LM7 Non-ENG"),IF(IFERROR(VLOOKUP(B219&amp;"PT",'LM7 Non-ENG'!$A$1:$A$5000,1,FALSE),"ERROR")=B219&amp;"PT","Y","")),"")</f>
        <v/>
      </c>
      <c r="I219" t="str">
        <f>IFERROR(VLOOKUP(B219,PN!$A:$C,3,FALSE),"")</f>
        <v>Active</v>
      </c>
      <c r="J219" s="3">
        <f>IFERROR(E219*VLOOKUP(B219,PLInter!$A:$D,3,FALSE),"")</f>
        <v>200</v>
      </c>
      <c r="K219" s="66"/>
      <c r="L219" s="66"/>
      <c r="M219" s="66"/>
      <c r="N219" s="66"/>
      <c r="O219" s="66"/>
      <c r="P219" s="66"/>
      <c r="Q219" s="66"/>
      <c r="R219" s="66"/>
      <c r="S219" s="66"/>
      <c r="T219" s="66"/>
    </row>
    <row r="220" spans="1:20" ht="18" customHeight="1">
      <c r="B220" t="str">
        <f>"10-1105-7000"</f>
        <v>10-1105-7000</v>
      </c>
      <c r="C220" t="str">
        <f>"Drill Chuck for Tailstock MT2 13mm"</f>
        <v>Drill Chuck for Tailstock MT2 13mm</v>
      </c>
      <c r="D220" s="4"/>
      <c r="E220" s="4">
        <v>1</v>
      </c>
      <c r="F220" s="4"/>
      <c r="G220" s="29" t="str">
        <f>IFERROR(HYPERLINK("#"&amp;ADDRESS(MATCH(B220&amp;"ES",'LM7 Non-ENG'!$A$1:$A$5000,0),1,,,"LM7 Non-ENG"),IF(IFERROR(VLOOKUP(B220&amp;"ES",'LM7 Non-ENG'!$A$1:$A$4999,1,FALSE),"ERROR")=B220&amp;"ES","Y","")),"")</f>
        <v/>
      </c>
      <c r="H220" s="29" t="str">
        <f>IFERROR(HYPERLINK("#"&amp;ADDRESS(MATCH(B220&amp;"PT",'LM7 Non-ENG'!$A$1:$A$5000,0),1,,,"LM7 Non-ENG"),IF(IFERROR(VLOOKUP(B220&amp;"PT",'LM7 Non-ENG'!$A$1:$A$5000,1,FALSE),"ERROR")=B220&amp;"PT","Y","")),"")</f>
        <v/>
      </c>
      <c r="I220" t="str">
        <f>IFERROR(VLOOKUP(B220,PN!$A:$C,3,FALSE),"")</f>
        <v>Active</v>
      </c>
      <c r="J220" s="3">
        <f>IFERROR(E220*VLOOKUP(B220,PLInter!$A:$D,3,FALSE),"")</f>
        <v>74</v>
      </c>
      <c r="K220" s="66"/>
      <c r="L220" s="66"/>
      <c r="M220" s="66"/>
      <c r="N220" s="66"/>
      <c r="O220" s="66"/>
      <c r="P220" s="66"/>
      <c r="Q220" s="66"/>
      <c r="R220" s="66"/>
      <c r="S220" s="66"/>
      <c r="T220" s="66"/>
    </row>
    <row r="221" spans="1:20" ht="18" customHeight="1">
      <c r="B221" t="str">
        <f>"10-1106-6000"</f>
        <v>10-1106-6000</v>
      </c>
      <c r="C221" t="str">
        <f>"Rolling center"</f>
        <v>Rolling center</v>
      </c>
      <c r="D221" s="4"/>
      <c r="E221" s="4">
        <v>1</v>
      </c>
      <c r="F221" s="4"/>
      <c r="G221" s="29" t="str">
        <f>IFERROR(HYPERLINK("#"&amp;ADDRESS(MATCH(B221&amp;"ES",'LM7 Non-ENG'!$A$1:$A$5000,0),1,,,"LM7 Non-ENG"),IF(IFERROR(VLOOKUP(B221&amp;"ES",'LM7 Non-ENG'!$A$1:$A$4999,1,FALSE),"ERROR")=B221&amp;"ES","Y","")),"")</f>
        <v/>
      </c>
      <c r="H221" s="29" t="str">
        <f>IFERROR(HYPERLINK("#"&amp;ADDRESS(MATCH(B221&amp;"PT",'LM7 Non-ENG'!$A$1:$A$5000,0),1,,,"LM7 Non-ENG"),IF(IFERROR(VLOOKUP(B221&amp;"PT",'LM7 Non-ENG'!$A$1:$A$5000,1,FALSE),"ERROR")=B221&amp;"PT","Y","")),"")</f>
        <v/>
      </c>
      <c r="I221" t="str">
        <f>IFERROR(VLOOKUP(B221,PN!$A:$C,3,FALSE),"")</f>
        <v>Active</v>
      </c>
      <c r="J221" s="3">
        <f>IFERROR(E221*VLOOKUP(B221,PLInter!$A:$D,3,FALSE),"")</f>
        <v>87</v>
      </c>
      <c r="K221" s="66"/>
      <c r="L221" s="66"/>
      <c r="M221" s="66"/>
      <c r="N221" s="66"/>
      <c r="O221" s="66"/>
      <c r="P221" s="66"/>
      <c r="Q221" s="66"/>
      <c r="R221" s="66"/>
      <c r="S221" s="66"/>
      <c r="T221" s="66"/>
    </row>
    <row r="222" spans="1:20" ht="18" customHeight="1">
      <c r="B222" t="str">
        <f>"77-3143-0001"</f>
        <v>77-3143-0001</v>
      </c>
      <c r="C222" t="str">
        <f>"LM7 Content, Vir, CNC Turning w/ProTurn 9000"</f>
        <v>LM7 Content, Vir, CNC Turning w/ProTurn 9000</v>
      </c>
      <c r="D222" s="4"/>
      <c r="E222" s="4">
        <v>1</v>
      </c>
      <c r="F222" s="4"/>
      <c r="G222" s="29" t="str">
        <f>IFERROR(HYPERLINK("#"&amp;ADDRESS(MATCH(B222&amp;"ES",'LM7 Non-ENG'!$A$1:$A$5000,0),1,,,"LM7 Non-ENG"),IF(IFERROR(VLOOKUP(B222&amp;"ES",'LM7 Non-ENG'!$A$1:$A$4999,1,FALSE),"ERROR")=B222&amp;"ES","Y","")),"")</f>
        <v/>
      </c>
      <c r="H222" s="29" t="str">
        <f>IFERROR(HYPERLINK("#"&amp;ADDRESS(MATCH(B222&amp;"PT",'LM7 Non-ENG'!$A$1:$A$5000,0),1,,,"LM7 Non-ENG"),IF(IFERROR(VLOOKUP(B222&amp;"PT",'LM7 Non-ENG'!$A$1:$A$5000,1,FALSE),"ERROR")=B222&amp;"PT","Y","")),"")</f>
        <v/>
      </c>
      <c r="I222" t="str">
        <f>IFERROR(VLOOKUP(B222,PN!$A:$C,3,FALSE),"")</f>
        <v>Active</v>
      </c>
      <c r="J222" s="3">
        <f>IFERROR(E222*VLOOKUP(B222,PLInter!$A:$D,3,FALSE),"")</f>
        <v>2995</v>
      </c>
      <c r="K222" s="66"/>
      <c r="L222" s="66"/>
      <c r="M222" s="66"/>
      <c r="N222" s="66"/>
      <c r="O222" s="66"/>
      <c r="P222" s="66"/>
      <c r="Q222" s="66"/>
      <c r="R222" s="66"/>
      <c r="S222" s="66"/>
      <c r="T222" s="66"/>
    </row>
    <row r="223" spans="1:20" ht="18" customHeight="1">
      <c r="B223" s="2" t="str">
        <f>"17-3143-0001"</f>
        <v>17-3143-0001</v>
      </c>
      <c r="C223" s="2" t="str">
        <f>"LM5.X Content, Vir, CNC Turning w/ProTurn 9000"</f>
        <v>LM5.X Content, Vir, CNC Turning w/ProTurn 9000</v>
      </c>
      <c r="D223" s="5"/>
      <c r="E223" s="5">
        <v>1</v>
      </c>
      <c r="F223" s="5" t="str">
        <f>"Y"</f>
        <v>Y</v>
      </c>
      <c r="G223" s="29" t="str">
        <f>IFERROR(HYPERLINK("#"&amp;ADDRESS(MATCH(B223&amp;"ES",'LM7 Non-ENG'!$A$1:$A$5000,0),1,,,"LM7 Non-ENG"),IF(IFERROR(VLOOKUP(B223&amp;"ES",'LM7 Non-ENG'!$A$1:$A$4999,1,FALSE),"ERROR")=B223&amp;"ES","Y","")),"")</f>
        <v/>
      </c>
      <c r="H223" s="29" t="str">
        <f>IFERROR(HYPERLINK("#"&amp;ADDRESS(MATCH(B223&amp;"PT",'LM7 Non-ENG'!$A$1:$A$5000,0),1,,,"LM7 Non-ENG"),IF(IFERROR(VLOOKUP(B223&amp;"PT",'LM7 Non-ENG'!$A$1:$A$5000,1,FALSE),"ERROR")=B223&amp;"PT","Y","")),"")</f>
        <v/>
      </c>
      <c r="I223" t="str">
        <f>IFERROR(VLOOKUP(B223,PN!$A:$C,3,FALSE),"")</f>
        <v>Active</v>
      </c>
      <c r="J223" s="3">
        <f>IFERROR(E223*VLOOKUP(B223,PLInter!$A:$D,3,FALSE),"")</f>
        <v>2995</v>
      </c>
      <c r="K223" s="66"/>
      <c r="L223" s="66"/>
      <c r="M223" s="66"/>
      <c r="N223" s="66"/>
      <c r="O223" s="66"/>
      <c r="P223" s="66"/>
      <c r="Q223" s="66"/>
      <c r="R223" s="66"/>
      <c r="S223" s="66"/>
      <c r="T223" s="66"/>
    </row>
    <row r="224" spans="1:20" ht="18" customHeight="1">
      <c r="B224" s="2" t="str">
        <f>"17-3143-0002"</f>
        <v>17-3143-0002</v>
      </c>
      <c r="C224" s="2" t="str">
        <f>"LM5 Content, Vir, CNC Turning w/ProTurn 9000 (M)"</f>
        <v>LM5 Content, Vir, CNC Turning w/ProTurn 9000 (M)</v>
      </c>
      <c r="D224" s="5"/>
      <c r="E224" s="5">
        <v>1</v>
      </c>
      <c r="F224" s="5" t="str">
        <f>"Y"</f>
        <v>Y</v>
      </c>
      <c r="G224" s="29" t="str">
        <f>IFERROR(HYPERLINK("#"&amp;ADDRESS(MATCH(B224&amp;"ES",'LM7 Non-ENG'!$A$1:$A$5000,0),1,,,"LM7 Non-ENG"),IF(IFERROR(VLOOKUP(B224&amp;"ES",'LM7 Non-ENG'!$A$1:$A$4999,1,FALSE),"ERROR")=B224&amp;"ES","Y","")),"")</f>
        <v/>
      </c>
      <c r="H224" s="29" t="str">
        <f>IFERROR(HYPERLINK("#"&amp;ADDRESS(MATCH(B224&amp;"PT",'LM7 Non-ENG'!$A$1:$A$5000,0),1,,,"LM7 Non-ENG"),IF(IFERROR(VLOOKUP(B224&amp;"PT",'LM7 Non-ENG'!$A$1:$A$5000,1,FALSE),"ERROR")=B224&amp;"PT","Y","")),"")</f>
        <v/>
      </c>
      <c r="I224" t="str">
        <f>IFERROR(VLOOKUP(B224,PN!$A:$C,3,FALSE),"")</f>
        <v>Active</v>
      </c>
      <c r="J224" s="3">
        <f>IFERROR(E224*VLOOKUP(B224,PLInter!$A:$D,3,FALSE),"")</f>
        <v>2995</v>
      </c>
      <c r="K224" s="66"/>
      <c r="L224" s="66"/>
      <c r="M224" s="66"/>
      <c r="N224" s="66"/>
      <c r="O224" s="66"/>
      <c r="P224" s="66"/>
      <c r="Q224" s="66"/>
      <c r="R224" s="66"/>
      <c r="S224" s="66"/>
      <c r="T224" s="66"/>
    </row>
    <row r="225" spans="1:20" ht="18" customHeight="1">
      <c r="B225" s="2" t="str">
        <f>"77-3143-0002"</f>
        <v>77-3143-0002</v>
      </c>
      <c r="C225" s="2" t="str">
        <f>"LM7 Content, Vir, CNC Turning w/ProTurn 9000 (M)"</f>
        <v>LM7 Content, Vir, CNC Turning w/ProTurn 9000 (M)</v>
      </c>
      <c r="D225" s="5"/>
      <c r="E225" s="5">
        <v>1</v>
      </c>
      <c r="F225" s="5" t="str">
        <f>"Y"</f>
        <v>Y</v>
      </c>
      <c r="G225" s="29" t="str">
        <f>IFERROR(HYPERLINK("#"&amp;ADDRESS(MATCH(B225&amp;"ES",'LM7 Non-ENG'!$A$1:$A$5000,0),1,,,"LM7 Non-ENG"),IF(IFERROR(VLOOKUP(B225&amp;"ES",'LM7 Non-ENG'!$A$1:$A$4999,1,FALSE),"ERROR")=B225&amp;"ES","Y","")),"")</f>
        <v/>
      </c>
      <c r="H225" s="29" t="str">
        <f>IFERROR(HYPERLINK("#"&amp;ADDRESS(MATCH(B225&amp;"PT",'LM7 Non-ENG'!$A$1:$A$5000,0),1,,,"LM7 Non-ENG"),IF(IFERROR(VLOOKUP(B225&amp;"PT",'LM7 Non-ENG'!$A$1:$A$5000,1,FALSE),"ERROR")=B225&amp;"PT","Y","")),"")</f>
        <v/>
      </c>
      <c r="I225" t="str">
        <f>IFERROR(VLOOKUP(B225,PN!$A:$C,3,FALSE),"")</f>
        <v>Active</v>
      </c>
      <c r="J225" s="3">
        <f>IFERROR(E225*VLOOKUP(B225,PLInter!$A:$D,3,FALSE),"")</f>
        <v>2995</v>
      </c>
      <c r="K225" s="66"/>
      <c r="L225" s="66"/>
      <c r="M225" s="66"/>
      <c r="N225" s="66"/>
      <c r="O225" s="66"/>
      <c r="P225" s="66"/>
      <c r="Q225" s="66"/>
      <c r="R225" s="66"/>
      <c r="S225" s="66"/>
      <c r="T225" s="66"/>
    </row>
    <row r="226" spans="1:20" ht="18" customHeight="1">
      <c r="G226" s="29"/>
      <c r="H226" s="29"/>
    </row>
    <row r="227" spans="1:20" s="7" customFormat="1" ht="18" customHeight="1">
      <c r="A227" s="13" t="s">
        <v>446</v>
      </c>
      <c r="B227" s="13"/>
      <c r="C227" s="13" t="s">
        <v>447</v>
      </c>
      <c r="D227" s="14"/>
      <c r="E227" s="14"/>
      <c r="F227" s="14"/>
      <c r="G227" s="14"/>
      <c r="H227" s="14"/>
      <c r="I227" s="14"/>
      <c r="J227" s="14">
        <f>SUMIFS(J228:J242,D228:D242,"&lt;&gt;Y",F228:F242,"&lt;&gt;Y",I228:I242,"&lt;&gt;Inactive",I228:I242,"&lt;&gt;ECO+NFS")</f>
        <v>26323</v>
      </c>
      <c r="K227" s="14"/>
      <c r="L227" s="14"/>
      <c r="M227" s="14"/>
      <c r="N227" s="14"/>
      <c r="O227" s="14"/>
      <c r="P227" s="14"/>
      <c r="Q227" s="14"/>
      <c r="R227" s="14"/>
      <c r="S227" s="14"/>
      <c r="T227" s="14"/>
    </row>
    <row r="228" spans="1:20" ht="18" customHeight="1">
      <c r="A228" s="17" t="str">
        <f>HYPERLINK("#"&amp;ADDRESS(MATCH(A227,Machining!$A$1:$A$4990,0),1,,,"Machining"),"Back to Price List")</f>
        <v>Back to Price List</v>
      </c>
      <c r="B228" t="str">
        <f>"00-5501-0110"</f>
        <v>00-5501-0110</v>
      </c>
      <c r="C228" t="str">
        <f>"CNC ProTurn 9000 AC 110V"</f>
        <v>CNC ProTurn 9000 AC 110V</v>
      </c>
      <c r="D228" s="4"/>
      <c r="E228" s="4">
        <v>1</v>
      </c>
      <c r="F228" s="4"/>
      <c r="G228" s="29" t="str">
        <f>IFERROR(HYPERLINK("#"&amp;ADDRESS(MATCH(B228&amp;"ES",'LM7 Non-ENG'!$A$1:$A$5000,0),1,,,"LM7 Non-ENG"),IF(IFERROR(VLOOKUP(B228&amp;"ES",'LM7 Non-ENG'!$A$1:$A$4999,1,FALSE),"ERROR")=B228&amp;"ES","Y","")),"")</f>
        <v/>
      </c>
      <c r="H228" s="29" t="str">
        <f>IFERROR(HYPERLINK("#"&amp;ADDRESS(MATCH(B228&amp;"PT",'LM7 Non-ENG'!$A$1:$A$5000,0),1,,,"LM7 Non-ENG"),IF(IFERROR(VLOOKUP(B228&amp;"PT",'LM7 Non-ENG'!$A$1:$A$5000,1,FALSE),"ERROR")=B228&amp;"PT","Y","")),"")</f>
        <v/>
      </c>
      <c r="I228" t="str">
        <f>IFERROR(VLOOKUP(B228,PN!$A:$C,3,FALSE),"")</f>
        <v>Active</v>
      </c>
      <c r="J228" s="3">
        <f>IFERROR(E228*VLOOKUP(B228,PLInter!$A:$D,3,FALSE),"")</f>
        <v>20994</v>
      </c>
      <c r="K228" s="68" t="s">
        <v>448</v>
      </c>
      <c r="L228" s="66"/>
      <c r="M228" s="66"/>
      <c r="N228" s="66"/>
      <c r="O228" s="66"/>
      <c r="P228" s="66"/>
      <c r="Q228" s="66"/>
      <c r="R228" s="66"/>
      <c r="S228" s="66"/>
      <c r="T228" s="66"/>
    </row>
    <row r="229" spans="1:20" ht="18" customHeight="1">
      <c r="B229" s="2" t="str">
        <f>"00-5501-0220"</f>
        <v>00-5501-0220</v>
      </c>
      <c r="C229" s="2" t="str">
        <f>"CNC ProTurn 9000 AC 220V"</f>
        <v>CNC ProTurn 9000 AC 220V</v>
      </c>
      <c r="D229" s="5"/>
      <c r="E229" s="5">
        <v>0</v>
      </c>
      <c r="F229" s="5" t="str">
        <f>"Y"</f>
        <v>Y</v>
      </c>
      <c r="G229" s="29" t="str">
        <f>IFERROR(HYPERLINK("#"&amp;ADDRESS(MATCH(B229&amp;"ES",'LM7 Non-ENG'!$A$1:$A$5000,0),1,,,"LM7 Non-ENG"),IF(IFERROR(VLOOKUP(B229&amp;"ES",'LM7 Non-ENG'!$A$1:$A$4999,1,FALSE),"ERROR")=B229&amp;"ES","Y","")),"")</f>
        <v/>
      </c>
      <c r="H229" s="29" t="str">
        <f>IFERROR(HYPERLINK("#"&amp;ADDRESS(MATCH(B229&amp;"PT",'LM7 Non-ENG'!$A$1:$A$5000,0),1,,,"LM7 Non-ENG"),IF(IFERROR(VLOOKUP(B229&amp;"PT",'LM7 Non-ENG'!$A$1:$A$5000,1,FALSE),"ERROR")=B229&amp;"PT","Y","")),"")</f>
        <v/>
      </c>
      <c r="I229" t="str">
        <f>IFERROR(VLOOKUP(B229,PN!$A:$C,3,FALSE),"")</f>
        <v>Active</v>
      </c>
      <c r="J229" s="3">
        <f>IFERROR(E229*VLOOKUP(B229,PLInter!$A:$D,3,FALSE),"")</f>
        <v>0</v>
      </c>
      <c r="K229" s="66"/>
      <c r="L229" s="66"/>
      <c r="M229" s="66"/>
      <c r="N229" s="66"/>
      <c r="O229" s="66"/>
      <c r="P229" s="66"/>
      <c r="Q229" s="66"/>
      <c r="R229" s="66"/>
      <c r="S229" s="66"/>
      <c r="T229" s="66"/>
    </row>
    <row r="230" spans="1:20" ht="18" customHeight="1">
      <c r="B230" t="str">
        <f>"10-1110-1000"</f>
        <v>10-1110-1000</v>
      </c>
      <c r="C230" t="str">
        <f>"10x10mm TiN coated cutter set (replaceable tip)"</f>
        <v>10x10mm TiN coated cutter set (replaceable tip)</v>
      </c>
      <c r="D230" s="4"/>
      <c r="E230" s="4">
        <v>1</v>
      </c>
      <c r="F230" s="4"/>
      <c r="G230" s="29" t="str">
        <f>IFERROR(HYPERLINK("#"&amp;ADDRESS(MATCH(B230&amp;"ES",'LM7 Non-ENG'!$A$1:$A$5000,0),1,,,"LM7 Non-ENG"),IF(IFERROR(VLOOKUP(B230&amp;"ES",'LM7 Non-ENG'!$A$1:$A$4999,1,FALSE),"ERROR")=B230&amp;"ES","Y","")),"")</f>
        <v/>
      </c>
      <c r="H230" s="29" t="str">
        <f>IFERROR(HYPERLINK("#"&amp;ADDRESS(MATCH(B230&amp;"PT",'LM7 Non-ENG'!$A$1:$A$5000,0),1,,,"LM7 Non-ENG"),IF(IFERROR(VLOOKUP(B230&amp;"PT",'LM7 Non-ENG'!$A$1:$A$5000,1,FALSE),"ERROR")=B230&amp;"PT","Y","")),"")</f>
        <v/>
      </c>
      <c r="I230" t="str">
        <f>IFERROR(VLOOKUP(B230,PN!$A:$C,3,FALSE),"")</f>
        <v>Active</v>
      </c>
      <c r="J230" s="3">
        <f>IFERROR(E230*VLOOKUP(B230,PLInter!$A:$D,3,FALSE),"")</f>
        <v>227</v>
      </c>
      <c r="K230" s="66"/>
      <c r="L230" s="66"/>
      <c r="M230" s="66"/>
      <c r="N230" s="66"/>
      <c r="O230" s="66"/>
      <c r="P230" s="66"/>
      <c r="Q230" s="66"/>
      <c r="R230" s="66"/>
      <c r="S230" s="66"/>
      <c r="T230" s="66"/>
    </row>
    <row r="231" spans="1:20" ht="18" customHeight="1">
      <c r="B231" t="str">
        <f>"10-1110-2000"</f>
        <v>10-1110-2000</v>
      </c>
      <c r="C231" t="str">
        <f>"TiN coated tip for 011101"</f>
        <v>TiN coated tip for 011101</v>
      </c>
      <c r="D231" s="4"/>
      <c r="E231" s="4">
        <v>1</v>
      </c>
      <c r="F231" s="4"/>
      <c r="G231" s="29" t="str">
        <f>IFERROR(HYPERLINK("#"&amp;ADDRESS(MATCH(B231&amp;"ES",'LM7 Non-ENG'!$A$1:$A$5000,0),1,,,"LM7 Non-ENG"),IF(IFERROR(VLOOKUP(B231&amp;"ES",'LM7 Non-ENG'!$A$1:$A$4999,1,FALSE),"ERROR")=B231&amp;"ES","Y","")),"")</f>
        <v/>
      </c>
      <c r="H231" s="29" t="str">
        <f>IFERROR(HYPERLINK("#"&amp;ADDRESS(MATCH(B231&amp;"PT",'LM7 Non-ENG'!$A$1:$A$5000,0),1,,,"LM7 Non-ENG"),IF(IFERROR(VLOOKUP(B231&amp;"PT",'LM7 Non-ENG'!$A$1:$A$5000,1,FALSE),"ERROR")=B231&amp;"PT","Y","")),"")</f>
        <v/>
      </c>
      <c r="I231" t="str">
        <f>IFERROR(VLOOKUP(B231,PN!$A:$C,3,FALSE),"")</f>
        <v>Active</v>
      </c>
      <c r="J231" s="3">
        <f>IFERROR(E231*VLOOKUP(B231,PLInter!$A:$D,3,FALSE),"")</f>
        <v>200</v>
      </c>
      <c r="K231" s="66"/>
      <c r="L231" s="66"/>
      <c r="M231" s="66"/>
      <c r="N231" s="66"/>
      <c r="O231" s="66"/>
      <c r="P231" s="66"/>
      <c r="Q231" s="66"/>
      <c r="R231" s="66"/>
      <c r="S231" s="66"/>
      <c r="T231" s="66"/>
    </row>
    <row r="232" spans="1:20" ht="18" customHeight="1">
      <c r="B232" t="str">
        <f>"10-1105-7000"</f>
        <v>10-1105-7000</v>
      </c>
      <c r="C232" t="str">
        <f>"Drill Chuck for Tailstock MT2 13mm"</f>
        <v>Drill Chuck for Tailstock MT2 13mm</v>
      </c>
      <c r="D232" s="4"/>
      <c r="E232" s="4">
        <v>1</v>
      </c>
      <c r="F232" s="4"/>
      <c r="G232" s="29" t="str">
        <f>IFERROR(HYPERLINK("#"&amp;ADDRESS(MATCH(B232&amp;"ES",'LM7 Non-ENG'!$A$1:$A$5000,0),1,,,"LM7 Non-ENG"),IF(IFERROR(VLOOKUP(B232&amp;"ES",'LM7 Non-ENG'!$A$1:$A$4999,1,FALSE),"ERROR")=B232&amp;"ES","Y","")),"")</f>
        <v/>
      </c>
      <c r="H232" s="29" t="str">
        <f>IFERROR(HYPERLINK("#"&amp;ADDRESS(MATCH(B232&amp;"PT",'LM7 Non-ENG'!$A$1:$A$5000,0),1,,,"LM7 Non-ENG"),IF(IFERROR(VLOOKUP(B232&amp;"PT",'LM7 Non-ENG'!$A$1:$A$5000,1,FALSE),"ERROR")=B232&amp;"PT","Y","")),"")</f>
        <v/>
      </c>
      <c r="I232" t="str">
        <f>IFERROR(VLOOKUP(B232,PN!$A:$C,3,FALSE),"")</f>
        <v>Active</v>
      </c>
      <c r="J232" s="3">
        <f>IFERROR(E232*VLOOKUP(B232,PLInter!$A:$D,3,FALSE),"")</f>
        <v>74</v>
      </c>
      <c r="K232" s="66"/>
      <c r="L232" s="66"/>
      <c r="M232" s="66"/>
      <c r="N232" s="66"/>
      <c r="O232" s="66"/>
      <c r="P232" s="66"/>
      <c r="Q232" s="66"/>
      <c r="R232" s="66"/>
      <c r="S232" s="66"/>
      <c r="T232" s="66"/>
    </row>
    <row r="233" spans="1:20" ht="18" customHeight="1">
      <c r="B233" t="str">
        <f>"10-1106-6000"</f>
        <v>10-1106-6000</v>
      </c>
      <c r="C233" t="str">
        <f>"Rolling center"</f>
        <v>Rolling center</v>
      </c>
      <c r="D233" s="4"/>
      <c r="E233" s="4">
        <v>1</v>
      </c>
      <c r="F233" s="4"/>
      <c r="G233" s="29" t="str">
        <f>IFERROR(HYPERLINK("#"&amp;ADDRESS(MATCH(B233&amp;"ES",'LM7 Non-ENG'!$A$1:$A$5000,0),1,,,"LM7 Non-ENG"),IF(IFERROR(VLOOKUP(B233&amp;"ES",'LM7 Non-ENG'!$A$1:$A$4999,1,FALSE),"ERROR")=B233&amp;"ES","Y","")),"")</f>
        <v/>
      </c>
      <c r="H233" s="29" t="str">
        <f>IFERROR(HYPERLINK("#"&amp;ADDRESS(MATCH(B233&amp;"PT",'LM7 Non-ENG'!$A$1:$A$5000,0),1,,,"LM7 Non-ENG"),IF(IFERROR(VLOOKUP(B233&amp;"PT",'LM7 Non-ENG'!$A$1:$A$5000,1,FALSE),"ERROR")=B233&amp;"PT","Y","")),"")</f>
        <v/>
      </c>
      <c r="I233" t="str">
        <f>IFERROR(VLOOKUP(B233,PN!$A:$C,3,FALSE),"")</f>
        <v>Active</v>
      </c>
      <c r="J233" s="3">
        <f>IFERROR(E233*VLOOKUP(B233,PLInter!$A:$D,3,FALSE),"")</f>
        <v>87</v>
      </c>
      <c r="K233" s="66"/>
      <c r="L233" s="66"/>
      <c r="M233" s="66"/>
      <c r="N233" s="66"/>
      <c r="O233" s="66"/>
      <c r="P233" s="66"/>
      <c r="Q233" s="66"/>
      <c r="R233" s="66"/>
      <c r="S233" s="66"/>
      <c r="T233" s="66"/>
    </row>
    <row r="234" spans="1:20" ht="18" customHeight="1">
      <c r="B234" t="str">
        <f>"10-1106-7000"</f>
        <v>10-1106-7000</v>
      </c>
      <c r="C234" t="str">
        <f>"100mm 4-jaw chuck (independent)"</f>
        <v>100mm 4-jaw chuck (independent)</v>
      </c>
      <c r="D234" s="4"/>
      <c r="E234" s="4">
        <v>1</v>
      </c>
      <c r="F234" s="4"/>
      <c r="G234" s="29" t="str">
        <f>IFERROR(HYPERLINK("#"&amp;ADDRESS(MATCH(B234&amp;"ES",'LM7 Non-ENG'!$A$1:$A$5000,0),1,,,"LM7 Non-ENG"),IF(IFERROR(VLOOKUP(B234&amp;"ES",'LM7 Non-ENG'!$A$1:$A$4999,1,FALSE),"ERROR")=B234&amp;"ES","Y","")),"")</f>
        <v/>
      </c>
      <c r="H234" s="29" t="str">
        <f>IFERROR(HYPERLINK("#"&amp;ADDRESS(MATCH(B234&amp;"PT",'LM7 Non-ENG'!$A$1:$A$5000,0),1,,,"LM7 Non-ENG"),IF(IFERROR(VLOOKUP(B234&amp;"PT",'LM7 Non-ENG'!$A$1:$A$5000,1,FALSE),"ERROR")=B234&amp;"PT","Y","")),"")</f>
        <v/>
      </c>
      <c r="I234" t="str">
        <f>IFERROR(VLOOKUP(B234,PN!$A:$C,3,FALSE),"")</f>
        <v>Active</v>
      </c>
      <c r="J234" s="3">
        <f>IFERROR(E234*VLOOKUP(B234,PLInter!$A:$D,3,FALSE),"")</f>
        <v>231</v>
      </c>
      <c r="K234" s="66"/>
      <c r="L234" s="66"/>
      <c r="M234" s="66"/>
      <c r="N234" s="66"/>
      <c r="O234" s="66"/>
      <c r="P234" s="66"/>
      <c r="Q234" s="66"/>
      <c r="R234" s="66"/>
      <c r="S234" s="66"/>
      <c r="T234" s="66"/>
    </row>
    <row r="235" spans="1:20" ht="18" customHeight="1">
      <c r="B235" t="str">
        <f>"10-1111-1000"</f>
        <v>10-1111-1000</v>
      </c>
      <c r="C235" t="str">
        <f>"Jog Pendant Handwheel"</f>
        <v>Jog Pendant Handwheel</v>
      </c>
      <c r="D235" s="4"/>
      <c r="E235" s="4">
        <v>1</v>
      </c>
      <c r="F235" s="4"/>
      <c r="G235" s="29" t="str">
        <f>IFERROR(HYPERLINK("#"&amp;ADDRESS(MATCH(B235&amp;"ES",'LM7 Non-ENG'!$A$1:$A$5000,0),1,,,"LM7 Non-ENG"),IF(IFERROR(VLOOKUP(B235&amp;"ES",'LM7 Non-ENG'!$A$1:$A$4999,1,FALSE),"ERROR")=B235&amp;"ES","Y","")),"")</f>
        <v/>
      </c>
      <c r="H235" s="29" t="str">
        <f>IFERROR(HYPERLINK("#"&amp;ADDRESS(MATCH(B235&amp;"PT",'LM7 Non-ENG'!$A$1:$A$5000,0),1,,,"LM7 Non-ENG"),IF(IFERROR(VLOOKUP(B235&amp;"PT",'LM7 Non-ENG'!$A$1:$A$5000,1,FALSE),"ERROR")=B235&amp;"PT","Y","")),"")</f>
        <v/>
      </c>
      <c r="I235" t="str">
        <f>IFERROR(VLOOKUP(B235,PN!$A:$C,3,FALSE),"")</f>
        <v>Active</v>
      </c>
      <c r="J235" s="3">
        <f>IFERROR(E235*VLOOKUP(B235,PLInter!$A:$D,3,FALSE),"")</f>
        <v>795</v>
      </c>
      <c r="K235" s="66"/>
      <c r="L235" s="66"/>
      <c r="M235" s="66"/>
      <c r="N235" s="66"/>
      <c r="O235" s="66"/>
      <c r="P235" s="66"/>
      <c r="Q235" s="66"/>
      <c r="R235" s="66"/>
      <c r="S235" s="66"/>
      <c r="T235" s="66"/>
    </row>
    <row r="236" spans="1:20" ht="18" customHeight="1">
      <c r="B236" t="str">
        <f>"10-1108-1110"</f>
        <v>10-1108-1110</v>
      </c>
      <c r="C236" t="str">
        <f>"Coolant system 27L - 110V"</f>
        <v>Coolant system 27L - 110V</v>
      </c>
      <c r="D236" s="4"/>
      <c r="E236" s="4">
        <v>1</v>
      </c>
      <c r="F236" s="4"/>
      <c r="G236" s="29" t="str">
        <f>IFERROR(HYPERLINK("#"&amp;ADDRESS(MATCH(B236&amp;"ES",'LM7 Non-ENG'!$A$1:$A$5000,0),1,,,"LM7 Non-ENG"),IF(IFERROR(VLOOKUP(B236&amp;"ES",'LM7 Non-ENG'!$A$1:$A$4999,1,FALSE),"ERROR")=B236&amp;"ES","Y","")),"")</f>
        <v/>
      </c>
      <c r="H236" s="29" t="str">
        <f>IFERROR(HYPERLINK("#"&amp;ADDRESS(MATCH(B236&amp;"PT",'LM7 Non-ENG'!$A$1:$A$5000,0),1,,,"LM7 Non-ENG"),IF(IFERROR(VLOOKUP(B236&amp;"PT",'LM7 Non-ENG'!$A$1:$A$5000,1,FALSE),"ERROR")=B236&amp;"PT","Y","")),"")</f>
        <v/>
      </c>
      <c r="I236" t="str">
        <f>IFERROR(VLOOKUP(B236,PN!$A:$C,3,FALSE),"")</f>
        <v>Active</v>
      </c>
      <c r="J236" s="3">
        <f>IFERROR(E236*VLOOKUP(B236,PLInter!$A:$D,3,FALSE),"")</f>
        <v>407</v>
      </c>
      <c r="K236" s="66"/>
      <c r="L236" s="66"/>
      <c r="M236" s="66"/>
      <c r="N236" s="66"/>
      <c r="O236" s="66"/>
      <c r="P236" s="66"/>
      <c r="Q236" s="66"/>
      <c r="R236" s="66"/>
      <c r="S236" s="66"/>
      <c r="T236" s="66"/>
    </row>
    <row r="237" spans="1:20" ht="18" customHeight="1">
      <c r="B237" s="2" t="str">
        <f>"10-1108-1220"</f>
        <v>10-1108-1220</v>
      </c>
      <c r="C237" s="2" t="str">
        <f>"Coolant system 27L - 220V"</f>
        <v>Coolant system 27L - 220V</v>
      </c>
      <c r="D237" s="5"/>
      <c r="E237" s="5">
        <v>1</v>
      </c>
      <c r="F237" s="5" t="str">
        <f>"Y"</f>
        <v>Y</v>
      </c>
      <c r="G237" s="29" t="str">
        <f>IFERROR(HYPERLINK("#"&amp;ADDRESS(MATCH(B237&amp;"ES",'LM7 Non-ENG'!$A$1:$A$5000,0),1,,,"LM7 Non-ENG"),IF(IFERROR(VLOOKUP(B237&amp;"ES",'LM7 Non-ENG'!$A$1:$A$4999,1,FALSE),"ERROR")=B237&amp;"ES","Y","")),"")</f>
        <v/>
      </c>
      <c r="H237" s="29" t="str">
        <f>IFERROR(HYPERLINK("#"&amp;ADDRESS(MATCH(B237&amp;"PT",'LM7 Non-ENG'!$A$1:$A$5000,0),1,,,"LM7 Non-ENG"),IF(IFERROR(VLOOKUP(B237&amp;"PT",'LM7 Non-ENG'!$A$1:$A$5000,1,FALSE),"ERROR")=B237&amp;"PT","Y","")),"")</f>
        <v/>
      </c>
      <c r="I237" t="str">
        <f>IFERROR(VLOOKUP(B237,PN!$A:$C,3,FALSE),"")</f>
        <v>Active</v>
      </c>
      <c r="J237" s="3">
        <f>IFERROR(E237*VLOOKUP(B237,PLInter!$A:$D,3,FALSE),"")</f>
        <v>407</v>
      </c>
      <c r="K237" s="66"/>
      <c r="L237" s="66"/>
      <c r="M237" s="66"/>
      <c r="N237" s="66"/>
      <c r="O237" s="66"/>
      <c r="P237" s="66"/>
      <c r="Q237" s="66"/>
      <c r="R237" s="66"/>
      <c r="S237" s="66"/>
      <c r="T237" s="66"/>
    </row>
    <row r="238" spans="1:20" ht="18" customHeight="1">
      <c r="B238" t="str">
        <f>"10-1105-5000"</f>
        <v>10-1105-5000</v>
      </c>
      <c r="C238" t="str">
        <f>"Computer and monitor stand (attached to machine)"</f>
        <v>Computer and monitor stand (attached to machine)</v>
      </c>
      <c r="D238" s="4"/>
      <c r="E238" s="4">
        <v>1</v>
      </c>
      <c r="F238" s="4"/>
      <c r="G238" s="29" t="str">
        <f>IFERROR(HYPERLINK("#"&amp;ADDRESS(MATCH(B238&amp;"ES",'LM7 Non-ENG'!$A$1:$A$5000,0),1,,,"LM7 Non-ENG"),IF(IFERROR(VLOOKUP(B238&amp;"ES",'LM7 Non-ENG'!$A$1:$A$4999,1,FALSE),"ERROR")=B238&amp;"ES","Y","")),"")</f>
        <v/>
      </c>
      <c r="H238" s="29" t="str">
        <f>IFERROR(HYPERLINK("#"&amp;ADDRESS(MATCH(B238&amp;"PT",'LM7 Non-ENG'!$A$1:$A$5000,0),1,,,"LM7 Non-ENG"),IF(IFERROR(VLOOKUP(B238&amp;"PT",'LM7 Non-ENG'!$A$1:$A$5000,1,FALSE),"ERROR")=B238&amp;"PT","Y","")),"")</f>
        <v/>
      </c>
      <c r="I238" t="str">
        <f>IFERROR(VLOOKUP(B238,PN!$A:$C,3,FALSE),"")</f>
        <v>Active</v>
      </c>
      <c r="J238" s="3">
        <f>IFERROR(E238*VLOOKUP(B238,PLInter!$A:$D,3,FALSE),"")</f>
        <v>313</v>
      </c>
      <c r="K238" s="66"/>
      <c r="L238" s="66"/>
      <c r="M238" s="66"/>
      <c r="N238" s="66"/>
      <c r="O238" s="66"/>
      <c r="P238" s="66"/>
      <c r="Q238" s="66"/>
      <c r="R238" s="66"/>
      <c r="S238" s="66"/>
      <c r="T238" s="66"/>
    </row>
    <row r="239" spans="1:20" ht="18" customHeight="1">
      <c r="B239" t="str">
        <f>"77-3143-0001"</f>
        <v>77-3143-0001</v>
      </c>
      <c r="C239" t="str">
        <f>"LM7 Content, Vir, CNC Turning w/ProTurn 9000"</f>
        <v>LM7 Content, Vir, CNC Turning w/ProTurn 9000</v>
      </c>
      <c r="D239" s="4"/>
      <c r="E239" s="4">
        <v>1</v>
      </c>
      <c r="F239" s="4"/>
      <c r="G239" s="29" t="str">
        <f>IFERROR(HYPERLINK("#"&amp;ADDRESS(MATCH(B239&amp;"ES",'LM7 Non-ENG'!$A$1:$A$5000,0),1,,,"LM7 Non-ENG"),IF(IFERROR(VLOOKUP(B239&amp;"ES",'LM7 Non-ENG'!$A$1:$A$4999,1,FALSE),"ERROR")=B239&amp;"ES","Y","")),"")</f>
        <v/>
      </c>
      <c r="H239" s="29" t="str">
        <f>IFERROR(HYPERLINK("#"&amp;ADDRESS(MATCH(B239&amp;"PT",'LM7 Non-ENG'!$A$1:$A$5000,0),1,,,"LM7 Non-ENG"),IF(IFERROR(VLOOKUP(B239&amp;"PT",'LM7 Non-ENG'!$A$1:$A$5000,1,FALSE),"ERROR")=B239&amp;"PT","Y","")),"")</f>
        <v/>
      </c>
      <c r="I239" t="str">
        <f>IFERROR(VLOOKUP(B239,PN!$A:$C,3,FALSE),"")</f>
        <v>Active</v>
      </c>
      <c r="J239" s="3">
        <f>IFERROR(E239*VLOOKUP(B239,PLInter!$A:$D,3,FALSE),"")</f>
        <v>2995</v>
      </c>
      <c r="K239" s="66"/>
      <c r="L239" s="66"/>
      <c r="M239" s="66"/>
      <c r="N239" s="66"/>
      <c r="O239" s="66"/>
      <c r="P239" s="66"/>
      <c r="Q239" s="66"/>
      <c r="R239" s="66"/>
      <c r="S239" s="66"/>
      <c r="T239" s="66"/>
    </row>
    <row r="240" spans="1:20" ht="18" customHeight="1">
      <c r="B240" s="2" t="str">
        <f>"17-3143-0001"</f>
        <v>17-3143-0001</v>
      </c>
      <c r="C240" s="2" t="str">
        <f>"LM5.X Content, Vir, CNC Turning w/ProTurn 9000"</f>
        <v>LM5.X Content, Vir, CNC Turning w/ProTurn 9000</v>
      </c>
      <c r="D240" s="5"/>
      <c r="E240" s="5">
        <v>1</v>
      </c>
      <c r="F240" s="5" t="str">
        <f>"Y"</f>
        <v>Y</v>
      </c>
      <c r="G240" s="29" t="str">
        <f>IFERROR(HYPERLINK("#"&amp;ADDRESS(MATCH(B240&amp;"ES",'LM7 Non-ENG'!$A$1:$A$5000,0),1,,,"LM7 Non-ENG"),IF(IFERROR(VLOOKUP(B240&amp;"ES",'LM7 Non-ENG'!$A$1:$A$4999,1,FALSE),"ERROR")=B240&amp;"ES","Y","")),"")</f>
        <v/>
      </c>
      <c r="H240" s="29" t="str">
        <f>IFERROR(HYPERLINK("#"&amp;ADDRESS(MATCH(B240&amp;"PT",'LM7 Non-ENG'!$A$1:$A$5000,0),1,,,"LM7 Non-ENG"),IF(IFERROR(VLOOKUP(B240&amp;"PT",'LM7 Non-ENG'!$A$1:$A$5000,1,FALSE),"ERROR")=B240&amp;"PT","Y","")),"")</f>
        <v/>
      </c>
      <c r="I240" t="str">
        <f>IFERROR(VLOOKUP(B240,PN!$A:$C,3,FALSE),"")</f>
        <v>Active</v>
      </c>
      <c r="J240" s="3">
        <f>IFERROR(E240*VLOOKUP(B240,PLInter!$A:$D,3,FALSE),"")</f>
        <v>2995</v>
      </c>
      <c r="K240" s="66"/>
      <c r="L240" s="66"/>
      <c r="M240" s="66"/>
      <c r="N240" s="66"/>
      <c r="O240" s="66"/>
      <c r="P240" s="66"/>
      <c r="Q240" s="66"/>
      <c r="R240" s="66"/>
      <c r="S240" s="66"/>
      <c r="T240" s="66"/>
    </row>
    <row r="241" spans="1:20" ht="18" customHeight="1">
      <c r="B241" s="2" t="str">
        <f>"17-3143-0002"</f>
        <v>17-3143-0002</v>
      </c>
      <c r="C241" s="2" t="str">
        <f>"LM5 Content, Vir, CNC Turning w/ProTurn 9000 (M)"</f>
        <v>LM5 Content, Vir, CNC Turning w/ProTurn 9000 (M)</v>
      </c>
      <c r="D241" s="5"/>
      <c r="E241" s="5">
        <v>1</v>
      </c>
      <c r="F241" s="5" t="str">
        <f>"Y"</f>
        <v>Y</v>
      </c>
      <c r="G241" s="29" t="str">
        <f>IFERROR(HYPERLINK("#"&amp;ADDRESS(MATCH(B241&amp;"ES",'LM7 Non-ENG'!$A$1:$A$5000,0),1,,,"LM7 Non-ENG"),IF(IFERROR(VLOOKUP(B241&amp;"ES",'LM7 Non-ENG'!$A$1:$A$4999,1,FALSE),"ERROR")=B241&amp;"ES","Y","")),"")</f>
        <v/>
      </c>
      <c r="H241" s="29" t="str">
        <f>IFERROR(HYPERLINK("#"&amp;ADDRESS(MATCH(B241&amp;"PT",'LM7 Non-ENG'!$A$1:$A$5000,0),1,,,"LM7 Non-ENG"),IF(IFERROR(VLOOKUP(B241&amp;"PT",'LM7 Non-ENG'!$A$1:$A$5000,1,FALSE),"ERROR")=B241&amp;"PT","Y","")),"")</f>
        <v/>
      </c>
      <c r="I241" t="str">
        <f>IFERROR(VLOOKUP(B241,PN!$A:$C,3,FALSE),"")</f>
        <v>Active</v>
      </c>
      <c r="J241" s="3">
        <f>IFERROR(E241*VLOOKUP(B241,PLInter!$A:$D,3,FALSE),"")</f>
        <v>2995</v>
      </c>
      <c r="K241" s="66"/>
      <c r="L241" s="66"/>
      <c r="M241" s="66"/>
      <c r="N241" s="66"/>
      <c r="O241" s="66"/>
      <c r="P241" s="66"/>
      <c r="Q241" s="66"/>
      <c r="R241" s="66"/>
      <c r="S241" s="66"/>
      <c r="T241" s="66"/>
    </row>
    <row r="242" spans="1:20" ht="18" customHeight="1">
      <c r="B242" s="2" t="str">
        <f>"77-3143-0002"</f>
        <v>77-3143-0002</v>
      </c>
      <c r="C242" s="2" t="str">
        <f>"LM7 Content, Vir, CNC Turning w/ProTurn 9000 (M)"</f>
        <v>LM7 Content, Vir, CNC Turning w/ProTurn 9000 (M)</v>
      </c>
      <c r="D242" s="5"/>
      <c r="E242" s="5">
        <v>1</v>
      </c>
      <c r="F242" s="5" t="str">
        <f>"Y"</f>
        <v>Y</v>
      </c>
      <c r="G242" s="29" t="str">
        <f>IFERROR(HYPERLINK("#"&amp;ADDRESS(MATCH(B242&amp;"ES",'LM7 Non-ENG'!$A$1:$A$5000,0),1,,,"LM7 Non-ENG"),IF(IFERROR(VLOOKUP(B242&amp;"ES",'LM7 Non-ENG'!$A$1:$A$4999,1,FALSE),"ERROR")=B242&amp;"ES","Y","")),"")</f>
        <v/>
      </c>
      <c r="H242" s="29" t="str">
        <f>IFERROR(HYPERLINK("#"&amp;ADDRESS(MATCH(B242&amp;"PT",'LM7 Non-ENG'!$A$1:$A$5000,0),1,,,"LM7 Non-ENG"),IF(IFERROR(VLOOKUP(B242&amp;"PT",'LM7 Non-ENG'!$A$1:$A$5000,1,FALSE),"ERROR")=B242&amp;"PT","Y","")),"")</f>
        <v/>
      </c>
      <c r="I242" t="str">
        <f>IFERROR(VLOOKUP(B242,PN!$A:$C,3,FALSE),"")</f>
        <v>Active</v>
      </c>
      <c r="J242" s="3">
        <f>IFERROR(E242*VLOOKUP(B242,PLInter!$A:$D,3,FALSE),"")</f>
        <v>2995</v>
      </c>
      <c r="K242" s="66"/>
      <c r="L242" s="66"/>
      <c r="M242" s="66"/>
      <c r="N242" s="66"/>
      <c r="O242" s="66"/>
      <c r="P242" s="66"/>
      <c r="Q242" s="66"/>
      <c r="R242" s="66"/>
      <c r="S242" s="66"/>
      <c r="T242" s="66"/>
    </row>
    <row r="243" spans="1:20" ht="18" customHeight="1">
      <c r="G243" s="29"/>
      <c r="H243" s="29"/>
    </row>
    <row r="244" spans="1:20" s="7" customFormat="1" ht="18" customHeight="1">
      <c r="A244" s="13" t="s">
        <v>605</v>
      </c>
      <c r="B244" s="13"/>
      <c r="C244" s="13" t="s">
        <v>606</v>
      </c>
      <c r="D244" s="14"/>
      <c r="E244" s="14"/>
      <c r="F244" s="14"/>
      <c r="G244" s="14"/>
      <c r="H244" s="14"/>
      <c r="I244" s="14"/>
      <c r="J244" s="14">
        <f>SUMIFS(J245:J247,D245:D247,"&lt;&gt;Y",F245:F247,"&lt;&gt;Y",I245:I247,"&lt;&gt;Inactive",I245:I247,"&lt;&gt;ECO+NFS")</f>
        <v>27495</v>
      </c>
      <c r="K244" s="14"/>
      <c r="L244" s="14"/>
      <c r="M244" s="14"/>
      <c r="N244" s="14"/>
      <c r="O244" s="14"/>
      <c r="P244" s="14"/>
      <c r="Q244" s="14"/>
      <c r="R244" s="14"/>
      <c r="S244" s="14"/>
      <c r="T244" s="14"/>
    </row>
    <row r="245" spans="1:20" ht="18" customHeight="1">
      <c r="A245" s="17" t="str">
        <f>HYPERLINK("#"&amp;ADDRESS(MATCH(A244,Machining!$A$1:$A$4990,0),1,,,"Machining"),"Back to Price List")</f>
        <v>Back to Price List</v>
      </c>
      <c r="B245" t="str">
        <f>"00-4006-0000"</f>
        <v>00-4006-0000</v>
      </c>
      <c r="C245" t="str">
        <f>"Thermoforming Machine 911"</f>
        <v>Thermoforming Machine 911</v>
      </c>
      <c r="D245" s="4"/>
      <c r="E245" s="4">
        <v>1</v>
      </c>
      <c r="F245" s="4"/>
      <c r="G245" s="29" t="str">
        <f>IFERROR(HYPERLINK("#"&amp;ADDRESS(MATCH(B245&amp;"ES",'LM7 Non-ENG'!$A$1:$A$5000,0),1,,,"LM7 Non-ENG"),IF(IFERROR(VLOOKUP(B245&amp;"ES",'LM7 Non-ENG'!$A$1:$A$4999,1,FALSE),"ERROR")=B245&amp;"ES","Y","")),"")</f>
        <v/>
      </c>
      <c r="H245" s="29" t="str">
        <f>IFERROR(HYPERLINK("#"&amp;ADDRESS(MATCH(B245&amp;"PT",'LM7 Non-ENG'!$A$1:$A$5000,0),1,,,"LM7 Non-ENG"),IF(IFERROR(VLOOKUP(B245&amp;"PT",'LM7 Non-ENG'!$A$1:$A$5000,1,FALSE),"ERROR")=B245&amp;"PT","Y","")),"")</f>
        <v/>
      </c>
      <c r="I245" t="str">
        <f>IFERROR(VLOOKUP(B245,PN!$A:$C,3,FALSE),"")</f>
        <v>Active</v>
      </c>
      <c r="J245" s="3">
        <f>IFERROR(E245*VLOOKUP(B245,PLInter!$A:$D,3,FALSE),"")</f>
        <v>25000</v>
      </c>
      <c r="K245" s="68" t="s">
        <v>607</v>
      </c>
      <c r="L245" s="68"/>
      <c r="M245" s="68"/>
      <c r="N245" s="68"/>
      <c r="O245" s="68"/>
      <c r="P245" s="68"/>
      <c r="Q245" s="68"/>
      <c r="R245" s="68"/>
      <c r="S245" s="68"/>
      <c r="T245" s="68"/>
    </row>
    <row r="246" spans="1:20" ht="18" customHeight="1">
      <c r="B246" t="str">
        <f>"00-4008-0000"</f>
        <v>00-4008-0000</v>
      </c>
      <c r="C246" t="str">
        <f>"Accessories for thermoforming,  AMT"</f>
        <v>Accessories for thermoforming,  AMT</v>
      </c>
      <c r="D246" s="4"/>
      <c r="E246" s="4">
        <v>1</v>
      </c>
      <c r="F246" s="4"/>
      <c r="G246" s="29" t="str">
        <f>IFERROR(HYPERLINK("#"&amp;ADDRESS(MATCH(B246&amp;"ES",'LM7 Non-ENG'!$A$1:$A$5000,0),1,,,"LM7 Non-ENG"),IF(IFERROR(VLOOKUP(B246&amp;"ES",'LM7 Non-ENG'!$A$1:$A$4999,1,FALSE),"ERROR")=B246&amp;"ES","Y","")),"")</f>
        <v/>
      </c>
      <c r="H246" s="29" t="str">
        <f>IFERROR(HYPERLINK("#"&amp;ADDRESS(MATCH(B246&amp;"PT",'LM7 Non-ENG'!$A$1:$A$5000,0),1,,,"LM7 Non-ENG"),IF(IFERROR(VLOOKUP(B246&amp;"PT",'LM7 Non-ENG'!$A$1:$A$5000,1,FALSE),"ERROR")=B246&amp;"PT","Y","")),"")</f>
        <v/>
      </c>
      <c r="I246" t="str">
        <f>IFERROR(VLOOKUP(B246,PN!$A:$C,3,FALSE),"")</f>
        <v>Active</v>
      </c>
      <c r="J246" s="3" t="str">
        <f>IFERROR(E246*VLOOKUP(B246,PLInter!$A:$D,3,FALSE),"")</f>
        <v/>
      </c>
      <c r="K246" s="68"/>
      <c r="L246" s="68"/>
      <c r="M246" s="68"/>
      <c r="N246" s="68"/>
      <c r="O246" s="68"/>
      <c r="P246" s="68"/>
      <c r="Q246" s="68"/>
      <c r="R246" s="68"/>
      <c r="S246" s="68"/>
      <c r="T246" s="68"/>
    </row>
    <row r="247" spans="1:20" ht="18" customHeight="1">
      <c r="B247" t="str">
        <f>"77-8057-0000"</f>
        <v>77-8057-0000</v>
      </c>
      <c r="C247" t="str">
        <f>"LM7 Content, Lab/Vir, Plastics Thermoforming"</f>
        <v>LM7 Content, Lab/Vir, Plastics Thermoforming</v>
      </c>
      <c r="D247" s="4"/>
      <c r="E247" s="4">
        <v>1</v>
      </c>
      <c r="F247" s="4"/>
      <c r="G247" s="29" t="str">
        <f>IFERROR(HYPERLINK("#"&amp;ADDRESS(MATCH(B247&amp;"ES",'LM7 Non-ENG'!$A$1:$A$5000,0),1,,,"LM7 Non-ENG"),IF(IFERROR(VLOOKUP(B247&amp;"ES",'LM7 Non-ENG'!$A$1:$A$4999,1,FALSE),"ERROR")=B247&amp;"ES","Y","")),"")</f>
        <v>Y</v>
      </c>
      <c r="H247" s="29" t="str">
        <f>IFERROR(HYPERLINK("#"&amp;ADDRESS(MATCH(B247&amp;"PT",'LM7 Non-ENG'!$A$1:$A$5000,0),1,,,"LM7 Non-ENG"),IF(IFERROR(VLOOKUP(B247&amp;"PT",'LM7 Non-ENG'!$A$1:$A$5000,1,FALSE),"ERROR")=B247&amp;"PT","Y","")),"")</f>
        <v/>
      </c>
      <c r="I247" t="str">
        <f>IFERROR(VLOOKUP(B247,PN!$A:$C,3,FALSE),"")</f>
        <v>Active</v>
      </c>
      <c r="J247" s="3">
        <f>IFERROR(E247*VLOOKUP(B247,PLInter!$A:$D,3,FALSE),"")</f>
        <v>2495</v>
      </c>
      <c r="K247" s="68"/>
      <c r="L247" s="68"/>
      <c r="M247" s="68"/>
      <c r="N247" s="68"/>
      <c r="O247" s="68"/>
      <c r="P247" s="68"/>
      <c r="Q247" s="68"/>
      <c r="R247" s="68"/>
      <c r="S247" s="68"/>
      <c r="T247" s="68"/>
    </row>
    <row r="248" spans="1:20" ht="18" customHeight="1">
      <c r="G248" s="29"/>
      <c r="H248" s="29"/>
      <c r="K248" s="68"/>
      <c r="L248" s="68"/>
      <c r="M248" s="68"/>
      <c r="N248" s="68"/>
      <c r="O248" s="68"/>
      <c r="P248" s="68"/>
      <c r="Q248" s="68"/>
      <c r="R248" s="68"/>
      <c r="S248" s="68"/>
      <c r="T248" s="68"/>
    </row>
    <row r="249" spans="1:20" ht="18" customHeight="1">
      <c r="G249" s="29"/>
      <c r="H249" s="29"/>
    </row>
    <row r="250" spans="1:20" ht="18" customHeight="1">
      <c r="G250" s="29"/>
      <c r="H250" s="29"/>
    </row>
    <row r="251" spans="1:20" ht="18" customHeight="1">
      <c r="G251" s="29"/>
      <c r="H251" s="29"/>
    </row>
    <row r="252" spans="1:20" ht="18" customHeight="1">
      <c r="G252" s="29"/>
      <c r="H252" s="29"/>
    </row>
    <row r="253" spans="1:20" ht="18" customHeight="1">
      <c r="G253" s="29"/>
      <c r="H253" s="29"/>
    </row>
    <row r="254" spans="1:20" ht="18" customHeight="1">
      <c r="G254" s="29"/>
      <c r="H254" s="29"/>
    </row>
    <row r="255" spans="1:20" ht="18" customHeight="1">
      <c r="G255" s="29"/>
      <c r="H255" s="29"/>
    </row>
    <row r="256" spans="1:20" ht="18" customHeight="1">
      <c r="G256" s="29"/>
      <c r="H256" s="29"/>
    </row>
    <row r="257" spans="7:8" ht="18" customHeight="1">
      <c r="G257" s="29"/>
      <c r="H257" s="29"/>
    </row>
    <row r="258" spans="7:8" ht="18" customHeight="1">
      <c r="G258" s="29"/>
      <c r="H258" s="29"/>
    </row>
    <row r="259" spans="7:8" ht="18" customHeight="1">
      <c r="G259" s="29"/>
      <c r="H259" s="29"/>
    </row>
    <row r="260" spans="7:8" ht="18" customHeight="1">
      <c r="G260" s="29"/>
      <c r="H260" s="29"/>
    </row>
    <row r="261" spans="7:8" ht="18" customHeight="1">
      <c r="G261" s="29"/>
      <c r="H261" s="29"/>
    </row>
    <row r="262" spans="7:8" ht="18" customHeight="1">
      <c r="G262" s="29"/>
      <c r="H262" s="29"/>
    </row>
    <row r="263" spans="7:8" ht="18" customHeight="1">
      <c r="G263" s="29"/>
      <c r="H263" s="29"/>
    </row>
    <row r="264" spans="7:8" ht="18" customHeight="1">
      <c r="G264" s="29"/>
      <c r="H264" s="29"/>
    </row>
    <row r="265" spans="7:8" ht="18" customHeight="1">
      <c r="G265" s="29"/>
      <c r="H265" s="29"/>
    </row>
    <row r="266" spans="7:8" ht="18" customHeight="1">
      <c r="G266" s="29"/>
      <c r="H266" s="29"/>
    </row>
    <row r="267" spans="7:8" ht="18" customHeight="1">
      <c r="G267" s="29"/>
      <c r="H267" s="29"/>
    </row>
    <row r="268" spans="7:8" ht="18" customHeight="1">
      <c r="G268" s="29"/>
      <c r="H268" s="29"/>
    </row>
    <row r="269" spans="7:8" ht="18" customHeight="1">
      <c r="G269" s="29"/>
      <c r="H269" s="29"/>
    </row>
    <row r="270" spans="7:8" ht="18" customHeight="1">
      <c r="G270" s="29"/>
      <c r="H270" s="29"/>
    </row>
    <row r="271" spans="7:8" ht="18" customHeight="1">
      <c r="G271" s="29"/>
      <c r="H271" s="29"/>
    </row>
    <row r="272" spans="7:8" ht="18" customHeight="1">
      <c r="G272" s="29"/>
      <c r="H272" s="29"/>
    </row>
    <row r="273" spans="7:8" ht="18" customHeight="1">
      <c r="G273" s="29"/>
      <c r="H273" s="29"/>
    </row>
    <row r="274" spans="7:8" ht="18" customHeight="1">
      <c r="G274" s="29"/>
      <c r="H274" s="29"/>
    </row>
    <row r="275" spans="7:8" ht="18" customHeight="1">
      <c r="G275" s="29"/>
      <c r="H275" s="29"/>
    </row>
    <row r="276" spans="7:8" ht="18" customHeight="1">
      <c r="G276" s="29"/>
      <c r="H276" s="29"/>
    </row>
    <row r="277" spans="7:8" ht="18" customHeight="1">
      <c r="G277" s="29"/>
      <c r="H277" s="29"/>
    </row>
    <row r="278" spans="7:8" ht="18" customHeight="1">
      <c r="G278" s="29"/>
      <c r="H278" s="29"/>
    </row>
    <row r="279" spans="7:8" ht="18" customHeight="1">
      <c r="G279" s="29"/>
      <c r="H279" s="29"/>
    </row>
    <row r="280" spans="7:8" ht="18" customHeight="1">
      <c r="G280" s="29"/>
      <c r="H280" s="29"/>
    </row>
    <row r="281" spans="7:8" ht="18" customHeight="1">
      <c r="G281" s="29"/>
      <c r="H281" s="29"/>
    </row>
    <row r="282" spans="7:8" ht="18" customHeight="1">
      <c r="G282" s="29"/>
      <c r="H282" s="29"/>
    </row>
    <row r="283" spans="7:8" ht="18" customHeight="1">
      <c r="G283" s="29"/>
      <c r="H283" s="29"/>
    </row>
    <row r="284" spans="7:8" ht="18" customHeight="1">
      <c r="G284" s="29"/>
      <c r="H284" s="29"/>
    </row>
    <row r="285" spans="7:8" ht="18" customHeight="1">
      <c r="G285" s="29"/>
      <c r="H285" s="29"/>
    </row>
    <row r="286" spans="7:8" ht="18" customHeight="1">
      <c r="G286" s="29"/>
      <c r="H286" s="29"/>
    </row>
    <row r="287" spans="7:8" ht="18" customHeight="1">
      <c r="G287" s="29"/>
      <c r="H287" s="29"/>
    </row>
    <row r="288" spans="7:8" ht="18" customHeight="1">
      <c r="G288" s="29"/>
      <c r="H288" s="29"/>
    </row>
    <row r="289" spans="7:8" ht="18" customHeight="1">
      <c r="G289" s="29"/>
      <c r="H289" s="29"/>
    </row>
    <row r="290" spans="7:8" ht="18" customHeight="1">
      <c r="G290" s="29"/>
      <c r="H290" s="29"/>
    </row>
    <row r="291" spans="7:8" ht="18" customHeight="1">
      <c r="G291" s="29"/>
      <c r="H291" s="29"/>
    </row>
    <row r="292" spans="7:8" ht="18" customHeight="1">
      <c r="G292" s="29"/>
      <c r="H292" s="29"/>
    </row>
    <row r="293" spans="7:8" ht="18" customHeight="1">
      <c r="G293" s="29"/>
      <c r="H293" s="29"/>
    </row>
    <row r="294" spans="7:8" ht="18" customHeight="1">
      <c r="G294" s="29"/>
      <c r="H294" s="29"/>
    </row>
    <row r="295" spans="7:8" ht="18" customHeight="1">
      <c r="G295" s="29"/>
      <c r="H295" s="29"/>
    </row>
    <row r="296" spans="7:8" ht="18" customHeight="1">
      <c r="G296" s="29"/>
      <c r="H296" s="29"/>
    </row>
    <row r="297" spans="7:8" ht="18" customHeight="1">
      <c r="G297" s="29"/>
      <c r="H297" s="29"/>
    </row>
    <row r="298" spans="7:8" ht="18" customHeight="1">
      <c r="G298" s="29"/>
      <c r="H298" s="29"/>
    </row>
    <row r="299" spans="7:8" ht="18" customHeight="1">
      <c r="G299" s="29"/>
      <c r="H299" s="29"/>
    </row>
    <row r="300" spans="7:8" ht="18" customHeight="1">
      <c r="G300" s="29"/>
      <c r="H300" s="29"/>
    </row>
    <row r="301" spans="7:8" ht="18" customHeight="1">
      <c r="G301" s="29"/>
      <c r="H301" s="29"/>
    </row>
    <row r="302" spans="7:8" ht="18" customHeight="1">
      <c r="G302" s="29"/>
      <c r="H302" s="29"/>
    </row>
    <row r="303" spans="7:8" ht="18" customHeight="1">
      <c r="G303" s="29"/>
      <c r="H303" s="29"/>
    </row>
    <row r="304" spans="7:8" ht="18" customHeight="1">
      <c r="G304" s="29"/>
      <c r="H304" s="29"/>
    </row>
    <row r="305" spans="7:8" ht="18" customHeight="1">
      <c r="G305" s="29"/>
      <c r="H305" s="29"/>
    </row>
    <row r="306" spans="7:8" ht="18" customHeight="1">
      <c r="G306" s="29"/>
      <c r="H306" s="29"/>
    </row>
    <row r="307" spans="7:8" ht="18" customHeight="1">
      <c r="G307" s="29"/>
      <c r="H307" s="29"/>
    </row>
    <row r="308" spans="7:8" ht="18" customHeight="1">
      <c r="G308" s="29"/>
      <c r="H308" s="29"/>
    </row>
    <row r="309" spans="7:8" ht="18" customHeight="1">
      <c r="G309" s="29"/>
      <c r="H309" s="29"/>
    </row>
    <row r="310" spans="7:8" ht="18" customHeight="1">
      <c r="G310" s="29"/>
      <c r="H310" s="29"/>
    </row>
    <row r="311" spans="7:8" ht="18" customHeight="1">
      <c r="G311" s="29"/>
      <c r="H311" s="29"/>
    </row>
    <row r="312" spans="7:8" ht="18" customHeight="1">
      <c r="G312" s="29"/>
      <c r="H312" s="29"/>
    </row>
    <row r="313" spans="7:8" ht="18" customHeight="1">
      <c r="G313" s="29"/>
      <c r="H313" s="29"/>
    </row>
    <row r="314" spans="7:8" ht="18" customHeight="1">
      <c r="G314" s="29"/>
      <c r="H314" s="29"/>
    </row>
    <row r="315" spans="7:8" ht="18" customHeight="1">
      <c r="G315" s="29"/>
      <c r="H315" s="29"/>
    </row>
    <row r="316" spans="7:8" ht="18" customHeight="1">
      <c r="G316" s="29"/>
      <c r="H316" s="29"/>
    </row>
  </sheetData>
  <mergeCells count="19">
    <mergeCell ref="K11:T14"/>
    <mergeCell ref="K17:T21"/>
    <mergeCell ref="K24:T34"/>
    <mergeCell ref="K37:T48"/>
    <mergeCell ref="K1:T1"/>
    <mergeCell ref="K3:T8"/>
    <mergeCell ref="K245:T248"/>
    <mergeCell ref="K228:T242"/>
    <mergeCell ref="K51:T63"/>
    <mergeCell ref="K66:T82"/>
    <mergeCell ref="K85:T103"/>
    <mergeCell ref="K106:T117"/>
    <mergeCell ref="K120:T129"/>
    <mergeCell ref="K132:T143"/>
    <mergeCell ref="K146:T163"/>
    <mergeCell ref="K166:T184"/>
    <mergeCell ref="K187:T196"/>
    <mergeCell ref="K199:T213"/>
    <mergeCell ref="K216:T225"/>
  </mergeCells>
  <conditionalFormatting sqref="I3">
    <cfRule type="cellIs" dxfId="182" priority="109" operator="equal">
      <formula>"ECO+NFS"</formula>
    </cfRule>
    <cfRule type="cellIs" dxfId="181" priority="110" operator="equal">
      <formula>"ECO-N2Mnf"</formula>
    </cfRule>
    <cfRule type="cellIs" dxfId="180" priority="111" operator="equal">
      <formula>"Inactive"</formula>
    </cfRule>
    <cfRule type="cellIs" dxfId="179" priority="112" operator="equal">
      <formula>"Phase Out"</formula>
    </cfRule>
    <cfRule type="cellIs" dxfId="178" priority="113" operator="equal">
      <formula>"ECO-N2Buy"</formula>
    </cfRule>
    <cfRule type="cellIs" dxfId="177" priority="114" operator="equal">
      <formula>"Not for purc"</formula>
    </cfRule>
  </conditionalFormatting>
  <conditionalFormatting sqref="I4:I8">
    <cfRule type="cellIs" dxfId="176" priority="103" operator="equal">
      <formula>"ECO+NFS"</formula>
    </cfRule>
    <cfRule type="cellIs" dxfId="175" priority="104" operator="equal">
      <formula>"ECO-N2Mnf"</formula>
    </cfRule>
    <cfRule type="cellIs" dxfId="174" priority="105" operator="equal">
      <formula>"Inactive"</formula>
    </cfRule>
    <cfRule type="cellIs" dxfId="173" priority="106" operator="equal">
      <formula>"Phase Out"</formula>
    </cfRule>
    <cfRule type="cellIs" dxfId="172" priority="107" operator="equal">
      <formula>"ECO-N2Buy"</formula>
    </cfRule>
    <cfRule type="cellIs" dxfId="171" priority="108" operator="equal">
      <formula>"Not for purc"</formula>
    </cfRule>
  </conditionalFormatting>
  <conditionalFormatting sqref="I11:I13">
    <cfRule type="cellIs" dxfId="170" priority="97" operator="equal">
      <formula>"ECO+NFS"</formula>
    </cfRule>
    <cfRule type="cellIs" dxfId="169" priority="98" operator="equal">
      <formula>"ECO-N2Mnf"</formula>
    </cfRule>
    <cfRule type="cellIs" dxfId="168" priority="99" operator="equal">
      <formula>"Inactive"</formula>
    </cfRule>
    <cfRule type="cellIs" dxfId="167" priority="100" operator="equal">
      <formula>"Phase Out"</formula>
    </cfRule>
    <cfRule type="cellIs" dxfId="166" priority="101" operator="equal">
      <formula>"ECO-N2Buy"</formula>
    </cfRule>
    <cfRule type="cellIs" dxfId="165" priority="102" operator="equal">
      <formula>"Not for purc"</formula>
    </cfRule>
  </conditionalFormatting>
  <conditionalFormatting sqref="I17:I19">
    <cfRule type="cellIs" dxfId="164" priority="91" operator="equal">
      <formula>"ECO+NFS"</formula>
    </cfRule>
    <cfRule type="cellIs" dxfId="163" priority="92" operator="equal">
      <formula>"ECO-N2Mnf"</formula>
    </cfRule>
    <cfRule type="cellIs" dxfId="162" priority="93" operator="equal">
      <formula>"Inactive"</formula>
    </cfRule>
    <cfRule type="cellIs" dxfId="161" priority="94" operator="equal">
      <formula>"Phase Out"</formula>
    </cfRule>
    <cfRule type="cellIs" dxfId="160" priority="95" operator="equal">
      <formula>"ECO-N2Buy"</formula>
    </cfRule>
    <cfRule type="cellIs" dxfId="159" priority="96" operator="equal">
      <formula>"Not for purc"</formula>
    </cfRule>
  </conditionalFormatting>
  <conditionalFormatting sqref="I24:I34">
    <cfRule type="cellIs" dxfId="158" priority="85" operator="equal">
      <formula>"ECO+NFS"</formula>
    </cfRule>
    <cfRule type="cellIs" dxfId="157" priority="86" operator="equal">
      <formula>"ECO-N2Mnf"</formula>
    </cfRule>
    <cfRule type="cellIs" dxfId="156" priority="87" operator="equal">
      <formula>"Inactive"</formula>
    </cfRule>
    <cfRule type="cellIs" dxfId="155" priority="88" operator="equal">
      <formula>"Phase Out"</formula>
    </cfRule>
    <cfRule type="cellIs" dxfId="154" priority="89" operator="equal">
      <formula>"ECO-N2Buy"</formula>
    </cfRule>
    <cfRule type="cellIs" dxfId="153" priority="90" operator="equal">
      <formula>"Not for purc"</formula>
    </cfRule>
  </conditionalFormatting>
  <conditionalFormatting sqref="I37:I48">
    <cfRule type="cellIs" dxfId="152" priority="79" operator="equal">
      <formula>"ECO+NFS"</formula>
    </cfRule>
    <cfRule type="cellIs" dxfId="151" priority="80" operator="equal">
      <formula>"ECO-N2Mnf"</formula>
    </cfRule>
    <cfRule type="cellIs" dxfId="150" priority="81" operator="equal">
      <formula>"Inactive"</formula>
    </cfRule>
    <cfRule type="cellIs" dxfId="149" priority="82" operator="equal">
      <formula>"Phase Out"</formula>
    </cfRule>
    <cfRule type="cellIs" dxfId="148" priority="83" operator="equal">
      <formula>"ECO-N2Buy"</formula>
    </cfRule>
    <cfRule type="cellIs" dxfId="147" priority="84" operator="equal">
      <formula>"Not for purc"</formula>
    </cfRule>
  </conditionalFormatting>
  <conditionalFormatting sqref="I51:I63">
    <cfRule type="cellIs" dxfId="146" priority="73" operator="equal">
      <formula>"ECO+NFS"</formula>
    </cfRule>
    <cfRule type="cellIs" dxfId="145" priority="74" operator="equal">
      <formula>"ECO-N2Mnf"</formula>
    </cfRule>
    <cfRule type="cellIs" dxfId="144" priority="75" operator="equal">
      <formula>"Inactive"</formula>
    </cfRule>
    <cfRule type="cellIs" dxfId="143" priority="76" operator="equal">
      <formula>"Phase Out"</formula>
    </cfRule>
    <cfRule type="cellIs" dxfId="142" priority="77" operator="equal">
      <formula>"ECO-N2Buy"</formula>
    </cfRule>
    <cfRule type="cellIs" dxfId="141" priority="78" operator="equal">
      <formula>"Not for purc"</formula>
    </cfRule>
  </conditionalFormatting>
  <conditionalFormatting sqref="I66:I82">
    <cfRule type="cellIs" dxfId="140" priority="67" operator="equal">
      <formula>"ECO+NFS"</formula>
    </cfRule>
    <cfRule type="cellIs" dxfId="139" priority="68" operator="equal">
      <formula>"ECO-N2Mnf"</formula>
    </cfRule>
    <cfRule type="cellIs" dxfId="138" priority="69" operator="equal">
      <formula>"Inactive"</formula>
    </cfRule>
    <cfRule type="cellIs" dxfId="137" priority="70" operator="equal">
      <formula>"Phase Out"</formula>
    </cfRule>
    <cfRule type="cellIs" dxfId="136" priority="71" operator="equal">
      <formula>"ECO-N2Buy"</formula>
    </cfRule>
    <cfRule type="cellIs" dxfId="135" priority="72" operator="equal">
      <formula>"Not for purc"</formula>
    </cfRule>
  </conditionalFormatting>
  <conditionalFormatting sqref="I85:I103">
    <cfRule type="cellIs" dxfId="134" priority="61" operator="equal">
      <formula>"ECO+NFS"</formula>
    </cfRule>
    <cfRule type="cellIs" dxfId="133" priority="62" operator="equal">
      <formula>"ECO-N2Mnf"</formula>
    </cfRule>
    <cfRule type="cellIs" dxfId="132" priority="63" operator="equal">
      <formula>"Inactive"</formula>
    </cfRule>
    <cfRule type="cellIs" dxfId="131" priority="64" operator="equal">
      <formula>"Phase Out"</formula>
    </cfRule>
    <cfRule type="cellIs" dxfId="130" priority="65" operator="equal">
      <formula>"ECO-N2Buy"</formula>
    </cfRule>
    <cfRule type="cellIs" dxfId="129" priority="66" operator="equal">
      <formula>"Not for purc"</formula>
    </cfRule>
  </conditionalFormatting>
  <conditionalFormatting sqref="I106:I117">
    <cfRule type="cellIs" dxfId="128" priority="55" operator="equal">
      <formula>"ECO+NFS"</formula>
    </cfRule>
    <cfRule type="cellIs" dxfId="127" priority="56" operator="equal">
      <formula>"ECO-N2Mnf"</formula>
    </cfRule>
    <cfRule type="cellIs" dxfId="126" priority="57" operator="equal">
      <formula>"Inactive"</formula>
    </cfRule>
    <cfRule type="cellIs" dxfId="125" priority="58" operator="equal">
      <formula>"Phase Out"</formula>
    </cfRule>
    <cfRule type="cellIs" dxfId="124" priority="59" operator="equal">
      <formula>"ECO-N2Buy"</formula>
    </cfRule>
    <cfRule type="cellIs" dxfId="123" priority="60" operator="equal">
      <formula>"Not for purc"</formula>
    </cfRule>
  </conditionalFormatting>
  <conditionalFormatting sqref="I120:I129">
    <cfRule type="cellIs" dxfId="122" priority="49" operator="equal">
      <formula>"ECO+NFS"</formula>
    </cfRule>
    <cfRule type="cellIs" dxfId="121" priority="50" operator="equal">
      <formula>"ECO-N2Mnf"</formula>
    </cfRule>
    <cfRule type="cellIs" dxfId="120" priority="51" operator="equal">
      <formula>"Inactive"</formula>
    </cfRule>
    <cfRule type="cellIs" dxfId="119" priority="52" operator="equal">
      <formula>"Phase Out"</formula>
    </cfRule>
    <cfRule type="cellIs" dxfId="118" priority="53" operator="equal">
      <formula>"ECO-N2Buy"</formula>
    </cfRule>
    <cfRule type="cellIs" dxfId="117" priority="54" operator="equal">
      <formula>"Not for purc"</formula>
    </cfRule>
  </conditionalFormatting>
  <conditionalFormatting sqref="I132:I143">
    <cfRule type="cellIs" dxfId="116" priority="43" operator="equal">
      <formula>"ECO+NFS"</formula>
    </cfRule>
    <cfRule type="cellIs" dxfId="115" priority="44" operator="equal">
      <formula>"ECO-N2Mnf"</formula>
    </cfRule>
    <cfRule type="cellIs" dxfId="114" priority="45" operator="equal">
      <formula>"Inactive"</formula>
    </cfRule>
    <cfRule type="cellIs" dxfId="113" priority="46" operator="equal">
      <formula>"Phase Out"</formula>
    </cfRule>
    <cfRule type="cellIs" dxfId="112" priority="47" operator="equal">
      <formula>"ECO-N2Buy"</formula>
    </cfRule>
    <cfRule type="cellIs" dxfId="111" priority="48" operator="equal">
      <formula>"Not for purc"</formula>
    </cfRule>
  </conditionalFormatting>
  <conditionalFormatting sqref="I146:I163">
    <cfRule type="cellIs" dxfId="110" priority="37" operator="equal">
      <formula>"ECO+NFS"</formula>
    </cfRule>
    <cfRule type="cellIs" dxfId="109" priority="38" operator="equal">
      <formula>"ECO-N2Mnf"</formula>
    </cfRule>
    <cfRule type="cellIs" dxfId="108" priority="39" operator="equal">
      <formula>"Inactive"</formula>
    </cfRule>
    <cfRule type="cellIs" dxfId="107" priority="40" operator="equal">
      <formula>"Phase Out"</formula>
    </cfRule>
    <cfRule type="cellIs" dxfId="106" priority="41" operator="equal">
      <formula>"ECO-N2Buy"</formula>
    </cfRule>
    <cfRule type="cellIs" dxfId="105" priority="42" operator="equal">
      <formula>"Not for purc"</formula>
    </cfRule>
  </conditionalFormatting>
  <conditionalFormatting sqref="I166:I184">
    <cfRule type="cellIs" dxfId="104" priority="31" operator="equal">
      <formula>"ECO+NFS"</formula>
    </cfRule>
    <cfRule type="cellIs" dxfId="103" priority="32" operator="equal">
      <formula>"ECO-N2Mnf"</formula>
    </cfRule>
    <cfRule type="cellIs" dxfId="102" priority="33" operator="equal">
      <formula>"Inactive"</formula>
    </cfRule>
    <cfRule type="cellIs" dxfId="101" priority="34" operator="equal">
      <formula>"Phase Out"</formula>
    </cfRule>
    <cfRule type="cellIs" dxfId="100" priority="35" operator="equal">
      <formula>"ECO-N2Buy"</formula>
    </cfRule>
    <cfRule type="cellIs" dxfId="99" priority="36" operator="equal">
      <formula>"Not for purc"</formula>
    </cfRule>
  </conditionalFormatting>
  <conditionalFormatting sqref="I187:I196">
    <cfRule type="cellIs" dxfId="98" priority="25" operator="equal">
      <formula>"ECO+NFS"</formula>
    </cfRule>
    <cfRule type="cellIs" dxfId="97" priority="26" operator="equal">
      <formula>"ECO-N2Mnf"</formula>
    </cfRule>
    <cfRule type="cellIs" dxfId="96" priority="27" operator="equal">
      <formula>"Inactive"</formula>
    </cfRule>
    <cfRule type="cellIs" dxfId="95" priority="28" operator="equal">
      <formula>"Phase Out"</formula>
    </cfRule>
    <cfRule type="cellIs" dxfId="94" priority="29" operator="equal">
      <formula>"ECO-N2Buy"</formula>
    </cfRule>
    <cfRule type="cellIs" dxfId="93" priority="30" operator="equal">
      <formula>"Not for purc"</formula>
    </cfRule>
  </conditionalFormatting>
  <conditionalFormatting sqref="I199:I213">
    <cfRule type="cellIs" dxfId="92" priority="19" operator="equal">
      <formula>"ECO+NFS"</formula>
    </cfRule>
    <cfRule type="cellIs" dxfId="91" priority="20" operator="equal">
      <formula>"ECO-N2Mnf"</formula>
    </cfRule>
    <cfRule type="cellIs" dxfId="90" priority="21" operator="equal">
      <formula>"Inactive"</formula>
    </cfRule>
    <cfRule type="cellIs" dxfId="89" priority="22" operator="equal">
      <formula>"Phase Out"</formula>
    </cfRule>
    <cfRule type="cellIs" dxfId="88" priority="23" operator="equal">
      <formula>"ECO-N2Buy"</formula>
    </cfRule>
    <cfRule type="cellIs" dxfId="87" priority="24" operator="equal">
      <formula>"Not for purc"</formula>
    </cfRule>
  </conditionalFormatting>
  <conditionalFormatting sqref="I216:I225">
    <cfRule type="cellIs" dxfId="86" priority="13" operator="equal">
      <formula>"ECO+NFS"</formula>
    </cfRule>
    <cfRule type="cellIs" dxfId="85" priority="14" operator="equal">
      <formula>"ECO-N2Mnf"</formula>
    </cfRule>
    <cfRule type="cellIs" dxfId="84" priority="15" operator="equal">
      <formula>"Inactive"</formula>
    </cfRule>
    <cfRule type="cellIs" dxfId="83" priority="16" operator="equal">
      <formula>"Phase Out"</formula>
    </cfRule>
    <cfRule type="cellIs" dxfId="82" priority="17" operator="equal">
      <formula>"ECO-N2Buy"</formula>
    </cfRule>
    <cfRule type="cellIs" dxfId="81" priority="18" operator="equal">
      <formula>"Not for purc"</formula>
    </cfRule>
  </conditionalFormatting>
  <conditionalFormatting sqref="I228:I242">
    <cfRule type="cellIs" dxfId="80" priority="7" operator="equal">
      <formula>"ECO+NFS"</formula>
    </cfRule>
    <cfRule type="cellIs" dxfId="79" priority="8" operator="equal">
      <formula>"ECO-N2Mnf"</formula>
    </cfRule>
    <cfRule type="cellIs" dxfId="78" priority="9" operator="equal">
      <formula>"Inactive"</formula>
    </cfRule>
    <cfRule type="cellIs" dxfId="77" priority="10" operator="equal">
      <formula>"Phase Out"</formula>
    </cfRule>
    <cfRule type="cellIs" dxfId="76" priority="11" operator="equal">
      <formula>"ECO-N2Buy"</formula>
    </cfRule>
    <cfRule type="cellIs" dxfId="75" priority="12" operator="equal">
      <formula>"Not for purc"</formula>
    </cfRule>
  </conditionalFormatting>
  <conditionalFormatting sqref="I245:I247">
    <cfRule type="cellIs" dxfId="74" priority="1" operator="equal">
      <formula>"ECO+NFS"</formula>
    </cfRule>
    <cfRule type="cellIs" dxfId="73" priority="2" operator="equal">
      <formula>"ECO-N2Mnf"</formula>
    </cfRule>
    <cfRule type="cellIs" dxfId="72" priority="3" operator="equal">
      <formula>"Inactive"</formula>
    </cfRule>
    <cfRule type="cellIs" dxfId="71" priority="4" operator="equal">
      <formula>"Phase Out"</formula>
    </cfRule>
    <cfRule type="cellIs" dxfId="70" priority="5" operator="equal">
      <formula>"ECO-N2Buy"</formula>
    </cfRule>
    <cfRule type="cellIs" dxfId="69" priority="6" operator="equal">
      <formula>"Not for purc"</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tabColor theme="3" tint="0.39997558519241921"/>
  </sheetPr>
  <dimension ref="A1:S2554"/>
  <sheetViews>
    <sheetView workbookViewId="0">
      <pane ySplit="1" topLeftCell="A95" activePane="bottomLeft" state="frozen"/>
      <selection pane="bottomLeft" activeCell="A103" sqref="A103"/>
    </sheetView>
  </sheetViews>
  <sheetFormatPr baseColWidth="10" defaultColWidth="9" defaultRowHeight="18" customHeight="1"/>
  <cols>
    <col min="1" max="1" width="16.25" bestFit="1" customWidth="1"/>
    <col min="2" max="2" width="13.75" bestFit="1" customWidth="1"/>
    <col min="3" max="3" width="49.5" customWidth="1"/>
    <col min="4" max="8" width="4.75" customWidth="1"/>
    <col min="9" max="9" width="10.5" bestFit="1" customWidth="1"/>
    <col min="10" max="10" width="11.5" bestFit="1" customWidth="1"/>
  </cols>
  <sheetData>
    <row r="1" spans="1:19" ht="18" customHeight="1">
      <c r="A1" s="35"/>
      <c r="B1" s="35" t="s">
        <v>1</v>
      </c>
      <c r="C1" s="35" t="s">
        <v>2</v>
      </c>
      <c r="D1" s="36" t="s">
        <v>3</v>
      </c>
      <c r="E1" s="36" t="s">
        <v>4</v>
      </c>
      <c r="F1" s="36" t="s">
        <v>5</v>
      </c>
      <c r="G1" s="36" t="s">
        <v>250</v>
      </c>
      <c r="H1" s="36" t="s">
        <v>251</v>
      </c>
      <c r="I1" s="35" t="s">
        <v>6</v>
      </c>
      <c r="J1" s="36" t="s">
        <v>8</v>
      </c>
      <c r="K1" s="67" t="s">
        <v>11</v>
      </c>
      <c r="L1" s="67"/>
      <c r="M1" s="67"/>
      <c r="N1" s="67"/>
      <c r="O1" s="67"/>
      <c r="P1" s="67"/>
      <c r="Q1" s="67"/>
      <c r="R1" s="67"/>
      <c r="S1" s="67"/>
    </row>
    <row r="2" spans="1:19" s="7" customFormat="1" ht="18" customHeight="1">
      <c r="A2" s="13" t="s">
        <v>620</v>
      </c>
      <c r="B2" s="13"/>
      <c r="C2" s="13" t="s">
        <v>621</v>
      </c>
      <c r="D2" s="14"/>
      <c r="E2" s="14"/>
      <c r="F2" s="14"/>
      <c r="G2" s="14"/>
      <c r="H2" s="14"/>
      <c r="I2" s="14"/>
      <c r="J2" s="14">
        <f>SUMIFS(J3:J5,D3:D5,"&lt;&gt;Y",F3:F5,"&lt;&gt;Y",I3:I5,"&lt;&gt;Inactive",I3:I5,"&lt;&gt;ECO+NFS")</f>
        <v>41415</v>
      </c>
      <c r="K2" s="14"/>
      <c r="L2" s="14"/>
      <c r="M2" s="14"/>
      <c r="N2" s="14"/>
      <c r="O2" s="14"/>
      <c r="P2" s="14"/>
      <c r="Q2" s="14"/>
      <c r="R2" s="14"/>
      <c r="S2" s="14"/>
    </row>
    <row r="3" spans="1:19" ht="18" customHeight="1">
      <c r="A3" s="17" t="str">
        <f>HYPERLINK("#"&amp;ADDRESS(MATCH(A2,'CIM&amp;FMS'!$A$1:$A$4997,0),1,,,"CIM&amp;FMS"),"Back to Price List")</f>
        <v>Back to Price List</v>
      </c>
      <c r="B3" t="str">
        <f>"00-0420-0000"</f>
        <v>00-0420-0000</v>
      </c>
      <c r="C3" t="str">
        <f>"ASRS-36u (36-bay Storage Unit)"</f>
        <v>ASRS-36u (36-bay Storage Unit)</v>
      </c>
      <c r="D3" s="4"/>
      <c r="E3" s="4">
        <v>1</v>
      </c>
      <c r="F3" s="4"/>
      <c r="G3" s="29" t="str">
        <f>IFERROR(HYPERLINK("#"&amp;ADDRESS(MATCH(B3&amp;"ES",'LM7 Non-ENG'!$A$1:$A$5000,0),1,,,"LM7 Non-ENG"),IF(IFERROR(VLOOKUP(B3&amp;"ES",'LM7 Non-ENG'!$A$1:$A$4999,1,FALSE),"ERROR")=B3&amp;"ES","Y","")),"")</f>
        <v/>
      </c>
      <c r="H3" s="29" t="str">
        <f>IFERROR(HYPERLINK("#"&amp;ADDRESS(MATCH(B3&amp;"PT",'LM7 Non-ENG'!$A$1:$A$5000,0),1,,,"LM7 Non-ENG"),IF(IFERROR(VLOOKUP(B3&amp;"PT",'LM7 Non-ENG'!$A$1:$A$5000,1,FALSE),"ERROR")=B3&amp;"PT","Y","")),"")</f>
        <v/>
      </c>
      <c r="I3" t="str">
        <f>IFERROR(VLOOKUP(B3,PN!$A:$C,3,FALSE),"")</f>
        <v>Active</v>
      </c>
      <c r="J3" s="3">
        <f>IFERROR(E3*VLOOKUP(B3,PLInter!$A:$D,3,FALSE),"")</f>
        <v>38000</v>
      </c>
      <c r="K3" s="66"/>
      <c r="L3" s="66"/>
      <c r="M3" s="66"/>
      <c r="N3" s="66"/>
      <c r="O3" s="66"/>
      <c r="P3" s="66"/>
      <c r="Q3" s="66"/>
      <c r="R3" s="66"/>
      <c r="S3" s="66"/>
    </row>
    <row r="4" spans="1:19" ht="18" customHeight="1">
      <c r="B4" t="str">
        <f>"00-1710-0000"</f>
        <v>00-1710-0000</v>
      </c>
      <c r="C4" t="str">
        <f>"Teach Pendant for USB/USB Pro Controllers"</f>
        <v>Teach Pendant for USB/USB Pro Controllers</v>
      </c>
      <c r="D4" s="4"/>
      <c r="E4" s="4">
        <v>1</v>
      </c>
      <c r="F4" s="4"/>
      <c r="G4" s="29" t="str">
        <f>IFERROR(HYPERLINK("#"&amp;ADDRESS(MATCH(B4&amp;"ES",'LM7 Non-ENG'!$A$1:$A$5000,0),1,,,"LM7 Non-ENG"),IF(IFERROR(VLOOKUP(B4&amp;"ES",'LM7 Non-ENG'!$A$1:$A$4999,1,FALSE),"ERROR")=B4&amp;"ES","Y","")),"")</f>
        <v/>
      </c>
      <c r="H4" s="29" t="str">
        <f>IFERROR(HYPERLINK("#"&amp;ADDRESS(MATCH(B4&amp;"PT",'LM7 Non-ENG'!$A$1:$A$5000,0),1,,,"LM7 Non-ENG"),IF(IFERROR(VLOOKUP(B4&amp;"PT",'LM7 Non-ENG'!$A$1:$A$5000,1,FALSE),"ERROR")=B4&amp;"PT","Y","")),"")</f>
        <v/>
      </c>
      <c r="I4" t="str">
        <f>IFERROR(VLOOKUP(B4,PN!$A:$C,3,FALSE),"")</f>
        <v>Active</v>
      </c>
      <c r="J4" s="3">
        <f>IFERROR(E4*VLOOKUP(B4,PLInter!$A:$D,3,FALSE),"")</f>
        <v>1680</v>
      </c>
      <c r="K4" s="66"/>
      <c r="L4" s="66"/>
      <c r="M4" s="66"/>
      <c r="N4" s="66"/>
      <c r="O4" s="66"/>
      <c r="P4" s="66"/>
      <c r="Q4" s="66"/>
      <c r="R4" s="66"/>
      <c r="S4" s="66"/>
    </row>
    <row r="5" spans="1:19" ht="18" customHeight="1">
      <c r="B5" t="str">
        <f>"50-0094-0000"</f>
        <v>50-0094-0000</v>
      </c>
      <c r="C5" t="str">
        <f>"Pre-Engineering, Design and Testing"</f>
        <v>Pre-Engineering, Design and Testing</v>
      </c>
      <c r="D5" s="4"/>
      <c r="E5" s="4">
        <v>1</v>
      </c>
      <c r="F5" s="4"/>
      <c r="G5" s="29" t="str">
        <f>IFERROR(HYPERLINK("#"&amp;ADDRESS(MATCH(B5&amp;"ES",'LM7 Non-ENG'!$A$1:$A$5000,0),1,,,"LM7 Non-ENG"),IF(IFERROR(VLOOKUP(B5&amp;"ES",'LM7 Non-ENG'!$A$1:$A$4999,1,FALSE),"ERROR")=B5&amp;"ES","Y","")),"")</f>
        <v/>
      </c>
      <c r="H5" s="29" t="str">
        <f>IFERROR(HYPERLINK("#"&amp;ADDRESS(MATCH(B5&amp;"PT",'LM7 Non-ENG'!$A$1:$A$5000,0),1,,,"LM7 Non-ENG"),IF(IFERROR(VLOOKUP(B5&amp;"PT",'LM7 Non-ENG'!$A$1:$A$5000,1,FALSE),"ERROR")=B5&amp;"PT","Y","")),"")</f>
        <v/>
      </c>
      <c r="I5" t="str">
        <f>IFERROR(VLOOKUP(B5,PN!$A:$C,3,FALSE),"")</f>
        <v>Active</v>
      </c>
      <c r="J5" s="3">
        <f>IFERROR(E5*VLOOKUP(B5,PLInter!$A:$D,3,FALSE),"")</f>
        <v>1735</v>
      </c>
      <c r="K5" s="66"/>
      <c r="L5" s="66"/>
      <c r="M5" s="66"/>
      <c r="N5" s="66"/>
      <c r="O5" s="66"/>
      <c r="P5" s="66"/>
      <c r="Q5" s="66"/>
      <c r="R5" s="66"/>
      <c r="S5" s="66"/>
    </row>
    <row r="6" spans="1:19" ht="18" customHeight="1">
      <c r="G6" s="29" t="str">
        <f>IFERROR(HYPERLINK("#"&amp;ADDRESS(MATCH(B6&amp;"ES",'LM7 Non-ENG'!$A$1:$A$5000,0),1,,,"LM7 Non-ENG"),IF(IFERROR(VLOOKUP(B6&amp;"ES",'LM7 Non-ENG'!$A$1:$A$4999,1,FALSE),"ERROR")=B6&amp;"ES","Y","")),"")</f>
        <v/>
      </c>
      <c r="H6" s="29" t="str">
        <f>IFERROR(HYPERLINK("#"&amp;ADDRESS(MATCH(B6&amp;"PT",'LM7 Non-ENG'!$A$1:$A$5000,0),1,,,"LM7 Non-ENG"),IF(IFERROR(VLOOKUP(B6&amp;"PT",'LM7 Non-ENG'!$A$1:$A$5000,1,FALSE),"ERROR")=B6&amp;"PT","Y","")),"")</f>
        <v/>
      </c>
    </row>
    <row r="7" spans="1:19" s="7" customFormat="1" ht="18" customHeight="1">
      <c r="A7" s="13" t="s">
        <v>622</v>
      </c>
      <c r="B7" s="13"/>
      <c r="C7" s="13" t="s">
        <v>623</v>
      </c>
      <c r="D7" s="14"/>
      <c r="E7" s="14"/>
      <c r="F7" s="14"/>
      <c r="G7" s="14"/>
      <c r="H7" s="14"/>
      <c r="I7" s="14"/>
      <c r="J7" s="14">
        <f>SUMIFS(J8:J12,D8:D12,"&lt;&gt;Y",F8:F12,"&lt;&gt;Y",I8:I12,"&lt;&gt;Inactive",I8:I12,"&lt;&gt;ECO+NFS")</f>
        <v>46831</v>
      </c>
      <c r="K7" s="14"/>
      <c r="L7" s="14"/>
      <c r="M7" s="14"/>
      <c r="N7" s="14"/>
      <c r="O7" s="14"/>
      <c r="P7" s="14"/>
      <c r="Q7" s="14"/>
      <c r="R7" s="14"/>
      <c r="S7" s="14"/>
    </row>
    <row r="8" spans="1:19" ht="18" customHeight="1">
      <c r="A8" s="17" t="str">
        <f>HYPERLINK("#"&amp;ADDRESS(MATCH(A7,'CIM&amp;FMS'!$A$1:$A$4997,0),1,,,"CIM&amp;FMS"),"Back to Price List")</f>
        <v>Back to Price List</v>
      </c>
      <c r="B8" t="s">
        <v>624</v>
      </c>
      <c r="C8" t="s">
        <v>625</v>
      </c>
      <c r="D8" s="4"/>
      <c r="E8" s="4">
        <v>1</v>
      </c>
      <c r="F8" s="4"/>
      <c r="G8" s="29" t="str">
        <f>IFERROR(HYPERLINK("#"&amp;ADDRESS(MATCH(B8&amp;"ES",'LM7 Non-ENG'!$A$1:$A$5000,0),1,,,"LM7 Non-ENG"),IF(IFERROR(VLOOKUP(B8&amp;"ES",'LM7 Non-ENG'!$A$1:$A$4999,1,FALSE),"ERROR")=B8&amp;"ES","Y","")),"")</f>
        <v/>
      </c>
      <c r="H8" s="29" t="str">
        <f>IFERROR(HYPERLINK("#"&amp;ADDRESS(MATCH(B8&amp;"PT",'LM7 Non-ENG'!$A$1:$A$5000,0),1,,,"LM7 Non-ENG"),IF(IFERROR(VLOOKUP(B8&amp;"PT",'LM7 Non-ENG'!$A$1:$A$5000,1,FALSE),"ERROR")=B8&amp;"PT","Y","")),"")</f>
        <v/>
      </c>
      <c r="I8" t="str">
        <f>IFERROR(VLOOKUP(B8,PN!$A:$C,3,FALSE),"")</f>
        <v>Active</v>
      </c>
      <c r="J8" s="3">
        <f>IFERROR(E8*VLOOKUP(B8,PLInter!$A:$D,3,FALSE),"")</f>
        <v>38000</v>
      </c>
      <c r="K8" s="66"/>
      <c r="L8" s="66"/>
      <c r="M8" s="66"/>
      <c r="N8" s="66"/>
      <c r="O8" s="66"/>
      <c r="P8" s="66"/>
      <c r="Q8" s="66"/>
      <c r="R8" s="66"/>
      <c r="S8" s="66"/>
    </row>
    <row r="9" spans="1:19" ht="18" customHeight="1">
      <c r="B9" t="s">
        <v>236</v>
      </c>
      <c r="C9" t="s">
        <v>626</v>
      </c>
      <c r="D9" s="4"/>
      <c r="E9" s="4">
        <v>1</v>
      </c>
      <c r="F9" s="4"/>
      <c r="G9" s="29" t="str">
        <f>IFERROR(HYPERLINK("#"&amp;ADDRESS(MATCH(B9&amp;"ES",'LM7 Non-ENG'!$A$1:$A$5000,0),1,,,"LM7 Non-ENG"),IF(IFERROR(VLOOKUP(B9&amp;"ES",'LM7 Non-ENG'!$A$1:$A$4999,1,FALSE),"ERROR")=B9&amp;"ES","Y","")),"")</f>
        <v/>
      </c>
      <c r="H9" s="29" t="str">
        <f>IFERROR(HYPERLINK("#"&amp;ADDRESS(MATCH(B9&amp;"PT",'LM7 Non-ENG'!$A$1:$A$5000,0),1,,,"LM7 Non-ENG"),IF(IFERROR(VLOOKUP(B9&amp;"PT",'LM7 Non-ENG'!$A$1:$A$5000,1,FALSE),"ERROR")=B9&amp;"PT","Y","")),"")</f>
        <v/>
      </c>
      <c r="I9" t="str">
        <f>IFERROR(VLOOKUP(B9,PN!$A:$C,3,FALSE),"")</f>
        <v>Active</v>
      </c>
      <c r="J9" s="3">
        <f>IFERROR(E9*VLOOKUP(B9,PLInter!$A:$D,3,FALSE),"")</f>
        <v>1680</v>
      </c>
      <c r="K9" s="66"/>
      <c r="L9" s="66"/>
      <c r="M9" s="66"/>
      <c r="N9" s="66"/>
      <c r="O9" s="66"/>
      <c r="P9" s="66"/>
      <c r="Q9" s="66"/>
      <c r="R9" s="66"/>
      <c r="S9" s="66"/>
    </row>
    <row r="10" spans="1:19" ht="18" customHeight="1">
      <c r="B10" t="s">
        <v>627</v>
      </c>
      <c r="C10" t="s">
        <v>628</v>
      </c>
      <c r="D10" s="4"/>
      <c r="E10" s="4">
        <v>1</v>
      </c>
      <c r="F10" s="4"/>
      <c r="G10" s="29" t="str">
        <f>IFERROR(HYPERLINK("#"&amp;ADDRESS(MATCH(B10&amp;"ES",'LM7 Non-ENG'!$A$1:$A$5000,0),1,,,"LM7 Non-ENG"),IF(IFERROR(VLOOKUP(B10&amp;"ES",'LM7 Non-ENG'!$A$1:$A$4999,1,FALSE),"ERROR")=B10&amp;"ES","Y","")),"")</f>
        <v/>
      </c>
      <c r="H10" s="29" t="str">
        <f>IFERROR(HYPERLINK("#"&amp;ADDRESS(MATCH(B10&amp;"PT",'LM7 Non-ENG'!$A$1:$A$5000,0),1,,,"LM7 Non-ENG"),IF(IFERROR(VLOOKUP(B10&amp;"PT",'LM7 Non-ENG'!$A$1:$A$5000,1,FALSE),"ERROR")=B10&amp;"PT","Y","")),"")</f>
        <v/>
      </c>
      <c r="I10" t="str">
        <f>IFERROR(VLOOKUP(B10,PN!$A:$C,3,FALSE),"")</f>
        <v>Active</v>
      </c>
      <c r="J10" s="3">
        <f>IFERROR(E10*VLOOKUP(B10,PLInter!$A:$D,3,FALSE),"")</f>
        <v>5200</v>
      </c>
      <c r="K10" s="66"/>
      <c r="L10" s="66"/>
      <c r="M10" s="66"/>
      <c r="N10" s="66"/>
      <c r="O10" s="66"/>
      <c r="P10" s="66"/>
      <c r="Q10" s="66"/>
      <c r="R10" s="66"/>
      <c r="S10" s="66"/>
    </row>
    <row r="11" spans="1:19" ht="18" customHeight="1">
      <c r="B11" t="str">
        <f>"410472"</f>
        <v>410472</v>
      </c>
      <c r="C11" t="s">
        <v>629</v>
      </c>
      <c r="D11" s="4"/>
      <c r="E11" s="4">
        <v>36</v>
      </c>
      <c r="F11" s="4"/>
      <c r="G11" s="29" t="str">
        <f>IFERROR(HYPERLINK("#"&amp;ADDRESS(MATCH(B11&amp;"ES",'LM7 Non-ENG'!$A$1:$A$5000,0),1,,,"LM7 Non-ENG"),IF(IFERROR(VLOOKUP(B11&amp;"ES",'LM7 Non-ENG'!$A$1:$A$4999,1,FALSE),"ERROR")=B11&amp;"ES","Y","")),"")</f>
        <v/>
      </c>
      <c r="H11" s="29" t="str">
        <f>IFERROR(HYPERLINK("#"&amp;ADDRESS(MATCH(B11&amp;"PT",'LM7 Non-ENG'!$A$1:$A$5000,0),1,,,"LM7 Non-ENG"),IF(IFERROR(VLOOKUP(B11&amp;"PT",'LM7 Non-ENG'!$A$1:$A$5000,1,FALSE),"ERROR")=B11&amp;"PT","Y","")),"")</f>
        <v/>
      </c>
      <c r="I11" t="str">
        <f>IFERROR(VLOOKUP(B11,PN!$A:$C,3,FALSE),"")</f>
        <v>Active</v>
      </c>
      <c r="J11" s="3">
        <f>IFERROR(E11*VLOOKUP(B11,PLInter!$A:$D,3,FALSE),"")</f>
        <v>216</v>
      </c>
      <c r="K11" s="66"/>
      <c r="L11" s="66"/>
      <c r="M11" s="66"/>
      <c r="N11" s="66"/>
      <c r="O11" s="66"/>
      <c r="P11" s="66"/>
      <c r="Q11" s="66"/>
      <c r="R11" s="66"/>
      <c r="S11" s="66"/>
    </row>
    <row r="12" spans="1:19" ht="18" customHeight="1">
      <c r="B12" t="s">
        <v>630</v>
      </c>
      <c r="C12" t="s">
        <v>631</v>
      </c>
      <c r="D12" s="4"/>
      <c r="E12" s="4">
        <v>1</v>
      </c>
      <c r="F12" s="4"/>
      <c r="G12" s="29" t="str">
        <f>IFERROR(HYPERLINK("#"&amp;ADDRESS(MATCH(B12&amp;"ES",'LM7 Non-ENG'!$A$1:$A$5000,0),1,,,"LM7 Non-ENG"),IF(IFERROR(VLOOKUP(B12&amp;"ES",'LM7 Non-ENG'!$A$1:$A$4999,1,FALSE),"ERROR")=B12&amp;"ES","Y","")),"")</f>
        <v/>
      </c>
      <c r="H12" s="29" t="str">
        <f>IFERROR(HYPERLINK("#"&amp;ADDRESS(MATCH(B12&amp;"PT",'LM7 Non-ENG'!$A$1:$A$5000,0),1,,,"LM7 Non-ENG"),IF(IFERROR(VLOOKUP(B12&amp;"PT",'LM7 Non-ENG'!$A$1:$A$5000,1,FALSE),"ERROR")=B12&amp;"PT","Y","")),"")</f>
        <v/>
      </c>
      <c r="I12" t="str">
        <f>IFERROR(VLOOKUP(B12,PN!$A:$C,3,FALSE),"")</f>
        <v>Active</v>
      </c>
      <c r="J12" s="3">
        <f>IFERROR(E12*VLOOKUP(B12,PLInter!$A:$D,3,FALSE),"")</f>
        <v>1735</v>
      </c>
      <c r="K12" s="66"/>
      <c r="L12" s="66"/>
      <c r="M12" s="66"/>
      <c r="N12" s="66"/>
      <c r="O12" s="66"/>
      <c r="P12" s="66"/>
      <c r="Q12" s="66"/>
      <c r="R12" s="66"/>
      <c r="S12" s="66"/>
    </row>
    <row r="13" spans="1:19" ht="18" customHeight="1">
      <c r="I13" t="str">
        <f>IFERROR(VLOOKUP(B13,PN!$A:$C,3,FALSE),"")</f>
        <v/>
      </c>
    </row>
    <row r="14" spans="1:19" s="7" customFormat="1" ht="18" customHeight="1">
      <c r="A14" s="13" t="s">
        <v>632</v>
      </c>
      <c r="B14" s="13"/>
      <c r="C14" s="13" t="s">
        <v>633</v>
      </c>
      <c r="D14" s="14"/>
      <c r="E14" s="14"/>
      <c r="F14" s="14"/>
      <c r="G14" s="14"/>
      <c r="H14" s="14"/>
      <c r="I14" s="14"/>
      <c r="J14" s="14">
        <f>SUMIFS(J15:J17,D15:D17,"&lt;&gt;Y",F15:F17,"&lt;&gt;Y",I15:I17,"&lt;&gt;Inactive",I15:I17,"&lt;&gt;ECO+NFS")</f>
        <v>44065</v>
      </c>
      <c r="K14" s="14"/>
      <c r="L14" s="14"/>
      <c r="M14" s="14"/>
      <c r="N14" s="14"/>
      <c r="O14" s="14"/>
      <c r="P14" s="14"/>
      <c r="Q14" s="14"/>
      <c r="R14" s="14"/>
      <c r="S14" s="14"/>
    </row>
    <row r="15" spans="1:19" ht="18" customHeight="1">
      <c r="A15" s="17" t="str">
        <f>HYPERLINK("#"&amp;ADDRESS(MATCH(A14,'CIM&amp;FMS'!$A$1:$A$4997,0),1,,,"CIM&amp;FMS"),"Back to Price List")</f>
        <v>Back to Price List</v>
      </c>
      <c r="B15" t="str">
        <f>"00-0424-0000"</f>
        <v>00-0424-0000</v>
      </c>
      <c r="C15" t="str">
        <f>"ASRS-36x2 (72-bay Storage Unit)"</f>
        <v>ASRS-36x2 (72-bay Storage Unit)</v>
      </c>
      <c r="D15" s="4"/>
      <c r="E15" s="4">
        <v>1</v>
      </c>
      <c r="F15" s="4"/>
      <c r="G15" s="29" t="str">
        <f>IFERROR(HYPERLINK("#"&amp;ADDRESS(MATCH(B15&amp;"ES",'LM7 Non-ENG'!$A$1:$A$5000,0),1,,,"LM7 Non-ENG"),IF(IFERROR(VLOOKUP(B15&amp;"ES",'LM7 Non-ENG'!$A$1:$A$4999,1,FALSE),"ERROR")=B15&amp;"ES","Y","")),"")</f>
        <v/>
      </c>
      <c r="H15" s="29" t="str">
        <f>IFERROR(HYPERLINK("#"&amp;ADDRESS(MATCH(B15&amp;"PT",'LM7 Non-ENG'!$A$1:$A$5000,0),1,,,"LM7 Non-ENG"),IF(IFERROR(VLOOKUP(B15&amp;"PT",'LM7 Non-ENG'!$A$1:$A$5000,1,FALSE),"ERROR")=B15&amp;"PT","Y","")),"")</f>
        <v/>
      </c>
      <c r="I15" t="str">
        <f>IFERROR(VLOOKUP(B15,PN!$A:$C,3,FALSE),"")</f>
        <v>Active</v>
      </c>
      <c r="J15" s="3">
        <f>IFERROR(E15*VLOOKUP(B15,PLInter!$A:$D,3,FALSE),"")</f>
        <v>40650</v>
      </c>
      <c r="K15" s="66"/>
      <c r="L15" s="66"/>
      <c r="M15" s="66"/>
      <c r="N15" s="66"/>
      <c r="O15" s="66"/>
      <c r="P15" s="66"/>
      <c r="Q15" s="66"/>
      <c r="R15" s="66"/>
      <c r="S15" s="66"/>
    </row>
    <row r="16" spans="1:19" ht="18" customHeight="1">
      <c r="B16" t="str">
        <f>"00-1710-0000"</f>
        <v>00-1710-0000</v>
      </c>
      <c r="C16" t="str">
        <f>"Teach Pendant for USB/USB Pro Controllers"</f>
        <v>Teach Pendant for USB/USB Pro Controllers</v>
      </c>
      <c r="D16" s="4"/>
      <c r="E16" s="4">
        <v>1</v>
      </c>
      <c r="F16" s="4"/>
      <c r="G16" s="29" t="str">
        <f>IFERROR(HYPERLINK("#"&amp;ADDRESS(MATCH(B16&amp;"ES",'LM7 Non-ENG'!$A$1:$A$5000,0),1,,,"LM7 Non-ENG"),IF(IFERROR(VLOOKUP(B16&amp;"ES",'LM7 Non-ENG'!$A$1:$A$4999,1,FALSE),"ERROR")=B16&amp;"ES","Y","")),"")</f>
        <v/>
      </c>
      <c r="H16" s="29" t="str">
        <f>IFERROR(HYPERLINK("#"&amp;ADDRESS(MATCH(B16&amp;"PT",'LM7 Non-ENG'!$A$1:$A$5000,0),1,,,"LM7 Non-ENG"),IF(IFERROR(VLOOKUP(B16&amp;"PT",'LM7 Non-ENG'!$A$1:$A$5000,1,FALSE),"ERROR")=B16&amp;"PT","Y","")),"")</f>
        <v/>
      </c>
      <c r="I16" t="str">
        <f>IFERROR(VLOOKUP(B16,PN!$A:$C,3,FALSE),"")</f>
        <v>Active</v>
      </c>
      <c r="J16" s="3">
        <f>IFERROR(E16*VLOOKUP(B16,PLInter!$A:$D,3,FALSE),"")</f>
        <v>1680</v>
      </c>
      <c r="K16" s="66"/>
      <c r="L16" s="66"/>
      <c r="M16" s="66"/>
      <c r="N16" s="66"/>
      <c r="O16" s="66"/>
      <c r="P16" s="66"/>
      <c r="Q16" s="66"/>
      <c r="R16" s="66"/>
      <c r="S16" s="66"/>
    </row>
    <row r="17" spans="1:19" ht="18" customHeight="1">
      <c r="B17" t="str">
        <f>"50-0094-0000"</f>
        <v>50-0094-0000</v>
      </c>
      <c r="C17" t="str">
        <f>"Pre-Engineering, Design and Testing"</f>
        <v>Pre-Engineering, Design and Testing</v>
      </c>
      <c r="D17" s="4"/>
      <c r="E17" s="4">
        <v>1</v>
      </c>
      <c r="F17" s="4"/>
      <c r="G17" s="29" t="str">
        <f>IFERROR(HYPERLINK("#"&amp;ADDRESS(MATCH(B17&amp;"ES",'LM7 Non-ENG'!$A$1:$A$5000,0),1,,,"LM7 Non-ENG"),IF(IFERROR(VLOOKUP(B17&amp;"ES",'LM7 Non-ENG'!$A$1:$A$4999,1,FALSE),"ERROR")=B17&amp;"ES","Y","")),"")</f>
        <v/>
      </c>
      <c r="H17" s="29" t="str">
        <f>IFERROR(HYPERLINK("#"&amp;ADDRESS(MATCH(B17&amp;"PT",'LM7 Non-ENG'!$A$1:$A$5000,0),1,,,"LM7 Non-ENG"),IF(IFERROR(VLOOKUP(B17&amp;"PT",'LM7 Non-ENG'!$A$1:$A$5000,1,FALSE),"ERROR")=B17&amp;"PT","Y","")),"")</f>
        <v/>
      </c>
      <c r="I17" t="str">
        <f>IFERROR(VLOOKUP(B17,PN!$A:$C,3,FALSE),"")</f>
        <v>Active</v>
      </c>
      <c r="J17" s="3">
        <f>IFERROR(E17*VLOOKUP(B17,PLInter!$A:$D,3,FALSE),"")</f>
        <v>1735</v>
      </c>
      <c r="K17" s="66"/>
      <c r="L17" s="66"/>
      <c r="M17" s="66"/>
      <c r="N17" s="66"/>
      <c r="O17" s="66"/>
      <c r="P17" s="66"/>
      <c r="Q17" s="66"/>
      <c r="R17" s="66"/>
      <c r="S17" s="66"/>
    </row>
    <row r="19" spans="1:19" s="7" customFormat="1" ht="18" customHeight="1">
      <c r="A19" s="13" t="s">
        <v>634</v>
      </c>
      <c r="B19" s="13"/>
      <c r="C19" s="13" t="s">
        <v>635</v>
      </c>
      <c r="D19" s="14"/>
      <c r="E19" s="14"/>
      <c r="F19" s="14"/>
      <c r="G19" s="14"/>
      <c r="H19" s="14"/>
      <c r="I19" s="14"/>
      <c r="J19" s="14">
        <f>SUMIFS(J20:J24,D20:D24,"&lt;&gt;Y",F20:F24,"&lt;&gt;Y",I20:I24,"&lt;&gt;Inactive",I20:I24,"&lt;&gt;ECO+NFS")</f>
        <v>49697</v>
      </c>
      <c r="K19" s="14"/>
      <c r="L19" s="14"/>
      <c r="M19" s="14"/>
      <c r="N19" s="14"/>
      <c r="O19" s="14"/>
      <c r="P19" s="14"/>
      <c r="Q19" s="14"/>
      <c r="R19" s="14"/>
      <c r="S19" s="14"/>
    </row>
    <row r="20" spans="1:19" ht="18" customHeight="1">
      <c r="A20" s="17" t="str">
        <f>HYPERLINK("#"&amp;ADDRESS(MATCH(A19,'CIM&amp;FMS'!$A$1:$A$4997,0),1,,,"CIM&amp;FMS"),"Back to Price List")</f>
        <v>Back to Price List</v>
      </c>
      <c r="B20" t="s">
        <v>636</v>
      </c>
      <c r="C20" t="s">
        <v>637</v>
      </c>
      <c r="D20" s="4"/>
      <c r="E20" s="4">
        <v>1</v>
      </c>
      <c r="F20" s="4"/>
      <c r="G20" s="29" t="str">
        <f>IFERROR(HYPERLINK("#"&amp;ADDRESS(MATCH(B20&amp;"ES",'LM7 Non-ENG'!$A$1:$A$5000,0),1,,,"LM7 Non-ENG"),IF(IFERROR(VLOOKUP(B20&amp;"ES",'LM7 Non-ENG'!$A$1:$A$4999,1,FALSE),"ERROR")=B20&amp;"ES","Y","")),"")</f>
        <v/>
      </c>
      <c r="H20" s="29" t="str">
        <f>IFERROR(HYPERLINK("#"&amp;ADDRESS(MATCH(B20&amp;"PT",'LM7 Non-ENG'!$A$1:$A$5000,0),1,,,"LM7 Non-ENG"),IF(IFERROR(VLOOKUP(B20&amp;"PT",'LM7 Non-ENG'!$A$1:$A$5000,1,FALSE),"ERROR")=B20&amp;"PT","Y","")),"")</f>
        <v/>
      </c>
      <c r="I20" t="str">
        <f>IFERROR(VLOOKUP(B20,PN!$A:$C,3,FALSE),"")</f>
        <v>Active</v>
      </c>
      <c r="J20" s="3">
        <f>IFERROR(E20*VLOOKUP(B20,PLInter!$A:$D,3,FALSE),"")</f>
        <v>40650</v>
      </c>
      <c r="K20" s="66"/>
      <c r="L20" s="66"/>
      <c r="M20" s="66"/>
      <c r="N20" s="66"/>
      <c r="O20" s="66"/>
      <c r="P20" s="66"/>
      <c r="Q20" s="66"/>
      <c r="R20" s="66"/>
      <c r="S20" s="66"/>
    </row>
    <row r="21" spans="1:19" ht="18" customHeight="1">
      <c r="B21" t="s">
        <v>236</v>
      </c>
      <c r="C21" t="s">
        <v>626</v>
      </c>
      <c r="D21" s="4"/>
      <c r="E21" s="4">
        <v>1</v>
      </c>
      <c r="F21" s="4"/>
      <c r="G21" s="29" t="str">
        <f>IFERROR(HYPERLINK("#"&amp;ADDRESS(MATCH(B21&amp;"ES",'LM7 Non-ENG'!$A$1:$A$5000,0),1,,,"LM7 Non-ENG"),IF(IFERROR(VLOOKUP(B21&amp;"ES",'LM7 Non-ENG'!$A$1:$A$4999,1,FALSE),"ERROR")=B21&amp;"ES","Y","")),"")</f>
        <v/>
      </c>
      <c r="H21" s="29" t="str">
        <f>IFERROR(HYPERLINK("#"&amp;ADDRESS(MATCH(B21&amp;"PT",'LM7 Non-ENG'!$A$1:$A$5000,0),1,,,"LM7 Non-ENG"),IF(IFERROR(VLOOKUP(B21&amp;"PT",'LM7 Non-ENG'!$A$1:$A$5000,1,FALSE),"ERROR")=B21&amp;"PT","Y","")),"")</f>
        <v/>
      </c>
      <c r="I21" t="str">
        <f>IFERROR(VLOOKUP(B21,PN!$A:$C,3,FALSE),"")</f>
        <v>Active</v>
      </c>
      <c r="J21" s="3">
        <f>IFERROR(E21*VLOOKUP(B21,PLInter!$A:$D,3,FALSE),"")</f>
        <v>1680</v>
      </c>
      <c r="K21" s="66"/>
      <c r="L21" s="66"/>
      <c r="M21" s="66"/>
      <c r="N21" s="66"/>
      <c r="O21" s="66"/>
      <c r="P21" s="66"/>
      <c r="Q21" s="66"/>
      <c r="R21" s="66"/>
      <c r="S21" s="66"/>
    </row>
    <row r="22" spans="1:19" ht="18" customHeight="1">
      <c r="B22" t="s">
        <v>627</v>
      </c>
      <c r="C22" t="s">
        <v>628</v>
      </c>
      <c r="D22" s="4"/>
      <c r="E22" s="4">
        <v>1</v>
      </c>
      <c r="F22" s="4"/>
      <c r="G22" s="29" t="str">
        <f>IFERROR(HYPERLINK("#"&amp;ADDRESS(MATCH(B22&amp;"ES",'LM7 Non-ENG'!$A$1:$A$5000,0),1,,,"LM7 Non-ENG"),IF(IFERROR(VLOOKUP(B22&amp;"ES",'LM7 Non-ENG'!$A$1:$A$4999,1,FALSE),"ERROR")=B22&amp;"ES","Y","")),"")</f>
        <v/>
      </c>
      <c r="H22" s="29" t="str">
        <f>IFERROR(HYPERLINK("#"&amp;ADDRESS(MATCH(B22&amp;"PT",'LM7 Non-ENG'!$A$1:$A$5000,0),1,,,"LM7 Non-ENG"),IF(IFERROR(VLOOKUP(B22&amp;"PT",'LM7 Non-ENG'!$A$1:$A$5000,1,FALSE),"ERROR")=B22&amp;"PT","Y","")),"")</f>
        <v/>
      </c>
      <c r="I22" t="str">
        <f>IFERROR(VLOOKUP(B22,PN!$A:$C,3,FALSE),"")</f>
        <v>Active</v>
      </c>
      <c r="J22" s="3">
        <f>IFERROR(E22*VLOOKUP(B22,PLInter!$A:$D,3,FALSE),"")</f>
        <v>5200</v>
      </c>
      <c r="K22" s="66"/>
      <c r="L22" s="66"/>
      <c r="M22" s="66"/>
      <c r="N22" s="66"/>
      <c r="O22" s="66"/>
      <c r="P22" s="66"/>
      <c r="Q22" s="66"/>
      <c r="R22" s="66"/>
      <c r="S22" s="66"/>
    </row>
    <row r="23" spans="1:19" ht="18" customHeight="1">
      <c r="B23" t="str">
        <f>"410472"</f>
        <v>410472</v>
      </c>
      <c r="C23" t="s">
        <v>629</v>
      </c>
      <c r="D23" s="4"/>
      <c r="E23" s="4">
        <v>72</v>
      </c>
      <c r="F23" s="4"/>
      <c r="G23" s="29" t="str">
        <f>IFERROR(HYPERLINK("#"&amp;ADDRESS(MATCH(B23&amp;"ES",'LM7 Non-ENG'!$A$1:$A$5000,0),1,,,"LM7 Non-ENG"),IF(IFERROR(VLOOKUP(B23&amp;"ES",'LM7 Non-ENG'!$A$1:$A$4999,1,FALSE),"ERROR")=B23&amp;"ES","Y","")),"")</f>
        <v/>
      </c>
      <c r="H23" s="29" t="str">
        <f>IFERROR(HYPERLINK("#"&amp;ADDRESS(MATCH(B23&amp;"PT",'LM7 Non-ENG'!$A$1:$A$5000,0),1,,,"LM7 Non-ENG"),IF(IFERROR(VLOOKUP(B23&amp;"PT",'LM7 Non-ENG'!$A$1:$A$5000,1,FALSE),"ERROR")=B23&amp;"PT","Y","")),"")</f>
        <v/>
      </c>
      <c r="I23" t="str">
        <f>IFERROR(VLOOKUP(B23,PN!$A:$C,3,FALSE),"")</f>
        <v>Active</v>
      </c>
      <c r="J23" s="3">
        <f>IFERROR(E23*VLOOKUP(B23,PLInter!$A:$D,3,FALSE),"")</f>
        <v>432</v>
      </c>
      <c r="K23" s="66"/>
      <c r="L23" s="66"/>
      <c r="M23" s="66"/>
      <c r="N23" s="66"/>
      <c r="O23" s="66"/>
      <c r="P23" s="66"/>
      <c r="Q23" s="66"/>
      <c r="R23" s="66"/>
      <c r="S23" s="66"/>
    </row>
    <row r="24" spans="1:19" ht="18" customHeight="1">
      <c r="B24" t="s">
        <v>630</v>
      </c>
      <c r="C24" t="s">
        <v>631</v>
      </c>
      <c r="D24" s="4"/>
      <c r="E24" s="4">
        <v>1</v>
      </c>
      <c r="F24" s="4"/>
      <c r="G24" s="29" t="str">
        <f>IFERROR(HYPERLINK("#"&amp;ADDRESS(MATCH(B24&amp;"ES",'LM7 Non-ENG'!$A$1:$A$5000,0),1,,,"LM7 Non-ENG"),IF(IFERROR(VLOOKUP(B24&amp;"ES",'LM7 Non-ENG'!$A$1:$A$4999,1,FALSE),"ERROR")=B24&amp;"ES","Y","")),"")</f>
        <v/>
      </c>
      <c r="H24" s="29" t="str">
        <f>IFERROR(HYPERLINK("#"&amp;ADDRESS(MATCH(B24&amp;"PT",'LM7 Non-ENG'!$A$1:$A$5000,0),1,,,"LM7 Non-ENG"),IF(IFERROR(VLOOKUP(B24&amp;"PT",'LM7 Non-ENG'!$A$1:$A$5000,1,FALSE),"ERROR")=B24&amp;"PT","Y","")),"")</f>
        <v/>
      </c>
      <c r="I24" t="str">
        <f>IFERROR(VLOOKUP(B24,PN!$A:$C,3,FALSE),"")</f>
        <v>Active</v>
      </c>
      <c r="J24" s="3">
        <f>IFERROR(E24*VLOOKUP(B24,PLInter!$A:$D,3,FALSE),"")</f>
        <v>1735</v>
      </c>
      <c r="K24" s="66"/>
      <c r="L24" s="66"/>
      <c r="M24" s="66"/>
      <c r="N24" s="66"/>
      <c r="O24" s="66"/>
      <c r="P24" s="66"/>
      <c r="Q24" s="66"/>
      <c r="R24" s="66"/>
      <c r="S24" s="66"/>
    </row>
    <row r="26" spans="1:19" s="7" customFormat="1" ht="18" customHeight="1">
      <c r="A26" s="13" t="s">
        <v>638</v>
      </c>
      <c r="B26" s="13"/>
      <c r="C26" s="13" t="s">
        <v>639</v>
      </c>
      <c r="D26" s="14"/>
      <c r="E26" s="14"/>
      <c r="F26" s="14"/>
      <c r="G26" s="14"/>
      <c r="H26" s="14"/>
      <c r="I26" s="14"/>
      <c r="J26" s="14">
        <f>SUMIFS(J27:J32,D27:D32,"&lt;&gt;Y",F27:F32,"&lt;&gt;Y",I27:I32,"&lt;&gt;Inactive",I27:I32,"&lt;&gt;ECO+NFS")</f>
        <v>18200</v>
      </c>
      <c r="K26" s="14"/>
      <c r="L26" s="14"/>
      <c r="M26" s="14"/>
      <c r="N26" s="14"/>
      <c r="O26" s="14"/>
      <c r="P26" s="14"/>
      <c r="Q26" s="14"/>
      <c r="R26" s="14"/>
      <c r="S26" s="14"/>
    </row>
    <row r="27" spans="1:19" ht="18" customHeight="1">
      <c r="A27" s="17" t="str">
        <f>HYPERLINK("#"&amp;ADDRESS(MATCH(A26,'CIM&amp;FMS'!$A$1:$A$4997,0),1,,,"CIM&amp;FMS"),"Back to Price List")</f>
        <v>Back to Price List</v>
      </c>
      <c r="B27" t="s">
        <v>213</v>
      </c>
      <c r="C27" t="s">
        <v>640</v>
      </c>
      <c r="D27" s="4"/>
      <c r="E27" s="4">
        <v>1</v>
      </c>
      <c r="F27" s="4"/>
      <c r="G27" s="29" t="str">
        <f>IFERROR(HYPERLINK("#"&amp;ADDRESS(MATCH(B27&amp;"ES",'LM7 Non-ENG'!$A$1:$A$5000,0),1,,,"LM7 Non-ENG"),IF(IFERROR(VLOOKUP(B27&amp;"ES",'LM7 Non-ENG'!$A$1:$A$4999,1,FALSE),"ERROR")=B27&amp;"ES","Y","")),"")</f>
        <v/>
      </c>
      <c r="H27" s="29" t="str">
        <f>IFERROR(HYPERLINK("#"&amp;ADDRESS(MATCH(B27&amp;"PT",'LM7 Non-ENG'!$A$1:$A$5000,0),1,,,"LM7 Non-ENG"),IF(IFERROR(VLOOKUP(B27&amp;"PT",'LM7 Non-ENG'!$A$1:$A$5000,1,FALSE),"ERROR")=B27&amp;"PT","Y","")),"")</f>
        <v/>
      </c>
      <c r="I27" t="str">
        <f>IFERROR(VLOOKUP(B27,PN!$A:$C,3,FALSE),"")</f>
        <v>Active</v>
      </c>
      <c r="J27" s="3">
        <f>IFERROR(E27*VLOOKUP(B27,PLInter!$A:$D,3,FALSE),"")</f>
        <v>11726</v>
      </c>
      <c r="K27" s="66"/>
      <c r="L27" s="66"/>
      <c r="M27" s="66"/>
      <c r="N27" s="66"/>
      <c r="O27" s="66"/>
      <c r="P27" s="66"/>
      <c r="Q27" s="66"/>
      <c r="R27" s="66"/>
      <c r="S27" s="66"/>
    </row>
    <row r="28" spans="1:19" ht="18" customHeight="1">
      <c r="B28" t="s">
        <v>226</v>
      </c>
      <c r="C28" t="s">
        <v>641</v>
      </c>
      <c r="D28" s="4"/>
      <c r="E28" s="4">
        <v>1</v>
      </c>
      <c r="F28" s="4"/>
      <c r="G28" s="29" t="str">
        <f>IFERROR(HYPERLINK("#"&amp;ADDRESS(MATCH(B28&amp;"ES",'LM7 Non-ENG'!$A$1:$A$5000,0),1,,,"LM7 Non-ENG"),IF(IFERROR(VLOOKUP(B28&amp;"ES",'LM7 Non-ENG'!$A$1:$A$4999,1,FALSE),"ERROR")=B28&amp;"ES","Y","")),"")</f>
        <v/>
      </c>
      <c r="H28" s="29" t="str">
        <f>IFERROR(HYPERLINK("#"&amp;ADDRESS(MATCH(B28&amp;"PT",'LM7 Non-ENG'!$A$1:$A$5000,0),1,,,"LM7 Non-ENG"),IF(IFERROR(VLOOKUP(B28&amp;"PT",'LM7 Non-ENG'!$A$1:$A$5000,1,FALSE),"ERROR")=B28&amp;"PT","Y","")),"")</f>
        <v/>
      </c>
      <c r="I28" t="str">
        <f>IFERROR(VLOOKUP(B28,PN!$A:$C,3,FALSE),"")</f>
        <v>Active</v>
      </c>
      <c r="J28" s="3">
        <f>IFERROR(E28*VLOOKUP(B28,PLInter!$A:$D,3,FALSE),"")</f>
        <v>125</v>
      </c>
      <c r="K28" s="66"/>
      <c r="L28" s="66"/>
      <c r="M28" s="66"/>
      <c r="N28" s="66"/>
      <c r="O28" s="66"/>
      <c r="P28" s="66"/>
      <c r="Q28" s="66"/>
      <c r="R28" s="66"/>
      <c r="S28" s="66"/>
    </row>
    <row r="29" spans="1:19" ht="18" customHeight="1">
      <c r="B29" t="s">
        <v>236</v>
      </c>
      <c r="C29" t="s">
        <v>626</v>
      </c>
      <c r="D29" s="4"/>
      <c r="E29" s="4">
        <v>1</v>
      </c>
      <c r="F29" s="4"/>
      <c r="G29" s="29" t="str">
        <f>IFERROR(HYPERLINK("#"&amp;ADDRESS(MATCH(B29&amp;"ES",'LM7 Non-ENG'!$A$1:$A$5000,0),1,,,"LM7 Non-ENG"),IF(IFERROR(VLOOKUP(B29&amp;"ES",'LM7 Non-ENG'!$A$1:$A$4999,1,FALSE),"ERROR")=B29&amp;"ES","Y","")),"")</f>
        <v/>
      </c>
      <c r="H29" s="29" t="str">
        <f>IFERROR(HYPERLINK("#"&amp;ADDRESS(MATCH(B29&amp;"PT",'LM7 Non-ENG'!$A$1:$A$5000,0),1,,,"LM7 Non-ENG"),IF(IFERROR(VLOOKUP(B29&amp;"PT",'LM7 Non-ENG'!$A$1:$A$5000,1,FALSE),"ERROR")=B29&amp;"PT","Y","")),"")</f>
        <v/>
      </c>
      <c r="I29" t="str">
        <f>IFERROR(VLOOKUP(B29,PN!$A:$C,3,FALSE),"")</f>
        <v>Active</v>
      </c>
      <c r="J29" s="3">
        <f>IFERROR(E29*VLOOKUP(B29,PLInter!$A:$D,3,FALSE),"")</f>
        <v>1680</v>
      </c>
      <c r="K29" s="66"/>
      <c r="L29" s="66"/>
      <c r="M29" s="66"/>
      <c r="N29" s="66"/>
      <c r="O29" s="66"/>
      <c r="P29" s="66"/>
      <c r="Q29" s="66"/>
      <c r="R29" s="66"/>
      <c r="S29" s="66"/>
    </row>
    <row r="30" spans="1:19" ht="18" customHeight="1">
      <c r="B30" t="s">
        <v>642</v>
      </c>
      <c r="C30" t="s">
        <v>643</v>
      </c>
      <c r="D30" s="4"/>
      <c r="E30" s="4">
        <v>1</v>
      </c>
      <c r="F30" s="4"/>
      <c r="G30" s="29" t="str">
        <f>IFERROR(HYPERLINK("#"&amp;ADDRESS(MATCH(B30&amp;"ES",'LM7 Non-ENG'!$A$1:$A$5000,0),1,,,"LM7 Non-ENG"),IF(IFERROR(VLOOKUP(B30&amp;"ES",'LM7 Non-ENG'!$A$1:$A$4999,1,FALSE),"ERROR")=B30&amp;"ES","Y","")),"")</f>
        <v/>
      </c>
      <c r="H30" s="29" t="str">
        <f>IFERROR(HYPERLINK("#"&amp;ADDRESS(MATCH(B30&amp;"PT",'LM7 Non-ENG'!$A$1:$A$5000,0),1,,,"LM7 Non-ENG"),IF(IFERROR(VLOOKUP(B30&amp;"PT",'LM7 Non-ENG'!$A$1:$A$5000,1,FALSE),"ERROR")=B30&amp;"PT","Y","")),"")</f>
        <v/>
      </c>
      <c r="I30" t="str">
        <f>IFERROR(VLOOKUP(B30,PN!$A:$C,3,FALSE),"")</f>
        <v>Active</v>
      </c>
      <c r="J30" s="3">
        <f>IFERROR(E30*VLOOKUP(B30,PLInter!$A:$D,3,FALSE),"")</f>
        <v>1134</v>
      </c>
      <c r="K30" s="66"/>
      <c r="L30" s="66"/>
      <c r="M30" s="66"/>
      <c r="N30" s="66"/>
      <c r="O30" s="66"/>
      <c r="P30" s="66"/>
      <c r="Q30" s="66"/>
      <c r="R30" s="66"/>
      <c r="S30" s="66"/>
    </row>
    <row r="31" spans="1:19" ht="18" customHeight="1">
      <c r="B31" t="s">
        <v>644</v>
      </c>
      <c r="C31" t="s">
        <v>645</v>
      </c>
      <c r="D31" s="4"/>
      <c r="E31" s="4">
        <v>1</v>
      </c>
      <c r="F31" s="4"/>
      <c r="G31" s="29" t="str">
        <f>IFERROR(HYPERLINK("#"&amp;ADDRESS(MATCH(B31&amp;"ES",'LM7 Non-ENG'!$A$1:$A$5000,0),1,,,"LM7 Non-ENG"),IF(IFERROR(VLOOKUP(B31&amp;"ES",'LM7 Non-ENG'!$A$1:$A$4999,1,FALSE),"ERROR")=B31&amp;"ES","Y","")),"")</f>
        <v/>
      </c>
      <c r="H31" s="29" t="str">
        <f>IFERROR(HYPERLINK("#"&amp;ADDRESS(MATCH(B31&amp;"PT",'LM7 Non-ENG'!$A$1:$A$5000,0),1,,,"LM7 Non-ENG"),IF(IFERROR(VLOOKUP(B31&amp;"PT",'LM7 Non-ENG'!$A$1:$A$5000,1,FALSE),"ERROR")=B31&amp;"PT","Y","")),"")</f>
        <v/>
      </c>
      <c r="I31" t="str">
        <f>IFERROR(VLOOKUP(B31,PN!$A:$C,3,FALSE),"")</f>
        <v>Active</v>
      </c>
      <c r="J31" s="3">
        <f>IFERROR(E31*VLOOKUP(B31,PLInter!$A:$D,3,FALSE),"")</f>
        <v>1800</v>
      </c>
      <c r="K31" s="66"/>
      <c r="L31" s="66"/>
      <c r="M31" s="66"/>
      <c r="N31" s="66"/>
      <c r="O31" s="66"/>
      <c r="P31" s="66"/>
      <c r="Q31" s="66"/>
      <c r="R31" s="66"/>
      <c r="S31" s="66"/>
    </row>
    <row r="32" spans="1:19" ht="18" customHeight="1">
      <c r="B32" t="s">
        <v>630</v>
      </c>
      <c r="C32" t="s">
        <v>631</v>
      </c>
      <c r="D32" s="4"/>
      <c r="E32" s="4">
        <v>1</v>
      </c>
      <c r="F32" s="4"/>
      <c r="G32" s="29" t="str">
        <f>IFERROR(HYPERLINK("#"&amp;ADDRESS(MATCH(B32&amp;"ES",'LM7 Non-ENG'!$A$1:$A$5000,0),1,,,"LM7 Non-ENG"),IF(IFERROR(VLOOKUP(B32&amp;"ES",'LM7 Non-ENG'!$A$1:$A$4999,1,FALSE),"ERROR")=B32&amp;"ES","Y","")),"")</f>
        <v/>
      </c>
      <c r="H32" s="29" t="str">
        <f>IFERROR(HYPERLINK("#"&amp;ADDRESS(MATCH(B32&amp;"PT",'LM7 Non-ENG'!$A$1:$A$5000,0),1,,,"LM7 Non-ENG"),IF(IFERROR(VLOOKUP(B32&amp;"PT",'LM7 Non-ENG'!$A$1:$A$5000,1,FALSE),"ERROR")=B32&amp;"PT","Y","")),"")</f>
        <v/>
      </c>
      <c r="I32" t="str">
        <f>IFERROR(VLOOKUP(B32,PN!$A:$C,3,FALSE),"")</f>
        <v>Active</v>
      </c>
      <c r="J32" s="3">
        <f>IFERROR(E32*VLOOKUP(B32,PLInter!$A:$D,3,FALSE),"")</f>
        <v>1735</v>
      </c>
      <c r="K32" s="66"/>
      <c r="L32" s="66"/>
      <c r="M32" s="66"/>
      <c r="N32" s="66"/>
      <c r="O32" s="66"/>
      <c r="P32" s="66"/>
      <c r="Q32" s="66"/>
      <c r="R32" s="66"/>
      <c r="S32" s="66"/>
    </row>
    <row r="34" spans="1:19" s="7" customFormat="1" ht="18" customHeight="1">
      <c r="A34" s="13" t="s">
        <v>646</v>
      </c>
      <c r="B34" s="13"/>
      <c r="C34" s="13" t="s">
        <v>647</v>
      </c>
      <c r="D34" s="14"/>
      <c r="E34" s="14"/>
      <c r="F34" s="14"/>
      <c r="G34" s="14"/>
      <c r="H34" s="14"/>
      <c r="I34" s="14"/>
      <c r="J34" s="14">
        <f>SUMIFS(J35:J42,D35:D42,"&lt;&gt;Y",F35:F42,"&lt;&gt;Y",I35:I42,"&lt;&gt;Inactive",I35:I42,"&lt;&gt;ECO+NFS")</f>
        <v>23436</v>
      </c>
      <c r="K34" s="14"/>
      <c r="L34" s="14"/>
      <c r="M34" s="14"/>
      <c r="N34" s="14"/>
      <c r="O34" s="14"/>
      <c r="P34" s="14"/>
      <c r="Q34" s="14"/>
      <c r="R34" s="14"/>
      <c r="S34" s="14"/>
    </row>
    <row r="35" spans="1:19" ht="18" customHeight="1">
      <c r="A35" s="17" t="str">
        <f>HYPERLINK("#"&amp;ADDRESS(MATCH(A34,'CIM&amp;FMS'!$A$1:$A$4997,0),1,,,"CIM&amp;FMS"),"Back to Price List")</f>
        <v>Back to Price List</v>
      </c>
      <c r="B35" t="s">
        <v>213</v>
      </c>
      <c r="C35" t="s">
        <v>640</v>
      </c>
      <c r="D35" s="4"/>
      <c r="E35" s="4">
        <v>1</v>
      </c>
      <c r="F35" s="4"/>
      <c r="G35" s="29" t="str">
        <f>IFERROR(HYPERLINK("#"&amp;ADDRESS(MATCH(B35&amp;"ES",'LM7 Non-ENG'!$A$1:$A$5000,0),1,,,"LM7 Non-ENG"),IF(IFERROR(VLOOKUP(B35&amp;"ES",'LM7 Non-ENG'!$A$1:$A$4999,1,FALSE),"ERROR")=B35&amp;"ES","Y","")),"")</f>
        <v/>
      </c>
      <c r="H35" s="29" t="str">
        <f>IFERROR(HYPERLINK("#"&amp;ADDRESS(MATCH(B35&amp;"PT",'LM7 Non-ENG'!$A$1:$A$5000,0),1,,,"LM7 Non-ENG"),IF(IFERROR(VLOOKUP(B35&amp;"PT",'LM7 Non-ENG'!$A$1:$A$5000,1,FALSE),"ERROR")=B35&amp;"PT","Y","")),"")</f>
        <v/>
      </c>
      <c r="I35" t="str">
        <f>IFERROR(VLOOKUP(B35,PN!$A:$C,3,FALSE),"")</f>
        <v>Active</v>
      </c>
      <c r="J35" s="3">
        <f>IFERROR(E35*VLOOKUP(B35,PLInter!$A:$D,3,FALSE),"")</f>
        <v>11726</v>
      </c>
      <c r="K35" s="66"/>
      <c r="L35" s="66"/>
      <c r="M35" s="66"/>
      <c r="N35" s="66"/>
      <c r="O35" s="66"/>
      <c r="P35" s="66"/>
      <c r="Q35" s="66"/>
      <c r="R35" s="66"/>
      <c r="S35" s="66"/>
    </row>
    <row r="36" spans="1:19" ht="18" customHeight="1">
      <c r="B36" t="s">
        <v>226</v>
      </c>
      <c r="C36" t="s">
        <v>641</v>
      </c>
      <c r="D36" s="4"/>
      <c r="E36" s="4">
        <v>1</v>
      </c>
      <c r="F36" s="4"/>
      <c r="G36" s="29" t="str">
        <f>IFERROR(HYPERLINK("#"&amp;ADDRESS(MATCH(B36&amp;"ES",'LM7 Non-ENG'!$A$1:$A$5000,0),1,,,"LM7 Non-ENG"),IF(IFERROR(VLOOKUP(B36&amp;"ES",'LM7 Non-ENG'!$A$1:$A$4999,1,FALSE),"ERROR")=B36&amp;"ES","Y","")),"")</f>
        <v/>
      </c>
      <c r="H36" s="29" t="str">
        <f>IFERROR(HYPERLINK("#"&amp;ADDRESS(MATCH(B36&amp;"PT",'LM7 Non-ENG'!$A$1:$A$5000,0),1,,,"LM7 Non-ENG"),IF(IFERROR(VLOOKUP(B36&amp;"PT",'LM7 Non-ENG'!$A$1:$A$5000,1,FALSE),"ERROR")=B36&amp;"PT","Y","")),"")</f>
        <v/>
      </c>
      <c r="I36" t="str">
        <f>IFERROR(VLOOKUP(B36,PN!$A:$C,3,FALSE),"")</f>
        <v>Active</v>
      </c>
      <c r="J36" s="3">
        <f>IFERROR(E36*VLOOKUP(B36,PLInter!$A:$D,3,FALSE),"")</f>
        <v>125</v>
      </c>
      <c r="K36" s="66"/>
      <c r="L36" s="66"/>
      <c r="M36" s="66"/>
      <c r="N36" s="66"/>
      <c r="O36" s="66"/>
      <c r="P36" s="66"/>
      <c r="Q36" s="66"/>
      <c r="R36" s="66"/>
      <c r="S36" s="66"/>
    </row>
    <row r="37" spans="1:19" ht="18" customHeight="1">
      <c r="B37" t="s">
        <v>236</v>
      </c>
      <c r="C37" t="s">
        <v>626</v>
      </c>
      <c r="D37" s="4"/>
      <c r="E37" s="4">
        <v>1</v>
      </c>
      <c r="F37" s="4"/>
      <c r="G37" s="29" t="str">
        <f>IFERROR(HYPERLINK("#"&amp;ADDRESS(MATCH(B37&amp;"ES",'LM7 Non-ENG'!$A$1:$A$5000,0),1,,,"LM7 Non-ENG"),IF(IFERROR(VLOOKUP(B37&amp;"ES",'LM7 Non-ENG'!$A$1:$A$4999,1,FALSE),"ERROR")=B37&amp;"ES","Y","")),"")</f>
        <v/>
      </c>
      <c r="H37" s="29" t="str">
        <f>IFERROR(HYPERLINK("#"&amp;ADDRESS(MATCH(B37&amp;"PT",'LM7 Non-ENG'!$A$1:$A$5000,0),1,,,"LM7 Non-ENG"),IF(IFERROR(VLOOKUP(B37&amp;"PT",'LM7 Non-ENG'!$A$1:$A$5000,1,FALSE),"ERROR")=B37&amp;"PT","Y","")),"")</f>
        <v/>
      </c>
      <c r="I37" t="str">
        <f>IFERROR(VLOOKUP(B37,PN!$A:$C,3,FALSE),"")</f>
        <v>Active</v>
      </c>
      <c r="J37" s="3">
        <f>IFERROR(E37*VLOOKUP(B37,PLInter!$A:$D,3,FALSE),"")</f>
        <v>1680</v>
      </c>
      <c r="K37" s="66"/>
      <c r="L37" s="66"/>
      <c r="M37" s="66"/>
      <c r="N37" s="66"/>
      <c r="O37" s="66"/>
      <c r="P37" s="66"/>
      <c r="Q37" s="66"/>
      <c r="R37" s="66"/>
      <c r="S37" s="66"/>
    </row>
    <row r="38" spans="1:19" ht="18" customHeight="1">
      <c r="B38" t="s">
        <v>642</v>
      </c>
      <c r="C38" t="s">
        <v>643</v>
      </c>
      <c r="D38" s="4"/>
      <c r="E38" s="4">
        <v>1</v>
      </c>
      <c r="F38" s="4"/>
      <c r="G38" s="29" t="str">
        <f>IFERROR(HYPERLINK("#"&amp;ADDRESS(MATCH(B38&amp;"ES",'LM7 Non-ENG'!$A$1:$A$5000,0),1,,,"LM7 Non-ENG"),IF(IFERROR(VLOOKUP(B38&amp;"ES",'LM7 Non-ENG'!$A$1:$A$4999,1,FALSE),"ERROR")=B38&amp;"ES","Y","")),"")</f>
        <v/>
      </c>
      <c r="H38" s="29" t="str">
        <f>IFERROR(HYPERLINK("#"&amp;ADDRESS(MATCH(B38&amp;"PT",'LM7 Non-ENG'!$A$1:$A$5000,0),1,,,"LM7 Non-ENG"),IF(IFERROR(VLOOKUP(B38&amp;"PT",'LM7 Non-ENG'!$A$1:$A$5000,1,FALSE),"ERROR")=B38&amp;"PT","Y","")),"")</f>
        <v/>
      </c>
      <c r="I38" t="str">
        <f>IFERROR(VLOOKUP(B38,PN!$A:$C,3,FALSE),"")</f>
        <v>Active</v>
      </c>
      <c r="J38" s="3">
        <f>IFERROR(E38*VLOOKUP(B38,PLInter!$A:$D,3,FALSE),"")</f>
        <v>1134</v>
      </c>
      <c r="K38" s="66"/>
      <c r="L38" s="66"/>
      <c r="M38" s="66"/>
      <c r="N38" s="66"/>
      <c r="O38" s="66"/>
      <c r="P38" s="66"/>
      <c r="Q38" s="66"/>
      <c r="R38" s="66"/>
      <c r="S38" s="66"/>
    </row>
    <row r="39" spans="1:19" ht="18" customHeight="1">
      <c r="B39" t="s">
        <v>627</v>
      </c>
      <c r="C39" t="s">
        <v>628</v>
      </c>
      <c r="D39" s="4"/>
      <c r="E39" s="4">
        <v>1</v>
      </c>
      <c r="F39" s="4"/>
      <c r="G39" s="29" t="str">
        <f>IFERROR(HYPERLINK("#"&amp;ADDRESS(MATCH(B39&amp;"ES",'LM7 Non-ENG'!$A$1:$A$5000,0),1,,,"LM7 Non-ENG"),IF(IFERROR(VLOOKUP(B39&amp;"ES",'LM7 Non-ENG'!$A$1:$A$4999,1,FALSE),"ERROR")=B39&amp;"ES","Y","")),"")</f>
        <v/>
      </c>
      <c r="H39" s="29" t="str">
        <f>IFERROR(HYPERLINK("#"&amp;ADDRESS(MATCH(B39&amp;"PT",'LM7 Non-ENG'!$A$1:$A$5000,0),1,,,"LM7 Non-ENG"),IF(IFERROR(VLOOKUP(B39&amp;"PT",'LM7 Non-ENG'!$A$1:$A$5000,1,FALSE),"ERROR")=B39&amp;"PT","Y","")),"")</f>
        <v/>
      </c>
      <c r="I39" t="str">
        <f>IFERROR(VLOOKUP(B39,PN!$A:$C,3,FALSE),"")</f>
        <v>Active</v>
      </c>
      <c r="J39" s="3">
        <f>IFERROR(E39*VLOOKUP(B39,PLInter!$A:$D,3,FALSE),"")</f>
        <v>5200</v>
      </c>
      <c r="K39" s="66"/>
      <c r="L39" s="66"/>
      <c r="M39" s="66"/>
      <c r="N39" s="66"/>
      <c r="O39" s="66"/>
      <c r="P39" s="66"/>
      <c r="Q39" s="66"/>
      <c r="R39" s="66"/>
      <c r="S39" s="66"/>
    </row>
    <row r="40" spans="1:19" ht="18" customHeight="1">
      <c r="B40" t="str">
        <f>"410472"</f>
        <v>410472</v>
      </c>
      <c r="C40" t="s">
        <v>629</v>
      </c>
      <c r="D40" s="4"/>
      <c r="E40" s="4">
        <v>6</v>
      </c>
      <c r="F40" s="4"/>
      <c r="G40" s="29" t="str">
        <f>IFERROR(HYPERLINK("#"&amp;ADDRESS(MATCH(B40&amp;"ES",'LM7 Non-ENG'!$A$1:$A$5000,0),1,,,"LM7 Non-ENG"),IF(IFERROR(VLOOKUP(B40&amp;"ES",'LM7 Non-ENG'!$A$1:$A$4999,1,FALSE),"ERROR")=B40&amp;"ES","Y","")),"")</f>
        <v/>
      </c>
      <c r="H40" s="29" t="str">
        <f>IFERROR(HYPERLINK("#"&amp;ADDRESS(MATCH(B40&amp;"PT",'LM7 Non-ENG'!$A$1:$A$5000,0),1,,,"LM7 Non-ENG"),IF(IFERROR(VLOOKUP(B40&amp;"PT",'LM7 Non-ENG'!$A$1:$A$5000,1,FALSE),"ERROR")=B40&amp;"PT","Y","")),"")</f>
        <v/>
      </c>
      <c r="I40" t="str">
        <f>IFERROR(VLOOKUP(B40,PN!$A:$C,3,FALSE),"")</f>
        <v>Active</v>
      </c>
      <c r="J40" s="3">
        <f>IFERROR(E40*VLOOKUP(B40,PLInter!$A:$D,3,FALSE),"")</f>
        <v>36</v>
      </c>
      <c r="K40" s="66"/>
      <c r="L40" s="66"/>
      <c r="M40" s="66"/>
      <c r="N40" s="66"/>
      <c r="O40" s="66"/>
      <c r="P40" s="66"/>
      <c r="Q40" s="66"/>
      <c r="R40" s="66"/>
      <c r="S40" s="66"/>
    </row>
    <row r="41" spans="1:19" ht="18" customHeight="1">
      <c r="B41" t="s">
        <v>644</v>
      </c>
      <c r="C41" t="s">
        <v>645</v>
      </c>
      <c r="D41" s="4"/>
      <c r="E41" s="4">
        <v>1</v>
      </c>
      <c r="F41" s="4"/>
      <c r="G41" s="29" t="str">
        <f>IFERROR(HYPERLINK("#"&amp;ADDRESS(MATCH(B41&amp;"ES",'LM7 Non-ENG'!$A$1:$A$5000,0),1,,,"LM7 Non-ENG"),IF(IFERROR(VLOOKUP(B41&amp;"ES",'LM7 Non-ENG'!$A$1:$A$4999,1,FALSE),"ERROR")=B41&amp;"ES","Y","")),"")</f>
        <v/>
      </c>
      <c r="H41" s="29" t="str">
        <f>IFERROR(HYPERLINK("#"&amp;ADDRESS(MATCH(B41&amp;"PT",'LM7 Non-ENG'!$A$1:$A$5000,0),1,,,"LM7 Non-ENG"),IF(IFERROR(VLOOKUP(B41&amp;"PT",'LM7 Non-ENG'!$A$1:$A$5000,1,FALSE),"ERROR")=B41&amp;"PT","Y","")),"")</f>
        <v/>
      </c>
      <c r="I41" t="str">
        <f>IFERROR(VLOOKUP(B41,PN!$A:$C,3,FALSE),"")</f>
        <v>Active</v>
      </c>
      <c r="J41" s="3">
        <f>IFERROR(E41*VLOOKUP(B41,PLInter!$A:$D,3,FALSE),"")</f>
        <v>1800</v>
      </c>
      <c r="K41" s="66"/>
      <c r="L41" s="66"/>
      <c r="M41" s="66"/>
      <c r="N41" s="66"/>
      <c r="O41" s="66"/>
      <c r="P41" s="66"/>
      <c r="Q41" s="66"/>
      <c r="R41" s="66"/>
      <c r="S41" s="66"/>
    </row>
    <row r="42" spans="1:19" ht="18" customHeight="1">
      <c r="B42" t="s">
        <v>630</v>
      </c>
      <c r="C42" t="s">
        <v>631</v>
      </c>
      <c r="D42" s="4"/>
      <c r="E42" s="4">
        <v>1</v>
      </c>
      <c r="F42" s="4"/>
      <c r="G42" s="29" t="str">
        <f>IFERROR(HYPERLINK("#"&amp;ADDRESS(MATCH(B42&amp;"ES",'LM7 Non-ENG'!$A$1:$A$5000,0),1,,,"LM7 Non-ENG"),IF(IFERROR(VLOOKUP(B42&amp;"ES",'LM7 Non-ENG'!$A$1:$A$4999,1,FALSE),"ERROR")=B42&amp;"ES","Y","")),"")</f>
        <v/>
      </c>
      <c r="H42" s="29" t="str">
        <f>IFERROR(HYPERLINK("#"&amp;ADDRESS(MATCH(B42&amp;"PT",'LM7 Non-ENG'!$A$1:$A$5000,0),1,,,"LM7 Non-ENG"),IF(IFERROR(VLOOKUP(B42&amp;"PT",'LM7 Non-ENG'!$A$1:$A$5000,1,FALSE),"ERROR")=B42&amp;"PT","Y","")),"")</f>
        <v/>
      </c>
      <c r="I42" t="str">
        <f>IFERROR(VLOOKUP(B42,PN!$A:$C,3,FALSE),"")</f>
        <v>Active</v>
      </c>
      <c r="J42" s="3">
        <f>IFERROR(E42*VLOOKUP(B42,PLInter!$A:$D,3,FALSE),"")</f>
        <v>1735</v>
      </c>
      <c r="K42" s="66"/>
      <c r="L42" s="66"/>
      <c r="M42" s="66"/>
      <c r="N42" s="66"/>
      <c r="O42" s="66"/>
      <c r="P42" s="66"/>
      <c r="Q42" s="66"/>
      <c r="R42" s="66"/>
      <c r="S42" s="66"/>
    </row>
    <row r="44" spans="1:19" s="7" customFormat="1" ht="18" customHeight="1">
      <c r="A44" s="13" t="s">
        <v>648</v>
      </c>
      <c r="B44" s="13"/>
      <c r="C44" s="13" t="s">
        <v>649</v>
      </c>
      <c r="D44" s="14"/>
      <c r="E44" s="14"/>
      <c r="F44" s="14"/>
      <c r="G44" s="14"/>
      <c r="H44" s="14"/>
      <c r="I44" s="14"/>
      <c r="J44" s="14">
        <f>SUMIFS(J45:J50,D45:D50,"&lt;&gt;Y",F45:F50,"&lt;&gt;Y",I45:I50,"&lt;&gt;Inactive",I45:I50,"&lt;&gt;ECO+NFS")</f>
        <v>19334</v>
      </c>
      <c r="K44" s="14"/>
      <c r="L44" s="14"/>
      <c r="M44" s="14"/>
      <c r="N44" s="14"/>
      <c r="O44" s="14"/>
      <c r="P44" s="14"/>
      <c r="Q44" s="14"/>
      <c r="R44" s="14"/>
      <c r="S44" s="14"/>
    </row>
    <row r="45" spans="1:19" ht="18" customHeight="1">
      <c r="A45" s="17" t="str">
        <f>HYPERLINK("#"&amp;ADDRESS(MATCH(A44,'CIM&amp;FMS'!$A$1:$A$4997,0),1,,,"CIM&amp;FMS"),"Back to Price List")</f>
        <v>Back to Price List</v>
      </c>
      <c r="B45" t="s">
        <v>213</v>
      </c>
      <c r="C45" t="s">
        <v>640</v>
      </c>
      <c r="D45" s="4"/>
      <c r="E45" s="4">
        <v>1</v>
      </c>
      <c r="F45" s="4"/>
      <c r="G45" s="29" t="str">
        <f>IFERROR(HYPERLINK("#"&amp;ADDRESS(MATCH(B45&amp;"ES",'LM7 Non-ENG'!$A$1:$A$5000,0),1,,,"LM7 Non-ENG"),IF(IFERROR(VLOOKUP(B45&amp;"ES",'LM7 Non-ENG'!$A$1:$A$4999,1,FALSE),"ERROR")=B45&amp;"ES","Y","")),"")</f>
        <v/>
      </c>
      <c r="H45" s="29" t="str">
        <f>IFERROR(HYPERLINK("#"&amp;ADDRESS(MATCH(B45&amp;"PT",'LM7 Non-ENG'!$A$1:$A$5000,0),1,,,"LM7 Non-ENG"),IF(IFERROR(VLOOKUP(B45&amp;"PT",'LM7 Non-ENG'!$A$1:$A$5000,1,FALSE),"ERROR")=B45&amp;"PT","Y","")),"")</f>
        <v/>
      </c>
      <c r="I45" t="str">
        <f>IFERROR(VLOOKUP(B45,PN!$A:$C,3,FALSE),"")</f>
        <v>Active</v>
      </c>
      <c r="J45" s="3">
        <f>IFERROR(E45*VLOOKUP(B45,PLInter!$A:$D,3,FALSE),"")</f>
        <v>11726</v>
      </c>
      <c r="K45" s="66"/>
      <c r="L45" s="66"/>
      <c r="M45" s="66"/>
      <c r="N45" s="66"/>
      <c r="O45" s="66"/>
      <c r="P45" s="66"/>
      <c r="Q45" s="66"/>
      <c r="R45" s="66"/>
      <c r="S45" s="66"/>
    </row>
    <row r="46" spans="1:19" ht="18" customHeight="1">
      <c r="B46" t="s">
        <v>226</v>
      </c>
      <c r="C46" t="s">
        <v>641</v>
      </c>
      <c r="D46" s="4"/>
      <c r="E46" s="4">
        <v>1</v>
      </c>
      <c r="F46" s="4"/>
      <c r="G46" s="29" t="str">
        <f>IFERROR(HYPERLINK("#"&amp;ADDRESS(MATCH(B46&amp;"ES",'LM7 Non-ENG'!$A$1:$A$5000,0),1,,,"LM7 Non-ENG"),IF(IFERROR(VLOOKUP(B46&amp;"ES",'LM7 Non-ENG'!$A$1:$A$4999,1,FALSE),"ERROR")=B46&amp;"ES","Y","")),"")</f>
        <v/>
      </c>
      <c r="H46" s="29" t="str">
        <f>IFERROR(HYPERLINK("#"&amp;ADDRESS(MATCH(B46&amp;"PT",'LM7 Non-ENG'!$A$1:$A$5000,0),1,,,"LM7 Non-ENG"),IF(IFERROR(VLOOKUP(B46&amp;"PT",'LM7 Non-ENG'!$A$1:$A$5000,1,FALSE),"ERROR")=B46&amp;"PT","Y","")),"")</f>
        <v/>
      </c>
      <c r="I46" t="str">
        <f>IFERROR(VLOOKUP(B46,PN!$A:$C,3,FALSE),"")</f>
        <v>Active</v>
      </c>
      <c r="J46" s="3">
        <f>IFERROR(E46*VLOOKUP(B46,PLInter!$A:$D,3,FALSE),"")</f>
        <v>125</v>
      </c>
      <c r="K46" s="66"/>
      <c r="L46" s="66"/>
      <c r="M46" s="66"/>
      <c r="N46" s="66"/>
      <c r="O46" s="66"/>
      <c r="P46" s="66"/>
      <c r="Q46" s="66"/>
      <c r="R46" s="66"/>
      <c r="S46" s="66"/>
    </row>
    <row r="47" spans="1:19" ht="18" customHeight="1">
      <c r="B47" t="s">
        <v>236</v>
      </c>
      <c r="C47" t="s">
        <v>626</v>
      </c>
      <c r="D47" s="4"/>
      <c r="E47" s="4">
        <v>1</v>
      </c>
      <c r="F47" s="4"/>
      <c r="G47" s="29" t="str">
        <f>IFERROR(HYPERLINK("#"&amp;ADDRESS(MATCH(B47&amp;"ES",'LM7 Non-ENG'!$A$1:$A$5000,0),1,,,"LM7 Non-ENG"),IF(IFERROR(VLOOKUP(B47&amp;"ES",'LM7 Non-ENG'!$A$1:$A$4999,1,FALSE),"ERROR")=B47&amp;"ES","Y","")),"")</f>
        <v/>
      </c>
      <c r="H47" s="29" t="str">
        <f>IFERROR(HYPERLINK("#"&amp;ADDRESS(MATCH(B47&amp;"PT",'LM7 Non-ENG'!$A$1:$A$5000,0),1,,,"LM7 Non-ENG"),IF(IFERROR(VLOOKUP(B47&amp;"PT",'LM7 Non-ENG'!$A$1:$A$5000,1,FALSE),"ERROR")=B47&amp;"PT","Y","")),"")</f>
        <v/>
      </c>
      <c r="I47" t="str">
        <f>IFERROR(VLOOKUP(B47,PN!$A:$C,3,FALSE),"")</f>
        <v>Active</v>
      </c>
      <c r="J47" s="3">
        <f>IFERROR(E47*VLOOKUP(B47,PLInter!$A:$D,3,FALSE),"")</f>
        <v>1680</v>
      </c>
      <c r="K47" s="66"/>
      <c r="L47" s="66"/>
      <c r="M47" s="66"/>
      <c r="N47" s="66"/>
      <c r="O47" s="66"/>
      <c r="P47" s="66"/>
      <c r="Q47" s="66"/>
      <c r="R47" s="66"/>
      <c r="S47" s="66"/>
    </row>
    <row r="48" spans="1:19" ht="18" customHeight="1">
      <c r="B48" t="s">
        <v>642</v>
      </c>
      <c r="C48" t="s">
        <v>643</v>
      </c>
      <c r="D48" s="4"/>
      <c r="E48" s="4">
        <v>2</v>
      </c>
      <c r="F48" s="4"/>
      <c r="G48" s="29" t="str">
        <f>IFERROR(HYPERLINK("#"&amp;ADDRESS(MATCH(B48&amp;"ES",'LM7 Non-ENG'!$A$1:$A$5000,0),1,,,"LM7 Non-ENG"),IF(IFERROR(VLOOKUP(B48&amp;"ES",'LM7 Non-ENG'!$A$1:$A$4999,1,FALSE),"ERROR")=B48&amp;"ES","Y","")),"")</f>
        <v/>
      </c>
      <c r="H48" s="29" t="str">
        <f>IFERROR(HYPERLINK("#"&amp;ADDRESS(MATCH(B48&amp;"PT",'LM7 Non-ENG'!$A$1:$A$5000,0),1,,,"LM7 Non-ENG"),IF(IFERROR(VLOOKUP(B48&amp;"PT",'LM7 Non-ENG'!$A$1:$A$5000,1,FALSE),"ERROR")=B48&amp;"PT","Y","")),"")</f>
        <v/>
      </c>
      <c r="I48" t="str">
        <f>IFERROR(VLOOKUP(B48,PN!$A:$C,3,FALSE),"")</f>
        <v>Active</v>
      </c>
      <c r="J48" s="3">
        <f>IFERROR(E48*VLOOKUP(B48,PLInter!$A:$D,3,FALSE),"")</f>
        <v>2268</v>
      </c>
      <c r="K48" s="66"/>
      <c r="L48" s="66"/>
      <c r="M48" s="66"/>
      <c r="N48" s="66"/>
      <c r="O48" s="66"/>
      <c r="P48" s="66"/>
      <c r="Q48" s="66"/>
      <c r="R48" s="66"/>
      <c r="S48" s="66"/>
    </row>
    <row r="49" spans="1:19" ht="18" customHeight="1">
      <c r="B49" t="s">
        <v>644</v>
      </c>
      <c r="C49" t="s">
        <v>645</v>
      </c>
      <c r="D49" s="4"/>
      <c r="E49" s="4">
        <v>1</v>
      </c>
      <c r="F49" s="4"/>
      <c r="G49" s="29" t="str">
        <f>IFERROR(HYPERLINK("#"&amp;ADDRESS(MATCH(B49&amp;"ES",'LM7 Non-ENG'!$A$1:$A$5000,0),1,,,"LM7 Non-ENG"),IF(IFERROR(VLOOKUP(B49&amp;"ES",'LM7 Non-ENG'!$A$1:$A$4999,1,FALSE),"ERROR")=B49&amp;"ES","Y","")),"")</f>
        <v/>
      </c>
      <c r="H49" s="29" t="str">
        <f>IFERROR(HYPERLINK("#"&amp;ADDRESS(MATCH(B49&amp;"PT",'LM7 Non-ENG'!$A$1:$A$5000,0),1,,,"LM7 Non-ENG"),IF(IFERROR(VLOOKUP(B49&amp;"PT",'LM7 Non-ENG'!$A$1:$A$5000,1,FALSE),"ERROR")=B49&amp;"PT","Y","")),"")</f>
        <v/>
      </c>
      <c r="I49" t="str">
        <f>IFERROR(VLOOKUP(B49,PN!$A:$C,3,FALSE),"")</f>
        <v>Active</v>
      </c>
      <c r="J49" s="3">
        <f>IFERROR(E49*VLOOKUP(B49,PLInter!$A:$D,3,FALSE),"")</f>
        <v>1800</v>
      </c>
      <c r="K49" s="66"/>
      <c r="L49" s="66"/>
      <c r="M49" s="66"/>
      <c r="N49" s="66"/>
      <c r="O49" s="66"/>
      <c r="P49" s="66"/>
      <c r="Q49" s="66"/>
      <c r="R49" s="66"/>
      <c r="S49" s="66"/>
    </row>
    <row r="50" spans="1:19" ht="18" customHeight="1">
      <c r="B50" t="s">
        <v>630</v>
      </c>
      <c r="C50" t="s">
        <v>631</v>
      </c>
      <c r="D50" s="4"/>
      <c r="E50" s="4">
        <v>1</v>
      </c>
      <c r="F50" s="4"/>
      <c r="G50" s="29" t="str">
        <f>IFERROR(HYPERLINK("#"&amp;ADDRESS(MATCH(B50&amp;"ES",'LM7 Non-ENG'!$A$1:$A$5000,0),1,,,"LM7 Non-ENG"),IF(IFERROR(VLOOKUP(B50&amp;"ES",'LM7 Non-ENG'!$A$1:$A$4999,1,FALSE),"ERROR")=B50&amp;"ES","Y","")),"")</f>
        <v/>
      </c>
      <c r="H50" s="29" t="str">
        <f>IFERROR(HYPERLINK("#"&amp;ADDRESS(MATCH(B50&amp;"PT",'LM7 Non-ENG'!$A$1:$A$5000,0),1,,,"LM7 Non-ENG"),IF(IFERROR(VLOOKUP(B50&amp;"PT",'LM7 Non-ENG'!$A$1:$A$5000,1,FALSE),"ERROR")=B50&amp;"PT","Y","")),"")</f>
        <v/>
      </c>
      <c r="I50" t="str">
        <f>IFERROR(VLOOKUP(B50,PN!$A:$C,3,FALSE),"")</f>
        <v>Active</v>
      </c>
      <c r="J50" s="3">
        <f>IFERROR(E50*VLOOKUP(B50,PLInter!$A:$D,3,FALSE),"")</f>
        <v>1735</v>
      </c>
      <c r="K50" s="66"/>
      <c r="L50" s="66"/>
      <c r="M50" s="66"/>
      <c r="N50" s="66"/>
      <c r="O50" s="66"/>
      <c r="P50" s="66"/>
      <c r="Q50" s="66"/>
      <c r="R50" s="66"/>
      <c r="S50" s="66"/>
    </row>
    <row r="52" spans="1:19" s="7" customFormat="1" ht="18" customHeight="1">
      <c r="A52" s="13" t="s">
        <v>650</v>
      </c>
      <c r="B52" s="13"/>
      <c r="C52" s="13" t="s">
        <v>651</v>
      </c>
      <c r="D52" s="14"/>
      <c r="E52" s="14"/>
      <c r="F52" s="14"/>
      <c r="G52" s="14"/>
      <c r="H52" s="14"/>
      <c r="I52" s="14"/>
      <c r="J52" s="14">
        <f>SUMIFS(J53:J60,D53:D60,"&lt;&gt;Y",F53:F60,"&lt;&gt;Y",I53:I60,"&lt;&gt;Inactive",I53:I60,"&lt;&gt;ECO+NFS")</f>
        <v>24606</v>
      </c>
      <c r="K52" s="14"/>
      <c r="L52" s="14"/>
      <c r="M52" s="14"/>
      <c r="N52" s="14"/>
      <c r="O52" s="14"/>
      <c r="P52" s="14"/>
      <c r="Q52" s="14"/>
      <c r="R52" s="14"/>
      <c r="S52" s="14"/>
    </row>
    <row r="53" spans="1:19" ht="18" customHeight="1">
      <c r="A53" s="17" t="str">
        <f>HYPERLINK("#"&amp;ADDRESS(MATCH(A52,'CIM&amp;FMS'!$A$1:$A$4997,0),1,,,"CIM&amp;FMS"),"Back to Price List")</f>
        <v>Back to Price List</v>
      </c>
      <c r="B53" t="str">
        <f>"00-0413-0000"</f>
        <v>00-0413-0000</v>
      </c>
      <c r="C53" t="str">
        <f>"SCORBOT-ER 4u (Package)"</f>
        <v>SCORBOT-ER 4u (Package)</v>
      </c>
      <c r="D53" s="4"/>
      <c r="E53" s="4">
        <v>1</v>
      </c>
      <c r="F53" s="4"/>
      <c r="G53" s="29" t="str">
        <f>IFERROR(HYPERLINK("#"&amp;ADDRESS(MATCH(B53&amp;"ES",'LM7 Non-ENG'!$A$1:$A$5000,0),1,,,"LM7 Non-ENG"),IF(IFERROR(VLOOKUP(B53&amp;"ES",'LM7 Non-ENG'!$A$1:$A$4999,1,FALSE),"ERROR")=B53&amp;"ES","Y","")),"")</f>
        <v/>
      </c>
      <c r="H53" s="29" t="str">
        <f>IFERROR(HYPERLINK("#"&amp;ADDRESS(MATCH(B53&amp;"PT",'LM7 Non-ENG'!$A$1:$A$5000,0),1,,,"LM7 Non-ENG"),IF(IFERROR(VLOOKUP(B53&amp;"PT",'LM7 Non-ENG'!$A$1:$A$5000,1,FALSE),"ERROR")=B53&amp;"PT","Y","")),"")</f>
        <v/>
      </c>
      <c r="I53" t="str">
        <f>IFERROR(VLOOKUP(B53,PN!$A:$C,3,FALSE),"")</f>
        <v>Active</v>
      </c>
      <c r="J53" s="3">
        <f>IFERROR(E53*VLOOKUP(B53,PLInter!$A:$D,3,FALSE),"")</f>
        <v>11726</v>
      </c>
      <c r="K53" s="66"/>
      <c r="L53" s="66"/>
      <c r="M53" s="66"/>
      <c r="N53" s="66"/>
      <c r="O53" s="66"/>
      <c r="P53" s="66"/>
      <c r="Q53" s="66"/>
      <c r="R53" s="66"/>
      <c r="S53" s="66"/>
    </row>
    <row r="54" spans="1:19" ht="18" customHeight="1">
      <c r="B54" t="str">
        <f>"00-0609-0000"</f>
        <v>00-0609-0000</v>
      </c>
      <c r="C54" t="str">
        <f>"End Effector Attachment for ER4U Gripper"</f>
        <v>End Effector Attachment for ER4U Gripper</v>
      </c>
      <c r="D54" s="4"/>
      <c r="E54" s="4">
        <v>1</v>
      </c>
      <c r="F54" s="4"/>
      <c r="G54" s="29" t="str">
        <f>IFERROR(HYPERLINK("#"&amp;ADDRESS(MATCH(B54&amp;"ES",'LM7 Non-ENG'!$A$1:$A$5000,0),1,,,"LM7 Non-ENG"),IF(IFERROR(VLOOKUP(B54&amp;"ES",'LM7 Non-ENG'!$A$1:$A$4999,1,FALSE),"ERROR")=B54&amp;"ES","Y","")),"")</f>
        <v/>
      </c>
      <c r="H54" s="29" t="str">
        <f>IFERROR(HYPERLINK("#"&amp;ADDRESS(MATCH(B54&amp;"PT",'LM7 Non-ENG'!$A$1:$A$5000,0),1,,,"LM7 Non-ENG"),IF(IFERROR(VLOOKUP(B54&amp;"PT",'LM7 Non-ENG'!$A$1:$A$5000,1,FALSE),"ERROR")=B54&amp;"PT","Y","")),"")</f>
        <v/>
      </c>
      <c r="I54" t="str">
        <f>IFERROR(VLOOKUP(B54,PN!$A:$C,3,FALSE),"")</f>
        <v>Active</v>
      </c>
      <c r="J54" s="3">
        <f>IFERROR(E54*VLOOKUP(B54,PLInter!$A:$D,3,FALSE),"")</f>
        <v>125</v>
      </c>
      <c r="K54" s="66"/>
      <c r="L54" s="66"/>
      <c r="M54" s="66"/>
      <c r="N54" s="66"/>
      <c r="O54" s="66"/>
      <c r="P54" s="66"/>
      <c r="Q54" s="66"/>
      <c r="R54" s="66"/>
      <c r="S54" s="66"/>
    </row>
    <row r="55" spans="1:19" ht="18" customHeight="1">
      <c r="B55" t="str">
        <f>"00-1710-0000"</f>
        <v>00-1710-0000</v>
      </c>
      <c r="C55" t="str">
        <f>"Teach Pendant for USB/USB Pro Controllers"</f>
        <v>Teach Pendant for USB/USB Pro Controllers</v>
      </c>
      <c r="D55" s="4"/>
      <c r="E55" s="4">
        <v>1</v>
      </c>
      <c r="F55" s="4"/>
      <c r="G55" s="29" t="str">
        <f>IFERROR(HYPERLINK("#"&amp;ADDRESS(MATCH(B55&amp;"ES",'LM7 Non-ENG'!$A$1:$A$5000,0),1,,,"LM7 Non-ENG"),IF(IFERROR(VLOOKUP(B55&amp;"ES",'LM7 Non-ENG'!$A$1:$A$4999,1,FALSE),"ERROR")=B55&amp;"ES","Y","")),"")</f>
        <v/>
      </c>
      <c r="H55" s="29" t="str">
        <f>IFERROR(HYPERLINK("#"&amp;ADDRESS(MATCH(B55&amp;"PT",'LM7 Non-ENG'!$A$1:$A$5000,0),1,,,"LM7 Non-ENG"),IF(IFERROR(VLOOKUP(B55&amp;"PT",'LM7 Non-ENG'!$A$1:$A$5000,1,FALSE),"ERROR")=B55&amp;"PT","Y","")),"")</f>
        <v/>
      </c>
      <c r="I55" t="str">
        <f>IFERROR(VLOOKUP(B55,PN!$A:$C,3,FALSE),"")</f>
        <v>Active</v>
      </c>
      <c r="J55" s="3">
        <f>IFERROR(E55*VLOOKUP(B55,PLInter!$A:$D,3,FALSE),"")</f>
        <v>1680</v>
      </c>
      <c r="K55" s="66"/>
      <c r="L55" s="66"/>
      <c r="M55" s="66"/>
      <c r="N55" s="66"/>
      <c r="O55" s="66"/>
      <c r="P55" s="66"/>
      <c r="Q55" s="66"/>
      <c r="R55" s="66"/>
      <c r="S55" s="66"/>
    </row>
    <row r="56" spans="1:19" ht="18" customHeight="1">
      <c r="B56" t="str">
        <f>"00-1121-0000"</f>
        <v>00-1121-0000</v>
      </c>
      <c r="C56" t="str">
        <f>"MicroASRS (6-bay Storage Rack)"</f>
        <v>MicroASRS (6-bay Storage Rack)</v>
      </c>
      <c r="D56" s="4"/>
      <c r="E56" s="4">
        <v>2</v>
      </c>
      <c r="F56" s="4"/>
      <c r="G56" s="29" t="str">
        <f>IFERROR(HYPERLINK("#"&amp;ADDRESS(MATCH(B56&amp;"ES",'LM7 Non-ENG'!$A$1:$A$5000,0),1,,,"LM7 Non-ENG"),IF(IFERROR(VLOOKUP(B56&amp;"ES",'LM7 Non-ENG'!$A$1:$A$4999,1,FALSE),"ERROR")=B56&amp;"ES","Y","")),"")</f>
        <v/>
      </c>
      <c r="H56" s="29" t="str">
        <f>IFERROR(HYPERLINK("#"&amp;ADDRESS(MATCH(B56&amp;"PT",'LM7 Non-ENG'!$A$1:$A$5000,0),1,,,"LM7 Non-ENG"),IF(IFERROR(VLOOKUP(B56&amp;"PT",'LM7 Non-ENG'!$A$1:$A$5000,1,FALSE),"ERROR")=B56&amp;"PT","Y","")),"")</f>
        <v/>
      </c>
      <c r="I56" t="str">
        <f>IFERROR(VLOOKUP(B56,PN!$A:$C,3,FALSE),"")</f>
        <v>Active</v>
      </c>
      <c r="J56" s="3">
        <f>IFERROR(E56*VLOOKUP(B56,PLInter!$A:$D,3,FALSE),"")</f>
        <v>2268</v>
      </c>
      <c r="K56" s="66"/>
      <c r="L56" s="66"/>
      <c r="M56" s="66"/>
      <c r="N56" s="66"/>
      <c r="O56" s="66"/>
      <c r="P56" s="66"/>
      <c r="Q56" s="66"/>
      <c r="R56" s="66"/>
      <c r="S56" s="66"/>
    </row>
    <row r="57" spans="1:19" ht="18" customHeight="1">
      <c r="B57" t="str">
        <f>"10-2119-8000"</f>
        <v>10-2119-8000</v>
      </c>
      <c r="C57" t="str">
        <f>"RFID Reader  System, 115/230V"</f>
        <v>RFID Reader  System, 115/230V</v>
      </c>
      <c r="D57" s="4"/>
      <c r="E57" s="4">
        <v>1</v>
      </c>
      <c r="F57" s="4"/>
      <c r="G57" s="29" t="str">
        <f>IFERROR(HYPERLINK("#"&amp;ADDRESS(MATCH(B57&amp;"ES",'LM7 Non-ENG'!$A$1:$A$5000,0),1,,,"LM7 Non-ENG"),IF(IFERROR(VLOOKUP(B57&amp;"ES",'LM7 Non-ENG'!$A$1:$A$4999,1,FALSE),"ERROR")=B57&amp;"ES","Y","")),"")</f>
        <v/>
      </c>
      <c r="H57" s="29" t="str">
        <f>IFERROR(HYPERLINK("#"&amp;ADDRESS(MATCH(B57&amp;"PT",'LM7 Non-ENG'!$A$1:$A$5000,0),1,,,"LM7 Non-ENG"),IF(IFERROR(VLOOKUP(B57&amp;"PT",'LM7 Non-ENG'!$A$1:$A$5000,1,FALSE),"ERROR")=B57&amp;"PT","Y","")),"")</f>
        <v/>
      </c>
      <c r="I57" t="str">
        <f>IFERROR(VLOOKUP(B57,PN!$A:$C,3,FALSE),"")</f>
        <v>Active</v>
      </c>
      <c r="J57" s="3">
        <f>IFERROR(E57*VLOOKUP(B57,PLInter!$A:$D,3,FALSE),"")</f>
        <v>5200</v>
      </c>
      <c r="K57" s="66"/>
      <c r="L57" s="66"/>
      <c r="M57" s="66"/>
      <c r="N57" s="66"/>
      <c r="O57" s="66"/>
      <c r="P57" s="66"/>
      <c r="Q57" s="66"/>
      <c r="R57" s="66"/>
      <c r="S57" s="66"/>
    </row>
    <row r="58" spans="1:19" ht="18" customHeight="1">
      <c r="B58" t="str">
        <f>"410472"</f>
        <v>410472</v>
      </c>
      <c r="C58" t="str">
        <f>"RFID Tag Diam. 20mm"</f>
        <v>RFID Tag Diam. 20mm</v>
      </c>
      <c r="D58" s="4"/>
      <c r="E58" s="4">
        <v>12</v>
      </c>
      <c r="F58" s="4"/>
      <c r="G58" s="29" t="str">
        <f>IFERROR(HYPERLINK("#"&amp;ADDRESS(MATCH(B58&amp;"ES",'LM7 Non-ENG'!$A$1:$A$5000,0),1,,,"LM7 Non-ENG"),IF(IFERROR(VLOOKUP(B58&amp;"ES",'LM7 Non-ENG'!$A$1:$A$4999,1,FALSE),"ERROR")=B58&amp;"ES","Y","")),"")</f>
        <v/>
      </c>
      <c r="H58" s="29" t="str">
        <f>IFERROR(HYPERLINK("#"&amp;ADDRESS(MATCH(B58&amp;"PT",'LM7 Non-ENG'!$A$1:$A$5000,0),1,,,"LM7 Non-ENG"),IF(IFERROR(VLOOKUP(B58&amp;"PT",'LM7 Non-ENG'!$A$1:$A$5000,1,FALSE),"ERROR")=B58&amp;"PT","Y","")),"")</f>
        <v/>
      </c>
      <c r="I58" t="str">
        <f>IFERROR(VLOOKUP(B58,PN!$A:$C,3,FALSE),"")</f>
        <v>Active</v>
      </c>
      <c r="J58" s="3">
        <f>IFERROR(E58*VLOOKUP(B58,PLInter!$A:$D,3,FALSE),"")</f>
        <v>72</v>
      </c>
      <c r="K58" s="66"/>
      <c r="L58" s="66"/>
      <c r="M58" s="66"/>
      <c r="N58" s="66"/>
      <c r="O58" s="66"/>
      <c r="P58" s="66"/>
      <c r="Q58" s="66"/>
      <c r="R58" s="66"/>
      <c r="S58" s="66"/>
    </row>
    <row r="59" spans="1:19" ht="18" customHeight="1">
      <c r="B59" t="str">
        <f>"00-1251-0000"</f>
        <v>00-1251-0000</v>
      </c>
      <c r="C59" t="str">
        <f>"Workbench 1500x800mm (Formica Top)"</f>
        <v>Workbench 1500x800mm (Formica Top)</v>
      </c>
      <c r="D59" s="4"/>
      <c r="E59" s="4">
        <v>1</v>
      </c>
      <c r="F59" s="4"/>
      <c r="G59" s="29" t="str">
        <f>IFERROR(HYPERLINK("#"&amp;ADDRESS(MATCH(B59&amp;"ES",'LM7 Non-ENG'!$A$1:$A$5000,0),1,,,"LM7 Non-ENG"),IF(IFERROR(VLOOKUP(B59&amp;"ES",'LM7 Non-ENG'!$A$1:$A$4999,1,FALSE),"ERROR")=B59&amp;"ES","Y","")),"")</f>
        <v/>
      </c>
      <c r="H59" s="29" t="str">
        <f>IFERROR(HYPERLINK("#"&amp;ADDRESS(MATCH(B59&amp;"PT",'LM7 Non-ENG'!$A$1:$A$5000,0),1,,,"LM7 Non-ENG"),IF(IFERROR(VLOOKUP(B59&amp;"PT",'LM7 Non-ENG'!$A$1:$A$5000,1,FALSE),"ERROR")=B59&amp;"PT","Y","")),"")</f>
        <v/>
      </c>
      <c r="I59" t="str">
        <f>IFERROR(VLOOKUP(B59,PN!$A:$C,3,FALSE),"")</f>
        <v>Active</v>
      </c>
      <c r="J59" s="3">
        <f>IFERROR(E59*VLOOKUP(B59,PLInter!$A:$D,3,FALSE),"")</f>
        <v>1800</v>
      </c>
      <c r="K59" s="66"/>
      <c r="L59" s="66"/>
      <c r="M59" s="66"/>
      <c r="N59" s="66"/>
      <c r="O59" s="66"/>
      <c r="P59" s="66"/>
      <c r="Q59" s="66"/>
      <c r="R59" s="66"/>
      <c r="S59" s="66"/>
    </row>
    <row r="60" spans="1:19" ht="18" customHeight="1">
      <c r="B60" t="str">
        <f>"50-0094-0000"</f>
        <v>50-0094-0000</v>
      </c>
      <c r="C60" t="str">
        <f>"Pre-Engineering, Design and Testing"</f>
        <v>Pre-Engineering, Design and Testing</v>
      </c>
      <c r="D60" s="4"/>
      <c r="E60" s="4">
        <v>1</v>
      </c>
      <c r="F60" s="4"/>
      <c r="G60" s="29" t="str">
        <f>IFERROR(HYPERLINK("#"&amp;ADDRESS(MATCH(B60&amp;"ES",'LM7 Non-ENG'!$A$1:$A$5000,0),1,,,"LM7 Non-ENG"),IF(IFERROR(VLOOKUP(B60&amp;"ES",'LM7 Non-ENG'!$A$1:$A$4999,1,FALSE),"ERROR")=B60&amp;"ES","Y","")),"")</f>
        <v/>
      </c>
      <c r="H60" s="29" t="str">
        <f>IFERROR(HYPERLINK("#"&amp;ADDRESS(MATCH(B60&amp;"PT",'LM7 Non-ENG'!$A$1:$A$5000,0),1,,,"LM7 Non-ENG"),IF(IFERROR(VLOOKUP(B60&amp;"PT",'LM7 Non-ENG'!$A$1:$A$5000,1,FALSE),"ERROR")=B60&amp;"PT","Y","")),"")</f>
        <v/>
      </c>
      <c r="I60" t="str">
        <f>IFERROR(VLOOKUP(B60,PN!$A:$C,3,FALSE),"")</f>
        <v>Active</v>
      </c>
      <c r="J60" s="3">
        <f>IFERROR(E60*VLOOKUP(B60,PLInter!$A:$D,3,FALSE),"")</f>
        <v>1735</v>
      </c>
      <c r="K60" s="66"/>
      <c r="L60" s="66"/>
      <c r="M60" s="66"/>
      <c r="N60" s="66"/>
      <c r="O60" s="66"/>
      <c r="P60" s="66"/>
      <c r="Q60" s="66"/>
      <c r="R60" s="66"/>
      <c r="S60" s="66"/>
    </row>
    <row r="62" spans="1:19" s="7" customFormat="1" ht="18" customHeight="1">
      <c r="A62" s="13" t="s">
        <v>652</v>
      </c>
      <c r="B62" s="13"/>
      <c r="C62" s="13" t="s">
        <v>653</v>
      </c>
      <c r="D62" s="14"/>
      <c r="E62" s="14"/>
      <c r="F62" s="14"/>
      <c r="G62" s="14"/>
      <c r="H62" s="14"/>
      <c r="I62" s="14"/>
      <c r="J62" s="14">
        <f>SUMIFS(J63:J69,D63:D69,"&lt;&gt;Y",F63:F69,"&lt;&gt;Y",I63:I69,"&lt;&gt;Inactive",I63:I69,"&lt;&gt;ECO+NFS")</f>
        <v>32483</v>
      </c>
      <c r="K62" s="14"/>
      <c r="L62" s="14"/>
      <c r="M62" s="14"/>
      <c r="N62" s="14"/>
      <c r="O62" s="14"/>
      <c r="P62" s="14"/>
      <c r="Q62" s="14"/>
      <c r="R62" s="14"/>
      <c r="S62" s="14"/>
    </row>
    <row r="63" spans="1:19" ht="18" customHeight="1">
      <c r="A63" s="17" t="str">
        <f>HYPERLINK("#"&amp;ADDRESS(MATCH(A62,'CIM&amp;FMS'!$A$1:$A$4997,0),1,,,"CIM&amp;FMS"),"Back to Price List")</f>
        <v>Back to Price List</v>
      </c>
      <c r="B63" t="s">
        <v>214</v>
      </c>
      <c r="C63" t="s">
        <v>654</v>
      </c>
      <c r="D63" s="4"/>
      <c r="E63" s="4">
        <v>1</v>
      </c>
      <c r="F63" s="4"/>
      <c r="G63" s="29" t="str">
        <f>IFERROR(HYPERLINK("#"&amp;ADDRESS(MATCH(B63&amp;"ES",'LM7 Non-ENG'!$A$1:$A$5000,0),1,,,"LM7 Non-ENG"),IF(IFERROR(VLOOKUP(B63&amp;"ES",'LM7 Non-ENG'!$A$1:$A$4999,1,FALSE),"ERROR")=B63&amp;"ES","Y","")),"")</f>
        <v/>
      </c>
      <c r="H63" s="29" t="str">
        <f>IFERROR(HYPERLINK("#"&amp;ADDRESS(MATCH(B63&amp;"PT",'LM7 Non-ENG'!$A$1:$A$5000,0),1,,,"LM7 Non-ENG"),IF(IFERROR(VLOOKUP(B63&amp;"PT",'LM7 Non-ENG'!$A$1:$A$5000,1,FALSE),"ERROR")=B63&amp;"PT","Y","")),"")</f>
        <v/>
      </c>
      <c r="I63" t="str">
        <f>IFERROR(VLOOKUP(B63,PN!$A:$C,3,FALSE),"")</f>
        <v>Active</v>
      </c>
      <c r="J63" s="3">
        <f>IFERROR(E63*VLOOKUP(B63,PLInter!$A:$D,3,FALSE),"")</f>
        <v>24000</v>
      </c>
      <c r="K63" s="66"/>
      <c r="L63" s="66"/>
      <c r="M63" s="66"/>
      <c r="N63" s="66"/>
      <c r="O63" s="66"/>
      <c r="P63" s="66"/>
      <c r="Q63" s="66"/>
      <c r="R63" s="66"/>
      <c r="S63" s="66"/>
    </row>
    <row r="64" spans="1:19" ht="18" customHeight="1">
      <c r="B64" t="s">
        <v>228</v>
      </c>
      <c r="C64" t="s">
        <v>655</v>
      </c>
      <c r="D64" s="4"/>
      <c r="E64" s="4">
        <v>1</v>
      </c>
      <c r="F64" s="4"/>
      <c r="G64" s="29" t="str">
        <f>IFERROR(HYPERLINK("#"&amp;ADDRESS(MATCH(B64&amp;"ES",'LM7 Non-ENG'!$A$1:$A$5000,0),1,,,"LM7 Non-ENG"),IF(IFERROR(VLOOKUP(B64&amp;"ES",'LM7 Non-ENG'!$A$1:$A$4999,1,FALSE),"ERROR")=B64&amp;"ES","Y","")),"")</f>
        <v/>
      </c>
      <c r="H64" s="29" t="str">
        <f>IFERROR(HYPERLINK("#"&amp;ADDRESS(MATCH(B64&amp;"PT",'LM7 Non-ENG'!$A$1:$A$5000,0),1,,,"LM7 Non-ENG"),IF(IFERROR(VLOOKUP(B64&amp;"PT",'LM7 Non-ENG'!$A$1:$A$5000,1,FALSE),"ERROR")=B64&amp;"PT","Y","")),"")</f>
        <v/>
      </c>
      <c r="I64" t="str">
        <f>IFERROR(VLOOKUP(B64,PN!$A:$C,3,FALSE),"")</f>
        <v>Active</v>
      </c>
      <c r="J64" s="3">
        <f>IFERROR(E64*VLOOKUP(B64,PLInter!$A:$D,3,FALSE),"")</f>
        <v>2134</v>
      </c>
      <c r="K64" s="66"/>
      <c r="L64" s="66"/>
      <c r="M64" s="66"/>
      <c r="N64" s="66"/>
      <c r="O64" s="66"/>
      <c r="P64" s="66"/>
      <c r="Q64" s="66"/>
      <c r="R64" s="66"/>
      <c r="S64" s="66"/>
    </row>
    <row r="65" spans="1:19" ht="18" customHeight="1">
      <c r="B65" s="2" t="s">
        <v>227</v>
      </c>
      <c r="C65" s="2" t="s">
        <v>232</v>
      </c>
      <c r="D65" s="5"/>
      <c r="E65" s="5">
        <v>1</v>
      </c>
      <c r="F65" s="5" t="s">
        <v>0</v>
      </c>
      <c r="G65" s="29" t="str">
        <f>IFERROR(HYPERLINK("#"&amp;ADDRESS(MATCH(B65&amp;"ES",'LM7 Non-ENG'!$A$1:$A$5000,0),1,,,"LM7 Non-ENG"),IF(IFERROR(VLOOKUP(B65&amp;"ES",'LM7 Non-ENG'!$A$1:$A$4999,1,FALSE),"ERROR")=B65&amp;"ES","Y","")),"")</f>
        <v/>
      </c>
      <c r="H65" s="29" t="str">
        <f>IFERROR(HYPERLINK("#"&amp;ADDRESS(MATCH(B65&amp;"PT",'LM7 Non-ENG'!$A$1:$A$5000,0),1,,,"LM7 Non-ENG"),IF(IFERROR(VLOOKUP(B65&amp;"PT",'LM7 Non-ENG'!$A$1:$A$5000,1,FALSE),"ERROR")=B65&amp;"PT","Y","")),"")</f>
        <v/>
      </c>
      <c r="I65" t="str">
        <f>IFERROR(VLOOKUP(B65,PN!$A:$C,3,FALSE),"")</f>
        <v>Active</v>
      </c>
      <c r="J65" s="3">
        <f>IFERROR(E65*VLOOKUP(B65,PLInter!$A:$D,3,FALSE),"")</f>
        <v>1700</v>
      </c>
      <c r="K65" s="66"/>
      <c r="L65" s="66"/>
      <c r="M65" s="66"/>
      <c r="N65" s="66"/>
      <c r="O65" s="66"/>
      <c r="P65" s="66"/>
      <c r="Q65" s="66"/>
      <c r="R65" s="66"/>
      <c r="S65" s="66"/>
    </row>
    <row r="66" spans="1:19" ht="18" customHeight="1">
      <c r="B66" t="s">
        <v>236</v>
      </c>
      <c r="C66" t="s">
        <v>626</v>
      </c>
      <c r="D66" s="4"/>
      <c r="E66" s="4">
        <v>1</v>
      </c>
      <c r="F66" s="4"/>
      <c r="G66" s="29" t="str">
        <f>IFERROR(HYPERLINK("#"&amp;ADDRESS(MATCH(B66&amp;"ES",'LM7 Non-ENG'!$A$1:$A$5000,0),1,,,"LM7 Non-ENG"),IF(IFERROR(VLOOKUP(B66&amp;"ES",'LM7 Non-ENG'!$A$1:$A$4999,1,FALSE),"ERROR")=B66&amp;"ES","Y","")),"")</f>
        <v/>
      </c>
      <c r="H66" s="29" t="str">
        <f>IFERROR(HYPERLINK("#"&amp;ADDRESS(MATCH(B66&amp;"PT",'LM7 Non-ENG'!$A$1:$A$5000,0),1,,,"LM7 Non-ENG"),IF(IFERROR(VLOOKUP(B66&amp;"PT",'LM7 Non-ENG'!$A$1:$A$5000,1,FALSE),"ERROR")=B66&amp;"PT","Y","")),"")</f>
        <v/>
      </c>
      <c r="I66" t="str">
        <f>IFERROR(VLOOKUP(B66,PN!$A:$C,3,FALSE),"")</f>
        <v>Active</v>
      </c>
      <c r="J66" s="3">
        <f>IFERROR(E66*VLOOKUP(B66,PLInter!$A:$D,3,FALSE),"")</f>
        <v>1680</v>
      </c>
      <c r="K66" s="66"/>
      <c r="L66" s="66"/>
      <c r="M66" s="66"/>
      <c r="N66" s="66"/>
      <c r="O66" s="66"/>
      <c r="P66" s="66"/>
      <c r="Q66" s="66"/>
      <c r="R66" s="66"/>
      <c r="S66" s="66"/>
    </row>
    <row r="67" spans="1:19" ht="18" customHeight="1">
      <c r="B67" t="s">
        <v>642</v>
      </c>
      <c r="C67" t="s">
        <v>643</v>
      </c>
      <c r="D67" s="4"/>
      <c r="E67" s="4">
        <v>1</v>
      </c>
      <c r="F67" s="4"/>
      <c r="G67" s="29" t="str">
        <f>IFERROR(HYPERLINK("#"&amp;ADDRESS(MATCH(B67&amp;"ES",'LM7 Non-ENG'!$A$1:$A$5000,0),1,,,"LM7 Non-ENG"),IF(IFERROR(VLOOKUP(B67&amp;"ES",'LM7 Non-ENG'!$A$1:$A$4999,1,FALSE),"ERROR")=B67&amp;"ES","Y","")),"")</f>
        <v/>
      </c>
      <c r="H67" s="29" t="str">
        <f>IFERROR(HYPERLINK("#"&amp;ADDRESS(MATCH(B67&amp;"PT",'LM7 Non-ENG'!$A$1:$A$5000,0),1,,,"LM7 Non-ENG"),IF(IFERROR(VLOOKUP(B67&amp;"PT",'LM7 Non-ENG'!$A$1:$A$5000,1,FALSE),"ERROR")=B67&amp;"PT","Y","")),"")</f>
        <v/>
      </c>
      <c r="I67" t="str">
        <f>IFERROR(VLOOKUP(B67,PN!$A:$C,3,FALSE),"")</f>
        <v>Active</v>
      </c>
      <c r="J67" s="3">
        <f>IFERROR(E67*VLOOKUP(B67,PLInter!$A:$D,3,FALSE),"")</f>
        <v>1134</v>
      </c>
      <c r="K67" s="66"/>
      <c r="L67" s="66"/>
      <c r="M67" s="66"/>
      <c r="N67" s="66"/>
      <c r="O67" s="66"/>
      <c r="P67" s="66"/>
      <c r="Q67" s="66"/>
      <c r="R67" s="66"/>
      <c r="S67" s="66"/>
    </row>
    <row r="68" spans="1:19" ht="18" customHeight="1">
      <c r="B68" t="s">
        <v>644</v>
      </c>
      <c r="C68" t="s">
        <v>645</v>
      </c>
      <c r="D68" s="4"/>
      <c r="E68" s="4">
        <v>1</v>
      </c>
      <c r="F68" s="4"/>
      <c r="G68" s="29" t="str">
        <f>IFERROR(HYPERLINK("#"&amp;ADDRESS(MATCH(B68&amp;"ES",'LM7 Non-ENG'!$A$1:$A$5000,0),1,,,"LM7 Non-ENG"),IF(IFERROR(VLOOKUP(B68&amp;"ES",'LM7 Non-ENG'!$A$1:$A$4999,1,FALSE),"ERROR")=B68&amp;"ES","Y","")),"")</f>
        <v/>
      </c>
      <c r="H68" s="29" t="str">
        <f>IFERROR(HYPERLINK("#"&amp;ADDRESS(MATCH(B68&amp;"PT",'LM7 Non-ENG'!$A$1:$A$5000,0),1,,,"LM7 Non-ENG"),IF(IFERROR(VLOOKUP(B68&amp;"PT",'LM7 Non-ENG'!$A$1:$A$5000,1,FALSE),"ERROR")=B68&amp;"PT","Y","")),"")</f>
        <v/>
      </c>
      <c r="I68" t="str">
        <f>IFERROR(VLOOKUP(B68,PN!$A:$C,3,FALSE),"")</f>
        <v>Active</v>
      </c>
      <c r="J68" s="3">
        <f>IFERROR(E68*VLOOKUP(B68,PLInter!$A:$D,3,FALSE),"")</f>
        <v>1800</v>
      </c>
      <c r="K68" s="66"/>
      <c r="L68" s="66"/>
      <c r="M68" s="66"/>
      <c r="N68" s="66"/>
      <c r="O68" s="66"/>
      <c r="P68" s="66"/>
      <c r="Q68" s="66"/>
      <c r="R68" s="66"/>
      <c r="S68" s="66"/>
    </row>
    <row r="69" spans="1:19" ht="18" customHeight="1">
      <c r="B69" t="s">
        <v>630</v>
      </c>
      <c r="C69" t="s">
        <v>631</v>
      </c>
      <c r="D69" s="4"/>
      <c r="E69" s="4">
        <v>1</v>
      </c>
      <c r="F69" s="4"/>
      <c r="G69" s="29" t="str">
        <f>IFERROR(HYPERLINK("#"&amp;ADDRESS(MATCH(B69&amp;"ES",'LM7 Non-ENG'!$A$1:$A$5000,0),1,,,"LM7 Non-ENG"),IF(IFERROR(VLOOKUP(B69&amp;"ES",'LM7 Non-ENG'!$A$1:$A$4999,1,FALSE),"ERROR")=B69&amp;"ES","Y","")),"")</f>
        <v/>
      </c>
      <c r="H69" s="29" t="str">
        <f>IFERROR(HYPERLINK("#"&amp;ADDRESS(MATCH(B69&amp;"PT",'LM7 Non-ENG'!$A$1:$A$5000,0),1,,,"LM7 Non-ENG"),IF(IFERROR(VLOOKUP(B69&amp;"PT",'LM7 Non-ENG'!$A$1:$A$5000,1,FALSE),"ERROR")=B69&amp;"PT","Y","")),"")</f>
        <v/>
      </c>
      <c r="I69" t="str">
        <f>IFERROR(VLOOKUP(B69,PN!$A:$C,3,FALSE),"")</f>
        <v>Active</v>
      </c>
      <c r="J69" s="3">
        <f>IFERROR(E69*VLOOKUP(B69,PLInter!$A:$D,3,FALSE),"")</f>
        <v>1735</v>
      </c>
      <c r="K69" s="66"/>
      <c r="L69" s="66"/>
      <c r="M69" s="66"/>
      <c r="N69" s="66"/>
      <c r="O69" s="66"/>
      <c r="P69" s="66"/>
      <c r="Q69" s="66"/>
      <c r="R69" s="66"/>
      <c r="S69" s="66"/>
    </row>
    <row r="71" spans="1:19" s="7" customFormat="1" ht="18" customHeight="1">
      <c r="A71" s="13" t="s">
        <v>656</v>
      </c>
      <c r="B71" s="13"/>
      <c r="C71" s="13" t="s">
        <v>657</v>
      </c>
      <c r="D71" s="14"/>
      <c r="E71" s="14"/>
      <c r="F71" s="14"/>
      <c r="G71" s="14"/>
      <c r="H71" s="14"/>
      <c r="I71" s="14"/>
      <c r="J71" s="14">
        <f>SUMIFS(J72:J73,D72:D73,"&lt;&gt;Y",F72:F73,"&lt;&gt;Y",I72:I73,"&lt;&gt;Inactive",I72:I73,"&lt;&gt;ECO+NFS")</f>
        <v>5206</v>
      </c>
      <c r="K71" s="14"/>
      <c r="L71" s="14"/>
      <c r="M71" s="14"/>
      <c r="N71" s="14"/>
      <c r="O71" s="14"/>
      <c r="P71" s="14"/>
      <c r="Q71" s="14"/>
      <c r="R71" s="14"/>
      <c r="S71" s="14"/>
    </row>
    <row r="72" spans="1:19" ht="18" customHeight="1">
      <c r="A72" s="17" t="str">
        <f>HYPERLINK("#"&amp;ADDRESS(MATCH(A71,'CIM&amp;FMS'!$A$1:$A$4997,0),1,,,"CIM&amp;FMS"),"Back to Price List")</f>
        <v>Back to Price List</v>
      </c>
      <c r="B72" t="s">
        <v>627</v>
      </c>
      <c r="C72" t="s">
        <v>658</v>
      </c>
      <c r="D72" s="4"/>
      <c r="E72" s="4">
        <v>1</v>
      </c>
      <c r="F72" s="4"/>
      <c r="G72" s="29" t="str">
        <f>IFERROR(HYPERLINK("#"&amp;ADDRESS(MATCH(B72&amp;"ES",'LM7 Non-ENG'!$A$1:$A$5000,0),1,,,"LM7 Non-ENG"),IF(IFERROR(VLOOKUP(B72&amp;"ES",'LM7 Non-ENG'!$A$1:$A$4999,1,FALSE),"ERROR")=B72&amp;"ES","Y","")),"")</f>
        <v/>
      </c>
      <c r="H72" s="29" t="str">
        <f>IFERROR(HYPERLINK("#"&amp;ADDRESS(MATCH(B72&amp;"PT",'LM7 Non-ENG'!$A$1:$A$5000,0),1,,,"LM7 Non-ENG"),IF(IFERROR(VLOOKUP(B72&amp;"PT",'LM7 Non-ENG'!$A$1:$A$5000,1,FALSE),"ERROR")=B72&amp;"PT","Y","")),"")</f>
        <v/>
      </c>
      <c r="I72" t="str">
        <f>IFERROR(VLOOKUP(B72,PN!$A:$C,3,FALSE),"")</f>
        <v>Active</v>
      </c>
      <c r="J72" s="3">
        <f>IFERROR(E72*VLOOKUP(B72,PLInter!$A:$D,3,FALSE),"")</f>
        <v>5200</v>
      </c>
      <c r="K72" s="66"/>
      <c r="L72" s="66"/>
      <c r="M72" s="66"/>
      <c r="N72" s="66"/>
      <c r="O72" s="66"/>
      <c r="P72" s="66"/>
      <c r="Q72" s="66"/>
      <c r="R72" s="66"/>
      <c r="S72" s="66"/>
    </row>
    <row r="73" spans="1:19" ht="18" customHeight="1">
      <c r="B73" t="str">
        <f>"410472"</f>
        <v>410472</v>
      </c>
      <c r="C73" s="41" t="s">
        <v>659</v>
      </c>
      <c r="D73" s="4"/>
      <c r="E73" s="4">
        <v>1</v>
      </c>
      <c r="F73" s="4"/>
      <c r="G73" s="29" t="str">
        <f>IFERROR(HYPERLINK("#"&amp;ADDRESS(MATCH(B73&amp;"ES",'LM7 Non-ENG'!$A$1:$A$5000,0),1,,,"LM7 Non-ENG"),IF(IFERROR(VLOOKUP(B73&amp;"ES",'LM7 Non-ENG'!$A$1:$A$4999,1,FALSE),"ERROR")=B73&amp;"ES","Y","")),"")</f>
        <v/>
      </c>
      <c r="H73" s="29" t="str">
        <f>IFERROR(HYPERLINK("#"&amp;ADDRESS(MATCH(B73&amp;"PT",'LM7 Non-ENG'!$A$1:$A$5000,0),1,,,"LM7 Non-ENG"),IF(IFERROR(VLOOKUP(B73&amp;"PT",'LM7 Non-ENG'!$A$1:$A$5000,1,FALSE),"ERROR")=B73&amp;"PT","Y","")),"")</f>
        <v/>
      </c>
      <c r="I73" t="str">
        <f>IFERROR(VLOOKUP(B73,PN!$A:$C,3,FALSE),"")</f>
        <v>Active</v>
      </c>
      <c r="J73" s="3">
        <f>IFERROR(E73*VLOOKUP(B73,PLInter!$A:$D,3,FALSE),"")</f>
        <v>6</v>
      </c>
      <c r="K73" s="66"/>
      <c r="L73" s="66"/>
      <c r="M73" s="66"/>
      <c r="N73" s="66"/>
      <c r="O73" s="66"/>
      <c r="P73" s="66"/>
      <c r="Q73" s="66"/>
      <c r="R73" s="66"/>
      <c r="S73" s="66"/>
    </row>
    <row r="75" spans="1:19" s="7" customFormat="1" ht="18" customHeight="1">
      <c r="A75" s="13" t="s">
        <v>660</v>
      </c>
      <c r="B75" s="13"/>
      <c r="C75" s="13" t="s">
        <v>661</v>
      </c>
      <c r="D75" s="14"/>
      <c r="E75" s="14"/>
      <c r="F75" s="14"/>
      <c r="G75" s="14"/>
      <c r="H75" s="14"/>
      <c r="I75" s="14"/>
      <c r="J75" s="14">
        <f>SUMIFS(J76:J77,D76:D77,"&lt;&gt;Y",F76:F77,"&lt;&gt;Y",I76:I77,"&lt;&gt;Inactive",I76:I77,"&lt;&gt;ECO+NFS")</f>
        <v>5947</v>
      </c>
      <c r="K75" s="14"/>
      <c r="L75" s="14"/>
      <c r="M75" s="14"/>
      <c r="N75" s="14"/>
      <c r="O75" s="14"/>
      <c r="P75" s="14"/>
      <c r="Q75" s="14"/>
      <c r="R75" s="14"/>
      <c r="S75" s="14"/>
    </row>
    <row r="76" spans="1:19" ht="18" customHeight="1">
      <c r="A76" s="17" t="str">
        <f>HYPERLINK("#"&amp;ADDRESS(MATCH(A75,'CIM&amp;FMS'!$A$1:$A$4997,0),1,,,"CIM&amp;FMS"),"Back to Price List")</f>
        <v>Back to Price List</v>
      </c>
      <c r="B76" t="s">
        <v>662</v>
      </c>
      <c r="C76" t="s">
        <v>663</v>
      </c>
      <c r="D76" s="4"/>
      <c r="E76" s="4">
        <v>1</v>
      </c>
      <c r="F76" s="4"/>
      <c r="G76" s="29" t="str">
        <f>IFERROR(HYPERLINK("#"&amp;ADDRESS(MATCH(B76&amp;"ES",'LM7 Non-ENG'!$A$1:$A$5000,0),1,,,"LM7 Non-ENG"),IF(IFERROR(VLOOKUP(B76&amp;"ES",'LM7 Non-ENG'!$A$1:$A$4999,1,FALSE),"ERROR")=B76&amp;"ES","Y","")),"")</f>
        <v/>
      </c>
      <c r="H76" s="29" t="str">
        <f>IFERROR(HYPERLINK("#"&amp;ADDRESS(MATCH(B76&amp;"PT",'LM7 Non-ENG'!$A$1:$A$5000,0),1,,,"LM7 Non-ENG"),IF(IFERROR(VLOOKUP(B76&amp;"PT",'LM7 Non-ENG'!$A$1:$A$5000,1,FALSE),"ERROR")=B76&amp;"PT","Y","")),"")</f>
        <v/>
      </c>
      <c r="I76" t="str">
        <f>IFERROR(VLOOKUP(B76,PN!$A:$C,3,FALSE),"")</f>
        <v>Active</v>
      </c>
      <c r="J76" s="3">
        <f>IFERROR(E76*VLOOKUP(B76,PLInter!$A:$D,3,FALSE),"")</f>
        <v>4267</v>
      </c>
      <c r="K76" s="66"/>
      <c r="L76" s="66"/>
      <c r="M76" s="66"/>
      <c r="N76" s="66"/>
      <c r="O76" s="66"/>
      <c r="P76" s="66"/>
      <c r="Q76" s="66"/>
      <c r="R76" s="66"/>
      <c r="S76" s="66"/>
    </row>
    <row r="77" spans="1:19" ht="18" customHeight="1">
      <c r="B77" t="s">
        <v>236</v>
      </c>
      <c r="C77" t="s">
        <v>626</v>
      </c>
      <c r="D77" s="4"/>
      <c r="E77" s="4">
        <v>1</v>
      </c>
      <c r="F77" s="4"/>
      <c r="G77" s="29" t="str">
        <f>IFERROR(HYPERLINK("#"&amp;ADDRESS(MATCH(B77&amp;"ES",'LM7 Non-ENG'!$A$1:$A$5000,0),1,,,"LM7 Non-ENG"),IF(IFERROR(VLOOKUP(B77&amp;"ES",'LM7 Non-ENG'!$A$1:$A$4999,1,FALSE),"ERROR")=B77&amp;"ES","Y","")),"")</f>
        <v/>
      </c>
      <c r="H77" s="29" t="str">
        <f>IFERROR(HYPERLINK("#"&amp;ADDRESS(MATCH(B77&amp;"PT",'LM7 Non-ENG'!$A$1:$A$5000,0),1,,,"LM7 Non-ENG"),IF(IFERROR(VLOOKUP(B77&amp;"PT",'LM7 Non-ENG'!$A$1:$A$5000,1,FALSE),"ERROR")=B77&amp;"PT","Y","")),"")</f>
        <v/>
      </c>
      <c r="I77" t="str">
        <f>IFERROR(VLOOKUP(B77,PN!$A:$C,3,FALSE),"")</f>
        <v>Active</v>
      </c>
      <c r="J77" s="3">
        <f>IFERROR(E77*VLOOKUP(B77,PLInter!$A:$D,3,FALSE),"")</f>
        <v>1680</v>
      </c>
      <c r="K77" s="66"/>
      <c r="L77" s="66"/>
      <c r="M77" s="66"/>
      <c r="N77" s="66"/>
      <c r="O77" s="66"/>
      <c r="P77" s="66"/>
      <c r="Q77" s="66"/>
      <c r="R77" s="66"/>
      <c r="S77" s="66"/>
    </row>
    <row r="79" spans="1:19" s="7" customFormat="1" ht="18" customHeight="1">
      <c r="A79" s="13" t="s">
        <v>664</v>
      </c>
      <c r="B79" s="13"/>
      <c r="C79" s="13" t="s">
        <v>665</v>
      </c>
      <c r="D79" s="14"/>
      <c r="E79" s="14"/>
      <c r="F79" s="14"/>
      <c r="G79" s="14"/>
      <c r="H79" s="14"/>
      <c r="I79" s="14"/>
      <c r="J79" s="14">
        <f>SUMIFS(J80:J88,D80:D88,"&lt;&gt;Y",F80:F88,"&lt;&gt;Y",I80:I88,"&lt;&gt;Inactive",I80:I88,"&lt;&gt;ECO+NFS")</f>
        <v>26117</v>
      </c>
      <c r="K79" s="14"/>
      <c r="L79" s="14"/>
      <c r="M79" s="14"/>
      <c r="N79" s="14"/>
      <c r="O79" s="14"/>
      <c r="P79" s="14"/>
      <c r="Q79" s="14"/>
      <c r="R79" s="14"/>
      <c r="S79" s="14"/>
    </row>
    <row r="80" spans="1:19" ht="18" customHeight="1">
      <c r="A80" s="17" t="str">
        <f>HYPERLINK("#"&amp;ADDRESS(MATCH(A79,'CIM&amp;FMS'!$A$1:$A$4997,0),1,,,"CIM&amp;FMS"),"Back to Price List")</f>
        <v>Back to Price List</v>
      </c>
      <c r="B80" t="s">
        <v>213</v>
      </c>
      <c r="C80" t="s">
        <v>640</v>
      </c>
      <c r="D80" s="4"/>
      <c r="E80" s="4">
        <v>1</v>
      </c>
      <c r="F80" s="4"/>
      <c r="G80" s="29" t="str">
        <f>IFERROR(HYPERLINK("#"&amp;ADDRESS(MATCH(B80&amp;"ES",'LM7 Non-ENG'!$A$1:$A$5000,0),1,,,"LM7 Non-ENG"),IF(IFERROR(VLOOKUP(B80&amp;"ES",'LM7 Non-ENG'!$A$1:$A$4999,1,FALSE),"ERROR")=B80&amp;"ES","Y","")),"")</f>
        <v/>
      </c>
      <c r="H80" s="29" t="str">
        <f>IFERROR(HYPERLINK("#"&amp;ADDRESS(MATCH(B80&amp;"PT",'LM7 Non-ENG'!$A$1:$A$5000,0),1,,,"LM7 Non-ENG"),IF(IFERROR(VLOOKUP(B80&amp;"PT",'LM7 Non-ENG'!$A$1:$A$5000,1,FALSE),"ERROR")=B80&amp;"PT","Y","")),"")</f>
        <v/>
      </c>
      <c r="I80" t="str">
        <f>IFERROR(VLOOKUP(B80,PN!$A:$C,3,FALSE),"")</f>
        <v>Active</v>
      </c>
      <c r="J80" s="3">
        <f>IFERROR(E80*VLOOKUP(B80,PLInter!$A:$D,3,FALSE),"")</f>
        <v>11726</v>
      </c>
      <c r="K80" s="66"/>
      <c r="L80" s="66"/>
      <c r="M80" s="66"/>
      <c r="N80" s="66"/>
      <c r="O80" s="66"/>
      <c r="P80" s="66"/>
      <c r="Q80" s="66"/>
      <c r="R80" s="66"/>
      <c r="S80" s="66"/>
    </row>
    <row r="81" spans="1:19" ht="18" customHeight="1">
      <c r="B81" t="s">
        <v>226</v>
      </c>
      <c r="C81" t="s">
        <v>641</v>
      </c>
      <c r="D81" s="4"/>
      <c r="E81" s="4">
        <v>1</v>
      </c>
      <c r="F81" s="4"/>
      <c r="G81" s="29" t="str">
        <f>IFERROR(HYPERLINK("#"&amp;ADDRESS(MATCH(B81&amp;"ES",'LM7 Non-ENG'!$A$1:$A$5000,0),1,,,"LM7 Non-ENG"),IF(IFERROR(VLOOKUP(B81&amp;"ES",'LM7 Non-ENG'!$A$1:$A$4999,1,FALSE),"ERROR")=B81&amp;"ES","Y","")),"")</f>
        <v/>
      </c>
      <c r="H81" s="29" t="str">
        <f>IFERROR(HYPERLINK("#"&amp;ADDRESS(MATCH(B81&amp;"PT",'LM7 Non-ENG'!$A$1:$A$5000,0),1,,,"LM7 Non-ENG"),IF(IFERROR(VLOOKUP(B81&amp;"PT",'LM7 Non-ENG'!$A$1:$A$5000,1,FALSE),"ERROR")=B81&amp;"PT","Y","")),"")</f>
        <v/>
      </c>
      <c r="I81" t="str">
        <f>IFERROR(VLOOKUP(B81,PN!$A:$C,3,FALSE),"")</f>
        <v>Active</v>
      </c>
      <c r="J81" s="3">
        <f>IFERROR(E81*VLOOKUP(B81,PLInter!$A:$D,3,FALSE),"")</f>
        <v>125</v>
      </c>
      <c r="K81" s="66"/>
      <c r="L81" s="66"/>
      <c r="M81" s="66"/>
      <c r="N81" s="66"/>
      <c r="O81" s="66"/>
      <c r="P81" s="66"/>
      <c r="Q81" s="66"/>
      <c r="R81" s="66"/>
      <c r="S81" s="66"/>
    </row>
    <row r="82" spans="1:19" ht="18" customHeight="1">
      <c r="B82" t="s">
        <v>236</v>
      </c>
      <c r="C82" t="s">
        <v>626</v>
      </c>
      <c r="D82" s="4"/>
      <c r="E82" s="4">
        <v>1</v>
      </c>
      <c r="F82" s="4"/>
      <c r="G82" s="29" t="str">
        <f>IFERROR(HYPERLINK("#"&amp;ADDRESS(MATCH(B82&amp;"ES",'LM7 Non-ENG'!$A$1:$A$5000,0),1,,,"LM7 Non-ENG"),IF(IFERROR(VLOOKUP(B82&amp;"ES",'LM7 Non-ENG'!$A$1:$A$4999,1,FALSE),"ERROR")=B82&amp;"ES","Y","")),"")</f>
        <v/>
      </c>
      <c r="H82" s="29" t="str">
        <f>IFERROR(HYPERLINK("#"&amp;ADDRESS(MATCH(B82&amp;"PT",'LM7 Non-ENG'!$A$1:$A$5000,0),1,,,"LM7 Non-ENG"),IF(IFERROR(VLOOKUP(B82&amp;"PT",'LM7 Non-ENG'!$A$1:$A$5000,1,FALSE),"ERROR")=B82&amp;"PT","Y","")),"")</f>
        <v/>
      </c>
      <c r="I82" t="str">
        <f>IFERROR(VLOOKUP(B82,PN!$A:$C,3,FALSE),"")</f>
        <v>Active</v>
      </c>
      <c r="J82" s="3">
        <f>IFERROR(E82*VLOOKUP(B82,PLInter!$A:$D,3,FALSE),"")</f>
        <v>1680</v>
      </c>
      <c r="K82" s="66"/>
      <c r="L82" s="66"/>
      <c r="M82" s="66"/>
      <c r="N82" s="66"/>
      <c r="O82" s="66"/>
      <c r="P82" s="66"/>
      <c r="Q82" s="66"/>
      <c r="R82" s="66"/>
      <c r="S82" s="66"/>
    </row>
    <row r="83" spans="1:19" ht="18" customHeight="1">
      <c r="B83" t="s">
        <v>239</v>
      </c>
      <c r="C83" t="s">
        <v>666</v>
      </c>
      <c r="D83" s="4"/>
      <c r="E83" s="4">
        <v>1</v>
      </c>
      <c r="F83" s="4"/>
      <c r="G83" s="29" t="str">
        <f>IFERROR(HYPERLINK("#"&amp;ADDRESS(MATCH(B83&amp;"ES",'LM7 Non-ENG'!$A$1:$A$5000,0),1,,,"LM7 Non-ENG"),IF(IFERROR(VLOOKUP(B83&amp;"ES",'LM7 Non-ENG'!$A$1:$A$4999,1,FALSE),"ERROR")=B83&amp;"ES","Y","")),"")</f>
        <v/>
      </c>
      <c r="H83" s="29" t="str">
        <f>IFERROR(HYPERLINK("#"&amp;ADDRESS(MATCH(B83&amp;"PT",'LM7 Non-ENG'!$A$1:$A$5000,0),1,,,"LM7 Non-ENG"),IF(IFERROR(VLOOKUP(B83&amp;"PT",'LM7 Non-ENG'!$A$1:$A$5000,1,FALSE),"ERROR")=B83&amp;"PT","Y","")),"")</f>
        <v/>
      </c>
      <c r="I83" t="str">
        <f>IFERROR(VLOOKUP(B83,PN!$A:$C,3,FALSE),"")</f>
        <v>Active</v>
      </c>
      <c r="J83" s="3">
        <f>IFERROR(E83*VLOOKUP(B83,PLInter!$A:$D,3,FALSE),"")</f>
        <v>5067</v>
      </c>
      <c r="K83" s="66"/>
      <c r="L83" s="66"/>
      <c r="M83" s="66"/>
      <c r="N83" s="66"/>
      <c r="O83" s="66"/>
      <c r="P83" s="66"/>
      <c r="Q83" s="66"/>
      <c r="R83" s="66"/>
      <c r="S83" s="66"/>
    </row>
    <row r="84" spans="1:19" ht="18" customHeight="1">
      <c r="B84" t="s">
        <v>642</v>
      </c>
      <c r="C84" t="s">
        <v>643</v>
      </c>
      <c r="D84" s="4"/>
      <c r="E84" s="4">
        <v>3</v>
      </c>
      <c r="F84" s="4"/>
      <c r="G84" s="29" t="str">
        <f>IFERROR(HYPERLINK("#"&amp;ADDRESS(MATCH(B84&amp;"ES",'LM7 Non-ENG'!$A$1:$A$5000,0),1,,,"LM7 Non-ENG"),IF(IFERROR(VLOOKUP(B84&amp;"ES",'LM7 Non-ENG'!$A$1:$A$4999,1,FALSE),"ERROR")=B84&amp;"ES","Y","")),"")</f>
        <v/>
      </c>
      <c r="H84" s="29" t="str">
        <f>IFERROR(HYPERLINK("#"&amp;ADDRESS(MATCH(B84&amp;"PT",'LM7 Non-ENG'!$A$1:$A$5000,0),1,,,"LM7 Non-ENG"),IF(IFERROR(VLOOKUP(B84&amp;"PT",'LM7 Non-ENG'!$A$1:$A$5000,1,FALSE),"ERROR")=B84&amp;"PT","Y","")),"")</f>
        <v/>
      </c>
      <c r="I84" t="str">
        <f>IFERROR(VLOOKUP(B84,PN!$A:$C,3,FALSE),"")</f>
        <v>Active</v>
      </c>
      <c r="J84" s="3">
        <f>IFERROR(E84*VLOOKUP(B84,PLInter!$A:$D,3,FALSE),"")</f>
        <v>3402</v>
      </c>
      <c r="K84" s="66"/>
      <c r="L84" s="66"/>
      <c r="M84" s="66"/>
      <c r="N84" s="66"/>
      <c r="O84" s="66"/>
      <c r="P84" s="66"/>
      <c r="Q84" s="66"/>
      <c r="R84" s="66"/>
      <c r="S84" s="66"/>
    </row>
    <row r="85" spans="1:19" ht="18" customHeight="1">
      <c r="B85" s="45" t="s">
        <v>670</v>
      </c>
      <c r="C85" t="s">
        <v>667</v>
      </c>
      <c r="D85" s="4"/>
      <c r="E85" s="4">
        <v>3</v>
      </c>
      <c r="F85" s="4"/>
      <c r="G85" s="29" t="str">
        <f>IFERROR(HYPERLINK("#"&amp;ADDRESS(MATCH(B85&amp;"ES",'LM7 Non-ENG'!$A$1:$A$5000,0),1,,,"LM7 Non-ENG"),IF(IFERROR(VLOOKUP(B85&amp;"ES",'LM7 Non-ENG'!$A$1:$A$4999,1,FALSE),"ERROR")=B85&amp;"ES","Y","")),"")</f>
        <v/>
      </c>
      <c r="H85" s="29" t="str">
        <f>IFERROR(HYPERLINK("#"&amp;ADDRESS(MATCH(B85&amp;"PT",'LM7 Non-ENG'!$A$1:$A$5000,0),1,,,"LM7 Non-ENG"),IF(IFERROR(VLOOKUP(B85&amp;"PT",'LM7 Non-ENG'!$A$1:$A$5000,1,FALSE),"ERROR")=B85&amp;"PT","Y","")),"")</f>
        <v/>
      </c>
      <c r="I85" t="str">
        <f>IFERROR(VLOOKUP(B85,PN!$A:$C,3,FALSE),"")</f>
        <v>Active</v>
      </c>
      <c r="J85" s="3">
        <f>IFERROR(E85*VLOOKUP(B85,PLInter!$A:$D,3,FALSE),"")</f>
        <v>102</v>
      </c>
      <c r="K85" s="66"/>
      <c r="L85" s="66"/>
      <c r="M85" s="66"/>
      <c r="N85" s="66"/>
      <c r="O85" s="66"/>
      <c r="P85" s="66"/>
      <c r="Q85" s="66"/>
      <c r="R85" s="66"/>
      <c r="S85" s="66"/>
    </row>
    <row r="86" spans="1:19" ht="18" customHeight="1">
      <c r="B86" t="s">
        <v>644</v>
      </c>
      <c r="C86" t="s">
        <v>645</v>
      </c>
      <c r="D86" s="4"/>
      <c r="E86" s="4">
        <v>1</v>
      </c>
      <c r="F86" s="4"/>
      <c r="G86" s="29" t="str">
        <f>IFERROR(HYPERLINK("#"&amp;ADDRESS(MATCH(B86&amp;"ES",'LM7 Non-ENG'!$A$1:$A$5000,0),1,,,"LM7 Non-ENG"),IF(IFERROR(VLOOKUP(B86&amp;"ES",'LM7 Non-ENG'!$A$1:$A$4999,1,FALSE),"ERROR")=B86&amp;"ES","Y","")),"")</f>
        <v/>
      </c>
      <c r="H86" s="29" t="str">
        <f>IFERROR(HYPERLINK("#"&amp;ADDRESS(MATCH(B86&amp;"PT",'LM7 Non-ENG'!$A$1:$A$5000,0),1,,,"LM7 Non-ENG"),IF(IFERROR(VLOOKUP(B86&amp;"PT",'LM7 Non-ENG'!$A$1:$A$5000,1,FALSE),"ERROR")=B86&amp;"PT","Y","")),"")</f>
        <v/>
      </c>
      <c r="I86" t="str">
        <f>IFERROR(VLOOKUP(B86,PN!$A:$C,3,FALSE),"")</f>
        <v>Active</v>
      </c>
      <c r="J86" s="3">
        <f>IFERROR(E86*VLOOKUP(B86,PLInter!$A:$D,3,FALSE),"")</f>
        <v>1800</v>
      </c>
      <c r="K86" s="66"/>
      <c r="L86" s="66"/>
      <c r="M86" s="66"/>
      <c r="N86" s="66"/>
      <c r="O86" s="66"/>
      <c r="P86" s="66"/>
      <c r="Q86" s="66"/>
      <c r="R86" s="66"/>
      <c r="S86" s="66"/>
    </row>
    <row r="87" spans="1:19" ht="18" customHeight="1">
      <c r="B87" t="s">
        <v>668</v>
      </c>
      <c r="C87" t="s">
        <v>669</v>
      </c>
      <c r="D87" s="4"/>
      <c r="E87" s="4">
        <v>1</v>
      </c>
      <c r="F87" s="4"/>
      <c r="G87" s="29" t="str">
        <f>IFERROR(HYPERLINK("#"&amp;ADDRESS(MATCH(B87&amp;"ES",'LM7 Non-ENG'!$A$1:$A$5000,0),1,,,"LM7 Non-ENG"),IF(IFERROR(VLOOKUP(B87&amp;"ES",'LM7 Non-ENG'!$A$1:$A$4999,1,FALSE),"ERROR")=B87&amp;"ES","Y","")),"")</f>
        <v/>
      </c>
      <c r="H87" s="29" t="str">
        <f>IFERROR(HYPERLINK("#"&amp;ADDRESS(MATCH(B87&amp;"PT",'LM7 Non-ENG'!$A$1:$A$5000,0),1,,,"LM7 Non-ENG"),IF(IFERROR(VLOOKUP(B87&amp;"PT",'LM7 Non-ENG'!$A$1:$A$5000,1,FALSE),"ERROR")=B87&amp;"PT","Y","")),"")</f>
        <v/>
      </c>
      <c r="I87" t="str">
        <f>IFERROR(VLOOKUP(B87,PN!$A:$C,3,FALSE),"")</f>
        <v>Active</v>
      </c>
      <c r="J87" s="3">
        <f>IFERROR(E87*VLOOKUP(B87,PLInter!$A:$D,3,FALSE),"")</f>
        <v>480</v>
      </c>
      <c r="K87" s="66"/>
      <c r="L87" s="66"/>
      <c r="M87" s="66"/>
      <c r="N87" s="66"/>
      <c r="O87" s="66"/>
      <c r="P87" s="66"/>
      <c r="Q87" s="66"/>
      <c r="R87" s="66"/>
      <c r="S87" s="66"/>
    </row>
    <row r="88" spans="1:19" ht="18" customHeight="1">
      <c r="B88" t="s">
        <v>630</v>
      </c>
      <c r="C88" t="s">
        <v>631</v>
      </c>
      <c r="D88" s="4"/>
      <c r="E88" s="4">
        <v>1</v>
      </c>
      <c r="F88" s="4"/>
      <c r="G88" s="29" t="str">
        <f>IFERROR(HYPERLINK("#"&amp;ADDRESS(MATCH(B88&amp;"ES",'LM7 Non-ENG'!$A$1:$A$5000,0),1,,,"LM7 Non-ENG"),IF(IFERROR(VLOOKUP(B88&amp;"ES",'LM7 Non-ENG'!$A$1:$A$4999,1,FALSE),"ERROR")=B88&amp;"ES","Y","")),"")</f>
        <v/>
      </c>
      <c r="H88" s="29" t="str">
        <f>IFERROR(HYPERLINK("#"&amp;ADDRESS(MATCH(B88&amp;"PT",'LM7 Non-ENG'!$A$1:$A$5000,0),1,,,"LM7 Non-ENG"),IF(IFERROR(VLOOKUP(B88&amp;"PT",'LM7 Non-ENG'!$A$1:$A$5000,1,FALSE),"ERROR")=B88&amp;"PT","Y","")),"")</f>
        <v/>
      </c>
      <c r="I88" t="str">
        <f>IFERROR(VLOOKUP(B88,PN!$A:$C,3,FALSE),"")</f>
        <v>Active</v>
      </c>
      <c r="J88" s="3">
        <f>IFERROR(E88*VLOOKUP(B88,PLInter!$A:$D,3,FALSE),"")</f>
        <v>1735</v>
      </c>
      <c r="K88" s="66"/>
      <c r="L88" s="66"/>
      <c r="M88" s="66"/>
      <c r="N88" s="66"/>
      <c r="O88" s="66"/>
      <c r="P88" s="66"/>
      <c r="Q88" s="66"/>
      <c r="R88" s="66"/>
      <c r="S88" s="66"/>
    </row>
    <row r="90" spans="1:19" s="7" customFormat="1" ht="18" customHeight="1">
      <c r="A90" s="13" t="s">
        <v>671</v>
      </c>
      <c r="B90" s="13"/>
      <c r="C90" s="13" t="s">
        <v>672</v>
      </c>
      <c r="D90" s="14"/>
      <c r="E90" s="14"/>
      <c r="F90" s="14"/>
      <c r="G90" s="14"/>
      <c r="H90" s="14"/>
      <c r="I90" s="14"/>
      <c r="J90" s="14">
        <f>SUMIFS(J91:J100,D91:D100,"&lt;&gt;Y",F91:F100,"&lt;&gt;Y",I91:I100,"&lt;&gt;Inactive",I91:I100,"&lt;&gt;ECO+NFS")</f>
        <v>30945</v>
      </c>
      <c r="K90" s="14"/>
      <c r="L90" s="14"/>
      <c r="M90" s="14"/>
      <c r="N90" s="14"/>
      <c r="O90" s="14"/>
      <c r="P90" s="14"/>
      <c r="Q90" s="14"/>
      <c r="R90" s="14"/>
      <c r="S90" s="14"/>
    </row>
    <row r="91" spans="1:19" ht="18" customHeight="1">
      <c r="A91" s="17" t="str">
        <f>HYPERLINK("#"&amp;ADDRESS(MATCH(A90,'CIM&amp;FMS'!$A$1:$A$4997,0),1,,,"CIM&amp;FMS"),"Back to Price List")</f>
        <v>Back to Price List</v>
      </c>
      <c r="B91" t="s">
        <v>213</v>
      </c>
      <c r="C91" t="s">
        <v>640</v>
      </c>
      <c r="D91" s="4"/>
      <c r="E91" s="4">
        <v>1</v>
      </c>
      <c r="F91" s="4"/>
      <c r="G91" s="29" t="str">
        <f>IFERROR(HYPERLINK("#"&amp;ADDRESS(MATCH(B91&amp;"ES",'LM7 Non-ENG'!$A$1:$A$5000,0),1,,,"LM7 Non-ENG"),IF(IFERROR(VLOOKUP(B91&amp;"ES",'LM7 Non-ENG'!$A$1:$A$4999,1,FALSE),"ERROR")=B91&amp;"ES","Y","")),"")</f>
        <v/>
      </c>
      <c r="H91" s="29" t="str">
        <f>IFERROR(HYPERLINK("#"&amp;ADDRESS(MATCH(B91&amp;"PT",'LM7 Non-ENG'!$A$1:$A$5000,0),1,,,"LM7 Non-ENG"),IF(IFERROR(VLOOKUP(B91&amp;"PT",'LM7 Non-ENG'!$A$1:$A$5000,1,FALSE),"ERROR")=B91&amp;"PT","Y","")),"")</f>
        <v/>
      </c>
      <c r="I91" t="str">
        <f>IFERROR(VLOOKUP(B91,PN!$A:$C,3,FALSE),"")</f>
        <v>Active</v>
      </c>
      <c r="J91" s="3">
        <f>IFERROR(E91*VLOOKUP(B91,PLInter!$A:$D,3,FALSE),"")</f>
        <v>11726</v>
      </c>
      <c r="K91" s="66"/>
      <c r="L91" s="66"/>
      <c r="M91" s="66"/>
      <c r="N91" s="66"/>
      <c r="O91" s="66"/>
      <c r="P91" s="66"/>
      <c r="Q91" s="66"/>
      <c r="R91" s="66"/>
      <c r="S91" s="66"/>
    </row>
    <row r="92" spans="1:19" ht="18" customHeight="1">
      <c r="B92" t="s">
        <v>226</v>
      </c>
      <c r="C92" t="s">
        <v>641</v>
      </c>
      <c r="D92" s="4"/>
      <c r="E92" s="4">
        <v>1</v>
      </c>
      <c r="F92" s="4"/>
      <c r="G92" s="29" t="str">
        <f>IFERROR(HYPERLINK("#"&amp;ADDRESS(MATCH(B92&amp;"ES",'LM7 Non-ENG'!$A$1:$A$5000,0),1,,,"LM7 Non-ENG"),IF(IFERROR(VLOOKUP(B92&amp;"ES",'LM7 Non-ENG'!$A$1:$A$4999,1,FALSE),"ERROR")=B92&amp;"ES","Y","")),"")</f>
        <v/>
      </c>
      <c r="H92" s="29" t="str">
        <f>IFERROR(HYPERLINK("#"&amp;ADDRESS(MATCH(B92&amp;"PT",'LM7 Non-ENG'!$A$1:$A$5000,0),1,,,"LM7 Non-ENG"),IF(IFERROR(VLOOKUP(B92&amp;"PT",'LM7 Non-ENG'!$A$1:$A$5000,1,FALSE),"ERROR")=B92&amp;"PT","Y","")),"")</f>
        <v/>
      </c>
      <c r="I92" t="str">
        <f>IFERROR(VLOOKUP(B92,PN!$A:$C,3,FALSE),"")</f>
        <v>Active</v>
      </c>
      <c r="J92" s="3">
        <f>IFERROR(E92*VLOOKUP(B92,PLInter!$A:$D,3,FALSE),"")</f>
        <v>125</v>
      </c>
      <c r="K92" s="66"/>
      <c r="L92" s="66"/>
      <c r="M92" s="66"/>
      <c r="N92" s="66"/>
      <c r="O92" s="66"/>
      <c r="P92" s="66"/>
      <c r="Q92" s="66"/>
      <c r="R92" s="66"/>
      <c r="S92" s="66"/>
    </row>
    <row r="93" spans="1:19" ht="18" customHeight="1">
      <c r="B93" t="s">
        <v>236</v>
      </c>
      <c r="C93" t="s">
        <v>626</v>
      </c>
      <c r="D93" s="4"/>
      <c r="E93" s="4">
        <v>1</v>
      </c>
      <c r="F93" s="4"/>
      <c r="G93" s="29" t="str">
        <f>IFERROR(HYPERLINK("#"&amp;ADDRESS(MATCH(B93&amp;"ES",'LM7 Non-ENG'!$A$1:$A$5000,0),1,,,"LM7 Non-ENG"),IF(IFERROR(VLOOKUP(B93&amp;"ES",'LM7 Non-ENG'!$A$1:$A$4999,1,FALSE),"ERROR")=B93&amp;"ES","Y","")),"")</f>
        <v/>
      </c>
      <c r="H93" s="29" t="str">
        <f>IFERROR(HYPERLINK("#"&amp;ADDRESS(MATCH(B93&amp;"PT",'LM7 Non-ENG'!$A$1:$A$5000,0),1,,,"LM7 Non-ENG"),IF(IFERROR(VLOOKUP(B93&amp;"PT",'LM7 Non-ENG'!$A$1:$A$5000,1,FALSE),"ERROR")=B93&amp;"PT","Y","")),"")</f>
        <v/>
      </c>
      <c r="I93" t="str">
        <f>IFERROR(VLOOKUP(B93,PN!$A:$C,3,FALSE),"")</f>
        <v>Active</v>
      </c>
      <c r="J93" s="3">
        <f>IFERROR(E93*VLOOKUP(B93,PLInter!$A:$D,3,FALSE),"")</f>
        <v>1680</v>
      </c>
      <c r="K93" s="66"/>
      <c r="L93" s="66"/>
      <c r="M93" s="66"/>
      <c r="N93" s="66"/>
      <c r="O93" s="66"/>
      <c r="P93" s="66"/>
      <c r="Q93" s="66"/>
      <c r="R93" s="66"/>
      <c r="S93" s="66"/>
    </row>
    <row r="94" spans="1:19" ht="18" customHeight="1">
      <c r="B94" t="s">
        <v>239</v>
      </c>
      <c r="C94" t="s">
        <v>666</v>
      </c>
      <c r="D94" s="4"/>
      <c r="E94" s="4">
        <v>1</v>
      </c>
      <c r="F94" s="4"/>
      <c r="G94" s="29" t="str">
        <f>IFERROR(HYPERLINK("#"&amp;ADDRESS(MATCH(B94&amp;"ES",'LM7 Non-ENG'!$A$1:$A$5000,0),1,,,"LM7 Non-ENG"),IF(IFERROR(VLOOKUP(B94&amp;"ES",'LM7 Non-ENG'!$A$1:$A$4999,1,FALSE),"ERROR")=B94&amp;"ES","Y","")),"")</f>
        <v/>
      </c>
      <c r="H94" s="29" t="str">
        <f>IFERROR(HYPERLINK("#"&amp;ADDRESS(MATCH(B94&amp;"PT",'LM7 Non-ENG'!$A$1:$A$5000,0),1,,,"LM7 Non-ENG"),IF(IFERROR(VLOOKUP(B94&amp;"PT",'LM7 Non-ENG'!$A$1:$A$5000,1,FALSE),"ERROR")=B94&amp;"PT","Y","")),"")</f>
        <v/>
      </c>
      <c r="I94" t="str">
        <f>IFERROR(VLOOKUP(B94,PN!$A:$C,3,FALSE),"")</f>
        <v>Active</v>
      </c>
      <c r="J94" s="3">
        <f>IFERROR(E94*VLOOKUP(B94,PLInter!$A:$D,3,FALSE),"")</f>
        <v>5067</v>
      </c>
      <c r="K94" s="66"/>
      <c r="L94" s="66"/>
      <c r="M94" s="66"/>
      <c r="N94" s="66"/>
      <c r="O94" s="66"/>
      <c r="P94" s="66"/>
      <c r="Q94" s="66"/>
      <c r="R94" s="66"/>
      <c r="S94" s="66"/>
    </row>
    <row r="95" spans="1:19" ht="18" customHeight="1">
      <c r="B95" t="s">
        <v>642</v>
      </c>
      <c r="C95" t="s">
        <v>643</v>
      </c>
      <c r="D95" s="4"/>
      <c r="E95" s="4">
        <v>3</v>
      </c>
      <c r="F95" s="4"/>
      <c r="G95" s="29" t="str">
        <f>IFERROR(HYPERLINK("#"&amp;ADDRESS(MATCH(B95&amp;"ES",'LM7 Non-ENG'!$A$1:$A$5000,0),1,,,"LM7 Non-ENG"),IF(IFERROR(VLOOKUP(B95&amp;"ES",'LM7 Non-ENG'!$A$1:$A$4999,1,FALSE),"ERROR")=B95&amp;"ES","Y","")),"")</f>
        <v/>
      </c>
      <c r="H95" s="29" t="str">
        <f>IFERROR(HYPERLINK("#"&amp;ADDRESS(MATCH(B95&amp;"PT",'LM7 Non-ENG'!$A$1:$A$5000,0),1,,,"LM7 Non-ENG"),IF(IFERROR(VLOOKUP(B95&amp;"PT",'LM7 Non-ENG'!$A$1:$A$5000,1,FALSE),"ERROR")=B95&amp;"PT","Y","")),"")</f>
        <v/>
      </c>
      <c r="I95" t="str">
        <f>IFERROR(VLOOKUP(B95,PN!$A:$C,3,FALSE),"")</f>
        <v>Active</v>
      </c>
      <c r="J95" s="3">
        <f>IFERROR(E95*VLOOKUP(B95,PLInter!$A:$D,3,FALSE),"")</f>
        <v>3402</v>
      </c>
      <c r="K95" s="66"/>
      <c r="L95" s="66"/>
      <c r="M95" s="66"/>
      <c r="N95" s="66"/>
      <c r="O95" s="66"/>
      <c r="P95" s="66"/>
      <c r="Q95" s="66"/>
      <c r="R95" s="66"/>
      <c r="S95" s="66"/>
    </row>
    <row r="96" spans="1:19" ht="18" customHeight="1">
      <c r="B96" s="45" t="s">
        <v>670</v>
      </c>
      <c r="C96" t="s">
        <v>667</v>
      </c>
      <c r="D96" s="4"/>
      <c r="E96" s="4">
        <v>3</v>
      </c>
      <c r="F96" s="4"/>
      <c r="G96" s="29" t="str">
        <f>IFERROR(HYPERLINK("#"&amp;ADDRESS(MATCH(B96&amp;"ES",'LM7 Non-ENG'!$A$1:$A$5000,0),1,,,"LM7 Non-ENG"),IF(IFERROR(VLOOKUP(B96&amp;"ES",'LM7 Non-ENG'!$A$1:$A$4999,1,FALSE),"ERROR")=B96&amp;"ES","Y","")),"")</f>
        <v/>
      </c>
      <c r="H96" s="29" t="str">
        <f>IFERROR(HYPERLINK("#"&amp;ADDRESS(MATCH(B96&amp;"PT",'LM7 Non-ENG'!$A$1:$A$5000,0),1,,,"LM7 Non-ENG"),IF(IFERROR(VLOOKUP(B96&amp;"PT",'LM7 Non-ENG'!$A$1:$A$5000,1,FALSE),"ERROR")=B96&amp;"PT","Y","")),"")</f>
        <v/>
      </c>
      <c r="I96" t="str">
        <f>IFERROR(VLOOKUP(B96,PN!$A:$C,3,FALSE),"")</f>
        <v>Active</v>
      </c>
      <c r="J96" s="3">
        <f>IFERROR(E96*VLOOKUP(B96,PLInter!$A:$D,3,FALSE),"")</f>
        <v>102</v>
      </c>
      <c r="K96" s="66"/>
      <c r="L96" s="66"/>
      <c r="M96" s="66"/>
      <c r="N96" s="66"/>
      <c r="O96" s="66"/>
      <c r="P96" s="66"/>
      <c r="Q96" s="66"/>
      <c r="R96" s="66"/>
      <c r="S96" s="66"/>
    </row>
    <row r="97" spans="1:19" ht="18" customHeight="1">
      <c r="B97" t="s">
        <v>627</v>
      </c>
      <c r="C97" t="s">
        <v>628</v>
      </c>
      <c r="D97" s="4"/>
      <c r="E97" s="4">
        <v>1</v>
      </c>
      <c r="F97" s="4"/>
      <c r="G97" s="29" t="str">
        <f>IFERROR(HYPERLINK("#"&amp;ADDRESS(MATCH(B97&amp;"ES",'LM7 Non-ENG'!$A$1:$A$5000,0),1,,,"LM7 Non-ENG"),IF(IFERROR(VLOOKUP(B97&amp;"ES",'LM7 Non-ENG'!$A$1:$A$4999,1,FALSE),"ERROR")=B97&amp;"ES","Y","")),"")</f>
        <v/>
      </c>
      <c r="H97" s="29" t="str">
        <f>IFERROR(HYPERLINK("#"&amp;ADDRESS(MATCH(B97&amp;"PT",'LM7 Non-ENG'!$A$1:$A$5000,0),1,,,"LM7 Non-ENG"),IF(IFERROR(VLOOKUP(B97&amp;"PT",'LM7 Non-ENG'!$A$1:$A$5000,1,FALSE),"ERROR")=B97&amp;"PT","Y","")),"")</f>
        <v/>
      </c>
      <c r="I97" t="str">
        <f>IFERROR(VLOOKUP(B97,PN!$A:$C,3,FALSE),"")</f>
        <v>Active</v>
      </c>
      <c r="J97" s="3">
        <f>IFERROR(E97*VLOOKUP(B97,PLInter!$A:$D,3,FALSE),"")</f>
        <v>5200</v>
      </c>
      <c r="K97" s="66"/>
      <c r="L97" s="66"/>
      <c r="M97" s="66"/>
      <c r="N97" s="66"/>
      <c r="O97" s="66"/>
      <c r="P97" s="66"/>
      <c r="Q97" s="66"/>
      <c r="R97" s="66"/>
      <c r="S97" s="66"/>
    </row>
    <row r="98" spans="1:19" ht="18" customHeight="1">
      <c r="B98" t="str">
        <f>"410472"</f>
        <v>410472</v>
      </c>
      <c r="C98" t="s">
        <v>629</v>
      </c>
      <c r="D98" s="4"/>
      <c r="E98" s="4">
        <v>18</v>
      </c>
      <c r="F98" s="4"/>
      <c r="G98" s="29" t="str">
        <f>IFERROR(HYPERLINK("#"&amp;ADDRESS(MATCH(B98&amp;"ES",'LM7 Non-ENG'!$A$1:$A$5000,0),1,,,"LM7 Non-ENG"),IF(IFERROR(VLOOKUP(B98&amp;"ES",'LM7 Non-ENG'!$A$1:$A$4999,1,FALSE),"ERROR")=B98&amp;"ES","Y","")),"")</f>
        <v/>
      </c>
      <c r="H98" s="29" t="str">
        <f>IFERROR(HYPERLINK("#"&amp;ADDRESS(MATCH(B98&amp;"PT",'LM7 Non-ENG'!$A$1:$A$5000,0),1,,,"LM7 Non-ENG"),IF(IFERROR(VLOOKUP(B98&amp;"PT",'LM7 Non-ENG'!$A$1:$A$5000,1,FALSE),"ERROR")=B98&amp;"PT","Y","")),"")</f>
        <v/>
      </c>
      <c r="I98" t="str">
        <f>IFERROR(VLOOKUP(B98,PN!$A:$C,3,FALSE),"")</f>
        <v>Active</v>
      </c>
      <c r="J98" s="3">
        <f>IFERROR(E98*VLOOKUP(B98,PLInter!$A:$D,3,FALSE),"")</f>
        <v>108</v>
      </c>
      <c r="K98" s="66"/>
      <c r="L98" s="66"/>
      <c r="M98" s="66"/>
      <c r="N98" s="66"/>
      <c r="O98" s="66"/>
      <c r="P98" s="66"/>
      <c r="Q98" s="66"/>
      <c r="R98" s="66"/>
      <c r="S98" s="66"/>
    </row>
    <row r="99" spans="1:19" ht="18" customHeight="1">
      <c r="B99" t="s">
        <v>644</v>
      </c>
      <c r="C99" t="s">
        <v>645</v>
      </c>
      <c r="D99" s="4"/>
      <c r="E99" s="4">
        <v>1</v>
      </c>
      <c r="F99" s="4"/>
      <c r="G99" s="29" t="str">
        <f>IFERROR(HYPERLINK("#"&amp;ADDRESS(MATCH(B99&amp;"ES",'LM7 Non-ENG'!$A$1:$A$5000,0),1,,,"LM7 Non-ENG"),IF(IFERROR(VLOOKUP(B99&amp;"ES",'LM7 Non-ENG'!$A$1:$A$4999,1,FALSE),"ERROR")=B99&amp;"ES","Y","")),"")</f>
        <v/>
      </c>
      <c r="H99" s="29" t="str">
        <f>IFERROR(HYPERLINK("#"&amp;ADDRESS(MATCH(B99&amp;"PT",'LM7 Non-ENG'!$A$1:$A$5000,0),1,,,"LM7 Non-ENG"),IF(IFERROR(VLOOKUP(B99&amp;"PT",'LM7 Non-ENG'!$A$1:$A$5000,1,FALSE),"ERROR")=B99&amp;"PT","Y","")),"")</f>
        <v/>
      </c>
      <c r="I99" t="str">
        <f>IFERROR(VLOOKUP(B99,PN!$A:$C,3,FALSE),"")</f>
        <v>Active</v>
      </c>
      <c r="J99" s="3">
        <f>IFERROR(E99*VLOOKUP(B99,PLInter!$A:$D,3,FALSE),"")</f>
        <v>1800</v>
      </c>
      <c r="K99" s="66"/>
      <c r="L99" s="66"/>
      <c r="M99" s="66"/>
      <c r="N99" s="66"/>
      <c r="O99" s="66"/>
      <c r="P99" s="66"/>
      <c r="Q99" s="66"/>
      <c r="R99" s="66"/>
      <c r="S99" s="66"/>
    </row>
    <row r="100" spans="1:19" ht="18" customHeight="1">
      <c r="B100" t="s">
        <v>630</v>
      </c>
      <c r="C100" t="s">
        <v>631</v>
      </c>
      <c r="D100" s="4"/>
      <c r="E100" s="4">
        <v>1</v>
      </c>
      <c r="F100" s="4"/>
      <c r="G100" s="29" t="str">
        <f>IFERROR(HYPERLINK("#"&amp;ADDRESS(MATCH(B100&amp;"ES",'LM7 Non-ENG'!$A$1:$A$5000,0),1,,,"LM7 Non-ENG"),IF(IFERROR(VLOOKUP(B100&amp;"ES",'LM7 Non-ENG'!$A$1:$A$4999,1,FALSE),"ERROR")=B100&amp;"ES","Y","")),"")</f>
        <v/>
      </c>
      <c r="H100" s="29" t="str">
        <f>IFERROR(HYPERLINK("#"&amp;ADDRESS(MATCH(B100&amp;"PT",'LM7 Non-ENG'!$A$1:$A$5000,0),1,,,"LM7 Non-ENG"),IF(IFERROR(VLOOKUP(B100&amp;"PT",'LM7 Non-ENG'!$A$1:$A$5000,1,FALSE),"ERROR")=B100&amp;"PT","Y","")),"")</f>
        <v/>
      </c>
      <c r="I100" t="str">
        <f>IFERROR(VLOOKUP(B100,PN!$A:$C,3,FALSE),"")</f>
        <v>Active</v>
      </c>
      <c r="J100" s="3">
        <f>IFERROR(E100*VLOOKUP(B100,PLInter!$A:$D,3,FALSE),"")</f>
        <v>1735</v>
      </c>
      <c r="K100" s="66"/>
      <c r="L100" s="66"/>
      <c r="M100" s="66"/>
      <c r="N100" s="66"/>
      <c r="O100" s="66"/>
      <c r="P100" s="66"/>
      <c r="Q100" s="66"/>
      <c r="R100" s="66"/>
      <c r="S100" s="66"/>
    </row>
    <row r="102" spans="1:19" s="7" customFormat="1" ht="18" customHeight="1">
      <c r="A102" s="13" t="s">
        <v>673</v>
      </c>
      <c r="B102" s="13"/>
      <c r="C102" s="13" t="s">
        <v>674</v>
      </c>
      <c r="D102" s="14"/>
      <c r="E102" s="14"/>
      <c r="F102" s="14"/>
      <c r="G102" s="14"/>
      <c r="H102" s="14"/>
      <c r="I102" s="14"/>
      <c r="J102" s="14">
        <f>SUMIFS(J103:J121,D103:D121,"&lt;&gt;Y",F103:F121,"&lt;&gt;Y",I103:I121,"&lt;&gt;Inactive",I103:I121,"&lt;&gt;ECO+NFS")</f>
        <v>36912</v>
      </c>
      <c r="K102" s="14"/>
      <c r="L102" s="14"/>
      <c r="M102" s="14"/>
      <c r="N102" s="14"/>
      <c r="O102" s="14"/>
      <c r="P102" s="14"/>
      <c r="Q102" s="14"/>
      <c r="R102" s="14"/>
      <c r="S102" s="14"/>
    </row>
    <row r="103" spans="1:19" ht="18" customHeight="1">
      <c r="A103" s="17" t="str">
        <f>HYPERLINK("#"&amp;ADDRESS(MATCH(A102,'CIM&amp;FMS'!$A$1:$A$4997,0),1,,,"CIM&amp;FMS"),"Back to Price List")</f>
        <v>Back to Price List</v>
      </c>
      <c r="B103" t="s">
        <v>213</v>
      </c>
      <c r="C103" t="s">
        <v>640</v>
      </c>
      <c r="D103" s="4"/>
      <c r="E103" s="4">
        <v>1</v>
      </c>
      <c r="F103" s="4"/>
      <c r="G103" s="29" t="str">
        <f>IFERROR(HYPERLINK("#"&amp;ADDRESS(MATCH(B103&amp;"ES",'LM7 Non-ENG'!$A$1:$A$5000,0),1,,,"LM7 Non-ENG"),IF(IFERROR(VLOOKUP(B103&amp;"ES",'LM7 Non-ENG'!$A$1:$A$4999,1,FALSE),"ERROR")=B103&amp;"ES","Y","")),"")</f>
        <v/>
      </c>
      <c r="H103" s="29" t="str">
        <f>IFERROR(HYPERLINK("#"&amp;ADDRESS(MATCH(B103&amp;"PT",'LM7 Non-ENG'!$A$1:$A$5000,0),1,,,"LM7 Non-ENG"),IF(IFERROR(VLOOKUP(B103&amp;"PT",'LM7 Non-ENG'!$A$1:$A$5000,1,FALSE),"ERROR")=B103&amp;"PT","Y","")),"")</f>
        <v/>
      </c>
      <c r="I103" t="str">
        <f>IFERROR(VLOOKUP(B103,PN!$A:$C,3,FALSE),"")</f>
        <v>Active</v>
      </c>
      <c r="J103" s="3">
        <f>IFERROR(E103*VLOOKUP(B103,PLInter!$A:$D,3,FALSE),"")</f>
        <v>11726</v>
      </c>
      <c r="K103" s="66"/>
      <c r="L103" s="66"/>
      <c r="M103" s="66"/>
      <c r="N103" s="66"/>
      <c r="O103" s="66"/>
      <c r="P103" s="66"/>
      <c r="Q103" s="66"/>
      <c r="R103" s="66"/>
      <c r="S103" s="66"/>
    </row>
    <row r="104" spans="1:19" ht="18" customHeight="1">
      <c r="B104" t="s">
        <v>226</v>
      </c>
      <c r="C104" t="s">
        <v>641</v>
      </c>
      <c r="D104" s="4"/>
      <c r="E104" s="4">
        <v>1</v>
      </c>
      <c r="F104" s="4"/>
      <c r="G104" s="29" t="str">
        <f>IFERROR(HYPERLINK("#"&amp;ADDRESS(MATCH(B104&amp;"ES",'LM7 Non-ENG'!$A$1:$A$5000,0),1,,,"LM7 Non-ENG"),IF(IFERROR(VLOOKUP(B104&amp;"ES",'LM7 Non-ENG'!$A$1:$A$4999,1,FALSE),"ERROR")=B104&amp;"ES","Y","")),"")</f>
        <v/>
      </c>
      <c r="H104" s="29" t="str">
        <f>IFERROR(HYPERLINK("#"&amp;ADDRESS(MATCH(B104&amp;"PT",'LM7 Non-ENG'!$A$1:$A$5000,0),1,,,"LM7 Non-ENG"),IF(IFERROR(VLOOKUP(B104&amp;"PT",'LM7 Non-ENG'!$A$1:$A$5000,1,FALSE),"ERROR")=B104&amp;"PT","Y","")),"")</f>
        <v/>
      </c>
      <c r="I104" t="str">
        <f>IFERROR(VLOOKUP(B104,PN!$A:$C,3,FALSE),"")</f>
        <v>Active</v>
      </c>
      <c r="J104" s="3">
        <f>IFERROR(E104*VLOOKUP(B104,PLInter!$A:$D,3,FALSE),"")</f>
        <v>125</v>
      </c>
      <c r="K104" s="66"/>
      <c r="L104" s="66"/>
      <c r="M104" s="66"/>
      <c r="N104" s="66"/>
      <c r="O104" s="66"/>
      <c r="P104" s="66"/>
      <c r="Q104" s="66"/>
      <c r="R104" s="66"/>
      <c r="S104" s="66"/>
    </row>
    <row r="105" spans="1:19" ht="18" customHeight="1">
      <c r="B105" t="s">
        <v>236</v>
      </c>
      <c r="C105" t="s">
        <v>626</v>
      </c>
      <c r="D105" s="4"/>
      <c r="E105" s="4">
        <v>1</v>
      </c>
      <c r="F105" s="4"/>
      <c r="G105" s="29" t="str">
        <f>IFERROR(HYPERLINK("#"&amp;ADDRESS(MATCH(B105&amp;"ES",'LM7 Non-ENG'!$A$1:$A$5000,0),1,,,"LM7 Non-ENG"),IF(IFERROR(VLOOKUP(B105&amp;"ES",'LM7 Non-ENG'!$A$1:$A$4999,1,FALSE),"ERROR")=B105&amp;"ES","Y","")),"")</f>
        <v/>
      </c>
      <c r="H105" s="29" t="str">
        <f>IFERROR(HYPERLINK("#"&amp;ADDRESS(MATCH(B105&amp;"PT",'LM7 Non-ENG'!$A$1:$A$5000,0),1,,,"LM7 Non-ENG"),IF(IFERROR(VLOOKUP(B105&amp;"PT",'LM7 Non-ENG'!$A$1:$A$5000,1,FALSE),"ERROR")=B105&amp;"PT","Y","")),"")</f>
        <v/>
      </c>
      <c r="I105" t="str">
        <f>IFERROR(VLOOKUP(B105,PN!$A:$C,3,FALSE),"")</f>
        <v>Active</v>
      </c>
      <c r="J105" s="3">
        <f>IFERROR(E105*VLOOKUP(B105,PLInter!$A:$D,3,FALSE),"")</f>
        <v>1680</v>
      </c>
      <c r="K105" s="66"/>
      <c r="L105" s="66"/>
      <c r="M105" s="66"/>
      <c r="N105" s="66"/>
      <c r="O105" s="66"/>
      <c r="P105" s="66"/>
      <c r="Q105" s="66"/>
      <c r="R105" s="66"/>
      <c r="S105" s="66"/>
    </row>
    <row r="106" spans="1:19" ht="18" customHeight="1">
      <c r="B106" t="s">
        <v>240</v>
      </c>
      <c r="C106" t="s">
        <v>676</v>
      </c>
      <c r="D106" s="4"/>
      <c r="E106" s="4">
        <v>1</v>
      </c>
      <c r="F106" s="4"/>
      <c r="G106" s="29" t="str">
        <f>IFERROR(HYPERLINK("#"&amp;ADDRESS(MATCH(B106&amp;"ES",'LM7 Non-ENG'!$A$1:$A$5000,0),1,,,"LM7 Non-ENG"),IF(IFERROR(VLOOKUP(B106&amp;"ES",'LM7 Non-ENG'!$A$1:$A$4999,1,FALSE),"ERROR")=B106&amp;"ES","Y","")),"")</f>
        <v/>
      </c>
      <c r="H106" s="29" t="str">
        <f>IFERROR(HYPERLINK("#"&amp;ADDRESS(MATCH(B106&amp;"PT",'LM7 Non-ENG'!$A$1:$A$5000,0),1,,,"LM7 Non-ENG"),IF(IFERROR(VLOOKUP(B106&amp;"PT",'LM7 Non-ENG'!$A$1:$A$5000,1,FALSE),"ERROR")=B106&amp;"PT","Y","")),"")</f>
        <v/>
      </c>
      <c r="I106" t="str">
        <f>IFERROR(VLOOKUP(B106,PN!$A:$C,3,FALSE),"")</f>
        <v>Active</v>
      </c>
      <c r="J106" s="3">
        <f>IFERROR(E106*VLOOKUP(B106,PLInter!$A:$D,3,FALSE),"")</f>
        <v>7467</v>
      </c>
      <c r="K106" s="66"/>
      <c r="L106" s="66"/>
      <c r="M106" s="66"/>
      <c r="N106" s="66"/>
      <c r="O106" s="66"/>
      <c r="P106" s="66"/>
      <c r="Q106" s="66"/>
      <c r="R106" s="66"/>
      <c r="S106" s="66"/>
    </row>
    <row r="107" spans="1:19" ht="18" customHeight="1">
      <c r="B107" t="s">
        <v>677</v>
      </c>
      <c r="C107" t="s">
        <v>678</v>
      </c>
      <c r="D107" s="4"/>
      <c r="E107" s="4">
        <v>1</v>
      </c>
      <c r="F107" s="4"/>
      <c r="G107" s="29" t="str">
        <f>IFERROR(HYPERLINK("#"&amp;ADDRESS(MATCH(B107&amp;"ES",'LM7 Non-ENG'!$A$1:$A$5000,0),1,,,"LM7 Non-ENG"),IF(IFERROR(VLOOKUP(B107&amp;"ES",'LM7 Non-ENG'!$A$1:$A$4999,1,FALSE),"ERROR")=B107&amp;"ES","Y","")),"")</f>
        <v/>
      </c>
      <c r="H107" s="29" t="str">
        <f>IFERROR(HYPERLINK("#"&amp;ADDRESS(MATCH(B107&amp;"PT",'LM7 Non-ENG'!$A$1:$A$5000,0),1,,,"LM7 Non-ENG"),IF(IFERROR(VLOOKUP(B107&amp;"PT",'LM7 Non-ENG'!$A$1:$A$5000,1,FALSE),"ERROR")=B107&amp;"PT","Y","")),"")</f>
        <v/>
      </c>
      <c r="I107" t="str">
        <f>IFERROR(VLOOKUP(B107,PN!$A:$C,3,FALSE),"")</f>
        <v>Active</v>
      </c>
      <c r="J107" s="3">
        <f>IFERROR(E107*VLOOKUP(B107,PLInter!$A:$D,3,FALSE),"")</f>
        <v>800</v>
      </c>
      <c r="K107" s="66"/>
      <c r="L107" s="66"/>
      <c r="M107" s="66"/>
      <c r="N107" s="66"/>
      <c r="O107" s="66"/>
      <c r="P107" s="66"/>
      <c r="Q107" s="66"/>
      <c r="R107" s="66"/>
      <c r="S107" s="66"/>
    </row>
    <row r="108" spans="1:19" ht="18" customHeight="1">
      <c r="B108" s="45" t="s">
        <v>699</v>
      </c>
      <c r="C108" s="41" t="s">
        <v>679</v>
      </c>
      <c r="D108" s="4"/>
      <c r="E108" s="4">
        <v>1</v>
      </c>
      <c r="F108" s="4"/>
      <c r="G108" s="29" t="str">
        <f>IFERROR(HYPERLINK("#"&amp;ADDRESS(MATCH(B108&amp;"ES",'LM7 Non-ENG'!$A$1:$A$5000,0),1,,,"LM7 Non-ENG"),IF(IFERROR(VLOOKUP(B108&amp;"ES",'LM7 Non-ENG'!$A$1:$A$4999,1,FALSE),"ERROR")=B108&amp;"ES","Y","")),"")</f>
        <v/>
      </c>
      <c r="H108" s="29" t="str">
        <f>IFERROR(HYPERLINK("#"&amp;ADDRESS(MATCH(B108&amp;"PT",'LM7 Non-ENG'!$A$1:$A$5000,0),1,,,"LM7 Non-ENG"),IF(IFERROR(VLOOKUP(B108&amp;"PT",'LM7 Non-ENG'!$A$1:$A$5000,1,FALSE),"ERROR")=B108&amp;"PT","Y","")),"")</f>
        <v/>
      </c>
      <c r="I108" t="str">
        <f>IFERROR(VLOOKUP(B108,PN!$A:$C,3,FALSE),"")</f>
        <v>Active</v>
      </c>
      <c r="J108" s="3">
        <f>IFERROR(E108*VLOOKUP(B108,PLInter!$A:$D,3,FALSE),"")</f>
        <v>240</v>
      </c>
      <c r="K108" s="66"/>
      <c r="L108" s="66"/>
      <c r="M108" s="66"/>
      <c r="N108" s="66"/>
      <c r="O108" s="66"/>
      <c r="P108" s="66"/>
      <c r="Q108" s="66"/>
      <c r="R108" s="66"/>
      <c r="S108" s="66"/>
    </row>
    <row r="109" spans="1:19" ht="18" customHeight="1">
      <c r="B109" t="s">
        <v>680</v>
      </c>
      <c r="C109" t="s">
        <v>681</v>
      </c>
      <c r="D109" s="4"/>
      <c r="E109" s="4">
        <v>1</v>
      </c>
      <c r="F109" s="4"/>
      <c r="G109" s="29" t="str">
        <f>IFERROR(HYPERLINK("#"&amp;ADDRESS(MATCH(B109&amp;"ES",'LM7 Non-ENG'!$A$1:$A$5000,0),1,,,"LM7 Non-ENG"),IF(IFERROR(VLOOKUP(B109&amp;"ES",'LM7 Non-ENG'!$A$1:$A$4999,1,FALSE),"ERROR")=B109&amp;"ES","Y","")),"")</f>
        <v/>
      </c>
      <c r="H109" s="29" t="str">
        <f>IFERROR(HYPERLINK("#"&amp;ADDRESS(MATCH(B109&amp;"PT",'LM7 Non-ENG'!$A$1:$A$5000,0),1,,,"LM7 Non-ENG"),IF(IFERROR(VLOOKUP(B109&amp;"PT",'LM7 Non-ENG'!$A$1:$A$5000,1,FALSE),"ERROR")=B109&amp;"PT","Y","")),"")</f>
        <v/>
      </c>
      <c r="I109" t="str">
        <f>IFERROR(VLOOKUP(B109,PN!$A:$C,3,FALSE),"")</f>
        <v>Active</v>
      </c>
      <c r="J109" s="3">
        <f>IFERROR(E109*VLOOKUP(B109,PLInter!$A:$D,3,FALSE),"")</f>
        <v>1440</v>
      </c>
      <c r="K109" s="66"/>
      <c r="L109" s="66"/>
      <c r="M109" s="66"/>
      <c r="N109" s="66"/>
      <c r="O109" s="66"/>
      <c r="P109" s="66"/>
      <c r="Q109" s="66"/>
      <c r="R109" s="66"/>
      <c r="S109" s="66"/>
    </row>
    <row r="110" spans="1:19" ht="18" customHeight="1">
      <c r="B110" t="s">
        <v>682</v>
      </c>
      <c r="C110" t="s">
        <v>683</v>
      </c>
      <c r="D110" s="4"/>
      <c r="E110" s="4">
        <v>1</v>
      </c>
      <c r="F110" s="4"/>
      <c r="G110" s="29" t="str">
        <f>IFERROR(HYPERLINK("#"&amp;ADDRESS(MATCH(B110&amp;"ES",'LM7 Non-ENG'!$A$1:$A$5000,0),1,,,"LM7 Non-ENG"),IF(IFERROR(VLOOKUP(B110&amp;"ES",'LM7 Non-ENG'!$A$1:$A$4999,1,FALSE),"ERROR")=B110&amp;"ES","Y","")),"")</f>
        <v/>
      </c>
      <c r="H110" s="29" t="str">
        <f>IFERROR(HYPERLINK("#"&amp;ADDRESS(MATCH(B110&amp;"PT",'LM7 Non-ENG'!$A$1:$A$5000,0),1,,,"LM7 Non-ENG"),IF(IFERROR(VLOOKUP(B110&amp;"PT",'LM7 Non-ENG'!$A$1:$A$5000,1,FALSE),"ERROR")=B110&amp;"PT","Y","")),"")</f>
        <v/>
      </c>
      <c r="I110" t="str">
        <f>IFERROR(VLOOKUP(B110,PN!$A:$C,3,FALSE),"")</f>
        <v>Active</v>
      </c>
      <c r="J110" s="3">
        <f>IFERROR(E110*VLOOKUP(B110,PLInter!$A:$D,3,FALSE),"")</f>
        <v>494</v>
      </c>
      <c r="K110" s="66"/>
      <c r="L110" s="66"/>
      <c r="M110" s="66"/>
      <c r="N110" s="66"/>
      <c r="O110" s="66"/>
      <c r="P110" s="66"/>
      <c r="Q110" s="66"/>
      <c r="R110" s="66"/>
      <c r="S110" s="66"/>
    </row>
    <row r="111" spans="1:19" ht="18" customHeight="1">
      <c r="B111" t="s">
        <v>684</v>
      </c>
      <c r="C111" t="s">
        <v>685</v>
      </c>
      <c r="D111" s="4"/>
      <c r="E111" s="4">
        <v>1</v>
      </c>
      <c r="F111" s="4"/>
      <c r="G111" s="29" t="str">
        <f>IFERROR(HYPERLINK("#"&amp;ADDRESS(MATCH(B111&amp;"ES",'LM7 Non-ENG'!$A$1:$A$5000,0),1,,,"LM7 Non-ENG"),IF(IFERROR(VLOOKUP(B111&amp;"ES",'LM7 Non-ENG'!$A$1:$A$4999,1,FALSE),"ERROR")=B111&amp;"ES","Y","")),"")</f>
        <v/>
      </c>
      <c r="H111" s="29" t="str">
        <f>IFERROR(HYPERLINK("#"&amp;ADDRESS(MATCH(B111&amp;"PT",'LM7 Non-ENG'!$A$1:$A$5000,0),1,,,"LM7 Non-ENG"),IF(IFERROR(VLOOKUP(B111&amp;"PT",'LM7 Non-ENG'!$A$1:$A$5000,1,FALSE),"ERROR")=B111&amp;"PT","Y","")),"")</f>
        <v/>
      </c>
      <c r="I111" t="str">
        <f>IFERROR(VLOOKUP(B111,PN!$A:$C,3,FALSE),"")</f>
        <v>Active</v>
      </c>
      <c r="J111" s="3">
        <f>IFERROR(E111*VLOOKUP(B111,PLInter!$A:$D,3,FALSE),"")</f>
        <v>580</v>
      </c>
      <c r="K111" s="66"/>
      <c r="L111" s="66"/>
      <c r="M111" s="66"/>
      <c r="N111" s="66"/>
      <c r="O111" s="66"/>
      <c r="P111" s="66"/>
      <c r="Q111" s="66"/>
      <c r="R111" s="66"/>
      <c r="S111" s="66"/>
    </row>
    <row r="112" spans="1:19" ht="18" customHeight="1">
      <c r="B112" s="45" t="s">
        <v>700</v>
      </c>
      <c r="C112" t="s">
        <v>686</v>
      </c>
      <c r="D112" s="4"/>
      <c r="E112" s="4">
        <v>1</v>
      </c>
      <c r="F112" s="4"/>
      <c r="G112" s="29" t="str">
        <f>IFERROR(HYPERLINK("#"&amp;ADDRESS(MATCH(B112&amp;"ES",'LM7 Non-ENG'!$A$1:$A$5000,0),1,,,"LM7 Non-ENG"),IF(IFERROR(VLOOKUP(B112&amp;"ES",'LM7 Non-ENG'!$A$1:$A$4999,1,FALSE),"ERROR")=B112&amp;"ES","Y","")),"")</f>
        <v/>
      </c>
      <c r="H112" s="29" t="str">
        <f>IFERROR(HYPERLINK("#"&amp;ADDRESS(MATCH(B112&amp;"PT",'LM7 Non-ENG'!$A$1:$A$5000,0),1,,,"LM7 Non-ENG"),IF(IFERROR(VLOOKUP(B112&amp;"PT",'LM7 Non-ENG'!$A$1:$A$5000,1,FALSE),"ERROR")=B112&amp;"PT","Y","")),"")</f>
        <v/>
      </c>
      <c r="I112" t="str">
        <f>IFERROR(VLOOKUP(B112,PN!$A:$C,3,FALSE),"")</f>
        <v>Active</v>
      </c>
      <c r="J112" s="3">
        <f>IFERROR(E112*VLOOKUP(B112,PLInter!$A:$D,3,FALSE),"")</f>
        <v>16</v>
      </c>
      <c r="K112" s="66"/>
      <c r="L112" s="66"/>
      <c r="M112" s="66"/>
      <c r="N112" s="66"/>
      <c r="O112" s="66"/>
      <c r="P112" s="66"/>
      <c r="Q112" s="66"/>
      <c r="R112" s="66"/>
      <c r="S112" s="66"/>
    </row>
    <row r="113" spans="1:19" ht="18" customHeight="1">
      <c r="B113" t="s">
        <v>687</v>
      </c>
      <c r="C113" t="s">
        <v>688</v>
      </c>
      <c r="D113" s="4"/>
      <c r="E113" s="4">
        <v>2</v>
      </c>
      <c r="F113" s="4"/>
      <c r="G113" s="29" t="str">
        <f>IFERROR(HYPERLINK("#"&amp;ADDRESS(MATCH(B113&amp;"ES",'LM7 Non-ENG'!$A$1:$A$5000,0),1,,,"LM7 Non-ENG"),IF(IFERROR(VLOOKUP(B113&amp;"ES",'LM7 Non-ENG'!$A$1:$A$4999,1,FALSE),"ERROR")=B113&amp;"ES","Y","")),"")</f>
        <v/>
      </c>
      <c r="H113" s="29" t="str">
        <f>IFERROR(HYPERLINK("#"&amp;ADDRESS(MATCH(B113&amp;"PT",'LM7 Non-ENG'!$A$1:$A$5000,0),1,,,"LM7 Non-ENG"),IF(IFERROR(VLOOKUP(B113&amp;"PT",'LM7 Non-ENG'!$A$1:$A$5000,1,FALSE),"ERROR")=B113&amp;"PT","Y","")),"")</f>
        <v/>
      </c>
      <c r="I113" t="str">
        <f>IFERROR(VLOOKUP(B113,PN!$A:$C,3,FALSE),"")</f>
        <v>ECO-N2Mnf</v>
      </c>
      <c r="J113" s="3">
        <f>IFERROR(E113*VLOOKUP(B113,PLInter!$A:$D,3,FALSE),"")</f>
        <v>2000</v>
      </c>
      <c r="K113" s="66"/>
      <c r="L113" s="66"/>
      <c r="M113" s="66"/>
      <c r="N113" s="66"/>
      <c r="O113" s="66"/>
      <c r="P113" s="66"/>
      <c r="Q113" s="66"/>
      <c r="R113" s="66"/>
      <c r="S113" s="66"/>
    </row>
    <row r="114" spans="1:19" ht="18" customHeight="1">
      <c r="B114" t="s">
        <v>689</v>
      </c>
      <c r="C114" t="s">
        <v>690</v>
      </c>
      <c r="D114" s="4"/>
      <c r="E114" s="4">
        <v>1</v>
      </c>
      <c r="F114" s="4"/>
      <c r="G114" s="29" t="str">
        <f>IFERROR(HYPERLINK("#"&amp;ADDRESS(MATCH(B114&amp;"ES",'LM7 Non-ENG'!$A$1:$A$5000,0),1,,,"LM7 Non-ENG"),IF(IFERROR(VLOOKUP(B114&amp;"ES",'LM7 Non-ENG'!$A$1:$A$4999,1,FALSE),"ERROR")=B114&amp;"ES","Y","")),"")</f>
        <v/>
      </c>
      <c r="H114" s="29" t="str">
        <f>IFERROR(HYPERLINK("#"&amp;ADDRESS(MATCH(B114&amp;"PT",'LM7 Non-ENG'!$A$1:$A$5000,0),1,,,"LM7 Non-ENG"),IF(IFERROR(VLOOKUP(B114&amp;"PT",'LM7 Non-ENG'!$A$1:$A$5000,1,FALSE),"ERROR")=B114&amp;"PT","Y","")),"")</f>
        <v/>
      </c>
      <c r="I114" t="str">
        <f>IFERROR(VLOOKUP(B114,PN!$A:$C,3,FALSE),"")</f>
        <v>Active</v>
      </c>
      <c r="J114" s="3">
        <f>IFERROR(E114*VLOOKUP(B114,PLInter!$A:$D,3,FALSE),"")</f>
        <v>2000</v>
      </c>
      <c r="K114" s="66"/>
      <c r="L114" s="66"/>
      <c r="M114" s="66"/>
      <c r="N114" s="66"/>
      <c r="O114" s="66"/>
      <c r="P114" s="66"/>
      <c r="Q114" s="66"/>
      <c r="R114" s="66"/>
      <c r="S114" s="66"/>
    </row>
    <row r="115" spans="1:19" ht="18" customHeight="1">
      <c r="B115" t="s">
        <v>691</v>
      </c>
      <c r="C115" t="s">
        <v>692</v>
      </c>
      <c r="D115" s="4"/>
      <c r="E115" s="4">
        <v>1</v>
      </c>
      <c r="F115" s="4"/>
      <c r="G115" s="29" t="str">
        <f>IFERROR(HYPERLINK("#"&amp;ADDRESS(MATCH(B115&amp;"ES",'LM7 Non-ENG'!$A$1:$A$5000,0),1,,,"LM7 Non-ENG"),IF(IFERROR(VLOOKUP(B115&amp;"ES",'LM7 Non-ENG'!$A$1:$A$4999,1,FALSE),"ERROR")=B115&amp;"ES","Y","")),"")</f>
        <v/>
      </c>
      <c r="H115" s="29" t="str">
        <f>IFERROR(HYPERLINK("#"&amp;ADDRESS(MATCH(B115&amp;"PT",'LM7 Non-ENG'!$A$1:$A$5000,0),1,,,"LM7 Non-ENG"),IF(IFERROR(VLOOKUP(B115&amp;"PT",'LM7 Non-ENG'!$A$1:$A$5000,1,FALSE),"ERROR")=B115&amp;"PT","Y","")),"")</f>
        <v/>
      </c>
      <c r="I115" t="str">
        <f>IFERROR(VLOOKUP(B115,PN!$A:$C,3,FALSE),"")</f>
        <v>Active</v>
      </c>
      <c r="J115" s="3">
        <f>IFERROR(E115*VLOOKUP(B115,PLInter!$A:$D,3,FALSE),"")</f>
        <v>1920</v>
      </c>
      <c r="K115" s="66"/>
      <c r="L115" s="66"/>
      <c r="M115" s="66"/>
      <c r="N115" s="66"/>
      <c r="O115" s="66"/>
      <c r="P115" s="66"/>
      <c r="Q115" s="66"/>
      <c r="R115" s="66"/>
      <c r="S115" s="66"/>
    </row>
    <row r="116" spans="1:19" ht="18" customHeight="1">
      <c r="B116" t="s">
        <v>693</v>
      </c>
      <c r="C116" t="s">
        <v>694</v>
      </c>
      <c r="D116" s="4"/>
      <c r="E116" s="4">
        <v>1</v>
      </c>
      <c r="F116" s="4"/>
      <c r="G116" s="29" t="str">
        <f>IFERROR(HYPERLINK("#"&amp;ADDRESS(MATCH(B116&amp;"ES",'LM7 Non-ENG'!$A$1:$A$5000,0),1,,,"LM7 Non-ENG"),IF(IFERROR(VLOOKUP(B116&amp;"ES",'LM7 Non-ENG'!$A$1:$A$4999,1,FALSE),"ERROR")=B116&amp;"ES","Y","")),"")</f>
        <v/>
      </c>
      <c r="H116" s="29" t="str">
        <f>IFERROR(HYPERLINK("#"&amp;ADDRESS(MATCH(B116&amp;"PT",'LM7 Non-ENG'!$A$1:$A$5000,0),1,,,"LM7 Non-ENG"),IF(IFERROR(VLOOKUP(B116&amp;"PT",'LM7 Non-ENG'!$A$1:$A$5000,1,FALSE),"ERROR")=B116&amp;"PT","Y","")),"")</f>
        <v/>
      </c>
      <c r="I116" t="str">
        <f>IFERROR(VLOOKUP(B116,PN!$A:$C,3,FALSE),"")</f>
        <v>Active</v>
      </c>
      <c r="J116" s="3">
        <f>IFERROR(E116*VLOOKUP(B116,PLInter!$A:$D,3,FALSE),"")</f>
        <v>1920</v>
      </c>
      <c r="K116" s="66"/>
      <c r="L116" s="66"/>
      <c r="M116" s="66"/>
      <c r="N116" s="66"/>
      <c r="O116" s="66"/>
      <c r="P116" s="66"/>
      <c r="Q116" s="66"/>
      <c r="R116" s="66"/>
      <c r="S116" s="66"/>
    </row>
    <row r="117" spans="1:19" ht="18" customHeight="1">
      <c r="B117" s="45" t="s">
        <v>759</v>
      </c>
      <c r="C117" t="s">
        <v>695</v>
      </c>
      <c r="D117" s="4"/>
      <c r="E117" s="4">
        <v>1</v>
      </c>
      <c r="F117" s="4"/>
      <c r="G117" s="29" t="str">
        <f>IFERROR(HYPERLINK("#"&amp;ADDRESS(MATCH(B117&amp;"ES",'LM7 Non-ENG'!$A$1:$A$5000,0),1,,,"LM7 Non-ENG"),IF(IFERROR(VLOOKUP(B117&amp;"ES",'LM7 Non-ENG'!$A$1:$A$4999,1,FALSE),"ERROR")=B117&amp;"ES","Y","")),"")</f>
        <v/>
      </c>
      <c r="H117" s="29" t="str">
        <f>IFERROR(HYPERLINK("#"&amp;ADDRESS(MATCH(B117&amp;"PT",'LM7 Non-ENG'!$A$1:$A$5000,0),1,,,"LM7 Non-ENG"),IF(IFERROR(VLOOKUP(B117&amp;"PT",'LM7 Non-ENG'!$A$1:$A$5000,1,FALSE),"ERROR")=B117&amp;"PT","Y","")),"")</f>
        <v/>
      </c>
      <c r="I117" t="str">
        <f>IFERROR(VLOOKUP(B117,PN!$A:$C,3,FALSE),"")</f>
        <v>Active</v>
      </c>
      <c r="J117" s="3">
        <f>IFERROR(E117*VLOOKUP(B117,PLInter!$A:$D,3,FALSE),"")</f>
        <v>15</v>
      </c>
      <c r="K117" s="66"/>
      <c r="L117" s="66"/>
      <c r="M117" s="66"/>
      <c r="N117" s="66"/>
      <c r="O117" s="66"/>
      <c r="P117" s="66"/>
      <c r="Q117" s="66"/>
      <c r="R117" s="66"/>
      <c r="S117" s="66"/>
    </row>
    <row r="118" spans="1:19" ht="18" customHeight="1">
      <c r="B118" s="45" t="s">
        <v>760</v>
      </c>
      <c r="C118" t="s">
        <v>696</v>
      </c>
      <c r="D118" s="4"/>
      <c r="E118" s="4">
        <v>1</v>
      </c>
      <c r="F118" s="4"/>
      <c r="G118" s="29" t="str">
        <f>IFERROR(HYPERLINK("#"&amp;ADDRESS(MATCH(B118&amp;"ES",'LM7 Non-ENG'!$A$1:$A$5000,0),1,,,"LM7 Non-ENG"),IF(IFERROR(VLOOKUP(B118&amp;"ES",'LM7 Non-ENG'!$A$1:$A$4999,1,FALSE),"ERROR")=B118&amp;"ES","Y","")),"")</f>
        <v/>
      </c>
      <c r="H118" s="29" t="str">
        <f>IFERROR(HYPERLINK("#"&amp;ADDRESS(MATCH(B118&amp;"PT",'LM7 Non-ENG'!$A$1:$A$5000,0),1,,,"LM7 Non-ENG"),IF(IFERROR(VLOOKUP(B118&amp;"PT",'LM7 Non-ENG'!$A$1:$A$5000,1,FALSE),"ERROR")=B118&amp;"PT","Y","")),"")</f>
        <v/>
      </c>
      <c r="I118" t="str">
        <f>IFERROR(VLOOKUP(B118,PN!$A:$C,3,FALSE),"")</f>
        <v>Active</v>
      </c>
      <c r="J118" s="3">
        <f>IFERROR(E118*VLOOKUP(B118,PLInter!$A:$D,3,FALSE),"")</f>
        <v>20</v>
      </c>
      <c r="K118" s="66"/>
      <c r="L118" s="66"/>
      <c r="M118" s="66"/>
      <c r="N118" s="66"/>
      <c r="O118" s="66"/>
      <c r="P118" s="66"/>
      <c r="Q118" s="66"/>
      <c r="R118" s="66"/>
      <c r="S118" s="66"/>
    </row>
    <row r="119" spans="1:19" ht="18" customHeight="1">
      <c r="B119" t="s">
        <v>644</v>
      </c>
      <c r="C119" t="s">
        <v>645</v>
      </c>
      <c r="D119" s="4"/>
      <c r="E119" s="4">
        <v>1</v>
      </c>
      <c r="F119" s="4"/>
      <c r="G119" s="29" t="str">
        <f>IFERROR(HYPERLINK("#"&amp;ADDRESS(MATCH(B119&amp;"ES",'LM7 Non-ENG'!$A$1:$A$5000,0),1,,,"LM7 Non-ENG"),IF(IFERROR(VLOOKUP(B119&amp;"ES",'LM7 Non-ENG'!$A$1:$A$4999,1,FALSE),"ERROR")=B119&amp;"ES","Y","")),"")</f>
        <v/>
      </c>
      <c r="H119" s="29" t="str">
        <f>IFERROR(HYPERLINK("#"&amp;ADDRESS(MATCH(B119&amp;"PT",'LM7 Non-ENG'!$A$1:$A$5000,0),1,,,"LM7 Non-ENG"),IF(IFERROR(VLOOKUP(B119&amp;"PT",'LM7 Non-ENG'!$A$1:$A$5000,1,FALSE),"ERROR")=B119&amp;"PT","Y","")),"")</f>
        <v/>
      </c>
      <c r="I119" t="str">
        <f>IFERROR(VLOOKUP(B119,PN!$A:$C,3,FALSE),"")</f>
        <v>Active</v>
      </c>
      <c r="J119" s="3">
        <f>IFERROR(E119*VLOOKUP(B119,PLInter!$A:$D,3,FALSE),"")</f>
        <v>1800</v>
      </c>
      <c r="K119" s="66"/>
      <c r="L119" s="66"/>
      <c r="M119" s="66"/>
      <c r="N119" s="66"/>
      <c r="O119" s="66"/>
      <c r="P119" s="66"/>
      <c r="Q119" s="66"/>
      <c r="R119" s="66"/>
      <c r="S119" s="66"/>
    </row>
    <row r="120" spans="1:19" ht="18" customHeight="1">
      <c r="B120" t="s">
        <v>697</v>
      </c>
      <c r="C120" t="s">
        <v>698</v>
      </c>
      <c r="D120" s="4"/>
      <c r="E120" s="4">
        <v>1</v>
      </c>
      <c r="F120" s="4"/>
      <c r="G120" s="29" t="str">
        <f>IFERROR(HYPERLINK("#"&amp;ADDRESS(MATCH(B120&amp;"ES",'LM7 Non-ENG'!$A$1:$A$5000,0),1,,,"LM7 Non-ENG"),IF(IFERROR(VLOOKUP(B120&amp;"ES",'LM7 Non-ENG'!$A$1:$A$4999,1,FALSE),"ERROR")=B120&amp;"ES","Y","")),"")</f>
        <v/>
      </c>
      <c r="H120" s="29" t="str">
        <f>IFERROR(HYPERLINK("#"&amp;ADDRESS(MATCH(B120&amp;"PT",'LM7 Non-ENG'!$A$1:$A$5000,0),1,,,"LM7 Non-ENG"),IF(IFERROR(VLOOKUP(B120&amp;"PT",'LM7 Non-ENG'!$A$1:$A$5000,1,FALSE),"ERROR")=B120&amp;"PT","Y","")),"")</f>
        <v/>
      </c>
      <c r="I120" t="str">
        <f>IFERROR(VLOOKUP(B120,PN!$A:$C,3,FALSE),"")</f>
        <v>Active</v>
      </c>
      <c r="J120" s="3">
        <f>IFERROR(E120*VLOOKUP(B120,PLInter!$A:$D,3,FALSE),"")</f>
        <v>934</v>
      </c>
      <c r="K120" s="66"/>
      <c r="L120" s="66"/>
      <c r="M120" s="66"/>
      <c r="N120" s="66"/>
      <c r="O120" s="66"/>
      <c r="P120" s="66"/>
      <c r="Q120" s="66"/>
      <c r="R120" s="66"/>
      <c r="S120" s="66"/>
    </row>
    <row r="121" spans="1:19" ht="18" customHeight="1">
      <c r="B121" t="s">
        <v>630</v>
      </c>
      <c r="C121" t="s">
        <v>631</v>
      </c>
      <c r="D121" s="4"/>
      <c r="E121" s="4">
        <v>1</v>
      </c>
      <c r="F121" s="4"/>
      <c r="G121" s="29" t="str">
        <f>IFERROR(HYPERLINK("#"&amp;ADDRESS(MATCH(B121&amp;"ES",'LM7 Non-ENG'!$A$1:$A$5000,0),1,,,"LM7 Non-ENG"),IF(IFERROR(VLOOKUP(B121&amp;"ES",'LM7 Non-ENG'!$A$1:$A$4999,1,FALSE),"ERROR")=B121&amp;"ES","Y","")),"")</f>
        <v/>
      </c>
      <c r="H121" s="29" t="str">
        <f>IFERROR(HYPERLINK("#"&amp;ADDRESS(MATCH(B121&amp;"PT",'LM7 Non-ENG'!$A$1:$A$5000,0),1,,,"LM7 Non-ENG"),IF(IFERROR(VLOOKUP(B121&amp;"PT",'LM7 Non-ENG'!$A$1:$A$5000,1,FALSE),"ERROR")=B121&amp;"PT","Y","")),"")</f>
        <v/>
      </c>
      <c r="I121" t="str">
        <f>IFERROR(VLOOKUP(B121,PN!$A:$C,3,FALSE),"")</f>
        <v>Active</v>
      </c>
      <c r="J121" s="3">
        <f>IFERROR(E121*VLOOKUP(B121,PLInter!$A:$D,3,FALSE),"")</f>
        <v>1735</v>
      </c>
      <c r="K121" s="66"/>
      <c r="L121" s="66"/>
      <c r="M121" s="66"/>
      <c r="N121" s="66"/>
      <c r="O121" s="66"/>
      <c r="P121" s="66"/>
      <c r="Q121" s="66"/>
      <c r="R121" s="66"/>
      <c r="S121" s="66"/>
    </row>
    <row r="123" spans="1:19" s="7" customFormat="1" ht="18" customHeight="1">
      <c r="A123" s="13" t="s">
        <v>701</v>
      </c>
      <c r="B123" s="13"/>
      <c r="C123" s="13" t="s">
        <v>702</v>
      </c>
      <c r="D123" s="14"/>
      <c r="E123" s="14"/>
      <c r="F123" s="14"/>
      <c r="G123" s="14"/>
      <c r="H123" s="14"/>
      <c r="I123" s="14"/>
      <c r="J123" s="14">
        <f>SUMIFS(J124:J134,D124:D134,"&lt;&gt;Y",F124:F134,"&lt;&gt;Y",I124:I134,"&lt;&gt;Inactive",I124:I134,"&lt;&gt;ECO+NFS")</f>
        <v>26809</v>
      </c>
      <c r="K123" s="14"/>
      <c r="L123" s="14"/>
      <c r="M123" s="14"/>
      <c r="N123" s="14"/>
      <c r="O123" s="14"/>
      <c r="P123" s="14"/>
      <c r="Q123" s="14"/>
      <c r="R123" s="14"/>
      <c r="S123" s="14"/>
    </row>
    <row r="124" spans="1:19" ht="18" customHeight="1">
      <c r="A124" s="17" t="str">
        <f>HYPERLINK("#"&amp;ADDRESS(MATCH(A123,'CIM&amp;FMS'!$A$1:$A$4997,0),1,,,"CIM&amp;FMS"),"Back to Price List")</f>
        <v>Back to Price List</v>
      </c>
      <c r="B124" t="s">
        <v>213</v>
      </c>
      <c r="C124" t="s">
        <v>640</v>
      </c>
      <c r="D124" s="4"/>
      <c r="E124" s="4">
        <v>1</v>
      </c>
      <c r="F124" s="4"/>
      <c r="G124" s="29" t="str">
        <f>IFERROR(HYPERLINK("#"&amp;ADDRESS(MATCH(B124&amp;"ES",'LM7 Non-ENG'!$A$1:$A$5000,0),1,,,"LM7 Non-ENG"),IF(IFERROR(VLOOKUP(B124&amp;"ES",'LM7 Non-ENG'!$A$1:$A$4999,1,FALSE),"ERROR")=B124&amp;"ES","Y","")),"")</f>
        <v/>
      </c>
      <c r="H124" s="29" t="str">
        <f>IFERROR(HYPERLINK("#"&amp;ADDRESS(MATCH(B124&amp;"PT",'LM7 Non-ENG'!$A$1:$A$5000,0),1,,,"LM7 Non-ENG"),IF(IFERROR(VLOOKUP(B124&amp;"PT",'LM7 Non-ENG'!$A$1:$A$5000,1,FALSE),"ERROR")=B124&amp;"PT","Y","")),"")</f>
        <v/>
      </c>
      <c r="I124" t="str">
        <f>IFERROR(VLOOKUP(B124,PN!$A:$C,3,FALSE),"")</f>
        <v>Active</v>
      </c>
      <c r="J124" s="3">
        <f>IFERROR(E124*VLOOKUP(B124,PLInter!$A:$D,3,FALSE),"")</f>
        <v>11726</v>
      </c>
      <c r="K124" s="66"/>
      <c r="L124" s="66"/>
      <c r="M124" s="66"/>
      <c r="N124" s="66"/>
      <c r="O124" s="66"/>
      <c r="P124" s="66"/>
      <c r="Q124" s="66"/>
      <c r="R124" s="66"/>
      <c r="S124" s="66"/>
    </row>
    <row r="125" spans="1:19" ht="18" customHeight="1">
      <c r="B125" t="s">
        <v>226</v>
      </c>
      <c r="C125" t="s">
        <v>641</v>
      </c>
      <c r="D125" s="4"/>
      <c r="E125" s="4">
        <v>1</v>
      </c>
      <c r="F125" s="4"/>
      <c r="G125" s="29" t="str">
        <f>IFERROR(HYPERLINK("#"&amp;ADDRESS(MATCH(B125&amp;"ES",'LM7 Non-ENG'!$A$1:$A$5000,0),1,,,"LM7 Non-ENG"),IF(IFERROR(VLOOKUP(B125&amp;"ES",'LM7 Non-ENG'!$A$1:$A$4999,1,FALSE),"ERROR")=B125&amp;"ES","Y","")),"")</f>
        <v/>
      </c>
      <c r="H125" s="29" t="str">
        <f>IFERROR(HYPERLINK("#"&amp;ADDRESS(MATCH(B125&amp;"PT",'LM7 Non-ENG'!$A$1:$A$5000,0),1,,,"LM7 Non-ENG"),IF(IFERROR(VLOOKUP(B125&amp;"PT",'LM7 Non-ENG'!$A$1:$A$5000,1,FALSE),"ERROR")=B125&amp;"PT","Y","")),"")</f>
        <v/>
      </c>
      <c r="I125" t="str">
        <f>IFERROR(VLOOKUP(B125,PN!$A:$C,3,FALSE),"")</f>
        <v>Active</v>
      </c>
      <c r="J125" s="3">
        <f>IFERROR(E125*VLOOKUP(B125,PLInter!$A:$D,3,FALSE),"")</f>
        <v>125</v>
      </c>
      <c r="K125" s="66"/>
      <c r="L125" s="66"/>
      <c r="M125" s="66"/>
      <c r="N125" s="66"/>
      <c r="O125" s="66"/>
      <c r="P125" s="66"/>
      <c r="Q125" s="66"/>
      <c r="R125" s="66"/>
      <c r="S125" s="66"/>
    </row>
    <row r="126" spans="1:19" ht="18" customHeight="1">
      <c r="B126" t="s">
        <v>236</v>
      </c>
      <c r="C126" t="s">
        <v>626</v>
      </c>
      <c r="D126" s="4"/>
      <c r="E126" s="4">
        <v>1</v>
      </c>
      <c r="F126" s="4"/>
      <c r="G126" s="29" t="str">
        <f>IFERROR(HYPERLINK("#"&amp;ADDRESS(MATCH(B126&amp;"ES",'LM7 Non-ENG'!$A$1:$A$5000,0),1,,,"LM7 Non-ENG"),IF(IFERROR(VLOOKUP(B126&amp;"ES",'LM7 Non-ENG'!$A$1:$A$4999,1,FALSE),"ERROR")=B126&amp;"ES","Y","")),"")</f>
        <v/>
      </c>
      <c r="H126" s="29" t="str">
        <f>IFERROR(HYPERLINK("#"&amp;ADDRESS(MATCH(B126&amp;"PT",'LM7 Non-ENG'!$A$1:$A$5000,0),1,,,"LM7 Non-ENG"),IF(IFERROR(VLOOKUP(B126&amp;"PT",'LM7 Non-ENG'!$A$1:$A$5000,1,FALSE),"ERROR")=B126&amp;"PT","Y","")),"")</f>
        <v/>
      </c>
      <c r="I126" t="str">
        <f>IFERROR(VLOOKUP(B126,PN!$A:$C,3,FALSE),"")</f>
        <v>Active</v>
      </c>
      <c r="J126" s="3">
        <f>IFERROR(E126*VLOOKUP(B126,PLInter!$A:$D,3,FALSE),"")</f>
        <v>1680</v>
      </c>
      <c r="K126" s="66"/>
      <c r="L126" s="66"/>
      <c r="M126" s="66"/>
      <c r="N126" s="66"/>
      <c r="O126" s="66"/>
      <c r="P126" s="66"/>
      <c r="Q126" s="66"/>
      <c r="R126" s="66"/>
      <c r="S126" s="66"/>
    </row>
    <row r="127" spans="1:19" ht="18" customHeight="1">
      <c r="B127" t="s">
        <v>239</v>
      </c>
      <c r="C127" t="s">
        <v>703</v>
      </c>
      <c r="D127" s="4"/>
      <c r="E127" s="4">
        <v>1</v>
      </c>
      <c r="F127" s="4"/>
      <c r="G127" s="29" t="str">
        <f>IFERROR(HYPERLINK("#"&amp;ADDRESS(MATCH(B127&amp;"ES",'LM7 Non-ENG'!$A$1:$A$5000,0),1,,,"LM7 Non-ENG"),IF(IFERROR(VLOOKUP(B127&amp;"ES",'LM7 Non-ENG'!$A$1:$A$4999,1,FALSE),"ERROR")=B127&amp;"ES","Y","")),"")</f>
        <v/>
      </c>
      <c r="H127" s="29" t="str">
        <f>IFERROR(HYPERLINK("#"&amp;ADDRESS(MATCH(B127&amp;"PT",'LM7 Non-ENG'!$A$1:$A$5000,0),1,,,"LM7 Non-ENG"),IF(IFERROR(VLOOKUP(B127&amp;"PT",'LM7 Non-ENG'!$A$1:$A$5000,1,FALSE),"ERROR")=B127&amp;"PT","Y","")),"")</f>
        <v/>
      </c>
      <c r="I127" t="str">
        <f>IFERROR(VLOOKUP(B127,PN!$A:$C,3,FALSE),"")</f>
        <v>Active</v>
      </c>
      <c r="J127" s="3">
        <f>IFERROR(E127*VLOOKUP(B127,PLInter!$A:$D,3,FALSE),"")</f>
        <v>5067</v>
      </c>
      <c r="K127" s="66"/>
      <c r="L127" s="66"/>
      <c r="M127" s="66"/>
      <c r="N127" s="66"/>
      <c r="O127" s="66"/>
      <c r="P127" s="66"/>
      <c r="Q127" s="66"/>
      <c r="R127" s="66"/>
      <c r="S127" s="66"/>
    </row>
    <row r="128" spans="1:19" ht="18" customHeight="1">
      <c r="B128" t="s">
        <v>677</v>
      </c>
      <c r="C128" t="s">
        <v>678</v>
      </c>
      <c r="D128" s="4"/>
      <c r="E128" s="4">
        <v>1</v>
      </c>
      <c r="F128" s="4"/>
      <c r="G128" s="29" t="str">
        <f>IFERROR(HYPERLINK("#"&amp;ADDRESS(MATCH(B128&amp;"ES",'LM7 Non-ENG'!$A$1:$A$5000,0),1,,,"LM7 Non-ENG"),IF(IFERROR(VLOOKUP(B128&amp;"ES",'LM7 Non-ENG'!$A$1:$A$4999,1,FALSE),"ERROR")=B128&amp;"ES","Y","")),"")</f>
        <v/>
      </c>
      <c r="H128" s="29" t="str">
        <f>IFERROR(HYPERLINK("#"&amp;ADDRESS(MATCH(B128&amp;"PT",'LM7 Non-ENG'!$A$1:$A$5000,0),1,,,"LM7 Non-ENG"),IF(IFERROR(VLOOKUP(B128&amp;"PT",'LM7 Non-ENG'!$A$1:$A$5000,1,FALSE),"ERROR")=B128&amp;"PT","Y","")),"")</f>
        <v/>
      </c>
      <c r="I128" t="str">
        <f>IFERROR(VLOOKUP(B128,PN!$A:$C,3,FALSE),"")</f>
        <v>Active</v>
      </c>
      <c r="J128" s="3">
        <f>IFERROR(E128*VLOOKUP(B128,PLInter!$A:$D,3,FALSE),"")</f>
        <v>800</v>
      </c>
      <c r="K128" s="66"/>
      <c r="L128" s="66"/>
      <c r="M128" s="66"/>
      <c r="N128" s="66"/>
      <c r="O128" s="66"/>
      <c r="P128" s="66"/>
      <c r="Q128" s="66"/>
      <c r="R128" s="66"/>
      <c r="S128" s="66"/>
    </row>
    <row r="129" spans="1:19" ht="18" customHeight="1">
      <c r="B129" t="s">
        <v>684</v>
      </c>
      <c r="C129" t="s">
        <v>685</v>
      </c>
      <c r="D129" s="4"/>
      <c r="E129" s="4">
        <v>1</v>
      </c>
      <c r="F129" s="4"/>
      <c r="G129" s="29" t="str">
        <f>IFERROR(HYPERLINK("#"&amp;ADDRESS(MATCH(B129&amp;"ES",'LM7 Non-ENG'!$A$1:$A$5000,0),1,,,"LM7 Non-ENG"),IF(IFERROR(VLOOKUP(B129&amp;"ES",'LM7 Non-ENG'!$A$1:$A$4999,1,FALSE),"ERROR")=B129&amp;"ES","Y","")),"")</f>
        <v/>
      </c>
      <c r="H129" s="29" t="str">
        <f>IFERROR(HYPERLINK("#"&amp;ADDRESS(MATCH(B129&amp;"PT",'LM7 Non-ENG'!$A$1:$A$5000,0),1,,,"LM7 Non-ENG"),IF(IFERROR(VLOOKUP(B129&amp;"PT",'LM7 Non-ENG'!$A$1:$A$5000,1,FALSE),"ERROR")=B129&amp;"PT","Y","")),"")</f>
        <v/>
      </c>
      <c r="I129" t="str">
        <f>IFERROR(VLOOKUP(B129,PN!$A:$C,3,FALSE),"")</f>
        <v>Active</v>
      </c>
      <c r="J129" s="3">
        <f>IFERROR(E129*VLOOKUP(B129,PLInter!$A:$D,3,FALSE),"")</f>
        <v>580</v>
      </c>
      <c r="K129" s="66"/>
      <c r="L129" s="66"/>
      <c r="M129" s="66"/>
      <c r="N129" s="66"/>
      <c r="O129" s="66"/>
      <c r="P129" s="66"/>
      <c r="Q129" s="66"/>
      <c r="R129" s="66"/>
      <c r="S129" s="66"/>
    </row>
    <row r="130" spans="1:19" ht="18" customHeight="1">
      <c r="B130" s="45" t="s">
        <v>700</v>
      </c>
      <c r="C130" t="s">
        <v>686</v>
      </c>
      <c r="D130" s="4"/>
      <c r="E130" s="4">
        <v>1</v>
      </c>
      <c r="F130" s="4"/>
      <c r="G130" s="29" t="str">
        <f>IFERROR(HYPERLINK("#"&amp;ADDRESS(MATCH(B130&amp;"ES",'LM7 Non-ENG'!$A$1:$A$5000,0),1,,,"LM7 Non-ENG"),IF(IFERROR(VLOOKUP(B130&amp;"ES",'LM7 Non-ENG'!$A$1:$A$4999,1,FALSE),"ERROR")=B130&amp;"ES","Y","")),"")</f>
        <v/>
      </c>
      <c r="H130" s="29" t="str">
        <f>IFERROR(HYPERLINK("#"&amp;ADDRESS(MATCH(B130&amp;"PT",'LM7 Non-ENG'!$A$1:$A$5000,0),1,,,"LM7 Non-ENG"),IF(IFERROR(VLOOKUP(B130&amp;"PT",'LM7 Non-ENG'!$A$1:$A$5000,1,FALSE),"ERROR")=B130&amp;"PT","Y","")),"")</f>
        <v/>
      </c>
      <c r="I130" t="str">
        <f>IFERROR(VLOOKUP(B130,PN!$A:$C,3,FALSE),"")</f>
        <v>Active</v>
      </c>
      <c r="J130" s="3">
        <f>IFERROR(E130*VLOOKUP(B130,PLInter!$A:$D,3,FALSE),"")</f>
        <v>16</v>
      </c>
      <c r="K130" s="66"/>
      <c r="L130" s="66"/>
      <c r="M130" s="66"/>
      <c r="N130" s="66"/>
      <c r="O130" s="66"/>
      <c r="P130" s="66"/>
      <c r="Q130" s="66"/>
      <c r="R130" s="66"/>
      <c r="S130" s="66"/>
    </row>
    <row r="131" spans="1:19" ht="18" customHeight="1">
      <c r="B131" t="s">
        <v>680</v>
      </c>
      <c r="C131" t="s">
        <v>681</v>
      </c>
      <c r="D131" s="4"/>
      <c r="E131" s="4">
        <v>1</v>
      </c>
      <c r="F131" s="4"/>
      <c r="G131" s="29" t="str">
        <f>IFERROR(HYPERLINK("#"&amp;ADDRESS(MATCH(B131&amp;"ES",'LM7 Non-ENG'!$A$1:$A$5000,0),1,,,"LM7 Non-ENG"),IF(IFERROR(VLOOKUP(B131&amp;"ES",'LM7 Non-ENG'!$A$1:$A$4999,1,FALSE),"ERROR")=B131&amp;"ES","Y","")),"")</f>
        <v/>
      </c>
      <c r="H131" s="29" t="str">
        <f>IFERROR(HYPERLINK("#"&amp;ADDRESS(MATCH(B131&amp;"PT",'LM7 Non-ENG'!$A$1:$A$5000,0),1,,,"LM7 Non-ENG"),IF(IFERROR(VLOOKUP(B131&amp;"PT",'LM7 Non-ENG'!$A$1:$A$5000,1,FALSE),"ERROR")=B131&amp;"PT","Y","")),"")</f>
        <v/>
      </c>
      <c r="I131" t="str">
        <f>IFERROR(VLOOKUP(B131,PN!$A:$C,3,FALSE),"")</f>
        <v>Active</v>
      </c>
      <c r="J131" s="3">
        <f>IFERROR(E131*VLOOKUP(B131,PLInter!$A:$D,3,FALSE),"")</f>
        <v>1440</v>
      </c>
      <c r="K131" s="66"/>
      <c r="L131" s="66"/>
      <c r="M131" s="66"/>
      <c r="N131" s="66"/>
      <c r="O131" s="66"/>
      <c r="P131" s="66"/>
      <c r="Q131" s="66"/>
      <c r="R131" s="66"/>
      <c r="S131" s="66"/>
    </row>
    <row r="132" spans="1:19" ht="18" customHeight="1">
      <c r="B132" t="s">
        <v>687</v>
      </c>
      <c r="C132" t="s">
        <v>688</v>
      </c>
      <c r="D132" s="4"/>
      <c r="E132" s="4">
        <v>1</v>
      </c>
      <c r="F132" s="4"/>
      <c r="G132" s="29" t="str">
        <f>IFERROR(HYPERLINK("#"&amp;ADDRESS(MATCH(B132&amp;"ES",'LM7 Non-ENG'!$A$1:$A$5000,0),1,,,"LM7 Non-ENG"),IF(IFERROR(VLOOKUP(B132&amp;"ES",'LM7 Non-ENG'!$A$1:$A$4999,1,FALSE),"ERROR")=B132&amp;"ES","Y","")),"")</f>
        <v/>
      </c>
      <c r="H132" s="29" t="str">
        <f>IFERROR(HYPERLINK("#"&amp;ADDRESS(MATCH(B132&amp;"PT",'LM7 Non-ENG'!$A$1:$A$5000,0),1,,,"LM7 Non-ENG"),IF(IFERROR(VLOOKUP(B132&amp;"PT",'LM7 Non-ENG'!$A$1:$A$5000,1,FALSE),"ERROR")=B132&amp;"PT","Y","")),"")</f>
        <v/>
      </c>
      <c r="I132" t="str">
        <f>IFERROR(VLOOKUP(B132,PN!$A:$C,3,FALSE),"")</f>
        <v>ECO-N2Mnf</v>
      </c>
      <c r="J132" s="3">
        <f>IFERROR(E132*VLOOKUP(B132,PLInter!$A:$D,3,FALSE),"")</f>
        <v>1000</v>
      </c>
      <c r="K132" s="66"/>
      <c r="L132" s="66"/>
      <c r="M132" s="66"/>
      <c r="N132" s="66"/>
      <c r="O132" s="66"/>
      <c r="P132" s="66"/>
      <c r="Q132" s="66"/>
      <c r="R132" s="66"/>
      <c r="S132" s="66"/>
    </row>
    <row r="133" spans="1:19" ht="18" customHeight="1">
      <c r="B133" t="s">
        <v>704</v>
      </c>
      <c r="C133" t="s">
        <v>705</v>
      </c>
      <c r="D133" s="4"/>
      <c r="E133" s="4">
        <v>1</v>
      </c>
      <c r="F133" s="4"/>
      <c r="G133" s="29" t="str">
        <f>IFERROR(HYPERLINK("#"&amp;ADDRESS(MATCH(B133&amp;"ES",'LM7 Non-ENG'!$A$1:$A$5000,0),1,,,"LM7 Non-ENG"),IF(IFERROR(VLOOKUP(B133&amp;"ES",'LM7 Non-ENG'!$A$1:$A$4999,1,FALSE),"ERROR")=B133&amp;"ES","Y","")),"")</f>
        <v/>
      </c>
      <c r="H133" s="29" t="str">
        <f>IFERROR(HYPERLINK("#"&amp;ADDRESS(MATCH(B133&amp;"PT",'LM7 Non-ENG'!$A$1:$A$5000,0),1,,,"LM7 Non-ENG"),IF(IFERROR(VLOOKUP(B133&amp;"PT",'LM7 Non-ENG'!$A$1:$A$5000,1,FALSE),"ERROR")=B133&amp;"PT","Y","")),"")</f>
        <v/>
      </c>
      <c r="I133" t="str">
        <f>IFERROR(VLOOKUP(B133,PN!$A:$C,3,FALSE),"")</f>
        <v>Active</v>
      </c>
      <c r="J133" s="3">
        <f>IFERROR(E133*VLOOKUP(B133,PLInter!$A:$D,3,FALSE),"")</f>
        <v>2640</v>
      </c>
      <c r="K133" s="66"/>
      <c r="L133" s="66"/>
      <c r="M133" s="66"/>
      <c r="N133" s="66"/>
      <c r="O133" s="66"/>
      <c r="P133" s="66"/>
      <c r="Q133" s="66"/>
      <c r="R133" s="66"/>
      <c r="S133" s="66"/>
    </row>
    <row r="134" spans="1:19" ht="18" customHeight="1">
      <c r="B134" t="s">
        <v>630</v>
      </c>
      <c r="C134" t="s">
        <v>631</v>
      </c>
      <c r="D134" s="4"/>
      <c r="E134" s="4">
        <v>1</v>
      </c>
      <c r="F134" s="4"/>
      <c r="G134" s="29" t="str">
        <f>IFERROR(HYPERLINK("#"&amp;ADDRESS(MATCH(B134&amp;"ES",'LM7 Non-ENG'!$A$1:$A$5000,0),1,,,"LM7 Non-ENG"),IF(IFERROR(VLOOKUP(B134&amp;"ES",'LM7 Non-ENG'!$A$1:$A$4999,1,FALSE),"ERROR")=B134&amp;"ES","Y","")),"")</f>
        <v/>
      </c>
      <c r="H134" s="29" t="str">
        <f>IFERROR(HYPERLINK("#"&amp;ADDRESS(MATCH(B134&amp;"PT",'LM7 Non-ENG'!$A$1:$A$5000,0),1,,,"LM7 Non-ENG"),IF(IFERROR(VLOOKUP(B134&amp;"PT",'LM7 Non-ENG'!$A$1:$A$5000,1,FALSE),"ERROR")=B134&amp;"PT","Y","")),"")</f>
        <v/>
      </c>
      <c r="I134" t="str">
        <f>IFERROR(VLOOKUP(B134,PN!$A:$C,3,FALSE),"")</f>
        <v>Active</v>
      </c>
      <c r="J134" s="3">
        <f>IFERROR(E134*VLOOKUP(B134,PLInter!$A:$D,3,FALSE),"")</f>
        <v>1735</v>
      </c>
      <c r="K134" s="66"/>
      <c r="L134" s="66"/>
      <c r="M134" s="66"/>
      <c r="N134" s="66"/>
      <c r="O134" s="66"/>
      <c r="P134" s="66"/>
      <c r="Q134" s="66"/>
      <c r="R134" s="66"/>
      <c r="S134" s="66"/>
    </row>
    <row r="136" spans="1:19" s="7" customFormat="1" ht="18" customHeight="1">
      <c r="A136" s="13" t="s">
        <v>706</v>
      </c>
      <c r="B136" s="13"/>
      <c r="C136" s="13" t="s">
        <v>707</v>
      </c>
      <c r="D136" s="14"/>
      <c r="E136" s="14"/>
      <c r="F136" s="14"/>
      <c r="G136" s="14"/>
      <c r="H136" s="14"/>
      <c r="I136" s="14"/>
      <c r="J136" s="14">
        <f>SUMIFS(J137:J194,D137:D194,"&lt;&gt;Y",F137:F194,"&lt;&gt;Y",I137:I194,"&lt;&gt;Inactive",I137:I194,"&lt;&gt;ECO+NFS")</f>
        <v>78282</v>
      </c>
      <c r="K136" s="14"/>
      <c r="L136" s="14"/>
      <c r="M136" s="14"/>
      <c r="N136" s="14"/>
      <c r="O136" s="14"/>
      <c r="P136" s="14"/>
      <c r="Q136" s="14"/>
      <c r="R136" s="14"/>
      <c r="S136" s="14"/>
    </row>
    <row r="137" spans="1:19" ht="18" customHeight="1">
      <c r="A137" s="17" t="str">
        <f>HYPERLINK("#"&amp;ADDRESS(MATCH(A136,'CIM&amp;FMS'!$A$1:$A$4997,0),1,,,"CIM&amp;FMS"),"Back to Price List")</f>
        <v>Back to Price List</v>
      </c>
      <c r="B137" t="s">
        <v>213</v>
      </c>
      <c r="C137" t="s">
        <v>640</v>
      </c>
      <c r="D137" s="4"/>
      <c r="E137" s="4">
        <v>1</v>
      </c>
      <c r="F137" s="4"/>
      <c r="G137" s="29" t="str">
        <f>IFERROR(HYPERLINK("#"&amp;ADDRESS(MATCH(B137&amp;"ES",'LM7 Non-ENG'!$A$1:$A$5000,0),1,,,"LM7 Non-ENG"),IF(IFERROR(VLOOKUP(B137&amp;"ES",'LM7 Non-ENG'!$A$1:$A$4999,1,FALSE),"ERROR")=B137&amp;"ES","Y","")),"")</f>
        <v/>
      </c>
      <c r="H137" s="29" t="str">
        <f>IFERROR(HYPERLINK("#"&amp;ADDRESS(MATCH(B137&amp;"PT",'LM7 Non-ENG'!$A$1:$A$5000,0),1,,,"LM7 Non-ENG"),IF(IFERROR(VLOOKUP(B137&amp;"PT",'LM7 Non-ENG'!$A$1:$A$5000,1,FALSE),"ERROR")=B137&amp;"PT","Y","")),"")</f>
        <v/>
      </c>
      <c r="I137" t="str">
        <f>IFERROR(VLOOKUP(B137,PN!$A:$C,3,FALSE),"")</f>
        <v>Active</v>
      </c>
      <c r="J137" s="3">
        <f>IFERROR(E137*VLOOKUP(B137,PLInter!$A:$D,3,FALSE),"")</f>
        <v>11726</v>
      </c>
      <c r="K137" s="66"/>
      <c r="L137" s="66"/>
      <c r="M137" s="66"/>
      <c r="N137" s="66"/>
      <c r="O137" s="66"/>
      <c r="P137" s="66"/>
      <c r="Q137" s="66"/>
      <c r="R137" s="66"/>
      <c r="S137" s="66"/>
    </row>
    <row r="138" spans="1:19" ht="18" customHeight="1">
      <c r="B138" t="s">
        <v>226</v>
      </c>
      <c r="C138" t="s">
        <v>641</v>
      </c>
      <c r="D138" s="4"/>
      <c r="E138" s="4">
        <v>1</v>
      </c>
      <c r="F138" s="4"/>
      <c r="G138" s="29" t="str">
        <f>IFERROR(HYPERLINK("#"&amp;ADDRESS(MATCH(B138&amp;"ES",'LM7 Non-ENG'!$A$1:$A$5000,0),1,,,"LM7 Non-ENG"),IF(IFERROR(VLOOKUP(B138&amp;"ES",'LM7 Non-ENG'!$A$1:$A$4999,1,FALSE),"ERROR")=B138&amp;"ES","Y","")),"")</f>
        <v/>
      </c>
      <c r="H138" s="29" t="str">
        <f>IFERROR(HYPERLINK("#"&amp;ADDRESS(MATCH(B138&amp;"PT",'LM7 Non-ENG'!$A$1:$A$5000,0),1,,,"LM7 Non-ENG"),IF(IFERROR(VLOOKUP(B138&amp;"PT",'LM7 Non-ENG'!$A$1:$A$5000,1,FALSE),"ERROR")=B138&amp;"PT","Y","")),"")</f>
        <v/>
      </c>
      <c r="I138" t="str">
        <f>IFERROR(VLOOKUP(B138,PN!$A:$C,3,FALSE),"")</f>
        <v>Active</v>
      </c>
      <c r="J138" s="3">
        <f>IFERROR(E138*VLOOKUP(B138,PLInter!$A:$D,3,FALSE),"")</f>
        <v>125</v>
      </c>
      <c r="K138" s="66"/>
      <c r="L138" s="66"/>
      <c r="M138" s="66"/>
      <c r="N138" s="66"/>
      <c r="O138" s="66"/>
      <c r="P138" s="66"/>
      <c r="Q138" s="66"/>
      <c r="R138" s="66"/>
      <c r="S138" s="66"/>
    </row>
    <row r="139" spans="1:19" ht="18" customHeight="1">
      <c r="B139" t="s">
        <v>236</v>
      </c>
      <c r="C139" t="s">
        <v>626</v>
      </c>
      <c r="D139" s="4"/>
      <c r="E139" s="4">
        <v>1</v>
      </c>
      <c r="F139" s="4"/>
      <c r="G139" s="29" t="str">
        <f>IFERROR(HYPERLINK("#"&amp;ADDRESS(MATCH(B139&amp;"ES",'LM7 Non-ENG'!$A$1:$A$5000,0),1,,,"LM7 Non-ENG"),IF(IFERROR(VLOOKUP(B139&amp;"ES",'LM7 Non-ENG'!$A$1:$A$4999,1,FALSE),"ERROR")=B139&amp;"ES","Y","")),"")</f>
        <v/>
      </c>
      <c r="H139" s="29" t="str">
        <f>IFERROR(HYPERLINK("#"&amp;ADDRESS(MATCH(B139&amp;"PT",'LM7 Non-ENG'!$A$1:$A$5000,0),1,,,"LM7 Non-ENG"),IF(IFERROR(VLOOKUP(B139&amp;"PT",'LM7 Non-ENG'!$A$1:$A$5000,1,FALSE),"ERROR")=B139&amp;"PT","Y","")),"")</f>
        <v/>
      </c>
      <c r="I139" t="str">
        <f>IFERROR(VLOOKUP(B139,PN!$A:$C,3,FALSE),"")</f>
        <v>Active</v>
      </c>
      <c r="J139" s="3">
        <f>IFERROR(E139*VLOOKUP(B139,PLInter!$A:$D,3,FALSE),"")</f>
        <v>1680</v>
      </c>
      <c r="K139" s="66"/>
      <c r="L139" s="66"/>
      <c r="M139" s="66"/>
      <c r="N139" s="66"/>
      <c r="O139" s="66"/>
      <c r="P139" s="66"/>
      <c r="Q139" s="66"/>
      <c r="R139" s="66"/>
      <c r="S139" s="66"/>
    </row>
    <row r="140" spans="1:19" ht="18" customHeight="1">
      <c r="B140" t="s">
        <v>240</v>
      </c>
      <c r="C140" t="s">
        <v>676</v>
      </c>
      <c r="D140" s="4"/>
      <c r="E140" s="4">
        <v>1</v>
      </c>
      <c r="F140" s="4"/>
      <c r="G140" s="29" t="str">
        <f>IFERROR(HYPERLINK("#"&amp;ADDRESS(MATCH(B140&amp;"ES",'LM7 Non-ENG'!$A$1:$A$5000,0),1,,,"LM7 Non-ENG"),IF(IFERROR(VLOOKUP(B140&amp;"ES",'LM7 Non-ENG'!$A$1:$A$4999,1,FALSE),"ERROR")=B140&amp;"ES","Y","")),"")</f>
        <v/>
      </c>
      <c r="H140" s="29" t="str">
        <f>IFERROR(HYPERLINK("#"&amp;ADDRESS(MATCH(B140&amp;"PT",'LM7 Non-ENG'!$A$1:$A$5000,0),1,,,"LM7 Non-ENG"),IF(IFERROR(VLOOKUP(B140&amp;"PT",'LM7 Non-ENG'!$A$1:$A$5000,1,FALSE),"ERROR")=B140&amp;"PT","Y","")),"")</f>
        <v/>
      </c>
      <c r="I140" t="str">
        <f>IFERROR(VLOOKUP(B140,PN!$A:$C,3,FALSE),"")</f>
        <v>Active</v>
      </c>
      <c r="J140" s="3">
        <f>IFERROR(E140*VLOOKUP(B140,PLInter!$A:$D,3,FALSE),"")</f>
        <v>7467</v>
      </c>
      <c r="K140" s="66"/>
      <c r="L140" s="66"/>
      <c r="M140" s="66"/>
      <c r="N140" s="66"/>
      <c r="O140" s="66"/>
      <c r="P140" s="66"/>
      <c r="Q140" s="66"/>
      <c r="R140" s="66"/>
      <c r="S140" s="66"/>
    </row>
    <row r="141" spans="1:19" ht="18" customHeight="1">
      <c r="B141" t="s">
        <v>677</v>
      </c>
      <c r="C141" t="s">
        <v>678</v>
      </c>
      <c r="D141" s="4"/>
      <c r="E141" s="4">
        <v>1</v>
      </c>
      <c r="F141" s="4"/>
      <c r="G141" s="29" t="str">
        <f>IFERROR(HYPERLINK("#"&amp;ADDRESS(MATCH(B141&amp;"ES",'LM7 Non-ENG'!$A$1:$A$5000,0),1,,,"LM7 Non-ENG"),IF(IFERROR(VLOOKUP(B141&amp;"ES",'LM7 Non-ENG'!$A$1:$A$4999,1,FALSE),"ERROR")=B141&amp;"ES","Y","")),"")</f>
        <v/>
      </c>
      <c r="H141" s="29" t="str">
        <f>IFERROR(HYPERLINK("#"&amp;ADDRESS(MATCH(B141&amp;"PT",'LM7 Non-ENG'!$A$1:$A$5000,0),1,,,"LM7 Non-ENG"),IF(IFERROR(VLOOKUP(B141&amp;"PT",'LM7 Non-ENG'!$A$1:$A$5000,1,FALSE),"ERROR")=B141&amp;"PT","Y","")),"")</f>
        <v/>
      </c>
      <c r="I141" t="str">
        <f>IFERROR(VLOOKUP(B141,PN!$A:$C,3,FALSE),"")</f>
        <v>Active</v>
      </c>
      <c r="J141" s="3">
        <f>IFERROR(E141*VLOOKUP(B141,PLInter!$A:$D,3,FALSE),"")</f>
        <v>800</v>
      </c>
      <c r="K141" s="66"/>
      <c r="L141" s="66"/>
      <c r="M141" s="66"/>
      <c r="N141" s="66"/>
      <c r="O141" s="66"/>
      <c r="P141" s="66"/>
      <c r="Q141" s="66"/>
      <c r="R141" s="66"/>
      <c r="S141" s="66"/>
    </row>
    <row r="142" spans="1:19" ht="18" customHeight="1">
      <c r="B142" s="45" t="s">
        <v>699</v>
      </c>
      <c r="C142" s="41" t="s">
        <v>679</v>
      </c>
      <c r="D142" s="4"/>
      <c r="E142" s="4">
        <v>2</v>
      </c>
      <c r="F142" s="4"/>
      <c r="G142" s="29" t="str">
        <f>IFERROR(HYPERLINK("#"&amp;ADDRESS(MATCH(B142&amp;"ES",'LM7 Non-ENG'!$A$1:$A$5000,0),1,,,"LM7 Non-ENG"),IF(IFERROR(VLOOKUP(B142&amp;"ES",'LM7 Non-ENG'!$A$1:$A$4999,1,FALSE),"ERROR")=B142&amp;"ES","Y","")),"")</f>
        <v/>
      </c>
      <c r="H142" s="29" t="str">
        <f>IFERROR(HYPERLINK("#"&amp;ADDRESS(MATCH(B142&amp;"PT",'LM7 Non-ENG'!$A$1:$A$5000,0),1,,,"LM7 Non-ENG"),IF(IFERROR(VLOOKUP(B142&amp;"PT",'LM7 Non-ENG'!$A$1:$A$5000,1,FALSE),"ERROR")=B142&amp;"PT","Y","")),"")</f>
        <v/>
      </c>
      <c r="I142" t="str">
        <f>IFERROR(VLOOKUP(B142,PN!$A:$C,3,FALSE),"")</f>
        <v>Active</v>
      </c>
      <c r="J142" s="3">
        <f>IFERROR(E142*VLOOKUP(B142,PLInter!$A:$D,3,FALSE),"")</f>
        <v>480</v>
      </c>
      <c r="K142" s="66"/>
      <c r="L142" s="66"/>
      <c r="M142" s="66"/>
      <c r="N142" s="66"/>
      <c r="O142" s="66"/>
      <c r="P142" s="66"/>
      <c r="Q142" s="66"/>
      <c r="R142" s="66"/>
      <c r="S142" s="66"/>
    </row>
    <row r="143" spans="1:19" ht="18" customHeight="1">
      <c r="B143" t="s">
        <v>680</v>
      </c>
      <c r="C143" t="s">
        <v>681</v>
      </c>
      <c r="D143" s="4"/>
      <c r="E143" s="4">
        <v>1</v>
      </c>
      <c r="F143" s="4"/>
      <c r="G143" s="29" t="str">
        <f>IFERROR(HYPERLINK("#"&amp;ADDRESS(MATCH(B143&amp;"ES",'LM7 Non-ENG'!$A$1:$A$5000,0),1,,,"LM7 Non-ENG"),IF(IFERROR(VLOOKUP(B143&amp;"ES",'LM7 Non-ENG'!$A$1:$A$4999,1,FALSE),"ERROR")=B143&amp;"ES","Y","")),"")</f>
        <v/>
      </c>
      <c r="H143" s="29" t="str">
        <f>IFERROR(HYPERLINK("#"&amp;ADDRESS(MATCH(B143&amp;"PT",'LM7 Non-ENG'!$A$1:$A$5000,0),1,,,"LM7 Non-ENG"),IF(IFERROR(VLOOKUP(B143&amp;"PT",'LM7 Non-ENG'!$A$1:$A$5000,1,FALSE),"ERROR")=B143&amp;"PT","Y","")),"")</f>
        <v/>
      </c>
      <c r="I143" t="str">
        <f>IFERROR(VLOOKUP(B143,PN!$A:$C,3,FALSE),"")</f>
        <v>Active</v>
      </c>
      <c r="J143" s="3">
        <f>IFERROR(E143*VLOOKUP(B143,PLInter!$A:$D,3,FALSE),"")</f>
        <v>1440</v>
      </c>
      <c r="K143" s="66"/>
      <c r="L143" s="66"/>
      <c r="M143" s="66"/>
      <c r="N143" s="66"/>
      <c r="O143" s="66"/>
      <c r="P143" s="66"/>
      <c r="Q143" s="66"/>
      <c r="R143" s="66"/>
      <c r="S143" s="66"/>
    </row>
    <row r="144" spans="1:19" ht="18" customHeight="1">
      <c r="B144" t="s">
        <v>682</v>
      </c>
      <c r="C144" t="s">
        <v>683</v>
      </c>
      <c r="D144" s="4"/>
      <c r="E144" s="4">
        <v>1</v>
      </c>
      <c r="F144" s="4"/>
      <c r="G144" s="29" t="str">
        <f>IFERROR(HYPERLINK("#"&amp;ADDRESS(MATCH(B144&amp;"ES",'LM7 Non-ENG'!$A$1:$A$5000,0),1,,,"LM7 Non-ENG"),IF(IFERROR(VLOOKUP(B144&amp;"ES",'LM7 Non-ENG'!$A$1:$A$4999,1,FALSE),"ERROR")=B144&amp;"ES","Y","")),"")</f>
        <v/>
      </c>
      <c r="H144" s="29" t="str">
        <f>IFERROR(HYPERLINK("#"&amp;ADDRESS(MATCH(B144&amp;"PT",'LM7 Non-ENG'!$A$1:$A$5000,0),1,,,"LM7 Non-ENG"),IF(IFERROR(VLOOKUP(B144&amp;"PT",'LM7 Non-ENG'!$A$1:$A$5000,1,FALSE),"ERROR")=B144&amp;"PT","Y","")),"")</f>
        <v/>
      </c>
      <c r="I144" t="str">
        <f>IFERROR(VLOOKUP(B144,PN!$A:$C,3,FALSE),"")</f>
        <v>Active</v>
      </c>
      <c r="J144" s="3">
        <f>IFERROR(E144*VLOOKUP(B144,PLInter!$A:$D,3,FALSE),"")</f>
        <v>494</v>
      </c>
      <c r="K144" s="66"/>
      <c r="L144" s="66"/>
      <c r="M144" s="66"/>
      <c r="N144" s="66"/>
      <c r="O144" s="66"/>
      <c r="P144" s="66"/>
      <c r="Q144" s="66"/>
      <c r="R144" s="66"/>
      <c r="S144" s="66"/>
    </row>
    <row r="145" spans="2:19" ht="18" customHeight="1">
      <c r="B145" s="45" t="s">
        <v>700</v>
      </c>
      <c r="C145" t="s">
        <v>686</v>
      </c>
      <c r="D145" s="4"/>
      <c r="E145" s="4">
        <v>2</v>
      </c>
      <c r="F145" s="4"/>
      <c r="G145" s="29" t="str">
        <f>IFERROR(HYPERLINK("#"&amp;ADDRESS(MATCH(B145&amp;"ES",'LM7 Non-ENG'!$A$1:$A$5000,0),1,,,"LM7 Non-ENG"),IF(IFERROR(VLOOKUP(B145&amp;"ES",'LM7 Non-ENG'!$A$1:$A$4999,1,FALSE),"ERROR")=B145&amp;"ES","Y","")),"")</f>
        <v/>
      </c>
      <c r="H145" s="29" t="str">
        <f>IFERROR(HYPERLINK("#"&amp;ADDRESS(MATCH(B145&amp;"PT",'LM7 Non-ENG'!$A$1:$A$5000,0),1,,,"LM7 Non-ENG"),IF(IFERROR(VLOOKUP(B145&amp;"PT",'LM7 Non-ENG'!$A$1:$A$5000,1,FALSE),"ERROR")=B145&amp;"PT","Y","")),"")</f>
        <v/>
      </c>
      <c r="I145" t="str">
        <f>IFERROR(VLOOKUP(B145,PN!$A:$C,3,FALSE),"")</f>
        <v>Active</v>
      </c>
      <c r="J145" s="3">
        <f>IFERROR(E145*VLOOKUP(B145,PLInter!$A:$D,3,FALSE),"")</f>
        <v>32</v>
      </c>
      <c r="K145" s="66"/>
      <c r="L145" s="66"/>
      <c r="M145" s="66"/>
      <c r="N145" s="66"/>
      <c r="O145" s="66"/>
      <c r="P145" s="66"/>
      <c r="Q145" s="66"/>
      <c r="R145" s="66"/>
      <c r="S145" s="66"/>
    </row>
    <row r="146" spans="2:19" ht="18" customHeight="1">
      <c r="B146" t="s">
        <v>684</v>
      </c>
      <c r="C146" t="s">
        <v>685</v>
      </c>
      <c r="D146" s="4"/>
      <c r="E146" s="4">
        <v>2</v>
      </c>
      <c r="F146" s="4"/>
      <c r="G146" s="29" t="str">
        <f>IFERROR(HYPERLINK("#"&amp;ADDRESS(MATCH(B146&amp;"ES",'LM7 Non-ENG'!$A$1:$A$5000,0),1,,,"LM7 Non-ENG"),IF(IFERROR(VLOOKUP(B146&amp;"ES",'LM7 Non-ENG'!$A$1:$A$4999,1,FALSE),"ERROR")=B146&amp;"ES","Y","")),"")</f>
        <v/>
      </c>
      <c r="H146" s="29" t="str">
        <f>IFERROR(HYPERLINK("#"&amp;ADDRESS(MATCH(B146&amp;"PT",'LM7 Non-ENG'!$A$1:$A$5000,0),1,,,"LM7 Non-ENG"),IF(IFERROR(VLOOKUP(B146&amp;"PT",'LM7 Non-ENG'!$A$1:$A$5000,1,FALSE),"ERROR")=B146&amp;"PT","Y","")),"")</f>
        <v/>
      </c>
      <c r="I146" t="str">
        <f>IFERROR(VLOOKUP(B146,PN!$A:$C,3,FALSE),"")</f>
        <v>Active</v>
      </c>
      <c r="J146" s="3">
        <f>IFERROR(E146*VLOOKUP(B146,PLInter!$A:$D,3,FALSE),"")</f>
        <v>1160</v>
      </c>
      <c r="K146" s="66"/>
      <c r="L146" s="66"/>
      <c r="M146" s="66"/>
      <c r="N146" s="66"/>
      <c r="O146" s="66"/>
      <c r="P146" s="66"/>
      <c r="Q146" s="66"/>
      <c r="R146" s="66"/>
      <c r="S146" s="66"/>
    </row>
    <row r="147" spans="2:19" ht="18" customHeight="1">
      <c r="B147" t="s">
        <v>708</v>
      </c>
      <c r="C147" t="s">
        <v>709</v>
      </c>
      <c r="D147" s="4"/>
      <c r="E147" s="4">
        <v>1</v>
      </c>
      <c r="F147" s="4"/>
      <c r="G147" s="29" t="str">
        <f>IFERROR(HYPERLINK("#"&amp;ADDRESS(MATCH(B147&amp;"ES",'LM7 Non-ENG'!$A$1:$A$5000,0),1,,,"LM7 Non-ENG"),IF(IFERROR(VLOOKUP(B147&amp;"ES",'LM7 Non-ENG'!$A$1:$A$4999,1,FALSE),"ERROR")=B147&amp;"ES","Y","")),"")</f>
        <v/>
      </c>
      <c r="H147" s="29" t="str">
        <f>IFERROR(HYPERLINK("#"&amp;ADDRESS(MATCH(B147&amp;"PT",'LM7 Non-ENG'!$A$1:$A$5000,0),1,,,"LM7 Non-ENG"),IF(IFERROR(VLOOKUP(B147&amp;"PT",'LM7 Non-ENG'!$A$1:$A$5000,1,FALSE),"ERROR")=B147&amp;"PT","Y","")),"")</f>
        <v/>
      </c>
      <c r="I147" t="str">
        <f>IFERROR(VLOOKUP(B147,PN!$A:$C,3,FALSE),"")</f>
        <v>Active</v>
      </c>
      <c r="J147" s="3">
        <f>IFERROR(E147*VLOOKUP(B147,PLInter!$A:$D,3,FALSE),"")</f>
        <v>667</v>
      </c>
      <c r="K147" s="66"/>
      <c r="L147" s="66"/>
      <c r="M147" s="66"/>
      <c r="N147" s="66"/>
      <c r="O147" s="66"/>
      <c r="P147" s="66"/>
      <c r="Q147" s="66"/>
      <c r="R147" s="66"/>
      <c r="S147" s="66"/>
    </row>
    <row r="148" spans="2:19" ht="18" customHeight="1">
      <c r="B148" t="s">
        <v>451</v>
      </c>
      <c r="C148" t="s">
        <v>710</v>
      </c>
      <c r="D148" s="4"/>
      <c r="E148" s="4">
        <v>1</v>
      </c>
      <c r="F148" s="4"/>
      <c r="G148" s="29" t="str">
        <f>IFERROR(HYPERLINK("#"&amp;ADDRESS(MATCH(B148&amp;"ES",'LM7 Non-ENG'!$A$1:$A$5000,0),1,,,"LM7 Non-ENG"),IF(IFERROR(VLOOKUP(B148&amp;"ES",'LM7 Non-ENG'!$A$1:$A$4999,1,FALSE),"ERROR")=B148&amp;"ES","Y","")),"")</f>
        <v/>
      </c>
      <c r="H148" s="29" t="str">
        <f>IFERROR(HYPERLINK("#"&amp;ADDRESS(MATCH(B148&amp;"PT",'LM7 Non-ENG'!$A$1:$A$5000,0),1,,,"LM7 Non-ENG"),IF(IFERROR(VLOOKUP(B148&amp;"PT",'LM7 Non-ENG'!$A$1:$A$5000,1,FALSE),"ERROR")=B148&amp;"PT","Y","")),"")</f>
        <v/>
      </c>
      <c r="I148" t="str">
        <f>IFERROR(VLOOKUP(B148,PN!$A:$C,3,FALSE),"")</f>
        <v>Active</v>
      </c>
      <c r="J148" s="3">
        <f>IFERROR(E148*VLOOKUP(B148,PLInter!$A:$D,3,FALSE),"")</f>
        <v>14934</v>
      </c>
      <c r="K148" s="66"/>
      <c r="L148" s="66"/>
      <c r="M148" s="66"/>
      <c r="N148" s="66"/>
      <c r="O148" s="66"/>
      <c r="P148" s="66"/>
      <c r="Q148" s="66"/>
      <c r="R148" s="66"/>
      <c r="S148" s="66"/>
    </row>
    <row r="149" spans="2:19" ht="18" customHeight="1">
      <c r="B149" s="2" t="s">
        <v>450</v>
      </c>
      <c r="C149" s="2" t="s">
        <v>458</v>
      </c>
      <c r="D149" s="5"/>
      <c r="E149" s="5">
        <v>1</v>
      </c>
      <c r="F149" s="5" t="s">
        <v>0</v>
      </c>
      <c r="G149" s="29" t="str">
        <f>IFERROR(HYPERLINK("#"&amp;ADDRESS(MATCH(B149&amp;"ES",'LM7 Non-ENG'!$A$1:$A$5000,0),1,,,"LM7 Non-ENG"),IF(IFERROR(VLOOKUP(B149&amp;"ES",'LM7 Non-ENG'!$A$1:$A$4999,1,FALSE),"ERROR")=B149&amp;"ES","Y","")),"")</f>
        <v/>
      </c>
      <c r="H149" s="29" t="str">
        <f>IFERROR(HYPERLINK("#"&amp;ADDRESS(MATCH(B149&amp;"PT",'LM7 Non-ENG'!$A$1:$A$5000,0),1,,,"LM7 Non-ENG"),IF(IFERROR(VLOOKUP(B149&amp;"PT",'LM7 Non-ENG'!$A$1:$A$5000,1,FALSE),"ERROR")=B149&amp;"PT","Y","")),"")</f>
        <v/>
      </c>
      <c r="I149" t="str">
        <f>IFERROR(VLOOKUP(B149,PN!$A:$C,3,FALSE),"")</f>
        <v>Active</v>
      </c>
      <c r="J149" s="3">
        <f>IFERROR(E149*VLOOKUP(B149,PLInter!$A:$D,3,FALSE),"")</f>
        <v>14934</v>
      </c>
      <c r="K149" s="66"/>
      <c r="L149" s="66"/>
      <c r="M149" s="66"/>
      <c r="N149" s="66"/>
      <c r="O149" s="66"/>
      <c r="P149" s="66"/>
      <c r="Q149" s="66"/>
      <c r="R149" s="66"/>
      <c r="S149" s="66"/>
    </row>
    <row r="150" spans="2:19" ht="18" customHeight="1">
      <c r="B150" t="s">
        <v>513</v>
      </c>
      <c r="C150" t="s">
        <v>711</v>
      </c>
      <c r="D150" s="4"/>
      <c r="E150" s="4">
        <v>1</v>
      </c>
      <c r="F150" s="4"/>
      <c r="G150" s="29" t="str">
        <f>IFERROR(HYPERLINK("#"&amp;ADDRESS(MATCH(B150&amp;"ES",'LM7 Non-ENG'!$A$1:$A$5000,0),1,,,"LM7 Non-ENG"),IF(IFERROR(VLOOKUP(B150&amp;"ES",'LM7 Non-ENG'!$A$1:$A$4999,1,FALSE),"ERROR")=B150&amp;"ES","Y","")),"")</f>
        <v/>
      </c>
      <c r="H150" s="29" t="str">
        <f>IFERROR(HYPERLINK("#"&amp;ADDRESS(MATCH(B150&amp;"PT",'LM7 Non-ENG'!$A$1:$A$5000,0),1,,,"LM7 Non-ENG"),IF(IFERROR(VLOOKUP(B150&amp;"PT",'LM7 Non-ENG'!$A$1:$A$5000,1,FALSE),"ERROR")=B150&amp;"PT","Y","")),"")</f>
        <v/>
      </c>
      <c r="I150" t="str">
        <f>IFERROR(VLOOKUP(B150,PN!$A:$C,3,FALSE),"")</f>
        <v>Active</v>
      </c>
      <c r="J150" s="3">
        <f>IFERROR(E150*VLOOKUP(B150,PLInter!$A:$D,3,FALSE),"")</f>
        <v>740</v>
      </c>
      <c r="K150" s="66"/>
      <c r="L150" s="66"/>
      <c r="M150" s="66"/>
      <c r="N150" s="66"/>
      <c r="O150" s="66"/>
      <c r="P150" s="66"/>
      <c r="Q150" s="66"/>
      <c r="R150" s="66"/>
      <c r="S150" s="66"/>
    </row>
    <row r="151" spans="2:19" ht="18" customHeight="1">
      <c r="B151" t="s">
        <v>477</v>
      </c>
      <c r="C151" t="s">
        <v>712</v>
      </c>
      <c r="D151" s="4"/>
      <c r="E151" s="4">
        <v>1</v>
      </c>
      <c r="F151" s="4"/>
      <c r="G151" s="29" t="str">
        <f>IFERROR(HYPERLINK("#"&amp;ADDRESS(MATCH(B151&amp;"ES",'LM7 Non-ENG'!$A$1:$A$5000,0),1,,,"LM7 Non-ENG"),IF(IFERROR(VLOOKUP(B151&amp;"ES",'LM7 Non-ENG'!$A$1:$A$4999,1,FALSE),"ERROR")=B151&amp;"ES","Y","")),"")</f>
        <v/>
      </c>
      <c r="H151" s="29" t="str">
        <f>IFERROR(HYPERLINK("#"&amp;ADDRESS(MATCH(B151&amp;"PT",'LM7 Non-ENG'!$A$1:$A$5000,0),1,,,"LM7 Non-ENG"),IF(IFERROR(VLOOKUP(B151&amp;"PT",'LM7 Non-ENG'!$A$1:$A$5000,1,FALSE),"ERROR")=B151&amp;"PT","Y","")),"")</f>
        <v/>
      </c>
      <c r="I151" t="str">
        <f>IFERROR(VLOOKUP(B151,PN!$A:$C,3,FALSE),"")</f>
        <v>Active</v>
      </c>
      <c r="J151" s="3">
        <f>IFERROR(E151*VLOOKUP(B151,PLInter!$A:$D,3,FALSE),"")</f>
        <v>2188</v>
      </c>
      <c r="K151" s="66"/>
      <c r="L151" s="66"/>
      <c r="M151" s="66"/>
      <c r="N151" s="66"/>
      <c r="O151" s="66"/>
      <c r="P151" s="66"/>
      <c r="Q151" s="66"/>
      <c r="R151" s="66"/>
      <c r="S151" s="66"/>
    </row>
    <row r="152" spans="2:19" ht="18" customHeight="1">
      <c r="B152" t="s">
        <v>470</v>
      </c>
      <c r="C152" t="s">
        <v>713</v>
      </c>
      <c r="D152" s="4"/>
      <c r="E152" s="4">
        <v>1</v>
      </c>
      <c r="F152" s="4"/>
      <c r="G152" s="29" t="str">
        <f>IFERROR(HYPERLINK("#"&amp;ADDRESS(MATCH(B152&amp;"ES",'LM7 Non-ENG'!$A$1:$A$5000,0),1,,,"LM7 Non-ENG"),IF(IFERROR(VLOOKUP(B152&amp;"ES",'LM7 Non-ENG'!$A$1:$A$4999,1,FALSE),"ERROR")=B152&amp;"ES","Y","")),"")</f>
        <v/>
      </c>
      <c r="H152" s="29" t="str">
        <f>IFERROR(HYPERLINK("#"&amp;ADDRESS(MATCH(B152&amp;"PT",'LM7 Non-ENG'!$A$1:$A$5000,0),1,,,"LM7 Non-ENG"),IF(IFERROR(VLOOKUP(B152&amp;"PT",'LM7 Non-ENG'!$A$1:$A$5000,1,FALSE),"ERROR")=B152&amp;"PT","Y","")),"")</f>
        <v/>
      </c>
      <c r="I152" t="str">
        <f>IFERROR(VLOOKUP(B152,PN!$A:$C,3,FALSE),"")</f>
        <v>Active</v>
      </c>
      <c r="J152" s="3">
        <f>IFERROR(E152*VLOOKUP(B152,PLInter!$A:$D,3,FALSE),"")</f>
        <v>207</v>
      </c>
      <c r="K152" s="66"/>
      <c r="L152" s="66"/>
      <c r="M152" s="66"/>
      <c r="N152" s="66"/>
      <c r="O152" s="66"/>
      <c r="P152" s="66"/>
      <c r="Q152" s="66"/>
      <c r="R152" s="66"/>
      <c r="S152" s="66"/>
    </row>
    <row r="153" spans="2:19" ht="18" customHeight="1">
      <c r="B153" t="s">
        <v>473</v>
      </c>
      <c r="C153" t="s">
        <v>714</v>
      </c>
      <c r="D153" s="4"/>
      <c r="E153" s="4">
        <v>1</v>
      </c>
      <c r="F153" s="4"/>
      <c r="G153" s="29" t="str">
        <f>IFERROR(HYPERLINK("#"&amp;ADDRESS(MATCH(B153&amp;"ES",'LM7 Non-ENG'!$A$1:$A$5000,0),1,,,"LM7 Non-ENG"),IF(IFERROR(VLOOKUP(B153&amp;"ES",'LM7 Non-ENG'!$A$1:$A$4999,1,FALSE),"ERROR")=B153&amp;"ES","Y","")),"")</f>
        <v/>
      </c>
      <c r="H153" s="29" t="str">
        <f>IFERROR(HYPERLINK("#"&amp;ADDRESS(MATCH(B153&amp;"PT",'LM7 Non-ENG'!$A$1:$A$5000,0),1,,,"LM7 Non-ENG"),IF(IFERROR(VLOOKUP(B153&amp;"PT",'LM7 Non-ENG'!$A$1:$A$5000,1,FALSE),"ERROR")=B153&amp;"PT","Y","")),"")</f>
        <v/>
      </c>
      <c r="I153" t="str">
        <f>IFERROR(VLOOKUP(B153,PN!$A:$C,3,FALSE),"")</f>
        <v>Active</v>
      </c>
      <c r="J153" s="3">
        <f>IFERROR(E153*VLOOKUP(B153,PLInter!$A:$D,3,FALSE),"")</f>
        <v>200</v>
      </c>
      <c r="K153" s="66"/>
      <c r="L153" s="66"/>
      <c r="M153" s="66"/>
      <c r="N153" s="66"/>
      <c r="O153" s="66"/>
      <c r="P153" s="66"/>
      <c r="Q153" s="66"/>
      <c r="R153" s="66"/>
      <c r="S153" s="66"/>
    </row>
    <row r="154" spans="2:19" ht="18" customHeight="1">
      <c r="B154" s="2" t="s">
        <v>472</v>
      </c>
      <c r="C154" s="2" t="s">
        <v>715</v>
      </c>
      <c r="D154" s="5"/>
      <c r="E154" s="5">
        <v>1</v>
      </c>
      <c r="F154" s="5" t="s">
        <v>0</v>
      </c>
      <c r="G154" s="29" t="str">
        <f>IFERROR(HYPERLINK("#"&amp;ADDRESS(MATCH(B154&amp;"ES",'LM7 Non-ENG'!$A$1:$A$5000,0),1,,,"LM7 Non-ENG"),IF(IFERROR(VLOOKUP(B154&amp;"ES",'LM7 Non-ENG'!$A$1:$A$4999,1,FALSE),"ERROR")=B154&amp;"ES","Y","")),"")</f>
        <v/>
      </c>
      <c r="H154" s="29" t="str">
        <f>IFERROR(HYPERLINK("#"&amp;ADDRESS(MATCH(B154&amp;"PT",'LM7 Non-ENG'!$A$1:$A$5000,0),1,,,"LM7 Non-ENG"),IF(IFERROR(VLOOKUP(B154&amp;"PT",'LM7 Non-ENG'!$A$1:$A$5000,1,FALSE),"ERROR")=B154&amp;"PT","Y","")),"")</f>
        <v/>
      </c>
      <c r="I154" t="str">
        <f>IFERROR(VLOOKUP(B154,PN!$A:$C,3,FALSE),"")</f>
        <v>Active</v>
      </c>
      <c r="J154" s="3">
        <f>IFERROR(E154*VLOOKUP(B154,PLInter!$A:$D,3,FALSE),"")</f>
        <v>200</v>
      </c>
      <c r="K154" s="66"/>
      <c r="L154" s="66"/>
      <c r="M154" s="66"/>
      <c r="N154" s="66"/>
      <c r="O154" s="66"/>
      <c r="P154" s="66"/>
      <c r="Q154" s="66"/>
      <c r="R154" s="66"/>
      <c r="S154" s="66"/>
    </row>
    <row r="155" spans="2:19" ht="18" customHeight="1">
      <c r="B155" t="s">
        <v>478</v>
      </c>
      <c r="C155" t="s">
        <v>716</v>
      </c>
      <c r="D155" s="4"/>
      <c r="E155" s="4">
        <v>1</v>
      </c>
      <c r="F155" s="4"/>
      <c r="G155" s="29" t="str">
        <f>IFERROR(HYPERLINK("#"&amp;ADDRESS(MATCH(B155&amp;"ES",'LM7 Non-ENG'!$A$1:$A$5000,0),1,,,"LM7 Non-ENG"),IF(IFERROR(VLOOKUP(B155&amp;"ES",'LM7 Non-ENG'!$A$1:$A$4999,1,FALSE),"ERROR")=B155&amp;"ES","Y","")),"")</f>
        <v/>
      </c>
      <c r="H155" s="29" t="str">
        <f>IFERROR(HYPERLINK("#"&amp;ADDRESS(MATCH(B155&amp;"PT",'LM7 Non-ENG'!$A$1:$A$5000,0),1,,,"LM7 Non-ENG"),IF(IFERROR(VLOOKUP(B155&amp;"PT",'LM7 Non-ENG'!$A$1:$A$5000,1,FALSE),"ERROR")=B155&amp;"PT","Y","")),"")</f>
        <v/>
      </c>
      <c r="I155" t="str">
        <f>IFERROR(VLOOKUP(B155,PN!$A:$C,3,FALSE),"")</f>
        <v>Active</v>
      </c>
      <c r="J155" s="3">
        <f>IFERROR(E155*VLOOKUP(B155,PLInter!$A:$D,3,FALSE),"")</f>
        <v>795</v>
      </c>
      <c r="K155" s="66"/>
      <c r="L155" s="66"/>
      <c r="M155" s="66"/>
      <c r="N155" s="66"/>
      <c r="O155" s="66"/>
      <c r="P155" s="66"/>
      <c r="Q155" s="66"/>
      <c r="R155" s="66"/>
      <c r="S155" s="66"/>
    </row>
    <row r="156" spans="2:19" ht="18" customHeight="1">
      <c r="B156" s="1" t="s">
        <v>468</v>
      </c>
      <c r="C156" s="1" t="s">
        <v>717</v>
      </c>
      <c r="D156" s="6" t="s">
        <v>0</v>
      </c>
      <c r="E156" s="6">
        <v>1</v>
      </c>
      <c r="F156" s="6"/>
      <c r="G156" s="29" t="str">
        <f>IFERROR(HYPERLINK("#"&amp;ADDRESS(MATCH(B156&amp;"ES",'LM7 Non-ENG'!$A$1:$A$5000,0),1,,,"LM7 Non-ENG"),IF(IFERROR(VLOOKUP(B156&amp;"ES",'LM7 Non-ENG'!$A$1:$A$4999,1,FALSE),"ERROR")=B156&amp;"ES","Y","")),"")</f>
        <v/>
      </c>
      <c r="H156" s="29" t="str">
        <f>IFERROR(HYPERLINK("#"&amp;ADDRESS(MATCH(B156&amp;"PT",'LM7 Non-ENG'!$A$1:$A$5000,0),1,,,"LM7 Non-ENG"),IF(IFERROR(VLOOKUP(B156&amp;"PT",'LM7 Non-ENG'!$A$1:$A$5000,1,FALSE),"ERROR")=B156&amp;"PT","Y","")),"")</f>
        <v/>
      </c>
      <c r="I156" t="str">
        <f>IFERROR(VLOOKUP(B156,PN!$A:$C,3,FALSE),"")</f>
        <v>Active</v>
      </c>
      <c r="J156" s="3">
        <f>IFERROR(E156*VLOOKUP(B156,PLInter!$A:$D,3,FALSE),"")</f>
        <v>206</v>
      </c>
      <c r="K156" s="66"/>
      <c r="L156" s="66"/>
      <c r="M156" s="66"/>
      <c r="N156" s="66"/>
      <c r="O156" s="66"/>
      <c r="P156" s="66"/>
      <c r="Q156" s="66"/>
      <c r="R156" s="66"/>
      <c r="S156" s="66"/>
    </row>
    <row r="157" spans="2:19" ht="18" customHeight="1">
      <c r="B157" s="1" t="s">
        <v>474</v>
      </c>
      <c r="C157" s="1" t="s">
        <v>718</v>
      </c>
      <c r="D157" s="6" t="s">
        <v>0</v>
      </c>
      <c r="E157" s="6">
        <v>1</v>
      </c>
      <c r="F157" s="6"/>
      <c r="G157" s="29" t="str">
        <f>IFERROR(HYPERLINK("#"&amp;ADDRESS(MATCH(B157&amp;"ES",'LM7 Non-ENG'!$A$1:$A$5000,0),1,,,"LM7 Non-ENG"),IF(IFERROR(VLOOKUP(B157&amp;"ES",'LM7 Non-ENG'!$A$1:$A$4999,1,FALSE),"ERROR")=B157&amp;"ES","Y","")),"")</f>
        <v/>
      </c>
      <c r="H157" s="29" t="str">
        <f>IFERROR(HYPERLINK("#"&amp;ADDRESS(MATCH(B157&amp;"PT",'LM7 Non-ENG'!$A$1:$A$5000,0),1,,,"LM7 Non-ENG"),IF(IFERROR(VLOOKUP(B157&amp;"PT",'LM7 Non-ENG'!$A$1:$A$5000,1,FALSE),"ERROR")=B157&amp;"PT","Y","")),"")</f>
        <v/>
      </c>
      <c r="I157" t="str">
        <f>IFERROR(VLOOKUP(B157,PN!$A:$C,3,FALSE),"")</f>
        <v>Active</v>
      </c>
      <c r="J157" s="3">
        <f>IFERROR(E157*VLOOKUP(B157,PLInter!$A:$D,3,FALSE),"")</f>
        <v>175</v>
      </c>
      <c r="K157" s="66"/>
      <c r="L157" s="66"/>
      <c r="M157" s="66"/>
      <c r="N157" s="66"/>
      <c r="O157" s="66"/>
      <c r="P157" s="66"/>
      <c r="Q157" s="66"/>
      <c r="R157" s="66"/>
      <c r="S157" s="66"/>
    </row>
    <row r="158" spans="2:19" ht="18" customHeight="1">
      <c r="B158" s="1" t="s">
        <v>719</v>
      </c>
      <c r="C158" s="1" t="s">
        <v>720</v>
      </c>
      <c r="D158" s="6" t="s">
        <v>0</v>
      </c>
      <c r="E158" s="6">
        <v>1</v>
      </c>
      <c r="F158" s="6"/>
      <c r="G158" s="29" t="str">
        <f>IFERROR(HYPERLINK("#"&amp;ADDRESS(MATCH(B158&amp;"ES",'LM7 Non-ENG'!$A$1:$A$5000,0),1,,,"LM7 Non-ENG"),IF(IFERROR(VLOOKUP(B158&amp;"ES",'LM7 Non-ENG'!$A$1:$A$4999,1,FALSE),"ERROR")=B158&amp;"ES","Y","")),"")</f>
        <v/>
      </c>
      <c r="H158" s="29" t="str">
        <f>IFERROR(HYPERLINK("#"&amp;ADDRESS(MATCH(B158&amp;"PT",'LM7 Non-ENG'!$A$1:$A$5000,0),1,,,"LM7 Non-ENG"),IF(IFERROR(VLOOKUP(B158&amp;"PT",'LM7 Non-ENG'!$A$1:$A$5000,1,FALSE),"ERROR")=B158&amp;"PT","Y","")),"")</f>
        <v/>
      </c>
      <c r="I158" t="str">
        <f>IFERROR(VLOOKUP(B158,PN!$A:$C,3,FALSE),"")</f>
        <v>Active</v>
      </c>
      <c r="J158" s="3">
        <f>IFERROR(E158*VLOOKUP(B158,PLInter!$A:$D,3,FALSE),"")</f>
        <v>2126</v>
      </c>
      <c r="K158" s="66"/>
      <c r="L158" s="66"/>
      <c r="M158" s="66"/>
      <c r="N158" s="66"/>
      <c r="O158" s="66"/>
      <c r="P158" s="66"/>
      <c r="Q158" s="66"/>
      <c r="R158" s="66"/>
      <c r="S158" s="66"/>
    </row>
    <row r="159" spans="2:19" ht="18" customHeight="1">
      <c r="B159" s="1" t="s">
        <v>482</v>
      </c>
      <c r="C159" s="1" t="s">
        <v>721</v>
      </c>
      <c r="D159" s="6" t="s">
        <v>0</v>
      </c>
      <c r="E159" s="6">
        <v>1</v>
      </c>
      <c r="F159" s="6"/>
      <c r="G159" s="29" t="str">
        <f>IFERROR(HYPERLINK("#"&amp;ADDRESS(MATCH(B159&amp;"ES",'LM7 Non-ENG'!$A$1:$A$5000,0),1,,,"LM7 Non-ENG"),IF(IFERROR(VLOOKUP(B159&amp;"ES",'LM7 Non-ENG'!$A$1:$A$4999,1,FALSE),"ERROR")=B159&amp;"ES","Y","")),"")</f>
        <v/>
      </c>
      <c r="H159" s="29" t="str">
        <f>IFERROR(HYPERLINK("#"&amp;ADDRESS(MATCH(B159&amp;"PT",'LM7 Non-ENG'!$A$1:$A$5000,0),1,,,"LM7 Non-ENG"),IF(IFERROR(VLOOKUP(B159&amp;"PT",'LM7 Non-ENG'!$A$1:$A$5000,1,FALSE),"ERROR")=B159&amp;"PT","Y","")),"")</f>
        <v/>
      </c>
      <c r="I159" t="str">
        <f>IFERROR(VLOOKUP(B159,PN!$A:$C,3,FALSE),"")</f>
        <v>Active</v>
      </c>
      <c r="J159" s="3">
        <f>IFERROR(E159*VLOOKUP(B159,PLInter!$A:$D,3,FALSE),"")</f>
        <v>186</v>
      </c>
      <c r="K159" s="66"/>
      <c r="L159" s="66"/>
      <c r="M159" s="66"/>
      <c r="N159" s="66"/>
      <c r="O159" s="66"/>
      <c r="P159" s="66"/>
      <c r="Q159" s="66"/>
      <c r="R159" s="66"/>
      <c r="S159" s="66"/>
    </row>
    <row r="160" spans="2:19" ht="18" customHeight="1">
      <c r="B160" s="1" t="s">
        <v>471</v>
      </c>
      <c r="C160" s="1" t="s">
        <v>722</v>
      </c>
      <c r="D160" s="6" t="s">
        <v>0</v>
      </c>
      <c r="E160" s="6">
        <v>1</v>
      </c>
      <c r="F160" s="6"/>
      <c r="G160" s="29" t="str">
        <f>IFERROR(HYPERLINK("#"&amp;ADDRESS(MATCH(B160&amp;"ES",'LM7 Non-ENG'!$A$1:$A$5000,0),1,,,"LM7 Non-ENG"),IF(IFERROR(VLOOKUP(B160&amp;"ES",'LM7 Non-ENG'!$A$1:$A$4999,1,FALSE),"ERROR")=B160&amp;"ES","Y","")),"")</f>
        <v/>
      </c>
      <c r="H160" s="29" t="str">
        <f>IFERROR(HYPERLINK("#"&amp;ADDRESS(MATCH(B160&amp;"PT",'LM7 Non-ENG'!$A$1:$A$5000,0),1,,,"LM7 Non-ENG"),IF(IFERROR(VLOOKUP(B160&amp;"PT",'LM7 Non-ENG'!$A$1:$A$5000,1,FALSE),"ERROR")=B160&amp;"PT","Y","")),"")</f>
        <v/>
      </c>
      <c r="I160" t="str">
        <f>IFERROR(VLOOKUP(B160,PN!$A:$C,3,FALSE),"")</f>
        <v>Active</v>
      </c>
      <c r="J160" s="3">
        <f>IFERROR(E160*VLOOKUP(B160,PLInter!$A:$D,3,FALSE),"")</f>
        <v>226</v>
      </c>
      <c r="K160" s="66"/>
      <c r="L160" s="66"/>
      <c r="M160" s="66"/>
      <c r="N160" s="66"/>
      <c r="O160" s="66"/>
      <c r="P160" s="66"/>
      <c r="Q160" s="66"/>
      <c r="R160" s="66"/>
      <c r="S160" s="66"/>
    </row>
    <row r="161" spans="2:19" ht="18" customHeight="1">
      <c r="B161" s="1" t="s">
        <v>480</v>
      </c>
      <c r="C161" s="1" t="s">
        <v>723</v>
      </c>
      <c r="D161" s="6" t="s">
        <v>0</v>
      </c>
      <c r="E161" s="6">
        <v>1</v>
      </c>
      <c r="F161" s="6"/>
      <c r="G161" s="29" t="str">
        <f>IFERROR(HYPERLINK("#"&amp;ADDRESS(MATCH(B161&amp;"ES",'LM7 Non-ENG'!$A$1:$A$5000,0),1,,,"LM7 Non-ENG"),IF(IFERROR(VLOOKUP(B161&amp;"ES",'LM7 Non-ENG'!$A$1:$A$4999,1,FALSE),"ERROR")=B161&amp;"ES","Y","")),"")</f>
        <v/>
      </c>
      <c r="H161" s="29" t="str">
        <f>IFERROR(HYPERLINK("#"&amp;ADDRESS(MATCH(B161&amp;"PT",'LM7 Non-ENG'!$A$1:$A$5000,0),1,,,"LM7 Non-ENG"),IF(IFERROR(VLOOKUP(B161&amp;"PT",'LM7 Non-ENG'!$A$1:$A$5000,1,FALSE),"ERROR")=B161&amp;"PT","Y","")),"")</f>
        <v/>
      </c>
      <c r="I161" t="str">
        <f>IFERROR(VLOOKUP(B161,PN!$A:$C,3,FALSE),"")</f>
        <v>Active</v>
      </c>
      <c r="J161" s="3">
        <f>IFERROR(E161*VLOOKUP(B161,PLInter!$A:$D,3,FALSE),"")</f>
        <v>407</v>
      </c>
      <c r="K161" s="66"/>
      <c r="L161" s="66"/>
      <c r="M161" s="66"/>
      <c r="N161" s="66"/>
      <c r="O161" s="66"/>
      <c r="P161" s="66"/>
      <c r="Q161" s="66"/>
      <c r="R161" s="66"/>
      <c r="S161" s="66"/>
    </row>
    <row r="162" spans="2:19" ht="18" customHeight="1">
      <c r="B162" s="1" t="s">
        <v>475</v>
      </c>
      <c r="C162" s="1" t="s">
        <v>724</v>
      </c>
      <c r="D162" s="6" t="s">
        <v>0</v>
      </c>
      <c r="E162" s="6">
        <v>4</v>
      </c>
      <c r="F162" s="6"/>
      <c r="G162" s="29" t="str">
        <f>IFERROR(HYPERLINK("#"&amp;ADDRESS(MATCH(B162&amp;"ES",'LM7 Non-ENG'!$A$1:$A$5000,0),1,,,"LM7 Non-ENG"),IF(IFERROR(VLOOKUP(B162&amp;"ES",'LM7 Non-ENG'!$A$1:$A$4999,1,FALSE),"ERROR")=B162&amp;"ES","Y","")),"")</f>
        <v/>
      </c>
      <c r="H162" s="29" t="str">
        <f>IFERROR(HYPERLINK("#"&amp;ADDRESS(MATCH(B162&amp;"PT",'LM7 Non-ENG'!$A$1:$A$5000,0),1,,,"LM7 Non-ENG"),IF(IFERROR(VLOOKUP(B162&amp;"PT",'LM7 Non-ENG'!$A$1:$A$5000,1,FALSE),"ERROR")=B162&amp;"PT","Y","")),"")</f>
        <v/>
      </c>
      <c r="I162" t="str">
        <f>IFERROR(VLOOKUP(B162,PN!$A:$C,3,FALSE),"")</f>
        <v>Active</v>
      </c>
      <c r="J162" s="3">
        <f>IFERROR(E162*VLOOKUP(B162,PLInter!$A:$D,3,FALSE),"")</f>
        <v>1440</v>
      </c>
      <c r="K162" s="66"/>
      <c r="L162" s="66"/>
      <c r="M162" s="66"/>
      <c r="N162" s="66"/>
      <c r="O162" s="66"/>
      <c r="P162" s="66"/>
      <c r="Q162" s="66"/>
      <c r="R162" s="66"/>
      <c r="S162" s="66"/>
    </row>
    <row r="163" spans="2:19" ht="18" customHeight="1">
      <c r="B163" t="s">
        <v>484</v>
      </c>
      <c r="C163" t="s">
        <v>725</v>
      </c>
      <c r="D163" s="4"/>
      <c r="E163" s="4">
        <v>1</v>
      </c>
      <c r="F163" s="4"/>
      <c r="G163" s="29" t="str">
        <f>IFERROR(HYPERLINK("#"&amp;ADDRESS(MATCH(B163&amp;"ES",'LM7 Non-ENG'!$A$1:$A$5000,0),1,,,"LM7 Non-ENG"),IF(IFERROR(VLOOKUP(B163&amp;"ES",'LM7 Non-ENG'!$A$1:$A$4999,1,FALSE),"ERROR")=B163&amp;"ES","Y","")),"")</f>
        <v/>
      </c>
      <c r="H163" s="29" t="str">
        <f>IFERROR(HYPERLINK("#"&amp;ADDRESS(MATCH(B163&amp;"PT",'LM7 Non-ENG'!$A$1:$A$5000,0),1,,,"LM7 Non-ENG"),IF(IFERROR(VLOOKUP(B163&amp;"PT",'LM7 Non-ENG'!$A$1:$A$5000,1,FALSE),"ERROR")=B163&amp;"PT","Y","")),"")</f>
        <v/>
      </c>
      <c r="I163" t="str">
        <f>IFERROR(VLOOKUP(B163,PN!$A:$C,3,FALSE),"")</f>
        <v>Active</v>
      </c>
      <c r="J163" s="3">
        <f>IFERROR(E163*VLOOKUP(B163,PLInter!$A:$D,3,FALSE),"")</f>
        <v>157</v>
      </c>
      <c r="K163" s="66"/>
      <c r="L163" s="66"/>
      <c r="M163" s="66"/>
      <c r="N163" s="66"/>
      <c r="O163" s="66"/>
      <c r="P163" s="66"/>
      <c r="Q163" s="66"/>
      <c r="R163" s="66"/>
      <c r="S163" s="66"/>
    </row>
    <row r="164" spans="2:19" ht="18" customHeight="1">
      <c r="B164" s="2" t="s">
        <v>483</v>
      </c>
      <c r="C164" s="2" t="s">
        <v>726</v>
      </c>
      <c r="D164" s="5"/>
      <c r="E164" s="5">
        <v>1</v>
      </c>
      <c r="F164" s="5" t="s">
        <v>0</v>
      </c>
      <c r="G164" s="29" t="str">
        <f>IFERROR(HYPERLINK("#"&amp;ADDRESS(MATCH(B164&amp;"ES",'LM7 Non-ENG'!$A$1:$A$5000,0),1,,,"LM7 Non-ENG"),IF(IFERROR(VLOOKUP(B164&amp;"ES",'LM7 Non-ENG'!$A$1:$A$4999,1,FALSE),"ERROR")=B164&amp;"ES","Y","")),"")</f>
        <v/>
      </c>
      <c r="H164" s="29" t="str">
        <f>IFERROR(HYPERLINK("#"&amp;ADDRESS(MATCH(B164&amp;"PT",'LM7 Non-ENG'!$A$1:$A$5000,0),1,,,"LM7 Non-ENG"),IF(IFERROR(VLOOKUP(B164&amp;"PT",'LM7 Non-ENG'!$A$1:$A$5000,1,FALSE),"ERROR")=B164&amp;"PT","Y","")),"")</f>
        <v/>
      </c>
      <c r="I164" t="str">
        <f>IFERROR(VLOOKUP(B164,PN!$A:$C,3,FALSE),"")</f>
        <v>Active</v>
      </c>
      <c r="J164" s="3">
        <f>IFERROR(E164*VLOOKUP(B164,PLInter!$A:$D,3,FALSE),"")</f>
        <v>157</v>
      </c>
      <c r="K164" s="66"/>
      <c r="L164" s="66"/>
      <c r="M164" s="66"/>
      <c r="N164" s="66"/>
      <c r="O164" s="66"/>
      <c r="P164" s="66"/>
      <c r="Q164" s="66"/>
      <c r="R164" s="66"/>
      <c r="S164" s="66"/>
    </row>
    <row r="165" spans="2:19" ht="18" customHeight="1">
      <c r="B165" s="1" t="s">
        <v>727</v>
      </c>
      <c r="C165" s="1" t="s">
        <v>728</v>
      </c>
      <c r="D165" s="6" t="s">
        <v>0</v>
      </c>
      <c r="E165" s="6">
        <v>1</v>
      </c>
      <c r="F165" s="6"/>
      <c r="G165" s="29" t="str">
        <f>IFERROR(HYPERLINK("#"&amp;ADDRESS(MATCH(B165&amp;"ES",'LM7 Non-ENG'!$A$1:$A$5000,0),1,,,"LM7 Non-ENG"),IF(IFERROR(VLOOKUP(B165&amp;"ES",'LM7 Non-ENG'!$A$1:$A$4999,1,FALSE),"ERROR")=B165&amp;"ES","Y","")),"")</f>
        <v/>
      </c>
      <c r="H165" s="29" t="str">
        <f>IFERROR(HYPERLINK("#"&amp;ADDRESS(MATCH(B165&amp;"PT",'LM7 Non-ENG'!$A$1:$A$5000,0),1,,,"LM7 Non-ENG"),IF(IFERROR(VLOOKUP(B165&amp;"PT",'LM7 Non-ENG'!$A$1:$A$5000,1,FALSE),"ERROR")=B165&amp;"PT","Y","")),"")</f>
        <v/>
      </c>
      <c r="I165" t="str">
        <f>IFERROR(VLOOKUP(B165,PN!$A:$C,3,FALSE),"")</f>
        <v>Phase Out</v>
      </c>
      <c r="J165" s="3" t="str">
        <f>IFERROR(E165*VLOOKUP(B165,PLInter!$A:$D,3,FALSE),"")</f>
        <v/>
      </c>
      <c r="K165" s="66"/>
      <c r="L165" s="66"/>
      <c r="M165" s="66"/>
      <c r="N165" s="66"/>
      <c r="O165" s="66"/>
      <c r="P165" s="66"/>
      <c r="Q165" s="66"/>
      <c r="R165" s="66"/>
      <c r="S165" s="66"/>
    </row>
    <row r="166" spans="2:19" ht="18" customHeight="1">
      <c r="B166" s="1" t="s">
        <v>729</v>
      </c>
      <c r="C166" s="1" t="s">
        <v>730</v>
      </c>
      <c r="D166" s="6" t="s">
        <v>0</v>
      </c>
      <c r="E166" s="6">
        <v>1</v>
      </c>
      <c r="F166" s="6"/>
      <c r="G166" s="29" t="str">
        <f>IFERROR(HYPERLINK("#"&amp;ADDRESS(MATCH(B166&amp;"ES",'LM7 Non-ENG'!$A$1:$A$5000,0),1,,,"LM7 Non-ENG"),IF(IFERROR(VLOOKUP(B166&amp;"ES",'LM7 Non-ENG'!$A$1:$A$4999,1,FALSE),"ERROR")=B166&amp;"ES","Y","")),"")</f>
        <v/>
      </c>
      <c r="H166" s="29" t="str">
        <f>IFERROR(HYPERLINK("#"&amp;ADDRESS(MATCH(B166&amp;"PT",'LM7 Non-ENG'!$A$1:$A$5000,0),1,,,"LM7 Non-ENG"),IF(IFERROR(VLOOKUP(B166&amp;"PT",'LM7 Non-ENG'!$A$1:$A$5000,1,FALSE),"ERROR")=B166&amp;"PT","Y","")),"")</f>
        <v/>
      </c>
      <c r="I166" t="str">
        <f>IFERROR(VLOOKUP(B166,PN!$A:$C,3,FALSE),"")</f>
        <v>Active</v>
      </c>
      <c r="J166" s="3" t="str">
        <f>IFERROR(E166*VLOOKUP(B166,PLInter!$A:$D,3,FALSE),"")</f>
        <v/>
      </c>
      <c r="K166" s="66"/>
      <c r="L166" s="66"/>
      <c r="M166" s="66"/>
      <c r="N166" s="66"/>
      <c r="O166" s="66"/>
      <c r="P166" s="66"/>
      <c r="Q166" s="66"/>
      <c r="R166" s="66"/>
      <c r="S166" s="66"/>
    </row>
    <row r="167" spans="2:19" ht="18" customHeight="1">
      <c r="B167" t="s">
        <v>568</v>
      </c>
      <c r="C167" t="s">
        <v>731</v>
      </c>
      <c r="D167" s="4"/>
      <c r="E167" s="4">
        <v>1</v>
      </c>
      <c r="F167" s="4"/>
      <c r="G167" s="29" t="str">
        <f>IFERROR(HYPERLINK("#"&amp;ADDRESS(MATCH(B167&amp;"ES",'LM7 Non-ENG'!$A$1:$A$5000,0),1,,,"LM7 Non-ENG"),IF(IFERROR(VLOOKUP(B167&amp;"ES",'LM7 Non-ENG'!$A$1:$A$4999,1,FALSE),"ERROR")=B167&amp;"ES","Y","")),"")</f>
        <v/>
      </c>
      <c r="H167" s="29" t="str">
        <f>IFERROR(HYPERLINK("#"&amp;ADDRESS(MATCH(B167&amp;"PT",'LM7 Non-ENG'!$A$1:$A$5000,0),1,,,"LM7 Non-ENG"),IF(IFERROR(VLOOKUP(B167&amp;"PT",'LM7 Non-ENG'!$A$1:$A$5000,1,FALSE),"ERROR")=B167&amp;"PT","Y","")),"")</f>
        <v/>
      </c>
      <c r="I167" t="str">
        <f>IFERROR(VLOOKUP(B167,PN!$A:$C,3,FALSE),"")</f>
        <v>Active</v>
      </c>
      <c r="J167" s="3">
        <f>IFERROR(E167*VLOOKUP(B167,PLInter!$A:$D,3,FALSE),"")</f>
        <v>500</v>
      </c>
      <c r="K167" s="66"/>
      <c r="L167" s="66"/>
      <c r="M167" s="66"/>
      <c r="N167" s="66"/>
      <c r="O167" s="66"/>
      <c r="P167" s="66"/>
      <c r="Q167" s="66"/>
      <c r="R167" s="66"/>
      <c r="S167" s="66"/>
    </row>
    <row r="168" spans="2:19" ht="18" customHeight="1">
      <c r="B168" t="s">
        <v>569</v>
      </c>
      <c r="C168" t="s">
        <v>732</v>
      </c>
      <c r="D168" s="4"/>
      <c r="E168" s="4">
        <v>1</v>
      </c>
      <c r="F168" s="4"/>
      <c r="G168" s="29" t="str">
        <f>IFERROR(HYPERLINK("#"&amp;ADDRESS(MATCH(B168&amp;"ES",'LM7 Non-ENG'!$A$1:$A$5000,0),1,,,"LM7 Non-ENG"),IF(IFERROR(VLOOKUP(B168&amp;"ES",'LM7 Non-ENG'!$A$1:$A$4999,1,FALSE),"ERROR")=B168&amp;"ES","Y","")),"")</f>
        <v/>
      </c>
      <c r="H168" s="29" t="str">
        <f>IFERROR(HYPERLINK("#"&amp;ADDRESS(MATCH(B168&amp;"PT",'LM7 Non-ENG'!$A$1:$A$5000,0),1,,,"LM7 Non-ENG"),IF(IFERROR(VLOOKUP(B168&amp;"PT",'LM7 Non-ENG'!$A$1:$A$5000,1,FALSE),"ERROR")=B168&amp;"PT","Y","")),"")</f>
        <v/>
      </c>
      <c r="I168" t="str">
        <f>IFERROR(VLOOKUP(B168,PN!$A:$C,3,FALSE),"")</f>
        <v>Active</v>
      </c>
      <c r="J168" s="3">
        <f>IFERROR(E168*VLOOKUP(B168,PLInter!$A:$D,3,FALSE),"")</f>
        <v>500</v>
      </c>
      <c r="K168" s="66"/>
      <c r="L168" s="66"/>
      <c r="M168" s="66"/>
      <c r="N168" s="66"/>
      <c r="O168" s="66"/>
      <c r="P168" s="66"/>
      <c r="Q168" s="66"/>
      <c r="R168" s="66"/>
      <c r="S168" s="66"/>
    </row>
    <row r="169" spans="2:19" ht="18" customHeight="1">
      <c r="B169" t="s">
        <v>553</v>
      </c>
      <c r="C169" t="s">
        <v>733</v>
      </c>
      <c r="D169" s="4"/>
      <c r="E169" s="4">
        <v>1</v>
      </c>
      <c r="F169" s="4"/>
      <c r="G169" s="29" t="str">
        <f>IFERROR(HYPERLINK("#"&amp;ADDRESS(MATCH(B169&amp;"ES",'LM7 Non-ENG'!$A$1:$A$5000,0),1,,,"LM7 Non-ENG"),IF(IFERROR(VLOOKUP(B169&amp;"ES",'LM7 Non-ENG'!$A$1:$A$4999,1,FALSE),"ERROR")=B169&amp;"ES","Y","")),"")</f>
        <v/>
      </c>
      <c r="H169" s="29" t="str">
        <f>IFERROR(HYPERLINK("#"&amp;ADDRESS(MATCH(B169&amp;"PT",'LM7 Non-ENG'!$A$1:$A$5000,0),1,,,"LM7 Non-ENG"),IF(IFERROR(VLOOKUP(B169&amp;"PT",'LM7 Non-ENG'!$A$1:$A$5000,1,FALSE),"ERROR")=B169&amp;"PT","Y","")),"")</f>
        <v/>
      </c>
      <c r="I169" t="str">
        <f>IFERROR(VLOOKUP(B169,PN!$A:$C,3,FALSE),"")</f>
        <v>Active</v>
      </c>
      <c r="J169" s="3">
        <f>IFERROR(E169*VLOOKUP(B169,PLInter!$A:$D,3,FALSE),"")</f>
        <v>500</v>
      </c>
      <c r="K169" s="66"/>
      <c r="L169" s="66"/>
      <c r="M169" s="66"/>
      <c r="N169" s="66"/>
      <c r="O169" s="66"/>
      <c r="P169" s="66"/>
      <c r="Q169" s="66"/>
      <c r="R169" s="66"/>
      <c r="S169" s="66"/>
    </row>
    <row r="170" spans="2:19" ht="18" customHeight="1">
      <c r="B170" s="2" t="s">
        <v>565</v>
      </c>
      <c r="C170" s="2" t="s">
        <v>734</v>
      </c>
      <c r="D170" s="5"/>
      <c r="E170" s="5">
        <v>1</v>
      </c>
      <c r="F170" s="5" t="s">
        <v>0</v>
      </c>
      <c r="G170" s="29" t="str">
        <f>IFERROR(HYPERLINK("#"&amp;ADDRESS(MATCH(B170&amp;"ES",'LM7 Non-ENG'!$A$1:$A$5000,0),1,,,"LM7 Non-ENG"),IF(IFERROR(VLOOKUP(B170&amp;"ES",'LM7 Non-ENG'!$A$1:$A$4999,1,FALSE),"ERROR")=B170&amp;"ES","Y","")),"")</f>
        <v/>
      </c>
      <c r="H170" s="29" t="str">
        <f>IFERROR(HYPERLINK("#"&amp;ADDRESS(MATCH(B170&amp;"PT",'LM7 Non-ENG'!$A$1:$A$5000,0),1,,,"LM7 Non-ENG"),IF(IFERROR(VLOOKUP(B170&amp;"PT",'LM7 Non-ENG'!$A$1:$A$5000,1,FALSE),"ERROR")=B170&amp;"PT","Y","")),"")</f>
        <v/>
      </c>
      <c r="I170" t="str">
        <f>IFERROR(VLOOKUP(B170,PN!$A:$C,3,FALSE),"")</f>
        <v>Active</v>
      </c>
      <c r="J170" s="3">
        <f>IFERROR(E170*VLOOKUP(B170,PLInter!$A:$D,3,FALSE),"")</f>
        <v>500</v>
      </c>
      <c r="K170" s="66"/>
      <c r="L170" s="66"/>
      <c r="M170" s="66"/>
      <c r="N170" s="66"/>
      <c r="O170" s="66"/>
      <c r="P170" s="66"/>
      <c r="Q170" s="66"/>
      <c r="R170" s="66"/>
      <c r="S170" s="66"/>
    </row>
    <row r="171" spans="2:19" ht="18" customHeight="1">
      <c r="B171" t="str">
        <f>"113034"</f>
        <v>113034</v>
      </c>
      <c r="C171" t="s">
        <v>695</v>
      </c>
      <c r="D171" s="4"/>
      <c r="E171" s="4">
        <v>50</v>
      </c>
      <c r="F171" s="4"/>
      <c r="G171" s="29" t="str">
        <f>IFERROR(HYPERLINK("#"&amp;ADDRESS(MATCH(B171&amp;"ES",'LM7 Non-ENG'!$A$1:$A$5000,0),1,,,"LM7 Non-ENG"),IF(IFERROR(VLOOKUP(B171&amp;"ES",'LM7 Non-ENG'!$A$1:$A$4999,1,FALSE),"ERROR")=B171&amp;"ES","Y","")),"")</f>
        <v/>
      </c>
      <c r="H171" s="29" t="str">
        <f>IFERROR(HYPERLINK("#"&amp;ADDRESS(MATCH(B171&amp;"PT",'LM7 Non-ENG'!$A$1:$A$5000,0),1,,,"LM7 Non-ENG"),IF(IFERROR(VLOOKUP(B171&amp;"PT",'LM7 Non-ENG'!$A$1:$A$5000,1,FALSE),"ERROR")=B171&amp;"PT","Y","")),"")</f>
        <v/>
      </c>
      <c r="I171" t="str">
        <f>IFERROR(VLOOKUP(B171,PN!$A:$C,3,FALSE),"")</f>
        <v>Active</v>
      </c>
      <c r="J171" s="3">
        <f>IFERROR(E171*VLOOKUP(B171,PLInter!$A:$D,3,FALSE),"")</f>
        <v>750</v>
      </c>
      <c r="K171" s="66"/>
      <c r="L171" s="66"/>
      <c r="M171" s="66"/>
      <c r="N171" s="66"/>
      <c r="O171" s="66"/>
      <c r="P171" s="66"/>
      <c r="Q171" s="66"/>
      <c r="R171" s="66"/>
      <c r="S171" s="66"/>
    </row>
    <row r="172" spans="2:19" ht="18" customHeight="1">
      <c r="B172" t="s">
        <v>735</v>
      </c>
      <c r="C172" t="s">
        <v>736</v>
      </c>
      <c r="D172" s="4"/>
      <c r="E172" s="4">
        <v>1</v>
      </c>
      <c r="F172" s="4"/>
      <c r="G172" s="29" t="str">
        <f>IFERROR(HYPERLINK("#"&amp;ADDRESS(MATCH(B172&amp;"ES",'LM7 Non-ENG'!$A$1:$A$5000,0),1,,,"LM7 Non-ENG"),IF(IFERROR(VLOOKUP(B172&amp;"ES",'LM7 Non-ENG'!$A$1:$A$4999,1,FALSE),"ERROR")=B172&amp;"ES","Y","")),"")</f>
        <v/>
      </c>
      <c r="H172" s="29" t="str">
        <f>IFERROR(HYPERLINK("#"&amp;ADDRESS(MATCH(B172&amp;"PT",'LM7 Non-ENG'!$A$1:$A$5000,0),1,,,"LM7 Non-ENG"),IF(IFERROR(VLOOKUP(B172&amp;"PT",'LM7 Non-ENG'!$A$1:$A$5000,1,FALSE),"ERROR")=B172&amp;"PT","Y","")),"")</f>
        <v/>
      </c>
      <c r="I172" t="str">
        <f>IFERROR(VLOOKUP(B172,PN!$A:$C,3,FALSE),"")</f>
        <v>Active</v>
      </c>
      <c r="J172" s="3">
        <f>IFERROR(E172*VLOOKUP(B172,PLInter!$A:$D,3,FALSE),"")</f>
        <v>667</v>
      </c>
      <c r="K172" s="66"/>
      <c r="L172" s="66"/>
      <c r="M172" s="66"/>
      <c r="N172" s="66"/>
      <c r="O172" s="66"/>
      <c r="P172" s="66"/>
      <c r="Q172" s="66"/>
      <c r="R172" s="66"/>
      <c r="S172" s="66"/>
    </row>
    <row r="173" spans="2:19" ht="18" customHeight="1">
      <c r="B173" t="s">
        <v>453</v>
      </c>
      <c r="C173" t="s">
        <v>463</v>
      </c>
      <c r="D173" s="4"/>
      <c r="E173" s="4">
        <v>1</v>
      </c>
      <c r="F173" s="4"/>
      <c r="G173" s="29" t="str">
        <f>IFERROR(HYPERLINK("#"&amp;ADDRESS(MATCH(B173&amp;"ES",'LM7 Non-ENG'!$A$1:$A$5000,0),1,,,"LM7 Non-ENG"),IF(IFERROR(VLOOKUP(B173&amp;"ES",'LM7 Non-ENG'!$A$1:$A$4999,1,FALSE),"ERROR")=B173&amp;"ES","Y","")),"")</f>
        <v/>
      </c>
      <c r="H173" s="29" t="str">
        <f>IFERROR(HYPERLINK("#"&amp;ADDRESS(MATCH(B173&amp;"PT",'LM7 Non-ENG'!$A$1:$A$5000,0),1,,,"LM7 Non-ENG"),IF(IFERROR(VLOOKUP(B173&amp;"PT",'LM7 Non-ENG'!$A$1:$A$5000,1,FALSE),"ERROR")=B173&amp;"PT","Y","")),"")</f>
        <v/>
      </c>
      <c r="I173" t="str">
        <f>IFERROR(VLOOKUP(B173,PN!$A:$C,3,FALSE),"")</f>
        <v>Active</v>
      </c>
      <c r="J173" s="3">
        <f>IFERROR(E173*VLOOKUP(B173,PLInter!$A:$D,3,FALSE),"")</f>
        <v>14934</v>
      </c>
      <c r="K173" s="66"/>
      <c r="L173" s="66"/>
      <c r="M173" s="66"/>
      <c r="N173" s="66"/>
      <c r="O173" s="66"/>
      <c r="P173" s="66"/>
      <c r="Q173" s="66"/>
      <c r="R173" s="66"/>
      <c r="S173" s="66"/>
    </row>
    <row r="174" spans="2:19" ht="18" customHeight="1">
      <c r="B174" s="2" t="s">
        <v>452</v>
      </c>
      <c r="C174" s="2" t="s">
        <v>737</v>
      </c>
      <c r="D174" s="5"/>
      <c r="E174" s="5">
        <v>1</v>
      </c>
      <c r="F174" s="5" t="s">
        <v>0</v>
      </c>
      <c r="G174" s="29" t="str">
        <f>IFERROR(HYPERLINK("#"&amp;ADDRESS(MATCH(B174&amp;"ES",'LM7 Non-ENG'!$A$1:$A$5000,0),1,,,"LM7 Non-ENG"),IF(IFERROR(VLOOKUP(B174&amp;"ES",'LM7 Non-ENG'!$A$1:$A$4999,1,FALSE),"ERROR")=B174&amp;"ES","Y","")),"")</f>
        <v/>
      </c>
      <c r="H174" s="29" t="str">
        <f>IFERROR(HYPERLINK("#"&amp;ADDRESS(MATCH(B174&amp;"PT",'LM7 Non-ENG'!$A$1:$A$5000,0),1,,,"LM7 Non-ENG"),IF(IFERROR(VLOOKUP(B174&amp;"PT",'LM7 Non-ENG'!$A$1:$A$5000,1,FALSE),"ERROR")=B174&amp;"PT","Y","")),"")</f>
        <v/>
      </c>
      <c r="I174" t="str">
        <f>IFERROR(VLOOKUP(B174,PN!$A:$C,3,FALSE),"")</f>
        <v>Active</v>
      </c>
      <c r="J174" s="3">
        <f>IFERROR(E174*VLOOKUP(B174,PLInter!$A:$D,3,FALSE),"")</f>
        <v>14934</v>
      </c>
      <c r="K174" s="66"/>
      <c r="L174" s="66"/>
      <c r="M174" s="66"/>
      <c r="N174" s="66"/>
      <c r="O174" s="66"/>
      <c r="P174" s="66"/>
      <c r="Q174" s="66"/>
      <c r="R174" s="66"/>
      <c r="S174" s="66"/>
    </row>
    <row r="175" spans="2:19" ht="18" customHeight="1">
      <c r="B175" t="s">
        <v>518</v>
      </c>
      <c r="C175" t="s">
        <v>738</v>
      </c>
      <c r="D175" s="4"/>
      <c r="E175" s="4">
        <v>1</v>
      </c>
      <c r="F175" s="4"/>
      <c r="G175" s="29" t="str">
        <f>IFERROR(HYPERLINK("#"&amp;ADDRESS(MATCH(B175&amp;"ES",'LM7 Non-ENG'!$A$1:$A$5000,0),1,,,"LM7 Non-ENG"),IF(IFERROR(VLOOKUP(B175&amp;"ES",'LM7 Non-ENG'!$A$1:$A$4999,1,FALSE),"ERROR")=B175&amp;"ES","Y","")),"")</f>
        <v/>
      </c>
      <c r="H175" s="29" t="str">
        <f>IFERROR(HYPERLINK("#"&amp;ADDRESS(MATCH(B175&amp;"PT",'LM7 Non-ENG'!$A$1:$A$5000,0),1,,,"LM7 Non-ENG"),IF(IFERROR(VLOOKUP(B175&amp;"PT",'LM7 Non-ENG'!$A$1:$A$5000,1,FALSE),"ERROR")=B175&amp;"PT","Y","")),"")</f>
        <v/>
      </c>
      <c r="I175" t="str">
        <f>IFERROR(VLOOKUP(B175,PN!$A:$C,3,FALSE),"")</f>
        <v>Active</v>
      </c>
      <c r="J175" s="3">
        <f>IFERROR(E175*VLOOKUP(B175,PLInter!$A:$D,3,FALSE),"")</f>
        <v>534</v>
      </c>
      <c r="K175" s="66"/>
      <c r="L175" s="66"/>
      <c r="M175" s="66"/>
      <c r="N175" s="66"/>
      <c r="O175" s="66"/>
      <c r="P175" s="66"/>
      <c r="Q175" s="66"/>
      <c r="R175" s="66"/>
      <c r="S175" s="66"/>
    </row>
    <row r="176" spans="2:19" ht="18" customHeight="1">
      <c r="B176" s="45" t="s">
        <v>515</v>
      </c>
      <c r="C176" t="s">
        <v>739</v>
      </c>
      <c r="D176" s="4"/>
      <c r="E176" s="4">
        <v>1</v>
      </c>
      <c r="F176" s="4"/>
      <c r="G176" s="29" t="str">
        <f>IFERROR(HYPERLINK("#"&amp;ADDRESS(MATCH(B176&amp;"ES",'LM7 Non-ENG'!$A$1:$A$5000,0),1,,,"LM7 Non-ENG"),IF(IFERROR(VLOOKUP(B176&amp;"ES",'LM7 Non-ENG'!$A$1:$A$4999,1,FALSE),"ERROR")=B176&amp;"ES","Y","")),"")</f>
        <v/>
      </c>
      <c r="H176" s="29" t="str">
        <f>IFERROR(HYPERLINK("#"&amp;ADDRESS(MATCH(B176&amp;"PT",'LM7 Non-ENG'!$A$1:$A$5000,0),1,,,"LM7 Non-ENG"),IF(IFERROR(VLOOKUP(B176&amp;"PT",'LM7 Non-ENG'!$A$1:$A$5000,1,FALSE),"ERROR")=B176&amp;"PT","Y","")),"")</f>
        <v/>
      </c>
      <c r="I176" t="str">
        <f>IFERROR(VLOOKUP(B176,PN!$A:$C,3,FALSE),"")</f>
        <v>Active</v>
      </c>
      <c r="J176" s="3">
        <f>IFERROR(E176*VLOOKUP(B176,PLInter!$A:$D,3,FALSE),"")</f>
        <v>1895</v>
      </c>
      <c r="K176" s="66"/>
      <c r="L176" s="66"/>
      <c r="M176" s="66"/>
      <c r="N176" s="66"/>
      <c r="O176" s="66"/>
      <c r="P176" s="66"/>
      <c r="Q176" s="66"/>
      <c r="R176" s="66"/>
      <c r="S176" s="66"/>
    </row>
    <row r="177" spans="2:19" ht="18" customHeight="1">
      <c r="B177" s="1" t="s">
        <v>740</v>
      </c>
      <c r="C177" s="1" t="s">
        <v>741</v>
      </c>
      <c r="D177" s="6" t="s">
        <v>0</v>
      </c>
      <c r="E177" s="6">
        <v>1</v>
      </c>
      <c r="F177" s="6"/>
      <c r="G177" s="29" t="str">
        <f>IFERROR(HYPERLINK("#"&amp;ADDRESS(MATCH(B177&amp;"ES",'LM7 Non-ENG'!$A$1:$A$5000,0),1,,,"LM7 Non-ENG"),IF(IFERROR(VLOOKUP(B177&amp;"ES",'LM7 Non-ENG'!$A$1:$A$4999,1,FALSE),"ERROR")=B177&amp;"ES","Y","")),"")</f>
        <v/>
      </c>
      <c r="H177" s="29" t="str">
        <f>IFERROR(HYPERLINK("#"&amp;ADDRESS(MATCH(B177&amp;"PT",'LM7 Non-ENG'!$A$1:$A$5000,0),1,,,"LM7 Non-ENG"),IF(IFERROR(VLOOKUP(B177&amp;"PT",'LM7 Non-ENG'!$A$1:$A$5000,1,FALSE),"ERROR")=B177&amp;"PT","Y","")),"")</f>
        <v/>
      </c>
      <c r="I177" t="str">
        <f>IFERROR(VLOOKUP(B177,PN!$A:$C,3,FALSE),"")</f>
        <v>Active</v>
      </c>
      <c r="J177" s="3" t="str">
        <f>IFERROR(E177*VLOOKUP(B177,PLInter!$A:$D,3,FALSE),"")</f>
        <v/>
      </c>
      <c r="K177" s="66"/>
      <c r="L177" s="66"/>
      <c r="M177" s="66"/>
      <c r="N177" s="66"/>
      <c r="O177" s="66"/>
      <c r="P177" s="66"/>
      <c r="Q177" s="66"/>
      <c r="R177" s="66"/>
      <c r="S177" s="66"/>
    </row>
    <row r="178" spans="2:19" ht="18" customHeight="1">
      <c r="B178" t="s">
        <v>504</v>
      </c>
      <c r="C178" t="s">
        <v>742</v>
      </c>
      <c r="D178" s="4"/>
      <c r="E178" s="4">
        <v>1</v>
      </c>
      <c r="F178" s="4"/>
      <c r="G178" s="29" t="str">
        <f>IFERROR(HYPERLINK("#"&amp;ADDRESS(MATCH(B178&amp;"ES",'LM7 Non-ENG'!$A$1:$A$5000,0),1,,,"LM7 Non-ENG"),IF(IFERROR(VLOOKUP(B178&amp;"ES",'LM7 Non-ENG'!$A$1:$A$4999,1,FALSE),"ERROR")=B178&amp;"ES","Y","")),"")</f>
        <v/>
      </c>
      <c r="H178" s="29" t="str">
        <f>IFERROR(HYPERLINK("#"&amp;ADDRESS(MATCH(B178&amp;"PT",'LM7 Non-ENG'!$A$1:$A$5000,0),1,,,"LM7 Non-ENG"),IF(IFERROR(VLOOKUP(B178&amp;"PT",'LM7 Non-ENG'!$A$1:$A$5000,1,FALSE),"ERROR")=B178&amp;"PT","Y","")),"")</f>
        <v/>
      </c>
      <c r="I178" t="str">
        <f>IFERROR(VLOOKUP(B178,PN!$A:$C,3,FALSE),"")</f>
        <v>Active</v>
      </c>
      <c r="J178" s="3">
        <f>IFERROR(E178*VLOOKUP(B178,PLInter!$A:$D,3,FALSE),"")</f>
        <v>227</v>
      </c>
      <c r="K178" s="66"/>
      <c r="L178" s="66"/>
      <c r="M178" s="66"/>
      <c r="N178" s="66"/>
      <c r="O178" s="66"/>
      <c r="P178" s="66"/>
      <c r="Q178" s="66"/>
      <c r="R178" s="66"/>
      <c r="S178" s="66"/>
    </row>
    <row r="179" spans="2:19" ht="18" customHeight="1">
      <c r="B179" t="s">
        <v>505</v>
      </c>
      <c r="C179" t="s">
        <v>743</v>
      </c>
      <c r="D179" s="4"/>
      <c r="E179" s="4">
        <v>1</v>
      </c>
      <c r="F179" s="4"/>
      <c r="G179" s="29" t="str">
        <f>IFERROR(HYPERLINK("#"&amp;ADDRESS(MATCH(B179&amp;"ES",'LM7 Non-ENG'!$A$1:$A$5000,0),1,,,"LM7 Non-ENG"),IF(IFERROR(VLOOKUP(B179&amp;"ES",'LM7 Non-ENG'!$A$1:$A$4999,1,FALSE),"ERROR")=B179&amp;"ES","Y","")),"")</f>
        <v/>
      </c>
      <c r="H179" s="29" t="str">
        <f>IFERROR(HYPERLINK("#"&amp;ADDRESS(MATCH(B179&amp;"PT",'LM7 Non-ENG'!$A$1:$A$5000,0),1,,,"LM7 Non-ENG"),IF(IFERROR(VLOOKUP(B179&amp;"PT",'LM7 Non-ENG'!$A$1:$A$5000,1,FALSE),"ERROR")=B179&amp;"PT","Y","")),"")</f>
        <v/>
      </c>
      <c r="I179" t="str">
        <f>IFERROR(VLOOKUP(B179,PN!$A:$C,3,FALSE),"")</f>
        <v>Active</v>
      </c>
      <c r="J179" s="3">
        <f>IFERROR(E179*VLOOKUP(B179,PLInter!$A:$D,3,FALSE),"")</f>
        <v>200</v>
      </c>
      <c r="K179" s="66"/>
      <c r="L179" s="66"/>
      <c r="M179" s="66"/>
      <c r="N179" s="66"/>
      <c r="O179" s="66"/>
      <c r="P179" s="66"/>
      <c r="Q179" s="66"/>
      <c r="R179" s="66"/>
      <c r="S179" s="66"/>
    </row>
    <row r="180" spans="2:19" ht="18" customHeight="1">
      <c r="B180" t="s">
        <v>502</v>
      </c>
      <c r="C180" t="s">
        <v>744</v>
      </c>
      <c r="D180" s="4"/>
      <c r="E180" s="4">
        <v>1</v>
      </c>
      <c r="F180" s="4"/>
      <c r="G180" s="29" t="str">
        <f>IFERROR(HYPERLINK("#"&amp;ADDRESS(MATCH(B180&amp;"ES",'LM7 Non-ENG'!$A$1:$A$5000,0),1,,,"LM7 Non-ENG"),IF(IFERROR(VLOOKUP(B180&amp;"ES",'LM7 Non-ENG'!$A$1:$A$4999,1,FALSE),"ERROR")=B180&amp;"ES","Y","")),"")</f>
        <v/>
      </c>
      <c r="H180" s="29" t="str">
        <f>IFERROR(HYPERLINK("#"&amp;ADDRESS(MATCH(B180&amp;"PT",'LM7 Non-ENG'!$A$1:$A$5000,0),1,,,"LM7 Non-ENG"),IF(IFERROR(VLOOKUP(B180&amp;"PT",'LM7 Non-ENG'!$A$1:$A$5000,1,FALSE),"ERROR")=B180&amp;"PT","Y","")),"")</f>
        <v/>
      </c>
      <c r="I180" t="str">
        <f>IFERROR(VLOOKUP(B180,PN!$A:$C,3,FALSE),"")</f>
        <v>Active</v>
      </c>
      <c r="J180" s="3">
        <f>IFERROR(E180*VLOOKUP(B180,PLInter!$A:$D,3,FALSE),"")</f>
        <v>87</v>
      </c>
      <c r="K180" s="66"/>
      <c r="L180" s="66"/>
      <c r="M180" s="66"/>
      <c r="N180" s="66"/>
      <c r="O180" s="66"/>
      <c r="P180" s="66"/>
      <c r="Q180" s="66"/>
      <c r="R180" s="66"/>
      <c r="S180" s="66"/>
    </row>
    <row r="181" spans="2:19" ht="18" customHeight="1">
      <c r="B181" t="s">
        <v>503</v>
      </c>
      <c r="C181" t="s">
        <v>745</v>
      </c>
      <c r="D181" s="4"/>
      <c r="E181" s="4">
        <v>1</v>
      </c>
      <c r="F181" s="4"/>
      <c r="G181" s="29" t="str">
        <f>IFERROR(HYPERLINK("#"&amp;ADDRESS(MATCH(B181&amp;"ES",'LM7 Non-ENG'!$A$1:$A$5000,0),1,,,"LM7 Non-ENG"),IF(IFERROR(VLOOKUP(B181&amp;"ES",'LM7 Non-ENG'!$A$1:$A$4999,1,FALSE),"ERROR")=B181&amp;"ES","Y","")),"")</f>
        <v/>
      </c>
      <c r="H181" s="29" t="str">
        <f>IFERROR(HYPERLINK("#"&amp;ADDRESS(MATCH(B181&amp;"PT",'LM7 Non-ENG'!$A$1:$A$5000,0),1,,,"LM7 Non-ENG"),IF(IFERROR(VLOOKUP(B181&amp;"PT",'LM7 Non-ENG'!$A$1:$A$5000,1,FALSE),"ERROR")=B181&amp;"PT","Y","")),"")</f>
        <v/>
      </c>
      <c r="I181" t="str">
        <f>IFERROR(VLOOKUP(B181,PN!$A:$C,3,FALSE),"")</f>
        <v>Active</v>
      </c>
      <c r="J181" s="3">
        <f>IFERROR(E181*VLOOKUP(B181,PLInter!$A:$D,3,FALSE),"")</f>
        <v>74</v>
      </c>
      <c r="K181" s="66"/>
      <c r="L181" s="66"/>
      <c r="M181" s="66"/>
      <c r="N181" s="66"/>
      <c r="O181" s="66"/>
      <c r="P181" s="66"/>
      <c r="Q181" s="66"/>
      <c r="R181" s="66"/>
      <c r="S181" s="66"/>
    </row>
    <row r="182" spans="2:19" ht="18" customHeight="1">
      <c r="B182" s="1" t="s">
        <v>506</v>
      </c>
      <c r="C182" s="1" t="s">
        <v>746</v>
      </c>
      <c r="D182" s="6" t="s">
        <v>0</v>
      </c>
      <c r="E182" s="6">
        <v>1</v>
      </c>
      <c r="F182" s="6"/>
      <c r="G182" s="29" t="str">
        <f>IFERROR(HYPERLINK("#"&amp;ADDRESS(MATCH(B182&amp;"ES",'LM7 Non-ENG'!$A$1:$A$5000,0),1,,,"LM7 Non-ENG"),IF(IFERROR(VLOOKUP(B182&amp;"ES",'LM7 Non-ENG'!$A$1:$A$4999,1,FALSE),"ERROR")=B182&amp;"ES","Y","")),"")</f>
        <v/>
      </c>
      <c r="H182" s="29" t="str">
        <f>IFERROR(HYPERLINK("#"&amp;ADDRESS(MATCH(B182&amp;"PT",'LM7 Non-ENG'!$A$1:$A$5000,0),1,,,"LM7 Non-ENG"),IF(IFERROR(VLOOKUP(B182&amp;"PT",'LM7 Non-ENG'!$A$1:$A$5000,1,FALSE),"ERROR")=B182&amp;"PT","Y","")),"")</f>
        <v/>
      </c>
      <c r="I182" t="str">
        <f>IFERROR(VLOOKUP(B182,PN!$A:$C,3,FALSE),"")</f>
        <v>Active</v>
      </c>
      <c r="J182" s="3">
        <f>IFERROR(E182*VLOOKUP(B182,PLInter!$A:$D,3,FALSE),"")</f>
        <v>231</v>
      </c>
      <c r="K182" s="66"/>
      <c r="L182" s="66"/>
      <c r="M182" s="66"/>
      <c r="N182" s="66"/>
      <c r="O182" s="66"/>
      <c r="P182" s="66"/>
      <c r="Q182" s="66"/>
      <c r="R182" s="66"/>
      <c r="S182" s="66"/>
    </row>
    <row r="183" spans="2:19" ht="18" customHeight="1">
      <c r="B183" s="1" t="s">
        <v>480</v>
      </c>
      <c r="C183" s="1" t="s">
        <v>723</v>
      </c>
      <c r="D183" s="6" t="s">
        <v>0</v>
      </c>
      <c r="E183" s="6">
        <v>1</v>
      </c>
      <c r="F183" s="6"/>
      <c r="G183" s="29" t="str">
        <f>IFERROR(HYPERLINK("#"&amp;ADDRESS(MATCH(B183&amp;"ES",'LM7 Non-ENG'!$A$1:$A$5000,0),1,,,"LM7 Non-ENG"),IF(IFERROR(VLOOKUP(B183&amp;"ES",'LM7 Non-ENG'!$A$1:$A$4999,1,FALSE),"ERROR")=B183&amp;"ES","Y","")),"")</f>
        <v/>
      </c>
      <c r="H183" s="29" t="str">
        <f>IFERROR(HYPERLINK("#"&amp;ADDRESS(MATCH(B183&amp;"PT",'LM7 Non-ENG'!$A$1:$A$5000,0),1,,,"LM7 Non-ENG"),IF(IFERROR(VLOOKUP(B183&amp;"PT",'LM7 Non-ENG'!$A$1:$A$5000,1,FALSE),"ERROR")=B183&amp;"PT","Y","")),"")</f>
        <v/>
      </c>
      <c r="I183" t="str">
        <f>IFERROR(VLOOKUP(B183,PN!$A:$C,3,FALSE),"")</f>
        <v>Active</v>
      </c>
      <c r="J183" s="3">
        <f>IFERROR(E183*VLOOKUP(B183,PLInter!$A:$D,3,FALSE),"")</f>
        <v>407</v>
      </c>
      <c r="K183" s="66"/>
      <c r="L183" s="66"/>
      <c r="M183" s="66"/>
      <c r="N183" s="66"/>
      <c r="O183" s="66"/>
      <c r="P183" s="66"/>
      <c r="Q183" s="66"/>
      <c r="R183" s="66"/>
      <c r="S183" s="66"/>
    </row>
    <row r="184" spans="2:19" ht="18" customHeight="1">
      <c r="B184" t="s">
        <v>478</v>
      </c>
      <c r="C184" t="s">
        <v>716</v>
      </c>
      <c r="D184" s="4"/>
      <c r="E184" s="4">
        <v>1</v>
      </c>
      <c r="F184" s="4"/>
      <c r="G184" s="29" t="str">
        <f>IFERROR(HYPERLINK("#"&amp;ADDRESS(MATCH(B184&amp;"ES",'LM7 Non-ENG'!$A$1:$A$5000,0),1,,,"LM7 Non-ENG"),IF(IFERROR(VLOOKUP(B184&amp;"ES",'LM7 Non-ENG'!$A$1:$A$4999,1,FALSE),"ERROR")=B184&amp;"ES","Y","")),"")</f>
        <v/>
      </c>
      <c r="H184" s="29" t="str">
        <f>IFERROR(HYPERLINK("#"&amp;ADDRESS(MATCH(B184&amp;"PT",'LM7 Non-ENG'!$A$1:$A$5000,0),1,,,"LM7 Non-ENG"),IF(IFERROR(VLOOKUP(B184&amp;"PT",'LM7 Non-ENG'!$A$1:$A$5000,1,FALSE),"ERROR")=B184&amp;"PT","Y","")),"")</f>
        <v/>
      </c>
      <c r="I184" t="str">
        <f>IFERROR(VLOOKUP(B184,PN!$A:$C,3,FALSE),"")</f>
        <v>Active</v>
      </c>
      <c r="J184" s="3">
        <f>IFERROR(E184*VLOOKUP(B184,PLInter!$A:$D,3,FALSE),"")</f>
        <v>795</v>
      </c>
      <c r="K184" s="66"/>
      <c r="L184" s="66"/>
      <c r="M184" s="66"/>
      <c r="N184" s="66"/>
      <c r="O184" s="66"/>
      <c r="P184" s="66"/>
      <c r="Q184" s="66"/>
      <c r="R184" s="66"/>
      <c r="S184" s="66"/>
    </row>
    <row r="185" spans="2:19" ht="18" customHeight="1">
      <c r="B185" s="1" t="s">
        <v>747</v>
      </c>
      <c r="C185" s="1" t="s">
        <v>748</v>
      </c>
      <c r="D185" s="6" t="s">
        <v>0</v>
      </c>
      <c r="E185" s="6">
        <v>1</v>
      </c>
      <c r="F185" s="6"/>
      <c r="G185" s="29" t="str">
        <f>IFERROR(HYPERLINK("#"&amp;ADDRESS(MATCH(B185&amp;"ES",'LM7 Non-ENG'!$A$1:$A$5000,0),1,,,"LM7 Non-ENG"),IF(IFERROR(VLOOKUP(B185&amp;"ES",'LM7 Non-ENG'!$A$1:$A$4999,1,FALSE),"ERROR")=B185&amp;"ES","Y","")),"")</f>
        <v/>
      </c>
      <c r="H185" s="29" t="str">
        <f>IFERROR(HYPERLINK("#"&amp;ADDRESS(MATCH(B185&amp;"PT",'LM7 Non-ENG'!$A$1:$A$5000,0),1,,,"LM7 Non-ENG"),IF(IFERROR(VLOOKUP(B185&amp;"PT",'LM7 Non-ENG'!$A$1:$A$5000,1,FALSE),"ERROR")=B185&amp;"PT","Y","")),"")</f>
        <v/>
      </c>
      <c r="I185" t="str">
        <f>IFERROR(VLOOKUP(B185,PN!$A:$C,3,FALSE),"")</f>
        <v>Inactive</v>
      </c>
      <c r="J185" s="3">
        <f>IFERROR(E185*VLOOKUP(B185,PLInter!$A:$D,3,FALSE),"")</f>
        <v>500</v>
      </c>
      <c r="K185" s="66"/>
      <c r="L185" s="66"/>
      <c r="M185" s="66"/>
      <c r="N185" s="66"/>
      <c r="O185" s="66"/>
      <c r="P185" s="66"/>
      <c r="Q185" s="66"/>
      <c r="R185" s="66"/>
      <c r="S185" s="66"/>
    </row>
    <row r="186" spans="2:19" ht="18" customHeight="1">
      <c r="B186" s="1" t="s">
        <v>727</v>
      </c>
      <c r="C186" s="1" t="s">
        <v>728</v>
      </c>
      <c r="D186" s="6" t="s">
        <v>0</v>
      </c>
      <c r="E186" s="6">
        <v>1</v>
      </c>
      <c r="F186" s="6"/>
      <c r="G186" s="29" t="str">
        <f>IFERROR(HYPERLINK("#"&amp;ADDRESS(MATCH(B186&amp;"ES",'LM7 Non-ENG'!$A$1:$A$5000,0),1,,,"LM7 Non-ENG"),IF(IFERROR(VLOOKUP(B186&amp;"ES",'LM7 Non-ENG'!$A$1:$A$4999,1,FALSE),"ERROR")=B186&amp;"ES","Y","")),"")</f>
        <v/>
      </c>
      <c r="H186" s="29" t="str">
        <f>IFERROR(HYPERLINK("#"&amp;ADDRESS(MATCH(B186&amp;"PT",'LM7 Non-ENG'!$A$1:$A$5000,0),1,,,"LM7 Non-ENG"),IF(IFERROR(VLOOKUP(B186&amp;"PT",'LM7 Non-ENG'!$A$1:$A$5000,1,FALSE),"ERROR")=B186&amp;"PT","Y","")),"")</f>
        <v/>
      </c>
      <c r="I186" t="str">
        <f>IFERROR(VLOOKUP(B186,PN!$A:$C,3,FALSE),"")</f>
        <v>Phase Out</v>
      </c>
      <c r="J186" s="3" t="str">
        <f>IFERROR(E186*VLOOKUP(B186,PLInter!$A:$D,3,FALSE),"")</f>
        <v/>
      </c>
      <c r="K186" s="66"/>
      <c r="L186" s="66"/>
      <c r="M186" s="66"/>
      <c r="N186" s="66"/>
      <c r="O186" s="66"/>
      <c r="P186" s="66"/>
      <c r="Q186" s="66"/>
      <c r="R186" s="66"/>
      <c r="S186" s="66"/>
    </row>
    <row r="187" spans="2:19" ht="18" customHeight="1">
      <c r="B187" s="1" t="s">
        <v>729</v>
      </c>
      <c r="C187" s="1" t="s">
        <v>730</v>
      </c>
      <c r="D187" s="6" t="s">
        <v>0</v>
      </c>
      <c r="E187" s="6">
        <v>1</v>
      </c>
      <c r="F187" s="6"/>
      <c r="G187" s="29" t="str">
        <f>IFERROR(HYPERLINK("#"&amp;ADDRESS(MATCH(B187&amp;"ES",'LM7 Non-ENG'!$A$1:$A$5000,0),1,,,"LM7 Non-ENG"),IF(IFERROR(VLOOKUP(B187&amp;"ES",'LM7 Non-ENG'!$A$1:$A$4999,1,FALSE),"ERROR")=B187&amp;"ES","Y","")),"")</f>
        <v/>
      </c>
      <c r="H187" s="29" t="str">
        <f>IFERROR(HYPERLINK("#"&amp;ADDRESS(MATCH(B187&amp;"PT",'LM7 Non-ENG'!$A$1:$A$5000,0),1,,,"LM7 Non-ENG"),IF(IFERROR(VLOOKUP(B187&amp;"PT",'LM7 Non-ENG'!$A$1:$A$5000,1,FALSE),"ERROR")=B187&amp;"PT","Y","")),"")</f>
        <v/>
      </c>
      <c r="I187" t="str">
        <f>IFERROR(VLOOKUP(B187,PN!$A:$C,3,FALSE),"")</f>
        <v>Active</v>
      </c>
      <c r="J187" s="3" t="str">
        <f>IFERROR(E187*VLOOKUP(B187,PLInter!$A:$D,3,FALSE),"")</f>
        <v/>
      </c>
      <c r="K187" s="66"/>
      <c r="L187" s="66"/>
      <c r="M187" s="66"/>
      <c r="N187" s="66"/>
      <c r="O187" s="66"/>
      <c r="P187" s="66"/>
      <c r="Q187" s="66"/>
      <c r="R187" s="66"/>
      <c r="S187" s="66"/>
    </row>
    <row r="188" spans="2:19" ht="18" customHeight="1">
      <c r="B188" t="s">
        <v>572</v>
      </c>
      <c r="C188" t="s">
        <v>749</v>
      </c>
      <c r="D188" s="4"/>
      <c r="E188" s="4">
        <v>1</v>
      </c>
      <c r="F188" s="4"/>
      <c r="G188" s="29" t="str">
        <f>IFERROR(HYPERLINK("#"&amp;ADDRESS(MATCH(B188&amp;"ES",'LM7 Non-ENG'!$A$1:$A$5000,0),1,,,"LM7 Non-ENG"),IF(IFERROR(VLOOKUP(B188&amp;"ES",'LM7 Non-ENG'!$A$1:$A$4999,1,FALSE),"ERROR")=B188&amp;"ES","Y","")),"")</f>
        <v/>
      </c>
      <c r="H188" s="29" t="str">
        <f>IFERROR(HYPERLINK("#"&amp;ADDRESS(MATCH(B188&amp;"PT",'LM7 Non-ENG'!$A$1:$A$5000,0),1,,,"LM7 Non-ENG"),IF(IFERROR(VLOOKUP(B188&amp;"PT",'LM7 Non-ENG'!$A$1:$A$5000,1,FALSE),"ERROR")=B188&amp;"PT","Y","")),"")</f>
        <v/>
      </c>
      <c r="I188" t="str">
        <f>IFERROR(VLOOKUP(B188,PN!$A:$C,3,FALSE),"")</f>
        <v>Active</v>
      </c>
      <c r="J188" s="3">
        <f>IFERROR(E188*VLOOKUP(B188,PLInter!$A:$D,3,FALSE),"")</f>
        <v>500</v>
      </c>
      <c r="K188" s="66"/>
      <c r="L188" s="66"/>
      <c r="M188" s="66"/>
      <c r="N188" s="66"/>
      <c r="O188" s="66"/>
      <c r="P188" s="66"/>
      <c r="Q188" s="66"/>
      <c r="R188" s="66"/>
      <c r="S188" s="66"/>
    </row>
    <row r="189" spans="2:19" ht="18" customHeight="1">
      <c r="B189" t="s">
        <v>556</v>
      </c>
      <c r="C189" t="s">
        <v>750</v>
      </c>
      <c r="D189" s="4"/>
      <c r="E189" s="4">
        <v>1</v>
      </c>
      <c r="F189" s="4"/>
      <c r="G189" s="29" t="str">
        <f>IFERROR(HYPERLINK("#"&amp;ADDRESS(MATCH(B189&amp;"ES",'LM7 Non-ENG'!$A$1:$A$5000,0),1,,,"LM7 Non-ENG"),IF(IFERROR(VLOOKUP(B189&amp;"ES",'LM7 Non-ENG'!$A$1:$A$4999,1,FALSE),"ERROR")=B189&amp;"ES","Y","")),"")</f>
        <v/>
      </c>
      <c r="H189" s="29" t="str">
        <f>IFERROR(HYPERLINK("#"&amp;ADDRESS(MATCH(B189&amp;"PT",'LM7 Non-ENG'!$A$1:$A$5000,0),1,,,"LM7 Non-ENG"),IF(IFERROR(VLOOKUP(B189&amp;"PT",'LM7 Non-ENG'!$A$1:$A$5000,1,FALSE),"ERROR")=B189&amp;"PT","Y","")),"")</f>
        <v/>
      </c>
      <c r="I189" t="str">
        <f>IFERROR(VLOOKUP(B189,PN!$A:$C,3,FALSE),"")</f>
        <v>Active</v>
      </c>
      <c r="J189" s="3">
        <f>IFERROR(E189*VLOOKUP(B189,PLInter!$A:$D,3,FALSE),"")</f>
        <v>500</v>
      </c>
      <c r="K189" s="66"/>
      <c r="L189" s="66"/>
      <c r="M189" s="66"/>
      <c r="N189" s="66"/>
      <c r="O189" s="66"/>
      <c r="P189" s="66"/>
      <c r="Q189" s="66"/>
      <c r="R189" s="66"/>
      <c r="S189" s="66"/>
    </row>
    <row r="190" spans="2:19" ht="18" customHeight="1">
      <c r="B190" s="2" t="s">
        <v>751</v>
      </c>
      <c r="C190" s="2" t="s">
        <v>752</v>
      </c>
      <c r="D190" s="5"/>
      <c r="E190" s="5">
        <v>1</v>
      </c>
      <c r="F190" s="5" t="s">
        <v>0</v>
      </c>
      <c r="G190" s="29" t="str">
        <f>IFERROR(HYPERLINK("#"&amp;ADDRESS(MATCH(B190&amp;"ES",'LM7 Non-ENG'!$A$1:$A$5000,0),1,,,"LM7 Non-ENG"),IF(IFERROR(VLOOKUP(B190&amp;"ES",'LM7 Non-ENG'!$A$1:$A$4999,1,FALSE),"ERROR")=B190&amp;"ES","Y","")),"")</f>
        <v/>
      </c>
      <c r="H190" s="29" t="str">
        <f>IFERROR(HYPERLINK("#"&amp;ADDRESS(MATCH(B190&amp;"PT",'LM7 Non-ENG'!$A$1:$A$5000,0),1,,,"LM7 Non-ENG"),IF(IFERROR(VLOOKUP(B190&amp;"PT",'LM7 Non-ENG'!$A$1:$A$5000,1,FALSE),"ERROR")=B190&amp;"PT","Y","")),"")</f>
        <v/>
      </c>
      <c r="I190" t="str">
        <f>IFERROR(VLOOKUP(B190,PN!$A:$C,3,FALSE),"")</f>
        <v>Active</v>
      </c>
      <c r="J190" s="3">
        <f>IFERROR(E190*VLOOKUP(B190,PLInter!$A:$D,3,FALSE),"")</f>
        <v>500</v>
      </c>
      <c r="K190" s="66"/>
      <c r="L190" s="66"/>
      <c r="M190" s="66"/>
      <c r="N190" s="66"/>
      <c r="O190" s="66"/>
      <c r="P190" s="66"/>
      <c r="Q190" s="66"/>
      <c r="R190" s="66"/>
      <c r="S190" s="66"/>
    </row>
    <row r="191" spans="2:19" ht="18" customHeight="1">
      <c r="B191" t="str">
        <f>"112496"</f>
        <v>112496</v>
      </c>
      <c r="C191" t="s">
        <v>696</v>
      </c>
      <c r="D191" s="4"/>
      <c r="E191" s="4">
        <v>50</v>
      </c>
      <c r="F191" s="4"/>
      <c r="G191" s="29" t="str">
        <f>IFERROR(HYPERLINK("#"&amp;ADDRESS(MATCH(B191&amp;"ES",'LM7 Non-ENG'!$A$1:$A$5000,0),1,,,"LM7 Non-ENG"),IF(IFERROR(VLOOKUP(B191&amp;"ES",'LM7 Non-ENG'!$A$1:$A$4999,1,FALSE),"ERROR")=B191&amp;"ES","Y","")),"")</f>
        <v/>
      </c>
      <c r="H191" s="29" t="str">
        <f>IFERROR(HYPERLINK("#"&amp;ADDRESS(MATCH(B191&amp;"PT",'LM7 Non-ENG'!$A$1:$A$5000,0),1,,,"LM7 Non-ENG"),IF(IFERROR(VLOOKUP(B191&amp;"PT",'LM7 Non-ENG'!$A$1:$A$5000,1,FALSE),"ERROR")=B191&amp;"PT","Y","")),"")</f>
        <v/>
      </c>
      <c r="I191" t="str">
        <f>IFERROR(VLOOKUP(B191,PN!$A:$C,3,FALSE),"")</f>
        <v>Active</v>
      </c>
      <c r="J191" s="3">
        <f>IFERROR(E191*VLOOKUP(B191,PLInter!$A:$D,3,FALSE),"")</f>
        <v>1000</v>
      </c>
      <c r="K191" s="66"/>
      <c r="L191" s="66"/>
      <c r="M191" s="66"/>
      <c r="N191" s="66"/>
      <c r="O191" s="66"/>
      <c r="P191" s="66"/>
      <c r="Q191" s="66"/>
      <c r="R191" s="66"/>
      <c r="S191" s="66"/>
    </row>
    <row r="192" spans="2:19" ht="18" customHeight="1">
      <c r="B192" t="s">
        <v>753</v>
      </c>
      <c r="C192" t="s">
        <v>754</v>
      </c>
      <c r="D192" s="4"/>
      <c r="E192" s="4">
        <v>2</v>
      </c>
      <c r="F192" s="4"/>
      <c r="G192" s="29" t="str">
        <f>IFERROR(HYPERLINK("#"&amp;ADDRESS(MATCH(B192&amp;"ES",'LM7 Non-ENG'!$A$1:$A$5000,0),1,,,"LM7 Non-ENG"),IF(IFERROR(VLOOKUP(B192&amp;"ES",'LM7 Non-ENG'!$A$1:$A$4999,1,FALSE),"ERROR")=B192&amp;"ES","Y","")),"")</f>
        <v/>
      </c>
      <c r="H192" s="29" t="str">
        <f>IFERROR(HYPERLINK("#"&amp;ADDRESS(MATCH(B192&amp;"PT",'LM7 Non-ENG'!$A$1:$A$5000,0),1,,,"LM7 Non-ENG"),IF(IFERROR(VLOOKUP(B192&amp;"PT",'LM7 Non-ENG'!$A$1:$A$5000,1,FALSE),"ERROR")=B192&amp;"PT","Y","")),"")</f>
        <v/>
      </c>
      <c r="I192" t="str">
        <f>IFERROR(VLOOKUP(B192,PN!$A:$C,3,FALSE),"")</f>
        <v>Active</v>
      </c>
      <c r="J192" s="3">
        <f>IFERROR(E192*VLOOKUP(B192,PLInter!$A:$D,3,FALSE),"")</f>
        <v>6560</v>
      </c>
      <c r="K192" s="66"/>
      <c r="L192" s="66"/>
      <c r="M192" s="66"/>
      <c r="N192" s="66"/>
      <c r="O192" s="66"/>
      <c r="P192" s="66"/>
      <c r="Q192" s="66"/>
      <c r="R192" s="66"/>
      <c r="S192" s="66"/>
    </row>
    <row r="193" spans="1:19" ht="18" customHeight="1">
      <c r="B193" t="s">
        <v>755</v>
      </c>
      <c r="C193" t="s">
        <v>756</v>
      </c>
      <c r="D193" s="4"/>
      <c r="E193" s="4">
        <v>2</v>
      </c>
      <c r="F193" s="4"/>
      <c r="G193" s="29" t="str">
        <f>IFERROR(HYPERLINK("#"&amp;ADDRESS(MATCH(B193&amp;"ES",'LM7 Non-ENG'!$A$1:$A$5000,0),1,,,"LM7 Non-ENG"),IF(IFERROR(VLOOKUP(B193&amp;"ES",'LM7 Non-ENG'!$A$1:$A$4999,1,FALSE),"ERROR")=B193&amp;"ES","Y","")),"")</f>
        <v/>
      </c>
      <c r="H193" s="29" t="str">
        <f>IFERROR(HYPERLINK("#"&amp;ADDRESS(MATCH(B193&amp;"PT",'LM7 Non-ENG'!$A$1:$A$5000,0),1,,,"LM7 Non-ENG"),IF(IFERROR(VLOOKUP(B193&amp;"PT",'LM7 Non-ENG'!$A$1:$A$5000,1,FALSE),"ERROR")=B193&amp;"PT","Y","")),"")</f>
        <v/>
      </c>
      <c r="I193" t="str">
        <f>IFERROR(VLOOKUP(B193,PN!$A:$C,3,FALSE),"")</f>
        <v>Active</v>
      </c>
      <c r="J193" s="3">
        <f>IFERROR(E193*VLOOKUP(B193,PLInter!$A:$D,3,FALSE),"")</f>
        <v>1032</v>
      </c>
      <c r="K193" s="66"/>
      <c r="L193" s="66"/>
      <c r="M193" s="66"/>
      <c r="N193" s="66"/>
      <c r="O193" s="66"/>
      <c r="P193" s="66"/>
      <c r="Q193" s="66"/>
      <c r="R193" s="66"/>
      <c r="S193" s="66"/>
    </row>
    <row r="194" spans="1:19" ht="18" customHeight="1">
      <c r="B194" t="s">
        <v>630</v>
      </c>
      <c r="C194" t="s">
        <v>631</v>
      </c>
      <c r="D194" s="4"/>
      <c r="E194" s="4">
        <v>1</v>
      </c>
      <c r="F194" s="4"/>
      <c r="G194" s="29" t="str">
        <f>IFERROR(HYPERLINK("#"&amp;ADDRESS(MATCH(B194&amp;"ES",'LM7 Non-ENG'!$A$1:$A$5000,0),1,,,"LM7 Non-ENG"),IF(IFERROR(VLOOKUP(B194&amp;"ES",'LM7 Non-ENG'!$A$1:$A$4999,1,FALSE),"ERROR")=B194&amp;"ES","Y","")),"")</f>
        <v/>
      </c>
      <c r="H194" s="29" t="str">
        <f>IFERROR(HYPERLINK("#"&amp;ADDRESS(MATCH(B194&amp;"PT",'LM7 Non-ENG'!$A$1:$A$5000,0),1,,,"LM7 Non-ENG"),IF(IFERROR(VLOOKUP(B194&amp;"PT",'LM7 Non-ENG'!$A$1:$A$5000,1,FALSE),"ERROR")=B194&amp;"PT","Y","")),"")</f>
        <v/>
      </c>
      <c r="I194" t="str">
        <f>IFERROR(VLOOKUP(B194,PN!$A:$C,3,FALSE),"")</f>
        <v>Active</v>
      </c>
      <c r="J194" s="3">
        <f>IFERROR(E194*VLOOKUP(B194,PLInter!$A:$D,3,FALSE),"")</f>
        <v>1735</v>
      </c>
      <c r="K194" s="66"/>
      <c r="L194" s="66"/>
      <c r="M194" s="66"/>
      <c r="N194" s="66"/>
      <c r="O194" s="66"/>
      <c r="P194" s="66"/>
      <c r="Q194" s="66"/>
      <c r="R194" s="66"/>
      <c r="S194" s="66"/>
    </row>
    <row r="196" spans="1:19" s="7" customFormat="1" ht="18" customHeight="1">
      <c r="A196" s="13" t="s">
        <v>757</v>
      </c>
      <c r="B196" s="13"/>
      <c r="C196" s="13" t="s">
        <v>758</v>
      </c>
      <c r="D196" s="14"/>
      <c r="E196" s="14"/>
      <c r="F196" s="14"/>
      <c r="G196" s="14"/>
      <c r="H196" s="14"/>
      <c r="I196" s="14"/>
      <c r="J196" s="14">
        <f>SUMIFS(J197:J233,D197:D233,"&lt;&gt;Y",F197:F233,"&lt;&gt;Y",I197:I233,"&lt;&gt;Inactive",I197:I233,"&lt;&gt;ECO+NFS")</f>
        <v>49343</v>
      </c>
      <c r="K196" s="14"/>
      <c r="L196" s="14"/>
      <c r="M196" s="14"/>
      <c r="N196" s="14"/>
      <c r="O196" s="14"/>
      <c r="P196" s="14"/>
      <c r="Q196" s="14"/>
      <c r="R196" s="14"/>
      <c r="S196" s="14"/>
    </row>
    <row r="197" spans="1:19" ht="18" customHeight="1">
      <c r="A197" s="17" t="str">
        <f>HYPERLINK("#"&amp;ADDRESS(MATCH(A196,'CIM&amp;FMS'!$A$1:$A$4997,0),1,,,"CIM&amp;FMS"),"Back to Price List")</f>
        <v>Back to Price List</v>
      </c>
      <c r="B197" t="str">
        <f>"00-0413-0000"</f>
        <v>00-0413-0000</v>
      </c>
      <c r="C197" t="str">
        <f>"SCORBOT-ER 4u (Package)"</f>
        <v>SCORBOT-ER 4u (Package)</v>
      </c>
      <c r="D197" s="4"/>
      <c r="E197" s="4">
        <v>1</v>
      </c>
      <c r="F197" s="4"/>
      <c r="G197" s="29" t="str">
        <f>IFERROR(HYPERLINK("#"&amp;ADDRESS(MATCH(B197&amp;"ES",'LM7 Non-ENG'!$A$1:$A$5000,0),1,,,"LM7 Non-ENG"),IF(IFERROR(VLOOKUP(B197&amp;"ES",'LM7 Non-ENG'!$A$1:$A$4999,1,FALSE),"ERROR")=B197&amp;"ES","Y","")),"")</f>
        <v/>
      </c>
      <c r="H197" s="29" t="str">
        <f>IFERROR(HYPERLINK("#"&amp;ADDRESS(MATCH(B197&amp;"PT",'LM7 Non-ENG'!$A$1:$A$5000,0),1,,,"LM7 Non-ENG"),IF(IFERROR(VLOOKUP(B197&amp;"PT",'LM7 Non-ENG'!$A$1:$A$5000,1,FALSE),"ERROR")=B197&amp;"PT","Y","")),"")</f>
        <v/>
      </c>
      <c r="I197" t="str">
        <f>IFERROR(VLOOKUP(B197,PN!$A:$C,3,FALSE),"")</f>
        <v>Active</v>
      </c>
      <c r="J197" s="3">
        <f>IFERROR(E197*VLOOKUP(B197,PLInter!$A:$D,3,FALSE),"")</f>
        <v>11726</v>
      </c>
      <c r="K197" s="66"/>
      <c r="L197" s="66"/>
      <c r="M197" s="66"/>
      <c r="N197" s="66"/>
      <c r="O197" s="66"/>
      <c r="P197" s="66"/>
      <c r="Q197" s="66"/>
      <c r="R197" s="66"/>
      <c r="S197" s="66"/>
    </row>
    <row r="198" spans="1:19" ht="18" customHeight="1">
      <c r="B198" t="str">
        <f>"00-0609-0000"</f>
        <v>00-0609-0000</v>
      </c>
      <c r="C198" t="str">
        <f>"End Effector Attachment for ER4U Gripper"</f>
        <v>End Effector Attachment for ER4U Gripper</v>
      </c>
      <c r="D198" s="4"/>
      <c r="E198" s="4">
        <v>1</v>
      </c>
      <c r="F198" s="4"/>
      <c r="G198" s="29" t="str">
        <f>IFERROR(HYPERLINK("#"&amp;ADDRESS(MATCH(B198&amp;"ES",'LM7 Non-ENG'!$A$1:$A$5000,0),1,,,"LM7 Non-ENG"),IF(IFERROR(VLOOKUP(B198&amp;"ES",'LM7 Non-ENG'!$A$1:$A$4999,1,FALSE),"ERROR")=B198&amp;"ES","Y","")),"")</f>
        <v/>
      </c>
      <c r="H198" s="29" t="str">
        <f>IFERROR(HYPERLINK("#"&amp;ADDRESS(MATCH(B198&amp;"PT",'LM7 Non-ENG'!$A$1:$A$5000,0),1,,,"LM7 Non-ENG"),IF(IFERROR(VLOOKUP(B198&amp;"PT",'LM7 Non-ENG'!$A$1:$A$5000,1,FALSE),"ERROR")=B198&amp;"PT","Y","")),"")</f>
        <v/>
      </c>
      <c r="I198" t="str">
        <f>IFERROR(VLOOKUP(B198,PN!$A:$C,3,FALSE),"")</f>
        <v>Active</v>
      </c>
      <c r="J198" s="3">
        <f>IFERROR(E198*VLOOKUP(B198,PLInter!$A:$D,3,FALSE),"")</f>
        <v>125</v>
      </c>
      <c r="K198" s="66"/>
      <c r="L198" s="66"/>
      <c r="M198" s="66"/>
      <c r="N198" s="66"/>
      <c r="O198" s="66"/>
      <c r="P198" s="66"/>
      <c r="Q198" s="66"/>
      <c r="R198" s="66"/>
      <c r="S198" s="66"/>
    </row>
    <row r="199" spans="1:19" ht="18" customHeight="1">
      <c r="B199" t="str">
        <f>"00-1710-0000"</f>
        <v>00-1710-0000</v>
      </c>
      <c r="C199" t="str">
        <f>"Teach Pendant for USB/USB Pro Controllers"</f>
        <v>Teach Pendant for USB/USB Pro Controllers</v>
      </c>
      <c r="D199" s="4"/>
      <c r="E199" s="4">
        <v>1</v>
      </c>
      <c r="F199" s="4"/>
      <c r="G199" s="29" t="str">
        <f>IFERROR(HYPERLINK("#"&amp;ADDRESS(MATCH(B199&amp;"ES",'LM7 Non-ENG'!$A$1:$A$5000,0),1,,,"LM7 Non-ENG"),IF(IFERROR(VLOOKUP(B199&amp;"ES",'LM7 Non-ENG'!$A$1:$A$4999,1,FALSE),"ERROR")=B199&amp;"ES","Y","")),"")</f>
        <v/>
      </c>
      <c r="H199" s="29" t="str">
        <f>IFERROR(HYPERLINK("#"&amp;ADDRESS(MATCH(B199&amp;"PT",'LM7 Non-ENG'!$A$1:$A$5000,0),1,,,"LM7 Non-ENG"),IF(IFERROR(VLOOKUP(B199&amp;"PT",'LM7 Non-ENG'!$A$1:$A$5000,1,FALSE),"ERROR")=B199&amp;"PT","Y","")),"")</f>
        <v/>
      </c>
      <c r="I199" t="str">
        <f>IFERROR(VLOOKUP(B199,PN!$A:$C,3,FALSE),"")</f>
        <v>Active</v>
      </c>
      <c r="J199" s="3">
        <f>IFERROR(E199*VLOOKUP(B199,PLInter!$A:$D,3,FALSE),"")</f>
        <v>1680</v>
      </c>
      <c r="K199" s="66"/>
      <c r="L199" s="66"/>
      <c r="M199" s="66"/>
      <c r="N199" s="66"/>
      <c r="O199" s="66"/>
      <c r="P199" s="66"/>
      <c r="Q199" s="66"/>
      <c r="R199" s="66"/>
      <c r="S199" s="66"/>
    </row>
    <row r="200" spans="1:19" ht="18" customHeight="1">
      <c r="B200" t="str">
        <f>"00-1020-0000"</f>
        <v>00-1020-0000</v>
      </c>
      <c r="C200" t="str">
        <f>"LSB 1.0m (Belt, Table-Top)"</f>
        <v>LSB 1.0m (Belt, Table-Top)</v>
      </c>
      <c r="D200" s="4"/>
      <c r="E200" s="4">
        <v>1</v>
      </c>
      <c r="F200" s="4"/>
      <c r="G200" s="29" t="str">
        <f>IFERROR(HYPERLINK("#"&amp;ADDRESS(MATCH(B200&amp;"ES",'LM7 Non-ENG'!$A$1:$A$5000,0),1,,,"LM7 Non-ENG"),IF(IFERROR(VLOOKUP(B200&amp;"ES",'LM7 Non-ENG'!$A$1:$A$4999,1,FALSE),"ERROR")=B200&amp;"ES","Y","")),"")</f>
        <v/>
      </c>
      <c r="H200" s="29" t="str">
        <f>IFERROR(HYPERLINK("#"&amp;ADDRESS(MATCH(B200&amp;"PT",'LM7 Non-ENG'!$A$1:$A$5000,0),1,,,"LM7 Non-ENG"),IF(IFERROR(VLOOKUP(B200&amp;"PT",'LM7 Non-ENG'!$A$1:$A$5000,1,FALSE),"ERROR")=B200&amp;"PT","Y","")),"")</f>
        <v/>
      </c>
      <c r="I200" t="str">
        <f>IFERROR(VLOOKUP(B200,PN!$A:$C,3,FALSE),"")</f>
        <v>Active</v>
      </c>
      <c r="J200" s="3">
        <f>IFERROR(E200*VLOOKUP(B200,PLInter!$A:$D,3,FALSE),"")</f>
        <v>5067</v>
      </c>
      <c r="K200" s="66"/>
      <c r="L200" s="66"/>
      <c r="M200" s="66"/>
      <c r="N200" s="66"/>
      <c r="O200" s="66"/>
      <c r="P200" s="66"/>
      <c r="Q200" s="66"/>
      <c r="R200" s="66"/>
      <c r="S200" s="66"/>
    </row>
    <row r="201" spans="1:19" ht="18" customHeight="1">
      <c r="B201" t="str">
        <f>"10-1003-8000"</f>
        <v>10-1003-8000</v>
      </c>
      <c r="C201" t="str">
        <f>"Stand for table's LSB"</f>
        <v>Stand for table's LSB</v>
      </c>
      <c r="D201" s="4"/>
      <c r="E201" s="4">
        <v>1</v>
      </c>
      <c r="F201" s="4"/>
      <c r="G201" s="29" t="str">
        <f>IFERROR(HYPERLINK("#"&amp;ADDRESS(MATCH(B201&amp;"ES",'LM7 Non-ENG'!$A$1:$A$5000,0),1,,,"LM7 Non-ENG"),IF(IFERROR(VLOOKUP(B201&amp;"ES",'LM7 Non-ENG'!$A$1:$A$4999,1,FALSE),"ERROR")=B201&amp;"ES","Y","")),"")</f>
        <v/>
      </c>
      <c r="H201" s="29" t="str">
        <f>IFERROR(HYPERLINK("#"&amp;ADDRESS(MATCH(B201&amp;"PT",'LM7 Non-ENG'!$A$1:$A$5000,0),1,,,"LM7 Non-ENG"),IF(IFERROR(VLOOKUP(B201&amp;"PT",'LM7 Non-ENG'!$A$1:$A$5000,1,FALSE),"ERROR")=B201&amp;"PT","Y","")),"")</f>
        <v/>
      </c>
      <c r="I201" t="str">
        <f>IFERROR(VLOOKUP(B201,PN!$A:$C,3,FALSE),"")</f>
        <v>Active</v>
      </c>
      <c r="J201" s="3">
        <f>IFERROR(E201*VLOOKUP(B201,PLInter!$A:$D,3,FALSE),"")</f>
        <v>800</v>
      </c>
      <c r="K201" s="66"/>
      <c r="L201" s="66"/>
      <c r="M201" s="66"/>
      <c r="N201" s="66"/>
      <c r="O201" s="66"/>
      <c r="P201" s="66"/>
      <c r="Q201" s="66"/>
      <c r="R201" s="66"/>
      <c r="S201" s="66"/>
    </row>
    <row r="202" spans="1:19" ht="18" customHeight="1">
      <c r="B202" t="str">
        <f>"021152"</f>
        <v>021152</v>
      </c>
      <c r="C202" s="41" t="s">
        <v>679</v>
      </c>
      <c r="D202" s="4"/>
      <c r="E202" s="4">
        <v>1</v>
      </c>
      <c r="F202" s="4"/>
      <c r="G202" s="29" t="str">
        <f>IFERROR(HYPERLINK("#"&amp;ADDRESS(MATCH(B202&amp;"ES",'LM7 Non-ENG'!$A$1:$A$5000,0),1,,,"LM7 Non-ENG"),IF(IFERROR(VLOOKUP(B202&amp;"ES",'LM7 Non-ENG'!$A$1:$A$4999,1,FALSE),"ERROR")=B202&amp;"ES","Y","")),"")</f>
        <v/>
      </c>
      <c r="H202" s="29" t="str">
        <f>IFERROR(HYPERLINK("#"&amp;ADDRESS(MATCH(B202&amp;"PT",'LM7 Non-ENG'!$A$1:$A$5000,0),1,,,"LM7 Non-ENG"),IF(IFERROR(VLOOKUP(B202&amp;"PT",'LM7 Non-ENG'!$A$1:$A$5000,1,FALSE),"ERROR")=B202&amp;"PT","Y","")),"")</f>
        <v/>
      </c>
      <c r="I202" t="str">
        <f>IFERROR(VLOOKUP(B202,PN!$A:$C,3,FALSE),"")</f>
        <v>Active</v>
      </c>
      <c r="J202" s="3">
        <f>IFERROR(E202*VLOOKUP(B202,PLInter!$A:$D,3,FALSE),"")</f>
        <v>240</v>
      </c>
      <c r="K202" s="66"/>
      <c r="L202" s="66"/>
      <c r="M202" s="66"/>
      <c r="N202" s="66"/>
      <c r="O202" s="66"/>
      <c r="P202" s="66"/>
      <c r="Q202" s="66"/>
      <c r="R202" s="66"/>
      <c r="S202" s="66"/>
    </row>
    <row r="203" spans="1:19" ht="18" customHeight="1">
      <c r="B203" t="str">
        <f>"10-2521-7000"</f>
        <v>10-2521-7000</v>
      </c>
      <c r="C203" t="str">
        <f>"Pneumatic Feeder for Rectangular Parts"</f>
        <v>Pneumatic Feeder for Rectangular Parts</v>
      </c>
      <c r="D203" s="4"/>
      <c r="E203" s="4">
        <v>1</v>
      </c>
      <c r="F203" s="4"/>
      <c r="G203" s="29" t="str">
        <f>IFERROR(HYPERLINK("#"&amp;ADDRESS(MATCH(B203&amp;"ES",'LM7 Non-ENG'!$A$1:$A$5000,0),1,,,"LM7 Non-ENG"),IF(IFERROR(VLOOKUP(B203&amp;"ES",'LM7 Non-ENG'!$A$1:$A$4999,1,FALSE),"ERROR")=B203&amp;"ES","Y","")),"")</f>
        <v/>
      </c>
      <c r="H203" s="29" t="str">
        <f>IFERROR(HYPERLINK("#"&amp;ADDRESS(MATCH(B203&amp;"PT",'LM7 Non-ENG'!$A$1:$A$5000,0),1,,,"LM7 Non-ENG"),IF(IFERROR(VLOOKUP(B203&amp;"PT",'LM7 Non-ENG'!$A$1:$A$5000,1,FALSE),"ERROR")=B203&amp;"PT","Y","")),"")</f>
        <v/>
      </c>
      <c r="I203" t="str">
        <f>IFERROR(VLOOKUP(B203,PN!$A:$C,3,FALSE),"")</f>
        <v>Active</v>
      </c>
      <c r="J203" s="3">
        <f>IFERROR(E203*VLOOKUP(B203,PLInter!$A:$D,3,FALSE),"")</f>
        <v>1440</v>
      </c>
      <c r="K203" s="66"/>
      <c r="L203" s="66"/>
      <c r="M203" s="66"/>
      <c r="N203" s="66"/>
      <c r="O203" s="66"/>
      <c r="P203" s="66"/>
      <c r="Q203" s="66"/>
      <c r="R203" s="66"/>
      <c r="S203" s="66"/>
    </row>
    <row r="204" spans="1:19" ht="18" customHeight="1">
      <c r="B204" t="str">
        <f>"00-1110-0000"</f>
        <v>00-1110-0000</v>
      </c>
      <c r="C204" t="str">
        <f>"Palletizing Rack (incl. Pins for creating Jigs)"</f>
        <v>Palletizing Rack (incl. Pins for creating Jigs)</v>
      </c>
      <c r="D204" s="4"/>
      <c r="E204" s="4">
        <v>1</v>
      </c>
      <c r="F204" s="4"/>
      <c r="G204" s="29" t="str">
        <f>IFERROR(HYPERLINK("#"&amp;ADDRESS(MATCH(B204&amp;"ES",'LM7 Non-ENG'!$A$1:$A$5000,0),1,,,"LM7 Non-ENG"),IF(IFERROR(VLOOKUP(B204&amp;"ES",'LM7 Non-ENG'!$A$1:$A$4999,1,FALSE),"ERROR")=B204&amp;"ES","Y","")),"")</f>
        <v/>
      </c>
      <c r="H204" s="29" t="str">
        <f>IFERROR(HYPERLINK("#"&amp;ADDRESS(MATCH(B204&amp;"PT",'LM7 Non-ENG'!$A$1:$A$5000,0),1,,,"LM7 Non-ENG"),IF(IFERROR(VLOOKUP(B204&amp;"PT",'LM7 Non-ENG'!$A$1:$A$5000,1,FALSE),"ERROR")=B204&amp;"PT","Y","")),"")</f>
        <v/>
      </c>
      <c r="I204" t="str">
        <f>IFERROR(VLOOKUP(B204,PN!$A:$C,3,FALSE),"")</f>
        <v>Active</v>
      </c>
      <c r="J204" s="3">
        <f>IFERROR(E204*VLOOKUP(B204,PLInter!$A:$D,3,FALSE),"")</f>
        <v>580</v>
      </c>
      <c r="K204" s="66"/>
      <c r="L204" s="66"/>
      <c r="M204" s="66"/>
      <c r="N204" s="66"/>
      <c r="O204" s="66"/>
      <c r="P204" s="66"/>
      <c r="Q204" s="66"/>
      <c r="R204" s="66"/>
      <c r="S204" s="66"/>
    </row>
    <row r="205" spans="1:19" ht="18" customHeight="1">
      <c r="B205" t="str">
        <f>"021182"</f>
        <v>021182</v>
      </c>
      <c r="C205" t="str">
        <f>"97mm Height Adapter -Rack 001110 on formica 28mm"</f>
        <v>97mm Height Adapter -Rack 001110 on formica 28mm</v>
      </c>
      <c r="D205" s="4"/>
      <c r="E205" s="4">
        <v>1</v>
      </c>
      <c r="F205" s="4"/>
      <c r="G205" s="29" t="str">
        <f>IFERROR(HYPERLINK("#"&amp;ADDRESS(MATCH(B205&amp;"ES",'LM7 Non-ENG'!$A$1:$A$5000,0),1,,,"LM7 Non-ENG"),IF(IFERROR(VLOOKUP(B205&amp;"ES",'LM7 Non-ENG'!$A$1:$A$4999,1,FALSE),"ERROR")=B205&amp;"ES","Y","")),"")</f>
        <v/>
      </c>
      <c r="H205" s="29" t="str">
        <f>IFERROR(HYPERLINK("#"&amp;ADDRESS(MATCH(B205&amp;"PT",'LM7 Non-ENG'!$A$1:$A$5000,0),1,,,"LM7 Non-ENG"),IF(IFERROR(VLOOKUP(B205&amp;"PT",'LM7 Non-ENG'!$A$1:$A$5000,1,FALSE),"ERROR")=B205&amp;"PT","Y","")),"")</f>
        <v/>
      </c>
      <c r="I205" t="str">
        <f>IFERROR(VLOOKUP(B205,PN!$A:$C,3,FALSE),"")</f>
        <v>Active</v>
      </c>
      <c r="J205" s="3">
        <f>IFERROR(E205*VLOOKUP(B205,PLInter!$A:$D,3,FALSE),"")</f>
        <v>16</v>
      </c>
      <c r="K205" s="66"/>
      <c r="L205" s="66"/>
      <c r="M205" s="66"/>
      <c r="N205" s="66"/>
      <c r="O205" s="66"/>
      <c r="P205" s="66"/>
      <c r="Q205" s="66"/>
      <c r="R205" s="66"/>
      <c r="S205" s="66"/>
    </row>
    <row r="206" spans="1:19" ht="18" customHeight="1">
      <c r="B206" t="str">
        <f>"10-2120-0000"</f>
        <v>10-2120-0000</v>
      </c>
      <c r="C206" t="str">
        <f>"CNC Interface with BenchMILL 6000"</f>
        <v>CNC Interface with BenchMILL 6000</v>
      </c>
      <c r="D206" s="4"/>
      <c r="E206" s="4">
        <v>1</v>
      </c>
      <c r="F206" s="4"/>
      <c r="G206" s="29" t="str">
        <f>IFERROR(HYPERLINK("#"&amp;ADDRESS(MATCH(B206&amp;"ES",'LM7 Non-ENG'!$A$1:$A$5000,0),1,,,"LM7 Non-ENG"),IF(IFERROR(VLOOKUP(B206&amp;"ES",'LM7 Non-ENG'!$A$1:$A$4999,1,FALSE),"ERROR")=B206&amp;"ES","Y","")),"")</f>
        <v/>
      </c>
      <c r="H206" s="29" t="str">
        <f>IFERROR(HYPERLINK("#"&amp;ADDRESS(MATCH(B206&amp;"PT",'LM7 Non-ENG'!$A$1:$A$5000,0),1,,,"LM7 Non-ENG"),IF(IFERROR(VLOOKUP(B206&amp;"PT",'LM7 Non-ENG'!$A$1:$A$5000,1,FALSE),"ERROR")=B206&amp;"PT","Y","")),"")</f>
        <v/>
      </c>
      <c r="I206" t="str">
        <f>IFERROR(VLOOKUP(B206,PN!$A:$C,3,FALSE),"")</f>
        <v>Active</v>
      </c>
      <c r="J206" s="3">
        <f>IFERROR(E206*VLOOKUP(B206,PLInter!$A:$D,3,FALSE),"")</f>
        <v>667</v>
      </c>
      <c r="K206" s="66"/>
      <c r="L206" s="66"/>
      <c r="M206" s="66"/>
      <c r="N206" s="66"/>
      <c r="O206" s="66"/>
      <c r="P206" s="66"/>
      <c r="Q206" s="66"/>
      <c r="R206" s="66"/>
      <c r="S206" s="66"/>
    </row>
    <row r="207" spans="1:19" ht="18" customHeight="1">
      <c r="B207" t="str">
        <f>"00-5505-0220"</f>
        <v>00-5505-0220</v>
      </c>
      <c r="C207" t="str">
        <f>"CNC BenchMill 6000 220V"</f>
        <v>CNC BenchMill 6000 220V</v>
      </c>
      <c r="D207" s="4"/>
      <c r="E207" s="4">
        <v>1</v>
      </c>
      <c r="F207" s="4"/>
      <c r="G207" s="29" t="str">
        <f>IFERROR(HYPERLINK("#"&amp;ADDRESS(MATCH(B207&amp;"ES",'LM7 Non-ENG'!$A$1:$A$5000,0),1,,,"LM7 Non-ENG"),IF(IFERROR(VLOOKUP(B207&amp;"ES",'LM7 Non-ENG'!$A$1:$A$4999,1,FALSE),"ERROR")=B207&amp;"ES","Y","")),"")</f>
        <v/>
      </c>
      <c r="H207" s="29" t="str">
        <f>IFERROR(HYPERLINK("#"&amp;ADDRESS(MATCH(B207&amp;"PT",'LM7 Non-ENG'!$A$1:$A$5000,0),1,,,"LM7 Non-ENG"),IF(IFERROR(VLOOKUP(B207&amp;"PT",'LM7 Non-ENG'!$A$1:$A$5000,1,FALSE),"ERROR")=B207&amp;"PT","Y","")),"")</f>
        <v/>
      </c>
      <c r="I207" t="str">
        <f>IFERROR(VLOOKUP(B207,PN!$A:$C,3,FALSE),"")</f>
        <v>Active</v>
      </c>
      <c r="J207" s="3">
        <f>IFERROR(E207*VLOOKUP(B207,PLInter!$A:$D,3,FALSE),"")</f>
        <v>14934</v>
      </c>
      <c r="K207" s="66"/>
      <c r="L207" s="66"/>
      <c r="M207" s="66"/>
      <c r="N207" s="66"/>
      <c r="O207" s="66"/>
      <c r="P207" s="66"/>
      <c r="Q207" s="66"/>
      <c r="R207" s="66"/>
      <c r="S207" s="66"/>
    </row>
    <row r="208" spans="1:19" ht="18" customHeight="1">
      <c r="B208" s="2" t="str">
        <f>"00-5505-0110"</f>
        <v>00-5505-0110</v>
      </c>
      <c r="C208" s="2" t="str">
        <f>"CNC BenchMILL 6000, 110 VAC"</f>
        <v>CNC BenchMILL 6000, 110 VAC</v>
      </c>
      <c r="D208" s="5"/>
      <c r="E208" s="5">
        <v>1</v>
      </c>
      <c r="F208" s="5" t="str">
        <f>"Y"</f>
        <v>Y</v>
      </c>
      <c r="G208" s="29" t="str">
        <f>IFERROR(HYPERLINK("#"&amp;ADDRESS(MATCH(B208&amp;"ES",'LM7 Non-ENG'!$A$1:$A$5000,0),1,,,"LM7 Non-ENG"),IF(IFERROR(VLOOKUP(B208&amp;"ES",'LM7 Non-ENG'!$A$1:$A$4999,1,FALSE),"ERROR")=B208&amp;"ES","Y","")),"")</f>
        <v/>
      </c>
      <c r="H208" s="29" t="str">
        <f>IFERROR(HYPERLINK("#"&amp;ADDRESS(MATCH(B208&amp;"PT",'LM7 Non-ENG'!$A$1:$A$5000,0),1,,,"LM7 Non-ENG"),IF(IFERROR(VLOOKUP(B208&amp;"PT",'LM7 Non-ENG'!$A$1:$A$5000,1,FALSE),"ERROR")=B208&amp;"PT","Y","")),"")</f>
        <v/>
      </c>
      <c r="I208" t="str">
        <f>IFERROR(VLOOKUP(B208,PN!$A:$C,3,FALSE),"")</f>
        <v>Active</v>
      </c>
      <c r="J208" s="3">
        <f>IFERROR(E208*VLOOKUP(B208,PLInter!$A:$D,3,FALSE),"")</f>
        <v>14934</v>
      </c>
      <c r="K208" s="66"/>
      <c r="L208" s="66"/>
      <c r="M208" s="66"/>
      <c r="N208" s="66"/>
      <c r="O208" s="66"/>
      <c r="P208" s="66"/>
      <c r="Q208" s="66"/>
      <c r="R208" s="66"/>
      <c r="S208" s="66"/>
    </row>
    <row r="209" spans="2:19" ht="18" customHeight="1">
      <c r="B209" t="str">
        <f>"10-1110-7000"</f>
        <v>10-1110-7000</v>
      </c>
      <c r="C209" t="str">
        <f>"Dual Axis Vise (BenchMill 6000/ ProMill 8000)"</f>
        <v>Dual Axis Vise (BenchMill 6000/ ProMill 8000)</v>
      </c>
      <c r="D209" s="4"/>
      <c r="E209" s="4">
        <v>1</v>
      </c>
      <c r="F209" s="4"/>
      <c r="G209" s="29" t="str">
        <f>IFERROR(HYPERLINK("#"&amp;ADDRESS(MATCH(B209&amp;"ES",'LM7 Non-ENG'!$A$1:$A$5000,0),1,,,"LM7 Non-ENG"),IF(IFERROR(VLOOKUP(B209&amp;"ES",'LM7 Non-ENG'!$A$1:$A$4999,1,FALSE),"ERROR")=B209&amp;"ES","Y","")),"")</f>
        <v/>
      </c>
      <c r="H209" s="29" t="str">
        <f>IFERROR(HYPERLINK("#"&amp;ADDRESS(MATCH(B209&amp;"PT",'LM7 Non-ENG'!$A$1:$A$5000,0),1,,,"LM7 Non-ENG"),IF(IFERROR(VLOOKUP(B209&amp;"PT",'LM7 Non-ENG'!$A$1:$A$5000,1,FALSE),"ERROR")=B209&amp;"PT","Y","")),"")</f>
        <v/>
      </c>
      <c r="I209" t="str">
        <f>IFERROR(VLOOKUP(B209,PN!$A:$C,3,FALSE),"")</f>
        <v>Active</v>
      </c>
      <c r="J209" s="3">
        <f>IFERROR(E209*VLOOKUP(B209,PLInter!$A:$D,3,FALSE),"")</f>
        <v>740</v>
      </c>
      <c r="K209" s="66"/>
      <c r="L209" s="66"/>
      <c r="M209" s="66"/>
      <c r="N209" s="66"/>
      <c r="O209" s="66"/>
      <c r="P209" s="66"/>
      <c r="Q209" s="66"/>
      <c r="R209" s="66"/>
      <c r="S209" s="66"/>
    </row>
    <row r="210" spans="2:19" ht="18" customHeight="1">
      <c r="B210" t="str">
        <f>"10-1115-2000"</f>
        <v>10-1115-2000</v>
      </c>
      <c r="C210" t="str">
        <f>"Table mounted ATC package"</f>
        <v>Table mounted ATC package</v>
      </c>
      <c r="D210" s="4"/>
      <c r="E210" s="4">
        <v>1</v>
      </c>
      <c r="F210" s="4"/>
      <c r="G210" s="29" t="str">
        <f>IFERROR(HYPERLINK("#"&amp;ADDRESS(MATCH(B210&amp;"ES",'LM7 Non-ENG'!$A$1:$A$5000,0),1,,,"LM7 Non-ENG"),IF(IFERROR(VLOOKUP(B210&amp;"ES",'LM7 Non-ENG'!$A$1:$A$4999,1,FALSE),"ERROR")=B210&amp;"ES","Y","")),"")</f>
        <v/>
      </c>
      <c r="H210" s="29" t="str">
        <f>IFERROR(HYPERLINK("#"&amp;ADDRESS(MATCH(B210&amp;"PT",'LM7 Non-ENG'!$A$1:$A$5000,0),1,,,"LM7 Non-ENG"),IF(IFERROR(VLOOKUP(B210&amp;"PT",'LM7 Non-ENG'!$A$1:$A$5000,1,FALSE),"ERROR")=B210&amp;"PT","Y","")),"")</f>
        <v/>
      </c>
      <c r="I210" t="str">
        <f>IFERROR(VLOOKUP(B210,PN!$A:$C,3,FALSE),"")</f>
        <v>Active</v>
      </c>
      <c r="J210" s="3">
        <f>IFERROR(E210*VLOOKUP(B210,PLInter!$A:$D,3,FALSE),"")</f>
        <v>2188</v>
      </c>
      <c r="K210" s="66"/>
      <c r="L210" s="66"/>
      <c r="M210" s="66"/>
      <c r="N210" s="66"/>
      <c r="O210" s="66"/>
      <c r="P210" s="66"/>
      <c r="Q210" s="66"/>
      <c r="R210" s="66"/>
      <c r="S210" s="66"/>
    </row>
    <row r="211" spans="2:19" ht="18" customHeight="1">
      <c r="B211" t="str">
        <f>"10-1115-0000"</f>
        <v>10-1115-0000</v>
      </c>
      <c r="C211" t="str">
        <f>"ER16 Collet set-8 pieces(2)3,(2)6,(2)8,(2)10mm"</f>
        <v>ER16 Collet set-8 pieces(2)3,(2)6,(2)8,(2)10mm</v>
      </c>
      <c r="D211" s="4"/>
      <c r="E211" s="4">
        <v>1</v>
      </c>
      <c r="F211" s="4"/>
      <c r="G211" s="29" t="str">
        <f>IFERROR(HYPERLINK("#"&amp;ADDRESS(MATCH(B211&amp;"ES",'LM7 Non-ENG'!$A$1:$A$5000,0),1,,,"LM7 Non-ENG"),IF(IFERROR(VLOOKUP(B211&amp;"ES",'LM7 Non-ENG'!$A$1:$A$4999,1,FALSE),"ERROR")=B211&amp;"ES","Y","")),"")</f>
        <v/>
      </c>
      <c r="H211" s="29" t="str">
        <f>IFERROR(HYPERLINK("#"&amp;ADDRESS(MATCH(B211&amp;"PT",'LM7 Non-ENG'!$A$1:$A$5000,0),1,,,"LM7 Non-ENG"),IF(IFERROR(VLOOKUP(B211&amp;"PT",'LM7 Non-ENG'!$A$1:$A$5000,1,FALSE),"ERROR")=B211&amp;"PT","Y","")),"")</f>
        <v/>
      </c>
      <c r="I211" t="str">
        <f>IFERROR(VLOOKUP(B211,PN!$A:$C,3,FALSE),"")</f>
        <v>Active</v>
      </c>
      <c r="J211" s="3">
        <f>IFERROR(E211*VLOOKUP(B211,PLInter!$A:$D,3,FALSE),"")</f>
        <v>207</v>
      </c>
      <c r="K211" s="66"/>
      <c r="L211" s="66"/>
      <c r="M211" s="66"/>
      <c r="N211" s="66"/>
      <c r="O211" s="66"/>
      <c r="P211" s="66"/>
      <c r="Q211" s="66"/>
      <c r="R211" s="66"/>
      <c r="S211" s="66"/>
    </row>
    <row r="212" spans="2:19" ht="18" customHeight="1">
      <c r="B212" t="str">
        <f>"10-1113-4000"</f>
        <v>10-1113-4000</v>
      </c>
      <c r="C212" t="str">
        <f>"Metric Advanced End Mill Package 5121"</f>
        <v>Metric Advanced End Mill Package 5121</v>
      </c>
      <c r="D212" s="4"/>
      <c r="E212" s="4">
        <v>1</v>
      </c>
      <c r="F212" s="4"/>
      <c r="G212" s="29" t="str">
        <f>IFERROR(HYPERLINK("#"&amp;ADDRESS(MATCH(B212&amp;"ES",'LM7 Non-ENG'!$A$1:$A$5000,0),1,,,"LM7 Non-ENG"),IF(IFERROR(VLOOKUP(B212&amp;"ES",'LM7 Non-ENG'!$A$1:$A$4999,1,FALSE),"ERROR")=B212&amp;"ES","Y","")),"")</f>
        <v/>
      </c>
      <c r="H212" s="29" t="str">
        <f>IFERROR(HYPERLINK("#"&amp;ADDRESS(MATCH(B212&amp;"PT",'LM7 Non-ENG'!$A$1:$A$5000,0),1,,,"LM7 Non-ENG"),IF(IFERROR(VLOOKUP(B212&amp;"PT",'LM7 Non-ENG'!$A$1:$A$5000,1,FALSE),"ERROR")=B212&amp;"PT","Y","")),"")</f>
        <v/>
      </c>
      <c r="I212" t="str">
        <f>IFERROR(VLOOKUP(B212,PN!$A:$C,3,FALSE),"")</f>
        <v>Active</v>
      </c>
      <c r="J212" s="3">
        <f>IFERROR(E212*VLOOKUP(B212,PLInter!$A:$D,3,FALSE),"")</f>
        <v>200</v>
      </c>
      <c r="K212" s="66"/>
      <c r="L212" s="66"/>
      <c r="M212" s="66"/>
      <c r="N212" s="66"/>
      <c r="O212" s="66"/>
      <c r="P212" s="66"/>
      <c r="Q212" s="66"/>
      <c r="R212" s="66"/>
      <c r="S212" s="66"/>
    </row>
    <row r="213" spans="2:19" ht="18" customHeight="1">
      <c r="B213" s="2" t="str">
        <f>"10-1113-5000"</f>
        <v>10-1113-5000</v>
      </c>
      <c r="C213" s="2" t="str">
        <f>"Imperial Advanced End Mill Package 5120"</f>
        <v>Imperial Advanced End Mill Package 5120</v>
      </c>
      <c r="D213" s="5"/>
      <c r="E213" s="5">
        <v>1</v>
      </c>
      <c r="F213" s="5" t="str">
        <f>"Y"</f>
        <v>Y</v>
      </c>
      <c r="G213" s="29" t="str">
        <f>IFERROR(HYPERLINK("#"&amp;ADDRESS(MATCH(B213&amp;"ES",'LM7 Non-ENG'!$A$1:$A$5000,0),1,,,"LM7 Non-ENG"),IF(IFERROR(VLOOKUP(B213&amp;"ES",'LM7 Non-ENG'!$A$1:$A$4999,1,FALSE),"ERROR")=B213&amp;"ES","Y","")),"")</f>
        <v/>
      </c>
      <c r="H213" s="29" t="str">
        <f>IFERROR(HYPERLINK("#"&amp;ADDRESS(MATCH(B213&amp;"PT",'LM7 Non-ENG'!$A$1:$A$5000,0),1,,,"LM7 Non-ENG"),IF(IFERROR(VLOOKUP(B213&amp;"PT",'LM7 Non-ENG'!$A$1:$A$5000,1,FALSE),"ERROR")=B213&amp;"PT","Y","")),"")</f>
        <v/>
      </c>
      <c r="I213" t="str">
        <f>IFERROR(VLOOKUP(B213,PN!$A:$C,3,FALSE),"")</f>
        <v>Active</v>
      </c>
      <c r="J213" s="3">
        <f>IFERROR(E213*VLOOKUP(B213,PLInter!$A:$D,3,FALSE),"")</f>
        <v>200</v>
      </c>
      <c r="K213" s="66"/>
      <c r="L213" s="66"/>
      <c r="M213" s="66"/>
      <c r="N213" s="66"/>
      <c r="O213" s="66"/>
      <c r="P213" s="66"/>
      <c r="Q213" s="66"/>
      <c r="R213" s="66"/>
      <c r="S213" s="66"/>
    </row>
    <row r="214" spans="2:19" ht="18" customHeight="1">
      <c r="B214" t="str">
        <f>"10-1111-1000"</f>
        <v>10-1111-1000</v>
      </c>
      <c r="C214" t="str">
        <f>"Hand wheel"</f>
        <v>Hand wheel</v>
      </c>
      <c r="D214" s="4"/>
      <c r="E214" s="4">
        <v>1</v>
      </c>
      <c r="F214" s="4"/>
      <c r="G214" s="29" t="str">
        <f>IFERROR(HYPERLINK("#"&amp;ADDRESS(MATCH(B214&amp;"ES",'LM7 Non-ENG'!$A$1:$A$5000,0),1,,,"LM7 Non-ENG"),IF(IFERROR(VLOOKUP(B214&amp;"ES",'LM7 Non-ENG'!$A$1:$A$4999,1,FALSE),"ERROR")=B214&amp;"ES","Y","")),"")</f>
        <v/>
      </c>
      <c r="H214" s="29" t="str">
        <f>IFERROR(HYPERLINK("#"&amp;ADDRESS(MATCH(B214&amp;"PT",'LM7 Non-ENG'!$A$1:$A$5000,0),1,,,"LM7 Non-ENG"),IF(IFERROR(VLOOKUP(B214&amp;"PT",'LM7 Non-ENG'!$A$1:$A$5000,1,FALSE),"ERROR")=B214&amp;"PT","Y","")),"")</f>
        <v/>
      </c>
      <c r="I214" t="str">
        <f>IFERROR(VLOOKUP(B214,PN!$A:$C,3,FALSE),"")</f>
        <v>Active</v>
      </c>
      <c r="J214" s="3">
        <f>IFERROR(E214*VLOOKUP(B214,PLInter!$A:$D,3,FALSE),"")</f>
        <v>795</v>
      </c>
      <c r="K214" s="66"/>
      <c r="L214" s="66"/>
      <c r="M214" s="66"/>
      <c r="N214" s="66"/>
      <c r="O214" s="66"/>
      <c r="P214" s="66"/>
      <c r="Q214" s="66"/>
      <c r="R214" s="66"/>
      <c r="S214" s="66"/>
    </row>
    <row r="215" spans="2:19" ht="18" customHeight="1">
      <c r="B215" s="1" t="str">
        <f>"10-1111-6000"</f>
        <v>10-1111-6000</v>
      </c>
      <c r="C215" s="1" t="str">
        <f>"4"" Precision Maching Vise"</f>
        <v>4" Precision Maching Vise</v>
      </c>
      <c r="D215" s="6" t="s">
        <v>0</v>
      </c>
      <c r="E215" s="6">
        <v>1</v>
      </c>
      <c r="F215" s="6"/>
      <c r="G215" s="29" t="str">
        <f>IFERROR(HYPERLINK("#"&amp;ADDRESS(MATCH(B215&amp;"ES",'LM7 Non-ENG'!$A$1:$A$5000,0),1,,,"LM7 Non-ENG"),IF(IFERROR(VLOOKUP(B215&amp;"ES",'LM7 Non-ENG'!$A$1:$A$4999,1,FALSE),"ERROR")=B215&amp;"ES","Y","")),"")</f>
        <v/>
      </c>
      <c r="H215" s="29" t="str">
        <f>IFERROR(HYPERLINK("#"&amp;ADDRESS(MATCH(B215&amp;"PT",'LM7 Non-ENG'!$A$1:$A$5000,0),1,,,"LM7 Non-ENG"),IF(IFERROR(VLOOKUP(B215&amp;"PT",'LM7 Non-ENG'!$A$1:$A$5000,1,FALSE),"ERROR")=B215&amp;"PT","Y","")),"")</f>
        <v/>
      </c>
      <c r="I215" t="str">
        <f>IFERROR(VLOOKUP(B215,PN!$A:$C,3,FALSE),"")</f>
        <v>Active</v>
      </c>
      <c r="J215" s="3">
        <f>IFERROR(E215*VLOOKUP(B215,PLInter!$A:$D,3,FALSE),"")</f>
        <v>206</v>
      </c>
      <c r="K215" s="66"/>
      <c r="L215" s="66"/>
      <c r="M215" s="66"/>
      <c r="N215" s="66"/>
      <c r="O215" s="66"/>
      <c r="P215" s="66"/>
      <c r="Q215" s="66"/>
      <c r="R215" s="66"/>
      <c r="S215" s="66"/>
    </row>
    <row r="216" spans="2:19" ht="18" customHeight="1">
      <c r="B216" s="1" t="str">
        <f>"10-1111-5000"</f>
        <v>10-1111-5000</v>
      </c>
      <c r="C216" s="1" t="str">
        <f>"clamping kit 58 pcs set"</f>
        <v>clamping kit 58 pcs set</v>
      </c>
      <c r="D216" s="6" t="s">
        <v>0</v>
      </c>
      <c r="E216" s="6">
        <v>1</v>
      </c>
      <c r="F216" s="6"/>
      <c r="G216" s="29" t="str">
        <f>IFERROR(HYPERLINK("#"&amp;ADDRESS(MATCH(B216&amp;"ES",'LM7 Non-ENG'!$A$1:$A$5000,0),1,,,"LM7 Non-ENG"),IF(IFERROR(VLOOKUP(B216&amp;"ES",'LM7 Non-ENG'!$A$1:$A$4999,1,FALSE),"ERROR")=B216&amp;"ES","Y","")),"")</f>
        <v/>
      </c>
      <c r="H216" s="29" t="str">
        <f>IFERROR(HYPERLINK("#"&amp;ADDRESS(MATCH(B216&amp;"PT",'LM7 Non-ENG'!$A$1:$A$5000,0),1,,,"LM7 Non-ENG"),IF(IFERROR(VLOOKUP(B216&amp;"PT",'LM7 Non-ENG'!$A$1:$A$5000,1,FALSE),"ERROR")=B216&amp;"PT","Y","")),"")</f>
        <v/>
      </c>
      <c r="I216" t="str">
        <f>IFERROR(VLOOKUP(B216,PN!$A:$C,3,FALSE),"")</f>
        <v>Active</v>
      </c>
      <c r="J216" s="3">
        <f>IFERROR(E216*VLOOKUP(B216,PLInter!$A:$D,3,FALSE),"")</f>
        <v>175</v>
      </c>
      <c r="K216" s="66"/>
      <c r="L216" s="66"/>
      <c r="M216" s="66"/>
      <c r="N216" s="66"/>
      <c r="O216" s="66"/>
      <c r="P216" s="66"/>
      <c r="Q216" s="66"/>
      <c r="R216" s="66"/>
      <c r="S216" s="66"/>
    </row>
    <row r="217" spans="2:19" ht="18" customHeight="1">
      <c r="B217" s="1" t="str">
        <f>"10-1108-8000"</f>
        <v>10-1108-8000</v>
      </c>
      <c r="C217" s="1" t="str">
        <f>"100mm rotary worktable (4th axis) with tailstock"</f>
        <v>100mm rotary worktable (4th axis) with tailstock</v>
      </c>
      <c r="D217" s="6" t="s">
        <v>0</v>
      </c>
      <c r="E217" s="6">
        <v>1</v>
      </c>
      <c r="F217" s="6"/>
      <c r="G217" s="29" t="str">
        <f>IFERROR(HYPERLINK("#"&amp;ADDRESS(MATCH(B217&amp;"ES",'LM7 Non-ENG'!$A$1:$A$5000,0),1,,,"LM7 Non-ENG"),IF(IFERROR(VLOOKUP(B217&amp;"ES",'LM7 Non-ENG'!$A$1:$A$4999,1,FALSE),"ERROR")=B217&amp;"ES","Y","")),"")</f>
        <v/>
      </c>
      <c r="H217" s="29" t="str">
        <f>IFERROR(HYPERLINK("#"&amp;ADDRESS(MATCH(B217&amp;"PT",'LM7 Non-ENG'!$A$1:$A$5000,0),1,,,"LM7 Non-ENG"),IF(IFERROR(VLOOKUP(B217&amp;"PT",'LM7 Non-ENG'!$A$1:$A$5000,1,FALSE),"ERROR")=B217&amp;"PT","Y","")),"")</f>
        <v/>
      </c>
      <c r="I217" t="str">
        <f>IFERROR(VLOOKUP(B217,PN!$A:$C,3,FALSE),"")</f>
        <v>Active</v>
      </c>
      <c r="J217" s="3">
        <f>IFERROR(E217*VLOOKUP(B217,PLInter!$A:$D,3,FALSE),"")</f>
        <v>2126</v>
      </c>
      <c r="K217" s="66"/>
      <c r="L217" s="66"/>
      <c r="M217" s="66"/>
      <c r="N217" s="66"/>
      <c r="O217" s="66"/>
      <c r="P217" s="66"/>
      <c r="Q217" s="66"/>
      <c r="R217" s="66"/>
      <c r="S217" s="66"/>
    </row>
    <row r="218" spans="2:19" ht="18" customHeight="1">
      <c r="B218" s="1" t="str">
        <f>"10-1109-3000"</f>
        <v>10-1109-3000</v>
      </c>
      <c r="C218" s="1" t="str">
        <f>"80mm 3-jaw chuck"</f>
        <v>80mm 3-jaw chuck</v>
      </c>
      <c r="D218" s="6" t="s">
        <v>0</v>
      </c>
      <c r="E218" s="6">
        <v>1</v>
      </c>
      <c r="F218" s="6"/>
      <c r="G218" s="29" t="str">
        <f>IFERROR(HYPERLINK("#"&amp;ADDRESS(MATCH(B218&amp;"ES",'LM7 Non-ENG'!$A$1:$A$5000,0),1,,,"LM7 Non-ENG"),IF(IFERROR(VLOOKUP(B218&amp;"ES",'LM7 Non-ENG'!$A$1:$A$4999,1,FALSE),"ERROR")=B218&amp;"ES","Y","")),"")</f>
        <v/>
      </c>
      <c r="H218" s="29" t="str">
        <f>IFERROR(HYPERLINK("#"&amp;ADDRESS(MATCH(B218&amp;"PT",'LM7 Non-ENG'!$A$1:$A$5000,0),1,,,"LM7 Non-ENG"),IF(IFERROR(VLOOKUP(B218&amp;"PT",'LM7 Non-ENG'!$A$1:$A$5000,1,FALSE),"ERROR")=B218&amp;"PT","Y","")),"")</f>
        <v/>
      </c>
      <c r="I218" t="str">
        <f>IFERROR(VLOOKUP(B218,PN!$A:$C,3,FALSE),"")</f>
        <v>Active</v>
      </c>
      <c r="J218" s="3">
        <f>IFERROR(E218*VLOOKUP(B218,PLInter!$A:$D,3,FALSE),"")</f>
        <v>186</v>
      </c>
      <c r="K218" s="66"/>
      <c r="L218" s="66"/>
      <c r="M218" s="66"/>
      <c r="N218" s="66"/>
      <c r="O218" s="66"/>
      <c r="P218" s="66"/>
      <c r="Q218" s="66"/>
      <c r="R218" s="66"/>
      <c r="S218" s="66"/>
    </row>
    <row r="219" spans="2:19" ht="18" customHeight="1">
      <c r="B219" s="1" t="str">
        <f>"10-1112-2000"</f>
        <v>10-1112-2000</v>
      </c>
      <c r="C219" s="1" t="str">
        <f>"ER16 Collet set-8 pieces(3,4,5,6,7,8,9 and 10mm)"</f>
        <v>ER16 Collet set-8 pieces(3,4,5,6,7,8,9 and 10mm)</v>
      </c>
      <c r="D219" s="6" t="s">
        <v>0</v>
      </c>
      <c r="E219" s="6">
        <v>1</v>
      </c>
      <c r="F219" s="6"/>
      <c r="G219" s="29" t="str">
        <f>IFERROR(HYPERLINK("#"&amp;ADDRESS(MATCH(B219&amp;"ES",'LM7 Non-ENG'!$A$1:$A$5000,0),1,,,"LM7 Non-ENG"),IF(IFERROR(VLOOKUP(B219&amp;"ES",'LM7 Non-ENG'!$A$1:$A$4999,1,FALSE),"ERROR")=B219&amp;"ES","Y","")),"")</f>
        <v/>
      </c>
      <c r="H219" s="29" t="str">
        <f>IFERROR(HYPERLINK("#"&amp;ADDRESS(MATCH(B219&amp;"PT",'LM7 Non-ENG'!$A$1:$A$5000,0),1,,,"LM7 Non-ENG"),IF(IFERROR(VLOOKUP(B219&amp;"PT",'LM7 Non-ENG'!$A$1:$A$5000,1,FALSE),"ERROR")=B219&amp;"PT","Y","")),"")</f>
        <v/>
      </c>
      <c r="I219" t="str">
        <f>IFERROR(VLOOKUP(B219,PN!$A:$C,3,FALSE),"")</f>
        <v>Active</v>
      </c>
      <c r="J219" s="3">
        <f>IFERROR(E219*VLOOKUP(B219,PLInter!$A:$D,3,FALSE),"")</f>
        <v>226</v>
      </c>
      <c r="K219" s="66"/>
      <c r="L219" s="66"/>
      <c r="M219" s="66"/>
      <c r="N219" s="66"/>
      <c r="O219" s="66"/>
      <c r="P219" s="66"/>
      <c r="Q219" s="66"/>
      <c r="R219" s="66"/>
      <c r="S219" s="66"/>
    </row>
    <row r="220" spans="2:19" ht="18" customHeight="1">
      <c r="B220" s="1" t="str">
        <f>"10-1108-1220"</f>
        <v>10-1108-1220</v>
      </c>
      <c r="C220" s="1" t="str">
        <f>"Coolant system 27L"</f>
        <v>Coolant system 27L</v>
      </c>
      <c r="D220" s="6" t="s">
        <v>0</v>
      </c>
      <c r="E220" s="6">
        <v>1</v>
      </c>
      <c r="F220" s="6"/>
      <c r="G220" s="29" t="str">
        <f>IFERROR(HYPERLINK("#"&amp;ADDRESS(MATCH(B220&amp;"ES",'LM7 Non-ENG'!$A$1:$A$5000,0),1,,,"LM7 Non-ENG"),IF(IFERROR(VLOOKUP(B220&amp;"ES",'LM7 Non-ENG'!$A$1:$A$4999,1,FALSE),"ERROR")=B220&amp;"ES","Y","")),"")</f>
        <v/>
      </c>
      <c r="H220" s="29" t="str">
        <f>IFERROR(HYPERLINK("#"&amp;ADDRESS(MATCH(B220&amp;"PT",'LM7 Non-ENG'!$A$1:$A$5000,0),1,,,"LM7 Non-ENG"),IF(IFERROR(VLOOKUP(B220&amp;"PT",'LM7 Non-ENG'!$A$1:$A$5000,1,FALSE),"ERROR")=B220&amp;"PT","Y","")),"")</f>
        <v/>
      </c>
      <c r="I220" t="str">
        <f>IFERROR(VLOOKUP(B220,PN!$A:$C,3,FALSE),"")</f>
        <v>Active</v>
      </c>
      <c r="J220" s="3">
        <f>IFERROR(E220*VLOOKUP(B220,PLInter!$A:$D,3,FALSE),"")</f>
        <v>407</v>
      </c>
      <c r="K220" s="66"/>
      <c r="L220" s="66"/>
      <c r="M220" s="66"/>
      <c r="N220" s="66"/>
      <c r="O220" s="66"/>
      <c r="P220" s="66"/>
      <c r="Q220" s="66"/>
      <c r="R220" s="66"/>
      <c r="S220" s="66"/>
    </row>
    <row r="221" spans="2:19" ht="18" customHeight="1">
      <c r="B221" s="2" t="str">
        <f>"10-1108-1110"</f>
        <v>10-1108-1110</v>
      </c>
      <c r="C221" s="2" t="str">
        <f>"Coolant system 27L - 110V"</f>
        <v>Coolant system 27L - 110V</v>
      </c>
      <c r="D221" s="5" t="s">
        <v>0</v>
      </c>
      <c r="E221" s="5">
        <v>1</v>
      </c>
      <c r="F221" s="5" t="str">
        <f>"Y"</f>
        <v>Y</v>
      </c>
      <c r="G221" s="29" t="str">
        <f>IFERROR(HYPERLINK("#"&amp;ADDRESS(MATCH(B221&amp;"ES",'LM7 Non-ENG'!$A$1:$A$5000,0),1,,,"LM7 Non-ENG"),IF(IFERROR(VLOOKUP(B221&amp;"ES",'LM7 Non-ENG'!$A$1:$A$4999,1,FALSE),"ERROR")=B221&amp;"ES","Y","")),"")</f>
        <v/>
      </c>
      <c r="H221" s="29" t="str">
        <f>IFERROR(HYPERLINK("#"&amp;ADDRESS(MATCH(B221&amp;"PT",'LM7 Non-ENG'!$A$1:$A$5000,0),1,,,"LM7 Non-ENG"),IF(IFERROR(VLOOKUP(B221&amp;"PT",'LM7 Non-ENG'!$A$1:$A$5000,1,FALSE),"ERROR")=B221&amp;"PT","Y","")),"")</f>
        <v/>
      </c>
      <c r="I221" t="str">
        <f>IFERROR(VLOOKUP(B221,PN!$A:$C,3,FALSE),"")</f>
        <v>Active</v>
      </c>
      <c r="J221" s="3">
        <f>IFERROR(E221*VLOOKUP(B221,PLInter!$A:$D,3,FALSE),"")</f>
        <v>407</v>
      </c>
      <c r="K221" s="66"/>
      <c r="L221" s="66"/>
      <c r="M221" s="66"/>
      <c r="N221" s="66"/>
      <c r="O221" s="66"/>
      <c r="P221" s="66"/>
      <c r="Q221" s="66"/>
      <c r="R221" s="66"/>
      <c r="S221" s="66"/>
    </row>
    <row r="222" spans="2:19" ht="18" customHeight="1">
      <c r="B222" s="1" t="str">
        <f>"10-1111-9000"</f>
        <v>10-1111-9000</v>
      </c>
      <c r="C222" s="1" t="str">
        <f>"ISO 20 tool holder with nut"</f>
        <v>ISO 20 tool holder with nut</v>
      </c>
      <c r="D222" s="6" t="s">
        <v>0</v>
      </c>
      <c r="E222" s="6">
        <v>4</v>
      </c>
      <c r="F222" s="6"/>
      <c r="G222" s="29" t="str">
        <f>IFERROR(HYPERLINK("#"&amp;ADDRESS(MATCH(B222&amp;"ES",'LM7 Non-ENG'!$A$1:$A$5000,0),1,,,"LM7 Non-ENG"),IF(IFERROR(VLOOKUP(B222&amp;"ES",'LM7 Non-ENG'!$A$1:$A$4999,1,FALSE),"ERROR")=B222&amp;"ES","Y","")),"")</f>
        <v/>
      </c>
      <c r="H222" s="29" t="str">
        <f>IFERROR(HYPERLINK("#"&amp;ADDRESS(MATCH(B222&amp;"PT",'LM7 Non-ENG'!$A$1:$A$5000,0),1,,,"LM7 Non-ENG"),IF(IFERROR(VLOOKUP(B222&amp;"PT",'LM7 Non-ENG'!$A$1:$A$5000,1,FALSE),"ERROR")=B222&amp;"PT","Y","")),"")</f>
        <v/>
      </c>
      <c r="I222" t="str">
        <f>IFERROR(VLOOKUP(B222,PN!$A:$C,3,FALSE),"")</f>
        <v>Active</v>
      </c>
      <c r="J222" s="3">
        <f>IFERROR(E222*VLOOKUP(B222,PLInter!$A:$D,3,FALSE),"")</f>
        <v>1440</v>
      </c>
      <c r="K222" s="66"/>
      <c r="L222" s="66"/>
      <c r="M222" s="66"/>
      <c r="N222" s="66"/>
      <c r="O222" s="66"/>
      <c r="P222" s="66"/>
      <c r="Q222" s="66"/>
      <c r="R222" s="66"/>
      <c r="S222" s="66"/>
    </row>
    <row r="223" spans="2:19" ht="18" customHeight="1">
      <c r="B223" t="str">
        <f>"10-1113-6000"</f>
        <v>10-1113-6000</v>
      </c>
      <c r="C223" t="str">
        <f>"Metric Engraving Package 5711"</f>
        <v>Metric Engraving Package 5711</v>
      </c>
      <c r="D223" s="4"/>
      <c r="E223" s="4">
        <v>1</v>
      </c>
      <c r="F223" s="4"/>
      <c r="G223" s="29" t="str">
        <f>IFERROR(HYPERLINK("#"&amp;ADDRESS(MATCH(B223&amp;"ES",'LM7 Non-ENG'!$A$1:$A$5000,0),1,,,"LM7 Non-ENG"),IF(IFERROR(VLOOKUP(B223&amp;"ES",'LM7 Non-ENG'!$A$1:$A$4999,1,FALSE),"ERROR")=B223&amp;"ES","Y","")),"")</f>
        <v/>
      </c>
      <c r="H223" s="29" t="str">
        <f>IFERROR(HYPERLINK("#"&amp;ADDRESS(MATCH(B223&amp;"PT",'LM7 Non-ENG'!$A$1:$A$5000,0),1,,,"LM7 Non-ENG"),IF(IFERROR(VLOOKUP(B223&amp;"PT",'LM7 Non-ENG'!$A$1:$A$5000,1,FALSE),"ERROR")=B223&amp;"PT","Y","")),"")</f>
        <v/>
      </c>
      <c r="I223" t="str">
        <f>IFERROR(VLOOKUP(B223,PN!$A:$C,3,FALSE),"")</f>
        <v>Active</v>
      </c>
      <c r="J223" s="3">
        <f>IFERROR(E223*VLOOKUP(B223,PLInter!$A:$D,3,FALSE),"")</f>
        <v>157</v>
      </c>
      <c r="K223" s="66"/>
      <c r="L223" s="66"/>
      <c r="M223" s="66"/>
      <c r="N223" s="66"/>
      <c r="O223" s="66"/>
      <c r="P223" s="66"/>
      <c r="Q223" s="66"/>
      <c r="R223" s="66"/>
      <c r="S223" s="66"/>
    </row>
    <row r="224" spans="2:19" ht="18" customHeight="1">
      <c r="B224" s="2" t="str">
        <f>"10-1113-7000"</f>
        <v>10-1113-7000</v>
      </c>
      <c r="C224" s="2" t="str">
        <f>"Imperial Engraving Package 5710"</f>
        <v>Imperial Engraving Package 5710</v>
      </c>
      <c r="D224" s="5"/>
      <c r="E224" s="5">
        <v>1</v>
      </c>
      <c r="F224" s="5" t="str">
        <f>"Y"</f>
        <v>Y</v>
      </c>
      <c r="G224" s="29" t="str">
        <f>IFERROR(HYPERLINK("#"&amp;ADDRESS(MATCH(B224&amp;"ES",'LM7 Non-ENG'!$A$1:$A$5000,0),1,,,"LM7 Non-ENG"),IF(IFERROR(VLOOKUP(B224&amp;"ES",'LM7 Non-ENG'!$A$1:$A$4999,1,FALSE),"ERROR")=B224&amp;"ES","Y","")),"")</f>
        <v/>
      </c>
      <c r="H224" s="29" t="str">
        <f>IFERROR(HYPERLINK("#"&amp;ADDRESS(MATCH(B224&amp;"PT",'LM7 Non-ENG'!$A$1:$A$5000,0),1,,,"LM7 Non-ENG"),IF(IFERROR(VLOOKUP(B224&amp;"PT",'LM7 Non-ENG'!$A$1:$A$5000,1,FALSE),"ERROR")=B224&amp;"PT","Y","")),"")</f>
        <v/>
      </c>
      <c r="I224" t="str">
        <f>IFERROR(VLOOKUP(B224,PN!$A:$C,3,FALSE),"")</f>
        <v>Active</v>
      </c>
      <c r="J224" s="3">
        <f>IFERROR(E224*VLOOKUP(B224,PLInter!$A:$D,3,FALSE),"")</f>
        <v>157</v>
      </c>
      <c r="K224" s="66"/>
      <c r="L224" s="66"/>
      <c r="M224" s="66"/>
      <c r="N224" s="66"/>
      <c r="O224" s="66"/>
      <c r="P224" s="66"/>
      <c r="Q224" s="66"/>
      <c r="R224" s="66"/>
      <c r="S224" s="66"/>
    </row>
    <row r="225" spans="1:19" ht="18" customHeight="1">
      <c r="B225" s="1" t="str">
        <f>"10-1111-3000"</f>
        <v>10-1111-3000</v>
      </c>
      <c r="C225" s="1" t="str">
        <f>"Fanuc simulator with software"</f>
        <v>Fanuc simulator with software</v>
      </c>
      <c r="D225" s="6" t="s">
        <v>0</v>
      </c>
      <c r="E225" s="6">
        <v>1</v>
      </c>
      <c r="F225" s="6"/>
      <c r="G225" s="29" t="str">
        <f>IFERROR(HYPERLINK("#"&amp;ADDRESS(MATCH(B225&amp;"ES",'LM7 Non-ENG'!$A$1:$A$5000,0),1,,,"LM7 Non-ENG"),IF(IFERROR(VLOOKUP(B225&amp;"ES",'LM7 Non-ENG'!$A$1:$A$4999,1,FALSE),"ERROR")=B225&amp;"ES","Y","")),"")</f>
        <v/>
      </c>
      <c r="H225" s="29" t="str">
        <f>IFERROR(HYPERLINK("#"&amp;ADDRESS(MATCH(B225&amp;"PT",'LM7 Non-ENG'!$A$1:$A$5000,0),1,,,"LM7 Non-ENG"),IF(IFERROR(VLOOKUP(B225&amp;"PT",'LM7 Non-ENG'!$A$1:$A$5000,1,FALSE),"ERROR")=B225&amp;"PT","Y","")),"")</f>
        <v/>
      </c>
      <c r="I225" t="str">
        <f>IFERROR(VLOOKUP(B225,PN!$A:$C,3,FALSE),"")</f>
        <v>Phase Out</v>
      </c>
      <c r="J225" s="3" t="str">
        <f>IFERROR(E225*VLOOKUP(B225,PLInter!$A:$D,3,FALSE),"")</f>
        <v/>
      </c>
      <c r="K225" s="66"/>
      <c r="L225" s="66"/>
      <c r="M225" s="66"/>
      <c r="N225" s="66"/>
      <c r="O225" s="66"/>
      <c r="P225" s="66"/>
      <c r="Q225" s="66"/>
      <c r="R225" s="66"/>
      <c r="S225" s="66"/>
    </row>
    <row r="226" spans="1:19" ht="18" customHeight="1">
      <c r="B226" t="str">
        <f>"63-6723-0000"</f>
        <v>63-6723-0000</v>
      </c>
      <c r="C226" t="str">
        <f>"SpectraCAD Engraver software – Download Only"</f>
        <v>SpectraCAD Engraver software – Download Only</v>
      </c>
      <c r="D226" s="4"/>
      <c r="E226" s="4">
        <v>1</v>
      </c>
      <c r="F226" s="4"/>
      <c r="G226" s="29" t="str">
        <f>IFERROR(HYPERLINK("#"&amp;ADDRESS(MATCH(B226&amp;"ES",'LM7 Non-ENG'!$A$1:$A$5000,0),1,,,"LM7 Non-ENG"),IF(IFERROR(VLOOKUP(B226&amp;"ES",'LM7 Non-ENG'!$A$1:$A$4999,1,FALSE),"ERROR")=B226&amp;"ES","Y","")),"")</f>
        <v/>
      </c>
      <c r="H226" s="29" t="str">
        <f>IFERROR(HYPERLINK("#"&amp;ADDRESS(MATCH(B226&amp;"PT",'LM7 Non-ENG'!$A$1:$A$5000,0),1,,,"LM7 Non-ENG"),IF(IFERROR(VLOOKUP(B226&amp;"PT",'LM7 Non-ENG'!$A$1:$A$5000,1,FALSE),"ERROR")=B226&amp;"PT","Y","")),"")</f>
        <v/>
      </c>
      <c r="I226" t="str">
        <f>IFERROR(VLOOKUP(B226,PN!$A:$C,3,FALSE),"")</f>
        <v>Active</v>
      </c>
      <c r="J226" s="3">
        <f>IFERROR(E226*VLOOKUP(B226,PLInter!$A:$D,3,FALSE),"")</f>
        <v>500</v>
      </c>
      <c r="K226" s="66"/>
      <c r="L226" s="66"/>
      <c r="M226" s="66"/>
      <c r="N226" s="66"/>
      <c r="O226" s="66"/>
      <c r="P226" s="66"/>
      <c r="Q226" s="66"/>
      <c r="R226" s="66"/>
      <c r="S226" s="66"/>
    </row>
    <row r="227" spans="1:19" ht="18" customHeight="1">
      <c r="B227" t="str">
        <f>"63-6001-1000"</f>
        <v>63-6001-1000</v>
      </c>
      <c r="C227" t="str">
        <f>"CNCMotion Sim. Sftwr, BenchMill 6000"</f>
        <v>CNCMotion Sim. Sftwr, BenchMill 6000</v>
      </c>
      <c r="D227" s="4"/>
      <c r="E227" s="4">
        <v>1</v>
      </c>
      <c r="F227" s="4"/>
      <c r="G227" s="29" t="str">
        <f>IFERROR(HYPERLINK("#"&amp;ADDRESS(MATCH(B227&amp;"ES",'LM7 Non-ENG'!$A$1:$A$5000,0),1,,,"LM7 Non-ENG"),IF(IFERROR(VLOOKUP(B227&amp;"ES",'LM7 Non-ENG'!$A$1:$A$4999,1,FALSE),"ERROR")=B227&amp;"ES","Y","")),"")</f>
        <v/>
      </c>
      <c r="H227" s="29" t="str">
        <f>IFERROR(HYPERLINK("#"&amp;ADDRESS(MATCH(B227&amp;"PT",'LM7 Non-ENG'!$A$1:$A$5000,0),1,,,"LM7 Non-ENG"),IF(IFERROR(VLOOKUP(B227&amp;"PT",'LM7 Non-ENG'!$A$1:$A$5000,1,FALSE),"ERROR")=B227&amp;"PT","Y","")),"")</f>
        <v/>
      </c>
      <c r="I227" t="str">
        <f>IFERROR(VLOOKUP(B227,PN!$A:$C,3,FALSE),"")</f>
        <v>Active</v>
      </c>
      <c r="J227" s="3">
        <f>IFERROR(E227*VLOOKUP(B227,PLInter!$A:$D,3,FALSE),"")</f>
        <v>500</v>
      </c>
      <c r="K227" s="66"/>
      <c r="L227" s="66"/>
      <c r="M227" s="66"/>
      <c r="N227" s="66"/>
      <c r="O227" s="66"/>
      <c r="P227" s="66"/>
      <c r="Q227" s="66"/>
      <c r="R227" s="66"/>
      <c r="S227" s="66"/>
    </row>
    <row r="228" spans="1:19" ht="18" customHeight="1">
      <c r="B228" s="2" t="str">
        <f>"63-6001-2000"</f>
        <v>63-6001-2000</v>
      </c>
      <c r="C228" s="2" t="str">
        <f>"Fanuc Simulation Sftwr, BenchMill 6000"</f>
        <v>Fanuc Simulation Sftwr, BenchMill 6000</v>
      </c>
      <c r="D228" s="5"/>
      <c r="E228" s="5">
        <v>1</v>
      </c>
      <c r="F228" s="5" t="str">
        <f>"Y"</f>
        <v>Y</v>
      </c>
      <c r="G228" s="29" t="str">
        <f>IFERROR(HYPERLINK("#"&amp;ADDRESS(MATCH(B228&amp;"ES",'LM7 Non-ENG'!$A$1:$A$5000,0),1,,,"LM7 Non-ENG"),IF(IFERROR(VLOOKUP(B228&amp;"ES",'LM7 Non-ENG'!$A$1:$A$4999,1,FALSE),"ERROR")=B228&amp;"ES","Y","")),"")</f>
        <v/>
      </c>
      <c r="H228" s="29" t="str">
        <f>IFERROR(HYPERLINK("#"&amp;ADDRESS(MATCH(B228&amp;"PT",'LM7 Non-ENG'!$A$1:$A$5000,0),1,,,"LM7 Non-ENG"),IF(IFERROR(VLOOKUP(B228&amp;"PT",'LM7 Non-ENG'!$A$1:$A$5000,1,FALSE),"ERROR")=B228&amp;"PT","Y","")),"")</f>
        <v/>
      </c>
      <c r="I228" t="str">
        <f>IFERROR(VLOOKUP(B228,PN!$A:$C,3,FALSE),"")</f>
        <v>Active</v>
      </c>
      <c r="J228" s="3">
        <f>IFERROR(E228*VLOOKUP(B228,PLInter!$A:$D,3,FALSE),"")</f>
        <v>500</v>
      </c>
      <c r="K228" s="66"/>
      <c r="L228" s="66"/>
      <c r="M228" s="66"/>
      <c r="N228" s="66"/>
      <c r="O228" s="66"/>
      <c r="P228" s="66"/>
      <c r="Q228" s="66"/>
      <c r="R228" s="66"/>
      <c r="S228" s="66"/>
    </row>
    <row r="229" spans="1:19" ht="18" customHeight="1">
      <c r="B229" t="str">
        <f>"63-6733-0000"</f>
        <v>63-6733-0000</v>
      </c>
      <c r="C229" t="str">
        <f>"Software, SpectraCAM Milling"</f>
        <v>Software, SpectraCAM Milling</v>
      </c>
      <c r="D229" s="4"/>
      <c r="E229" s="4">
        <v>1</v>
      </c>
      <c r="F229" s="4"/>
      <c r="G229" s="29" t="str">
        <f>IFERROR(HYPERLINK("#"&amp;ADDRESS(MATCH(B229&amp;"ES",'LM7 Non-ENG'!$A$1:$A$5000,0),1,,,"LM7 Non-ENG"),IF(IFERROR(VLOOKUP(B229&amp;"ES",'LM7 Non-ENG'!$A$1:$A$4999,1,FALSE),"ERROR")=B229&amp;"ES","Y","")),"")</f>
        <v/>
      </c>
      <c r="H229" s="29" t="str">
        <f>IFERROR(HYPERLINK("#"&amp;ADDRESS(MATCH(B229&amp;"PT",'LM7 Non-ENG'!$A$1:$A$5000,0),1,,,"LM7 Non-ENG"),IF(IFERROR(VLOOKUP(B229&amp;"PT",'LM7 Non-ENG'!$A$1:$A$5000,1,FALSE),"ERROR")=B229&amp;"PT","Y","")),"")</f>
        <v/>
      </c>
      <c r="I229" t="str">
        <f>IFERROR(VLOOKUP(B229,PN!$A:$C,3,FALSE),"")</f>
        <v>Active</v>
      </c>
      <c r="J229" s="3">
        <f>IFERROR(E229*VLOOKUP(B229,PLInter!$A:$D,3,FALSE),"")</f>
        <v>500</v>
      </c>
      <c r="K229" s="66"/>
      <c r="L229" s="66"/>
      <c r="M229" s="66"/>
      <c r="N229" s="66"/>
      <c r="O229" s="66"/>
      <c r="P229" s="66"/>
      <c r="Q229" s="66"/>
      <c r="R229" s="66"/>
      <c r="S229" s="66"/>
    </row>
    <row r="230" spans="1:19" ht="18" customHeight="1">
      <c r="B230" t="str">
        <f>"113034"</f>
        <v>113034</v>
      </c>
      <c r="C230" t="str">
        <f>"Raw Material Stock - Perspex Block"</f>
        <v>Raw Material Stock - Perspex Block</v>
      </c>
      <c r="D230" s="4"/>
      <c r="E230" s="4">
        <v>50</v>
      </c>
      <c r="F230" s="4"/>
      <c r="G230" s="29" t="str">
        <f>IFERROR(HYPERLINK("#"&amp;ADDRESS(MATCH(B230&amp;"ES",'LM7 Non-ENG'!$A$1:$A$5000,0),1,,,"LM7 Non-ENG"),IF(IFERROR(VLOOKUP(B230&amp;"ES",'LM7 Non-ENG'!$A$1:$A$4999,1,FALSE),"ERROR")=B230&amp;"ES","Y","")),"")</f>
        <v/>
      </c>
      <c r="H230" s="29" t="str">
        <f>IFERROR(HYPERLINK("#"&amp;ADDRESS(MATCH(B230&amp;"PT",'LM7 Non-ENG'!$A$1:$A$5000,0),1,,,"LM7 Non-ENG"),IF(IFERROR(VLOOKUP(B230&amp;"PT",'LM7 Non-ENG'!$A$1:$A$5000,1,FALSE),"ERROR")=B230&amp;"PT","Y","")),"")</f>
        <v/>
      </c>
      <c r="I230" t="str">
        <f>IFERROR(VLOOKUP(B230,PN!$A:$C,3,FALSE),"")</f>
        <v>Active</v>
      </c>
      <c r="J230" s="3">
        <f>IFERROR(E230*VLOOKUP(B230,PLInter!$A:$D,3,FALSE),"")</f>
        <v>750</v>
      </c>
      <c r="K230" s="66"/>
      <c r="L230" s="66"/>
      <c r="M230" s="66"/>
      <c r="N230" s="66"/>
      <c r="O230" s="66"/>
      <c r="P230" s="66"/>
      <c r="Q230" s="66"/>
      <c r="R230" s="66"/>
      <c r="S230" s="66"/>
    </row>
    <row r="231" spans="1:19" ht="18" customHeight="1">
      <c r="B231" t="str">
        <f>"00-1261-0000"</f>
        <v>00-1261-0000</v>
      </c>
      <c r="C231" t="str">
        <f>"Workbench 1800x900mm (Heavy duty for CNC)"</f>
        <v>Workbench 1800x900mm (Heavy duty for CNC)</v>
      </c>
      <c r="D231" s="4"/>
      <c r="E231" s="4">
        <v>1</v>
      </c>
      <c r="F231" s="4"/>
      <c r="G231" s="29" t="str">
        <f>IFERROR(HYPERLINK("#"&amp;ADDRESS(MATCH(B231&amp;"ES",'LM7 Non-ENG'!$A$1:$A$5000,0),1,,,"LM7 Non-ENG"),IF(IFERROR(VLOOKUP(B231&amp;"ES",'LM7 Non-ENG'!$A$1:$A$4999,1,FALSE),"ERROR")=B231&amp;"ES","Y","")),"")</f>
        <v/>
      </c>
      <c r="H231" s="29" t="str">
        <f>IFERROR(HYPERLINK("#"&amp;ADDRESS(MATCH(B231&amp;"PT",'LM7 Non-ENG'!$A$1:$A$5000,0),1,,,"LM7 Non-ENG"),IF(IFERROR(VLOOKUP(B231&amp;"PT",'LM7 Non-ENG'!$A$1:$A$5000,1,FALSE),"ERROR")=B231&amp;"PT","Y","")),"")</f>
        <v/>
      </c>
      <c r="I231" t="str">
        <f>IFERROR(VLOOKUP(B231,PN!$A:$C,3,FALSE),"")</f>
        <v>Active</v>
      </c>
      <c r="J231" s="3">
        <f>IFERROR(E231*VLOOKUP(B231,PLInter!$A:$D,3,FALSE),"")</f>
        <v>3280</v>
      </c>
      <c r="K231" s="66"/>
      <c r="L231" s="66"/>
      <c r="M231" s="66"/>
      <c r="N231" s="66"/>
      <c r="O231" s="66"/>
      <c r="P231" s="66"/>
      <c r="Q231" s="66"/>
      <c r="R231" s="66"/>
      <c r="S231" s="66"/>
    </row>
    <row r="232" spans="1:19" ht="18" customHeight="1">
      <c r="B232" t="str">
        <f>"00-1265-0000"</f>
        <v>00-1265-0000</v>
      </c>
      <c r="C232" t="str">
        <f>"PC Extension Shelf  600x900mm"</f>
        <v>PC Extension Shelf  600x900mm</v>
      </c>
      <c r="D232" s="4"/>
      <c r="E232" s="4">
        <v>1</v>
      </c>
      <c r="F232" s="4"/>
      <c r="G232" s="29" t="str">
        <f>IFERROR(HYPERLINK("#"&amp;ADDRESS(MATCH(B232&amp;"ES",'LM7 Non-ENG'!$A$1:$A$5000,0),1,,,"LM7 Non-ENG"),IF(IFERROR(VLOOKUP(B232&amp;"ES",'LM7 Non-ENG'!$A$1:$A$4999,1,FALSE),"ERROR")=B232&amp;"ES","Y","")),"")</f>
        <v/>
      </c>
      <c r="H232" s="29" t="str">
        <f>IFERROR(HYPERLINK("#"&amp;ADDRESS(MATCH(B232&amp;"PT",'LM7 Non-ENG'!$A$1:$A$5000,0),1,,,"LM7 Non-ENG"),IF(IFERROR(VLOOKUP(B232&amp;"PT",'LM7 Non-ENG'!$A$1:$A$5000,1,FALSE),"ERROR")=B232&amp;"PT","Y","")),"")</f>
        <v/>
      </c>
      <c r="I232" t="str">
        <f>IFERROR(VLOOKUP(B232,PN!$A:$C,3,FALSE),"")</f>
        <v>Active</v>
      </c>
      <c r="J232" s="3">
        <f>IFERROR(E232*VLOOKUP(B232,PLInter!$A:$D,3,FALSE),"")</f>
        <v>516</v>
      </c>
      <c r="K232" s="66"/>
      <c r="L232" s="66"/>
      <c r="M232" s="66"/>
      <c r="N232" s="66"/>
      <c r="O232" s="66"/>
      <c r="P232" s="66"/>
      <c r="Q232" s="66"/>
      <c r="R232" s="66"/>
      <c r="S232" s="66"/>
    </row>
    <row r="233" spans="1:19" ht="18" customHeight="1">
      <c r="B233" t="str">
        <f>"50-0094-0000"</f>
        <v>50-0094-0000</v>
      </c>
      <c r="C233" t="str">
        <f>"Pre-Engineering, Design and Testing"</f>
        <v>Pre-Engineering, Design and Testing</v>
      </c>
      <c r="D233" s="4"/>
      <c r="E233" s="4">
        <v>1</v>
      </c>
      <c r="F233" s="4"/>
      <c r="G233" s="29" t="str">
        <f>IFERROR(HYPERLINK("#"&amp;ADDRESS(MATCH(B233&amp;"ES",'LM7 Non-ENG'!$A$1:$A$5000,0),1,,,"LM7 Non-ENG"),IF(IFERROR(VLOOKUP(B233&amp;"ES",'LM7 Non-ENG'!$A$1:$A$4999,1,FALSE),"ERROR")=B233&amp;"ES","Y","")),"")</f>
        <v/>
      </c>
      <c r="H233" s="29" t="str">
        <f>IFERROR(HYPERLINK("#"&amp;ADDRESS(MATCH(B233&amp;"PT",'LM7 Non-ENG'!$A$1:$A$5000,0),1,,,"LM7 Non-ENG"),IF(IFERROR(VLOOKUP(B233&amp;"PT",'LM7 Non-ENG'!$A$1:$A$5000,1,FALSE),"ERROR")=B233&amp;"PT","Y","")),"")</f>
        <v/>
      </c>
      <c r="I233" t="str">
        <f>IFERROR(VLOOKUP(B233,PN!$A:$C,3,FALSE),"")</f>
        <v>Active</v>
      </c>
      <c r="J233" s="3">
        <f>IFERROR(E233*VLOOKUP(B233,PLInter!$A:$D,3,FALSE),"")</f>
        <v>1735</v>
      </c>
      <c r="K233" s="66"/>
      <c r="L233" s="66"/>
      <c r="M233" s="66"/>
      <c r="N233" s="66"/>
      <c r="O233" s="66"/>
      <c r="P233" s="66"/>
      <c r="Q233" s="66"/>
      <c r="R233" s="66"/>
      <c r="S233" s="66"/>
    </row>
    <row r="235" spans="1:19" s="7" customFormat="1" ht="18" customHeight="1">
      <c r="A235" s="13" t="s">
        <v>761</v>
      </c>
      <c r="B235" s="13"/>
      <c r="C235" s="13" t="s">
        <v>762</v>
      </c>
      <c r="D235" s="14"/>
      <c r="E235" s="14"/>
      <c r="F235" s="14"/>
      <c r="G235" s="14"/>
      <c r="H235" s="14"/>
      <c r="I235" s="14"/>
      <c r="J235" s="14">
        <f>SUMIFS(J236:J262,D236:D262,"&lt;&gt;Y",F236:F262,"&lt;&gt;Y",I236:I262,"&lt;&gt;Inactive",I236:I262,"&lt;&gt;ECO+NFS")</f>
        <v>46692</v>
      </c>
      <c r="K235" s="14"/>
      <c r="L235" s="14"/>
      <c r="M235" s="14"/>
      <c r="N235" s="14"/>
      <c r="O235" s="14"/>
      <c r="P235" s="14"/>
      <c r="Q235" s="14"/>
      <c r="R235" s="14"/>
      <c r="S235" s="14"/>
    </row>
    <row r="236" spans="1:19" ht="18" customHeight="1">
      <c r="A236" s="17" t="str">
        <f>HYPERLINK("#"&amp;ADDRESS(MATCH(A235,'CIM&amp;FMS'!$A$1:$A$4997,0),1,,,"CIM&amp;FMS"),"Back to Price List")</f>
        <v>Back to Price List</v>
      </c>
      <c r="B236" t="s">
        <v>213</v>
      </c>
      <c r="C236" t="s">
        <v>640</v>
      </c>
      <c r="D236" s="4"/>
      <c r="E236" s="4">
        <v>1</v>
      </c>
      <c r="F236" s="4"/>
      <c r="G236" s="29" t="str">
        <f>IFERROR(HYPERLINK("#"&amp;ADDRESS(MATCH(B236&amp;"ES",'LM7 Non-ENG'!$A$1:$A$5000,0),1,,,"LM7 Non-ENG"),IF(IFERROR(VLOOKUP(B236&amp;"ES",'LM7 Non-ENG'!$A$1:$A$4999,1,FALSE),"ERROR")=B236&amp;"ES","Y","")),"")</f>
        <v/>
      </c>
      <c r="H236" s="29" t="str">
        <f>IFERROR(HYPERLINK("#"&amp;ADDRESS(MATCH(B236&amp;"PT",'LM7 Non-ENG'!$A$1:$A$5000,0),1,,,"LM7 Non-ENG"),IF(IFERROR(VLOOKUP(B236&amp;"PT",'LM7 Non-ENG'!$A$1:$A$5000,1,FALSE),"ERROR")=B236&amp;"PT","Y","")),"")</f>
        <v/>
      </c>
      <c r="I236" t="str">
        <f>IFERROR(VLOOKUP(B236,PN!$A:$C,3,FALSE),"")</f>
        <v>Active</v>
      </c>
      <c r="J236" s="3">
        <f>IFERROR(E236*VLOOKUP(B236,PLInter!$A:$D,3,FALSE),"")</f>
        <v>11726</v>
      </c>
      <c r="K236" s="66"/>
      <c r="L236" s="66"/>
      <c r="M236" s="66"/>
      <c r="N236" s="66"/>
      <c r="O236" s="66"/>
      <c r="P236" s="66"/>
      <c r="Q236" s="66"/>
      <c r="R236" s="66"/>
      <c r="S236" s="66"/>
    </row>
    <row r="237" spans="1:19" ht="18" customHeight="1">
      <c r="B237" t="s">
        <v>226</v>
      </c>
      <c r="C237" t="s">
        <v>641</v>
      </c>
      <c r="D237" s="4"/>
      <c r="E237" s="4">
        <v>1</v>
      </c>
      <c r="F237" s="4"/>
      <c r="G237" s="29" t="str">
        <f>IFERROR(HYPERLINK("#"&amp;ADDRESS(MATCH(B237&amp;"ES",'LM7 Non-ENG'!$A$1:$A$5000,0),1,,,"LM7 Non-ENG"),IF(IFERROR(VLOOKUP(B237&amp;"ES",'LM7 Non-ENG'!$A$1:$A$4999,1,FALSE),"ERROR")=B237&amp;"ES","Y","")),"")</f>
        <v/>
      </c>
      <c r="H237" s="29" t="str">
        <f>IFERROR(HYPERLINK("#"&amp;ADDRESS(MATCH(B237&amp;"PT",'LM7 Non-ENG'!$A$1:$A$5000,0),1,,,"LM7 Non-ENG"),IF(IFERROR(VLOOKUP(B237&amp;"PT",'LM7 Non-ENG'!$A$1:$A$5000,1,FALSE),"ERROR")=B237&amp;"PT","Y","")),"")</f>
        <v/>
      </c>
      <c r="I237" t="str">
        <f>IFERROR(VLOOKUP(B237,PN!$A:$C,3,FALSE),"")</f>
        <v>Active</v>
      </c>
      <c r="J237" s="3">
        <f>IFERROR(E237*VLOOKUP(B237,PLInter!$A:$D,3,FALSE),"")</f>
        <v>125</v>
      </c>
      <c r="K237" s="66"/>
      <c r="L237" s="66"/>
      <c r="M237" s="66"/>
      <c r="N237" s="66"/>
      <c r="O237" s="66"/>
      <c r="P237" s="66"/>
      <c r="Q237" s="66"/>
      <c r="R237" s="66"/>
      <c r="S237" s="66"/>
    </row>
    <row r="238" spans="1:19" ht="18" customHeight="1">
      <c r="B238" t="s">
        <v>236</v>
      </c>
      <c r="C238" t="s">
        <v>626</v>
      </c>
      <c r="D238" s="4"/>
      <c r="E238" s="4">
        <v>1</v>
      </c>
      <c r="F238" s="4"/>
      <c r="G238" s="29" t="str">
        <f>IFERROR(HYPERLINK("#"&amp;ADDRESS(MATCH(B238&amp;"ES",'LM7 Non-ENG'!$A$1:$A$5000,0),1,,,"LM7 Non-ENG"),IF(IFERROR(VLOOKUP(B238&amp;"ES",'LM7 Non-ENG'!$A$1:$A$4999,1,FALSE),"ERROR")=B238&amp;"ES","Y","")),"")</f>
        <v/>
      </c>
      <c r="H238" s="29" t="str">
        <f>IFERROR(HYPERLINK("#"&amp;ADDRESS(MATCH(B238&amp;"PT",'LM7 Non-ENG'!$A$1:$A$5000,0),1,,,"LM7 Non-ENG"),IF(IFERROR(VLOOKUP(B238&amp;"PT",'LM7 Non-ENG'!$A$1:$A$5000,1,FALSE),"ERROR")=B238&amp;"PT","Y","")),"")</f>
        <v/>
      </c>
      <c r="I238" t="str">
        <f>IFERROR(VLOOKUP(B238,PN!$A:$C,3,FALSE),"")</f>
        <v>Active</v>
      </c>
      <c r="J238" s="3">
        <f>IFERROR(E238*VLOOKUP(B238,PLInter!$A:$D,3,FALSE),"")</f>
        <v>1680</v>
      </c>
      <c r="K238" s="66"/>
      <c r="L238" s="66"/>
      <c r="M238" s="66"/>
      <c r="N238" s="66"/>
      <c r="O238" s="66"/>
      <c r="P238" s="66"/>
      <c r="Q238" s="66"/>
      <c r="R238" s="66"/>
      <c r="S238" s="66"/>
    </row>
    <row r="239" spans="1:19" ht="18" customHeight="1">
      <c r="B239" t="s">
        <v>239</v>
      </c>
      <c r="C239" t="s">
        <v>666</v>
      </c>
      <c r="D239" s="4"/>
      <c r="E239" s="4">
        <v>1</v>
      </c>
      <c r="F239" s="4"/>
      <c r="G239" s="29" t="str">
        <f>IFERROR(HYPERLINK("#"&amp;ADDRESS(MATCH(B239&amp;"ES",'LM7 Non-ENG'!$A$1:$A$5000,0),1,,,"LM7 Non-ENG"),IF(IFERROR(VLOOKUP(B239&amp;"ES",'LM7 Non-ENG'!$A$1:$A$4999,1,FALSE),"ERROR")=B239&amp;"ES","Y","")),"")</f>
        <v/>
      </c>
      <c r="H239" s="29" t="str">
        <f>IFERROR(HYPERLINK("#"&amp;ADDRESS(MATCH(B239&amp;"PT",'LM7 Non-ENG'!$A$1:$A$5000,0),1,,,"LM7 Non-ENG"),IF(IFERROR(VLOOKUP(B239&amp;"PT",'LM7 Non-ENG'!$A$1:$A$5000,1,FALSE),"ERROR")=B239&amp;"PT","Y","")),"")</f>
        <v/>
      </c>
      <c r="I239" t="str">
        <f>IFERROR(VLOOKUP(B239,PN!$A:$C,3,FALSE),"")</f>
        <v>Active</v>
      </c>
      <c r="J239" s="3">
        <f>IFERROR(E239*VLOOKUP(B239,PLInter!$A:$D,3,FALSE),"")</f>
        <v>5067</v>
      </c>
      <c r="K239" s="66"/>
      <c r="L239" s="66"/>
      <c r="M239" s="66"/>
      <c r="N239" s="66"/>
      <c r="O239" s="66"/>
      <c r="P239" s="66"/>
      <c r="Q239" s="66"/>
      <c r="R239" s="66"/>
      <c r="S239" s="66"/>
    </row>
    <row r="240" spans="1:19" ht="18" customHeight="1">
      <c r="B240" t="s">
        <v>677</v>
      </c>
      <c r="C240" t="s">
        <v>678</v>
      </c>
      <c r="D240" s="4"/>
      <c r="E240" s="4">
        <v>1</v>
      </c>
      <c r="F240" s="4"/>
      <c r="G240" s="29" t="str">
        <f>IFERROR(HYPERLINK("#"&amp;ADDRESS(MATCH(B240&amp;"ES",'LM7 Non-ENG'!$A$1:$A$5000,0),1,,,"LM7 Non-ENG"),IF(IFERROR(VLOOKUP(B240&amp;"ES",'LM7 Non-ENG'!$A$1:$A$4999,1,FALSE),"ERROR")=B240&amp;"ES","Y","")),"")</f>
        <v/>
      </c>
      <c r="H240" s="29" t="str">
        <f>IFERROR(HYPERLINK("#"&amp;ADDRESS(MATCH(B240&amp;"PT",'LM7 Non-ENG'!$A$1:$A$5000,0),1,,,"LM7 Non-ENG"),IF(IFERROR(VLOOKUP(B240&amp;"PT",'LM7 Non-ENG'!$A$1:$A$5000,1,FALSE),"ERROR")=B240&amp;"PT","Y","")),"")</f>
        <v/>
      </c>
      <c r="I240" t="str">
        <f>IFERROR(VLOOKUP(B240,PN!$A:$C,3,FALSE),"")</f>
        <v>Active</v>
      </c>
      <c r="J240" s="3">
        <f>IFERROR(E240*VLOOKUP(B240,PLInter!$A:$D,3,FALSE),"")</f>
        <v>800</v>
      </c>
      <c r="K240" s="66"/>
      <c r="L240" s="66"/>
      <c r="M240" s="66"/>
      <c r="N240" s="66"/>
      <c r="O240" s="66"/>
      <c r="P240" s="66"/>
      <c r="Q240" s="66"/>
      <c r="R240" s="66"/>
      <c r="S240" s="66"/>
    </row>
    <row r="241" spans="2:19" ht="18" customHeight="1">
      <c r="B241" t="str">
        <f>"021152"</f>
        <v>021152</v>
      </c>
      <c r="C241" s="41" t="s">
        <v>679</v>
      </c>
      <c r="D241" s="4"/>
      <c r="E241" s="4">
        <v>1</v>
      </c>
      <c r="F241" s="4"/>
      <c r="G241" s="29" t="str">
        <f>IFERROR(HYPERLINK("#"&amp;ADDRESS(MATCH(B241&amp;"ES",'LM7 Non-ENG'!$A$1:$A$5000,0),1,,,"LM7 Non-ENG"),IF(IFERROR(VLOOKUP(B241&amp;"ES",'LM7 Non-ENG'!$A$1:$A$4999,1,FALSE),"ERROR")=B241&amp;"ES","Y","")),"")</f>
        <v/>
      </c>
      <c r="H241" s="29" t="str">
        <f>IFERROR(HYPERLINK("#"&amp;ADDRESS(MATCH(B241&amp;"PT",'LM7 Non-ENG'!$A$1:$A$5000,0),1,,,"LM7 Non-ENG"),IF(IFERROR(VLOOKUP(B241&amp;"PT",'LM7 Non-ENG'!$A$1:$A$5000,1,FALSE),"ERROR")=B241&amp;"PT","Y","")),"")</f>
        <v/>
      </c>
      <c r="I241" t="str">
        <f>IFERROR(VLOOKUP(B241,PN!$A:$C,3,FALSE),"")</f>
        <v>Active</v>
      </c>
      <c r="J241" s="3">
        <f>IFERROR(E241*VLOOKUP(B241,PLInter!$A:$D,3,FALSE),"")</f>
        <v>240</v>
      </c>
      <c r="K241" s="66"/>
      <c r="L241" s="66"/>
      <c r="M241" s="66"/>
      <c r="N241" s="66"/>
      <c r="O241" s="66"/>
      <c r="P241" s="66"/>
      <c r="Q241" s="66"/>
      <c r="R241" s="66"/>
      <c r="S241" s="66"/>
    </row>
    <row r="242" spans="2:19" ht="18" customHeight="1">
      <c r="B242" t="s">
        <v>682</v>
      </c>
      <c r="C242" t="s">
        <v>683</v>
      </c>
      <c r="D242" s="4"/>
      <c r="E242" s="4">
        <v>1</v>
      </c>
      <c r="F242" s="4"/>
      <c r="G242" s="29" t="str">
        <f>IFERROR(HYPERLINK("#"&amp;ADDRESS(MATCH(B242&amp;"ES",'LM7 Non-ENG'!$A$1:$A$5000,0),1,,,"LM7 Non-ENG"),IF(IFERROR(VLOOKUP(B242&amp;"ES",'LM7 Non-ENG'!$A$1:$A$4999,1,FALSE),"ERROR")=B242&amp;"ES","Y","")),"")</f>
        <v/>
      </c>
      <c r="H242" s="29" t="str">
        <f>IFERROR(HYPERLINK("#"&amp;ADDRESS(MATCH(B242&amp;"PT",'LM7 Non-ENG'!$A$1:$A$5000,0),1,,,"LM7 Non-ENG"),IF(IFERROR(VLOOKUP(B242&amp;"PT",'LM7 Non-ENG'!$A$1:$A$5000,1,FALSE),"ERROR")=B242&amp;"PT","Y","")),"")</f>
        <v/>
      </c>
      <c r="I242" t="str">
        <f>IFERROR(VLOOKUP(B242,PN!$A:$C,3,FALSE),"")</f>
        <v>Active</v>
      </c>
      <c r="J242" s="3">
        <f>IFERROR(E242*VLOOKUP(B242,PLInter!$A:$D,3,FALSE),"")</f>
        <v>494</v>
      </c>
      <c r="K242" s="66"/>
      <c r="L242" s="66"/>
      <c r="M242" s="66"/>
      <c r="N242" s="66"/>
      <c r="O242" s="66"/>
      <c r="P242" s="66"/>
      <c r="Q242" s="66"/>
      <c r="R242" s="66"/>
      <c r="S242" s="66"/>
    </row>
    <row r="243" spans="2:19" ht="18" customHeight="1">
      <c r="B243" t="s">
        <v>684</v>
      </c>
      <c r="C243" t="s">
        <v>685</v>
      </c>
      <c r="D243" s="4"/>
      <c r="E243" s="4">
        <v>1</v>
      </c>
      <c r="F243" s="4"/>
      <c r="G243" s="29" t="str">
        <f>IFERROR(HYPERLINK("#"&amp;ADDRESS(MATCH(B243&amp;"ES",'LM7 Non-ENG'!$A$1:$A$5000,0),1,,,"LM7 Non-ENG"),IF(IFERROR(VLOOKUP(B243&amp;"ES",'LM7 Non-ENG'!$A$1:$A$4999,1,FALSE),"ERROR")=B243&amp;"ES","Y","")),"")</f>
        <v/>
      </c>
      <c r="H243" s="29" t="str">
        <f>IFERROR(HYPERLINK("#"&amp;ADDRESS(MATCH(B243&amp;"PT",'LM7 Non-ENG'!$A$1:$A$5000,0),1,,,"LM7 Non-ENG"),IF(IFERROR(VLOOKUP(B243&amp;"PT",'LM7 Non-ENG'!$A$1:$A$5000,1,FALSE),"ERROR")=B243&amp;"PT","Y","")),"")</f>
        <v/>
      </c>
      <c r="I243" t="str">
        <f>IFERROR(VLOOKUP(B243,PN!$A:$C,3,FALSE),"")</f>
        <v>Active</v>
      </c>
      <c r="J243" s="3">
        <f>IFERROR(E243*VLOOKUP(B243,PLInter!$A:$D,3,FALSE),"")</f>
        <v>580</v>
      </c>
      <c r="K243" s="66"/>
      <c r="L243" s="66"/>
      <c r="M243" s="66"/>
      <c r="N243" s="66"/>
      <c r="O243" s="66"/>
      <c r="P243" s="66"/>
      <c r="Q243" s="66"/>
      <c r="R243" s="66"/>
      <c r="S243" s="66"/>
    </row>
    <row r="244" spans="2:19" ht="18" customHeight="1">
      <c r="B244" t="str">
        <f>"021182"</f>
        <v>021182</v>
      </c>
      <c r="C244" t="s">
        <v>686</v>
      </c>
      <c r="D244" s="4"/>
      <c r="E244" s="4">
        <v>1</v>
      </c>
      <c r="F244" s="4"/>
      <c r="G244" s="29" t="str">
        <f>IFERROR(HYPERLINK("#"&amp;ADDRESS(MATCH(B244&amp;"ES",'LM7 Non-ENG'!$A$1:$A$5000,0),1,,,"LM7 Non-ENG"),IF(IFERROR(VLOOKUP(B244&amp;"ES",'LM7 Non-ENG'!$A$1:$A$4999,1,FALSE),"ERROR")=B244&amp;"ES","Y","")),"")</f>
        <v/>
      </c>
      <c r="H244" s="29" t="str">
        <f>IFERROR(HYPERLINK("#"&amp;ADDRESS(MATCH(B244&amp;"PT",'LM7 Non-ENG'!$A$1:$A$5000,0),1,,,"LM7 Non-ENG"),IF(IFERROR(VLOOKUP(B244&amp;"PT",'LM7 Non-ENG'!$A$1:$A$5000,1,FALSE),"ERROR")=B244&amp;"PT","Y","")),"")</f>
        <v/>
      </c>
      <c r="I244" t="str">
        <f>IFERROR(VLOOKUP(B244,PN!$A:$C,3,FALSE),"")</f>
        <v>Active</v>
      </c>
      <c r="J244" s="3">
        <f>IFERROR(E244*VLOOKUP(B244,PLInter!$A:$D,3,FALSE),"")</f>
        <v>16</v>
      </c>
      <c r="K244" s="66"/>
      <c r="L244" s="66"/>
      <c r="M244" s="66"/>
      <c r="N244" s="66"/>
      <c r="O244" s="66"/>
      <c r="P244" s="66"/>
      <c r="Q244" s="66"/>
      <c r="R244" s="66"/>
      <c r="S244" s="66"/>
    </row>
    <row r="245" spans="2:19" ht="18" customHeight="1">
      <c r="B245" t="s">
        <v>735</v>
      </c>
      <c r="C245" t="s">
        <v>736</v>
      </c>
      <c r="D245" s="4"/>
      <c r="E245" s="4">
        <v>1</v>
      </c>
      <c r="F245" s="4"/>
      <c r="G245" s="29" t="str">
        <f>IFERROR(HYPERLINK("#"&amp;ADDRESS(MATCH(B245&amp;"ES",'LM7 Non-ENG'!$A$1:$A$5000,0),1,,,"LM7 Non-ENG"),IF(IFERROR(VLOOKUP(B245&amp;"ES",'LM7 Non-ENG'!$A$1:$A$4999,1,FALSE),"ERROR")=B245&amp;"ES","Y","")),"")</f>
        <v/>
      </c>
      <c r="H245" s="29" t="str">
        <f>IFERROR(HYPERLINK("#"&amp;ADDRESS(MATCH(B245&amp;"PT",'LM7 Non-ENG'!$A$1:$A$5000,0),1,,,"LM7 Non-ENG"),IF(IFERROR(VLOOKUP(B245&amp;"PT",'LM7 Non-ENG'!$A$1:$A$5000,1,FALSE),"ERROR")=B245&amp;"PT","Y","")),"")</f>
        <v/>
      </c>
      <c r="I245" t="str">
        <f>IFERROR(VLOOKUP(B245,PN!$A:$C,3,FALSE),"")</f>
        <v>Active</v>
      </c>
      <c r="J245" s="3">
        <f>IFERROR(E245*VLOOKUP(B245,PLInter!$A:$D,3,FALSE),"")</f>
        <v>667</v>
      </c>
      <c r="K245" s="66"/>
      <c r="L245" s="66"/>
      <c r="M245" s="66"/>
      <c r="N245" s="66"/>
      <c r="O245" s="66"/>
      <c r="P245" s="66"/>
      <c r="Q245" s="66"/>
      <c r="R245" s="66"/>
      <c r="S245" s="66"/>
    </row>
    <row r="246" spans="2:19" ht="18" customHeight="1">
      <c r="B246" t="s">
        <v>453</v>
      </c>
      <c r="C246" t="s">
        <v>463</v>
      </c>
      <c r="D246" s="4"/>
      <c r="E246" s="4">
        <v>1</v>
      </c>
      <c r="F246" s="4"/>
      <c r="G246" s="29" t="str">
        <f>IFERROR(HYPERLINK("#"&amp;ADDRESS(MATCH(B246&amp;"ES",'LM7 Non-ENG'!$A$1:$A$5000,0),1,,,"LM7 Non-ENG"),IF(IFERROR(VLOOKUP(B246&amp;"ES",'LM7 Non-ENG'!$A$1:$A$4999,1,FALSE),"ERROR")=B246&amp;"ES","Y","")),"")</f>
        <v/>
      </c>
      <c r="H246" s="29" t="str">
        <f>IFERROR(HYPERLINK("#"&amp;ADDRESS(MATCH(B246&amp;"PT",'LM7 Non-ENG'!$A$1:$A$5000,0),1,,,"LM7 Non-ENG"),IF(IFERROR(VLOOKUP(B246&amp;"PT",'LM7 Non-ENG'!$A$1:$A$5000,1,FALSE),"ERROR")=B246&amp;"PT","Y","")),"")</f>
        <v/>
      </c>
      <c r="I246" t="str">
        <f>IFERROR(VLOOKUP(B246,PN!$A:$C,3,FALSE),"")</f>
        <v>Active</v>
      </c>
      <c r="J246" s="3">
        <f>IFERROR(E246*VLOOKUP(B246,PLInter!$A:$D,3,FALSE),"")</f>
        <v>14934</v>
      </c>
      <c r="K246" s="66"/>
      <c r="L246" s="66"/>
      <c r="M246" s="66"/>
      <c r="N246" s="66"/>
      <c r="O246" s="66"/>
      <c r="P246" s="66"/>
      <c r="Q246" s="66"/>
      <c r="R246" s="66"/>
      <c r="S246" s="66"/>
    </row>
    <row r="247" spans="2:19" ht="18" customHeight="1">
      <c r="B247" s="2" t="s">
        <v>452</v>
      </c>
      <c r="C247" s="2" t="s">
        <v>737</v>
      </c>
      <c r="D247" s="5"/>
      <c r="E247" s="5">
        <v>1</v>
      </c>
      <c r="F247" s="5" t="s">
        <v>0</v>
      </c>
      <c r="G247" s="29" t="str">
        <f>IFERROR(HYPERLINK("#"&amp;ADDRESS(MATCH(B247&amp;"ES",'LM7 Non-ENG'!$A$1:$A$5000,0),1,,,"LM7 Non-ENG"),IF(IFERROR(VLOOKUP(B247&amp;"ES",'LM7 Non-ENG'!$A$1:$A$4999,1,FALSE),"ERROR")=B247&amp;"ES","Y","")),"")</f>
        <v/>
      </c>
      <c r="H247" s="29" t="str">
        <f>IFERROR(HYPERLINK("#"&amp;ADDRESS(MATCH(B247&amp;"PT",'LM7 Non-ENG'!$A$1:$A$5000,0),1,,,"LM7 Non-ENG"),IF(IFERROR(VLOOKUP(B247&amp;"PT",'LM7 Non-ENG'!$A$1:$A$5000,1,FALSE),"ERROR")=B247&amp;"PT","Y","")),"")</f>
        <v/>
      </c>
      <c r="I247" t="str">
        <f>IFERROR(VLOOKUP(B247,PN!$A:$C,3,FALSE),"")</f>
        <v>Active</v>
      </c>
      <c r="J247" s="3">
        <f>IFERROR(E247*VLOOKUP(B247,PLInter!$A:$D,3,FALSE),"")</f>
        <v>14934</v>
      </c>
      <c r="K247" s="66"/>
      <c r="L247" s="66"/>
      <c r="M247" s="66"/>
      <c r="N247" s="66"/>
      <c r="O247" s="66"/>
      <c r="P247" s="66"/>
      <c r="Q247" s="66"/>
      <c r="R247" s="66"/>
      <c r="S247" s="66"/>
    </row>
    <row r="248" spans="2:19" ht="18" customHeight="1">
      <c r="B248" t="s">
        <v>518</v>
      </c>
      <c r="C248" t="s">
        <v>738</v>
      </c>
      <c r="D248" s="4"/>
      <c r="E248" s="4">
        <v>1</v>
      </c>
      <c r="F248" s="4"/>
      <c r="G248" s="29" t="str">
        <f>IFERROR(HYPERLINK("#"&amp;ADDRESS(MATCH(B248&amp;"ES",'LM7 Non-ENG'!$A$1:$A$5000,0),1,,,"LM7 Non-ENG"),IF(IFERROR(VLOOKUP(B248&amp;"ES",'LM7 Non-ENG'!$A$1:$A$4999,1,FALSE),"ERROR")=B248&amp;"ES","Y","")),"")</f>
        <v/>
      </c>
      <c r="H248" s="29" t="str">
        <f>IFERROR(HYPERLINK("#"&amp;ADDRESS(MATCH(B248&amp;"PT",'LM7 Non-ENG'!$A$1:$A$5000,0),1,,,"LM7 Non-ENG"),IF(IFERROR(VLOOKUP(B248&amp;"PT",'LM7 Non-ENG'!$A$1:$A$5000,1,FALSE),"ERROR")=B248&amp;"PT","Y","")),"")</f>
        <v/>
      </c>
      <c r="I248" t="str">
        <f>IFERROR(VLOOKUP(B248,PN!$A:$C,3,FALSE),"")</f>
        <v>Active</v>
      </c>
      <c r="J248" s="3">
        <f>IFERROR(E248*VLOOKUP(B248,PLInter!$A:$D,3,FALSE),"")</f>
        <v>534</v>
      </c>
      <c r="K248" s="66"/>
      <c r="L248" s="66"/>
      <c r="M248" s="66"/>
      <c r="N248" s="66"/>
      <c r="O248" s="66"/>
      <c r="P248" s="66"/>
      <c r="Q248" s="66"/>
      <c r="R248" s="66"/>
      <c r="S248" s="66"/>
    </row>
    <row r="249" spans="2:19" ht="18" customHeight="1">
      <c r="B249" t="s">
        <v>515</v>
      </c>
      <c r="C249" t="s">
        <v>739</v>
      </c>
      <c r="D249" s="4"/>
      <c r="E249" s="4">
        <v>1</v>
      </c>
      <c r="F249" s="4"/>
      <c r="G249" s="29" t="str">
        <f>IFERROR(HYPERLINK("#"&amp;ADDRESS(MATCH(B249&amp;"ES",'LM7 Non-ENG'!$A$1:$A$5000,0),1,,,"LM7 Non-ENG"),IF(IFERROR(VLOOKUP(B249&amp;"ES",'LM7 Non-ENG'!$A$1:$A$4999,1,FALSE),"ERROR")=B249&amp;"ES","Y","")),"")</f>
        <v/>
      </c>
      <c r="H249" s="29" t="str">
        <f>IFERROR(HYPERLINK("#"&amp;ADDRESS(MATCH(B249&amp;"PT",'LM7 Non-ENG'!$A$1:$A$5000,0),1,,,"LM7 Non-ENG"),IF(IFERROR(VLOOKUP(B249&amp;"PT",'LM7 Non-ENG'!$A$1:$A$5000,1,FALSE),"ERROR")=B249&amp;"PT","Y","")),"")</f>
        <v/>
      </c>
      <c r="I249" t="str">
        <f>IFERROR(VLOOKUP(B249,PN!$A:$C,3,FALSE),"")</f>
        <v>Active</v>
      </c>
      <c r="J249" s="3">
        <f>IFERROR(E249*VLOOKUP(B249,PLInter!$A:$D,3,FALSE),"")</f>
        <v>1895</v>
      </c>
      <c r="K249" s="66"/>
      <c r="L249" s="66"/>
      <c r="M249" s="66"/>
      <c r="N249" s="66"/>
      <c r="O249" s="66"/>
      <c r="P249" s="66"/>
      <c r="Q249" s="66"/>
      <c r="R249" s="66"/>
      <c r="S249" s="66"/>
    </row>
    <row r="250" spans="2:19" ht="18" customHeight="1">
      <c r="B250" s="1" t="s">
        <v>740</v>
      </c>
      <c r="C250" s="1" t="s">
        <v>741</v>
      </c>
      <c r="D250" s="6" t="s">
        <v>0</v>
      </c>
      <c r="E250" s="6">
        <v>1</v>
      </c>
      <c r="F250" s="6"/>
      <c r="G250" s="29" t="str">
        <f>IFERROR(HYPERLINK("#"&amp;ADDRESS(MATCH(B250&amp;"ES",'LM7 Non-ENG'!$A$1:$A$5000,0),1,,,"LM7 Non-ENG"),IF(IFERROR(VLOOKUP(B250&amp;"ES",'LM7 Non-ENG'!$A$1:$A$4999,1,FALSE),"ERROR")=B250&amp;"ES","Y","")),"")</f>
        <v/>
      </c>
      <c r="H250" s="29" t="str">
        <f>IFERROR(HYPERLINK("#"&amp;ADDRESS(MATCH(B250&amp;"PT",'LM7 Non-ENG'!$A$1:$A$5000,0),1,,,"LM7 Non-ENG"),IF(IFERROR(VLOOKUP(B250&amp;"PT",'LM7 Non-ENG'!$A$1:$A$5000,1,FALSE),"ERROR")=B250&amp;"PT","Y","")),"")</f>
        <v/>
      </c>
      <c r="I250" t="str">
        <f>IFERROR(VLOOKUP(B250,PN!$A:$C,3,FALSE),"")</f>
        <v>Active</v>
      </c>
      <c r="J250" s="3" t="str">
        <f>IFERROR(E250*VLOOKUP(B250,PLInter!$A:$D,3,FALSE),"")</f>
        <v/>
      </c>
      <c r="K250" s="66"/>
      <c r="L250" s="66"/>
      <c r="M250" s="66"/>
      <c r="N250" s="66"/>
      <c r="O250" s="66"/>
      <c r="P250" s="66"/>
      <c r="Q250" s="66"/>
      <c r="R250" s="66"/>
      <c r="S250" s="66"/>
    </row>
    <row r="251" spans="2:19" ht="18" customHeight="1">
      <c r="B251" t="s">
        <v>504</v>
      </c>
      <c r="C251" t="s">
        <v>742</v>
      </c>
      <c r="D251" s="4"/>
      <c r="E251" s="4">
        <v>1</v>
      </c>
      <c r="F251" s="4"/>
      <c r="G251" s="29" t="str">
        <f>IFERROR(HYPERLINK("#"&amp;ADDRESS(MATCH(B251&amp;"ES",'LM7 Non-ENG'!$A$1:$A$5000,0),1,,,"LM7 Non-ENG"),IF(IFERROR(VLOOKUP(B251&amp;"ES",'LM7 Non-ENG'!$A$1:$A$4999,1,FALSE),"ERROR")=B251&amp;"ES","Y","")),"")</f>
        <v/>
      </c>
      <c r="H251" s="29" t="str">
        <f>IFERROR(HYPERLINK("#"&amp;ADDRESS(MATCH(B251&amp;"PT",'LM7 Non-ENG'!$A$1:$A$5000,0),1,,,"LM7 Non-ENG"),IF(IFERROR(VLOOKUP(B251&amp;"PT",'LM7 Non-ENG'!$A$1:$A$5000,1,FALSE),"ERROR")=B251&amp;"PT","Y","")),"")</f>
        <v/>
      </c>
      <c r="I251" t="str">
        <f>IFERROR(VLOOKUP(B251,PN!$A:$C,3,FALSE),"")</f>
        <v>Active</v>
      </c>
      <c r="J251" s="3">
        <f>IFERROR(E251*VLOOKUP(B251,PLInter!$A:$D,3,FALSE),"")</f>
        <v>227</v>
      </c>
      <c r="K251" s="66"/>
      <c r="L251" s="66"/>
      <c r="M251" s="66"/>
      <c r="N251" s="66"/>
      <c r="O251" s="66"/>
      <c r="P251" s="66"/>
      <c r="Q251" s="66"/>
      <c r="R251" s="66"/>
      <c r="S251" s="66"/>
    </row>
    <row r="252" spans="2:19" ht="18" customHeight="1">
      <c r="B252" t="s">
        <v>505</v>
      </c>
      <c r="C252" t="s">
        <v>743</v>
      </c>
      <c r="D252" s="4"/>
      <c r="E252" s="4">
        <v>1</v>
      </c>
      <c r="F252" s="4"/>
      <c r="G252" s="29" t="str">
        <f>IFERROR(HYPERLINK("#"&amp;ADDRESS(MATCH(B252&amp;"ES",'LM7 Non-ENG'!$A$1:$A$5000,0),1,,,"LM7 Non-ENG"),IF(IFERROR(VLOOKUP(B252&amp;"ES",'LM7 Non-ENG'!$A$1:$A$4999,1,FALSE),"ERROR")=B252&amp;"ES","Y","")),"")</f>
        <v/>
      </c>
      <c r="H252" s="29" t="str">
        <f>IFERROR(HYPERLINK("#"&amp;ADDRESS(MATCH(B252&amp;"PT",'LM7 Non-ENG'!$A$1:$A$5000,0),1,,,"LM7 Non-ENG"),IF(IFERROR(VLOOKUP(B252&amp;"PT",'LM7 Non-ENG'!$A$1:$A$5000,1,FALSE),"ERROR")=B252&amp;"PT","Y","")),"")</f>
        <v/>
      </c>
      <c r="I252" t="str">
        <f>IFERROR(VLOOKUP(B252,PN!$A:$C,3,FALSE),"")</f>
        <v>Active</v>
      </c>
      <c r="J252" s="3">
        <f>IFERROR(E252*VLOOKUP(B252,PLInter!$A:$D,3,FALSE),"")</f>
        <v>200</v>
      </c>
      <c r="K252" s="66"/>
      <c r="L252" s="66"/>
      <c r="M252" s="66"/>
      <c r="N252" s="66"/>
      <c r="O252" s="66"/>
      <c r="P252" s="66"/>
      <c r="Q252" s="66"/>
      <c r="R252" s="66"/>
      <c r="S252" s="66"/>
    </row>
    <row r="253" spans="2:19" ht="18" customHeight="1">
      <c r="B253" t="s">
        <v>502</v>
      </c>
      <c r="C253" t="s">
        <v>744</v>
      </c>
      <c r="D253" s="4"/>
      <c r="E253" s="4">
        <v>1</v>
      </c>
      <c r="F253" s="4"/>
      <c r="G253" s="29" t="str">
        <f>IFERROR(HYPERLINK("#"&amp;ADDRESS(MATCH(B253&amp;"ES",'LM7 Non-ENG'!$A$1:$A$5000,0),1,,,"LM7 Non-ENG"),IF(IFERROR(VLOOKUP(B253&amp;"ES",'LM7 Non-ENG'!$A$1:$A$4999,1,FALSE),"ERROR")=B253&amp;"ES","Y","")),"")</f>
        <v/>
      </c>
      <c r="H253" s="29" t="str">
        <f>IFERROR(HYPERLINK("#"&amp;ADDRESS(MATCH(B253&amp;"PT",'LM7 Non-ENG'!$A$1:$A$5000,0),1,,,"LM7 Non-ENG"),IF(IFERROR(VLOOKUP(B253&amp;"PT",'LM7 Non-ENG'!$A$1:$A$5000,1,FALSE),"ERROR")=B253&amp;"PT","Y","")),"")</f>
        <v/>
      </c>
      <c r="I253" t="str">
        <f>IFERROR(VLOOKUP(B253,PN!$A:$C,3,FALSE),"")</f>
        <v>Active</v>
      </c>
      <c r="J253" s="3">
        <f>IFERROR(E253*VLOOKUP(B253,PLInter!$A:$D,3,FALSE),"")</f>
        <v>87</v>
      </c>
      <c r="K253" s="66"/>
      <c r="L253" s="66"/>
      <c r="M253" s="66"/>
      <c r="N253" s="66"/>
      <c r="O253" s="66"/>
      <c r="P253" s="66"/>
      <c r="Q253" s="66"/>
      <c r="R253" s="66"/>
      <c r="S253" s="66"/>
    </row>
    <row r="254" spans="2:19" ht="18" customHeight="1">
      <c r="B254" t="s">
        <v>503</v>
      </c>
      <c r="C254" t="s">
        <v>745</v>
      </c>
      <c r="D254" s="4"/>
      <c r="E254" s="4">
        <v>1</v>
      </c>
      <c r="F254" s="4"/>
      <c r="G254" s="29" t="str">
        <f>IFERROR(HYPERLINK("#"&amp;ADDRESS(MATCH(B254&amp;"ES",'LM7 Non-ENG'!$A$1:$A$5000,0),1,,,"LM7 Non-ENG"),IF(IFERROR(VLOOKUP(B254&amp;"ES",'LM7 Non-ENG'!$A$1:$A$4999,1,FALSE),"ERROR")=B254&amp;"ES","Y","")),"")</f>
        <v/>
      </c>
      <c r="H254" s="29" t="str">
        <f>IFERROR(HYPERLINK("#"&amp;ADDRESS(MATCH(B254&amp;"PT",'LM7 Non-ENG'!$A$1:$A$5000,0),1,,,"LM7 Non-ENG"),IF(IFERROR(VLOOKUP(B254&amp;"PT",'LM7 Non-ENG'!$A$1:$A$5000,1,FALSE),"ERROR")=B254&amp;"PT","Y","")),"")</f>
        <v/>
      </c>
      <c r="I254" t="str">
        <f>IFERROR(VLOOKUP(B254,PN!$A:$C,3,FALSE),"")</f>
        <v>Active</v>
      </c>
      <c r="J254" s="3">
        <f>IFERROR(E254*VLOOKUP(B254,PLInter!$A:$D,3,FALSE),"")</f>
        <v>74</v>
      </c>
      <c r="K254" s="66"/>
      <c r="L254" s="66"/>
      <c r="M254" s="66"/>
      <c r="N254" s="66"/>
      <c r="O254" s="66"/>
      <c r="P254" s="66"/>
      <c r="Q254" s="66"/>
      <c r="R254" s="66"/>
      <c r="S254" s="66"/>
    </row>
    <row r="255" spans="2:19" ht="18" customHeight="1">
      <c r="B255" t="s">
        <v>556</v>
      </c>
      <c r="C255" t="s">
        <v>750</v>
      </c>
      <c r="D255" s="4"/>
      <c r="E255" s="4">
        <v>1</v>
      </c>
      <c r="F255" s="4"/>
      <c r="G255" s="29" t="str">
        <f>IFERROR(HYPERLINK("#"&amp;ADDRESS(MATCH(B255&amp;"ES",'LM7 Non-ENG'!$A$1:$A$5000,0),1,,,"LM7 Non-ENG"),IF(IFERROR(VLOOKUP(B255&amp;"ES",'LM7 Non-ENG'!$A$1:$A$4999,1,FALSE),"ERROR")=B255&amp;"ES","Y","")),"")</f>
        <v/>
      </c>
      <c r="H255" s="29" t="str">
        <f>IFERROR(HYPERLINK("#"&amp;ADDRESS(MATCH(B255&amp;"PT",'LM7 Non-ENG'!$A$1:$A$5000,0),1,,,"LM7 Non-ENG"),IF(IFERROR(VLOOKUP(B255&amp;"PT",'LM7 Non-ENG'!$A$1:$A$5000,1,FALSE),"ERROR")=B255&amp;"PT","Y","")),"")</f>
        <v/>
      </c>
      <c r="I255" t="str">
        <f>IFERROR(VLOOKUP(B255,PN!$A:$C,3,FALSE),"")</f>
        <v>Active</v>
      </c>
      <c r="J255" s="3">
        <f>IFERROR(E255*VLOOKUP(B255,PLInter!$A:$D,3,FALSE),"")</f>
        <v>500</v>
      </c>
      <c r="K255" s="66"/>
      <c r="L255" s="66"/>
      <c r="M255" s="66"/>
      <c r="N255" s="66"/>
      <c r="O255" s="66"/>
      <c r="P255" s="66"/>
      <c r="Q255" s="66"/>
      <c r="R255" s="66"/>
      <c r="S255" s="66"/>
    </row>
    <row r="256" spans="2:19" ht="18" customHeight="1">
      <c r="B256" s="2" t="s">
        <v>751</v>
      </c>
      <c r="C256" s="2" t="s">
        <v>752</v>
      </c>
      <c r="D256" s="5"/>
      <c r="E256" s="5">
        <v>1</v>
      </c>
      <c r="F256" s="5" t="s">
        <v>0</v>
      </c>
      <c r="G256" s="29" t="str">
        <f>IFERROR(HYPERLINK("#"&amp;ADDRESS(MATCH(B256&amp;"ES",'LM7 Non-ENG'!$A$1:$A$5000,0),1,,,"LM7 Non-ENG"),IF(IFERROR(VLOOKUP(B256&amp;"ES",'LM7 Non-ENG'!$A$1:$A$4999,1,FALSE),"ERROR")=B256&amp;"ES","Y","")),"")</f>
        <v/>
      </c>
      <c r="H256" s="29" t="str">
        <f>IFERROR(HYPERLINK("#"&amp;ADDRESS(MATCH(B256&amp;"PT",'LM7 Non-ENG'!$A$1:$A$5000,0),1,,,"LM7 Non-ENG"),IF(IFERROR(VLOOKUP(B256&amp;"PT",'LM7 Non-ENG'!$A$1:$A$5000,1,FALSE),"ERROR")=B256&amp;"PT","Y","")),"")</f>
        <v/>
      </c>
      <c r="I256" t="str">
        <f>IFERROR(VLOOKUP(B256,PN!$A:$C,3,FALSE),"")</f>
        <v>Active</v>
      </c>
      <c r="J256" s="3">
        <f>IFERROR(E256*VLOOKUP(B256,PLInter!$A:$D,3,FALSE),"")</f>
        <v>500</v>
      </c>
      <c r="K256" s="66"/>
      <c r="L256" s="66"/>
      <c r="M256" s="66"/>
      <c r="N256" s="66"/>
      <c r="O256" s="66"/>
      <c r="P256" s="66"/>
      <c r="Q256" s="66"/>
      <c r="R256" s="66"/>
      <c r="S256" s="66"/>
    </row>
    <row r="257" spans="1:19" ht="18" customHeight="1">
      <c r="B257" t="s">
        <v>572</v>
      </c>
      <c r="C257" t="s">
        <v>749</v>
      </c>
      <c r="D257" s="4"/>
      <c r="E257" s="4">
        <v>1</v>
      </c>
      <c r="F257" s="4"/>
      <c r="G257" s="29" t="str">
        <f>IFERROR(HYPERLINK("#"&amp;ADDRESS(MATCH(B257&amp;"ES",'LM7 Non-ENG'!$A$1:$A$5000,0),1,,,"LM7 Non-ENG"),IF(IFERROR(VLOOKUP(B257&amp;"ES",'LM7 Non-ENG'!$A$1:$A$4999,1,FALSE),"ERROR")=B257&amp;"ES","Y","")),"")</f>
        <v/>
      </c>
      <c r="H257" s="29" t="str">
        <f>IFERROR(HYPERLINK("#"&amp;ADDRESS(MATCH(B257&amp;"PT",'LM7 Non-ENG'!$A$1:$A$5000,0),1,,,"LM7 Non-ENG"),IF(IFERROR(VLOOKUP(B257&amp;"PT",'LM7 Non-ENG'!$A$1:$A$5000,1,FALSE),"ERROR")=B257&amp;"PT","Y","")),"")</f>
        <v/>
      </c>
      <c r="I257" t="str">
        <f>IFERROR(VLOOKUP(B257,PN!$A:$C,3,FALSE),"")</f>
        <v>Active</v>
      </c>
      <c r="J257" s="3">
        <f>IFERROR(E257*VLOOKUP(B257,PLInter!$A:$D,3,FALSE),"")</f>
        <v>500</v>
      </c>
      <c r="K257" s="66"/>
      <c r="L257" s="66"/>
      <c r="M257" s="66"/>
      <c r="N257" s="66"/>
      <c r="O257" s="66"/>
      <c r="P257" s="66"/>
      <c r="Q257" s="66"/>
      <c r="R257" s="66"/>
      <c r="S257" s="66"/>
    </row>
    <row r="258" spans="1:19" ht="18" customHeight="1">
      <c r="B258" t="s">
        <v>478</v>
      </c>
      <c r="C258" t="s">
        <v>716</v>
      </c>
      <c r="D258" s="4"/>
      <c r="E258" s="4">
        <v>1</v>
      </c>
      <c r="F258" s="4"/>
      <c r="G258" s="29" t="str">
        <f>IFERROR(HYPERLINK("#"&amp;ADDRESS(MATCH(B258&amp;"ES",'LM7 Non-ENG'!$A$1:$A$5000,0),1,,,"LM7 Non-ENG"),IF(IFERROR(VLOOKUP(B258&amp;"ES",'LM7 Non-ENG'!$A$1:$A$4999,1,FALSE),"ERROR")=B258&amp;"ES","Y","")),"")</f>
        <v/>
      </c>
      <c r="H258" s="29" t="str">
        <f>IFERROR(HYPERLINK("#"&amp;ADDRESS(MATCH(B258&amp;"PT",'LM7 Non-ENG'!$A$1:$A$5000,0),1,,,"LM7 Non-ENG"),IF(IFERROR(VLOOKUP(B258&amp;"PT",'LM7 Non-ENG'!$A$1:$A$5000,1,FALSE),"ERROR")=B258&amp;"PT","Y","")),"")</f>
        <v/>
      </c>
      <c r="I258" t="str">
        <f>IFERROR(VLOOKUP(B258,PN!$A:$C,3,FALSE),"")</f>
        <v>Active</v>
      </c>
      <c r="J258" s="3">
        <f>IFERROR(E258*VLOOKUP(B258,PLInter!$A:$D,3,FALSE),"")</f>
        <v>795</v>
      </c>
      <c r="K258" s="66"/>
      <c r="L258" s="66"/>
      <c r="M258" s="66"/>
      <c r="N258" s="66"/>
      <c r="O258" s="66"/>
      <c r="P258" s="66"/>
      <c r="Q258" s="66"/>
      <c r="R258" s="66"/>
      <c r="S258" s="66"/>
    </row>
    <row r="259" spans="1:19" ht="18" customHeight="1">
      <c r="B259" t="str">
        <f>"112496"</f>
        <v>112496</v>
      </c>
      <c r="C259" t="s">
        <v>696</v>
      </c>
      <c r="D259" s="4"/>
      <c r="E259" s="4">
        <v>1</v>
      </c>
      <c r="F259" s="4"/>
      <c r="G259" s="29" t="str">
        <f>IFERROR(HYPERLINK("#"&amp;ADDRESS(MATCH(B259&amp;"ES",'LM7 Non-ENG'!$A$1:$A$5000,0),1,,,"LM7 Non-ENG"),IF(IFERROR(VLOOKUP(B259&amp;"ES",'LM7 Non-ENG'!$A$1:$A$4999,1,FALSE),"ERROR")=B259&amp;"ES","Y","")),"")</f>
        <v/>
      </c>
      <c r="H259" s="29" t="str">
        <f>IFERROR(HYPERLINK("#"&amp;ADDRESS(MATCH(B259&amp;"PT",'LM7 Non-ENG'!$A$1:$A$5000,0),1,,,"LM7 Non-ENG"),IF(IFERROR(VLOOKUP(B259&amp;"PT",'LM7 Non-ENG'!$A$1:$A$5000,1,FALSE),"ERROR")=B259&amp;"PT","Y","")),"")</f>
        <v/>
      </c>
      <c r="I259" t="str">
        <f>IFERROR(VLOOKUP(B259,PN!$A:$C,3,FALSE),"")</f>
        <v>Active</v>
      </c>
      <c r="J259" s="3">
        <f>IFERROR(E259*VLOOKUP(B259,PLInter!$A:$D,3,FALSE),"")</f>
        <v>20</v>
      </c>
      <c r="K259" s="66"/>
      <c r="L259" s="66"/>
      <c r="M259" s="66"/>
      <c r="N259" s="66"/>
      <c r="O259" s="66"/>
      <c r="P259" s="66"/>
      <c r="Q259" s="66"/>
      <c r="R259" s="66"/>
      <c r="S259" s="66"/>
    </row>
    <row r="260" spans="1:19" ht="18" customHeight="1">
      <c r="B260" t="s">
        <v>753</v>
      </c>
      <c r="C260" t="s">
        <v>754</v>
      </c>
      <c r="D260" s="4"/>
      <c r="E260" s="4">
        <v>1</v>
      </c>
      <c r="F260" s="4"/>
      <c r="G260" s="29" t="str">
        <f>IFERROR(HYPERLINK("#"&amp;ADDRESS(MATCH(B260&amp;"ES",'LM7 Non-ENG'!$A$1:$A$5000,0),1,,,"LM7 Non-ENG"),IF(IFERROR(VLOOKUP(B260&amp;"ES",'LM7 Non-ENG'!$A$1:$A$4999,1,FALSE),"ERROR")=B260&amp;"ES","Y","")),"")</f>
        <v/>
      </c>
      <c r="H260" s="29" t="str">
        <f>IFERROR(HYPERLINK("#"&amp;ADDRESS(MATCH(B260&amp;"PT",'LM7 Non-ENG'!$A$1:$A$5000,0),1,,,"LM7 Non-ENG"),IF(IFERROR(VLOOKUP(B260&amp;"PT",'LM7 Non-ENG'!$A$1:$A$5000,1,FALSE),"ERROR")=B260&amp;"PT","Y","")),"")</f>
        <v/>
      </c>
      <c r="I260" t="str">
        <f>IFERROR(VLOOKUP(B260,PN!$A:$C,3,FALSE),"")</f>
        <v>Active</v>
      </c>
      <c r="J260" s="3">
        <f>IFERROR(E260*VLOOKUP(B260,PLInter!$A:$D,3,FALSE),"")</f>
        <v>3280</v>
      </c>
      <c r="K260" s="66"/>
      <c r="L260" s="66"/>
      <c r="M260" s="66"/>
      <c r="N260" s="66"/>
      <c r="O260" s="66"/>
      <c r="P260" s="66"/>
      <c r="Q260" s="66"/>
      <c r="R260" s="66"/>
      <c r="S260" s="66"/>
    </row>
    <row r="261" spans="1:19" ht="18" customHeight="1">
      <c r="B261" t="s">
        <v>755</v>
      </c>
      <c r="C261" t="s">
        <v>756</v>
      </c>
      <c r="D261" s="4"/>
      <c r="E261" s="4">
        <v>1</v>
      </c>
      <c r="F261" s="4"/>
      <c r="G261" s="29" t="str">
        <f>IFERROR(HYPERLINK("#"&amp;ADDRESS(MATCH(B261&amp;"ES",'LM7 Non-ENG'!$A$1:$A$5000,0),1,,,"LM7 Non-ENG"),IF(IFERROR(VLOOKUP(B261&amp;"ES",'LM7 Non-ENG'!$A$1:$A$4999,1,FALSE),"ERROR")=B261&amp;"ES","Y","")),"")</f>
        <v/>
      </c>
      <c r="H261" s="29" t="str">
        <f>IFERROR(HYPERLINK("#"&amp;ADDRESS(MATCH(B261&amp;"PT",'LM7 Non-ENG'!$A$1:$A$5000,0),1,,,"LM7 Non-ENG"),IF(IFERROR(VLOOKUP(B261&amp;"PT",'LM7 Non-ENG'!$A$1:$A$5000,1,FALSE),"ERROR")=B261&amp;"PT","Y","")),"")</f>
        <v/>
      </c>
      <c r="I261" t="str">
        <f>IFERROR(VLOOKUP(B261,PN!$A:$C,3,FALSE),"")</f>
        <v>Active</v>
      </c>
      <c r="J261" s="3">
        <f>IFERROR(E261*VLOOKUP(B261,PLInter!$A:$D,3,FALSE),"")</f>
        <v>516</v>
      </c>
      <c r="K261" s="66"/>
      <c r="L261" s="66"/>
      <c r="M261" s="66"/>
      <c r="N261" s="66"/>
      <c r="O261" s="66"/>
      <c r="P261" s="66"/>
      <c r="Q261" s="66"/>
      <c r="R261" s="66"/>
      <c r="S261" s="66"/>
    </row>
    <row r="262" spans="1:19" ht="18" customHeight="1">
      <c r="B262" t="s">
        <v>630</v>
      </c>
      <c r="C262" t="s">
        <v>631</v>
      </c>
      <c r="D262" s="4"/>
      <c r="E262" s="4">
        <v>1</v>
      </c>
      <c r="F262" s="4"/>
      <c r="G262" s="29" t="str">
        <f>IFERROR(HYPERLINK("#"&amp;ADDRESS(MATCH(B262&amp;"ES",'LM7 Non-ENG'!$A$1:$A$5000,0),1,,,"LM7 Non-ENG"),IF(IFERROR(VLOOKUP(B262&amp;"ES",'LM7 Non-ENG'!$A$1:$A$4999,1,FALSE),"ERROR")=B262&amp;"ES","Y","")),"")</f>
        <v/>
      </c>
      <c r="H262" s="29" t="str">
        <f>IFERROR(HYPERLINK("#"&amp;ADDRESS(MATCH(B262&amp;"PT",'LM7 Non-ENG'!$A$1:$A$5000,0),1,,,"LM7 Non-ENG"),IF(IFERROR(VLOOKUP(B262&amp;"PT",'LM7 Non-ENG'!$A$1:$A$5000,1,FALSE),"ERROR")=B262&amp;"PT","Y","")),"")</f>
        <v/>
      </c>
      <c r="I262" t="str">
        <f>IFERROR(VLOOKUP(B262,PN!$A:$C,3,FALSE),"")</f>
        <v>Active</v>
      </c>
      <c r="J262" s="3">
        <f>IFERROR(E262*VLOOKUP(B262,PLInter!$A:$D,3,FALSE),"")</f>
        <v>1735</v>
      </c>
      <c r="K262" s="66"/>
      <c r="L262" s="66"/>
      <c r="M262" s="66"/>
      <c r="N262" s="66"/>
      <c r="O262" s="66"/>
      <c r="P262" s="66"/>
      <c r="Q262" s="66"/>
      <c r="R262" s="66"/>
      <c r="S262" s="66"/>
    </row>
    <row r="264" spans="1:19" s="7" customFormat="1" ht="18" customHeight="1">
      <c r="A264" s="13" t="s">
        <v>763</v>
      </c>
      <c r="B264" s="13"/>
      <c r="C264" s="13" t="s">
        <v>764</v>
      </c>
      <c r="D264" s="14"/>
      <c r="E264" s="14"/>
      <c r="F264" s="14"/>
      <c r="G264" s="14"/>
      <c r="H264" s="14"/>
      <c r="I264" s="14"/>
      <c r="J264" s="14">
        <f>SUMIFS(J265:J273,D265:D273,"&lt;&gt;Y",F265:F273,"&lt;&gt;Y",I265:I273,"&lt;&gt;Inactive",I265:I273,"&lt;&gt;ECO+NFS")</f>
        <v>64465</v>
      </c>
      <c r="K264" s="14"/>
      <c r="L264" s="14"/>
      <c r="M264" s="14"/>
      <c r="N264" s="14"/>
      <c r="O264" s="14"/>
      <c r="P264" s="14"/>
      <c r="Q264" s="14"/>
      <c r="R264" s="14"/>
      <c r="S264" s="14"/>
    </row>
    <row r="265" spans="1:19" ht="18" customHeight="1">
      <c r="A265" s="17" t="str">
        <f>HYPERLINK("#"&amp;ADDRESS(MATCH(A264,'CIM&amp;FMS'!$A$1:$A$4997,0),1,,,"CIM&amp;FMS"),"Back to Price List")</f>
        <v>Back to Price List</v>
      </c>
      <c r="B265" t="s">
        <v>213</v>
      </c>
      <c r="C265" t="s">
        <v>640</v>
      </c>
      <c r="D265" s="4"/>
      <c r="E265" s="4">
        <v>1</v>
      </c>
      <c r="F265" s="4"/>
      <c r="G265" s="29" t="str">
        <f>IFERROR(HYPERLINK("#"&amp;ADDRESS(MATCH(B265&amp;"ES",'LM7 Non-ENG'!$A$1:$A$5000,0),1,,,"LM7 Non-ENG"),IF(IFERROR(VLOOKUP(B265&amp;"ES",'LM7 Non-ENG'!$A$1:$A$4999,1,FALSE),"ERROR")=B265&amp;"ES","Y","")),"")</f>
        <v/>
      </c>
      <c r="H265" s="29" t="str">
        <f>IFERROR(HYPERLINK("#"&amp;ADDRESS(MATCH(B265&amp;"PT",'LM7 Non-ENG'!$A$1:$A$5000,0),1,,,"LM7 Non-ENG"),IF(IFERROR(VLOOKUP(B265&amp;"PT",'LM7 Non-ENG'!$A$1:$A$5000,1,FALSE),"ERROR")=B265&amp;"PT","Y","")),"")</f>
        <v/>
      </c>
      <c r="I265" t="str">
        <f>IFERROR(VLOOKUP(B265,PN!$A:$C,3,FALSE),"")</f>
        <v>Active</v>
      </c>
      <c r="J265" s="3">
        <f>IFERROR(E265*VLOOKUP(B265,PLInter!$A:$D,3,FALSE),"")</f>
        <v>11726</v>
      </c>
      <c r="K265" s="66"/>
      <c r="L265" s="66"/>
      <c r="M265" s="66"/>
      <c r="N265" s="66"/>
      <c r="O265" s="66"/>
      <c r="P265" s="66"/>
      <c r="Q265" s="66"/>
      <c r="R265" s="66"/>
      <c r="S265" s="66"/>
    </row>
    <row r="266" spans="1:19" ht="18" customHeight="1">
      <c r="B266" t="s">
        <v>236</v>
      </c>
      <c r="C266" t="s">
        <v>626</v>
      </c>
      <c r="D266" s="4"/>
      <c r="E266" s="4">
        <v>1</v>
      </c>
      <c r="F266" s="4"/>
      <c r="G266" s="29" t="str">
        <f>IFERROR(HYPERLINK("#"&amp;ADDRESS(MATCH(B266&amp;"ES",'LM7 Non-ENG'!$A$1:$A$5000,0),1,,,"LM7 Non-ENG"),IF(IFERROR(VLOOKUP(B266&amp;"ES",'LM7 Non-ENG'!$A$1:$A$4999,1,FALSE),"ERROR")=B266&amp;"ES","Y","")),"")</f>
        <v/>
      </c>
      <c r="H266" s="29" t="str">
        <f>IFERROR(HYPERLINK("#"&amp;ADDRESS(MATCH(B266&amp;"PT",'LM7 Non-ENG'!$A$1:$A$5000,0),1,,,"LM7 Non-ENG"),IF(IFERROR(VLOOKUP(B266&amp;"PT",'LM7 Non-ENG'!$A$1:$A$5000,1,FALSE),"ERROR")=B266&amp;"PT","Y","")),"")</f>
        <v/>
      </c>
      <c r="I266" t="str">
        <f>IFERROR(VLOOKUP(B266,PN!$A:$C,3,FALSE),"")</f>
        <v>Active</v>
      </c>
      <c r="J266" s="3">
        <f>IFERROR(E266*VLOOKUP(B266,PLInter!$A:$D,3,FALSE),"")</f>
        <v>1680</v>
      </c>
      <c r="K266" s="66"/>
      <c r="L266" s="66"/>
      <c r="M266" s="66"/>
      <c r="N266" s="66"/>
      <c r="O266" s="66"/>
      <c r="P266" s="66"/>
      <c r="Q266" s="66"/>
      <c r="R266" s="66"/>
      <c r="S266" s="66"/>
    </row>
    <row r="267" spans="1:19" ht="18" customHeight="1">
      <c r="B267" t="str">
        <f>"021152"</f>
        <v>021152</v>
      </c>
      <c r="C267" s="41" t="s">
        <v>679</v>
      </c>
      <c r="D267" s="4"/>
      <c r="E267" s="4">
        <v>1</v>
      </c>
      <c r="F267" s="4"/>
      <c r="G267" s="29" t="str">
        <f>IFERROR(HYPERLINK("#"&amp;ADDRESS(MATCH(B267&amp;"ES",'LM7 Non-ENG'!$A$1:$A$5000,0),1,,,"LM7 Non-ENG"),IF(IFERROR(VLOOKUP(B267&amp;"ES",'LM7 Non-ENG'!$A$1:$A$4999,1,FALSE),"ERROR")=B267&amp;"ES","Y","")),"")</f>
        <v/>
      </c>
      <c r="H267" s="29" t="str">
        <f>IFERROR(HYPERLINK("#"&amp;ADDRESS(MATCH(B267&amp;"PT",'LM7 Non-ENG'!$A$1:$A$5000,0),1,,,"LM7 Non-ENG"),IF(IFERROR(VLOOKUP(B267&amp;"PT",'LM7 Non-ENG'!$A$1:$A$5000,1,FALSE),"ERROR")=B267&amp;"PT","Y","")),"")</f>
        <v/>
      </c>
      <c r="I267" t="str">
        <f>IFERROR(VLOOKUP(B267,PN!$A:$C,3,FALSE),"")</f>
        <v>Active</v>
      </c>
      <c r="J267" s="3">
        <f>IFERROR(E267*VLOOKUP(B267,PLInter!$A:$D,3,FALSE),"")</f>
        <v>240</v>
      </c>
      <c r="K267" s="66"/>
      <c r="L267" s="66"/>
      <c r="M267" s="66"/>
      <c r="N267" s="66"/>
      <c r="O267" s="66"/>
      <c r="P267" s="66"/>
      <c r="Q267" s="66"/>
      <c r="R267" s="66"/>
      <c r="S267" s="66"/>
    </row>
    <row r="268" spans="1:19" ht="18" customHeight="1">
      <c r="B268" t="str">
        <f>"113034"</f>
        <v>113034</v>
      </c>
      <c r="C268" t="str">
        <f>"Raw Material Stock - Perspex Block"</f>
        <v>Raw Material Stock - Perspex Block</v>
      </c>
      <c r="D268" s="4"/>
      <c r="E268" s="4">
        <v>10</v>
      </c>
      <c r="F268" s="4"/>
      <c r="G268" s="29" t="str">
        <f>IFERROR(HYPERLINK("#"&amp;ADDRESS(MATCH(B268&amp;"ES",'LM7 Non-ENG'!$A$1:$A$5000,0),1,,,"LM7 Non-ENG"),IF(IFERROR(VLOOKUP(B268&amp;"ES",'LM7 Non-ENG'!$A$1:$A$4999,1,FALSE),"ERROR")=B268&amp;"ES","Y","")),"")</f>
        <v/>
      </c>
      <c r="H268" s="29" t="str">
        <f>IFERROR(HYPERLINK("#"&amp;ADDRESS(MATCH(B268&amp;"PT",'LM7 Non-ENG'!$A$1:$A$5000,0),1,,,"LM7 Non-ENG"),IF(IFERROR(VLOOKUP(B268&amp;"PT",'LM7 Non-ENG'!$A$1:$A$5000,1,FALSE),"ERROR")=B268&amp;"PT","Y","")),"")</f>
        <v/>
      </c>
      <c r="I268" t="str">
        <f>IFERROR(VLOOKUP(B268,PN!$A:$C,3,FALSE),"")</f>
        <v>Active</v>
      </c>
      <c r="J268" s="3">
        <f>IFERROR(E268*VLOOKUP(B268,PLInter!$A:$D,3,FALSE),"")</f>
        <v>150</v>
      </c>
      <c r="K268" s="66"/>
      <c r="L268" s="66"/>
      <c r="M268" s="66"/>
      <c r="N268" s="66"/>
      <c r="O268" s="66"/>
      <c r="P268" s="66"/>
      <c r="Q268" s="66"/>
      <c r="R268" s="66"/>
      <c r="S268" s="66"/>
    </row>
    <row r="269" spans="1:19" ht="18" customHeight="1">
      <c r="B269" t="s">
        <v>765</v>
      </c>
      <c r="C269" t="s">
        <v>766</v>
      </c>
      <c r="D269" s="4"/>
      <c r="E269" s="4">
        <v>1</v>
      </c>
      <c r="F269" s="4"/>
      <c r="G269" s="29" t="str">
        <f>IFERROR(HYPERLINK("#"&amp;ADDRESS(MATCH(B269&amp;"ES",'LM7 Non-ENG'!$A$1:$A$5000,0),1,,,"LM7 Non-ENG"),IF(IFERROR(VLOOKUP(B269&amp;"ES",'LM7 Non-ENG'!$A$1:$A$4999,1,FALSE),"ERROR")=B269&amp;"ES","Y","")),"")</f>
        <v/>
      </c>
      <c r="H269" s="29" t="str">
        <f>IFERROR(HYPERLINK("#"&amp;ADDRESS(MATCH(B269&amp;"PT",'LM7 Non-ENG'!$A$1:$A$5000,0),1,,,"LM7 Non-ENG"),IF(IFERROR(VLOOKUP(B269&amp;"PT",'LM7 Non-ENG'!$A$1:$A$5000,1,FALSE),"ERROR")=B269&amp;"PT","Y","")),"")</f>
        <v/>
      </c>
      <c r="I269" t="str">
        <f>IFERROR(VLOOKUP(B269,PN!$A:$C,3,FALSE),"")</f>
        <v>Active</v>
      </c>
      <c r="J269" s="3">
        <f>IFERROR(E269*VLOOKUP(B269,PLInter!$A:$D,3,FALSE),"")</f>
        <v>46000</v>
      </c>
      <c r="K269" s="66"/>
      <c r="L269" s="66"/>
      <c r="M269" s="66"/>
      <c r="N269" s="66"/>
      <c r="O269" s="66"/>
      <c r="P269" s="66"/>
      <c r="Q269" s="66"/>
      <c r="R269" s="66"/>
      <c r="S269" s="66"/>
    </row>
    <row r="270" spans="1:19" ht="18" customHeight="1">
      <c r="B270" t="str">
        <f>"025223"</f>
        <v>025223</v>
      </c>
      <c r="C270" t="s">
        <v>767</v>
      </c>
      <c r="D270" s="4"/>
      <c r="E270" s="4">
        <v>1</v>
      </c>
      <c r="F270" s="4"/>
      <c r="G270" s="29" t="str">
        <f>IFERROR(HYPERLINK("#"&amp;ADDRESS(MATCH(B270&amp;"ES",'LM7 Non-ENG'!$A$1:$A$5000,0),1,,,"LM7 Non-ENG"),IF(IFERROR(VLOOKUP(B270&amp;"ES",'LM7 Non-ENG'!$A$1:$A$4999,1,FALSE),"ERROR")=B270&amp;"ES","Y","")),"")</f>
        <v/>
      </c>
      <c r="H270" s="29" t="str">
        <f>IFERROR(HYPERLINK("#"&amp;ADDRESS(MATCH(B270&amp;"PT",'LM7 Non-ENG'!$A$1:$A$5000,0),1,,,"LM7 Non-ENG"),IF(IFERROR(VLOOKUP(B270&amp;"PT",'LM7 Non-ENG'!$A$1:$A$5000,1,FALSE),"ERROR")=B270&amp;"PT","Y","")),"")</f>
        <v/>
      </c>
      <c r="I270" t="str">
        <f>IFERROR(VLOOKUP(B270,PN!$A:$C,3,FALSE),"")</f>
        <v>Active</v>
      </c>
      <c r="J270" s="3">
        <f>IFERROR(E270*VLOOKUP(B270,PLInter!$A:$D,3,FALSE),"")</f>
        <v>2000</v>
      </c>
      <c r="K270" s="66"/>
      <c r="L270" s="66"/>
      <c r="M270" s="66"/>
      <c r="N270" s="66"/>
      <c r="O270" s="66"/>
      <c r="P270" s="66"/>
      <c r="Q270" s="66"/>
      <c r="R270" s="66"/>
      <c r="S270" s="66"/>
    </row>
    <row r="271" spans="1:19" ht="18" customHeight="1">
      <c r="B271" t="s">
        <v>768</v>
      </c>
      <c r="C271" t="s">
        <v>769</v>
      </c>
      <c r="D271" s="4"/>
      <c r="E271" s="4">
        <v>1</v>
      </c>
      <c r="F271" s="4"/>
      <c r="G271" s="29" t="str">
        <f>IFERROR(HYPERLINK("#"&amp;ADDRESS(MATCH(B271&amp;"ES",'LM7 Non-ENG'!$A$1:$A$5000,0),1,,,"LM7 Non-ENG"),IF(IFERROR(VLOOKUP(B271&amp;"ES",'LM7 Non-ENG'!$A$1:$A$4999,1,FALSE),"ERROR")=B271&amp;"ES","Y","")),"")</f>
        <v/>
      </c>
      <c r="H271" s="29" t="str">
        <f>IFERROR(HYPERLINK("#"&amp;ADDRESS(MATCH(B271&amp;"PT",'LM7 Non-ENG'!$A$1:$A$5000,0),1,,,"LM7 Non-ENG"),IF(IFERROR(VLOOKUP(B271&amp;"PT",'LM7 Non-ENG'!$A$1:$A$5000,1,FALSE),"ERROR")=B271&amp;"PT","Y","")),"")</f>
        <v/>
      </c>
      <c r="I271" t="str">
        <f>IFERROR(VLOOKUP(B271,PN!$A:$C,3,FALSE),"")</f>
        <v>New</v>
      </c>
      <c r="J271" s="3" t="str">
        <f>IFERROR(E271*VLOOKUP(B271,PLInter!$A:$D,3,FALSE),"")</f>
        <v/>
      </c>
      <c r="K271" s="66"/>
      <c r="L271" s="66"/>
      <c r="M271" s="66"/>
      <c r="N271" s="66"/>
      <c r="O271" s="66"/>
      <c r="P271" s="66"/>
      <c r="Q271" s="66"/>
      <c r="R271" s="66"/>
      <c r="S271" s="66"/>
    </row>
    <row r="272" spans="1:19" ht="18" customHeight="1">
      <c r="B272" t="s">
        <v>697</v>
      </c>
      <c r="C272" t="s">
        <v>698</v>
      </c>
      <c r="D272" s="4"/>
      <c r="E272" s="4">
        <v>1</v>
      </c>
      <c r="F272" s="4"/>
      <c r="G272" s="29" t="str">
        <f>IFERROR(HYPERLINK("#"&amp;ADDRESS(MATCH(B272&amp;"ES",'LM7 Non-ENG'!$A$1:$A$5000,0),1,,,"LM7 Non-ENG"),IF(IFERROR(VLOOKUP(B272&amp;"ES",'LM7 Non-ENG'!$A$1:$A$4999,1,FALSE),"ERROR")=B272&amp;"ES","Y","")),"")</f>
        <v/>
      </c>
      <c r="H272" s="29" t="str">
        <f>IFERROR(HYPERLINK("#"&amp;ADDRESS(MATCH(B272&amp;"PT",'LM7 Non-ENG'!$A$1:$A$5000,0),1,,,"LM7 Non-ENG"),IF(IFERROR(VLOOKUP(B272&amp;"PT",'LM7 Non-ENG'!$A$1:$A$5000,1,FALSE),"ERROR")=B272&amp;"PT","Y","")),"")</f>
        <v/>
      </c>
      <c r="I272" t="str">
        <f>IFERROR(VLOOKUP(B272,PN!$A:$C,3,FALSE),"")</f>
        <v>Active</v>
      </c>
      <c r="J272" s="3">
        <f>IFERROR(E272*VLOOKUP(B272,PLInter!$A:$D,3,FALSE),"")</f>
        <v>934</v>
      </c>
      <c r="K272" s="66"/>
      <c r="L272" s="66"/>
      <c r="M272" s="66"/>
      <c r="N272" s="66"/>
      <c r="O272" s="66"/>
      <c r="P272" s="66"/>
      <c r="Q272" s="66"/>
      <c r="R272" s="66"/>
      <c r="S272" s="66"/>
    </row>
    <row r="273" spans="1:19" ht="18" customHeight="1">
      <c r="B273" t="s">
        <v>630</v>
      </c>
      <c r="C273" t="s">
        <v>631</v>
      </c>
      <c r="D273" s="4"/>
      <c r="E273" s="4">
        <v>1</v>
      </c>
      <c r="F273" s="4"/>
      <c r="G273" s="29" t="str">
        <f>IFERROR(HYPERLINK("#"&amp;ADDRESS(MATCH(B273&amp;"ES",'LM7 Non-ENG'!$A$1:$A$5000,0),1,,,"LM7 Non-ENG"),IF(IFERROR(VLOOKUP(B273&amp;"ES",'LM7 Non-ENG'!$A$1:$A$4999,1,FALSE),"ERROR")=B273&amp;"ES","Y","")),"")</f>
        <v/>
      </c>
      <c r="H273" s="29" t="str">
        <f>IFERROR(HYPERLINK("#"&amp;ADDRESS(MATCH(B273&amp;"PT",'LM7 Non-ENG'!$A$1:$A$5000,0),1,,,"LM7 Non-ENG"),IF(IFERROR(VLOOKUP(B273&amp;"PT",'LM7 Non-ENG'!$A$1:$A$5000,1,FALSE),"ERROR")=B273&amp;"PT","Y","")),"")</f>
        <v/>
      </c>
      <c r="I273" t="str">
        <f>IFERROR(VLOOKUP(B273,PN!$A:$C,3,FALSE),"")</f>
        <v>Active</v>
      </c>
      <c r="J273" s="3">
        <f>IFERROR(E273*VLOOKUP(B273,PLInter!$A:$D,3,FALSE),"")</f>
        <v>1735</v>
      </c>
      <c r="K273" s="66"/>
      <c r="L273" s="66"/>
      <c r="M273" s="66"/>
      <c r="N273" s="66"/>
      <c r="O273" s="66"/>
      <c r="P273" s="66"/>
      <c r="Q273" s="66"/>
      <c r="R273" s="66"/>
      <c r="S273" s="66"/>
    </row>
    <row r="275" spans="1:19" s="7" customFormat="1" ht="18" customHeight="1">
      <c r="A275" s="13" t="s">
        <v>770</v>
      </c>
      <c r="B275" s="13"/>
      <c r="C275" s="13" t="s">
        <v>771</v>
      </c>
      <c r="D275" s="14"/>
      <c r="E275" s="14"/>
      <c r="F275" s="14"/>
      <c r="G275" s="14"/>
      <c r="H275" s="14"/>
      <c r="I275" s="14"/>
      <c r="J275" s="14">
        <f>SUMIFS(J276:J288,D276:D288,"&lt;&gt;Y",F276:F288,"&lt;&gt;Y",I276:I288,"&lt;&gt;Inactive",I276:I288,"&lt;&gt;ECO+NFS")</f>
        <v>73012</v>
      </c>
      <c r="K275" s="14"/>
      <c r="L275" s="14"/>
      <c r="M275" s="14"/>
      <c r="N275" s="14"/>
      <c r="O275" s="14"/>
      <c r="P275" s="14"/>
      <c r="Q275" s="14"/>
      <c r="R275" s="14"/>
      <c r="S275" s="14"/>
    </row>
    <row r="276" spans="1:19" ht="18" customHeight="1">
      <c r="A276" s="17" t="str">
        <f>HYPERLINK("#"&amp;ADDRESS(MATCH(A275,'CIM&amp;FMS'!$A$1:$A$4997,0),1,,,"CIM&amp;FMS"),"Back to Price List")</f>
        <v>Back to Price List</v>
      </c>
      <c r="B276" t="s">
        <v>213</v>
      </c>
      <c r="C276" t="s">
        <v>640</v>
      </c>
      <c r="D276" s="4"/>
      <c r="E276" s="4">
        <v>1</v>
      </c>
      <c r="F276" s="4"/>
      <c r="G276" s="29" t="str">
        <f>IFERROR(HYPERLINK("#"&amp;ADDRESS(MATCH(B276&amp;"ES",'LM7 Non-ENG'!$A$1:$A$5000,0),1,,,"LM7 Non-ENG"),IF(IFERROR(VLOOKUP(B276&amp;"ES",'LM7 Non-ENG'!$A$1:$A$4999,1,FALSE),"ERROR")=B276&amp;"ES","Y","")),"")</f>
        <v/>
      </c>
      <c r="H276" s="29" t="str">
        <f>IFERROR(HYPERLINK("#"&amp;ADDRESS(MATCH(B276&amp;"PT",'LM7 Non-ENG'!$A$1:$A$5000,0),1,,,"LM7 Non-ENG"),IF(IFERROR(VLOOKUP(B276&amp;"PT",'LM7 Non-ENG'!$A$1:$A$5000,1,FALSE),"ERROR")=B276&amp;"PT","Y","")),"")</f>
        <v/>
      </c>
      <c r="I276" t="str">
        <f>IFERROR(VLOOKUP(B276,PN!$A:$C,3,FALSE),"")</f>
        <v>Active</v>
      </c>
      <c r="J276" s="3">
        <f>IFERROR(E276*VLOOKUP(B276,PLInter!$A:$D,3,FALSE),"")</f>
        <v>11726</v>
      </c>
      <c r="K276" s="66"/>
      <c r="L276" s="66"/>
      <c r="M276" s="66"/>
      <c r="N276" s="66"/>
      <c r="O276" s="66"/>
      <c r="P276" s="66"/>
      <c r="Q276" s="66"/>
      <c r="R276" s="66"/>
      <c r="S276" s="66"/>
    </row>
    <row r="277" spans="1:19" ht="18" customHeight="1">
      <c r="B277" t="s">
        <v>236</v>
      </c>
      <c r="C277" t="s">
        <v>626</v>
      </c>
      <c r="D277" s="4"/>
      <c r="E277" s="4">
        <v>1</v>
      </c>
      <c r="F277" s="4"/>
      <c r="G277" s="29" t="str">
        <f>IFERROR(HYPERLINK("#"&amp;ADDRESS(MATCH(B277&amp;"ES",'LM7 Non-ENG'!$A$1:$A$5000,0),1,,,"LM7 Non-ENG"),IF(IFERROR(VLOOKUP(B277&amp;"ES",'LM7 Non-ENG'!$A$1:$A$4999,1,FALSE),"ERROR")=B277&amp;"ES","Y","")),"")</f>
        <v/>
      </c>
      <c r="H277" s="29" t="str">
        <f>IFERROR(HYPERLINK("#"&amp;ADDRESS(MATCH(B277&amp;"PT",'LM7 Non-ENG'!$A$1:$A$5000,0),1,,,"LM7 Non-ENG"),IF(IFERROR(VLOOKUP(B277&amp;"PT",'LM7 Non-ENG'!$A$1:$A$5000,1,FALSE),"ERROR")=B277&amp;"PT","Y","")),"")</f>
        <v/>
      </c>
      <c r="I277" t="str">
        <f>IFERROR(VLOOKUP(B277,PN!$A:$C,3,FALSE),"")</f>
        <v>Active</v>
      </c>
      <c r="J277" s="3">
        <f>IFERROR(E277*VLOOKUP(B277,PLInter!$A:$D,3,FALSE),"")</f>
        <v>1680</v>
      </c>
      <c r="K277" s="66"/>
      <c r="L277" s="66"/>
      <c r="M277" s="66"/>
      <c r="N277" s="66"/>
      <c r="O277" s="66"/>
      <c r="P277" s="66"/>
      <c r="Q277" s="66"/>
      <c r="R277" s="66"/>
      <c r="S277" s="66"/>
    </row>
    <row r="278" spans="1:19" ht="18" customHeight="1">
      <c r="B278" t="s">
        <v>239</v>
      </c>
      <c r="C278" t="s">
        <v>703</v>
      </c>
      <c r="D278" s="4"/>
      <c r="E278" s="4">
        <v>1</v>
      </c>
      <c r="F278" s="4"/>
      <c r="G278" s="29" t="str">
        <f>IFERROR(HYPERLINK("#"&amp;ADDRESS(MATCH(B278&amp;"ES",'LM7 Non-ENG'!$A$1:$A$5000,0),1,,,"LM7 Non-ENG"),IF(IFERROR(VLOOKUP(B278&amp;"ES",'LM7 Non-ENG'!$A$1:$A$4999,1,FALSE),"ERROR")=B278&amp;"ES","Y","")),"")</f>
        <v/>
      </c>
      <c r="H278" s="29" t="str">
        <f>IFERROR(HYPERLINK("#"&amp;ADDRESS(MATCH(B278&amp;"PT",'LM7 Non-ENG'!$A$1:$A$5000,0),1,,,"LM7 Non-ENG"),IF(IFERROR(VLOOKUP(B278&amp;"PT",'LM7 Non-ENG'!$A$1:$A$5000,1,FALSE),"ERROR")=B278&amp;"PT","Y","")),"")</f>
        <v/>
      </c>
      <c r="I278" t="str">
        <f>IFERROR(VLOOKUP(B278,PN!$A:$C,3,FALSE),"")</f>
        <v>Active</v>
      </c>
      <c r="J278" s="3">
        <f>IFERROR(E278*VLOOKUP(B278,PLInter!$A:$D,3,FALSE),"")</f>
        <v>5067</v>
      </c>
      <c r="K278" s="66"/>
      <c r="L278" s="66"/>
      <c r="M278" s="66"/>
      <c r="N278" s="66"/>
      <c r="O278" s="66"/>
      <c r="P278" s="66"/>
      <c r="Q278" s="66"/>
      <c r="R278" s="66"/>
      <c r="S278" s="66"/>
    </row>
    <row r="279" spans="1:19" ht="18" customHeight="1">
      <c r="B279" s="2" t="s">
        <v>772</v>
      </c>
      <c r="C279" s="2" t="s">
        <v>773</v>
      </c>
      <c r="D279" s="5"/>
      <c r="E279" s="5">
        <v>1</v>
      </c>
      <c r="F279" s="5" t="s">
        <v>0</v>
      </c>
      <c r="G279" s="29" t="str">
        <f>IFERROR(HYPERLINK("#"&amp;ADDRESS(MATCH(B279&amp;"ES",'LM7 Non-ENG'!$A$1:$A$5000,0),1,,,"LM7 Non-ENG"),IF(IFERROR(VLOOKUP(B279&amp;"ES",'LM7 Non-ENG'!$A$1:$A$4999,1,FALSE),"ERROR")=B279&amp;"ES","Y","")),"")</f>
        <v/>
      </c>
      <c r="H279" s="29" t="str">
        <f>IFERROR(HYPERLINK("#"&amp;ADDRESS(MATCH(B279&amp;"PT",'LM7 Non-ENG'!$A$1:$A$5000,0),1,,,"LM7 Non-ENG"),IF(IFERROR(VLOOKUP(B279&amp;"PT",'LM7 Non-ENG'!$A$1:$A$5000,1,FALSE),"ERROR")=B279&amp;"PT","Y","")),"")</f>
        <v/>
      </c>
      <c r="I279" t="str">
        <f>IFERROR(VLOOKUP(B279,PN!$A:$C,3,FALSE),"")</f>
        <v>Active</v>
      </c>
      <c r="J279" s="3">
        <f>IFERROR(E279*VLOOKUP(B279,PLInter!$A:$D,3,FALSE),"")</f>
        <v>8267</v>
      </c>
      <c r="K279" s="66"/>
      <c r="L279" s="66"/>
      <c r="M279" s="66"/>
      <c r="N279" s="66"/>
      <c r="O279" s="66"/>
      <c r="P279" s="66"/>
      <c r="Q279" s="66"/>
      <c r="R279" s="66"/>
      <c r="S279" s="66"/>
    </row>
    <row r="280" spans="1:19" ht="18" customHeight="1">
      <c r="B280" t="s">
        <v>677</v>
      </c>
      <c r="C280" t="s">
        <v>678</v>
      </c>
      <c r="D280" s="4"/>
      <c r="E280" s="4">
        <v>1</v>
      </c>
      <c r="F280" s="4"/>
      <c r="G280" s="29" t="str">
        <f>IFERROR(HYPERLINK("#"&amp;ADDRESS(MATCH(B280&amp;"ES",'LM7 Non-ENG'!$A$1:$A$5000,0),1,,,"LM7 Non-ENG"),IF(IFERROR(VLOOKUP(B280&amp;"ES",'LM7 Non-ENG'!$A$1:$A$4999,1,FALSE),"ERROR")=B280&amp;"ES","Y","")),"")</f>
        <v/>
      </c>
      <c r="H280" s="29" t="str">
        <f>IFERROR(HYPERLINK("#"&amp;ADDRESS(MATCH(B280&amp;"PT",'LM7 Non-ENG'!$A$1:$A$5000,0),1,,,"LM7 Non-ENG"),IF(IFERROR(VLOOKUP(B280&amp;"PT",'LM7 Non-ENG'!$A$1:$A$5000,1,FALSE),"ERROR")=B280&amp;"PT","Y","")),"")</f>
        <v/>
      </c>
      <c r="I280" t="str">
        <f>IFERROR(VLOOKUP(B280,PN!$A:$C,3,FALSE),"")</f>
        <v>Active</v>
      </c>
      <c r="J280" s="3">
        <f>IFERROR(E280*VLOOKUP(B280,PLInter!$A:$D,3,FALSE),"")</f>
        <v>800</v>
      </c>
      <c r="K280" s="66"/>
      <c r="L280" s="66"/>
      <c r="M280" s="66"/>
      <c r="N280" s="66"/>
      <c r="O280" s="66"/>
      <c r="P280" s="66"/>
      <c r="Q280" s="66"/>
      <c r="R280" s="66"/>
      <c r="S280" s="66"/>
    </row>
    <row r="281" spans="1:19" ht="18" customHeight="1">
      <c r="B281" t="s">
        <v>680</v>
      </c>
      <c r="C281" t="s">
        <v>681</v>
      </c>
      <c r="D281" s="4"/>
      <c r="E281" s="4">
        <v>1</v>
      </c>
      <c r="F281" s="4"/>
      <c r="G281" s="29" t="str">
        <f>IFERROR(HYPERLINK("#"&amp;ADDRESS(MATCH(B281&amp;"ES",'LM7 Non-ENG'!$A$1:$A$5000,0),1,,,"LM7 Non-ENG"),IF(IFERROR(VLOOKUP(B281&amp;"ES",'LM7 Non-ENG'!$A$1:$A$4999,1,FALSE),"ERROR")=B281&amp;"ES","Y","")),"")</f>
        <v/>
      </c>
      <c r="H281" s="29" t="str">
        <f>IFERROR(HYPERLINK("#"&amp;ADDRESS(MATCH(B281&amp;"PT",'LM7 Non-ENG'!$A$1:$A$5000,0),1,,,"LM7 Non-ENG"),IF(IFERROR(VLOOKUP(B281&amp;"PT",'LM7 Non-ENG'!$A$1:$A$5000,1,FALSE),"ERROR")=B281&amp;"PT","Y","")),"")</f>
        <v/>
      </c>
      <c r="I281" t="str">
        <f>IFERROR(VLOOKUP(B281,PN!$A:$C,3,FALSE),"")</f>
        <v>Active</v>
      </c>
      <c r="J281" s="3">
        <f>IFERROR(E281*VLOOKUP(B281,PLInter!$A:$D,3,FALSE),"")</f>
        <v>1440</v>
      </c>
      <c r="K281" s="66"/>
      <c r="L281" s="66"/>
      <c r="M281" s="66"/>
      <c r="N281" s="66"/>
      <c r="O281" s="66"/>
      <c r="P281" s="66"/>
      <c r="Q281" s="66"/>
      <c r="R281" s="66"/>
      <c r="S281" s="66"/>
    </row>
    <row r="282" spans="1:19" ht="18" customHeight="1">
      <c r="B282" t="s">
        <v>684</v>
      </c>
      <c r="C282" t="s">
        <v>685</v>
      </c>
      <c r="D282" s="4"/>
      <c r="E282" s="4">
        <v>1</v>
      </c>
      <c r="F282" s="4"/>
      <c r="G282" s="29" t="str">
        <f>IFERROR(HYPERLINK("#"&amp;ADDRESS(MATCH(B282&amp;"ES",'LM7 Non-ENG'!$A$1:$A$5000,0),1,,,"LM7 Non-ENG"),IF(IFERROR(VLOOKUP(B282&amp;"ES",'LM7 Non-ENG'!$A$1:$A$4999,1,FALSE),"ERROR")=B282&amp;"ES","Y","")),"")</f>
        <v/>
      </c>
      <c r="H282" s="29" t="str">
        <f>IFERROR(HYPERLINK("#"&amp;ADDRESS(MATCH(B282&amp;"PT",'LM7 Non-ENG'!$A$1:$A$5000,0),1,,,"LM7 Non-ENG"),IF(IFERROR(VLOOKUP(B282&amp;"PT",'LM7 Non-ENG'!$A$1:$A$5000,1,FALSE),"ERROR")=B282&amp;"PT","Y","")),"")</f>
        <v/>
      </c>
      <c r="I282" t="str">
        <f>IFERROR(VLOOKUP(B282,PN!$A:$C,3,FALSE),"")</f>
        <v>Active</v>
      </c>
      <c r="J282" s="3">
        <f>IFERROR(E282*VLOOKUP(B282,PLInter!$A:$D,3,FALSE),"")</f>
        <v>580</v>
      </c>
      <c r="K282" s="66"/>
      <c r="L282" s="66"/>
      <c r="M282" s="66"/>
      <c r="N282" s="66"/>
      <c r="O282" s="66"/>
      <c r="P282" s="66"/>
      <c r="Q282" s="66"/>
      <c r="R282" s="66"/>
      <c r="S282" s="66"/>
    </row>
    <row r="283" spans="1:19" ht="18" customHeight="1">
      <c r="B283" t="str">
        <f>"021181"</f>
        <v>021181</v>
      </c>
      <c r="C283" t="s">
        <v>667</v>
      </c>
      <c r="D283" s="4"/>
      <c r="E283" s="4">
        <v>1</v>
      </c>
      <c r="F283" s="4"/>
      <c r="G283" s="29" t="str">
        <f>IFERROR(HYPERLINK("#"&amp;ADDRESS(MATCH(B283&amp;"ES",'LM7 Non-ENG'!$A$1:$A$5000,0),1,,,"LM7 Non-ENG"),IF(IFERROR(VLOOKUP(B283&amp;"ES",'LM7 Non-ENG'!$A$1:$A$4999,1,FALSE),"ERROR")=B283&amp;"ES","Y","")),"")</f>
        <v/>
      </c>
      <c r="H283" s="29" t="str">
        <f>IFERROR(HYPERLINK("#"&amp;ADDRESS(MATCH(B283&amp;"PT",'LM7 Non-ENG'!$A$1:$A$5000,0),1,,,"LM7 Non-ENG"),IF(IFERROR(VLOOKUP(B283&amp;"PT",'LM7 Non-ENG'!$A$1:$A$5000,1,FALSE),"ERROR")=B283&amp;"PT","Y","")),"")</f>
        <v/>
      </c>
      <c r="I283" t="str">
        <f>IFERROR(VLOOKUP(B283,PN!$A:$C,3,FALSE),"")</f>
        <v>Active</v>
      </c>
      <c r="J283" s="3">
        <f>IFERROR(E283*VLOOKUP(B283,PLInter!$A:$D,3,FALSE),"")</f>
        <v>34</v>
      </c>
      <c r="K283" s="66"/>
      <c r="L283" s="66"/>
      <c r="M283" s="66"/>
      <c r="N283" s="66"/>
      <c r="O283" s="66"/>
      <c r="P283" s="66"/>
      <c r="Q283" s="66"/>
      <c r="R283" s="66"/>
      <c r="S283" s="66"/>
    </row>
    <row r="284" spans="1:19" ht="18" customHeight="1">
      <c r="B284" t="str">
        <f>"113034"</f>
        <v>113034</v>
      </c>
      <c r="C284" t="str">
        <f>"Raw Material Stock - Perspex Block"</f>
        <v>Raw Material Stock - Perspex Block</v>
      </c>
      <c r="D284" s="4"/>
      <c r="E284" s="4">
        <v>10</v>
      </c>
      <c r="F284" s="4"/>
      <c r="G284" s="29" t="str">
        <f>IFERROR(HYPERLINK("#"&amp;ADDRESS(MATCH(B284&amp;"ES",'LM7 Non-ENG'!$A$1:$A$5000,0),1,,,"LM7 Non-ENG"),IF(IFERROR(VLOOKUP(B284&amp;"ES",'LM7 Non-ENG'!$A$1:$A$4999,1,FALSE),"ERROR")=B284&amp;"ES","Y","")),"")</f>
        <v/>
      </c>
      <c r="H284" s="29" t="str">
        <f>IFERROR(HYPERLINK("#"&amp;ADDRESS(MATCH(B284&amp;"PT",'LM7 Non-ENG'!$A$1:$A$5000,0),1,,,"LM7 Non-ENG"),IF(IFERROR(VLOOKUP(B284&amp;"PT",'LM7 Non-ENG'!$A$1:$A$5000,1,FALSE),"ERROR")=B284&amp;"PT","Y","")),"")</f>
        <v/>
      </c>
      <c r="I284" t="str">
        <f>IFERROR(VLOOKUP(B284,PN!$A:$C,3,FALSE),"")</f>
        <v>Active</v>
      </c>
      <c r="J284" s="3">
        <f>IFERROR(E284*VLOOKUP(B284,PLInter!$A:$D,3,FALSE),"")</f>
        <v>150</v>
      </c>
      <c r="K284" s="66"/>
      <c r="L284" s="66"/>
      <c r="M284" s="66"/>
      <c r="N284" s="66"/>
      <c r="O284" s="66"/>
      <c r="P284" s="66"/>
      <c r="Q284" s="66"/>
      <c r="R284" s="66"/>
      <c r="S284" s="66"/>
    </row>
    <row r="285" spans="1:19" ht="18" customHeight="1">
      <c r="B285" t="s">
        <v>765</v>
      </c>
      <c r="C285" t="s">
        <v>766</v>
      </c>
      <c r="D285" s="4"/>
      <c r="E285" s="4">
        <v>1</v>
      </c>
      <c r="F285" s="4"/>
      <c r="G285" s="29" t="str">
        <f>IFERROR(HYPERLINK("#"&amp;ADDRESS(MATCH(B285&amp;"ES",'LM7 Non-ENG'!$A$1:$A$5000,0),1,,,"LM7 Non-ENG"),IF(IFERROR(VLOOKUP(B285&amp;"ES",'LM7 Non-ENG'!$A$1:$A$4999,1,FALSE),"ERROR")=B285&amp;"ES","Y","")),"")</f>
        <v/>
      </c>
      <c r="H285" s="29" t="str">
        <f>IFERROR(HYPERLINK("#"&amp;ADDRESS(MATCH(B285&amp;"PT",'LM7 Non-ENG'!$A$1:$A$5000,0),1,,,"LM7 Non-ENG"),IF(IFERROR(VLOOKUP(B285&amp;"PT",'LM7 Non-ENG'!$A$1:$A$5000,1,FALSE),"ERROR")=B285&amp;"PT","Y","")),"")</f>
        <v/>
      </c>
      <c r="I285" t="str">
        <f>IFERROR(VLOOKUP(B285,PN!$A:$C,3,FALSE),"")</f>
        <v>Active</v>
      </c>
      <c r="J285" s="3">
        <f>IFERROR(E285*VLOOKUP(B285,PLInter!$A:$D,3,FALSE),"")</f>
        <v>46000</v>
      </c>
      <c r="K285" s="66"/>
      <c r="L285" s="66"/>
      <c r="M285" s="66"/>
      <c r="N285" s="66"/>
      <c r="O285" s="66"/>
      <c r="P285" s="66"/>
      <c r="Q285" s="66"/>
      <c r="R285" s="66"/>
      <c r="S285" s="66"/>
    </row>
    <row r="286" spans="1:19" ht="18" customHeight="1">
      <c r="B286" t="str">
        <f>"025223"</f>
        <v>025223</v>
      </c>
      <c r="C286" t="s">
        <v>767</v>
      </c>
      <c r="D286" s="4"/>
      <c r="E286" s="4">
        <v>1</v>
      </c>
      <c r="F286" s="4"/>
      <c r="G286" s="29" t="str">
        <f>IFERROR(HYPERLINK("#"&amp;ADDRESS(MATCH(B286&amp;"ES",'LM7 Non-ENG'!$A$1:$A$5000,0),1,,,"LM7 Non-ENG"),IF(IFERROR(VLOOKUP(B286&amp;"ES",'LM7 Non-ENG'!$A$1:$A$4999,1,FALSE),"ERROR")=B286&amp;"ES","Y","")),"")</f>
        <v/>
      </c>
      <c r="H286" s="29" t="str">
        <f>IFERROR(HYPERLINK("#"&amp;ADDRESS(MATCH(B286&amp;"PT",'LM7 Non-ENG'!$A$1:$A$5000,0),1,,,"LM7 Non-ENG"),IF(IFERROR(VLOOKUP(B286&amp;"PT",'LM7 Non-ENG'!$A$1:$A$5000,1,FALSE),"ERROR")=B286&amp;"PT","Y","")),"")</f>
        <v/>
      </c>
      <c r="I286" t="str">
        <f>IFERROR(VLOOKUP(B286,PN!$A:$C,3,FALSE),"")</f>
        <v>Active</v>
      </c>
      <c r="J286" s="3">
        <f>IFERROR(E286*VLOOKUP(B286,PLInter!$A:$D,3,FALSE),"")</f>
        <v>2000</v>
      </c>
      <c r="K286" s="66"/>
      <c r="L286" s="66"/>
      <c r="M286" s="66"/>
      <c r="N286" s="66"/>
      <c r="O286" s="66"/>
      <c r="P286" s="66"/>
      <c r="Q286" s="66"/>
      <c r="R286" s="66"/>
      <c r="S286" s="66"/>
    </row>
    <row r="287" spans="1:19" ht="18" customHeight="1">
      <c r="B287" t="s">
        <v>644</v>
      </c>
      <c r="C287" t="s">
        <v>645</v>
      </c>
      <c r="D287" s="4"/>
      <c r="E287" s="4">
        <v>1</v>
      </c>
      <c r="F287" s="4"/>
      <c r="G287" s="29" t="str">
        <f>IFERROR(HYPERLINK("#"&amp;ADDRESS(MATCH(B287&amp;"ES",'LM7 Non-ENG'!$A$1:$A$5000,0),1,,,"LM7 Non-ENG"),IF(IFERROR(VLOOKUP(B287&amp;"ES",'LM7 Non-ENG'!$A$1:$A$4999,1,FALSE),"ERROR")=B287&amp;"ES","Y","")),"")</f>
        <v/>
      </c>
      <c r="H287" s="29" t="str">
        <f>IFERROR(HYPERLINK("#"&amp;ADDRESS(MATCH(B287&amp;"PT",'LM7 Non-ENG'!$A$1:$A$5000,0),1,,,"LM7 Non-ENG"),IF(IFERROR(VLOOKUP(B287&amp;"PT",'LM7 Non-ENG'!$A$1:$A$5000,1,FALSE),"ERROR")=B287&amp;"PT","Y","")),"")</f>
        <v/>
      </c>
      <c r="I287" t="str">
        <f>IFERROR(VLOOKUP(B287,PN!$A:$C,3,FALSE),"")</f>
        <v>Active</v>
      </c>
      <c r="J287" s="3">
        <f>IFERROR(E287*VLOOKUP(B287,PLInter!$A:$D,3,FALSE),"")</f>
        <v>1800</v>
      </c>
      <c r="K287" s="66"/>
      <c r="L287" s="66"/>
      <c r="M287" s="66"/>
      <c r="N287" s="66"/>
      <c r="O287" s="66"/>
      <c r="P287" s="66"/>
      <c r="Q287" s="66"/>
      <c r="R287" s="66"/>
      <c r="S287" s="66"/>
    </row>
    <row r="288" spans="1:19" ht="18" customHeight="1">
      <c r="B288" t="s">
        <v>630</v>
      </c>
      <c r="C288" t="s">
        <v>631</v>
      </c>
      <c r="D288" s="4"/>
      <c r="E288" s="4">
        <v>1</v>
      </c>
      <c r="F288" s="4"/>
      <c r="G288" s="29" t="str">
        <f>IFERROR(HYPERLINK("#"&amp;ADDRESS(MATCH(B288&amp;"ES",'LM7 Non-ENG'!$A$1:$A$5000,0),1,,,"LM7 Non-ENG"),IF(IFERROR(VLOOKUP(B288&amp;"ES",'LM7 Non-ENG'!$A$1:$A$4999,1,FALSE),"ERROR")=B288&amp;"ES","Y","")),"")</f>
        <v/>
      </c>
      <c r="H288" s="29" t="str">
        <f>IFERROR(HYPERLINK("#"&amp;ADDRESS(MATCH(B288&amp;"PT",'LM7 Non-ENG'!$A$1:$A$5000,0),1,,,"LM7 Non-ENG"),IF(IFERROR(VLOOKUP(B288&amp;"PT",'LM7 Non-ENG'!$A$1:$A$5000,1,FALSE),"ERROR")=B288&amp;"PT","Y","")),"")</f>
        <v/>
      </c>
      <c r="I288" t="str">
        <f>IFERROR(VLOOKUP(B288,PN!$A:$C,3,FALSE),"")</f>
        <v>Active</v>
      </c>
      <c r="J288" s="3">
        <f>IFERROR(E288*VLOOKUP(B288,PLInter!$A:$D,3,FALSE),"")</f>
        <v>1735</v>
      </c>
      <c r="K288" s="66"/>
      <c r="L288" s="66"/>
      <c r="M288" s="66"/>
      <c r="N288" s="66"/>
      <c r="O288" s="66"/>
      <c r="P288" s="66"/>
      <c r="Q288" s="66"/>
      <c r="R288" s="66"/>
      <c r="S288" s="66"/>
    </row>
    <row r="290" spans="1:19" s="7" customFormat="1" ht="18" customHeight="1">
      <c r="A290" s="13" t="s">
        <v>774</v>
      </c>
      <c r="B290" s="13"/>
      <c r="C290" s="13" t="s">
        <v>775</v>
      </c>
      <c r="D290" s="14"/>
      <c r="E290" s="14"/>
      <c r="F290" s="14"/>
      <c r="G290" s="14"/>
      <c r="H290" s="14"/>
      <c r="I290" s="14"/>
      <c r="J290" s="14">
        <f>SUMIFS(J291:J309,D291:D309,"&lt;&gt;Y",F291:F309,"&lt;&gt;Y",I291:I309,"&lt;&gt;Inactive",I291:I309,"&lt;&gt;ECO+NFS")</f>
        <v>53013</v>
      </c>
      <c r="K290" s="14"/>
      <c r="L290" s="14"/>
      <c r="M290" s="14"/>
      <c r="N290" s="14"/>
      <c r="O290" s="14"/>
      <c r="P290" s="14"/>
      <c r="Q290" s="14"/>
      <c r="R290" s="14"/>
      <c r="S290" s="14"/>
    </row>
    <row r="291" spans="1:19" ht="18" customHeight="1">
      <c r="A291" s="17" t="str">
        <f>HYPERLINK("#"&amp;ADDRESS(MATCH(A290,'CIM&amp;FMS'!$A$1:$A$4997,0),1,,,"CIM&amp;FMS"),"Back to Price List")</f>
        <v>Back to Price List</v>
      </c>
      <c r="B291" t="s">
        <v>214</v>
      </c>
      <c r="C291" t="s">
        <v>654</v>
      </c>
      <c r="D291" s="4"/>
      <c r="E291" s="4">
        <v>1</v>
      </c>
      <c r="F291" s="4"/>
      <c r="G291" s="29" t="str">
        <f>IFERROR(HYPERLINK("#"&amp;ADDRESS(MATCH(B291&amp;"ES",'LM7 Non-ENG'!$A$1:$A$5000,0),1,,,"LM7 Non-ENG"),IF(IFERROR(VLOOKUP(B291&amp;"ES",'LM7 Non-ENG'!$A$1:$A$4999,1,FALSE),"ERROR")=B291&amp;"ES","Y","")),"")</f>
        <v/>
      </c>
      <c r="H291" s="29" t="str">
        <f>IFERROR(HYPERLINK("#"&amp;ADDRESS(MATCH(B291&amp;"PT",'LM7 Non-ENG'!$A$1:$A$5000,0),1,,,"LM7 Non-ENG"),IF(IFERROR(VLOOKUP(B291&amp;"PT",'LM7 Non-ENG'!$A$1:$A$5000,1,FALSE),"ERROR")=B291&amp;"PT","Y","")),"")</f>
        <v/>
      </c>
      <c r="I291" t="str">
        <f>IFERROR(VLOOKUP(B291,PN!$A:$C,3,FALSE),"")</f>
        <v>Active</v>
      </c>
      <c r="J291" s="3">
        <f>IFERROR(E291*VLOOKUP(B291,PLInter!$A:$D,3,FALSE),"")</f>
        <v>24000</v>
      </c>
      <c r="K291" s="66"/>
      <c r="L291" s="66"/>
      <c r="M291" s="66"/>
      <c r="N291" s="66"/>
      <c r="O291" s="66"/>
      <c r="P291" s="66"/>
      <c r="Q291" s="66"/>
      <c r="R291" s="66"/>
      <c r="S291" s="66"/>
    </row>
    <row r="292" spans="1:19" ht="18" customHeight="1">
      <c r="B292" t="s">
        <v>228</v>
      </c>
      <c r="C292" t="s">
        <v>655</v>
      </c>
      <c r="D292" s="4"/>
      <c r="E292" s="4">
        <v>1</v>
      </c>
      <c r="F292" s="4"/>
      <c r="G292" s="29" t="str">
        <f>IFERROR(HYPERLINK("#"&amp;ADDRESS(MATCH(B292&amp;"ES",'LM7 Non-ENG'!$A$1:$A$5000,0),1,,,"LM7 Non-ENG"),IF(IFERROR(VLOOKUP(B292&amp;"ES",'LM7 Non-ENG'!$A$1:$A$4999,1,FALSE),"ERROR")=B292&amp;"ES","Y","")),"")</f>
        <v/>
      </c>
      <c r="H292" s="29" t="str">
        <f>IFERROR(HYPERLINK("#"&amp;ADDRESS(MATCH(B292&amp;"PT",'LM7 Non-ENG'!$A$1:$A$5000,0),1,,,"LM7 Non-ENG"),IF(IFERROR(VLOOKUP(B292&amp;"PT",'LM7 Non-ENG'!$A$1:$A$5000,1,FALSE),"ERROR")=B292&amp;"PT","Y","")),"")</f>
        <v/>
      </c>
      <c r="I292" t="str">
        <f>IFERROR(VLOOKUP(B292,PN!$A:$C,3,FALSE),"")</f>
        <v>Active</v>
      </c>
      <c r="J292" s="3">
        <f>IFERROR(E292*VLOOKUP(B292,PLInter!$A:$D,3,FALSE),"")</f>
        <v>2134</v>
      </c>
      <c r="K292" s="66"/>
      <c r="L292" s="66"/>
      <c r="M292" s="66"/>
      <c r="N292" s="66"/>
      <c r="O292" s="66"/>
      <c r="P292" s="66"/>
      <c r="Q292" s="66"/>
      <c r="R292" s="66"/>
      <c r="S292" s="66"/>
    </row>
    <row r="293" spans="1:19" ht="18" customHeight="1">
      <c r="B293" s="2" t="s">
        <v>227</v>
      </c>
      <c r="C293" s="2" t="s">
        <v>232</v>
      </c>
      <c r="D293" s="5"/>
      <c r="E293" s="5">
        <v>1</v>
      </c>
      <c r="F293" s="5" t="s">
        <v>0</v>
      </c>
      <c r="G293" s="29" t="str">
        <f>IFERROR(HYPERLINK("#"&amp;ADDRESS(MATCH(B293&amp;"ES",'LM7 Non-ENG'!$A$1:$A$5000,0),1,,,"LM7 Non-ENG"),IF(IFERROR(VLOOKUP(B293&amp;"ES",'LM7 Non-ENG'!$A$1:$A$4999,1,FALSE),"ERROR")=B293&amp;"ES","Y","")),"")</f>
        <v/>
      </c>
      <c r="H293" s="29" t="str">
        <f>IFERROR(HYPERLINK("#"&amp;ADDRESS(MATCH(B293&amp;"PT",'LM7 Non-ENG'!$A$1:$A$5000,0),1,,,"LM7 Non-ENG"),IF(IFERROR(VLOOKUP(B293&amp;"PT",'LM7 Non-ENG'!$A$1:$A$5000,1,FALSE),"ERROR")=B293&amp;"PT","Y","")),"")</f>
        <v/>
      </c>
      <c r="I293" t="str">
        <f>IFERROR(VLOOKUP(B293,PN!$A:$C,3,FALSE),"")</f>
        <v>Active</v>
      </c>
      <c r="J293" s="3">
        <f>IFERROR(E293*VLOOKUP(B293,PLInter!$A:$D,3,FALSE),"")</f>
        <v>1700</v>
      </c>
      <c r="K293" s="66"/>
      <c r="L293" s="66"/>
      <c r="M293" s="66"/>
      <c r="N293" s="66"/>
      <c r="O293" s="66"/>
      <c r="P293" s="66"/>
      <c r="Q293" s="66"/>
      <c r="R293" s="66"/>
      <c r="S293" s="66"/>
    </row>
    <row r="294" spans="1:19" ht="18" customHeight="1">
      <c r="B294" t="s">
        <v>236</v>
      </c>
      <c r="C294" t="s">
        <v>626</v>
      </c>
      <c r="D294" s="4"/>
      <c r="E294" s="4">
        <v>1</v>
      </c>
      <c r="F294" s="4"/>
      <c r="G294" s="29" t="str">
        <f>IFERROR(HYPERLINK("#"&amp;ADDRESS(MATCH(B294&amp;"ES",'LM7 Non-ENG'!$A$1:$A$5000,0),1,,,"LM7 Non-ENG"),IF(IFERROR(VLOOKUP(B294&amp;"ES",'LM7 Non-ENG'!$A$1:$A$4999,1,FALSE),"ERROR")=B294&amp;"ES","Y","")),"")</f>
        <v/>
      </c>
      <c r="H294" s="29" t="str">
        <f>IFERROR(HYPERLINK("#"&amp;ADDRESS(MATCH(B294&amp;"PT",'LM7 Non-ENG'!$A$1:$A$5000,0),1,,,"LM7 Non-ENG"),IF(IFERROR(VLOOKUP(B294&amp;"PT",'LM7 Non-ENG'!$A$1:$A$5000,1,FALSE),"ERROR")=B294&amp;"PT","Y","")),"")</f>
        <v/>
      </c>
      <c r="I294" t="str">
        <f>IFERROR(VLOOKUP(B294,PN!$A:$C,3,FALSE),"")</f>
        <v>Active</v>
      </c>
      <c r="J294" s="3">
        <f>IFERROR(E294*VLOOKUP(B294,PLInter!$A:$D,3,FALSE),"")</f>
        <v>1680</v>
      </c>
      <c r="K294" s="66"/>
      <c r="L294" s="66"/>
      <c r="M294" s="66"/>
      <c r="N294" s="66"/>
      <c r="O294" s="66"/>
      <c r="P294" s="66"/>
      <c r="Q294" s="66"/>
      <c r="R294" s="66"/>
      <c r="S294" s="66"/>
    </row>
    <row r="295" spans="1:19" ht="18" customHeight="1">
      <c r="B295" t="s">
        <v>772</v>
      </c>
      <c r="C295" t="s">
        <v>776</v>
      </c>
      <c r="D295" s="4"/>
      <c r="E295" s="4">
        <v>1</v>
      </c>
      <c r="F295" s="4"/>
      <c r="G295" s="29" t="str">
        <f>IFERROR(HYPERLINK("#"&amp;ADDRESS(MATCH(B295&amp;"ES",'LM7 Non-ENG'!$A$1:$A$5000,0),1,,,"LM7 Non-ENG"),IF(IFERROR(VLOOKUP(B295&amp;"ES",'LM7 Non-ENG'!$A$1:$A$4999,1,FALSE),"ERROR")=B295&amp;"ES","Y","")),"")</f>
        <v/>
      </c>
      <c r="H295" s="29" t="str">
        <f>IFERROR(HYPERLINK("#"&amp;ADDRESS(MATCH(B295&amp;"PT",'LM7 Non-ENG'!$A$1:$A$5000,0),1,,,"LM7 Non-ENG"),IF(IFERROR(VLOOKUP(B295&amp;"PT",'LM7 Non-ENG'!$A$1:$A$5000,1,FALSE),"ERROR")=B295&amp;"PT","Y","")),"")</f>
        <v/>
      </c>
      <c r="I295" t="str">
        <f>IFERROR(VLOOKUP(B295,PN!$A:$C,3,FALSE),"")</f>
        <v>Active</v>
      </c>
      <c r="J295" s="3">
        <f>IFERROR(E295*VLOOKUP(B295,PLInter!$A:$D,3,FALSE),"")</f>
        <v>8267</v>
      </c>
      <c r="K295" s="66"/>
      <c r="L295" s="66"/>
      <c r="M295" s="66"/>
      <c r="N295" s="66"/>
      <c r="O295" s="66"/>
      <c r="P295" s="66"/>
      <c r="Q295" s="66"/>
      <c r="R295" s="66"/>
      <c r="S295" s="66"/>
    </row>
    <row r="296" spans="1:19" ht="18" customHeight="1">
      <c r="B296" t="s">
        <v>684</v>
      </c>
      <c r="C296" t="s">
        <v>685</v>
      </c>
      <c r="D296" s="4"/>
      <c r="E296" s="4">
        <v>2</v>
      </c>
      <c r="F296" s="4"/>
      <c r="G296" s="29" t="str">
        <f>IFERROR(HYPERLINK("#"&amp;ADDRESS(MATCH(B296&amp;"ES",'LM7 Non-ENG'!$A$1:$A$5000,0),1,,,"LM7 Non-ENG"),IF(IFERROR(VLOOKUP(B296&amp;"ES",'LM7 Non-ENG'!$A$1:$A$4999,1,FALSE),"ERROR")=B296&amp;"ES","Y","")),"")</f>
        <v/>
      </c>
      <c r="H296" s="29" t="str">
        <f>IFERROR(HYPERLINK("#"&amp;ADDRESS(MATCH(B296&amp;"PT",'LM7 Non-ENG'!$A$1:$A$5000,0),1,,,"LM7 Non-ENG"),IF(IFERROR(VLOOKUP(B296&amp;"PT",'LM7 Non-ENG'!$A$1:$A$5000,1,FALSE),"ERROR")=B296&amp;"PT","Y","")),"")</f>
        <v/>
      </c>
      <c r="I296" t="str">
        <f>IFERROR(VLOOKUP(B296,PN!$A:$C,3,FALSE),"")</f>
        <v>Active</v>
      </c>
      <c r="J296" s="3">
        <f>IFERROR(E296*VLOOKUP(B296,PLInter!$A:$D,3,FALSE),"")</f>
        <v>1160</v>
      </c>
      <c r="K296" s="66"/>
      <c r="L296" s="66"/>
      <c r="M296" s="66"/>
      <c r="N296" s="66"/>
      <c r="O296" s="66"/>
      <c r="P296" s="66"/>
      <c r="Q296" s="66"/>
      <c r="R296" s="66"/>
      <c r="S296" s="66"/>
    </row>
    <row r="297" spans="1:19" ht="18" customHeight="1">
      <c r="B297" t="str">
        <f>"021182"</f>
        <v>021182</v>
      </c>
      <c r="C297" t="s">
        <v>686</v>
      </c>
      <c r="D297" s="4"/>
      <c r="E297" s="4">
        <v>2</v>
      </c>
      <c r="F297" s="4"/>
      <c r="G297" s="29" t="str">
        <f>IFERROR(HYPERLINK("#"&amp;ADDRESS(MATCH(B297&amp;"ES",'LM7 Non-ENG'!$A$1:$A$5000,0),1,,,"LM7 Non-ENG"),IF(IFERROR(VLOOKUP(B297&amp;"ES",'LM7 Non-ENG'!$A$1:$A$4999,1,FALSE),"ERROR")=B297&amp;"ES","Y","")),"")</f>
        <v/>
      </c>
      <c r="H297" s="29" t="str">
        <f>IFERROR(HYPERLINK("#"&amp;ADDRESS(MATCH(B297&amp;"PT",'LM7 Non-ENG'!$A$1:$A$5000,0),1,,,"LM7 Non-ENG"),IF(IFERROR(VLOOKUP(B297&amp;"PT",'LM7 Non-ENG'!$A$1:$A$5000,1,FALSE),"ERROR")=B297&amp;"PT","Y","")),"")</f>
        <v/>
      </c>
      <c r="I297" t="str">
        <f>IFERROR(VLOOKUP(B297,PN!$A:$C,3,FALSE),"")</f>
        <v>Active</v>
      </c>
      <c r="J297" s="3">
        <f>IFERROR(E297*VLOOKUP(B297,PLInter!$A:$D,3,FALSE),"")</f>
        <v>32</v>
      </c>
      <c r="K297" s="66"/>
      <c r="L297" s="66"/>
      <c r="M297" s="66"/>
      <c r="N297" s="66"/>
      <c r="O297" s="66"/>
      <c r="P297" s="66"/>
      <c r="Q297" s="66"/>
      <c r="R297" s="66"/>
      <c r="S297" s="66"/>
    </row>
    <row r="298" spans="1:19" ht="18" customHeight="1">
      <c r="B298" t="s">
        <v>682</v>
      </c>
      <c r="C298" t="s">
        <v>683</v>
      </c>
      <c r="D298" s="4"/>
      <c r="E298" s="4">
        <v>1</v>
      </c>
      <c r="F298" s="4"/>
      <c r="G298" s="29" t="str">
        <f>IFERROR(HYPERLINK("#"&amp;ADDRESS(MATCH(B298&amp;"ES",'LM7 Non-ENG'!$A$1:$A$5000,0),1,,,"LM7 Non-ENG"),IF(IFERROR(VLOOKUP(B298&amp;"ES",'LM7 Non-ENG'!$A$1:$A$4999,1,FALSE),"ERROR")=B298&amp;"ES","Y","")),"")</f>
        <v/>
      </c>
      <c r="H298" s="29" t="str">
        <f>IFERROR(HYPERLINK("#"&amp;ADDRESS(MATCH(B298&amp;"PT",'LM7 Non-ENG'!$A$1:$A$5000,0),1,,,"LM7 Non-ENG"),IF(IFERROR(VLOOKUP(B298&amp;"PT",'LM7 Non-ENG'!$A$1:$A$5000,1,FALSE),"ERROR")=B298&amp;"PT","Y","")),"")</f>
        <v/>
      </c>
      <c r="I298" t="str">
        <f>IFERROR(VLOOKUP(B298,PN!$A:$C,3,FALSE),"")</f>
        <v>Active</v>
      </c>
      <c r="J298" s="3">
        <f>IFERROR(E298*VLOOKUP(B298,PLInter!$A:$D,3,FALSE),"")</f>
        <v>494</v>
      </c>
      <c r="K298" s="66"/>
      <c r="L298" s="66"/>
      <c r="M298" s="66"/>
      <c r="N298" s="66"/>
      <c r="O298" s="66"/>
      <c r="P298" s="66"/>
      <c r="Q298" s="66"/>
      <c r="R298" s="66"/>
      <c r="S298" s="66"/>
    </row>
    <row r="299" spans="1:19" ht="18" customHeight="1">
      <c r="B299" t="s">
        <v>680</v>
      </c>
      <c r="C299" t="s">
        <v>681</v>
      </c>
      <c r="D299" s="4"/>
      <c r="E299" s="4">
        <v>1</v>
      </c>
      <c r="F299" s="4"/>
      <c r="G299" s="29" t="str">
        <f>IFERROR(HYPERLINK("#"&amp;ADDRESS(MATCH(B299&amp;"ES",'LM7 Non-ENG'!$A$1:$A$5000,0),1,,,"LM7 Non-ENG"),IF(IFERROR(VLOOKUP(B299&amp;"ES",'LM7 Non-ENG'!$A$1:$A$4999,1,FALSE),"ERROR")=B299&amp;"ES","Y","")),"")</f>
        <v/>
      </c>
      <c r="H299" s="29" t="str">
        <f>IFERROR(HYPERLINK("#"&amp;ADDRESS(MATCH(B299&amp;"PT",'LM7 Non-ENG'!$A$1:$A$5000,0),1,,,"LM7 Non-ENG"),IF(IFERROR(VLOOKUP(B299&amp;"PT",'LM7 Non-ENG'!$A$1:$A$5000,1,FALSE),"ERROR")=B299&amp;"PT","Y","")),"")</f>
        <v/>
      </c>
      <c r="I299" t="str">
        <f>IFERROR(VLOOKUP(B299,PN!$A:$C,3,FALSE),"")</f>
        <v>Active</v>
      </c>
      <c r="J299" s="3">
        <f>IFERROR(E299*VLOOKUP(B299,PLInter!$A:$D,3,FALSE),"")</f>
        <v>1440</v>
      </c>
      <c r="K299" s="66"/>
      <c r="L299" s="66"/>
      <c r="M299" s="66"/>
      <c r="N299" s="66"/>
      <c r="O299" s="66"/>
      <c r="P299" s="66"/>
      <c r="Q299" s="66"/>
      <c r="R299" s="66"/>
      <c r="S299" s="66"/>
    </row>
    <row r="300" spans="1:19" ht="18" customHeight="1">
      <c r="B300" t="str">
        <f>"034025"</f>
        <v>034025</v>
      </c>
      <c r="C300" t="s">
        <v>777</v>
      </c>
      <c r="D300" s="4"/>
      <c r="E300" s="4">
        <v>1</v>
      </c>
      <c r="F300" s="4"/>
      <c r="G300" s="29" t="str">
        <f>IFERROR(HYPERLINK("#"&amp;ADDRESS(MATCH(B300&amp;"ES",'LM7 Non-ENG'!$A$1:$A$5000,0),1,,,"LM7 Non-ENG"),IF(IFERROR(VLOOKUP(B300&amp;"ES",'LM7 Non-ENG'!$A$1:$A$4999,1,FALSE),"ERROR")=B300&amp;"ES","Y","")),"")</f>
        <v/>
      </c>
      <c r="H300" s="29" t="str">
        <f>IFERROR(HYPERLINK("#"&amp;ADDRESS(MATCH(B300&amp;"PT",'LM7 Non-ENG'!$A$1:$A$5000,0),1,,,"LM7 Non-ENG"),IF(IFERROR(VLOOKUP(B300&amp;"PT",'LM7 Non-ENG'!$A$1:$A$5000,1,FALSE),"ERROR")=B300&amp;"PT","Y","")),"")</f>
        <v/>
      </c>
      <c r="I300" t="str">
        <f>IFERROR(VLOOKUP(B300,PN!$A:$C,3,FALSE),"")</f>
        <v>Active</v>
      </c>
      <c r="J300" s="3">
        <f>IFERROR(E300*VLOOKUP(B300,PLInter!$A:$D,3,FALSE),"")</f>
        <v>1267</v>
      </c>
      <c r="K300" s="66"/>
      <c r="L300" s="66"/>
      <c r="M300" s="66"/>
      <c r="N300" s="66"/>
      <c r="O300" s="66"/>
      <c r="P300" s="66"/>
      <c r="Q300" s="66"/>
      <c r="R300" s="66"/>
      <c r="S300" s="66"/>
    </row>
    <row r="301" spans="1:19" ht="18" customHeight="1">
      <c r="B301" t="s">
        <v>778</v>
      </c>
      <c r="C301" t="s">
        <v>779</v>
      </c>
      <c r="D301" s="4"/>
      <c r="E301" s="4">
        <v>1</v>
      </c>
      <c r="F301" s="4"/>
      <c r="G301" s="29" t="str">
        <f>IFERROR(HYPERLINK("#"&amp;ADDRESS(MATCH(B301&amp;"ES",'LM7 Non-ENG'!$A$1:$A$5000,0),1,,,"LM7 Non-ENG"),IF(IFERROR(VLOOKUP(B301&amp;"ES",'LM7 Non-ENG'!$A$1:$A$4999,1,FALSE),"ERROR")=B301&amp;"ES","Y","")),"")</f>
        <v/>
      </c>
      <c r="H301" s="29" t="str">
        <f>IFERROR(HYPERLINK("#"&amp;ADDRESS(MATCH(B301&amp;"PT",'LM7 Non-ENG'!$A$1:$A$5000,0),1,,,"LM7 Non-ENG"),IF(IFERROR(VLOOKUP(B301&amp;"PT",'LM7 Non-ENG'!$A$1:$A$5000,1,FALSE),"ERROR")=B301&amp;"PT","Y","")),"")</f>
        <v/>
      </c>
      <c r="I301" t="str">
        <f>IFERROR(VLOOKUP(B301,PN!$A:$C,3,FALSE),"")</f>
        <v>Active</v>
      </c>
      <c r="J301" s="3">
        <f>IFERROR(E301*VLOOKUP(B301,PLInter!$A:$D,3,FALSE),"")</f>
        <v>1920</v>
      </c>
      <c r="K301" s="66"/>
      <c r="L301" s="66"/>
      <c r="M301" s="66"/>
      <c r="N301" s="66"/>
      <c r="O301" s="66"/>
      <c r="P301" s="66"/>
      <c r="Q301" s="66"/>
      <c r="R301" s="66"/>
      <c r="S301" s="66"/>
    </row>
    <row r="302" spans="1:19" ht="18" customHeight="1">
      <c r="B302" t="s">
        <v>780</v>
      </c>
      <c r="C302" t="s">
        <v>781</v>
      </c>
      <c r="D302" s="4"/>
      <c r="E302" s="4">
        <v>1</v>
      </c>
      <c r="F302" s="4"/>
      <c r="G302" s="29" t="str">
        <f>IFERROR(HYPERLINK("#"&amp;ADDRESS(MATCH(B302&amp;"ES",'LM7 Non-ENG'!$A$1:$A$5000,0),1,,,"LM7 Non-ENG"),IF(IFERROR(VLOOKUP(B302&amp;"ES",'LM7 Non-ENG'!$A$1:$A$4999,1,FALSE),"ERROR")=B302&amp;"ES","Y","")),"")</f>
        <v/>
      </c>
      <c r="H302" s="29" t="str">
        <f>IFERROR(HYPERLINK("#"&amp;ADDRESS(MATCH(B302&amp;"PT",'LM7 Non-ENG'!$A$1:$A$5000,0),1,,,"LM7 Non-ENG"),IF(IFERROR(VLOOKUP(B302&amp;"PT",'LM7 Non-ENG'!$A$1:$A$5000,1,FALSE),"ERROR")=B302&amp;"PT","Y","")),"")</f>
        <v/>
      </c>
      <c r="I302" t="str">
        <f>IFERROR(VLOOKUP(B302,PN!$A:$C,3,FALSE),"")</f>
        <v>Active</v>
      </c>
      <c r="J302" s="3">
        <f>IFERROR(E302*VLOOKUP(B302,PLInter!$A:$D,3,FALSE),"")</f>
        <v>1920</v>
      </c>
      <c r="K302" s="66"/>
      <c r="L302" s="66"/>
      <c r="M302" s="66"/>
      <c r="N302" s="66"/>
      <c r="O302" s="66"/>
      <c r="P302" s="66"/>
      <c r="Q302" s="66"/>
      <c r="R302" s="66"/>
      <c r="S302" s="66"/>
    </row>
    <row r="303" spans="1:19" ht="18" customHeight="1">
      <c r="B303" t="s">
        <v>689</v>
      </c>
      <c r="C303" t="s">
        <v>690</v>
      </c>
      <c r="D303" s="4"/>
      <c r="E303" s="4">
        <v>1</v>
      </c>
      <c r="F303" s="4"/>
      <c r="G303" s="29" t="str">
        <f>IFERROR(HYPERLINK("#"&amp;ADDRESS(MATCH(B303&amp;"ES",'LM7 Non-ENG'!$A$1:$A$5000,0),1,,,"LM7 Non-ENG"),IF(IFERROR(VLOOKUP(B303&amp;"ES",'LM7 Non-ENG'!$A$1:$A$4999,1,FALSE),"ERROR")=B303&amp;"ES","Y","")),"")</f>
        <v/>
      </c>
      <c r="H303" s="29" t="str">
        <f>IFERROR(HYPERLINK("#"&amp;ADDRESS(MATCH(B303&amp;"PT",'LM7 Non-ENG'!$A$1:$A$5000,0),1,,,"LM7 Non-ENG"),IF(IFERROR(VLOOKUP(B303&amp;"PT",'LM7 Non-ENG'!$A$1:$A$5000,1,FALSE),"ERROR")=B303&amp;"PT","Y","")),"")</f>
        <v/>
      </c>
      <c r="I303" t="str">
        <f>IFERROR(VLOOKUP(B303,PN!$A:$C,3,FALSE),"")</f>
        <v>Active</v>
      </c>
      <c r="J303" s="3">
        <f>IFERROR(E303*VLOOKUP(B303,PLInter!$A:$D,3,FALSE),"")</f>
        <v>2000</v>
      </c>
      <c r="K303" s="66"/>
      <c r="L303" s="66"/>
      <c r="M303" s="66"/>
      <c r="N303" s="66"/>
      <c r="O303" s="66"/>
      <c r="P303" s="66"/>
      <c r="Q303" s="66"/>
      <c r="R303" s="66"/>
      <c r="S303" s="66"/>
    </row>
    <row r="304" spans="1:19" ht="18" customHeight="1">
      <c r="B304" t="str">
        <f>"021152"</f>
        <v>021152</v>
      </c>
      <c r="C304" s="41" t="s">
        <v>679</v>
      </c>
      <c r="D304" s="4"/>
      <c r="E304" s="4">
        <v>2</v>
      </c>
      <c r="F304" s="4"/>
      <c r="G304" s="29" t="str">
        <f>IFERROR(HYPERLINK("#"&amp;ADDRESS(MATCH(B304&amp;"ES",'LM7 Non-ENG'!$A$1:$A$5000,0),1,,,"LM7 Non-ENG"),IF(IFERROR(VLOOKUP(B304&amp;"ES",'LM7 Non-ENG'!$A$1:$A$4999,1,FALSE),"ERROR")=B304&amp;"ES","Y","")),"")</f>
        <v/>
      </c>
      <c r="H304" s="29" t="str">
        <f>IFERROR(HYPERLINK("#"&amp;ADDRESS(MATCH(B304&amp;"PT",'LM7 Non-ENG'!$A$1:$A$5000,0),1,,,"LM7 Non-ENG"),IF(IFERROR(VLOOKUP(B304&amp;"PT",'LM7 Non-ENG'!$A$1:$A$5000,1,FALSE),"ERROR")=B304&amp;"PT","Y","")),"")</f>
        <v/>
      </c>
      <c r="I304" t="str">
        <f>IFERROR(VLOOKUP(B304,PN!$A:$C,3,FALSE),"")</f>
        <v>Active</v>
      </c>
      <c r="J304" s="3">
        <f>IFERROR(E304*VLOOKUP(B304,PLInter!$A:$D,3,FALSE),"")</f>
        <v>480</v>
      </c>
      <c r="K304" s="66"/>
      <c r="L304" s="66"/>
      <c r="M304" s="66"/>
      <c r="N304" s="66"/>
      <c r="O304" s="66"/>
      <c r="P304" s="66"/>
      <c r="Q304" s="66"/>
      <c r="R304" s="66"/>
      <c r="S304" s="66"/>
    </row>
    <row r="305" spans="1:19" ht="18" customHeight="1">
      <c r="B305" t="str">
        <f>"113034"</f>
        <v>113034</v>
      </c>
      <c r="C305" t="s">
        <v>695</v>
      </c>
      <c r="D305" s="4"/>
      <c r="E305" s="4">
        <v>50</v>
      </c>
      <c r="F305" s="4"/>
      <c r="G305" s="29" t="str">
        <f>IFERROR(HYPERLINK("#"&amp;ADDRESS(MATCH(B305&amp;"ES",'LM7 Non-ENG'!$A$1:$A$5000,0),1,,,"LM7 Non-ENG"),IF(IFERROR(VLOOKUP(B305&amp;"ES",'LM7 Non-ENG'!$A$1:$A$4999,1,FALSE),"ERROR")=B305&amp;"ES","Y","")),"")</f>
        <v/>
      </c>
      <c r="H305" s="29" t="str">
        <f>IFERROR(HYPERLINK("#"&amp;ADDRESS(MATCH(B305&amp;"PT",'LM7 Non-ENG'!$A$1:$A$5000,0),1,,,"LM7 Non-ENG"),IF(IFERROR(VLOOKUP(B305&amp;"PT",'LM7 Non-ENG'!$A$1:$A$5000,1,FALSE),"ERROR")=B305&amp;"PT","Y","")),"")</f>
        <v/>
      </c>
      <c r="I305" t="str">
        <f>IFERROR(VLOOKUP(B305,PN!$A:$C,3,FALSE),"")</f>
        <v>Active</v>
      </c>
      <c r="J305" s="3">
        <f>IFERROR(E305*VLOOKUP(B305,PLInter!$A:$D,3,FALSE),"")</f>
        <v>750</v>
      </c>
      <c r="K305" s="66"/>
      <c r="L305" s="66"/>
      <c r="M305" s="66"/>
      <c r="N305" s="66"/>
      <c r="O305" s="66"/>
      <c r="P305" s="66"/>
      <c r="Q305" s="66"/>
      <c r="R305" s="66"/>
      <c r="S305" s="66"/>
    </row>
    <row r="306" spans="1:19" ht="18" customHeight="1">
      <c r="B306" t="str">
        <f>"112496"</f>
        <v>112496</v>
      </c>
      <c r="C306" t="s">
        <v>696</v>
      </c>
      <c r="D306" s="4"/>
      <c r="E306" s="4">
        <v>50</v>
      </c>
      <c r="F306" s="4"/>
      <c r="G306" s="29" t="str">
        <f>IFERROR(HYPERLINK("#"&amp;ADDRESS(MATCH(B306&amp;"ES",'LM7 Non-ENG'!$A$1:$A$5000,0),1,,,"LM7 Non-ENG"),IF(IFERROR(VLOOKUP(B306&amp;"ES",'LM7 Non-ENG'!$A$1:$A$4999,1,FALSE),"ERROR")=B306&amp;"ES","Y","")),"")</f>
        <v/>
      </c>
      <c r="H306" s="29" t="str">
        <f>IFERROR(HYPERLINK("#"&amp;ADDRESS(MATCH(B306&amp;"PT",'LM7 Non-ENG'!$A$1:$A$5000,0),1,,,"LM7 Non-ENG"),IF(IFERROR(VLOOKUP(B306&amp;"PT",'LM7 Non-ENG'!$A$1:$A$5000,1,FALSE),"ERROR")=B306&amp;"PT","Y","")),"")</f>
        <v/>
      </c>
      <c r="I306" t="str">
        <f>IFERROR(VLOOKUP(B306,PN!$A:$C,3,FALSE),"")</f>
        <v>Active</v>
      </c>
      <c r="J306" s="3">
        <f>IFERROR(E306*VLOOKUP(B306,PLInter!$A:$D,3,FALSE),"")</f>
        <v>1000</v>
      </c>
      <c r="K306" s="66"/>
      <c r="L306" s="66"/>
      <c r="M306" s="66"/>
      <c r="N306" s="66"/>
      <c r="O306" s="66"/>
      <c r="P306" s="66"/>
      <c r="Q306" s="66"/>
      <c r="R306" s="66"/>
      <c r="S306" s="66"/>
    </row>
    <row r="307" spans="1:19" ht="18" customHeight="1">
      <c r="B307" t="s">
        <v>644</v>
      </c>
      <c r="C307" t="s">
        <v>645</v>
      </c>
      <c r="D307" s="4"/>
      <c r="E307" s="4">
        <v>1</v>
      </c>
      <c r="F307" s="4"/>
      <c r="G307" s="29" t="str">
        <f>IFERROR(HYPERLINK("#"&amp;ADDRESS(MATCH(B307&amp;"ES",'LM7 Non-ENG'!$A$1:$A$5000,0),1,,,"LM7 Non-ENG"),IF(IFERROR(VLOOKUP(B307&amp;"ES",'LM7 Non-ENG'!$A$1:$A$4999,1,FALSE),"ERROR")=B307&amp;"ES","Y","")),"")</f>
        <v/>
      </c>
      <c r="H307" s="29" t="str">
        <f>IFERROR(HYPERLINK("#"&amp;ADDRESS(MATCH(B307&amp;"PT",'LM7 Non-ENG'!$A$1:$A$5000,0),1,,,"LM7 Non-ENG"),IF(IFERROR(VLOOKUP(B307&amp;"PT",'LM7 Non-ENG'!$A$1:$A$5000,1,FALSE),"ERROR")=B307&amp;"PT","Y","")),"")</f>
        <v/>
      </c>
      <c r="I307" t="str">
        <f>IFERROR(VLOOKUP(B307,PN!$A:$C,3,FALSE),"")</f>
        <v>Active</v>
      </c>
      <c r="J307" s="3">
        <f>IFERROR(E307*VLOOKUP(B307,PLInter!$A:$D,3,FALSE),"")</f>
        <v>1800</v>
      </c>
      <c r="K307" s="66"/>
      <c r="L307" s="66"/>
      <c r="M307" s="66"/>
      <c r="N307" s="66"/>
      <c r="O307" s="66"/>
      <c r="P307" s="66"/>
      <c r="Q307" s="66"/>
      <c r="R307" s="66"/>
      <c r="S307" s="66"/>
    </row>
    <row r="308" spans="1:19" ht="18" customHeight="1">
      <c r="B308" t="s">
        <v>697</v>
      </c>
      <c r="C308" t="s">
        <v>698</v>
      </c>
      <c r="D308" s="4"/>
      <c r="E308" s="4">
        <v>1</v>
      </c>
      <c r="F308" s="4"/>
      <c r="G308" s="29" t="str">
        <f>IFERROR(HYPERLINK("#"&amp;ADDRESS(MATCH(B308&amp;"ES",'LM7 Non-ENG'!$A$1:$A$5000,0),1,,,"LM7 Non-ENG"),IF(IFERROR(VLOOKUP(B308&amp;"ES",'LM7 Non-ENG'!$A$1:$A$4999,1,FALSE),"ERROR")=B308&amp;"ES","Y","")),"")</f>
        <v/>
      </c>
      <c r="H308" s="29" t="str">
        <f>IFERROR(HYPERLINK("#"&amp;ADDRESS(MATCH(B308&amp;"PT",'LM7 Non-ENG'!$A$1:$A$5000,0),1,,,"LM7 Non-ENG"),IF(IFERROR(VLOOKUP(B308&amp;"PT",'LM7 Non-ENG'!$A$1:$A$5000,1,FALSE),"ERROR")=B308&amp;"PT","Y","")),"")</f>
        <v/>
      </c>
      <c r="I308" t="str">
        <f>IFERROR(VLOOKUP(B308,PN!$A:$C,3,FALSE),"")</f>
        <v>Active</v>
      </c>
      <c r="J308" s="3">
        <f>IFERROR(E308*VLOOKUP(B308,PLInter!$A:$D,3,FALSE),"")</f>
        <v>934</v>
      </c>
      <c r="K308" s="66"/>
      <c r="L308" s="66"/>
      <c r="M308" s="66"/>
      <c r="N308" s="66"/>
      <c r="O308" s="66"/>
      <c r="P308" s="66"/>
      <c r="Q308" s="66"/>
      <c r="R308" s="66"/>
      <c r="S308" s="66"/>
    </row>
    <row r="309" spans="1:19" ht="18" customHeight="1">
      <c r="B309" t="s">
        <v>630</v>
      </c>
      <c r="C309" t="s">
        <v>631</v>
      </c>
      <c r="D309" s="4"/>
      <c r="E309" s="4">
        <v>1</v>
      </c>
      <c r="F309" s="4"/>
      <c r="G309" s="29" t="str">
        <f>IFERROR(HYPERLINK("#"&amp;ADDRESS(MATCH(B309&amp;"ES",'LM7 Non-ENG'!$A$1:$A$5000,0),1,,,"LM7 Non-ENG"),IF(IFERROR(VLOOKUP(B309&amp;"ES",'LM7 Non-ENG'!$A$1:$A$4999,1,FALSE),"ERROR")=B309&amp;"ES","Y","")),"")</f>
        <v/>
      </c>
      <c r="H309" s="29" t="str">
        <f>IFERROR(HYPERLINK("#"&amp;ADDRESS(MATCH(B309&amp;"PT",'LM7 Non-ENG'!$A$1:$A$5000,0),1,,,"LM7 Non-ENG"),IF(IFERROR(VLOOKUP(B309&amp;"PT",'LM7 Non-ENG'!$A$1:$A$5000,1,FALSE),"ERROR")=B309&amp;"PT","Y","")),"")</f>
        <v/>
      </c>
      <c r="I309" t="str">
        <f>IFERROR(VLOOKUP(B309,PN!$A:$C,3,FALSE),"")</f>
        <v>Active</v>
      </c>
      <c r="J309" s="3">
        <f>IFERROR(E309*VLOOKUP(B309,PLInter!$A:$D,3,FALSE),"")</f>
        <v>1735</v>
      </c>
      <c r="K309" s="66"/>
      <c r="L309" s="66"/>
      <c r="M309" s="66"/>
      <c r="N309" s="66"/>
      <c r="O309" s="66"/>
      <c r="P309" s="66"/>
      <c r="Q309" s="66"/>
      <c r="R309" s="66"/>
      <c r="S309" s="66"/>
    </row>
    <row r="311" spans="1:19" s="7" customFormat="1" ht="18" customHeight="1">
      <c r="A311" s="13" t="s">
        <v>782</v>
      </c>
      <c r="B311" s="13"/>
      <c r="C311" s="13" t="s">
        <v>783</v>
      </c>
      <c r="D311" s="14"/>
      <c r="E311" s="14"/>
      <c r="F311" s="14"/>
      <c r="G311" s="14"/>
      <c r="H311" s="14"/>
      <c r="I311" s="14"/>
      <c r="J311" s="14">
        <f>SUMIFS(J312:J332,D312:D332,"&lt;&gt;Y",F312:F332,"&lt;&gt;Y",I312:I332,"&lt;&gt;Inactive",I312:I332,"&lt;&gt;ECO+NFS")</f>
        <v>54069</v>
      </c>
      <c r="K311" s="14"/>
      <c r="L311" s="14"/>
      <c r="M311" s="14"/>
      <c r="N311" s="14"/>
      <c r="O311" s="14"/>
      <c r="P311" s="14"/>
      <c r="Q311" s="14"/>
      <c r="R311" s="14"/>
      <c r="S311" s="14"/>
    </row>
    <row r="312" spans="1:19" ht="18" customHeight="1">
      <c r="A312" s="17" t="str">
        <f>HYPERLINK("#"&amp;ADDRESS(MATCH(A311,'CIM&amp;FMS'!$A$1:$A$4997,0),1,,,"CIM&amp;FMS"),"Back to Price List")</f>
        <v>Back to Price List</v>
      </c>
      <c r="B312" t="s">
        <v>214</v>
      </c>
      <c r="C312" t="s">
        <v>654</v>
      </c>
      <c r="D312" s="4"/>
      <c r="E312" s="4">
        <v>1</v>
      </c>
      <c r="F312" s="4"/>
      <c r="G312" s="29" t="str">
        <f>IFERROR(HYPERLINK("#"&amp;ADDRESS(MATCH(B312&amp;"ES",'LM7 Non-ENG'!$A$1:$A$5000,0),1,,,"LM7 Non-ENG"),IF(IFERROR(VLOOKUP(B312&amp;"ES",'LM7 Non-ENG'!$A$1:$A$4999,1,FALSE),"ERROR")=B312&amp;"ES","Y","")),"")</f>
        <v/>
      </c>
      <c r="H312" s="29" t="str">
        <f>IFERROR(HYPERLINK("#"&amp;ADDRESS(MATCH(B312&amp;"PT",'LM7 Non-ENG'!$A$1:$A$5000,0),1,,,"LM7 Non-ENG"),IF(IFERROR(VLOOKUP(B312&amp;"PT",'LM7 Non-ENG'!$A$1:$A$5000,1,FALSE),"ERROR")=B312&amp;"PT","Y","")),"")</f>
        <v/>
      </c>
      <c r="I312" t="str">
        <f>IFERROR(VLOOKUP(B312,PN!$A:$C,3,FALSE),"")</f>
        <v>Active</v>
      </c>
      <c r="J312" s="3">
        <f>IFERROR(E312*VLOOKUP(B312,PLInter!$A:$D,3,FALSE),"")</f>
        <v>24000</v>
      </c>
      <c r="K312" s="66"/>
      <c r="L312" s="66"/>
      <c r="M312" s="66"/>
      <c r="N312" s="66"/>
      <c r="O312" s="66"/>
      <c r="P312" s="66"/>
      <c r="Q312" s="66"/>
      <c r="R312" s="66"/>
      <c r="S312" s="66"/>
    </row>
    <row r="313" spans="1:19" ht="18" customHeight="1">
      <c r="B313" t="s">
        <v>228</v>
      </c>
      <c r="C313" t="s">
        <v>655</v>
      </c>
      <c r="D313" s="4"/>
      <c r="E313" s="4">
        <v>1</v>
      </c>
      <c r="F313" s="4"/>
      <c r="G313" s="29" t="str">
        <f>IFERROR(HYPERLINK("#"&amp;ADDRESS(MATCH(B313&amp;"ES",'LM7 Non-ENG'!$A$1:$A$5000,0),1,,,"LM7 Non-ENG"),IF(IFERROR(VLOOKUP(B313&amp;"ES",'LM7 Non-ENG'!$A$1:$A$4999,1,FALSE),"ERROR")=B313&amp;"ES","Y","")),"")</f>
        <v/>
      </c>
      <c r="H313" s="29" t="str">
        <f>IFERROR(HYPERLINK("#"&amp;ADDRESS(MATCH(B313&amp;"PT",'LM7 Non-ENG'!$A$1:$A$5000,0),1,,,"LM7 Non-ENG"),IF(IFERROR(VLOOKUP(B313&amp;"PT",'LM7 Non-ENG'!$A$1:$A$5000,1,FALSE),"ERROR")=B313&amp;"PT","Y","")),"")</f>
        <v/>
      </c>
      <c r="I313" t="str">
        <f>IFERROR(VLOOKUP(B313,PN!$A:$C,3,FALSE),"")</f>
        <v>Active</v>
      </c>
      <c r="J313" s="3">
        <f>IFERROR(E313*VLOOKUP(B313,PLInter!$A:$D,3,FALSE),"")</f>
        <v>2134</v>
      </c>
      <c r="K313" s="66"/>
      <c r="L313" s="66"/>
      <c r="M313" s="66"/>
      <c r="N313" s="66"/>
      <c r="O313" s="66"/>
      <c r="P313" s="66"/>
      <c r="Q313" s="66"/>
      <c r="R313" s="66"/>
      <c r="S313" s="66"/>
    </row>
    <row r="314" spans="1:19" ht="18" customHeight="1">
      <c r="B314" s="2" t="s">
        <v>227</v>
      </c>
      <c r="C314" s="2" t="s">
        <v>232</v>
      </c>
      <c r="D314" s="5"/>
      <c r="E314" s="5">
        <v>1</v>
      </c>
      <c r="F314" s="5" t="s">
        <v>0</v>
      </c>
      <c r="G314" s="29" t="str">
        <f>IFERROR(HYPERLINK("#"&amp;ADDRESS(MATCH(B314&amp;"ES",'LM7 Non-ENG'!$A$1:$A$5000,0),1,,,"LM7 Non-ENG"),IF(IFERROR(VLOOKUP(B314&amp;"ES",'LM7 Non-ENG'!$A$1:$A$4999,1,FALSE),"ERROR")=B314&amp;"ES","Y","")),"")</f>
        <v/>
      </c>
      <c r="H314" s="29" t="str">
        <f>IFERROR(HYPERLINK("#"&amp;ADDRESS(MATCH(B314&amp;"PT",'LM7 Non-ENG'!$A$1:$A$5000,0),1,,,"LM7 Non-ENG"),IF(IFERROR(VLOOKUP(B314&amp;"PT",'LM7 Non-ENG'!$A$1:$A$5000,1,FALSE),"ERROR")=B314&amp;"PT","Y","")),"")</f>
        <v/>
      </c>
      <c r="I314" t="str">
        <f>IFERROR(VLOOKUP(B314,PN!$A:$C,3,FALSE),"")</f>
        <v>Active</v>
      </c>
      <c r="J314" s="3">
        <f>IFERROR(E314*VLOOKUP(B314,PLInter!$A:$D,3,FALSE),"")</f>
        <v>1700</v>
      </c>
      <c r="K314" s="66"/>
      <c r="L314" s="66"/>
      <c r="M314" s="66"/>
      <c r="N314" s="66"/>
      <c r="O314" s="66"/>
      <c r="P314" s="66"/>
      <c r="Q314" s="66"/>
      <c r="R314" s="66"/>
      <c r="S314" s="66"/>
    </row>
    <row r="315" spans="1:19" ht="18" customHeight="1">
      <c r="B315" t="s">
        <v>236</v>
      </c>
      <c r="C315" t="s">
        <v>626</v>
      </c>
      <c r="D315" s="4"/>
      <c r="E315" s="4">
        <v>1</v>
      </c>
      <c r="F315" s="4"/>
      <c r="G315" s="29" t="str">
        <f>IFERROR(HYPERLINK("#"&amp;ADDRESS(MATCH(B315&amp;"ES",'LM7 Non-ENG'!$A$1:$A$5000,0),1,,,"LM7 Non-ENG"),IF(IFERROR(VLOOKUP(B315&amp;"ES",'LM7 Non-ENG'!$A$1:$A$4999,1,FALSE),"ERROR")=B315&amp;"ES","Y","")),"")</f>
        <v/>
      </c>
      <c r="H315" s="29" t="str">
        <f>IFERROR(HYPERLINK("#"&amp;ADDRESS(MATCH(B315&amp;"PT",'LM7 Non-ENG'!$A$1:$A$5000,0),1,,,"LM7 Non-ENG"),IF(IFERROR(VLOOKUP(B315&amp;"PT",'LM7 Non-ENG'!$A$1:$A$5000,1,FALSE),"ERROR")=B315&amp;"PT","Y","")),"")</f>
        <v/>
      </c>
      <c r="I315" t="str">
        <f>IFERROR(VLOOKUP(B315,PN!$A:$C,3,FALSE),"")</f>
        <v>Active</v>
      </c>
      <c r="J315" s="3">
        <f>IFERROR(E315*VLOOKUP(B315,PLInter!$A:$D,3,FALSE),"")</f>
        <v>1680</v>
      </c>
      <c r="K315" s="66"/>
      <c r="L315" s="66"/>
      <c r="M315" s="66"/>
      <c r="N315" s="66"/>
      <c r="O315" s="66"/>
      <c r="P315" s="66"/>
      <c r="Q315" s="66"/>
      <c r="R315" s="66"/>
      <c r="S315" s="66"/>
    </row>
    <row r="316" spans="1:19" ht="18" customHeight="1">
      <c r="B316" t="s">
        <v>772</v>
      </c>
      <c r="C316" t="s">
        <v>776</v>
      </c>
      <c r="D316" s="4"/>
      <c r="E316" s="4">
        <v>1</v>
      </c>
      <c r="F316" s="4"/>
      <c r="G316" s="29" t="str">
        <f>IFERROR(HYPERLINK("#"&amp;ADDRESS(MATCH(B316&amp;"ES",'LM7 Non-ENG'!$A$1:$A$5000,0),1,,,"LM7 Non-ENG"),IF(IFERROR(VLOOKUP(B316&amp;"ES",'LM7 Non-ENG'!$A$1:$A$4999,1,FALSE),"ERROR")=B316&amp;"ES","Y","")),"")</f>
        <v/>
      </c>
      <c r="H316" s="29" t="str">
        <f>IFERROR(HYPERLINK("#"&amp;ADDRESS(MATCH(B316&amp;"PT",'LM7 Non-ENG'!$A$1:$A$5000,0),1,,,"LM7 Non-ENG"),IF(IFERROR(VLOOKUP(B316&amp;"PT",'LM7 Non-ENG'!$A$1:$A$5000,1,FALSE),"ERROR")=B316&amp;"PT","Y","")),"")</f>
        <v/>
      </c>
      <c r="I316" t="str">
        <f>IFERROR(VLOOKUP(B316,PN!$A:$C,3,FALSE),"")</f>
        <v>Active</v>
      </c>
      <c r="J316" s="3">
        <f>IFERROR(E316*VLOOKUP(B316,PLInter!$A:$D,3,FALSE),"")</f>
        <v>8267</v>
      </c>
      <c r="K316" s="66"/>
      <c r="L316" s="66"/>
      <c r="M316" s="66"/>
      <c r="N316" s="66"/>
      <c r="O316" s="66"/>
      <c r="P316" s="66"/>
      <c r="Q316" s="66"/>
      <c r="R316" s="66"/>
      <c r="S316" s="66"/>
    </row>
    <row r="317" spans="1:19" ht="18" customHeight="1">
      <c r="B317" s="2" t="s">
        <v>784</v>
      </c>
      <c r="C317" s="2" t="s">
        <v>785</v>
      </c>
      <c r="D317" s="5"/>
      <c r="E317" s="5">
        <v>1</v>
      </c>
      <c r="F317" s="5" t="s">
        <v>0</v>
      </c>
      <c r="G317" s="29" t="str">
        <f>IFERROR(HYPERLINK("#"&amp;ADDRESS(MATCH(B317&amp;"ES",'LM7 Non-ENG'!$A$1:$A$5000,0),1,,,"LM7 Non-ENG"),IF(IFERROR(VLOOKUP(B317&amp;"ES",'LM7 Non-ENG'!$A$1:$A$4999,1,FALSE),"ERROR")=B317&amp;"ES","Y","")),"")</f>
        <v/>
      </c>
      <c r="H317" s="29" t="str">
        <f>IFERROR(HYPERLINK("#"&amp;ADDRESS(MATCH(B317&amp;"PT",'LM7 Non-ENG'!$A$1:$A$5000,0),1,,,"LM7 Non-ENG"),IF(IFERROR(VLOOKUP(B317&amp;"PT",'LM7 Non-ENG'!$A$1:$A$5000,1,FALSE),"ERROR")=B317&amp;"PT","Y","")),"")</f>
        <v/>
      </c>
      <c r="I317" t="str">
        <f>IFERROR(VLOOKUP(B317,PN!$A:$C,3,FALSE),"")</f>
        <v>ECO-N2Buy</v>
      </c>
      <c r="J317" s="3">
        <f>IFERROR(E317*VLOOKUP(B317,PLInter!$A:$D,3,FALSE),"")</f>
        <v>11200</v>
      </c>
      <c r="K317" s="66"/>
      <c r="L317" s="66"/>
      <c r="M317" s="66"/>
      <c r="N317" s="66"/>
      <c r="O317" s="66"/>
      <c r="P317" s="66"/>
      <c r="Q317" s="66"/>
      <c r="R317" s="66"/>
      <c r="S317" s="66"/>
    </row>
    <row r="318" spans="1:19" ht="18" customHeight="1">
      <c r="B318" t="s">
        <v>684</v>
      </c>
      <c r="C318" t="s">
        <v>685</v>
      </c>
      <c r="D318" s="4"/>
      <c r="E318" s="4">
        <v>2</v>
      </c>
      <c r="F318" s="4"/>
      <c r="G318" s="29" t="str">
        <f>IFERROR(HYPERLINK("#"&amp;ADDRESS(MATCH(B318&amp;"ES",'LM7 Non-ENG'!$A$1:$A$5000,0),1,,,"LM7 Non-ENG"),IF(IFERROR(VLOOKUP(B318&amp;"ES",'LM7 Non-ENG'!$A$1:$A$4999,1,FALSE),"ERROR")=B318&amp;"ES","Y","")),"")</f>
        <v/>
      </c>
      <c r="H318" s="29" t="str">
        <f>IFERROR(HYPERLINK("#"&amp;ADDRESS(MATCH(B318&amp;"PT",'LM7 Non-ENG'!$A$1:$A$5000,0),1,,,"LM7 Non-ENG"),IF(IFERROR(VLOOKUP(B318&amp;"PT",'LM7 Non-ENG'!$A$1:$A$5000,1,FALSE),"ERROR")=B318&amp;"PT","Y","")),"")</f>
        <v/>
      </c>
      <c r="I318" t="str">
        <f>IFERROR(VLOOKUP(B318,PN!$A:$C,3,FALSE),"")</f>
        <v>Active</v>
      </c>
      <c r="J318" s="3">
        <f>IFERROR(E318*VLOOKUP(B318,PLInter!$A:$D,3,FALSE),"")</f>
        <v>1160</v>
      </c>
      <c r="K318" s="66"/>
      <c r="L318" s="66"/>
      <c r="M318" s="66"/>
      <c r="N318" s="66"/>
      <c r="O318" s="66"/>
      <c r="P318" s="66"/>
      <c r="Q318" s="66"/>
      <c r="R318" s="66"/>
      <c r="S318" s="66"/>
    </row>
    <row r="319" spans="1:19" ht="18" customHeight="1">
      <c r="B319" t="str">
        <f>"021182"</f>
        <v>021182</v>
      </c>
      <c r="C319" t="s">
        <v>686</v>
      </c>
      <c r="D319" s="4"/>
      <c r="E319" s="4">
        <v>2</v>
      </c>
      <c r="F319" s="4"/>
      <c r="G319" s="29" t="str">
        <f>IFERROR(HYPERLINK("#"&amp;ADDRESS(MATCH(B319&amp;"ES",'LM7 Non-ENG'!$A$1:$A$5000,0),1,,,"LM7 Non-ENG"),IF(IFERROR(VLOOKUP(B319&amp;"ES",'LM7 Non-ENG'!$A$1:$A$4999,1,FALSE),"ERROR")=B319&amp;"ES","Y","")),"")</f>
        <v/>
      </c>
      <c r="H319" s="29" t="str">
        <f>IFERROR(HYPERLINK("#"&amp;ADDRESS(MATCH(B319&amp;"PT",'LM7 Non-ENG'!$A$1:$A$5000,0),1,,,"LM7 Non-ENG"),IF(IFERROR(VLOOKUP(B319&amp;"PT",'LM7 Non-ENG'!$A$1:$A$5000,1,FALSE),"ERROR")=B319&amp;"PT","Y","")),"")</f>
        <v/>
      </c>
      <c r="I319" t="str">
        <f>IFERROR(VLOOKUP(B319,PN!$A:$C,3,FALSE),"")</f>
        <v>Active</v>
      </c>
      <c r="J319" s="3">
        <f>IFERROR(E319*VLOOKUP(B319,PLInter!$A:$D,3,FALSE),"")</f>
        <v>32</v>
      </c>
      <c r="K319" s="66"/>
      <c r="L319" s="66"/>
      <c r="M319" s="66"/>
      <c r="N319" s="66"/>
      <c r="O319" s="66"/>
      <c r="P319" s="66"/>
      <c r="Q319" s="66"/>
      <c r="R319" s="66"/>
      <c r="S319" s="66"/>
    </row>
    <row r="320" spans="1:19" ht="18" customHeight="1">
      <c r="B320" t="s">
        <v>682</v>
      </c>
      <c r="C320" t="s">
        <v>683</v>
      </c>
      <c r="D320" s="4"/>
      <c r="E320" s="4">
        <v>1</v>
      </c>
      <c r="F320" s="4"/>
      <c r="G320" s="29" t="str">
        <f>IFERROR(HYPERLINK("#"&amp;ADDRESS(MATCH(B320&amp;"ES",'LM7 Non-ENG'!$A$1:$A$5000,0),1,,,"LM7 Non-ENG"),IF(IFERROR(VLOOKUP(B320&amp;"ES",'LM7 Non-ENG'!$A$1:$A$4999,1,FALSE),"ERROR")=B320&amp;"ES","Y","")),"")</f>
        <v/>
      </c>
      <c r="H320" s="29" t="str">
        <f>IFERROR(HYPERLINK("#"&amp;ADDRESS(MATCH(B320&amp;"PT",'LM7 Non-ENG'!$A$1:$A$5000,0),1,,,"LM7 Non-ENG"),IF(IFERROR(VLOOKUP(B320&amp;"PT",'LM7 Non-ENG'!$A$1:$A$5000,1,FALSE),"ERROR")=B320&amp;"PT","Y","")),"")</f>
        <v/>
      </c>
      <c r="I320" t="str">
        <f>IFERROR(VLOOKUP(B320,PN!$A:$C,3,FALSE),"")</f>
        <v>Active</v>
      </c>
      <c r="J320" s="3">
        <f>IFERROR(E320*VLOOKUP(B320,PLInter!$A:$D,3,FALSE),"")</f>
        <v>494</v>
      </c>
      <c r="K320" s="66"/>
      <c r="L320" s="66"/>
      <c r="M320" s="66"/>
      <c r="N320" s="66"/>
      <c r="O320" s="66"/>
      <c r="P320" s="66"/>
      <c r="Q320" s="66"/>
      <c r="R320" s="66"/>
      <c r="S320" s="66"/>
    </row>
    <row r="321" spans="1:19" ht="18" customHeight="1">
      <c r="B321" t="s">
        <v>680</v>
      </c>
      <c r="C321" t="s">
        <v>681</v>
      </c>
      <c r="D321" s="4"/>
      <c r="E321" s="4">
        <v>1</v>
      </c>
      <c r="F321" s="4"/>
      <c r="G321" s="29" t="str">
        <f>IFERROR(HYPERLINK("#"&amp;ADDRESS(MATCH(B321&amp;"ES",'LM7 Non-ENG'!$A$1:$A$5000,0),1,,,"LM7 Non-ENG"),IF(IFERROR(VLOOKUP(B321&amp;"ES",'LM7 Non-ENG'!$A$1:$A$4999,1,FALSE),"ERROR")=B321&amp;"ES","Y","")),"")</f>
        <v/>
      </c>
      <c r="H321" s="29" t="str">
        <f>IFERROR(HYPERLINK("#"&amp;ADDRESS(MATCH(B321&amp;"PT",'LM7 Non-ENG'!$A$1:$A$5000,0),1,,,"LM7 Non-ENG"),IF(IFERROR(VLOOKUP(B321&amp;"PT",'LM7 Non-ENG'!$A$1:$A$5000,1,FALSE),"ERROR")=B321&amp;"PT","Y","")),"")</f>
        <v/>
      </c>
      <c r="I321" t="str">
        <f>IFERROR(VLOOKUP(B321,PN!$A:$C,3,FALSE),"")</f>
        <v>Active</v>
      </c>
      <c r="J321" s="3">
        <f>IFERROR(E321*VLOOKUP(B321,PLInter!$A:$D,3,FALSE),"")</f>
        <v>1440</v>
      </c>
      <c r="K321" s="66"/>
      <c r="L321" s="66"/>
      <c r="M321" s="66"/>
      <c r="N321" s="66"/>
      <c r="O321" s="66"/>
      <c r="P321" s="66"/>
      <c r="Q321" s="66"/>
      <c r="R321" s="66"/>
      <c r="S321" s="66"/>
    </row>
    <row r="322" spans="1:19" ht="18" customHeight="1">
      <c r="B322" t="str">
        <f>"034025"</f>
        <v>034025</v>
      </c>
      <c r="C322" t="s">
        <v>777</v>
      </c>
      <c r="D322" s="4"/>
      <c r="E322" s="4">
        <v>1</v>
      </c>
      <c r="F322" s="4"/>
      <c r="G322" s="29" t="str">
        <f>IFERROR(HYPERLINK("#"&amp;ADDRESS(MATCH(B322&amp;"ES",'LM7 Non-ENG'!$A$1:$A$5000,0),1,,,"LM7 Non-ENG"),IF(IFERROR(VLOOKUP(B322&amp;"ES",'LM7 Non-ENG'!$A$1:$A$4999,1,FALSE),"ERROR")=B322&amp;"ES","Y","")),"")</f>
        <v/>
      </c>
      <c r="H322" s="29" t="str">
        <f>IFERROR(HYPERLINK("#"&amp;ADDRESS(MATCH(B322&amp;"PT",'LM7 Non-ENG'!$A$1:$A$5000,0),1,,,"LM7 Non-ENG"),IF(IFERROR(VLOOKUP(B322&amp;"PT",'LM7 Non-ENG'!$A$1:$A$5000,1,FALSE),"ERROR")=B322&amp;"PT","Y","")),"")</f>
        <v/>
      </c>
      <c r="I322" t="str">
        <f>IFERROR(VLOOKUP(B322,PN!$A:$C,3,FALSE),"")</f>
        <v>Active</v>
      </c>
      <c r="J322" s="3">
        <f>IFERROR(E322*VLOOKUP(B322,PLInter!$A:$D,3,FALSE),"")</f>
        <v>1267</v>
      </c>
      <c r="K322" s="66"/>
      <c r="L322" s="66"/>
      <c r="M322" s="66"/>
      <c r="N322" s="66"/>
      <c r="O322" s="66"/>
      <c r="P322" s="66"/>
      <c r="Q322" s="66"/>
      <c r="R322" s="66"/>
      <c r="S322" s="66"/>
    </row>
    <row r="323" spans="1:19" ht="18" customHeight="1">
      <c r="B323" t="s">
        <v>691</v>
      </c>
      <c r="C323" t="s">
        <v>692</v>
      </c>
      <c r="D323" s="4"/>
      <c r="E323" s="4">
        <v>1</v>
      </c>
      <c r="F323" s="4"/>
      <c r="G323" s="29" t="str">
        <f>IFERROR(HYPERLINK("#"&amp;ADDRESS(MATCH(B323&amp;"ES",'LM7 Non-ENG'!$A$1:$A$5000,0),1,,,"LM7 Non-ENG"),IF(IFERROR(VLOOKUP(B323&amp;"ES",'LM7 Non-ENG'!$A$1:$A$4999,1,FALSE),"ERROR")=B323&amp;"ES","Y","")),"")</f>
        <v/>
      </c>
      <c r="H323" s="29" t="str">
        <f>IFERROR(HYPERLINK("#"&amp;ADDRESS(MATCH(B323&amp;"PT",'LM7 Non-ENG'!$A$1:$A$5000,0),1,,,"LM7 Non-ENG"),IF(IFERROR(VLOOKUP(B323&amp;"PT",'LM7 Non-ENG'!$A$1:$A$5000,1,FALSE),"ERROR")=B323&amp;"PT","Y","")),"")</f>
        <v/>
      </c>
      <c r="I323" t="str">
        <f>IFERROR(VLOOKUP(B323,PN!$A:$C,3,FALSE),"")</f>
        <v>Active</v>
      </c>
      <c r="J323" s="3">
        <f>IFERROR(E323*VLOOKUP(B323,PLInter!$A:$D,3,FALSE),"")</f>
        <v>1920</v>
      </c>
      <c r="K323" s="66"/>
      <c r="L323" s="66"/>
      <c r="M323" s="66"/>
      <c r="N323" s="66"/>
      <c r="O323" s="66"/>
      <c r="P323" s="66"/>
      <c r="Q323" s="66"/>
      <c r="R323" s="66"/>
      <c r="S323" s="66"/>
    </row>
    <row r="324" spans="1:19" ht="18" customHeight="1">
      <c r="B324" t="s">
        <v>693</v>
      </c>
      <c r="C324" t="s">
        <v>694</v>
      </c>
      <c r="D324" s="4"/>
      <c r="E324" s="4">
        <v>1</v>
      </c>
      <c r="F324" s="4"/>
      <c r="G324" s="29" t="str">
        <f>IFERROR(HYPERLINK("#"&amp;ADDRESS(MATCH(B324&amp;"ES",'LM7 Non-ENG'!$A$1:$A$5000,0),1,,,"LM7 Non-ENG"),IF(IFERROR(VLOOKUP(B324&amp;"ES",'LM7 Non-ENG'!$A$1:$A$4999,1,FALSE),"ERROR")=B324&amp;"ES","Y","")),"")</f>
        <v/>
      </c>
      <c r="H324" s="29" t="str">
        <f>IFERROR(HYPERLINK("#"&amp;ADDRESS(MATCH(B324&amp;"PT",'LM7 Non-ENG'!$A$1:$A$5000,0),1,,,"LM7 Non-ENG"),IF(IFERROR(VLOOKUP(B324&amp;"PT",'LM7 Non-ENG'!$A$1:$A$5000,1,FALSE),"ERROR")=B324&amp;"PT","Y","")),"")</f>
        <v/>
      </c>
      <c r="I324" t="str">
        <f>IFERROR(VLOOKUP(B324,PN!$A:$C,3,FALSE),"")</f>
        <v>Active</v>
      </c>
      <c r="J324" s="3">
        <f>IFERROR(E324*VLOOKUP(B324,PLInter!$A:$D,3,FALSE),"")</f>
        <v>1920</v>
      </c>
      <c r="K324" s="66"/>
      <c r="L324" s="66"/>
      <c r="M324" s="66"/>
      <c r="N324" s="66"/>
      <c r="O324" s="66"/>
      <c r="P324" s="66"/>
      <c r="Q324" s="66"/>
      <c r="R324" s="66"/>
      <c r="S324" s="66"/>
    </row>
    <row r="325" spans="1:19" ht="18" customHeight="1">
      <c r="B325" t="s">
        <v>786</v>
      </c>
      <c r="C325" t="s">
        <v>787</v>
      </c>
      <c r="D325" s="4"/>
      <c r="E325" s="4">
        <v>2</v>
      </c>
      <c r="F325" s="4"/>
      <c r="G325" s="29" t="str">
        <f>IFERROR(HYPERLINK("#"&amp;ADDRESS(MATCH(B325&amp;"ES",'LM7 Non-ENG'!$A$1:$A$5000,0),1,,,"LM7 Non-ENG"),IF(IFERROR(VLOOKUP(B325&amp;"ES",'LM7 Non-ENG'!$A$1:$A$4999,1,FALSE),"ERROR")=B325&amp;"ES","Y","")),"")</f>
        <v/>
      </c>
      <c r="H325" s="29" t="str">
        <f>IFERROR(HYPERLINK("#"&amp;ADDRESS(MATCH(B325&amp;"PT",'LM7 Non-ENG'!$A$1:$A$5000,0),1,,,"LM7 Non-ENG"),IF(IFERROR(VLOOKUP(B325&amp;"PT",'LM7 Non-ENG'!$A$1:$A$5000,1,FALSE),"ERROR")=B325&amp;"PT","Y","")),"")</f>
        <v/>
      </c>
      <c r="I325" t="str">
        <f>IFERROR(VLOOKUP(B325,PN!$A:$C,3,FALSE),"")</f>
        <v>Active</v>
      </c>
      <c r="J325" s="3">
        <f>IFERROR(E325*VLOOKUP(B325,PLInter!$A:$D,3,FALSE),"")</f>
        <v>1056</v>
      </c>
      <c r="K325" s="66"/>
      <c r="L325" s="66"/>
      <c r="M325" s="66"/>
      <c r="N325" s="66"/>
      <c r="O325" s="66"/>
      <c r="P325" s="66"/>
      <c r="Q325" s="66"/>
      <c r="R325" s="66"/>
      <c r="S325" s="66"/>
    </row>
    <row r="326" spans="1:19" ht="18" customHeight="1">
      <c r="B326" t="s">
        <v>689</v>
      </c>
      <c r="C326" t="s">
        <v>690</v>
      </c>
      <c r="D326" s="4"/>
      <c r="E326" s="4">
        <v>1</v>
      </c>
      <c r="F326" s="4"/>
      <c r="G326" s="29" t="str">
        <f>IFERROR(HYPERLINK("#"&amp;ADDRESS(MATCH(B326&amp;"ES",'LM7 Non-ENG'!$A$1:$A$5000,0),1,,,"LM7 Non-ENG"),IF(IFERROR(VLOOKUP(B326&amp;"ES",'LM7 Non-ENG'!$A$1:$A$4999,1,FALSE),"ERROR")=B326&amp;"ES","Y","")),"")</f>
        <v/>
      </c>
      <c r="H326" s="29" t="str">
        <f>IFERROR(HYPERLINK("#"&amp;ADDRESS(MATCH(B326&amp;"PT",'LM7 Non-ENG'!$A$1:$A$5000,0),1,,,"LM7 Non-ENG"),IF(IFERROR(VLOOKUP(B326&amp;"PT",'LM7 Non-ENG'!$A$1:$A$5000,1,FALSE),"ERROR")=B326&amp;"PT","Y","")),"")</f>
        <v/>
      </c>
      <c r="I326" t="str">
        <f>IFERROR(VLOOKUP(B326,PN!$A:$C,3,FALSE),"")</f>
        <v>Active</v>
      </c>
      <c r="J326" s="3">
        <f>IFERROR(E326*VLOOKUP(B326,PLInter!$A:$D,3,FALSE),"")</f>
        <v>2000</v>
      </c>
      <c r="K326" s="66"/>
      <c r="L326" s="66"/>
      <c r="M326" s="66"/>
      <c r="N326" s="66"/>
      <c r="O326" s="66"/>
      <c r="P326" s="66"/>
      <c r="Q326" s="66"/>
      <c r="R326" s="66"/>
      <c r="S326" s="66"/>
    </row>
    <row r="327" spans="1:19" ht="18" customHeight="1">
      <c r="B327" t="str">
        <f>"021152"</f>
        <v>021152</v>
      </c>
      <c r="C327" s="41" t="s">
        <v>679</v>
      </c>
      <c r="D327" s="4"/>
      <c r="E327" s="4">
        <v>2</v>
      </c>
      <c r="F327" s="4"/>
      <c r="G327" s="29" t="str">
        <f>IFERROR(HYPERLINK("#"&amp;ADDRESS(MATCH(B327&amp;"ES",'LM7 Non-ENG'!$A$1:$A$5000,0),1,,,"LM7 Non-ENG"),IF(IFERROR(VLOOKUP(B327&amp;"ES",'LM7 Non-ENG'!$A$1:$A$4999,1,FALSE),"ERROR")=B327&amp;"ES","Y","")),"")</f>
        <v/>
      </c>
      <c r="H327" s="29" t="str">
        <f>IFERROR(HYPERLINK("#"&amp;ADDRESS(MATCH(B327&amp;"PT",'LM7 Non-ENG'!$A$1:$A$5000,0),1,,,"LM7 Non-ENG"),IF(IFERROR(VLOOKUP(B327&amp;"PT",'LM7 Non-ENG'!$A$1:$A$5000,1,FALSE),"ERROR")=B327&amp;"PT","Y","")),"")</f>
        <v/>
      </c>
      <c r="I327" t="str">
        <f>IFERROR(VLOOKUP(B327,PN!$A:$C,3,FALSE),"")</f>
        <v>Active</v>
      </c>
      <c r="J327" s="3">
        <f>IFERROR(E327*VLOOKUP(B327,PLInter!$A:$D,3,FALSE),"")</f>
        <v>480</v>
      </c>
      <c r="K327" s="66"/>
      <c r="L327" s="66"/>
      <c r="M327" s="66"/>
      <c r="N327" s="66"/>
      <c r="O327" s="66"/>
      <c r="P327" s="66"/>
      <c r="Q327" s="66"/>
      <c r="R327" s="66"/>
      <c r="S327" s="66"/>
    </row>
    <row r="328" spans="1:19" ht="18" customHeight="1">
      <c r="B328" t="str">
        <f>"113034"</f>
        <v>113034</v>
      </c>
      <c r="C328" t="s">
        <v>695</v>
      </c>
      <c r="D328" s="4"/>
      <c r="E328" s="4">
        <v>50</v>
      </c>
      <c r="F328" s="4"/>
      <c r="G328" s="29" t="str">
        <f>IFERROR(HYPERLINK("#"&amp;ADDRESS(MATCH(B328&amp;"ES",'LM7 Non-ENG'!$A$1:$A$5000,0),1,,,"LM7 Non-ENG"),IF(IFERROR(VLOOKUP(B328&amp;"ES",'LM7 Non-ENG'!$A$1:$A$4999,1,FALSE),"ERROR")=B328&amp;"ES","Y","")),"")</f>
        <v/>
      </c>
      <c r="H328" s="29" t="str">
        <f>IFERROR(HYPERLINK("#"&amp;ADDRESS(MATCH(B328&amp;"PT",'LM7 Non-ENG'!$A$1:$A$5000,0),1,,,"LM7 Non-ENG"),IF(IFERROR(VLOOKUP(B328&amp;"PT",'LM7 Non-ENG'!$A$1:$A$5000,1,FALSE),"ERROR")=B328&amp;"PT","Y","")),"")</f>
        <v/>
      </c>
      <c r="I328" t="str">
        <f>IFERROR(VLOOKUP(B328,PN!$A:$C,3,FALSE),"")</f>
        <v>Active</v>
      </c>
      <c r="J328" s="3">
        <f>IFERROR(E328*VLOOKUP(B328,PLInter!$A:$D,3,FALSE),"")</f>
        <v>750</v>
      </c>
      <c r="K328" s="66"/>
      <c r="L328" s="66"/>
      <c r="M328" s="66"/>
      <c r="N328" s="66"/>
      <c r="O328" s="66"/>
      <c r="P328" s="66"/>
      <c r="Q328" s="66"/>
      <c r="R328" s="66"/>
      <c r="S328" s="66"/>
    </row>
    <row r="329" spans="1:19" ht="18" customHeight="1">
      <c r="B329" t="str">
        <f>"112496"</f>
        <v>112496</v>
      </c>
      <c r="C329" t="s">
        <v>696</v>
      </c>
      <c r="D329" s="4"/>
      <c r="E329" s="4">
        <v>50</v>
      </c>
      <c r="F329" s="4"/>
      <c r="G329" s="29" t="str">
        <f>IFERROR(HYPERLINK("#"&amp;ADDRESS(MATCH(B329&amp;"ES",'LM7 Non-ENG'!$A$1:$A$5000,0),1,,,"LM7 Non-ENG"),IF(IFERROR(VLOOKUP(B329&amp;"ES",'LM7 Non-ENG'!$A$1:$A$4999,1,FALSE),"ERROR")=B329&amp;"ES","Y","")),"")</f>
        <v/>
      </c>
      <c r="H329" s="29" t="str">
        <f>IFERROR(HYPERLINK("#"&amp;ADDRESS(MATCH(B329&amp;"PT",'LM7 Non-ENG'!$A$1:$A$5000,0),1,,,"LM7 Non-ENG"),IF(IFERROR(VLOOKUP(B329&amp;"PT",'LM7 Non-ENG'!$A$1:$A$5000,1,FALSE),"ERROR")=B329&amp;"PT","Y","")),"")</f>
        <v/>
      </c>
      <c r="I329" t="str">
        <f>IFERROR(VLOOKUP(B329,PN!$A:$C,3,FALSE),"")</f>
        <v>Active</v>
      </c>
      <c r="J329" s="3">
        <f>IFERROR(E329*VLOOKUP(B329,PLInter!$A:$D,3,FALSE),"")</f>
        <v>1000</v>
      </c>
      <c r="K329" s="66"/>
      <c r="L329" s="66"/>
      <c r="M329" s="66"/>
      <c r="N329" s="66"/>
      <c r="O329" s="66"/>
      <c r="P329" s="66"/>
      <c r="Q329" s="66"/>
      <c r="R329" s="66"/>
      <c r="S329" s="66"/>
    </row>
    <row r="330" spans="1:19" ht="18" customHeight="1">
      <c r="B330" t="s">
        <v>644</v>
      </c>
      <c r="C330" t="s">
        <v>645</v>
      </c>
      <c r="D330" s="4"/>
      <c r="E330" s="4">
        <v>1</v>
      </c>
      <c r="F330" s="4"/>
      <c r="G330" s="29" t="str">
        <f>IFERROR(HYPERLINK("#"&amp;ADDRESS(MATCH(B330&amp;"ES",'LM7 Non-ENG'!$A$1:$A$5000,0),1,,,"LM7 Non-ENG"),IF(IFERROR(VLOOKUP(B330&amp;"ES",'LM7 Non-ENG'!$A$1:$A$4999,1,FALSE),"ERROR")=B330&amp;"ES","Y","")),"")</f>
        <v/>
      </c>
      <c r="H330" s="29" t="str">
        <f>IFERROR(HYPERLINK("#"&amp;ADDRESS(MATCH(B330&amp;"PT",'LM7 Non-ENG'!$A$1:$A$5000,0),1,,,"LM7 Non-ENG"),IF(IFERROR(VLOOKUP(B330&amp;"PT",'LM7 Non-ENG'!$A$1:$A$5000,1,FALSE),"ERROR")=B330&amp;"PT","Y","")),"")</f>
        <v/>
      </c>
      <c r="I330" t="str">
        <f>IFERROR(VLOOKUP(B330,PN!$A:$C,3,FALSE),"")</f>
        <v>Active</v>
      </c>
      <c r="J330" s="3">
        <f>IFERROR(E330*VLOOKUP(B330,PLInter!$A:$D,3,FALSE),"")</f>
        <v>1800</v>
      </c>
      <c r="K330" s="66"/>
      <c r="L330" s="66"/>
      <c r="M330" s="66"/>
      <c r="N330" s="66"/>
      <c r="O330" s="66"/>
      <c r="P330" s="66"/>
      <c r="Q330" s="66"/>
      <c r="R330" s="66"/>
      <c r="S330" s="66"/>
    </row>
    <row r="331" spans="1:19" ht="18" customHeight="1">
      <c r="B331" t="s">
        <v>697</v>
      </c>
      <c r="C331" t="s">
        <v>698</v>
      </c>
      <c r="D331" s="4"/>
      <c r="E331" s="4">
        <v>1</v>
      </c>
      <c r="F331" s="4"/>
      <c r="G331" s="29" t="str">
        <f>IFERROR(HYPERLINK("#"&amp;ADDRESS(MATCH(B331&amp;"ES",'LM7 Non-ENG'!$A$1:$A$5000,0),1,,,"LM7 Non-ENG"),IF(IFERROR(VLOOKUP(B331&amp;"ES",'LM7 Non-ENG'!$A$1:$A$4999,1,FALSE),"ERROR")=B331&amp;"ES","Y","")),"")</f>
        <v/>
      </c>
      <c r="H331" s="29" t="str">
        <f>IFERROR(HYPERLINK("#"&amp;ADDRESS(MATCH(B331&amp;"PT",'LM7 Non-ENG'!$A$1:$A$5000,0),1,,,"LM7 Non-ENG"),IF(IFERROR(VLOOKUP(B331&amp;"PT",'LM7 Non-ENG'!$A$1:$A$5000,1,FALSE),"ERROR")=B331&amp;"PT","Y","")),"")</f>
        <v/>
      </c>
      <c r="I331" t="str">
        <f>IFERROR(VLOOKUP(B331,PN!$A:$C,3,FALSE),"")</f>
        <v>Active</v>
      </c>
      <c r="J331" s="3">
        <f>IFERROR(E331*VLOOKUP(B331,PLInter!$A:$D,3,FALSE),"")</f>
        <v>934</v>
      </c>
      <c r="K331" s="66"/>
      <c r="L331" s="66"/>
      <c r="M331" s="66"/>
      <c r="N331" s="66"/>
      <c r="O331" s="66"/>
      <c r="P331" s="66"/>
      <c r="Q331" s="66"/>
      <c r="R331" s="66"/>
      <c r="S331" s="66"/>
    </row>
    <row r="332" spans="1:19" ht="18" customHeight="1">
      <c r="B332" t="s">
        <v>630</v>
      </c>
      <c r="C332" t="s">
        <v>631</v>
      </c>
      <c r="D332" s="4"/>
      <c r="E332" s="4">
        <v>1</v>
      </c>
      <c r="F332" s="4"/>
      <c r="G332" s="29" t="str">
        <f>IFERROR(HYPERLINK("#"&amp;ADDRESS(MATCH(B332&amp;"ES",'LM7 Non-ENG'!$A$1:$A$5000,0),1,,,"LM7 Non-ENG"),IF(IFERROR(VLOOKUP(B332&amp;"ES",'LM7 Non-ENG'!$A$1:$A$4999,1,FALSE),"ERROR")=B332&amp;"ES","Y","")),"")</f>
        <v/>
      </c>
      <c r="H332" s="29" t="str">
        <f>IFERROR(HYPERLINK("#"&amp;ADDRESS(MATCH(B332&amp;"PT",'LM7 Non-ENG'!$A$1:$A$5000,0),1,,,"LM7 Non-ENG"),IF(IFERROR(VLOOKUP(B332&amp;"PT",'LM7 Non-ENG'!$A$1:$A$5000,1,FALSE),"ERROR")=B332&amp;"PT","Y","")),"")</f>
        <v/>
      </c>
      <c r="I332" t="str">
        <f>IFERROR(VLOOKUP(B332,PN!$A:$C,3,FALSE),"")</f>
        <v>Active</v>
      </c>
      <c r="J332" s="3">
        <f>IFERROR(E332*VLOOKUP(B332,PLInter!$A:$D,3,FALSE),"")</f>
        <v>1735</v>
      </c>
      <c r="K332" s="66"/>
      <c r="L332" s="66"/>
      <c r="M332" s="66"/>
      <c r="N332" s="66"/>
      <c r="O332" s="66"/>
      <c r="P332" s="66"/>
      <c r="Q332" s="66"/>
      <c r="R332" s="66"/>
      <c r="S332" s="66"/>
    </row>
    <row r="334" spans="1:19" s="7" customFormat="1" ht="18" customHeight="1">
      <c r="A334" s="13" t="s">
        <v>788</v>
      </c>
      <c r="B334" s="13"/>
      <c r="C334" s="13" t="s">
        <v>789</v>
      </c>
      <c r="D334" s="14"/>
      <c r="E334" s="14"/>
      <c r="F334" s="14"/>
      <c r="G334" s="14"/>
      <c r="H334" s="14"/>
      <c r="I334" s="14"/>
      <c r="J334" s="14">
        <f>SUMIFS(J335:J351,D335:D351,"&lt;&gt;Y",F335:F351,"&lt;&gt;Y",I335:I351,"&lt;&gt;Inactive",I335:I351,"&lt;&gt;ECO+NFS")</f>
        <v>48176</v>
      </c>
      <c r="K334" s="14"/>
      <c r="L334" s="14"/>
      <c r="M334" s="14"/>
      <c r="N334" s="14"/>
      <c r="O334" s="14"/>
      <c r="P334" s="14"/>
      <c r="Q334" s="14"/>
      <c r="R334" s="14"/>
      <c r="S334" s="14"/>
    </row>
    <row r="335" spans="1:19" ht="18" customHeight="1">
      <c r="A335" s="17" t="str">
        <f>HYPERLINK("#"&amp;ADDRESS(MATCH(A334,'CIM&amp;FMS'!$A$1:$A$4997,0),1,,,"CIM&amp;FMS"),"Back to Price List")</f>
        <v>Back to Price List</v>
      </c>
      <c r="B335" t="s">
        <v>214</v>
      </c>
      <c r="C335" t="s">
        <v>654</v>
      </c>
      <c r="D335" s="4"/>
      <c r="E335" s="4">
        <v>1</v>
      </c>
      <c r="F335" s="4"/>
      <c r="G335" s="29" t="str">
        <f>IFERROR(HYPERLINK("#"&amp;ADDRESS(MATCH(B335&amp;"ES",'LM7 Non-ENG'!$A$1:$A$5000,0),1,,,"LM7 Non-ENG"),IF(IFERROR(VLOOKUP(B335&amp;"ES",'LM7 Non-ENG'!$A$1:$A$4999,1,FALSE),"ERROR")=B335&amp;"ES","Y","")),"")</f>
        <v/>
      </c>
      <c r="H335" s="29" t="str">
        <f>IFERROR(HYPERLINK("#"&amp;ADDRESS(MATCH(B335&amp;"PT",'LM7 Non-ENG'!$A$1:$A$5000,0),1,,,"LM7 Non-ENG"),IF(IFERROR(VLOOKUP(B335&amp;"PT",'LM7 Non-ENG'!$A$1:$A$5000,1,FALSE),"ERROR")=B335&amp;"PT","Y","")),"")</f>
        <v/>
      </c>
      <c r="I335" t="str">
        <f>IFERROR(VLOOKUP(B335,PN!$A:$C,3,FALSE),"")</f>
        <v>Active</v>
      </c>
      <c r="J335" s="3">
        <f>IFERROR(E335*VLOOKUP(B335,PLInter!$A:$D,3,FALSE),"")</f>
        <v>24000</v>
      </c>
      <c r="K335" s="66"/>
      <c r="L335" s="66"/>
      <c r="M335" s="66"/>
      <c r="N335" s="66"/>
      <c r="O335" s="66"/>
      <c r="P335" s="66"/>
      <c r="Q335" s="66"/>
      <c r="R335" s="66"/>
      <c r="S335" s="66"/>
    </row>
    <row r="336" spans="1:19" ht="18" customHeight="1">
      <c r="B336" t="s">
        <v>228</v>
      </c>
      <c r="C336" t="s">
        <v>655</v>
      </c>
      <c r="D336" s="4"/>
      <c r="E336" s="4">
        <v>1</v>
      </c>
      <c r="F336" s="4"/>
      <c r="G336" s="29" t="str">
        <f>IFERROR(HYPERLINK("#"&amp;ADDRESS(MATCH(B336&amp;"ES",'LM7 Non-ENG'!$A$1:$A$5000,0),1,,,"LM7 Non-ENG"),IF(IFERROR(VLOOKUP(B336&amp;"ES",'LM7 Non-ENG'!$A$1:$A$4999,1,FALSE),"ERROR")=B336&amp;"ES","Y","")),"")</f>
        <v/>
      </c>
      <c r="H336" s="29" t="str">
        <f>IFERROR(HYPERLINK("#"&amp;ADDRESS(MATCH(B336&amp;"PT",'LM7 Non-ENG'!$A$1:$A$5000,0),1,,,"LM7 Non-ENG"),IF(IFERROR(VLOOKUP(B336&amp;"PT",'LM7 Non-ENG'!$A$1:$A$5000,1,FALSE),"ERROR")=B336&amp;"PT","Y","")),"")</f>
        <v/>
      </c>
      <c r="I336" t="str">
        <f>IFERROR(VLOOKUP(B336,PN!$A:$C,3,FALSE),"")</f>
        <v>Active</v>
      </c>
      <c r="J336" s="3">
        <f>IFERROR(E336*VLOOKUP(B336,PLInter!$A:$D,3,FALSE),"")</f>
        <v>2134</v>
      </c>
      <c r="K336" s="66"/>
      <c r="L336" s="66"/>
      <c r="M336" s="66"/>
      <c r="N336" s="66"/>
      <c r="O336" s="66"/>
      <c r="P336" s="66"/>
      <c r="Q336" s="66"/>
      <c r="R336" s="66"/>
      <c r="S336" s="66"/>
    </row>
    <row r="337" spans="2:19" ht="18" customHeight="1">
      <c r="B337" s="2" t="s">
        <v>227</v>
      </c>
      <c r="C337" s="2" t="s">
        <v>232</v>
      </c>
      <c r="D337" s="5"/>
      <c r="E337" s="5">
        <v>1</v>
      </c>
      <c r="F337" s="5" t="s">
        <v>0</v>
      </c>
      <c r="G337" s="29" t="str">
        <f>IFERROR(HYPERLINK("#"&amp;ADDRESS(MATCH(B337&amp;"ES",'LM7 Non-ENG'!$A$1:$A$5000,0),1,,,"LM7 Non-ENG"),IF(IFERROR(VLOOKUP(B337&amp;"ES",'LM7 Non-ENG'!$A$1:$A$4999,1,FALSE),"ERROR")=B337&amp;"ES","Y","")),"")</f>
        <v/>
      </c>
      <c r="H337" s="29" t="str">
        <f>IFERROR(HYPERLINK("#"&amp;ADDRESS(MATCH(B337&amp;"PT",'LM7 Non-ENG'!$A$1:$A$5000,0),1,,,"LM7 Non-ENG"),IF(IFERROR(VLOOKUP(B337&amp;"PT",'LM7 Non-ENG'!$A$1:$A$5000,1,FALSE),"ERROR")=B337&amp;"PT","Y","")),"")</f>
        <v/>
      </c>
      <c r="I337" t="str">
        <f>IFERROR(VLOOKUP(B337,PN!$A:$C,3,FALSE),"")</f>
        <v>Active</v>
      </c>
      <c r="J337" s="3">
        <f>IFERROR(E337*VLOOKUP(B337,PLInter!$A:$D,3,FALSE),"")</f>
        <v>1700</v>
      </c>
      <c r="K337" s="66"/>
      <c r="L337" s="66"/>
      <c r="M337" s="66"/>
      <c r="N337" s="66"/>
      <c r="O337" s="66"/>
      <c r="P337" s="66"/>
      <c r="Q337" s="66"/>
      <c r="R337" s="66"/>
      <c r="S337" s="66"/>
    </row>
    <row r="338" spans="2:19" ht="18" customHeight="1">
      <c r="B338" t="s">
        <v>236</v>
      </c>
      <c r="C338" t="s">
        <v>626</v>
      </c>
      <c r="D338" s="4"/>
      <c r="E338" s="4">
        <v>1</v>
      </c>
      <c r="F338" s="4"/>
      <c r="G338" s="29" t="str">
        <f>IFERROR(HYPERLINK("#"&amp;ADDRESS(MATCH(B338&amp;"ES",'LM7 Non-ENG'!$A$1:$A$5000,0),1,,,"LM7 Non-ENG"),IF(IFERROR(VLOOKUP(B338&amp;"ES",'LM7 Non-ENG'!$A$1:$A$4999,1,FALSE),"ERROR")=B338&amp;"ES","Y","")),"")</f>
        <v/>
      </c>
      <c r="H338" s="29" t="str">
        <f>IFERROR(HYPERLINK("#"&amp;ADDRESS(MATCH(B338&amp;"PT",'LM7 Non-ENG'!$A$1:$A$5000,0),1,,,"LM7 Non-ENG"),IF(IFERROR(VLOOKUP(B338&amp;"PT",'LM7 Non-ENG'!$A$1:$A$5000,1,FALSE),"ERROR")=B338&amp;"PT","Y","")),"")</f>
        <v/>
      </c>
      <c r="I338" t="str">
        <f>IFERROR(VLOOKUP(B338,PN!$A:$C,3,FALSE),"")</f>
        <v>Active</v>
      </c>
      <c r="J338" s="3">
        <f>IFERROR(E338*VLOOKUP(B338,PLInter!$A:$D,3,FALSE),"")</f>
        <v>1680</v>
      </c>
      <c r="K338" s="66"/>
      <c r="L338" s="66"/>
      <c r="M338" s="66"/>
      <c r="N338" s="66"/>
      <c r="O338" s="66"/>
      <c r="P338" s="66"/>
      <c r="Q338" s="66"/>
      <c r="R338" s="66"/>
      <c r="S338" s="66"/>
    </row>
    <row r="339" spans="2:19" ht="18" customHeight="1">
      <c r="B339" t="s">
        <v>243</v>
      </c>
      <c r="C339" t="s">
        <v>790</v>
      </c>
      <c r="D339" s="4"/>
      <c r="E339" s="4">
        <v>1</v>
      </c>
      <c r="F339" s="4"/>
      <c r="G339" s="29" t="str">
        <f>IFERROR(HYPERLINK("#"&amp;ADDRESS(MATCH(B339&amp;"ES",'LM7 Non-ENG'!$A$1:$A$5000,0),1,,,"LM7 Non-ENG"),IF(IFERROR(VLOOKUP(B339&amp;"ES",'LM7 Non-ENG'!$A$1:$A$4999,1,FALSE),"ERROR")=B339&amp;"ES","Y","")),"")</f>
        <v/>
      </c>
      <c r="H339" s="29" t="str">
        <f>IFERROR(HYPERLINK("#"&amp;ADDRESS(MATCH(B339&amp;"PT",'LM7 Non-ENG'!$A$1:$A$5000,0),1,,,"LM7 Non-ENG"),IF(IFERROR(VLOOKUP(B339&amp;"PT",'LM7 Non-ENG'!$A$1:$A$5000,1,FALSE),"ERROR")=B339&amp;"PT","Y","")),"")</f>
        <v/>
      </c>
      <c r="I339" t="str">
        <f>IFERROR(VLOOKUP(B339,PN!$A:$C,3,FALSE),"")</f>
        <v>Active</v>
      </c>
      <c r="J339" s="3">
        <f>IFERROR(E339*VLOOKUP(B339,PLInter!$A:$D,3,FALSE),"")</f>
        <v>7366</v>
      </c>
      <c r="K339" s="66"/>
      <c r="L339" s="66"/>
      <c r="M339" s="66"/>
      <c r="N339" s="66"/>
      <c r="O339" s="66"/>
      <c r="P339" s="66"/>
      <c r="Q339" s="66"/>
      <c r="R339" s="66"/>
      <c r="S339" s="66"/>
    </row>
    <row r="340" spans="2:19" ht="18" customHeight="1">
      <c r="B340" s="2" t="s">
        <v>772</v>
      </c>
      <c r="C340" s="2" t="s">
        <v>773</v>
      </c>
      <c r="D340" s="5"/>
      <c r="E340" s="5">
        <v>1</v>
      </c>
      <c r="F340" s="5" t="s">
        <v>0</v>
      </c>
      <c r="G340" s="29" t="str">
        <f>IFERROR(HYPERLINK("#"&amp;ADDRESS(MATCH(B340&amp;"ES",'LM7 Non-ENG'!$A$1:$A$5000,0),1,,,"LM7 Non-ENG"),IF(IFERROR(VLOOKUP(B340&amp;"ES",'LM7 Non-ENG'!$A$1:$A$4999,1,FALSE),"ERROR")=B340&amp;"ES","Y","")),"")</f>
        <v/>
      </c>
      <c r="H340" s="29" t="str">
        <f>IFERROR(HYPERLINK("#"&amp;ADDRESS(MATCH(B340&amp;"PT",'LM7 Non-ENG'!$A$1:$A$5000,0),1,,,"LM7 Non-ENG"),IF(IFERROR(VLOOKUP(B340&amp;"PT",'LM7 Non-ENG'!$A$1:$A$5000,1,FALSE),"ERROR")=B340&amp;"PT","Y","")),"")</f>
        <v/>
      </c>
      <c r="I340" t="str">
        <f>IFERROR(VLOOKUP(B340,PN!$A:$C,3,FALSE),"")</f>
        <v>Active</v>
      </c>
      <c r="J340" s="3">
        <f>IFERROR(E340*VLOOKUP(B340,PLInter!$A:$D,3,FALSE),"")</f>
        <v>8267</v>
      </c>
      <c r="K340" s="66"/>
      <c r="L340" s="66"/>
      <c r="M340" s="66"/>
      <c r="N340" s="66"/>
      <c r="O340" s="66"/>
      <c r="P340" s="66"/>
      <c r="Q340" s="66"/>
      <c r="R340" s="66"/>
      <c r="S340" s="66"/>
    </row>
    <row r="341" spans="2:19" ht="18" customHeight="1">
      <c r="B341" t="s">
        <v>680</v>
      </c>
      <c r="C341" t="s">
        <v>681</v>
      </c>
      <c r="D341" s="4"/>
      <c r="E341" s="4">
        <v>1</v>
      </c>
      <c r="F341" s="4"/>
      <c r="G341" s="29" t="str">
        <f>IFERROR(HYPERLINK("#"&amp;ADDRESS(MATCH(B341&amp;"ES",'LM7 Non-ENG'!$A$1:$A$5000,0),1,,,"LM7 Non-ENG"),IF(IFERROR(VLOOKUP(B341&amp;"ES",'LM7 Non-ENG'!$A$1:$A$4999,1,FALSE),"ERROR")=B341&amp;"ES","Y","")),"")</f>
        <v/>
      </c>
      <c r="H341" s="29" t="str">
        <f>IFERROR(HYPERLINK("#"&amp;ADDRESS(MATCH(B341&amp;"PT",'LM7 Non-ENG'!$A$1:$A$5000,0),1,,,"LM7 Non-ENG"),IF(IFERROR(VLOOKUP(B341&amp;"PT",'LM7 Non-ENG'!$A$1:$A$5000,1,FALSE),"ERROR")=B341&amp;"PT","Y","")),"")</f>
        <v/>
      </c>
      <c r="I341" t="str">
        <f>IFERROR(VLOOKUP(B341,PN!$A:$C,3,FALSE),"")</f>
        <v>Active</v>
      </c>
      <c r="J341" s="3">
        <f>IFERROR(E341*VLOOKUP(B341,PLInter!$A:$D,3,FALSE),"")</f>
        <v>1440</v>
      </c>
      <c r="K341" s="66"/>
      <c r="L341" s="66"/>
      <c r="M341" s="66"/>
      <c r="N341" s="66"/>
      <c r="O341" s="66"/>
      <c r="P341" s="66"/>
      <c r="Q341" s="66"/>
      <c r="R341" s="66"/>
      <c r="S341" s="66"/>
    </row>
    <row r="342" spans="2:19" ht="18" customHeight="1">
      <c r="B342" t="s">
        <v>684</v>
      </c>
      <c r="C342" t="s">
        <v>685</v>
      </c>
      <c r="D342" s="4"/>
      <c r="E342" s="4">
        <v>1</v>
      </c>
      <c r="F342" s="4"/>
      <c r="G342" s="29" t="str">
        <f>IFERROR(HYPERLINK("#"&amp;ADDRESS(MATCH(B342&amp;"ES",'LM7 Non-ENG'!$A$1:$A$5000,0),1,,,"LM7 Non-ENG"),IF(IFERROR(VLOOKUP(B342&amp;"ES",'LM7 Non-ENG'!$A$1:$A$4999,1,FALSE),"ERROR")=B342&amp;"ES","Y","")),"")</f>
        <v/>
      </c>
      <c r="H342" s="29" t="str">
        <f>IFERROR(HYPERLINK("#"&amp;ADDRESS(MATCH(B342&amp;"PT",'LM7 Non-ENG'!$A$1:$A$5000,0),1,,,"LM7 Non-ENG"),IF(IFERROR(VLOOKUP(B342&amp;"PT",'LM7 Non-ENG'!$A$1:$A$5000,1,FALSE),"ERROR")=B342&amp;"PT","Y","")),"")</f>
        <v/>
      </c>
      <c r="I342" t="str">
        <f>IFERROR(VLOOKUP(B342,PN!$A:$C,3,FALSE),"")</f>
        <v>Active</v>
      </c>
      <c r="J342" s="3">
        <f>IFERROR(E342*VLOOKUP(B342,PLInter!$A:$D,3,FALSE),"")</f>
        <v>580</v>
      </c>
      <c r="K342" s="66"/>
      <c r="L342" s="66"/>
      <c r="M342" s="66"/>
      <c r="N342" s="66"/>
      <c r="O342" s="66"/>
      <c r="P342" s="66"/>
      <c r="Q342" s="66"/>
      <c r="R342" s="66"/>
      <c r="S342" s="66"/>
    </row>
    <row r="343" spans="2:19" ht="18" customHeight="1">
      <c r="B343" t="str">
        <f>"021182"</f>
        <v>021182</v>
      </c>
      <c r="C343" t="s">
        <v>686</v>
      </c>
      <c r="D343" s="4"/>
      <c r="E343" s="4">
        <v>1</v>
      </c>
      <c r="F343" s="4"/>
      <c r="G343" s="29" t="str">
        <f>IFERROR(HYPERLINK("#"&amp;ADDRESS(MATCH(B343&amp;"ES",'LM7 Non-ENG'!$A$1:$A$5000,0),1,,,"LM7 Non-ENG"),IF(IFERROR(VLOOKUP(B343&amp;"ES",'LM7 Non-ENG'!$A$1:$A$4999,1,FALSE),"ERROR")=B343&amp;"ES","Y","")),"")</f>
        <v/>
      </c>
      <c r="H343" s="29" t="str">
        <f>IFERROR(HYPERLINK("#"&amp;ADDRESS(MATCH(B343&amp;"PT",'LM7 Non-ENG'!$A$1:$A$5000,0),1,,,"LM7 Non-ENG"),IF(IFERROR(VLOOKUP(B343&amp;"PT",'LM7 Non-ENG'!$A$1:$A$5000,1,FALSE),"ERROR")=B343&amp;"PT","Y","")),"")</f>
        <v/>
      </c>
      <c r="I343" t="str">
        <f>IFERROR(VLOOKUP(B343,PN!$A:$C,3,FALSE),"")</f>
        <v>Active</v>
      </c>
      <c r="J343" s="3">
        <f>IFERROR(E343*VLOOKUP(B343,PLInter!$A:$D,3,FALSE),"")</f>
        <v>16</v>
      </c>
      <c r="K343" s="66"/>
      <c r="L343" s="66"/>
      <c r="M343" s="66"/>
      <c r="N343" s="66"/>
      <c r="O343" s="66"/>
      <c r="P343" s="66"/>
      <c r="Q343" s="66"/>
      <c r="R343" s="66"/>
      <c r="S343" s="66"/>
    </row>
    <row r="344" spans="2:19" ht="18" customHeight="1">
      <c r="B344" t="str">
        <f>"034025"</f>
        <v>034025</v>
      </c>
      <c r="C344" t="s">
        <v>777</v>
      </c>
      <c r="D344" s="4"/>
      <c r="E344" s="4">
        <v>1</v>
      </c>
      <c r="F344" s="4"/>
      <c r="G344" s="29" t="str">
        <f>IFERROR(HYPERLINK("#"&amp;ADDRESS(MATCH(B344&amp;"ES",'LM7 Non-ENG'!$A$1:$A$5000,0),1,,,"LM7 Non-ENG"),IF(IFERROR(VLOOKUP(B344&amp;"ES",'LM7 Non-ENG'!$A$1:$A$4999,1,FALSE),"ERROR")=B344&amp;"ES","Y","")),"")</f>
        <v/>
      </c>
      <c r="H344" s="29" t="str">
        <f>IFERROR(HYPERLINK("#"&amp;ADDRESS(MATCH(B344&amp;"PT",'LM7 Non-ENG'!$A$1:$A$5000,0),1,,,"LM7 Non-ENG"),IF(IFERROR(VLOOKUP(B344&amp;"PT",'LM7 Non-ENG'!$A$1:$A$5000,1,FALSE),"ERROR")=B344&amp;"PT","Y","")),"")</f>
        <v/>
      </c>
      <c r="I344" t="str">
        <f>IFERROR(VLOOKUP(B344,PN!$A:$C,3,FALSE),"")</f>
        <v>Active</v>
      </c>
      <c r="J344" s="3">
        <f>IFERROR(E344*VLOOKUP(B344,PLInter!$A:$D,3,FALSE),"")</f>
        <v>1267</v>
      </c>
      <c r="K344" s="66"/>
      <c r="L344" s="66"/>
      <c r="M344" s="66"/>
      <c r="N344" s="66"/>
      <c r="O344" s="66"/>
      <c r="P344" s="66"/>
      <c r="Q344" s="66"/>
      <c r="R344" s="66"/>
      <c r="S344" s="66"/>
    </row>
    <row r="345" spans="2:19" ht="18" customHeight="1">
      <c r="B345" t="s">
        <v>704</v>
      </c>
      <c r="C345" t="s">
        <v>705</v>
      </c>
      <c r="D345" s="4"/>
      <c r="E345" s="4">
        <v>1</v>
      </c>
      <c r="F345" s="4"/>
      <c r="G345" s="29" t="str">
        <f>IFERROR(HYPERLINK("#"&amp;ADDRESS(MATCH(B345&amp;"ES",'LM7 Non-ENG'!$A$1:$A$5000,0),1,,,"LM7 Non-ENG"),IF(IFERROR(VLOOKUP(B345&amp;"ES",'LM7 Non-ENG'!$A$1:$A$4999,1,FALSE),"ERROR")=B345&amp;"ES","Y","")),"")</f>
        <v/>
      </c>
      <c r="H345" s="29" t="str">
        <f>IFERROR(HYPERLINK("#"&amp;ADDRESS(MATCH(B345&amp;"PT",'LM7 Non-ENG'!$A$1:$A$5000,0),1,,,"LM7 Non-ENG"),IF(IFERROR(VLOOKUP(B345&amp;"PT",'LM7 Non-ENG'!$A$1:$A$5000,1,FALSE),"ERROR")=B345&amp;"PT","Y","")),"")</f>
        <v/>
      </c>
      <c r="I345" t="str">
        <f>IFERROR(VLOOKUP(B345,PN!$A:$C,3,FALSE),"")</f>
        <v>Active</v>
      </c>
      <c r="J345" s="3">
        <f>IFERROR(E345*VLOOKUP(B345,PLInter!$A:$D,3,FALSE),"")</f>
        <v>2640</v>
      </c>
      <c r="K345" s="66"/>
      <c r="L345" s="66"/>
      <c r="M345" s="66"/>
      <c r="N345" s="66"/>
      <c r="O345" s="66"/>
      <c r="P345" s="66"/>
      <c r="Q345" s="66"/>
      <c r="R345" s="66"/>
      <c r="S345" s="66"/>
    </row>
    <row r="346" spans="2:19" ht="18" customHeight="1">
      <c r="B346" t="s">
        <v>786</v>
      </c>
      <c r="C346" t="s">
        <v>787</v>
      </c>
      <c r="D346" s="4"/>
      <c r="E346" s="4">
        <v>1</v>
      </c>
      <c r="F346" s="4"/>
      <c r="G346" s="29" t="str">
        <f>IFERROR(HYPERLINK("#"&amp;ADDRESS(MATCH(B346&amp;"ES",'LM7 Non-ENG'!$A$1:$A$5000,0),1,,,"LM7 Non-ENG"),IF(IFERROR(VLOOKUP(B346&amp;"ES",'LM7 Non-ENG'!$A$1:$A$4999,1,FALSE),"ERROR")=B346&amp;"ES","Y","")),"")</f>
        <v/>
      </c>
      <c r="H346" s="29" t="str">
        <f>IFERROR(HYPERLINK("#"&amp;ADDRESS(MATCH(B346&amp;"PT",'LM7 Non-ENG'!$A$1:$A$5000,0),1,,,"LM7 Non-ENG"),IF(IFERROR(VLOOKUP(B346&amp;"PT",'LM7 Non-ENG'!$A$1:$A$5000,1,FALSE),"ERROR")=B346&amp;"PT","Y","")),"")</f>
        <v/>
      </c>
      <c r="I346" t="str">
        <f>IFERROR(VLOOKUP(B346,PN!$A:$C,3,FALSE),"")</f>
        <v>Active</v>
      </c>
      <c r="J346" s="3">
        <f>IFERROR(E346*VLOOKUP(B346,PLInter!$A:$D,3,FALSE),"")</f>
        <v>528</v>
      </c>
      <c r="K346" s="66"/>
      <c r="L346" s="66"/>
      <c r="M346" s="66"/>
      <c r="N346" s="66"/>
      <c r="O346" s="66"/>
      <c r="P346" s="66"/>
      <c r="Q346" s="66"/>
      <c r="R346" s="66"/>
      <c r="S346" s="66"/>
    </row>
    <row r="347" spans="2:19" ht="18" customHeight="1">
      <c r="B347" t="s">
        <v>689</v>
      </c>
      <c r="C347" t="s">
        <v>690</v>
      </c>
      <c r="D347" s="4"/>
      <c r="E347" s="4">
        <v>1</v>
      </c>
      <c r="F347" s="4"/>
      <c r="G347" s="29" t="str">
        <f>IFERROR(HYPERLINK("#"&amp;ADDRESS(MATCH(B347&amp;"ES",'LM7 Non-ENG'!$A$1:$A$5000,0),1,,,"LM7 Non-ENG"),IF(IFERROR(VLOOKUP(B347&amp;"ES",'LM7 Non-ENG'!$A$1:$A$4999,1,FALSE),"ERROR")=B347&amp;"ES","Y","")),"")</f>
        <v/>
      </c>
      <c r="H347" s="29" t="str">
        <f>IFERROR(HYPERLINK("#"&amp;ADDRESS(MATCH(B347&amp;"PT",'LM7 Non-ENG'!$A$1:$A$5000,0),1,,,"LM7 Non-ENG"),IF(IFERROR(VLOOKUP(B347&amp;"PT",'LM7 Non-ENG'!$A$1:$A$5000,1,FALSE),"ERROR")=B347&amp;"PT","Y","")),"")</f>
        <v/>
      </c>
      <c r="I347" t="str">
        <f>IFERROR(VLOOKUP(B347,PN!$A:$C,3,FALSE),"")</f>
        <v>Active</v>
      </c>
      <c r="J347" s="3">
        <f>IFERROR(E347*VLOOKUP(B347,PLInter!$A:$D,3,FALSE),"")</f>
        <v>2000</v>
      </c>
      <c r="K347" s="66"/>
      <c r="L347" s="66"/>
      <c r="M347" s="66"/>
      <c r="N347" s="66"/>
      <c r="O347" s="66"/>
      <c r="P347" s="66"/>
      <c r="Q347" s="66"/>
      <c r="R347" s="66"/>
      <c r="S347" s="66"/>
    </row>
    <row r="348" spans="2:19" ht="18" customHeight="1">
      <c r="B348" t="str">
        <f>"021152"</f>
        <v>021152</v>
      </c>
      <c r="C348" s="41" t="s">
        <v>679</v>
      </c>
      <c r="D348" s="4"/>
      <c r="E348" s="4">
        <v>1</v>
      </c>
      <c r="F348" s="4"/>
      <c r="G348" s="29" t="str">
        <f>IFERROR(HYPERLINK("#"&amp;ADDRESS(MATCH(B348&amp;"ES",'LM7 Non-ENG'!$A$1:$A$5000,0),1,,,"LM7 Non-ENG"),IF(IFERROR(VLOOKUP(B348&amp;"ES",'LM7 Non-ENG'!$A$1:$A$4999,1,FALSE),"ERROR")=B348&amp;"ES","Y","")),"")</f>
        <v/>
      </c>
      <c r="H348" s="29" t="str">
        <f>IFERROR(HYPERLINK("#"&amp;ADDRESS(MATCH(B348&amp;"PT",'LM7 Non-ENG'!$A$1:$A$5000,0),1,,,"LM7 Non-ENG"),IF(IFERROR(VLOOKUP(B348&amp;"PT",'LM7 Non-ENG'!$A$1:$A$5000,1,FALSE),"ERROR")=B348&amp;"PT","Y","")),"")</f>
        <v/>
      </c>
      <c r="I348" t="str">
        <f>IFERROR(VLOOKUP(B348,PN!$A:$C,3,FALSE),"")</f>
        <v>Active</v>
      </c>
      <c r="J348" s="3">
        <f>IFERROR(E348*VLOOKUP(B348,PLInter!$A:$D,3,FALSE),"")</f>
        <v>240</v>
      </c>
      <c r="K348" s="66"/>
      <c r="L348" s="66"/>
      <c r="M348" s="66"/>
      <c r="N348" s="66"/>
      <c r="O348" s="66"/>
      <c r="P348" s="66"/>
      <c r="Q348" s="66"/>
      <c r="R348" s="66"/>
      <c r="S348" s="66"/>
    </row>
    <row r="349" spans="2:19" ht="18" customHeight="1">
      <c r="B349" t="str">
        <f>"113034"</f>
        <v>113034</v>
      </c>
      <c r="C349" t="s">
        <v>695</v>
      </c>
      <c r="D349" s="4"/>
      <c r="E349" s="4">
        <v>50</v>
      </c>
      <c r="F349" s="4"/>
      <c r="G349" s="29" t="str">
        <f>IFERROR(HYPERLINK("#"&amp;ADDRESS(MATCH(B349&amp;"ES",'LM7 Non-ENG'!$A$1:$A$5000,0),1,,,"LM7 Non-ENG"),IF(IFERROR(VLOOKUP(B349&amp;"ES",'LM7 Non-ENG'!$A$1:$A$4999,1,FALSE),"ERROR")=B349&amp;"ES","Y","")),"")</f>
        <v/>
      </c>
      <c r="H349" s="29" t="str">
        <f>IFERROR(HYPERLINK("#"&amp;ADDRESS(MATCH(B349&amp;"PT",'LM7 Non-ENG'!$A$1:$A$5000,0),1,,,"LM7 Non-ENG"),IF(IFERROR(VLOOKUP(B349&amp;"PT",'LM7 Non-ENG'!$A$1:$A$5000,1,FALSE),"ERROR")=B349&amp;"PT","Y","")),"")</f>
        <v/>
      </c>
      <c r="I349" t="str">
        <f>IFERROR(VLOOKUP(B349,PN!$A:$C,3,FALSE),"")</f>
        <v>Active</v>
      </c>
      <c r="J349" s="3">
        <f>IFERROR(E349*VLOOKUP(B349,PLInter!$A:$D,3,FALSE),"")</f>
        <v>750</v>
      </c>
      <c r="K349" s="66"/>
      <c r="L349" s="66"/>
      <c r="M349" s="66"/>
      <c r="N349" s="66"/>
      <c r="O349" s="66"/>
      <c r="P349" s="66"/>
      <c r="Q349" s="66"/>
      <c r="R349" s="66"/>
      <c r="S349" s="66"/>
    </row>
    <row r="350" spans="2:19" ht="18" customHeight="1">
      <c r="B350" t="s">
        <v>644</v>
      </c>
      <c r="C350" t="s">
        <v>645</v>
      </c>
      <c r="D350" s="4"/>
      <c r="E350" s="4">
        <v>1</v>
      </c>
      <c r="F350" s="4"/>
      <c r="G350" s="29" t="str">
        <f>IFERROR(HYPERLINK("#"&amp;ADDRESS(MATCH(B350&amp;"ES",'LM7 Non-ENG'!$A$1:$A$5000,0),1,,,"LM7 Non-ENG"),IF(IFERROR(VLOOKUP(B350&amp;"ES",'LM7 Non-ENG'!$A$1:$A$4999,1,FALSE),"ERROR")=B350&amp;"ES","Y","")),"")</f>
        <v/>
      </c>
      <c r="H350" s="29" t="str">
        <f>IFERROR(HYPERLINK("#"&amp;ADDRESS(MATCH(B350&amp;"PT",'LM7 Non-ENG'!$A$1:$A$5000,0),1,,,"LM7 Non-ENG"),IF(IFERROR(VLOOKUP(B350&amp;"PT",'LM7 Non-ENG'!$A$1:$A$5000,1,FALSE),"ERROR")=B350&amp;"PT","Y","")),"")</f>
        <v/>
      </c>
      <c r="I350" t="str">
        <f>IFERROR(VLOOKUP(B350,PN!$A:$C,3,FALSE),"")</f>
        <v>Active</v>
      </c>
      <c r="J350" s="3">
        <f>IFERROR(E350*VLOOKUP(B350,PLInter!$A:$D,3,FALSE),"")</f>
        <v>1800</v>
      </c>
      <c r="K350" s="66"/>
      <c r="L350" s="66"/>
      <c r="M350" s="66"/>
      <c r="N350" s="66"/>
      <c r="O350" s="66"/>
      <c r="P350" s="66"/>
      <c r="Q350" s="66"/>
      <c r="R350" s="66"/>
      <c r="S350" s="66"/>
    </row>
    <row r="351" spans="2:19" ht="18" customHeight="1">
      <c r="B351" t="s">
        <v>630</v>
      </c>
      <c r="C351" t="s">
        <v>631</v>
      </c>
      <c r="D351" s="4"/>
      <c r="E351" s="4">
        <v>1</v>
      </c>
      <c r="F351" s="4"/>
      <c r="G351" s="29" t="str">
        <f>IFERROR(HYPERLINK("#"&amp;ADDRESS(MATCH(B351&amp;"ES",'LM7 Non-ENG'!$A$1:$A$5000,0),1,,,"LM7 Non-ENG"),IF(IFERROR(VLOOKUP(B351&amp;"ES",'LM7 Non-ENG'!$A$1:$A$4999,1,FALSE),"ERROR")=B351&amp;"ES","Y","")),"")</f>
        <v/>
      </c>
      <c r="H351" s="29" t="str">
        <f>IFERROR(HYPERLINK("#"&amp;ADDRESS(MATCH(B351&amp;"PT",'LM7 Non-ENG'!$A$1:$A$5000,0),1,,,"LM7 Non-ENG"),IF(IFERROR(VLOOKUP(B351&amp;"PT",'LM7 Non-ENG'!$A$1:$A$5000,1,FALSE),"ERROR")=B351&amp;"PT","Y","")),"")</f>
        <v/>
      </c>
      <c r="I351" t="str">
        <f>IFERROR(VLOOKUP(B351,PN!$A:$C,3,FALSE),"")</f>
        <v>Active</v>
      </c>
      <c r="J351" s="3">
        <f>IFERROR(E351*VLOOKUP(B351,PLInter!$A:$D,3,FALSE),"")</f>
        <v>1735</v>
      </c>
      <c r="K351" s="66"/>
      <c r="L351" s="66"/>
      <c r="M351" s="66"/>
      <c r="N351" s="66"/>
      <c r="O351" s="66"/>
      <c r="P351" s="66"/>
      <c r="Q351" s="66"/>
      <c r="R351" s="66"/>
      <c r="S351" s="66"/>
    </row>
    <row r="353" spans="1:19" s="7" customFormat="1" ht="18" customHeight="1">
      <c r="A353" s="13" t="s">
        <v>791</v>
      </c>
      <c r="B353" s="13"/>
      <c r="C353" s="13" t="s">
        <v>792</v>
      </c>
      <c r="D353" s="14"/>
      <c r="E353" s="14"/>
      <c r="F353" s="14"/>
      <c r="G353" s="14"/>
      <c r="H353" s="14"/>
      <c r="I353" s="14"/>
      <c r="J353" s="14">
        <f>SUMIFS(J354:J368,D354:D368,"&lt;&gt;Y",F354:F368,"&lt;&gt;Y",I354:I368,"&lt;&gt;Inactive",I354:I368,"&lt;&gt;ECO+NFS")</f>
        <v>45480</v>
      </c>
      <c r="K353" s="14"/>
      <c r="L353" s="14"/>
      <c r="M353" s="14"/>
      <c r="N353" s="14"/>
      <c r="O353" s="14"/>
      <c r="P353" s="14"/>
      <c r="Q353" s="14"/>
      <c r="R353" s="14"/>
      <c r="S353" s="14"/>
    </row>
    <row r="354" spans="1:19" ht="18" customHeight="1">
      <c r="A354" s="17" t="str">
        <f>HYPERLINK("#"&amp;ADDRESS(MATCH(A353,'CIM&amp;FMS'!$A$1:$A$4997,0),1,,,"CIM&amp;FMS"),"Back to Price List")</f>
        <v>Back to Price List</v>
      </c>
      <c r="B354" t="s">
        <v>214</v>
      </c>
      <c r="C354" t="s">
        <v>654</v>
      </c>
      <c r="D354" s="4"/>
      <c r="E354" s="4">
        <v>1</v>
      </c>
      <c r="F354" s="4"/>
      <c r="G354" s="29" t="str">
        <f>IFERROR(HYPERLINK("#"&amp;ADDRESS(MATCH(B354&amp;"ES",'LM7 Non-ENG'!$A$1:$A$5000,0),1,,,"LM7 Non-ENG"),IF(IFERROR(VLOOKUP(B354&amp;"ES",'LM7 Non-ENG'!$A$1:$A$4999,1,FALSE),"ERROR")=B354&amp;"ES","Y","")),"")</f>
        <v/>
      </c>
      <c r="H354" s="29" t="str">
        <f>IFERROR(HYPERLINK("#"&amp;ADDRESS(MATCH(B354&amp;"PT",'LM7 Non-ENG'!$A$1:$A$5000,0),1,,,"LM7 Non-ENG"),IF(IFERROR(VLOOKUP(B354&amp;"PT",'LM7 Non-ENG'!$A$1:$A$5000,1,FALSE),"ERROR")=B354&amp;"PT","Y","")),"")</f>
        <v/>
      </c>
      <c r="I354" t="str">
        <f>IFERROR(VLOOKUP(B354,PN!$A:$C,3,FALSE),"")</f>
        <v>Active</v>
      </c>
      <c r="J354" s="3">
        <f>IFERROR(E354*VLOOKUP(B354,PLInter!$A:$D,3,FALSE),"")</f>
        <v>24000</v>
      </c>
      <c r="K354" s="66"/>
      <c r="L354" s="66"/>
      <c r="M354" s="66"/>
      <c r="N354" s="66"/>
      <c r="O354" s="66"/>
      <c r="P354" s="66"/>
      <c r="Q354" s="66"/>
      <c r="R354" s="66"/>
      <c r="S354" s="66"/>
    </row>
    <row r="355" spans="1:19" ht="18" customHeight="1">
      <c r="B355" t="s">
        <v>228</v>
      </c>
      <c r="C355" t="s">
        <v>655</v>
      </c>
      <c r="D355" s="4"/>
      <c r="E355" s="4">
        <v>1</v>
      </c>
      <c r="F355" s="4"/>
      <c r="G355" s="29" t="str">
        <f>IFERROR(HYPERLINK("#"&amp;ADDRESS(MATCH(B355&amp;"ES",'LM7 Non-ENG'!$A$1:$A$5000,0),1,,,"LM7 Non-ENG"),IF(IFERROR(VLOOKUP(B355&amp;"ES",'LM7 Non-ENG'!$A$1:$A$4999,1,FALSE),"ERROR")=B355&amp;"ES","Y","")),"")</f>
        <v/>
      </c>
      <c r="H355" s="29" t="str">
        <f>IFERROR(HYPERLINK("#"&amp;ADDRESS(MATCH(B355&amp;"PT",'LM7 Non-ENG'!$A$1:$A$5000,0),1,,,"LM7 Non-ENG"),IF(IFERROR(VLOOKUP(B355&amp;"PT",'LM7 Non-ENG'!$A$1:$A$5000,1,FALSE),"ERROR")=B355&amp;"PT","Y","")),"")</f>
        <v/>
      </c>
      <c r="I355" t="str">
        <f>IFERROR(VLOOKUP(B355,PN!$A:$C,3,FALSE),"")</f>
        <v>Active</v>
      </c>
      <c r="J355" s="3">
        <f>IFERROR(E355*VLOOKUP(B355,PLInter!$A:$D,3,FALSE),"")</f>
        <v>2134</v>
      </c>
      <c r="K355" s="66"/>
      <c r="L355" s="66"/>
      <c r="M355" s="66"/>
      <c r="N355" s="66"/>
      <c r="O355" s="66"/>
      <c r="P355" s="66"/>
      <c r="Q355" s="66"/>
      <c r="R355" s="66"/>
      <c r="S355" s="66"/>
    </row>
    <row r="356" spans="1:19" ht="18" customHeight="1">
      <c r="B356" s="2" t="s">
        <v>227</v>
      </c>
      <c r="C356" s="2" t="s">
        <v>232</v>
      </c>
      <c r="D356" s="5"/>
      <c r="E356" s="5">
        <v>1</v>
      </c>
      <c r="F356" s="5" t="s">
        <v>0</v>
      </c>
      <c r="G356" s="29" t="str">
        <f>IFERROR(HYPERLINK("#"&amp;ADDRESS(MATCH(B356&amp;"ES",'LM7 Non-ENG'!$A$1:$A$5000,0),1,,,"LM7 Non-ENG"),IF(IFERROR(VLOOKUP(B356&amp;"ES",'LM7 Non-ENG'!$A$1:$A$4999,1,FALSE),"ERROR")=B356&amp;"ES","Y","")),"")</f>
        <v/>
      </c>
      <c r="H356" s="29" t="str">
        <f>IFERROR(HYPERLINK("#"&amp;ADDRESS(MATCH(B356&amp;"PT",'LM7 Non-ENG'!$A$1:$A$5000,0),1,,,"LM7 Non-ENG"),IF(IFERROR(VLOOKUP(B356&amp;"PT",'LM7 Non-ENG'!$A$1:$A$5000,1,FALSE),"ERROR")=B356&amp;"PT","Y","")),"")</f>
        <v/>
      </c>
      <c r="I356" t="str">
        <f>IFERROR(VLOOKUP(B356,PN!$A:$C,3,FALSE),"")</f>
        <v>Active</v>
      </c>
      <c r="J356" s="3">
        <f>IFERROR(E356*VLOOKUP(B356,PLInter!$A:$D,3,FALSE),"")</f>
        <v>1700</v>
      </c>
      <c r="K356" s="66"/>
      <c r="L356" s="66"/>
      <c r="M356" s="66"/>
      <c r="N356" s="66"/>
      <c r="O356" s="66"/>
      <c r="P356" s="66"/>
      <c r="Q356" s="66"/>
      <c r="R356" s="66"/>
      <c r="S356" s="66"/>
    </row>
    <row r="357" spans="1:19" ht="18" customHeight="1">
      <c r="B357" t="s">
        <v>236</v>
      </c>
      <c r="C357" t="s">
        <v>626</v>
      </c>
      <c r="D357" s="4"/>
      <c r="E357" s="4">
        <v>1</v>
      </c>
      <c r="F357" s="4"/>
      <c r="G357" s="29" t="str">
        <f>IFERROR(HYPERLINK("#"&amp;ADDRESS(MATCH(B357&amp;"ES",'LM7 Non-ENG'!$A$1:$A$5000,0),1,,,"LM7 Non-ENG"),IF(IFERROR(VLOOKUP(B357&amp;"ES",'LM7 Non-ENG'!$A$1:$A$4999,1,FALSE),"ERROR")=B357&amp;"ES","Y","")),"")</f>
        <v/>
      </c>
      <c r="H357" s="29" t="str">
        <f>IFERROR(HYPERLINK("#"&amp;ADDRESS(MATCH(B357&amp;"PT",'LM7 Non-ENG'!$A$1:$A$5000,0),1,,,"LM7 Non-ENG"),IF(IFERROR(VLOOKUP(B357&amp;"PT",'LM7 Non-ENG'!$A$1:$A$5000,1,FALSE),"ERROR")=B357&amp;"PT","Y","")),"")</f>
        <v/>
      </c>
      <c r="I357" t="str">
        <f>IFERROR(VLOOKUP(B357,PN!$A:$C,3,FALSE),"")</f>
        <v>Active</v>
      </c>
      <c r="J357" s="3">
        <f>IFERROR(E357*VLOOKUP(B357,PLInter!$A:$D,3,FALSE),"")</f>
        <v>1680</v>
      </c>
      <c r="K357" s="66"/>
      <c r="L357" s="66"/>
      <c r="M357" s="66"/>
      <c r="N357" s="66"/>
      <c r="O357" s="66"/>
      <c r="P357" s="66"/>
      <c r="Q357" s="66"/>
      <c r="R357" s="66"/>
      <c r="S357" s="66"/>
    </row>
    <row r="358" spans="1:19" ht="18" customHeight="1">
      <c r="B358" t="s">
        <v>243</v>
      </c>
      <c r="C358" t="s">
        <v>790</v>
      </c>
      <c r="D358" s="4"/>
      <c r="E358" s="4">
        <v>1</v>
      </c>
      <c r="F358" s="4"/>
      <c r="G358" s="29" t="str">
        <f>IFERROR(HYPERLINK("#"&amp;ADDRESS(MATCH(B358&amp;"ES",'LM7 Non-ENG'!$A$1:$A$5000,0),1,,,"LM7 Non-ENG"),IF(IFERROR(VLOOKUP(B358&amp;"ES",'LM7 Non-ENG'!$A$1:$A$4999,1,FALSE),"ERROR")=B358&amp;"ES","Y","")),"")</f>
        <v/>
      </c>
      <c r="H358" s="29" t="str">
        <f>IFERROR(HYPERLINK("#"&amp;ADDRESS(MATCH(B358&amp;"PT",'LM7 Non-ENG'!$A$1:$A$5000,0),1,,,"LM7 Non-ENG"),IF(IFERROR(VLOOKUP(B358&amp;"PT",'LM7 Non-ENG'!$A$1:$A$5000,1,FALSE),"ERROR")=B358&amp;"PT","Y","")),"")</f>
        <v/>
      </c>
      <c r="I358" t="str">
        <f>IFERROR(VLOOKUP(B358,PN!$A:$C,3,FALSE),"")</f>
        <v>Active</v>
      </c>
      <c r="J358" s="3">
        <f>IFERROR(E358*VLOOKUP(B358,PLInter!$A:$D,3,FALSE),"")</f>
        <v>7366</v>
      </c>
      <c r="K358" s="66"/>
      <c r="L358" s="66"/>
      <c r="M358" s="66"/>
      <c r="N358" s="66"/>
      <c r="O358" s="66"/>
      <c r="P358" s="66"/>
      <c r="Q358" s="66"/>
      <c r="R358" s="66"/>
      <c r="S358" s="66"/>
    </row>
    <row r="359" spans="1:19" ht="18" customHeight="1">
      <c r="B359" t="s">
        <v>682</v>
      </c>
      <c r="C359" t="s">
        <v>683</v>
      </c>
      <c r="D359" s="4"/>
      <c r="E359" s="4">
        <v>1</v>
      </c>
      <c r="F359" s="4"/>
      <c r="G359" s="29" t="str">
        <f>IFERROR(HYPERLINK("#"&amp;ADDRESS(MATCH(B359&amp;"ES",'LM7 Non-ENG'!$A$1:$A$5000,0),1,,,"LM7 Non-ENG"),IF(IFERROR(VLOOKUP(B359&amp;"ES",'LM7 Non-ENG'!$A$1:$A$4999,1,FALSE),"ERROR")=B359&amp;"ES","Y","")),"")</f>
        <v/>
      </c>
      <c r="H359" s="29" t="str">
        <f>IFERROR(HYPERLINK("#"&amp;ADDRESS(MATCH(B359&amp;"PT",'LM7 Non-ENG'!$A$1:$A$5000,0),1,,,"LM7 Non-ENG"),IF(IFERROR(VLOOKUP(B359&amp;"PT",'LM7 Non-ENG'!$A$1:$A$5000,1,FALSE),"ERROR")=B359&amp;"PT","Y","")),"")</f>
        <v/>
      </c>
      <c r="I359" t="str">
        <f>IFERROR(VLOOKUP(B359,PN!$A:$C,3,FALSE),"")</f>
        <v>Active</v>
      </c>
      <c r="J359" s="3">
        <f>IFERROR(E359*VLOOKUP(B359,PLInter!$A:$D,3,FALSE),"")</f>
        <v>494</v>
      </c>
      <c r="K359" s="66"/>
      <c r="L359" s="66"/>
      <c r="M359" s="66"/>
      <c r="N359" s="66"/>
      <c r="O359" s="66"/>
      <c r="P359" s="66"/>
      <c r="Q359" s="66"/>
      <c r="R359" s="66"/>
      <c r="S359" s="66"/>
    </row>
    <row r="360" spans="1:19" ht="18" customHeight="1">
      <c r="B360" t="s">
        <v>684</v>
      </c>
      <c r="C360" t="s">
        <v>685</v>
      </c>
      <c r="D360" s="4"/>
      <c r="E360" s="4">
        <v>1</v>
      </c>
      <c r="F360" s="4"/>
      <c r="G360" s="29" t="str">
        <f>IFERROR(HYPERLINK("#"&amp;ADDRESS(MATCH(B360&amp;"ES",'LM7 Non-ENG'!$A$1:$A$5000,0),1,,,"LM7 Non-ENG"),IF(IFERROR(VLOOKUP(B360&amp;"ES",'LM7 Non-ENG'!$A$1:$A$4999,1,FALSE),"ERROR")=B360&amp;"ES","Y","")),"")</f>
        <v/>
      </c>
      <c r="H360" s="29" t="str">
        <f>IFERROR(HYPERLINK("#"&amp;ADDRESS(MATCH(B360&amp;"PT",'LM7 Non-ENG'!$A$1:$A$5000,0),1,,,"LM7 Non-ENG"),IF(IFERROR(VLOOKUP(B360&amp;"PT",'LM7 Non-ENG'!$A$1:$A$5000,1,FALSE),"ERROR")=B360&amp;"PT","Y","")),"")</f>
        <v/>
      </c>
      <c r="I360" t="str">
        <f>IFERROR(VLOOKUP(B360,PN!$A:$C,3,FALSE),"")</f>
        <v>Active</v>
      </c>
      <c r="J360" s="3">
        <f>IFERROR(E360*VLOOKUP(B360,PLInter!$A:$D,3,FALSE),"")</f>
        <v>580</v>
      </c>
      <c r="K360" s="66"/>
      <c r="L360" s="66"/>
      <c r="M360" s="66"/>
      <c r="N360" s="66"/>
      <c r="O360" s="66"/>
      <c r="P360" s="66"/>
      <c r="Q360" s="66"/>
      <c r="R360" s="66"/>
      <c r="S360" s="66"/>
    </row>
    <row r="361" spans="1:19" ht="18" customHeight="1">
      <c r="B361" t="str">
        <f>"021182"</f>
        <v>021182</v>
      </c>
      <c r="C361" t="s">
        <v>686</v>
      </c>
      <c r="D361" s="4"/>
      <c r="E361" s="4">
        <v>1</v>
      </c>
      <c r="F361" s="4"/>
      <c r="G361" s="29" t="str">
        <f>IFERROR(HYPERLINK("#"&amp;ADDRESS(MATCH(B361&amp;"ES",'LM7 Non-ENG'!$A$1:$A$5000,0),1,,,"LM7 Non-ENG"),IF(IFERROR(VLOOKUP(B361&amp;"ES",'LM7 Non-ENG'!$A$1:$A$4999,1,FALSE),"ERROR")=B361&amp;"ES","Y","")),"")</f>
        <v/>
      </c>
      <c r="H361" s="29" t="str">
        <f>IFERROR(HYPERLINK("#"&amp;ADDRESS(MATCH(B361&amp;"PT",'LM7 Non-ENG'!$A$1:$A$5000,0),1,,,"LM7 Non-ENG"),IF(IFERROR(VLOOKUP(B361&amp;"PT",'LM7 Non-ENG'!$A$1:$A$5000,1,FALSE),"ERROR")=B361&amp;"PT","Y","")),"")</f>
        <v/>
      </c>
      <c r="I361" t="str">
        <f>IFERROR(VLOOKUP(B361,PN!$A:$C,3,FALSE),"")</f>
        <v>Active</v>
      </c>
      <c r="J361" s="3">
        <f>IFERROR(E361*VLOOKUP(B361,PLInter!$A:$D,3,FALSE),"")</f>
        <v>16</v>
      </c>
      <c r="K361" s="66"/>
      <c r="L361" s="66"/>
      <c r="M361" s="66"/>
      <c r="N361" s="66"/>
      <c r="O361" s="66"/>
      <c r="P361" s="66"/>
      <c r="Q361" s="66"/>
      <c r="R361" s="66"/>
      <c r="S361" s="66"/>
    </row>
    <row r="362" spans="1:19" ht="18" customHeight="1">
      <c r="B362" t="str">
        <f>"034025"</f>
        <v>034025</v>
      </c>
      <c r="C362" t="s">
        <v>777</v>
      </c>
      <c r="D362" s="4"/>
      <c r="E362" s="4">
        <v>1</v>
      </c>
      <c r="F362" s="4"/>
      <c r="G362" s="29" t="str">
        <f>IFERROR(HYPERLINK("#"&amp;ADDRESS(MATCH(B362&amp;"ES",'LM7 Non-ENG'!$A$1:$A$5000,0),1,,,"LM7 Non-ENG"),IF(IFERROR(VLOOKUP(B362&amp;"ES",'LM7 Non-ENG'!$A$1:$A$4999,1,FALSE),"ERROR")=B362&amp;"ES","Y","")),"")</f>
        <v/>
      </c>
      <c r="H362" s="29" t="str">
        <f>IFERROR(HYPERLINK("#"&amp;ADDRESS(MATCH(B362&amp;"PT",'LM7 Non-ENG'!$A$1:$A$5000,0),1,,,"LM7 Non-ENG"),IF(IFERROR(VLOOKUP(B362&amp;"PT",'LM7 Non-ENG'!$A$1:$A$5000,1,FALSE),"ERROR")=B362&amp;"PT","Y","")),"")</f>
        <v/>
      </c>
      <c r="I362" t="str">
        <f>IFERROR(VLOOKUP(B362,PN!$A:$C,3,FALSE),"")</f>
        <v>Active</v>
      </c>
      <c r="J362" s="3">
        <f>IFERROR(E362*VLOOKUP(B362,PLInter!$A:$D,3,FALSE),"")</f>
        <v>1267</v>
      </c>
      <c r="K362" s="66"/>
      <c r="L362" s="66"/>
      <c r="M362" s="66"/>
      <c r="N362" s="66"/>
      <c r="O362" s="66"/>
      <c r="P362" s="66"/>
      <c r="Q362" s="66"/>
      <c r="R362" s="66"/>
      <c r="S362" s="66"/>
    </row>
    <row r="363" spans="1:19" ht="18" customHeight="1">
      <c r="B363" t="s">
        <v>704</v>
      </c>
      <c r="C363" t="s">
        <v>705</v>
      </c>
      <c r="D363" s="4"/>
      <c r="E363" s="4">
        <v>1</v>
      </c>
      <c r="F363" s="4"/>
      <c r="G363" s="29" t="str">
        <f>IFERROR(HYPERLINK("#"&amp;ADDRESS(MATCH(B363&amp;"ES",'LM7 Non-ENG'!$A$1:$A$5000,0),1,,,"LM7 Non-ENG"),IF(IFERROR(VLOOKUP(B363&amp;"ES",'LM7 Non-ENG'!$A$1:$A$4999,1,FALSE),"ERROR")=B363&amp;"ES","Y","")),"")</f>
        <v/>
      </c>
      <c r="H363" s="29" t="str">
        <f>IFERROR(HYPERLINK("#"&amp;ADDRESS(MATCH(B363&amp;"PT",'LM7 Non-ENG'!$A$1:$A$5000,0),1,,,"LM7 Non-ENG"),IF(IFERROR(VLOOKUP(B363&amp;"PT",'LM7 Non-ENG'!$A$1:$A$5000,1,FALSE),"ERROR")=B363&amp;"PT","Y","")),"")</f>
        <v/>
      </c>
      <c r="I363" t="str">
        <f>IFERROR(VLOOKUP(B363,PN!$A:$C,3,FALSE),"")</f>
        <v>Active</v>
      </c>
      <c r="J363" s="3">
        <f>IFERROR(E363*VLOOKUP(B363,PLInter!$A:$D,3,FALSE),"")</f>
        <v>2640</v>
      </c>
      <c r="K363" s="66"/>
      <c r="L363" s="66"/>
      <c r="M363" s="66"/>
      <c r="N363" s="66"/>
      <c r="O363" s="66"/>
      <c r="P363" s="66"/>
      <c r="Q363" s="66"/>
      <c r="R363" s="66"/>
      <c r="S363" s="66"/>
    </row>
    <row r="364" spans="1:19" ht="18" customHeight="1">
      <c r="B364" t="s">
        <v>786</v>
      </c>
      <c r="C364" t="s">
        <v>787</v>
      </c>
      <c r="D364" s="4"/>
      <c r="E364" s="4">
        <v>1</v>
      </c>
      <c r="F364" s="4"/>
      <c r="G364" s="29" t="str">
        <f>IFERROR(HYPERLINK("#"&amp;ADDRESS(MATCH(B364&amp;"ES",'LM7 Non-ENG'!$A$1:$A$5000,0),1,,,"LM7 Non-ENG"),IF(IFERROR(VLOOKUP(B364&amp;"ES",'LM7 Non-ENG'!$A$1:$A$4999,1,FALSE),"ERROR")=B364&amp;"ES","Y","")),"")</f>
        <v/>
      </c>
      <c r="H364" s="29" t="str">
        <f>IFERROR(HYPERLINK("#"&amp;ADDRESS(MATCH(B364&amp;"PT",'LM7 Non-ENG'!$A$1:$A$5000,0),1,,,"LM7 Non-ENG"),IF(IFERROR(VLOOKUP(B364&amp;"PT",'LM7 Non-ENG'!$A$1:$A$5000,1,FALSE),"ERROR")=B364&amp;"PT","Y","")),"")</f>
        <v/>
      </c>
      <c r="I364" t="str">
        <f>IFERROR(VLOOKUP(B364,PN!$A:$C,3,FALSE),"")</f>
        <v>Active</v>
      </c>
      <c r="J364" s="3">
        <f>IFERROR(E364*VLOOKUP(B364,PLInter!$A:$D,3,FALSE),"")</f>
        <v>528</v>
      </c>
      <c r="K364" s="66"/>
      <c r="L364" s="66"/>
      <c r="M364" s="66"/>
      <c r="N364" s="66"/>
      <c r="O364" s="66"/>
      <c r="P364" s="66"/>
      <c r="Q364" s="66"/>
      <c r="R364" s="66"/>
      <c r="S364" s="66"/>
    </row>
    <row r="365" spans="1:19" ht="18" customHeight="1">
      <c r="B365" t="str">
        <f>"021152"</f>
        <v>021152</v>
      </c>
      <c r="C365" s="41" t="s">
        <v>679</v>
      </c>
      <c r="D365" s="4"/>
      <c r="E365" s="4">
        <v>1</v>
      </c>
      <c r="F365" s="4"/>
      <c r="G365" s="29" t="str">
        <f>IFERROR(HYPERLINK("#"&amp;ADDRESS(MATCH(B365&amp;"ES",'LM7 Non-ENG'!$A$1:$A$5000,0),1,,,"LM7 Non-ENG"),IF(IFERROR(VLOOKUP(B365&amp;"ES",'LM7 Non-ENG'!$A$1:$A$4999,1,FALSE),"ERROR")=B365&amp;"ES","Y","")),"")</f>
        <v/>
      </c>
      <c r="H365" s="29" t="str">
        <f>IFERROR(HYPERLINK("#"&amp;ADDRESS(MATCH(B365&amp;"PT",'LM7 Non-ENG'!$A$1:$A$5000,0),1,,,"LM7 Non-ENG"),IF(IFERROR(VLOOKUP(B365&amp;"PT",'LM7 Non-ENG'!$A$1:$A$5000,1,FALSE),"ERROR")=B365&amp;"PT","Y","")),"")</f>
        <v/>
      </c>
      <c r="I365" t="str">
        <f>IFERROR(VLOOKUP(B365,PN!$A:$C,3,FALSE),"")</f>
        <v>Active</v>
      </c>
      <c r="J365" s="3">
        <f>IFERROR(E365*VLOOKUP(B365,PLInter!$A:$D,3,FALSE),"")</f>
        <v>240</v>
      </c>
      <c r="K365" s="66"/>
      <c r="L365" s="66"/>
      <c r="M365" s="66"/>
      <c r="N365" s="66"/>
      <c r="O365" s="66"/>
      <c r="P365" s="66"/>
      <c r="Q365" s="66"/>
      <c r="R365" s="66"/>
      <c r="S365" s="66"/>
    </row>
    <row r="366" spans="1:19" ht="18" customHeight="1">
      <c r="B366" t="str">
        <f>"112496"</f>
        <v>112496</v>
      </c>
      <c r="C366" t="s">
        <v>696</v>
      </c>
      <c r="D366" s="4"/>
      <c r="E366" s="4">
        <v>50</v>
      </c>
      <c r="F366" s="4"/>
      <c r="G366" s="29" t="str">
        <f>IFERROR(HYPERLINK("#"&amp;ADDRESS(MATCH(B366&amp;"ES",'LM7 Non-ENG'!$A$1:$A$5000,0),1,,,"LM7 Non-ENG"),IF(IFERROR(VLOOKUP(B366&amp;"ES",'LM7 Non-ENG'!$A$1:$A$4999,1,FALSE),"ERROR")=B366&amp;"ES","Y","")),"")</f>
        <v/>
      </c>
      <c r="H366" s="29" t="str">
        <f>IFERROR(HYPERLINK("#"&amp;ADDRESS(MATCH(B366&amp;"PT",'LM7 Non-ENG'!$A$1:$A$5000,0),1,,,"LM7 Non-ENG"),IF(IFERROR(VLOOKUP(B366&amp;"PT",'LM7 Non-ENG'!$A$1:$A$5000,1,FALSE),"ERROR")=B366&amp;"PT","Y","")),"")</f>
        <v/>
      </c>
      <c r="I366" t="str">
        <f>IFERROR(VLOOKUP(B366,PN!$A:$C,3,FALSE),"")</f>
        <v>Active</v>
      </c>
      <c r="J366" s="3">
        <f>IFERROR(E366*VLOOKUP(B366,PLInter!$A:$D,3,FALSE),"")</f>
        <v>1000</v>
      </c>
      <c r="K366" s="66"/>
      <c r="L366" s="66"/>
      <c r="M366" s="66"/>
      <c r="N366" s="66"/>
      <c r="O366" s="66"/>
      <c r="P366" s="66"/>
      <c r="Q366" s="66"/>
      <c r="R366" s="66"/>
      <c r="S366" s="66"/>
    </row>
    <row r="367" spans="1:19" ht="18" customHeight="1">
      <c r="B367" t="s">
        <v>644</v>
      </c>
      <c r="C367" t="s">
        <v>645</v>
      </c>
      <c r="D367" s="4"/>
      <c r="E367" s="4">
        <v>1</v>
      </c>
      <c r="F367" s="4"/>
      <c r="G367" s="29" t="str">
        <f>IFERROR(HYPERLINK("#"&amp;ADDRESS(MATCH(B367&amp;"ES",'LM7 Non-ENG'!$A$1:$A$5000,0),1,,,"LM7 Non-ENG"),IF(IFERROR(VLOOKUP(B367&amp;"ES",'LM7 Non-ENG'!$A$1:$A$4999,1,FALSE),"ERROR")=B367&amp;"ES","Y","")),"")</f>
        <v/>
      </c>
      <c r="H367" s="29" t="str">
        <f>IFERROR(HYPERLINK("#"&amp;ADDRESS(MATCH(B367&amp;"PT",'LM7 Non-ENG'!$A$1:$A$5000,0),1,,,"LM7 Non-ENG"),IF(IFERROR(VLOOKUP(B367&amp;"PT",'LM7 Non-ENG'!$A$1:$A$5000,1,FALSE),"ERROR")=B367&amp;"PT","Y","")),"")</f>
        <v/>
      </c>
      <c r="I367" t="str">
        <f>IFERROR(VLOOKUP(B367,PN!$A:$C,3,FALSE),"")</f>
        <v>Active</v>
      </c>
      <c r="J367" s="3">
        <f>IFERROR(E367*VLOOKUP(B367,PLInter!$A:$D,3,FALSE),"")</f>
        <v>1800</v>
      </c>
      <c r="K367" s="66"/>
      <c r="L367" s="66"/>
      <c r="M367" s="66"/>
      <c r="N367" s="66"/>
      <c r="O367" s="66"/>
      <c r="P367" s="66"/>
      <c r="Q367" s="66"/>
      <c r="R367" s="66"/>
      <c r="S367" s="66"/>
    </row>
    <row r="368" spans="1:19" ht="18" customHeight="1">
      <c r="B368" t="s">
        <v>630</v>
      </c>
      <c r="C368" t="s">
        <v>631</v>
      </c>
      <c r="D368" s="4"/>
      <c r="E368" s="4">
        <v>1</v>
      </c>
      <c r="F368" s="4"/>
      <c r="G368" s="29" t="str">
        <f>IFERROR(HYPERLINK("#"&amp;ADDRESS(MATCH(B368&amp;"ES",'LM7 Non-ENG'!$A$1:$A$5000,0),1,,,"LM7 Non-ENG"),IF(IFERROR(VLOOKUP(B368&amp;"ES",'LM7 Non-ENG'!$A$1:$A$4999,1,FALSE),"ERROR")=B368&amp;"ES","Y","")),"")</f>
        <v/>
      </c>
      <c r="H368" s="29" t="str">
        <f>IFERROR(HYPERLINK("#"&amp;ADDRESS(MATCH(B368&amp;"PT",'LM7 Non-ENG'!$A$1:$A$5000,0),1,,,"LM7 Non-ENG"),IF(IFERROR(VLOOKUP(B368&amp;"PT",'LM7 Non-ENG'!$A$1:$A$5000,1,FALSE),"ERROR")=B368&amp;"PT","Y","")),"")</f>
        <v/>
      </c>
      <c r="I368" t="str">
        <f>IFERROR(VLOOKUP(B368,PN!$A:$C,3,FALSE),"")</f>
        <v>Active</v>
      </c>
      <c r="J368" s="3">
        <f>IFERROR(E368*VLOOKUP(B368,PLInter!$A:$D,3,FALSE),"")</f>
        <v>1735</v>
      </c>
      <c r="K368" s="66"/>
      <c r="L368" s="66"/>
      <c r="M368" s="66"/>
      <c r="N368" s="66"/>
      <c r="O368" s="66"/>
      <c r="P368" s="66"/>
      <c r="Q368" s="66"/>
      <c r="R368" s="66"/>
      <c r="S368" s="66"/>
    </row>
    <row r="370" spans="1:19" s="7" customFormat="1" ht="18" customHeight="1">
      <c r="A370" s="13" t="s">
        <v>793</v>
      </c>
      <c r="B370" s="13"/>
      <c r="C370" s="13" t="s">
        <v>794</v>
      </c>
      <c r="D370" s="14"/>
      <c r="E370" s="14"/>
      <c r="F370" s="14"/>
      <c r="G370" s="14"/>
      <c r="H370" s="14"/>
      <c r="I370" s="14"/>
      <c r="J370" s="14">
        <f>SUMIFS(J371:J388,D371:D388,"&lt;&gt;Y",F371:F388,"&lt;&gt;Y",I371:I388,"&lt;&gt;Inactive",I371:I388,"&lt;&gt;ECO+NFS")</f>
        <v>54575</v>
      </c>
      <c r="K370" s="14"/>
      <c r="L370" s="14"/>
      <c r="M370" s="14"/>
      <c r="N370" s="14"/>
      <c r="O370" s="14"/>
      <c r="P370" s="14"/>
      <c r="Q370" s="14"/>
      <c r="R370" s="14"/>
      <c r="S370" s="14"/>
    </row>
    <row r="371" spans="1:19" ht="18" customHeight="1">
      <c r="A371" s="17" t="str">
        <f>HYPERLINK("#"&amp;ADDRESS(MATCH(A370,'CIM&amp;FMS'!$A$1:$A$4997,0),1,,,"CIM&amp;FMS"),"Back to Price List")</f>
        <v>Back to Price List</v>
      </c>
      <c r="B371" t="s">
        <v>214</v>
      </c>
      <c r="C371" t="s">
        <v>654</v>
      </c>
      <c r="D371" s="4"/>
      <c r="E371" s="4">
        <v>1</v>
      </c>
      <c r="F371" s="4"/>
      <c r="G371" s="29" t="str">
        <f>IFERROR(HYPERLINK("#"&amp;ADDRESS(MATCH(B371&amp;"ES",'LM7 Non-ENG'!$A$1:$A$5000,0),1,,,"LM7 Non-ENG"),IF(IFERROR(VLOOKUP(B371&amp;"ES",'LM7 Non-ENG'!$A$1:$A$4999,1,FALSE),"ERROR")=B371&amp;"ES","Y","")),"")</f>
        <v/>
      </c>
      <c r="H371" s="29" t="str">
        <f>IFERROR(HYPERLINK("#"&amp;ADDRESS(MATCH(B371&amp;"PT",'LM7 Non-ENG'!$A$1:$A$5000,0),1,,,"LM7 Non-ENG"),IF(IFERROR(VLOOKUP(B371&amp;"PT",'LM7 Non-ENG'!$A$1:$A$5000,1,FALSE),"ERROR")=B371&amp;"PT","Y","")),"")</f>
        <v/>
      </c>
      <c r="I371" t="str">
        <f>IFERROR(VLOOKUP(B371,PN!$A:$C,3,FALSE),"")</f>
        <v>Active</v>
      </c>
      <c r="J371" s="3">
        <f>IFERROR(E371*VLOOKUP(B371,PLInter!$A:$D,3,FALSE),"")</f>
        <v>24000</v>
      </c>
      <c r="K371" s="66"/>
      <c r="L371" s="66"/>
      <c r="M371" s="66"/>
      <c r="N371" s="66"/>
      <c r="O371" s="66"/>
      <c r="P371" s="66"/>
      <c r="Q371" s="66"/>
      <c r="R371" s="66"/>
      <c r="S371" s="66"/>
    </row>
    <row r="372" spans="1:19" ht="18" customHeight="1">
      <c r="B372" t="s">
        <v>228</v>
      </c>
      <c r="C372" t="s">
        <v>655</v>
      </c>
      <c r="D372" s="4"/>
      <c r="E372" s="4">
        <v>1</v>
      </c>
      <c r="F372" s="4"/>
      <c r="G372" s="29" t="str">
        <f>IFERROR(HYPERLINK("#"&amp;ADDRESS(MATCH(B372&amp;"ES",'LM7 Non-ENG'!$A$1:$A$5000,0),1,,,"LM7 Non-ENG"),IF(IFERROR(VLOOKUP(B372&amp;"ES",'LM7 Non-ENG'!$A$1:$A$4999,1,FALSE),"ERROR")=B372&amp;"ES","Y","")),"")</f>
        <v/>
      </c>
      <c r="H372" s="29" t="str">
        <f>IFERROR(HYPERLINK("#"&amp;ADDRESS(MATCH(B372&amp;"PT",'LM7 Non-ENG'!$A$1:$A$5000,0),1,,,"LM7 Non-ENG"),IF(IFERROR(VLOOKUP(B372&amp;"PT",'LM7 Non-ENG'!$A$1:$A$5000,1,FALSE),"ERROR")=B372&amp;"PT","Y","")),"")</f>
        <v/>
      </c>
      <c r="I372" t="str">
        <f>IFERROR(VLOOKUP(B372,PN!$A:$C,3,FALSE),"")</f>
        <v>Active</v>
      </c>
      <c r="J372" s="3">
        <f>IFERROR(E372*VLOOKUP(B372,PLInter!$A:$D,3,FALSE),"")</f>
        <v>2134</v>
      </c>
      <c r="K372" s="66"/>
      <c r="L372" s="66"/>
      <c r="M372" s="66"/>
      <c r="N372" s="66"/>
      <c r="O372" s="66"/>
      <c r="P372" s="66"/>
      <c r="Q372" s="66"/>
      <c r="R372" s="66"/>
      <c r="S372" s="66"/>
    </row>
    <row r="373" spans="1:19" ht="18" customHeight="1">
      <c r="B373" s="2" t="s">
        <v>227</v>
      </c>
      <c r="C373" s="2" t="s">
        <v>232</v>
      </c>
      <c r="D373" s="5"/>
      <c r="E373" s="5">
        <v>1</v>
      </c>
      <c r="F373" s="5" t="s">
        <v>0</v>
      </c>
      <c r="G373" s="29" t="str">
        <f>IFERROR(HYPERLINK("#"&amp;ADDRESS(MATCH(B373&amp;"ES",'LM7 Non-ENG'!$A$1:$A$5000,0),1,,,"LM7 Non-ENG"),IF(IFERROR(VLOOKUP(B373&amp;"ES",'LM7 Non-ENG'!$A$1:$A$4999,1,FALSE),"ERROR")=B373&amp;"ES","Y","")),"")</f>
        <v/>
      </c>
      <c r="H373" s="29" t="str">
        <f>IFERROR(HYPERLINK("#"&amp;ADDRESS(MATCH(B373&amp;"PT",'LM7 Non-ENG'!$A$1:$A$5000,0),1,,,"LM7 Non-ENG"),IF(IFERROR(VLOOKUP(B373&amp;"PT",'LM7 Non-ENG'!$A$1:$A$5000,1,FALSE),"ERROR")=B373&amp;"PT","Y","")),"")</f>
        <v/>
      </c>
      <c r="I373" t="str">
        <f>IFERROR(VLOOKUP(B373,PN!$A:$C,3,FALSE),"")</f>
        <v>Active</v>
      </c>
      <c r="J373" s="3">
        <f>IFERROR(E373*VLOOKUP(B373,PLInter!$A:$D,3,FALSE),"")</f>
        <v>1700</v>
      </c>
      <c r="K373" s="66"/>
      <c r="L373" s="66"/>
      <c r="M373" s="66"/>
      <c r="N373" s="66"/>
      <c r="O373" s="66"/>
      <c r="P373" s="66"/>
      <c r="Q373" s="66"/>
      <c r="R373" s="66"/>
      <c r="S373" s="66"/>
    </row>
    <row r="374" spans="1:19" ht="18" customHeight="1">
      <c r="B374" t="s">
        <v>236</v>
      </c>
      <c r="C374" t="s">
        <v>626</v>
      </c>
      <c r="D374" s="4"/>
      <c r="E374" s="4">
        <v>1</v>
      </c>
      <c r="F374" s="4"/>
      <c r="G374" s="29" t="str">
        <f>IFERROR(HYPERLINK("#"&amp;ADDRESS(MATCH(B374&amp;"ES",'LM7 Non-ENG'!$A$1:$A$5000,0),1,,,"LM7 Non-ENG"),IF(IFERROR(VLOOKUP(B374&amp;"ES",'LM7 Non-ENG'!$A$1:$A$4999,1,FALSE),"ERROR")=B374&amp;"ES","Y","")),"")</f>
        <v/>
      </c>
      <c r="H374" s="29" t="str">
        <f>IFERROR(HYPERLINK("#"&amp;ADDRESS(MATCH(B374&amp;"PT",'LM7 Non-ENG'!$A$1:$A$5000,0),1,,,"LM7 Non-ENG"),IF(IFERROR(VLOOKUP(B374&amp;"PT",'LM7 Non-ENG'!$A$1:$A$5000,1,FALSE),"ERROR")=B374&amp;"PT","Y","")),"")</f>
        <v/>
      </c>
      <c r="I374" t="str">
        <f>IFERROR(VLOOKUP(B374,PN!$A:$C,3,FALSE),"")</f>
        <v>Active</v>
      </c>
      <c r="J374" s="3">
        <f>IFERROR(E374*VLOOKUP(B374,PLInter!$A:$D,3,FALSE),"")</f>
        <v>1680</v>
      </c>
      <c r="K374" s="66"/>
      <c r="L374" s="66"/>
      <c r="M374" s="66"/>
      <c r="N374" s="66"/>
      <c r="O374" s="66"/>
      <c r="P374" s="66"/>
      <c r="Q374" s="66"/>
      <c r="R374" s="66"/>
      <c r="S374" s="66"/>
    </row>
    <row r="375" spans="1:19" ht="18" customHeight="1">
      <c r="B375" t="s">
        <v>772</v>
      </c>
      <c r="C375" t="s">
        <v>776</v>
      </c>
      <c r="D375" s="4"/>
      <c r="E375" s="4">
        <v>1</v>
      </c>
      <c r="F375" s="4"/>
      <c r="G375" s="29" t="str">
        <f>IFERROR(HYPERLINK("#"&amp;ADDRESS(MATCH(B375&amp;"ES",'LM7 Non-ENG'!$A$1:$A$5000,0),1,,,"LM7 Non-ENG"),IF(IFERROR(VLOOKUP(B375&amp;"ES",'LM7 Non-ENG'!$A$1:$A$4999,1,FALSE),"ERROR")=B375&amp;"ES","Y","")),"")</f>
        <v/>
      </c>
      <c r="H375" s="29" t="str">
        <f>IFERROR(HYPERLINK("#"&amp;ADDRESS(MATCH(B375&amp;"PT",'LM7 Non-ENG'!$A$1:$A$5000,0),1,,,"LM7 Non-ENG"),IF(IFERROR(VLOOKUP(B375&amp;"PT",'LM7 Non-ENG'!$A$1:$A$5000,1,FALSE),"ERROR")=B375&amp;"PT","Y","")),"")</f>
        <v/>
      </c>
      <c r="I375" t="str">
        <f>IFERROR(VLOOKUP(B375,PN!$A:$C,3,FALSE),"")</f>
        <v>Active</v>
      </c>
      <c r="J375" s="3">
        <f>IFERROR(E375*VLOOKUP(B375,PLInter!$A:$D,3,FALSE),"")</f>
        <v>8267</v>
      </c>
      <c r="K375" s="66"/>
      <c r="L375" s="66"/>
      <c r="M375" s="66"/>
      <c r="N375" s="66"/>
      <c r="O375" s="66"/>
      <c r="P375" s="66"/>
      <c r="Q375" s="66"/>
      <c r="R375" s="66"/>
      <c r="S375" s="66"/>
    </row>
    <row r="376" spans="1:19" ht="18" customHeight="1">
      <c r="B376" t="str">
        <f>"034025"</f>
        <v>034025</v>
      </c>
      <c r="C376" t="s">
        <v>777</v>
      </c>
      <c r="D376" s="4"/>
      <c r="E376" s="4">
        <v>1</v>
      </c>
      <c r="F376" s="4"/>
      <c r="G376" s="29" t="str">
        <f>IFERROR(HYPERLINK("#"&amp;ADDRESS(MATCH(B376&amp;"ES",'LM7 Non-ENG'!$A$1:$A$5000,0),1,,,"LM7 Non-ENG"),IF(IFERROR(VLOOKUP(B376&amp;"ES",'LM7 Non-ENG'!$A$1:$A$4999,1,FALSE),"ERROR")=B376&amp;"ES","Y","")),"")</f>
        <v/>
      </c>
      <c r="H376" s="29" t="str">
        <f>IFERROR(HYPERLINK("#"&amp;ADDRESS(MATCH(B376&amp;"PT",'LM7 Non-ENG'!$A$1:$A$5000,0),1,,,"LM7 Non-ENG"),IF(IFERROR(VLOOKUP(B376&amp;"PT",'LM7 Non-ENG'!$A$1:$A$5000,1,FALSE),"ERROR")=B376&amp;"PT","Y","")),"")</f>
        <v/>
      </c>
      <c r="I376" t="str">
        <f>IFERROR(VLOOKUP(B376,PN!$A:$C,3,FALSE),"")</f>
        <v>Active</v>
      </c>
      <c r="J376" s="3">
        <f>IFERROR(E376*VLOOKUP(B376,PLInter!$A:$D,3,FALSE),"")</f>
        <v>1267</v>
      </c>
      <c r="K376" s="66"/>
      <c r="L376" s="66"/>
      <c r="M376" s="66"/>
      <c r="N376" s="66"/>
      <c r="O376" s="66"/>
      <c r="P376" s="66"/>
      <c r="Q376" s="66"/>
      <c r="R376" s="66"/>
      <c r="S376" s="66"/>
    </row>
    <row r="377" spans="1:19" ht="18" customHeight="1">
      <c r="B377" t="str">
        <f>"021152"</f>
        <v>021152</v>
      </c>
      <c r="C377" s="41" t="s">
        <v>679</v>
      </c>
      <c r="D377" s="4"/>
      <c r="E377" s="4">
        <v>2</v>
      </c>
      <c r="F377" s="4"/>
      <c r="G377" s="29" t="str">
        <f>IFERROR(HYPERLINK("#"&amp;ADDRESS(MATCH(B377&amp;"ES",'LM7 Non-ENG'!$A$1:$A$5000,0),1,,,"LM7 Non-ENG"),IF(IFERROR(VLOOKUP(B377&amp;"ES",'LM7 Non-ENG'!$A$1:$A$4999,1,FALSE),"ERROR")=B377&amp;"ES","Y","")),"")</f>
        <v/>
      </c>
      <c r="H377" s="29" t="str">
        <f>IFERROR(HYPERLINK("#"&amp;ADDRESS(MATCH(B377&amp;"PT",'LM7 Non-ENG'!$A$1:$A$5000,0),1,,,"LM7 Non-ENG"),IF(IFERROR(VLOOKUP(B377&amp;"PT",'LM7 Non-ENG'!$A$1:$A$5000,1,FALSE),"ERROR")=B377&amp;"PT","Y","")),"")</f>
        <v/>
      </c>
      <c r="I377" t="str">
        <f>IFERROR(VLOOKUP(B377,PN!$A:$C,3,FALSE),"")</f>
        <v>Active</v>
      </c>
      <c r="J377" s="3">
        <f>IFERROR(E377*VLOOKUP(B377,PLInter!$A:$D,3,FALSE),"")</f>
        <v>480</v>
      </c>
      <c r="K377" s="66"/>
      <c r="L377" s="66"/>
      <c r="M377" s="66"/>
      <c r="N377" s="66"/>
      <c r="O377" s="66"/>
      <c r="P377" s="66"/>
      <c r="Q377" s="66"/>
      <c r="R377" s="66"/>
      <c r="S377" s="66"/>
    </row>
    <row r="378" spans="1:19" ht="18" customHeight="1">
      <c r="B378" t="s">
        <v>680</v>
      </c>
      <c r="C378" t="s">
        <v>681</v>
      </c>
      <c r="D378" s="4"/>
      <c r="E378" s="4">
        <v>1</v>
      </c>
      <c r="F378" s="4"/>
      <c r="G378" s="29" t="str">
        <f>IFERROR(HYPERLINK("#"&amp;ADDRESS(MATCH(B378&amp;"ES",'LM7 Non-ENG'!$A$1:$A$5000,0),1,,,"LM7 Non-ENG"),IF(IFERROR(VLOOKUP(B378&amp;"ES",'LM7 Non-ENG'!$A$1:$A$4999,1,FALSE),"ERROR")=B378&amp;"ES","Y","")),"")</f>
        <v/>
      </c>
      <c r="H378" s="29" t="str">
        <f>IFERROR(HYPERLINK("#"&amp;ADDRESS(MATCH(B378&amp;"PT",'LM7 Non-ENG'!$A$1:$A$5000,0),1,,,"LM7 Non-ENG"),IF(IFERROR(VLOOKUP(B378&amp;"PT",'LM7 Non-ENG'!$A$1:$A$5000,1,FALSE),"ERROR")=B378&amp;"PT","Y","")),"")</f>
        <v/>
      </c>
      <c r="I378" t="str">
        <f>IFERROR(VLOOKUP(B378,PN!$A:$C,3,FALSE),"")</f>
        <v>Active</v>
      </c>
      <c r="J378" s="3">
        <f>IFERROR(E378*VLOOKUP(B378,PLInter!$A:$D,3,FALSE),"")</f>
        <v>1440</v>
      </c>
      <c r="K378" s="66"/>
      <c r="L378" s="66"/>
      <c r="M378" s="66"/>
      <c r="N378" s="66"/>
      <c r="O378" s="66"/>
      <c r="P378" s="66"/>
      <c r="Q378" s="66"/>
      <c r="R378" s="66"/>
      <c r="S378" s="66"/>
    </row>
    <row r="379" spans="1:19" ht="18" customHeight="1">
      <c r="B379" t="s">
        <v>682</v>
      </c>
      <c r="C379" t="s">
        <v>683</v>
      </c>
      <c r="D379" s="4"/>
      <c r="E379" s="4">
        <v>1</v>
      </c>
      <c r="F379" s="4"/>
      <c r="G379" s="29" t="str">
        <f>IFERROR(HYPERLINK("#"&amp;ADDRESS(MATCH(B379&amp;"ES",'LM7 Non-ENG'!$A$1:$A$5000,0),1,,,"LM7 Non-ENG"),IF(IFERROR(VLOOKUP(B379&amp;"ES",'LM7 Non-ENG'!$A$1:$A$4999,1,FALSE),"ERROR")=B379&amp;"ES","Y","")),"")</f>
        <v/>
      </c>
      <c r="H379" s="29" t="str">
        <f>IFERROR(HYPERLINK("#"&amp;ADDRESS(MATCH(B379&amp;"PT",'LM7 Non-ENG'!$A$1:$A$5000,0),1,,,"LM7 Non-ENG"),IF(IFERROR(VLOOKUP(B379&amp;"PT",'LM7 Non-ENG'!$A$1:$A$5000,1,FALSE),"ERROR")=B379&amp;"PT","Y","")),"")</f>
        <v/>
      </c>
      <c r="I379" t="str">
        <f>IFERROR(VLOOKUP(B379,PN!$A:$C,3,FALSE),"")</f>
        <v>Active</v>
      </c>
      <c r="J379" s="3">
        <f>IFERROR(E379*VLOOKUP(B379,PLInter!$A:$D,3,FALSE),"")</f>
        <v>494</v>
      </c>
      <c r="K379" s="66"/>
      <c r="L379" s="66"/>
      <c r="M379" s="66"/>
      <c r="N379" s="66"/>
      <c r="O379" s="66"/>
      <c r="P379" s="66"/>
      <c r="Q379" s="66"/>
      <c r="R379" s="66"/>
      <c r="S379" s="66"/>
    </row>
    <row r="380" spans="1:19" ht="18" customHeight="1">
      <c r="B380" t="s">
        <v>684</v>
      </c>
      <c r="C380" t="s">
        <v>685</v>
      </c>
      <c r="D380" s="4"/>
      <c r="E380" s="4">
        <v>2</v>
      </c>
      <c r="F380" s="4"/>
      <c r="G380" s="29" t="str">
        <f>IFERROR(HYPERLINK("#"&amp;ADDRESS(MATCH(B380&amp;"ES",'LM7 Non-ENG'!$A$1:$A$5000,0),1,,,"LM7 Non-ENG"),IF(IFERROR(VLOOKUP(B380&amp;"ES",'LM7 Non-ENG'!$A$1:$A$4999,1,FALSE),"ERROR")=B380&amp;"ES","Y","")),"")</f>
        <v/>
      </c>
      <c r="H380" s="29" t="str">
        <f>IFERROR(HYPERLINK("#"&amp;ADDRESS(MATCH(B380&amp;"PT",'LM7 Non-ENG'!$A$1:$A$5000,0),1,,,"LM7 Non-ENG"),IF(IFERROR(VLOOKUP(B380&amp;"PT",'LM7 Non-ENG'!$A$1:$A$5000,1,FALSE),"ERROR")=B380&amp;"PT","Y","")),"")</f>
        <v/>
      </c>
      <c r="I380" t="str">
        <f>IFERROR(VLOOKUP(B380,PN!$A:$C,3,FALSE),"")</f>
        <v>Active</v>
      </c>
      <c r="J380" s="3">
        <f>IFERROR(E380*VLOOKUP(B380,PLInter!$A:$D,3,FALSE),"")</f>
        <v>1160</v>
      </c>
      <c r="K380" s="66"/>
      <c r="L380" s="66"/>
      <c r="M380" s="66"/>
      <c r="N380" s="66"/>
      <c r="O380" s="66"/>
      <c r="P380" s="66"/>
      <c r="Q380" s="66"/>
      <c r="R380" s="66"/>
      <c r="S380" s="66"/>
    </row>
    <row r="381" spans="1:19" ht="18" customHeight="1">
      <c r="B381" t="str">
        <f>"021182"</f>
        <v>021182</v>
      </c>
      <c r="C381" t="s">
        <v>686</v>
      </c>
      <c r="D381" s="4"/>
      <c r="E381" s="4">
        <v>2</v>
      </c>
      <c r="F381" s="4"/>
      <c r="G381" s="29" t="str">
        <f>IFERROR(HYPERLINK("#"&amp;ADDRESS(MATCH(B381&amp;"ES",'LM7 Non-ENG'!$A$1:$A$5000,0),1,,,"LM7 Non-ENG"),IF(IFERROR(VLOOKUP(B381&amp;"ES",'LM7 Non-ENG'!$A$1:$A$4999,1,FALSE),"ERROR")=B381&amp;"ES","Y","")),"")</f>
        <v/>
      </c>
      <c r="H381" s="29" t="str">
        <f>IFERROR(HYPERLINK("#"&amp;ADDRESS(MATCH(B381&amp;"PT",'LM7 Non-ENG'!$A$1:$A$5000,0),1,,,"LM7 Non-ENG"),IF(IFERROR(VLOOKUP(B381&amp;"PT",'LM7 Non-ENG'!$A$1:$A$5000,1,FALSE),"ERROR")=B381&amp;"PT","Y","")),"")</f>
        <v/>
      </c>
      <c r="I381" t="str">
        <f>IFERROR(VLOOKUP(B381,PN!$A:$C,3,FALSE),"")</f>
        <v>Active</v>
      </c>
      <c r="J381" s="3">
        <f>IFERROR(E381*VLOOKUP(B381,PLInter!$A:$D,3,FALSE),"")</f>
        <v>32</v>
      </c>
      <c r="K381" s="66"/>
      <c r="L381" s="66"/>
      <c r="M381" s="66"/>
      <c r="N381" s="66"/>
      <c r="O381" s="66"/>
      <c r="P381" s="66"/>
      <c r="Q381" s="66"/>
      <c r="R381" s="66"/>
      <c r="S381" s="66"/>
    </row>
    <row r="382" spans="1:19" ht="18" customHeight="1">
      <c r="B382" t="s">
        <v>704</v>
      </c>
      <c r="C382" t="s">
        <v>705</v>
      </c>
      <c r="D382" s="4"/>
      <c r="E382" s="4">
        <v>2</v>
      </c>
      <c r="F382" s="4"/>
      <c r="G382" s="29" t="str">
        <f>IFERROR(HYPERLINK("#"&amp;ADDRESS(MATCH(B382&amp;"ES",'LM7 Non-ENG'!$A$1:$A$5000,0),1,,,"LM7 Non-ENG"),IF(IFERROR(VLOOKUP(B382&amp;"ES",'LM7 Non-ENG'!$A$1:$A$4999,1,FALSE),"ERROR")=B382&amp;"ES","Y","")),"")</f>
        <v/>
      </c>
      <c r="H382" s="29" t="str">
        <f>IFERROR(HYPERLINK("#"&amp;ADDRESS(MATCH(B382&amp;"PT",'LM7 Non-ENG'!$A$1:$A$5000,0),1,,,"LM7 Non-ENG"),IF(IFERROR(VLOOKUP(B382&amp;"PT",'LM7 Non-ENG'!$A$1:$A$5000,1,FALSE),"ERROR")=B382&amp;"PT","Y","")),"")</f>
        <v/>
      </c>
      <c r="I382" t="str">
        <f>IFERROR(VLOOKUP(B382,PN!$A:$C,3,FALSE),"")</f>
        <v>Active</v>
      </c>
      <c r="J382" s="3">
        <f>IFERROR(E382*VLOOKUP(B382,PLInter!$A:$D,3,FALSE),"")</f>
        <v>5280</v>
      </c>
      <c r="K382" s="66"/>
      <c r="L382" s="66"/>
      <c r="M382" s="66"/>
      <c r="N382" s="66"/>
      <c r="O382" s="66"/>
      <c r="P382" s="66"/>
      <c r="Q382" s="66"/>
      <c r="R382" s="66"/>
      <c r="S382" s="66"/>
    </row>
    <row r="383" spans="1:19" ht="18" customHeight="1">
      <c r="B383" t="s">
        <v>786</v>
      </c>
      <c r="C383" t="s">
        <v>787</v>
      </c>
      <c r="D383" s="4"/>
      <c r="E383" s="4">
        <v>2</v>
      </c>
      <c r="F383" s="4"/>
      <c r="G383" s="29" t="str">
        <f>IFERROR(HYPERLINK("#"&amp;ADDRESS(MATCH(B383&amp;"ES",'LM7 Non-ENG'!$A$1:$A$5000,0),1,,,"LM7 Non-ENG"),IF(IFERROR(VLOOKUP(B383&amp;"ES",'LM7 Non-ENG'!$A$1:$A$4999,1,FALSE),"ERROR")=B383&amp;"ES","Y","")),"")</f>
        <v/>
      </c>
      <c r="H383" s="29" t="str">
        <f>IFERROR(HYPERLINK("#"&amp;ADDRESS(MATCH(B383&amp;"PT",'LM7 Non-ENG'!$A$1:$A$5000,0),1,,,"LM7 Non-ENG"),IF(IFERROR(VLOOKUP(B383&amp;"PT",'LM7 Non-ENG'!$A$1:$A$5000,1,FALSE),"ERROR")=B383&amp;"PT","Y","")),"")</f>
        <v/>
      </c>
      <c r="I383" t="str">
        <f>IFERROR(VLOOKUP(B383,PN!$A:$C,3,FALSE),"")</f>
        <v>Active</v>
      </c>
      <c r="J383" s="3">
        <f>IFERROR(E383*VLOOKUP(B383,PLInter!$A:$D,3,FALSE),"")</f>
        <v>1056</v>
      </c>
      <c r="K383" s="66"/>
      <c r="L383" s="66"/>
      <c r="M383" s="66"/>
      <c r="N383" s="66"/>
      <c r="O383" s="66"/>
      <c r="P383" s="66"/>
      <c r="Q383" s="66"/>
      <c r="R383" s="66"/>
      <c r="S383" s="66"/>
    </row>
    <row r="384" spans="1:19" ht="18" customHeight="1">
      <c r="B384" t="str">
        <f>"113034"</f>
        <v>113034</v>
      </c>
      <c r="C384" t="s">
        <v>695</v>
      </c>
      <c r="D384" s="4"/>
      <c r="E384" s="4">
        <v>50</v>
      </c>
      <c r="F384" s="4"/>
      <c r="G384" s="29" t="str">
        <f>IFERROR(HYPERLINK("#"&amp;ADDRESS(MATCH(B384&amp;"ES",'LM7 Non-ENG'!$A$1:$A$5000,0),1,,,"LM7 Non-ENG"),IF(IFERROR(VLOOKUP(B384&amp;"ES",'LM7 Non-ENG'!$A$1:$A$4999,1,FALSE),"ERROR")=B384&amp;"ES","Y","")),"")</f>
        <v/>
      </c>
      <c r="H384" s="29" t="str">
        <f>IFERROR(HYPERLINK("#"&amp;ADDRESS(MATCH(B384&amp;"PT",'LM7 Non-ENG'!$A$1:$A$5000,0),1,,,"LM7 Non-ENG"),IF(IFERROR(VLOOKUP(B384&amp;"PT",'LM7 Non-ENG'!$A$1:$A$5000,1,FALSE),"ERROR")=B384&amp;"PT","Y","")),"")</f>
        <v/>
      </c>
      <c r="I384" t="str">
        <f>IFERROR(VLOOKUP(B384,PN!$A:$C,3,FALSE),"")</f>
        <v>Active</v>
      </c>
      <c r="J384" s="3">
        <f>IFERROR(E384*VLOOKUP(B384,PLInter!$A:$D,3,FALSE),"")</f>
        <v>750</v>
      </c>
      <c r="K384" s="66"/>
      <c r="L384" s="66"/>
      <c r="M384" s="66"/>
      <c r="N384" s="66"/>
      <c r="O384" s="66"/>
      <c r="P384" s="66"/>
      <c r="Q384" s="66"/>
      <c r="R384" s="66"/>
      <c r="S384" s="66"/>
    </row>
    <row r="385" spans="1:19" ht="18" customHeight="1">
      <c r="B385" t="str">
        <f>"112496"</f>
        <v>112496</v>
      </c>
      <c r="C385" t="s">
        <v>696</v>
      </c>
      <c r="D385" s="4"/>
      <c r="E385" s="4">
        <v>50</v>
      </c>
      <c r="F385" s="4"/>
      <c r="G385" s="29" t="str">
        <f>IFERROR(HYPERLINK("#"&amp;ADDRESS(MATCH(B385&amp;"ES",'LM7 Non-ENG'!$A$1:$A$5000,0),1,,,"LM7 Non-ENG"),IF(IFERROR(VLOOKUP(B385&amp;"ES",'LM7 Non-ENG'!$A$1:$A$4999,1,FALSE),"ERROR")=B385&amp;"ES","Y","")),"")</f>
        <v/>
      </c>
      <c r="H385" s="29" t="str">
        <f>IFERROR(HYPERLINK("#"&amp;ADDRESS(MATCH(B385&amp;"PT",'LM7 Non-ENG'!$A$1:$A$5000,0),1,,,"LM7 Non-ENG"),IF(IFERROR(VLOOKUP(B385&amp;"PT",'LM7 Non-ENG'!$A$1:$A$5000,1,FALSE),"ERROR")=B385&amp;"PT","Y","")),"")</f>
        <v/>
      </c>
      <c r="I385" t="str">
        <f>IFERROR(VLOOKUP(B385,PN!$A:$C,3,FALSE),"")</f>
        <v>Active</v>
      </c>
      <c r="J385" s="3">
        <f>IFERROR(E385*VLOOKUP(B385,PLInter!$A:$D,3,FALSE),"")</f>
        <v>1000</v>
      </c>
      <c r="K385" s="66"/>
      <c r="L385" s="66"/>
      <c r="M385" s="66"/>
      <c r="N385" s="66"/>
      <c r="O385" s="66"/>
      <c r="P385" s="66"/>
      <c r="Q385" s="66"/>
      <c r="R385" s="66"/>
      <c r="S385" s="66"/>
    </row>
    <row r="386" spans="1:19" ht="18" customHeight="1">
      <c r="B386" t="s">
        <v>689</v>
      </c>
      <c r="C386" t="s">
        <v>690</v>
      </c>
      <c r="D386" s="4"/>
      <c r="E386" s="4">
        <v>1</v>
      </c>
      <c r="F386" s="4"/>
      <c r="G386" s="29" t="str">
        <f>IFERROR(HYPERLINK("#"&amp;ADDRESS(MATCH(B386&amp;"ES",'LM7 Non-ENG'!$A$1:$A$5000,0),1,,,"LM7 Non-ENG"),IF(IFERROR(VLOOKUP(B386&amp;"ES",'LM7 Non-ENG'!$A$1:$A$4999,1,FALSE),"ERROR")=B386&amp;"ES","Y","")),"")</f>
        <v/>
      </c>
      <c r="H386" s="29" t="str">
        <f>IFERROR(HYPERLINK("#"&amp;ADDRESS(MATCH(B386&amp;"PT",'LM7 Non-ENG'!$A$1:$A$5000,0),1,,,"LM7 Non-ENG"),IF(IFERROR(VLOOKUP(B386&amp;"PT",'LM7 Non-ENG'!$A$1:$A$5000,1,FALSE),"ERROR")=B386&amp;"PT","Y","")),"")</f>
        <v/>
      </c>
      <c r="I386" t="str">
        <f>IFERROR(VLOOKUP(B386,PN!$A:$C,3,FALSE),"")</f>
        <v>Active</v>
      </c>
      <c r="J386" s="3">
        <f>IFERROR(E386*VLOOKUP(B386,PLInter!$A:$D,3,FALSE),"")</f>
        <v>2000</v>
      </c>
      <c r="K386" s="66"/>
      <c r="L386" s="66"/>
      <c r="M386" s="66"/>
      <c r="N386" s="66"/>
      <c r="O386" s="66"/>
      <c r="P386" s="66"/>
      <c r="Q386" s="66"/>
      <c r="R386" s="66"/>
      <c r="S386" s="66"/>
    </row>
    <row r="387" spans="1:19" ht="18" customHeight="1">
      <c r="B387" t="s">
        <v>644</v>
      </c>
      <c r="C387" t="s">
        <v>645</v>
      </c>
      <c r="D387" s="4"/>
      <c r="E387" s="4">
        <v>1</v>
      </c>
      <c r="F387" s="4"/>
      <c r="G387" s="29" t="str">
        <f>IFERROR(HYPERLINK("#"&amp;ADDRESS(MATCH(B387&amp;"ES",'LM7 Non-ENG'!$A$1:$A$5000,0),1,,,"LM7 Non-ENG"),IF(IFERROR(VLOOKUP(B387&amp;"ES",'LM7 Non-ENG'!$A$1:$A$4999,1,FALSE),"ERROR")=B387&amp;"ES","Y","")),"")</f>
        <v/>
      </c>
      <c r="H387" s="29" t="str">
        <f>IFERROR(HYPERLINK("#"&amp;ADDRESS(MATCH(B387&amp;"PT",'LM7 Non-ENG'!$A$1:$A$5000,0),1,,,"LM7 Non-ENG"),IF(IFERROR(VLOOKUP(B387&amp;"PT",'LM7 Non-ENG'!$A$1:$A$5000,1,FALSE),"ERROR")=B387&amp;"PT","Y","")),"")</f>
        <v/>
      </c>
      <c r="I387" t="str">
        <f>IFERROR(VLOOKUP(B387,PN!$A:$C,3,FALSE),"")</f>
        <v>Active</v>
      </c>
      <c r="J387" s="3">
        <f>IFERROR(E387*VLOOKUP(B387,PLInter!$A:$D,3,FALSE),"")</f>
        <v>1800</v>
      </c>
      <c r="K387" s="66"/>
      <c r="L387" s="66"/>
      <c r="M387" s="66"/>
      <c r="N387" s="66"/>
      <c r="O387" s="66"/>
      <c r="P387" s="66"/>
      <c r="Q387" s="66"/>
      <c r="R387" s="66"/>
      <c r="S387" s="66"/>
    </row>
    <row r="388" spans="1:19" ht="18" customHeight="1">
      <c r="B388" t="s">
        <v>630</v>
      </c>
      <c r="C388" t="s">
        <v>631</v>
      </c>
      <c r="D388" s="4"/>
      <c r="E388" s="4">
        <v>1</v>
      </c>
      <c r="F388" s="4"/>
      <c r="G388" s="29" t="str">
        <f>IFERROR(HYPERLINK("#"&amp;ADDRESS(MATCH(B388&amp;"ES",'LM7 Non-ENG'!$A$1:$A$5000,0),1,,,"LM7 Non-ENG"),IF(IFERROR(VLOOKUP(B388&amp;"ES",'LM7 Non-ENG'!$A$1:$A$4999,1,FALSE),"ERROR")=B388&amp;"ES","Y","")),"")</f>
        <v/>
      </c>
      <c r="H388" s="29" t="str">
        <f>IFERROR(HYPERLINK("#"&amp;ADDRESS(MATCH(B388&amp;"PT",'LM7 Non-ENG'!$A$1:$A$5000,0),1,,,"LM7 Non-ENG"),IF(IFERROR(VLOOKUP(B388&amp;"PT",'LM7 Non-ENG'!$A$1:$A$5000,1,FALSE),"ERROR")=B388&amp;"PT","Y","")),"")</f>
        <v/>
      </c>
      <c r="I388" t="str">
        <f>IFERROR(VLOOKUP(B388,PN!$A:$C,3,FALSE),"")</f>
        <v>Active</v>
      </c>
      <c r="J388" s="3">
        <f>IFERROR(E388*VLOOKUP(B388,PLInter!$A:$D,3,FALSE),"")</f>
        <v>1735</v>
      </c>
      <c r="K388" s="66"/>
      <c r="L388" s="66"/>
      <c r="M388" s="66"/>
      <c r="N388" s="66"/>
      <c r="O388" s="66"/>
      <c r="P388" s="66"/>
      <c r="Q388" s="66"/>
      <c r="R388" s="66"/>
      <c r="S388" s="66"/>
    </row>
    <row r="390" spans="1:19" s="7" customFormat="1" ht="18" customHeight="1">
      <c r="A390" s="13" t="s">
        <v>795</v>
      </c>
      <c r="B390" s="13"/>
      <c r="C390" s="13" t="s">
        <v>796</v>
      </c>
      <c r="D390" s="14"/>
      <c r="E390" s="14"/>
      <c r="F390" s="14"/>
      <c r="G390" s="14"/>
      <c r="H390" s="14"/>
      <c r="I390" s="14"/>
      <c r="J390" s="14">
        <f>SUMIFS(J391:J431,D391:D431,"&lt;&gt;Y",F391:F431,"&lt;&gt;Y",I391:I431,"&lt;&gt;Inactive",I391:I431,"&lt;&gt;ECO+NFS")</f>
        <v>100379</v>
      </c>
      <c r="K390" s="14"/>
      <c r="L390" s="14"/>
      <c r="M390" s="14"/>
      <c r="N390" s="14"/>
      <c r="O390" s="14"/>
      <c r="P390" s="14"/>
      <c r="Q390" s="14"/>
      <c r="R390" s="14"/>
      <c r="S390" s="14"/>
    </row>
    <row r="391" spans="1:19" ht="18" customHeight="1">
      <c r="A391" s="17" t="str">
        <f>HYPERLINK("#"&amp;ADDRESS(MATCH(A390,'CIM&amp;FMS'!$A$1:$A$4997,0),1,,,"CIM&amp;FMS"),"Back to Price List")</f>
        <v>Back to Price List</v>
      </c>
      <c r="B391" t="s">
        <v>214</v>
      </c>
      <c r="C391" t="s">
        <v>654</v>
      </c>
      <c r="D391" s="4"/>
      <c r="E391" s="4">
        <v>1</v>
      </c>
      <c r="F391" s="4"/>
      <c r="G391" s="29" t="str">
        <f>IFERROR(HYPERLINK("#"&amp;ADDRESS(MATCH(B391&amp;"ES",'LM7 Non-ENG'!$A$1:$A$5000,0),1,,,"LM7 Non-ENG"),IF(IFERROR(VLOOKUP(B391&amp;"ES",'LM7 Non-ENG'!$A$1:$A$4999,1,FALSE),"ERROR")=B391&amp;"ES","Y","")),"")</f>
        <v/>
      </c>
      <c r="H391" s="29" t="str">
        <f>IFERROR(HYPERLINK("#"&amp;ADDRESS(MATCH(B391&amp;"PT",'LM7 Non-ENG'!$A$1:$A$5000,0),1,,,"LM7 Non-ENG"),IF(IFERROR(VLOOKUP(B391&amp;"PT",'LM7 Non-ENG'!$A$1:$A$5000,1,FALSE),"ERROR")=B391&amp;"PT","Y","")),"")</f>
        <v/>
      </c>
      <c r="I391" t="str">
        <f>IFERROR(VLOOKUP(B391,PN!$A:$C,3,FALSE),"")</f>
        <v>Active</v>
      </c>
      <c r="J391" s="3">
        <f>IFERROR(E391*VLOOKUP(B391,PLInter!$A:$D,3,FALSE),"")</f>
        <v>24000</v>
      </c>
      <c r="K391" s="66"/>
      <c r="L391" s="66"/>
      <c r="M391" s="66"/>
      <c r="N391" s="66"/>
      <c r="O391" s="66"/>
      <c r="P391" s="66"/>
      <c r="Q391" s="66"/>
      <c r="R391" s="66"/>
      <c r="S391" s="66"/>
    </row>
    <row r="392" spans="1:19" ht="18" customHeight="1">
      <c r="B392" t="s">
        <v>228</v>
      </c>
      <c r="C392" t="s">
        <v>233</v>
      </c>
      <c r="D392" s="4"/>
      <c r="E392" s="4">
        <v>1</v>
      </c>
      <c r="F392" s="4"/>
      <c r="G392" s="29" t="str">
        <f>IFERROR(HYPERLINK("#"&amp;ADDRESS(MATCH(B392&amp;"ES",'LM7 Non-ENG'!$A$1:$A$5000,0),1,,,"LM7 Non-ENG"),IF(IFERROR(VLOOKUP(B392&amp;"ES",'LM7 Non-ENG'!$A$1:$A$4999,1,FALSE),"ERROR")=B392&amp;"ES","Y","")),"")</f>
        <v/>
      </c>
      <c r="H392" s="29" t="str">
        <f>IFERROR(HYPERLINK("#"&amp;ADDRESS(MATCH(B392&amp;"PT",'LM7 Non-ENG'!$A$1:$A$5000,0),1,,,"LM7 Non-ENG"),IF(IFERROR(VLOOKUP(B392&amp;"PT",'LM7 Non-ENG'!$A$1:$A$5000,1,FALSE),"ERROR")=B392&amp;"PT","Y","")),"")</f>
        <v/>
      </c>
      <c r="I392" t="str">
        <f>IFERROR(VLOOKUP(B392,PN!$A:$C,3,FALSE),"")</f>
        <v>Active</v>
      </c>
      <c r="J392" s="3">
        <f>IFERROR(E392*VLOOKUP(B392,PLInter!$A:$D,3,FALSE),"")</f>
        <v>2134</v>
      </c>
      <c r="K392" s="66"/>
      <c r="L392" s="66"/>
      <c r="M392" s="66"/>
      <c r="N392" s="66"/>
      <c r="O392" s="66"/>
      <c r="P392" s="66"/>
      <c r="Q392" s="66"/>
      <c r="R392" s="66"/>
      <c r="S392" s="66"/>
    </row>
    <row r="393" spans="1:19" ht="18" customHeight="1">
      <c r="B393" t="s">
        <v>236</v>
      </c>
      <c r="C393" t="s">
        <v>626</v>
      </c>
      <c r="D393" s="4"/>
      <c r="E393" s="4">
        <v>1</v>
      </c>
      <c r="F393" s="4"/>
      <c r="G393" s="29" t="str">
        <f>IFERROR(HYPERLINK("#"&amp;ADDRESS(MATCH(B393&amp;"ES",'LM7 Non-ENG'!$A$1:$A$5000,0),1,,,"LM7 Non-ENG"),IF(IFERROR(VLOOKUP(B393&amp;"ES",'LM7 Non-ENG'!$A$1:$A$4999,1,FALSE),"ERROR")=B393&amp;"ES","Y","")),"")</f>
        <v/>
      </c>
      <c r="H393" s="29" t="str">
        <f>IFERROR(HYPERLINK("#"&amp;ADDRESS(MATCH(B393&amp;"PT",'LM7 Non-ENG'!$A$1:$A$5000,0),1,,,"LM7 Non-ENG"),IF(IFERROR(VLOOKUP(B393&amp;"PT",'LM7 Non-ENG'!$A$1:$A$5000,1,FALSE),"ERROR")=B393&amp;"PT","Y","")),"")</f>
        <v/>
      </c>
      <c r="I393" t="str">
        <f>IFERROR(VLOOKUP(B393,PN!$A:$C,3,FALSE),"")</f>
        <v>Active</v>
      </c>
      <c r="J393" s="3">
        <f>IFERROR(E393*VLOOKUP(B393,PLInter!$A:$D,3,FALSE),"")</f>
        <v>1680</v>
      </c>
      <c r="K393" s="66"/>
      <c r="L393" s="66"/>
      <c r="M393" s="66"/>
      <c r="N393" s="66"/>
      <c r="O393" s="66"/>
      <c r="P393" s="66"/>
      <c r="Q393" s="66"/>
      <c r="R393" s="66"/>
      <c r="S393" s="66"/>
    </row>
    <row r="394" spans="1:19" ht="18" customHeight="1">
      <c r="B394" t="s">
        <v>797</v>
      </c>
      <c r="C394" t="s">
        <v>798</v>
      </c>
      <c r="D394" s="4"/>
      <c r="E394" s="4">
        <v>1</v>
      </c>
      <c r="F394" s="4"/>
      <c r="G394" s="29" t="str">
        <f>IFERROR(HYPERLINK("#"&amp;ADDRESS(MATCH(B394&amp;"ES",'LM7 Non-ENG'!$A$1:$A$5000,0),1,,,"LM7 Non-ENG"),IF(IFERROR(VLOOKUP(B394&amp;"ES",'LM7 Non-ENG'!$A$1:$A$4999,1,FALSE),"ERROR")=B394&amp;"ES","Y","")),"")</f>
        <v/>
      </c>
      <c r="H394" s="29" t="str">
        <f>IFERROR(HYPERLINK("#"&amp;ADDRESS(MATCH(B394&amp;"PT",'LM7 Non-ENG'!$A$1:$A$5000,0),1,,,"LM7 Non-ENG"),IF(IFERROR(VLOOKUP(B394&amp;"PT",'LM7 Non-ENG'!$A$1:$A$5000,1,FALSE),"ERROR")=B394&amp;"PT","Y","")),"")</f>
        <v/>
      </c>
      <c r="I394" t="str">
        <f>IFERROR(VLOOKUP(B394,PN!$A:$C,3,FALSE),"")</f>
        <v>Active</v>
      </c>
      <c r="J394" s="3">
        <f>IFERROR(E394*VLOOKUP(B394,PLInter!$A:$D,3,FALSE),"")</f>
        <v>9940</v>
      </c>
      <c r="K394" s="66"/>
      <c r="L394" s="66"/>
      <c r="M394" s="66"/>
      <c r="N394" s="66"/>
      <c r="O394" s="66"/>
      <c r="P394" s="66"/>
      <c r="Q394" s="66"/>
      <c r="R394" s="66"/>
      <c r="S394" s="66"/>
    </row>
    <row r="395" spans="1:19" ht="18" customHeight="1">
      <c r="B395" s="2" t="s">
        <v>772</v>
      </c>
      <c r="C395" s="2" t="s">
        <v>773</v>
      </c>
      <c r="D395" s="5"/>
      <c r="E395" s="5">
        <v>1</v>
      </c>
      <c r="F395" s="5" t="s">
        <v>0</v>
      </c>
      <c r="G395" s="29" t="str">
        <f>IFERROR(HYPERLINK("#"&amp;ADDRESS(MATCH(B395&amp;"ES",'LM7 Non-ENG'!$A$1:$A$5000,0),1,,,"LM7 Non-ENG"),IF(IFERROR(VLOOKUP(B395&amp;"ES",'LM7 Non-ENG'!$A$1:$A$4999,1,FALSE),"ERROR")=B395&amp;"ES","Y","")),"")</f>
        <v/>
      </c>
      <c r="H395" s="29" t="str">
        <f>IFERROR(HYPERLINK("#"&amp;ADDRESS(MATCH(B395&amp;"PT",'LM7 Non-ENG'!$A$1:$A$5000,0),1,,,"LM7 Non-ENG"),IF(IFERROR(VLOOKUP(B395&amp;"PT",'LM7 Non-ENG'!$A$1:$A$5000,1,FALSE),"ERROR")=B395&amp;"PT","Y","")),"")</f>
        <v/>
      </c>
      <c r="I395" t="str">
        <f>IFERROR(VLOOKUP(B395,PN!$A:$C,3,FALSE),"")</f>
        <v>Active</v>
      </c>
      <c r="J395" s="3">
        <f>IFERROR(E395*VLOOKUP(B395,PLInter!$A:$D,3,FALSE),"")</f>
        <v>8267</v>
      </c>
      <c r="K395" s="66"/>
      <c r="L395" s="66"/>
      <c r="M395" s="66"/>
      <c r="N395" s="66"/>
      <c r="O395" s="66"/>
      <c r="P395" s="66"/>
      <c r="Q395" s="66"/>
      <c r="R395" s="66"/>
      <c r="S395" s="66"/>
    </row>
    <row r="396" spans="1:19" ht="18" customHeight="1">
      <c r="B396" t="str">
        <f>"034025"</f>
        <v>034025</v>
      </c>
      <c r="C396" t="s">
        <v>799</v>
      </c>
      <c r="D396" s="4"/>
      <c r="E396" s="4">
        <v>1</v>
      </c>
      <c r="F396" s="4"/>
      <c r="G396" s="29" t="str">
        <f>IFERROR(HYPERLINK("#"&amp;ADDRESS(MATCH(B396&amp;"ES",'LM7 Non-ENG'!$A$1:$A$5000,0),1,,,"LM7 Non-ENG"),IF(IFERROR(VLOOKUP(B396&amp;"ES",'LM7 Non-ENG'!$A$1:$A$4999,1,FALSE),"ERROR")=B396&amp;"ES","Y","")),"")</f>
        <v/>
      </c>
      <c r="H396" s="29" t="str">
        <f>IFERROR(HYPERLINK("#"&amp;ADDRESS(MATCH(B396&amp;"PT",'LM7 Non-ENG'!$A$1:$A$5000,0),1,,,"LM7 Non-ENG"),IF(IFERROR(VLOOKUP(B396&amp;"PT",'LM7 Non-ENG'!$A$1:$A$5000,1,FALSE),"ERROR")=B396&amp;"PT","Y","")),"")</f>
        <v/>
      </c>
      <c r="I396" t="str">
        <f>IFERROR(VLOOKUP(B396,PN!$A:$C,3,FALSE),"")</f>
        <v>Active</v>
      </c>
      <c r="J396" s="3">
        <f>IFERROR(E396*VLOOKUP(B396,PLInter!$A:$D,3,FALSE),"")</f>
        <v>1267</v>
      </c>
      <c r="K396" s="66"/>
      <c r="L396" s="66"/>
      <c r="M396" s="66"/>
      <c r="N396" s="66"/>
      <c r="O396" s="66"/>
      <c r="P396" s="66"/>
      <c r="Q396" s="66"/>
      <c r="R396" s="66"/>
      <c r="S396" s="66"/>
    </row>
    <row r="397" spans="1:19" ht="18" customHeight="1">
      <c r="B397" t="s">
        <v>680</v>
      </c>
      <c r="C397" t="s">
        <v>681</v>
      </c>
      <c r="D397" s="4"/>
      <c r="E397" s="4">
        <v>1</v>
      </c>
      <c r="F397" s="4"/>
      <c r="G397" s="29" t="str">
        <f>IFERROR(HYPERLINK("#"&amp;ADDRESS(MATCH(B397&amp;"ES",'LM7 Non-ENG'!$A$1:$A$5000,0),1,,,"LM7 Non-ENG"),IF(IFERROR(VLOOKUP(B397&amp;"ES",'LM7 Non-ENG'!$A$1:$A$4999,1,FALSE),"ERROR")=B397&amp;"ES","Y","")),"")</f>
        <v/>
      </c>
      <c r="H397" s="29" t="str">
        <f>IFERROR(HYPERLINK("#"&amp;ADDRESS(MATCH(B397&amp;"PT",'LM7 Non-ENG'!$A$1:$A$5000,0),1,,,"LM7 Non-ENG"),IF(IFERROR(VLOOKUP(B397&amp;"PT",'LM7 Non-ENG'!$A$1:$A$5000,1,FALSE),"ERROR")=B397&amp;"PT","Y","")),"")</f>
        <v/>
      </c>
      <c r="I397" t="str">
        <f>IFERROR(VLOOKUP(B397,PN!$A:$C,3,FALSE),"")</f>
        <v>Active</v>
      </c>
      <c r="J397" s="3">
        <f>IFERROR(E397*VLOOKUP(B397,PLInter!$A:$D,3,FALSE),"")</f>
        <v>1440</v>
      </c>
      <c r="K397" s="66"/>
      <c r="L397" s="66"/>
      <c r="M397" s="66"/>
      <c r="N397" s="66"/>
      <c r="O397" s="66"/>
      <c r="P397" s="66"/>
      <c r="Q397" s="66"/>
      <c r="R397" s="66"/>
      <c r="S397" s="66"/>
    </row>
    <row r="398" spans="1:19" ht="18" customHeight="1">
      <c r="B398" t="s">
        <v>682</v>
      </c>
      <c r="C398" t="s">
        <v>683</v>
      </c>
      <c r="D398" s="4"/>
      <c r="E398" s="4">
        <v>1</v>
      </c>
      <c r="F398" s="4"/>
      <c r="G398" s="29" t="str">
        <f>IFERROR(HYPERLINK("#"&amp;ADDRESS(MATCH(B398&amp;"ES",'LM7 Non-ENG'!$A$1:$A$5000,0),1,,,"LM7 Non-ENG"),IF(IFERROR(VLOOKUP(B398&amp;"ES",'LM7 Non-ENG'!$A$1:$A$4999,1,FALSE),"ERROR")=B398&amp;"ES","Y","")),"")</f>
        <v/>
      </c>
      <c r="H398" s="29" t="str">
        <f>IFERROR(HYPERLINK("#"&amp;ADDRESS(MATCH(B398&amp;"PT",'LM7 Non-ENG'!$A$1:$A$5000,0),1,,,"LM7 Non-ENG"),IF(IFERROR(VLOOKUP(B398&amp;"PT",'LM7 Non-ENG'!$A$1:$A$5000,1,FALSE),"ERROR")=B398&amp;"PT","Y","")),"")</f>
        <v/>
      </c>
      <c r="I398" t="str">
        <f>IFERROR(VLOOKUP(B398,PN!$A:$C,3,FALSE),"")</f>
        <v>Active</v>
      </c>
      <c r="J398" s="3">
        <f>IFERROR(E398*VLOOKUP(B398,PLInter!$A:$D,3,FALSE),"")</f>
        <v>494</v>
      </c>
      <c r="K398" s="66"/>
      <c r="L398" s="66"/>
      <c r="M398" s="66"/>
      <c r="N398" s="66"/>
      <c r="O398" s="66"/>
      <c r="P398" s="66"/>
      <c r="Q398" s="66"/>
      <c r="R398" s="66"/>
      <c r="S398" s="66"/>
    </row>
    <row r="399" spans="1:19" ht="18" customHeight="1">
      <c r="B399" t="s">
        <v>684</v>
      </c>
      <c r="C399" t="s">
        <v>685</v>
      </c>
      <c r="D399" s="4"/>
      <c r="E399" s="4">
        <v>2</v>
      </c>
      <c r="F399" s="4"/>
      <c r="G399" s="29" t="str">
        <f>IFERROR(HYPERLINK("#"&amp;ADDRESS(MATCH(B399&amp;"ES",'LM7 Non-ENG'!$A$1:$A$5000,0),1,,,"LM7 Non-ENG"),IF(IFERROR(VLOOKUP(B399&amp;"ES",'LM7 Non-ENG'!$A$1:$A$4999,1,FALSE),"ERROR")=B399&amp;"ES","Y","")),"")</f>
        <v/>
      </c>
      <c r="H399" s="29" t="str">
        <f>IFERROR(HYPERLINK("#"&amp;ADDRESS(MATCH(B399&amp;"PT",'LM7 Non-ENG'!$A$1:$A$5000,0),1,,,"LM7 Non-ENG"),IF(IFERROR(VLOOKUP(B399&amp;"PT",'LM7 Non-ENG'!$A$1:$A$5000,1,FALSE),"ERROR")=B399&amp;"PT","Y","")),"")</f>
        <v/>
      </c>
      <c r="I399" t="str">
        <f>IFERROR(VLOOKUP(B399,PN!$A:$C,3,FALSE),"")</f>
        <v>Active</v>
      </c>
      <c r="J399" s="3">
        <f>IFERROR(E399*VLOOKUP(B399,PLInter!$A:$D,3,FALSE),"")</f>
        <v>1160</v>
      </c>
      <c r="K399" s="66"/>
      <c r="L399" s="66"/>
      <c r="M399" s="66"/>
      <c r="N399" s="66"/>
      <c r="O399" s="66"/>
      <c r="P399" s="66"/>
      <c r="Q399" s="66"/>
      <c r="R399" s="66"/>
      <c r="S399" s="66"/>
    </row>
    <row r="400" spans="1:19" ht="18" customHeight="1">
      <c r="B400" t="str">
        <f>"021182"</f>
        <v>021182</v>
      </c>
      <c r="C400" t="s">
        <v>686</v>
      </c>
      <c r="D400" s="4"/>
      <c r="E400" s="4">
        <v>2</v>
      </c>
      <c r="F400" s="4"/>
      <c r="G400" s="29" t="str">
        <f>IFERROR(HYPERLINK("#"&amp;ADDRESS(MATCH(B400&amp;"ES",'LM7 Non-ENG'!$A$1:$A$5000,0),1,,,"LM7 Non-ENG"),IF(IFERROR(VLOOKUP(B400&amp;"ES",'LM7 Non-ENG'!$A$1:$A$4999,1,FALSE),"ERROR")=B400&amp;"ES","Y","")),"")</f>
        <v/>
      </c>
      <c r="H400" s="29" t="str">
        <f>IFERROR(HYPERLINK("#"&amp;ADDRESS(MATCH(B400&amp;"PT",'LM7 Non-ENG'!$A$1:$A$5000,0),1,,,"LM7 Non-ENG"),IF(IFERROR(VLOOKUP(B400&amp;"PT",'LM7 Non-ENG'!$A$1:$A$5000,1,FALSE),"ERROR")=B400&amp;"PT","Y","")),"")</f>
        <v/>
      </c>
      <c r="I400" t="str">
        <f>IFERROR(VLOOKUP(B400,PN!$A:$C,3,FALSE),"")</f>
        <v>Active</v>
      </c>
      <c r="J400" s="3">
        <f>IFERROR(E400*VLOOKUP(B400,PLInter!$A:$D,3,FALSE),"")</f>
        <v>32</v>
      </c>
      <c r="K400" s="66"/>
      <c r="L400" s="66"/>
      <c r="M400" s="66"/>
      <c r="N400" s="66"/>
      <c r="O400" s="66"/>
      <c r="P400" s="66"/>
      <c r="Q400" s="66"/>
      <c r="R400" s="66"/>
      <c r="S400" s="66"/>
    </row>
    <row r="401" spans="2:19" ht="18" customHeight="1">
      <c r="B401" t="str">
        <f>"021152"</f>
        <v>021152</v>
      </c>
      <c r="C401" s="41" t="s">
        <v>679</v>
      </c>
      <c r="D401" s="4"/>
      <c r="E401" s="4">
        <v>2</v>
      </c>
      <c r="F401" s="4"/>
      <c r="G401" s="29" t="str">
        <f>IFERROR(HYPERLINK("#"&amp;ADDRESS(MATCH(B401&amp;"ES",'LM7 Non-ENG'!$A$1:$A$5000,0),1,,,"LM7 Non-ENG"),IF(IFERROR(VLOOKUP(B401&amp;"ES",'LM7 Non-ENG'!$A$1:$A$4999,1,FALSE),"ERROR")=B401&amp;"ES","Y","")),"")</f>
        <v/>
      </c>
      <c r="H401" s="29" t="str">
        <f>IFERROR(HYPERLINK("#"&amp;ADDRESS(MATCH(B401&amp;"PT",'LM7 Non-ENG'!$A$1:$A$5000,0),1,,,"LM7 Non-ENG"),IF(IFERROR(VLOOKUP(B401&amp;"PT",'LM7 Non-ENG'!$A$1:$A$5000,1,FALSE),"ERROR")=B401&amp;"PT","Y","")),"")</f>
        <v/>
      </c>
      <c r="I401" t="str">
        <f>IFERROR(VLOOKUP(B401,PN!$A:$C,3,FALSE),"")</f>
        <v>Active</v>
      </c>
      <c r="J401" s="3">
        <f>IFERROR(E401*VLOOKUP(B401,PLInter!$A:$D,3,FALSE),"")</f>
        <v>480</v>
      </c>
      <c r="K401" s="66"/>
      <c r="L401" s="66"/>
      <c r="M401" s="66"/>
      <c r="N401" s="66"/>
      <c r="O401" s="66"/>
      <c r="P401" s="66"/>
      <c r="Q401" s="66"/>
      <c r="R401" s="66"/>
      <c r="S401" s="66"/>
    </row>
    <row r="402" spans="2:19" ht="18" customHeight="1">
      <c r="B402" t="s">
        <v>708</v>
      </c>
      <c r="C402" t="s">
        <v>709</v>
      </c>
      <c r="D402" s="4"/>
      <c r="E402" s="4">
        <v>1</v>
      </c>
      <c r="F402" s="4"/>
      <c r="G402" s="29" t="str">
        <f>IFERROR(HYPERLINK("#"&amp;ADDRESS(MATCH(B402&amp;"ES",'LM7 Non-ENG'!$A$1:$A$5000,0),1,,,"LM7 Non-ENG"),IF(IFERROR(VLOOKUP(B402&amp;"ES",'LM7 Non-ENG'!$A$1:$A$4999,1,FALSE),"ERROR")=B402&amp;"ES","Y","")),"")</f>
        <v/>
      </c>
      <c r="H402" s="29" t="str">
        <f>IFERROR(HYPERLINK("#"&amp;ADDRESS(MATCH(B402&amp;"PT",'LM7 Non-ENG'!$A$1:$A$5000,0),1,,,"LM7 Non-ENG"),IF(IFERROR(VLOOKUP(B402&amp;"PT",'LM7 Non-ENG'!$A$1:$A$5000,1,FALSE),"ERROR")=B402&amp;"PT","Y","")),"")</f>
        <v/>
      </c>
      <c r="I402" t="str">
        <f>IFERROR(VLOOKUP(B402,PN!$A:$C,3,FALSE),"")</f>
        <v>Active</v>
      </c>
      <c r="J402" s="3">
        <f>IFERROR(E402*VLOOKUP(B402,PLInter!$A:$D,3,FALSE),"")</f>
        <v>667</v>
      </c>
      <c r="K402" s="66"/>
      <c r="L402" s="66"/>
      <c r="M402" s="66"/>
      <c r="N402" s="66"/>
      <c r="O402" s="66"/>
      <c r="P402" s="66"/>
      <c r="Q402" s="66"/>
      <c r="R402" s="66"/>
      <c r="S402" s="66"/>
    </row>
    <row r="403" spans="2:19" ht="18" customHeight="1">
      <c r="B403" t="s">
        <v>451</v>
      </c>
      <c r="C403" t="s">
        <v>460</v>
      </c>
      <c r="D403" s="4"/>
      <c r="E403" s="4">
        <v>1</v>
      </c>
      <c r="F403" s="4"/>
      <c r="G403" s="29" t="str">
        <f>IFERROR(HYPERLINK("#"&amp;ADDRESS(MATCH(B403&amp;"ES",'LM7 Non-ENG'!$A$1:$A$5000,0),1,,,"LM7 Non-ENG"),IF(IFERROR(VLOOKUP(B403&amp;"ES",'LM7 Non-ENG'!$A$1:$A$4999,1,FALSE),"ERROR")=B403&amp;"ES","Y","")),"")</f>
        <v/>
      </c>
      <c r="H403" s="29" t="str">
        <f>IFERROR(HYPERLINK("#"&amp;ADDRESS(MATCH(B403&amp;"PT",'LM7 Non-ENG'!$A$1:$A$5000,0),1,,,"LM7 Non-ENG"),IF(IFERROR(VLOOKUP(B403&amp;"PT",'LM7 Non-ENG'!$A$1:$A$5000,1,FALSE),"ERROR")=B403&amp;"PT","Y","")),"")</f>
        <v/>
      </c>
      <c r="I403" t="str">
        <f>IFERROR(VLOOKUP(B403,PN!$A:$C,3,FALSE),"")</f>
        <v>Active</v>
      </c>
      <c r="J403" s="3">
        <f>IFERROR(E403*VLOOKUP(B403,PLInter!$A:$D,3,FALSE),"")</f>
        <v>14934</v>
      </c>
      <c r="K403" s="66"/>
      <c r="L403" s="66"/>
      <c r="M403" s="66"/>
      <c r="N403" s="66"/>
      <c r="O403" s="66"/>
      <c r="P403" s="66"/>
      <c r="Q403" s="66"/>
      <c r="R403" s="66"/>
      <c r="S403" s="66"/>
    </row>
    <row r="404" spans="2:19" ht="18" customHeight="1">
      <c r="B404" s="2" t="s">
        <v>450</v>
      </c>
      <c r="C404" s="2" t="s">
        <v>458</v>
      </c>
      <c r="D404" s="5"/>
      <c r="E404" s="5">
        <v>1</v>
      </c>
      <c r="F404" s="5" t="s">
        <v>0</v>
      </c>
      <c r="G404" s="29" t="str">
        <f>IFERROR(HYPERLINK("#"&amp;ADDRESS(MATCH(B404&amp;"ES",'LM7 Non-ENG'!$A$1:$A$5000,0),1,,,"LM7 Non-ENG"),IF(IFERROR(VLOOKUP(B404&amp;"ES",'LM7 Non-ENG'!$A$1:$A$4999,1,FALSE),"ERROR")=B404&amp;"ES","Y","")),"")</f>
        <v/>
      </c>
      <c r="H404" s="29" t="str">
        <f>IFERROR(HYPERLINK("#"&amp;ADDRESS(MATCH(B404&amp;"PT",'LM7 Non-ENG'!$A$1:$A$5000,0),1,,,"LM7 Non-ENG"),IF(IFERROR(VLOOKUP(B404&amp;"PT",'LM7 Non-ENG'!$A$1:$A$5000,1,FALSE),"ERROR")=B404&amp;"PT","Y","")),"")</f>
        <v/>
      </c>
      <c r="I404" t="str">
        <f>IFERROR(VLOOKUP(B404,PN!$A:$C,3,FALSE),"")</f>
        <v>Active</v>
      </c>
      <c r="J404" s="3">
        <f>IFERROR(E404*VLOOKUP(B404,PLInter!$A:$D,3,FALSE),"")</f>
        <v>14934</v>
      </c>
      <c r="K404" s="66"/>
      <c r="L404" s="66"/>
      <c r="M404" s="66"/>
      <c r="N404" s="66"/>
      <c r="O404" s="66"/>
      <c r="P404" s="66"/>
      <c r="Q404" s="66"/>
      <c r="R404" s="66"/>
      <c r="S404" s="66"/>
    </row>
    <row r="405" spans="2:19" ht="18" customHeight="1">
      <c r="B405" t="s">
        <v>513</v>
      </c>
      <c r="C405" t="s">
        <v>711</v>
      </c>
      <c r="D405" s="4"/>
      <c r="E405" s="4">
        <v>1</v>
      </c>
      <c r="F405" s="4"/>
      <c r="G405" s="29" t="str">
        <f>IFERROR(HYPERLINK("#"&amp;ADDRESS(MATCH(B405&amp;"ES",'LM7 Non-ENG'!$A$1:$A$5000,0),1,,,"LM7 Non-ENG"),IF(IFERROR(VLOOKUP(B405&amp;"ES",'LM7 Non-ENG'!$A$1:$A$4999,1,FALSE),"ERROR")=B405&amp;"ES","Y","")),"")</f>
        <v/>
      </c>
      <c r="H405" s="29" t="str">
        <f>IFERROR(HYPERLINK("#"&amp;ADDRESS(MATCH(B405&amp;"PT",'LM7 Non-ENG'!$A$1:$A$5000,0),1,,,"LM7 Non-ENG"),IF(IFERROR(VLOOKUP(B405&amp;"PT",'LM7 Non-ENG'!$A$1:$A$5000,1,FALSE),"ERROR")=B405&amp;"PT","Y","")),"")</f>
        <v/>
      </c>
      <c r="I405" t="str">
        <f>IFERROR(VLOOKUP(B405,PN!$A:$C,3,FALSE),"")</f>
        <v>Active</v>
      </c>
      <c r="J405" s="3">
        <f>IFERROR(E405*VLOOKUP(B405,PLInter!$A:$D,3,FALSE),"")</f>
        <v>740</v>
      </c>
      <c r="K405" s="66"/>
      <c r="L405" s="66"/>
      <c r="M405" s="66"/>
      <c r="N405" s="66"/>
      <c r="O405" s="66"/>
      <c r="P405" s="66"/>
      <c r="Q405" s="66"/>
      <c r="R405" s="66"/>
      <c r="S405" s="66"/>
    </row>
    <row r="406" spans="2:19" ht="18" customHeight="1">
      <c r="B406" t="s">
        <v>477</v>
      </c>
      <c r="C406" t="s">
        <v>712</v>
      </c>
      <c r="D406" s="4"/>
      <c r="E406" s="4">
        <v>1</v>
      </c>
      <c r="F406" s="4"/>
      <c r="G406" s="29" t="str">
        <f>IFERROR(HYPERLINK("#"&amp;ADDRESS(MATCH(B406&amp;"ES",'LM7 Non-ENG'!$A$1:$A$5000,0),1,,,"LM7 Non-ENG"),IF(IFERROR(VLOOKUP(B406&amp;"ES",'LM7 Non-ENG'!$A$1:$A$4999,1,FALSE),"ERROR")=B406&amp;"ES","Y","")),"")</f>
        <v/>
      </c>
      <c r="H406" s="29" t="str">
        <f>IFERROR(HYPERLINK("#"&amp;ADDRESS(MATCH(B406&amp;"PT",'LM7 Non-ENG'!$A$1:$A$5000,0),1,,,"LM7 Non-ENG"),IF(IFERROR(VLOOKUP(B406&amp;"PT",'LM7 Non-ENG'!$A$1:$A$5000,1,FALSE),"ERROR")=B406&amp;"PT","Y","")),"")</f>
        <v/>
      </c>
      <c r="I406" t="str">
        <f>IFERROR(VLOOKUP(B406,PN!$A:$C,3,FALSE),"")</f>
        <v>Active</v>
      </c>
      <c r="J406" s="3">
        <f>IFERROR(E406*VLOOKUP(B406,PLInter!$A:$D,3,FALSE),"")</f>
        <v>2188</v>
      </c>
      <c r="K406" s="66"/>
      <c r="L406" s="66"/>
      <c r="M406" s="66"/>
      <c r="N406" s="66"/>
      <c r="O406" s="66"/>
      <c r="P406" s="66"/>
      <c r="Q406" s="66"/>
      <c r="R406" s="66"/>
      <c r="S406" s="66"/>
    </row>
    <row r="407" spans="2:19" ht="18" customHeight="1">
      <c r="B407" t="s">
        <v>470</v>
      </c>
      <c r="C407" t="s">
        <v>713</v>
      </c>
      <c r="D407" s="4"/>
      <c r="E407" s="4">
        <v>1</v>
      </c>
      <c r="F407" s="4"/>
      <c r="G407" s="29" t="str">
        <f>IFERROR(HYPERLINK("#"&amp;ADDRESS(MATCH(B407&amp;"ES",'LM7 Non-ENG'!$A$1:$A$5000,0),1,,,"LM7 Non-ENG"),IF(IFERROR(VLOOKUP(B407&amp;"ES",'LM7 Non-ENG'!$A$1:$A$4999,1,FALSE),"ERROR")=B407&amp;"ES","Y","")),"")</f>
        <v/>
      </c>
      <c r="H407" s="29" t="str">
        <f>IFERROR(HYPERLINK("#"&amp;ADDRESS(MATCH(B407&amp;"PT",'LM7 Non-ENG'!$A$1:$A$5000,0),1,,,"LM7 Non-ENG"),IF(IFERROR(VLOOKUP(B407&amp;"PT",'LM7 Non-ENG'!$A$1:$A$5000,1,FALSE),"ERROR")=B407&amp;"PT","Y","")),"")</f>
        <v/>
      </c>
      <c r="I407" t="str">
        <f>IFERROR(VLOOKUP(B407,PN!$A:$C,3,FALSE),"")</f>
        <v>Active</v>
      </c>
      <c r="J407" s="3">
        <f>IFERROR(E407*VLOOKUP(B407,PLInter!$A:$D,3,FALSE),"")</f>
        <v>207</v>
      </c>
      <c r="K407" s="66"/>
      <c r="L407" s="66"/>
      <c r="M407" s="66"/>
      <c r="N407" s="66"/>
      <c r="O407" s="66"/>
      <c r="P407" s="66"/>
      <c r="Q407" s="66"/>
      <c r="R407" s="66"/>
      <c r="S407" s="66"/>
    </row>
    <row r="408" spans="2:19" ht="18" customHeight="1">
      <c r="B408" t="s">
        <v>473</v>
      </c>
      <c r="C408" t="s">
        <v>714</v>
      </c>
      <c r="D408" s="4"/>
      <c r="E408" s="4">
        <v>1</v>
      </c>
      <c r="F408" s="4"/>
      <c r="G408" s="29" t="str">
        <f>IFERROR(HYPERLINK("#"&amp;ADDRESS(MATCH(B408&amp;"ES",'LM7 Non-ENG'!$A$1:$A$5000,0),1,,,"LM7 Non-ENG"),IF(IFERROR(VLOOKUP(B408&amp;"ES",'LM7 Non-ENG'!$A$1:$A$4999,1,FALSE),"ERROR")=B408&amp;"ES","Y","")),"")</f>
        <v/>
      </c>
      <c r="H408" s="29" t="str">
        <f>IFERROR(HYPERLINK("#"&amp;ADDRESS(MATCH(B408&amp;"PT",'LM7 Non-ENG'!$A$1:$A$5000,0),1,,,"LM7 Non-ENG"),IF(IFERROR(VLOOKUP(B408&amp;"PT",'LM7 Non-ENG'!$A$1:$A$5000,1,FALSE),"ERROR")=B408&amp;"PT","Y","")),"")</f>
        <v/>
      </c>
      <c r="I408" t="str">
        <f>IFERROR(VLOOKUP(B408,PN!$A:$C,3,FALSE),"")</f>
        <v>Active</v>
      </c>
      <c r="J408" s="3">
        <f>IFERROR(E408*VLOOKUP(B408,PLInter!$A:$D,3,FALSE),"")</f>
        <v>200</v>
      </c>
      <c r="K408" s="66"/>
      <c r="L408" s="66"/>
      <c r="M408" s="66"/>
      <c r="N408" s="66"/>
      <c r="O408" s="66"/>
      <c r="P408" s="66"/>
      <c r="Q408" s="66"/>
      <c r="R408" s="66"/>
      <c r="S408" s="66"/>
    </row>
    <row r="409" spans="2:19" ht="18" customHeight="1">
      <c r="B409" t="s">
        <v>478</v>
      </c>
      <c r="C409" t="s">
        <v>800</v>
      </c>
      <c r="D409" s="4"/>
      <c r="E409" s="4">
        <v>1</v>
      </c>
      <c r="F409" s="4"/>
      <c r="G409" s="29" t="str">
        <f>IFERROR(HYPERLINK("#"&amp;ADDRESS(MATCH(B409&amp;"ES",'LM7 Non-ENG'!$A$1:$A$5000,0),1,,,"LM7 Non-ENG"),IF(IFERROR(VLOOKUP(B409&amp;"ES",'LM7 Non-ENG'!$A$1:$A$4999,1,FALSE),"ERROR")=B409&amp;"ES","Y","")),"")</f>
        <v/>
      </c>
      <c r="H409" s="29" t="str">
        <f>IFERROR(HYPERLINK("#"&amp;ADDRESS(MATCH(B409&amp;"PT",'LM7 Non-ENG'!$A$1:$A$5000,0),1,,,"LM7 Non-ENG"),IF(IFERROR(VLOOKUP(B409&amp;"PT",'LM7 Non-ENG'!$A$1:$A$5000,1,FALSE),"ERROR")=B409&amp;"PT","Y","")),"")</f>
        <v/>
      </c>
      <c r="I409" t="str">
        <f>IFERROR(VLOOKUP(B409,PN!$A:$C,3,FALSE),"")</f>
        <v>Active</v>
      </c>
      <c r="J409" s="3">
        <f>IFERROR(E409*VLOOKUP(B409,PLInter!$A:$D,3,FALSE),"")</f>
        <v>795</v>
      </c>
      <c r="K409" s="66"/>
      <c r="L409" s="66"/>
      <c r="M409" s="66"/>
      <c r="N409" s="66"/>
      <c r="O409" s="66"/>
      <c r="P409" s="66"/>
      <c r="Q409" s="66"/>
      <c r="R409" s="66"/>
      <c r="S409" s="66"/>
    </row>
    <row r="410" spans="2:19" ht="18" customHeight="1">
      <c r="B410" t="s">
        <v>484</v>
      </c>
      <c r="C410" t="s">
        <v>725</v>
      </c>
      <c r="D410" s="4"/>
      <c r="E410" s="4">
        <v>1</v>
      </c>
      <c r="F410" s="4"/>
      <c r="G410" s="29" t="str">
        <f>IFERROR(HYPERLINK("#"&amp;ADDRESS(MATCH(B410&amp;"ES",'LM7 Non-ENG'!$A$1:$A$5000,0),1,,,"LM7 Non-ENG"),IF(IFERROR(VLOOKUP(B410&amp;"ES",'LM7 Non-ENG'!$A$1:$A$4999,1,FALSE),"ERROR")=B410&amp;"ES","Y","")),"")</f>
        <v/>
      </c>
      <c r="H410" s="29" t="str">
        <f>IFERROR(HYPERLINK("#"&amp;ADDRESS(MATCH(B410&amp;"PT",'LM7 Non-ENG'!$A$1:$A$5000,0),1,,,"LM7 Non-ENG"),IF(IFERROR(VLOOKUP(B410&amp;"PT",'LM7 Non-ENG'!$A$1:$A$5000,1,FALSE),"ERROR")=B410&amp;"PT","Y","")),"")</f>
        <v/>
      </c>
      <c r="I410" t="str">
        <f>IFERROR(VLOOKUP(B410,PN!$A:$C,3,FALSE),"")</f>
        <v>Active</v>
      </c>
      <c r="J410" s="3">
        <f>IFERROR(E410*VLOOKUP(B410,PLInter!$A:$D,3,FALSE),"")</f>
        <v>157</v>
      </c>
      <c r="K410" s="66"/>
      <c r="L410" s="66"/>
      <c r="M410" s="66"/>
      <c r="N410" s="66"/>
      <c r="O410" s="66"/>
      <c r="P410" s="66"/>
      <c r="Q410" s="66"/>
      <c r="R410" s="66"/>
      <c r="S410" s="66"/>
    </row>
    <row r="411" spans="2:19" ht="18" customHeight="1">
      <c r="B411" t="s">
        <v>553</v>
      </c>
      <c r="C411" t="s">
        <v>733</v>
      </c>
      <c r="D411" s="4"/>
      <c r="E411" s="4">
        <v>1</v>
      </c>
      <c r="F411" s="4"/>
      <c r="G411" s="29" t="str">
        <f>IFERROR(HYPERLINK("#"&amp;ADDRESS(MATCH(B411&amp;"ES",'LM7 Non-ENG'!$A$1:$A$5000,0),1,,,"LM7 Non-ENG"),IF(IFERROR(VLOOKUP(B411&amp;"ES",'LM7 Non-ENG'!$A$1:$A$4999,1,FALSE),"ERROR")=B411&amp;"ES","Y","")),"")</f>
        <v/>
      </c>
      <c r="H411" s="29" t="str">
        <f>IFERROR(HYPERLINK("#"&amp;ADDRESS(MATCH(B411&amp;"PT",'LM7 Non-ENG'!$A$1:$A$5000,0),1,,,"LM7 Non-ENG"),IF(IFERROR(VLOOKUP(B411&amp;"PT",'LM7 Non-ENG'!$A$1:$A$5000,1,FALSE),"ERROR")=B411&amp;"PT","Y","")),"")</f>
        <v/>
      </c>
      <c r="I411" t="str">
        <f>IFERROR(VLOOKUP(B411,PN!$A:$C,3,FALSE),"")</f>
        <v>Active</v>
      </c>
      <c r="J411" s="3">
        <f>IFERROR(E411*VLOOKUP(B411,PLInter!$A:$D,3,FALSE),"")</f>
        <v>500</v>
      </c>
      <c r="K411" s="66"/>
      <c r="L411" s="66"/>
      <c r="M411" s="66"/>
      <c r="N411" s="66"/>
      <c r="O411" s="66"/>
      <c r="P411" s="66"/>
      <c r="Q411" s="66"/>
      <c r="R411" s="66"/>
      <c r="S411" s="66"/>
    </row>
    <row r="412" spans="2:19" ht="18" customHeight="1">
      <c r="B412" t="s">
        <v>568</v>
      </c>
      <c r="C412" t="s">
        <v>731</v>
      </c>
      <c r="D412" s="4"/>
      <c r="E412" s="4">
        <v>1</v>
      </c>
      <c r="F412" s="4"/>
      <c r="G412" s="29" t="str">
        <f>IFERROR(HYPERLINK("#"&amp;ADDRESS(MATCH(B412&amp;"ES",'LM7 Non-ENG'!$A$1:$A$5000,0),1,,,"LM7 Non-ENG"),IF(IFERROR(VLOOKUP(B412&amp;"ES",'LM7 Non-ENG'!$A$1:$A$4999,1,FALSE),"ERROR")=B412&amp;"ES","Y","")),"")</f>
        <v/>
      </c>
      <c r="H412" s="29" t="str">
        <f>IFERROR(HYPERLINK("#"&amp;ADDRESS(MATCH(B412&amp;"PT",'LM7 Non-ENG'!$A$1:$A$5000,0),1,,,"LM7 Non-ENG"),IF(IFERROR(VLOOKUP(B412&amp;"PT",'LM7 Non-ENG'!$A$1:$A$5000,1,FALSE),"ERROR")=B412&amp;"PT","Y","")),"")</f>
        <v/>
      </c>
      <c r="I412" t="str">
        <f>IFERROR(VLOOKUP(B412,PN!$A:$C,3,FALSE),"")</f>
        <v>Active</v>
      </c>
      <c r="J412" s="3">
        <f>IFERROR(E412*VLOOKUP(B412,PLInter!$A:$D,3,FALSE),"")</f>
        <v>500</v>
      </c>
      <c r="K412" s="66"/>
      <c r="L412" s="66"/>
      <c r="M412" s="66"/>
      <c r="N412" s="66"/>
      <c r="O412" s="66"/>
      <c r="P412" s="66"/>
      <c r="Q412" s="66"/>
      <c r="R412" s="66"/>
      <c r="S412" s="66"/>
    </row>
    <row r="413" spans="2:19" ht="18" customHeight="1">
      <c r="B413" t="s">
        <v>569</v>
      </c>
      <c r="C413" t="s">
        <v>732</v>
      </c>
      <c r="D413" s="4"/>
      <c r="E413" s="4">
        <v>1</v>
      </c>
      <c r="F413" s="4"/>
      <c r="G413" s="29" t="str">
        <f>IFERROR(HYPERLINK("#"&amp;ADDRESS(MATCH(B413&amp;"ES",'LM7 Non-ENG'!$A$1:$A$5000,0),1,,,"LM7 Non-ENG"),IF(IFERROR(VLOOKUP(B413&amp;"ES",'LM7 Non-ENG'!$A$1:$A$4999,1,FALSE),"ERROR")=B413&amp;"ES","Y","")),"")</f>
        <v/>
      </c>
      <c r="H413" s="29" t="str">
        <f>IFERROR(HYPERLINK("#"&amp;ADDRESS(MATCH(B413&amp;"PT",'LM7 Non-ENG'!$A$1:$A$5000,0),1,,,"LM7 Non-ENG"),IF(IFERROR(VLOOKUP(B413&amp;"PT",'LM7 Non-ENG'!$A$1:$A$5000,1,FALSE),"ERROR")=B413&amp;"PT","Y","")),"")</f>
        <v/>
      </c>
      <c r="I413" t="str">
        <f>IFERROR(VLOOKUP(B413,PN!$A:$C,3,FALSE),"")</f>
        <v>Active</v>
      </c>
      <c r="J413" s="3">
        <f>IFERROR(E413*VLOOKUP(B413,PLInter!$A:$D,3,FALSE),"")</f>
        <v>500</v>
      </c>
      <c r="K413" s="66"/>
      <c r="L413" s="66"/>
      <c r="M413" s="66"/>
      <c r="N413" s="66"/>
      <c r="O413" s="66"/>
      <c r="P413" s="66"/>
      <c r="Q413" s="66"/>
      <c r="R413" s="66"/>
      <c r="S413" s="66"/>
    </row>
    <row r="414" spans="2:19" ht="18" customHeight="1">
      <c r="B414" t="str">
        <f>"113034"</f>
        <v>113034</v>
      </c>
      <c r="C414" t="s">
        <v>695</v>
      </c>
      <c r="D414" s="4"/>
      <c r="E414" s="4">
        <v>50</v>
      </c>
      <c r="F414" s="4"/>
      <c r="G414" s="29" t="str">
        <f>IFERROR(HYPERLINK("#"&amp;ADDRESS(MATCH(B414&amp;"ES",'LM7 Non-ENG'!$A$1:$A$5000,0),1,,,"LM7 Non-ENG"),IF(IFERROR(VLOOKUP(B414&amp;"ES",'LM7 Non-ENG'!$A$1:$A$4999,1,FALSE),"ERROR")=B414&amp;"ES","Y","")),"")</f>
        <v/>
      </c>
      <c r="H414" s="29" t="str">
        <f>IFERROR(HYPERLINK("#"&amp;ADDRESS(MATCH(B414&amp;"PT",'LM7 Non-ENG'!$A$1:$A$5000,0),1,,,"LM7 Non-ENG"),IF(IFERROR(VLOOKUP(B414&amp;"PT",'LM7 Non-ENG'!$A$1:$A$5000,1,FALSE),"ERROR")=B414&amp;"PT","Y","")),"")</f>
        <v/>
      </c>
      <c r="I414" t="str">
        <f>IFERROR(VLOOKUP(B414,PN!$A:$C,3,FALSE),"")</f>
        <v>Active</v>
      </c>
      <c r="J414" s="3">
        <f>IFERROR(E414*VLOOKUP(B414,PLInter!$A:$D,3,FALSE),"")</f>
        <v>750</v>
      </c>
      <c r="K414" s="66"/>
      <c r="L414" s="66"/>
      <c r="M414" s="66"/>
      <c r="N414" s="66"/>
      <c r="O414" s="66"/>
      <c r="P414" s="66"/>
      <c r="Q414" s="66"/>
      <c r="R414" s="66"/>
      <c r="S414" s="66"/>
    </row>
    <row r="415" spans="2:19" ht="18" customHeight="1">
      <c r="B415" t="s">
        <v>801</v>
      </c>
      <c r="C415" t="s">
        <v>802</v>
      </c>
      <c r="D415" s="4"/>
      <c r="E415" s="4">
        <v>1</v>
      </c>
      <c r="F415" s="4"/>
      <c r="G415" s="29" t="str">
        <f>IFERROR(HYPERLINK("#"&amp;ADDRESS(MATCH(B415&amp;"ES",'LM7 Non-ENG'!$A$1:$A$5000,0),1,,,"LM7 Non-ENG"),IF(IFERROR(VLOOKUP(B415&amp;"ES",'LM7 Non-ENG'!$A$1:$A$4999,1,FALSE),"ERROR")=B415&amp;"ES","Y","")),"")</f>
        <v/>
      </c>
      <c r="H415" s="29" t="str">
        <f>IFERROR(HYPERLINK("#"&amp;ADDRESS(MATCH(B415&amp;"PT",'LM7 Non-ENG'!$A$1:$A$5000,0),1,,,"LM7 Non-ENG"),IF(IFERROR(VLOOKUP(B415&amp;"PT",'LM7 Non-ENG'!$A$1:$A$5000,1,FALSE),"ERROR")=B415&amp;"PT","Y","")),"")</f>
        <v/>
      </c>
      <c r="I415" t="str">
        <f>IFERROR(VLOOKUP(B415,PN!$A:$C,3,FALSE),"")</f>
        <v>Active</v>
      </c>
      <c r="J415" s="3">
        <f>IFERROR(E415*VLOOKUP(B415,PLInter!$A:$D,3,FALSE),"")</f>
        <v>667</v>
      </c>
      <c r="K415" s="66"/>
      <c r="L415" s="66"/>
      <c r="M415" s="66"/>
      <c r="N415" s="66"/>
      <c r="O415" s="66"/>
      <c r="P415" s="66"/>
      <c r="Q415" s="66"/>
      <c r="R415" s="66"/>
      <c r="S415" s="66"/>
    </row>
    <row r="416" spans="2:19" ht="18" customHeight="1">
      <c r="B416" t="s">
        <v>457</v>
      </c>
      <c r="C416" t="s">
        <v>466</v>
      </c>
      <c r="D416" s="4"/>
      <c r="E416" s="4">
        <v>1</v>
      </c>
      <c r="F416" s="4"/>
      <c r="G416" s="29" t="str">
        <f>IFERROR(HYPERLINK("#"&amp;ADDRESS(MATCH(B416&amp;"ES",'LM7 Non-ENG'!$A$1:$A$5000,0),1,,,"LM7 Non-ENG"),IF(IFERROR(VLOOKUP(B416&amp;"ES",'LM7 Non-ENG'!$A$1:$A$4999,1,FALSE),"ERROR")=B416&amp;"ES","Y","")),"")</f>
        <v/>
      </c>
      <c r="H416" s="29" t="str">
        <f>IFERROR(HYPERLINK("#"&amp;ADDRESS(MATCH(B416&amp;"PT",'LM7 Non-ENG'!$A$1:$A$5000,0),1,,,"LM7 Non-ENG"),IF(IFERROR(VLOOKUP(B416&amp;"PT",'LM7 Non-ENG'!$A$1:$A$5000,1,FALSE),"ERROR")=B416&amp;"PT","Y","")),"")</f>
        <v/>
      </c>
      <c r="I416" t="str">
        <f>IFERROR(VLOOKUP(B416,PN!$A:$C,3,FALSE),"")</f>
        <v>Active</v>
      </c>
      <c r="J416" s="3">
        <f>IFERROR(E416*VLOOKUP(B416,PLInter!$A:$D,3,FALSE),"")</f>
        <v>20994</v>
      </c>
      <c r="K416" s="66"/>
      <c r="L416" s="66"/>
      <c r="M416" s="66"/>
      <c r="N416" s="66"/>
      <c r="O416" s="66"/>
      <c r="P416" s="66"/>
      <c r="Q416" s="66"/>
      <c r="R416" s="66"/>
      <c r="S416" s="66"/>
    </row>
    <row r="417" spans="2:19" ht="18" customHeight="1">
      <c r="B417" s="2" t="s">
        <v>456</v>
      </c>
      <c r="C417" s="2" t="s">
        <v>465</v>
      </c>
      <c r="D417" s="5"/>
      <c r="E417" s="5">
        <v>1</v>
      </c>
      <c r="F417" s="5" t="s">
        <v>0</v>
      </c>
      <c r="G417" s="29" t="str">
        <f>IFERROR(HYPERLINK("#"&amp;ADDRESS(MATCH(B417&amp;"ES",'LM7 Non-ENG'!$A$1:$A$5000,0),1,,,"LM7 Non-ENG"),IF(IFERROR(VLOOKUP(B417&amp;"ES",'LM7 Non-ENG'!$A$1:$A$4999,1,FALSE),"ERROR")=B417&amp;"ES","Y","")),"")</f>
        <v/>
      </c>
      <c r="H417" s="29" t="str">
        <f>IFERROR(HYPERLINK("#"&amp;ADDRESS(MATCH(B417&amp;"PT",'LM7 Non-ENG'!$A$1:$A$5000,0),1,,,"LM7 Non-ENG"),IF(IFERROR(VLOOKUP(B417&amp;"PT",'LM7 Non-ENG'!$A$1:$A$5000,1,FALSE),"ERROR")=B417&amp;"PT","Y","")),"")</f>
        <v/>
      </c>
      <c r="I417" t="str">
        <f>IFERROR(VLOOKUP(B417,PN!$A:$C,3,FALSE),"")</f>
        <v>Active</v>
      </c>
      <c r="J417" s="3">
        <f>IFERROR(E417*VLOOKUP(B417,PLInter!$A:$D,3,FALSE),"")</f>
        <v>20994</v>
      </c>
      <c r="K417" s="66"/>
      <c r="L417" s="66"/>
      <c r="M417" s="66"/>
      <c r="N417" s="66"/>
      <c r="O417" s="66"/>
      <c r="P417" s="66"/>
      <c r="Q417" s="66"/>
      <c r="R417" s="66"/>
      <c r="S417" s="66"/>
    </row>
    <row r="418" spans="2:19" ht="18" customHeight="1">
      <c r="B418" t="s">
        <v>519</v>
      </c>
      <c r="C418" t="s">
        <v>803</v>
      </c>
      <c r="D418" s="4"/>
      <c r="E418" s="4">
        <v>1</v>
      </c>
      <c r="F418" s="4"/>
      <c r="G418" s="29" t="str">
        <f>IFERROR(HYPERLINK("#"&amp;ADDRESS(MATCH(B418&amp;"ES",'LM7 Non-ENG'!$A$1:$A$5000,0),1,,,"LM7 Non-ENG"),IF(IFERROR(VLOOKUP(B418&amp;"ES",'LM7 Non-ENG'!$A$1:$A$4999,1,FALSE),"ERROR")=B418&amp;"ES","Y","")),"")</f>
        <v/>
      </c>
      <c r="H418" s="29" t="str">
        <f>IFERROR(HYPERLINK("#"&amp;ADDRESS(MATCH(B418&amp;"PT",'LM7 Non-ENG'!$A$1:$A$5000,0),1,,,"LM7 Non-ENG"),IF(IFERROR(VLOOKUP(B418&amp;"PT",'LM7 Non-ENG'!$A$1:$A$5000,1,FALSE),"ERROR")=B418&amp;"PT","Y","")),"")</f>
        <v/>
      </c>
      <c r="I418" t="str">
        <f>IFERROR(VLOOKUP(B418,PN!$A:$C,3,FALSE),"")</f>
        <v>Active</v>
      </c>
      <c r="J418" s="3">
        <f>IFERROR(E418*VLOOKUP(B418,PLInter!$A:$D,3,FALSE),"")</f>
        <v>1595</v>
      </c>
      <c r="K418" s="66"/>
      <c r="L418" s="66"/>
      <c r="M418" s="66"/>
      <c r="N418" s="66"/>
      <c r="O418" s="66"/>
      <c r="P418" s="66"/>
      <c r="Q418" s="66"/>
      <c r="R418" s="66"/>
      <c r="S418" s="66"/>
    </row>
    <row r="419" spans="2:19" ht="18" customHeight="1">
      <c r="B419" t="s">
        <v>516</v>
      </c>
      <c r="C419" t="s">
        <v>804</v>
      </c>
      <c r="D419" s="4"/>
      <c r="E419" s="4">
        <v>1</v>
      </c>
      <c r="F419" s="4"/>
      <c r="G419" s="29" t="str">
        <f>IFERROR(HYPERLINK("#"&amp;ADDRESS(MATCH(B419&amp;"ES",'LM7 Non-ENG'!$A$1:$A$5000,0),1,,,"LM7 Non-ENG"),IF(IFERROR(VLOOKUP(B419&amp;"ES",'LM7 Non-ENG'!$A$1:$A$4999,1,FALSE),"ERROR")=B419&amp;"ES","Y","")),"")</f>
        <v/>
      </c>
      <c r="H419" s="29" t="str">
        <f>IFERROR(HYPERLINK("#"&amp;ADDRESS(MATCH(B419&amp;"PT",'LM7 Non-ENG'!$A$1:$A$5000,0),1,,,"LM7 Non-ENG"),IF(IFERROR(VLOOKUP(B419&amp;"PT",'LM7 Non-ENG'!$A$1:$A$5000,1,FALSE),"ERROR")=B419&amp;"PT","Y","")),"")</f>
        <v/>
      </c>
      <c r="I419" t="str">
        <f>IFERROR(VLOOKUP(B419,PN!$A:$C,3,FALSE),"")</f>
        <v>Active</v>
      </c>
      <c r="J419" s="3">
        <f>IFERROR(E419*VLOOKUP(B419,PLInter!$A:$D,3,FALSE),"")</f>
        <v>2126</v>
      </c>
      <c r="K419" s="66"/>
      <c r="L419" s="66"/>
      <c r="M419" s="66"/>
      <c r="N419" s="66"/>
      <c r="O419" s="66"/>
      <c r="P419" s="66"/>
      <c r="Q419" s="66"/>
      <c r="R419" s="66"/>
      <c r="S419" s="66"/>
    </row>
    <row r="420" spans="2:19" ht="18" customHeight="1">
      <c r="B420" t="s">
        <v>504</v>
      </c>
      <c r="C420" t="s">
        <v>742</v>
      </c>
      <c r="D420" s="4"/>
      <c r="E420" s="4">
        <v>1</v>
      </c>
      <c r="F420" s="4"/>
      <c r="G420" s="29" t="str">
        <f>IFERROR(HYPERLINK("#"&amp;ADDRESS(MATCH(B420&amp;"ES",'LM7 Non-ENG'!$A$1:$A$5000,0),1,,,"LM7 Non-ENG"),IF(IFERROR(VLOOKUP(B420&amp;"ES",'LM7 Non-ENG'!$A$1:$A$4999,1,FALSE),"ERROR")=B420&amp;"ES","Y","")),"")</f>
        <v/>
      </c>
      <c r="H420" s="29" t="str">
        <f>IFERROR(HYPERLINK("#"&amp;ADDRESS(MATCH(B420&amp;"PT",'LM7 Non-ENG'!$A$1:$A$5000,0),1,,,"LM7 Non-ENG"),IF(IFERROR(VLOOKUP(B420&amp;"PT",'LM7 Non-ENG'!$A$1:$A$5000,1,FALSE),"ERROR")=B420&amp;"PT","Y","")),"")</f>
        <v/>
      </c>
      <c r="I420" t="str">
        <f>IFERROR(VLOOKUP(B420,PN!$A:$C,3,FALSE),"")</f>
        <v>Active</v>
      </c>
      <c r="J420" s="3">
        <f>IFERROR(E420*VLOOKUP(B420,PLInter!$A:$D,3,FALSE),"")</f>
        <v>227</v>
      </c>
      <c r="K420" s="66"/>
      <c r="L420" s="66"/>
      <c r="M420" s="66"/>
      <c r="N420" s="66"/>
      <c r="O420" s="66"/>
      <c r="P420" s="66"/>
      <c r="Q420" s="66"/>
      <c r="R420" s="66"/>
      <c r="S420" s="66"/>
    </row>
    <row r="421" spans="2:19" ht="18" customHeight="1">
      <c r="B421" t="s">
        <v>505</v>
      </c>
      <c r="C421" t="s">
        <v>743</v>
      </c>
      <c r="D421" s="4"/>
      <c r="E421" s="4">
        <v>1</v>
      </c>
      <c r="F421" s="4"/>
      <c r="G421" s="29" t="str">
        <f>IFERROR(HYPERLINK("#"&amp;ADDRESS(MATCH(B421&amp;"ES",'LM7 Non-ENG'!$A$1:$A$5000,0),1,,,"LM7 Non-ENG"),IF(IFERROR(VLOOKUP(B421&amp;"ES",'LM7 Non-ENG'!$A$1:$A$4999,1,FALSE),"ERROR")=B421&amp;"ES","Y","")),"")</f>
        <v/>
      </c>
      <c r="H421" s="29" t="str">
        <f>IFERROR(HYPERLINK("#"&amp;ADDRESS(MATCH(B421&amp;"PT",'LM7 Non-ENG'!$A$1:$A$5000,0),1,,,"LM7 Non-ENG"),IF(IFERROR(VLOOKUP(B421&amp;"PT",'LM7 Non-ENG'!$A$1:$A$5000,1,FALSE),"ERROR")=B421&amp;"PT","Y","")),"")</f>
        <v/>
      </c>
      <c r="I421" t="str">
        <f>IFERROR(VLOOKUP(B421,PN!$A:$C,3,FALSE),"")</f>
        <v>Active</v>
      </c>
      <c r="J421" s="3">
        <f>IFERROR(E421*VLOOKUP(B421,PLInter!$A:$D,3,FALSE),"")</f>
        <v>200</v>
      </c>
      <c r="K421" s="66"/>
      <c r="L421" s="66"/>
      <c r="M421" s="66"/>
      <c r="N421" s="66"/>
      <c r="O421" s="66"/>
      <c r="P421" s="66"/>
      <c r="Q421" s="66"/>
      <c r="R421" s="66"/>
      <c r="S421" s="66"/>
    </row>
    <row r="422" spans="2:19" ht="18" customHeight="1">
      <c r="B422" t="s">
        <v>502</v>
      </c>
      <c r="C422" t="s">
        <v>744</v>
      </c>
      <c r="D422" s="4"/>
      <c r="E422" s="4">
        <v>1</v>
      </c>
      <c r="F422" s="4"/>
      <c r="G422" s="29" t="str">
        <f>IFERROR(HYPERLINK("#"&amp;ADDRESS(MATCH(B422&amp;"ES",'LM7 Non-ENG'!$A$1:$A$5000,0),1,,,"LM7 Non-ENG"),IF(IFERROR(VLOOKUP(B422&amp;"ES",'LM7 Non-ENG'!$A$1:$A$4999,1,FALSE),"ERROR")=B422&amp;"ES","Y","")),"")</f>
        <v/>
      </c>
      <c r="H422" s="29" t="str">
        <f>IFERROR(HYPERLINK("#"&amp;ADDRESS(MATCH(B422&amp;"PT",'LM7 Non-ENG'!$A$1:$A$5000,0),1,,,"LM7 Non-ENG"),IF(IFERROR(VLOOKUP(B422&amp;"PT",'LM7 Non-ENG'!$A$1:$A$5000,1,FALSE),"ERROR")=B422&amp;"PT","Y","")),"")</f>
        <v/>
      </c>
      <c r="I422" t="str">
        <f>IFERROR(VLOOKUP(B422,PN!$A:$C,3,FALSE),"")</f>
        <v>Active</v>
      </c>
      <c r="J422" s="3">
        <f>IFERROR(E422*VLOOKUP(B422,PLInter!$A:$D,3,FALSE),"")</f>
        <v>87</v>
      </c>
      <c r="K422" s="66"/>
      <c r="L422" s="66"/>
      <c r="M422" s="66"/>
      <c r="N422" s="66"/>
      <c r="O422" s="66"/>
      <c r="P422" s="66"/>
      <c r="Q422" s="66"/>
      <c r="R422" s="66"/>
      <c r="S422" s="66"/>
    </row>
    <row r="423" spans="2:19" ht="18" customHeight="1">
      <c r="B423" t="s">
        <v>503</v>
      </c>
      <c r="C423" t="s">
        <v>805</v>
      </c>
      <c r="D423" s="4"/>
      <c r="E423" s="4">
        <v>1</v>
      </c>
      <c r="F423" s="4"/>
      <c r="G423" s="29" t="str">
        <f>IFERROR(HYPERLINK("#"&amp;ADDRESS(MATCH(B423&amp;"ES",'LM7 Non-ENG'!$A$1:$A$5000,0),1,,,"LM7 Non-ENG"),IF(IFERROR(VLOOKUP(B423&amp;"ES",'LM7 Non-ENG'!$A$1:$A$4999,1,FALSE),"ERROR")=B423&amp;"ES","Y","")),"")</f>
        <v/>
      </c>
      <c r="H423" s="29" t="str">
        <f>IFERROR(HYPERLINK("#"&amp;ADDRESS(MATCH(B423&amp;"PT",'LM7 Non-ENG'!$A$1:$A$5000,0),1,,,"LM7 Non-ENG"),IF(IFERROR(VLOOKUP(B423&amp;"PT",'LM7 Non-ENG'!$A$1:$A$5000,1,FALSE),"ERROR")=B423&amp;"PT","Y","")),"")</f>
        <v/>
      </c>
      <c r="I423" t="str">
        <f>IFERROR(VLOOKUP(B423,PN!$A:$C,3,FALSE),"")</f>
        <v>Active</v>
      </c>
      <c r="J423" s="3">
        <f>IFERROR(E423*VLOOKUP(B423,PLInter!$A:$D,3,FALSE),"")</f>
        <v>74</v>
      </c>
      <c r="K423" s="66"/>
      <c r="L423" s="66"/>
      <c r="M423" s="66"/>
      <c r="N423" s="66"/>
      <c r="O423" s="66"/>
      <c r="P423" s="66"/>
      <c r="Q423" s="66"/>
      <c r="R423" s="66"/>
      <c r="S423" s="66"/>
    </row>
    <row r="424" spans="2:19" ht="18" customHeight="1">
      <c r="B424" t="s">
        <v>486</v>
      </c>
      <c r="C424" t="s">
        <v>806</v>
      </c>
      <c r="D424" s="4"/>
      <c r="E424" s="4">
        <v>1</v>
      </c>
      <c r="F424" s="4"/>
      <c r="G424" s="29" t="str">
        <f>IFERROR(HYPERLINK("#"&amp;ADDRESS(MATCH(B424&amp;"ES",'LM7 Non-ENG'!$A$1:$A$5000,0),1,,,"LM7 Non-ENG"),IF(IFERROR(VLOOKUP(B424&amp;"ES",'LM7 Non-ENG'!$A$1:$A$4999,1,FALSE),"ERROR")=B424&amp;"ES","Y","")),"")</f>
        <v/>
      </c>
      <c r="H424" s="29" t="str">
        <f>IFERROR(HYPERLINK("#"&amp;ADDRESS(MATCH(B424&amp;"PT",'LM7 Non-ENG'!$A$1:$A$5000,0),1,,,"LM7 Non-ENG"),IF(IFERROR(VLOOKUP(B424&amp;"PT",'LM7 Non-ENG'!$A$1:$A$5000,1,FALSE),"ERROR")=B424&amp;"PT","Y","")),"")</f>
        <v/>
      </c>
      <c r="I424" t="str">
        <f>IFERROR(VLOOKUP(B424,PN!$A:$C,3,FALSE),"")</f>
        <v>Active</v>
      </c>
      <c r="J424" s="3">
        <f>IFERROR(E424*VLOOKUP(B424,PLInter!$A:$D,3,FALSE),"")</f>
        <v>313</v>
      </c>
      <c r="K424" s="66"/>
      <c r="L424" s="66"/>
      <c r="M424" s="66"/>
      <c r="N424" s="66"/>
      <c r="O424" s="66"/>
      <c r="P424" s="66"/>
      <c r="Q424" s="66"/>
      <c r="R424" s="66"/>
      <c r="S424" s="66"/>
    </row>
    <row r="425" spans="2:19" ht="18" customHeight="1">
      <c r="B425" t="s">
        <v>562</v>
      </c>
      <c r="C425" t="s">
        <v>807</v>
      </c>
      <c r="D425" s="4"/>
      <c r="E425" s="4">
        <v>1</v>
      </c>
      <c r="F425" s="4"/>
      <c r="G425" s="29" t="str">
        <f>IFERROR(HYPERLINK("#"&amp;ADDRESS(MATCH(B425&amp;"ES",'LM7 Non-ENG'!$A$1:$A$5000,0),1,,,"LM7 Non-ENG"),IF(IFERROR(VLOOKUP(B425&amp;"ES",'LM7 Non-ENG'!$A$1:$A$4999,1,FALSE),"ERROR")=B425&amp;"ES","Y","")),"")</f>
        <v/>
      </c>
      <c r="H425" s="29" t="str">
        <f>IFERROR(HYPERLINK("#"&amp;ADDRESS(MATCH(B425&amp;"PT",'LM7 Non-ENG'!$A$1:$A$5000,0),1,,,"LM7 Non-ENG"),IF(IFERROR(VLOOKUP(B425&amp;"PT",'LM7 Non-ENG'!$A$1:$A$5000,1,FALSE),"ERROR")=B425&amp;"PT","Y","")),"")</f>
        <v/>
      </c>
      <c r="I425" t="str">
        <f>IFERROR(VLOOKUP(B425,PN!$A:$C,3,FALSE),"")</f>
        <v>Active</v>
      </c>
      <c r="J425" s="3">
        <f>IFERROR(E425*VLOOKUP(B425,PLInter!$A:$D,3,FALSE),"")</f>
        <v>500</v>
      </c>
      <c r="K425" s="66"/>
      <c r="L425" s="66"/>
      <c r="M425" s="66"/>
      <c r="N425" s="66"/>
      <c r="O425" s="66"/>
      <c r="P425" s="66"/>
      <c r="Q425" s="66"/>
      <c r="R425" s="66"/>
      <c r="S425" s="66"/>
    </row>
    <row r="426" spans="2:19" ht="18" customHeight="1">
      <c r="B426" t="s">
        <v>572</v>
      </c>
      <c r="C426" t="s">
        <v>749</v>
      </c>
      <c r="D426" s="4"/>
      <c r="E426" s="4">
        <v>1</v>
      </c>
      <c r="F426" s="4"/>
      <c r="G426" s="29" t="str">
        <f>IFERROR(HYPERLINK("#"&amp;ADDRESS(MATCH(B426&amp;"ES",'LM7 Non-ENG'!$A$1:$A$5000,0),1,,,"LM7 Non-ENG"),IF(IFERROR(VLOOKUP(B426&amp;"ES",'LM7 Non-ENG'!$A$1:$A$4999,1,FALSE),"ERROR")=B426&amp;"ES","Y","")),"")</f>
        <v/>
      </c>
      <c r="H426" s="29" t="str">
        <f>IFERROR(HYPERLINK("#"&amp;ADDRESS(MATCH(B426&amp;"PT",'LM7 Non-ENG'!$A$1:$A$5000,0),1,,,"LM7 Non-ENG"),IF(IFERROR(VLOOKUP(B426&amp;"PT",'LM7 Non-ENG'!$A$1:$A$5000,1,FALSE),"ERROR")=B426&amp;"PT","Y","")),"")</f>
        <v/>
      </c>
      <c r="I426" t="str">
        <f>IFERROR(VLOOKUP(B426,PN!$A:$C,3,FALSE),"")</f>
        <v>Active</v>
      </c>
      <c r="J426" s="3">
        <f>IFERROR(E426*VLOOKUP(B426,PLInter!$A:$D,3,FALSE),"")</f>
        <v>500</v>
      </c>
      <c r="K426" s="66"/>
      <c r="L426" s="66"/>
      <c r="M426" s="66"/>
      <c r="N426" s="66"/>
      <c r="O426" s="66"/>
      <c r="P426" s="66"/>
      <c r="Q426" s="66"/>
      <c r="R426" s="66"/>
      <c r="S426" s="66"/>
    </row>
    <row r="427" spans="2:19" ht="18" customHeight="1">
      <c r="B427" t="str">
        <f>"112496"</f>
        <v>112496</v>
      </c>
      <c r="C427" t="s">
        <v>696</v>
      </c>
      <c r="D427" s="4"/>
      <c r="E427" s="4">
        <v>50</v>
      </c>
      <c r="F427" s="4"/>
      <c r="G427" s="29" t="str">
        <f>IFERROR(HYPERLINK("#"&amp;ADDRESS(MATCH(B427&amp;"ES",'LM7 Non-ENG'!$A$1:$A$5000,0),1,,,"LM7 Non-ENG"),IF(IFERROR(VLOOKUP(B427&amp;"ES",'LM7 Non-ENG'!$A$1:$A$4999,1,FALSE),"ERROR")=B427&amp;"ES","Y","")),"")</f>
        <v/>
      </c>
      <c r="H427" s="29" t="str">
        <f>IFERROR(HYPERLINK("#"&amp;ADDRESS(MATCH(B427&amp;"PT",'LM7 Non-ENG'!$A$1:$A$5000,0),1,,,"LM7 Non-ENG"),IF(IFERROR(VLOOKUP(B427&amp;"PT",'LM7 Non-ENG'!$A$1:$A$5000,1,FALSE),"ERROR")=B427&amp;"PT","Y","")),"")</f>
        <v/>
      </c>
      <c r="I427" t="str">
        <f>IFERROR(VLOOKUP(B427,PN!$A:$C,3,FALSE),"")</f>
        <v>Active</v>
      </c>
      <c r="J427" s="3">
        <f>IFERROR(E427*VLOOKUP(B427,PLInter!$A:$D,3,FALSE),"")</f>
        <v>1000</v>
      </c>
      <c r="K427" s="66"/>
      <c r="L427" s="66"/>
      <c r="M427" s="66"/>
      <c r="N427" s="66"/>
      <c r="O427" s="66"/>
      <c r="P427" s="66"/>
      <c r="Q427" s="66"/>
      <c r="R427" s="66"/>
      <c r="S427" s="66"/>
    </row>
    <row r="428" spans="2:19" ht="18" customHeight="1">
      <c r="B428" t="s">
        <v>753</v>
      </c>
      <c r="C428" t="s">
        <v>754</v>
      </c>
      <c r="D428" s="4"/>
      <c r="E428" s="4">
        <v>1</v>
      </c>
      <c r="F428" s="4"/>
      <c r="G428" s="29" t="str">
        <f>IFERROR(HYPERLINK("#"&amp;ADDRESS(MATCH(B428&amp;"ES",'LM7 Non-ENG'!$A$1:$A$5000,0),1,,,"LM7 Non-ENG"),IF(IFERROR(VLOOKUP(B428&amp;"ES",'LM7 Non-ENG'!$A$1:$A$4999,1,FALSE),"ERROR")=B428&amp;"ES","Y","")),"")</f>
        <v/>
      </c>
      <c r="H428" s="29" t="str">
        <f>IFERROR(HYPERLINK("#"&amp;ADDRESS(MATCH(B428&amp;"PT",'LM7 Non-ENG'!$A$1:$A$5000,0),1,,,"LM7 Non-ENG"),IF(IFERROR(VLOOKUP(B428&amp;"PT",'LM7 Non-ENG'!$A$1:$A$5000,1,FALSE),"ERROR")=B428&amp;"PT","Y","")),"")</f>
        <v/>
      </c>
      <c r="I428" t="str">
        <f>IFERROR(VLOOKUP(B428,PN!$A:$C,3,FALSE),"")</f>
        <v>Active</v>
      </c>
      <c r="J428" s="3">
        <f>IFERROR(E428*VLOOKUP(B428,PLInter!$A:$D,3,FALSE),"")</f>
        <v>3280</v>
      </c>
      <c r="K428" s="66"/>
      <c r="L428" s="66"/>
      <c r="M428" s="66"/>
      <c r="N428" s="66"/>
      <c r="O428" s="66"/>
      <c r="P428" s="66"/>
      <c r="Q428" s="66"/>
      <c r="R428" s="66"/>
      <c r="S428" s="66"/>
    </row>
    <row r="429" spans="2:19" ht="18" customHeight="1">
      <c r="B429" t="s">
        <v>755</v>
      </c>
      <c r="C429" t="s">
        <v>756</v>
      </c>
      <c r="D429" s="4"/>
      <c r="E429" s="4">
        <v>1</v>
      </c>
      <c r="F429" s="4"/>
      <c r="G429" s="29" t="str">
        <f>IFERROR(HYPERLINK("#"&amp;ADDRESS(MATCH(B429&amp;"ES",'LM7 Non-ENG'!$A$1:$A$5000,0),1,,,"LM7 Non-ENG"),IF(IFERROR(VLOOKUP(B429&amp;"ES",'LM7 Non-ENG'!$A$1:$A$4999,1,FALSE),"ERROR")=B429&amp;"ES","Y","")),"")</f>
        <v/>
      </c>
      <c r="H429" s="29" t="str">
        <f>IFERROR(HYPERLINK("#"&amp;ADDRESS(MATCH(B429&amp;"PT",'LM7 Non-ENG'!$A$1:$A$5000,0),1,,,"LM7 Non-ENG"),IF(IFERROR(VLOOKUP(B429&amp;"PT",'LM7 Non-ENG'!$A$1:$A$5000,1,FALSE),"ERROR")=B429&amp;"PT","Y","")),"")</f>
        <v/>
      </c>
      <c r="I429" t="str">
        <f>IFERROR(VLOOKUP(B429,PN!$A:$C,3,FALSE),"")</f>
        <v>Active</v>
      </c>
      <c r="J429" s="3">
        <f>IFERROR(E429*VLOOKUP(B429,PLInter!$A:$D,3,FALSE),"")</f>
        <v>516</v>
      </c>
      <c r="K429" s="66"/>
      <c r="L429" s="66"/>
      <c r="M429" s="66"/>
      <c r="N429" s="66"/>
      <c r="O429" s="66"/>
      <c r="P429" s="66"/>
      <c r="Q429" s="66"/>
      <c r="R429" s="66"/>
      <c r="S429" s="66"/>
    </row>
    <row r="430" spans="2:19" ht="18" customHeight="1">
      <c r="B430" t="s">
        <v>644</v>
      </c>
      <c r="C430" t="s">
        <v>645</v>
      </c>
      <c r="D430" s="4"/>
      <c r="E430" s="4">
        <v>1</v>
      </c>
      <c r="F430" s="4"/>
      <c r="G430" s="29" t="str">
        <f>IFERROR(HYPERLINK("#"&amp;ADDRESS(MATCH(B430&amp;"ES",'LM7 Non-ENG'!$A$1:$A$5000,0),1,,,"LM7 Non-ENG"),IF(IFERROR(VLOOKUP(B430&amp;"ES",'LM7 Non-ENG'!$A$1:$A$4999,1,FALSE),"ERROR")=B430&amp;"ES","Y","")),"")</f>
        <v/>
      </c>
      <c r="H430" s="29" t="str">
        <f>IFERROR(HYPERLINK("#"&amp;ADDRESS(MATCH(B430&amp;"PT",'LM7 Non-ENG'!$A$1:$A$5000,0),1,,,"LM7 Non-ENG"),IF(IFERROR(VLOOKUP(B430&amp;"PT",'LM7 Non-ENG'!$A$1:$A$5000,1,FALSE),"ERROR")=B430&amp;"PT","Y","")),"")</f>
        <v/>
      </c>
      <c r="I430" t="str">
        <f>IFERROR(VLOOKUP(B430,PN!$A:$C,3,FALSE),"")</f>
        <v>Active</v>
      </c>
      <c r="J430" s="3">
        <f>IFERROR(E430*VLOOKUP(B430,PLInter!$A:$D,3,FALSE),"")</f>
        <v>1800</v>
      </c>
      <c r="K430" s="66"/>
      <c r="L430" s="66"/>
      <c r="M430" s="66"/>
      <c r="N430" s="66"/>
      <c r="O430" s="66"/>
      <c r="P430" s="66"/>
      <c r="Q430" s="66"/>
      <c r="R430" s="66"/>
      <c r="S430" s="66"/>
    </row>
    <row r="431" spans="2:19" ht="18" customHeight="1">
      <c r="B431" t="s">
        <v>630</v>
      </c>
      <c r="C431" t="s">
        <v>631</v>
      </c>
      <c r="D431" s="4"/>
      <c r="E431" s="4">
        <v>1</v>
      </c>
      <c r="F431" s="4"/>
      <c r="G431" s="29" t="str">
        <f>IFERROR(HYPERLINK("#"&amp;ADDRESS(MATCH(B431&amp;"ES",'LM7 Non-ENG'!$A$1:$A$5000,0),1,,,"LM7 Non-ENG"),IF(IFERROR(VLOOKUP(B431&amp;"ES",'LM7 Non-ENG'!$A$1:$A$4999,1,FALSE),"ERROR")=B431&amp;"ES","Y","")),"")</f>
        <v/>
      </c>
      <c r="H431" s="29" t="str">
        <f>IFERROR(HYPERLINK("#"&amp;ADDRESS(MATCH(B431&amp;"PT",'LM7 Non-ENG'!$A$1:$A$5000,0),1,,,"LM7 Non-ENG"),IF(IFERROR(VLOOKUP(B431&amp;"PT",'LM7 Non-ENG'!$A$1:$A$5000,1,FALSE),"ERROR")=B431&amp;"PT","Y","")),"")</f>
        <v/>
      </c>
      <c r="I431" t="str">
        <f>IFERROR(VLOOKUP(B431,PN!$A:$C,3,FALSE),"")</f>
        <v>Active</v>
      </c>
      <c r="J431" s="3">
        <f>IFERROR(E431*VLOOKUP(B431,PLInter!$A:$D,3,FALSE),"")</f>
        <v>1735</v>
      </c>
      <c r="K431" s="66"/>
      <c r="L431" s="66"/>
      <c r="M431" s="66"/>
      <c r="N431" s="66"/>
      <c r="O431" s="66"/>
      <c r="P431" s="66"/>
      <c r="Q431" s="66"/>
      <c r="R431" s="66"/>
      <c r="S431" s="66"/>
    </row>
    <row r="433" spans="1:19" s="7" customFormat="1" ht="18" customHeight="1">
      <c r="A433" s="13" t="s">
        <v>808</v>
      </c>
      <c r="B433" s="13"/>
      <c r="C433" s="13" t="s">
        <v>809</v>
      </c>
      <c r="D433" s="14"/>
      <c r="E433" s="14"/>
      <c r="F433" s="14"/>
      <c r="G433" s="14"/>
      <c r="H433" s="14"/>
      <c r="I433" s="14"/>
      <c r="J433" s="14">
        <f>SUMIFS(J434:J491,D434:D491,"&lt;&gt;Y",F434:F491,"&lt;&gt;Y",I434:I491,"&lt;&gt;Inactive",I434:I491,"&lt;&gt;ECO+NFS")</f>
        <v>95505</v>
      </c>
      <c r="K433" s="14"/>
      <c r="L433" s="14"/>
      <c r="M433" s="14"/>
      <c r="N433" s="14"/>
      <c r="O433" s="14"/>
      <c r="P433" s="14"/>
      <c r="Q433" s="14"/>
      <c r="R433" s="14"/>
      <c r="S433" s="14"/>
    </row>
    <row r="434" spans="1:19" ht="18" customHeight="1">
      <c r="A434" s="17" t="str">
        <f>HYPERLINK("#"&amp;ADDRESS(MATCH(A433,'CIM&amp;FMS'!$A$1:$A$4997,0),1,,,"CIM&amp;FMS"),"Back to Price List")</f>
        <v>Back to Price List</v>
      </c>
      <c r="B434" t="s">
        <v>214</v>
      </c>
      <c r="C434" t="s">
        <v>654</v>
      </c>
      <c r="D434" s="4"/>
      <c r="E434" s="4">
        <v>1</v>
      </c>
      <c r="F434" s="4"/>
      <c r="G434" s="29" t="str">
        <f>IFERROR(HYPERLINK("#"&amp;ADDRESS(MATCH(B434&amp;"ES",'LM7 Non-ENG'!$A$1:$A$5000,0),1,,,"LM7 Non-ENG"),IF(IFERROR(VLOOKUP(B434&amp;"ES",'LM7 Non-ENG'!$A$1:$A$4999,1,FALSE),"ERROR")=B434&amp;"ES","Y","")),"")</f>
        <v/>
      </c>
      <c r="H434" s="29" t="str">
        <f>IFERROR(HYPERLINK("#"&amp;ADDRESS(MATCH(B434&amp;"PT",'LM7 Non-ENG'!$A$1:$A$5000,0),1,,,"LM7 Non-ENG"),IF(IFERROR(VLOOKUP(B434&amp;"PT",'LM7 Non-ENG'!$A$1:$A$5000,1,FALSE),"ERROR")=B434&amp;"PT","Y","")),"")</f>
        <v/>
      </c>
      <c r="I434" t="str">
        <f>IFERROR(VLOOKUP(B434,PN!$A:$C,3,FALSE),"")</f>
        <v>Active</v>
      </c>
      <c r="J434" s="3">
        <f>IFERROR(E434*VLOOKUP(B434,PLInter!$A:$D,3,FALSE),"")</f>
        <v>24000</v>
      </c>
      <c r="K434" s="66"/>
      <c r="L434" s="66"/>
      <c r="M434" s="66"/>
      <c r="N434" s="66"/>
      <c r="O434" s="66"/>
      <c r="P434" s="66"/>
      <c r="Q434" s="66"/>
      <c r="R434" s="66"/>
      <c r="S434" s="66"/>
    </row>
    <row r="435" spans="1:19" ht="18" customHeight="1">
      <c r="B435" t="s">
        <v>228</v>
      </c>
      <c r="C435" t="s">
        <v>655</v>
      </c>
      <c r="D435" s="4"/>
      <c r="E435" s="4">
        <v>1</v>
      </c>
      <c r="F435" s="4"/>
      <c r="G435" s="29" t="str">
        <f>IFERROR(HYPERLINK("#"&amp;ADDRESS(MATCH(B435&amp;"ES",'LM7 Non-ENG'!$A$1:$A$5000,0),1,,,"LM7 Non-ENG"),IF(IFERROR(VLOOKUP(B435&amp;"ES",'LM7 Non-ENG'!$A$1:$A$4999,1,FALSE),"ERROR")=B435&amp;"ES","Y","")),"")</f>
        <v/>
      </c>
      <c r="H435" s="29" t="str">
        <f>IFERROR(HYPERLINK("#"&amp;ADDRESS(MATCH(B435&amp;"PT",'LM7 Non-ENG'!$A$1:$A$5000,0),1,,,"LM7 Non-ENG"),IF(IFERROR(VLOOKUP(B435&amp;"PT",'LM7 Non-ENG'!$A$1:$A$5000,1,FALSE),"ERROR")=B435&amp;"PT","Y","")),"")</f>
        <v/>
      </c>
      <c r="I435" t="str">
        <f>IFERROR(VLOOKUP(B435,PN!$A:$C,3,FALSE),"")</f>
        <v>Active</v>
      </c>
      <c r="J435" s="3">
        <f>IFERROR(E435*VLOOKUP(B435,PLInter!$A:$D,3,FALSE),"")</f>
        <v>2134</v>
      </c>
      <c r="K435" s="66"/>
      <c r="L435" s="66"/>
      <c r="M435" s="66"/>
      <c r="N435" s="66"/>
      <c r="O435" s="66"/>
      <c r="P435" s="66"/>
      <c r="Q435" s="66"/>
      <c r="R435" s="66"/>
      <c r="S435" s="66"/>
    </row>
    <row r="436" spans="1:19" ht="18" customHeight="1">
      <c r="B436" s="2" t="s">
        <v>227</v>
      </c>
      <c r="C436" s="2" t="s">
        <v>232</v>
      </c>
      <c r="D436" s="5"/>
      <c r="E436" s="5">
        <v>1</v>
      </c>
      <c r="F436" s="5" t="s">
        <v>0</v>
      </c>
      <c r="G436" s="29" t="str">
        <f>IFERROR(HYPERLINK("#"&amp;ADDRESS(MATCH(B436&amp;"ES",'LM7 Non-ENG'!$A$1:$A$5000,0),1,,,"LM7 Non-ENG"),IF(IFERROR(VLOOKUP(B436&amp;"ES",'LM7 Non-ENG'!$A$1:$A$4999,1,FALSE),"ERROR")=B436&amp;"ES","Y","")),"")</f>
        <v/>
      </c>
      <c r="H436" s="29" t="str">
        <f>IFERROR(HYPERLINK("#"&amp;ADDRESS(MATCH(B436&amp;"PT",'LM7 Non-ENG'!$A$1:$A$5000,0),1,,,"LM7 Non-ENG"),IF(IFERROR(VLOOKUP(B436&amp;"PT",'LM7 Non-ENG'!$A$1:$A$5000,1,FALSE),"ERROR")=B436&amp;"PT","Y","")),"")</f>
        <v/>
      </c>
      <c r="I436" t="str">
        <f>IFERROR(VLOOKUP(B436,PN!$A:$C,3,FALSE),"")</f>
        <v>Active</v>
      </c>
      <c r="J436" s="3">
        <f>IFERROR(E436*VLOOKUP(B436,PLInter!$A:$D,3,FALSE),"")</f>
        <v>1700</v>
      </c>
      <c r="K436" s="66"/>
      <c r="L436" s="66"/>
      <c r="M436" s="66"/>
      <c r="N436" s="66"/>
      <c r="O436" s="66"/>
      <c r="P436" s="66"/>
      <c r="Q436" s="66"/>
      <c r="R436" s="66"/>
      <c r="S436" s="66"/>
    </row>
    <row r="437" spans="1:19" ht="18" customHeight="1">
      <c r="B437" t="s">
        <v>236</v>
      </c>
      <c r="C437" t="s">
        <v>626</v>
      </c>
      <c r="D437" s="4"/>
      <c r="E437" s="4">
        <v>1</v>
      </c>
      <c r="F437" s="4"/>
      <c r="G437" s="29" t="str">
        <f>IFERROR(HYPERLINK("#"&amp;ADDRESS(MATCH(B437&amp;"ES",'LM7 Non-ENG'!$A$1:$A$5000,0),1,,,"LM7 Non-ENG"),IF(IFERROR(VLOOKUP(B437&amp;"ES",'LM7 Non-ENG'!$A$1:$A$4999,1,FALSE),"ERROR")=B437&amp;"ES","Y","")),"")</f>
        <v/>
      </c>
      <c r="H437" s="29" t="str">
        <f>IFERROR(HYPERLINK("#"&amp;ADDRESS(MATCH(B437&amp;"PT",'LM7 Non-ENG'!$A$1:$A$5000,0),1,,,"LM7 Non-ENG"),IF(IFERROR(VLOOKUP(B437&amp;"PT",'LM7 Non-ENG'!$A$1:$A$5000,1,FALSE),"ERROR")=B437&amp;"PT","Y","")),"")</f>
        <v/>
      </c>
      <c r="I437" t="str">
        <f>IFERROR(VLOOKUP(B437,PN!$A:$C,3,FALSE),"")</f>
        <v>Active</v>
      </c>
      <c r="J437" s="3">
        <f>IFERROR(E437*VLOOKUP(B437,PLInter!$A:$D,3,FALSE),"")</f>
        <v>1680</v>
      </c>
      <c r="K437" s="66"/>
      <c r="L437" s="66"/>
      <c r="M437" s="66"/>
      <c r="N437" s="66"/>
      <c r="O437" s="66"/>
      <c r="P437" s="66"/>
      <c r="Q437" s="66"/>
      <c r="R437" s="66"/>
      <c r="S437" s="66"/>
    </row>
    <row r="438" spans="1:19" ht="18" customHeight="1">
      <c r="B438" t="s">
        <v>797</v>
      </c>
      <c r="C438" t="s">
        <v>798</v>
      </c>
      <c r="D438" s="4"/>
      <c r="E438" s="4">
        <v>1</v>
      </c>
      <c r="F438" s="4"/>
      <c r="G438" s="29" t="str">
        <f>IFERROR(HYPERLINK("#"&amp;ADDRESS(MATCH(B438&amp;"ES",'LM7 Non-ENG'!$A$1:$A$5000,0),1,,,"LM7 Non-ENG"),IF(IFERROR(VLOOKUP(B438&amp;"ES",'LM7 Non-ENG'!$A$1:$A$4999,1,FALSE),"ERROR")=B438&amp;"ES","Y","")),"")</f>
        <v/>
      </c>
      <c r="H438" s="29" t="str">
        <f>IFERROR(HYPERLINK("#"&amp;ADDRESS(MATCH(B438&amp;"PT",'LM7 Non-ENG'!$A$1:$A$5000,0),1,,,"LM7 Non-ENG"),IF(IFERROR(VLOOKUP(B438&amp;"PT",'LM7 Non-ENG'!$A$1:$A$5000,1,FALSE),"ERROR")=B438&amp;"PT","Y","")),"")</f>
        <v/>
      </c>
      <c r="I438" t="str">
        <f>IFERROR(VLOOKUP(B438,PN!$A:$C,3,FALSE),"")</f>
        <v>Active</v>
      </c>
      <c r="J438" s="3">
        <f>IFERROR(E438*VLOOKUP(B438,PLInter!$A:$D,3,FALSE),"")</f>
        <v>9940</v>
      </c>
      <c r="K438" s="66"/>
      <c r="L438" s="66"/>
      <c r="M438" s="66"/>
      <c r="N438" s="66"/>
      <c r="O438" s="66"/>
      <c r="P438" s="66"/>
      <c r="Q438" s="66"/>
      <c r="R438" s="66"/>
      <c r="S438" s="66"/>
    </row>
    <row r="439" spans="1:19" ht="18" customHeight="1">
      <c r="B439" s="2" t="s">
        <v>772</v>
      </c>
      <c r="C439" s="2" t="s">
        <v>773</v>
      </c>
      <c r="D439" s="5"/>
      <c r="E439" s="5">
        <v>1</v>
      </c>
      <c r="F439" s="5" t="s">
        <v>0</v>
      </c>
      <c r="G439" s="29" t="str">
        <f>IFERROR(HYPERLINK("#"&amp;ADDRESS(MATCH(B439&amp;"ES",'LM7 Non-ENG'!$A$1:$A$5000,0),1,,,"LM7 Non-ENG"),IF(IFERROR(VLOOKUP(B439&amp;"ES",'LM7 Non-ENG'!$A$1:$A$4999,1,FALSE),"ERROR")=B439&amp;"ES","Y","")),"")</f>
        <v/>
      </c>
      <c r="H439" s="29" t="str">
        <f>IFERROR(HYPERLINK("#"&amp;ADDRESS(MATCH(B439&amp;"PT",'LM7 Non-ENG'!$A$1:$A$5000,0),1,,,"LM7 Non-ENG"),IF(IFERROR(VLOOKUP(B439&amp;"PT",'LM7 Non-ENG'!$A$1:$A$5000,1,FALSE),"ERROR")=B439&amp;"PT","Y","")),"")</f>
        <v/>
      </c>
      <c r="I439" t="str">
        <f>IFERROR(VLOOKUP(B439,PN!$A:$C,3,FALSE),"")</f>
        <v>Active</v>
      </c>
      <c r="J439" s="3">
        <f>IFERROR(E439*VLOOKUP(B439,PLInter!$A:$D,3,FALSE),"")</f>
        <v>8267</v>
      </c>
      <c r="K439" s="66"/>
      <c r="L439" s="66"/>
      <c r="M439" s="66"/>
      <c r="N439" s="66"/>
      <c r="O439" s="66"/>
      <c r="P439" s="66"/>
      <c r="Q439" s="66"/>
      <c r="R439" s="66"/>
      <c r="S439" s="66"/>
    </row>
    <row r="440" spans="1:19" ht="18" customHeight="1">
      <c r="B440" t="str">
        <f>"034025"</f>
        <v>034025</v>
      </c>
      <c r="C440" t="s">
        <v>777</v>
      </c>
      <c r="D440" s="4"/>
      <c r="E440" s="4">
        <v>1</v>
      </c>
      <c r="F440" s="4"/>
      <c r="G440" s="29" t="str">
        <f>IFERROR(HYPERLINK("#"&amp;ADDRESS(MATCH(B440&amp;"ES",'LM7 Non-ENG'!$A$1:$A$5000,0),1,,,"LM7 Non-ENG"),IF(IFERROR(VLOOKUP(B440&amp;"ES",'LM7 Non-ENG'!$A$1:$A$4999,1,FALSE),"ERROR")=B440&amp;"ES","Y","")),"")</f>
        <v/>
      </c>
      <c r="H440" s="29" t="str">
        <f>IFERROR(HYPERLINK("#"&amp;ADDRESS(MATCH(B440&amp;"PT",'LM7 Non-ENG'!$A$1:$A$5000,0),1,,,"LM7 Non-ENG"),IF(IFERROR(VLOOKUP(B440&amp;"PT",'LM7 Non-ENG'!$A$1:$A$5000,1,FALSE),"ERROR")=B440&amp;"PT","Y","")),"")</f>
        <v/>
      </c>
      <c r="I440" t="str">
        <f>IFERROR(VLOOKUP(B440,PN!$A:$C,3,FALSE),"")</f>
        <v>Active</v>
      </c>
      <c r="J440" s="3">
        <f>IFERROR(E440*VLOOKUP(B440,PLInter!$A:$D,3,FALSE),"")</f>
        <v>1267</v>
      </c>
      <c r="K440" s="66"/>
      <c r="L440" s="66"/>
      <c r="M440" s="66"/>
      <c r="N440" s="66"/>
      <c r="O440" s="66"/>
      <c r="P440" s="66"/>
      <c r="Q440" s="66"/>
      <c r="R440" s="66"/>
      <c r="S440" s="66"/>
    </row>
    <row r="441" spans="1:19" ht="18" customHeight="1">
      <c r="B441" t="str">
        <f>"021152"</f>
        <v>021152</v>
      </c>
      <c r="C441" s="41" t="s">
        <v>679</v>
      </c>
      <c r="D441" s="4"/>
      <c r="E441" s="4">
        <v>2</v>
      </c>
      <c r="F441" s="4"/>
      <c r="G441" s="29" t="str">
        <f>IFERROR(HYPERLINK("#"&amp;ADDRESS(MATCH(B441&amp;"ES",'LM7 Non-ENG'!$A$1:$A$5000,0),1,,,"LM7 Non-ENG"),IF(IFERROR(VLOOKUP(B441&amp;"ES",'LM7 Non-ENG'!$A$1:$A$4999,1,FALSE),"ERROR")=B441&amp;"ES","Y","")),"")</f>
        <v/>
      </c>
      <c r="H441" s="29" t="str">
        <f>IFERROR(HYPERLINK("#"&amp;ADDRESS(MATCH(B441&amp;"PT",'LM7 Non-ENG'!$A$1:$A$5000,0),1,,,"LM7 Non-ENG"),IF(IFERROR(VLOOKUP(B441&amp;"PT",'LM7 Non-ENG'!$A$1:$A$5000,1,FALSE),"ERROR")=B441&amp;"PT","Y","")),"")</f>
        <v/>
      </c>
      <c r="I441" t="str">
        <f>IFERROR(VLOOKUP(B441,PN!$A:$C,3,FALSE),"")</f>
        <v>Active</v>
      </c>
      <c r="J441" s="3">
        <f>IFERROR(E441*VLOOKUP(B441,PLInter!$A:$D,3,FALSE),"")</f>
        <v>480</v>
      </c>
      <c r="K441" s="66"/>
      <c r="L441" s="66"/>
      <c r="M441" s="66"/>
      <c r="N441" s="66"/>
      <c r="O441" s="66"/>
      <c r="P441" s="66"/>
      <c r="Q441" s="66"/>
      <c r="R441" s="66"/>
      <c r="S441" s="66"/>
    </row>
    <row r="442" spans="1:19" ht="18" customHeight="1">
      <c r="B442" t="s">
        <v>680</v>
      </c>
      <c r="C442" t="s">
        <v>681</v>
      </c>
      <c r="D442" s="4"/>
      <c r="E442" s="4">
        <v>1</v>
      </c>
      <c r="F442" s="4"/>
      <c r="G442" s="29" t="str">
        <f>IFERROR(HYPERLINK("#"&amp;ADDRESS(MATCH(B442&amp;"ES",'LM7 Non-ENG'!$A$1:$A$5000,0),1,,,"LM7 Non-ENG"),IF(IFERROR(VLOOKUP(B442&amp;"ES",'LM7 Non-ENG'!$A$1:$A$4999,1,FALSE),"ERROR")=B442&amp;"ES","Y","")),"")</f>
        <v/>
      </c>
      <c r="H442" s="29" t="str">
        <f>IFERROR(HYPERLINK("#"&amp;ADDRESS(MATCH(B442&amp;"PT",'LM7 Non-ENG'!$A$1:$A$5000,0),1,,,"LM7 Non-ENG"),IF(IFERROR(VLOOKUP(B442&amp;"PT",'LM7 Non-ENG'!$A$1:$A$5000,1,FALSE),"ERROR")=B442&amp;"PT","Y","")),"")</f>
        <v/>
      </c>
      <c r="I442" t="str">
        <f>IFERROR(VLOOKUP(B442,PN!$A:$C,3,FALSE),"")</f>
        <v>Active</v>
      </c>
      <c r="J442" s="3">
        <f>IFERROR(E442*VLOOKUP(B442,PLInter!$A:$D,3,FALSE),"")</f>
        <v>1440</v>
      </c>
      <c r="K442" s="66"/>
      <c r="L442" s="66"/>
      <c r="M442" s="66"/>
      <c r="N442" s="66"/>
      <c r="O442" s="66"/>
      <c r="P442" s="66"/>
      <c r="Q442" s="66"/>
      <c r="R442" s="66"/>
      <c r="S442" s="66"/>
    </row>
    <row r="443" spans="1:19" ht="18" customHeight="1">
      <c r="B443" t="s">
        <v>682</v>
      </c>
      <c r="C443" t="s">
        <v>683</v>
      </c>
      <c r="D443" s="4"/>
      <c r="E443" s="4">
        <v>1</v>
      </c>
      <c r="F443" s="4"/>
      <c r="G443" s="29" t="str">
        <f>IFERROR(HYPERLINK("#"&amp;ADDRESS(MATCH(B443&amp;"ES",'LM7 Non-ENG'!$A$1:$A$5000,0),1,,,"LM7 Non-ENG"),IF(IFERROR(VLOOKUP(B443&amp;"ES",'LM7 Non-ENG'!$A$1:$A$4999,1,FALSE),"ERROR")=B443&amp;"ES","Y","")),"")</f>
        <v/>
      </c>
      <c r="H443" s="29" t="str">
        <f>IFERROR(HYPERLINK("#"&amp;ADDRESS(MATCH(B443&amp;"PT",'LM7 Non-ENG'!$A$1:$A$5000,0),1,,,"LM7 Non-ENG"),IF(IFERROR(VLOOKUP(B443&amp;"PT",'LM7 Non-ENG'!$A$1:$A$5000,1,FALSE),"ERROR")=B443&amp;"PT","Y","")),"")</f>
        <v/>
      </c>
      <c r="I443" t="str">
        <f>IFERROR(VLOOKUP(B443,PN!$A:$C,3,FALSE),"")</f>
        <v>Active</v>
      </c>
      <c r="J443" s="3">
        <f>IFERROR(E443*VLOOKUP(B443,PLInter!$A:$D,3,FALSE),"")</f>
        <v>494</v>
      </c>
      <c r="K443" s="66"/>
      <c r="L443" s="66"/>
      <c r="M443" s="66"/>
      <c r="N443" s="66"/>
      <c r="O443" s="66"/>
      <c r="P443" s="66"/>
      <c r="Q443" s="66"/>
      <c r="R443" s="66"/>
      <c r="S443" s="66"/>
    </row>
    <row r="444" spans="1:19" ht="18" customHeight="1">
      <c r="B444" t="s">
        <v>684</v>
      </c>
      <c r="C444" t="s">
        <v>685</v>
      </c>
      <c r="D444" s="4"/>
      <c r="E444" s="4">
        <v>2</v>
      </c>
      <c r="F444" s="4"/>
      <c r="G444" s="29" t="str">
        <f>IFERROR(HYPERLINK("#"&amp;ADDRESS(MATCH(B444&amp;"ES",'LM7 Non-ENG'!$A$1:$A$5000,0),1,,,"LM7 Non-ENG"),IF(IFERROR(VLOOKUP(B444&amp;"ES",'LM7 Non-ENG'!$A$1:$A$4999,1,FALSE),"ERROR")=B444&amp;"ES","Y","")),"")</f>
        <v/>
      </c>
      <c r="H444" s="29" t="str">
        <f>IFERROR(HYPERLINK("#"&amp;ADDRESS(MATCH(B444&amp;"PT",'LM7 Non-ENG'!$A$1:$A$5000,0),1,,,"LM7 Non-ENG"),IF(IFERROR(VLOOKUP(B444&amp;"PT",'LM7 Non-ENG'!$A$1:$A$5000,1,FALSE),"ERROR")=B444&amp;"PT","Y","")),"")</f>
        <v/>
      </c>
      <c r="I444" t="str">
        <f>IFERROR(VLOOKUP(B444,PN!$A:$C,3,FALSE),"")</f>
        <v>Active</v>
      </c>
      <c r="J444" s="3">
        <f>IFERROR(E444*VLOOKUP(B444,PLInter!$A:$D,3,FALSE),"")</f>
        <v>1160</v>
      </c>
      <c r="K444" s="66"/>
      <c r="L444" s="66"/>
      <c r="M444" s="66"/>
      <c r="N444" s="66"/>
      <c r="O444" s="66"/>
      <c r="P444" s="66"/>
      <c r="Q444" s="66"/>
      <c r="R444" s="66"/>
      <c r="S444" s="66"/>
    </row>
    <row r="445" spans="1:19" ht="18" customHeight="1">
      <c r="B445" t="str">
        <f>"021182"</f>
        <v>021182</v>
      </c>
      <c r="C445" t="s">
        <v>686</v>
      </c>
      <c r="D445" s="4"/>
      <c r="E445" s="4">
        <v>2</v>
      </c>
      <c r="F445" s="4"/>
      <c r="G445" s="29" t="str">
        <f>IFERROR(HYPERLINK("#"&amp;ADDRESS(MATCH(B445&amp;"ES",'LM7 Non-ENG'!$A$1:$A$5000,0),1,,,"LM7 Non-ENG"),IF(IFERROR(VLOOKUP(B445&amp;"ES",'LM7 Non-ENG'!$A$1:$A$4999,1,FALSE),"ERROR")=B445&amp;"ES","Y","")),"")</f>
        <v/>
      </c>
      <c r="H445" s="29" t="str">
        <f>IFERROR(HYPERLINK("#"&amp;ADDRESS(MATCH(B445&amp;"PT",'LM7 Non-ENG'!$A$1:$A$5000,0),1,,,"LM7 Non-ENG"),IF(IFERROR(VLOOKUP(B445&amp;"PT",'LM7 Non-ENG'!$A$1:$A$5000,1,FALSE),"ERROR")=B445&amp;"PT","Y","")),"")</f>
        <v/>
      </c>
      <c r="I445" t="str">
        <f>IFERROR(VLOOKUP(B445,PN!$A:$C,3,FALSE),"")</f>
        <v>Active</v>
      </c>
      <c r="J445" s="3">
        <f>IFERROR(E445*VLOOKUP(B445,PLInter!$A:$D,3,FALSE),"")</f>
        <v>32</v>
      </c>
      <c r="K445" s="66"/>
      <c r="L445" s="66"/>
      <c r="M445" s="66"/>
      <c r="N445" s="66"/>
      <c r="O445" s="66"/>
      <c r="P445" s="66"/>
      <c r="Q445" s="66"/>
      <c r="R445" s="66"/>
      <c r="S445" s="66"/>
    </row>
    <row r="446" spans="1:19" ht="18" customHeight="1">
      <c r="B446" t="s">
        <v>708</v>
      </c>
      <c r="C446" t="s">
        <v>709</v>
      </c>
      <c r="D446" s="4"/>
      <c r="E446" s="4">
        <v>1</v>
      </c>
      <c r="F446" s="4"/>
      <c r="G446" s="29" t="str">
        <f>IFERROR(HYPERLINK("#"&amp;ADDRESS(MATCH(B446&amp;"ES",'LM7 Non-ENG'!$A$1:$A$5000,0),1,,,"LM7 Non-ENG"),IF(IFERROR(VLOOKUP(B446&amp;"ES",'LM7 Non-ENG'!$A$1:$A$4999,1,FALSE),"ERROR")=B446&amp;"ES","Y","")),"")</f>
        <v/>
      </c>
      <c r="H446" s="29" t="str">
        <f>IFERROR(HYPERLINK("#"&amp;ADDRESS(MATCH(B446&amp;"PT",'LM7 Non-ENG'!$A$1:$A$5000,0),1,,,"LM7 Non-ENG"),IF(IFERROR(VLOOKUP(B446&amp;"PT",'LM7 Non-ENG'!$A$1:$A$5000,1,FALSE),"ERROR")=B446&amp;"PT","Y","")),"")</f>
        <v/>
      </c>
      <c r="I446" t="str">
        <f>IFERROR(VLOOKUP(B446,PN!$A:$C,3,FALSE),"")</f>
        <v>Active</v>
      </c>
      <c r="J446" s="3">
        <f>IFERROR(E446*VLOOKUP(B446,PLInter!$A:$D,3,FALSE),"")</f>
        <v>667</v>
      </c>
      <c r="K446" s="66"/>
      <c r="L446" s="66"/>
      <c r="M446" s="66"/>
      <c r="N446" s="66"/>
      <c r="O446" s="66"/>
      <c r="P446" s="66"/>
      <c r="Q446" s="66"/>
      <c r="R446" s="66"/>
      <c r="S446" s="66"/>
    </row>
    <row r="447" spans="1:19" ht="18" customHeight="1">
      <c r="B447" t="s">
        <v>451</v>
      </c>
      <c r="C447" t="s">
        <v>710</v>
      </c>
      <c r="D447" s="4"/>
      <c r="E447" s="4">
        <v>1</v>
      </c>
      <c r="F447" s="4"/>
      <c r="G447" s="29" t="str">
        <f>IFERROR(HYPERLINK("#"&amp;ADDRESS(MATCH(B447&amp;"ES",'LM7 Non-ENG'!$A$1:$A$5000,0),1,,,"LM7 Non-ENG"),IF(IFERROR(VLOOKUP(B447&amp;"ES",'LM7 Non-ENG'!$A$1:$A$4999,1,FALSE),"ERROR")=B447&amp;"ES","Y","")),"")</f>
        <v/>
      </c>
      <c r="H447" s="29" t="str">
        <f>IFERROR(HYPERLINK("#"&amp;ADDRESS(MATCH(B447&amp;"PT",'LM7 Non-ENG'!$A$1:$A$5000,0),1,,,"LM7 Non-ENG"),IF(IFERROR(VLOOKUP(B447&amp;"PT",'LM7 Non-ENG'!$A$1:$A$5000,1,FALSE),"ERROR")=B447&amp;"PT","Y","")),"")</f>
        <v/>
      </c>
      <c r="I447" t="str">
        <f>IFERROR(VLOOKUP(B447,PN!$A:$C,3,FALSE),"")</f>
        <v>Active</v>
      </c>
      <c r="J447" s="3">
        <f>IFERROR(E447*VLOOKUP(B447,PLInter!$A:$D,3,FALSE),"")</f>
        <v>14934</v>
      </c>
      <c r="K447" s="66"/>
      <c r="L447" s="66"/>
      <c r="M447" s="66"/>
      <c r="N447" s="66"/>
      <c r="O447" s="66"/>
      <c r="P447" s="66"/>
      <c r="Q447" s="66"/>
      <c r="R447" s="66"/>
      <c r="S447" s="66"/>
    </row>
    <row r="448" spans="1:19" ht="18" customHeight="1">
      <c r="B448" s="2" t="s">
        <v>450</v>
      </c>
      <c r="C448" s="2" t="s">
        <v>458</v>
      </c>
      <c r="D448" s="5"/>
      <c r="E448" s="5">
        <v>1</v>
      </c>
      <c r="F448" s="5" t="s">
        <v>0</v>
      </c>
      <c r="G448" s="29" t="str">
        <f>IFERROR(HYPERLINK("#"&amp;ADDRESS(MATCH(B448&amp;"ES",'LM7 Non-ENG'!$A$1:$A$5000,0),1,,,"LM7 Non-ENG"),IF(IFERROR(VLOOKUP(B448&amp;"ES",'LM7 Non-ENG'!$A$1:$A$4999,1,FALSE),"ERROR")=B448&amp;"ES","Y","")),"")</f>
        <v/>
      </c>
      <c r="H448" s="29" t="str">
        <f>IFERROR(HYPERLINK("#"&amp;ADDRESS(MATCH(B448&amp;"PT",'LM7 Non-ENG'!$A$1:$A$5000,0),1,,,"LM7 Non-ENG"),IF(IFERROR(VLOOKUP(B448&amp;"PT",'LM7 Non-ENG'!$A$1:$A$5000,1,FALSE),"ERROR")=B448&amp;"PT","Y","")),"")</f>
        <v/>
      </c>
      <c r="I448" t="str">
        <f>IFERROR(VLOOKUP(B448,PN!$A:$C,3,FALSE),"")</f>
        <v>Active</v>
      </c>
      <c r="J448" s="3">
        <f>IFERROR(E448*VLOOKUP(B448,PLInter!$A:$D,3,FALSE),"")</f>
        <v>14934</v>
      </c>
      <c r="K448" s="66"/>
      <c r="L448" s="66"/>
      <c r="M448" s="66"/>
      <c r="N448" s="66"/>
      <c r="O448" s="66"/>
      <c r="P448" s="66"/>
      <c r="Q448" s="66"/>
      <c r="R448" s="66"/>
      <c r="S448" s="66"/>
    </row>
    <row r="449" spans="2:19" ht="18" customHeight="1">
      <c r="B449" t="s">
        <v>553</v>
      </c>
      <c r="C449" t="s">
        <v>733</v>
      </c>
      <c r="D449" s="4"/>
      <c r="E449" s="4">
        <v>1</v>
      </c>
      <c r="F449" s="4"/>
      <c r="G449" s="29" t="str">
        <f>IFERROR(HYPERLINK("#"&amp;ADDRESS(MATCH(B449&amp;"ES",'LM7 Non-ENG'!$A$1:$A$5000,0),1,,,"LM7 Non-ENG"),IF(IFERROR(VLOOKUP(B449&amp;"ES",'LM7 Non-ENG'!$A$1:$A$4999,1,FALSE),"ERROR")=B449&amp;"ES","Y","")),"")</f>
        <v/>
      </c>
      <c r="H449" s="29" t="str">
        <f>IFERROR(HYPERLINK("#"&amp;ADDRESS(MATCH(B449&amp;"PT",'LM7 Non-ENG'!$A$1:$A$5000,0),1,,,"LM7 Non-ENG"),IF(IFERROR(VLOOKUP(B449&amp;"PT",'LM7 Non-ENG'!$A$1:$A$5000,1,FALSE),"ERROR")=B449&amp;"PT","Y","")),"")</f>
        <v/>
      </c>
      <c r="I449" t="str">
        <f>IFERROR(VLOOKUP(B449,PN!$A:$C,3,FALSE),"")</f>
        <v>Active</v>
      </c>
      <c r="J449" s="3">
        <f>IFERROR(E449*VLOOKUP(B449,PLInter!$A:$D,3,FALSE),"")</f>
        <v>500</v>
      </c>
      <c r="K449" s="66"/>
      <c r="L449" s="66"/>
      <c r="M449" s="66"/>
      <c r="N449" s="66"/>
      <c r="O449" s="66"/>
      <c r="P449" s="66"/>
      <c r="Q449" s="66"/>
      <c r="R449" s="66"/>
      <c r="S449" s="66"/>
    </row>
    <row r="450" spans="2:19" ht="18" customHeight="1">
      <c r="B450" s="2" t="s">
        <v>565</v>
      </c>
      <c r="C450" s="2" t="s">
        <v>734</v>
      </c>
      <c r="D450" s="5"/>
      <c r="E450" s="5">
        <v>1</v>
      </c>
      <c r="F450" s="5" t="s">
        <v>0</v>
      </c>
      <c r="G450" s="29" t="str">
        <f>IFERROR(HYPERLINK("#"&amp;ADDRESS(MATCH(B450&amp;"ES",'LM7 Non-ENG'!$A$1:$A$5000,0),1,,,"LM7 Non-ENG"),IF(IFERROR(VLOOKUP(B450&amp;"ES",'LM7 Non-ENG'!$A$1:$A$4999,1,FALSE),"ERROR")=B450&amp;"ES","Y","")),"")</f>
        <v/>
      </c>
      <c r="H450" s="29" t="str">
        <f>IFERROR(HYPERLINK("#"&amp;ADDRESS(MATCH(B450&amp;"PT",'LM7 Non-ENG'!$A$1:$A$5000,0),1,,,"LM7 Non-ENG"),IF(IFERROR(VLOOKUP(B450&amp;"PT",'LM7 Non-ENG'!$A$1:$A$5000,1,FALSE),"ERROR")=B450&amp;"PT","Y","")),"")</f>
        <v/>
      </c>
      <c r="I450" t="str">
        <f>IFERROR(VLOOKUP(B450,PN!$A:$C,3,FALSE),"")</f>
        <v>Active</v>
      </c>
      <c r="J450" s="3">
        <f>IFERROR(E450*VLOOKUP(B450,PLInter!$A:$D,3,FALSE),"")</f>
        <v>500</v>
      </c>
      <c r="K450" s="66"/>
      <c r="L450" s="66"/>
      <c r="M450" s="66"/>
      <c r="N450" s="66"/>
      <c r="O450" s="66"/>
      <c r="P450" s="66"/>
      <c r="Q450" s="66"/>
      <c r="R450" s="66"/>
      <c r="S450" s="66"/>
    </row>
    <row r="451" spans="2:19" ht="18" customHeight="1">
      <c r="B451" t="s">
        <v>568</v>
      </c>
      <c r="C451" t="s">
        <v>731</v>
      </c>
      <c r="D451" s="4"/>
      <c r="E451" s="4">
        <v>1</v>
      </c>
      <c r="F451" s="4"/>
      <c r="G451" s="29" t="str">
        <f>IFERROR(HYPERLINK("#"&amp;ADDRESS(MATCH(B451&amp;"ES",'LM7 Non-ENG'!$A$1:$A$5000,0),1,,,"LM7 Non-ENG"),IF(IFERROR(VLOOKUP(B451&amp;"ES",'LM7 Non-ENG'!$A$1:$A$4999,1,FALSE),"ERROR")=B451&amp;"ES","Y","")),"")</f>
        <v/>
      </c>
      <c r="H451" s="29" t="str">
        <f>IFERROR(HYPERLINK("#"&amp;ADDRESS(MATCH(B451&amp;"PT",'LM7 Non-ENG'!$A$1:$A$5000,0),1,,,"LM7 Non-ENG"),IF(IFERROR(VLOOKUP(B451&amp;"PT",'LM7 Non-ENG'!$A$1:$A$5000,1,FALSE),"ERROR")=B451&amp;"PT","Y","")),"")</f>
        <v/>
      </c>
      <c r="I451" t="str">
        <f>IFERROR(VLOOKUP(B451,PN!$A:$C,3,FALSE),"")</f>
        <v>Active</v>
      </c>
      <c r="J451" s="3">
        <f>IFERROR(E451*VLOOKUP(B451,PLInter!$A:$D,3,FALSE),"")</f>
        <v>500</v>
      </c>
      <c r="K451" s="66"/>
      <c r="L451" s="66"/>
      <c r="M451" s="66"/>
      <c r="N451" s="66"/>
      <c r="O451" s="66"/>
      <c r="P451" s="66"/>
      <c r="Q451" s="66"/>
      <c r="R451" s="66"/>
      <c r="S451" s="66"/>
    </row>
    <row r="452" spans="2:19" ht="18" customHeight="1">
      <c r="B452" t="s">
        <v>569</v>
      </c>
      <c r="C452" t="s">
        <v>732</v>
      </c>
      <c r="D452" s="4"/>
      <c r="E452" s="4">
        <v>1</v>
      </c>
      <c r="F452" s="4"/>
      <c r="G452" s="29" t="str">
        <f>IFERROR(HYPERLINK("#"&amp;ADDRESS(MATCH(B452&amp;"ES",'LM7 Non-ENG'!$A$1:$A$5000,0),1,,,"LM7 Non-ENG"),IF(IFERROR(VLOOKUP(B452&amp;"ES",'LM7 Non-ENG'!$A$1:$A$4999,1,FALSE),"ERROR")=B452&amp;"ES","Y","")),"")</f>
        <v/>
      </c>
      <c r="H452" s="29" t="str">
        <f>IFERROR(HYPERLINK("#"&amp;ADDRESS(MATCH(B452&amp;"PT",'LM7 Non-ENG'!$A$1:$A$5000,0),1,,,"LM7 Non-ENG"),IF(IFERROR(VLOOKUP(B452&amp;"PT",'LM7 Non-ENG'!$A$1:$A$5000,1,FALSE),"ERROR")=B452&amp;"PT","Y","")),"")</f>
        <v/>
      </c>
      <c r="I452" t="str">
        <f>IFERROR(VLOOKUP(B452,PN!$A:$C,3,FALSE),"")</f>
        <v>Active</v>
      </c>
      <c r="J452" s="3">
        <f>IFERROR(E452*VLOOKUP(B452,PLInter!$A:$D,3,FALSE),"")</f>
        <v>500</v>
      </c>
      <c r="K452" s="66"/>
      <c r="L452" s="66"/>
      <c r="M452" s="66"/>
      <c r="N452" s="66"/>
      <c r="O452" s="66"/>
      <c r="P452" s="66"/>
      <c r="Q452" s="66"/>
      <c r="R452" s="66"/>
      <c r="S452" s="66"/>
    </row>
    <row r="453" spans="2:19" ht="18" customHeight="1">
      <c r="B453" t="s">
        <v>513</v>
      </c>
      <c r="C453" t="s">
        <v>711</v>
      </c>
      <c r="D453" s="4"/>
      <c r="E453" s="4">
        <v>1</v>
      </c>
      <c r="F453" s="4"/>
      <c r="G453" s="29" t="str">
        <f>IFERROR(HYPERLINK("#"&amp;ADDRESS(MATCH(B453&amp;"ES",'LM7 Non-ENG'!$A$1:$A$5000,0),1,,,"LM7 Non-ENG"),IF(IFERROR(VLOOKUP(B453&amp;"ES",'LM7 Non-ENG'!$A$1:$A$4999,1,FALSE),"ERROR")=B453&amp;"ES","Y","")),"")</f>
        <v/>
      </c>
      <c r="H453" s="29" t="str">
        <f>IFERROR(HYPERLINK("#"&amp;ADDRESS(MATCH(B453&amp;"PT",'LM7 Non-ENG'!$A$1:$A$5000,0),1,,,"LM7 Non-ENG"),IF(IFERROR(VLOOKUP(B453&amp;"PT",'LM7 Non-ENG'!$A$1:$A$5000,1,FALSE),"ERROR")=B453&amp;"PT","Y","")),"")</f>
        <v/>
      </c>
      <c r="I453" t="str">
        <f>IFERROR(VLOOKUP(B453,PN!$A:$C,3,FALSE),"")</f>
        <v>Active</v>
      </c>
      <c r="J453" s="3">
        <f>IFERROR(E453*VLOOKUP(B453,PLInter!$A:$D,3,FALSE),"")</f>
        <v>740</v>
      </c>
      <c r="K453" s="66"/>
      <c r="L453" s="66"/>
      <c r="M453" s="66"/>
      <c r="N453" s="66"/>
      <c r="O453" s="66"/>
      <c r="P453" s="66"/>
      <c r="Q453" s="66"/>
      <c r="R453" s="66"/>
      <c r="S453" s="66"/>
    </row>
    <row r="454" spans="2:19" ht="18" customHeight="1">
      <c r="B454" t="s">
        <v>477</v>
      </c>
      <c r="C454" t="s">
        <v>712</v>
      </c>
      <c r="D454" s="4"/>
      <c r="E454" s="4">
        <v>1</v>
      </c>
      <c r="F454" s="4"/>
      <c r="G454" s="29" t="str">
        <f>IFERROR(HYPERLINK("#"&amp;ADDRESS(MATCH(B454&amp;"ES",'LM7 Non-ENG'!$A$1:$A$5000,0),1,,,"LM7 Non-ENG"),IF(IFERROR(VLOOKUP(B454&amp;"ES",'LM7 Non-ENG'!$A$1:$A$4999,1,FALSE),"ERROR")=B454&amp;"ES","Y","")),"")</f>
        <v/>
      </c>
      <c r="H454" s="29" t="str">
        <f>IFERROR(HYPERLINK("#"&amp;ADDRESS(MATCH(B454&amp;"PT",'LM7 Non-ENG'!$A$1:$A$5000,0),1,,,"LM7 Non-ENG"),IF(IFERROR(VLOOKUP(B454&amp;"PT",'LM7 Non-ENG'!$A$1:$A$5000,1,FALSE),"ERROR")=B454&amp;"PT","Y","")),"")</f>
        <v/>
      </c>
      <c r="I454" t="str">
        <f>IFERROR(VLOOKUP(B454,PN!$A:$C,3,FALSE),"")</f>
        <v>Active</v>
      </c>
      <c r="J454" s="3">
        <f>IFERROR(E454*VLOOKUP(B454,PLInter!$A:$D,3,FALSE),"")</f>
        <v>2188</v>
      </c>
      <c r="K454" s="66"/>
      <c r="L454" s="66"/>
      <c r="M454" s="66"/>
      <c r="N454" s="66"/>
      <c r="O454" s="66"/>
      <c r="P454" s="66"/>
      <c r="Q454" s="66"/>
      <c r="R454" s="66"/>
      <c r="S454" s="66"/>
    </row>
    <row r="455" spans="2:19" ht="18" customHeight="1">
      <c r="B455" t="s">
        <v>470</v>
      </c>
      <c r="C455" t="s">
        <v>713</v>
      </c>
      <c r="D455" s="4"/>
      <c r="E455" s="4">
        <v>1</v>
      </c>
      <c r="F455" s="4"/>
      <c r="G455" s="29" t="str">
        <f>IFERROR(HYPERLINK("#"&amp;ADDRESS(MATCH(B455&amp;"ES",'LM7 Non-ENG'!$A$1:$A$5000,0),1,,,"LM7 Non-ENG"),IF(IFERROR(VLOOKUP(B455&amp;"ES",'LM7 Non-ENG'!$A$1:$A$4999,1,FALSE),"ERROR")=B455&amp;"ES","Y","")),"")</f>
        <v/>
      </c>
      <c r="H455" s="29" t="str">
        <f>IFERROR(HYPERLINK("#"&amp;ADDRESS(MATCH(B455&amp;"PT",'LM7 Non-ENG'!$A$1:$A$5000,0),1,,,"LM7 Non-ENG"),IF(IFERROR(VLOOKUP(B455&amp;"PT",'LM7 Non-ENG'!$A$1:$A$5000,1,FALSE),"ERROR")=B455&amp;"PT","Y","")),"")</f>
        <v/>
      </c>
      <c r="I455" t="str">
        <f>IFERROR(VLOOKUP(B455,PN!$A:$C,3,FALSE),"")</f>
        <v>Active</v>
      </c>
      <c r="J455" s="3">
        <f>IFERROR(E455*VLOOKUP(B455,PLInter!$A:$D,3,FALSE),"")</f>
        <v>207</v>
      </c>
      <c r="K455" s="66"/>
      <c r="L455" s="66"/>
      <c r="M455" s="66"/>
      <c r="N455" s="66"/>
      <c r="O455" s="66"/>
      <c r="P455" s="66"/>
      <c r="Q455" s="66"/>
      <c r="R455" s="66"/>
      <c r="S455" s="66"/>
    </row>
    <row r="456" spans="2:19" ht="18" customHeight="1">
      <c r="B456" t="s">
        <v>473</v>
      </c>
      <c r="C456" t="s">
        <v>714</v>
      </c>
      <c r="D456" s="4"/>
      <c r="E456" s="4">
        <v>1</v>
      </c>
      <c r="F456" s="4"/>
      <c r="G456" s="29" t="str">
        <f>IFERROR(HYPERLINK("#"&amp;ADDRESS(MATCH(B456&amp;"ES",'LM7 Non-ENG'!$A$1:$A$5000,0),1,,,"LM7 Non-ENG"),IF(IFERROR(VLOOKUP(B456&amp;"ES",'LM7 Non-ENG'!$A$1:$A$4999,1,FALSE),"ERROR")=B456&amp;"ES","Y","")),"")</f>
        <v/>
      </c>
      <c r="H456" s="29" t="str">
        <f>IFERROR(HYPERLINK("#"&amp;ADDRESS(MATCH(B456&amp;"PT",'LM7 Non-ENG'!$A$1:$A$5000,0),1,,,"LM7 Non-ENG"),IF(IFERROR(VLOOKUP(B456&amp;"PT",'LM7 Non-ENG'!$A$1:$A$5000,1,FALSE),"ERROR")=B456&amp;"PT","Y","")),"")</f>
        <v/>
      </c>
      <c r="I456" t="str">
        <f>IFERROR(VLOOKUP(B456,PN!$A:$C,3,FALSE),"")</f>
        <v>Active</v>
      </c>
      <c r="J456" s="3">
        <f>IFERROR(E456*VLOOKUP(B456,PLInter!$A:$D,3,FALSE),"")</f>
        <v>200</v>
      </c>
      <c r="K456" s="66"/>
      <c r="L456" s="66"/>
      <c r="M456" s="66"/>
      <c r="N456" s="66"/>
      <c r="O456" s="66"/>
      <c r="P456" s="66"/>
      <c r="Q456" s="66"/>
      <c r="R456" s="66"/>
      <c r="S456" s="66"/>
    </row>
    <row r="457" spans="2:19" ht="18" customHeight="1">
      <c r="B457" t="s">
        <v>478</v>
      </c>
      <c r="C457" t="s">
        <v>716</v>
      </c>
      <c r="D457" s="4"/>
      <c r="E457" s="4">
        <v>1</v>
      </c>
      <c r="F457" s="4"/>
      <c r="G457" s="29" t="str">
        <f>IFERROR(HYPERLINK("#"&amp;ADDRESS(MATCH(B457&amp;"ES",'LM7 Non-ENG'!$A$1:$A$5000,0),1,,,"LM7 Non-ENG"),IF(IFERROR(VLOOKUP(B457&amp;"ES",'LM7 Non-ENG'!$A$1:$A$4999,1,FALSE),"ERROR")=B457&amp;"ES","Y","")),"")</f>
        <v/>
      </c>
      <c r="H457" s="29" t="str">
        <f>IFERROR(HYPERLINK("#"&amp;ADDRESS(MATCH(B457&amp;"PT",'LM7 Non-ENG'!$A$1:$A$5000,0),1,,,"LM7 Non-ENG"),IF(IFERROR(VLOOKUP(B457&amp;"PT",'LM7 Non-ENG'!$A$1:$A$5000,1,FALSE),"ERROR")=B457&amp;"PT","Y","")),"")</f>
        <v/>
      </c>
      <c r="I457" t="str">
        <f>IFERROR(VLOOKUP(B457,PN!$A:$C,3,FALSE),"")</f>
        <v>Active</v>
      </c>
      <c r="J457" s="3">
        <f>IFERROR(E457*VLOOKUP(B457,PLInter!$A:$D,3,FALSE),"")</f>
        <v>795</v>
      </c>
      <c r="K457" s="66"/>
      <c r="L457" s="66"/>
      <c r="M457" s="66"/>
      <c r="N457" s="66"/>
      <c r="O457" s="66"/>
      <c r="P457" s="66"/>
      <c r="Q457" s="66"/>
      <c r="R457" s="66"/>
      <c r="S457" s="66"/>
    </row>
    <row r="458" spans="2:19" ht="18" customHeight="1">
      <c r="B458" s="1" t="s">
        <v>468</v>
      </c>
      <c r="C458" s="1" t="s">
        <v>717</v>
      </c>
      <c r="D458" s="6" t="s">
        <v>0</v>
      </c>
      <c r="E458" s="6">
        <v>1</v>
      </c>
      <c r="F458" s="6"/>
      <c r="G458" s="29" t="str">
        <f>IFERROR(HYPERLINK("#"&amp;ADDRESS(MATCH(B458&amp;"ES",'LM7 Non-ENG'!$A$1:$A$5000,0),1,,,"LM7 Non-ENG"),IF(IFERROR(VLOOKUP(B458&amp;"ES",'LM7 Non-ENG'!$A$1:$A$4999,1,FALSE),"ERROR")=B458&amp;"ES","Y","")),"")</f>
        <v/>
      </c>
      <c r="H458" s="29" t="str">
        <f>IFERROR(HYPERLINK("#"&amp;ADDRESS(MATCH(B458&amp;"PT",'LM7 Non-ENG'!$A$1:$A$5000,0),1,,,"LM7 Non-ENG"),IF(IFERROR(VLOOKUP(B458&amp;"PT",'LM7 Non-ENG'!$A$1:$A$5000,1,FALSE),"ERROR")=B458&amp;"PT","Y","")),"")</f>
        <v/>
      </c>
      <c r="I458" t="str">
        <f>IFERROR(VLOOKUP(B458,PN!$A:$C,3,FALSE),"")</f>
        <v>Active</v>
      </c>
      <c r="J458" s="3">
        <f>IFERROR(E458*VLOOKUP(B458,PLInter!$A:$D,3,FALSE),"")</f>
        <v>206</v>
      </c>
      <c r="K458" s="66"/>
      <c r="L458" s="66"/>
      <c r="M458" s="66"/>
      <c r="N458" s="66"/>
      <c r="O458" s="66"/>
      <c r="P458" s="66"/>
      <c r="Q458" s="66"/>
      <c r="R458" s="66"/>
      <c r="S458" s="66"/>
    </row>
    <row r="459" spans="2:19" ht="18" customHeight="1">
      <c r="B459" s="1" t="s">
        <v>474</v>
      </c>
      <c r="C459" s="1" t="s">
        <v>718</v>
      </c>
      <c r="D459" s="6" t="s">
        <v>0</v>
      </c>
      <c r="E459" s="6">
        <v>1</v>
      </c>
      <c r="F459" s="6"/>
      <c r="G459" s="29" t="str">
        <f>IFERROR(HYPERLINK("#"&amp;ADDRESS(MATCH(B459&amp;"ES",'LM7 Non-ENG'!$A$1:$A$5000,0),1,,,"LM7 Non-ENG"),IF(IFERROR(VLOOKUP(B459&amp;"ES",'LM7 Non-ENG'!$A$1:$A$4999,1,FALSE),"ERROR")=B459&amp;"ES","Y","")),"")</f>
        <v/>
      </c>
      <c r="H459" s="29" t="str">
        <f>IFERROR(HYPERLINK("#"&amp;ADDRESS(MATCH(B459&amp;"PT",'LM7 Non-ENG'!$A$1:$A$5000,0),1,,,"LM7 Non-ENG"),IF(IFERROR(VLOOKUP(B459&amp;"PT",'LM7 Non-ENG'!$A$1:$A$5000,1,FALSE),"ERROR")=B459&amp;"PT","Y","")),"")</f>
        <v/>
      </c>
      <c r="I459" t="str">
        <f>IFERROR(VLOOKUP(B459,PN!$A:$C,3,FALSE),"")</f>
        <v>Active</v>
      </c>
      <c r="J459" s="3">
        <f>IFERROR(E459*VLOOKUP(B459,PLInter!$A:$D,3,FALSE),"")</f>
        <v>175</v>
      </c>
      <c r="K459" s="66"/>
      <c r="L459" s="66"/>
      <c r="M459" s="66"/>
      <c r="N459" s="66"/>
      <c r="O459" s="66"/>
      <c r="P459" s="66"/>
      <c r="Q459" s="66"/>
      <c r="R459" s="66"/>
      <c r="S459" s="66"/>
    </row>
    <row r="460" spans="2:19" ht="18" customHeight="1">
      <c r="B460" s="1" t="s">
        <v>719</v>
      </c>
      <c r="C460" s="1" t="s">
        <v>720</v>
      </c>
      <c r="D460" s="6" t="s">
        <v>0</v>
      </c>
      <c r="E460" s="6">
        <v>1</v>
      </c>
      <c r="F460" s="6"/>
      <c r="G460" s="29" t="str">
        <f>IFERROR(HYPERLINK("#"&amp;ADDRESS(MATCH(B460&amp;"ES",'LM7 Non-ENG'!$A$1:$A$5000,0),1,,,"LM7 Non-ENG"),IF(IFERROR(VLOOKUP(B460&amp;"ES",'LM7 Non-ENG'!$A$1:$A$4999,1,FALSE),"ERROR")=B460&amp;"ES","Y","")),"")</f>
        <v/>
      </c>
      <c r="H460" s="29" t="str">
        <f>IFERROR(HYPERLINK("#"&amp;ADDRESS(MATCH(B460&amp;"PT",'LM7 Non-ENG'!$A$1:$A$5000,0),1,,,"LM7 Non-ENG"),IF(IFERROR(VLOOKUP(B460&amp;"PT",'LM7 Non-ENG'!$A$1:$A$5000,1,FALSE),"ERROR")=B460&amp;"PT","Y","")),"")</f>
        <v/>
      </c>
      <c r="I460" t="str">
        <f>IFERROR(VLOOKUP(B460,PN!$A:$C,3,FALSE),"")</f>
        <v>Active</v>
      </c>
      <c r="J460" s="3">
        <f>IFERROR(E460*VLOOKUP(B460,PLInter!$A:$D,3,FALSE),"")</f>
        <v>2126</v>
      </c>
      <c r="K460" s="66"/>
      <c r="L460" s="66"/>
      <c r="M460" s="66"/>
      <c r="N460" s="66"/>
      <c r="O460" s="66"/>
      <c r="P460" s="66"/>
      <c r="Q460" s="66"/>
      <c r="R460" s="66"/>
      <c r="S460" s="66"/>
    </row>
    <row r="461" spans="2:19" ht="18" customHeight="1">
      <c r="B461" s="1" t="s">
        <v>482</v>
      </c>
      <c r="C461" s="1" t="s">
        <v>721</v>
      </c>
      <c r="D461" s="6" t="s">
        <v>0</v>
      </c>
      <c r="E461" s="6">
        <v>1</v>
      </c>
      <c r="F461" s="6"/>
      <c r="G461" s="29" t="str">
        <f>IFERROR(HYPERLINK("#"&amp;ADDRESS(MATCH(B461&amp;"ES",'LM7 Non-ENG'!$A$1:$A$5000,0),1,,,"LM7 Non-ENG"),IF(IFERROR(VLOOKUP(B461&amp;"ES",'LM7 Non-ENG'!$A$1:$A$4999,1,FALSE),"ERROR")=B461&amp;"ES","Y","")),"")</f>
        <v/>
      </c>
      <c r="H461" s="29" t="str">
        <f>IFERROR(HYPERLINK("#"&amp;ADDRESS(MATCH(B461&amp;"PT",'LM7 Non-ENG'!$A$1:$A$5000,0),1,,,"LM7 Non-ENG"),IF(IFERROR(VLOOKUP(B461&amp;"PT",'LM7 Non-ENG'!$A$1:$A$5000,1,FALSE),"ERROR")=B461&amp;"PT","Y","")),"")</f>
        <v/>
      </c>
      <c r="I461" t="str">
        <f>IFERROR(VLOOKUP(B461,PN!$A:$C,3,FALSE),"")</f>
        <v>Active</v>
      </c>
      <c r="J461" s="3">
        <f>IFERROR(E461*VLOOKUP(B461,PLInter!$A:$D,3,FALSE),"")</f>
        <v>186</v>
      </c>
      <c r="K461" s="66"/>
      <c r="L461" s="66"/>
      <c r="M461" s="66"/>
      <c r="N461" s="66"/>
      <c r="O461" s="66"/>
      <c r="P461" s="66"/>
      <c r="Q461" s="66"/>
      <c r="R461" s="66"/>
      <c r="S461" s="66"/>
    </row>
    <row r="462" spans="2:19" ht="18" customHeight="1">
      <c r="B462" s="1" t="s">
        <v>471</v>
      </c>
      <c r="C462" s="1" t="s">
        <v>722</v>
      </c>
      <c r="D462" s="6" t="s">
        <v>0</v>
      </c>
      <c r="E462" s="6">
        <v>1</v>
      </c>
      <c r="F462" s="6"/>
      <c r="G462" s="29" t="str">
        <f>IFERROR(HYPERLINK("#"&amp;ADDRESS(MATCH(B462&amp;"ES",'LM7 Non-ENG'!$A$1:$A$5000,0),1,,,"LM7 Non-ENG"),IF(IFERROR(VLOOKUP(B462&amp;"ES",'LM7 Non-ENG'!$A$1:$A$4999,1,FALSE),"ERROR")=B462&amp;"ES","Y","")),"")</f>
        <v/>
      </c>
      <c r="H462" s="29" t="str">
        <f>IFERROR(HYPERLINK("#"&amp;ADDRESS(MATCH(B462&amp;"PT",'LM7 Non-ENG'!$A$1:$A$5000,0),1,,,"LM7 Non-ENG"),IF(IFERROR(VLOOKUP(B462&amp;"PT",'LM7 Non-ENG'!$A$1:$A$5000,1,FALSE),"ERROR")=B462&amp;"PT","Y","")),"")</f>
        <v/>
      </c>
      <c r="I462" t="str">
        <f>IFERROR(VLOOKUP(B462,PN!$A:$C,3,FALSE),"")</f>
        <v>Active</v>
      </c>
      <c r="J462" s="3">
        <f>IFERROR(E462*VLOOKUP(B462,PLInter!$A:$D,3,FALSE),"")</f>
        <v>226</v>
      </c>
      <c r="K462" s="66"/>
      <c r="L462" s="66"/>
      <c r="M462" s="66"/>
      <c r="N462" s="66"/>
      <c r="O462" s="66"/>
      <c r="P462" s="66"/>
      <c r="Q462" s="66"/>
      <c r="R462" s="66"/>
      <c r="S462" s="66"/>
    </row>
    <row r="463" spans="2:19" ht="18" customHeight="1">
      <c r="B463" s="1" t="s">
        <v>480</v>
      </c>
      <c r="C463" s="1" t="s">
        <v>723</v>
      </c>
      <c r="D463" s="6" t="s">
        <v>0</v>
      </c>
      <c r="E463" s="6">
        <v>1</v>
      </c>
      <c r="F463" s="6"/>
      <c r="G463" s="29" t="str">
        <f>IFERROR(HYPERLINK("#"&amp;ADDRESS(MATCH(B463&amp;"ES",'LM7 Non-ENG'!$A$1:$A$5000,0),1,,,"LM7 Non-ENG"),IF(IFERROR(VLOOKUP(B463&amp;"ES",'LM7 Non-ENG'!$A$1:$A$4999,1,FALSE),"ERROR")=B463&amp;"ES","Y","")),"")</f>
        <v/>
      </c>
      <c r="H463" s="29" t="str">
        <f>IFERROR(HYPERLINK("#"&amp;ADDRESS(MATCH(B463&amp;"PT",'LM7 Non-ENG'!$A$1:$A$5000,0),1,,,"LM7 Non-ENG"),IF(IFERROR(VLOOKUP(B463&amp;"PT",'LM7 Non-ENG'!$A$1:$A$5000,1,FALSE),"ERROR")=B463&amp;"PT","Y","")),"")</f>
        <v/>
      </c>
      <c r="I463" t="str">
        <f>IFERROR(VLOOKUP(B463,PN!$A:$C,3,FALSE),"")</f>
        <v>Active</v>
      </c>
      <c r="J463" s="3">
        <f>IFERROR(E463*VLOOKUP(B463,PLInter!$A:$D,3,FALSE),"")</f>
        <v>407</v>
      </c>
      <c r="K463" s="66"/>
      <c r="L463" s="66"/>
      <c r="M463" s="66"/>
      <c r="N463" s="66"/>
      <c r="O463" s="66"/>
      <c r="P463" s="66"/>
      <c r="Q463" s="66"/>
      <c r="R463" s="66"/>
      <c r="S463" s="66"/>
    </row>
    <row r="464" spans="2:19" ht="18" customHeight="1">
      <c r="B464" s="1" t="s">
        <v>479</v>
      </c>
      <c r="C464" s="1" t="s">
        <v>810</v>
      </c>
      <c r="D464" s="6" t="s">
        <v>0</v>
      </c>
      <c r="E464" s="6">
        <v>1</v>
      </c>
      <c r="F464" s="6" t="s">
        <v>0</v>
      </c>
      <c r="G464" s="29" t="str">
        <f>IFERROR(HYPERLINK("#"&amp;ADDRESS(MATCH(B464&amp;"ES",'LM7 Non-ENG'!$A$1:$A$5000,0),1,,,"LM7 Non-ENG"),IF(IFERROR(VLOOKUP(B464&amp;"ES",'LM7 Non-ENG'!$A$1:$A$4999,1,FALSE),"ERROR")=B464&amp;"ES","Y","")),"")</f>
        <v/>
      </c>
      <c r="H464" s="29" t="str">
        <f>IFERROR(HYPERLINK("#"&amp;ADDRESS(MATCH(B464&amp;"PT",'LM7 Non-ENG'!$A$1:$A$5000,0),1,,,"LM7 Non-ENG"),IF(IFERROR(VLOOKUP(B464&amp;"PT",'LM7 Non-ENG'!$A$1:$A$5000,1,FALSE),"ERROR")=B464&amp;"PT","Y","")),"")</f>
        <v/>
      </c>
      <c r="I464" t="str">
        <f>IFERROR(VLOOKUP(B464,PN!$A:$C,3,FALSE),"")</f>
        <v>Active</v>
      </c>
      <c r="J464" s="3">
        <f>IFERROR(E464*VLOOKUP(B464,PLInter!$A:$D,3,FALSE),"")</f>
        <v>407</v>
      </c>
      <c r="K464" s="66"/>
      <c r="L464" s="66"/>
      <c r="M464" s="66"/>
      <c r="N464" s="66"/>
      <c r="O464" s="66"/>
      <c r="P464" s="66"/>
      <c r="Q464" s="66"/>
      <c r="R464" s="66"/>
      <c r="S464" s="66"/>
    </row>
    <row r="465" spans="2:19" ht="18" customHeight="1">
      <c r="B465" s="1" t="s">
        <v>475</v>
      </c>
      <c r="C465" s="1" t="s">
        <v>724</v>
      </c>
      <c r="D465" s="6" t="s">
        <v>0</v>
      </c>
      <c r="E465" s="6">
        <v>4</v>
      </c>
      <c r="F465" s="6"/>
      <c r="G465" s="29" t="str">
        <f>IFERROR(HYPERLINK("#"&amp;ADDRESS(MATCH(B465&amp;"ES",'LM7 Non-ENG'!$A$1:$A$5000,0),1,,,"LM7 Non-ENG"),IF(IFERROR(VLOOKUP(B465&amp;"ES",'LM7 Non-ENG'!$A$1:$A$4999,1,FALSE),"ERROR")=B465&amp;"ES","Y","")),"")</f>
        <v/>
      </c>
      <c r="H465" s="29" t="str">
        <f>IFERROR(HYPERLINK("#"&amp;ADDRESS(MATCH(B465&amp;"PT",'LM7 Non-ENG'!$A$1:$A$5000,0),1,,,"LM7 Non-ENG"),IF(IFERROR(VLOOKUP(B465&amp;"PT",'LM7 Non-ENG'!$A$1:$A$5000,1,FALSE),"ERROR")=B465&amp;"PT","Y","")),"")</f>
        <v/>
      </c>
      <c r="I465" t="str">
        <f>IFERROR(VLOOKUP(B465,PN!$A:$C,3,FALSE),"")</f>
        <v>Active</v>
      </c>
      <c r="J465" s="3">
        <f>IFERROR(E465*VLOOKUP(B465,PLInter!$A:$D,3,FALSE),"")</f>
        <v>1440</v>
      </c>
      <c r="K465" s="66"/>
      <c r="L465" s="66"/>
      <c r="M465" s="66"/>
      <c r="N465" s="66"/>
      <c r="O465" s="66"/>
      <c r="P465" s="66"/>
      <c r="Q465" s="66"/>
      <c r="R465" s="66"/>
      <c r="S465" s="66"/>
    </row>
    <row r="466" spans="2:19" ht="18" customHeight="1">
      <c r="B466" t="s">
        <v>484</v>
      </c>
      <c r="C466" t="s">
        <v>725</v>
      </c>
      <c r="D466" s="4"/>
      <c r="E466" s="4">
        <v>1</v>
      </c>
      <c r="F466" s="4"/>
      <c r="G466" s="29" t="str">
        <f>IFERROR(HYPERLINK("#"&amp;ADDRESS(MATCH(B466&amp;"ES",'LM7 Non-ENG'!$A$1:$A$5000,0),1,,,"LM7 Non-ENG"),IF(IFERROR(VLOOKUP(B466&amp;"ES",'LM7 Non-ENG'!$A$1:$A$4999,1,FALSE),"ERROR")=B466&amp;"ES","Y","")),"")</f>
        <v/>
      </c>
      <c r="H466" s="29" t="str">
        <f>IFERROR(HYPERLINK("#"&amp;ADDRESS(MATCH(B466&amp;"PT",'LM7 Non-ENG'!$A$1:$A$5000,0),1,,,"LM7 Non-ENG"),IF(IFERROR(VLOOKUP(B466&amp;"PT",'LM7 Non-ENG'!$A$1:$A$5000,1,FALSE),"ERROR")=B466&amp;"PT","Y","")),"")</f>
        <v/>
      </c>
      <c r="I466" t="str">
        <f>IFERROR(VLOOKUP(B466,PN!$A:$C,3,FALSE),"")</f>
        <v>Active</v>
      </c>
      <c r="J466" s="3">
        <f>IFERROR(E466*VLOOKUP(B466,PLInter!$A:$D,3,FALSE),"")</f>
        <v>157</v>
      </c>
      <c r="K466" s="66"/>
      <c r="L466" s="66"/>
      <c r="M466" s="66"/>
      <c r="N466" s="66"/>
      <c r="O466" s="66"/>
      <c r="P466" s="66"/>
      <c r="Q466" s="66"/>
      <c r="R466" s="66"/>
      <c r="S466" s="66"/>
    </row>
    <row r="467" spans="2:19" ht="18" customHeight="1">
      <c r="B467" s="1" t="s">
        <v>727</v>
      </c>
      <c r="C467" s="1" t="s">
        <v>728</v>
      </c>
      <c r="D467" s="6" t="s">
        <v>0</v>
      </c>
      <c r="E467" s="6">
        <v>1</v>
      </c>
      <c r="F467" s="6"/>
      <c r="G467" s="29" t="str">
        <f>IFERROR(HYPERLINK("#"&amp;ADDRESS(MATCH(B467&amp;"ES",'LM7 Non-ENG'!$A$1:$A$5000,0),1,,,"LM7 Non-ENG"),IF(IFERROR(VLOOKUP(B467&amp;"ES",'LM7 Non-ENG'!$A$1:$A$4999,1,FALSE),"ERROR")=B467&amp;"ES","Y","")),"")</f>
        <v/>
      </c>
      <c r="H467" s="29" t="str">
        <f>IFERROR(HYPERLINK("#"&amp;ADDRESS(MATCH(B467&amp;"PT",'LM7 Non-ENG'!$A$1:$A$5000,0),1,,,"LM7 Non-ENG"),IF(IFERROR(VLOOKUP(B467&amp;"PT",'LM7 Non-ENG'!$A$1:$A$5000,1,FALSE),"ERROR")=B467&amp;"PT","Y","")),"")</f>
        <v/>
      </c>
      <c r="I467" t="str">
        <f>IFERROR(VLOOKUP(B467,PN!$A:$C,3,FALSE),"")</f>
        <v>Phase Out</v>
      </c>
      <c r="J467" s="3" t="str">
        <f>IFERROR(E467*VLOOKUP(B467,PLInter!$A:$D,3,FALSE),"")</f>
        <v/>
      </c>
      <c r="K467" s="66"/>
      <c r="L467" s="66"/>
      <c r="M467" s="66"/>
      <c r="N467" s="66"/>
      <c r="O467" s="66"/>
      <c r="P467" s="66"/>
      <c r="Q467" s="66"/>
      <c r="R467" s="66"/>
      <c r="S467" s="66"/>
    </row>
    <row r="468" spans="2:19" ht="18" customHeight="1">
      <c r="B468" s="1" t="s">
        <v>729</v>
      </c>
      <c r="C468" s="1" t="s">
        <v>730</v>
      </c>
      <c r="D468" s="6" t="s">
        <v>0</v>
      </c>
      <c r="E468" s="6">
        <v>1</v>
      </c>
      <c r="F468" s="6"/>
      <c r="G468" s="29" t="str">
        <f>IFERROR(HYPERLINK("#"&amp;ADDRESS(MATCH(B468&amp;"ES",'LM7 Non-ENG'!$A$1:$A$5000,0),1,,,"LM7 Non-ENG"),IF(IFERROR(VLOOKUP(B468&amp;"ES",'LM7 Non-ENG'!$A$1:$A$4999,1,FALSE),"ERROR")=B468&amp;"ES","Y","")),"")</f>
        <v/>
      </c>
      <c r="H468" s="29" t="str">
        <f>IFERROR(HYPERLINK("#"&amp;ADDRESS(MATCH(B468&amp;"PT",'LM7 Non-ENG'!$A$1:$A$5000,0),1,,,"LM7 Non-ENG"),IF(IFERROR(VLOOKUP(B468&amp;"PT",'LM7 Non-ENG'!$A$1:$A$5000,1,FALSE),"ERROR")=B468&amp;"PT","Y","")),"")</f>
        <v/>
      </c>
      <c r="I468" t="str">
        <f>IFERROR(VLOOKUP(B468,PN!$A:$C,3,FALSE),"")</f>
        <v>Active</v>
      </c>
      <c r="J468" s="3" t="str">
        <f>IFERROR(E468*VLOOKUP(B468,PLInter!$A:$D,3,FALSE),"")</f>
        <v/>
      </c>
      <c r="K468" s="66"/>
      <c r="L468" s="66"/>
      <c r="M468" s="66"/>
      <c r="N468" s="66"/>
      <c r="O468" s="66"/>
      <c r="P468" s="66"/>
      <c r="Q468" s="66"/>
      <c r="R468" s="66"/>
      <c r="S468" s="66"/>
    </row>
    <row r="469" spans="2:19" ht="18" customHeight="1">
      <c r="B469" t="str">
        <f>"113034"</f>
        <v>113034</v>
      </c>
      <c r="C469" t="s">
        <v>695</v>
      </c>
      <c r="D469" s="4"/>
      <c r="E469" s="4">
        <v>50</v>
      </c>
      <c r="F469" s="4"/>
      <c r="G469" s="29" t="str">
        <f>IFERROR(HYPERLINK("#"&amp;ADDRESS(MATCH(B469&amp;"ES",'LM7 Non-ENG'!$A$1:$A$5000,0),1,,,"LM7 Non-ENG"),IF(IFERROR(VLOOKUP(B469&amp;"ES",'LM7 Non-ENG'!$A$1:$A$4999,1,FALSE),"ERROR")=B469&amp;"ES","Y","")),"")</f>
        <v/>
      </c>
      <c r="H469" s="29" t="str">
        <f>IFERROR(HYPERLINK("#"&amp;ADDRESS(MATCH(B469&amp;"PT",'LM7 Non-ENG'!$A$1:$A$5000,0),1,,,"LM7 Non-ENG"),IF(IFERROR(VLOOKUP(B469&amp;"PT",'LM7 Non-ENG'!$A$1:$A$5000,1,FALSE),"ERROR")=B469&amp;"PT","Y","")),"")</f>
        <v/>
      </c>
      <c r="I469" t="str">
        <f>IFERROR(VLOOKUP(B469,PN!$A:$C,3,FALSE),"")</f>
        <v>Active</v>
      </c>
      <c r="J469" s="3">
        <f>IFERROR(E469*VLOOKUP(B469,PLInter!$A:$D,3,FALSE),"")</f>
        <v>750</v>
      </c>
      <c r="K469" s="66"/>
      <c r="L469" s="66"/>
      <c r="M469" s="66"/>
      <c r="N469" s="66"/>
      <c r="O469" s="66"/>
      <c r="P469" s="66"/>
      <c r="Q469" s="66"/>
      <c r="R469" s="66"/>
      <c r="S469" s="66"/>
    </row>
    <row r="470" spans="2:19" ht="18" customHeight="1">
      <c r="B470" t="s">
        <v>735</v>
      </c>
      <c r="C470" t="s">
        <v>736</v>
      </c>
      <c r="D470" s="4"/>
      <c r="E470" s="4">
        <v>1</v>
      </c>
      <c r="F470" s="4"/>
      <c r="G470" s="29" t="str">
        <f>IFERROR(HYPERLINK("#"&amp;ADDRESS(MATCH(B470&amp;"ES",'LM7 Non-ENG'!$A$1:$A$5000,0),1,,,"LM7 Non-ENG"),IF(IFERROR(VLOOKUP(B470&amp;"ES",'LM7 Non-ENG'!$A$1:$A$4999,1,FALSE),"ERROR")=B470&amp;"ES","Y","")),"")</f>
        <v/>
      </c>
      <c r="H470" s="29" t="str">
        <f>IFERROR(HYPERLINK("#"&amp;ADDRESS(MATCH(B470&amp;"PT",'LM7 Non-ENG'!$A$1:$A$5000,0),1,,,"LM7 Non-ENG"),IF(IFERROR(VLOOKUP(B470&amp;"PT",'LM7 Non-ENG'!$A$1:$A$5000,1,FALSE),"ERROR")=B470&amp;"PT","Y","")),"")</f>
        <v/>
      </c>
      <c r="I470" t="str">
        <f>IFERROR(VLOOKUP(B470,PN!$A:$C,3,FALSE),"")</f>
        <v>Active</v>
      </c>
      <c r="J470" s="3">
        <f>IFERROR(E470*VLOOKUP(B470,PLInter!$A:$D,3,FALSE),"")</f>
        <v>667</v>
      </c>
      <c r="K470" s="66"/>
      <c r="L470" s="66"/>
      <c r="M470" s="66"/>
      <c r="N470" s="66"/>
      <c r="O470" s="66"/>
      <c r="P470" s="66"/>
      <c r="Q470" s="66"/>
      <c r="R470" s="66"/>
      <c r="S470" s="66"/>
    </row>
    <row r="471" spans="2:19" ht="18" customHeight="1">
      <c r="B471" t="s">
        <v>453</v>
      </c>
      <c r="C471" t="s">
        <v>463</v>
      </c>
      <c r="D471" s="4"/>
      <c r="E471" s="4">
        <v>1</v>
      </c>
      <c r="F471" s="4"/>
      <c r="G471" s="29" t="str">
        <f>IFERROR(HYPERLINK("#"&amp;ADDRESS(MATCH(B471&amp;"ES",'LM7 Non-ENG'!$A$1:$A$5000,0),1,,,"LM7 Non-ENG"),IF(IFERROR(VLOOKUP(B471&amp;"ES",'LM7 Non-ENG'!$A$1:$A$4999,1,FALSE),"ERROR")=B471&amp;"ES","Y","")),"")</f>
        <v/>
      </c>
      <c r="H471" s="29" t="str">
        <f>IFERROR(HYPERLINK("#"&amp;ADDRESS(MATCH(B471&amp;"PT",'LM7 Non-ENG'!$A$1:$A$5000,0),1,,,"LM7 Non-ENG"),IF(IFERROR(VLOOKUP(B471&amp;"PT",'LM7 Non-ENG'!$A$1:$A$5000,1,FALSE),"ERROR")=B471&amp;"PT","Y","")),"")</f>
        <v/>
      </c>
      <c r="I471" t="str">
        <f>IFERROR(VLOOKUP(B471,PN!$A:$C,3,FALSE),"")</f>
        <v>Active</v>
      </c>
      <c r="J471" s="3">
        <f>IFERROR(E471*VLOOKUP(B471,PLInter!$A:$D,3,FALSE),"")</f>
        <v>14934</v>
      </c>
      <c r="K471" s="66"/>
      <c r="L471" s="66"/>
      <c r="M471" s="66"/>
      <c r="N471" s="66"/>
      <c r="O471" s="66"/>
      <c r="P471" s="66"/>
      <c r="Q471" s="66"/>
      <c r="R471" s="66"/>
      <c r="S471" s="66"/>
    </row>
    <row r="472" spans="2:19" ht="18" customHeight="1">
      <c r="B472" s="2" t="s">
        <v>452</v>
      </c>
      <c r="C472" s="2" t="s">
        <v>737</v>
      </c>
      <c r="D472" s="5"/>
      <c r="E472" s="5">
        <v>1</v>
      </c>
      <c r="F472" s="5" t="s">
        <v>0</v>
      </c>
      <c r="G472" s="29" t="str">
        <f>IFERROR(HYPERLINK("#"&amp;ADDRESS(MATCH(B472&amp;"ES",'LM7 Non-ENG'!$A$1:$A$5000,0),1,,,"LM7 Non-ENG"),IF(IFERROR(VLOOKUP(B472&amp;"ES",'LM7 Non-ENG'!$A$1:$A$4999,1,FALSE),"ERROR")=B472&amp;"ES","Y","")),"")</f>
        <v/>
      </c>
      <c r="H472" s="29" t="str">
        <f>IFERROR(HYPERLINK("#"&amp;ADDRESS(MATCH(B472&amp;"PT",'LM7 Non-ENG'!$A$1:$A$5000,0),1,,,"LM7 Non-ENG"),IF(IFERROR(VLOOKUP(B472&amp;"PT",'LM7 Non-ENG'!$A$1:$A$5000,1,FALSE),"ERROR")=B472&amp;"PT","Y","")),"")</f>
        <v/>
      </c>
      <c r="I472" t="str">
        <f>IFERROR(VLOOKUP(B472,PN!$A:$C,3,FALSE),"")</f>
        <v>Active</v>
      </c>
      <c r="J472" s="3">
        <f>IFERROR(E472*VLOOKUP(B472,PLInter!$A:$D,3,FALSE),"")</f>
        <v>14934</v>
      </c>
      <c r="K472" s="66"/>
      <c r="L472" s="66"/>
      <c r="M472" s="66"/>
      <c r="N472" s="66"/>
      <c r="O472" s="66"/>
      <c r="P472" s="66"/>
      <c r="Q472" s="66"/>
      <c r="R472" s="66"/>
      <c r="S472" s="66"/>
    </row>
    <row r="473" spans="2:19" ht="18" customHeight="1">
      <c r="B473" t="s">
        <v>518</v>
      </c>
      <c r="C473" t="s">
        <v>738</v>
      </c>
      <c r="D473" s="4"/>
      <c r="E473" s="4">
        <v>1</v>
      </c>
      <c r="F473" s="4"/>
      <c r="G473" s="29" t="str">
        <f>IFERROR(HYPERLINK("#"&amp;ADDRESS(MATCH(B473&amp;"ES",'LM7 Non-ENG'!$A$1:$A$5000,0),1,,,"LM7 Non-ENG"),IF(IFERROR(VLOOKUP(B473&amp;"ES",'LM7 Non-ENG'!$A$1:$A$4999,1,FALSE),"ERROR")=B473&amp;"ES","Y","")),"")</f>
        <v/>
      </c>
      <c r="H473" s="29" t="str">
        <f>IFERROR(HYPERLINK("#"&amp;ADDRESS(MATCH(B473&amp;"PT",'LM7 Non-ENG'!$A$1:$A$5000,0),1,,,"LM7 Non-ENG"),IF(IFERROR(VLOOKUP(B473&amp;"PT",'LM7 Non-ENG'!$A$1:$A$5000,1,FALSE),"ERROR")=B473&amp;"PT","Y","")),"")</f>
        <v/>
      </c>
      <c r="I473" t="str">
        <f>IFERROR(VLOOKUP(B473,PN!$A:$C,3,FALSE),"")</f>
        <v>Active</v>
      </c>
      <c r="J473" s="3">
        <f>IFERROR(E473*VLOOKUP(B473,PLInter!$A:$D,3,FALSE),"")</f>
        <v>534</v>
      </c>
      <c r="K473" s="66"/>
      <c r="L473" s="66"/>
      <c r="M473" s="66"/>
      <c r="N473" s="66"/>
      <c r="O473" s="66"/>
      <c r="P473" s="66"/>
      <c r="Q473" s="66"/>
      <c r="R473" s="66"/>
      <c r="S473" s="66"/>
    </row>
    <row r="474" spans="2:19" ht="18" customHeight="1">
      <c r="B474" t="s">
        <v>572</v>
      </c>
      <c r="C474" t="s">
        <v>749</v>
      </c>
      <c r="D474" s="4"/>
      <c r="E474" s="4">
        <v>1</v>
      </c>
      <c r="F474" s="4"/>
      <c r="G474" s="29" t="str">
        <f>IFERROR(HYPERLINK("#"&amp;ADDRESS(MATCH(B474&amp;"ES",'LM7 Non-ENG'!$A$1:$A$5000,0),1,,,"LM7 Non-ENG"),IF(IFERROR(VLOOKUP(B474&amp;"ES",'LM7 Non-ENG'!$A$1:$A$4999,1,FALSE),"ERROR")=B474&amp;"ES","Y","")),"")</f>
        <v/>
      </c>
      <c r="H474" s="29" t="str">
        <f>IFERROR(HYPERLINK("#"&amp;ADDRESS(MATCH(B474&amp;"PT",'LM7 Non-ENG'!$A$1:$A$5000,0),1,,,"LM7 Non-ENG"),IF(IFERROR(VLOOKUP(B474&amp;"PT",'LM7 Non-ENG'!$A$1:$A$5000,1,FALSE),"ERROR")=B474&amp;"PT","Y","")),"")</f>
        <v/>
      </c>
      <c r="I474" t="str">
        <f>IFERROR(VLOOKUP(B474,PN!$A:$C,3,FALSE),"")</f>
        <v>Active</v>
      </c>
      <c r="J474" s="3">
        <f>IFERROR(E474*VLOOKUP(B474,PLInter!$A:$D,3,FALSE),"")</f>
        <v>500</v>
      </c>
      <c r="K474" s="66"/>
      <c r="L474" s="66"/>
      <c r="M474" s="66"/>
      <c r="N474" s="66"/>
      <c r="O474" s="66"/>
      <c r="P474" s="66"/>
      <c r="Q474" s="66"/>
      <c r="R474" s="66"/>
      <c r="S474" s="66"/>
    </row>
    <row r="475" spans="2:19" ht="18" customHeight="1">
      <c r="B475" t="s">
        <v>515</v>
      </c>
      <c r="C475" t="s">
        <v>739</v>
      </c>
      <c r="D475" s="4"/>
      <c r="E475" s="4">
        <v>1</v>
      </c>
      <c r="F475" s="4"/>
      <c r="G475" s="29" t="str">
        <f>IFERROR(HYPERLINK("#"&amp;ADDRESS(MATCH(B475&amp;"ES",'LM7 Non-ENG'!$A$1:$A$5000,0),1,,,"LM7 Non-ENG"),IF(IFERROR(VLOOKUP(B475&amp;"ES",'LM7 Non-ENG'!$A$1:$A$4999,1,FALSE),"ERROR")=B475&amp;"ES","Y","")),"")</f>
        <v/>
      </c>
      <c r="H475" s="29" t="str">
        <f>IFERROR(HYPERLINK("#"&amp;ADDRESS(MATCH(B475&amp;"PT",'LM7 Non-ENG'!$A$1:$A$5000,0),1,,,"LM7 Non-ENG"),IF(IFERROR(VLOOKUP(B475&amp;"PT",'LM7 Non-ENG'!$A$1:$A$5000,1,FALSE),"ERROR")=B475&amp;"PT","Y","")),"")</f>
        <v/>
      </c>
      <c r="I475" t="str">
        <f>IFERROR(VLOOKUP(B475,PN!$A:$C,3,FALSE),"")</f>
        <v>Active</v>
      </c>
      <c r="J475" s="3">
        <f>IFERROR(E475*VLOOKUP(B475,PLInter!$A:$D,3,FALSE),"")</f>
        <v>1895</v>
      </c>
      <c r="K475" s="66"/>
      <c r="L475" s="66"/>
      <c r="M475" s="66"/>
      <c r="N475" s="66"/>
      <c r="O475" s="66"/>
      <c r="P475" s="66"/>
      <c r="Q475" s="66"/>
      <c r="R475" s="66"/>
      <c r="S475" s="66"/>
    </row>
    <row r="476" spans="2:19" ht="18" customHeight="1">
      <c r="B476" t="s">
        <v>556</v>
      </c>
      <c r="C476" t="s">
        <v>750</v>
      </c>
      <c r="D476" s="4"/>
      <c r="E476" s="4">
        <v>1</v>
      </c>
      <c r="F476" s="4"/>
      <c r="G476" s="29" t="str">
        <f>IFERROR(HYPERLINK("#"&amp;ADDRESS(MATCH(B476&amp;"ES",'LM7 Non-ENG'!$A$1:$A$5000,0),1,,,"LM7 Non-ENG"),IF(IFERROR(VLOOKUP(B476&amp;"ES",'LM7 Non-ENG'!$A$1:$A$4999,1,FALSE),"ERROR")=B476&amp;"ES","Y","")),"")</f>
        <v/>
      </c>
      <c r="H476" s="29" t="str">
        <f>IFERROR(HYPERLINK("#"&amp;ADDRESS(MATCH(B476&amp;"PT",'LM7 Non-ENG'!$A$1:$A$5000,0),1,,,"LM7 Non-ENG"),IF(IFERROR(VLOOKUP(B476&amp;"PT",'LM7 Non-ENG'!$A$1:$A$5000,1,FALSE),"ERROR")=B476&amp;"PT","Y","")),"")</f>
        <v/>
      </c>
      <c r="I476" t="str">
        <f>IFERROR(VLOOKUP(B476,PN!$A:$C,3,FALSE),"")</f>
        <v>Active</v>
      </c>
      <c r="J476" s="3">
        <f>IFERROR(E476*VLOOKUP(B476,PLInter!$A:$D,3,FALSE),"")</f>
        <v>500</v>
      </c>
      <c r="K476" s="66"/>
      <c r="L476" s="66"/>
      <c r="M476" s="66"/>
      <c r="N476" s="66"/>
      <c r="O476" s="66"/>
      <c r="P476" s="66"/>
      <c r="Q476" s="66"/>
      <c r="R476" s="66"/>
      <c r="S476" s="66"/>
    </row>
    <row r="477" spans="2:19" ht="18" customHeight="1">
      <c r="B477" s="2" t="s">
        <v>751</v>
      </c>
      <c r="C477" s="2" t="s">
        <v>752</v>
      </c>
      <c r="D477" s="5"/>
      <c r="E477" s="5">
        <v>1</v>
      </c>
      <c r="F477" s="5" t="s">
        <v>0</v>
      </c>
      <c r="G477" s="29" t="str">
        <f>IFERROR(HYPERLINK("#"&amp;ADDRESS(MATCH(B477&amp;"ES",'LM7 Non-ENG'!$A$1:$A$5000,0),1,,,"LM7 Non-ENG"),IF(IFERROR(VLOOKUP(B477&amp;"ES",'LM7 Non-ENG'!$A$1:$A$4999,1,FALSE),"ERROR")=B477&amp;"ES","Y","")),"")</f>
        <v/>
      </c>
      <c r="H477" s="29" t="str">
        <f>IFERROR(HYPERLINK("#"&amp;ADDRESS(MATCH(B477&amp;"PT",'LM7 Non-ENG'!$A$1:$A$5000,0),1,,,"LM7 Non-ENG"),IF(IFERROR(VLOOKUP(B477&amp;"PT",'LM7 Non-ENG'!$A$1:$A$5000,1,FALSE),"ERROR")=B477&amp;"PT","Y","")),"")</f>
        <v/>
      </c>
      <c r="I477" t="str">
        <f>IFERROR(VLOOKUP(B477,PN!$A:$C,3,FALSE),"")</f>
        <v>Active</v>
      </c>
      <c r="J477" s="3">
        <f>IFERROR(E477*VLOOKUP(B477,PLInter!$A:$D,3,FALSE),"")</f>
        <v>500</v>
      </c>
      <c r="K477" s="66"/>
      <c r="L477" s="66"/>
      <c r="M477" s="66"/>
      <c r="N477" s="66"/>
      <c r="O477" s="66"/>
      <c r="P477" s="66"/>
      <c r="Q477" s="66"/>
      <c r="R477" s="66"/>
      <c r="S477" s="66"/>
    </row>
    <row r="478" spans="2:19" ht="18" customHeight="1">
      <c r="B478" t="s">
        <v>504</v>
      </c>
      <c r="C478" t="s">
        <v>742</v>
      </c>
      <c r="D478" s="4"/>
      <c r="E478" s="4">
        <v>1</v>
      </c>
      <c r="F478" s="4"/>
      <c r="G478" s="29" t="str">
        <f>IFERROR(HYPERLINK("#"&amp;ADDRESS(MATCH(B478&amp;"ES",'LM7 Non-ENG'!$A$1:$A$5000,0),1,,,"LM7 Non-ENG"),IF(IFERROR(VLOOKUP(B478&amp;"ES",'LM7 Non-ENG'!$A$1:$A$4999,1,FALSE),"ERROR")=B478&amp;"ES","Y","")),"")</f>
        <v/>
      </c>
      <c r="H478" s="29" t="str">
        <f>IFERROR(HYPERLINK("#"&amp;ADDRESS(MATCH(B478&amp;"PT",'LM7 Non-ENG'!$A$1:$A$5000,0),1,,,"LM7 Non-ENG"),IF(IFERROR(VLOOKUP(B478&amp;"PT",'LM7 Non-ENG'!$A$1:$A$5000,1,FALSE),"ERROR")=B478&amp;"PT","Y","")),"")</f>
        <v/>
      </c>
      <c r="I478" t="str">
        <f>IFERROR(VLOOKUP(B478,PN!$A:$C,3,FALSE),"")</f>
        <v>Active</v>
      </c>
      <c r="J478" s="3">
        <f>IFERROR(E478*VLOOKUP(B478,PLInter!$A:$D,3,FALSE),"")</f>
        <v>227</v>
      </c>
      <c r="K478" s="66"/>
      <c r="L478" s="66"/>
      <c r="M478" s="66"/>
      <c r="N478" s="66"/>
      <c r="O478" s="66"/>
      <c r="P478" s="66"/>
      <c r="Q478" s="66"/>
      <c r="R478" s="66"/>
      <c r="S478" s="66"/>
    </row>
    <row r="479" spans="2:19" ht="18" customHeight="1">
      <c r="B479" t="s">
        <v>505</v>
      </c>
      <c r="C479" t="s">
        <v>743</v>
      </c>
      <c r="D479" s="4"/>
      <c r="E479" s="4">
        <v>1</v>
      </c>
      <c r="F479" s="4"/>
      <c r="G479" s="29" t="str">
        <f>IFERROR(HYPERLINK("#"&amp;ADDRESS(MATCH(B479&amp;"ES",'LM7 Non-ENG'!$A$1:$A$5000,0),1,,,"LM7 Non-ENG"),IF(IFERROR(VLOOKUP(B479&amp;"ES",'LM7 Non-ENG'!$A$1:$A$4999,1,FALSE),"ERROR")=B479&amp;"ES","Y","")),"")</f>
        <v/>
      </c>
      <c r="H479" s="29" t="str">
        <f>IFERROR(HYPERLINK("#"&amp;ADDRESS(MATCH(B479&amp;"PT",'LM7 Non-ENG'!$A$1:$A$5000,0),1,,,"LM7 Non-ENG"),IF(IFERROR(VLOOKUP(B479&amp;"PT",'LM7 Non-ENG'!$A$1:$A$5000,1,FALSE),"ERROR")=B479&amp;"PT","Y","")),"")</f>
        <v/>
      </c>
      <c r="I479" t="str">
        <f>IFERROR(VLOOKUP(B479,PN!$A:$C,3,FALSE),"")</f>
        <v>Active</v>
      </c>
      <c r="J479" s="3">
        <f>IFERROR(E479*VLOOKUP(B479,PLInter!$A:$D,3,FALSE),"")</f>
        <v>200</v>
      </c>
      <c r="K479" s="66"/>
      <c r="L479" s="66"/>
      <c r="M479" s="66"/>
      <c r="N479" s="66"/>
      <c r="O479" s="66"/>
      <c r="P479" s="66"/>
      <c r="Q479" s="66"/>
      <c r="R479" s="66"/>
      <c r="S479" s="66"/>
    </row>
    <row r="480" spans="2:19" ht="18" customHeight="1">
      <c r="B480" t="s">
        <v>502</v>
      </c>
      <c r="C480" t="s">
        <v>744</v>
      </c>
      <c r="D480" s="4"/>
      <c r="E480" s="4">
        <v>1</v>
      </c>
      <c r="F480" s="4"/>
      <c r="G480" s="29" t="str">
        <f>IFERROR(HYPERLINK("#"&amp;ADDRESS(MATCH(B480&amp;"ES",'LM7 Non-ENG'!$A$1:$A$5000,0),1,,,"LM7 Non-ENG"),IF(IFERROR(VLOOKUP(B480&amp;"ES",'LM7 Non-ENG'!$A$1:$A$4999,1,FALSE),"ERROR")=B480&amp;"ES","Y","")),"")</f>
        <v/>
      </c>
      <c r="H480" s="29" t="str">
        <f>IFERROR(HYPERLINK("#"&amp;ADDRESS(MATCH(B480&amp;"PT",'LM7 Non-ENG'!$A$1:$A$5000,0),1,,,"LM7 Non-ENG"),IF(IFERROR(VLOOKUP(B480&amp;"PT",'LM7 Non-ENG'!$A$1:$A$5000,1,FALSE),"ERROR")=B480&amp;"PT","Y","")),"")</f>
        <v/>
      </c>
      <c r="I480" t="str">
        <f>IFERROR(VLOOKUP(B480,PN!$A:$C,3,FALSE),"")</f>
        <v>Active</v>
      </c>
      <c r="J480" s="3">
        <f>IFERROR(E480*VLOOKUP(B480,PLInter!$A:$D,3,FALSE),"")</f>
        <v>87</v>
      </c>
      <c r="K480" s="66"/>
      <c r="L480" s="66"/>
      <c r="M480" s="66"/>
      <c r="N480" s="66"/>
      <c r="O480" s="66"/>
      <c r="P480" s="66"/>
      <c r="Q480" s="66"/>
      <c r="R480" s="66"/>
      <c r="S480" s="66"/>
    </row>
    <row r="481" spans="1:19" ht="18" customHeight="1">
      <c r="B481" t="s">
        <v>503</v>
      </c>
      <c r="C481" t="s">
        <v>745</v>
      </c>
      <c r="D481" s="4"/>
      <c r="E481" s="4">
        <v>1</v>
      </c>
      <c r="F481" s="4"/>
      <c r="G481" s="29" t="str">
        <f>IFERROR(HYPERLINK("#"&amp;ADDRESS(MATCH(B481&amp;"ES",'LM7 Non-ENG'!$A$1:$A$5000,0),1,,,"LM7 Non-ENG"),IF(IFERROR(VLOOKUP(B481&amp;"ES",'LM7 Non-ENG'!$A$1:$A$4999,1,FALSE),"ERROR")=B481&amp;"ES","Y","")),"")</f>
        <v/>
      </c>
      <c r="H481" s="29" t="str">
        <f>IFERROR(HYPERLINK("#"&amp;ADDRESS(MATCH(B481&amp;"PT",'LM7 Non-ENG'!$A$1:$A$5000,0),1,,,"LM7 Non-ENG"),IF(IFERROR(VLOOKUP(B481&amp;"PT",'LM7 Non-ENG'!$A$1:$A$5000,1,FALSE),"ERROR")=B481&amp;"PT","Y","")),"")</f>
        <v/>
      </c>
      <c r="I481" t="str">
        <f>IFERROR(VLOOKUP(B481,PN!$A:$C,3,FALSE),"")</f>
        <v>Active</v>
      </c>
      <c r="J481" s="3">
        <f>IFERROR(E481*VLOOKUP(B481,PLInter!$A:$D,3,FALSE),"")</f>
        <v>74</v>
      </c>
      <c r="K481" s="66"/>
      <c r="L481" s="66"/>
      <c r="M481" s="66"/>
      <c r="N481" s="66"/>
      <c r="O481" s="66"/>
      <c r="P481" s="66"/>
      <c r="Q481" s="66"/>
      <c r="R481" s="66"/>
      <c r="S481" s="66"/>
    </row>
    <row r="482" spans="1:19" ht="18" customHeight="1">
      <c r="B482" t="s">
        <v>478</v>
      </c>
      <c r="C482" t="s">
        <v>716</v>
      </c>
      <c r="D482" s="4"/>
      <c r="E482" s="4">
        <v>1</v>
      </c>
      <c r="F482" s="4"/>
      <c r="G482" s="29" t="str">
        <f>IFERROR(HYPERLINK("#"&amp;ADDRESS(MATCH(B482&amp;"ES",'LM7 Non-ENG'!$A$1:$A$5000,0),1,,,"LM7 Non-ENG"),IF(IFERROR(VLOOKUP(B482&amp;"ES",'LM7 Non-ENG'!$A$1:$A$4999,1,FALSE),"ERROR")=B482&amp;"ES","Y","")),"")</f>
        <v/>
      </c>
      <c r="H482" s="29" t="str">
        <f>IFERROR(HYPERLINK("#"&amp;ADDRESS(MATCH(B482&amp;"PT",'LM7 Non-ENG'!$A$1:$A$5000,0),1,,,"LM7 Non-ENG"),IF(IFERROR(VLOOKUP(B482&amp;"PT",'LM7 Non-ENG'!$A$1:$A$5000,1,FALSE),"ERROR")=B482&amp;"PT","Y","")),"")</f>
        <v/>
      </c>
      <c r="I482" t="str">
        <f>IFERROR(VLOOKUP(B482,PN!$A:$C,3,FALSE),"")</f>
        <v>Active</v>
      </c>
      <c r="J482" s="3">
        <f>IFERROR(E482*VLOOKUP(B482,PLInter!$A:$D,3,FALSE),"")</f>
        <v>795</v>
      </c>
      <c r="K482" s="66"/>
      <c r="L482" s="66"/>
      <c r="M482" s="66"/>
      <c r="N482" s="66"/>
      <c r="O482" s="66"/>
      <c r="P482" s="66"/>
      <c r="Q482" s="66"/>
      <c r="R482" s="66"/>
      <c r="S482" s="66"/>
    </row>
    <row r="483" spans="1:19" ht="18" customHeight="1">
      <c r="B483" s="1" t="s">
        <v>506</v>
      </c>
      <c r="C483" s="1" t="s">
        <v>746</v>
      </c>
      <c r="D483" s="6" t="s">
        <v>0</v>
      </c>
      <c r="E483" s="6">
        <v>1</v>
      </c>
      <c r="F483" s="6"/>
      <c r="G483" s="29" t="str">
        <f>IFERROR(HYPERLINK("#"&amp;ADDRESS(MATCH(B483&amp;"ES",'LM7 Non-ENG'!$A$1:$A$5000,0),1,,,"LM7 Non-ENG"),IF(IFERROR(VLOOKUP(B483&amp;"ES",'LM7 Non-ENG'!$A$1:$A$4999,1,FALSE),"ERROR")=B483&amp;"ES","Y","")),"")</f>
        <v/>
      </c>
      <c r="H483" s="29" t="str">
        <f>IFERROR(HYPERLINK("#"&amp;ADDRESS(MATCH(B483&amp;"PT",'LM7 Non-ENG'!$A$1:$A$5000,0),1,,,"LM7 Non-ENG"),IF(IFERROR(VLOOKUP(B483&amp;"PT",'LM7 Non-ENG'!$A$1:$A$5000,1,FALSE),"ERROR")=B483&amp;"PT","Y","")),"")</f>
        <v/>
      </c>
      <c r="I483" t="str">
        <f>IFERROR(VLOOKUP(B483,PN!$A:$C,3,FALSE),"")</f>
        <v>Active</v>
      </c>
      <c r="J483" s="3">
        <f>IFERROR(E483*VLOOKUP(B483,PLInter!$A:$D,3,FALSE),"")</f>
        <v>231</v>
      </c>
      <c r="K483" s="66"/>
      <c r="L483" s="66"/>
      <c r="M483" s="66"/>
      <c r="N483" s="66"/>
      <c r="O483" s="66"/>
      <c r="P483" s="66"/>
      <c r="Q483" s="66"/>
      <c r="R483" s="66"/>
      <c r="S483" s="66"/>
    </row>
    <row r="484" spans="1:19" ht="18" customHeight="1">
      <c r="B484" s="1" t="s">
        <v>480</v>
      </c>
      <c r="C484" s="1" t="s">
        <v>723</v>
      </c>
      <c r="D484" s="6" t="s">
        <v>0</v>
      </c>
      <c r="E484" s="6">
        <v>1</v>
      </c>
      <c r="F484" s="6"/>
      <c r="G484" s="29" t="str">
        <f>IFERROR(HYPERLINK("#"&amp;ADDRESS(MATCH(B484&amp;"ES",'LM7 Non-ENG'!$A$1:$A$5000,0),1,,,"LM7 Non-ENG"),IF(IFERROR(VLOOKUP(B484&amp;"ES",'LM7 Non-ENG'!$A$1:$A$4999,1,FALSE),"ERROR")=B484&amp;"ES","Y","")),"")</f>
        <v/>
      </c>
      <c r="H484" s="29" t="str">
        <f>IFERROR(HYPERLINK("#"&amp;ADDRESS(MATCH(B484&amp;"PT",'LM7 Non-ENG'!$A$1:$A$5000,0),1,,,"LM7 Non-ENG"),IF(IFERROR(VLOOKUP(B484&amp;"PT",'LM7 Non-ENG'!$A$1:$A$5000,1,FALSE),"ERROR")=B484&amp;"PT","Y","")),"")</f>
        <v/>
      </c>
      <c r="I484" t="str">
        <f>IFERROR(VLOOKUP(B484,PN!$A:$C,3,FALSE),"")</f>
        <v>Active</v>
      </c>
      <c r="J484" s="3">
        <f>IFERROR(E484*VLOOKUP(B484,PLInter!$A:$D,3,FALSE),"")</f>
        <v>407</v>
      </c>
      <c r="K484" s="66"/>
      <c r="L484" s="66"/>
      <c r="M484" s="66"/>
      <c r="N484" s="66"/>
      <c r="O484" s="66"/>
      <c r="P484" s="66"/>
      <c r="Q484" s="66"/>
      <c r="R484" s="66"/>
      <c r="S484" s="66"/>
    </row>
    <row r="485" spans="1:19" ht="18" customHeight="1">
      <c r="B485" s="1" t="s">
        <v>479</v>
      </c>
      <c r="C485" s="1" t="s">
        <v>810</v>
      </c>
      <c r="D485" s="6" t="s">
        <v>0</v>
      </c>
      <c r="E485" s="6">
        <v>1</v>
      </c>
      <c r="F485" s="6" t="s">
        <v>0</v>
      </c>
      <c r="G485" s="29" t="str">
        <f>IFERROR(HYPERLINK("#"&amp;ADDRESS(MATCH(B485&amp;"ES",'LM7 Non-ENG'!$A$1:$A$5000,0),1,,,"LM7 Non-ENG"),IF(IFERROR(VLOOKUP(B485&amp;"ES",'LM7 Non-ENG'!$A$1:$A$4999,1,FALSE),"ERROR")=B485&amp;"ES","Y","")),"")</f>
        <v/>
      </c>
      <c r="H485" s="29" t="str">
        <f>IFERROR(HYPERLINK("#"&amp;ADDRESS(MATCH(B485&amp;"PT",'LM7 Non-ENG'!$A$1:$A$5000,0),1,,,"LM7 Non-ENG"),IF(IFERROR(VLOOKUP(B485&amp;"PT",'LM7 Non-ENG'!$A$1:$A$5000,1,FALSE),"ERROR")=B485&amp;"PT","Y","")),"")</f>
        <v/>
      </c>
      <c r="I485" t="str">
        <f>IFERROR(VLOOKUP(B485,PN!$A:$C,3,FALSE),"")</f>
        <v>Active</v>
      </c>
      <c r="J485" s="3">
        <f>IFERROR(E485*VLOOKUP(B485,PLInter!$A:$D,3,FALSE),"")</f>
        <v>407</v>
      </c>
      <c r="K485" s="66"/>
      <c r="L485" s="66"/>
      <c r="M485" s="66"/>
      <c r="N485" s="66"/>
      <c r="O485" s="66"/>
      <c r="P485" s="66"/>
      <c r="Q485" s="66"/>
      <c r="R485" s="66"/>
      <c r="S485" s="66"/>
    </row>
    <row r="486" spans="1:19" ht="18" customHeight="1">
      <c r="B486" s="1" t="s">
        <v>727</v>
      </c>
      <c r="C486" s="1" t="s">
        <v>728</v>
      </c>
      <c r="D486" s="6" t="s">
        <v>0</v>
      </c>
      <c r="E486" s="6">
        <v>1</v>
      </c>
      <c r="F486" s="6"/>
      <c r="G486" s="29" t="str">
        <f>IFERROR(HYPERLINK("#"&amp;ADDRESS(MATCH(B486&amp;"ES",'LM7 Non-ENG'!$A$1:$A$5000,0),1,,,"LM7 Non-ENG"),IF(IFERROR(VLOOKUP(B486&amp;"ES",'LM7 Non-ENG'!$A$1:$A$4999,1,FALSE),"ERROR")=B486&amp;"ES","Y","")),"")</f>
        <v/>
      </c>
      <c r="H486" s="29" t="str">
        <f>IFERROR(HYPERLINK("#"&amp;ADDRESS(MATCH(B486&amp;"PT",'LM7 Non-ENG'!$A$1:$A$5000,0),1,,,"LM7 Non-ENG"),IF(IFERROR(VLOOKUP(B486&amp;"PT",'LM7 Non-ENG'!$A$1:$A$5000,1,FALSE),"ERROR")=B486&amp;"PT","Y","")),"")</f>
        <v/>
      </c>
      <c r="I486" t="str">
        <f>IFERROR(VLOOKUP(B486,PN!$A:$C,3,FALSE),"")</f>
        <v>Phase Out</v>
      </c>
      <c r="J486" s="3" t="str">
        <f>IFERROR(E486*VLOOKUP(B486,PLInter!$A:$D,3,FALSE),"")</f>
        <v/>
      </c>
      <c r="K486" s="66"/>
      <c r="L486" s="66"/>
      <c r="M486" s="66"/>
      <c r="N486" s="66"/>
      <c r="O486" s="66"/>
      <c r="P486" s="66"/>
      <c r="Q486" s="66"/>
      <c r="R486" s="66"/>
      <c r="S486" s="66"/>
    </row>
    <row r="487" spans="1:19" ht="18" customHeight="1">
      <c r="B487" s="1" t="s">
        <v>729</v>
      </c>
      <c r="C487" s="1" t="s">
        <v>730</v>
      </c>
      <c r="D487" s="6" t="s">
        <v>0</v>
      </c>
      <c r="E487" s="6">
        <v>1</v>
      </c>
      <c r="F487" s="6"/>
      <c r="G487" s="29" t="str">
        <f>IFERROR(HYPERLINK("#"&amp;ADDRESS(MATCH(B487&amp;"ES",'LM7 Non-ENG'!$A$1:$A$5000,0),1,,,"LM7 Non-ENG"),IF(IFERROR(VLOOKUP(B487&amp;"ES",'LM7 Non-ENG'!$A$1:$A$4999,1,FALSE),"ERROR")=B487&amp;"ES","Y","")),"")</f>
        <v/>
      </c>
      <c r="H487" s="29" t="str">
        <f>IFERROR(HYPERLINK("#"&amp;ADDRESS(MATCH(B487&amp;"PT",'LM7 Non-ENG'!$A$1:$A$5000,0),1,,,"LM7 Non-ENG"),IF(IFERROR(VLOOKUP(B487&amp;"PT",'LM7 Non-ENG'!$A$1:$A$5000,1,FALSE),"ERROR")=B487&amp;"PT","Y","")),"")</f>
        <v/>
      </c>
      <c r="I487" t="str">
        <f>IFERROR(VLOOKUP(B487,PN!$A:$C,3,FALSE),"")</f>
        <v>Active</v>
      </c>
      <c r="J487" s="3" t="str">
        <f>IFERROR(E487*VLOOKUP(B487,PLInter!$A:$D,3,FALSE),"")</f>
        <v/>
      </c>
      <c r="K487" s="66"/>
      <c r="L487" s="66"/>
      <c r="M487" s="66"/>
      <c r="N487" s="66"/>
      <c r="O487" s="66"/>
      <c r="P487" s="66"/>
      <c r="Q487" s="66"/>
      <c r="R487" s="66"/>
      <c r="S487" s="66"/>
    </row>
    <row r="488" spans="1:19" ht="18" customHeight="1">
      <c r="B488" t="str">
        <f>"112496"</f>
        <v>112496</v>
      </c>
      <c r="C488" t="s">
        <v>696</v>
      </c>
      <c r="D488" s="4"/>
      <c r="E488" s="4">
        <v>50</v>
      </c>
      <c r="F488" s="4"/>
      <c r="G488" s="29" t="str">
        <f>IFERROR(HYPERLINK("#"&amp;ADDRESS(MATCH(B488&amp;"ES",'LM7 Non-ENG'!$A$1:$A$5000,0),1,,,"LM7 Non-ENG"),IF(IFERROR(VLOOKUP(B488&amp;"ES",'LM7 Non-ENG'!$A$1:$A$4999,1,FALSE),"ERROR")=B488&amp;"ES","Y","")),"")</f>
        <v/>
      </c>
      <c r="H488" s="29" t="str">
        <f>IFERROR(HYPERLINK("#"&amp;ADDRESS(MATCH(B488&amp;"PT",'LM7 Non-ENG'!$A$1:$A$5000,0),1,,,"LM7 Non-ENG"),IF(IFERROR(VLOOKUP(B488&amp;"PT",'LM7 Non-ENG'!$A$1:$A$5000,1,FALSE),"ERROR")=B488&amp;"PT","Y","")),"")</f>
        <v/>
      </c>
      <c r="I488" t="str">
        <f>IFERROR(VLOOKUP(B488,PN!$A:$C,3,FALSE),"")</f>
        <v>Active</v>
      </c>
      <c r="J488" s="3">
        <f>IFERROR(E488*VLOOKUP(B488,PLInter!$A:$D,3,FALSE),"")</f>
        <v>1000</v>
      </c>
      <c r="K488" s="66"/>
      <c r="L488" s="66"/>
      <c r="M488" s="66"/>
      <c r="N488" s="66"/>
      <c r="O488" s="66"/>
      <c r="P488" s="66"/>
      <c r="Q488" s="66"/>
      <c r="R488" s="66"/>
      <c r="S488" s="66"/>
    </row>
    <row r="489" spans="1:19" ht="18" customHeight="1">
      <c r="B489" t="s">
        <v>753</v>
      </c>
      <c r="C489" t="s">
        <v>754</v>
      </c>
      <c r="D489" s="4"/>
      <c r="E489" s="4">
        <v>2</v>
      </c>
      <c r="F489" s="4"/>
      <c r="G489" s="29" t="str">
        <f>IFERROR(HYPERLINK("#"&amp;ADDRESS(MATCH(B489&amp;"ES",'LM7 Non-ENG'!$A$1:$A$5000,0),1,,,"LM7 Non-ENG"),IF(IFERROR(VLOOKUP(B489&amp;"ES",'LM7 Non-ENG'!$A$1:$A$4999,1,FALSE),"ERROR")=B489&amp;"ES","Y","")),"")</f>
        <v/>
      </c>
      <c r="H489" s="29" t="str">
        <f>IFERROR(HYPERLINK("#"&amp;ADDRESS(MATCH(B489&amp;"PT",'LM7 Non-ENG'!$A$1:$A$5000,0),1,,,"LM7 Non-ENG"),IF(IFERROR(VLOOKUP(B489&amp;"PT",'LM7 Non-ENG'!$A$1:$A$5000,1,FALSE),"ERROR")=B489&amp;"PT","Y","")),"")</f>
        <v/>
      </c>
      <c r="I489" t="str">
        <f>IFERROR(VLOOKUP(B489,PN!$A:$C,3,FALSE),"")</f>
        <v>Active</v>
      </c>
      <c r="J489" s="3">
        <f>IFERROR(E489*VLOOKUP(B489,PLInter!$A:$D,3,FALSE),"")</f>
        <v>6560</v>
      </c>
      <c r="K489" s="66"/>
      <c r="L489" s="66"/>
      <c r="M489" s="66"/>
      <c r="N489" s="66"/>
      <c r="O489" s="66"/>
      <c r="P489" s="66"/>
      <c r="Q489" s="66"/>
      <c r="R489" s="66"/>
      <c r="S489" s="66"/>
    </row>
    <row r="490" spans="1:19" ht="18" customHeight="1">
      <c r="B490" t="s">
        <v>755</v>
      </c>
      <c r="C490" t="s">
        <v>756</v>
      </c>
      <c r="D490" s="4"/>
      <c r="E490" s="4">
        <v>2</v>
      </c>
      <c r="F490" s="4"/>
      <c r="G490" s="29" t="str">
        <f>IFERROR(HYPERLINK("#"&amp;ADDRESS(MATCH(B490&amp;"ES",'LM7 Non-ENG'!$A$1:$A$5000,0),1,,,"LM7 Non-ENG"),IF(IFERROR(VLOOKUP(B490&amp;"ES",'LM7 Non-ENG'!$A$1:$A$4999,1,FALSE),"ERROR")=B490&amp;"ES","Y","")),"")</f>
        <v/>
      </c>
      <c r="H490" s="29" t="str">
        <f>IFERROR(HYPERLINK("#"&amp;ADDRESS(MATCH(B490&amp;"PT",'LM7 Non-ENG'!$A$1:$A$5000,0),1,,,"LM7 Non-ENG"),IF(IFERROR(VLOOKUP(B490&amp;"PT",'LM7 Non-ENG'!$A$1:$A$5000,1,FALSE),"ERROR")=B490&amp;"PT","Y","")),"")</f>
        <v/>
      </c>
      <c r="I490" t="str">
        <f>IFERROR(VLOOKUP(B490,PN!$A:$C,3,FALSE),"")</f>
        <v>Active</v>
      </c>
      <c r="J490" s="3">
        <f>IFERROR(E490*VLOOKUP(B490,PLInter!$A:$D,3,FALSE),"")</f>
        <v>1032</v>
      </c>
      <c r="K490" s="66"/>
      <c r="L490" s="66"/>
      <c r="M490" s="66"/>
      <c r="N490" s="66"/>
      <c r="O490" s="66"/>
      <c r="P490" s="66"/>
      <c r="Q490" s="66"/>
      <c r="R490" s="66"/>
      <c r="S490" s="66"/>
    </row>
    <row r="491" spans="1:19" ht="18" customHeight="1">
      <c r="B491" t="s">
        <v>630</v>
      </c>
      <c r="C491" t="s">
        <v>631</v>
      </c>
      <c r="D491" s="4"/>
      <c r="E491" s="4">
        <v>1</v>
      </c>
      <c r="F491" s="4"/>
      <c r="G491" s="29" t="str">
        <f>IFERROR(HYPERLINK("#"&amp;ADDRESS(MATCH(B491&amp;"ES",'LM7 Non-ENG'!$A$1:$A$5000,0),1,,,"LM7 Non-ENG"),IF(IFERROR(VLOOKUP(B491&amp;"ES",'LM7 Non-ENG'!$A$1:$A$4999,1,FALSE),"ERROR")=B491&amp;"ES","Y","")),"")</f>
        <v/>
      </c>
      <c r="H491" s="29" t="str">
        <f>IFERROR(HYPERLINK("#"&amp;ADDRESS(MATCH(B491&amp;"PT",'LM7 Non-ENG'!$A$1:$A$5000,0),1,,,"LM7 Non-ENG"),IF(IFERROR(VLOOKUP(B491&amp;"PT",'LM7 Non-ENG'!$A$1:$A$5000,1,FALSE),"ERROR")=B491&amp;"PT","Y","")),"")</f>
        <v/>
      </c>
      <c r="I491" t="str">
        <f>IFERROR(VLOOKUP(B491,PN!$A:$C,3,FALSE),"")</f>
        <v>Active</v>
      </c>
      <c r="J491" s="3">
        <f>IFERROR(E491*VLOOKUP(B491,PLInter!$A:$D,3,FALSE),"")</f>
        <v>1735</v>
      </c>
      <c r="K491" s="66"/>
      <c r="L491" s="66"/>
      <c r="M491" s="66"/>
      <c r="N491" s="66"/>
      <c r="O491" s="66"/>
      <c r="P491" s="66"/>
      <c r="Q491" s="66"/>
      <c r="R491" s="66"/>
      <c r="S491" s="66"/>
    </row>
    <row r="493" spans="1:19" s="7" customFormat="1" ht="18" customHeight="1">
      <c r="A493" s="13" t="s">
        <v>811</v>
      </c>
      <c r="B493" s="13"/>
      <c r="C493" s="13" t="s">
        <v>812</v>
      </c>
      <c r="D493" s="14"/>
      <c r="E493" s="14"/>
      <c r="F493" s="14"/>
      <c r="G493" s="14"/>
      <c r="H493" s="14"/>
      <c r="I493" s="14"/>
      <c r="J493" s="14">
        <f>SUMIFS(J494:J534,D494:D534,"&lt;&gt;Y",F494:F534,"&lt;&gt;Y",I494:I534,"&lt;&gt;Inactive",I494:I534,"&lt;&gt;ECO+NFS")</f>
        <v>66392</v>
      </c>
      <c r="K493" s="14"/>
      <c r="L493" s="14"/>
      <c r="M493" s="14"/>
      <c r="N493" s="14"/>
      <c r="O493" s="14"/>
      <c r="P493" s="14"/>
      <c r="Q493" s="14"/>
      <c r="R493" s="14"/>
      <c r="S493" s="14"/>
    </row>
    <row r="494" spans="1:19" ht="18" customHeight="1">
      <c r="A494" s="17" t="str">
        <f>HYPERLINK("#"&amp;ADDRESS(MATCH(A493,'CIM&amp;FMS'!$A$1:$A$4997,0),1,,,"CIM&amp;FMS"),"Back to Price List")</f>
        <v>Back to Price List</v>
      </c>
      <c r="B494" t="s">
        <v>214</v>
      </c>
      <c r="C494" t="s">
        <v>654</v>
      </c>
      <c r="D494" s="4"/>
      <c r="E494" s="4">
        <v>1</v>
      </c>
      <c r="F494" s="4"/>
      <c r="G494" s="29" t="str">
        <f>IFERROR(HYPERLINK("#"&amp;ADDRESS(MATCH(B494&amp;"ES",'LM7 Non-ENG'!$A$1:$A$5000,0),1,,,"LM7 Non-ENG"),IF(IFERROR(VLOOKUP(B494&amp;"ES",'LM7 Non-ENG'!$A$1:$A$4999,1,FALSE),"ERROR")=B494&amp;"ES","Y","")),"")</f>
        <v/>
      </c>
      <c r="H494" s="29" t="str">
        <f>IFERROR(HYPERLINK("#"&amp;ADDRESS(MATCH(B494&amp;"PT",'LM7 Non-ENG'!$A$1:$A$5000,0),1,,,"LM7 Non-ENG"),IF(IFERROR(VLOOKUP(B494&amp;"PT",'LM7 Non-ENG'!$A$1:$A$5000,1,FALSE),"ERROR")=B494&amp;"PT","Y","")),"")</f>
        <v/>
      </c>
      <c r="I494" t="str">
        <f>IFERROR(VLOOKUP(B494,PN!$A:$C,3,FALSE),"")</f>
        <v>Active</v>
      </c>
      <c r="J494" s="3">
        <f>IFERROR(E494*VLOOKUP(B494,PLInter!$A:$D,3,FALSE),"")</f>
        <v>24000</v>
      </c>
      <c r="K494" s="66"/>
      <c r="L494" s="66"/>
      <c r="M494" s="66"/>
      <c r="N494" s="66"/>
      <c r="O494" s="66"/>
      <c r="P494" s="66"/>
      <c r="Q494" s="66"/>
      <c r="R494" s="66"/>
      <c r="S494" s="66"/>
    </row>
    <row r="495" spans="1:19" ht="18" customHeight="1">
      <c r="B495" t="s">
        <v>228</v>
      </c>
      <c r="C495" t="s">
        <v>655</v>
      </c>
      <c r="D495" s="4"/>
      <c r="E495" s="4">
        <v>1</v>
      </c>
      <c r="F495" s="4"/>
      <c r="G495" s="29" t="str">
        <f>IFERROR(HYPERLINK("#"&amp;ADDRESS(MATCH(B495&amp;"ES",'LM7 Non-ENG'!$A$1:$A$5000,0),1,,,"LM7 Non-ENG"),IF(IFERROR(VLOOKUP(B495&amp;"ES",'LM7 Non-ENG'!$A$1:$A$4999,1,FALSE),"ERROR")=B495&amp;"ES","Y","")),"")</f>
        <v/>
      </c>
      <c r="H495" s="29" t="str">
        <f>IFERROR(HYPERLINK("#"&amp;ADDRESS(MATCH(B495&amp;"PT",'LM7 Non-ENG'!$A$1:$A$5000,0),1,,,"LM7 Non-ENG"),IF(IFERROR(VLOOKUP(B495&amp;"PT",'LM7 Non-ENG'!$A$1:$A$5000,1,FALSE),"ERROR")=B495&amp;"PT","Y","")),"")</f>
        <v/>
      </c>
      <c r="I495" t="str">
        <f>IFERROR(VLOOKUP(B495,PN!$A:$C,3,FALSE),"")</f>
        <v>Active</v>
      </c>
      <c r="J495" s="3">
        <f>IFERROR(E495*VLOOKUP(B495,PLInter!$A:$D,3,FALSE),"")</f>
        <v>2134</v>
      </c>
      <c r="K495" s="66"/>
      <c r="L495" s="66"/>
      <c r="M495" s="66"/>
      <c r="N495" s="66"/>
      <c r="O495" s="66"/>
      <c r="P495" s="66"/>
      <c r="Q495" s="66"/>
      <c r="R495" s="66"/>
      <c r="S495" s="66"/>
    </row>
    <row r="496" spans="1:19" ht="18" customHeight="1">
      <c r="B496" s="2" t="s">
        <v>227</v>
      </c>
      <c r="C496" s="2" t="s">
        <v>232</v>
      </c>
      <c r="D496" s="5"/>
      <c r="E496" s="5">
        <v>1</v>
      </c>
      <c r="F496" s="5" t="s">
        <v>0</v>
      </c>
      <c r="G496" s="29" t="str">
        <f>IFERROR(HYPERLINK("#"&amp;ADDRESS(MATCH(B496&amp;"ES",'LM7 Non-ENG'!$A$1:$A$5000,0),1,,,"LM7 Non-ENG"),IF(IFERROR(VLOOKUP(B496&amp;"ES",'LM7 Non-ENG'!$A$1:$A$4999,1,FALSE),"ERROR")=B496&amp;"ES","Y","")),"")</f>
        <v/>
      </c>
      <c r="H496" s="29" t="str">
        <f>IFERROR(HYPERLINK("#"&amp;ADDRESS(MATCH(B496&amp;"PT",'LM7 Non-ENG'!$A$1:$A$5000,0),1,,,"LM7 Non-ENG"),IF(IFERROR(VLOOKUP(B496&amp;"PT",'LM7 Non-ENG'!$A$1:$A$5000,1,FALSE),"ERROR")=B496&amp;"PT","Y","")),"")</f>
        <v/>
      </c>
      <c r="I496" t="str">
        <f>IFERROR(VLOOKUP(B496,PN!$A:$C,3,FALSE),"")</f>
        <v>Active</v>
      </c>
      <c r="J496" s="3">
        <f>IFERROR(E496*VLOOKUP(B496,PLInter!$A:$D,3,FALSE),"")</f>
        <v>1700</v>
      </c>
      <c r="K496" s="66"/>
      <c r="L496" s="66"/>
      <c r="M496" s="66"/>
      <c r="N496" s="66"/>
      <c r="O496" s="66"/>
      <c r="P496" s="66"/>
      <c r="Q496" s="66"/>
      <c r="R496" s="66"/>
      <c r="S496" s="66"/>
    </row>
    <row r="497" spans="2:19" ht="18" customHeight="1">
      <c r="B497" t="s">
        <v>236</v>
      </c>
      <c r="C497" t="s">
        <v>626</v>
      </c>
      <c r="D497" s="4"/>
      <c r="E497" s="4">
        <v>1</v>
      </c>
      <c r="F497" s="4"/>
      <c r="G497" s="29" t="str">
        <f>IFERROR(HYPERLINK("#"&amp;ADDRESS(MATCH(B497&amp;"ES",'LM7 Non-ENG'!$A$1:$A$5000,0),1,,,"LM7 Non-ENG"),IF(IFERROR(VLOOKUP(B497&amp;"ES",'LM7 Non-ENG'!$A$1:$A$4999,1,FALSE),"ERROR")=B497&amp;"ES","Y","")),"")</f>
        <v/>
      </c>
      <c r="H497" s="29" t="str">
        <f>IFERROR(HYPERLINK("#"&amp;ADDRESS(MATCH(B497&amp;"PT",'LM7 Non-ENG'!$A$1:$A$5000,0),1,,,"LM7 Non-ENG"),IF(IFERROR(VLOOKUP(B497&amp;"PT",'LM7 Non-ENG'!$A$1:$A$5000,1,FALSE),"ERROR")=B497&amp;"PT","Y","")),"")</f>
        <v/>
      </c>
      <c r="I497" t="str">
        <f>IFERROR(VLOOKUP(B497,PN!$A:$C,3,FALSE),"")</f>
        <v>Active</v>
      </c>
      <c r="J497" s="3">
        <f>IFERROR(E497*VLOOKUP(B497,PLInter!$A:$D,3,FALSE),"")</f>
        <v>1680</v>
      </c>
      <c r="K497" s="66"/>
      <c r="L497" s="66"/>
      <c r="M497" s="66"/>
      <c r="N497" s="66"/>
      <c r="O497" s="66"/>
      <c r="P497" s="66"/>
      <c r="Q497" s="66"/>
      <c r="R497" s="66"/>
      <c r="S497" s="66"/>
    </row>
    <row r="498" spans="2:19" ht="18" customHeight="1">
      <c r="B498" t="s">
        <v>243</v>
      </c>
      <c r="C498" t="s">
        <v>790</v>
      </c>
      <c r="D498" s="4"/>
      <c r="E498" s="4">
        <v>1</v>
      </c>
      <c r="F498" s="4"/>
      <c r="G498" s="29" t="str">
        <f>IFERROR(HYPERLINK("#"&amp;ADDRESS(MATCH(B498&amp;"ES",'LM7 Non-ENG'!$A$1:$A$5000,0),1,,,"LM7 Non-ENG"),IF(IFERROR(VLOOKUP(B498&amp;"ES",'LM7 Non-ENG'!$A$1:$A$4999,1,FALSE),"ERROR")=B498&amp;"ES","Y","")),"")</f>
        <v/>
      </c>
      <c r="H498" s="29" t="str">
        <f>IFERROR(HYPERLINK("#"&amp;ADDRESS(MATCH(B498&amp;"PT",'LM7 Non-ENG'!$A$1:$A$5000,0),1,,,"LM7 Non-ENG"),IF(IFERROR(VLOOKUP(B498&amp;"PT",'LM7 Non-ENG'!$A$1:$A$5000,1,FALSE),"ERROR")=B498&amp;"PT","Y","")),"")</f>
        <v/>
      </c>
      <c r="I498" t="str">
        <f>IFERROR(VLOOKUP(B498,PN!$A:$C,3,FALSE),"")</f>
        <v>Active</v>
      </c>
      <c r="J498" s="3">
        <f>IFERROR(E498*VLOOKUP(B498,PLInter!$A:$D,3,FALSE),"")</f>
        <v>7366</v>
      </c>
      <c r="K498" s="66"/>
      <c r="L498" s="66"/>
      <c r="M498" s="66"/>
      <c r="N498" s="66"/>
      <c r="O498" s="66"/>
      <c r="P498" s="66"/>
      <c r="Q498" s="66"/>
      <c r="R498" s="66"/>
      <c r="S498" s="66"/>
    </row>
    <row r="499" spans="2:19" ht="18" customHeight="1">
      <c r="B499" t="str">
        <f>"034025"</f>
        <v>034025</v>
      </c>
      <c r="C499" t="s">
        <v>799</v>
      </c>
      <c r="D499" s="4"/>
      <c r="E499" s="4">
        <v>1</v>
      </c>
      <c r="F499" s="4"/>
      <c r="G499" s="29" t="str">
        <f>IFERROR(HYPERLINK("#"&amp;ADDRESS(MATCH(B499&amp;"ES",'LM7 Non-ENG'!$A$1:$A$5000,0),1,,,"LM7 Non-ENG"),IF(IFERROR(VLOOKUP(B499&amp;"ES",'LM7 Non-ENG'!$A$1:$A$4999,1,FALSE),"ERROR")=B499&amp;"ES","Y","")),"")</f>
        <v/>
      </c>
      <c r="H499" s="29" t="str">
        <f>IFERROR(HYPERLINK("#"&amp;ADDRESS(MATCH(B499&amp;"PT",'LM7 Non-ENG'!$A$1:$A$5000,0),1,,,"LM7 Non-ENG"),IF(IFERROR(VLOOKUP(B499&amp;"PT",'LM7 Non-ENG'!$A$1:$A$5000,1,FALSE),"ERROR")=B499&amp;"PT","Y","")),"")</f>
        <v/>
      </c>
      <c r="I499" t="str">
        <f>IFERROR(VLOOKUP(B499,PN!$A:$C,3,FALSE),"")</f>
        <v>Active</v>
      </c>
      <c r="J499" s="3">
        <f>IFERROR(E499*VLOOKUP(B499,PLInter!$A:$D,3,FALSE),"")</f>
        <v>1267</v>
      </c>
      <c r="K499" s="66"/>
      <c r="L499" s="66"/>
      <c r="M499" s="66"/>
      <c r="N499" s="66"/>
      <c r="O499" s="66"/>
      <c r="P499" s="66"/>
      <c r="Q499" s="66"/>
      <c r="R499" s="66"/>
      <c r="S499" s="66"/>
    </row>
    <row r="500" spans="2:19" ht="18" customHeight="1">
      <c r="B500" t="str">
        <f>"021152"</f>
        <v>021152</v>
      </c>
      <c r="C500" s="41" t="s">
        <v>679</v>
      </c>
      <c r="D500" s="4"/>
      <c r="E500" s="4">
        <v>1</v>
      </c>
      <c r="F500" s="4"/>
      <c r="G500" s="29" t="str">
        <f>IFERROR(HYPERLINK("#"&amp;ADDRESS(MATCH(B500&amp;"ES",'LM7 Non-ENG'!$A$1:$A$5000,0),1,,,"LM7 Non-ENG"),IF(IFERROR(VLOOKUP(B500&amp;"ES",'LM7 Non-ENG'!$A$1:$A$4999,1,FALSE),"ERROR")=B500&amp;"ES","Y","")),"")</f>
        <v/>
      </c>
      <c r="H500" s="29" t="str">
        <f>IFERROR(HYPERLINK("#"&amp;ADDRESS(MATCH(B500&amp;"PT",'LM7 Non-ENG'!$A$1:$A$5000,0),1,,,"LM7 Non-ENG"),IF(IFERROR(VLOOKUP(B500&amp;"PT",'LM7 Non-ENG'!$A$1:$A$5000,1,FALSE),"ERROR")=B500&amp;"PT","Y","")),"")</f>
        <v/>
      </c>
      <c r="I500" t="str">
        <f>IFERROR(VLOOKUP(B500,PN!$A:$C,3,FALSE),"")</f>
        <v>Active</v>
      </c>
      <c r="J500" s="3">
        <f>IFERROR(E500*VLOOKUP(B500,PLInter!$A:$D,3,FALSE),"")</f>
        <v>240</v>
      </c>
      <c r="K500" s="66"/>
      <c r="L500" s="66"/>
      <c r="M500" s="66"/>
      <c r="N500" s="66"/>
      <c r="O500" s="66"/>
      <c r="P500" s="66"/>
      <c r="Q500" s="66"/>
      <c r="R500" s="66"/>
      <c r="S500" s="66"/>
    </row>
    <row r="501" spans="2:19" ht="18" customHeight="1">
      <c r="B501" t="s">
        <v>680</v>
      </c>
      <c r="C501" t="s">
        <v>681</v>
      </c>
      <c r="D501" s="4"/>
      <c r="E501" s="4">
        <v>1</v>
      </c>
      <c r="F501" s="4"/>
      <c r="G501" s="29" t="str">
        <f>IFERROR(HYPERLINK("#"&amp;ADDRESS(MATCH(B501&amp;"ES",'LM7 Non-ENG'!$A$1:$A$5000,0),1,,,"LM7 Non-ENG"),IF(IFERROR(VLOOKUP(B501&amp;"ES",'LM7 Non-ENG'!$A$1:$A$4999,1,FALSE),"ERROR")=B501&amp;"ES","Y","")),"")</f>
        <v/>
      </c>
      <c r="H501" s="29" t="str">
        <f>IFERROR(HYPERLINK("#"&amp;ADDRESS(MATCH(B501&amp;"PT",'LM7 Non-ENG'!$A$1:$A$5000,0),1,,,"LM7 Non-ENG"),IF(IFERROR(VLOOKUP(B501&amp;"PT",'LM7 Non-ENG'!$A$1:$A$5000,1,FALSE),"ERROR")=B501&amp;"PT","Y","")),"")</f>
        <v/>
      </c>
      <c r="I501" t="str">
        <f>IFERROR(VLOOKUP(B501,PN!$A:$C,3,FALSE),"")</f>
        <v>Active</v>
      </c>
      <c r="J501" s="3">
        <f>IFERROR(E501*VLOOKUP(B501,PLInter!$A:$D,3,FALSE),"")</f>
        <v>1440</v>
      </c>
      <c r="K501" s="66"/>
      <c r="L501" s="66"/>
      <c r="M501" s="66"/>
      <c r="N501" s="66"/>
      <c r="O501" s="66"/>
      <c r="P501" s="66"/>
      <c r="Q501" s="66"/>
      <c r="R501" s="66"/>
      <c r="S501" s="66"/>
    </row>
    <row r="502" spans="2:19" ht="18" customHeight="1">
      <c r="B502" t="s">
        <v>684</v>
      </c>
      <c r="C502" t="s">
        <v>685</v>
      </c>
      <c r="D502" s="4"/>
      <c r="E502" s="4">
        <v>1</v>
      </c>
      <c r="F502" s="4"/>
      <c r="G502" s="29" t="str">
        <f>IFERROR(HYPERLINK("#"&amp;ADDRESS(MATCH(B502&amp;"ES",'LM7 Non-ENG'!$A$1:$A$5000,0),1,,,"LM7 Non-ENG"),IF(IFERROR(VLOOKUP(B502&amp;"ES",'LM7 Non-ENG'!$A$1:$A$4999,1,FALSE),"ERROR")=B502&amp;"ES","Y","")),"")</f>
        <v/>
      </c>
      <c r="H502" s="29" t="str">
        <f>IFERROR(HYPERLINK("#"&amp;ADDRESS(MATCH(B502&amp;"PT",'LM7 Non-ENG'!$A$1:$A$5000,0),1,,,"LM7 Non-ENG"),IF(IFERROR(VLOOKUP(B502&amp;"PT",'LM7 Non-ENG'!$A$1:$A$5000,1,FALSE),"ERROR")=B502&amp;"PT","Y","")),"")</f>
        <v/>
      </c>
      <c r="I502" t="str">
        <f>IFERROR(VLOOKUP(B502,PN!$A:$C,3,FALSE),"")</f>
        <v>Active</v>
      </c>
      <c r="J502" s="3">
        <f>IFERROR(E502*VLOOKUP(B502,PLInter!$A:$D,3,FALSE),"")</f>
        <v>580</v>
      </c>
      <c r="K502" s="66"/>
      <c r="L502" s="66"/>
      <c r="M502" s="66"/>
      <c r="N502" s="66"/>
      <c r="O502" s="66"/>
      <c r="P502" s="66"/>
      <c r="Q502" s="66"/>
      <c r="R502" s="66"/>
      <c r="S502" s="66"/>
    </row>
    <row r="503" spans="2:19" ht="18" customHeight="1">
      <c r="B503" t="str">
        <f>"021182"</f>
        <v>021182</v>
      </c>
      <c r="C503" t="s">
        <v>686</v>
      </c>
      <c r="D503" s="4"/>
      <c r="E503" s="4">
        <v>1</v>
      </c>
      <c r="F503" s="4"/>
      <c r="G503" s="29" t="str">
        <f>IFERROR(HYPERLINK("#"&amp;ADDRESS(MATCH(B503&amp;"ES",'LM7 Non-ENG'!$A$1:$A$5000,0),1,,,"LM7 Non-ENG"),IF(IFERROR(VLOOKUP(B503&amp;"ES",'LM7 Non-ENG'!$A$1:$A$4999,1,FALSE),"ERROR")=B503&amp;"ES","Y","")),"")</f>
        <v/>
      </c>
      <c r="H503" s="29" t="str">
        <f>IFERROR(HYPERLINK("#"&amp;ADDRESS(MATCH(B503&amp;"PT",'LM7 Non-ENG'!$A$1:$A$5000,0),1,,,"LM7 Non-ENG"),IF(IFERROR(VLOOKUP(B503&amp;"PT",'LM7 Non-ENG'!$A$1:$A$5000,1,FALSE),"ERROR")=B503&amp;"PT","Y","")),"")</f>
        <v/>
      </c>
      <c r="I503" t="str">
        <f>IFERROR(VLOOKUP(B503,PN!$A:$C,3,FALSE),"")</f>
        <v>Active</v>
      </c>
      <c r="J503" s="3">
        <f>IFERROR(E503*VLOOKUP(B503,PLInter!$A:$D,3,FALSE),"")</f>
        <v>16</v>
      </c>
      <c r="K503" s="66"/>
      <c r="L503" s="66"/>
      <c r="M503" s="66"/>
      <c r="N503" s="66"/>
      <c r="O503" s="66"/>
      <c r="P503" s="66"/>
      <c r="Q503" s="66"/>
      <c r="R503" s="66"/>
      <c r="S503" s="66"/>
    </row>
    <row r="504" spans="2:19" ht="18" customHeight="1">
      <c r="B504" t="s">
        <v>708</v>
      </c>
      <c r="C504" t="s">
        <v>709</v>
      </c>
      <c r="D504" s="4"/>
      <c r="E504" s="4">
        <v>1</v>
      </c>
      <c r="F504" s="4"/>
      <c r="G504" s="29" t="str">
        <f>IFERROR(HYPERLINK("#"&amp;ADDRESS(MATCH(B504&amp;"ES",'LM7 Non-ENG'!$A$1:$A$5000,0),1,,,"LM7 Non-ENG"),IF(IFERROR(VLOOKUP(B504&amp;"ES",'LM7 Non-ENG'!$A$1:$A$4999,1,FALSE),"ERROR")=B504&amp;"ES","Y","")),"")</f>
        <v/>
      </c>
      <c r="H504" s="29" t="str">
        <f>IFERROR(HYPERLINK("#"&amp;ADDRESS(MATCH(B504&amp;"PT",'LM7 Non-ENG'!$A$1:$A$5000,0),1,,,"LM7 Non-ENG"),IF(IFERROR(VLOOKUP(B504&amp;"PT",'LM7 Non-ENG'!$A$1:$A$5000,1,FALSE),"ERROR")=B504&amp;"PT","Y","")),"")</f>
        <v/>
      </c>
      <c r="I504" t="str">
        <f>IFERROR(VLOOKUP(B504,PN!$A:$C,3,FALSE),"")</f>
        <v>Active</v>
      </c>
      <c r="J504" s="3">
        <f>IFERROR(E504*VLOOKUP(B504,PLInter!$A:$D,3,FALSE),"")</f>
        <v>667</v>
      </c>
      <c r="K504" s="66"/>
      <c r="L504" s="66"/>
      <c r="M504" s="66"/>
      <c r="N504" s="66"/>
      <c r="O504" s="66"/>
      <c r="P504" s="66"/>
      <c r="Q504" s="66"/>
      <c r="R504" s="66"/>
      <c r="S504" s="66"/>
    </row>
    <row r="505" spans="2:19" ht="18" customHeight="1">
      <c r="B505" t="s">
        <v>451</v>
      </c>
      <c r="C505" t="s">
        <v>710</v>
      </c>
      <c r="D505" s="4"/>
      <c r="E505" s="4">
        <v>1</v>
      </c>
      <c r="F505" s="4"/>
      <c r="G505" s="29" t="str">
        <f>IFERROR(HYPERLINK("#"&amp;ADDRESS(MATCH(B505&amp;"ES",'LM7 Non-ENG'!$A$1:$A$5000,0),1,,,"LM7 Non-ENG"),IF(IFERROR(VLOOKUP(B505&amp;"ES",'LM7 Non-ENG'!$A$1:$A$4999,1,FALSE),"ERROR")=B505&amp;"ES","Y","")),"")</f>
        <v/>
      </c>
      <c r="H505" s="29" t="str">
        <f>IFERROR(HYPERLINK("#"&amp;ADDRESS(MATCH(B505&amp;"PT",'LM7 Non-ENG'!$A$1:$A$5000,0),1,,,"LM7 Non-ENG"),IF(IFERROR(VLOOKUP(B505&amp;"PT",'LM7 Non-ENG'!$A$1:$A$5000,1,FALSE),"ERROR")=B505&amp;"PT","Y","")),"")</f>
        <v/>
      </c>
      <c r="I505" t="str">
        <f>IFERROR(VLOOKUP(B505,PN!$A:$C,3,FALSE),"")</f>
        <v>Active</v>
      </c>
      <c r="J505" s="3">
        <f>IFERROR(E505*VLOOKUP(B505,PLInter!$A:$D,3,FALSE),"")</f>
        <v>14934</v>
      </c>
      <c r="K505" s="66"/>
      <c r="L505" s="66"/>
      <c r="M505" s="66"/>
      <c r="N505" s="66"/>
      <c r="O505" s="66"/>
      <c r="P505" s="66"/>
      <c r="Q505" s="66"/>
      <c r="R505" s="66"/>
      <c r="S505" s="66"/>
    </row>
    <row r="506" spans="2:19" ht="18" customHeight="1">
      <c r="B506" s="2" t="s">
        <v>450</v>
      </c>
      <c r="C506" s="2" t="s">
        <v>458</v>
      </c>
      <c r="D506" s="5"/>
      <c r="E506" s="5">
        <v>1</v>
      </c>
      <c r="F506" s="5" t="s">
        <v>0</v>
      </c>
      <c r="G506" s="29" t="str">
        <f>IFERROR(HYPERLINK("#"&amp;ADDRESS(MATCH(B506&amp;"ES",'LM7 Non-ENG'!$A$1:$A$5000,0),1,,,"LM7 Non-ENG"),IF(IFERROR(VLOOKUP(B506&amp;"ES",'LM7 Non-ENG'!$A$1:$A$4999,1,FALSE),"ERROR")=B506&amp;"ES","Y","")),"")</f>
        <v/>
      </c>
      <c r="H506" s="29" t="str">
        <f>IFERROR(HYPERLINK("#"&amp;ADDRESS(MATCH(B506&amp;"PT",'LM7 Non-ENG'!$A$1:$A$5000,0),1,,,"LM7 Non-ENG"),IF(IFERROR(VLOOKUP(B506&amp;"PT",'LM7 Non-ENG'!$A$1:$A$5000,1,FALSE),"ERROR")=B506&amp;"PT","Y","")),"")</f>
        <v/>
      </c>
      <c r="I506" t="str">
        <f>IFERROR(VLOOKUP(B506,PN!$A:$C,3,FALSE),"")</f>
        <v>Active</v>
      </c>
      <c r="J506" s="3">
        <f>IFERROR(E506*VLOOKUP(B506,PLInter!$A:$D,3,FALSE),"")</f>
        <v>14934</v>
      </c>
      <c r="K506" s="66"/>
      <c r="L506" s="66"/>
      <c r="M506" s="66"/>
      <c r="N506" s="66"/>
      <c r="O506" s="66"/>
      <c r="P506" s="66"/>
      <c r="Q506" s="66"/>
      <c r="R506" s="66"/>
      <c r="S506" s="66"/>
    </row>
    <row r="507" spans="2:19" ht="18" customHeight="1">
      <c r="B507" t="s">
        <v>553</v>
      </c>
      <c r="C507" t="s">
        <v>733</v>
      </c>
      <c r="D507" s="4"/>
      <c r="E507" s="4">
        <v>1</v>
      </c>
      <c r="F507" s="4"/>
      <c r="G507" s="29" t="str">
        <f>IFERROR(HYPERLINK("#"&amp;ADDRESS(MATCH(B507&amp;"ES",'LM7 Non-ENG'!$A$1:$A$5000,0),1,,,"LM7 Non-ENG"),IF(IFERROR(VLOOKUP(B507&amp;"ES",'LM7 Non-ENG'!$A$1:$A$4999,1,FALSE),"ERROR")=B507&amp;"ES","Y","")),"")</f>
        <v/>
      </c>
      <c r="H507" s="29" t="str">
        <f>IFERROR(HYPERLINK("#"&amp;ADDRESS(MATCH(B507&amp;"PT",'LM7 Non-ENG'!$A$1:$A$5000,0),1,,,"LM7 Non-ENG"),IF(IFERROR(VLOOKUP(B507&amp;"PT",'LM7 Non-ENG'!$A$1:$A$5000,1,FALSE),"ERROR")=B507&amp;"PT","Y","")),"")</f>
        <v/>
      </c>
      <c r="I507" t="str">
        <f>IFERROR(VLOOKUP(B507,PN!$A:$C,3,FALSE),"")</f>
        <v>Active</v>
      </c>
      <c r="J507" s="3">
        <f>IFERROR(E507*VLOOKUP(B507,PLInter!$A:$D,3,FALSE),"")</f>
        <v>500</v>
      </c>
      <c r="K507" s="66"/>
      <c r="L507" s="66"/>
      <c r="M507" s="66"/>
      <c r="N507" s="66"/>
      <c r="O507" s="66"/>
      <c r="P507" s="66"/>
      <c r="Q507" s="66"/>
      <c r="R507" s="66"/>
      <c r="S507" s="66"/>
    </row>
    <row r="508" spans="2:19" ht="18" customHeight="1">
      <c r="B508" s="2" t="s">
        <v>565</v>
      </c>
      <c r="C508" s="2" t="s">
        <v>734</v>
      </c>
      <c r="D508" s="5"/>
      <c r="E508" s="5">
        <v>1</v>
      </c>
      <c r="F508" s="5" t="s">
        <v>0</v>
      </c>
      <c r="G508" s="29" t="str">
        <f>IFERROR(HYPERLINK("#"&amp;ADDRESS(MATCH(B508&amp;"ES",'LM7 Non-ENG'!$A$1:$A$5000,0),1,,,"LM7 Non-ENG"),IF(IFERROR(VLOOKUP(B508&amp;"ES",'LM7 Non-ENG'!$A$1:$A$4999,1,FALSE),"ERROR")=B508&amp;"ES","Y","")),"")</f>
        <v/>
      </c>
      <c r="H508" s="29" t="str">
        <f>IFERROR(HYPERLINK("#"&amp;ADDRESS(MATCH(B508&amp;"PT",'LM7 Non-ENG'!$A$1:$A$5000,0),1,,,"LM7 Non-ENG"),IF(IFERROR(VLOOKUP(B508&amp;"PT",'LM7 Non-ENG'!$A$1:$A$5000,1,FALSE),"ERROR")=B508&amp;"PT","Y","")),"")</f>
        <v/>
      </c>
      <c r="I508" t="str">
        <f>IFERROR(VLOOKUP(B508,PN!$A:$C,3,FALSE),"")</f>
        <v>Active</v>
      </c>
      <c r="J508" s="3">
        <f>IFERROR(E508*VLOOKUP(B508,PLInter!$A:$D,3,FALSE),"")</f>
        <v>500</v>
      </c>
      <c r="K508" s="66"/>
      <c r="L508" s="66"/>
      <c r="M508" s="66"/>
      <c r="N508" s="66"/>
      <c r="O508" s="66"/>
      <c r="P508" s="66"/>
      <c r="Q508" s="66"/>
      <c r="R508" s="66"/>
      <c r="S508" s="66"/>
    </row>
    <row r="509" spans="2:19" ht="18" customHeight="1">
      <c r="B509" t="s">
        <v>568</v>
      </c>
      <c r="C509" t="s">
        <v>731</v>
      </c>
      <c r="D509" s="4"/>
      <c r="E509" s="4">
        <v>1</v>
      </c>
      <c r="F509" s="4"/>
      <c r="G509" s="29" t="str">
        <f>IFERROR(HYPERLINK("#"&amp;ADDRESS(MATCH(B509&amp;"ES",'LM7 Non-ENG'!$A$1:$A$5000,0),1,,,"LM7 Non-ENG"),IF(IFERROR(VLOOKUP(B509&amp;"ES",'LM7 Non-ENG'!$A$1:$A$4999,1,FALSE),"ERROR")=B509&amp;"ES","Y","")),"")</f>
        <v/>
      </c>
      <c r="H509" s="29" t="str">
        <f>IFERROR(HYPERLINK("#"&amp;ADDRESS(MATCH(B509&amp;"PT",'LM7 Non-ENG'!$A$1:$A$5000,0),1,,,"LM7 Non-ENG"),IF(IFERROR(VLOOKUP(B509&amp;"PT",'LM7 Non-ENG'!$A$1:$A$5000,1,FALSE),"ERROR")=B509&amp;"PT","Y","")),"")</f>
        <v/>
      </c>
      <c r="I509" t="str">
        <f>IFERROR(VLOOKUP(B509,PN!$A:$C,3,FALSE),"")</f>
        <v>Active</v>
      </c>
      <c r="J509" s="3">
        <f>IFERROR(E509*VLOOKUP(B509,PLInter!$A:$D,3,FALSE),"")</f>
        <v>500</v>
      </c>
      <c r="K509" s="66"/>
      <c r="L509" s="66"/>
      <c r="M509" s="66"/>
      <c r="N509" s="66"/>
      <c r="O509" s="66"/>
      <c r="P509" s="66"/>
      <c r="Q509" s="66"/>
      <c r="R509" s="66"/>
      <c r="S509" s="66"/>
    </row>
    <row r="510" spans="2:19" ht="18" customHeight="1">
      <c r="B510" t="s">
        <v>569</v>
      </c>
      <c r="C510" t="s">
        <v>732</v>
      </c>
      <c r="D510" s="4"/>
      <c r="E510" s="4">
        <v>1</v>
      </c>
      <c r="F510" s="4"/>
      <c r="G510" s="29" t="str">
        <f>IFERROR(HYPERLINK("#"&amp;ADDRESS(MATCH(B510&amp;"ES",'LM7 Non-ENG'!$A$1:$A$5000,0),1,,,"LM7 Non-ENG"),IF(IFERROR(VLOOKUP(B510&amp;"ES",'LM7 Non-ENG'!$A$1:$A$4999,1,FALSE),"ERROR")=B510&amp;"ES","Y","")),"")</f>
        <v/>
      </c>
      <c r="H510" s="29" t="str">
        <f>IFERROR(HYPERLINK("#"&amp;ADDRESS(MATCH(B510&amp;"PT",'LM7 Non-ENG'!$A$1:$A$5000,0),1,,,"LM7 Non-ENG"),IF(IFERROR(VLOOKUP(B510&amp;"PT",'LM7 Non-ENG'!$A$1:$A$5000,1,FALSE),"ERROR")=B510&amp;"PT","Y","")),"")</f>
        <v/>
      </c>
      <c r="I510" t="str">
        <f>IFERROR(VLOOKUP(B510,PN!$A:$C,3,FALSE),"")</f>
        <v>Active</v>
      </c>
      <c r="J510" s="3">
        <f>IFERROR(E510*VLOOKUP(B510,PLInter!$A:$D,3,FALSE),"")</f>
        <v>500</v>
      </c>
      <c r="K510" s="66"/>
      <c r="L510" s="66"/>
      <c r="M510" s="66"/>
      <c r="N510" s="66"/>
      <c r="O510" s="66"/>
      <c r="P510" s="66"/>
      <c r="Q510" s="66"/>
      <c r="R510" s="66"/>
      <c r="S510" s="66"/>
    </row>
    <row r="511" spans="2:19" ht="18" customHeight="1">
      <c r="B511" s="1" t="s">
        <v>813</v>
      </c>
      <c r="C511" s="1" t="s">
        <v>814</v>
      </c>
      <c r="D511" s="6" t="s">
        <v>0</v>
      </c>
      <c r="E511" s="6">
        <v>1</v>
      </c>
      <c r="F511" s="6"/>
      <c r="G511" s="29" t="str">
        <f>IFERROR(HYPERLINK("#"&amp;ADDRESS(MATCH(B511&amp;"ES",'LM7 Non-ENG'!$A$1:$A$5000,0),1,,,"LM7 Non-ENG"),IF(IFERROR(VLOOKUP(B511&amp;"ES",'LM7 Non-ENG'!$A$1:$A$4999,1,FALSE),"ERROR")=B511&amp;"ES","Y","")),"")</f>
        <v/>
      </c>
      <c r="H511" s="29" t="str">
        <f>IFERROR(HYPERLINK("#"&amp;ADDRESS(MATCH(B511&amp;"PT",'LM7 Non-ENG'!$A$1:$A$5000,0),1,,,"LM7 Non-ENG"),IF(IFERROR(VLOOKUP(B511&amp;"PT",'LM7 Non-ENG'!$A$1:$A$5000,1,FALSE),"ERROR")=B511&amp;"PT","Y","")),"")</f>
        <v/>
      </c>
      <c r="I511" t="str">
        <f>IFERROR(VLOOKUP(B511,PN!$A:$C,3,FALSE),"")</f>
        <v>Active</v>
      </c>
      <c r="J511" s="3" t="str">
        <f>IFERROR(E511*VLOOKUP(B511,PLInter!$A:$D,3,FALSE),"")</f>
        <v/>
      </c>
      <c r="K511" s="66"/>
      <c r="L511" s="66"/>
      <c r="M511" s="66"/>
      <c r="N511" s="66"/>
      <c r="O511" s="66"/>
      <c r="P511" s="66"/>
      <c r="Q511" s="66"/>
      <c r="R511" s="66"/>
      <c r="S511" s="66"/>
    </row>
    <row r="512" spans="2:19" ht="18" customHeight="1">
      <c r="B512" t="s">
        <v>513</v>
      </c>
      <c r="C512" t="s">
        <v>711</v>
      </c>
      <c r="D512" s="4"/>
      <c r="E512" s="4">
        <v>1</v>
      </c>
      <c r="F512" s="4"/>
      <c r="G512" s="29" t="str">
        <f>IFERROR(HYPERLINK("#"&amp;ADDRESS(MATCH(B512&amp;"ES",'LM7 Non-ENG'!$A$1:$A$5000,0),1,,,"LM7 Non-ENG"),IF(IFERROR(VLOOKUP(B512&amp;"ES",'LM7 Non-ENG'!$A$1:$A$4999,1,FALSE),"ERROR")=B512&amp;"ES","Y","")),"")</f>
        <v/>
      </c>
      <c r="H512" s="29" t="str">
        <f>IFERROR(HYPERLINK("#"&amp;ADDRESS(MATCH(B512&amp;"PT",'LM7 Non-ENG'!$A$1:$A$5000,0),1,,,"LM7 Non-ENG"),IF(IFERROR(VLOOKUP(B512&amp;"PT",'LM7 Non-ENG'!$A$1:$A$5000,1,FALSE),"ERROR")=B512&amp;"PT","Y","")),"")</f>
        <v/>
      </c>
      <c r="I512" t="str">
        <f>IFERROR(VLOOKUP(B512,PN!$A:$C,3,FALSE),"")</f>
        <v>Active</v>
      </c>
      <c r="J512" s="3">
        <f>IFERROR(E512*VLOOKUP(B512,PLInter!$A:$D,3,FALSE),"")</f>
        <v>740</v>
      </c>
      <c r="K512" s="66"/>
      <c r="L512" s="66"/>
      <c r="M512" s="66"/>
      <c r="N512" s="66"/>
      <c r="O512" s="66"/>
      <c r="P512" s="66"/>
      <c r="Q512" s="66"/>
      <c r="R512" s="66"/>
      <c r="S512" s="66"/>
    </row>
    <row r="513" spans="2:19" ht="18" customHeight="1">
      <c r="B513" t="s">
        <v>477</v>
      </c>
      <c r="C513" t="s">
        <v>712</v>
      </c>
      <c r="D513" s="4"/>
      <c r="E513" s="4">
        <v>1</v>
      </c>
      <c r="F513" s="4"/>
      <c r="G513" s="29" t="str">
        <f>IFERROR(HYPERLINK("#"&amp;ADDRESS(MATCH(B513&amp;"ES",'LM7 Non-ENG'!$A$1:$A$5000,0),1,,,"LM7 Non-ENG"),IF(IFERROR(VLOOKUP(B513&amp;"ES",'LM7 Non-ENG'!$A$1:$A$4999,1,FALSE),"ERROR")=B513&amp;"ES","Y","")),"")</f>
        <v/>
      </c>
      <c r="H513" s="29" t="str">
        <f>IFERROR(HYPERLINK("#"&amp;ADDRESS(MATCH(B513&amp;"PT",'LM7 Non-ENG'!$A$1:$A$5000,0),1,,,"LM7 Non-ENG"),IF(IFERROR(VLOOKUP(B513&amp;"PT",'LM7 Non-ENG'!$A$1:$A$5000,1,FALSE),"ERROR")=B513&amp;"PT","Y","")),"")</f>
        <v/>
      </c>
      <c r="I513" t="str">
        <f>IFERROR(VLOOKUP(B513,PN!$A:$C,3,FALSE),"")</f>
        <v>Active</v>
      </c>
      <c r="J513" s="3">
        <f>IFERROR(E513*VLOOKUP(B513,PLInter!$A:$D,3,FALSE),"")</f>
        <v>2188</v>
      </c>
      <c r="K513" s="66"/>
      <c r="L513" s="66"/>
      <c r="M513" s="66"/>
      <c r="N513" s="66"/>
      <c r="O513" s="66"/>
      <c r="P513" s="66"/>
      <c r="Q513" s="66"/>
      <c r="R513" s="66"/>
      <c r="S513" s="66"/>
    </row>
    <row r="514" spans="2:19" ht="18" customHeight="1">
      <c r="B514" t="s">
        <v>470</v>
      </c>
      <c r="C514" t="s">
        <v>713</v>
      </c>
      <c r="D514" s="4"/>
      <c r="E514" s="4">
        <v>1</v>
      </c>
      <c r="F514" s="4"/>
      <c r="G514" s="29" t="str">
        <f>IFERROR(HYPERLINK("#"&amp;ADDRESS(MATCH(B514&amp;"ES",'LM7 Non-ENG'!$A$1:$A$5000,0),1,,,"LM7 Non-ENG"),IF(IFERROR(VLOOKUP(B514&amp;"ES",'LM7 Non-ENG'!$A$1:$A$4999,1,FALSE),"ERROR")=B514&amp;"ES","Y","")),"")</f>
        <v/>
      </c>
      <c r="H514" s="29" t="str">
        <f>IFERROR(HYPERLINK("#"&amp;ADDRESS(MATCH(B514&amp;"PT",'LM7 Non-ENG'!$A$1:$A$5000,0),1,,,"LM7 Non-ENG"),IF(IFERROR(VLOOKUP(B514&amp;"PT",'LM7 Non-ENG'!$A$1:$A$5000,1,FALSE),"ERROR")=B514&amp;"PT","Y","")),"")</f>
        <v/>
      </c>
      <c r="I514" t="str">
        <f>IFERROR(VLOOKUP(B514,PN!$A:$C,3,FALSE),"")</f>
        <v>Active</v>
      </c>
      <c r="J514" s="3">
        <f>IFERROR(E514*VLOOKUP(B514,PLInter!$A:$D,3,FALSE),"")</f>
        <v>207</v>
      </c>
      <c r="K514" s="66"/>
      <c r="L514" s="66"/>
      <c r="M514" s="66"/>
      <c r="N514" s="66"/>
      <c r="O514" s="66"/>
      <c r="P514" s="66"/>
      <c r="Q514" s="66"/>
      <c r="R514" s="66"/>
      <c r="S514" s="66"/>
    </row>
    <row r="515" spans="2:19" ht="18" customHeight="1">
      <c r="B515" t="s">
        <v>473</v>
      </c>
      <c r="C515" t="s">
        <v>714</v>
      </c>
      <c r="D515" s="4"/>
      <c r="E515" s="4">
        <v>1</v>
      </c>
      <c r="F515" s="4"/>
      <c r="G515" s="29" t="str">
        <f>IFERROR(HYPERLINK("#"&amp;ADDRESS(MATCH(B515&amp;"ES",'LM7 Non-ENG'!$A$1:$A$5000,0),1,,,"LM7 Non-ENG"),IF(IFERROR(VLOOKUP(B515&amp;"ES",'LM7 Non-ENG'!$A$1:$A$4999,1,FALSE),"ERROR")=B515&amp;"ES","Y","")),"")</f>
        <v/>
      </c>
      <c r="H515" s="29" t="str">
        <f>IFERROR(HYPERLINK("#"&amp;ADDRESS(MATCH(B515&amp;"PT",'LM7 Non-ENG'!$A$1:$A$5000,0),1,,,"LM7 Non-ENG"),IF(IFERROR(VLOOKUP(B515&amp;"PT",'LM7 Non-ENG'!$A$1:$A$5000,1,FALSE),"ERROR")=B515&amp;"PT","Y","")),"")</f>
        <v/>
      </c>
      <c r="I515" t="str">
        <f>IFERROR(VLOOKUP(B515,PN!$A:$C,3,FALSE),"")</f>
        <v>Active</v>
      </c>
      <c r="J515" s="3">
        <f>IFERROR(E515*VLOOKUP(B515,PLInter!$A:$D,3,FALSE),"")</f>
        <v>200</v>
      </c>
      <c r="K515" s="66"/>
      <c r="L515" s="66"/>
      <c r="M515" s="66"/>
      <c r="N515" s="66"/>
      <c r="O515" s="66"/>
      <c r="P515" s="66"/>
      <c r="Q515" s="66"/>
      <c r="R515" s="66"/>
      <c r="S515" s="66"/>
    </row>
    <row r="516" spans="2:19" ht="18" customHeight="1">
      <c r="B516" s="2" t="s">
        <v>472</v>
      </c>
      <c r="C516" s="2" t="s">
        <v>715</v>
      </c>
      <c r="D516" s="5"/>
      <c r="E516" s="5">
        <v>1</v>
      </c>
      <c r="F516" s="5" t="s">
        <v>0</v>
      </c>
      <c r="G516" s="29" t="str">
        <f>IFERROR(HYPERLINK("#"&amp;ADDRESS(MATCH(B516&amp;"ES",'LM7 Non-ENG'!$A$1:$A$5000,0),1,,,"LM7 Non-ENG"),IF(IFERROR(VLOOKUP(B516&amp;"ES",'LM7 Non-ENG'!$A$1:$A$4999,1,FALSE),"ERROR")=B516&amp;"ES","Y","")),"")</f>
        <v/>
      </c>
      <c r="H516" s="29" t="str">
        <f>IFERROR(HYPERLINK("#"&amp;ADDRESS(MATCH(B516&amp;"PT",'LM7 Non-ENG'!$A$1:$A$5000,0),1,,,"LM7 Non-ENG"),IF(IFERROR(VLOOKUP(B516&amp;"PT",'LM7 Non-ENG'!$A$1:$A$5000,1,FALSE),"ERROR")=B516&amp;"PT","Y","")),"")</f>
        <v/>
      </c>
      <c r="I516" t="str">
        <f>IFERROR(VLOOKUP(B516,PN!$A:$C,3,FALSE),"")</f>
        <v>Active</v>
      </c>
      <c r="J516" s="3">
        <f>IFERROR(E516*VLOOKUP(B516,PLInter!$A:$D,3,FALSE),"")</f>
        <v>200</v>
      </c>
      <c r="K516" s="66"/>
      <c r="L516" s="66"/>
      <c r="M516" s="66"/>
      <c r="N516" s="66"/>
      <c r="O516" s="66"/>
      <c r="P516" s="66"/>
      <c r="Q516" s="66"/>
      <c r="R516" s="66"/>
      <c r="S516" s="66"/>
    </row>
    <row r="517" spans="2:19" ht="18" customHeight="1">
      <c r="B517" t="s">
        <v>478</v>
      </c>
      <c r="C517" t="s">
        <v>716</v>
      </c>
      <c r="D517" s="4"/>
      <c r="E517" s="4">
        <v>1</v>
      </c>
      <c r="F517" s="4"/>
      <c r="G517" s="29" t="str">
        <f>IFERROR(HYPERLINK("#"&amp;ADDRESS(MATCH(B517&amp;"ES",'LM7 Non-ENG'!$A$1:$A$5000,0),1,,,"LM7 Non-ENG"),IF(IFERROR(VLOOKUP(B517&amp;"ES",'LM7 Non-ENG'!$A$1:$A$4999,1,FALSE),"ERROR")=B517&amp;"ES","Y","")),"")</f>
        <v/>
      </c>
      <c r="H517" s="29" t="str">
        <f>IFERROR(HYPERLINK("#"&amp;ADDRESS(MATCH(B517&amp;"PT",'LM7 Non-ENG'!$A$1:$A$5000,0),1,,,"LM7 Non-ENG"),IF(IFERROR(VLOOKUP(B517&amp;"PT",'LM7 Non-ENG'!$A$1:$A$5000,1,FALSE),"ERROR")=B517&amp;"PT","Y","")),"")</f>
        <v/>
      </c>
      <c r="I517" t="str">
        <f>IFERROR(VLOOKUP(B517,PN!$A:$C,3,FALSE),"")</f>
        <v>Active</v>
      </c>
      <c r="J517" s="3">
        <f>IFERROR(E517*VLOOKUP(B517,PLInter!$A:$D,3,FALSE),"")</f>
        <v>795</v>
      </c>
      <c r="K517" s="66"/>
      <c r="L517" s="66"/>
      <c r="M517" s="66"/>
      <c r="N517" s="66"/>
      <c r="O517" s="66"/>
      <c r="P517" s="66"/>
      <c r="Q517" s="66"/>
      <c r="R517" s="66"/>
      <c r="S517" s="66"/>
    </row>
    <row r="518" spans="2:19" ht="18" customHeight="1">
      <c r="B518" s="1" t="s">
        <v>468</v>
      </c>
      <c r="C518" s="1" t="s">
        <v>717</v>
      </c>
      <c r="D518" s="6" t="s">
        <v>0</v>
      </c>
      <c r="E518" s="6">
        <v>1</v>
      </c>
      <c r="F518" s="6"/>
      <c r="G518" s="29" t="str">
        <f>IFERROR(HYPERLINK("#"&amp;ADDRESS(MATCH(B518&amp;"ES",'LM7 Non-ENG'!$A$1:$A$5000,0),1,,,"LM7 Non-ENG"),IF(IFERROR(VLOOKUP(B518&amp;"ES",'LM7 Non-ENG'!$A$1:$A$4999,1,FALSE),"ERROR")=B518&amp;"ES","Y","")),"")</f>
        <v/>
      </c>
      <c r="H518" s="29" t="str">
        <f>IFERROR(HYPERLINK("#"&amp;ADDRESS(MATCH(B518&amp;"PT",'LM7 Non-ENG'!$A$1:$A$5000,0),1,,,"LM7 Non-ENG"),IF(IFERROR(VLOOKUP(B518&amp;"PT",'LM7 Non-ENG'!$A$1:$A$5000,1,FALSE),"ERROR")=B518&amp;"PT","Y","")),"")</f>
        <v/>
      </c>
      <c r="I518" t="str">
        <f>IFERROR(VLOOKUP(B518,PN!$A:$C,3,FALSE),"")</f>
        <v>Active</v>
      </c>
      <c r="J518" s="3">
        <f>IFERROR(E518*VLOOKUP(B518,PLInter!$A:$D,3,FALSE),"")</f>
        <v>206</v>
      </c>
      <c r="K518" s="66"/>
      <c r="L518" s="66"/>
      <c r="M518" s="66"/>
      <c r="N518" s="66"/>
      <c r="O518" s="66"/>
      <c r="P518" s="66"/>
      <c r="Q518" s="66"/>
      <c r="R518" s="66"/>
      <c r="S518" s="66"/>
    </row>
    <row r="519" spans="2:19" ht="18" customHeight="1">
      <c r="B519" s="1" t="s">
        <v>474</v>
      </c>
      <c r="C519" s="1" t="s">
        <v>718</v>
      </c>
      <c r="D519" s="6" t="s">
        <v>0</v>
      </c>
      <c r="E519" s="6">
        <v>1</v>
      </c>
      <c r="F519" s="6"/>
      <c r="G519" s="29" t="str">
        <f>IFERROR(HYPERLINK("#"&amp;ADDRESS(MATCH(B519&amp;"ES",'LM7 Non-ENG'!$A$1:$A$5000,0),1,,,"LM7 Non-ENG"),IF(IFERROR(VLOOKUP(B519&amp;"ES",'LM7 Non-ENG'!$A$1:$A$4999,1,FALSE),"ERROR")=B519&amp;"ES","Y","")),"")</f>
        <v/>
      </c>
      <c r="H519" s="29" t="str">
        <f>IFERROR(HYPERLINK("#"&amp;ADDRESS(MATCH(B519&amp;"PT",'LM7 Non-ENG'!$A$1:$A$5000,0),1,,,"LM7 Non-ENG"),IF(IFERROR(VLOOKUP(B519&amp;"PT",'LM7 Non-ENG'!$A$1:$A$5000,1,FALSE),"ERROR")=B519&amp;"PT","Y","")),"")</f>
        <v/>
      </c>
      <c r="I519" t="str">
        <f>IFERROR(VLOOKUP(B519,PN!$A:$C,3,FALSE),"")</f>
        <v>Active</v>
      </c>
      <c r="J519" s="3">
        <f>IFERROR(E519*VLOOKUP(B519,PLInter!$A:$D,3,FALSE),"")</f>
        <v>175</v>
      </c>
      <c r="K519" s="66"/>
      <c r="L519" s="66"/>
      <c r="M519" s="66"/>
      <c r="N519" s="66"/>
      <c r="O519" s="66"/>
      <c r="P519" s="66"/>
      <c r="Q519" s="66"/>
      <c r="R519" s="66"/>
      <c r="S519" s="66"/>
    </row>
    <row r="520" spans="2:19" ht="18" customHeight="1">
      <c r="B520" s="1" t="s">
        <v>719</v>
      </c>
      <c r="C520" s="1" t="s">
        <v>720</v>
      </c>
      <c r="D520" s="6" t="s">
        <v>0</v>
      </c>
      <c r="E520" s="6">
        <v>1</v>
      </c>
      <c r="F520" s="6"/>
      <c r="G520" s="29" t="str">
        <f>IFERROR(HYPERLINK("#"&amp;ADDRESS(MATCH(B520&amp;"ES",'LM7 Non-ENG'!$A$1:$A$5000,0),1,,,"LM7 Non-ENG"),IF(IFERROR(VLOOKUP(B520&amp;"ES",'LM7 Non-ENG'!$A$1:$A$4999,1,FALSE),"ERROR")=B520&amp;"ES","Y","")),"")</f>
        <v/>
      </c>
      <c r="H520" s="29" t="str">
        <f>IFERROR(HYPERLINK("#"&amp;ADDRESS(MATCH(B520&amp;"PT",'LM7 Non-ENG'!$A$1:$A$5000,0),1,,,"LM7 Non-ENG"),IF(IFERROR(VLOOKUP(B520&amp;"PT",'LM7 Non-ENG'!$A$1:$A$5000,1,FALSE),"ERROR")=B520&amp;"PT","Y","")),"")</f>
        <v/>
      </c>
      <c r="I520" t="str">
        <f>IFERROR(VLOOKUP(B520,PN!$A:$C,3,FALSE),"")</f>
        <v>Active</v>
      </c>
      <c r="J520" s="3">
        <f>IFERROR(E520*VLOOKUP(B520,PLInter!$A:$D,3,FALSE),"")</f>
        <v>2126</v>
      </c>
      <c r="K520" s="66"/>
      <c r="L520" s="66"/>
      <c r="M520" s="66"/>
      <c r="N520" s="66"/>
      <c r="O520" s="66"/>
      <c r="P520" s="66"/>
      <c r="Q520" s="66"/>
      <c r="R520" s="66"/>
      <c r="S520" s="66"/>
    </row>
    <row r="521" spans="2:19" ht="18" customHeight="1">
      <c r="B521" s="1" t="s">
        <v>482</v>
      </c>
      <c r="C521" s="1" t="s">
        <v>721</v>
      </c>
      <c r="D521" s="6" t="s">
        <v>0</v>
      </c>
      <c r="E521" s="6">
        <v>1</v>
      </c>
      <c r="F521" s="6"/>
      <c r="G521" s="29" t="str">
        <f>IFERROR(HYPERLINK("#"&amp;ADDRESS(MATCH(B521&amp;"ES",'LM7 Non-ENG'!$A$1:$A$5000,0),1,,,"LM7 Non-ENG"),IF(IFERROR(VLOOKUP(B521&amp;"ES",'LM7 Non-ENG'!$A$1:$A$4999,1,FALSE),"ERROR")=B521&amp;"ES","Y","")),"")</f>
        <v/>
      </c>
      <c r="H521" s="29" t="str">
        <f>IFERROR(HYPERLINK("#"&amp;ADDRESS(MATCH(B521&amp;"PT",'LM7 Non-ENG'!$A$1:$A$5000,0),1,,,"LM7 Non-ENG"),IF(IFERROR(VLOOKUP(B521&amp;"PT",'LM7 Non-ENG'!$A$1:$A$5000,1,FALSE),"ERROR")=B521&amp;"PT","Y","")),"")</f>
        <v/>
      </c>
      <c r="I521" t="str">
        <f>IFERROR(VLOOKUP(B521,PN!$A:$C,3,FALSE),"")</f>
        <v>Active</v>
      </c>
      <c r="J521" s="3">
        <f>IFERROR(E521*VLOOKUP(B521,PLInter!$A:$D,3,FALSE),"")</f>
        <v>186</v>
      </c>
      <c r="K521" s="66"/>
      <c r="L521" s="66"/>
      <c r="M521" s="66"/>
      <c r="N521" s="66"/>
      <c r="O521" s="66"/>
      <c r="P521" s="66"/>
      <c r="Q521" s="66"/>
      <c r="R521" s="66"/>
      <c r="S521" s="66"/>
    </row>
    <row r="522" spans="2:19" ht="18" customHeight="1">
      <c r="B522" s="1" t="s">
        <v>727</v>
      </c>
      <c r="C522" s="1" t="s">
        <v>728</v>
      </c>
      <c r="D522" s="6" t="s">
        <v>0</v>
      </c>
      <c r="E522" s="6">
        <v>1</v>
      </c>
      <c r="F522" s="6"/>
      <c r="G522" s="29" t="str">
        <f>IFERROR(HYPERLINK("#"&amp;ADDRESS(MATCH(B522&amp;"ES",'LM7 Non-ENG'!$A$1:$A$5000,0),1,,,"LM7 Non-ENG"),IF(IFERROR(VLOOKUP(B522&amp;"ES",'LM7 Non-ENG'!$A$1:$A$4999,1,FALSE),"ERROR")=B522&amp;"ES","Y","")),"")</f>
        <v/>
      </c>
      <c r="H522" s="29" t="str">
        <f>IFERROR(HYPERLINK("#"&amp;ADDRESS(MATCH(B522&amp;"PT",'LM7 Non-ENG'!$A$1:$A$5000,0),1,,,"LM7 Non-ENG"),IF(IFERROR(VLOOKUP(B522&amp;"PT",'LM7 Non-ENG'!$A$1:$A$5000,1,FALSE),"ERROR")=B522&amp;"PT","Y","")),"")</f>
        <v/>
      </c>
      <c r="I522" t="str">
        <f>IFERROR(VLOOKUP(B522,PN!$A:$C,3,FALSE),"")</f>
        <v>Phase Out</v>
      </c>
      <c r="J522" s="3" t="str">
        <f>IFERROR(E522*VLOOKUP(B522,PLInter!$A:$D,3,FALSE),"")</f>
        <v/>
      </c>
      <c r="K522" s="66"/>
      <c r="L522" s="66"/>
      <c r="M522" s="66"/>
      <c r="N522" s="66"/>
      <c r="O522" s="66"/>
      <c r="P522" s="66"/>
      <c r="Q522" s="66"/>
      <c r="R522" s="66"/>
      <c r="S522" s="66"/>
    </row>
    <row r="523" spans="2:19" ht="18" customHeight="1">
      <c r="B523" s="1" t="s">
        <v>729</v>
      </c>
      <c r="C523" s="1" t="s">
        <v>730</v>
      </c>
      <c r="D523" s="6" t="s">
        <v>0</v>
      </c>
      <c r="E523" s="6">
        <v>1</v>
      </c>
      <c r="F523" s="6"/>
      <c r="G523" s="29" t="str">
        <f>IFERROR(HYPERLINK("#"&amp;ADDRESS(MATCH(B523&amp;"ES",'LM7 Non-ENG'!$A$1:$A$5000,0),1,,,"LM7 Non-ENG"),IF(IFERROR(VLOOKUP(B523&amp;"ES",'LM7 Non-ENG'!$A$1:$A$4999,1,FALSE),"ERROR")=B523&amp;"ES","Y","")),"")</f>
        <v/>
      </c>
      <c r="H523" s="29" t="str">
        <f>IFERROR(HYPERLINK("#"&amp;ADDRESS(MATCH(B523&amp;"PT",'LM7 Non-ENG'!$A$1:$A$5000,0),1,,,"LM7 Non-ENG"),IF(IFERROR(VLOOKUP(B523&amp;"PT",'LM7 Non-ENG'!$A$1:$A$5000,1,FALSE),"ERROR")=B523&amp;"PT","Y","")),"")</f>
        <v/>
      </c>
      <c r="I523" t="str">
        <f>IFERROR(VLOOKUP(B523,PN!$A:$C,3,FALSE),"")</f>
        <v>Active</v>
      </c>
      <c r="J523" s="3" t="str">
        <f>IFERROR(E523*VLOOKUP(B523,PLInter!$A:$D,3,FALSE),"")</f>
        <v/>
      </c>
      <c r="K523" s="66"/>
      <c r="L523" s="66"/>
      <c r="M523" s="66"/>
      <c r="N523" s="66"/>
      <c r="O523" s="66"/>
      <c r="P523" s="66"/>
      <c r="Q523" s="66"/>
      <c r="R523" s="66"/>
      <c r="S523" s="66"/>
    </row>
    <row r="524" spans="2:19" ht="18" customHeight="1">
      <c r="B524" s="1" t="s">
        <v>471</v>
      </c>
      <c r="C524" s="1" t="s">
        <v>722</v>
      </c>
      <c r="D524" s="6" t="s">
        <v>0</v>
      </c>
      <c r="E524" s="6">
        <v>1</v>
      </c>
      <c r="F524" s="6"/>
      <c r="G524" s="29" t="str">
        <f>IFERROR(HYPERLINK("#"&amp;ADDRESS(MATCH(B524&amp;"ES",'LM7 Non-ENG'!$A$1:$A$5000,0),1,,,"LM7 Non-ENG"),IF(IFERROR(VLOOKUP(B524&amp;"ES",'LM7 Non-ENG'!$A$1:$A$4999,1,FALSE),"ERROR")=B524&amp;"ES","Y","")),"")</f>
        <v/>
      </c>
      <c r="H524" s="29" t="str">
        <f>IFERROR(HYPERLINK("#"&amp;ADDRESS(MATCH(B524&amp;"PT",'LM7 Non-ENG'!$A$1:$A$5000,0),1,,,"LM7 Non-ENG"),IF(IFERROR(VLOOKUP(B524&amp;"PT",'LM7 Non-ENG'!$A$1:$A$5000,1,FALSE),"ERROR")=B524&amp;"PT","Y","")),"")</f>
        <v/>
      </c>
      <c r="I524" t="str">
        <f>IFERROR(VLOOKUP(B524,PN!$A:$C,3,FALSE),"")</f>
        <v>Active</v>
      </c>
      <c r="J524" s="3">
        <f>IFERROR(E524*VLOOKUP(B524,PLInter!$A:$D,3,FALSE),"")</f>
        <v>226</v>
      </c>
      <c r="K524" s="66"/>
      <c r="L524" s="66"/>
      <c r="M524" s="66"/>
      <c r="N524" s="66"/>
      <c r="O524" s="66"/>
      <c r="P524" s="66"/>
      <c r="Q524" s="66"/>
      <c r="R524" s="66"/>
      <c r="S524" s="66"/>
    </row>
    <row r="525" spans="2:19" ht="18" customHeight="1">
      <c r="B525" s="1" t="s">
        <v>480</v>
      </c>
      <c r="C525" s="1" t="s">
        <v>723</v>
      </c>
      <c r="D525" s="6" t="s">
        <v>0</v>
      </c>
      <c r="E525" s="6">
        <v>1</v>
      </c>
      <c r="F525" s="6"/>
      <c r="G525" s="29" t="str">
        <f>IFERROR(HYPERLINK("#"&amp;ADDRESS(MATCH(B525&amp;"ES",'LM7 Non-ENG'!$A$1:$A$5000,0),1,,,"LM7 Non-ENG"),IF(IFERROR(VLOOKUP(B525&amp;"ES",'LM7 Non-ENG'!$A$1:$A$4999,1,FALSE),"ERROR")=B525&amp;"ES","Y","")),"")</f>
        <v/>
      </c>
      <c r="H525" s="29" t="str">
        <f>IFERROR(HYPERLINK("#"&amp;ADDRESS(MATCH(B525&amp;"PT",'LM7 Non-ENG'!$A$1:$A$5000,0),1,,,"LM7 Non-ENG"),IF(IFERROR(VLOOKUP(B525&amp;"PT",'LM7 Non-ENG'!$A$1:$A$5000,1,FALSE),"ERROR")=B525&amp;"PT","Y","")),"")</f>
        <v/>
      </c>
      <c r="I525" t="str">
        <f>IFERROR(VLOOKUP(B525,PN!$A:$C,3,FALSE),"")</f>
        <v>Active</v>
      </c>
      <c r="J525" s="3">
        <f>IFERROR(E525*VLOOKUP(B525,PLInter!$A:$D,3,FALSE),"")</f>
        <v>407</v>
      </c>
      <c r="K525" s="66"/>
      <c r="L525" s="66"/>
      <c r="M525" s="66"/>
      <c r="N525" s="66"/>
      <c r="O525" s="66"/>
      <c r="P525" s="66"/>
      <c r="Q525" s="66"/>
      <c r="R525" s="66"/>
      <c r="S525" s="66"/>
    </row>
    <row r="526" spans="2:19" ht="18" customHeight="1">
      <c r="B526" s="1" t="s">
        <v>479</v>
      </c>
      <c r="C526" s="1" t="s">
        <v>810</v>
      </c>
      <c r="D526" s="6" t="s">
        <v>0</v>
      </c>
      <c r="E526" s="6">
        <v>1</v>
      </c>
      <c r="F526" s="6" t="s">
        <v>0</v>
      </c>
      <c r="G526" s="29" t="str">
        <f>IFERROR(HYPERLINK("#"&amp;ADDRESS(MATCH(B526&amp;"ES",'LM7 Non-ENG'!$A$1:$A$5000,0),1,,,"LM7 Non-ENG"),IF(IFERROR(VLOOKUP(B526&amp;"ES",'LM7 Non-ENG'!$A$1:$A$4999,1,FALSE),"ERROR")=B526&amp;"ES","Y","")),"")</f>
        <v/>
      </c>
      <c r="H526" s="29" t="str">
        <f>IFERROR(HYPERLINK("#"&amp;ADDRESS(MATCH(B526&amp;"PT",'LM7 Non-ENG'!$A$1:$A$5000,0),1,,,"LM7 Non-ENG"),IF(IFERROR(VLOOKUP(B526&amp;"PT",'LM7 Non-ENG'!$A$1:$A$5000,1,FALSE),"ERROR")=B526&amp;"PT","Y","")),"")</f>
        <v/>
      </c>
      <c r="I526" t="str">
        <f>IFERROR(VLOOKUP(B526,PN!$A:$C,3,FALSE),"")</f>
        <v>Active</v>
      </c>
      <c r="J526" s="3">
        <f>IFERROR(E526*VLOOKUP(B526,PLInter!$A:$D,3,FALSE),"")</f>
        <v>407</v>
      </c>
      <c r="K526" s="66"/>
      <c r="L526" s="66"/>
      <c r="M526" s="66"/>
      <c r="N526" s="66"/>
      <c r="O526" s="66"/>
      <c r="P526" s="66"/>
      <c r="Q526" s="66"/>
      <c r="R526" s="66"/>
      <c r="S526" s="66"/>
    </row>
    <row r="527" spans="2:19" ht="18" customHeight="1">
      <c r="B527" s="1" t="s">
        <v>475</v>
      </c>
      <c r="C527" s="1" t="s">
        <v>724</v>
      </c>
      <c r="D527" s="6" t="s">
        <v>0</v>
      </c>
      <c r="E527" s="6">
        <v>4</v>
      </c>
      <c r="F527" s="6"/>
      <c r="G527" s="29" t="str">
        <f>IFERROR(HYPERLINK("#"&amp;ADDRESS(MATCH(B527&amp;"ES",'LM7 Non-ENG'!$A$1:$A$5000,0),1,,,"LM7 Non-ENG"),IF(IFERROR(VLOOKUP(B527&amp;"ES",'LM7 Non-ENG'!$A$1:$A$4999,1,FALSE),"ERROR")=B527&amp;"ES","Y","")),"")</f>
        <v/>
      </c>
      <c r="H527" s="29" t="str">
        <f>IFERROR(HYPERLINK("#"&amp;ADDRESS(MATCH(B527&amp;"PT",'LM7 Non-ENG'!$A$1:$A$5000,0),1,,,"LM7 Non-ENG"),IF(IFERROR(VLOOKUP(B527&amp;"PT",'LM7 Non-ENG'!$A$1:$A$5000,1,FALSE),"ERROR")=B527&amp;"PT","Y","")),"")</f>
        <v/>
      </c>
      <c r="I527" t="str">
        <f>IFERROR(VLOOKUP(B527,PN!$A:$C,3,FALSE),"")</f>
        <v>Active</v>
      </c>
      <c r="J527" s="3">
        <f>IFERROR(E527*VLOOKUP(B527,PLInter!$A:$D,3,FALSE),"")</f>
        <v>1440</v>
      </c>
      <c r="K527" s="66"/>
      <c r="L527" s="66"/>
      <c r="M527" s="66"/>
      <c r="N527" s="66"/>
      <c r="O527" s="66"/>
      <c r="P527" s="66"/>
      <c r="Q527" s="66"/>
      <c r="R527" s="66"/>
      <c r="S527" s="66"/>
    </row>
    <row r="528" spans="2:19" ht="18" customHeight="1">
      <c r="B528" t="s">
        <v>484</v>
      </c>
      <c r="C528" t="s">
        <v>725</v>
      </c>
      <c r="D528" s="4"/>
      <c r="E528" s="4">
        <v>1</v>
      </c>
      <c r="F528" s="4"/>
      <c r="G528" s="29" t="str">
        <f>IFERROR(HYPERLINK("#"&amp;ADDRESS(MATCH(B528&amp;"ES",'LM7 Non-ENG'!$A$1:$A$5000,0),1,,,"LM7 Non-ENG"),IF(IFERROR(VLOOKUP(B528&amp;"ES",'LM7 Non-ENG'!$A$1:$A$4999,1,FALSE),"ERROR")=B528&amp;"ES","Y","")),"")</f>
        <v/>
      </c>
      <c r="H528" s="29" t="str">
        <f>IFERROR(HYPERLINK("#"&amp;ADDRESS(MATCH(B528&amp;"PT",'LM7 Non-ENG'!$A$1:$A$5000,0),1,,,"LM7 Non-ENG"),IF(IFERROR(VLOOKUP(B528&amp;"PT",'LM7 Non-ENG'!$A$1:$A$5000,1,FALSE),"ERROR")=B528&amp;"PT","Y","")),"")</f>
        <v/>
      </c>
      <c r="I528" t="str">
        <f>IFERROR(VLOOKUP(B528,PN!$A:$C,3,FALSE),"")</f>
        <v>Active</v>
      </c>
      <c r="J528" s="3">
        <f>IFERROR(E528*VLOOKUP(B528,PLInter!$A:$D,3,FALSE),"")</f>
        <v>157</v>
      </c>
      <c r="K528" s="66"/>
      <c r="L528" s="66"/>
      <c r="M528" s="66"/>
      <c r="N528" s="66"/>
      <c r="O528" s="66"/>
      <c r="P528" s="66"/>
      <c r="Q528" s="66"/>
      <c r="R528" s="66"/>
      <c r="S528" s="66"/>
    </row>
    <row r="529" spans="1:19" ht="18" customHeight="1">
      <c r="B529" s="2" t="s">
        <v>483</v>
      </c>
      <c r="C529" s="2" t="s">
        <v>726</v>
      </c>
      <c r="D529" s="5"/>
      <c r="E529" s="5">
        <v>0</v>
      </c>
      <c r="F529" s="5" t="s">
        <v>0</v>
      </c>
      <c r="G529" s="29" t="str">
        <f>IFERROR(HYPERLINK("#"&amp;ADDRESS(MATCH(B529&amp;"ES",'LM7 Non-ENG'!$A$1:$A$5000,0),1,,,"LM7 Non-ENG"),IF(IFERROR(VLOOKUP(B529&amp;"ES",'LM7 Non-ENG'!$A$1:$A$4999,1,FALSE),"ERROR")=B529&amp;"ES","Y","")),"")</f>
        <v/>
      </c>
      <c r="H529" s="29" t="str">
        <f>IFERROR(HYPERLINK("#"&amp;ADDRESS(MATCH(B529&amp;"PT",'LM7 Non-ENG'!$A$1:$A$5000,0),1,,,"LM7 Non-ENG"),IF(IFERROR(VLOOKUP(B529&amp;"PT",'LM7 Non-ENG'!$A$1:$A$5000,1,FALSE),"ERROR")=B529&amp;"PT","Y","")),"")</f>
        <v/>
      </c>
      <c r="I529" t="str">
        <f>IFERROR(VLOOKUP(B529,PN!$A:$C,3,FALSE),"")</f>
        <v>Active</v>
      </c>
      <c r="J529" s="3">
        <f>IFERROR(E529*VLOOKUP(B529,PLInter!$A:$D,3,FALSE),"")</f>
        <v>0</v>
      </c>
      <c r="K529" s="66"/>
      <c r="L529" s="66"/>
      <c r="M529" s="66"/>
      <c r="N529" s="66"/>
      <c r="O529" s="66"/>
      <c r="P529" s="66"/>
      <c r="Q529" s="66"/>
      <c r="R529" s="66"/>
      <c r="S529" s="66"/>
    </row>
    <row r="530" spans="1:19" ht="18" customHeight="1">
      <c r="B530" t="str">
        <f>"113034"</f>
        <v>113034</v>
      </c>
      <c r="C530" t="s">
        <v>695</v>
      </c>
      <c r="D530" s="4"/>
      <c r="E530" s="4">
        <v>50</v>
      </c>
      <c r="F530" s="4"/>
      <c r="G530" s="29" t="str">
        <f>IFERROR(HYPERLINK("#"&amp;ADDRESS(MATCH(B530&amp;"ES",'LM7 Non-ENG'!$A$1:$A$5000,0),1,,,"LM7 Non-ENG"),IF(IFERROR(VLOOKUP(B530&amp;"ES",'LM7 Non-ENG'!$A$1:$A$4999,1,FALSE),"ERROR")=B530&amp;"ES","Y","")),"")</f>
        <v/>
      </c>
      <c r="H530" s="29" t="str">
        <f>IFERROR(HYPERLINK("#"&amp;ADDRESS(MATCH(B530&amp;"PT",'LM7 Non-ENG'!$A$1:$A$5000,0),1,,,"LM7 Non-ENG"),IF(IFERROR(VLOOKUP(B530&amp;"PT",'LM7 Non-ENG'!$A$1:$A$5000,1,FALSE),"ERROR")=B530&amp;"PT","Y","")),"")</f>
        <v/>
      </c>
      <c r="I530" t="str">
        <f>IFERROR(VLOOKUP(B530,PN!$A:$C,3,FALSE),"")</f>
        <v>Active</v>
      </c>
      <c r="J530" s="3">
        <f>IFERROR(E530*VLOOKUP(B530,PLInter!$A:$D,3,FALSE),"")</f>
        <v>750</v>
      </c>
      <c r="K530" s="66"/>
      <c r="L530" s="66"/>
      <c r="M530" s="66"/>
      <c r="N530" s="66"/>
      <c r="O530" s="66"/>
      <c r="P530" s="66"/>
      <c r="Q530" s="66"/>
      <c r="R530" s="66"/>
      <c r="S530" s="66"/>
    </row>
    <row r="531" spans="1:19" ht="18" customHeight="1">
      <c r="B531" t="s">
        <v>753</v>
      </c>
      <c r="C531" t="s">
        <v>754</v>
      </c>
      <c r="D531" s="4"/>
      <c r="E531" s="4">
        <v>1</v>
      </c>
      <c r="F531" s="4"/>
      <c r="G531" s="29" t="str">
        <f>IFERROR(HYPERLINK("#"&amp;ADDRESS(MATCH(B531&amp;"ES",'LM7 Non-ENG'!$A$1:$A$5000,0),1,,,"LM7 Non-ENG"),IF(IFERROR(VLOOKUP(B531&amp;"ES",'LM7 Non-ENG'!$A$1:$A$4999,1,FALSE),"ERROR")=B531&amp;"ES","Y","")),"")</f>
        <v/>
      </c>
      <c r="H531" s="29" t="str">
        <f>IFERROR(HYPERLINK("#"&amp;ADDRESS(MATCH(B531&amp;"PT",'LM7 Non-ENG'!$A$1:$A$5000,0),1,,,"LM7 Non-ENG"),IF(IFERROR(VLOOKUP(B531&amp;"PT",'LM7 Non-ENG'!$A$1:$A$5000,1,FALSE),"ERROR")=B531&amp;"PT","Y","")),"")</f>
        <v/>
      </c>
      <c r="I531" t="str">
        <f>IFERROR(VLOOKUP(B531,PN!$A:$C,3,FALSE),"")</f>
        <v>Active</v>
      </c>
      <c r="J531" s="3">
        <f>IFERROR(E531*VLOOKUP(B531,PLInter!$A:$D,3,FALSE),"")</f>
        <v>3280</v>
      </c>
      <c r="K531" s="66"/>
      <c r="L531" s="66"/>
      <c r="M531" s="66"/>
      <c r="N531" s="66"/>
      <c r="O531" s="66"/>
      <c r="P531" s="66"/>
      <c r="Q531" s="66"/>
      <c r="R531" s="66"/>
      <c r="S531" s="66"/>
    </row>
    <row r="532" spans="1:19" ht="18" customHeight="1">
      <c r="B532" t="s">
        <v>755</v>
      </c>
      <c r="C532" t="s">
        <v>756</v>
      </c>
      <c r="D532" s="4"/>
      <c r="E532" s="4">
        <v>1</v>
      </c>
      <c r="F532" s="4"/>
      <c r="G532" s="29" t="str">
        <f>IFERROR(HYPERLINK("#"&amp;ADDRESS(MATCH(B532&amp;"ES",'LM7 Non-ENG'!$A$1:$A$5000,0),1,,,"LM7 Non-ENG"),IF(IFERROR(VLOOKUP(B532&amp;"ES",'LM7 Non-ENG'!$A$1:$A$4999,1,FALSE),"ERROR")=B532&amp;"ES","Y","")),"")</f>
        <v/>
      </c>
      <c r="H532" s="29" t="str">
        <f>IFERROR(HYPERLINK("#"&amp;ADDRESS(MATCH(B532&amp;"PT",'LM7 Non-ENG'!$A$1:$A$5000,0),1,,,"LM7 Non-ENG"),IF(IFERROR(VLOOKUP(B532&amp;"PT",'LM7 Non-ENG'!$A$1:$A$5000,1,FALSE),"ERROR")=B532&amp;"PT","Y","")),"")</f>
        <v/>
      </c>
      <c r="I532" t="str">
        <f>IFERROR(VLOOKUP(B532,PN!$A:$C,3,FALSE),"")</f>
        <v>Active</v>
      </c>
      <c r="J532" s="3">
        <f>IFERROR(E532*VLOOKUP(B532,PLInter!$A:$D,3,FALSE),"")</f>
        <v>516</v>
      </c>
      <c r="K532" s="66"/>
      <c r="L532" s="66"/>
      <c r="M532" s="66"/>
      <c r="N532" s="66"/>
      <c r="O532" s="66"/>
      <c r="P532" s="66"/>
      <c r="Q532" s="66"/>
      <c r="R532" s="66"/>
      <c r="S532" s="66"/>
    </row>
    <row r="533" spans="1:19" ht="18" customHeight="1">
      <c r="B533" s="1" t="s">
        <v>815</v>
      </c>
      <c r="C533" s="1" t="s">
        <v>816</v>
      </c>
      <c r="D533" s="6" t="s">
        <v>0</v>
      </c>
      <c r="E533" s="6">
        <v>1</v>
      </c>
      <c r="F533" s="6"/>
      <c r="G533" s="29" t="str">
        <f>IFERROR(HYPERLINK("#"&amp;ADDRESS(MATCH(B533&amp;"ES",'LM7 Non-ENG'!$A$1:$A$5000,0),1,,,"LM7 Non-ENG"),IF(IFERROR(VLOOKUP(B533&amp;"ES",'LM7 Non-ENG'!$A$1:$A$4999,1,FALSE),"ERROR")=B533&amp;"ES","Y","")),"")</f>
        <v/>
      </c>
      <c r="H533" s="29" t="str">
        <f>IFERROR(HYPERLINK("#"&amp;ADDRESS(MATCH(B533&amp;"PT",'LM7 Non-ENG'!$A$1:$A$5000,0),1,,,"LM7 Non-ENG"),IF(IFERROR(VLOOKUP(B533&amp;"PT",'LM7 Non-ENG'!$A$1:$A$5000,1,FALSE),"ERROR")=B533&amp;"PT","Y","")),"")</f>
        <v/>
      </c>
      <c r="I533" t="str">
        <f>IFERROR(VLOOKUP(B533,PN!$A:$C,3,FALSE),"")</f>
        <v>Active</v>
      </c>
      <c r="J533" s="3">
        <f>IFERROR(E533*VLOOKUP(B533,PLInter!$A:$D,3,FALSE),"")</f>
        <v>480</v>
      </c>
      <c r="K533" s="66"/>
      <c r="L533" s="66"/>
      <c r="M533" s="66"/>
      <c r="N533" s="66"/>
      <c r="O533" s="66"/>
      <c r="P533" s="66"/>
      <c r="Q533" s="66"/>
      <c r="R533" s="66"/>
      <c r="S533" s="66"/>
    </row>
    <row r="534" spans="1:19" ht="18" customHeight="1">
      <c r="B534" t="s">
        <v>630</v>
      </c>
      <c r="C534" t="s">
        <v>631</v>
      </c>
      <c r="D534" s="4"/>
      <c r="E534" s="4">
        <v>1</v>
      </c>
      <c r="F534" s="4"/>
      <c r="G534" s="29" t="str">
        <f>IFERROR(HYPERLINK("#"&amp;ADDRESS(MATCH(B534&amp;"ES",'LM7 Non-ENG'!$A$1:$A$5000,0),1,,,"LM7 Non-ENG"),IF(IFERROR(VLOOKUP(B534&amp;"ES",'LM7 Non-ENG'!$A$1:$A$4999,1,FALSE),"ERROR")=B534&amp;"ES","Y","")),"")</f>
        <v/>
      </c>
      <c r="H534" s="29" t="str">
        <f>IFERROR(HYPERLINK("#"&amp;ADDRESS(MATCH(B534&amp;"PT",'LM7 Non-ENG'!$A$1:$A$5000,0),1,,,"LM7 Non-ENG"),IF(IFERROR(VLOOKUP(B534&amp;"PT",'LM7 Non-ENG'!$A$1:$A$5000,1,FALSE),"ERROR")=B534&amp;"PT","Y","")),"")</f>
        <v/>
      </c>
      <c r="I534" t="str">
        <f>IFERROR(VLOOKUP(B534,PN!$A:$C,3,FALSE),"")</f>
        <v>Active</v>
      </c>
      <c r="J534" s="3">
        <f>IFERROR(E534*VLOOKUP(B534,PLInter!$A:$D,3,FALSE),"")</f>
        <v>1735</v>
      </c>
      <c r="K534" s="66"/>
      <c r="L534" s="66"/>
      <c r="M534" s="66"/>
      <c r="N534" s="66"/>
      <c r="O534" s="66"/>
      <c r="P534" s="66"/>
      <c r="Q534" s="66"/>
      <c r="R534" s="66"/>
      <c r="S534" s="66"/>
    </row>
    <row r="536" spans="1:19" s="7" customFormat="1" ht="18" customHeight="1">
      <c r="A536" s="13" t="s">
        <v>817</v>
      </c>
      <c r="B536" s="13"/>
      <c r="C536" s="13" t="s">
        <v>818</v>
      </c>
      <c r="D536" s="14"/>
      <c r="E536" s="14"/>
      <c r="F536" s="14"/>
      <c r="G536" s="14"/>
      <c r="H536" s="14"/>
      <c r="I536" s="14"/>
      <c r="J536" s="14">
        <f>SUMIFS(J537:J567,D537:D567,"&lt;&gt;Y",F537:F567,"&lt;&gt;Y",I537:I567,"&lt;&gt;Inactive",I537:I567,"&lt;&gt;ECO+NFS")</f>
        <v>64721</v>
      </c>
      <c r="K536" s="14"/>
      <c r="L536" s="14"/>
      <c r="M536" s="14"/>
      <c r="N536" s="14"/>
      <c r="O536" s="14"/>
      <c r="P536" s="14"/>
      <c r="Q536" s="14"/>
      <c r="R536" s="14"/>
      <c r="S536" s="14"/>
    </row>
    <row r="537" spans="1:19" ht="18" customHeight="1">
      <c r="A537" s="17" t="str">
        <f>HYPERLINK("#"&amp;ADDRESS(MATCH(A536,'CIM&amp;FMS'!$A$1:$A$4997,0),1,,,"CIM&amp;FMS"),"Back to Price List")</f>
        <v>Back to Price List</v>
      </c>
      <c r="B537" t="s">
        <v>214</v>
      </c>
      <c r="C537" t="s">
        <v>654</v>
      </c>
      <c r="D537" s="4"/>
      <c r="E537" s="4">
        <v>1</v>
      </c>
      <c r="F537" s="4"/>
      <c r="G537" s="29" t="str">
        <f>IFERROR(HYPERLINK("#"&amp;ADDRESS(MATCH(B537&amp;"ES",'LM7 Non-ENG'!$A$1:$A$5000,0),1,,,"LM7 Non-ENG"),IF(IFERROR(VLOOKUP(B537&amp;"ES",'LM7 Non-ENG'!$A$1:$A$4999,1,FALSE),"ERROR")=B537&amp;"ES","Y","")),"")</f>
        <v/>
      </c>
      <c r="H537" s="29" t="str">
        <f>IFERROR(HYPERLINK("#"&amp;ADDRESS(MATCH(B537&amp;"PT",'LM7 Non-ENG'!$A$1:$A$5000,0),1,,,"LM7 Non-ENG"),IF(IFERROR(VLOOKUP(B537&amp;"PT",'LM7 Non-ENG'!$A$1:$A$5000,1,FALSE),"ERROR")=B537&amp;"PT","Y","")),"")</f>
        <v/>
      </c>
      <c r="I537" t="str">
        <f>IFERROR(VLOOKUP(B537,PN!$A:$C,3,FALSE),"")</f>
        <v>Active</v>
      </c>
      <c r="J537" s="3">
        <f>IFERROR(E537*VLOOKUP(B537,PLInter!$A:$D,3,FALSE),"")</f>
        <v>24000</v>
      </c>
      <c r="K537" s="66"/>
      <c r="L537" s="66"/>
      <c r="M537" s="66"/>
      <c r="N537" s="66"/>
      <c r="O537" s="66"/>
      <c r="P537" s="66"/>
      <c r="Q537" s="66"/>
      <c r="R537" s="66"/>
      <c r="S537" s="66"/>
    </row>
    <row r="538" spans="1:19" ht="18" customHeight="1">
      <c r="B538" t="s">
        <v>228</v>
      </c>
      <c r="C538" t="s">
        <v>655</v>
      </c>
      <c r="D538" s="4"/>
      <c r="E538" s="4">
        <v>1</v>
      </c>
      <c r="F538" s="4"/>
      <c r="G538" s="29" t="str">
        <f>IFERROR(HYPERLINK("#"&amp;ADDRESS(MATCH(B538&amp;"ES",'LM7 Non-ENG'!$A$1:$A$5000,0),1,,,"LM7 Non-ENG"),IF(IFERROR(VLOOKUP(B538&amp;"ES",'LM7 Non-ENG'!$A$1:$A$4999,1,FALSE),"ERROR")=B538&amp;"ES","Y","")),"")</f>
        <v/>
      </c>
      <c r="H538" s="29" t="str">
        <f>IFERROR(HYPERLINK("#"&amp;ADDRESS(MATCH(B538&amp;"PT",'LM7 Non-ENG'!$A$1:$A$5000,0),1,,,"LM7 Non-ENG"),IF(IFERROR(VLOOKUP(B538&amp;"PT",'LM7 Non-ENG'!$A$1:$A$5000,1,FALSE),"ERROR")=B538&amp;"PT","Y","")),"")</f>
        <v/>
      </c>
      <c r="I538" t="str">
        <f>IFERROR(VLOOKUP(B538,PN!$A:$C,3,FALSE),"")</f>
        <v>Active</v>
      </c>
      <c r="J538" s="3">
        <f>IFERROR(E538*VLOOKUP(B538,PLInter!$A:$D,3,FALSE),"")</f>
        <v>2134</v>
      </c>
      <c r="K538" s="66"/>
      <c r="L538" s="66"/>
      <c r="M538" s="66"/>
      <c r="N538" s="66"/>
      <c r="O538" s="66"/>
      <c r="P538" s="66"/>
      <c r="Q538" s="66"/>
      <c r="R538" s="66"/>
      <c r="S538" s="66"/>
    </row>
    <row r="539" spans="1:19" ht="18" customHeight="1">
      <c r="B539" s="2" t="s">
        <v>227</v>
      </c>
      <c r="C539" s="2" t="s">
        <v>232</v>
      </c>
      <c r="D539" s="5"/>
      <c r="E539" s="5">
        <v>1</v>
      </c>
      <c r="F539" s="5" t="s">
        <v>0</v>
      </c>
      <c r="G539" s="29" t="str">
        <f>IFERROR(HYPERLINK("#"&amp;ADDRESS(MATCH(B539&amp;"ES",'LM7 Non-ENG'!$A$1:$A$5000,0),1,,,"LM7 Non-ENG"),IF(IFERROR(VLOOKUP(B539&amp;"ES",'LM7 Non-ENG'!$A$1:$A$4999,1,FALSE),"ERROR")=B539&amp;"ES","Y","")),"")</f>
        <v/>
      </c>
      <c r="H539" s="29" t="str">
        <f>IFERROR(HYPERLINK("#"&amp;ADDRESS(MATCH(B539&amp;"PT",'LM7 Non-ENG'!$A$1:$A$5000,0),1,,,"LM7 Non-ENG"),IF(IFERROR(VLOOKUP(B539&amp;"PT",'LM7 Non-ENG'!$A$1:$A$5000,1,FALSE),"ERROR")=B539&amp;"PT","Y","")),"")</f>
        <v/>
      </c>
      <c r="I539" t="str">
        <f>IFERROR(VLOOKUP(B539,PN!$A:$C,3,FALSE),"")</f>
        <v>Active</v>
      </c>
      <c r="J539" s="3">
        <f>IFERROR(E539*VLOOKUP(B539,PLInter!$A:$D,3,FALSE),"")</f>
        <v>1700</v>
      </c>
      <c r="K539" s="66"/>
      <c r="L539" s="66"/>
      <c r="M539" s="66"/>
      <c r="N539" s="66"/>
      <c r="O539" s="66"/>
      <c r="P539" s="66"/>
      <c r="Q539" s="66"/>
      <c r="R539" s="66"/>
      <c r="S539" s="66"/>
    </row>
    <row r="540" spans="1:19" ht="18" customHeight="1">
      <c r="B540" t="s">
        <v>236</v>
      </c>
      <c r="C540" t="s">
        <v>626</v>
      </c>
      <c r="D540" s="4"/>
      <c r="E540" s="4">
        <v>1</v>
      </c>
      <c r="F540" s="4"/>
      <c r="G540" s="29" t="str">
        <f>IFERROR(HYPERLINK("#"&amp;ADDRESS(MATCH(B540&amp;"ES",'LM7 Non-ENG'!$A$1:$A$5000,0),1,,,"LM7 Non-ENG"),IF(IFERROR(VLOOKUP(B540&amp;"ES",'LM7 Non-ENG'!$A$1:$A$4999,1,FALSE),"ERROR")=B540&amp;"ES","Y","")),"")</f>
        <v/>
      </c>
      <c r="H540" s="29" t="str">
        <f>IFERROR(HYPERLINK("#"&amp;ADDRESS(MATCH(B540&amp;"PT",'LM7 Non-ENG'!$A$1:$A$5000,0),1,,,"LM7 Non-ENG"),IF(IFERROR(VLOOKUP(B540&amp;"PT",'LM7 Non-ENG'!$A$1:$A$5000,1,FALSE),"ERROR")=B540&amp;"PT","Y","")),"")</f>
        <v/>
      </c>
      <c r="I540" t="str">
        <f>IFERROR(VLOOKUP(B540,PN!$A:$C,3,FALSE),"")</f>
        <v>Active</v>
      </c>
      <c r="J540" s="3">
        <f>IFERROR(E540*VLOOKUP(B540,PLInter!$A:$D,3,FALSE),"")</f>
        <v>1680</v>
      </c>
      <c r="K540" s="66"/>
      <c r="L540" s="66"/>
      <c r="M540" s="66"/>
      <c r="N540" s="66"/>
      <c r="O540" s="66"/>
      <c r="P540" s="66"/>
      <c r="Q540" s="66"/>
      <c r="R540" s="66"/>
      <c r="S540" s="66"/>
    </row>
    <row r="541" spans="1:19" ht="18" customHeight="1">
      <c r="B541" t="s">
        <v>243</v>
      </c>
      <c r="C541" t="s">
        <v>790</v>
      </c>
      <c r="D541" s="4"/>
      <c r="E541" s="4">
        <v>1</v>
      </c>
      <c r="F541" s="4"/>
      <c r="G541" s="29" t="str">
        <f>IFERROR(HYPERLINK("#"&amp;ADDRESS(MATCH(B541&amp;"ES",'LM7 Non-ENG'!$A$1:$A$5000,0),1,,,"LM7 Non-ENG"),IF(IFERROR(VLOOKUP(B541&amp;"ES",'LM7 Non-ENG'!$A$1:$A$4999,1,FALSE),"ERROR")=B541&amp;"ES","Y","")),"")</f>
        <v/>
      </c>
      <c r="H541" s="29" t="str">
        <f>IFERROR(HYPERLINK("#"&amp;ADDRESS(MATCH(B541&amp;"PT",'LM7 Non-ENG'!$A$1:$A$5000,0),1,,,"LM7 Non-ENG"),IF(IFERROR(VLOOKUP(B541&amp;"PT",'LM7 Non-ENG'!$A$1:$A$5000,1,FALSE),"ERROR")=B541&amp;"PT","Y","")),"")</f>
        <v/>
      </c>
      <c r="I541" t="str">
        <f>IFERROR(VLOOKUP(B541,PN!$A:$C,3,FALSE),"")</f>
        <v>Active</v>
      </c>
      <c r="J541" s="3">
        <f>IFERROR(E541*VLOOKUP(B541,PLInter!$A:$D,3,FALSE),"")</f>
        <v>7366</v>
      </c>
      <c r="K541" s="66"/>
      <c r="L541" s="66"/>
      <c r="M541" s="66"/>
      <c r="N541" s="66"/>
      <c r="O541" s="66"/>
      <c r="P541" s="66"/>
      <c r="Q541" s="66"/>
      <c r="R541" s="66"/>
      <c r="S541" s="66"/>
    </row>
    <row r="542" spans="1:19" ht="18" customHeight="1">
      <c r="B542" t="str">
        <f>"034025"</f>
        <v>034025</v>
      </c>
      <c r="C542" t="s">
        <v>777</v>
      </c>
      <c r="D542" s="4"/>
      <c r="E542" s="4">
        <v>1</v>
      </c>
      <c r="F542" s="4"/>
      <c r="G542" s="29" t="str">
        <f>IFERROR(HYPERLINK("#"&amp;ADDRESS(MATCH(B542&amp;"ES",'LM7 Non-ENG'!$A$1:$A$5000,0),1,,,"LM7 Non-ENG"),IF(IFERROR(VLOOKUP(B542&amp;"ES",'LM7 Non-ENG'!$A$1:$A$4999,1,FALSE),"ERROR")=B542&amp;"ES","Y","")),"")</f>
        <v/>
      </c>
      <c r="H542" s="29" t="str">
        <f>IFERROR(HYPERLINK("#"&amp;ADDRESS(MATCH(B542&amp;"PT",'LM7 Non-ENG'!$A$1:$A$5000,0),1,,,"LM7 Non-ENG"),IF(IFERROR(VLOOKUP(B542&amp;"PT",'LM7 Non-ENG'!$A$1:$A$5000,1,FALSE),"ERROR")=B542&amp;"PT","Y","")),"")</f>
        <v/>
      </c>
      <c r="I542" t="str">
        <f>IFERROR(VLOOKUP(B542,PN!$A:$C,3,FALSE),"")</f>
        <v>Active</v>
      </c>
      <c r="J542" s="3">
        <f>IFERROR(E542*VLOOKUP(B542,PLInter!$A:$D,3,FALSE),"")</f>
        <v>1267</v>
      </c>
      <c r="K542" s="66"/>
      <c r="L542" s="66"/>
      <c r="M542" s="66"/>
      <c r="N542" s="66"/>
      <c r="O542" s="66"/>
      <c r="P542" s="66"/>
      <c r="Q542" s="66"/>
      <c r="R542" s="66"/>
      <c r="S542" s="66"/>
    </row>
    <row r="543" spans="1:19" ht="18" customHeight="1">
      <c r="B543" t="str">
        <f>"021152"</f>
        <v>021152</v>
      </c>
      <c r="C543" s="41" t="s">
        <v>679</v>
      </c>
      <c r="D543" s="4"/>
      <c r="E543" s="4">
        <v>1</v>
      </c>
      <c r="F543" s="4"/>
      <c r="G543" s="29" t="str">
        <f>IFERROR(HYPERLINK("#"&amp;ADDRESS(MATCH(B543&amp;"ES",'LM7 Non-ENG'!$A$1:$A$5000,0),1,,,"LM7 Non-ENG"),IF(IFERROR(VLOOKUP(B543&amp;"ES",'LM7 Non-ENG'!$A$1:$A$4999,1,FALSE),"ERROR")=B543&amp;"ES","Y","")),"")</f>
        <v/>
      </c>
      <c r="H543" s="29" t="str">
        <f>IFERROR(HYPERLINK("#"&amp;ADDRESS(MATCH(B543&amp;"PT",'LM7 Non-ENG'!$A$1:$A$5000,0),1,,,"LM7 Non-ENG"),IF(IFERROR(VLOOKUP(B543&amp;"PT",'LM7 Non-ENG'!$A$1:$A$5000,1,FALSE),"ERROR")=B543&amp;"PT","Y","")),"")</f>
        <v/>
      </c>
      <c r="I543" t="str">
        <f>IFERROR(VLOOKUP(B543,PN!$A:$C,3,FALSE),"")</f>
        <v>Active</v>
      </c>
      <c r="J543" s="3">
        <f>IFERROR(E543*VLOOKUP(B543,PLInter!$A:$D,3,FALSE),"")</f>
        <v>240</v>
      </c>
      <c r="K543" s="66"/>
      <c r="L543" s="66"/>
      <c r="M543" s="66"/>
      <c r="N543" s="66"/>
      <c r="O543" s="66"/>
      <c r="P543" s="66"/>
      <c r="Q543" s="66"/>
      <c r="R543" s="66"/>
      <c r="S543" s="66"/>
    </row>
    <row r="544" spans="1:19" ht="18" customHeight="1">
      <c r="B544" t="s">
        <v>682</v>
      </c>
      <c r="C544" t="s">
        <v>683</v>
      </c>
      <c r="D544" s="4"/>
      <c r="E544" s="4">
        <v>1</v>
      </c>
      <c r="F544" s="4"/>
      <c r="G544" s="29" t="str">
        <f>IFERROR(HYPERLINK("#"&amp;ADDRESS(MATCH(B544&amp;"ES",'LM7 Non-ENG'!$A$1:$A$5000,0),1,,,"LM7 Non-ENG"),IF(IFERROR(VLOOKUP(B544&amp;"ES",'LM7 Non-ENG'!$A$1:$A$4999,1,FALSE),"ERROR")=B544&amp;"ES","Y","")),"")</f>
        <v/>
      </c>
      <c r="H544" s="29" t="str">
        <f>IFERROR(HYPERLINK("#"&amp;ADDRESS(MATCH(B544&amp;"PT",'LM7 Non-ENG'!$A$1:$A$5000,0),1,,,"LM7 Non-ENG"),IF(IFERROR(VLOOKUP(B544&amp;"PT",'LM7 Non-ENG'!$A$1:$A$5000,1,FALSE),"ERROR")=B544&amp;"PT","Y","")),"")</f>
        <v/>
      </c>
      <c r="I544" t="str">
        <f>IFERROR(VLOOKUP(B544,PN!$A:$C,3,FALSE),"")</f>
        <v>Active</v>
      </c>
      <c r="J544" s="3">
        <f>IFERROR(E544*VLOOKUP(B544,PLInter!$A:$D,3,FALSE),"")</f>
        <v>494</v>
      </c>
      <c r="K544" s="66"/>
      <c r="L544" s="66"/>
      <c r="M544" s="66"/>
      <c r="N544" s="66"/>
      <c r="O544" s="66"/>
      <c r="P544" s="66"/>
      <c r="Q544" s="66"/>
      <c r="R544" s="66"/>
      <c r="S544" s="66"/>
    </row>
    <row r="545" spans="2:19" ht="18" customHeight="1">
      <c r="B545" t="s">
        <v>684</v>
      </c>
      <c r="C545" t="s">
        <v>685</v>
      </c>
      <c r="D545" s="4"/>
      <c r="E545" s="4">
        <v>1</v>
      </c>
      <c r="F545" s="4"/>
      <c r="G545" s="29" t="str">
        <f>IFERROR(HYPERLINK("#"&amp;ADDRESS(MATCH(B545&amp;"ES",'LM7 Non-ENG'!$A$1:$A$5000,0),1,,,"LM7 Non-ENG"),IF(IFERROR(VLOOKUP(B545&amp;"ES",'LM7 Non-ENG'!$A$1:$A$4999,1,FALSE),"ERROR")=B545&amp;"ES","Y","")),"")</f>
        <v/>
      </c>
      <c r="H545" s="29" t="str">
        <f>IFERROR(HYPERLINK("#"&amp;ADDRESS(MATCH(B545&amp;"PT",'LM7 Non-ENG'!$A$1:$A$5000,0),1,,,"LM7 Non-ENG"),IF(IFERROR(VLOOKUP(B545&amp;"PT",'LM7 Non-ENG'!$A$1:$A$5000,1,FALSE),"ERROR")=B545&amp;"PT","Y","")),"")</f>
        <v/>
      </c>
      <c r="I545" t="str">
        <f>IFERROR(VLOOKUP(B545,PN!$A:$C,3,FALSE),"")</f>
        <v>Active</v>
      </c>
      <c r="J545" s="3">
        <f>IFERROR(E545*VLOOKUP(B545,PLInter!$A:$D,3,FALSE),"")</f>
        <v>580</v>
      </c>
      <c r="K545" s="66"/>
      <c r="L545" s="66"/>
      <c r="M545" s="66"/>
      <c r="N545" s="66"/>
      <c r="O545" s="66"/>
      <c r="P545" s="66"/>
      <c r="Q545" s="66"/>
      <c r="R545" s="66"/>
      <c r="S545" s="66"/>
    </row>
    <row r="546" spans="2:19" ht="18" customHeight="1">
      <c r="B546" t="str">
        <f>"021182"</f>
        <v>021182</v>
      </c>
      <c r="C546" t="s">
        <v>686</v>
      </c>
      <c r="D546" s="4"/>
      <c r="E546" s="4">
        <v>1</v>
      </c>
      <c r="F546" s="4"/>
      <c r="G546" s="29" t="str">
        <f>IFERROR(HYPERLINK("#"&amp;ADDRESS(MATCH(B546&amp;"ES",'LM7 Non-ENG'!$A$1:$A$5000,0),1,,,"LM7 Non-ENG"),IF(IFERROR(VLOOKUP(B546&amp;"ES",'LM7 Non-ENG'!$A$1:$A$4999,1,FALSE),"ERROR")=B546&amp;"ES","Y","")),"")</f>
        <v/>
      </c>
      <c r="H546" s="29" t="str">
        <f>IFERROR(HYPERLINK("#"&amp;ADDRESS(MATCH(B546&amp;"PT",'LM7 Non-ENG'!$A$1:$A$5000,0),1,,,"LM7 Non-ENG"),IF(IFERROR(VLOOKUP(B546&amp;"PT",'LM7 Non-ENG'!$A$1:$A$5000,1,FALSE),"ERROR")=B546&amp;"PT","Y","")),"")</f>
        <v/>
      </c>
      <c r="I546" t="str">
        <f>IFERROR(VLOOKUP(B546,PN!$A:$C,3,FALSE),"")</f>
        <v>Active</v>
      </c>
      <c r="J546" s="3">
        <f>IFERROR(E546*VLOOKUP(B546,PLInter!$A:$D,3,FALSE),"")</f>
        <v>16</v>
      </c>
      <c r="K546" s="66"/>
      <c r="L546" s="66"/>
      <c r="M546" s="66"/>
      <c r="N546" s="66"/>
      <c r="O546" s="66"/>
      <c r="P546" s="66"/>
      <c r="Q546" s="66"/>
      <c r="R546" s="66"/>
      <c r="S546" s="66"/>
    </row>
    <row r="547" spans="2:19" ht="18" customHeight="1">
      <c r="B547" t="s">
        <v>735</v>
      </c>
      <c r="C547" t="s">
        <v>736</v>
      </c>
      <c r="D547" s="4"/>
      <c r="E547" s="4">
        <v>1</v>
      </c>
      <c r="F547" s="4"/>
      <c r="G547" s="29" t="str">
        <f>IFERROR(HYPERLINK("#"&amp;ADDRESS(MATCH(B547&amp;"ES",'LM7 Non-ENG'!$A$1:$A$5000,0),1,,,"LM7 Non-ENG"),IF(IFERROR(VLOOKUP(B547&amp;"ES",'LM7 Non-ENG'!$A$1:$A$4999,1,FALSE),"ERROR")=B547&amp;"ES","Y","")),"")</f>
        <v/>
      </c>
      <c r="H547" s="29" t="str">
        <f>IFERROR(HYPERLINK("#"&amp;ADDRESS(MATCH(B547&amp;"PT",'LM7 Non-ENG'!$A$1:$A$5000,0),1,,,"LM7 Non-ENG"),IF(IFERROR(VLOOKUP(B547&amp;"PT",'LM7 Non-ENG'!$A$1:$A$5000,1,FALSE),"ERROR")=B547&amp;"PT","Y","")),"")</f>
        <v/>
      </c>
      <c r="I547" t="str">
        <f>IFERROR(VLOOKUP(B547,PN!$A:$C,3,FALSE),"")</f>
        <v>Active</v>
      </c>
      <c r="J547" s="3">
        <f>IFERROR(E547*VLOOKUP(B547,PLInter!$A:$D,3,FALSE),"")</f>
        <v>667</v>
      </c>
      <c r="K547" s="66"/>
      <c r="L547" s="66"/>
      <c r="M547" s="66"/>
      <c r="N547" s="66"/>
      <c r="O547" s="66"/>
      <c r="P547" s="66"/>
      <c r="Q547" s="66"/>
      <c r="R547" s="66"/>
      <c r="S547" s="66"/>
    </row>
    <row r="548" spans="2:19" ht="18" customHeight="1">
      <c r="B548" t="s">
        <v>453</v>
      </c>
      <c r="C548" t="s">
        <v>463</v>
      </c>
      <c r="D548" s="4"/>
      <c r="E548" s="4">
        <v>1</v>
      </c>
      <c r="F548" s="4"/>
      <c r="G548" s="29" t="str">
        <f>IFERROR(HYPERLINK("#"&amp;ADDRESS(MATCH(B548&amp;"ES",'LM7 Non-ENG'!$A$1:$A$5000,0),1,,,"LM7 Non-ENG"),IF(IFERROR(VLOOKUP(B548&amp;"ES",'LM7 Non-ENG'!$A$1:$A$4999,1,FALSE),"ERROR")=B548&amp;"ES","Y","")),"")</f>
        <v/>
      </c>
      <c r="H548" s="29" t="str">
        <f>IFERROR(HYPERLINK("#"&amp;ADDRESS(MATCH(B548&amp;"PT",'LM7 Non-ENG'!$A$1:$A$5000,0),1,,,"LM7 Non-ENG"),IF(IFERROR(VLOOKUP(B548&amp;"PT",'LM7 Non-ENG'!$A$1:$A$5000,1,FALSE),"ERROR")=B548&amp;"PT","Y","")),"")</f>
        <v/>
      </c>
      <c r="I548" t="str">
        <f>IFERROR(VLOOKUP(B548,PN!$A:$C,3,FALSE),"")</f>
        <v>Active</v>
      </c>
      <c r="J548" s="3">
        <f>IFERROR(E548*VLOOKUP(B548,PLInter!$A:$D,3,FALSE),"")</f>
        <v>14934</v>
      </c>
      <c r="K548" s="66"/>
      <c r="L548" s="66"/>
      <c r="M548" s="66"/>
      <c r="N548" s="66"/>
      <c r="O548" s="66"/>
      <c r="P548" s="66"/>
      <c r="Q548" s="66"/>
      <c r="R548" s="66"/>
      <c r="S548" s="66"/>
    </row>
    <row r="549" spans="2:19" ht="18" customHeight="1">
      <c r="B549" s="2" t="s">
        <v>452</v>
      </c>
      <c r="C549" s="2" t="s">
        <v>737</v>
      </c>
      <c r="D549" s="5"/>
      <c r="E549" s="5">
        <v>1</v>
      </c>
      <c r="F549" s="5" t="s">
        <v>0</v>
      </c>
      <c r="G549" s="29" t="str">
        <f>IFERROR(HYPERLINK("#"&amp;ADDRESS(MATCH(B549&amp;"ES",'LM7 Non-ENG'!$A$1:$A$5000,0),1,,,"LM7 Non-ENG"),IF(IFERROR(VLOOKUP(B549&amp;"ES",'LM7 Non-ENG'!$A$1:$A$4999,1,FALSE),"ERROR")=B549&amp;"ES","Y","")),"")</f>
        <v/>
      </c>
      <c r="H549" s="29" t="str">
        <f>IFERROR(HYPERLINK("#"&amp;ADDRESS(MATCH(B549&amp;"PT",'LM7 Non-ENG'!$A$1:$A$5000,0),1,,,"LM7 Non-ENG"),IF(IFERROR(VLOOKUP(B549&amp;"PT",'LM7 Non-ENG'!$A$1:$A$5000,1,FALSE),"ERROR")=B549&amp;"PT","Y","")),"")</f>
        <v/>
      </c>
      <c r="I549" t="str">
        <f>IFERROR(VLOOKUP(B549,PN!$A:$C,3,FALSE),"")</f>
        <v>Active</v>
      </c>
      <c r="J549" s="3">
        <f>IFERROR(E549*VLOOKUP(B549,PLInter!$A:$D,3,FALSE),"")</f>
        <v>14934</v>
      </c>
      <c r="K549" s="66"/>
      <c r="L549" s="66"/>
      <c r="M549" s="66"/>
      <c r="N549" s="66"/>
      <c r="O549" s="66"/>
      <c r="P549" s="66"/>
      <c r="Q549" s="66"/>
      <c r="R549" s="66"/>
      <c r="S549" s="66"/>
    </row>
    <row r="550" spans="2:19" ht="18" customHeight="1">
      <c r="B550" t="s">
        <v>518</v>
      </c>
      <c r="C550" t="s">
        <v>738</v>
      </c>
      <c r="D550" s="4"/>
      <c r="E550" s="4">
        <v>1</v>
      </c>
      <c r="F550" s="4"/>
      <c r="G550" s="29" t="str">
        <f>IFERROR(HYPERLINK("#"&amp;ADDRESS(MATCH(B550&amp;"ES",'LM7 Non-ENG'!$A$1:$A$5000,0),1,,,"LM7 Non-ENG"),IF(IFERROR(VLOOKUP(B550&amp;"ES",'LM7 Non-ENG'!$A$1:$A$4999,1,FALSE),"ERROR")=B550&amp;"ES","Y","")),"")</f>
        <v/>
      </c>
      <c r="H550" s="29" t="str">
        <f>IFERROR(HYPERLINK("#"&amp;ADDRESS(MATCH(B550&amp;"PT",'LM7 Non-ENG'!$A$1:$A$5000,0),1,,,"LM7 Non-ENG"),IF(IFERROR(VLOOKUP(B550&amp;"PT",'LM7 Non-ENG'!$A$1:$A$5000,1,FALSE),"ERROR")=B550&amp;"PT","Y","")),"")</f>
        <v/>
      </c>
      <c r="I550" t="str">
        <f>IFERROR(VLOOKUP(B550,PN!$A:$C,3,FALSE),"")</f>
        <v>Active</v>
      </c>
      <c r="J550" s="3">
        <f>IFERROR(E550*VLOOKUP(B550,PLInter!$A:$D,3,FALSE),"")</f>
        <v>534</v>
      </c>
      <c r="K550" s="66"/>
      <c r="L550" s="66"/>
      <c r="M550" s="66"/>
      <c r="N550" s="66"/>
      <c r="O550" s="66"/>
      <c r="P550" s="66"/>
      <c r="Q550" s="66"/>
      <c r="R550" s="66"/>
      <c r="S550" s="66"/>
    </row>
    <row r="551" spans="2:19" ht="18" customHeight="1">
      <c r="B551" t="s">
        <v>515</v>
      </c>
      <c r="C551" t="s">
        <v>739</v>
      </c>
      <c r="D551" s="4"/>
      <c r="E551" s="4">
        <v>1</v>
      </c>
      <c r="F551" s="4"/>
      <c r="G551" s="29" t="str">
        <f>IFERROR(HYPERLINK("#"&amp;ADDRESS(MATCH(B551&amp;"ES",'LM7 Non-ENG'!$A$1:$A$5000,0),1,,,"LM7 Non-ENG"),IF(IFERROR(VLOOKUP(B551&amp;"ES",'LM7 Non-ENG'!$A$1:$A$4999,1,FALSE),"ERROR")=B551&amp;"ES","Y","")),"")</f>
        <v/>
      </c>
      <c r="H551" s="29" t="str">
        <f>IFERROR(HYPERLINK("#"&amp;ADDRESS(MATCH(B551&amp;"PT",'LM7 Non-ENG'!$A$1:$A$5000,0),1,,,"LM7 Non-ENG"),IF(IFERROR(VLOOKUP(B551&amp;"PT",'LM7 Non-ENG'!$A$1:$A$5000,1,FALSE),"ERROR")=B551&amp;"PT","Y","")),"")</f>
        <v/>
      </c>
      <c r="I551" t="str">
        <f>IFERROR(VLOOKUP(B551,PN!$A:$C,3,FALSE),"")</f>
        <v>Active</v>
      </c>
      <c r="J551" s="3">
        <f>IFERROR(E551*VLOOKUP(B551,PLInter!$A:$D,3,FALSE),"")</f>
        <v>1895</v>
      </c>
      <c r="K551" s="66"/>
      <c r="L551" s="66"/>
      <c r="M551" s="66"/>
      <c r="N551" s="66"/>
      <c r="O551" s="66"/>
      <c r="P551" s="66"/>
      <c r="Q551" s="66"/>
      <c r="R551" s="66"/>
      <c r="S551" s="66"/>
    </row>
    <row r="552" spans="2:19" ht="18" customHeight="1">
      <c r="B552" s="1" t="s">
        <v>740</v>
      </c>
      <c r="C552" s="1" t="s">
        <v>741</v>
      </c>
      <c r="D552" s="6" t="s">
        <v>0</v>
      </c>
      <c r="E552" s="6">
        <v>1</v>
      </c>
      <c r="F552" s="6"/>
      <c r="G552" s="29" t="str">
        <f>IFERROR(HYPERLINK("#"&amp;ADDRESS(MATCH(B552&amp;"ES",'LM7 Non-ENG'!$A$1:$A$5000,0),1,,,"LM7 Non-ENG"),IF(IFERROR(VLOOKUP(B552&amp;"ES",'LM7 Non-ENG'!$A$1:$A$4999,1,FALSE),"ERROR")=B552&amp;"ES","Y","")),"")</f>
        <v/>
      </c>
      <c r="H552" s="29" t="str">
        <f>IFERROR(HYPERLINK("#"&amp;ADDRESS(MATCH(B552&amp;"PT",'LM7 Non-ENG'!$A$1:$A$5000,0),1,,,"LM7 Non-ENG"),IF(IFERROR(VLOOKUP(B552&amp;"PT",'LM7 Non-ENG'!$A$1:$A$5000,1,FALSE),"ERROR")=B552&amp;"PT","Y","")),"")</f>
        <v/>
      </c>
      <c r="I552" t="str">
        <f>IFERROR(VLOOKUP(B552,PN!$A:$C,3,FALSE),"")</f>
        <v>Active</v>
      </c>
      <c r="J552" s="3" t="str">
        <f>IFERROR(E552*VLOOKUP(B552,PLInter!$A:$D,3,FALSE),"")</f>
        <v/>
      </c>
      <c r="K552" s="66"/>
      <c r="L552" s="66"/>
      <c r="M552" s="66"/>
      <c r="N552" s="66"/>
      <c r="O552" s="66"/>
      <c r="P552" s="66"/>
      <c r="Q552" s="66"/>
      <c r="R552" s="66"/>
      <c r="S552" s="66"/>
    </row>
    <row r="553" spans="2:19" ht="18" customHeight="1">
      <c r="B553" t="s">
        <v>504</v>
      </c>
      <c r="C553" t="s">
        <v>742</v>
      </c>
      <c r="D553" s="4"/>
      <c r="E553" s="4">
        <v>1</v>
      </c>
      <c r="F553" s="4"/>
      <c r="G553" s="29" t="str">
        <f>IFERROR(HYPERLINK("#"&amp;ADDRESS(MATCH(B553&amp;"ES",'LM7 Non-ENG'!$A$1:$A$5000,0),1,,,"LM7 Non-ENG"),IF(IFERROR(VLOOKUP(B553&amp;"ES",'LM7 Non-ENG'!$A$1:$A$4999,1,FALSE),"ERROR")=B553&amp;"ES","Y","")),"")</f>
        <v/>
      </c>
      <c r="H553" s="29" t="str">
        <f>IFERROR(HYPERLINK("#"&amp;ADDRESS(MATCH(B553&amp;"PT",'LM7 Non-ENG'!$A$1:$A$5000,0),1,,,"LM7 Non-ENG"),IF(IFERROR(VLOOKUP(B553&amp;"PT",'LM7 Non-ENG'!$A$1:$A$5000,1,FALSE),"ERROR")=B553&amp;"PT","Y","")),"")</f>
        <v/>
      </c>
      <c r="I553" t="str">
        <f>IFERROR(VLOOKUP(B553,PN!$A:$C,3,FALSE),"")</f>
        <v>Active</v>
      </c>
      <c r="J553" s="3">
        <f>IFERROR(E553*VLOOKUP(B553,PLInter!$A:$D,3,FALSE),"")</f>
        <v>227</v>
      </c>
      <c r="K553" s="66"/>
      <c r="L553" s="66"/>
      <c r="M553" s="66"/>
      <c r="N553" s="66"/>
      <c r="O553" s="66"/>
      <c r="P553" s="66"/>
      <c r="Q553" s="66"/>
      <c r="R553" s="66"/>
      <c r="S553" s="66"/>
    </row>
    <row r="554" spans="2:19" ht="18" customHeight="1">
      <c r="B554" t="s">
        <v>505</v>
      </c>
      <c r="C554" t="s">
        <v>743</v>
      </c>
      <c r="D554" s="4"/>
      <c r="E554" s="4">
        <v>1</v>
      </c>
      <c r="F554" s="4"/>
      <c r="G554" s="29" t="str">
        <f>IFERROR(HYPERLINK("#"&amp;ADDRESS(MATCH(B554&amp;"ES",'LM7 Non-ENG'!$A$1:$A$5000,0),1,,,"LM7 Non-ENG"),IF(IFERROR(VLOOKUP(B554&amp;"ES",'LM7 Non-ENG'!$A$1:$A$4999,1,FALSE),"ERROR")=B554&amp;"ES","Y","")),"")</f>
        <v/>
      </c>
      <c r="H554" s="29" t="str">
        <f>IFERROR(HYPERLINK("#"&amp;ADDRESS(MATCH(B554&amp;"PT",'LM7 Non-ENG'!$A$1:$A$5000,0),1,,,"LM7 Non-ENG"),IF(IFERROR(VLOOKUP(B554&amp;"PT",'LM7 Non-ENG'!$A$1:$A$5000,1,FALSE),"ERROR")=B554&amp;"PT","Y","")),"")</f>
        <v/>
      </c>
      <c r="I554" t="str">
        <f>IFERROR(VLOOKUP(B554,PN!$A:$C,3,FALSE),"")</f>
        <v>Active</v>
      </c>
      <c r="J554" s="3">
        <f>IFERROR(E554*VLOOKUP(B554,PLInter!$A:$D,3,FALSE),"")</f>
        <v>200</v>
      </c>
      <c r="K554" s="66"/>
      <c r="L554" s="66"/>
      <c r="M554" s="66"/>
      <c r="N554" s="66"/>
      <c r="O554" s="66"/>
      <c r="P554" s="66"/>
      <c r="Q554" s="66"/>
      <c r="R554" s="66"/>
      <c r="S554" s="66"/>
    </row>
    <row r="555" spans="2:19" ht="18" customHeight="1">
      <c r="B555" t="s">
        <v>502</v>
      </c>
      <c r="C555" t="s">
        <v>744</v>
      </c>
      <c r="D555" s="4"/>
      <c r="E555" s="4">
        <v>1</v>
      </c>
      <c r="F555" s="4"/>
      <c r="G555" s="29" t="str">
        <f>IFERROR(HYPERLINK("#"&amp;ADDRESS(MATCH(B555&amp;"ES",'LM7 Non-ENG'!$A$1:$A$5000,0),1,,,"LM7 Non-ENG"),IF(IFERROR(VLOOKUP(B555&amp;"ES",'LM7 Non-ENG'!$A$1:$A$4999,1,FALSE),"ERROR")=B555&amp;"ES","Y","")),"")</f>
        <v/>
      </c>
      <c r="H555" s="29" t="str">
        <f>IFERROR(HYPERLINK("#"&amp;ADDRESS(MATCH(B555&amp;"PT",'LM7 Non-ENG'!$A$1:$A$5000,0),1,,,"LM7 Non-ENG"),IF(IFERROR(VLOOKUP(B555&amp;"PT",'LM7 Non-ENG'!$A$1:$A$5000,1,FALSE),"ERROR")=B555&amp;"PT","Y","")),"")</f>
        <v/>
      </c>
      <c r="I555" t="str">
        <f>IFERROR(VLOOKUP(B555,PN!$A:$C,3,FALSE),"")</f>
        <v>Active</v>
      </c>
      <c r="J555" s="3">
        <f>IFERROR(E555*VLOOKUP(B555,PLInter!$A:$D,3,FALSE),"")</f>
        <v>87</v>
      </c>
      <c r="K555" s="66"/>
      <c r="L555" s="66"/>
      <c r="M555" s="66"/>
      <c r="N555" s="66"/>
      <c r="O555" s="66"/>
      <c r="P555" s="66"/>
      <c r="Q555" s="66"/>
      <c r="R555" s="66"/>
      <c r="S555" s="66"/>
    </row>
    <row r="556" spans="2:19" ht="18" customHeight="1">
      <c r="B556" t="s">
        <v>503</v>
      </c>
      <c r="C556" t="s">
        <v>745</v>
      </c>
      <c r="D556" s="4"/>
      <c r="E556" s="4">
        <v>1</v>
      </c>
      <c r="F556" s="4"/>
      <c r="G556" s="29" t="str">
        <f>IFERROR(HYPERLINK("#"&amp;ADDRESS(MATCH(B556&amp;"ES",'LM7 Non-ENG'!$A$1:$A$5000,0),1,,,"LM7 Non-ENG"),IF(IFERROR(VLOOKUP(B556&amp;"ES",'LM7 Non-ENG'!$A$1:$A$4999,1,FALSE),"ERROR")=B556&amp;"ES","Y","")),"")</f>
        <v/>
      </c>
      <c r="H556" s="29" t="str">
        <f>IFERROR(HYPERLINK("#"&amp;ADDRESS(MATCH(B556&amp;"PT",'LM7 Non-ENG'!$A$1:$A$5000,0),1,,,"LM7 Non-ENG"),IF(IFERROR(VLOOKUP(B556&amp;"PT",'LM7 Non-ENG'!$A$1:$A$5000,1,FALSE),"ERROR")=B556&amp;"PT","Y","")),"")</f>
        <v/>
      </c>
      <c r="I556" t="str">
        <f>IFERROR(VLOOKUP(B556,PN!$A:$C,3,FALSE),"")</f>
        <v>Active</v>
      </c>
      <c r="J556" s="3">
        <f>IFERROR(E556*VLOOKUP(B556,PLInter!$A:$D,3,FALSE),"")</f>
        <v>74</v>
      </c>
      <c r="K556" s="66"/>
      <c r="L556" s="66"/>
      <c r="M556" s="66"/>
      <c r="N556" s="66"/>
      <c r="O556" s="66"/>
      <c r="P556" s="66"/>
      <c r="Q556" s="66"/>
      <c r="R556" s="66"/>
      <c r="S556" s="66"/>
    </row>
    <row r="557" spans="2:19" ht="18" customHeight="1">
      <c r="B557" t="s">
        <v>478</v>
      </c>
      <c r="C557" t="s">
        <v>716</v>
      </c>
      <c r="D557" s="4"/>
      <c r="E557" s="4">
        <v>1</v>
      </c>
      <c r="F557" s="4"/>
      <c r="G557" s="29" t="str">
        <f>IFERROR(HYPERLINK("#"&amp;ADDRESS(MATCH(B557&amp;"ES",'LM7 Non-ENG'!$A$1:$A$5000,0),1,,,"LM7 Non-ENG"),IF(IFERROR(VLOOKUP(B557&amp;"ES",'LM7 Non-ENG'!$A$1:$A$4999,1,FALSE),"ERROR")=B557&amp;"ES","Y","")),"")</f>
        <v/>
      </c>
      <c r="H557" s="29" t="str">
        <f>IFERROR(HYPERLINK("#"&amp;ADDRESS(MATCH(B557&amp;"PT",'LM7 Non-ENG'!$A$1:$A$5000,0),1,,,"LM7 Non-ENG"),IF(IFERROR(VLOOKUP(B557&amp;"PT",'LM7 Non-ENG'!$A$1:$A$5000,1,FALSE),"ERROR")=B557&amp;"PT","Y","")),"")</f>
        <v/>
      </c>
      <c r="I557" t="str">
        <f>IFERROR(VLOOKUP(B557,PN!$A:$C,3,FALSE),"")</f>
        <v>Active</v>
      </c>
      <c r="J557" s="3">
        <f>IFERROR(E557*VLOOKUP(B557,PLInter!$A:$D,3,FALSE),"")</f>
        <v>795</v>
      </c>
      <c r="K557" s="66"/>
      <c r="L557" s="66"/>
      <c r="M557" s="66"/>
      <c r="N557" s="66"/>
      <c r="O557" s="66"/>
      <c r="P557" s="66"/>
      <c r="Q557" s="66"/>
      <c r="R557" s="66"/>
      <c r="S557" s="66"/>
    </row>
    <row r="558" spans="2:19" ht="18" customHeight="1">
      <c r="B558" s="1" t="s">
        <v>506</v>
      </c>
      <c r="C558" s="1" t="s">
        <v>746</v>
      </c>
      <c r="D558" s="6" t="s">
        <v>0</v>
      </c>
      <c r="E558" s="6">
        <v>1</v>
      </c>
      <c r="F558" s="6"/>
      <c r="G558" s="29" t="str">
        <f>IFERROR(HYPERLINK("#"&amp;ADDRESS(MATCH(B558&amp;"ES",'LM7 Non-ENG'!$A$1:$A$5000,0),1,,,"LM7 Non-ENG"),IF(IFERROR(VLOOKUP(B558&amp;"ES",'LM7 Non-ENG'!$A$1:$A$4999,1,FALSE),"ERROR")=B558&amp;"ES","Y","")),"")</f>
        <v/>
      </c>
      <c r="H558" s="29" t="str">
        <f>IFERROR(HYPERLINK("#"&amp;ADDRESS(MATCH(B558&amp;"PT",'LM7 Non-ENG'!$A$1:$A$5000,0),1,,,"LM7 Non-ENG"),IF(IFERROR(VLOOKUP(B558&amp;"PT",'LM7 Non-ENG'!$A$1:$A$5000,1,FALSE),"ERROR")=B558&amp;"PT","Y","")),"")</f>
        <v/>
      </c>
      <c r="I558" t="str">
        <f>IFERROR(VLOOKUP(B558,PN!$A:$C,3,FALSE),"")</f>
        <v>Active</v>
      </c>
      <c r="J558" s="3">
        <f>IFERROR(E558*VLOOKUP(B558,PLInter!$A:$D,3,FALSE),"")</f>
        <v>231</v>
      </c>
      <c r="K558" s="66"/>
      <c r="L558" s="66"/>
      <c r="M558" s="66"/>
      <c r="N558" s="66"/>
      <c r="O558" s="66"/>
      <c r="P558" s="66"/>
      <c r="Q558" s="66"/>
      <c r="R558" s="66"/>
      <c r="S558" s="66"/>
    </row>
    <row r="559" spans="2:19" ht="18" customHeight="1">
      <c r="B559" s="1" t="s">
        <v>480</v>
      </c>
      <c r="C559" s="1" t="s">
        <v>723</v>
      </c>
      <c r="D559" s="6" t="s">
        <v>0</v>
      </c>
      <c r="E559" s="6">
        <v>1</v>
      </c>
      <c r="F559" s="6"/>
      <c r="G559" s="29" t="str">
        <f>IFERROR(HYPERLINK("#"&amp;ADDRESS(MATCH(B559&amp;"ES",'LM7 Non-ENG'!$A$1:$A$5000,0),1,,,"LM7 Non-ENG"),IF(IFERROR(VLOOKUP(B559&amp;"ES",'LM7 Non-ENG'!$A$1:$A$4999,1,FALSE),"ERROR")=B559&amp;"ES","Y","")),"")</f>
        <v/>
      </c>
      <c r="H559" s="29" t="str">
        <f>IFERROR(HYPERLINK("#"&amp;ADDRESS(MATCH(B559&amp;"PT",'LM7 Non-ENG'!$A$1:$A$5000,0),1,,,"LM7 Non-ENG"),IF(IFERROR(VLOOKUP(B559&amp;"PT",'LM7 Non-ENG'!$A$1:$A$5000,1,FALSE),"ERROR")=B559&amp;"PT","Y","")),"")</f>
        <v/>
      </c>
      <c r="I559" t="str">
        <f>IFERROR(VLOOKUP(B559,PN!$A:$C,3,FALSE),"")</f>
        <v>Active</v>
      </c>
      <c r="J559" s="3">
        <f>IFERROR(E559*VLOOKUP(B559,PLInter!$A:$D,3,FALSE),"")</f>
        <v>407</v>
      </c>
      <c r="K559" s="66"/>
      <c r="L559" s="66"/>
      <c r="M559" s="66"/>
      <c r="N559" s="66"/>
      <c r="O559" s="66"/>
      <c r="P559" s="66"/>
      <c r="Q559" s="66"/>
      <c r="R559" s="66"/>
      <c r="S559" s="66"/>
    </row>
    <row r="560" spans="2:19" ht="18" customHeight="1">
      <c r="B560" s="1" t="s">
        <v>479</v>
      </c>
      <c r="C560" s="1" t="s">
        <v>810</v>
      </c>
      <c r="D560" s="6" t="s">
        <v>0</v>
      </c>
      <c r="E560" s="6">
        <v>1</v>
      </c>
      <c r="F560" s="6" t="s">
        <v>0</v>
      </c>
      <c r="G560" s="29" t="str">
        <f>IFERROR(HYPERLINK("#"&amp;ADDRESS(MATCH(B560&amp;"ES",'LM7 Non-ENG'!$A$1:$A$5000,0),1,,,"LM7 Non-ENG"),IF(IFERROR(VLOOKUP(B560&amp;"ES",'LM7 Non-ENG'!$A$1:$A$4999,1,FALSE),"ERROR")=B560&amp;"ES","Y","")),"")</f>
        <v/>
      </c>
      <c r="H560" s="29" t="str">
        <f>IFERROR(HYPERLINK("#"&amp;ADDRESS(MATCH(B560&amp;"PT",'LM7 Non-ENG'!$A$1:$A$5000,0),1,,,"LM7 Non-ENG"),IF(IFERROR(VLOOKUP(B560&amp;"PT",'LM7 Non-ENG'!$A$1:$A$5000,1,FALSE),"ERROR")=B560&amp;"PT","Y","")),"")</f>
        <v/>
      </c>
      <c r="I560" t="str">
        <f>IFERROR(VLOOKUP(B560,PN!$A:$C,3,FALSE),"")</f>
        <v>Active</v>
      </c>
      <c r="J560" s="3">
        <f>IFERROR(E560*VLOOKUP(B560,PLInter!$A:$D,3,FALSE),"")</f>
        <v>407</v>
      </c>
      <c r="K560" s="66"/>
      <c r="L560" s="66"/>
      <c r="M560" s="66"/>
      <c r="N560" s="66"/>
      <c r="O560" s="66"/>
      <c r="P560" s="66"/>
      <c r="Q560" s="66"/>
      <c r="R560" s="66"/>
      <c r="S560" s="66"/>
    </row>
    <row r="561" spans="1:19" ht="18" customHeight="1">
      <c r="B561" t="s">
        <v>556</v>
      </c>
      <c r="C561" t="s">
        <v>750</v>
      </c>
      <c r="D561" s="4"/>
      <c r="E561" s="4">
        <v>1</v>
      </c>
      <c r="F561" s="4"/>
      <c r="G561" s="29" t="str">
        <f>IFERROR(HYPERLINK("#"&amp;ADDRESS(MATCH(B561&amp;"ES",'LM7 Non-ENG'!$A$1:$A$5000,0),1,,,"LM7 Non-ENG"),IF(IFERROR(VLOOKUP(B561&amp;"ES",'LM7 Non-ENG'!$A$1:$A$4999,1,FALSE),"ERROR")=B561&amp;"ES","Y","")),"")</f>
        <v/>
      </c>
      <c r="H561" s="29" t="str">
        <f>IFERROR(HYPERLINK("#"&amp;ADDRESS(MATCH(B561&amp;"PT",'LM7 Non-ENG'!$A$1:$A$5000,0),1,,,"LM7 Non-ENG"),IF(IFERROR(VLOOKUP(B561&amp;"PT",'LM7 Non-ENG'!$A$1:$A$5000,1,FALSE),"ERROR")=B561&amp;"PT","Y","")),"")</f>
        <v/>
      </c>
      <c r="I561" t="str">
        <f>IFERROR(VLOOKUP(B561,PN!$A:$C,3,FALSE),"")</f>
        <v>Active</v>
      </c>
      <c r="J561" s="3">
        <f>IFERROR(E561*VLOOKUP(B561,PLInter!$A:$D,3,FALSE),"")</f>
        <v>500</v>
      </c>
      <c r="K561" s="66"/>
      <c r="L561" s="66"/>
      <c r="M561" s="66"/>
      <c r="N561" s="66"/>
      <c r="O561" s="66"/>
      <c r="P561" s="66"/>
      <c r="Q561" s="66"/>
      <c r="R561" s="66"/>
      <c r="S561" s="66"/>
    </row>
    <row r="562" spans="1:19" ht="18" customHeight="1">
      <c r="B562" s="2" t="s">
        <v>751</v>
      </c>
      <c r="C562" s="2" t="s">
        <v>752</v>
      </c>
      <c r="D562" s="5"/>
      <c r="E562" s="5">
        <v>1</v>
      </c>
      <c r="F562" s="5" t="s">
        <v>0</v>
      </c>
      <c r="G562" s="29" t="str">
        <f>IFERROR(HYPERLINK("#"&amp;ADDRESS(MATCH(B562&amp;"ES",'LM7 Non-ENG'!$A$1:$A$5000,0),1,,,"LM7 Non-ENG"),IF(IFERROR(VLOOKUP(B562&amp;"ES",'LM7 Non-ENG'!$A$1:$A$4999,1,FALSE),"ERROR")=B562&amp;"ES","Y","")),"")</f>
        <v/>
      </c>
      <c r="H562" s="29" t="str">
        <f>IFERROR(HYPERLINK("#"&amp;ADDRESS(MATCH(B562&amp;"PT",'LM7 Non-ENG'!$A$1:$A$5000,0),1,,,"LM7 Non-ENG"),IF(IFERROR(VLOOKUP(B562&amp;"PT",'LM7 Non-ENG'!$A$1:$A$5000,1,FALSE),"ERROR")=B562&amp;"PT","Y","")),"")</f>
        <v/>
      </c>
      <c r="I562" t="str">
        <f>IFERROR(VLOOKUP(B562,PN!$A:$C,3,FALSE),"")</f>
        <v>Active</v>
      </c>
      <c r="J562" s="3">
        <f>IFERROR(E562*VLOOKUP(B562,PLInter!$A:$D,3,FALSE),"")</f>
        <v>500</v>
      </c>
      <c r="K562" s="66"/>
      <c r="L562" s="66"/>
      <c r="M562" s="66"/>
      <c r="N562" s="66"/>
      <c r="O562" s="66"/>
      <c r="P562" s="66"/>
      <c r="Q562" s="66"/>
      <c r="R562" s="66"/>
      <c r="S562" s="66"/>
    </row>
    <row r="563" spans="1:19" ht="18" customHeight="1">
      <c r="B563" t="s">
        <v>572</v>
      </c>
      <c r="C563" t="s">
        <v>749</v>
      </c>
      <c r="D563" s="4"/>
      <c r="E563" s="4">
        <v>1</v>
      </c>
      <c r="F563" s="4"/>
      <c r="G563" s="29" t="str">
        <f>IFERROR(HYPERLINK("#"&amp;ADDRESS(MATCH(B563&amp;"ES",'LM7 Non-ENG'!$A$1:$A$5000,0),1,,,"LM7 Non-ENG"),IF(IFERROR(VLOOKUP(B563&amp;"ES",'LM7 Non-ENG'!$A$1:$A$4999,1,FALSE),"ERROR")=B563&amp;"ES","Y","")),"")</f>
        <v/>
      </c>
      <c r="H563" s="29" t="str">
        <f>IFERROR(HYPERLINK("#"&amp;ADDRESS(MATCH(B563&amp;"PT",'LM7 Non-ENG'!$A$1:$A$5000,0),1,,,"LM7 Non-ENG"),IF(IFERROR(VLOOKUP(B563&amp;"PT",'LM7 Non-ENG'!$A$1:$A$5000,1,FALSE),"ERROR")=B563&amp;"PT","Y","")),"")</f>
        <v/>
      </c>
      <c r="I563" t="str">
        <f>IFERROR(VLOOKUP(B563,PN!$A:$C,3,FALSE),"")</f>
        <v>Active</v>
      </c>
      <c r="J563" s="3">
        <f>IFERROR(E563*VLOOKUP(B563,PLInter!$A:$D,3,FALSE),"")</f>
        <v>500</v>
      </c>
      <c r="K563" s="66"/>
      <c r="L563" s="66"/>
      <c r="M563" s="66"/>
      <c r="N563" s="66"/>
      <c r="O563" s="66"/>
      <c r="P563" s="66"/>
      <c r="Q563" s="66"/>
      <c r="R563" s="66"/>
      <c r="S563" s="66"/>
    </row>
    <row r="564" spans="1:19" ht="18" customHeight="1">
      <c r="B564" t="str">
        <f>"112496"</f>
        <v>112496</v>
      </c>
      <c r="C564" t="s">
        <v>696</v>
      </c>
      <c r="D564" s="4"/>
      <c r="E564" s="4">
        <v>50</v>
      </c>
      <c r="F564" s="4"/>
      <c r="G564" s="29" t="str">
        <f>IFERROR(HYPERLINK("#"&amp;ADDRESS(MATCH(B564&amp;"ES",'LM7 Non-ENG'!$A$1:$A$5000,0),1,,,"LM7 Non-ENG"),IF(IFERROR(VLOOKUP(B564&amp;"ES",'LM7 Non-ENG'!$A$1:$A$4999,1,FALSE),"ERROR")=B564&amp;"ES","Y","")),"")</f>
        <v/>
      </c>
      <c r="H564" s="29" t="str">
        <f>IFERROR(HYPERLINK("#"&amp;ADDRESS(MATCH(B564&amp;"PT",'LM7 Non-ENG'!$A$1:$A$5000,0),1,,,"LM7 Non-ENG"),IF(IFERROR(VLOOKUP(B564&amp;"PT",'LM7 Non-ENG'!$A$1:$A$5000,1,FALSE),"ERROR")=B564&amp;"PT","Y","")),"")</f>
        <v/>
      </c>
      <c r="I564" t="str">
        <f>IFERROR(VLOOKUP(B564,PN!$A:$C,3,FALSE),"")</f>
        <v>Active</v>
      </c>
      <c r="J564" s="3">
        <f>IFERROR(E564*VLOOKUP(B564,PLInter!$A:$D,3,FALSE),"")</f>
        <v>1000</v>
      </c>
      <c r="K564" s="66"/>
      <c r="L564" s="66"/>
      <c r="M564" s="66"/>
      <c r="N564" s="66"/>
      <c r="O564" s="66"/>
      <c r="P564" s="66"/>
      <c r="Q564" s="66"/>
      <c r="R564" s="66"/>
      <c r="S564" s="66"/>
    </row>
    <row r="565" spans="1:19" ht="18" customHeight="1">
      <c r="B565" t="s">
        <v>753</v>
      </c>
      <c r="C565" t="s">
        <v>754</v>
      </c>
      <c r="D565" s="4"/>
      <c r="E565" s="4">
        <v>1</v>
      </c>
      <c r="F565" s="4"/>
      <c r="G565" s="29" t="str">
        <f>IFERROR(HYPERLINK("#"&amp;ADDRESS(MATCH(B565&amp;"ES",'LM7 Non-ENG'!$A$1:$A$5000,0),1,,,"LM7 Non-ENG"),IF(IFERROR(VLOOKUP(B565&amp;"ES",'LM7 Non-ENG'!$A$1:$A$4999,1,FALSE),"ERROR")=B565&amp;"ES","Y","")),"")</f>
        <v/>
      </c>
      <c r="H565" s="29" t="str">
        <f>IFERROR(HYPERLINK("#"&amp;ADDRESS(MATCH(B565&amp;"PT",'LM7 Non-ENG'!$A$1:$A$5000,0),1,,,"LM7 Non-ENG"),IF(IFERROR(VLOOKUP(B565&amp;"PT",'LM7 Non-ENG'!$A$1:$A$5000,1,FALSE),"ERROR")=B565&amp;"PT","Y","")),"")</f>
        <v/>
      </c>
      <c r="I565" t="str">
        <f>IFERROR(VLOOKUP(B565,PN!$A:$C,3,FALSE),"")</f>
        <v>Active</v>
      </c>
      <c r="J565" s="3">
        <f>IFERROR(E565*VLOOKUP(B565,PLInter!$A:$D,3,FALSE),"")</f>
        <v>3280</v>
      </c>
      <c r="K565" s="66"/>
      <c r="L565" s="66"/>
      <c r="M565" s="66"/>
      <c r="N565" s="66"/>
      <c r="O565" s="66"/>
      <c r="P565" s="66"/>
      <c r="Q565" s="66"/>
      <c r="R565" s="66"/>
      <c r="S565" s="66"/>
    </row>
    <row r="566" spans="1:19" ht="18" customHeight="1">
      <c r="B566" t="s">
        <v>755</v>
      </c>
      <c r="C566" t="s">
        <v>756</v>
      </c>
      <c r="D566" s="4"/>
      <c r="E566" s="4">
        <v>1</v>
      </c>
      <c r="F566" s="4"/>
      <c r="G566" s="29" t="str">
        <f>IFERROR(HYPERLINK("#"&amp;ADDRESS(MATCH(B566&amp;"ES",'LM7 Non-ENG'!$A$1:$A$5000,0),1,,,"LM7 Non-ENG"),IF(IFERROR(VLOOKUP(B566&amp;"ES",'LM7 Non-ENG'!$A$1:$A$4999,1,FALSE),"ERROR")=B566&amp;"ES","Y","")),"")</f>
        <v/>
      </c>
      <c r="H566" s="29" t="str">
        <f>IFERROR(HYPERLINK("#"&amp;ADDRESS(MATCH(B566&amp;"PT",'LM7 Non-ENG'!$A$1:$A$5000,0),1,,,"LM7 Non-ENG"),IF(IFERROR(VLOOKUP(B566&amp;"PT",'LM7 Non-ENG'!$A$1:$A$5000,1,FALSE),"ERROR")=B566&amp;"PT","Y","")),"")</f>
        <v/>
      </c>
      <c r="I566" t="str">
        <f>IFERROR(VLOOKUP(B566,PN!$A:$C,3,FALSE),"")</f>
        <v>Active</v>
      </c>
      <c r="J566" s="3">
        <f>IFERROR(E566*VLOOKUP(B566,PLInter!$A:$D,3,FALSE),"")</f>
        <v>516</v>
      </c>
      <c r="K566" s="66"/>
      <c r="L566" s="66"/>
      <c r="M566" s="66"/>
      <c r="N566" s="66"/>
      <c r="O566" s="66"/>
      <c r="P566" s="66"/>
      <c r="Q566" s="66"/>
      <c r="R566" s="66"/>
      <c r="S566" s="66"/>
    </row>
    <row r="567" spans="1:19" ht="18" customHeight="1">
      <c r="B567" t="s">
        <v>630</v>
      </c>
      <c r="C567" t="s">
        <v>631</v>
      </c>
      <c r="D567" s="4"/>
      <c r="E567" s="4">
        <v>1</v>
      </c>
      <c r="F567" s="4"/>
      <c r="G567" s="29" t="str">
        <f>IFERROR(HYPERLINK("#"&amp;ADDRESS(MATCH(B567&amp;"ES",'LM7 Non-ENG'!$A$1:$A$5000,0),1,,,"LM7 Non-ENG"),IF(IFERROR(VLOOKUP(B567&amp;"ES",'LM7 Non-ENG'!$A$1:$A$4999,1,FALSE),"ERROR")=B567&amp;"ES","Y","")),"")</f>
        <v/>
      </c>
      <c r="H567" s="29" t="str">
        <f>IFERROR(HYPERLINK("#"&amp;ADDRESS(MATCH(B567&amp;"PT",'LM7 Non-ENG'!$A$1:$A$5000,0),1,,,"LM7 Non-ENG"),IF(IFERROR(VLOOKUP(B567&amp;"PT",'LM7 Non-ENG'!$A$1:$A$5000,1,FALSE),"ERROR")=B567&amp;"PT","Y","")),"")</f>
        <v/>
      </c>
      <c r="I567" t="str">
        <f>IFERROR(VLOOKUP(B567,PN!$A:$C,3,FALSE),"")</f>
        <v>Active</v>
      </c>
      <c r="J567" s="3">
        <f>IFERROR(E567*VLOOKUP(B567,PLInter!$A:$D,3,FALSE),"")</f>
        <v>1735</v>
      </c>
      <c r="K567" s="66"/>
      <c r="L567" s="66"/>
      <c r="M567" s="66"/>
      <c r="N567" s="66"/>
      <c r="O567" s="66"/>
      <c r="P567" s="66"/>
      <c r="Q567" s="66"/>
      <c r="R567" s="66"/>
      <c r="S567" s="66"/>
    </row>
    <row r="569" spans="1:19" s="7" customFormat="1" ht="18" customHeight="1">
      <c r="A569" s="13" t="s">
        <v>819</v>
      </c>
      <c r="B569" s="13"/>
      <c r="C569" s="13" t="s">
        <v>820</v>
      </c>
      <c r="D569" s="14"/>
      <c r="E569" s="14"/>
      <c r="F569" s="14"/>
      <c r="G569" s="14"/>
      <c r="H569" s="14"/>
      <c r="I569" s="14"/>
      <c r="J569" s="14">
        <f>SUMIFS(J570:J585,D570:D585,"&lt;&gt;Y",F570:F585,"&lt;&gt;Y",I570:I585,"&lt;&gt;Inactive",I570:I585,"&lt;&gt;ECO+NFS")</f>
        <v>47456</v>
      </c>
      <c r="K569" s="14"/>
      <c r="L569" s="14"/>
      <c r="M569" s="14"/>
      <c r="N569" s="14"/>
      <c r="O569" s="14"/>
      <c r="P569" s="14"/>
      <c r="Q569" s="14"/>
      <c r="R569" s="14"/>
      <c r="S569" s="14"/>
    </row>
    <row r="570" spans="1:19" ht="18" customHeight="1">
      <c r="A570" s="17" t="str">
        <f>HYPERLINK("#"&amp;ADDRESS(MATCH(A569,'CIM&amp;FMS'!$A$1:$A$4997,0),1,,,"CIM&amp;FMS"),"Back to Price List")</f>
        <v>Back to Price List</v>
      </c>
      <c r="B570" t="s">
        <v>214</v>
      </c>
      <c r="C570" t="s">
        <v>654</v>
      </c>
      <c r="D570" s="4"/>
      <c r="E570" s="4">
        <v>1</v>
      </c>
      <c r="F570" s="4"/>
      <c r="G570" s="29" t="str">
        <f>IFERROR(HYPERLINK("#"&amp;ADDRESS(MATCH(B570&amp;"ES",'LM7 Non-ENG'!$A$1:$A$5000,0),1,,,"LM7 Non-ENG"),IF(IFERROR(VLOOKUP(B570&amp;"ES",'LM7 Non-ENG'!$A$1:$A$4999,1,FALSE),"ERROR")=B570&amp;"ES","Y","")),"")</f>
        <v/>
      </c>
      <c r="H570" s="29" t="str">
        <f>IFERROR(HYPERLINK("#"&amp;ADDRESS(MATCH(B570&amp;"PT",'LM7 Non-ENG'!$A$1:$A$5000,0),1,,,"LM7 Non-ENG"),IF(IFERROR(VLOOKUP(B570&amp;"PT",'LM7 Non-ENG'!$A$1:$A$5000,1,FALSE),"ERROR")=B570&amp;"PT","Y","")),"")</f>
        <v/>
      </c>
      <c r="I570" t="str">
        <f>IFERROR(VLOOKUP(B570,PN!$A:$C,3,FALSE),"")</f>
        <v>Active</v>
      </c>
      <c r="J570" s="3">
        <f>IFERROR(E570*VLOOKUP(B570,PLInter!$A:$D,3,FALSE),"")</f>
        <v>24000</v>
      </c>
      <c r="K570" s="66"/>
      <c r="L570" s="66"/>
      <c r="M570" s="66"/>
      <c r="N570" s="66"/>
      <c r="O570" s="66"/>
      <c r="P570" s="66"/>
      <c r="Q570" s="66"/>
      <c r="R570" s="66"/>
      <c r="S570" s="66"/>
    </row>
    <row r="571" spans="1:19" ht="18" customHeight="1">
      <c r="B571" t="s">
        <v>228</v>
      </c>
      <c r="C571" t="s">
        <v>655</v>
      </c>
      <c r="D571" s="4"/>
      <c r="E571" s="4">
        <v>1</v>
      </c>
      <c r="F571" s="4"/>
      <c r="G571" s="29" t="str">
        <f>IFERROR(HYPERLINK("#"&amp;ADDRESS(MATCH(B571&amp;"ES",'LM7 Non-ENG'!$A$1:$A$5000,0),1,,,"LM7 Non-ENG"),IF(IFERROR(VLOOKUP(B571&amp;"ES",'LM7 Non-ENG'!$A$1:$A$4999,1,FALSE),"ERROR")=B571&amp;"ES","Y","")),"")</f>
        <v/>
      </c>
      <c r="H571" s="29" t="str">
        <f>IFERROR(HYPERLINK("#"&amp;ADDRESS(MATCH(B571&amp;"PT",'LM7 Non-ENG'!$A$1:$A$5000,0),1,,,"LM7 Non-ENG"),IF(IFERROR(VLOOKUP(B571&amp;"PT",'LM7 Non-ENG'!$A$1:$A$5000,1,FALSE),"ERROR")=B571&amp;"PT","Y","")),"")</f>
        <v/>
      </c>
      <c r="I571" t="str">
        <f>IFERROR(VLOOKUP(B571,PN!$A:$C,3,FALSE),"")</f>
        <v>Active</v>
      </c>
      <c r="J571" s="3">
        <f>IFERROR(E571*VLOOKUP(B571,PLInter!$A:$D,3,FALSE),"")</f>
        <v>2134</v>
      </c>
      <c r="K571" s="66"/>
      <c r="L571" s="66"/>
      <c r="M571" s="66"/>
      <c r="N571" s="66"/>
      <c r="O571" s="66"/>
      <c r="P571" s="66"/>
      <c r="Q571" s="66"/>
      <c r="R571" s="66"/>
      <c r="S571" s="66"/>
    </row>
    <row r="572" spans="1:19" ht="18" customHeight="1">
      <c r="B572" s="2" t="s">
        <v>227</v>
      </c>
      <c r="C572" s="2" t="s">
        <v>232</v>
      </c>
      <c r="D572" s="5"/>
      <c r="E572" s="5">
        <v>1</v>
      </c>
      <c r="F572" s="5" t="s">
        <v>0</v>
      </c>
      <c r="G572" s="29" t="str">
        <f>IFERROR(HYPERLINK("#"&amp;ADDRESS(MATCH(B572&amp;"ES",'LM7 Non-ENG'!$A$1:$A$5000,0),1,,,"LM7 Non-ENG"),IF(IFERROR(VLOOKUP(B572&amp;"ES",'LM7 Non-ENG'!$A$1:$A$4999,1,FALSE),"ERROR")=B572&amp;"ES","Y","")),"")</f>
        <v/>
      </c>
      <c r="H572" s="29" t="str">
        <f>IFERROR(HYPERLINK("#"&amp;ADDRESS(MATCH(B572&amp;"PT",'LM7 Non-ENG'!$A$1:$A$5000,0),1,,,"LM7 Non-ENG"),IF(IFERROR(VLOOKUP(B572&amp;"PT",'LM7 Non-ENG'!$A$1:$A$5000,1,FALSE),"ERROR")=B572&amp;"PT","Y","")),"")</f>
        <v/>
      </c>
      <c r="I572" t="str">
        <f>IFERROR(VLOOKUP(B572,PN!$A:$C,3,FALSE),"")</f>
        <v>Active</v>
      </c>
      <c r="J572" s="3">
        <f>IFERROR(E572*VLOOKUP(B572,PLInter!$A:$D,3,FALSE),"")</f>
        <v>1700</v>
      </c>
      <c r="K572" s="66"/>
      <c r="L572" s="66"/>
      <c r="M572" s="66"/>
      <c r="N572" s="66"/>
      <c r="O572" s="66"/>
      <c r="P572" s="66"/>
      <c r="Q572" s="66"/>
      <c r="R572" s="66"/>
      <c r="S572" s="66"/>
    </row>
    <row r="573" spans="1:19" ht="18" customHeight="1">
      <c r="B573" t="s">
        <v>236</v>
      </c>
      <c r="C573" t="s">
        <v>626</v>
      </c>
      <c r="D573" s="4"/>
      <c r="E573" s="4">
        <v>1</v>
      </c>
      <c r="F573" s="4"/>
      <c r="G573" s="29" t="str">
        <f>IFERROR(HYPERLINK("#"&amp;ADDRESS(MATCH(B573&amp;"ES",'LM7 Non-ENG'!$A$1:$A$5000,0),1,,,"LM7 Non-ENG"),IF(IFERROR(VLOOKUP(B573&amp;"ES",'LM7 Non-ENG'!$A$1:$A$4999,1,FALSE),"ERROR")=B573&amp;"ES","Y","")),"")</f>
        <v/>
      </c>
      <c r="H573" s="29" t="str">
        <f>IFERROR(HYPERLINK("#"&amp;ADDRESS(MATCH(B573&amp;"PT",'LM7 Non-ENG'!$A$1:$A$5000,0),1,,,"LM7 Non-ENG"),IF(IFERROR(VLOOKUP(B573&amp;"PT",'LM7 Non-ENG'!$A$1:$A$5000,1,FALSE),"ERROR")=B573&amp;"PT","Y","")),"")</f>
        <v/>
      </c>
      <c r="I573" t="str">
        <f>IFERROR(VLOOKUP(B573,PN!$A:$C,3,FALSE),"")</f>
        <v>Active</v>
      </c>
      <c r="J573" s="3">
        <f>IFERROR(E573*VLOOKUP(B573,PLInter!$A:$D,3,FALSE),"")</f>
        <v>1680</v>
      </c>
      <c r="K573" s="66"/>
      <c r="L573" s="66"/>
      <c r="M573" s="66"/>
      <c r="N573" s="66"/>
      <c r="O573" s="66"/>
      <c r="P573" s="66"/>
      <c r="Q573" s="66"/>
      <c r="R573" s="66"/>
      <c r="S573" s="66"/>
    </row>
    <row r="574" spans="1:19" ht="18" customHeight="1">
      <c r="B574" t="s">
        <v>243</v>
      </c>
      <c r="C574" t="s">
        <v>790</v>
      </c>
      <c r="D574" s="4"/>
      <c r="E574" s="4">
        <v>1</v>
      </c>
      <c r="F574" s="4"/>
      <c r="G574" s="29" t="str">
        <f>IFERROR(HYPERLINK("#"&amp;ADDRESS(MATCH(B574&amp;"ES",'LM7 Non-ENG'!$A$1:$A$5000,0),1,,,"LM7 Non-ENG"),IF(IFERROR(VLOOKUP(B574&amp;"ES",'LM7 Non-ENG'!$A$1:$A$4999,1,FALSE),"ERROR")=B574&amp;"ES","Y","")),"")</f>
        <v/>
      </c>
      <c r="H574" s="29" t="str">
        <f>IFERROR(HYPERLINK("#"&amp;ADDRESS(MATCH(B574&amp;"PT",'LM7 Non-ENG'!$A$1:$A$5000,0),1,,,"LM7 Non-ENG"),IF(IFERROR(VLOOKUP(B574&amp;"PT",'LM7 Non-ENG'!$A$1:$A$5000,1,FALSE),"ERROR")=B574&amp;"PT","Y","")),"")</f>
        <v/>
      </c>
      <c r="I574" t="str">
        <f>IFERROR(VLOOKUP(B574,PN!$A:$C,3,FALSE),"")</f>
        <v>Active</v>
      </c>
      <c r="J574" s="3">
        <f>IFERROR(E574*VLOOKUP(B574,PLInter!$A:$D,3,FALSE),"")</f>
        <v>7366</v>
      </c>
      <c r="K574" s="66"/>
      <c r="L574" s="66"/>
      <c r="M574" s="66"/>
      <c r="N574" s="66"/>
      <c r="O574" s="66"/>
      <c r="P574" s="66"/>
      <c r="Q574" s="66"/>
      <c r="R574" s="66"/>
      <c r="S574" s="66"/>
    </row>
    <row r="575" spans="1:19" ht="18" customHeight="1">
      <c r="B575" t="s">
        <v>684</v>
      </c>
      <c r="C575" t="s">
        <v>685</v>
      </c>
      <c r="D575" s="4"/>
      <c r="E575" s="4">
        <v>1</v>
      </c>
      <c r="F575" s="4"/>
      <c r="G575" s="29" t="str">
        <f>IFERROR(HYPERLINK("#"&amp;ADDRESS(MATCH(B575&amp;"ES",'LM7 Non-ENG'!$A$1:$A$5000,0),1,,,"LM7 Non-ENG"),IF(IFERROR(VLOOKUP(B575&amp;"ES",'LM7 Non-ENG'!$A$1:$A$4999,1,FALSE),"ERROR")=B575&amp;"ES","Y","")),"")</f>
        <v/>
      </c>
      <c r="H575" s="29" t="str">
        <f>IFERROR(HYPERLINK("#"&amp;ADDRESS(MATCH(B575&amp;"PT",'LM7 Non-ENG'!$A$1:$A$5000,0),1,,,"LM7 Non-ENG"),IF(IFERROR(VLOOKUP(B575&amp;"PT",'LM7 Non-ENG'!$A$1:$A$5000,1,FALSE),"ERROR")=B575&amp;"PT","Y","")),"")</f>
        <v/>
      </c>
      <c r="I575" t="str">
        <f>IFERROR(VLOOKUP(B575,PN!$A:$C,3,FALSE),"")</f>
        <v>Active</v>
      </c>
      <c r="J575" s="3">
        <f>IFERROR(E575*VLOOKUP(B575,PLInter!$A:$D,3,FALSE),"")</f>
        <v>580</v>
      </c>
      <c r="K575" s="66"/>
      <c r="L575" s="66"/>
      <c r="M575" s="66"/>
      <c r="N575" s="66"/>
      <c r="O575" s="66"/>
      <c r="P575" s="66"/>
      <c r="Q575" s="66"/>
      <c r="R575" s="66"/>
      <c r="S575" s="66"/>
    </row>
    <row r="576" spans="1:19" ht="18" customHeight="1">
      <c r="B576" t="str">
        <f>"021182"</f>
        <v>021182</v>
      </c>
      <c r="C576" t="s">
        <v>686</v>
      </c>
      <c r="D576" s="4"/>
      <c r="E576" s="4">
        <v>1</v>
      </c>
      <c r="F576" s="4"/>
      <c r="G576" s="29" t="str">
        <f>IFERROR(HYPERLINK("#"&amp;ADDRESS(MATCH(B576&amp;"ES",'LM7 Non-ENG'!$A$1:$A$5000,0),1,,,"LM7 Non-ENG"),IF(IFERROR(VLOOKUP(B576&amp;"ES",'LM7 Non-ENG'!$A$1:$A$4999,1,FALSE),"ERROR")=B576&amp;"ES","Y","")),"")</f>
        <v/>
      </c>
      <c r="H576" s="29" t="str">
        <f>IFERROR(HYPERLINK("#"&amp;ADDRESS(MATCH(B576&amp;"PT",'LM7 Non-ENG'!$A$1:$A$5000,0),1,,,"LM7 Non-ENG"),IF(IFERROR(VLOOKUP(B576&amp;"PT",'LM7 Non-ENG'!$A$1:$A$5000,1,FALSE),"ERROR")=B576&amp;"PT","Y","")),"")</f>
        <v/>
      </c>
      <c r="I576" t="str">
        <f>IFERROR(VLOOKUP(B576,PN!$A:$C,3,FALSE),"")</f>
        <v>Active</v>
      </c>
      <c r="J576" s="3">
        <f>IFERROR(E576*VLOOKUP(B576,PLInter!$A:$D,3,FALSE),"")</f>
        <v>16</v>
      </c>
      <c r="K576" s="66"/>
      <c r="L576" s="66"/>
      <c r="M576" s="66"/>
      <c r="N576" s="66"/>
      <c r="O576" s="66"/>
      <c r="P576" s="66"/>
      <c r="Q576" s="66"/>
      <c r="R576" s="66"/>
      <c r="S576" s="66"/>
    </row>
    <row r="577" spans="1:19" ht="18" customHeight="1">
      <c r="B577" t="s">
        <v>680</v>
      </c>
      <c r="C577" t="s">
        <v>681</v>
      </c>
      <c r="D577" s="4"/>
      <c r="E577" s="4">
        <v>1</v>
      </c>
      <c r="F577" s="4"/>
      <c r="G577" s="29" t="str">
        <f>IFERROR(HYPERLINK("#"&amp;ADDRESS(MATCH(B577&amp;"ES",'LM7 Non-ENG'!$A$1:$A$5000,0),1,,,"LM7 Non-ENG"),IF(IFERROR(VLOOKUP(B577&amp;"ES",'LM7 Non-ENG'!$A$1:$A$4999,1,FALSE),"ERROR")=B577&amp;"ES","Y","")),"")</f>
        <v/>
      </c>
      <c r="H577" s="29" t="str">
        <f>IFERROR(HYPERLINK("#"&amp;ADDRESS(MATCH(B577&amp;"PT",'LM7 Non-ENG'!$A$1:$A$5000,0),1,,,"LM7 Non-ENG"),IF(IFERROR(VLOOKUP(B577&amp;"PT",'LM7 Non-ENG'!$A$1:$A$5000,1,FALSE),"ERROR")=B577&amp;"PT","Y","")),"")</f>
        <v/>
      </c>
      <c r="I577" t="str">
        <f>IFERROR(VLOOKUP(B577,PN!$A:$C,3,FALSE),"")</f>
        <v>Active</v>
      </c>
      <c r="J577" s="3">
        <f>IFERROR(E577*VLOOKUP(B577,PLInter!$A:$D,3,FALSE),"")</f>
        <v>1440</v>
      </c>
      <c r="K577" s="66"/>
      <c r="L577" s="66"/>
      <c r="M577" s="66"/>
      <c r="N577" s="66"/>
      <c r="O577" s="66"/>
      <c r="P577" s="66"/>
      <c r="Q577" s="66"/>
      <c r="R577" s="66"/>
      <c r="S577" s="66"/>
    </row>
    <row r="578" spans="1:19" ht="18" customHeight="1">
      <c r="B578" t="str">
        <f>"034025"</f>
        <v>034025</v>
      </c>
      <c r="C578" t="s">
        <v>777</v>
      </c>
      <c r="D578" s="4"/>
      <c r="E578" s="4">
        <v>1</v>
      </c>
      <c r="F578" s="4"/>
      <c r="G578" s="29" t="str">
        <f>IFERROR(HYPERLINK("#"&amp;ADDRESS(MATCH(B578&amp;"ES",'LM7 Non-ENG'!$A$1:$A$5000,0),1,,,"LM7 Non-ENG"),IF(IFERROR(VLOOKUP(B578&amp;"ES",'LM7 Non-ENG'!$A$1:$A$4999,1,FALSE),"ERROR")=B578&amp;"ES","Y","")),"")</f>
        <v/>
      </c>
      <c r="H578" s="29" t="str">
        <f>IFERROR(HYPERLINK("#"&amp;ADDRESS(MATCH(B578&amp;"PT",'LM7 Non-ENG'!$A$1:$A$5000,0),1,,,"LM7 Non-ENG"),IF(IFERROR(VLOOKUP(B578&amp;"PT",'LM7 Non-ENG'!$A$1:$A$5000,1,FALSE),"ERROR")=B578&amp;"PT","Y","")),"")</f>
        <v/>
      </c>
      <c r="I578" t="str">
        <f>IFERROR(VLOOKUP(B578,PN!$A:$C,3,FALSE),"")</f>
        <v>Active</v>
      </c>
      <c r="J578" s="3">
        <f>IFERROR(E578*VLOOKUP(B578,PLInter!$A:$D,3,FALSE),"")</f>
        <v>1267</v>
      </c>
      <c r="K578" s="66"/>
      <c r="L578" s="66"/>
      <c r="M578" s="66"/>
      <c r="N578" s="66"/>
      <c r="O578" s="66"/>
      <c r="P578" s="66"/>
      <c r="Q578" s="66"/>
      <c r="R578" s="66"/>
      <c r="S578" s="66"/>
    </row>
    <row r="579" spans="1:19" ht="18" customHeight="1">
      <c r="B579" t="s">
        <v>691</v>
      </c>
      <c r="C579" t="s">
        <v>692</v>
      </c>
      <c r="D579" s="4"/>
      <c r="E579" s="4">
        <v>1</v>
      </c>
      <c r="F579" s="4"/>
      <c r="G579" s="29" t="str">
        <f>IFERROR(HYPERLINK("#"&amp;ADDRESS(MATCH(B579&amp;"ES",'LM7 Non-ENG'!$A$1:$A$5000,0),1,,,"LM7 Non-ENG"),IF(IFERROR(VLOOKUP(B579&amp;"ES",'LM7 Non-ENG'!$A$1:$A$4999,1,FALSE),"ERROR")=B579&amp;"ES","Y","")),"")</f>
        <v/>
      </c>
      <c r="H579" s="29" t="str">
        <f>IFERROR(HYPERLINK("#"&amp;ADDRESS(MATCH(B579&amp;"PT",'LM7 Non-ENG'!$A$1:$A$5000,0),1,,,"LM7 Non-ENG"),IF(IFERROR(VLOOKUP(B579&amp;"PT",'LM7 Non-ENG'!$A$1:$A$5000,1,FALSE),"ERROR")=B579&amp;"PT","Y","")),"")</f>
        <v/>
      </c>
      <c r="I579" t="str">
        <f>IFERROR(VLOOKUP(B579,PN!$A:$C,3,FALSE),"")</f>
        <v>Active</v>
      </c>
      <c r="J579" s="3">
        <f>IFERROR(E579*VLOOKUP(B579,PLInter!$A:$D,3,FALSE),"")</f>
        <v>1920</v>
      </c>
      <c r="K579" s="66"/>
      <c r="L579" s="66"/>
      <c r="M579" s="66"/>
      <c r="N579" s="66"/>
      <c r="O579" s="66"/>
      <c r="P579" s="66"/>
      <c r="Q579" s="66"/>
      <c r="R579" s="66"/>
      <c r="S579" s="66"/>
    </row>
    <row r="580" spans="1:19" ht="18" customHeight="1">
      <c r="B580" t="s">
        <v>786</v>
      </c>
      <c r="C580" t="s">
        <v>787</v>
      </c>
      <c r="D580" s="4"/>
      <c r="E580" s="4">
        <v>1</v>
      </c>
      <c r="F580" s="4"/>
      <c r="G580" s="29" t="str">
        <f>IFERROR(HYPERLINK("#"&amp;ADDRESS(MATCH(B580&amp;"ES",'LM7 Non-ENG'!$A$1:$A$5000,0),1,,,"LM7 Non-ENG"),IF(IFERROR(VLOOKUP(B580&amp;"ES",'LM7 Non-ENG'!$A$1:$A$4999,1,FALSE),"ERROR")=B580&amp;"ES","Y","")),"")</f>
        <v/>
      </c>
      <c r="H580" s="29" t="str">
        <f>IFERROR(HYPERLINK("#"&amp;ADDRESS(MATCH(B580&amp;"PT",'LM7 Non-ENG'!$A$1:$A$5000,0),1,,,"LM7 Non-ENG"),IF(IFERROR(VLOOKUP(B580&amp;"PT",'LM7 Non-ENG'!$A$1:$A$5000,1,FALSE),"ERROR")=B580&amp;"PT","Y","")),"")</f>
        <v/>
      </c>
      <c r="I580" t="str">
        <f>IFERROR(VLOOKUP(B580,PN!$A:$C,3,FALSE),"")</f>
        <v>Active</v>
      </c>
      <c r="J580" s="3">
        <f>IFERROR(E580*VLOOKUP(B580,PLInter!$A:$D,3,FALSE),"")</f>
        <v>528</v>
      </c>
      <c r="K580" s="66"/>
      <c r="L580" s="66"/>
      <c r="M580" s="66"/>
      <c r="N580" s="66"/>
      <c r="O580" s="66"/>
      <c r="P580" s="66"/>
      <c r="Q580" s="66"/>
      <c r="R580" s="66"/>
      <c r="S580" s="66"/>
    </row>
    <row r="581" spans="1:19" ht="18" customHeight="1">
      <c r="B581" t="s">
        <v>689</v>
      </c>
      <c r="C581" t="s">
        <v>690</v>
      </c>
      <c r="D581" s="4"/>
      <c r="E581" s="4">
        <v>1</v>
      </c>
      <c r="F581" s="4"/>
      <c r="G581" s="29" t="str">
        <f>IFERROR(HYPERLINK("#"&amp;ADDRESS(MATCH(B581&amp;"ES",'LM7 Non-ENG'!$A$1:$A$5000,0),1,,,"LM7 Non-ENG"),IF(IFERROR(VLOOKUP(B581&amp;"ES",'LM7 Non-ENG'!$A$1:$A$4999,1,FALSE),"ERROR")=B581&amp;"ES","Y","")),"")</f>
        <v/>
      </c>
      <c r="H581" s="29" t="str">
        <f>IFERROR(HYPERLINK("#"&amp;ADDRESS(MATCH(B581&amp;"PT",'LM7 Non-ENG'!$A$1:$A$5000,0),1,,,"LM7 Non-ENG"),IF(IFERROR(VLOOKUP(B581&amp;"PT",'LM7 Non-ENG'!$A$1:$A$5000,1,FALSE),"ERROR")=B581&amp;"PT","Y","")),"")</f>
        <v/>
      </c>
      <c r="I581" t="str">
        <f>IFERROR(VLOOKUP(B581,PN!$A:$C,3,FALSE),"")</f>
        <v>Active</v>
      </c>
      <c r="J581" s="3">
        <f>IFERROR(E581*VLOOKUP(B581,PLInter!$A:$D,3,FALSE),"")</f>
        <v>2000</v>
      </c>
      <c r="K581" s="66"/>
      <c r="L581" s="66"/>
      <c r="M581" s="66"/>
      <c r="N581" s="66"/>
      <c r="O581" s="66"/>
      <c r="P581" s="66"/>
      <c r="Q581" s="66"/>
      <c r="R581" s="66"/>
      <c r="S581" s="66"/>
    </row>
    <row r="582" spans="1:19" ht="18" customHeight="1">
      <c r="B582" t="str">
        <f>"021152"</f>
        <v>021152</v>
      </c>
      <c r="C582" s="41" t="s">
        <v>679</v>
      </c>
      <c r="D582" s="4"/>
      <c r="E582" s="4">
        <v>1</v>
      </c>
      <c r="F582" s="4"/>
      <c r="G582" s="29" t="str">
        <f>IFERROR(HYPERLINK("#"&amp;ADDRESS(MATCH(B582&amp;"ES",'LM7 Non-ENG'!$A$1:$A$5000,0),1,,,"LM7 Non-ENG"),IF(IFERROR(VLOOKUP(B582&amp;"ES",'LM7 Non-ENG'!$A$1:$A$4999,1,FALSE),"ERROR")=B582&amp;"ES","Y","")),"")</f>
        <v/>
      </c>
      <c r="H582" s="29" t="str">
        <f>IFERROR(HYPERLINK("#"&amp;ADDRESS(MATCH(B582&amp;"PT",'LM7 Non-ENG'!$A$1:$A$5000,0),1,,,"LM7 Non-ENG"),IF(IFERROR(VLOOKUP(B582&amp;"PT",'LM7 Non-ENG'!$A$1:$A$5000,1,FALSE),"ERROR")=B582&amp;"PT","Y","")),"")</f>
        <v/>
      </c>
      <c r="I582" t="str">
        <f>IFERROR(VLOOKUP(B582,PN!$A:$C,3,FALSE),"")</f>
        <v>Active</v>
      </c>
      <c r="J582" s="3">
        <f>IFERROR(E582*VLOOKUP(B582,PLInter!$A:$D,3,FALSE),"")</f>
        <v>240</v>
      </c>
      <c r="K582" s="66"/>
      <c r="L582" s="66"/>
      <c r="M582" s="66"/>
      <c r="N582" s="66"/>
      <c r="O582" s="66"/>
      <c r="P582" s="66"/>
      <c r="Q582" s="66"/>
      <c r="R582" s="66"/>
      <c r="S582" s="66"/>
    </row>
    <row r="583" spans="1:19" ht="18" customHeight="1">
      <c r="B583" t="str">
        <f>"113034"</f>
        <v>113034</v>
      </c>
      <c r="C583" t="s">
        <v>695</v>
      </c>
      <c r="D583" s="4"/>
      <c r="E583" s="4">
        <v>50</v>
      </c>
      <c r="F583" s="4"/>
      <c r="G583" s="29" t="str">
        <f>IFERROR(HYPERLINK("#"&amp;ADDRESS(MATCH(B583&amp;"ES",'LM7 Non-ENG'!$A$1:$A$5000,0),1,,,"LM7 Non-ENG"),IF(IFERROR(VLOOKUP(B583&amp;"ES",'LM7 Non-ENG'!$A$1:$A$4999,1,FALSE),"ERROR")=B583&amp;"ES","Y","")),"")</f>
        <v/>
      </c>
      <c r="H583" s="29" t="str">
        <f>IFERROR(HYPERLINK("#"&amp;ADDRESS(MATCH(B583&amp;"PT",'LM7 Non-ENG'!$A$1:$A$5000,0),1,,,"LM7 Non-ENG"),IF(IFERROR(VLOOKUP(B583&amp;"PT",'LM7 Non-ENG'!$A$1:$A$5000,1,FALSE),"ERROR")=B583&amp;"PT","Y","")),"")</f>
        <v/>
      </c>
      <c r="I583" t="str">
        <f>IFERROR(VLOOKUP(B583,PN!$A:$C,3,FALSE),"")</f>
        <v>Active</v>
      </c>
      <c r="J583" s="3">
        <f>IFERROR(E583*VLOOKUP(B583,PLInter!$A:$D,3,FALSE),"")</f>
        <v>750</v>
      </c>
      <c r="K583" s="66"/>
      <c r="L583" s="66"/>
      <c r="M583" s="66"/>
      <c r="N583" s="66"/>
      <c r="O583" s="66"/>
      <c r="P583" s="66"/>
      <c r="Q583" s="66"/>
      <c r="R583" s="66"/>
      <c r="S583" s="66"/>
    </row>
    <row r="584" spans="1:19" ht="18" customHeight="1">
      <c r="B584" t="s">
        <v>644</v>
      </c>
      <c r="C584" t="s">
        <v>645</v>
      </c>
      <c r="D584" s="4"/>
      <c r="E584" s="4">
        <v>1</v>
      </c>
      <c r="F584" s="4"/>
      <c r="G584" s="29" t="str">
        <f>IFERROR(HYPERLINK("#"&amp;ADDRESS(MATCH(B584&amp;"ES",'LM7 Non-ENG'!$A$1:$A$5000,0),1,,,"LM7 Non-ENG"),IF(IFERROR(VLOOKUP(B584&amp;"ES",'LM7 Non-ENG'!$A$1:$A$4999,1,FALSE),"ERROR")=B584&amp;"ES","Y","")),"")</f>
        <v/>
      </c>
      <c r="H584" s="29" t="str">
        <f>IFERROR(HYPERLINK("#"&amp;ADDRESS(MATCH(B584&amp;"PT",'LM7 Non-ENG'!$A$1:$A$5000,0),1,,,"LM7 Non-ENG"),IF(IFERROR(VLOOKUP(B584&amp;"PT",'LM7 Non-ENG'!$A$1:$A$5000,1,FALSE),"ERROR")=B584&amp;"PT","Y","")),"")</f>
        <v/>
      </c>
      <c r="I584" t="str">
        <f>IFERROR(VLOOKUP(B584,PN!$A:$C,3,FALSE),"")</f>
        <v>Active</v>
      </c>
      <c r="J584" s="3">
        <f>IFERROR(E584*VLOOKUP(B584,PLInter!$A:$D,3,FALSE),"")</f>
        <v>1800</v>
      </c>
      <c r="K584" s="66"/>
      <c r="L584" s="66"/>
      <c r="M584" s="66"/>
      <c r="N584" s="66"/>
      <c r="O584" s="66"/>
      <c r="P584" s="66"/>
      <c r="Q584" s="66"/>
      <c r="R584" s="66"/>
      <c r="S584" s="66"/>
    </row>
    <row r="585" spans="1:19" ht="18" customHeight="1">
      <c r="B585" t="s">
        <v>630</v>
      </c>
      <c r="C585" t="s">
        <v>631</v>
      </c>
      <c r="D585" s="4"/>
      <c r="E585" s="4">
        <v>1</v>
      </c>
      <c r="F585" s="4"/>
      <c r="G585" s="29" t="str">
        <f>IFERROR(HYPERLINK("#"&amp;ADDRESS(MATCH(B585&amp;"ES",'LM7 Non-ENG'!$A$1:$A$5000,0),1,,,"LM7 Non-ENG"),IF(IFERROR(VLOOKUP(B585&amp;"ES",'LM7 Non-ENG'!$A$1:$A$4999,1,FALSE),"ERROR")=B585&amp;"ES","Y","")),"")</f>
        <v/>
      </c>
      <c r="H585" s="29" t="str">
        <f>IFERROR(HYPERLINK("#"&amp;ADDRESS(MATCH(B585&amp;"PT",'LM7 Non-ENG'!$A$1:$A$5000,0),1,,,"LM7 Non-ENG"),IF(IFERROR(VLOOKUP(B585&amp;"PT",'LM7 Non-ENG'!$A$1:$A$5000,1,FALSE),"ERROR")=B585&amp;"PT","Y","")),"")</f>
        <v/>
      </c>
      <c r="I585" t="str">
        <f>IFERROR(VLOOKUP(B585,PN!$A:$C,3,FALSE),"")</f>
        <v>Active</v>
      </c>
      <c r="J585" s="3">
        <f>IFERROR(E585*VLOOKUP(B585,PLInter!$A:$D,3,FALSE),"")</f>
        <v>1735</v>
      </c>
      <c r="K585" s="66"/>
      <c r="L585" s="66"/>
      <c r="M585" s="66"/>
      <c r="N585" s="66"/>
      <c r="O585" s="66"/>
      <c r="P585" s="66"/>
      <c r="Q585" s="66"/>
      <c r="R585" s="66"/>
      <c r="S585" s="66"/>
    </row>
    <row r="587" spans="1:19" s="7" customFormat="1" ht="18" customHeight="1">
      <c r="A587" s="13" t="s">
        <v>821</v>
      </c>
      <c r="B587" s="13"/>
      <c r="C587" s="13" t="s">
        <v>822</v>
      </c>
      <c r="D587" s="14"/>
      <c r="E587" s="14"/>
      <c r="F587" s="14"/>
      <c r="G587" s="14"/>
      <c r="H587" s="14"/>
      <c r="I587" s="14"/>
      <c r="J587" s="14">
        <f>SUMIFS(J588:J604,D588:D604,"&lt;&gt;Y",F588:F604,"&lt;&gt;Y",I588:I604,"&lt;&gt;Inactive",I588:I604,"&lt;&gt;ECO+NFS")</f>
        <v>44760</v>
      </c>
      <c r="K587" s="14"/>
      <c r="L587" s="14"/>
      <c r="M587" s="14"/>
      <c r="N587" s="14"/>
      <c r="O587" s="14"/>
      <c r="P587" s="14"/>
      <c r="Q587" s="14"/>
      <c r="R587" s="14"/>
      <c r="S587" s="14"/>
    </row>
    <row r="588" spans="1:19" ht="18" customHeight="1">
      <c r="A588" s="17" t="str">
        <f>HYPERLINK("#"&amp;ADDRESS(MATCH(A587,'CIM&amp;FMS'!$A$1:$A$4997,0),1,,,"CIM&amp;FMS"),"Back to Price List")</f>
        <v>Back to Price List</v>
      </c>
      <c r="B588" t="s">
        <v>214</v>
      </c>
      <c r="C588" t="s">
        <v>654</v>
      </c>
      <c r="D588" s="4"/>
      <c r="E588" s="4">
        <v>1</v>
      </c>
      <c r="F588" s="4"/>
      <c r="G588" s="29" t="str">
        <f>IFERROR(HYPERLINK("#"&amp;ADDRESS(MATCH(B588&amp;"ES",'LM7 Non-ENG'!$A$1:$A$5000,0),1,,,"LM7 Non-ENG"),IF(IFERROR(VLOOKUP(B588&amp;"ES",'LM7 Non-ENG'!$A$1:$A$4999,1,FALSE),"ERROR")=B588&amp;"ES","Y","")),"")</f>
        <v/>
      </c>
      <c r="H588" s="29" t="str">
        <f>IFERROR(HYPERLINK("#"&amp;ADDRESS(MATCH(B588&amp;"PT",'LM7 Non-ENG'!$A$1:$A$5000,0),1,,,"LM7 Non-ENG"),IF(IFERROR(VLOOKUP(B588&amp;"PT",'LM7 Non-ENG'!$A$1:$A$5000,1,FALSE),"ERROR")=B588&amp;"PT","Y","")),"")</f>
        <v/>
      </c>
      <c r="I588" t="str">
        <f>IFERROR(VLOOKUP(B588,PN!$A:$C,3,FALSE),"")</f>
        <v>Active</v>
      </c>
      <c r="J588" s="3">
        <f>IFERROR(E588*VLOOKUP(B588,PLInter!$A:$D,3,FALSE),"")</f>
        <v>24000</v>
      </c>
      <c r="K588" s="66"/>
      <c r="L588" s="66"/>
      <c r="M588" s="66"/>
      <c r="N588" s="66"/>
      <c r="O588" s="66"/>
      <c r="P588" s="66"/>
      <c r="Q588" s="66"/>
      <c r="R588" s="66"/>
      <c r="S588" s="66"/>
    </row>
    <row r="589" spans="1:19" ht="18" customHeight="1">
      <c r="B589" t="s">
        <v>228</v>
      </c>
      <c r="C589" t="s">
        <v>655</v>
      </c>
      <c r="D589" s="4"/>
      <c r="E589" s="4">
        <v>1</v>
      </c>
      <c r="F589" s="4"/>
      <c r="G589" s="29" t="str">
        <f>IFERROR(HYPERLINK("#"&amp;ADDRESS(MATCH(B589&amp;"ES",'LM7 Non-ENG'!$A$1:$A$5000,0),1,,,"LM7 Non-ENG"),IF(IFERROR(VLOOKUP(B589&amp;"ES",'LM7 Non-ENG'!$A$1:$A$4999,1,FALSE),"ERROR")=B589&amp;"ES","Y","")),"")</f>
        <v/>
      </c>
      <c r="H589" s="29" t="str">
        <f>IFERROR(HYPERLINK("#"&amp;ADDRESS(MATCH(B589&amp;"PT",'LM7 Non-ENG'!$A$1:$A$5000,0),1,,,"LM7 Non-ENG"),IF(IFERROR(VLOOKUP(B589&amp;"PT",'LM7 Non-ENG'!$A$1:$A$5000,1,FALSE),"ERROR")=B589&amp;"PT","Y","")),"")</f>
        <v/>
      </c>
      <c r="I589" t="str">
        <f>IFERROR(VLOOKUP(B589,PN!$A:$C,3,FALSE),"")</f>
        <v>Active</v>
      </c>
      <c r="J589" s="3">
        <f>IFERROR(E589*VLOOKUP(B589,PLInter!$A:$D,3,FALSE),"")</f>
        <v>2134</v>
      </c>
      <c r="K589" s="66"/>
      <c r="L589" s="66"/>
      <c r="M589" s="66"/>
      <c r="N589" s="66"/>
      <c r="O589" s="66"/>
      <c r="P589" s="66"/>
      <c r="Q589" s="66"/>
      <c r="R589" s="66"/>
      <c r="S589" s="66"/>
    </row>
    <row r="590" spans="1:19" ht="18" customHeight="1">
      <c r="B590" s="2" t="s">
        <v>227</v>
      </c>
      <c r="C590" s="2" t="s">
        <v>232</v>
      </c>
      <c r="D590" s="5"/>
      <c r="E590" s="5">
        <v>1</v>
      </c>
      <c r="F590" s="5" t="s">
        <v>0</v>
      </c>
      <c r="G590" s="29" t="str">
        <f>IFERROR(HYPERLINK("#"&amp;ADDRESS(MATCH(B590&amp;"ES",'LM7 Non-ENG'!$A$1:$A$5000,0),1,,,"LM7 Non-ENG"),IF(IFERROR(VLOOKUP(B590&amp;"ES",'LM7 Non-ENG'!$A$1:$A$4999,1,FALSE),"ERROR")=B590&amp;"ES","Y","")),"")</f>
        <v/>
      </c>
      <c r="H590" s="29" t="str">
        <f>IFERROR(HYPERLINK("#"&amp;ADDRESS(MATCH(B590&amp;"PT",'LM7 Non-ENG'!$A$1:$A$5000,0),1,,,"LM7 Non-ENG"),IF(IFERROR(VLOOKUP(B590&amp;"PT",'LM7 Non-ENG'!$A$1:$A$5000,1,FALSE),"ERROR")=B590&amp;"PT","Y","")),"")</f>
        <v/>
      </c>
      <c r="I590" t="str">
        <f>IFERROR(VLOOKUP(B590,PN!$A:$C,3,FALSE),"")</f>
        <v>Active</v>
      </c>
      <c r="J590" s="3">
        <f>IFERROR(E590*VLOOKUP(B590,PLInter!$A:$D,3,FALSE),"")</f>
        <v>1700</v>
      </c>
      <c r="K590" s="66"/>
      <c r="L590" s="66"/>
      <c r="M590" s="66"/>
      <c r="N590" s="66"/>
      <c r="O590" s="66"/>
      <c r="P590" s="66"/>
      <c r="Q590" s="66"/>
      <c r="R590" s="66"/>
      <c r="S590" s="66"/>
    </row>
    <row r="591" spans="1:19" ht="18" customHeight="1">
      <c r="B591" t="s">
        <v>236</v>
      </c>
      <c r="C591" t="s">
        <v>626</v>
      </c>
      <c r="D591" s="4"/>
      <c r="E591" s="4">
        <v>1</v>
      </c>
      <c r="F591" s="4"/>
      <c r="G591" s="29" t="str">
        <f>IFERROR(HYPERLINK("#"&amp;ADDRESS(MATCH(B591&amp;"ES",'LM7 Non-ENG'!$A$1:$A$5000,0),1,,,"LM7 Non-ENG"),IF(IFERROR(VLOOKUP(B591&amp;"ES",'LM7 Non-ENG'!$A$1:$A$4999,1,FALSE),"ERROR")=B591&amp;"ES","Y","")),"")</f>
        <v/>
      </c>
      <c r="H591" s="29" t="str">
        <f>IFERROR(HYPERLINK("#"&amp;ADDRESS(MATCH(B591&amp;"PT",'LM7 Non-ENG'!$A$1:$A$5000,0),1,,,"LM7 Non-ENG"),IF(IFERROR(VLOOKUP(B591&amp;"PT",'LM7 Non-ENG'!$A$1:$A$5000,1,FALSE),"ERROR")=B591&amp;"PT","Y","")),"")</f>
        <v/>
      </c>
      <c r="I591" t="str">
        <f>IFERROR(VLOOKUP(B591,PN!$A:$C,3,FALSE),"")</f>
        <v>Active</v>
      </c>
      <c r="J591" s="3">
        <f>IFERROR(E591*VLOOKUP(B591,PLInter!$A:$D,3,FALSE),"")</f>
        <v>1680</v>
      </c>
      <c r="K591" s="66"/>
      <c r="L591" s="66"/>
      <c r="M591" s="66"/>
      <c r="N591" s="66"/>
      <c r="O591" s="66"/>
      <c r="P591" s="66"/>
      <c r="Q591" s="66"/>
      <c r="R591" s="66"/>
      <c r="S591" s="66"/>
    </row>
    <row r="592" spans="1:19" ht="18" customHeight="1">
      <c r="B592" t="s">
        <v>243</v>
      </c>
      <c r="C592" t="s">
        <v>790</v>
      </c>
      <c r="D592" s="4"/>
      <c r="E592" s="4">
        <v>1</v>
      </c>
      <c r="F592" s="4"/>
      <c r="G592" s="29" t="str">
        <f>IFERROR(HYPERLINK("#"&amp;ADDRESS(MATCH(B592&amp;"ES",'LM7 Non-ENG'!$A$1:$A$5000,0),1,,,"LM7 Non-ENG"),IF(IFERROR(VLOOKUP(B592&amp;"ES",'LM7 Non-ENG'!$A$1:$A$4999,1,FALSE),"ERROR")=B592&amp;"ES","Y","")),"")</f>
        <v/>
      </c>
      <c r="H592" s="29" t="str">
        <f>IFERROR(HYPERLINK("#"&amp;ADDRESS(MATCH(B592&amp;"PT",'LM7 Non-ENG'!$A$1:$A$5000,0),1,,,"LM7 Non-ENG"),IF(IFERROR(VLOOKUP(B592&amp;"PT",'LM7 Non-ENG'!$A$1:$A$5000,1,FALSE),"ERROR")=B592&amp;"PT","Y","")),"")</f>
        <v/>
      </c>
      <c r="I592" t="str">
        <f>IFERROR(VLOOKUP(B592,PN!$A:$C,3,FALSE),"")</f>
        <v>Active</v>
      </c>
      <c r="J592" s="3">
        <f>IFERROR(E592*VLOOKUP(B592,PLInter!$A:$D,3,FALSE),"")</f>
        <v>7366</v>
      </c>
      <c r="K592" s="66"/>
      <c r="L592" s="66"/>
      <c r="M592" s="66"/>
      <c r="N592" s="66"/>
      <c r="O592" s="66"/>
      <c r="P592" s="66"/>
      <c r="Q592" s="66"/>
      <c r="R592" s="66"/>
      <c r="S592" s="66"/>
    </row>
    <row r="593" spans="1:19" ht="18" customHeight="1">
      <c r="B593" s="2" t="s">
        <v>772</v>
      </c>
      <c r="C593" s="2" t="s">
        <v>773</v>
      </c>
      <c r="D593" s="5"/>
      <c r="E593" s="5">
        <v>1</v>
      </c>
      <c r="F593" s="5" t="s">
        <v>0</v>
      </c>
      <c r="G593" s="29" t="str">
        <f>IFERROR(HYPERLINK("#"&amp;ADDRESS(MATCH(B593&amp;"ES",'LM7 Non-ENG'!$A$1:$A$5000,0),1,,,"LM7 Non-ENG"),IF(IFERROR(VLOOKUP(B593&amp;"ES",'LM7 Non-ENG'!$A$1:$A$4999,1,FALSE),"ERROR")=B593&amp;"ES","Y","")),"")</f>
        <v/>
      </c>
      <c r="H593" s="29" t="str">
        <f>IFERROR(HYPERLINK("#"&amp;ADDRESS(MATCH(B593&amp;"PT",'LM7 Non-ENG'!$A$1:$A$5000,0),1,,,"LM7 Non-ENG"),IF(IFERROR(VLOOKUP(B593&amp;"PT",'LM7 Non-ENG'!$A$1:$A$5000,1,FALSE),"ERROR")=B593&amp;"PT","Y","")),"")</f>
        <v/>
      </c>
      <c r="I593" t="str">
        <f>IFERROR(VLOOKUP(B593,PN!$A:$C,3,FALSE),"")</f>
        <v>Active</v>
      </c>
      <c r="J593" s="3">
        <f>IFERROR(E593*VLOOKUP(B593,PLInter!$A:$D,3,FALSE),"")</f>
        <v>8267</v>
      </c>
      <c r="K593" s="66"/>
      <c r="L593" s="66"/>
      <c r="M593" s="66"/>
      <c r="N593" s="66"/>
      <c r="O593" s="66"/>
      <c r="P593" s="66"/>
      <c r="Q593" s="66"/>
      <c r="R593" s="66"/>
      <c r="S593" s="66"/>
    </row>
    <row r="594" spans="1:19" ht="18" customHeight="1">
      <c r="B594" t="str">
        <f>"034025"</f>
        <v>034025</v>
      </c>
      <c r="C594" t="s">
        <v>799</v>
      </c>
      <c r="D594" s="4"/>
      <c r="E594" s="4">
        <v>1</v>
      </c>
      <c r="F594" s="4"/>
      <c r="G594" s="29" t="str">
        <f>IFERROR(HYPERLINK("#"&amp;ADDRESS(MATCH(B594&amp;"ES",'LM7 Non-ENG'!$A$1:$A$5000,0),1,,,"LM7 Non-ENG"),IF(IFERROR(VLOOKUP(B594&amp;"ES",'LM7 Non-ENG'!$A$1:$A$4999,1,FALSE),"ERROR")=B594&amp;"ES","Y","")),"")</f>
        <v/>
      </c>
      <c r="H594" s="29" t="str">
        <f>IFERROR(HYPERLINK("#"&amp;ADDRESS(MATCH(B594&amp;"PT",'LM7 Non-ENG'!$A$1:$A$5000,0),1,,,"LM7 Non-ENG"),IF(IFERROR(VLOOKUP(B594&amp;"PT",'LM7 Non-ENG'!$A$1:$A$5000,1,FALSE),"ERROR")=B594&amp;"PT","Y","")),"")</f>
        <v/>
      </c>
      <c r="I594" t="str">
        <f>IFERROR(VLOOKUP(B594,PN!$A:$C,3,FALSE),"")</f>
        <v>Active</v>
      </c>
      <c r="J594" s="3">
        <f>IFERROR(E594*VLOOKUP(B594,PLInter!$A:$D,3,FALSE),"")</f>
        <v>1267</v>
      </c>
      <c r="K594" s="66"/>
      <c r="L594" s="66"/>
      <c r="M594" s="66"/>
      <c r="N594" s="66"/>
      <c r="O594" s="66"/>
      <c r="P594" s="66"/>
      <c r="Q594" s="66"/>
      <c r="R594" s="66"/>
      <c r="S594" s="66"/>
    </row>
    <row r="595" spans="1:19" ht="18" customHeight="1">
      <c r="B595" t="s">
        <v>682</v>
      </c>
      <c r="C595" t="s">
        <v>683</v>
      </c>
      <c r="D595" s="4"/>
      <c r="E595" s="4">
        <v>1</v>
      </c>
      <c r="F595" s="4"/>
      <c r="G595" s="29" t="str">
        <f>IFERROR(HYPERLINK("#"&amp;ADDRESS(MATCH(B595&amp;"ES",'LM7 Non-ENG'!$A$1:$A$5000,0),1,,,"LM7 Non-ENG"),IF(IFERROR(VLOOKUP(B595&amp;"ES",'LM7 Non-ENG'!$A$1:$A$4999,1,FALSE),"ERROR")=B595&amp;"ES","Y","")),"")</f>
        <v/>
      </c>
      <c r="H595" s="29" t="str">
        <f>IFERROR(HYPERLINK("#"&amp;ADDRESS(MATCH(B595&amp;"PT",'LM7 Non-ENG'!$A$1:$A$5000,0),1,,,"LM7 Non-ENG"),IF(IFERROR(VLOOKUP(B595&amp;"PT",'LM7 Non-ENG'!$A$1:$A$5000,1,FALSE),"ERROR")=B595&amp;"PT","Y","")),"")</f>
        <v/>
      </c>
      <c r="I595" t="str">
        <f>IFERROR(VLOOKUP(B595,PN!$A:$C,3,FALSE),"")</f>
        <v>Active</v>
      </c>
      <c r="J595" s="3">
        <f>IFERROR(E595*VLOOKUP(B595,PLInter!$A:$D,3,FALSE),"")</f>
        <v>494</v>
      </c>
      <c r="K595" s="66"/>
      <c r="L595" s="66"/>
      <c r="M595" s="66"/>
      <c r="N595" s="66"/>
      <c r="O595" s="66"/>
      <c r="P595" s="66"/>
      <c r="Q595" s="66"/>
      <c r="R595" s="66"/>
      <c r="S595" s="66"/>
    </row>
    <row r="596" spans="1:19" ht="18" customHeight="1">
      <c r="B596" t="s">
        <v>684</v>
      </c>
      <c r="C596" t="s">
        <v>685</v>
      </c>
      <c r="D596" s="4"/>
      <c r="E596" s="4">
        <v>1</v>
      </c>
      <c r="F596" s="4"/>
      <c r="G596" s="29" t="str">
        <f>IFERROR(HYPERLINK("#"&amp;ADDRESS(MATCH(B596&amp;"ES",'LM7 Non-ENG'!$A$1:$A$5000,0),1,,,"LM7 Non-ENG"),IF(IFERROR(VLOOKUP(B596&amp;"ES",'LM7 Non-ENG'!$A$1:$A$4999,1,FALSE),"ERROR")=B596&amp;"ES","Y","")),"")</f>
        <v/>
      </c>
      <c r="H596" s="29" t="str">
        <f>IFERROR(HYPERLINK("#"&amp;ADDRESS(MATCH(B596&amp;"PT",'LM7 Non-ENG'!$A$1:$A$5000,0),1,,,"LM7 Non-ENG"),IF(IFERROR(VLOOKUP(B596&amp;"PT",'LM7 Non-ENG'!$A$1:$A$5000,1,FALSE),"ERROR")=B596&amp;"PT","Y","")),"")</f>
        <v/>
      </c>
      <c r="I596" t="str">
        <f>IFERROR(VLOOKUP(B596,PN!$A:$C,3,FALSE),"")</f>
        <v>Active</v>
      </c>
      <c r="J596" s="3">
        <f>IFERROR(E596*VLOOKUP(B596,PLInter!$A:$D,3,FALSE),"")</f>
        <v>580</v>
      </c>
      <c r="K596" s="66"/>
      <c r="L596" s="66"/>
      <c r="M596" s="66"/>
      <c r="N596" s="66"/>
      <c r="O596" s="66"/>
      <c r="P596" s="66"/>
      <c r="Q596" s="66"/>
      <c r="R596" s="66"/>
      <c r="S596" s="66"/>
    </row>
    <row r="597" spans="1:19" ht="18" customHeight="1">
      <c r="B597" t="str">
        <f>"021182"</f>
        <v>021182</v>
      </c>
      <c r="C597" t="s">
        <v>686</v>
      </c>
      <c r="D597" s="4"/>
      <c r="E597" s="4">
        <v>1</v>
      </c>
      <c r="F597" s="4"/>
      <c r="G597" s="29" t="str">
        <f>IFERROR(HYPERLINK("#"&amp;ADDRESS(MATCH(B597&amp;"ES",'LM7 Non-ENG'!$A$1:$A$5000,0),1,,,"LM7 Non-ENG"),IF(IFERROR(VLOOKUP(B597&amp;"ES",'LM7 Non-ENG'!$A$1:$A$4999,1,FALSE),"ERROR")=B597&amp;"ES","Y","")),"")</f>
        <v/>
      </c>
      <c r="H597" s="29" t="str">
        <f>IFERROR(HYPERLINK("#"&amp;ADDRESS(MATCH(B597&amp;"PT",'LM7 Non-ENG'!$A$1:$A$5000,0),1,,,"LM7 Non-ENG"),IF(IFERROR(VLOOKUP(B597&amp;"PT",'LM7 Non-ENG'!$A$1:$A$5000,1,FALSE),"ERROR")=B597&amp;"PT","Y","")),"")</f>
        <v/>
      </c>
      <c r="I597" t="str">
        <f>IFERROR(VLOOKUP(B597,PN!$A:$C,3,FALSE),"")</f>
        <v>Active</v>
      </c>
      <c r="J597" s="3">
        <f>IFERROR(E597*VLOOKUP(B597,PLInter!$A:$D,3,FALSE),"")</f>
        <v>16</v>
      </c>
      <c r="K597" s="66"/>
      <c r="L597" s="66"/>
      <c r="M597" s="66"/>
      <c r="N597" s="66"/>
      <c r="O597" s="66"/>
      <c r="P597" s="66"/>
      <c r="Q597" s="66"/>
      <c r="R597" s="66"/>
      <c r="S597" s="66"/>
    </row>
    <row r="598" spans="1:19" ht="18" customHeight="1">
      <c r="B598" t="s">
        <v>693</v>
      </c>
      <c r="C598" t="s">
        <v>694</v>
      </c>
      <c r="D598" s="4"/>
      <c r="E598" s="4">
        <v>1</v>
      </c>
      <c r="F598" s="4"/>
      <c r="G598" s="29" t="str">
        <f>IFERROR(HYPERLINK("#"&amp;ADDRESS(MATCH(B598&amp;"ES",'LM7 Non-ENG'!$A$1:$A$5000,0),1,,,"LM7 Non-ENG"),IF(IFERROR(VLOOKUP(B598&amp;"ES",'LM7 Non-ENG'!$A$1:$A$4999,1,FALSE),"ERROR")=B598&amp;"ES","Y","")),"")</f>
        <v/>
      </c>
      <c r="H598" s="29" t="str">
        <f>IFERROR(HYPERLINK("#"&amp;ADDRESS(MATCH(B598&amp;"PT",'LM7 Non-ENG'!$A$1:$A$5000,0),1,,,"LM7 Non-ENG"),IF(IFERROR(VLOOKUP(B598&amp;"PT",'LM7 Non-ENG'!$A$1:$A$5000,1,FALSE),"ERROR")=B598&amp;"PT","Y","")),"")</f>
        <v/>
      </c>
      <c r="I598" t="str">
        <f>IFERROR(VLOOKUP(B598,PN!$A:$C,3,FALSE),"")</f>
        <v>Active</v>
      </c>
      <c r="J598" s="3">
        <f>IFERROR(E598*VLOOKUP(B598,PLInter!$A:$D,3,FALSE),"")</f>
        <v>1920</v>
      </c>
      <c r="K598" s="66"/>
      <c r="L598" s="66"/>
      <c r="M598" s="66"/>
      <c r="N598" s="66"/>
      <c r="O598" s="66"/>
      <c r="P598" s="66"/>
      <c r="Q598" s="66"/>
      <c r="R598" s="66"/>
      <c r="S598" s="66"/>
    </row>
    <row r="599" spans="1:19" ht="18" customHeight="1">
      <c r="B599" t="s">
        <v>786</v>
      </c>
      <c r="C599" t="s">
        <v>787</v>
      </c>
      <c r="D599" s="4"/>
      <c r="E599" s="4">
        <v>1</v>
      </c>
      <c r="F599" s="4"/>
      <c r="G599" s="29" t="str">
        <f>IFERROR(HYPERLINK("#"&amp;ADDRESS(MATCH(B599&amp;"ES",'LM7 Non-ENG'!$A$1:$A$5000,0),1,,,"LM7 Non-ENG"),IF(IFERROR(VLOOKUP(B599&amp;"ES",'LM7 Non-ENG'!$A$1:$A$4999,1,FALSE),"ERROR")=B599&amp;"ES","Y","")),"")</f>
        <v/>
      </c>
      <c r="H599" s="29" t="str">
        <f>IFERROR(HYPERLINK("#"&amp;ADDRESS(MATCH(B599&amp;"PT",'LM7 Non-ENG'!$A$1:$A$5000,0),1,,,"LM7 Non-ENG"),IF(IFERROR(VLOOKUP(B599&amp;"PT",'LM7 Non-ENG'!$A$1:$A$5000,1,FALSE),"ERROR")=B599&amp;"PT","Y","")),"")</f>
        <v/>
      </c>
      <c r="I599" t="str">
        <f>IFERROR(VLOOKUP(B599,PN!$A:$C,3,FALSE),"")</f>
        <v>Active</v>
      </c>
      <c r="J599" s="3">
        <f>IFERROR(E599*VLOOKUP(B599,PLInter!$A:$D,3,FALSE),"")</f>
        <v>528</v>
      </c>
      <c r="K599" s="66"/>
      <c r="L599" s="66"/>
      <c r="M599" s="66"/>
      <c r="N599" s="66"/>
      <c r="O599" s="66"/>
      <c r="P599" s="66"/>
      <c r="Q599" s="66"/>
      <c r="R599" s="66"/>
      <c r="S599" s="66"/>
    </row>
    <row r="600" spans="1:19" ht="18" customHeight="1">
      <c r="B600" t="str">
        <f>"021152"</f>
        <v>021152</v>
      </c>
      <c r="C600" s="41" t="s">
        <v>679</v>
      </c>
      <c r="D600" s="4"/>
      <c r="E600" s="4">
        <v>1</v>
      </c>
      <c r="F600" s="4"/>
      <c r="G600" s="29" t="str">
        <f>IFERROR(HYPERLINK("#"&amp;ADDRESS(MATCH(B600&amp;"ES",'LM7 Non-ENG'!$A$1:$A$5000,0),1,,,"LM7 Non-ENG"),IF(IFERROR(VLOOKUP(B600&amp;"ES",'LM7 Non-ENG'!$A$1:$A$4999,1,FALSE),"ERROR")=B600&amp;"ES","Y","")),"")</f>
        <v/>
      </c>
      <c r="H600" s="29" t="str">
        <f>IFERROR(HYPERLINK("#"&amp;ADDRESS(MATCH(B600&amp;"PT",'LM7 Non-ENG'!$A$1:$A$5000,0),1,,,"LM7 Non-ENG"),IF(IFERROR(VLOOKUP(B600&amp;"PT",'LM7 Non-ENG'!$A$1:$A$5000,1,FALSE),"ERROR")=B600&amp;"PT","Y","")),"")</f>
        <v/>
      </c>
      <c r="I600" t="str">
        <f>IFERROR(VLOOKUP(B600,PN!$A:$C,3,FALSE),"")</f>
        <v>Active</v>
      </c>
      <c r="J600" s="3">
        <f>IFERROR(E600*VLOOKUP(B600,PLInter!$A:$D,3,FALSE),"")</f>
        <v>240</v>
      </c>
      <c r="K600" s="66"/>
      <c r="L600" s="66"/>
      <c r="M600" s="66"/>
      <c r="N600" s="66"/>
      <c r="O600" s="66"/>
      <c r="P600" s="66"/>
      <c r="Q600" s="66"/>
      <c r="R600" s="66"/>
      <c r="S600" s="66"/>
    </row>
    <row r="601" spans="1:19" ht="18" customHeight="1">
      <c r="B601" t="str">
        <f>"112496"</f>
        <v>112496</v>
      </c>
      <c r="C601" t="s">
        <v>696</v>
      </c>
      <c r="D601" s="4"/>
      <c r="E601" s="4">
        <v>50</v>
      </c>
      <c r="F601" s="4"/>
      <c r="G601" s="29" t="str">
        <f>IFERROR(HYPERLINK("#"&amp;ADDRESS(MATCH(B601&amp;"ES",'LM7 Non-ENG'!$A$1:$A$5000,0),1,,,"LM7 Non-ENG"),IF(IFERROR(VLOOKUP(B601&amp;"ES",'LM7 Non-ENG'!$A$1:$A$4999,1,FALSE),"ERROR")=B601&amp;"ES","Y","")),"")</f>
        <v/>
      </c>
      <c r="H601" s="29" t="str">
        <f>IFERROR(HYPERLINK("#"&amp;ADDRESS(MATCH(B601&amp;"PT",'LM7 Non-ENG'!$A$1:$A$5000,0),1,,,"LM7 Non-ENG"),IF(IFERROR(VLOOKUP(B601&amp;"PT",'LM7 Non-ENG'!$A$1:$A$5000,1,FALSE),"ERROR")=B601&amp;"PT","Y","")),"")</f>
        <v/>
      </c>
      <c r="I601" t="str">
        <f>IFERROR(VLOOKUP(B601,PN!$A:$C,3,FALSE),"")</f>
        <v>Active</v>
      </c>
      <c r="J601" s="3">
        <f>IFERROR(E601*VLOOKUP(B601,PLInter!$A:$D,3,FALSE),"")</f>
        <v>1000</v>
      </c>
      <c r="K601" s="66"/>
      <c r="L601" s="66"/>
      <c r="M601" s="66"/>
      <c r="N601" s="66"/>
      <c r="O601" s="66"/>
      <c r="P601" s="66"/>
      <c r="Q601" s="66"/>
      <c r="R601" s="66"/>
      <c r="S601" s="66"/>
    </row>
    <row r="602" spans="1:19" ht="18" customHeight="1">
      <c r="B602" t="s">
        <v>644</v>
      </c>
      <c r="C602" t="s">
        <v>645</v>
      </c>
      <c r="D602" s="4"/>
      <c r="E602" s="4">
        <v>1</v>
      </c>
      <c r="F602" s="4"/>
      <c r="G602" s="29" t="str">
        <f>IFERROR(HYPERLINK("#"&amp;ADDRESS(MATCH(B602&amp;"ES",'LM7 Non-ENG'!$A$1:$A$5000,0),1,,,"LM7 Non-ENG"),IF(IFERROR(VLOOKUP(B602&amp;"ES",'LM7 Non-ENG'!$A$1:$A$4999,1,FALSE),"ERROR")=B602&amp;"ES","Y","")),"")</f>
        <v/>
      </c>
      <c r="H602" s="29" t="str">
        <f>IFERROR(HYPERLINK("#"&amp;ADDRESS(MATCH(B602&amp;"PT",'LM7 Non-ENG'!$A$1:$A$5000,0),1,,,"LM7 Non-ENG"),IF(IFERROR(VLOOKUP(B602&amp;"PT",'LM7 Non-ENG'!$A$1:$A$5000,1,FALSE),"ERROR")=B602&amp;"PT","Y","")),"")</f>
        <v/>
      </c>
      <c r="I602" t="str">
        <f>IFERROR(VLOOKUP(B602,PN!$A:$C,3,FALSE),"")</f>
        <v>Active</v>
      </c>
      <c r="J602" s="3">
        <f>IFERROR(E602*VLOOKUP(B602,PLInter!$A:$D,3,FALSE),"")</f>
        <v>1800</v>
      </c>
      <c r="K602" s="66"/>
      <c r="L602" s="66"/>
      <c r="M602" s="66"/>
      <c r="N602" s="66"/>
      <c r="O602" s="66"/>
      <c r="P602" s="66"/>
      <c r="Q602" s="66"/>
      <c r="R602" s="66"/>
      <c r="S602" s="66"/>
    </row>
    <row r="603" spans="1:19" ht="18" customHeight="1">
      <c r="B603" t="s">
        <v>630</v>
      </c>
      <c r="C603" t="s">
        <v>631</v>
      </c>
      <c r="D603" s="4"/>
      <c r="E603" s="4">
        <v>1</v>
      </c>
      <c r="F603" s="4"/>
      <c r="G603" s="29" t="str">
        <f>IFERROR(HYPERLINK("#"&amp;ADDRESS(MATCH(B603&amp;"ES",'LM7 Non-ENG'!$A$1:$A$5000,0),1,,,"LM7 Non-ENG"),IF(IFERROR(VLOOKUP(B603&amp;"ES",'LM7 Non-ENG'!$A$1:$A$4999,1,FALSE),"ERROR")=B603&amp;"ES","Y","")),"")</f>
        <v/>
      </c>
      <c r="H603" s="29" t="str">
        <f>IFERROR(HYPERLINK("#"&amp;ADDRESS(MATCH(B603&amp;"PT",'LM7 Non-ENG'!$A$1:$A$5000,0),1,,,"LM7 Non-ENG"),IF(IFERROR(VLOOKUP(B603&amp;"PT",'LM7 Non-ENG'!$A$1:$A$5000,1,FALSE),"ERROR")=B603&amp;"PT","Y","")),"")</f>
        <v/>
      </c>
      <c r="I603" t="str">
        <f>IFERROR(VLOOKUP(B603,PN!$A:$C,3,FALSE),"")</f>
        <v>Active</v>
      </c>
      <c r="J603" s="3">
        <f>IFERROR(E603*VLOOKUP(B603,PLInter!$A:$D,3,FALSE),"")</f>
        <v>1735</v>
      </c>
      <c r="K603" s="66"/>
      <c r="L603" s="66"/>
      <c r="M603" s="66"/>
      <c r="N603" s="66"/>
      <c r="O603" s="66"/>
      <c r="P603" s="66"/>
      <c r="Q603" s="66"/>
      <c r="R603" s="66"/>
      <c r="S603" s="66"/>
    </row>
    <row r="604" spans="1:19" ht="18" customHeight="1">
      <c r="B604" s="1" t="s">
        <v>680</v>
      </c>
      <c r="C604" s="1" t="s">
        <v>681</v>
      </c>
      <c r="D604" s="6" t="s">
        <v>0</v>
      </c>
      <c r="E604" s="6">
        <v>1</v>
      </c>
      <c r="F604" s="6"/>
      <c r="G604" s="29" t="str">
        <f>IFERROR(HYPERLINK("#"&amp;ADDRESS(MATCH(B604&amp;"ES",'LM7 Non-ENG'!$A$1:$A$5000,0),1,,,"LM7 Non-ENG"),IF(IFERROR(VLOOKUP(B604&amp;"ES",'LM7 Non-ENG'!$A$1:$A$4999,1,FALSE),"ERROR")=B604&amp;"ES","Y","")),"")</f>
        <v/>
      </c>
      <c r="H604" s="29" t="str">
        <f>IFERROR(HYPERLINK("#"&amp;ADDRESS(MATCH(B604&amp;"PT",'LM7 Non-ENG'!$A$1:$A$5000,0),1,,,"LM7 Non-ENG"),IF(IFERROR(VLOOKUP(B604&amp;"PT",'LM7 Non-ENG'!$A$1:$A$5000,1,FALSE),"ERROR")=B604&amp;"PT","Y","")),"")</f>
        <v/>
      </c>
      <c r="I604" t="str">
        <f>IFERROR(VLOOKUP(B604,PN!$A:$C,3,FALSE),"")</f>
        <v>Active</v>
      </c>
      <c r="J604" s="3">
        <f>IFERROR(E604*VLOOKUP(B604,PLInter!$A:$D,3,FALSE),"")</f>
        <v>1440</v>
      </c>
      <c r="K604" s="66"/>
      <c r="L604" s="66"/>
      <c r="M604" s="66"/>
      <c r="N604" s="66"/>
      <c r="O604" s="66"/>
      <c r="P604" s="66"/>
      <c r="Q604" s="66"/>
      <c r="R604" s="66"/>
      <c r="S604" s="66"/>
    </row>
    <row r="606" spans="1:19" s="7" customFormat="1" ht="18" customHeight="1">
      <c r="A606" s="13" t="s">
        <v>823</v>
      </c>
      <c r="B606" s="13"/>
      <c r="C606" s="13" t="s">
        <v>824</v>
      </c>
      <c r="D606" s="14"/>
      <c r="E606" s="14"/>
      <c r="F606" s="14"/>
      <c r="G606" s="14"/>
      <c r="H606" s="14"/>
      <c r="I606" s="14"/>
      <c r="J606" s="14">
        <f>SUMIFS(J607:J620,D607:D620,"&lt;&gt;Y",F607:F620,"&lt;&gt;Y",I607:I620,"&lt;&gt;Inactive",I607:I620,"&lt;&gt;ECO+NFS")</f>
        <v>83887</v>
      </c>
      <c r="K606" s="14"/>
      <c r="L606" s="14"/>
      <c r="M606" s="14"/>
      <c r="N606" s="14"/>
      <c r="O606" s="14"/>
      <c r="P606" s="14"/>
      <c r="Q606" s="14"/>
      <c r="R606" s="14"/>
      <c r="S606" s="14"/>
    </row>
    <row r="607" spans="1:19" ht="18" customHeight="1">
      <c r="A607" s="17" t="str">
        <f>HYPERLINK("#"&amp;ADDRESS(MATCH(A606,'CIM&amp;FMS'!$A$1:$A$4997,0),1,,,"CIM&amp;FMS"),"Back to Price List")</f>
        <v>Back to Price List</v>
      </c>
      <c r="B607" t="s">
        <v>214</v>
      </c>
      <c r="C607" t="s">
        <v>654</v>
      </c>
      <c r="D607" s="4"/>
      <c r="E607" s="4">
        <v>1</v>
      </c>
      <c r="F607" s="4"/>
      <c r="G607" s="29" t="str">
        <f>IFERROR(HYPERLINK("#"&amp;ADDRESS(MATCH(B607&amp;"ES",'LM7 Non-ENG'!$A$1:$A$5000,0),1,,,"LM7 Non-ENG"),IF(IFERROR(VLOOKUP(B607&amp;"ES",'LM7 Non-ENG'!$A$1:$A$4999,1,FALSE),"ERROR")=B607&amp;"ES","Y","")),"")</f>
        <v/>
      </c>
      <c r="H607" s="29" t="str">
        <f>IFERROR(HYPERLINK("#"&amp;ADDRESS(MATCH(B607&amp;"PT",'LM7 Non-ENG'!$A$1:$A$5000,0),1,,,"LM7 Non-ENG"),IF(IFERROR(VLOOKUP(B607&amp;"PT",'LM7 Non-ENG'!$A$1:$A$5000,1,FALSE),"ERROR")=B607&amp;"PT","Y","")),"")</f>
        <v/>
      </c>
      <c r="I607" t="str">
        <f>IFERROR(VLOOKUP(B607,PN!$A:$C,3,FALSE),"")</f>
        <v>Active</v>
      </c>
      <c r="J607" s="3">
        <f>IFERROR(E607*VLOOKUP(B607,PLInter!$A:$D,3,FALSE),"")</f>
        <v>24000</v>
      </c>
      <c r="K607" s="66"/>
      <c r="L607" s="66"/>
      <c r="M607" s="66"/>
      <c r="N607" s="66"/>
      <c r="O607" s="66"/>
      <c r="P607" s="66"/>
      <c r="Q607" s="66"/>
      <c r="R607" s="66"/>
      <c r="S607" s="66"/>
    </row>
    <row r="608" spans="1:19" ht="18" customHeight="1">
      <c r="B608" t="s">
        <v>228</v>
      </c>
      <c r="C608" t="s">
        <v>655</v>
      </c>
      <c r="D608" s="4"/>
      <c r="E608" s="4">
        <v>1</v>
      </c>
      <c r="F608" s="4"/>
      <c r="G608" s="29" t="str">
        <f>IFERROR(HYPERLINK("#"&amp;ADDRESS(MATCH(B608&amp;"ES",'LM7 Non-ENG'!$A$1:$A$5000,0),1,,,"LM7 Non-ENG"),IF(IFERROR(VLOOKUP(B608&amp;"ES",'LM7 Non-ENG'!$A$1:$A$4999,1,FALSE),"ERROR")=B608&amp;"ES","Y","")),"")</f>
        <v/>
      </c>
      <c r="H608" s="29" t="str">
        <f>IFERROR(HYPERLINK("#"&amp;ADDRESS(MATCH(B608&amp;"PT",'LM7 Non-ENG'!$A$1:$A$5000,0),1,,,"LM7 Non-ENG"),IF(IFERROR(VLOOKUP(B608&amp;"PT",'LM7 Non-ENG'!$A$1:$A$5000,1,FALSE),"ERROR")=B608&amp;"PT","Y","")),"")</f>
        <v/>
      </c>
      <c r="I608" t="str">
        <f>IFERROR(VLOOKUP(B608,PN!$A:$C,3,FALSE),"")</f>
        <v>Active</v>
      </c>
      <c r="J608" s="3">
        <f>IFERROR(E608*VLOOKUP(B608,PLInter!$A:$D,3,FALSE),"")</f>
        <v>2134</v>
      </c>
      <c r="K608" s="66"/>
      <c r="L608" s="66"/>
      <c r="M608" s="66"/>
      <c r="N608" s="66"/>
      <c r="O608" s="66"/>
      <c r="P608" s="66"/>
      <c r="Q608" s="66"/>
      <c r="R608" s="66"/>
      <c r="S608" s="66"/>
    </row>
    <row r="609" spans="1:19" ht="18" customHeight="1">
      <c r="B609" s="2" t="s">
        <v>227</v>
      </c>
      <c r="C609" s="2" t="s">
        <v>232</v>
      </c>
      <c r="D609" s="5"/>
      <c r="E609" s="5">
        <v>1</v>
      </c>
      <c r="F609" s="5" t="s">
        <v>0</v>
      </c>
      <c r="G609" s="29" t="str">
        <f>IFERROR(HYPERLINK("#"&amp;ADDRESS(MATCH(B609&amp;"ES",'LM7 Non-ENG'!$A$1:$A$5000,0),1,,,"LM7 Non-ENG"),IF(IFERROR(VLOOKUP(B609&amp;"ES",'LM7 Non-ENG'!$A$1:$A$4999,1,FALSE),"ERROR")=B609&amp;"ES","Y","")),"")</f>
        <v/>
      </c>
      <c r="H609" s="29" t="str">
        <f>IFERROR(HYPERLINK("#"&amp;ADDRESS(MATCH(B609&amp;"PT",'LM7 Non-ENG'!$A$1:$A$5000,0),1,,,"LM7 Non-ENG"),IF(IFERROR(VLOOKUP(B609&amp;"PT",'LM7 Non-ENG'!$A$1:$A$5000,1,FALSE),"ERROR")=B609&amp;"PT","Y","")),"")</f>
        <v/>
      </c>
      <c r="I609" t="str">
        <f>IFERROR(VLOOKUP(B609,PN!$A:$C,3,FALSE),"")</f>
        <v>Active</v>
      </c>
      <c r="J609" s="3">
        <f>IFERROR(E609*VLOOKUP(B609,PLInter!$A:$D,3,FALSE),"")</f>
        <v>1700</v>
      </c>
      <c r="K609" s="66"/>
      <c r="L609" s="66"/>
      <c r="M609" s="66"/>
      <c r="N609" s="66"/>
      <c r="O609" s="66"/>
      <c r="P609" s="66"/>
      <c r="Q609" s="66"/>
      <c r="R609" s="66"/>
      <c r="S609" s="66"/>
    </row>
    <row r="610" spans="1:19" ht="18" customHeight="1">
      <c r="B610" t="s">
        <v>236</v>
      </c>
      <c r="C610" t="s">
        <v>626</v>
      </c>
      <c r="D610" s="4"/>
      <c r="E610" s="4">
        <v>1</v>
      </c>
      <c r="F610" s="4"/>
      <c r="G610" s="29" t="str">
        <f>IFERROR(HYPERLINK("#"&amp;ADDRESS(MATCH(B610&amp;"ES",'LM7 Non-ENG'!$A$1:$A$5000,0),1,,,"LM7 Non-ENG"),IF(IFERROR(VLOOKUP(B610&amp;"ES",'LM7 Non-ENG'!$A$1:$A$4999,1,FALSE),"ERROR")=B610&amp;"ES","Y","")),"")</f>
        <v/>
      </c>
      <c r="H610" s="29" t="str">
        <f>IFERROR(HYPERLINK("#"&amp;ADDRESS(MATCH(B610&amp;"PT",'LM7 Non-ENG'!$A$1:$A$5000,0),1,,,"LM7 Non-ENG"),IF(IFERROR(VLOOKUP(B610&amp;"PT",'LM7 Non-ENG'!$A$1:$A$5000,1,FALSE),"ERROR")=B610&amp;"PT","Y","")),"")</f>
        <v/>
      </c>
      <c r="I610" t="str">
        <f>IFERROR(VLOOKUP(B610,PN!$A:$C,3,FALSE),"")</f>
        <v>Active</v>
      </c>
      <c r="J610" s="3">
        <f>IFERROR(E610*VLOOKUP(B610,PLInter!$A:$D,3,FALSE),"")</f>
        <v>1680</v>
      </c>
      <c r="K610" s="66"/>
      <c r="L610" s="66"/>
      <c r="M610" s="66"/>
      <c r="N610" s="66"/>
      <c r="O610" s="66"/>
      <c r="P610" s="66"/>
      <c r="Q610" s="66"/>
      <c r="R610" s="66"/>
      <c r="S610" s="66"/>
    </row>
    <row r="611" spans="1:19" ht="18" customHeight="1">
      <c r="B611" t="str">
        <f>"034025"</f>
        <v>034025</v>
      </c>
      <c r="C611" t="s">
        <v>777</v>
      </c>
      <c r="D611" s="4"/>
      <c r="E611" s="4">
        <v>1</v>
      </c>
      <c r="F611" s="4"/>
      <c r="G611" s="29" t="str">
        <f>IFERROR(HYPERLINK("#"&amp;ADDRESS(MATCH(B611&amp;"ES",'LM7 Non-ENG'!$A$1:$A$5000,0),1,,,"LM7 Non-ENG"),IF(IFERROR(VLOOKUP(B611&amp;"ES",'LM7 Non-ENG'!$A$1:$A$4999,1,FALSE),"ERROR")=B611&amp;"ES","Y","")),"")</f>
        <v/>
      </c>
      <c r="H611" s="29" t="str">
        <f>IFERROR(HYPERLINK("#"&amp;ADDRESS(MATCH(B611&amp;"PT",'LM7 Non-ENG'!$A$1:$A$5000,0),1,,,"LM7 Non-ENG"),IF(IFERROR(VLOOKUP(B611&amp;"PT",'LM7 Non-ENG'!$A$1:$A$5000,1,FALSE),"ERROR")=B611&amp;"PT","Y","")),"")</f>
        <v/>
      </c>
      <c r="I611" t="str">
        <f>IFERROR(VLOOKUP(B611,PN!$A:$C,3,FALSE),"")</f>
        <v>Active</v>
      </c>
      <c r="J611" s="3">
        <f>IFERROR(E611*VLOOKUP(B611,PLInter!$A:$D,3,FALSE),"")</f>
        <v>1267</v>
      </c>
      <c r="K611" s="66"/>
      <c r="L611" s="66"/>
      <c r="M611" s="66"/>
      <c r="N611" s="66"/>
      <c r="O611" s="66"/>
      <c r="P611" s="66"/>
      <c r="Q611" s="66"/>
      <c r="R611" s="66"/>
      <c r="S611" s="66"/>
    </row>
    <row r="612" spans="1:19" ht="18" customHeight="1">
      <c r="B612" t="s">
        <v>680</v>
      </c>
      <c r="C612" t="s">
        <v>681</v>
      </c>
      <c r="D612" s="4"/>
      <c r="E612" s="4">
        <v>1</v>
      </c>
      <c r="F612" s="4"/>
      <c r="G612" s="29" t="str">
        <f>IFERROR(HYPERLINK("#"&amp;ADDRESS(MATCH(B612&amp;"ES",'LM7 Non-ENG'!$A$1:$A$5000,0),1,,,"LM7 Non-ENG"),IF(IFERROR(VLOOKUP(B612&amp;"ES",'LM7 Non-ENG'!$A$1:$A$4999,1,FALSE),"ERROR")=B612&amp;"ES","Y","")),"")</f>
        <v/>
      </c>
      <c r="H612" s="29" t="str">
        <f>IFERROR(HYPERLINK("#"&amp;ADDRESS(MATCH(B612&amp;"PT",'LM7 Non-ENG'!$A$1:$A$5000,0),1,,,"LM7 Non-ENG"),IF(IFERROR(VLOOKUP(B612&amp;"PT",'LM7 Non-ENG'!$A$1:$A$5000,1,FALSE),"ERROR")=B612&amp;"PT","Y","")),"")</f>
        <v/>
      </c>
      <c r="I612" t="str">
        <f>IFERROR(VLOOKUP(B612,PN!$A:$C,3,FALSE),"")</f>
        <v>Active</v>
      </c>
      <c r="J612" s="3">
        <f>IFERROR(E612*VLOOKUP(B612,PLInter!$A:$D,3,FALSE),"")</f>
        <v>1440</v>
      </c>
      <c r="K612" s="66"/>
      <c r="L612" s="66"/>
      <c r="M612" s="66"/>
      <c r="N612" s="66"/>
      <c r="O612" s="66"/>
      <c r="P612" s="66"/>
      <c r="Q612" s="66"/>
      <c r="R612" s="66"/>
      <c r="S612" s="66"/>
    </row>
    <row r="613" spans="1:19" ht="18" customHeight="1">
      <c r="B613" t="s">
        <v>684</v>
      </c>
      <c r="C613" t="s">
        <v>685</v>
      </c>
      <c r="D613" s="4"/>
      <c r="E613" s="4">
        <v>1</v>
      </c>
      <c r="F613" s="4"/>
      <c r="G613" s="29" t="str">
        <f>IFERROR(HYPERLINK("#"&amp;ADDRESS(MATCH(B613&amp;"ES",'LM7 Non-ENG'!$A$1:$A$5000,0),1,,,"LM7 Non-ENG"),IF(IFERROR(VLOOKUP(B613&amp;"ES",'LM7 Non-ENG'!$A$1:$A$4999,1,FALSE),"ERROR")=B613&amp;"ES","Y","")),"")</f>
        <v/>
      </c>
      <c r="H613" s="29" t="str">
        <f>IFERROR(HYPERLINK("#"&amp;ADDRESS(MATCH(B613&amp;"PT",'LM7 Non-ENG'!$A$1:$A$5000,0),1,,,"LM7 Non-ENG"),IF(IFERROR(VLOOKUP(B613&amp;"PT",'LM7 Non-ENG'!$A$1:$A$5000,1,FALSE),"ERROR")=B613&amp;"PT","Y","")),"")</f>
        <v/>
      </c>
      <c r="I613" t="str">
        <f>IFERROR(VLOOKUP(B613,PN!$A:$C,3,FALSE),"")</f>
        <v>Active</v>
      </c>
      <c r="J613" s="3">
        <f>IFERROR(E613*VLOOKUP(B613,PLInter!$A:$D,3,FALSE),"")</f>
        <v>580</v>
      </c>
      <c r="K613" s="66"/>
      <c r="L613" s="66"/>
      <c r="M613" s="66"/>
      <c r="N613" s="66"/>
      <c r="O613" s="66"/>
      <c r="P613" s="66"/>
      <c r="Q613" s="66"/>
      <c r="R613" s="66"/>
      <c r="S613" s="66"/>
    </row>
    <row r="614" spans="1:19" ht="18" customHeight="1">
      <c r="B614" t="str">
        <f>"021181"</f>
        <v>021181</v>
      </c>
      <c r="C614" t="s">
        <v>667</v>
      </c>
      <c r="D614" s="4"/>
      <c r="E614" s="4">
        <v>1</v>
      </c>
      <c r="F614" s="4"/>
      <c r="G614" s="29" t="str">
        <f>IFERROR(HYPERLINK("#"&amp;ADDRESS(MATCH(B614&amp;"ES",'LM7 Non-ENG'!$A$1:$A$5000,0),1,,,"LM7 Non-ENG"),IF(IFERROR(VLOOKUP(B614&amp;"ES",'LM7 Non-ENG'!$A$1:$A$4999,1,FALSE),"ERROR")=B614&amp;"ES","Y","")),"")</f>
        <v/>
      </c>
      <c r="H614" s="29" t="str">
        <f>IFERROR(HYPERLINK("#"&amp;ADDRESS(MATCH(B614&amp;"PT",'LM7 Non-ENG'!$A$1:$A$5000,0),1,,,"LM7 Non-ENG"),IF(IFERROR(VLOOKUP(B614&amp;"PT",'LM7 Non-ENG'!$A$1:$A$5000,1,FALSE),"ERROR")=B614&amp;"PT","Y","")),"")</f>
        <v/>
      </c>
      <c r="I614" t="str">
        <f>IFERROR(VLOOKUP(B614,PN!$A:$C,3,FALSE),"")</f>
        <v>Active</v>
      </c>
      <c r="J614" s="3">
        <f>IFERROR(E614*VLOOKUP(B614,PLInter!$A:$D,3,FALSE),"")</f>
        <v>34</v>
      </c>
      <c r="K614" s="66"/>
      <c r="L614" s="66"/>
      <c r="M614" s="66"/>
      <c r="N614" s="66"/>
      <c r="O614" s="66"/>
      <c r="P614" s="66"/>
      <c r="Q614" s="66"/>
      <c r="R614" s="66"/>
      <c r="S614" s="66"/>
    </row>
    <row r="615" spans="1:19" ht="18" customHeight="1">
      <c r="B615" t="str">
        <f>"113034"</f>
        <v>113034</v>
      </c>
      <c r="C615" t="s">
        <v>695</v>
      </c>
      <c r="D615" s="4"/>
      <c r="E615" s="4">
        <v>10</v>
      </c>
      <c r="F615" s="4"/>
      <c r="G615" s="29" t="str">
        <f>IFERROR(HYPERLINK("#"&amp;ADDRESS(MATCH(B615&amp;"ES",'LM7 Non-ENG'!$A$1:$A$5000,0),1,,,"LM7 Non-ENG"),IF(IFERROR(VLOOKUP(B615&amp;"ES",'LM7 Non-ENG'!$A$1:$A$4999,1,FALSE),"ERROR")=B615&amp;"ES","Y","")),"")</f>
        <v/>
      </c>
      <c r="H615" s="29" t="str">
        <f>IFERROR(HYPERLINK("#"&amp;ADDRESS(MATCH(B615&amp;"PT",'LM7 Non-ENG'!$A$1:$A$5000,0),1,,,"LM7 Non-ENG"),IF(IFERROR(VLOOKUP(B615&amp;"PT",'LM7 Non-ENG'!$A$1:$A$5000,1,FALSE),"ERROR")=B615&amp;"PT","Y","")),"")</f>
        <v/>
      </c>
      <c r="I615" t="str">
        <f>IFERROR(VLOOKUP(B615,PN!$A:$C,3,FALSE),"")</f>
        <v>Active</v>
      </c>
      <c r="J615" s="3">
        <f>IFERROR(E615*VLOOKUP(B615,PLInter!$A:$D,3,FALSE),"")</f>
        <v>150</v>
      </c>
      <c r="K615" s="66"/>
      <c r="L615" s="66"/>
      <c r="M615" s="66"/>
      <c r="N615" s="66"/>
      <c r="O615" s="66"/>
      <c r="P615" s="66"/>
      <c r="Q615" s="66"/>
      <c r="R615" s="66"/>
      <c r="S615" s="66"/>
    </row>
    <row r="616" spans="1:19" ht="18" customHeight="1">
      <c r="B616" t="s">
        <v>765</v>
      </c>
      <c r="C616" t="s">
        <v>825</v>
      </c>
      <c r="D616" s="4"/>
      <c r="E616" s="4">
        <v>1</v>
      </c>
      <c r="F616" s="4"/>
      <c r="G616" s="29" t="str">
        <f>IFERROR(HYPERLINK("#"&amp;ADDRESS(MATCH(B616&amp;"ES",'LM7 Non-ENG'!$A$1:$A$5000,0),1,,,"LM7 Non-ENG"),IF(IFERROR(VLOOKUP(B616&amp;"ES",'LM7 Non-ENG'!$A$1:$A$4999,1,FALSE),"ERROR")=B616&amp;"ES","Y","")),"")</f>
        <v/>
      </c>
      <c r="H616" s="29" t="str">
        <f>IFERROR(HYPERLINK("#"&amp;ADDRESS(MATCH(B616&amp;"PT",'LM7 Non-ENG'!$A$1:$A$5000,0),1,,,"LM7 Non-ENG"),IF(IFERROR(VLOOKUP(B616&amp;"PT",'LM7 Non-ENG'!$A$1:$A$5000,1,FALSE),"ERROR")=B616&amp;"PT","Y","")),"")</f>
        <v/>
      </c>
      <c r="I616" t="str">
        <f>IFERROR(VLOOKUP(B616,PN!$A:$C,3,FALSE),"")</f>
        <v>Active</v>
      </c>
      <c r="J616" s="3">
        <f>IFERROR(E616*VLOOKUP(B616,PLInter!$A:$D,3,FALSE),"")</f>
        <v>46000</v>
      </c>
      <c r="K616" s="66"/>
      <c r="L616" s="66"/>
      <c r="M616" s="66"/>
      <c r="N616" s="66"/>
      <c r="O616" s="66"/>
      <c r="P616" s="66"/>
      <c r="Q616" s="66"/>
      <c r="R616" s="66"/>
      <c r="S616" s="66"/>
    </row>
    <row r="617" spans="1:19" ht="18" customHeight="1">
      <c r="B617" t="str">
        <f>"025223"</f>
        <v>025223</v>
      </c>
      <c r="C617" s="41" t="s">
        <v>826</v>
      </c>
      <c r="D617" s="4"/>
      <c r="E617" s="4">
        <v>1</v>
      </c>
      <c r="F617" s="4"/>
      <c r="G617" s="29" t="str">
        <f>IFERROR(HYPERLINK("#"&amp;ADDRESS(MATCH(B617&amp;"ES",'LM7 Non-ENG'!$A$1:$A$5000,0),1,,,"LM7 Non-ENG"),IF(IFERROR(VLOOKUP(B617&amp;"ES",'LM7 Non-ENG'!$A$1:$A$4999,1,FALSE),"ERROR")=B617&amp;"ES","Y","")),"")</f>
        <v/>
      </c>
      <c r="H617" s="29" t="str">
        <f>IFERROR(HYPERLINK("#"&amp;ADDRESS(MATCH(B617&amp;"PT",'LM7 Non-ENG'!$A$1:$A$5000,0),1,,,"LM7 Non-ENG"),IF(IFERROR(VLOOKUP(B617&amp;"PT",'LM7 Non-ENG'!$A$1:$A$5000,1,FALSE),"ERROR")=B617&amp;"PT","Y","")),"")</f>
        <v/>
      </c>
      <c r="I617" t="str">
        <f>IFERROR(VLOOKUP(B617,PN!$A:$C,3,FALSE),"")</f>
        <v>Active</v>
      </c>
      <c r="J617" s="3">
        <f>IFERROR(E617*VLOOKUP(B617,PLInter!$A:$D,3,FALSE),"")</f>
        <v>2000</v>
      </c>
      <c r="K617" s="66"/>
      <c r="L617" s="66"/>
      <c r="M617" s="66"/>
      <c r="N617" s="66"/>
      <c r="O617" s="66"/>
      <c r="P617" s="66"/>
      <c r="Q617" s="66"/>
      <c r="R617" s="66"/>
      <c r="S617" s="66"/>
    </row>
    <row r="618" spans="1:19" ht="18" customHeight="1">
      <c r="B618" t="s">
        <v>827</v>
      </c>
      <c r="C618" t="s">
        <v>828</v>
      </c>
      <c r="D618" s="4"/>
      <c r="E618" s="4">
        <v>1</v>
      </c>
      <c r="F618" s="4"/>
      <c r="G618" s="29" t="str">
        <f>IFERROR(HYPERLINK("#"&amp;ADDRESS(MATCH(B618&amp;"ES",'LM7 Non-ENG'!$A$1:$A$5000,0),1,,,"LM7 Non-ENG"),IF(IFERROR(VLOOKUP(B618&amp;"ES",'LM7 Non-ENG'!$A$1:$A$4999,1,FALSE),"ERROR")=B618&amp;"ES","Y","")),"")</f>
        <v/>
      </c>
      <c r="H618" s="29" t="str">
        <f>IFERROR(HYPERLINK("#"&amp;ADDRESS(MATCH(B618&amp;"PT",'LM7 Non-ENG'!$A$1:$A$5000,0),1,,,"LM7 Non-ENG"),IF(IFERROR(VLOOKUP(B618&amp;"PT",'LM7 Non-ENG'!$A$1:$A$5000,1,FALSE),"ERROR")=B618&amp;"PT","Y","")),"")</f>
        <v/>
      </c>
      <c r="I618" t="str">
        <f>IFERROR(VLOOKUP(B618,PN!$A:$C,3,FALSE),"")</f>
        <v>Active</v>
      </c>
      <c r="J618" s="3">
        <f>IFERROR(E618*VLOOKUP(B618,PLInter!$A:$D,3,FALSE),"")</f>
        <v>1067</v>
      </c>
      <c r="K618" s="66"/>
      <c r="L618" s="66"/>
      <c r="M618" s="66"/>
      <c r="N618" s="66"/>
      <c r="O618" s="66"/>
      <c r="P618" s="66"/>
      <c r="Q618" s="66"/>
      <c r="R618" s="66"/>
      <c r="S618" s="66"/>
    </row>
    <row r="619" spans="1:19" ht="18" customHeight="1">
      <c r="B619" t="s">
        <v>644</v>
      </c>
      <c r="C619" t="s">
        <v>645</v>
      </c>
      <c r="D619" s="4"/>
      <c r="E619" s="4">
        <v>1</v>
      </c>
      <c r="F619" s="4"/>
      <c r="G619" s="29" t="str">
        <f>IFERROR(HYPERLINK("#"&amp;ADDRESS(MATCH(B619&amp;"ES",'LM7 Non-ENG'!$A$1:$A$5000,0),1,,,"LM7 Non-ENG"),IF(IFERROR(VLOOKUP(B619&amp;"ES",'LM7 Non-ENG'!$A$1:$A$4999,1,FALSE),"ERROR")=B619&amp;"ES","Y","")),"")</f>
        <v/>
      </c>
      <c r="H619" s="29" t="str">
        <f>IFERROR(HYPERLINK("#"&amp;ADDRESS(MATCH(B619&amp;"PT",'LM7 Non-ENG'!$A$1:$A$5000,0),1,,,"LM7 Non-ENG"),IF(IFERROR(VLOOKUP(B619&amp;"PT",'LM7 Non-ENG'!$A$1:$A$5000,1,FALSE),"ERROR")=B619&amp;"PT","Y","")),"")</f>
        <v/>
      </c>
      <c r="I619" t="str">
        <f>IFERROR(VLOOKUP(B619,PN!$A:$C,3,FALSE),"")</f>
        <v>Active</v>
      </c>
      <c r="J619" s="3">
        <f>IFERROR(E619*VLOOKUP(B619,PLInter!$A:$D,3,FALSE),"")</f>
        <v>1800</v>
      </c>
      <c r="K619" s="66"/>
      <c r="L619" s="66"/>
      <c r="M619" s="66"/>
      <c r="N619" s="66"/>
      <c r="O619" s="66"/>
      <c r="P619" s="66"/>
      <c r="Q619" s="66"/>
      <c r="R619" s="66"/>
      <c r="S619" s="66"/>
    </row>
    <row r="620" spans="1:19" ht="18" customHeight="1">
      <c r="B620" t="s">
        <v>630</v>
      </c>
      <c r="C620" t="s">
        <v>631</v>
      </c>
      <c r="D620" s="4"/>
      <c r="E620" s="4">
        <v>1</v>
      </c>
      <c r="F620" s="4"/>
      <c r="G620" s="29" t="str">
        <f>IFERROR(HYPERLINK("#"&amp;ADDRESS(MATCH(B620&amp;"ES",'LM7 Non-ENG'!$A$1:$A$5000,0),1,,,"LM7 Non-ENG"),IF(IFERROR(VLOOKUP(B620&amp;"ES",'LM7 Non-ENG'!$A$1:$A$4999,1,FALSE),"ERROR")=B620&amp;"ES","Y","")),"")</f>
        <v/>
      </c>
      <c r="H620" s="29" t="str">
        <f>IFERROR(HYPERLINK("#"&amp;ADDRESS(MATCH(B620&amp;"PT",'LM7 Non-ENG'!$A$1:$A$5000,0),1,,,"LM7 Non-ENG"),IF(IFERROR(VLOOKUP(B620&amp;"PT",'LM7 Non-ENG'!$A$1:$A$5000,1,FALSE),"ERROR")=B620&amp;"PT","Y","")),"")</f>
        <v/>
      </c>
      <c r="I620" t="str">
        <f>IFERROR(VLOOKUP(B620,PN!$A:$C,3,FALSE),"")</f>
        <v>Active</v>
      </c>
      <c r="J620" s="3">
        <f>IFERROR(E620*VLOOKUP(B620,PLInter!$A:$D,3,FALSE),"")</f>
        <v>1735</v>
      </c>
      <c r="K620" s="66"/>
      <c r="L620" s="66"/>
      <c r="M620" s="66"/>
      <c r="N620" s="66"/>
      <c r="O620" s="66"/>
      <c r="P620" s="66"/>
      <c r="Q620" s="66"/>
      <c r="R620" s="66"/>
      <c r="S620" s="66"/>
    </row>
    <row r="622" spans="1:19" s="7" customFormat="1" ht="18" customHeight="1">
      <c r="A622" s="13" t="s">
        <v>829</v>
      </c>
      <c r="B622" s="13"/>
      <c r="C622" s="13" t="s">
        <v>830</v>
      </c>
      <c r="D622" s="14"/>
      <c r="E622" s="14"/>
      <c r="F622" s="14"/>
      <c r="G622" s="14"/>
      <c r="H622" s="14"/>
      <c r="I622" s="14"/>
      <c r="J622" s="14">
        <f>SUMIFS(J623:J637,D623:D637,"&lt;&gt;Y",F623:F637,"&lt;&gt;Y",I623:I637,"&lt;&gt;Inactive",I623:I637,"&lt;&gt;ECO+NFS")</f>
        <v>48102</v>
      </c>
      <c r="K622" s="14"/>
      <c r="L622" s="14"/>
      <c r="M622" s="14"/>
      <c r="N622" s="14"/>
      <c r="O622" s="14"/>
      <c r="P622" s="14"/>
      <c r="Q622" s="14"/>
      <c r="R622" s="14"/>
      <c r="S622" s="14"/>
    </row>
    <row r="623" spans="1:19" ht="18" customHeight="1">
      <c r="A623" s="17" t="str">
        <f>HYPERLINK("#"&amp;ADDRESS(MATCH(A622,'CIM&amp;FMS'!$A$1:$A$4997,0),1,,,"CIM&amp;FMS"),"Back to Price List")</f>
        <v>Back to Price List</v>
      </c>
      <c r="B623" t="s">
        <v>214</v>
      </c>
      <c r="C623" t="s">
        <v>654</v>
      </c>
      <c r="D623" s="4"/>
      <c r="E623" s="4">
        <v>1</v>
      </c>
      <c r="F623" s="4"/>
      <c r="G623" s="29" t="str">
        <f>IFERROR(HYPERLINK("#"&amp;ADDRESS(MATCH(B623&amp;"ES",'LM7 Non-ENG'!$A$1:$A$5000,0),1,,,"LM7 Non-ENG"),IF(IFERROR(VLOOKUP(B623&amp;"ES",'LM7 Non-ENG'!$A$1:$A$4999,1,FALSE),"ERROR")=B623&amp;"ES","Y","")),"")</f>
        <v/>
      </c>
      <c r="H623" s="29" t="str">
        <f>IFERROR(HYPERLINK("#"&amp;ADDRESS(MATCH(B623&amp;"PT",'LM7 Non-ENG'!$A$1:$A$5000,0),1,,,"LM7 Non-ENG"),IF(IFERROR(VLOOKUP(B623&amp;"PT",'LM7 Non-ENG'!$A$1:$A$5000,1,FALSE),"ERROR")=B623&amp;"PT","Y","")),"")</f>
        <v/>
      </c>
      <c r="I623" t="str">
        <f>IFERROR(VLOOKUP(B623,PN!$A:$C,3,FALSE),"")</f>
        <v>Active</v>
      </c>
      <c r="J623" s="3">
        <f>IFERROR(E623*VLOOKUP(B623,PLInter!$A:$D,3,FALSE),"")</f>
        <v>24000</v>
      </c>
      <c r="K623" s="66"/>
      <c r="L623" s="66"/>
      <c r="M623" s="66"/>
      <c r="N623" s="66"/>
      <c r="O623" s="66"/>
      <c r="P623" s="66"/>
      <c r="Q623" s="66"/>
      <c r="R623" s="66"/>
      <c r="S623" s="66"/>
    </row>
    <row r="624" spans="1:19" ht="18" customHeight="1">
      <c r="B624" t="s">
        <v>228</v>
      </c>
      <c r="C624" t="s">
        <v>233</v>
      </c>
      <c r="D624" s="4"/>
      <c r="E624" s="4">
        <v>1</v>
      </c>
      <c r="F624" s="4"/>
      <c r="G624" s="29" t="str">
        <f>IFERROR(HYPERLINK("#"&amp;ADDRESS(MATCH(B624&amp;"ES",'LM7 Non-ENG'!$A$1:$A$5000,0),1,,,"LM7 Non-ENG"),IF(IFERROR(VLOOKUP(B624&amp;"ES",'LM7 Non-ENG'!$A$1:$A$4999,1,FALSE),"ERROR")=B624&amp;"ES","Y","")),"")</f>
        <v/>
      </c>
      <c r="H624" s="29" t="str">
        <f>IFERROR(HYPERLINK("#"&amp;ADDRESS(MATCH(B624&amp;"PT",'LM7 Non-ENG'!$A$1:$A$5000,0),1,,,"LM7 Non-ENG"),IF(IFERROR(VLOOKUP(B624&amp;"PT",'LM7 Non-ENG'!$A$1:$A$5000,1,FALSE),"ERROR")=B624&amp;"PT","Y","")),"")</f>
        <v/>
      </c>
      <c r="I624" t="str">
        <f>IFERROR(VLOOKUP(B624,PN!$A:$C,3,FALSE),"")</f>
        <v>Active</v>
      </c>
      <c r="J624" s="3">
        <f>IFERROR(E624*VLOOKUP(B624,PLInter!$A:$D,3,FALSE),"")</f>
        <v>2134</v>
      </c>
      <c r="K624" s="66"/>
      <c r="L624" s="66"/>
      <c r="M624" s="66"/>
      <c r="N624" s="66"/>
      <c r="O624" s="66"/>
      <c r="P624" s="66"/>
      <c r="Q624" s="66"/>
      <c r="R624" s="66"/>
      <c r="S624" s="66"/>
    </row>
    <row r="625" spans="1:19" ht="18" customHeight="1">
      <c r="B625" t="s">
        <v>236</v>
      </c>
      <c r="C625" t="s">
        <v>626</v>
      </c>
      <c r="D625" s="4"/>
      <c r="E625" s="4">
        <v>1</v>
      </c>
      <c r="F625" s="4"/>
      <c r="G625" s="29" t="str">
        <f>IFERROR(HYPERLINK("#"&amp;ADDRESS(MATCH(B625&amp;"ES",'LM7 Non-ENG'!$A$1:$A$5000,0),1,,,"LM7 Non-ENG"),IF(IFERROR(VLOOKUP(B625&amp;"ES",'LM7 Non-ENG'!$A$1:$A$4999,1,FALSE),"ERROR")=B625&amp;"ES","Y","")),"")</f>
        <v/>
      </c>
      <c r="H625" s="29" t="str">
        <f>IFERROR(HYPERLINK("#"&amp;ADDRESS(MATCH(B625&amp;"PT",'LM7 Non-ENG'!$A$1:$A$5000,0),1,,,"LM7 Non-ENG"),IF(IFERROR(VLOOKUP(B625&amp;"PT",'LM7 Non-ENG'!$A$1:$A$5000,1,FALSE),"ERROR")=B625&amp;"PT","Y","")),"")</f>
        <v/>
      </c>
      <c r="I625" t="str">
        <f>IFERROR(VLOOKUP(B625,PN!$A:$C,3,FALSE),"")</f>
        <v>Active</v>
      </c>
      <c r="J625" s="3">
        <f>IFERROR(E625*VLOOKUP(B625,PLInter!$A:$D,3,FALSE),"")</f>
        <v>1680</v>
      </c>
      <c r="K625" s="66"/>
      <c r="L625" s="66"/>
      <c r="M625" s="66"/>
      <c r="N625" s="66"/>
      <c r="O625" s="66"/>
      <c r="P625" s="66"/>
      <c r="Q625" s="66"/>
      <c r="R625" s="66"/>
      <c r="S625" s="66"/>
    </row>
    <row r="626" spans="1:19" ht="18" customHeight="1">
      <c r="B626" t="s">
        <v>243</v>
      </c>
      <c r="C626" t="s">
        <v>831</v>
      </c>
      <c r="D626" s="4"/>
      <c r="E626" s="4">
        <v>1</v>
      </c>
      <c r="F626" s="4"/>
      <c r="G626" s="29" t="str">
        <f>IFERROR(HYPERLINK("#"&amp;ADDRESS(MATCH(B626&amp;"ES",'LM7 Non-ENG'!$A$1:$A$5000,0),1,,,"LM7 Non-ENG"),IF(IFERROR(VLOOKUP(B626&amp;"ES",'LM7 Non-ENG'!$A$1:$A$4999,1,FALSE),"ERROR")=B626&amp;"ES","Y","")),"")</f>
        <v/>
      </c>
      <c r="H626" s="29" t="str">
        <f>IFERROR(HYPERLINK("#"&amp;ADDRESS(MATCH(B626&amp;"PT",'LM7 Non-ENG'!$A$1:$A$5000,0),1,,,"LM7 Non-ENG"),IF(IFERROR(VLOOKUP(B626&amp;"PT",'LM7 Non-ENG'!$A$1:$A$5000,1,FALSE),"ERROR")=B626&amp;"PT","Y","")),"")</f>
        <v/>
      </c>
      <c r="I626" t="str">
        <f>IFERROR(VLOOKUP(B626,PN!$A:$C,3,FALSE),"")</f>
        <v>Active</v>
      </c>
      <c r="J626" s="3">
        <f>IFERROR(E626*VLOOKUP(B626,PLInter!$A:$D,3,FALSE),"")</f>
        <v>7366</v>
      </c>
      <c r="K626" s="66"/>
      <c r="L626" s="66"/>
      <c r="M626" s="66"/>
      <c r="N626" s="66"/>
      <c r="O626" s="66"/>
      <c r="P626" s="66"/>
      <c r="Q626" s="66"/>
      <c r="R626" s="66"/>
      <c r="S626" s="66"/>
    </row>
    <row r="627" spans="1:19" ht="18" customHeight="1">
      <c r="B627" t="s">
        <v>684</v>
      </c>
      <c r="C627" t="s">
        <v>685</v>
      </c>
      <c r="D627" s="4"/>
      <c r="E627" s="4">
        <v>1</v>
      </c>
      <c r="F627" s="4"/>
      <c r="G627" s="29" t="str">
        <f>IFERROR(HYPERLINK("#"&amp;ADDRESS(MATCH(B627&amp;"ES",'LM7 Non-ENG'!$A$1:$A$5000,0),1,,,"LM7 Non-ENG"),IF(IFERROR(VLOOKUP(B627&amp;"ES",'LM7 Non-ENG'!$A$1:$A$4999,1,FALSE),"ERROR")=B627&amp;"ES","Y","")),"")</f>
        <v/>
      </c>
      <c r="H627" s="29" t="str">
        <f>IFERROR(HYPERLINK("#"&amp;ADDRESS(MATCH(B627&amp;"PT",'LM7 Non-ENG'!$A$1:$A$5000,0),1,,,"LM7 Non-ENG"),IF(IFERROR(VLOOKUP(B627&amp;"PT",'LM7 Non-ENG'!$A$1:$A$5000,1,FALSE),"ERROR")=B627&amp;"PT","Y","")),"")</f>
        <v/>
      </c>
      <c r="I627" t="str">
        <f>IFERROR(VLOOKUP(B627,PN!$A:$C,3,FALSE),"")</f>
        <v>Active</v>
      </c>
      <c r="J627" s="3">
        <f>IFERROR(E627*VLOOKUP(B627,PLInter!$A:$D,3,FALSE),"")</f>
        <v>580</v>
      </c>
      <c r="K627" s="66"/>
      <c r="L627" s="66"/>
      <c r="M627" s="66"/>
      <c r="N627" s="66"/>
      <c r="O627" s="66"/>
      <c r="P627" s="66"/>
      <c r="Q627" s="66"/>
      <c r="R627" s="66"/>
      <c r="S627" s="66"/>
    </row>
    <row r="628" spans="1:19" ht="18" customHeight="1">
      <c r="B628" t="str">
        <f>"021182"</f>
        <v>021182</v>
      </c>
      <c r="C628" t="s">
        <v>686</v>
      </c>
      <c r="D628" s="4"/>
      <c r="E628" s="4">
        <v>1</v>
      </c>
      <c r="F628" s="4"/>
      <c r="G628" s="29" t="str">
        <f>IFERROR(HYPERLINK("#"&amp;ADDRESS(MATCH(B628&amp;"ES",'LM7 Non-ENG'!$A$1:$A$5000,0),1,,,"LM7 Non-ENG"),IF(IFERROR(VLOOKUP(B628&amp;"ES",'LM7 Non-ENG'!$A$1:$A$4999,1,FALSE),"ERROR")=B628&amp;"ES","Y","")),"")</f>
        <v/>
      </c>
      <c r="H628" s="29" t="str">
        <f>IFERROR(HYPERLINK("#"&amp;ADDRESS(MATCH(B628&amp;"PT",'LM7 Non-ENG'!$A$1:$A$5000,0),1,,,"LM7 Non-ENG"),IF(IFERROR(VLOOKUP(B628&amp;"PT",'LM7 Non-ENG'!$A$1:$A$5000,1,FALSE),"ERROR")=B628&amp;"PT","Y","")),"")</f>
        <v/>
      </c>
      <c r="I628" t="str">
        <f>IFERROR(VLOOKUP(B628,PN!$A:$C,3,FALSE),"")</f>
        <v>Active</v>
      </c>
      <c r="J628" s="3">
        <f>IFERROR(E628*VLOOKUP(B628,PLInter!$A:$D,3,FALSE),"")</f>
        <v>16</v>
      </c>
      <c r="K628" s="66"/>
      <c r="L628" s="66"/>
      <c r="M628" s="66"/>
      <c r="N628" s="66"/>
      <c r="O628" s="66"/>
      <c r="P628" s="66"/>
      <c r="Q628" s="66"/>
      <c r="R628" s="66"/>
      <c r="S628" s="66"/>
    </row>
    <row r="629" spans="1:19" ht="18" customHeight="1">
      <c r="B629" t="s">
        <v>680</v>
      </c>
      <c r="C629" t="s">
        <v>681</v>
      </c>
      <c r="D629" s="4"/>
      <c r="E629" s="4">
        <v>1</v>
      </c>
      <c r="F629" s="4"/>
      <c r="G629" s="29" t="str">
        <f>IFERROR(HYPERLINK("#"&amp;ADDRESS(MATCH(B629&amp;"ES",'LM7 Non-ENG'!$A$1:$A$5000,0),1,,,"LM7 Non-ENG"),IF(IFERROR(VLOOKUP(B629&amp;"ES",'LM7 Non-ENG'!$A$1:$A$4999,1,FALSE),"ERROR")=B629&amp;"ES","Y","")),"")</f>
        <v/>
      </c>
      <c r="H629" s="29" t="str">
        <f>IFERROR(HYPERLINK("#"&amp;ADDRESS(MATCH(B629&amp;"PT",'LM7 Non-ENG'!$A$1:$A$5000,0),1,,,"LM7 Non-ENG"),IF(IFERROR(VLOOKUP(B629&amp;"PT",'LM7 Non-ENG'!$A$1:$A$5000,1,FALSE),"ERROR")=B629&amp;"PT","Y","")),"")</f>
        <v/>
      </c>
      <c r="I629" t="str">
        <f>IFERROR(VLOOKUP(B629,PN!$A:$C,3,FALSE),"")</f>
        <v>Active</v>
      </c>
      <c r="J629" s="3">
        <f>IFERROR(E629*VLOOKUP(B629,PLInter!$A:$D,3,FALSE),"")</f>
        <v>1440</v>
      </c>
      <c r="K629" s="66"/>
      <c r="L629" s="66"/>
      <c r="M629" s="66"/>
      <c r="N629" s="66"/>
      <c r="O629" s="66"/>
      <c r="P629" s="66"/>
      <c r="Q629" s="66"/>
      <c r="R629" s="66"/>
      <c r="S629" s="66"/>
    </row>
    <row r="630" spans="1:19" ht="18" customHeight="1">
      <c r="B630" t="str">
        <f>"034025"</f>
        <v>034025</v>
      </c>
      <c r="C630" t="s">
        <v>799</v>
      </c>
      <c r="D630" s="4"/>
      <c r="E630" s="4">
        <v>1</v>
      </c>
      <c r="F630" s="4"/>
      <c r="G630" s="29" t="str">
        <f>IFERROR(HYPERLINK("#"&amp;ADDRESS(MATCH(B630&amp;"ES",'LM7 Non-ENG'!$A$1:$A$5000,0),1,,,"LM7 Non-ENG"),IF(IFERROR(VLOOKUP(B630&amp;"ES",'LM7 Non-ENG'!$A$1:$A$4999,1,FALSE),"ERROR")=B630&amp;"ES","Y","")),"")</f>
        <v/>
      </c>
      <c r="H630" s="29" t="str">
        <f>IFERROR(HYPERLINK("#"&amp;ADDRESS(MATCH(B630&amp;"PT",'LM7 Non-ENG'!$A$1:$A$5000,0),1,,,"LM7 Non-ENG"),IF(IFERROR(VLOOKUP(B630&amp;"PT",'LM7 Non-ENG'!$A$1:$A$5000,1,FALSE),"ERROR")=B630&amp;"PT","Y","")),"")</f>
        <v/>
      </c>
      <c r="I630" t="str">
        <f>IFERROR(VLOOKUP(B630,PN!$A:$C,3,FALSE),"")</f>
        <v>Active</v>
      </c>
      <c r="J630" s="3">
        <f>IFERROR(E630*VLOOKUP(B630,PLInter!$A:$D,3,FALSE),"")</f>
        <v>1267</v>
      </c>
      <c r="K630" s="66"/>
      <c r="L630" s="66"/>
      <c r="M630" s="66"/>
      <c r="N630" s="66"/>
      <c r="O630" s="66"/>
      <c r="P630" s="66"/>
      <c r="Q630" s="66"/>
      <c r="R630" s="66"/>
      <c r="S630" s="66"/>
    </row>
    <row r="631" spans="1:19" ht="18" customHeight="1">
      <c r="B631" t="s">
        <v>778</v>
      </c>
      <c r="C631" t="s">
        <v>779</v>
      </c>
      <c r="D631" s="4"/>
      <c r="E631" s="4">
        <v>1</v>
      </c>
      <c r="F631" s="4"/>
      <c r="G631" s="29" t="str">
        <f>IFERROR(HYPERLINK("#"&amp;ADDRESS(MATCH(B631&amp;"ES",'LM7 Non-ENG'!$A$1:$A$5000,0),1,,,"LM7 Non-ENG"),IF(IFERROR(VLOOKUP(B631&amp;"ES",'LM7 Non-ENG'!$A$1:$A$4999,1,FALSE),"ERROR")=B631&amp;"ES","Y","")),"")</f>
        <v/>
      </c>
      <c r="H631" s="29" t="str">
        <f>IFERROR(HYPERLINK("#"&amp;ADDRESS(MATCH(B631&amp;"PT",'LM7 Non-ENG'!$A$1:$A$5000,0),1,,,"LM7 Non-ENG"),IF(IFERROR(VLOOKUP(B631&amp;"PT",'LM7 Non-ENG'!$A$1:$A$5000,1,FALSE),"ERROR")=B631&amp;"PT","Y","")),"")</f>
        <v/>
      </c>
      <c r="I631" t="str">
        <f>IFERROR(VLOOKUP(B631,PN!$A:$C,3,FALSE),"")</f>
        <v>Active</v>
      </c>
      <c r="J631" s="3">
        <f>IFERROR(E631*VLOOKUP(B631,PLInter!$A:$D,3,FALSE),"")</f>
        <v>1920</v>
      </c>
      <c r="K631" s="66"/>
      <c r="L631" s="66"/>
      <c r="M631" s="66"/>
      <c r="N631" s="66"/>
      <c r="O631" s="66"/>
      <c r="P631" s="66"/>
      <c r="Q631" s="66"/>
      <c r="R631" s="66"/>
      <c r="S631" s="66"/>
    </row>
    <row r="632" spans="1:19" ht="18" customHeight="1">
      <c r="B632" t="s">
        <v>689</v>
      </c>
      <c r="C632" t="s">
        <v>690</v>
      </c>
      <c r="D632" s="4"/>
      <c r="E632" s="4">
        <v>1</v>
      </c>
      <c r="F632" s="4"/>
      <c r="G632" s="29" t="str">
        <f>IFERROR(HYPERLINK("#"&amp;ADDRESS(MATCH(B632&amp;"ES",'LM7 Non-ENG'!$A$1:$A$5000,0),1,,,"LM7 Non-ENG"),IF(IFERROR(VLOOKUP(B632&amp;"ES",'LM7 Non-ENG'!$A$1:$A$4999,1,FALSE),"ERROR")=B632&amp;"ES","Y","")),"")</f>
        <v/>
      </c>
      <c r="H632" s="29" t="str">
        <f>IFERROR(HYPERLINK("#"&amp;ADDRESS(MATCH(B632&amp;"PT",'LM7 Non-ENG'!$A$1:$A$5000,0),1,,,"LM7 Non-ENG"),IF(IFERROR(VLOOKUP(B632&amp;"PT",'LM7 Non-ENG'!$A$1:$A$5000,1,FALSE),"ERROR")=B632&amp;"PT","Y","")),"")</f>
        <v/>
      </c>
      <c r="I632" t="str">
        <f>IFERROR(VLOOKUP(B632,PN!$A:$C,3,FALSE),"")</f>
        <v>Active</v>
      </c>
      <c r="J632" s="3">
        <f>IFERROR(E632*VLOOKUP(B632,PLInter!$A:$D,3,FALSE),"")</f>
        <v>2000</v>
      </c>
      <c r="K632" s="66"/>
      <c r="L632" s="66"/>
      <c r="M632" s="66"/>
      <c r="N632" s="66"/>
      <c r="O632" s="66"/>
      <c r="P632" s="66"/>
      <c r="Q632" s="66"/>
      <c r="R632" s="66"/>
      <c r="S632" s="66"/>
    </row>
    <row r="633" spans="1:19" ht="18" customHeight="1">
      <c r="B633" t="str">
        <f>"021152"</f>
        <v>021152</v>
      </c>
      <c r="C633" s="41" t="s">
        <v>679</v>
      </c>
      <c r="D633" s="4"/>
      <c r="E633" s="4">
        <v>2</v>
      </c>
      <c r="F633" s="4"/>
      <c r="G633" s="29" t="str">
        <f>IFERROR(HYPERLINK("#"&amp;ADDRESS(MATCH(B633&amp;"ES",'LM7 Non-ENG'!$A$1:$A$5000,0),1,,,"LM7 Non-ENG"),IF(IFERROR(VLOOKUP(B633&amp;"ES",'LM7 Non-ENG'!$A$1:$A$4999,1,FALSE),"ERROR")=B633&amp;"ES","Y","")),"")</f>
        <v/>
      </c>
      <c r="H633" s="29" t="str">
        <f>IFERROR(HYPERLINK("#"&amp;ADDRESS(MATCH(B633&amp;"PT",'LM7 Non-ENG'!$A$1:$A$5000,0),1,,,"LM7 Non-ENG"),IF(IFERROR(VLOOKUP(B633&amp;"PT",'LM7 Non-ENG'!$A$1:$A$5000,1,FALSE),"ERROR")=B633&amp;"PT","Y","")),"")</f>
        <v/>
      </c>
      <c r="I633" t="str">
        <f>IFERROR(VLOOKUP(B633,PN!$A:$C,3,FALSE),"")</f>
        <v>Active</v>
      </c>
      <c r="J633" s="3">
        <f>IFERROR(E633*VLOOKUP(B633,PLInter!$A:$D,3,FALSE),"")</f>
        <v>480</v>
      </c>
      <c r="K633" s="66"/>
      <c r="L633" s="66"/>
      <c r="M633" s="66"/>
      <c r="N633" s="66"/>
      <c r="O633" s="66"/>
      <c r="P633" s="66"/>
      <c r="Q633" s="66"/>
      <c r="R633" s="66"/>
      <c r="S633" s="66"/>
    </row>
    <row r="634" spans="1:19" ht="18" customHeight="1">
      <c r="B634" t="str">
        <f>"113034"</f>
        <v>113034</v>
      </c>
      <c r="C634" t="s">
        <v>695</v>
      </c>
      <c r="D634" s="4"/>
      <c r="E634" s="4">
        <v>50</v>
      </c>
      <c r="F634" s="4"/>
      <c r="G634" s="29" t="str">
        <f>IFERROR(HYPERLINK("#"&amp;ADDRESS(MATCH(B634&amp;"ES",'LM7 Non-ENG'!$A$1:$A$5000,0),1,,,"LM7 Non-ENG"),IF(IFERROR(VLOOKUP(B634&amp;"ES",'LM7 Non-ENG'!$A$1:$A$4999,1,FALSE),"ERROR")=B634&amp;"ES","Y","")),"")</f>
        <v/>
      </c>
      <c r="H634" s="29" t="str">
        <f>IFERROR(HYPERLINK("#"&amp;ADDRESS(MATCH(B634&amp;"PT",'LM7 Non-ENG'!$A$1:$A$5000,0),1,,,"LM7 Non-ENG"),IF(IFERROR(VLOOKUP(B634&amp;"PT",'LM7 Non-ENG'!$A$1:$A$5000,1,FALSE),"ERROR")=B634&amp;"PT","Y","")),"")</f>
        <v/>
      </c>
      <c r="I634" t="str">
        <f>IFERROR(VLOOKUP(B634,PN!$A:$C,3,FALSE),"")</f>
        <v>Active</v>
      </c>
      <c r="J634" s="3">
        <f>IFERROR(E634*VLOOKUP(B634,PLInter!$A:$D,3,FALSE),"")</f>
        <v>750</v>
      </c>
      <c r="K634" s="66"/>
      <c r="L634" s="66"/>
      <c r="M634" s="66"/>
      <c r="N634" s="66"/>
      <c r="O634" s="66"/>
      <c r="P634" s="66"/>
      <c r="Q634" s="66"/>
      <c r="R634" s="66"/>
      <c r="S634" s="66"/>
    </row>
    <row r="635" spans="1:19" ht="18" customHeight="1">
      <c r="B635" t="s">
        <v>644</v>
      </c>
      <c r="C635" t="s">
        <v>645</v>
      </c>
      <c r="D635" s="4"/>
      <c r="E635" s="4">
        <v>1</v>
      </c>
      <c r="F635" s="4"/>
      <c r="G635" s="29" t="str">
        <f>IFERROR(HYPERLINK("#"&amp;ADDRESS(MATCH(B635&amp;"ES",'LM7 Non-ENG'!$A$1:$A$5000,0),1,,,"LM7 Non-ENG"),IF(IFERROR(VLOOKUP(B635&amp;"ES",'LM7 Non-ENG'!$A$1:$A$4999,1,FALSE),"ERROR")=B635&amp;"ES","Y","")),"")</f>
        <v/>
      </c>
      <c r="H635" s="29" t="str">
        <f>IFERROR(HYPERLINK("#"&amp;ADDRESS(MATCH(B635&amp;"PT",'LM7 Non-ENG'!$A$1:$A$5000,0),1,,,"LM7 Non-ENG"),IF(IFERROR(VLOOKUP(B635&amp;"PT",'LM7 Non-ENG'!$A$1:$A$5000,1,FALSE),"ERROR")=B635&amp;"PT","Y","")),"")</f>
        <v/>
      </c>
      <c r="I635" t="str">
        <f>IFERROR(VLOOKUP(B635,PN!$A:$C,3,FALSE),"")</f>
        <v>Active</v>
      </c>
      <c r="J635" s="3">
        <f>IFERROR(E635*VLOOKUP(B635,PLInter!$A:$D,3,FALSE),"")</f>
        <v>1800</v>
      </c>
      <c r="K635" s="66"/>
      <c r="L635" s="66"/>
      <c r="M635" s="66"/>
      <c r="N635" s="66"/>
      <c r="O635" s="66"/>
      <c r="P635" s="66"/>
      <c r="Q635" s="66"/>
      <c r="R635" s="66"/>
      <c r="S635" s="66"/>
    </row>
    <row r="636" spans="1:19" ht="18" customHeight="1">
      <c r="B636" t="s">
        <v>697</v>
      </c>
      <c r="C636" t="s">
        <v>698</v>
      </c>
      <c r="D636" s="4"/>
      <c r="E636" s="4">
        <v>1</v>
      </c>
      <c r="F636" s="4"/>
      <c r="G636" s="29" t="str">
        <f>IFERROR(HYPERLINK("#"&amp;ADDRESS(MATCH(B636&amp;"ES",'LM7 Non-ENG'!$A$1:$A$5000,0),1,,,"LM7 Non-ENG"),IF(IFERROR(VLOOKUP(B636&amp;"ES",'LM7 Non-ENG'!$A$1:$A$4999,1,FALSE),"ERROR")=B636&amp;"ES","Y","")),"")</f>
        <v/>
      </c>
      <c r="H636" s="29" t="str">
        <f>IFERROR(HYPERLINK("#"&amp;ADDRESS(MATCH(B636&amp;"PT",'LM7 Non-ENG'!$A$1:$A$5000,0),1,,,"LM7 Non-ENG"),IF(IFERROR(VLOOKUP(B636&amp;"PT",'LM7 Non-ENG'!$A$1:$A$5000,1,FALSE),"ERROR")=B636&amp;"PT","Y","")),"")</f>
        <v/>
      </c>
      <c r="I636" t="str">
        <f>IFERROR(VLOOKUP(B636,PN!$A:$C,3,FALSE),"")</f>
        <v>Active</v>
      </c>
      <c r="J636" s="3">
        <f>IFERROR(E636*VLOOKUP(B636,PLInter!$A:$D,3,FALSE),"")</f>
        <v>934</v>
      </c>
      <c r="K636" s="66"/>
      <c r="L636" s="66"/>
      <c r="M636" s="66"/>
      <c r="N636" s="66"/>
      <c r="O636" s="66"/>
      <c r="P636" s="66"/>
      <c r="Q636" s="66"/>
      <c r="R636" s="66"/>
      <c r="S636" s="66"/>
    </row>
    <row r="637" spans="1:19" ht="18" customHeight="1">
      <c r="B637" t="s">
        <v>630</v>
      </c>
      <c r="C637" t="s">
        <v>631</v>
      </c>
      <c r="D637" s="4"/>
      <c r="E637" s="4">
        <v>1</v>
      </c>
      <c r="F637" s="4"/>
      <c r="G637" s="29" t="str">
        <f>IFERROR(HYPERLINK("#"&amp;ADDRESS(MATCH(B637&amp;"ES",'LM7 Non-ENG'!$A$1:$A$5000,0),1,,,"LM7 Non-ENG"),IF(IFERROR(VLOOKUP(B637&amp;"ES",'LM7 Non-ENG'!$A$1:$A$4999,1,FALSE),"ERROR")=B637&amp;"ES","Y","")),"")</f>
        <v/>
      </c>
      <c r="H637" s="29" t="str">
        <f>IFERROR(HYPERLINK("#"&amp;ADDRESS(MATCH(B637&amp;"PT",'LM7 Non-ENG'!$A$1:$A$5000,0),1,,,"LM7 Non-ENG"),IF(IFERROR(VLOOKUP(B637&amp;"PT",'LM7 Non-ENG'!$A$1:$A$5000,1,FALSE),"ERROR")=B637&amp;"PT","Y","")),"")</f>
        <v/>
      </c>
      <c r="I637" t="str">
        <f>IFERROR(VLOOKUP(B637,PN!$A:$C,3,FALSE),"")</f>
        <v>Active</v>
      </c>
      <c r="J637" s="3">
        <f>IFERROR(E637*VLOOKUP(B637,PLInter!$A:$D,3,FALSE),"")</f>
        <v>1735</v>
      </c>
      <c r="K637" s="66"/>
      <c r="L637" s="66"/>
      <c r="M637" s="66"/>
      <c r="N637" s="66"/>
      <c r="O637" s="66"/>
      <c r="P637" s="66"/>
      <c r="Q637" s="66"/>
      <c r="R637" s="66"/>
      <c r="S637" s="66"/>
    </row>
    <row r="639" spans="1:19" s="7" customFormat="1" ht="18" customHeight="1">
      <c r="A639" s="13" t="s">
        <v>832</v>
      </c>
      <c r="B639" s="13"/>
      <c r="C639" s="13" t="s">
        <v>833</v>
      </c>
      <c r="D639" s="14"/>
      <c r="E639" s="14"/>
      <c r="F639" s="14"/>
      <c r="G639" s="14"/>
      <c r="H639" s="14"/>
      <c r="I639" s="14"/>
      <c r="J639" s="14">
        <f>SUMIFS(J640:J694,D640:D694,"&lt;&gt;Y",F640:F694,"&lt;&gt;Y",I640:I694,"&lt;&gt;Inactive",I640:I694,"&lt;&gt;ECO+NFS")</f>
        <v>111443</v>
      </c>
      <c r="K639" s="14"/>
      <c r="L639" s="14"/>
      <c r="M639" s="14"/>
      <c r="N639" s="14"/>
      <c r="O639" s="14"/>
      <c r="P639" s="14"/>
      <c r="Q639" s="14"/>
      <c r="R639" s="14"/>
      <c r="S639" s="14"/>
    </row>
    <row r="640" spans="1:19" ht="18" customHeight="1">
      <c r="A640" s="17" t="str">
        <f>HYPERLINK("#"&amp;ADDRESS(MATCH(A639,'CIM&amp;FMS'!$A$1:$A$4997,0),1,,,"CIM&amp;FMS"),"Back to Price List")</f>
        <v>Back to Price List</v>
      </c>
      <c r="B640" t="s">
        <v>214</v>
      </c>
      <c r="C640" t="s">
        <v>654</v>
      </c>
      <c r="D640" s="4"/>
      <c r="E640" s="4">
        <v>1</v>
      </c>
      <c r="F640" s="4"/>
      <c r="G640" s="29" t="str">
        <f>IFERROR(HYPERLINK("#"&amp;ADDRESS(MATCH(B640&amp;"ES",'LM7 Non-ENG'!$A$1:$A$5000,0),1,,,"LM7 Non-ENG"),IF(IFERROR(VLOOKUP(B640&amp;"ES",'LM7 Non-ENG'!$A$1:$A$4999,1,FALSE),"ERROR")=B640&amp;"ES","Y","")),"")</f>
        <v/>
      </c>
      <c r="H640" s="29" t="str">
        <f>IFERROR(HYPERLINK("#"&amp;ADDRESS(MATCH(B640&amp;"PT",'LM7 Non-ENG'!$A$1:$A$5000,0),1,,,"LM7 Non-ENG"),IF(IFERROR(VLOOKUP(B640&amp;"PT",'LM7 Non-ENG'!$A$1:$A$5000,1,FALSE),"ERROR")=B640&amp;"PT","Y","")),"")</f>
        <v/>
      </c>
      <c r="I640" t="str">
        <f>IFERROR(VLOOKUP(B640,PN!$A:$C,3,FALSE),"")</f>
        <v>Active</v>
      </c>
      <c r="J640" s="3">
        <f>IFERROR(E640*VLOOKUP(B640,PLInter!$A:$D,3,FALSE),"")</f>
        <v>24000</v>
      </c>
      <c r="K640" s="66"/>
      <c r="L640" s="66"/>
      <c r="M640" s="66"/>
      <c r="N640" s="66"/>
      <c r="O640" s="66"/>
      <c r="P640" s="66"/>
      <c r="Q640" s="66"/>
      <c r="R640" s="66"/>
      <c r="S640" s="66"/>
    </row>
    <row r="641" spans="2:19" ht="18" customHeight="1">
      <c r="B641" t="s">
        <v>228</v>
      </c>
      <c r="C641" t="s">
        <v>655</v>
      </c>
      <c r="D641" s="4"/>
      <c r="E641" s="4">
        <v>1</v>
      </c>
      <c r="F641" s="4"/>
      <c r="G641" s="29" t="str">
        <f>IFERROR(HYPERLINK("#"&amp;ADDRESS(MATCH(B641&amp;"ES",'LM7 Non-ENG'!$A$1:$A$5000,0),1,,,"LM7 Non-ENG"),IF(IFERROR(VLOOKUP(B641&amp;"ES",'LM7 Non-ENG'!$A$1:$A$4999,1,FALSE),"ERROR")=B641&amp;"ES","Y","")),"")</f>
        <v/>
      </c>
      <c r="H641" s="29" t="str">
        <f>IFERROR(HYPERLINK("#"&amp;ADDRESS(MATCH(B641&amp;"PT",'LM7 Non-ENG'!$A$1:$A$5000,0),1,,,"LM7 Non-ENG"),IF(IFERROR(VLOOKUP(B641&amp;"PT",'LM7 Non-ENG'!$A$1:$A$5000,1,FALSE),"ERROR")=B641&amp;"PT","Y","")),"")</f>
        <v/>
      </c>
      <c r="I641" t="str">
        <f>IFERROR(VLOOKUP(B641,PN!$A:$C,3,FALSE),"")</f>
        <v>Active</v>
      </c>
      <c r="J641" s="3">
        <f>IFERROR(E641*VLOOKUP(B641,PLInter!$A:$D,3,FALSE),"")</f>
        <v>2134</v>
      </c>
      <c r="K641" s="66"/>
      <c r="L641" s="66"/>
      <c r="M641" s="66"/>
      <c r="N641" s="66"/>
      <c r="O641" s="66"/>
      <c r="P641" s="66"/>
      <c r="Q641" s="66"/>
      <c r="R641" s="66"/>
      <c r="S641" s="66"/>
    </row>
    <row r="642" spans="2:19" ht="18" customHeight="1">
      <c r="B642" s="2" t="s">
        <v>227</v>
      </c>
      <c r="C642" s="2" t="s">
        <v>232</v>
      </c>
      <c r="D642" s="5"/>
      <c r="E642" s="5">
        <v>1</v>
      </c>
      <c r="F642" s="5" t="s">
        <v>0</v>
      </c>
      <c r="G642" s="29" t="str">
        <f>IFERROR(HYPERLINK("#"&amp;ADDRESS(MATCH(B642&amp;"ES",'LM7 Non-ENG'!$A$1:$A$5000,0),1,,,"LM7 Non-ENG"),IF(IFERROR(VLOOKUP(B642&amp;"ES",'LM7 Non-ENG'!$A$1:$A$4999,1,FALSE),"ERROR")=B642&amp;"ES","Y","")),"")</f>
        <v/>
      </c>
      <c r="H642" s="29" t="str">
        <f>IFERROR(HYPERLINK("#"&amp;ADDRESS(MATCH(B642&amp;"PT",'LM7 Non-ENG'!$A$1:$A$5000,0),1,,,"LM7 Non-ENG"),IF(IFERROR(VLOOKUP(B642&amp;"PT",'LM7 Non-ENG'!$A$1:$A$5000,1,FALSE),"ERROR")=B642&amp;"PT","Y","")),"")</f>
        <v/>
      </c>
      <c r="I642" t="str">
        <f>IFERROR(VLOOKUP(B642,PN!$A:$C,3,FALSE),"")</f>
        <v>Active</v>
      </c>
      <c r="J642" s="3">
        <f>IFERROR(E642*VLOOKUP(B642,PLInter!$A:$D,3,FALSE),"")</f>
        <v>1700</v>
      </c>
      <c r="K642" s="66"/>
      <c r="L642" s="66"/>
      <c r="M642" s="66"/>
      <c r="N642" s="66"/>
      <c r="O642" s="66"/>
      <c r="P642" s="66"/>
      <c r="Q642" s="66"/>
      <c r="R642" s="66"/>
      <c r="S642" s="66"/>
    </row>
    <row r="643" spans="2:19" ht="18" customHeight="1">
      <c r="B643" t="s">
        <v>236</v>
      </c>
      <c r="C643" t="s">
        <v>626</v>
      </c>
      <c r="D643" s="4"/>
      <c r="E643" s="4">
        <v>1</v>
      </c>
      <c r="F643" s="4"/>
      <c r="G643" s="29" t="str">
        <f>IFERROR(HYPERLINK("#"&amp;ADDRESS(MATCH(B643&amp;"ES",'LM7 Non-ENG'!$A$1:$A$5000,0),1,,,"LM7 Non-ENG"),IF(IFERROR(VLOOKUP(B643&amp;"ES",'LM7 Non-ENG'!$A$1:$A$4999,1,FALSE),"ERROR")=B643&amp;"ES","Y","")),"")</f>
        <v/>
      </c>
      <c r="H643" s="29" t="str">
        <f>IFERROR(HYPERLINK("#"&amp;ADDRESS(MATCH(B643&amp;"PT",'LM7 Non-ENG'!$A$1:$A$5000,0),1,,,"LM7 Non-ENG"),IF(IFERROR(VLOOKUP(B643&amp;"PT",'LM7 Non-ENG'!$A$1:$A$5000,1,FALSE),"ERROR")=B643&amp;"PT","Y","")),"")</f>
        <v/>
      </c>
      <c r="I643" t="str">
        <f>IFERROR(VLOOKUP(B643,PN!$A:$C,3,FALSE),"")</f>
        <v>Active</v>
      </c>
      <c r="J643" s="3">
        <f>IFERROR(E643*VLOOKUP(B643,PLInter!$A:$D,3,FALSE),"")</f>
        <v>1680</v>
      </c>
      <c r="K643" s="66"/>
      <c r="L643" s="66"/>
      <c r="M643" s="66"/>
      <c r="N643" s="66"/>
      <c r="O643" s="66"/>
      <c r="P643" s="66"/>
      <c r="Q643" s="66"/>
      <c r="R643" s="66"/>
      <c r="S643" s="66"/>
    </row>
    <row r="644" spans="2:19" ht="18" customHeight="1">
      <c r="B644" t="s">
        <v>772</v>
      </c>
      <c r="C644" t="s">
        <v>776</v>
      </c>
      <c r="D644" s="4"/>
      <c r="E644" s="4">
        <v>1</v>
      </c>
      <c r="F644" s="4"/>
      <c r="G644" s="29" t="str">
        <f>IFERROR(HYPERLINK("#"&amp;ADDRESS(MATCH(B644&amp;"ES",'LM7 Non-ENG'!$A$1:$A$5000,0),1,,,"LM7 Non-ENG"),IF(IFERROR(VLOOKUP(B644&amp;"ES",'LM7 Non-ENG'!$A$1:$A$4999,1,FALSE),"ERROR")=B644&amp;"ES","Y","")),"")</f>
        <v/>
      </c>
      <c r="H644" s="29" t="str">
        <f>IFERROR(HYPERLINK("#"&amp;ADDRESS(MATCH(B644&amp;"PT",'LM7 Non-ENG'!$A$1:$A$5000,0),1,,,"LM7 Non-ENG"),IF(IFERROR(VLOOKUP(B644&amp;"PT",'LM7 Non-ENG'!$A$1:$A$5000,1,FALSE),"ERROR")=B644&amp;"PT","Y","")),"")</f>
        <v/>
      </c>
      <c r="I644" t="str">
        <f>IFERROR(VLOOKUP(B644,PN!$A:$C,3,FALSE),"")</f>
        <v>Active</v>
      </c>
      <c r="J644" s="3">
        <f>IFERROR(E644*VLOOKUP(B644,PLInter!$A:$D,3,FALSE),"")</f>
        <v>8267</v>
      </c>
      <c r="K644" s="66"/>
      <c r="L644" s="66"/>
      <c r="M644" s="66"/>
      <c r="N644" s="66"/>
      <c r="O644" s="66"/>
      <c r="P644" s="66"/>
      <c r="Q644" s="66"/>
      <c r="R644" s="66"/>
      <c r="S644" s="66"/>
    </row>
    <row r="645" spans="2:19" ht="18" customHeight="1">
      <c r="B645" t="str">
        <f>"034025"</f>
        <v>034025</v>
      </c>
      <c r="C645" t="s">
        <v>834</v>
      </c>
      <c r="D645" s="4"/>
      <c r="E645" s="4">
        <v>1</v>
      </c>
      <c r="F645" s="4"/>
      <c r="G645" s="29" t="str">
        <f>IFERROR(HYPERLINK("#"&amp;ADDRESS(MATCH(B645&amp;"ES",'LM7 Non-ENG'!$A$1:$A$5000,0),1,,,"LM7 Non-ENG"),IF(IFERROR(VLOOKUP(B645&amp;"ES",'LM7 Non-ENG'!$A$1:$A$4999,1,FALSE),"ERROR")=B645&amp;"ES","Y","")),"")</f>
        <v/>
      </c>
      <c r="H645" s="29" t="str">
        <f>IFERROR(HYPERLINK("#"&amp;ADDRESS(MATCH(B645&amp;"PT",'LM7 Non-ENG'!$A$1:$A$5000,0),1,,,"LM7 Non-ENG"),IF(IFERROR(VLOOKUP(B645&amp;"PT",'LM7 Non-ENG'!$A$1:$A$5000,1,FALSE),"ERROR")=B645&amp;"PT","Y","")),"")</f>
        <v/>
      </c>
      <c r="I645" t="str">
        <f>IFERROR(VLOOKUP(B645,PN!$A:$C,3,FALSE),"")</f>
        <v>Active</v>
      </c>
      <c r="J645" s="3">
        <f>IFERROR(E645*VLOOKUP(B645,PLInter!$A:$D,3,FALSE),"")</f>
        <v>1267</v>
      </c>
      <c r="K645" s="66"/>
      <c r="L645" s="66"/>
      <c r="M645" s="66"/>
      <c r="N645" s="66"/>
      <c r="O645" s="66"/>
      <c r="P645" s="66"/>
      <c r="Q645" s="66"/>
      <c r="R645" s="66"/>
      <c r="S645" s="66"/>
    </row>
    <row r="646" spans="2:19" ht="18" customHeight="1">
      <c r="B646" t="s">
        <v>680</v>
      </c>
      <c r="C646" t="s">
        <v>681</v>
      </c>
      <c r="D646" s="4"/>
      <c r="E646" s="4">
        <v>1</v>
      </c>
      <c r="F646" s="4"/>
      <c r="G646" s="29" t="str">
        <f>IFERROR(HYPERLINK("#"&amp;ADDRESS(MATCH(B646&amp;"ES",'LM7 Non-ENG'!$A$1:$A$5000,0),1,,,"LM7 Non-ENG"),IF(IFERROR(VLOOKUP(B646&amp;"ES",'LM7 Non-ENG'!$A$1:$A$4999,1,FALSE),"ERROR")=B646&amp;"ES","Y","")),"")</f>
        <v/>
      </c>
      <c r="H646" s="29" t="str">
        <f>IFERROR(HYPERLINK("#"&amp;ADDRESS(MATCH(B646&amp;"PT",'LM7 Non-ENG'!$A$1:$A$5000,0),1,,,"LM7 Non-ENG"),IF(IFERROR(VLOOKUP(B646&amp;"PT",'LM7 Non-ENG'!$A$1:$A$5000,1,FALSE),"ERROR")=B646&amp;"PT","Y","")),"")</f>
        <v/>
      </c>
      <c r="I646" t="str">
        <f>IFERROR(VLOOKUP(B646,PN!$A:$C,3,FALSE),"")</f>
        <v>Active</v>
      </c>
      <c r="J646" s="3">
        <f>IFERROR(E646*VLOOKUP(B646,PLInter!$A:$D,3,FALSE),"")</f>
        <v>1440</v>
      </c>
      <c r="K646" s="66"/>
      <c r="L646" s="66"/>
      <c r="M646" s="66"/>
      <c r="N646" s="66"/>
      <c r="O646" s="66"/>
      <c r="P646" s="66"/>
      <c r="Q646" s="66"/>
      <c r="R646" s="66"/>
      <c r="S646" s="66"/>
    </row>
    <row r="647" spans="2:19" ht="18" customHeight="1">
      <c r="B647" t="s">
        <v>682</v>
      </c>
      <c r="C647" t="s">
        <v>683</v>
      </c>
      <c r="D647" s="4"/>
      <c r="E647" s="4">
        <v>1</v>
      </c>
      <c r="F647" s="4"/>
      <c r="G647" s="29" t="str">
        <f>IFERROR(HYPERLINK("#"&amp;ADDRESS(MATCH(B647&amp;"ES",'LM7 Non-ENG'!$A$1:$A$5000,0),1,,,"LM7 Non-ENG"),IF(IFERROR(VLOOKUP(B647&amp;"ES",'LM7 Non-ENG'!$A$1:$A$4999,1,FALSE),"ERROR")=B647&amp;"ES","Y","")),"")</f>
        <v/>
      </c>
      <c r="H647" s="29" t="str">
        <f>IFERROR(HYPERLINK("#"&amp;ADDRESS(MATCH(B647&amp;"PT",'LM7 Non-ENG'!$A$1:$A$5000,0),1,,,"LM7 Non-ENG"),IF(IFERROR(VLOOKUP(B647&amp;"PT",'LM7 Non-ENG'!$A$1:$A$5000,1,FALSE),"ERROR")=B647&amp;"PT","Y","")),"")</f>
        <v/>
      </c>
      <c r="I647" t="str">
        <f>IFERROR(VLOOKUP(B647,PN!$A:$C,3,FALSE),"")</f>
        <v>Active</v>
      </c>
      <c r="J647" s="3">
        <f>IFERROR(E647*VLOOKUP(B647,PLInter!$A:$D,3,FALSE),"")</f>
        <v>494</v>
      </c>
      <c r="K647" s="66"/>
      <c r="L647" s="66"/>
      <c r="M647" s="66"/>
      <c r="N647" s="66"/>
      <c r="O647" s="66"/>
      <c r="P647" s="66"/>
      <c r="Q647" s="66"/>
      <c r="R647" s="66"/>
      <c r="S647" s="66"/>
    </row>
    <row r="648" spans="2:19" ht="18" customHeight="1">
      <c r="B648" t="s">
        <v>684</v>
      </c>
      <c r="C648" t="s">
        <v>685</v>
      </c>
      <c r="D648" s="4"/>
      <c r="E648" s="4">
        <v>2</v>
      </c>
      <c r="F648" s="4"/>
      <c r="G648" s="29" t="str">
        <f>IFERROR(HYPERLINK("#"&amp;ADDRESS(MATCH(B648&amp;"ES",'LM7 Non-ENG'!$A$1:$A$5000,0),1,,,"LM7 Non-ENG"),IF(IFERROR(VLOOKUP(B648&amp;"ES",'LM7 Non-ENG'!$A$1:$A$4999,1,FALSE),"ERROR")=B648&amp;"ES","Y","")),"")</f>
        <v/>
      </c>
      <c r="H648" s="29" t="str">
        <f>IFERROR(HYPERLINK("#"&amp;ADDRESS(MATCH(B648&amp;"PT",'LM7 Non-ENG'!$A$1:$A$5000,0),1,,,"LM7 Non-ENG"),IF(IFERROR(VLOOKUP(B648&amp;"PT",'LM7 Non-ENG'!$A$1:$A$5000,1,FALSE),"ERROR")=B648&amp;"PT","Y","")),"")</f>
        <v/>
      </c>
      <c r="I648" t="str">
        <f>IFERROR(VLOOKUP(B648,PN!$A:$C,3,FALSE),"")</f>
        <v>Active</v>
      </c>
      <c r="J648" s="3">
        <f>IFERROR(E648*VLOOKUP(B648,PLInter!$A:$D,3,FALSE),"")</f>
        <v>1160</v>
      </c>
      <c r="K648" s="66"/>
      <c r="L648" s="66"/>
      <c r="M648" s="66"/>
      <c r="N648" s="66"/>
      <c r="O648" s="66"/>
      <c r="P648" s="66"/>
      <c r="Q648" s="66"/>
      <c r="R648" s="66"/>
      <c r="S648" s="66"/>
    </row>
    <row r="649" spans="2:19" ht="18" customHeight="1">
      <c r="B649" t="str">
        <f>"021182"</f>
        <v>021182</v>
      </c>
      <c r="C649" t="s">
        <v>686</v>
      </c>
      <c r="D649" s="4"/>
      <c r="E649" s="4">
        <v>2</v>
      </c>
      <c r="F649" s="4"/>
      <c r="G649" s="29" t="str">
        <f>IFERROR(HYPERLINK("#"&amp;ADDRESS(MATCH(B649&amp;"ES",'LM7 Non-ENG'!$A$1:$A$5000,0),1,,,"LM7 Non-ENG"),IF(IFERROR(VLOOKUP(B649&amp;"ES",'LM7 Non-ENG'!$A$1:$A$4999,1,FALSE),"ERROR")=B649&amp;"ES","Y","")),"")</f>
        <v/>
      </c>
      <c r="H649" s="29" t="str">
        <f>IFERROR(HYPERLINK("#"&amp;ADDRESS(MATCH(B649&amp;"PT",'LM7 Non-ENG'!$A$1:$A$5000,0),1,,,"LM7 Non-ENG"),IF(IFERROR(VLOOKUP(B649&amp;"PT",'LM7 Non-ENG'!$A$1:$A$5000,1,FALSE),"ERROR")=B649&amp;"PT","Y","")),"")</f>
        <v/>
      </c>
      <c r="I649" t="str">
        <f>IFERROR(VLOOKUP(B649,PN!$A:$C,3,FALSE),"")</f>
        <v>Active</v>
      </c>
      <c r="J649" s="3">
        <f>IFERROR(E649*VLOOKUP(B649,PLInter!$A:$D,3,FALSE),"")</f>
        <v>32</v>
      </c>
      <c r="K649" s="66"/>
      <c r="L649" s="66"/>
      <c r="M649" s="66"/>
      <c r="N649" s="66"/>
      <c r="O649" s="66"/>
      <c r="P649" s="66"/>
      <c r="Q649" s="66"/>
      <c r="R649" s="66"/>
      <c r="S649" s="66"/>
    </row>
    <row r="650" spans="2:19" ht="18" customHeight="1">
      <c r="B650" t="str">
        <f>"021152"</f>
        <v>021152</v>
      </c>
      <c r="C650" s="41" t="s">
        <v>679</v>
      </c>
      <c r="D650" s="4"/>
      <c r="E650" s="4">
        <v>2</v>
      </c>
      <c r="F650" s="4"/>
      <c r="G650" s="29" t="str">
        <f>IFERROR(HYPERLINK("#"&amp;ADDRESS(MATCH(B650&amp;"ES",'LM7 Non-ENG'!$A$1:$A$5000,0),1,,,"LM7 Non-ENG"),IF(IFERROR(VLOOKUP(B650&amp;"ES",'LM7 Non-ENG'!$A$1:$A$4999,1,FALSE),"ERROR")=B650&amp;"ES","Y","")),"")</f>
        <v/>
      </c>
      <c r="H650" s="29" t="str">
        <f>IFERROR(HYPERLINK("#"&amp;ADDRESS(MATCH(B650&amp;"PT",'LM7 Non-ENG'!$A$1:$A$5000,0),1,,,"LM7 Non-ENG"),IF(IFERROR(VLOOKUP(B650&amp;"PT",'LM7 Non-ENG'!$A$1:$A$5000,1,FALSE),"ERROR")=B650&amp;"PT","Y","")),"")</f>
        <v/>
      </c>
      <c r="I650" t="str">
        <f>IFERROR(VLOOKUP(B650,PN!$A:$C,3,FALSE),"")</f>
        <v>Active</v>
      </c>
      <c r="J650" s="3">
        <f>IFERROR(E650*VLOOKUP(B650,PLInter!$A:$D,3,FALSE),"")</f>
        <v>480</v>
      </c>
      <c r="K650" s="66"/>
      <c r="L650" s="66"/>
      <c r="M650" s="66"/>
      <c r="N650" s="66"/>
      <c r="O650" s="66"/>
      <c r="P650" s="66"/>
      <c r="Q650" s="66"/>
      <c r="R650" s="66"/>
      <c r="S650" s="66"/>
    </row>
    <row r="651" spans="2:19" ht="18" customHeight="1">
      <c r="B651" t="s">
        <v>835</v>
      </c>
      <c r="C651" t="s">
        <v>836</v>
      </c>
      <c r="D651" s="4"/>
      <c r="E651" s="4">
        <v>1</v>
      </c>
      <c r="F651" s="4"/>
      <c r="G651" s="29" t="str">
        <f>IFERROR(HYPERLINK("#"&amp;ADDRESS(MATCH(B651&amp;"ES",'LM7 Non-ENG'!$A$1:$A$5000,0),1,,,"LM7 Non-ENG"),IF(IFERROR(VLOOKUP(B651&amp;"ES",'LM7 Non-ENG'!$A$1:$A$4999,1,FALSE),"ERROR")=B651&amp;"ES","Y","")),"")</f>
        <v/>
      </c>
      <c r="H651" s="29" t="str">
        <f>IFERROR(HYPERLINK("#"&amp;ADDRESS(MATCH(B651&amp;"PT",'LM7 Non-ENG'!$A$1:$A$5000,0),1,,,"LM7 Non-ENG"),IF(IFERROR(VLOOKUP(B651&amp;"PT",'LM7 Non-ENG'!$A$1:$A$5000,1,FALSE),"ERROR")=B651&amp;"PT","Y","")),"")</f>
        <v/>
      </c>
      <c r="I651" t="str">
        <f>IFERROR(VLOOKUP(B651,PN!$A:$C,3,FALSE),"")</f>
        <v>Active</v>
      </c>
      <c r="J651" s="3">
        <f>IFERROR(E651*VLOOKUP(B651,PLInter!$A:$D,3,FALSE),"")</f>
        <v>667</v>
      </c>
      <c r="K651" s="66"/>
      <c r="L651" s="66"/>
      <c r="M651" s="66"/>
      <c r="N651" s="66"/>
      <c r="O651" s="66"/>
      <c r="P651" s="66"/>
      <c r="Q651" s="66"/>
      <c r="R651" s="66"/>
      <c r="S651" s="66"/>
    </row>
    <row r="652" spans="2:19" ht="18" customHeight="1">
      <c r="B652" t="s">
        <v>455</v>
      </c>
      <c r="C652" t="s">
        <v>837</v>
      </c>
      <c r="D652" s="4"/>
      <c r="E652" s="4">
        <v>1</v>
      </c>
      <c r="F652" s="4"/>
      <c r="G652" s="29" t="str">
        <f>IFERROR(HYPERLINK("#"&amp;ADDRESS(MATCH(B652&amp;"ES",'LM7 Non-ENG'!$A$1:$A$5000,0),1,,,"LM7 Non-ENG"),IF(IFERROR(VLOOKUP(B652&amp;"ES",'LM7 Non-ENG'!$A$1:$A$4999,1,FALSE),"ERROR")=B652&amp;"ES","Y","")),"")</f>
        <v/>
      </c>
      <c r="H652" s="29" t="str">
        <f>IFERROR(HYPERLINK("#"&amp;ADDRESS(MATCH(B652&amp;"PT",'LM7 Non-ENG'!$A$1:$A$5000,0),1,,,"LM7 Non-ENG"),IF(IFERROR(VLOOKUP(B652&amp;"PT",'LM7 Non-ENG'!$A$1:$A$5000,1,FALSE),"ERROR")=B652&amp;"PT","Y","")),"")</f>
        <v/>
      </c>
      <c r="I652" t="str">
        <f>IFERROR(VLOOKUP(B652,PN!$A:$C,3,FALSE),"")</f>
        <v>Active</v>
      </c>
      <c r="J652" s="3">
        <f>IFERROR(E652*VLOOKUP(B652,PLInter!$A:$D,3,FALSE),"")</f>
        <v>26667</v>
      </c>
      <c r="K652" s="66"/>
      <c r="L652" s="66"/>
      <c r="M652" s="66"/>
      <c r="N652" s="66"/>
      <c r="O652" s="66"/>
      <c r="P652" s="66"/>
      <c r="Q652" s="66"/>
      <c r="R652" s="66"/>
      <c r="S652" s="66"/>
    </row>
    <row r="653" spans="2:19" ht="18" customHeight="1">
      <c r="B653" s="2" t="s">
        <v>454</v>
      </c>
      <c r="C653" s="2" t="s">
        <v>838</v>
      </c>
      <c r="D653" s="5"/>
      <c r="E653" s="5">
        <v>1</v>
      </c>
      <c r="F653" s="5" t="s">
        <v>0</v>
      </c>
      <c r="G653" s="29" t="str">
        <f>IFERROR(HYPERLINK("#"&amp;ADDRESS(MATCH(B653&amp;"ES",'LM7 Non-ENG'!$A$1:$A$5000,0),1,,,"LM7 Non-ENG"),IF(IFERROR(VLOOKUP(B653&amp;"ES",'LM7 Non-ENG'!$A$1:$A$4999,1,FALSE),"ERROR")=B653&amp;"ES","Y","")),"")</f>
        <v/>
      </c>
      <c r="H653" s="29" t="str">
        <f>IFERROR(HYPERLINK("#"&amp;ADDRESS(MATCH(B653&amp;"PT",'LM7 Non-ENG'!$A$1:$A$5000,0),1,,,"LM7 Non-ENG"),IF(IFERROR(VLOOKUP(B653&amp;"PT",'LM7 Non-ENG'!$A$1:$A$5000,1,FALSE),"ERROR")=B653&amp;"PT","Y","")),"")</f>
        <v/>
      </c>
      <c r="I653" t="str">
        <f>IFERROR(VLOOKUP(B653,PN!$A:$C,3,FALSE),"")</f>
        <v>Active</v>
      </c>
      <c r="J653" s="3">
        <f>IFERROR(E653*VLOOKUP(B653,PLInter!$A:$D,3,FALSE),"")</f>
        <v>26667</v>
      </c>
      <c r="K653" s="66"/>
      <c r="L653" s="66"/>
      <c r="M653" s="66"/>
      <c r="N653" s="66"/>
      <c r="O653" s="66"/>
      <c r="P653" s="66"/>
      <c r="Q653" s="66"/>
      <c r="R653" s="66"/>
      <c r="S653" s="66"/>
    </row>
    <row r="654" spans="2:19" ht="18" customHeight="1">
      <c r="B654" t="s">
        <v>475</v>
      </c>
      <c r="C654" t="s">
        <v>724</v>
      </c>
      <c r="D654" s="4"/>
      <c r="E654" s="4">
        <v>12</v>
      </c>
      <c r="F654" s="4"/>
      <c r="G654" s="29" t="str">
        <f>IFERROR(HYPERLINK("#"&amp;ADDRESS(MATCH(B654&amp;"ES",'LM7 Non-ENG'!$A$1:$A$5000,0),1,,,"LM7 Non-ENG"),IF(IFERROR(VLOOKUP(B654&amp;"ES",'LM7 Non-ENG'!$A$1:$A$4999,1,FALSE),"ERROR")=B654&amp;"ES","Y","")),"")</f>
        <v/>
      </c>
      <c r="H654" s="29" t="str">
        <f>IFERROR(HYPERLINK("#"&amp;ADDRESS(MATCH(B654&amp;"PT",'LM7 Non-ENG'!$A$1:$A$5000,0),1,,,"LM7 Non-ENG"),IF(IFERROR(VLOOKUP(B654&amp;"PT",'LM7 Non-ENG'!$A$1:$A$5000,1,FALSE),"ERROR")=B654&amp;"PT","Y","")),"")</f>
        <v/>
      </c>
      <c r="I654" t="str">
        <f>IFERROR(VLOOKUP(B654,PN!$A:$C,3,FALSE),"")</f>
        <v>Active</v>
      </c>
      <c r="J654" s="3">
        <f>IFERROR(E654*VLOOKUP(B654,PLInter!$A:$D,3,FALSE),"")</f>
        <v>4320</v>
      </c>
      <c r="K654" s="66"/>
      <c r="L654" s="66"/>
      <c r="M654" s="66"/>
      <c r="N654" s="66"/>
      <c r="O654" s="66"/>
      <c r="P654" s="66"/>
      <c r="Q654" s="66"/>
      <c r="R654" s="66"/>
      <c r="S654" s="66"/>
    </row>
    <row r="655" spans="2:19" ht="18" customHeight="1">
      <c r="B655" t="s">
        <v>517</v>
      </c>
      <c r="C655" t="s">
        <v>839</v>
      </c>
      <c r="D655" s="4"/>
      <c r="E655" s="4">
        <v>1</v>
      </c>
      <c r="F655" s="4"/>
      <c r="G655" s="29" t="str">
        <f>IFERROR(HYPERLINK("#"&amp;ADDRESS(MATCH(B655&amp;"ES",'LM7 Non-ENG'!$A$1:$A$5000,0),1,,,"LM7 Non-ENG"),IF(IFERROR(VLOOKUP(B655&amp;"ES",'LM7 Non-ENG'!$A$1:$A$4999,1,FALSE),"ERROR")=B655&amp;"ES","Y","")),"")</f>
        <v/>
      </c>
      <c r="H655" s="29" t="str">
        <f>IFERROR(HYPERLINK("#"&amp;ADDRESS(MATCH(B655&amp;"PT",'LM7 Non-ENG'!$A$1:$A$5000,0),1,,,"LM7 Non-ENG"),IF(IFERROR(VLOOKUP(B655&amp;"PT",'LM7 Non-ENG'!$A$1:$A$5000,1,FALSE),"ERROR")=B655&amp;"PT","Y","")),"")</f>
        <v/>
      </c>
      <c r="I655" t="str">
        <f>IFERROR(VLOOKUP(B655,PN!$A:$C,3,FALSE),"")</f>
        <v>Active</v>
      </c>
      <c r="J655" s="3">
        <f>IFERROR(E655*VLOOKUP(B655,PLInter!$A:$D,3,FALSE),"")</f>
        <v>1334</v>
      </c>
      <c r="K655" s="66"/>
      <c r="L655" s="66"/>
      <c r="M655" s="66"/>
      <c r="N655" s="66"/>
      <c r="O655" s="66"/>
      <c r="P655" s="66"/>
      <c r="Q655" s="66"/>
      <c r="R655" s="66"/>
      <c r="S655" s="66"/>
    </row>
    <row r="656" spans="2:19" ht="18" customHeight="1">
      <c r="B656" t="s">
        <v>513</v>
      </c>
      <c r="C656" t="s">
        <v>711</v>
      </c>
      <c r="D656" s="4"/>
      <c r="E656" s="4">
        <v>1</v>
      </c>
      <c r="F656" s="4"/>
      <c r="G656" s="29" t="str">
        <f>IFERROR(HYPERLINK("#"&amp;ADDRESS(MATCH(B656&amp;"ES",'LM7 Non-ENG'!$A$1:$A$5000,0),1,,,"LM7 Non-ENG"),IF(IFERROR(VLOOKUP(B656&amp;"ES",'LM7 Non-ENG'!$A$1:$A$4999,1,FALSE),"ERROR")=B656&amp;"ES","Y","")),"")</f>
        <v/>
      </c>
      <c r="H656" s="29" t="str">
        <f>IFERROR(HYPERLINK("#"&amp;ADDRESS(MATCH(B656&amp;"PT",'LM7 Non-ENG'!$A$1:$A$5000,0),1,,,"LM7 Non-ENG"),IF(IFERROR(VLOOKUP(B656&amp;"PT",'LM7 Non-ENG'!$A$1:$A$5000,1,FALSE),"ERROR")=B656&amp;"PT","Y","")),"")</f>
        <v/>
      </c>
      <c r="I656" t="str">
        <f>IFERROR(VLOOKUP(B656,PN!$A:$C,3,FALSE),"")</f>
        <v>Active</v>
      </c>
      <c r="J656" s="3">
        <f>IFERROR(E656*VLOOKUP(B656,PLInter!$A:$D,3,FALSE),"")</f>
        <v>740</v>
      </c>
      <c r="K656" s="66"/>
      <c r="L656" s="66"/>
      <c r="M656" s="66"/>
      <c r="N656" s="66"/>
      <c r="O656" s="66"/>
      <c r="P656" s="66"/>
      <c r="Q656" s="66"/>
      <c r="R656" s="66"/>
      <c r="S656" s="66"/>
    </row>
    <row r="657" spans="2:19" ht="18" customHeight="1">
      <c r="B657" t="s">
        <v>471</v>
      </c>
      <c r="C657" t="s">
        <v>722</v>
      </c>
      <c r="D657" s="4"/>
      <c r="E657" s="4">
        <v>1</v>
      </c>
      <c r="F657" s="4"/>
      <c r="G657" s="29" t="str">
        <f>IFERROR(HYPERLINK("#"&amp;ADDRESS(MATCH(B657&amp;"ES",'LM7 Non-ENG'!$A$1:$A$5000,0),1,,,"LM7 Non-ENG"),IF(IFERROR(VLOOKUP(B657&amp;"ES",'LM7 Non-ENG'!$A$1:$A$4999,1,FALSE),"ERROR")=B657&amp;"ES","Y","")),"")</f>
        <v/>
      </c>
      <c r="H657" s="29" t="str">
        <f>IFERROR(HYPERLINK("#"&amp;ADDRESS(MATCH(B657&amp;"PT",'LM7 Non-ENG'!$A$1:$A$5000,0),1,,,"LM7 Non-ENG"),IF(IFERROR(VLOOKUP(B657&amp;"PT",'LM7 Non-ENG'!$A$1:$A$5000,1,FALSE),"ERROR")=B657&amp;"PT","Y","")),"")</f>
        <v/>
      </c>
      <c r="I657" t="str">
        <f>IFERROR(VLOOKUP(B657,PN!$A:$C,3,FALSE),"")</f>
        <v>Active</v>
      </c>
      <c r="J657" s="3">
        <f>IFERROR(E657*VLOOKUP(B657,PLInter!$A:$D,3,FALSE),"")</f>
        <v>226</v>
      </c>
      <c r="K657" s="66"/>
      <c r="L657" s="66"/>
      <c r="M657" s="66"/>
      <c r="N657" s="66"/>
      <c r="O657" s="66"/>
      <c r="P657" s="66"/>
      <c r="Q657" s="66"/>
      <c r="R657" s="66"/>
      <c r="S657" s="66"/>
    </row>
    <row r="658" spans="2:19" ht="18" customHeight="1">
      <c r="B658" t="s">
        <v>473</v>
      </c>
      <c r="C658" t="s">
        <v>714</v>
      </c>
      <c r="D658" s="4"/>
      <c r="E658" s="4">
        <v>1</v>
      </c>
      <c r="F658" s="4"/>
      <c r="G658" s="29" t="str">
        <f>IFERROR(HYPERLINK("#"&amp;ADDRESS(MATCH(B658&amp;"ES",'LM7 Non-ENG'!$A$1:$A$5000,0),1,,,"LM7 Non-ENG"),IF(IFERROR(VLOOKUP(B658&amp;"ES",'LM7 Non-ENG'!$A$1:$A$4999,1,FALSE),"ERROR")=B658&amp;"ES","Y","")),"")</f>
        <v/>
      </c>
      <c r="H658" s="29" t="str">
        <f>IFERROR(HYPERLINK("#"&amp;ADDRESS(MATCH(B658&amp;"PT",'LM7 Non-ENG'!$A$1:$A$5000,0),1,,,"LM7 Non-ENG"),IF(IFERROR(VLOOKUP(B658&amp;"PT",'LM7 Non-ENG'!$A$1:$A$5000,1,FALSE),"ERROR")=B658&amp;"PT","Y","")),"")</f>
        <v/>
      </c>
      <c r="I658" t="str">
        <f>IFERROR(VLOOKUP(B658,PN!$A:$C,3,FALSE),"")</f>
        <v>Active</v>
      </c>
      <c r="J658" s="3">
        <f>IFERROR(E658*VLOOKUP(B658,PLInter!$A:$D,3,FALSE),"")</f>
        <v>200</v>
      </c>
      <c r="K658" s="66"/>
      <c r="L658" s="66"/>
      <c r="M658" s="66"/>
      <c r="N658" s="66"/>
      <c r="O658" s="66"/>
      <c r="P658" s="66"/>
      <c r="Q658" s="66"/>
      <c r="R658" s="66"/>
      <c r="S658" s="66"/>
    </row>
    <row r="659" spans="2:19" ht="18" customHeight="1">
      <c r="B659" s="2" t="s">
        <v>472</v>
      </c>
      <c r="C659" s="2" t="s">
        <v>715</v>
      </c>
      <c r="D659" s="5"/>
      <c r="E659" s="5">
        <v>1</v>
      </c>
      <c r="F659" s="5" t="s">
        <v>0</v>
      </c>
      <c r="G659" s="29" t="str">
        <f>IFERROR(HYPERLINK("#"&amp;ADDRESS(MATCH(B659&amp;"ES",'LM7 Non-ENG'!$A$1:$A$5000,0),1,,,"LM7 Non-ENG"),IF(IFERROR(VLOOKUP(B659&amp;"ES",'LM7 Non-ENG'!$A$1:$A$4999,1,FALSE),"ERROR")=B659&amp;"ES","Y","")),"")</f>
        <v/>
      </c>
      <c r="H659" s="29" t="str">
        <f>IFERROR(HYPERLINK("#"&amp;ADDRESS(MATCH(B659&amp;"PT",'LM7 Non-ENG'!$A$1:$A$5000,0),1,,,"LM7 Non-ENG"),IF(IFERROR(VLOOKUP(B659&amp;"PT",'LM7 Non-ENG'!$A$1:$A$5000,1,FALSE),"ERROR")=B659&amp;"PT","Y","")),"")</f>
        <v/>
      </c>
      <c r="I659" t="str">
        <f>IFERROR(VLOOKUP(B659,PN!$A:$C,3,FALSE),"")</f>
        <v>Active</v>
      </c>
      <c r="J659" s="3">
        <f>IFERROR(E659*VLOOKUP(B659,PLInter!$A:$D,3,FALSE),"")</f>
        <v>200</v>
      </c>
      <c r="K659" s="66"/>
      <c r="L659" s="66"/>
      <c r="M659" s="66"/>
      <c r="N659" s="66"/>
      <c r="O659" s="66"/>
      <c r="P659" s="66"/>
      <c r="Q659" s="66"/>
      <c r="R659" s="66"/>
      <c r="S659" s="66"/>
    </row>
    <row r="660" spans="2:19" ht="18" customHeight="1">
      <c r="B660" t="s">
        <v>484</v>
      </c>
      <c r="C660" t="s">
        <v>725</v>
      </c>
      <c r="D660" s="4"/>
      <c r="E660" s="4">
        <v>1</v>
      </c>
      <c r="F660" s="4"/>
      <c r="G660" s="29" t="str">
        <f>IFERROR(HYPERLINK("#"&amp;ADDRESS(MATCH(B660&amp;"ES",'LM7 Non-ENG'!$A$1:$A$5000,0),1,,,"LM7 Non-ENG"),IF(IFERROR(VLOOKUP(B660&amp;"ES",'LM7 Non-ENG'!$A$1:$A$4999,1,FALSE),"ERROR")=B660&amp;"ES","Y","")),"")</f>
        <v/>
      </c>
      <c r="H660" s="29" t="str">
        <f>IFERROR(HYPERLINK("#"&amp;ADDRESS(MATCH(B660&amp;"PT",'LM7 Non-ENG'!$A$1:$A$5000,0),1,,,"LM7 Non-ENG"),IF(IFERROR(VLOOKUP(B660&amp;"PT",'LM7 Non-ENG'!$A$1:$A$5000,1,FALSE),"ERROR")=B660&amp;"PT","Y","")),"")</f>
        <v/>
      </c>
      <c r="I660" t="str">
        <f>IFERROR(VLOOKUP(B660,PN!$A:$C,3,FALSE),"")</f>
        <v>Active</v>
      </c>
      <c r="J660" s="3">
        <f>IFERROR(E660*VLOOKUP(B660,PLInter!$A:$D,3,FALSE),"")</f>
        <v>157</v>
      </c>
      <c r="K660" s="66"/>
      <c r="L660" s="66"/>
      <c r="M660" s="66"/>
      <c r="N660" s="66"/>
      <c r="O660" s="66"/>
      <c r="P660" s="66"/>
      <c r="Q660" s="66"/>
      <c r="R660" s="66"/>
      <c r="S660" s="66"/>
    </row>
    <row r="661" spans="2:19" ht="18" customHeight="1">
      <c r="B661" s="2" t="s">
        <v>483</v>
      </c>
      <c r="C661" s="2" t="s">
        <v>726</v>
      </c>
      <c r="D661" s="5"/>
      <c r="E661" s="5">
        <v>1</v>
      </c>
      <c r="F661" s="5" t="s">
        <v>0</v>
      </c>
      <c r="G661" s="29" t="str">
        <f>IFERROR(HYPERLINK("#"&amp;ADDRESS(MATCH(B661&amp;"ES",'LM7 Non-ENG'!$A$1:$A$5000,0),1,,,"LM7 Non-ENG"),IF(IFERROR(VLOOKUP(B661&amp;"ES",'LM7 Non-ENG'!$A$1:$A$4999,1,FALSE),"ERROR")=B661&amp;"ES","Y","")),"")</f>
        <v/>
      </c>
      <c r="H661" s="29" t="str">
        <f>IFERROR(HYPERLINK("#"&amp;ADDRESS(MATCH(B661&amp;"PT",'LM7 Non-ENG'!$A$1:$A$5000,0),1,,,"LM7 Non-ENG"),IF(IFERROR(VLOOKUP(B661&amp;"PT",'LM7 Non-ENG'!$A$1:$A$5000,1,FALSE),"ERROR")=B661&amp;"PT","Y","")),"")</f>
        <v/>
      </c>
      <c r="I661" t="str">
        <f>IFERROR(VLOOKUP(B661,PN!$A:$C,3,FALSE),"")</f>
        <v>Active</v>
      </c>
      <c r="J661" s="3">
        <f>IFERROR(E661*VLOOKUP(B661,PLInter!$A:$D,3,FALSE),"")</f>
        <v>157</v>
      </c>
      <c r="K661" s="66"/>
      <c r="L661" s="66"/>
      <c r="M661" s="66"/>
      <c r="N661" s="66"/>
      <c r="O661" s="66"/>
      <c r="P661" s="66"/>
      <c r="Q661" s="66"/>
      <c r="R661" s="66"/>
      <c r="S661" s="66"/>
    </row>
    <row r="662" spans="2:19" ht="18" customHeight="1">
      <c r="B662" t="s">
        <v>478</v>
      </c>
      <c r="C662" t="s">
        <v>716</v>
      </c>
      <c r="D662" s="4"/>
      <c r="E662" s="4">
        <v>1</v>
      </c>
      <c r="F662" s="4"/>
      <c r="G662" s="29" t="str">
        <f>IFERROR(HYPERLINK("#"&amp;ADDRESS(MATCH(B662&amp;"ES",'LM7 Non-ENG'!$A$1:$A$5000,0),1,,,"LM7 Non-ENG"),IF(IFERROR(VLOOKUP(B662&amp;"ES",'LM7 Non-ENG'!$A$1:$A$4999,1,FALSE),"ERROR")=B662&amp;"ES","Y","")),"")</f>
        <v/>
      </c>
      <c r="H662" s="29" t="str">
        <f>IFERROR(HYPERLINK("#"&amp;ADDRESS(MATCH(B662&amp;"PT",'LM7 Non-ENG'!$A$1:$A$5000,0),1,,,"LM7 Non-ENG"),IF(IFERROR(VLOOKUP(B662&amp;"PT",'LM7 Non-ENG'!$A$1:$A$5000,1,FALSE),"ERROR")=B662&amp;"PT","Y","")),"")</f>
        <v/>
      </c>
      <c r="I662" t="str">
        <f>IFERROR(VLOOKUP(B662,PN!$A:$C,3,FALSE),"")</f>
        <v>Active</v>
      </c>
      <c r="J662" s="3">
        <f>IFERROR(E662*VLOOKUP(B662,PLInter!$A:$D,3,FALSE),"")</f>
        <v>795</v>
      </c>
      <c r="K662" s="66"/>
      <c r="L662" s="66"/>
      <c r="M662" s="66"/>
      <c r="N662" s="66"/>
      <c r="O662" s="66"/>
      <c r="P662" s="66"/>
      <c r="Q662" s="66"/>
      <c r="R662" s="66"/>
      <c r="S662" s="66"/>
    </row>
    <row r="663" spans="2:19" ht="18" customHeight="1">
      <c r="B663" t="s">
        <v>486</v>
      </c>
      <c r="C663" t="s">
        <v>806</v>
      </c>
      <c r="D663" s="4"/>
      <c r="E663" s="4">
        <v>1</v>
      </c>
      <c r="F663" s="4"/>
      <c r="G663" s="29" t="str">
        <f>IFERROR(HYPERLINK("#"&amp;ADDRESS(MATCH(B663&amp;"ES",'LM7 Non-ENG'!$A$1:$A$5000,0),1,,,"LM7 Non-ENG"),IF(IFERROR(VLOOKUP(B663&amp;"ES",'LM7 Non-ENG'!$A$1:$A$4999,1,FALSE),"ERROR")=B663&amp;"ES","Y","")),"")</f>
        <v/>
      </c>
      <c r="H663" s="29" t="str">
        <f>IFERROR(HYPERLINK("#"&amp;ADDRESS(MATCH(B663&amp;"PT",'LM7 Non-ENG'!$A$1:$A$5000,0),1,,,"LM7 Non-ENG"),IF(IFERROR(VLOOKUP(B663&amp;"PT",'LM7 Non-ENG'!$A$1:$A$5000,1,FALSE),"ERROR")=B663&amp;"PT","Y","")),"")</f>
        <v/>
      </c>
      <c r="I663" t="str">
        <f>IFERROR(VLOOKUP(B663,PN!$A:$C,3,FALSE),"")</f>
        <v>Active</v>
      </c>
      <c r="J663" s="3">
        <f>IFERROR(E663*VLOOKUP(B663,PLInter!$A:$D,3,FALSE),"")</f>
        <v>313</v>
      </c>
      <c r="K663" s="66"/>
      <c r="L663" s="66"/>
      <c r="M663" s="66"/>
      <c r="N663" s="66"/>
      <c r="O663" s="66"/>
      <c r="P663" s="66"/>
      <c r="Q663" s="66"/>
      <c r="R663" s="66"/>
      <c r="S663" s="66"/>
    </row>
    <row r="664" spans="2:19" ht="18" customHeight="1">
      <c r="B664" t="s">
        <v>470</v>
      </c>
      <c r="C664" t="s">
        <v>713</v>
      </c>
      <c r="D664" s="4"/>
      <c r="E664" s="4">
        <v>1</v>
      </c>
      <c r="F664" s="4"/>
      <c r="G664" s="29" t="str">
        <f>IFERROR(HYPERLINK("#"&amp;ADDRESS(MATCH(B664&amp;"ES",'LM7 Non-ENG'!$A$1:$A$5000,0),1,,,"LM7 Non-ENG"),IF(IFERROR(VLOOKUP(B664&amp;"ES",'LM7 Non-ENG'!$A$1:$A$4999,1,FALSE),"ERROR")=B664&amp;"ES","Y","")),"")</f>
        <v/>
      </c>
      <c r="H664" s="29" t="str">
        <f>IFERROR(HYPERLINK("#"&amp;ADDRESS(MATCH(B664&amp;"PT",'LM7 Non-ENG'!$A$1:$A$5000,0),1,,,"LM7 Non-ENG"),IF(IFERROR(VLOOKUP(B664&amp;"PT",'LM7 Non-ENG'!$A$1:$A$5000,1,FALSE),"ERROR")=B664&amp;"PT","Y","")),"")</f>
        <v/>
      </c>
      <c r="I664" t="str">
        <f>IFERROR(VLOOKUP(B664,PN!$A:$C,3,FALSE),"")</f>
        <v>Active</v>
      </c>
      <c r="J664" s="3">
        <f>IFERROR(E664*VLOOKUP(B664,PLInter!$A:$D,3,FALSE),"")</f>
        <v>207</v>
      </c>
      <c r="K664" s="66"/>
      <c r="L664" s="66"/>
      <c r="M664" s="66"/>
      <c r="N664" s="66"/>
      <c r="O664" s="66"/>
      <c r="P664" s="66"/>
      <c r="Q664" s="66"/>
      <c r="R664" s="66"/>
      <c r="S664" s="66"/>
    </row>
    <row r="665" spans="2:19" ht="18" customHeight="1">
      <c r="B665" s="1" t="s">
        <v>468</v>
      </c>
      <c r="C665" s="1" t="s">
        <v>717</v>
      </c>
      <c r="D665" s="6" t="s">
        <v>0</v>
      </c>
      <c r="E665" s="6">
        <v>1</v>
      </c>
      <c r="F665" s="6"/>
      <c r="G665" s="29" t="str">
        <f>IFERROR(HYPERLINK("#"&amp;ADDRESS(MATCH(B665&amp;"ES",'LM7 Non-ENG'!$A$1:$A$5000,0),1,,,"LM7 Non-ENG"),IF(IFERROR(VLOOKUP(B665&amp;"ES",'LM7 Non-ENG'!$A$1:$A$4999,1,FALSE),"ERROR")=B665&amp;"ES","Y","")),"")</f>
        <v/>
      </c>
      <c r="H665" s="29" t="str">
        <f>IFERROR(HYPERLINK("#"&amp;ADDRESS(MATCH(B665&amp;"PT",'LM7 Non-ENG'!$A$1:$A$5000,0),1,,,"LM7 Non-ENG"),IF(IFERROR(VLOOKUP(B665&amp;"PT",'LM7 Non-ENG'!$A$1:$A$5000,1,FALSE),"ERROR")=B665&amp;"PT","Y","")),"")</f>
        <v/>
      </c>
      <c r="I665" t="str">
        <f>IFERROR(VLOOKUP(B665,PN!$A:$C,3,FALSE),"")</f>
        <v>Active</v>
      </c>
      <c r="J665" s="3">
        <f>IFERROR(E665*VLOOKUP(B665,PLInter!$A:$D,3,FALSE),"")</f>
        <v>206</v>
      </c>
      <c r="K665" s="66"/>
      <c r="L665" s="66"/>
      <c r="M665" s="66"/>
      <c r="N665" s="66"/>
      <c r="O665" s="66"/>
      <c r="P665" s="66"/>
      <c r="Q665" s="66"/>
      <c r="R665" s="66"/>
      <c r="S665" s="66"/>
    </row>
    <row r="666" spans="2:19" ht="18" customHeight="1">
      <c r="B666" s="1" t="s">
        <v>474</v>
      </c>
      <c r="C666" s="1" t="s">
        <v>718</v>
      </c>
      <c r="D666" s="6" t="s">
        <v>0</v>
      </c>
      <c r="E666" s="6">
        <v>1</v>
      </c>
      <c r="F666" s="6"/>
      <c r="G666" s="29" t="str">
        <f>IFERROR(HYPERLINK("#"&amp;ADDRESS(MATCH(B666&amp;"ES",'LM7 Non-ENG'!$A$1:$A$5000,0),1,,,"LM7 Non-ENG"),IF(IFERROR(VLOOKUP(B666&amp;"ES",'LM7 Non-ENG'!$A$1:$A$4999,1,FALSE),"ERROR")=B666&amp;"ES","Y","")),"")</f>
        <v/>
      </c>
      <c r="H666" s="29" t="str">
        <f>IFERROR(HYPERLINK("#"&amp;ADDRESS(MATCH(B666&amp;"PT",'LM7 Non-ENG'!$A$1:$A$5000,0),1,,,"LM7 Non-ENG"),IF(IFERROR(VLOOKUP(B666&amp;"PT",'LM7 Non-ENG'!$A$1:$A$5000,1,FALSE),"ERROR")=B666&amp;"PT","Y","")),"")</f>
        <v/>
      </c>
      <c r="I666" t="str">
        <f>IFERROR(VLOOKUP(B666,PN!$A:$C,3,FALSE),"")</f>
        <v>Active</v>
      </c>
      <c r="J666" s="3">
        <f>IFERROR(E666*VLOOKUP(B666,PLInter!$A:$D,3,FALSE),"")</f>
        <v>175</v>
      </c>
      <c r="K666" s="66"/>
      <c r="L666" s="66"/>
      <c r="M666" s="66"/>
      <c r="N666" s="66"/>
      <c r="O666" s="66"/>
      <c r="P666" s="66"/>
      <c r="Q666" s="66"/>
      <c r="R666" s="66"/>
      <c r="S666" s="66"/>
    </row>
    <row r="667" spans="2:19" ht="18" customHeight="1">
      <c r="B667" s="1" t="s">
        <v>719</v>
      </c>
      <c r="C667" s="1" t="s">
        <v>720</v>
      </c>
      <c r="D667" s="6" t="s">
        <v>0</v>
      </c>
      <c r="E667" s="6">
        <v>1</v>
      </c>
      <c r="F667" s="6"/>
      <c r="G667" s="29" t="str">
        <f>IFERROR(HYPERLINK("#"&amp;ADDRESS(MATCH(B667&amp;"ES",'LM7 Non-ENG'!$A$1:$A$5000,0),1,,,"LM7 Non-ENG"),IF(IFERROR(VLOOKUP(B667&amp;"ES",'LM7 Non-ENG'!$A$1:$A$4999,1,FALSE),"ERROR")=B667&amp;"ES","Y","")),"")</f>
        <v/>
      </c>
      <c r="H667" s="29" t="str">
        <f>IFERROR(HYPERLINK("#"&amp;ADDRESS(MATCH(B667&amp;"PT",'LM7 Non-ENG'!$A$1:$A$5000,0),1,,,"LM7 Non-ENG"),IF(IFERROR(VLOOKUP(B667&amp;"PT",'LM7 Non-ENG'!$A$1:$A$5000,1,FALSE),"ERROR")=B667&amp;"PT","Y","")),"")</f>
        <v/>
      </c>
      <c r="I667" t="str">
        <f>IFERROR(VLOOKUP(B667,PN!$A:$C,3,FALSE),"")</f>
        <v>Active</v>
      </c>
      <c r="J667" s="3">
        <f>IFERROR(E667*VLOOKUP(B667,PLInter!$A:$D,3,FALSE),"")</f>
        <v>2126</v>
      </c>
      <c r="K667" s="66"/>
      <c r="L667" s="66"/>
      <c r="M667" s="66"/>
      <c r="N667" s="66"/>
      <c r="O667" s="66"/>
      <c r="P667" s="66"/>
      <c r="Q667" s="66"/>
      <c r="R667" s="66"/>
      <c r="S667" s="66"/>
    </row>
    <row r="668" spans="2:19" ht="18" customHeight="1">
      <c r="B668" s="1" t="s">
        <v>482</v>
      </c>
      <c r="C668" s="1" t="s">
        <v>721</v>
      </c>
      <c r="D668" s="6" t="s">
        <v>0</v>
      </c>
      <c r="E668" s="6">
        <v>1</v>
      </c>
      <c r="F668" s="6"/>
      <c r="G668" s="29" t="str">
        <f>IFERROR(HYPERLINK("#"&amp;ADDRESS(MATCH(B668&amp;"ES",'LM7 Non-ENG'!$A$1:$A$5000,0),1,,,"LM7 Non-ENG"),IF(IFERROR(VLOOKUP(B668&amp;"ES",'LM7 Non-ENG'!$A$1:$A$4999,1,FALSE),"ERROR")=B668&amp;"ES","Y","")),"")</f>
        <v/>
      </c>
      <c r="H668" s="29" t="str">
        <f>IFERROR(HYPERLINK("#"&amp;ADDRESS(MATCH(B668&amp;"PT",'LM7 Non-ENG'!$A$1:$A$5000,0),1,,,"LM7 Non-ENG"),IF(IFERROR(VLOOKUP(B668&amp;"PT",'LM7 Non-ENG'!$A$1:$A$5000,1,FALSE),"ERROR")=B668&amp;"PT","Y","")),"")</f>
        <v/>
      </c>
      <c r="I668" t="str">
        <f>IFERROR(VLOOKUP(B668,PN!$A:$C,3,FALSE),"")</f>
        <v>Active</v>
      </c>
      <c r="J668" s="3">
        <f>IFERROR(E668*VLOOKUP(B668,PLInter!$A:$D,3,FALSE),"")</f>
        <v>186</v>
      </c>
      <c r="K668" s="66"/>
      <c r="L668" s="66"/>
      <c r="M668" s="66"/>
      <c r="N668" s="66"/>
      <c r="O668" s="66"/>
      <c r="P668" s="66"/>
      <c r="Q668" s="66"/>
      <c r="R668" s="66"/>
      <c r="S668" s="66"/>
    </row>
    <row r="669" spans="2:19" ht="18" customHeight="1">
      <c r="B669" t="s">
        <v>559</v>
      </c>
      <c r="C669" t="s">
        <v>840</v>
      </c>
      <c r="D669" s="4"/>
      <c r="E669" s="4">
        <v>1</v>
      </c>
      <c r="F669" s="4"/>
      <c r="G669" s="29" t="str">
        <f>IFERROR(HYPERLINK("#"&amp;ADDRESS(MATCH(B669&amp;"ES",'LM7 Non-ENG'!$A$1:$A$5000,0),1,,,"LM7 Non-ENG"),IF(IFERROR(VLOOKUP(B669&amp;"ES",'LM7 Non-ENG'!$A$1:$A$4999,1,FALSE),"ERROR")=B669&amp;"ES","Y","")),"")</f>
        <v/>
      </c>
      <c r="H669" s="29" t="str">
        <f>IFERROR(HYPERLINK("#"&amp;ADDRESS(MATCH(B669&amp;"PT",'LM7 Non-ENG'!$A$1:$A$5000,0),1,,,"LM7 Non-ENG"),IF(IFERROR(VLOOKUP(B669&amp;"PT",'LM7 Non-ENG'!$A$1:$A$5000,1,FALSE),"ERROR")=B669&amp;"PT","Y","")),"")</f>
        <v/>
      </c>
      <c r="I669" t="str">
        <f>IFERROR(VLOOKUP(B669,PN!$A:$C,3,FALSE),"")</f>
        <v>Active</v>
      </c>
      <c r="J669" s="3">
        <f>IFERROR(E669*VLOOKUP(B669,PLInter!$A:$D,3,FALSE),"")</f>
        <v>500</v>
      </c>
      <c r="K669" s="66"/>
      <c r="L669" s="66"/>
      <c r="M669" s="66"/>
      <c r="N669" s="66"/>
      <c r="O669" s="66"/>
      <c r="P669" s="66"/>
      <c r="Q669" s="66"/>
      <c r="R669" s="66"/>
      <c r="S669" s="66"/>
    </row>
    <row r="670" spans="2:19" ht="18" customHeight="1">
      <c r="B670" s="2" t="s">
        <v>841</v>
      </c>
      <c r="C670" s="2" t="s">
        <v>842</v>
      </c>
      <c r="D670" s="5"/>
      <c r="E670" s="5">
        <v>1</v>
      </c>
      <c r="F670" s="5" t="s">
        <v>0</v>
      </c>
      <c r="G670" s="29" t="str">
        <f>IFERROR(HYPERLINK("#"&amp;ADDRESS(MATCH(B670&amp;"ES",'LM7 Non-ENG'!$A$1:$A$5000,0),1,,,"LM7 Non-ENG"),IF(IFERROR(VLOOKUP(B670&amp;"ES",'LM7 Non-ENG'!$A$1:$A$4999,1,FALSE),"ERROR")=B670&amp;"ES","Y","")),"")</f>
        <v/>
      </c>
      <c r="H670" s="29" t="str">
        <f>IFERROR(HYPERLINK("#"&amp;ADDRESS(MATCH(B670&amp;"PT",'LM7 Non-ENG'!$A$1:$A$5000,0),1,,,"LM7 Non-ENG"),IF(IFERROR(VLOOKUP(B670&amp;"PT",'LM7 Non-ENG'!$A$1:$A$5000,1,FALSE),"ERROR")=B670&amp;"PT","Y","")),"")</f>
        <v/>
      </c>
      <c r="I670" t="str">
        <f>IFERROR(VLOOKUP(B670,PN!$A:$C,3,FALSE),"")</f>
        <v>Active</v>
      </c>
      <c r="J670" s="3" t="str">
        <f>IFERROR(E670*VLOOKUP(B670,PLInter!$A:$D,3,FALSE),"")</f>
        <v/>
      </c>
      <c r="K670" s="66"/>
      <c r="L670" s="66"/>
      <c r="M670" s="66"/>
      <c r="N670" s="66"/>
      <c r="O670" s="66"/>
      <c r="P670" s="66"/>
      <c r="Q670" s="66"/>
      <c r="R670" s="66"/>
      <c r="S670" s="66"/>
    </row>
    <row r="671" spans="2:19" ht="18" customHeight="1">
      <c r="B671" t="s">
        <v>568</v>
      </c>
      <c r="C671" t="s">
        <v>731</v>
      </c>
      <c r="D671" s="4"/>
      <c r="E671" s="4">
        <v>1</v>
      </c>
      <c r="F671" s="4"/>
      <c r="G671" s="29" t="str">
        <f>IFERROR(HYPERLINK("#"&amp;ADDRESS(MATCH(B671&amp;"ES",'LM7 Non-ENG'!$A$1:$A$5000,0),1,,,"LM7 Non-ENG"),IF(IFERROR(VLOOKUP(B671&amp;"ES",'LM7 Non-ENG'!$A$1:$A$4999,1,FALSE),"ERROR")=B671&amp;"ES","Y","")),"")</f>
        <v/>
      </c>
      <c r="H671" s="29" t="str">
        <f>IFERROR(HYPERLINK("#"&amp;ADDRESS(MATCH(B671&amp;"PT",'LM7 Non-ENG'!$A$1:$A$5000,0),1,,,"LM7 Non-ENG"),IF(IFERROR(VLOOKUP(B671&amp;"PT",'LM7 Non-ENG'!$A$1:$A$5000,1,FALSE),"ERROR")=B671&amp;"PT","Y","")),"")</f>
        <v/>
      </c>
      <c r="I671" t="str">
        <f>IFERROR(VLOOKUP(B671,PN!$A:$C,3,FALSE),"")</f>
        <v>Active</v>
      </c>
      <c r="J671" s="3">
        <f>IFERROR(E671*VLOOKUP(B671,PLInter!$A:$D,3,FALSE),"")</f>
        <v>500</v>
      </c>
      <c r="K671" s="66"/>
      <c r="L671" s="66"/>
      <c r="M671" s="66"/>
      <c r="N671" s="66"/>
      <c r="O671" s="66"/>
      <c r="P671" s="66"/>
      <c r="Q671" s="66"/>
      <c r="R671" s="66"/>
      <c r="S671" s="66"/>
    </row>
    <row r="672" spans="2:19" ht="18" customHeight="1">
      <c r="B672" t="s">
        <v>569</v>
      </c>
      <c r="C672" t="s">
        <v>732</v>
      </c>
      <c r="D672" s="4"/>
      <c r="E672" s="4">
        <v>1</v>
      </c>
      <c r="F672" s="4"/>
      <c r="G672" s="29" t="str">
        <f>IFERROR(HYPERLINK("#"&amp;ADDRESS(MATCH(B672&amp;"ES",'LM7 Non-ENG'!$A$1:$A$5000,0),1,,,"LM7 Non-ENG"),IF(IFERROR(VLOOKUP(B672&amp;"ES",'LM7 Non-ENG'!$A$1:$A$4999,1,FALSE),"ERROR")=B672&amp;"ES","Y","")),"")</f>
        <v/>
      </c>
      <c r="H672" s="29" t="str">
        <f>IFERROR(HYPERLINK("#"&amp;ADDRESS(MATCH(B672&amp;"PT",'LM7 Non-ENG'!$A$1:$A$5000,0),1,,,"LM7 Non-ENG"),IF(IFERROR(VLOOKUP(B672&amp;"PT",'LM7 Non-ENG'!$A$1:$A$5000,1,FALSE),"ERROR")=B672&amp;"PT","Y","")),"")</f>
        <v/>
      </c>
      <c r="I672" t="str">
        <f>IFERROR(VLOOKUP(B672,PN!$A:$C,3,FALSE),"")</f>
        <v>Active</v>
      </c>
      <c r="J672" s="3">
        <f>IFERROR(E672*VLOOKUP(B672,PLInter!$A:$D,3,FALSE),"")</f>
        <v>500</v>
      </c>
      <c r="K672" s="66"/>
      <c r="L672" s="66"/>
      <c r="M672" s="66"/>
      <c r="N672" s="66"/>
      <c r="O672" s="66"/>
      <c r="P672" s="66"/>
      <c r="Q672" s="66"/>
      <c r="R672" s="66"/>
      <c r="S672" s="66"/>
    </row>
    <row r="673" spans="2:19" ht="18" customHeight="1">
      <c r="B673" t="str">
        <f>"113034"</f>
        <v>113034</v>
      </c>
      <c r="C673" t="s">
        <v>695</v>
      </c>
      <c r="D673" s="4"/>
      <c r="E673" s="4">
        <v>50</v>
      </c>
      <c r="F673" s="4"/>
      <c r="G673" s="29" t="str">
        <f>IFERROR(HYPERLINK("#"&amp;ADDRESS(MATCH(B673&amp;"ES",'LM7 Non-ENG'!$A$1:$A$5000,0),1,,,"LM7 Non-ENG"),IF(IFERROR(VLOOKUP(B673&amp;"ES",'LM7 Non-ENG'!$A$1:$A$4999,1,FALSE),"ERROR")=B673&amp;"ES","Y","")),"")</f>
        <v/>
      </c>
      <c r="H673" s="29" t="str">
        <f>IFERROR(HYPERLINK("#"&amp;ADDRESS(MATCH(B673&amp;"PT",'LM7 Non-ENG'!$A$1:$A$5000,0),1,,,"LM7 Non-ENG"),IF(IFERROR(VLOOKUP(B673&amp;"PT",'LM7 Non-ENG'!$A$1:$A$5000,1,FALSE),"ERROR")=B673&amp;"PT","Y","")),"")</f>
        <v/>
      </c>
      <c r="I673" t="str">
        <f>IFERROR(VLOOKUP(B673,PN!$A:$C,3,FALSE),"")</f>
        <v>Active</v>
      </c>
      <c r="J673" s="3">
        <f>IFERROR(E673*VLOOKUP(B673,PLInter!$A:$D,3,FALSE),"")</f>
        <v>750</v>
      </c>
      <c r="K673" s="66"/>
      <c r="L673" s="66"/>
      <c r="M673" s="66"/>
      <c r="N673" s="66"/>
      <c r="O673" s="66"/>
      <c r="P673" s="66"/>
      <c r="Q673" s="66"/>
      <c r="R673" s="66"/>
      <c r="S673" s="66"/>
    </row>
    <row r="674" spans="2:19" ht="18" customHeight="1">
      <c r="B674" t="s">
        <v>801</v>
      </c>
      <c r="C674" t="s">
        <v>802</v>
      </c>
      <c r="D674" s="4"/>
      <c r="E674" s="4">
        <v>1</v>
      </c>
      <c r="F674" s="4"/>
      <c r="G674" s="29" t="str">
        <f>IFERROR(HYPERLINK("#"&amp;ADDRESS(MATCH(B674&amp;"ES",'LM7 Non-ENG'!$A$1:$A$5000,0),1,,,"LM7 Non-ENG"),IF(IFERROR(VLOOKUP(B674&amp;"ES",'LM7 Non-ENG'!$A$1:$A$4999,1,FALSE),"ERROR")=B674&amp;"ES","Y","")),"")</f>
        <v/>
      </c>
      <c r="H674" s="29" t="str">
        <f>IFERROR(HYPERLINK("#"&amp;ADDRESS(MATCH(B674&amp;"PT",'LM7 Non-ENG'!$A$1:$A$5000,0),1,,,"LM7 Non-ENG"),IF(IFERROR(VLOOKUP(B674&amp;"PT",'LM7 Non-ENG'!$A$1:$A$5000,1,FALSE),"ERROR")=B674&amp;"PT","Y","")),"")</f>
        <v/>
      </c>
      <c r="I674" t="str">
        <f>IFERROR(VLOOKUP(B674,PN!$A:$C,3,FALSE),"")</f>
        <v>Active</v>
      </c>
      <c r="J674" s="3">
        <f>IFERROR(E674*VLOOKUP(B674,PLInter!$A:$D,3,FALSE),"")</f>
        <v>667</v>
      </c>
      <c r="K674" s="66"/>
      <c r="L674" s="66"/>
      <c r="M674" s="66"/>
      <c r="N674" s="66"/>
      <c r="O674" s="66"/>
      <c r="P674" s="66"/>
      <c r="Q674" s="66"/>
      <c r="R674" s="66"/>
      <c r="S674" s="66"/>
    </row>
    <row r="675" spans="2:19" ht="18" customHeight="1">
      <c r="B675" t="s">
        <v>457</v>
      </c>
      <c r="C675" t="s">
        <v>466</v>
      </c>
      <c r="D675" s="4"/>
      <c r="E675" s="4">
        <v>1</v>
      </c>
      <c r="F675" s="4"/>
      <c r="G675" s="29" t="str">
        <f>IFERROR(HYPERLINK("#"&amp;ADDRESS(MATCH(B675&amp;"ES",'LM7 Non-ENG'!$A$1:$A$5000,0),1,,,"LM7 Non-ENG"),IF(IFERROR(VLOOKUP(B675&amp;"ES",'LM7 Non-ENG'!$A$1:$A$4999,1,FALSE),"ERROR")=B675&amp;"ES","Y","")),"")</f>
        <v/>
      </c>
      <c r="H675" s="29" t="str">
        <f>IFERROR(HYPERLINK("#"&amp;ADDRESS(MATCH(B675&amp;"PT",'LM7 Non-ENG'!$A$1:$A$5000,0),1,,,"LM7 Non-ENG"),IF(IFERROR(VLOOKUP(B675&amp;"PT",'LM7 Non-ENG'!$A$1:$A$5000,1,FALSE),"ERROR")=B675&amp;"PT","Y","")),"")</f>
        <v/>
      </c>
      <c r="I675" t="str">
        <f>IFERROR(VLOOKUP(B675,PN!$A:$C,3,FALSE),"")</f>
        <v>Active</v>
      </c>
      <c r="J675" s="3">
        <f>IFERROR(E675*VLOOKUP(B675,PLInter!$A:$D,3,FALSE),"")</f>
        <v>20994</v>
      </c>
      <c r="K675" s="66"/>
      <c r="L675" s="66"/>
      <c r="M675" s="66"/>
      <c r="N675" s="66"/>
      <c r="O675" s="66"/>
      <c r="P675" s="66"/>
      <c r="Q675" s="66"/>
      <c r="R675" s="66"/>
      <c r="S675" s="66"/>
    </row>
    <row r="676" spans="2:19" ht="18" customHeight="1">
      <c r="B676" s="2" t="s">
        <v>456</v>
      </c>
      <c r="C676" s="2" t="s">
        <v>465</v>
      </c>
      <c r="D676" s="5"/>
      <c r="E676" s="5">
        <v>1</v>
      </c>
      <c r="F676" s="5" t="s">
        <v>0</v>
      </c>
      <c r="G676" s="29" t="str">
        <f>IFERROR(HYPERLINK("#"&amp;ADDRESS(MATCH(B676&amp;"ES",'LM7 Non-ENG'!$A$1:$A$5000,0),1,,,"LM7 Non-ENG"),IF(IFERROR(VLOOKUP(B676&amp;"ES",'LM7 Non-ENG'!$A$1:$A$4999,1,FALSE),"ERROR")=B676&amp;"ES","Y","")),"")</f>
        <v/>
      </c>
      <c r="H676" s="29" t="str">
        <f>IFERROR(HYPERLINK("#"&amp;ADDRESS(MATCH(B676&amp;"PT",'LM7 Non-ENG'!$A$1:$A$5000,0),1,,,"LM7 Non-ENG"),IF(IFERROR(VLOOKUP(B676&amp;"PT",'LM7 Non-ENG'!$A$1:$A$5000,1,FALSE),"ERROR")=B676&amp;"PT","Y","")),"")</f>
        <v/>
      </c>
      <c r="I676" t="str">
        <f>IFERROR(VLOOKUP(B676,PN!$A:$C,3,FALSE),"")</f>
        <v>Active</v>
      </c>
      <c r="J676" s="3">
        <f>IFERROR(E676*VLOOKUP(B676,PLInter!$A:$D,3,FALSE),"")</f>
        <v>20994</v>
      </c>
      <c r="K676" s="66"/>
      <c r="L676" s="66"/>
      <c r="M676" s="66"/>
      <c r="N676" s="66"/>
      <c r="O676" s="66"/>
      <c r="P676" s="66"/>
      <c r="Q676" s="66"/>
      <c r="R676" s="66"/>
      <c r="S676" s="66"/>
    </row>
    <row r="677" spans="2:19" ht="18" customHeight="1">
      <c r="B677" t="s">
        <v>519</v>
      </c>
      <c r="C677" t="s">
        <v>803</v>
      </c>
      <c r="D677" s="4"/>
      <c r="E677" s="4">
        <v>1</v>
      </c>
      <c r="F677" s="4"/>
      <c r="G677" s="29" t="str">
        <f>IFERROR(HYPERLINK("#"&amp;ADDRESS(MATCH(B677&amp;"ES",'LM7 Non-ENG'!$A$1:$A$5000,0),1,,,"LM7 Non-ENG"),IF(IFERROR(VLOOKUP(B677&amp;"ES",'LM7 Non-ENG'!$A$1:$A$4999,1,FALSE),"ERROR")=B677&amp;"ES","Y","")),"")</f>
        <v/>
      </c>
      <c r="H677" s="29" t="str">
        <f>IFERROR(HYPERLINK("#"&amp;ADDRESS(MATCH(B677&amp;"PT",'LM7 Non-ENG'!$A$1:$A$5000,0),1,,,"LM7 Non-ENG"),IF(IFERROR(VLOOKUP(B677&amp;"PT",'LM7 Non-ENG'!$A$1:$A$5000,1,FALSE),"ERROR")=B677&amp;"PT","Y","")),"")</f>
        <v/>
      </c>
      <c r="I677" t="str">
        <f>IFERROR(VLOOKUP(B677,PN!$A:$C,3,FALSE),"")</f>
        <v>Active</v>
      </c>
      <c r="J677" s="3">
        <f>IFERROR(E677*VLOOKUP(B677,PLInter!$A:$D,3,FALSE),"")</f>
        <v>1595</v>
      </c>
      <c r="K677" s="66"/>
      <c r="L677" s="66"/>
      <c r="M677" s="66"/>
      <c r="N677" s="66"/>
      <c r="O677" s="66"/>
      <c r="P677" s="66"/>
      <c r="Q677" s="66"/>
      <c r="R677" s="66"/>
      <c r="S677" s="66"/>
    </row>
    <row r="678" spans="2:19" ht="18" customHeight="1">
      <c r="B678" t="s">
        <v>516</v>
      </c>
      <c r="C678" t="s">
        <v>804</v>
      </c>
      <c r="D678" s="4"/>
      <c r="E678" s="4">
        <v>1</v>
      </c>
      <c r="F678" s="4"/>
      <c r="G678" s="29" t="str">
        <f>IFERROR(HYPERLINK("#"&amp;ADDRESS(MATCH(B678&amp;"ES",'LM7 Non-ENG'!$A$1:$A$5000,0),1,,,"LM7 Non-ENG"),IF(IFERROR(VLOOKUP(B678&amp;"ES",'LM7 Non-ENG'!$A$1:$A$4999,1,FALSE),"ERROR")=B678&amp;"ES","Y","")),"")</f>
        <v/>
      </c>
      <c r="H678" s="29" t="str">
        <f>IFERROR(HYPERLINK("#"&amp;ADDRESS(MATCH(B678&amp;"PT",'LM7 Non-ENG'!$A$1:$A$5000,0),1,,,"LM7 Non-ENG"),IF(IFERROR(VLOOKUP(B678&amp;"PT",'LM7 Non-ENG'!$A$1:$A$5000,1,FALSE),"ERROR")=B678&amp;"PT","Y","")),"")</f>
        <v/>
      </c>
      <c r="I678" t="str">
        <f>IFERROR(VLOOKUP(B678,PN!$A:$C,3,FALSE),"")</f>
        <v>Active</v>
      </c>
      <c r="J678" s="3">
        <f>IFERROR(E678*VLOOKUP(B678,PLInter!$A:$D,3,FALSE),"")</f>
        <v>2126</v>
      </c>
      <c r="K678" s="66"/>
      <c r="L678" s="66"/>
      <c r="M678" s="66"/>
      <c r="N678" s="66"/>
      <c r="O678" s="66"/>
      <c r="P678" s="66"/>
      <c r="Q678" s="66"/>
      <c r="R678" s="66"/>
      <c r="S678" s="66"/>
    </row>
    <row r="679" spans="2:19" ht="18" customHeight="1">
      <c r="B679" t="s">
        <v>504</v>
      </c>
      <c r="C679" t="s">
        <v>742</v>
      </c>
      <c r="D679" s="4"/>
      <c r="E679" s="4">
        <v>1</v>
      </c>
      <c r="F679" s="4"/>
      <c r="G679" s="29" t="str">
        <f>IFERROR(HYPERLINK("#"&amp;ADDRESS(MATCH(B679&amp;"ES",'LM7 Non-ENG'!$A$1:$A$5000,0),1,,,"LM7 Non-ENG"),IF(IFERROR(VLOOKUP(B679&amp;"ES",'LM7 Non-ENG'!$A$1:$A$4999,1,FALSE),"ERROR")=B679&amp;"ES","Y","")),"")</f>
        <v/>
      </c>
      <c r="H679" s="29" t="str">
        <f>IFERROR(HYPERLINK("#"&amp;ADDRESS(MATCH(B679&amp;"PT",'LM7 Non-ENG'!$A$1:$A$5000,0),1,,,"LM7 Non-ENG"),IF(IFERROR(VLOOKUP(B679&amp;"PT",'LM7 Non-ENG'!$A$1:$A$5000,1,FALSE),"ERROR")=B679&amp;"PT","Y","")),"")</f>
        <v/>
      </c>
      <c r="I679" t="str">
        <f>IFERROR(VLOOKUP(B679,PN!$A:$C,3,FALSE),"")</f>
        <v>Active</v>
      </c>
      <c r="J679" s="3">
        <f>IFERROR(E679*VLOOKUP(B679,PLInter!$A:$D,3,FALSE),"")</f>
        <v>227</v>
      </c>
      <c r="K679" s="66"/>
      <c r="L679" s="66"/>
      <c r="M679" s="66"/>
      <c r="N679" s="66"/>
      <c r="O679" s="66"/>
      <c r="P679" s="66"/>
      <c r="Q679" s="66"/>
      <c r="R679" s="66"/>
      <c r="S679" s="66"/>
    </row>
    <row r="680" spans="2:19" ht="18" customHeight="1">
      <c r="B680" s="1" t="s">
        <v>507</v>
      </c>
      <c r="C680" s="1" t="s">
        <v>843</v>
      </c>
      <c r="D680" s="6" t="s">
        <v>0</v>
      </c>
      <c r="E680" s="6">
        <v>1</v>
      </c>
      <c r="F680" s="6"/>
      <c r="G680" s="29" t="str">
        <f>IFERROR(HYPERLINK("#"&amp;ADDRESS(MATCH(B680&amp;"ES",'LM7 Non-ENG'!$A$1:$A$5000,0),1,,,"LM7 Non-ENG"),IF(IFERROR(VLOOKUP(B680&amp;"ES",'LM7 Non-ENG'!$A$1:$A$4999,1,FALSE),"ERROR")=B680&amp;"ES","Y","")),"")</f>
        <v/>
      </c>
      <c r="H680" s="29" t="str">
        <f>IFERROR(HYPERLINK("#"&amp;ADDRESS(MATCH(B680&amp;"PT",'LM7 Non-ENG'!$A$1:$A$5000,0),1,,,"LM7 Non-ENG"),IF(IFERROR(VLOOKUP(B680&amp;"PT",'LM7 Non-ENG'!$A$1:$A$5000,1,FALSE),"ERROR")=B680&amp;"PT","Y","")),"")</f>
        <v/>
      </c>
      <c r="I680" t="str">
        <f>IFERROR(VLOOKUP(B680,PN!$A:$C,3,FALSE),"")</f>
        <v>Active</v>
      </c>
      <c r="J680" s="3">
        <f>IFERROR(E680*VLOOKUP(B680,PLInter!$A:$D,3,FALSE),"")</f>
        <v>244</v>
      </c>
      <c r="K680" s="66"/>
      <c r="L680" s="66"/>
      <c r="M680" s="66"/>
      <c r="N680" s="66"/>
      <c r="O680" s="66"/>
      <c r="P680" s="66"/>
      <c r="Q680" s="66"/>
      <c r="R680" s="66"/>
      <c r="S680" s="66"/>
    </row>
    <row r="681" spans="2:19" ht="18" customHeight="1">
      <c r="B681" s="1" t="s">
        <v>740</v>
      </c>
      <c r="C681" s="1" t="s">
        <v>741</v>
      </c>
      <c r="D681" s="6" t="s">
        <v>0</v>
      </c>
      <c r="E681" s="6">
        <v>1</v>
      </c>
      <c r="F681" s="6"/>
      <c r="G681" s="29" t="str">
        <f>IFERROR(HYPERLINK("#"&amp;ADDRESS(MATCH(B681&amp;"ES",'LM7 Non-ENG'!$A$1:$A$5000,0),1,,,"LM7 Non-ENG"),IF(IFERROR(VLOOKUP(B681&amp;"ES",'LM7 Non-ENG'!$A$1:$A$4999,1,FALSE),"ERROR")=B681&amp;"ES","Y","")),"")</f>
        <v/>
      </c>
      <c r="H681" s="29" t="str">
        <f>IFERROR(HYPERLINK("#"&amp;ADDRESS(MATCH(B681&amp;"PT",'LM7 Non-ENG'!$A$1:$A$5000,0),1,,,"LM7 Non-ENG"),IF(IFERROR(VLOOKUP(B681&amp;"PT",'LM7 Non-ENG'!$A$1:$A$5000,1,FALSE),"ERROR")=B681&amp;"PT","Y","")),"")</f>
        <v/>
      </c>
      <c r="I681" t="str">
        <f>IFERROR(VLOOKUP(B681,PN!$A:$C,3,FALSE),"")</f>
        <v>Active</v>
      </c>
      <c r="J681" s="3" t="str">
        <f>IFERROR(E681*VLOOKUP(B681,PLInter!$A:$D,3,FALSE),"")</f>
        <v/>
      </c>
      <c r="K681" s="66"/>
      <c r="L681" s="66"/>
      <c r="M681" s="66"/>
      <c r="N681" s="66"/>
      <c r="O681" s="66"/>
      <c r="P681" s="66"/>
      <c r="Q681" s="66"/>
      <c r="R681" s="66"/>
      <c r="S681" s="66"/>
    </row>
    <row r="682" spans="2:19" ht="18" customHeight="1">
      <c r="B682" t="s">
        <v>505</v>
      </c>
      <c r="C682" t="s">
        <v>844</v>
      </c>
      <c r="D682" s="4"/>
      <c r="E682" s="4">
        <v>1</v>
      </c>
      <c r="F682" s="4"/>
      <c r="G682" s="29" t="str">
        <f>IFERROR(HYPERLINK("#"&amp;ADDRESS(MATCH(B682&amp;"ES",'LM7 Non-ENG'!$A$1:$A$5000,0),1,,,"LM7 Non-ENG"),IF(IFERROR(VLOOKUP(B682&amp;"ES",'LM7 Non-ENG'!$A$1:$A$4999,1,FALSE),"ERROR")=B682&amp;"ES","Y","")),"")</f>
        <v/>
      </c>
      <c r="H682" s="29" t="str">
        <f>IFERROR(HYPERLINK("#"&amp;ADDRESS(MATCH(B682&amp;"PT",'LM7 Non-ENG'!$A$1:$A$5000,0),1,,,"LM7 Non-ENG"),IF(IFERROR(VLOOKUP(B682&amp;"PT",'LM7 Non-ENG'!$A$1:$A$5000,1,FALSE),"ERROR")=B682&amp;"PT","Y","")),"")</f>
        <v/>
      </c>
      <c r="I682" t="str">
        <f>IFERROR(VLOOKUP(B682,PN!$A:$C,3,FALSE),"")</f>
        <v>Active</v>
      </c>
      <c r="J682" s="3">
        <f>IFERROR(E682*VLOOKUP(B682,PLInter!$A:$D,3,FALSE),"")</f>
        <v>200</v>
      </c>
      <c r="K682" s="66"/>
      <c r="L682" s="66"/>
      <c r="M682" s="66"/>
      <c r="N682" s="66"/>
      <c r="O682" s="66"/>
      <c r="P682" s="66"/>
      <c r="Q682" s="66"/>
      <c r="R682" s="66"/>
      <c r="S682" s="66"/>
    </row>
    <row r="683" spans="2:19" ht="18" customHeight="1">
      <c r="B683" t="s">
        <v>502</v>
      </c>
      <c r="C683" t="s">
        <v>744</v>
      </c>
      <c r="D683" s="4"/>
      <c r="E683" s="4">
        <v>1</v>
      </c>
      <c r="F683" s="4"/>
      <c r="G683" s="29" t="str">
        <f>IFERROR(HYPERLINK("#"&amp;ADDRESS(MATCH(B683&amp;"ES",'LM7 Non-ENG'!$A$1:$A$5000,0),1,,,"LM7 Non-ENG"),IF(IFERROR(VLOOKUP(B683&amp;"ES",'LM7 Non-ENG'!$A$1:$A$4999,1,FALSE),"ERROR")=B683&amp;"ES","Y","")),"")</f>
        <v/>
      </c>
      <c r="H683" s="29" t="str">
        <f>IFERROR(HYPERLINK("#"&amp;ADDRESS(MATCH(B683&amp;"PT",'LM7 Non-ENG'!$A$1:$A$5000,0),1,,,"LM7 Non-ENG"),IF(IFERROR(VLOOKUP(B683&amp;"PT",'LM7 Non-ENG'!$A$1:$A$5000,1,FALSE),"ERROR")=B683&amp;"PT","Y","")),"")</f>
        <v/>
      </c>
      <c r="I683" t="str">
        <f>IFERROR(VLOOKUP(B683,PN!$A:$C,3,FALSE),"")</f>
        <v>Active</v>
      </c>
      <c r="J683" s="3">
        <f>IFERROR(E683*VLOOKUP(B683,PLInter!$A:$D,3,FALSE),"")</f>
        <v>87</v>
      </c>
      <c r="K683" s="66"/>
      <c r="L683" s="66"/>
      <c r="M683" s="66"/>
      <c r="N683" s="66"/>
      <c r="O683" s="66"/>
      <c r="P683" s="66"/>
      <c r="Q683" s="66"/>
      <c r="R683" s="66"/>
      <c r="S683" s="66"/>
    </row>
    <row r="684" spans="2:19" ht="18" customHeight="1">
      <c r="B684" t="s">
        <v>503</v>
      </c>
      <c r="C684" t="s">
        <v>745</v>
      </c>
      <c r="D684" s="4"/>
      <c r="E684" s="4">
        <v>1</v>
      </c>
      <c r="F684" s="4"/>
      <c r="G684" s="29" t="str">
        <f>IFERROR(HYPERLINK("#"&amp;ADDRESS(MATCH(B684&amp;"ES",'LM7 Non-ENG'!$A$1:$A$5000,0),1,,,"LM7 Non-ENG"),IF(IFERROR(VLOOKUP(B684&amp;"ES",'LM7 Non-ENG'!$A$1:$A$4999,1,FALSE),"ERROR")=B684&amp;"ES","Y","")),"")</f>
        <v/>
      </c>
      <c r="H684" s="29" t="str">
        <f>IFERROR(HYPERLINK("#"&amp;ADDRESS(MATCH(B684&amp;"PT",'LM7 Non-ENG'!$A$1:$A$5000,0),1,,,"LM7 Non-ENG"),IF(IFERROR(VLOOKUP(B684&amp;"PT",'LM7 Non-ENG'!$A$1:$A$5000,1,FALSE),"ERROR")=B684&amp;"PT","Y","")),"")</f>
        <v/>
      </c>
      <c r="I684" t="str">
        <f>IFERROR(VLOOKUP(B684,PN!$A:$C,3,FALSE),"")</f>
        <v>Active</v>
      </c>
      <c r="J684" s="3">
        <f>IFERROR(E684*VLOOKUP(B684,PLInter!$A:$D,3,FALSE),"")</f>
        <v>74</v>
      </c>
      <c r="K684" s="66"/>
      <c r="L684" s="66"/>
      <c r="M684" s="66"/>
      <c r="N684" s="66"/>
      <c r="O684" s="66"/>
      <c r="P684" s="66"/>
      <c r="Q684" s="66"/>
      <c r="R684" s="66"/>
      <c r="S684" s="66"/>
    </row>
    <row r="685" spans="2:19" ht="18" customHeight="1">
      <c r="B685" s="1" t="s">
        <v>480</v>
      </c>
      <c r="C685" s="1" t="s">
        <v>723</v>
      </c>
      <c r="D685" s="6" t="s">
        <v>0</v>
      </c>
      <c r="E685" s="6">
        <v>1</v>
      </c>
      <c r="F685" s="6"/>
      <c r="G685" s="29" t="str">
        <f>IFERROR(HYPERLINK("#"&amp;ADDRESS(MATCH(B685&amp;"ES",'LM7 Non-ENG'!$A$1:$A$5000,0),1,,,"LM7 Non-ENG"),IF(IFERROR(VLOOKUP(B685&amp;"ES",'LM7 Non-ENG'!$A$1:$A$4999,1,FALSE),"ERROR")=B685&amp;"ES","Y","")),"")</f>
        <v/>
      </c>
      <c r="H685" s="29" t="str">
        <f>IFERROR(HYPERLINK("#"&amp;ADDRESS(MATCH(B685&amp;"PT",'LM7 Non-ENG'!$A$1:$A$5000,0),1,,,"LM7 Non-ENG"),IF(IFERROR(VLOOKUP(B685&amp;"PT",'LM7 Non-ENG'!$A$1:$A$5000,1,FALSE),"ERROR")=B685&amp;"PT","Y","")),"")</f>
        <v/>
      </c>
      <c r="I685" t="str">
        <f>IFERROR(VLOOKUP(B685,PN!$A:$C,3,FALSE),"")</f>
        <v>Active</v>
      </c>
      <c r="J685" s="3">
        <f>IFERROR(E685*VLOOKUP(B685,PLInter!$A:$D,3,FALSE),"")</f>
        <v>407</v>
      </c>
      <c r="K685" s="66"/>
      <c r="L685" s="66"/>
      <c r="M685" s="66"/>
      <c r="N685" s="66"/>
      <c r="O685" s="66"/>
      <c r="P685" s="66"/>
      <c r="Q685" s="66"/>
      <c r="R685" s="66"/>
      <c r="S685" s="66"/>
    </row>
    <row r="686" spans="2:19" ht="18" customHeight="1">
      <c r="B686" s="1" t="s">
        <v>479</v>
      </c>
      <c r="C686" s="1" t="s">
        <v>810</v>
      </c>
      <c r="D686" s="6" t="s">
        <v>0</v>
      </c>
      <c r="E686" s="6">
        <v>1</v>
      </c>
      <c r="F686" s="6" t="s">
        <v>0</v>
      </c>
      <c r="G686" s="29" t="str">
        <f>IFERROR(HYPERLINK("#"&amp;ADDRESS(MATCH(B686&amp;"ES",'LM7 Non-ENG'!$A$1:$A$5000,0),1,,,"LM7 Non-ENG"),IF(IFERROR(VLOOKUP(B686&amp;"ES",'LM7 Non-ENG'!$A$1:$A$4999,1,FALSE),"ERROR")=B686&amp;"ES","Y","")),"")</f>
        <v/>
      </c>
      <c r="H686" s="29" t="str">
        <f>IFERROR(HYPERLINK("#"&amp;ADDRESS(MATCH(B686&amp;"PT",'LM7 Non-ENG'!$A$1:$A$5000,0),1,,,"LM7 Non-ENG"),IF(IFERROR(VLOOKUP(B686&amp;"PT",'LM7 Non-ENG'!$A$1:$A$5000,1,FALSE),"ERROR")=B686&amp;"PT","Y","")),"")</f>
        <v/>
      </c>
      <c r="I686" t="str">
        <f>IFERROR(VLOOKUP(B686,PN!$A:$C,3,FALSE),"")</f>
        <v>Active</v>
      </c>
      <c r="J686" s="3">
        <f>IFERROR(E686*VLOOKUP(B686,PLInter!$A:$D,3,FALSE),"")</f>
        <v>407</v>
      </c>
      <c r="K686" s="66"/>
      <c r="L686" s="66"/>
      <c r="M686" s="66"/>
      <c r="N686" s="66"/>
      <c r="O686" s="66"/>
      <c r="P686" s="66"/>
      <c r="Q686" s="66"/>
      <c r="R686" s="66"/>
      <c r="S686" s="66"/>
    </row>
    <row r="687" spans="2:19" ht="18" customHeight="1">
      <c r="B687" t="s">
        <v>478</v>
      </c>
      <c r="C687" t="s">
        <v>716</v>
      </c>
      <c r="D687" s="4"/>
      <c r="E687" s="4">
        <v>1</v>
      </c>
      <c r="F687" s="4"/>
      <c r="G687" s="29" t="str">
        <f>IFERROR(HYPERLINK("#"&amp;ADDRESS(MATCH(B687&amp;"ES",'LM7 Non-ENG'!$A$1:$A$5000,0),1,,,"LM7 Non-ENG"),IF(IFERROR(VLOOKUP(B687&amp;"ES",'LM7 Non-ENG'!$A$1:$A$4999,1,FALSE),"ERROR")=B687&amp;"ES","Y","")),"")</f>
        <v/>
      </c>
      <c r="H687" s="29" t="str">
        <f>IFERROR(HYPERLINK("#"&amp;ADDRESS(MATCH(B687&amp;"PT",'LM7 Non-ENG'!$A$1:$A$5000,0),1,,,"LM7 Non-ENG"),IF(IFERROR(VLOOKUP(B687&amp;"PT",'LM7 Non-ENG'!$A$1:$A$5000,1,FALSE),"ERROR")=B687&amp;"PT","Y","")),"")</f>
        <v/>
      </c>
      <c r="I687" t="str">
        <f>IFERROR(VLOOKUP(B687,PN!$A:$C,3,FALSE),"")</f>
        <v>Active</v>
      </c>
      <c r="J687" s="3">
        <f>IFERROR(E687*VLOOKUP(B687,PLInter!$A:$D,3,FALSE),"")</f>
        <v>795</v>
      </c>
      <c r="K687" s="66"/>
      <c r="L687" s="66"/>
      <c r="M687" s="66"/>
      <c r="N687" s="66"/>
      <c r="O687" s="66"/>
      <c r="P687" s="66"/>
      <c r="Q687" s="66"/>
      <c r="R687" s="66"/>
      <c r="S687" s="66"/>
    </row>
    <row r="688" spans="2:19" ht="18" customHeight="1">
      <c r="B688" t="s">
        <v>486</v>
      </c>
      <c r="C688" t="s">
        <v>806</v>
      </c>
      <c r="D688" s="4"/>
      <c r="E688" s="4">
        <v>1</v>
      </c>
      <c r="F688" s="4"/>
      <c r="G688" s="29" t="str">
        <f>IFERROR(HYPERLINK("#"&amp;ADDRESS(MATCH(B688&amp;"ES",'LM7 Non-ENG'!$A$1:$A$5000,0),1,,,"LM7 Non-ENG"),IF(IFERROR(VLOOKUP(B688&amp;"ES",'LM7 Non-ENG'!$A$1:$A$4999,1,FALSE),"ERROR")=B688&amp;"ES","Y","")),"")</f>
        <v/>
      </c>
      <c r="H688" s="29" t="str">
        <f>IFERROR(HYPERLINK("#"&amp;ADDRESS(MATCH(B688&amp;"PT",'LM7 Non-ENG'!$A$1:$A$5000,0),1,,,"LM7 Non-ENG"),IF(IFERROR(VLOOKUP(B688&amp;"PT",'LM7 Non-ENG'!$A$1:$A$5000,1,FALSE),"ERROR")=B688&amp;"PT","Y","")),"")</f>
        <v/>
      </c>
      <c r="I688" t="str">
        <f>IFERROR(VLOOKUP(B688,PN!$A:$C,3,FALSE),"")</f>
        <v>Active</v>
      </c>
      <c r="J688" s="3">
        <f>IFERROR(E688*VLOOKUP(B688,PLInter!$A:$D,3,FALSE),"")</f>
        <v>313</v>
      </c>
      <c r="K688" s="66"/>
      <c r="L688" s="66"/>
      <c r="M688" s="66"/>
      <c r="N688" s="66"/>
      <c r="O688" s="66"/>
      <c r="P688" s="66"/>
      <c r="Q688" s="66"/>
      <c r="R688" s="66"/>
      <c r="S688" s="66"/>
    </row>
    <row r="689" spans="1:19" ht="18" customHeight="1">
      <c r="B689" t="s">
        <v>562</v>
      </c>
      <c r="C689" t="s">
        <v>807</v>
      </c>
      <c r="D689" s="4"/>
      <c r="E689" s="4">
        <v>1</v>
      </c>
      <c r="F689" s="4"/>
      <c r="G689" s="29" t="str">
        <f>IFERROR(HYPERLINK("#"&amp;ADDRESS(MATCH(B689&amp;"ES",'LM7 Non-ENG'!$A$1:$A$5000,0),1,,,"LM7 Non-ENG"),IF(IFERROR(VLOOKUP(B689&amp;"ES",'LM7 Non-ENG'!$A$1:$A$4999,1,FALSE),"ERROR")=B689&amp;"ES","Y","")),"")</f>
        <v/>
      </c>
      <c r="H689" s="29" t="str">
        <f>IFERROR(HYPERLINK("#"&amp;ADDRESS(MATCH(B689&amp;"PT",'LM7 Non-ENG'!$A$1:$A$5000,0),1,,,"LM7 Non-ENG"),IF(IFERROR(VLOOKUP(B689&amp;"PT",'LM7 Non-ENG'!$A$1:$A$5000,1,FALSE),"ERROR")=B689&amp;"PT","Y","")),"")</f>
        <v/>
      </c>
      <c r="I689" t="str">
        <f>IFERROR(VLOOKUP(B689,PN!$A:$C,3,FALSE),"")</f>
        <v>Active</v>
      </c>
      <c r="J689" s="3">
        <f>IFERROR(E689*VLOOKUP(B689,PLInter!$A:$D,3,FALSE),"")</f>
        <v>500</v>
      </c>
      <c r="K689" s="66"/>
      <c r="L689" s="66"/>
      <c r="M689" s="66"/>
      <c r="N689" s="66"/>
      <c r="O689" s="66"/>
      <c r="P689" s="66"/>
      <c r="Q689" s="66"/>
      <c r="R689" s="66"/>
      <c r="S689" s="66"/>
    </row>
    <row r="690" spans="1:19" ht="18" customHeight="1">
      <c r="B690" s="2" t="s">
        <v>845</v>
      </c>
      <c r="C690" s="2" t="s">
        <v>846</v>
      </c>
      <c r="D690" s="5"/>
      <c r="E690" s="5">
        <v>1</v>
      </c>
      <c r="F690" s="5" t="s">
        <v>0</v>
      </c>
      <c r="G690" s="29" t="str">
        <f>IFERROR(HYPERLINK("#"&amp;ADDRESS(MATCH(B690&amp;"ES",'LM7 Non-ENG'!$A$1:$A$5000,0),1,,,"LM7 Non-ENG"),IF(IFERROR(VLOOKUP(B690&amp;"ES",'LM7 Non-ENG'!$A$1:$A$4999,1,FALSE),"ERROR")=B690&amp;"ES","Y","")),"")</f>
        <v/>
      </c>
      <c r="H690" s="29" t="str">
        <f>IFERROR(HYPERLINK("#"&amp;ADDRESS(MATCH(B690&amp;"PT",'LM7 Non-ENG'!$A$1:$A$5000,0),1,,,"LM7 Non-ENG"),IF(IFERROR(VLOOKUP(B690&amp;"PT",'LM7 Non-ENG'!$A$1:$A$5000,1,FALSE),"ERROR")=B690&amp;"PT","Y","")),"")</f>
        <v/>
      </c>
      <c r="I690" t="str">
        <f>IFERROR(VLOOKUP(B690,PN!$A:$C,3,FALSE),"")</f>
        <v>Active</v>
      </c>
      <c r="J690" s="3" t="str">
        <f>IFERROR(E690*VLOOKUP(B690,PLInter!$A:$D,3,FALSE),"")</f>
        <v/>
      </c>
      <c r="K690" s="66"/>
      <c r="L690" s="66"/>
      <c r="M690" s="66"/>
      <c r="N690" s="66"/>
      <c r="O690" s="66"/>
      <c r="P690" s="66"/>
      <c r="Q690" s="66"/>
      <c r="R690" s="66"/>
      <c r="S690" s="66"/>
    </row>
    <row r="691" spans="1:19" ht="18" customHeight="1">
      <c r="B691" t="s">
        <v>572</v>
      </c>
      <c r="C691" t="s">
        <v>749</v>
      </c>
      <c r="D691" s="4"/>
      <c r="E691" s="4">
        <v>1</v>
      </c>
      <c r="F691" s="4"/>
      <c r="G691" s="29" t="str">
        <f>IFERROR(HYPERLINK("#"&amp;ADDRESS(MATCH(B691&amp;"ES",'LM7 Non-ENG'!$A$1:$A$5000,0),1,,,"LM7 Non-ENG"),IF(IFERROR(VLOOKUP(B691&amp;"ES",'LM7 Non-ENG'!$A$1:$A$4999,1,FALSE),"ERROR")=B691&amp;"ES","Y","")),"")</f>
        <v/>
      </c>
      <c r="H691" s="29" t="str">
        <f>IFERROR(HYPERLINK("#"&amp;ADDRESS(MATCH(B691&amp;"PT",'LM7 Non-ENG'!$A$1:$A$5000,0),1,,,"LM7 Non-ENG"),IF(IFERROR(VLOOKUP(B691&amp;"PT",'LM7 Non-ENG'!$A$1:$A$5000,1,FALSE),"ERROR")=B691&amp;"PT","Y","")),"")</f>
        <v/>
      </c>
      <c r="I691" t="str">
        <f>IFERROR(VLOOKUP(B691,PN!$A:$C,3,FALSE),"")</f>
        <v>Active</v>
      </c>
      <c r="J691" s="3">
        <f>IFERROR(E691*VLOOKUP(B691,PLInter!$A:$D,3,FALSE),"")</f>
        <v>500</v>
      </c>
      <c r="K691" s="66"/>
      <c r="L691" s="66"/>
      <c r="M691" s="66"/>
      <c r="N691" s="66"/>
      <c r="O691" s="66"/>
      <c r="P691" s="66"/>
      <c r="Q691" s="66"/>
      <c r="R691" s="66"/>
      <c r="S691" s="66"/>
    </row>
    <row r="692" spans="1:19" ht="18" customHeight="1">
      <c r="B692" t="str">
        <f>"112496"</f>
        <v>112496</v>
      </c>
      <c r="C692" t="s">
        <v>696</v>
      </c>
      <c r="D692" s="4"/>
      <c r="E692" s="4">
        <v>50</v>
      </c>
      <c r="F692" s="4"/>
      <c r="G692" s="29" t="str">
        <f>IFERROR(HYPERLINK("#"&amp;ADDRESS(MATCH(B692&amp;"ES",'LM7 Non-ENG'!$A$1:$A$5000,0),1,,,"LM7 Non-ENG"),IF(IFERROR(VLOOKUP(B692&amp;"ES",'LM7 Non-ENG'!$A$1:$A$4999,1,FALSE),"ERROR")=B692&amp;"ES","Y","")),"")</f>
        <v/>
      </c>
      <c r="H692" s="29" t="str">
        <f>IFERROR(HYPERLINK("#"&amp;ADDRESS(MATCH(B692&amp;"PT",'LM7 Non-ENG'!$A$1:$A$5000,0),1,,,"LM7 Non-ENG"),IF(IFERROR(VLOOKUP(B692&amp;"PT",'LM7 Non-ENG'!$A$1:$A$5000,1,FALSE),"ERROR")=B692&amp;"PT","Y","")),"")</f>
        <v/>
      </c>
      <c r="I692" t="str">
        <f>IFERROR(VLOOKUP(B692,PN!$A:$C,3,FALSE),"")</f>
        <v>Active</v>
      </c>
      <c r="J692" s="3">
        <f>IFERROR(E692*VLOOKUP(B692,PLInter!$A:$D,3,FALSE),"")</f>
        <v>1000</v>
      </c>
      <c r="K692" s="66"/>
      <c r="L692" s="66"/>
      <c r="M692" s="66"/>
      <c r="N692" s="66"/>
      <c r="O692" s="66"/>
      <c r="P692" s="66"/>
      <c r="Q692" s="66"/>
      <c r="R692" s="66"/>
      <c r="S692" s="66"/>
    </row>
    <row r="693" spans="1:19" ht="18" customHeight="1">
      <c r="B693" t="s">
        <v>644</v>
      </c>
      <c r="C693" t="s">
        <v>645</v>
      </c>
      <c r="D693" s="4"/>
      <c r="E693" s="4">
        <v>1</v>
      </c>
      <c r="F693" s="4"/>
      <c r="G693" s="29" t="str">
        <f>IFERROR(HYPERLINK("#"&amp;ADDRESS(MATCH(B693&amp;"ES",'LM7 Non-ENG'!$A$1:$A$5000,0),1,,,"LM7 Non-ENG"),IF(IFERROR(VLOOKUP(B693&amp;"ES",'LM7 Non-ENG'!$A$1:$A$4999,1,FALSE),"ERROR")=B693&amp;"ES","Y","")),"")</f>
        <v/>
      </c>
      <c r="H693" s="29" t="str">
        <f>IFERROR(HYPERLINK("#"&amp;ADDRESS(MATCH(B693&amp;"PT",'LM7 Non-ENG'!$A$1:$A$5000,0),1,,,"LM7 Non-ENG"),IF(IFERROR(VLOOKUP(B693&amp;"PT",'LM7 Non-ENG'!$A$1:$A$5000,1,FALSE),"ERROR")=B693&amp;"PT","Y","")),"")</f>
        <v/>
      </c>
      <c r="I693" t="str">
        <f>IFERROR(VLOOKUP(B693,PN!$A:$C,3,FALSE),"")</f>
        <v>Active</v>
      </c>
      <c r="J693" s="3">
        <f>IFERROR(E693*VLOOKUP(B693,PLInter!$A:$D,3,FALSE),"")</f>
        <v>1800</v>
      </c>
      <c r="K693" s="66"/>
      <c r="L693" s="66"/>
      <c r="M693" s="66"/>
      <c r="N693" s="66"/>
      <c r="O693" s="66"/>
      <c r="P693" s="66"/>
      <c r="Q693" s="66"/>
      <c r="R693" s="66"/>
      <c r="S693" s="66"/>
    </row>
    <row r="694" spans="1:19" ht="18" customHeight="1">
      <c r="B694" t="s">
        <v>630</v>
      </c>
      <c r="C694" t="s">
        <v>631</v>
      </c>
      <c r="D694" s="4"/>
      <c r="E694" s="4">
        <v>1</v>
      </c>
      <c r="F694" s="4"/>
      <c r="G694" s="29" t="str">
        <f>IFERROR(HYPERLINK("#"&amp;ADDRESS(MATCH(B694&amp;"ES",'LM7 Non-ENG'!$A$1:$A$5000,0),1,,,"LM7 Non-ENG"),IF(IFERROR(VLOOKUP(B694&amp;"ES",'LM7 Non-ENG'!$A$1:$A$4999,1,FALSE),"ERROR")=B694&amp;"ES","Y","")),"")</f>
        <v/>
      </c>
      <c r="H694" s="29" t="str">
        <f>IFERROR(HYPERLINK("#"&amp;ADDRESS(MATCH(B694&amp;"PT",'LM7 Non-ENG'!$A$1:$A$5000,0),1,,,"LM7 Non-ENG"),IF(IFERROR(VLOOKUP(B694&amp;"PT",'LM7 Non-ENG'!$A$1:$A$5000,1,FALSE),"ERROR")=B694&amp;"PT","Y","")),"")</f>
        <v/>
      </c>
      <c r="I694" t="str">
        <f>IFERROR(VLOOKUP(B694,PN!$A:$C,3,FALSE),"")</f>
        <v>Active</v>
      </c>
      <c r="J694" s="3">
        <f>IFERROR(E694*VLOOKUP(B694,PLInter!$A:$D,3,FALSE),"")</f>
        <v>1735</v>
      </c>
      <c r="K694" s="66"/>
      <c r="L694" s="66"/>
      <c r="M694" s="66"/>
      <c r="N694" s="66"/>
      <c r="O694" s="66"/>
      <c r="P694" s="66"/>
      <c r="Q694" s="66"/>
      <c r="R694" s="66"/>
      <c r="S694" s="66"/>
    </row>
    <row r="696" spans="1:19" s="7" customFormat="1" ht="18" customHeight="1">
      <c r="A696" s="13" t="s">
        <v>847</v>
      </c>
      <c r="B696" s="13"/>
      <c r="C696" s="13" t="s">
        <v>848</v>
      </c>
      <c r="D696" s="14"/>
      <c r="E696" s="14"/>
      <c r="F696" s="14"/>
      <c r="G696" s="14"/>
      <c r="H696" s="14"/>
      <c r="I696" s="14"/>
      <c r="J696" s="14">
        <f>SUMIFS(J697:J731,D697:D731,"&lt;&gt;Y",F697:F731,"&lt;&gt;Y",I697:I731,"&lt;&gt;Inactive",I697:I731,"&lt;&gt;ECO+NFS")</f>
        <v>80134</v>
      </c>
      <c r="K696" s="14"/>
      <c r="L696" s="14"/>
      <c r="M696" s="14"/>
      <c r="N696" s="14"/>
      <c r="O696" s="14"/>
      <c r="P696" s="14"/>
      <c r="Q696" s="14"/>
      <c r="R696" s="14"/>
      <c r="S696" s="14"/>
    </row>
    <row r="697" spans="1:19" ht="18" customHeight="1">
      <c r="A697" s="17" t="str">
        <f>HYPERLINK("#"&amp;ADDRESS(MATCH(A696,'CIM&amp;FMS'!$A$1:$A$4997,0),1,,,"CIM&amp;FMS"),"Back to Price List")</f>
        <v>Back to Price List</v>
      </c>
      <c r="B697" t="s">
        <v>214</v>
      </c>
      <c r="C697" t="s">
        <v>654</v>
      </c>
      <c r="D697" s="4"/>
      <c r="E697" s="4">
        <v>1</v>
      </c>
      <c r="F697" s="4"/>
      <c r="G697" s="29" t="str">
        <f>IFERROR(HYPERLINK("#"&amp;ADDRESS(MATCH(B697&amp;"ES",'LM7 Non-ENG'!$A$1:$A$5000,0),1,,,"LM7 Non-ENG"),IF(IFERROR(VLOOKUP(B697&amp;"ES",'LM7 Non-ENG'!$A$1:$A$4999,1,FALSE),"ERROR")=B697&amp;"ES","Y","")),"")</f>
        <v/>
      </c>
      <c r="H697" s="29" t="str">
        <f>IFERROR(HYPERLINK("#"&amp;ADDRESS(MATCH(B697&amp;"PT",'LM7 Non-ENG'!$A$1:$A$5000,0),1,,,"LM7 Non-ENG"),IF(IFERROR(VLOOKUP(B697&amp;"PT",'LM7 Non-ENG'!$A$1:$A$5000,1,FALSE),"ERROR")=B697&amp;"PT","Y","")),"")</f>
        <v/>
      </c>
      <c r="I697" t="str">
        <f>IFERROR(VLOOKUP(B697,PN!$A:$C,3,FALSE),"")</f>
        <v>Active</v>
      </c>
      <c r="J697" s="3">
        <f>IFERROR(E697*VLOOKUP(B697,PLInter!$A:$D,3,FALSE),"")</f>
        <v>24000</v>
      </c>
      <c r="K697" s="66"/>
      <c r="L697" s="66"/>
      <c r="M697" s="66"/>
      <c r="N697" s="66"/>
      <c r="O697" s="66"/>
      <c r="P697" s="66"/>
      <c r="Q697" s="66"/>
      <c r="R697" s="66"/>
      <c r="S697" s="66"/>
    </row>
    <row r="698" spans="1:19" ht="18" customHeight="1">
      <c r="B698" t="s">
        <v>228</v>
      </c>
      <c r="C698" t="s">
        <v>655</v>
      </c>
      <c r="D698" s="4"/>
      <c r="E698" s="4">
        <v>1</v>
      </c>
      <c r="F698" s="4"/>
      <c r="G698" s="29" t="str">
        <f>IFERROR(HYPERLINK("#"&amp;ADDRESS(MATCH(B698&amp;"ES",'LM7 Non-ENG'!$A$1:$A$5000,0),1,,,"LM7 Non-ENG"),IF(IFERROR(VLOOKUP(B698&amp;"ES",'LM7 Non-ENG'!$A$1:$A$4999,1,FALSE),"ERROR")=B698&amp;"ES","Y","")),"")</f>
        <v/>
      </c>
      <c r="H698" s="29" t="str">
        <f>IFERROR(HYPERLINK("#"&amp;ADDRESS(MATCH(B698&amp;"PT",'LM7 Non-ENG'!$A$1:$A$5000,0),1,,,"LM7 Non-ENG"),IF(IFERROR(VLOOKUP(B698&amp;"PT",'LM7 Non-ENG'!$A$1:$A$5000,1,FALSE),"ERROR")=B698&amp;"PT","Y","")),"")</f>
        <v/>
      </c>
      <c r="I698" t="str">
        <f>IFERROR(VLOOKUP(B698,PN!$A:$C,3,FALSE),"")</f>
        <v>Active</v>
      </c>
      <c r="J698" s="3">
        <f>IFERROR(E698*VLOOKUP(B698,PLInter!$A:$D,3,FALSE),"")</f>
        <v>2134</v>
      </c>
      <c r="K698" s="66"/>
      <c r="L698" s="66"/>
      <c r="M698" s="66"/>
      <c r="N698" s="66"/>
      <c r="O698" s="66"/>
      <c r="P698" s="66"/>
      <c r="Q698" s="66"/>
      <c r="R698" s="66"/>
      <c r="S698" s="66"/>
    </row>
    <row r="699" spans="1:19" ht="18" customHeight="1">
      <c r="B699" s="2" t="s">
        <v>227</v>
      </c>
      <c r="C699" s="2" t="s">
        <v>232</v>
      </c>
      <c r="D699" s="5"/>
      <c r="E699" s="5">
        <v>1</v>
      </c>
      <c r="F699" s="5" t="s">
        <v>0</v>
      </c>
      <c r="G699" s="29" t="str">
        <f>IFERROR(HYPERLINK("#"&amp;ADDRESS(MATCH(B699&amp;"ES",'LM7 Non-ENG'!$A$1:$A$5000,0),1,,,"LM7 Non-ENG"),IF(IFERROR(VLOOKUP(B699&amp;"ES",'LM7 Non-ENG'!$A$1:$A$4999,1,FALSE),"ERROR")=B699&amp;"ES","Y","")),"")</f>
        <v/>
      </c>
      <c r="H699" s="29" t="str">
        <f>IFERROR(HYPERLINK("#"&amp;ADDRESS(MATCH(B699&amp;"PT",'LM7 Non-ENG'!$A$1:$A$5000,0),1,,,"LM7 Non-ENG"),IF(IFERROR(VLOOKUP(B699&amp;"PT",'LM7 Non-ENG'!$A$1:$A$5000,1,FALSE),"ERROR")=B699&amp;"PT","Y","")),"")</f>
        <v/>
      </c>
      <c r="I699" t="str">
        <f>IFERROR(VLOOKUP(B699,PN!$A:$C,3,FALSE),"")</f>
        <v>Active</v>
      </c>
      <c r="J699" s="3">
        <f>IFERROR(E699*VLOOKUP(B699,PLInter!$A:$D,3,FALSE),"")</f>
        <v>1700</v>
      </c>
      <c r="K699" s="66"/>
      <c r="L699" s="66"/>
      <c r="M699" s="66"/>
      <c r="N699" s="66"/>
      <c r="O699" s="66"/>
      <c r="P699" s="66"/>
      <c r="Q699" s="66"/>
      <c r="R699" s="66"/>
      <c r="S699" s="66"/>
    </row>
    <row r="700" spans="1:19" ht="18" customHeight="1">
      <c r="B700" t="s">
        <v>236</v>
      </c>
      <c r="C700" t="s">
        <v>626</v>
      </c>
      <c r="D700" s="4"/>
      <c r="E700" s="4">
        <v>1</v>
      </c>
      <c r="F700" s="4"/>
      <c r="G700" s="29" t="str">
        <f>IFERROR(HYPERLINK("#"&amp;ADDRESS(MATCH(B700&amp;"ES",'LM7 Non-ENG'!$A$1:$A$5000,0),1,,,"LM7 Non-ENG"),IF(IFERROR(VLOOKUP(B700&amp;"ES",'LM7 Non-ENG'!$A$1:$A$4999,1,FALSE),"ERROR")=B700&amp;"ES","Y","")),"")</f>
        <v/>
      </c>
      <c r="H700" s="29" t="str">
        <f>IFERROR(HYPERLINK("#"&amp;ADDRESS(MATCH(B700&amp;"PT",'LM7 Non-ENG'!$A$1:$A$5000,0),1,,,"LM7 Non-ENG"),IF(IFERROR(VLOOKUP(B700&amp;"PT",'LM7 Non-ENG'!$A$1:$A$5000,1,FALSE),"ERROR")=B700&amp;"PT","Y","")),"")</f>
        <v/>
      </c>
      <c r="I700" t="str">
        <f>IFERROR(VLOOKUP(B700,PN!$A:$C,3,FALSE),"")</f>
        <v>Active</v>
      </c>
      <c r="J700" s="3">
        <f>IFERROR(E700*VLOOKUP(B700,PLInter!$A:$D,3,FALSE),"")</f>
        <v>1680</v>
      </c>
      <c r="K700" s="66"/>
      <c r="L700" s="66"/>
      <c r="M700" s="66"/>
      <c r="N700" s="66"/>
      <c r="O700" s="66"/>
      <c r="P700" s="66"/>
      <c r="Q700" s="66"/>
      <c r="R700" s="66"/>
      <c r="S700" s="66"/>
    </row>
    <row r="701" spans="1:19" ht="18" customHeight="1">
      <c r="B701" t="s">
        <v>243</v>
      </c>
      <c r="C701" t="s">
        <v>790</v>
      </c>
      <c r="D701" s="4"/>
      <c r="E701" s="4">
        <v>1</v>
      </c>
      <c r="F701" s="4"/>
      <c r="G701" s="29" t="str">
        <f>IFERROR(HYPERLINK("#"&amp;ADDRESS(MATCH(B701&amp;"ES",'LM7 Non-ENG'!$A$1:$A$5000,0),1,,,"LM7 Non-ENG"),IF(IFERROR(VLOOKUP(B701&amp;"ES",'LM7 Non-ENG'!$A$1:$A$4999,1,FALSE),"ERROR")=B701&amp;"ES","Y","")),"")</f>
        <v/>
      </c>
      <c r="H701" s="29" t="str">
        <f>IFERROR(HYPERLINK("#"&amp;ADDRESS(MATCH(B701&amp;"PT",'LM7 Non-ENG'!$A$1:$A$5000,0),1,,,"LM7 Non-ENG"),IF(IFERROR(VLOOKUP(B701&amp;"PT",'LM7 Non-ENG'!$A$1:$A$5000,1,FALSE),"ERROR")=B701&amp;"PT","Y","")),"")</f>
        <v/>
      </c>
      <c r="I701" t="str">
        <f>IFERROR(VLOOKUP(B701,PN!$A:$C,3,FALSE),"")</f>
        <v>Active</v>
      </c>
      <c r="J701" s="3">
        <f>IFERROR(E701*VLOOKUP(B701,PLInter!$A:$D,3,FALSE),"")</f>
        <v>7366</v>
      </c>
      <c r="K701" s="66"/>
      <c r="L701" s="66"/>
      <c r="M701" s="66"/>
      <c r="N701" s="66"/>
      <c r="O701" s="66"/>
      <c r="P701" s="66"/>
      <c r="Q701" s="66"/>
      <c r="R701" s="66"/>
      <c r="S701" s="66"/>
    </row>
    <row r="702" spans="1:19" ht="18" customHeight="1">
      <c r="B702" t="str">
        <f>"034025"</f>
        <v>034025</v>
      </c>
      <c r="C702" t="s">
        <v>834</v>
      </c>
      <c r="D702" s="4"/>
      <c r="E702" s="4">
        <v>1</v>
      </c>
      <c r="F702" s="4"/>
      <c r="G702" s="29" t="str">
        <f>IFERROR(HYPERLINK("#"&amp;ADDRESS(MATCH(B702&amp;"ES",'LM7 Non-ENG'!$A$1:$A$5000,0),1,,,"LM7 Non-ENG"),IF(IFERROR(VLOOKUP(B702&amp;"ES",'LM7 Non-ENG'!$A$1:$A$4999,1,FALSE),"ERROR")=B702&amp;"ES","Y","")),"")</f>
        <v/>
      </c>
      <c r="H702" s="29" t="str">
        <f>IFERROR(HYPERLINK("#"&amp;ADDRESS(MATCH(B702&amp;"PT",'LM7 Non-ENG'!$A$1:$A$5000,0),1,,,"LM7 Non-ENG"),IF(IFERROR(VLOOKUP(B702&amp;"PT",'LM7 Non-ENG'!$A$1:$A$5000,1,FALSE),"ERROR")=B702&amp;"PT","Y","")),"")</f>
        <v/>
      </c>
      <c r="I702" t="str">
        <f>IFERROR(VLOOKUP(B702,PN!$A:$C,3,FALSE),"")</f>
        <v>Active</v>
      </c>
      <c r="J702" s="3">
        <f>IFERROR(E702*VLOOKUP(B702,PLInter!$A:$D,3,FALSE),"")</f>
        <v>1267</v>
      </c>
      <c r="K702" s="66"/>
      <c r="L702" s="66"/>
      <c r="M702" s="66"/>
      <c r="N702" s="66"/>
      <c r="O702" s="66"/>
      <c r="P702" s="66"/>
      <c r="Q702" s="66"/>
      <c r="R702" s="66"/>
      <c r="S702" s="66"/>
    </row>
    <row r="703" spans="1:19" ht="18" customHeight="1">
      <c r="B703" t="s">
        <v>680</v>
      </c>
      <c r="C703" t="s">
        <v>681</v>
      </c>
      <c r="D703" s="4"/>
      <c r="E703" s="4">
        <v>1</v>
      </c>
      <c r="F703" s="4"/>
      <c r="G703" s="29" t="str">
        <f>IFERROR(HYPERLINK("#"&amp;ADDRESS(MATCH(B703&amp;"ES",'LM7 Non-ENG'!$A$1:$A$5000,0),1,,,"LM7 Non-ENG"),IF(IFERROR(VLOOKUP(B703&amp;"ES",'LM7 Non-ENG'!$A$1:$A$4999,1,FALSE),"ERROR")=B703&amp;"ES","Y","")),"")</f>
        <v/>
      </c>
      <c r="H703" s="29" t="str">
        <f>IFERROR(HYPERLINK("#"&amp;ADDRESS(MATCH(B703&amp;"PT",'LM7 Non-ENG'!$A$1:$A$5000,0),1,,,"LM7 Non-ENG"),IF(IFERROR(VLOOKUP(B703&amp;"PT",'LM7 Non-ENG'!$A$1:$A$5000,1,FALSE),"ERROR")=B703&amp;"PT","Y","")),"")</f>
        <v/>
      </c>
      <c r="I703" t="str">
        <f>IFERROR(VLOOKUP(B703,PN!$A:$C,3,FALSE),"")</f>
        <v>Active</v>
      </c>
      <c r="J703" s="3">
        <f>IFERROR(E703*VLOOKUP(B703,PLInter!$A:$D,3,FALSE),"")</f>
        <v>1440</v>
      </c>
      <c r="K703" s="66"/>
      <c r="L703" s="66"/>
      <c r="M703" s="66"/>
      <c r="N703" s="66"/>
      <c r="O703" s="66"/>
      <c r="P703" s="66"/>
      <c r="Q703" s="66"/>
      <c r="R703" s="66"/>
      <c r="S703" s="66"/>
    </row>
    <row r="704" spans="1:19" ht="18" customHeight="1">
      <c r="B704" t="s">
        <v>684</v>
      </c>
      <c r="C704" t="s">
        <v>685</v>
      </c>
      <c r="D704" s="4"/>
      <c r="E704" s="4">
        <v>1</v>
      </c>
      <c r="F704" s="4"/>
      <c r="G704" s="29" t="str">
        <f>IFERROR(HYPERLINK("#"&amp;ADDRESS(MATCH(B704&amp;"ES",'LM7 Non-ENG'!$A$1:$A$5000,0),1,,,"LM7 Non-ENG"),IF(IFERROR(VLOOKUP(B704&amp;"ES",'LM7 Non-ENG'!$A$1:$A$4999,1,FALSE),"ERROR")=B704&amp;"ES","Y","")),"")</f>
        <v/>
      </c>
      <c r="H704" s="29" t="str">
        <f>IFERROR(HYPERLINK("#"&amp;ADDRESS(MATCH(B704&amp;"PT",'LM7 Non-ENG'!$A$1:$A$5000,0),1,,,"LM7 Non-ENG"),IF(IFERROR(VLOOKUP(B704&amp;"PT",'LM7 Non-ENG'!$A$1:$A$5000,1,FALSE),"ERROR")=B704&amp;"PT","Y","")),"")</f>
        <v/>
      </c>
      <c r="I704" t="str">
        <f>IFERROR(VLOOKUP(B704,PN!$A:$C,3,FALSE),"")</f>
        <v>Active</v>
      </c>
      <c r="J704" s="3">
        <f>IFERROR(E704*VLOOKUP(B704,PLInter!$A:$D,3,FALSE),"")</f>
        <v>580</v>
      </c>
      <c r="K704" s="66"/>
      <c r="L704" s="66"/>
      <c r="M704" s="66"/>
      <c r="N704" s="66"/>
      <c r="O704" s="66"/>
      <c r="P704" s="66"/>
      <c r="Q704" s="66"/>
      <c r="R704" s="66"/>
      <c r="S704" s="66"/>
    </row>
    <row r="705" spans="2:19" ht="18" customHeight="1">
      <c r="B705" t="str">
        <f>"021182"</f>
        <v>021182</v>
      </c>
      <c r="C705" t="s">
        <v>686</v>
      </c>
      <c r="D705" s="4"/>
      <c r="E705" s="4">
        <v>1</v>
      </c>
      <c r="F705" s="4"/>
      <c r="G705" s="29" t="str">
        <f>IFERROR(HYPERLINK("#"&amp;ADDRESS(MATCH(B705&amp;"ES",'LM7 Non-ENG'!$A$1:$A$5000,0),1,,,"LM7 Non-ENG"),IF(IFERROR(VLOOKUP(B705&amp;"ES",'LM7 Non-ENG'!$A$1:$A$4999,1,FALSE),"ERROR")=B705&amp;"ES","Y","")),"")</f>
        <v/>
      </c>
      <c r="H705" s="29" t="str">
        <f>IFERROR(HYPERLINK("#"&amp;ADDRESS(MATCH(B705&amp;"PT",'LM7 Non-ENG'!$A$1:$A$5000,0),1,,,"LM7 Non-ENG"),IF(IFERROR(VLOOKUP(B705&amp;"PT",'LM7 Non-ENG'!$A$1:$A$5000,1,FALSE),"ERROR")=B705&amp;"PT","Y","")),"")</f>
        <v/>
      </c>
      <c r="I705" t="str">
        <f>IFERROR(VLOOKUP(B705,PN!$A:$C,3,FALSE),"")</f>
        <v>Active</v>
      </c>
      <c r="J705" s="3">
        <f>IFERROR(E705*VLOOKUP(B705,PLInter!$A:$D,3,FALSE),"")</f>
        <v>16</v>
      </c>
      <c r="K705" s="66"/>
      <c r="L705" s="66"/>
      <c r="M705" s="66"/>
      <c r="N705" s="66"/>
      <c r="O705" s="66"/>
      <c r="P705" s="66"/>
      <c r="Q705" s="66"/>
      <c r="R705" s="66"/>
      <c r="S705" s="66"/>
    </row>
    <row r="706" spans="2:19" ht="18" customHeight="1">
      <c r="B706" t="str">
        <f>"021152"</f>
        <v>021152</v>
      </c>
      <c r="C706" s="41" t="s">
        <v>679</v>
      </c>
      <c r="D706" s="4"/>
      <c r="E706" s="4">
        <v>1</v>
      </c>
      <c r="F706" s="4"/>
      <c r="G706" s="29" t="str">
        <f>IFERROR(HYPERLINK("#"&amp;ADDRESS(MATCH(B706&amp;"ES",'LM7 Non-ENG'!$A$1:$A$5000,0),1,,,"LM7 Non-ENG"),IF(IFERROR(VLOOKUP(B706&amp;"ES",'LM7 Non-ENG'!$A$1:$A$4999,1,FALSE),"ERROR")=B706&amp;"ES","Y","")),"")</f>
        <v/>
      </c>
      <c r="H706" s="29" t="str">
        <f>IFERROR(HYPERLINK("#"&amp;ADDRESS(MATCH(B706&amp;"PT",'LM7 Non-ENG'!$A$1:$A$5000,0),1,,,"LM7 Non-ENG"),IF(IFERROR(VLOOKUP(B706&amp;"PT",'LM7 Non-ENG'!$A$1:$A$5000,1,FALSE),"ERROR")=B706&amp;"PT","Y","")),"")</f>
        <v/>
      </c>
      <c r="I706" t="str">
        <f>IFERROR(VLOOKUP(B706,PN!$A:$C,3,FALSE),"")</f>
        <v>Active</v>
      </c>
      <c r="J706" s="3">
        <f>IFERROR(E706*VLOOKUP(B706,PLInter!$A:$D,3,FALSE),"")</f>
        <v>240</v>
      </c>
      <c r="K706" s="66"/>
      <c r="L706" s="66"/>
      <c r="M706" s="66"/>
      <c r="N706" s="66"/>
      <c r="O706" s="66"/>
      <c r="P706" s="66"/>
      <c r="Q706" s="66"/>
      <c r="R706" s="66"/>
      <c r="S706" s="66"/>
    </row>
    <row r="707" spans="2:19" ht="18" customHeight="1">
      <c r="B707" t="s">
        <v>835</v>
      </c>
      <c r="C707" t="s">
        <v>836</v>
      </c>
      <c r="D707" s="4"/>
      <c r="E707" s="4">
        <v>1</v>
      </c>
      <c r="F707" s="4"/>
      <c r="G707" s="29" t="str">
        <f>IFERROR(HYPERLINK("#"&amp;ADDRESS(MATCH(B707&amp;"ES",'LM7 Non-ENG'!$A$1:$A$5000,0),1,,,"LM7 Non-ENG"),IF(IFERROR(VLOOKUP(B707&amp;"ES",'LM7 Non-ENG'!$A$1:$A$4999,1,FALSE),"ERROR")=B707&amp;"ES","Y","")),"")</f>
        <v/>
      </c>
      <c r="H707" s="29" t="str">
        <f>IFERROR(HYPERLINK("#"&amp;ADDRESS(MATCH(B707&amp;"PT",'LM7 Non-ENG'!$A$1:$A$5000,0),1,,,"LM7 Non-ENG"),IF(IFERROR(VLOOKUP(B707&amp;"PT",'LM7 Non-ENG'!$A$1:$A$5000,1,FALSE),"ERROR")=B707&amp;"PT","Y","")),"")</f>
        <v/>
      </c>
      <c r="I707" t="str">
        <f>IFERROR(VLOOKUP(B707,PN!$A:$C,3,FALSE),"")</f>
        <v>Active</v>
      </c>
      <c r="J707" s="3">
        <f>IFERROR(E707*VLOOKUP(B707,PLInter!$A:$D,3,FALSE),"")</f>
        <v>667</v>
      </c>
      <c r="K707" s="66"/>
      <c r="L707" s="66"/>
      <c r="M707" s="66"/>
      <c r="N707" s="66"/>
      <c r="O707" s="66"/>
      <c r="P707" s="66"/>
      <c r="Q707" s="66"/>
      <c r="R707" s="66"/>
      <c r="S707" s="66"/>
    </row>
    <row r="708" spans="2:19" ht="18" customHeight="1">
      <c r="B708" t="s">
        <v>455</v>
      </c>
      <c r="C708" t="s">
        <v>837</v>
      </c>
      <c r="D708" s="4"/>
      <c r="E708" s="4">
        <v>1</v>
      </c>
      <c r="F708" s="4"/>
      <c r="G708" s="29" t="str">
        <f>IFERROR(HYPERLINK("#"&amp;ADDRESS(MATCH(B708&amp;"ES",'LM7 Non-ENG'!$A$1:$A$5000,0),1,,,"LM7 Non-ENG"),IF(IFERROR(VLOOKUP(B708&amp;"ES",'LM7 Non-ENG'!$A$1:$A$4999,1,FALSE),"ERROR")=B708&amp;"ES","Y","")),"")</f>
        <v/>
      </c>
      <c r="H708" s="29" t="str">
        <f>IFERROR(HYPERLINK("#"&amp;ADDRESS(MATCH(B708&amp;"PT",'LM7 Non-ENG'!$A$1:$A$5000,0),1,,,"LM7 Non-ENG"),IF(IFERROR(VLOOKUP(B708&amp;"PT",'LM7 Non-ENG'!$A$1:$A$5000,1,FALSE),"ERROR")=B708&amp;"PT","Y","")),"")</f>
        <v/>
      </c>
      <c r="I708" t="str">
        <f>IFERROR(VLOOKUP(B708,PN!$A:$C,3,FALSE),"")</f>
        <v>Active</v>
      </c>
      <c r="J708" s="3">
        <f>IFERROR(E708*VLOOKUP(B708,PLInter!$A:$D,3,FALSE),"")</f>
        <v>26667</v>
      </c>
      <c r="K708" s="66"/>
      <c r="L708" s="66"/>
      <c r="M708" s="66"/>
      <c r="N708" s="66"/>
      <c r="O708" s="66"/>
      <c r="P708" s="66"/>
      <c r="Q708" s="66"/>
      <c r="R708" s="66"/>
      <c r="S708" s="66"/>
    </row>
    <row r="709" spans="2:19" ht="18" customHeight="1">
      <c r="B709" s="2" t="s">
        <v>454</v>
      </c>
      <c r="C709" s="2" t="s">
        <v>838</v>
      </c>
      <c r="D709" s="5"/>
      <c r="E709" s="5">
        <v>1</v>
      </c>
      <c r="F709" s="5" t="s">
        <v>0</v>
      </c>
      <c r="G709" s="29" t="str">
        <f>IFERROR(HYPERLINK("#"&amp;ADDRESS(MATCH(B709&amp;"ES",'LM7 Non-ENG'!$A$1:$A$5000,0),1,,,"LM7 Non-ENG"),IF(IFERROR(VLOOKUP(B709&amp;"ES",'LM7 Non-ENG'!$A$1:$A$4999,1,FALSE),"ERROR")=B709&amp;"ES","Y","")),"")</f>
        <v/>
      </c>
      <c r="H709" s="29" t="str">
        <f>IFERROR(HYPERLINK("#"&amp;ADDRESS(MATCH(B709&amp;"PT",'LM7 Non-ENG'!$A$1:$A$5000,0),1,,,"LM7 Non-ENG"),IF(IFERROR(VLOOKUP(B709&amp;"PT",'LM7 Non-ENG'!$A$1:$A$5000,1,FALSE),"ERROR")=B709&amp;"PT","Y","")),"")</f>
        <v/>
      </c>
      <c r="I709" t="str">
        <f>IFERROR(VLOOKUP(B709,PN!$A:$C,3,FALSE),"")</f>
        <v>Active</v>
      </c>
      <c r="J709" s="3">
        <f>IFERROR(E709*VLOOKUP(B709,PLInter!$A:$D,3,FALSE),"")</f>
        <v>26667</v>
      </c>
      <c r="K709" s="66"/>
      <c r="L709" s="66"/>
      <c r="M709" s="66"/>
      <c r="N709" s="66"/>
      <c r="O709" s="66"/>
      <c r="P709" s="66"/>
      <c r="Q709" s="66"/>
      <c r="R709" s="66"/>
      <c r="S709" s="66"/>
    </row>
    <row r="710" spans="2:19" ht="18" customHeight="1">
      <c r="B710" t="s">
        <v>475</v>
      </c>
      <c r="C710" t="s">
        <v>724</v>
      </c>
      <c r="D710" s="4"/>
      <c r="E710" s="4">
        <v>12</v>
      </c>
      <c r="F710" s="4"/>
      <c r="G710" s="29" t="str">
        <f>IFERROR(HYPERLINK("#"&amp;ADDRESS(MATCH(B710&amp;"ES",'LM7 Non-ENG'!$A$1:$A$5000,0),1,,,"LM7 Non-ENG"),IF(IFERROR(VLOOKUP(B710&amp;"ES",'LM7 Non-ENG'!$A$1:$A$4999,1,FALSE),"ERROR")=B710&amp;"ES","Y","")),"")</f>
        <v/>
      </c>
      <c r="H710" s="29" t="str">
        <f>IFERROR(HYPERLINK("#"&amp;ADDRESS(MATCH(B710&amp;"PT",'LM7 Non-ENG'!$A$1:$A$5000,0),1,,,"LM7 Non-ENG"),IF(IFERROR(VLOOKUP(B710&amp;"PT",'LM7 Non-ENG'!$A$1:$A$5000,1,FALSE),"ERROR")=B710&amp;"PT","Y","")),"")</f>
        <v/>
      </c>
      <c r="I710" t="str">
        <f>IFERROR(VLOOKUP(B710,PN!$A:$C,3,FALSE),"")</f>
        <v>Active</v>
      </c>
      <c r="J710" s="3">
        <f>IFERROR(E710*VLOOKUP(B710,PLInter!$A:$D,3,FALSE),"")</f>
        <v>4320</v>
      </c>
      <c r="K710" s="66"/>
      <c r="L710" s="66"/>
      <c r="M710" s="66"/>
      <c r="N710" s="66"/>
      <c r="O710" s="66"/>
      <c r="P710" s="66"/>
      <c r="Q710" s="66"/>
      <c r="R710" s="66"/>
      <c r="S710" s="66"/>
    </row>
    <row r="711" spans="2:19" ht="18" customHeight="1">
      <c r="B711" t="s">
        <v>517</v>
      </c>
      <c r="C711" t="s">
        <v>839</v>
      </c>
      <c r="D711" s="4"/>
      <c r="E711" s="4">
        <v>1</v>
      </c>
      <c r="F711" s="4"/>
      <c r="G711" s="29" t="str">
        <f>IFERROR(HYPERLINK("#"&amp;ADDRESS(MATCH(B711&amp;"ES",'LM7 Non-ENG'!$A$1:$A$5000,0),1,,,"LM7 Non-ENG"),IF(IFERROR(VLOOKUP(B711&amp;"ES",'LM7 Non-ENG'!$A$1:$A$4999,1,FALSE),"ERROR")=B711&amp;"ES","Y","")),"")</f>
        <v/>
      </c>
      <c r="H711" s="29" t="str">
        <f>IFERROR(HYPERLINK("#"&amp;ADDRESS(MATCH(B711&amp;"PT",'LM7 Non-ENG'!$A$1:$A$5000,0),1,,,"LM7 Non-ENG"),IF(IFERROR(VLOOKUP(B711&amp;"PT",'LM7 Non-ENG'!$A$1:$A$5000,1,FALSE),"ERROR")=B711&amp;"PT","Y","")),"")</f>
        <v/>
      </c>
      <c r="I711" t="str">
        <f>IFERROR(VLOOKUP(B711,PN!$A:$C,3,FALSE),"")</f>
        <v>Active</v>
      </c>
      <c r="J711" s="3">
        <f>IFERROR(E711*VLOOKUP(B711,PLInter!$A:$D,3,FALSE),"")</f>
        <v>1334</v>
      </c>
      <c r="K711" s="66"/>
      <c r="L711" s="66"/>
      <c r="M711" s="66"/>
      <c r="N711" s="66"/>
      <c r="O711" s="66"/>
      <c r="P711" s="66"/>
      <c r="Q711" s="66"/>
      <c r="R711" s="66"/>
      <c r="S711" s="66"/>
    </row>
    <row r="712" spans="2:19" ht="18" customHeight="1">
      <c r="B712" t="s">
        <v>513</v>
      </c>
      <c r="C712" t="s">
        <v>711</v>
      </c>
      <c r="D712" s="4"/>
      <c r="E712" s="4">
        <v>1</v>
      </c>
      <c r="F712" s="4"/>
      <c r="G712" s="29" t="str">
        <f>IFERROR(HYPERLINK("#"&amp;ADDRESS(MATCH(B712&amp;"ES",'LM7 Non-ENG'!$A$1:$A$5000,0),1,,,"LM7 Non-ENG"),IF(IFERROR(VLOOKUP(B712&amp;"ES",'LM7 Non-ENG'!$A$1:$A$4999,1,FALSE),"ERROR")=B712&amp;"ES","Y","")),"")</f>
        <v/>
      </c>
      <c r="H712" s="29" t="str">
        <f>IFERROR(HYPERLINK("#"&amp;ADDRESS(MATCH(B712&amp;"PT",'LM7 Non-ENG'!$A$1:$A$5000,0),1,,,"LM7 Non-ENG"),IF(IFERROR(VLOOKUP(B712&amp;"PT",'LM7 Non-ENG'!$A$1:$A$5000,1,FALSE),"ERROR")=B712&amp;"PT","Y","")),"")</f>
        <v/>
      </c>
      <c r="I712" t="str">
        <f>IFERROR(VLOOKUP(B712,PN!$A:$C,3,FALSE),"")</f>
        <v>Active</v>
      </c>
      <c r="J712" s="3">
        <f>IFERROR(E712*VLOOKUP(B712,PLInter!$A:$D,3,FALSE),"")</f>
        <v>740</v>
      </c>
      <c r="K712" s="66"/>
      <c r="L712" s="66"/>
      <c r="M712" s="66"/>
      <c r="N712" s="66"/>
      <c r="O712" s="66"/>
      <c r="P712" s="66"/>
      <c r="Q712" s="66"/>
      <c r="R712" s="66"/>
      <c r="S712" s="66"/>
    </row>
    <row r="713" spans="2:19" ht="18" customHeight="1">
      <c r="B713" t="s">
        <v>471</v>
      </c>
      <c r="C713" t="s">
        <v>722</v>
      </c>
      <c r="D713" s="4"/>
      <c r="E713" s="4">
        <v>1</v>
      </c>
      <c r="F713" s="4"/>
      <c r="G713" s="29" t="str">
        <f>IFERROR(HYPERLINK("#"&amp;ADDRESS(MATCH(B713&amp;"ES",'LM7 Non-ENG'!$A$1:$A$5000,0),1,,,"LM7 Non-ENG"),IF(IFERROR(VLOOKUP(B713&amp;"ES",'LM7 Non-ENG'!$A$1:$A$4999,1,FALSE),"ERROR")=B713&amp;"ES","Y","")),"")</f>
        <v/>
      </c>
      <c r="H713" s="29" t="str">
        <f>IFERROR(HYPERLINK("#"&amp;ADDRESS(MATCH(B713&amp;"PT",'LM7 Non-ENG'!$A$1:$A$5000,0),1,,,"LM7 Non-ENG"),IF(IFERROR(VLOOKUP(B713&amp;"PT",'LM7 Non-ENG'!$A$1:$A$5000,1,FALSE),"ERROR")=B713&amp;"PT","Y","")),"")</f>
        <v/>
      </c>
      <c r="I713" t="str">
        <f>IFERROR(VLOOKUP(B713,PN!$A:$C,3,FALSE),"")</f>
        <v>Active</v>
      </c>
      <c r="J713" s="3">
        <f>IFERROR(E713*VLOOKUP(B713,PLInter!$A:$D,3,FALSE),"")</f>
        <v>226</v>
      </c>
      <c r="K713" s="66"/>
      <c r="L713" s="66"/>
      <c r="M713" s="66"/>
      <c r="N713" s="66"/>
      <c r="O713" s="66"/>
      <c r="P713" s="66"/>
      <c r="Q713" s="66"/>
      <c r="R713" s="66"/>
      <c r="S713" s="66"/>
    </row>
    <row r="714" spans="2:19" ht="18" customHeight="1">
      <c r="B714" t="s">
        <v>473</v>
      </c>
      <c r="C714" t="s">
        <v>714</v>
      </c>
      <c r="D714" s="4"/>
      <c r="E714" s="4">
        <v>1</v>
      </c>
      <c r="F714" s="4"/>
      <c r="G714" s="29" t="str">
        <f>IFERROR(HYPERLINK("#"&amp;ADDRESS(MATCH(B714&amp;"ES",'LM7 Non-ENG'!$A$1:$A$5000,0),1,,,"LM7 Non-ENG"),IF(IFERROR(VLOOKUP(B714&amp;"ES",'LM7 Non-ENG'!$A$1:$A$4999,1,FALSE),"ERROR")=B714&amp;"ES","Y","")),"")</f>
        <v/>
      </c>
      <c r="H714" s="29" t="str">
        <f>IFERROR(HYPERLINK("#"&amp;ADDRESS(MATCH(B714&amp;"PT",'LM7 Non-ENG'!$A$1:$A$5000,0),1,,,"LM7 Non-ENG"),IF(IFERROR(VLOOKUP(B714&amp;"PT",'LM7 Non-ENG'!$A$1:$A$5000,1,FALSE),"ERROR")=B714&amp;"PT","Y","")),"")</f>
        <v/>
      </c>
      <c r="I714" t="str">
        <f>IFERROR(VLOOKUP(B714,PN!$A:$C,3,FALSE),"")</f>
        <v>Active</v>
      </c>
      <c r="J714" s="3">
        <f>IFERROR(E714*VLOOKUP(B714,PLInter!$A:$D,3,FALSE),"")</f>
        <v>200</v>
      </c>
      <c r="K714" s="66"/>
      <c r="L714" s="66"/>
      <c r="M714" s="66"/>
      <c r="N714" s="66"/>
      <c r="O714" s="66"/>
      <c r="P714" s="66"/>
      <c r="Q714" s="66"/>
      <c r="R714" s="66"/>
      <c r="S714" s="66"/>
    </row>
    <row r="715" spans="2:19" ht="18" customHeight="1">
      <c r="B715" s="2" t="s">
        <v>472</v>
      </c>
      <c r="C715" s="2" t="s">
        <v>715</v>
      </c>
      <c r="D715" s="5"/>
      <c r="E715" s="5">
        <v>1</v>
      </c>
      <c r="F715" s="5" t="s">
        <v>0</v>
      </c>
      <c r="G715" s="29" t="str">
        <f>IFERROR(HYPERLINK("#"&amp;ADDRESS(MATCH(B715&amp;"ES",'LM7 Non-ENG'!$A$1:$A$5000,0),1,,,"LM7 Non-ENG"),IF(IFERROR(VLOOKUP(B715&amp;"ES",'LM7 Non-ENG'!$A$1:$A$4999,1,FALSE),"ERROR")=B715&amp;"ES","Y","")),"")</f>
        <v/>
      </c>
      <c r="H715" s="29" t="str">
        <f>IFERROR(HYPERLINK("#"&amp;ADDRESS(MATCH(B715&amp;"PT",'LM7 Non-ENG'!$A$1:$A$5000,0),1,,,"LM7 Non-ENG"),IF(IFERROR(VLOOKUP(B715&amp;"PT",'LM7 Non-ENG'!$A$1:$A$5000,1,FALSE),"ERROR")=B715&amp;"PT","Y","")),"")</f>
        <v/>
      </c>
      <c r="I715" t="str">
        <f>IFERROR(VLOOKUP(B715,PN!$A:$C,3,FALSE),"")</f>
        <v>Active</v>
      </c>
      <c r="J715" s="3">
        <f>IFERROR(E715*VLOOKUP(B715,PLInter!$A:$D,3,FALSE),"")</f>
        <v>200</v>
      </c>
      <c r="K715" s="66"/>
      <c r="L715" s="66"/>
      <c r="M715" s="66"/>
      <c r="N715" s="66"/>
      <c r="O715" s="66"/>
      <c r="P715" s="66"/>
      <c r="Q715" s="66"/>
      <c r="R715" s="66"/>
      <c r="S715" s="66"/>
    </row>
    <row r="716" spans="2:19" ht="18" customHeight="1">
      <c r="B716" t="s">
        <v>484</v>
      </c>
      <c r="C716" t="s">
        <v>725</v>
      </c>
      <c r="D716" s="4"/>
      <c r="E716" s="4">
        <v>1</v>
      </c>
      <c r="F716" s="4"/>
      <c r="G716" s="29" t="str">
        <f>IFERROR(HYPERLINK("#"&amp;ADDRESS(MATCH(B716&amp;"ES",'LM7 Non-ENG'!$A$1:$A$5000,0),1,,,"LM7 Non-ENG"),IF(IFERROR(VLOOKUP(B716&amp;"ES",'LM7 Non-ENG'!$A$1:$A$4999,1,FALSE),"ERROR")=B716&amp;"ES","Y","")),"")</f>
        <v/>
      </c>
      <c r="H716" s="29" t="str">
        <f>IFERROR(HYPERLINK("#"&amp;ADDRESS(MATCH(B716&amp;"PT",'LM7 Non-ENG'!$A$1:$A$5000,0),1,,,"LM7 Non-ENG"),IF(IFERROR(VLOOKUP(B716&amp;"PT",'LM7 Non-ENG'!$A$1:$A$5000,1,FALSE),"ERROR")=B716&amp;"PT","Y","")),"")</f>
        <v/>
      </c>
      <c r="I716" t="str">
        <f>IFERROR(VLOOKUP(B716,PN!$A:$C,3,FALSE),"")</f>
        <v>Active</v>
      </c>
      <c r="J716" s="3">
        <f>IFERROR(E716*VLOOKUP(B716,PLInter!$A:$D,3,FALSE),"")</f>
        <v>157</v>
      </c>
      <c r="K716" s="66"/>
      <c r="L716" s="66"/>
      <c r="M716" s="66"/>
      <c r="N716" s="66"/>
      <c r="O716" s="66"/>
      <c r="P716" s="66"/>
      <c r="Q716" s="66"/>
      <c r="R716" s="66"/>
      <c r="S716" s="66"/>
    </row>
    <row r="717" spans="2:19" ht="18" customHeight="1">
      <c r="B717" s="2" t="s">
        <v>483</v>
      </c>
      <c r="C717" s="2" t="s">
        <v>726</v>
      </c>
      <c r="D717" s="5"/>
      <c r="E717" s="5">
        <v>1</v>
      </c>
      <c r="F717" s="5" t="s">
        <v>0</v>
      </c>
      <c r="G717" s="29" t="str">
        <f>IFERROR(HYPERLINK("#"&amp;ADDRESS(MATCH(B717&amp;"ES",'LM7 Non-ENG'!$A$1:$A$5000,0),1,,,"LM7 Non-ENG"),IF(IFERROR(VLOOKUP(B717&amp;"ES",'LM7 Non-ENG'!$A$1:$A$4999,1,FALSE),"ERROR")=B717&amp;"ES","Y","")),"")</f>
        <v/>
      </c>
      <c r="H717" s="29" t="str">
        <f>IFERROR(HYPERLINK("#"&amp;ADDRESS(MATCH(B717&amp;"PT",'LM7 Non-ENG'!$A$1:$A$5000,0),1,,,"LM7 Non-ENG"),IF(IFERROR(VLOOKUP(B717&amp;"PT",'LM7 Non-ENG'!$A$1:$A$5000,1,FALSE),"ERROR")=B717&amp;"PT","Y","")),"")</f>
        <v/>
      </c>
      <c r="I717" t="str">
        <f>IFERROR(VLOOKUP(B717,PN!$A:$C,3,FALSE),"")</f>
        <v>Active</v>
      </c>
      <c r="J717" s="3">
        <f>IFERROR(E717*VLOOKUP(B717,PLInter!$A:$D,3,FALSE),"")</f>
        <v>157</v>
      </c>
      <c r="K717" s="66"/>
      <c r="L717" s="66"/>
      <c r="M717" s="66"/>
      <c r="N717" s="66"/>
      <c r="O717" s="66"/>
      <c r="P717" s="66"/>
      <c r="Q717" s="66"/>
      <c r="R717" s="66"/>
      <c r="S717" s="66"/>
    </row>
    <row r="718" spans="2:19" ht="18" customHeight="1">
      <c r="B718" t="s">
        <v>478</v>
      </c>
      <c r="C718" t="s">
        <v>716</v>
      </c>
      <c r="D718" s="4"/>
      <c r="E718" s="4">
        <v>1</v>
      </c>
      <c r="F718" s="4"/>
      <c r="G718" s="29" t="str">
        <f>IFERROR(HYPERLINK("#"&amp;ADDRESS(MATCH(B718&amp;"ES",'LM7 Non-ENG'!$A$1:$A$5000,0),1,,,"LM7 Non-ENG"),IF(IFERROR(VLOOKUP(B718&amp;"ES",'LM7 Non-ENG'!$A$1:$A$4999,1,FALSE),"ERROR")=B718&amp;"ES","Y","")),"")</f>
        <v/>
      </c>
      <c r="H718" s="29" t="str">
        <f>IFERROR(HYPERLINK("#"&amp;ADDRESS(MATCH(B718&amp;"PT",'LM7 Non-ENG'!$A$1:$A$5000,0),1,,,"LM7 Non-ENG"),IF(IFERROR(VLOOKUP(B718&amp;"PT",'LM7 Non-ENG'!$A$1:$A$5000,1,FALSE),"ERROR")=B718&amp;"PT","Y","")),"")</f>
        <v/>
      </c>
      <c r="I718" t="str">
        <f>IFERROR(VLOOKUP(B718,PN!$A:$C,3,FALSE),"")</f>
        <v>Active</v>
      </c>
      <c r="J718" s="3">
        <f>IFERROR(E718*VLOOKUP(B718,PLInter!$A:$D,3,FALSE),"")</f>
        <v>795</v>
      </c>
      <c r="K718" s="66"/>
      <c r="L718" s="66"/>
      <c r="M718" s="66"/>
      <c r="N718" s="66"/>
      <c r="O718" s="66"/>
      <c r="P718" s="66"/>
      <c r="Q718" s="66"/>
      <c r="R718" s="66"/>
      <c r="S718" s="66"/>
    </row>
    <row r="719" spans="2:19" ht="18" customHeight="1">
      <c r="B719" t="s">
        <v>486</v>
      </c>
      <c r="C719" t="s">
        <v>806</v>
      </c>
      <c r="D719" s="4"/>
      <c r="E719" s="4">
        <v>1</v>
      </c>
      <c r="F719" s="4"/>
      <c r="G719" s="29" t="str">
        <f>IFERROR(HYPERLINK("#"&amp;ADDRESS(MATCH(B719&amp;"ES",'LM7 Non-ENG'!$A$1:$A$5000,0),1,,,"LM7 Non-ENG"),IF(IFERROR(VLOOKUP(B719&amp;"ES",'LM7 Non-ENG'!$A$1:$A$4999,1,FALSE),"ERROR")=B719&amp;"ES","Y","")),"")</f>
        <v/>
      </c>
      <c r="H719" s="29" t="str">
        <f>IFERROR(HYPERLINK("#"&amp;ADDRESS(MATCH(B719&amp;"PT",'LM7 Non-ENG'!$A$1:$A$5000,0),1,,,"LM7 Non-ENG"),IF(IFERROR(VLOOKUP(B719&amp;"PT",'LM7 Non-ENG'!$A$1:$A$5000,1,FALSE),"ERROR")=B719&amp;"PT","Y","")),"")</f>
        <v/>
      </c>
      <c r="I719" t="str">
        <f>IFERROR(VLOOKUP(B719,PN!$A:$C,3,FALSE),"")</f>
        <v>Active</v>
      </c>
      <c r="J719" s="3">
        <f>IFERROR(E719*VLOOKUP(B719,PLInter!$A:$D,3,FALSE),"")</f>
        <v>313</v>
      </c>
      <c r="K719" s="66"/>
      <c r="L719" s="66"/>
      <c r="M719" s="66"/>
      <c r="N719" s="66"/>
      <c r="O719" s="66"/>
      <c r="P719" s="66"/>
      <c r="Q719" s="66"/>
      <c r="R719" s="66"/>
      <c r="S719" s="66"/>
    </row>
    <row r="720" spans="2:19" ht="18" customHeight="1">
      <c r="B720" t="s">
        <v>470</v>
      </c>
      <c r="C720" t="s">
        <v>713</v>
      </c>
      <c r="D720" s="4"/>
      <c r="E720" s="4">
        <v>1</v>
      </c>
      <c r="F720" s="4"/>
      <c r="G720" s="29" t="str">
        <f>IFERROR(HYPERLINK("#"&amp;ADDRESS(MATCH(B720&amp;"ES",'LM7 Non-ENG'!$A$1:$A$5000,0),1,,,"LM7 Non-ENG"),IF(IFERROR(VLOOKUP(B720&amp;"ES",'LM7 Non-ENG'!$A$1:$A$4999,1,FALSE),"ERROR")=B720&amp;"ES","Y","")),"")</f>
        <v/>
      </c>
      <c r="H720" s="29" t="str">
        <f>IFERROR(HYPERLINK("#"&amp;ADDRESS(MATCH(B720&amp;"PT",'LM7 Non-ENG'!$A$1:$A$5000,0),1,,,"LM7 Non-ENG"),IF(IFERROR(VLOOKUP(B720&amp;"PT",'LM7 Non-ENG'!$A$1:$A$5000,1,FALSE),"ERROR")=B720&amp;"PT","Y","")),"")</f>
        <v/>
      </c>
      <c r="I720" t="str">
        <f>IFERROR(VLOOKUP(B720,PN!$A:$C,3,FALSE),"")</f>
        <v>Active</v>
      </c>
      <c r="J720" s="3">
        <f>IFERROR(E720*VLOOKUP(B720,PLInter!$A:$D,3,FALSE),"")</f>
        <v>207</v>
      </c>
      <c r="K720" s="66"/>
      <c r="L720" s="66"/>
      <c r="M720" s="66"/>
      <c r="N720" s="66"/>
      <c r="O720" s="66"/>
      <c r="P720" s="66"/>
      <c r="Q720" s="66"/>
      <c r="R720" s="66"/>
      <c r="S720" s="66"/>
    </row>
    <row r="721" spans="1:19" ht="18" customHeight="1">
      <c r="B721" s="1" t="s">
        <v>468</v>
      </c>
      <c r="C721" s="1" t="s">
        <v>717</v>
      </c>
      <c r="D721" s="6" t="s">
        <v>0</v>
      </c>
      <c r="E721" s="6">
        <v>1</v>
      </c>
      <c r="F721" s="6"/>
      <c r="G721" s="29" t="str">
        <f>IFERROR(HYPERLINK("#"&amp;ADDRESS(MATCH(B721&amp;"ES",'LM7 Non-ENG'!$A$1:$A$5000,0),1,,,"LM7 Non-ENG"),IF(IFERROR(VLOOKUP(B721&amp;"ES",'LM7 Non-ENG'!$A$1:$A$4999,1,FALSE),"ERROR")=B721&amp;"ES","Y","")),"")</f>
        <v/>
      </c>
      <c r="H721" s="29" t="str">
        <f>IFERROR(HYPERLINK("#"&amp;ADDRESS(MATCH(B721&amp;"PT",'LM7 Non-ENG'!$A$1:$A$5000,0),1,,,"LM7 Non-ENG"),IF(IFERROR(VLOOKUP(B721&amp;"PT",'LM7 Non-ENG'!$A$1:$A$5000,1,FALSE),"ERROR")=B721&amp;"PT","Y","")),"")</f>
        <v/>
      </c>
      <c r="I721" t="str">
        <f>IFERROR(VLOOKUP(B721,PN!$A:$C,3,FALSE),"")</f>
        <v>Active</v>
      </c>
      <c r="J721" s="3">
        <f>IFERROR(E721*VLOOKUP(B721,PLInter!$A:$D,3,FALSE),"")</f>
        <v>206</v>
      </c>
      <c r="K721" s="66"/>
      <c r="L721" s="66"/>
      <c r="M721" s="66"/>
      <c r="N721" s="66"/>
      <c r="O721" s="66"/>
      <c r="P721" s="66"/>
      <c r="Q721" s="66"/>
      <c r="R721" s="66"/>
      <c r="S721" s="66"/>
    </row>
    <row r="722" spans="1:19" ht="18" customHeight="1">
      <c r="B722" s="1" t="s">
        <v>474</v>
      </c>
      <c r="C722" s="1" t="s">
        <v>718</v>
      </c>
      <c r="D722" s="6" t="s">
        <v>0</v>
      </c>
      <c r="E722" s="6">
        <v>1</v>
      </c>
      <c r="F722" s="6"/>
      <c r="G722" s="29" t="str">
        <f>IFERROR(HYPERLINK("#"&amp;ADDRESS(MATCH(B722&amp;"ES",'LM7 Non-ENG'!$A$1:$A$5000,0),1,,,"LM7 Non-ENG"),IF(IFERROR(VLOOKUP(B722&amp;"ES",'LM7 Non-ENG'!$A$1:$A$4999,1,FALSE),"ERROR")=B722&amp;"ES","Y","")),"")</f>
        <v/>
      </c>
      <c r="H722" s="29" t="str">
        <f>IFERROR(HYPERLINK("#"&amp;ADDRESS(MATCH(B722&amp;"PT",'LM7 Non-ENG'!$A$1:$A$5000,0),1,,,"LM7 Non-ENG"),IF(IFERROR(VLOOKUP(B722&amp;"PT",'LM7 Non-ENG'!$A$1:$A$5000,1,FALSE),"ERROR")=B722&amp;"PT","Y","")),"")</f>
        <v/>
      </c>
      <c r="I722" t="str">
        <f>IFERROR(VLOOKUP(B722,PN!$A:$C,3,FALSE),"")</f>
        <v>Active</v>
      </c>
      <c r="J722" s="3">
        <f>IFERROR(E722*VLOOKUP(B722,PLInter!$A:$D,3,FALSE),"")</f>
        <v>175</v>
      </c>
      <c r="K722" s="66"/>
      <c r="L722" s="66"/>
      <c r="M722" s="66"/>
      <c r="N722" s="66"/>
      <c r="O722" s="66"/>
      <c r="P722" s="66"/>
      <c r="Q722" s="66"/>
      <c r="R722" s="66"/>
      <c r="S722" s="66"/>
    </row>
    <row r="723" spans="1:19" ht="18" customHeight="1">
      <c r="B723" s="1" t="s">
        <v>719</v>
      </c>
      <c r="C723" s="1" t="s">
        <v>720</v>
      </c>
      <c r="D723" s="6" t="s">
        <v>0</v>
      </c>
      <c r="E723" s="6">
        <v>1</v>
      </c>
      <c r="F723" s="6"/>
      <c r="G723" s="29" t="str">
        <f>IFERROR(HYPERLINK("#"&amp;ADDRESS(MATCH(B723&amp;"ES",'LM7 Non-ENG'!$A$1:$A$5000,0),1,,,"LM7 Non-ENG"),IF(IFERROR(VLOOKUP(B723&amp;"ES",'LM7 Non-ENG'!$A$1:$A$4999,1,FALSE),"ERROR")=B723&amp;"ES","Y","")),"")</f>
        <v/>
      </c>
      <c r="H723" s="29" t="str">
        <f>IFERROR(HYPERLINK("#"&amp;ADDRESS(MATCH(B723&amp;"PT",'LM7 Non-ENG'!$A$1:$A$5000,0),1,,,"LM7 Non-ENG"),IF(IFERROR(VLOOKUP(B723&amp;"PT",'LM7 Non-ENG'!$A$1:$A$5000,1,FALSE),"ERROR")=B723&amp;"PT","Y","")),"")</f>
        <v/>
      </c>
      <c r="I723" t="str">
        <f>IFERROR(VLOOKUP(B723,PN!$A:$C,3,FALSE),"")</f>
        <v>Active</v>
      </c>
      <c r="J723" s="3">
        <f>IFERROR(E723*VLOOKUP(B723,PLInter!$A:$D,3,FALSE),"")</f>
        <v>2126</v>
      </c>
      <c r="K723" s="66"/>
      <c r="L723" s="66"/>
      <c r="M723" s="66"/>
      <c r="N723" s="66"/>
      <c r="O723" s="66"/>
      <c r="P723" s="66"/>
      <c r="Q723" s="66"/>
      <c r="R723" s="66"/>
      <c r="S723" s="66"/>
    </row>
    <row r="724" spans="1:19" ht="18" customHeight="1">
      <c r="B724" s="1" t="s">
        <v>482</v>
      </c>
      <c r="C724" s="1" t="s">
        <v>721</v>
      </c>
      <c r="D724" s="6" t="s">
        <v>0</v>
      </c>
      <c r="E724" s="6">
        <v>1</v>
      </c>
      <c r="F724" s="6"/>
      <c r="G724" s="29" t="str">
        <f>IFERROR(HYPERLINK("#"&amp;ADDRESS(MATCH(B724&amp;"ES",'LM7 Non-ENG'!$A$1:$A$5000,0),1,,,"LM7 Non-ENG"),IF(IFERROR(VLOOKUP(B724&amp;"ES",'LM7 Non-ENG'!$A$1:$A$4999,1,FALSE),"ERROR")=B724&amp;"ES","Y","")),"")</f>
        <v/>
      </c>
      <c r="H724" s="29" t="str">
        <f>IFERROR(HYPERLINK("#"&amp;ADDRESS(MATCH(B724&amp;"PT",'LM7 Non-ENG'!$A$1:$A$5000,0),1,,,"LM7 Non-ENG"),IF(IFERROR(VLOOKUP(B724&amp;"PT",'LM7 Non-ENG'!$A$1:$A$5000,1,FALSE),"ERROR")=B724&amp;"PT","Y","")),"")</f>
        <v/>
      </c>
      <c r="I724" t="str">
        <f>IFERROR(VLOOKUP(B724,PN!$A:$C,3,FALSE),"")</f>
        <v>Active</v>
      </c>
      <c r="J724" s="3">
        <f>IFERROR(E724*VLOOKUP(B724,PLInter!$A:$D,3,FALSE),"")</f>
        <v>186</v>
      </c>
      <c r="K724" s="66"/>
      <c r="L724" s="66"/>
      <c r="M724" s="66"/>
      <c r="N724" s="66"/>
      <c r="O724" s="66"/>
      <c r="P724" s="66"/>
      <c r="Q724" s="66"/>
      <c r="R724" s="66"/>
      <c r="S724" s="66"/>
    </row>
    <row r="725" spans="1:19" ht="18" customHeight="1">
      <c r="B725" t="s">
        <v>559</v>
      </c>
      <c r="C725" t="s">
        <v>840</v>
      </c>
      <c r="D725" s="4"/>
      <c r="E725" s="4">
        <v>1</v>
      </c>
      <c r="F725" s="4"/>
      <c r="G725" s="29" t="str">
        <f>IFERROR(HYPERLINK("#"&amp;ADDRESS(MATCH(B725&amp;"ES",'LM7 Non-ENG'!$A$1:$A$5000,0),1,,,"LM7 Non-ENG"),IF(IFERROR(VLOOKUP(B725&amp;"ES",'LM7 Non-ENG'!$A$1:$A$4999,1,FALSE),"ERROR")=B725&amp;"ES","Y","")),"")</f>
        <v/>
      </c>
      <c r="H725" s="29" t="str">
        <f>IFERROR(HYPERLINK("#"&amp;ADDRESS(MATCH(B725&amp;"PT",'LM7 Non-ENG'!$A$1:$A$5000,0),1,,,"LM7 Non-ENG"),IF(IFERROR(VLOOKUP(B725&amp;"PT",'LM7 Non-ENG'!$A$1:$A$5000,1,FALSE),"ERROR")=B725&amp;"PT","Y","")),"")</f>
        <v/>
      </c>
      <c r="I725" t="str">
        <f>IFERROR(VLOOKUP(B725,PN!$A:$C,3,FALSE),"")</f>
        <v>Active</v>
      </c>
      <c r="J725" s="3">
        <f>IFERROR(E725*VLOOKUP(B725,PLInter!$A:$D,3,FALSE),"")</f>
        <v>500</v>
      </c>
      <c r="K725" s="66"/>
      <c r="L725" s="66"/>
      <c r="M725" s="66"/>
      <c r="N725" s="66"/>
      <c r="O725" s="66"/>
      <c r="P725" s="66"/>
      <c r="Q725" s="66"/>
      <c r="R725" s="66"/>
      <c r="S725" s="66"/>
    </row>
    <row r="726" spans="1:19" ht="18" customHeight="1">
      <c r="B726" s="2" t="s">
        <v>841</v>
      </c>
      <c r="C726" s="2" t="s">
        <v>842</v>
      </c>
      <c r="D726" s="5"/>
      <c r="E726" s="5">
        <v>1</v>
      </c>
      <c r="F726" s="5" t="s">
        <v>0</v>
      </c>
      <c r="G726" s="29" t="str">
        <f>IFERROR(HYPERLINK("#"&amp;ADDRESS(MATCH(B726&amp;"ES",'LM7 Non-ENG'!$A$1:$A$5000,0),1,,,"LM7 Non-ENG"),IF(IFERROR(VLOOKUP(B726&amp;"ES",'LM7 Non-ENG'!$A$1:$A$4999,1,FALSE),"ERROR")=B726&amp;"ES","Y","")),"")</f>
        <v/>
      </c>
      <c r="H726" s="29" t="str">
        <f>IFERROR(HYPERLINK("#"&amp;ADDRESS(MATCH(B726&amp;"PT",'LM7 Non-ENG'!$A$1:$A$5000,0),1,,,"LM7 Non-ENG"),IF(IFERROR(VLOOKUP(B726&amp;"PT",'LM7 Non-ENG'!$A$1:$A$5000,1,FALSE),"ERROR")=B726&amp;"PT","Y","")),"")</f>
        <v/>
      </c>
      <c r="I726" t="str">
        <f>IFERROR(VLOOKUP(B726,PN!$A:$C,3,FALSE),"")</f>
        <v>Active</v>
      </c>
      <c r="J726" s="3" t="str">
        <f>IFERROR(E726*VLOOKUP(B726,PLInter!$A:$D,3,FALSE),"")</f>
        <v/>
      </c>
      <c r="K726" s="66"/>
      <c r="L726" s="66"/>
      <c r="M726" s="66"/>
      <c r="N726" s="66"/>
      <c r="O726" s="66"/>
      <c r="P726" s="66"/>
      <c r="Q726" s="66"/>
      <c r="R726" s="66"/>
      <c r="S726" s="66"/>
    </row>
    <row r="727" spans="1:19" ht="18" customHeight="1">
      <c r="B727" t="s">
        <v>568</v>
      </c>
      <c r="C727" t="s">
        <v>731</v>
      </c>
      <c r="D727" s="4"/>
      <c r="E727" s="4">
        <v>1</v>
      </c>
      <c r="F727" s="4"/>
      <c r="G727" s="29" t="str">
        <f>IFERROR(HYPERLINK("#"&amp;ADDRESS(MATCH(B727&amp;"ES",'LM7 Non-ENG'!$A$1:$A$5000,0),1,,,"LM7 Non-ENG"),IF(IFERROR(VLOOKUP(B727&amp;"ES",'LM7 Non-ENG'!$A$1:$A$4999,1,FALSE),"ERROR")=B727&amp;"ES","Y","")),"")</f>
        <v/>
      </c>
      <c r="H727" s="29" t="str">
        <f>IFERROR(HYPERLINK("#"&amp;ADDRESS(MATCH(B727&amp;"PT",'LM7 Non-ENG'!$A$1:$A$5000,0),1,,,"LM7 Non-ENG"),IF(IFERROR(VLOOKUP(B727&amp;"PT",'LM7 Non-ENG'!$A$1:$A$5000,1,FALSE),"ERROR")=B727&amp;"PT","Y","")),"")</f>
        <v/>
      </c>
      <c r="I727" t="str">
        <f>IFERROR(VLOOKUP(B727,PN!$A:$C,3,FALSE),"")</f>
        <v>Active</v>
      </c>
      <c r="J727" s="3">
        <f>IFERROR(E727*VLOOKUP(B727,PLInter!$A:$D,3,FALSE),"")</f>
        <v>500</v>
      </c>
      <c r="K727" s="66"/>
      <c r="L727" s="66"/>
      <c r="M727" s="66"/>
      <c r="N727" s="66"/>
      <c r="O727" s="66"/>
      <c r="P727" s="66"/>
      <c r="Q727" s="66"/>
      <c r="R727" s="66"/>
      <c r="S727" s="66"/>
    </row>
    <row r="728" spans="1:19" ht="18" customHeight="1">
      <c r="B728" t="s">
        <v>569</v>
      </c>
      <c r="C728" t="s">
        <v>732</v>
      </c>
      <c r="D728" s="4"/>
      <c r="E728" s="4">
        <v>1</v>
      </c>
      <c r="F728" s="4"/>
      <c r="G728" s="29" t="str">
        <f>IFERROR(HYPERLINK("#"&amp;ADDRESS(MATCH(B728&amp;"ES",'LM7 Non-ENG'!$A$1:$A$5000,0),1,,,"LM7 Non-ENG"),IF(IFERROR(VLOOKUP(B728&amp;"ES",'LM7 Non-ENG'!$A$1:$A$4999,1,FALSE),"ERROR")=B728&amp;"ES","Y","")),"")</f>
        <v/>
      </c>
      <c r="H728" s="29" t="str">
        <f>IFERROR(HYPERLINK("#"&amp;ADDRESS(MATCH(B728&amp;"PT",'LM7 Non-ENG'!$A$1:$A$5000,0),1,,,"LM7 Non-ENG"),IF(IFERROR(VLOOKUP(B728&amp;"PT",'LM7 Non-ENG'!$A$1:$A$5000,1,FALSE),"ERROR")=B728&amp;"PT","Y","")),"")</f>
        <v/>
      </c>
      <c r="I728" t="str">
        <f>IFERROR(VLOOKUP(B728,PN!$A:$C,3,FALSE),"")</f>
        <v>Active</v>
      </c>
      <c r="J728" s="3">
        <f>IFERROR(E728*VLOOKUP(B728,PLInter!$A:$D,3,FALSE),"")</f>
        <v>500</v>
      </c>
      <c r="K728" s="66"/>
      <c r="L728" s="66"/>
      <c r="M728" s="66"/>
      <c r="N728" s="66"/>
      <c r="O728" s="66"/>
      <c r="P728" s="66"/>
      <c r="Q728" s="66"/>
      <c r="R728" s="66"/>
      <c r="S728" s="66"/>
    </row>
    <row r="729" spans="1:19" ht="18" customHeight="1">
      <c r="B729" t="str">
        <f>"113034"</f>
        <v>113034</v>
      </c>
      <c r="C729" t="s">
        <v>695</v>
      </c>
      <c r="D729" s="4"/>
      <c r="E729" s="4">
        <v>50</v>
      </c>
      <c r="F729" s="4"/>
      <c r="G729" s="29" t="str">
        <f>IFERROR(HYPERLINK("#"&amp;ADDRESS(MATCH(B729&amp;"ES",'LM7 Non-ENG'!$A$1:$A$5000,0),1,,,"LM7 Non-ENG"),IF(IFERROR(VLOOKUP(B729&amp;"ES",'LM7 Non-ENG'!$A$1:$A$4999,1,FALSE),"ERROR")=B729&amp;"ES","Y","")),"")</f>
        <v/>
      </c>
      <c r="H729" s="29" t="str">
        <f>IFERROR(HYPERLINK("#"&amp;ADDRESS(MATCH(B729&amp;"PT",'LM7 Non-ENG'!$A$1:$A$5000,0),1,,,"LM7 Non-ENG"),IF(IFERROR(VLOOKUP(B729&amp;"PT",'LM7 Non-ENG'!$A$1:$A$5000,1,FALSE),"ERROR")=B729&amp;"PT","Y","")),"")</f>
        <v/>
      </c>
      <c r="I729" t="str">
        <f>IFERROR(VLOOKUP(B729,PN!$A:$C,3,FALSE),"")</f>
        <v>Active</v>
      </c>
      <c r="J729" s="3">
        <f>IFERROR(E729*VLOOKUP(B729,PLInter!$A:$D,3,FALSE),"")</f>
        <v>750</v>
      </c>
      <c r="K729" s="66"/>
      <c r="L729" s="66"/>
      <c r="M729" s="66"/>
      <c r="N729" s="66"/>
      <c r="O729" s="66"/>
      <c r="P729" s="66"/>
      <c r="Q729" s="66"/>
      <c r="R729" s="66"/>
      <c r="S729" s="66"/>
    </row>
    <row r="730" spans="1:19" ht="18" customHeight="1">
      <c r="B730" t="s">
        <v>644</v>
      </c>
      <c r="C730" t="s">
        <v>645</v>
      </c>
      <c r="D730" s="4"/>
      <c r="E730" s="4">
        <v>1</v>
      </c>
      <c r="F730" s="4"/>
      <c r="G730" s="29" t="str">
        <f>IFERROR(HYPERLINK("#"&amp;ADDRESS(MATCH(B730&amp;"ES",'LM7 Non-ENG'!$A$1:$A$5000,0),1,,,"LM7 Non-ENG"),IF(IFERROR(VLOOKUP(B730&amp;"ES",'LM7 Non-ENG'!$A$1:$A$4999,1,FALSE),"ERROR")=B730&amp;"ES","Y","")),"")</f>
        <v/>
      </c>
      <c r="H730" s="29" t="str">
        <f>IFERROR(HYPERLINK("#"&amp;ADDRESS(MATCH(B730&amp;"PT",'LM7 Non-ENG'!$A$1:$A$5000,0),1,,,"LM7 Non-ENG"),IF(IFERROR(VLOOKUP(B730&amp;"PT",'LM7 Non-ENG'!$A$1:$A$5000,1,FALSE),"ERROR")=B730&amp;"PT","Y","")),"")</f>
        <v/>
      </c>
      <c r="I730" t="str">
        <f>IFERROR(VLOOKUP(B730,PN!$A:$C,3,FALSE),"")</f>
        <v>Active</v>
      </c>
      <c r="J730" s="3">
        <f>IFERROR(E730*VLOOKUP(B730,PLInter!$A:$D,3,FALSE),"")</f>
        <v>1800</v>
      </c>
      <c r="K730" s="66"/>
      <c r="L730" s="66"/>
      <c r="M730" s="66"/>
      <c r="N730" s="66"/>
      <c r="O730" s="66"/>
      <c r="P730" s="66"/>
      <c r="Q730" s="66"/>
      <c r="R730" s="66"/>
      <c r="S730" s="66"/>
    </row>
    <row r="731" spans="1:19" ht="18" customHeight="1">
      <c r="B731" t="s">
        <v>630</v>
      </c>
      <c r="C731" t="s">
        <v>631</v>
      </c>
      <c r="D731" s="4"/>
      <c r="E731" s="4">
        <v>1</v>
      </c>
      <c r="F731" s="4"/>
      <c r="G731" s="29" t="str">
        <f>IFERROR(HYPERLINK("#"&amp;ADDRESS(MATCH(B731&amp;"ES",'LM7 Non-ENG'!$A$1:$A$5000,0),1,,,"LM7 Non-ENG"),IF(IFERROR(VLOOKUP(B731&amp;"ES",'LM7 Non-ENG'!$A$1:$A$4999,1,FALSE),"ERROR")=B731&amp;"ES","Y","")),"")</f>
        <v/>
      </c>
      <c r="H731" s="29" t="str">
        <f>IFERROR(HYPERLINK("#"&amp;ADDRESS(MATCH(B731&amp;"PT",'LM7 Non-ENG'!$A$1:$A$5000,0),1,,,"LM7 Non-ENG"),IF(IFERROR(VLOOKUP(B731&amp;"PT",'LM7 Non-ENG'!$A$1:$A$5000,1,FALSE),"ERROR")=B731&amp;"PT","Y","")),"")</f>
        <v/>
      </c>
      <c r="I731" t="str">
        <f>IFERROR(VLOOKUP(B731,PN!$A:$C,3,FALSE),"")</f>
        <v>Active</v>
      </c>
      <c r="J731" s="3">
        <f>IFERROR(E731*VLOOKUP(B731,PLInter!$A:$D,3,FALSE),"")</f>
        <v>1735</v>
      </c>
      <c r="K731" s="66"/>
      <c r="L731" s="66"/>
      <c r="M731" s="66"/>
      <c r="N731" s="66"/>
      <c r="O731" s="66"/>
      <c r="P731" s="66"/>
      <c r="Q731" s="66"/>
      <c r="R731" s="66"/>
      <c r="S731" s="66"/>
    </row>
    <row r="733" spans="1:19" s="7" customFormat="1" ht="18" customHeight="1">
      <c r="A733" s="13" t="s">
        <v>849</v>
      </c>
      <c r="B733" s="13"/>
      <c r="C733" s="13" t="s">
        <v>850</v>
      </c>
      <c r="D733" s="14"/>
      <c r="E733" s="14"/>
      <c r="F733" s="14"/>
      <c r="G733" s="14"/>
      <c r="H733" s="14"/>
      <c r="I733" s="14"/>
      <c r="J733" s="14">
        <f>SUMIFS(J734:J761,D734:D761,"&lt;&gt;Y",F734:F761,"&lt;&gt;Y",I734:I761,"&lt;&gt;Inactive",I734:I761,"&lt;&gt;ECO+NFS")</f>
        <v>69097</v>
      </c>
      <c r="K733" s="14"/>
      <c r="L733" s="14"/>
      <c r="M733" s="14"/>
      <c r="N733" s="14"/>
      <c r="O733" s="14"/>
      <c r="P733" s="14"/>
      <c r="Q733" s="14"/>
      <c r="R733" s="14"/>
      <c r="S733" s="14"/>
    </row>
    <row r="734" spans="1:19" ht="18" customHeight="1">
      <c r="A734" s="17" t="str">
        <f>HYPERLINK("#"&amp;ADDRESS(MATCH(A733,'CIM&amp;FMS'!$A$1:$A$4997,0),1,,,"CIM&amp;FMS"),"Back to Price List")</f>
        <v>Back to Price List</v>
      </c>
      <c r="B734" t="s">
        <v>214</v>
      </c>
      <c r="C734" t="s">
        <v>654</v>
      </c>
      <c r="D734" s="4"/>
      <c r="E734" s="4">
        <v>1</v>
      </c>
      <c r="F734" s="4"/>
      <c r="G734" s="29" t="str">
        <f>IFERROR(HYPERLINK("#"&amp;ADDRESS(MATCH(B734&amp;"ES",'LM7 Non-ENG'!$A$1:$A$5000,0),1,,,"LM7 Non-ENG"),IF(IFERROR(VLOOKUP(B734&amp;"ES",'LM7 Non-ENG'!$A$1:$A$4999,1,FALSE),"ERROR")=B734&amp;"ES","Y","")),"")</f>
        <v/>
      </c>
      <c r="H734" s="29" t="str">
        <f>IFERROR(HYPERLINK("#"&amp;ADDRESS(MATCH(B734&amp;"PT",'LM7 Non-ENG'!$A$1:$A$5000,0),1,,,"LM7 Non-ENG"),IF(IFERROR(VLOOKUP(B734&amp;"PT",'LM7 Non-ENG'!$A$1:$A$5000,1,FALSE),"ERROR")=B734&amp;"PT","Y","")),"")</f>
        <v/>
      </c>
      <c r="I734" t="str">
        <f>IFERROR(VLOOKUP(B734,PN!$A:$C,3,FALSE),"")</f>
        <v>Active</v>
      </c>
      <c r="J734" s="3">
        <f>IFERROR(E734*VLOOKUP(B734,PLInter!$A:$D,3,FALSE),"")</f>
        <v>24000</v>
      </c>
      <c r="K734" s="66"/>
      <c r="L734" s="66"/>
      <c r="M734" s="66"/>
      <c r="N734" s="66"/>
      <c r="O734" s="66"/>
      <c r="P734" s="66"/>
      <c r="Q734" s="66"/>
      <c r="R734" s="66"/>
      <c r="S734" s="66"/>
    </row>
    <row r="735" spans="1:19" ht="18" customHeight="1">
      <c r="B735" t="s">
        <v>228</v>
      </c>
      <c r="C735" t="s">
        <v>655</v>
      </c>
      <c r="D735" s="4"/>
      <c r="E735" s="4">
        <v>1</v>
      </c>
      <c r="F735" s="4"/>
      <c r="G735" s="29" t="str">
        <f>IFERROR(HYPERLINK("#"&amp;ADDRESS(MATCH(B735&amp;"ES",'LM7 Non-ENG'!$A$1:$A$5000,0),1,,,"LM7 Non-ENG"),IF(IFERROR(VLOOKUP(B735&amp;"ES",'LM7 Non-ENG'!$A$1:$A$4999,1,FALSE),"ERROR")=B735&amp;"ES","Y","")),"")</f>
        <v/>
      </c>
      <c r="H735" s="29" t="str">
        <f>IFERROR(HYPERLINK("#"&amp;ADDRESS(MATCH(B735&amp;"PT",'LM7 Non-ENG'!$A$1:$A$5000,0),1,,,"LM7 Non-ENG"),IF(IFERROR(VLOOKUP(B735&amp;"PT",'LM7 Non-ENG'!$A$1:$A$5000,1,FALSE),"ERROR")=B735&amp;"PT","Y","")),"")</f>
        <v/>
      </c>
      <c r="I735" t="str">
        <f>IFERROR(VLOOKUP(B735,PN!$A:$C,3,FALSE),"")</f>
        <v>Active</v>
      </c>
      <c r="J735" s="3">
        <f>IFERROR(E735*VLOOKUP(B735,PLInter!$A:$D,3,FALSE),"")</f>
        <v>2134</v>
      </c>
      <c r="K735" s="66"/>
      <c r="L735" s="66"/>
      <c r="M735" s="66"/>
      <c r="N735" s="66"/>
      <c r="O735" s="66"/>
      <c r="P735" s="66"/>
      <c r="Q735" s="66"/>
      <c r="R735" s="66"/>
      <c r="S735" s="66"/>
    </row>
    <row r="736" spans="1:19" ht="18" customHeight="1">
      <c r="B736" s="2" t="s">
        <v>227</v>
      </c>
      <c r="C736" s="2" t="s">
        <v>232</v>
      </c>
      <c r="D736" s="5"/>
      <c r="E736" s="5">
        <v>1</v>
      </c>
      <c r="F736" s="5" t="s">
        <v>0</v>
      </c>
      <c r="G736" s="29" t="str">
        <f>IFERROR(HYPERLINK("#"&amp;ADDRESS(MATCH(B736&amp;"ES",'LM7 Non-ENG'!$A$1:$A$5000,0),1,,,"LM7 Non-ENG"),IF(IFERROR(VLOOKUP(B736&amp;"ES",'LM7 Non-ENG'!$A$1:$A$4999,1,FALSE),"ERROR")=B736&amp;"ES","Y","")),"")</f>
        <v/>
      </c>
      <c r="H736" s="29" t="str">
        <f>IFERROR(HYPERLINK("#"&amp;ADDRESS(MATCH(B736&amp;"PT",'LM7 Non-ENG'!$A$1:$A$5000,0),1,,,"LM7 Non-ENG"),IF(IFERROR(VLOOKUP(B736&amp;"PT",'LM7 Non-ENG'!$A$1:$A$5000,1,FALSE),"ERROR")=B736&amp;"PT","Y","")),"")</f>
        <v/>
      </c>
      <c r="I736" t="str">
        <f>IFERROR(VLOOKUP(B736,PN!$A:$C,3,FALSE),"")</f>
        <v>Active</v>
      </c>
      <c r="J736" s="3">
        <f>IFERROR(E736*VLOOKUP(B736,PLInter!$A:$D,3,FALSE),"")</f>
        <v>1700</v>
      </c>
      <c r="K736" s="66"/>
      <c r="L736" s="66"/>
      <c r="M736" s="66"/>
      <c r="N736" s="66"/>
      <c r="O736" s="66"/>
      <c r="P736" s="66"/>
      <c r="Q736" s="66"/>
      <c r="R736" s="66"/>
      <c r="S736" s="66"/>
    </row>
    <row r="737" spans="2:19" ht="18" customHeight="1">
      <c r="B737" t="s">
        <v>236</v>
      </c>
      <c r="C737" t="s">
        <v>626</v>
      </c>
      <c r="D737" s="4"/>
      <c r="E737" s="4">
        <v>1</v>
      </c>
      <c r="F737" s="4"/>
      <c r="G737" s="29" t="str">
        <f>IFERROR(HYPERLINK("#"&amp;ADDRESS(MATCH(B737&amp;"ES",'LM7 Non-ENG'!$A$1:$A$5000,0),1,,,"LM7 Non-ENG"),IF(IFERROR(VLOOKUP(B737&amp;"ES",'LM7 Non-ENG'!$A$1:$A$4999,1,FALSE),"ERROR")=B737&amp;"ES","Y","")),"")</f>
        <v/>
      </c>
      <c r="H737" s="29" t="str">
        <f>IFERROR(HYPERLINK("#"&amp;ADDRESS(MATCH(B737&amp;"PT",'LM7 Non-ENG'!$A$1:$A$5000,0),1,,,"LM7 Non-ENG"),IF(IFERROR(VLOOKUP(B737&amp;"PT",'LM7 Non-ENG'!$A$1:$A$5000,1,FALSE),"ERROR")=B737&amp;"PT","Y","")),"")</f>
        <v/>
      </c>
      <c r="I737" t="str">
        <f>IFERROR(VLOOKUP(B737,PN!$A:$C,3,FALSE),"")</f>
        <v>Active</v>
      </c>
      <c r="J737" s="3">
        <f>IFERROR(E737*VLOOKUP(B737,PLInter!$A:$D,3,FALSE),"")</f>
        <v>1680</v>
      </c>
      <c r="K737" s="66"/>
      <c r="L737" s="66"/>
      <c r="M737" s="66"/>
      <c r="N737" s="66"/>
      <c r="O737" s="66"/>
      <c r="P737" s="66"/>
      <c r="Q737" s="66"/>
      <c r="R737" s="66"/>
      <c r="S737" s="66"/>
    </row>
    <row r="738" spans="2:19" ht="18" customHeight="1">
      <c r="B738" t="s">
        <v>243</v>
      </c>
      <c r="C738" t="s">
        <v>790</v>
      </c>
      <c r="D738" s="4"/>
      <c r="E738" s="4">
        <v>1</v>
      </c>
      <c r="F738" s="4"/>
      <c r="G738" s="29" t="str">
        <f>IFERROR(HYPERLINK("#"&amp;ADDRESS(MATCH(B738&amp;"ES",'LM7 Non-ENG'!$A$1:$A$5000,0),1,,,"LM7 Non-ENG"),IF(IFERROR(VLOOKUP(B738&amp;"ES",'LM7 Non-ENG'!$A$1:$A$4999,1,FALSE),"ERROR")=B738&amp;"ES","Y","")),"")</f>
        <v/>
      </c>
      <c r="H738" s="29" t="str">
        <f>IFERROR(HYPERLINK("#"&amp;ADDRESS(MATCH(B738&amp;"PT",'LM7 Non-ENG'!$A$1:$A$5000,0),1,,,"LM7 Non-ENG"),IF(IFERROR(VLOOKUP(B738&amp;"PT",'LM7 Non-ENG'!$A$1:$A$5000,1,FALSE),"ERROR")=B738&amp;"PT","Y","")),"")</f>
        <v/>
      </c>
      <c r="I738" t="str">
        <f>IFERROR(VLOOKUP(B738,PN!$A:$C,3,FALSE),"")</f>
        <v>Active</v>
      </c>
      <c r="J738" s="3">
        <f>IFERROR(E738*VLOOKUP(B738,PLInter!$A:$D,3,FALSE),"")</f>
        <v>7366</v>
      </c>
      <c r="K738" s="66"/>
      <c r="L738" s="66"/>
      <c r="M738" s="66"/>
      <c r="N738" s="66"/>
      <c r="O738" s="66"/>
      <c r="P738" s="66"/>
      <c r="Q738" s="66"/>
      <c r="R738" s="66"/>
      <c r="S738" s="66"/>
    </row>
    <row r="739" spans="2:19" ht="18" customHeight="1">
      <c r="B739" t="s">
        <v>682</v>
      </c>
      <c r="C739" t="s">
        <v>683</v>
      </c>
      <c r="D739" s="4"/>
      <c r="E739" s="4">
        <v>1</v>
      </c>
      <c r="F739" s="4"/>
      <c r="G739" s="29" t="str">
        <f>IFERROR(HYPERLINK("#"&amp;ADDRESS(MATCH(B739&amp;"ES",'LM7 Non-ENG'!$A$1:$A$5000,0),1,,,"LM7 Non-ENG"),IF(IFERROR(VLOOKUP(B739&amp;"ES",'LM7 Non-ENG'!$A$1:$A$4999,1,FALSE),"ERROR")=B739&amp;"ES","Y","")),"")</f>
        <v/>
      </c>
      <c r="H739" s="29" t="str">
        <f>IFERROR(HYPERLINK("#"&amp;ADDRESS(MATCH(B739&amp;"PT",'LM7 Non-ENG'!$A$1:$A$5000,0),1,,,"LM7 Non-ENG"),IF(IFERROR(VLOOKUP(B739&amp;"PT",'LM7 Non-ENG'!$A$1:$A$5000,1,FALSE),"ERROR")=B739&amp;"PT","Y","")),"")</f>
        <v/>
      </c>
      <c r="I739" t="str">
        <f>IFERROR(VLOOKUP(B739,PN!$A:$C,3,FALSE),"")</f>
        <v>Active</v>
      </c>
      <c r="J739" s="3">
        <f>IFERROR(E739*VLOOKUP(B739,PLInter!$A:$D,3,FALSE),"")</f>
        <v>494</v>
      </c>
      <c r="K739" s="66"/>
      <c r="L739" s="66"/>
      <c r="M739" s="66"/>
      <c r="N739" s="66"/>
      <c r="O739" s="66"/>
      <c r="P739" s="66"/>
      <c r="Q739" s="66"/>
      <c r="R739" s="66"/>
      <c r="S739" s="66"/>
    </row>
    <row r="740" spans="2:19" ht="18" customHeight="1">
      <c r="B740" t="s">
        <v>684</v>
      </c>
      <c r="C740" t="s">
        <v>685</v>
      </c>
      <c r="D740" s="4"/>
      <c r="E740" s="4">
        <v>1</v>
      </c>
      <c r="F740" s="4"/>
      <c r="G740" s="29" t="str">
        <f>IFERROR(HYPERLINK("#"&amp;ADDRESS(MATCH(B740&amp;"ES",'LM7 Non-ENG'!$A$1:$A$5000,0),1,,,"LM7 Non-ENG"),IF(IFERROR(VLOOKUP(B740&amp;"ES",'LM7 Non-ENG'!$A$1:$A$4999,1,FALSE),"ERROR")=B740&amp;"ES","Y","")),"")</f>
        <v/>
      </c>
      <c r="H740" s="29" t="str">
        <f>IFERROR(HYPERLINK("#"&amp;ADDRESS(MATCH(B740&amp;"PT",'LM7 Non-ENG'!$A$1:$A$5000,0),1,,,"LM7 Non-ENG"),IF(IFERROR(VLOOKUP(B740&amp;"PT",'LM7 Non-ENG'!$A$1:$A$5000,1,FALSE),"ERROR")=B740&amp;"PT","Y","")),"")</f>
        <v/>
      </c>
      <c r="I740" t="str">
        <f>IFERROR(VLOOKUP(B740,PN!$A:$C,3,FALSE),"")</f>
        <v>Active</v>
      </c>
      <c r="J740" s="3">
        <f>IFERROR(E740*VLOOKUP(B740,PLInter!$A:$D,3,FALSE),"")</f>
        <v>580</v>
      </c>
      <c r="K740" s="66"/>
      <c r="L740" s="66"/>
      <c r="M740" s="66"/>
      <c r="N740" s="66"/>
      <c r="O740" s="66"/>
      <c r="P740" s="66"/>
      <c r="Q740" s="66"/>
      <c r="R740" s="66"/>
      <c r="S740" s="66"/>
    </row>
    <row r="741" spans="2:19" ht="18" customHeight="1">
      <c r="B741" t="str">
        <f>"021182"</f>
        <v>021182</v>
      </c>
      <c r="C741" t="s">
        <v>686</v>
      </c>
      <c r="D741" s="4"/>
      <c r="E741" s="4">
        <v>1</v>
      </c>
      <c r="F741" s="4"/>
      <c r="G741" s="29" t="str">
        <f>IFERROR(HYPERLINK("#"&amp;ADDRESS(MATCH(B741&amp;"ES",'LM7 Non-ENG'!$A$1:$A$5000,0),1,,,"LM7 Non-ENG"),IF(IFERROR(VLOOKUP(B741&amp;"ES",'LM7 Non-ENG'!$A$1:$A$4999,1,FALSE),"ERROR")=B741&amp;"ES","Y","")),"")</f>
        <v/>
      </c>
      <c r="H741" s="29" t="str">
        <f>IFERROR(HYPERLINK("#"&amp;ADDRESS(MATCH(B741&amp;"PT",'LM7 Non-ENG'!$A$1:$A$5000,0),1,,,"LM7 Non-ENG"),IF(IFERROR(VLOOKUP(B741&amp;"PT",'LM7 Non-ENG'!$A$1:$A$5000,1,FALSE),"ERROR")=B741&amp;"PT","Y","")),"")</f>
        <v/>
      </c>
      <c r="I741" t="str">
        <f>IFERROR(VLOOKUP(B741,PN!$A:$C,3,FALSE),"")</f>
        <v>Active</v>
      </c>
      <c r="J741" s="3">
        <f>IFERROR(E741*VLOOKUP(B741,PLInter!$A:$D,3,FALSE),"")</f>
        <v>16</v>
      </c>
      <c r="K741" s="66"/>
      <c r="L741" s="66"/>
      <c r="M741" s="66"/>
      <c r="N741" s="66"/>
      <c r="O741" s="66"/>
      <c r="P741" s="66"/>
      <c r="Q741" s="66"/>
      <c r="R741" s="66"/>
      <c r="S741" s="66"/>
    </row>
    <row r="742" spans="2:19" ht="18" customHeight="1">
      <c r="B742" t="str">
        <f>"034025"</f>
        <v>034025</v>
      </c>
      <c r="C742" t="s">
        <v>777</v>
      </c>
      <c r="D742" s="4"/>
      <c r="E742" s="4">
        <v>1</v>
      </c>
      <c r="F742" s="4"/>
      <c r="G742" s="29" t="str">
        <f>IFERROR(HYPERLINK("#"&amp;ADDRESS(MATCH(B742&amp;"ES",'LM7 Non-ENG'!$A$1:$A$5000,0),1,,,"LM7 Non-ENG"),IF(IFERROR(VLOOKUP(B742&amp;"ES",'LM7 Non-ENG'!$A$1:$A$4999,1,FALSE),"ERROR")=B742&amp;"ES","Y","")),"")</f>
        <v/>
      </c>
      <c r="H742" s="29" t="str">
        <f>IFERROR(HYPERLINK("#"&amp;ADDRESS(MATCH(B742&amp;"PT",'LM7 Non-ENG'!$A$1:$A$5000,0),1,,,"LM7 Non-ENG"),IF(IFERROR(VLOOKUP(B742&amp;"PT",'LM7 Non-ENG'!$A$1:$A$5000,1,FALSE),"ERROR")=B742&amp;"PT","Y","")),"")</f>
        <v/>
      </c>
      <c r="I742" t="str">
        <f>IFERROR(VLOOKUP(B742,PN!$A:$C,3,FALSE),"")</f>
        <v>Active</v>
      </c>
      <c r="J742" s="3">
        <f>IFERROR(E742*VLOOKUP(B742,PLInter!$A:$D,3,FALSE),"")</f>
        <v>1267</v>
      </c>
      <c r="K742" s="66"/>
      <c r="L742" s="66"/>
      <c r="M742" s="66"/>
      <c r="N742" s="66"/>
      <c r="O742" s="66"/>
      <c r="P742" s="66"/>
      <c r="Q742" s="66"/>
      <c r="R742" s="66"/>
      <c r="S742" s="66"/>
    </row>
    <row r="743" spans="2:19" ht="18" customHeight="1">
      <c r="B743" t="str">
        <f>"021152"</f>
        <v>021152</v>
      </c>
      <c r="C743" s="41" t="s">
        <v>679</v>
      </c>
      <c r="D743" s="4"/>
      <c r="E743" s="4">
        <v>1</v>
      </c>
      <c r="F743" s="4"/>
      <c r="G743" s="29" t="str">
        <f>IFERROR(HYPERLINK("#"&amp;ADDRESS(MATCH(B743&amp;"ES",'LM7 Non-ENG'!$A$1:$A$5000,0),1,,,"LM7 Non-ENG"),IF(IFERROR(VLOOKUP(B743&amp;"ES",'LM7 Non-ENG'!$A$1:$A$4999,1,FALSE),"ERROR")=B743&amp;"ES","Y","")),"")</f>
        <v/>
      </c>
      <c r="H743" s="29" t="str">
        <f>IFERROR(HYPERLINK("#"&amp;ADDRESS(MATCH(B743&amp;"PT",'LM7 Non-ENG'!$A$1:$A$5000,0),1,,,"LM7 Non-ENG"),IF(IFERROR(VLOOKUP(B743&amp;"PT",'LM7 Non-ENG'!$A$1:$A$5000,1,FALSE),"ERROR")=B743&amp;"PT","Y","")),"")</f>
        <v/>
      </c>
      <c r="I743" t="str">
        <f>IFERROR(VLOOKUP(B743,PN!$A:$C,3,FALSE),"")</f>
        <v>Active</v>
      </c>
      <c r="J743" s="3">
        <f>IFERROR(E743*VLOOKUP(B743,PLInter!$A:$D,3,FALSE),"")</f>
        <v>240</v>
      </c>
      <c r="K743" s="66"/>
      <c r="L743" s="66"/>
      <c r="M743" s="66"/>
      <c r="N743" s="66"/>
      <c r="O743" s="66"/>
      <c r="P743" s="66"/>
      <c r="Q743" s="66"/>
      <c r="R743" s="66"/>
      <c r="S743" s="66"/>
    </row>
    <row r="744" spans="2:19" ht="18" customHeight="1">
      <c r="B744" t="s">
        <v>801</v>
      </c>
      <c r="C744" t="s">
        <v>802</v>
      </c>
      <c r="D744" s="4"/>
      <c r="E744" s="4">
        <v>1</v>
      </c>
      <c r="F744" s="4"/>
      <c r="G744" s="29" t="str">
        <f>IFERROR(HYPERLINK("#"&amp;ADDRESS(MATCH(B744&amp;"ES",'LM7 Non-ENG'!$A$1:$A$5000,0),1,,,"LM7 Non-ENG"),IF(IFERROR(VLOOKUP(B744&amp;"ES",'LM7 Non-ENG'!$A$1:$A$4999,1,FALSE),"ERROR")=B744&amp;"ES","Y","")),"")</f>
        <v/>
      </c>
      <c r="H744" s="29" t="str">
        <f>IFERROR(HYPERLINK("#"&amp;ADDRESS(MATCH(B744&amp;"PT",'LM7 Non-ENG'!$A$1:$A$5000,0),1,,,"LM7 Non-ENG"),IF(IFERROR(VLOOKUP(B744&amp;"PT",'LM7 Non-ENG'!$A$1:$A$5000,1,FALSE),"ERROR")=B744&amp;"PT","Y","")),"")</f>
        <v/>
      </c>
      <c r="I744" t="str">
        <f>IFERROR(VLOOKUP(B744,PN!$A:$C,3,FALSE),"")</f>
        <v>Active</v>
      </c>
      <c r="J744" s="3">
        <f>IFERROR(E744*VLOOKUP(B744,PLInter!$A:$D,3,FALSE),"")</f>
        <v>667</v>
      </c>
      <c r="K744" s="66"/>
      <c r="L744" s="66"/>
      <c r="M744" s="66"/>
      <c r="N744" s="66"/>
      <c r="O744" s="66"/>
      <c r="P744" s="66"/>
      <c r="Q744" s="66"/>
      <c r="R744" s="66"/>
      <c r="S744" s="66"/>
    </row>
    <row r="745" spans="2:19" ht="18" customHeight="1">
      <c r="B745" t="s">
        <v>457</v>
      </c>
      <c r="C745" t="s">
        <v>466</v>
      </c>
      <c r="D745" s="4"/>
      <c r="E745" s="4">
        <v>1</v>
      </c>
      <c r="F745" s="4"/>
      <c r="G745" s="29" t="str">
        <f>IFERROR(HYPERLINK("#"&amp;ADDRESS(MATCH(B745&amp;"ES",'LM7 Non-ENG'!$A$1:$A$5000,0),1,,,"LM7 Non-ENG"),IF(IFERROR(VLOOKUP(B745&amp;"ES",'LM7 Non-ENG'!$A$1:$A$4999,1,FALSE),"ERROR")=B745&amp;"ES","Y","")),"")</f>
        <v/>
      </c>
      <c r="H745" s="29" t="str">
        <f>IFERROR(HYPERLINK("#"&amp;ADDRESS(MATCH(B745&amp;"PT",'LM7 Non-ENG'!$A$1:$A$5000,0),1,,,"LM7 Non-ENG"),IF(IFERROR(VLOOKUP(B745&amp;"PT",'LM7 Non-ENG'!$A$1:$A$5000,1,FALSE),"ERROR")=B745&amp;"PT","Y","")),"")</f>
        <v/>
      </c>
      <c r="I745" t="str">
        <f>IFERROR(VLOOKUP(B745,PN!$A:$C,3,FALSE),"")</f>
        <v>Active</v>
      </c>
      <c r="J745" s="3">
        <f>IFERROR(E745*VLOOKUP(B745,PLInter!$A:$D,3,FALSE),"")</f>
        <v>20994</v>
      </c>
      <c r="K745" s="66"/>
      <c r="L745" s="66"/>
      <c r="M745" s="66"/>
      <c r="N745" s="66"/>
      <c r="O745" s="66"/>
      <c r="P745" s="66"/>
      <c r="Q745" s="66"/>
      <c r="R745" s="66"/>
      <c r="S745" s="66"/>
    </row>
    <row r="746" spans="2:19" ht="18" customHeight="1">
      <c r="B746" s="2" t="s">
        <v>456</v>
      </c>
      <c r="C746" s="2" t="s">
        <v>465</v>
      </c>
      <c r="D746" s="5"/>
      <c r="E746" s="5">
        <v>1</v>
      </c>
      <c r="F746" s="5" t="s">
        <v>0</v>
      </c>
      <c r="G746" s="29" t="str">
        <f>IFERROR(HYPERLINK("#"&amp;ADDRESS(MATCH(B746&amp;"ES",'LM7 Non-ENG'!$A$1:$A$5000,0),1,,,"LM7 Non-ENG"),IF(IFERROR(VLOOKUP(B746&amp;"ES",'LM7 Non-ENG'!$A$1:$A$4999,1,FALSE),"ERROR")=B746&amp;"ES","Y","")),"")</f>
        <v/>
      </c>
      <c r="H746" s="29" t="str">
        <f>IFERROR(HYPERLINK("#"&amp;ADDRESS(MATCH(B746&amp;"PT",'LM7 Non-ENG'!$A$1:$A$5000,0),1,,,"LM7 Non-ENG"),IF(IFERROR(VLOOKUP(B746&amp;"PT",'LM7 Non-ENG'!$A$1:$A$5000,1,FALSE),"ERROR")=B746&amp;"PT","Y","")),"")</f>
        <v/>
      </c>
      <c r="I746" t="str">
        <f>IFERROR(VLOOKUP(B746,PN!$A:$C,3,FALSE),"")</f>
        <v>Active</v>
      </c>
      <c r="J746" s="3">
        <f>IFERROR(E746*VLOOKUP(B746,PLInter!$A:$D,3,FALSE),"")</f>
        <v>20994</v>
      </c>
      <c r="K746" s="66"/>
      <c r="L746" s="66"/>
      <c r="M746" s="66"/>
      <c r="N746" s="66"/>
      <c r="O746" s="66"/>
      <c r="P746" s="66"/>
      <c r="Q746" s="66"/>
      <c r="R746" s="66"/>
      <c r="S746" s="66"/>
    </row>
    <row r="747" spans="2:19" ht="18" customHeight="1">
      <c r="B747" t="s">
        <v>519</v>
      </c>
      <c r="C747" t="s">
        <v>803</v>
      </c>
      <c r="D747" s="4"/>
      <c r="E747" s="4">
        <v>1</v>
      </c>
      <c r="F747" s="4"/>
      <c r="G747" s="29" t="str">
        <f>IFERROR(HYPERLINK("#"&amp;ADDRESS(MATCH(B747&amp;"ES",'LM7 Non-ENG'!$A$1:$A$5000,0),1,,,"LM7 Non-ENG"),IF(IFERROR(VLOOKUP(B747&amp;"ES",'LM7 Non-ENG'!$A$1:$A$4999,1,FALSE),"ERROR")=B747&amp;"ES","Y","")),"")</f>
        <v/>
      </c>
      <c r="H747" s="29" t="str">
        <f>IFERROR(HYPERLINK("#"&amp;ADDRESS(MATCH(B747&amp;"PT",'LM7 Non-ENG'!$A$1:$A$5000,0),1,,,"LM7 Non-ENG"),IF(IFERROR(VLOOKUP(B747&amp;"PT",'LM7 Non-ENG'!$A$1:$A$5000,1,FALSE),"ERROR")=B747&amp;"PT","Y","")),"")</f>
        <v/>
      </c>
      <c r="I747" t="str">
        <f>IFERROR(VLOOKUP(B747,PN!$A:$C,3,FALSE),"")</f>
        <v>Active</v>
      </c>
      <c r="J747" s="3">
        <f>IFERROR(E747*VLOOKUP(B747,PLInter!$A:$D,3,FALSE),"")</f>
        <v>1595</v>
      </c>
      <c r="K747" s="66"/>
      <c r="L747" s="66"/>
      <c r="M747" s="66"/>
      <c r="N747" s="66"/>
      <c r="O747" s="66"/>
      <c r="P747" s="66"/>
      <c r="Q747" s="66"/>
      <c r="R747" s="66"/>
      <c r="S747" s="66"/>
    </row>
    <row r="748" spans="2:19" ht="18" customHeight="1">
      <c r="B748" t="s">
        <v>516</v>
      </c>
      <c r="C748" t="s">
        <v>804</v>
      </c>
      <c r="D748" s="4"/>
      <c r="E748" s="4">
        <v>1</v>
      </c>
      <c r="F748" s="4"/>
      <c r="G748" s="29" t="str">
        <f>IFERROR(HYPERLINK("#"&amp;ADDRESS(MATCH(B748&amp;"ES",'LM7 Non-ENG'!$A$1:$A$5000,0),1,,,"LM7 Non-ENG"),IF(IFERROR(VLOOKUP(B748&amp;"ES",'LM7 Non-ENG'!$A$1:$A$4999,1,FALSE),"ERROR")=B748&amp;"ES","Y","")),"")</f>
        <v/>
      </c>
      <c r="H748" s="29" t="str">
        <f>IFERROR(HYPERLINK("#"&amp;ADDRESS(MATCH(B748&amp;"PT",'LM7 Non-ENG'!$A$1:$A$5000,0),1,,,"LM7 Non-ENG"),IF(IFERROR(VLOOKUP(B748&amp;"PT",'LM7 Non-ENG'!$A$1:$A$5000,1,FALSE),"ERROR")=B748&amp;"PT","Y","")),"")</f>
        <v/>
      </c>
      <c r="I748" t="str">
        <f>IFERROR(VLOOKUP(B748,PN!$A:$C,3,FALSE),"")</f>
        <v>Active</v>
      </c>
      <c r="J748" s="3">
        <f>IFERROR(E748*VLOOKUP(B748,PLInter!$A:$D,3,FALSE),"")</f>
        <v>2126</v>
      </c>
      <c r="K748" s="66"/>
      <c r="L748" s="66"/>
      <c r="M748" s="66"/>
      <c r="N748" s="66"/>
      <c r="O748" s="66"/>
      <c r="P748" s="66"/>
      <c r="Q748" s="66"/>
      <c r="R748" s="66"/>
      <c r="S748" s="66"/>
    </row>
    <row r="749" spans="2:19" ht="18" customHeight="1">
      <c r="B749" t="s">
        <v>562</v>
      </c>
      <c r="C749" t="s">
        <v>807</v>
      </c>
      <c r="D749" s="4"/>
      <c r="E749" s="4">
        <v>1</v>
      </c>
      <c r="F749" s="4"/>
      <c r="G749" s="29" t="str">
        <f>IFERROR(HYPERLINK("#"&amp;ADDRESS(MATCH(B749&amp;"ES",'LM7 Non-ENG'!$A$1:$A$5000,0),1,,,"LM7 Non-ENG"),IF(IFERROR(VLOOKUP(B749&amp;"ES",'LM7 Non-ENG'!$A$1:$A$4999,1,FALSE),"ERROR")=B749&amp;"ES","Y","")),"")</f>
        <v/>
      </c>
      <c r="H749" s="29" t="str">
        <f>IFERROR(HYPERLINK("#"&amp;ADDRESS(MATCH(B749&amp;"PT",'LM7 Non-ENG'!$A$1:$A$5000,0),1,,,"LM7 Non-ENG"),IF(IFERROR(VLOOKUP(B749&amp;"PT",'LM7 Non-ENG'!$A$1:$A$5000,1,FALSE),"ERROR")=B749&amp;"PT","Y","")),"")</f>
        <v/>
      </c>
      <c r="I749" t="str">
        <f>IFERROR(VLOOKUP(B749,PN!$A:$C,3,FALSE),"")</f>
        <v>Active</v>
      </c>
      <c r="J749" s="3">
        <f>IFERROR(E749*VLOOKUP(B749,PLInter!$A:$D,3,FALSE),"")</f>
        <v>500</v>
      </c>
      <c r="K749" s="66"/>
      <c r="L749" s="66"/>
      <c r="M749" s="66"/>
      <c r="N749" s="66"/>
      <c r="O749" s="66"/>
      <c r="P749" s="66"/>
      <c r="Q749" s="66"/>
      <c r="R749" s="66"/>
      <c r="S749" s="66"/>
    </row>
    <row r="750" spans="2:19" ht="18" customHeight="1">
      <c r="B750" s="2" t="s">
        <v>845</v>
      </c>
      <c r="C750" s="2" t="s">
        <v>846</v>
      </c>
      <c r="D750" s="5"/>
      <c r="E750" s="5">
        <v>1</v>
      </c>
      <c r="F750" s="5" t="s">
        <v>0</v>
      </c>
      <c r="G750" s="29" t="str">
        <f>IFERROR(HYPERLINK("#"&amp;ADDRESS(MATCH(B750&amp;"ES",'LM7 Non-ENG'!$A$1:$A$5000,0),1,,,"LM7 Non-ENG"),IF(IFERROR(VLOOKUP(B750&amp;"ES",'LM7 Non-ENG'!$A$1:$A$4999,1,FALSE),"ERROR")=B750&amp;"ES","Y","")),"")</f>
        <v/>
      </c>
      <c r="H750" s="29" t="str">
        <f>IFERROR(HYPERLINK("#"&amp;ADDRESS(MATCH(B750&amp;"PT",'LM7 Non-ENG'!$A$1:$A$5000,0),1,,,"LM7 Non-ENG"),IF(IFERROR(VLOOKUP(B750&amp;"PT",'LM7 Non-ENG'!$A$1:$A$5000,1,FALSE),"ERROR")=B750&amp;"PT","Y","")),"")</f>
        <v/>
      </c>
      <c r="I750" t="str">
        <f>IFERROR(VLOOKUP(B750,PN!$A:$C,3,FALSE),"")</f>
        <v>Active</v>
      </c>
      <c r="J750" s="3" t="str">
        <f>IFERROR(E750*VLOOKUP(B750,PLInter!$A:$D,3,FALSE),"")</f>
        <v/>
      </c>
      <c r="K750" s="66"/>
      <c r="L750" s="66"/>
      <c r="M750" s="66"/>
      <c r="N750" s="66"/>
      <c r="O750" s="66"/>
      <c r="P750" s="66"/>
      <c r="Q750" s="66"/>
      <c r="R750" s="66"/>
      <c r="S750" s="66"/>
    </row>
    <row r="751" spans="2:19" ht="18" customHeight="1">
      <c r="B751" t="s">
        <v>572</v>
      </c>
      <c r="C751" t="s">
        <v>749</v>
      </c>
      <c r="D751" s="4"/>
      <c r="E751" s="4">
        <v>1</v>
      </c>
      <c r="F751" s="4"/>
      <c r="G751" s="29" t="str">
        <f>IFERROR(HYPERLINK("#"&amp;ADDRESS(MATCH(B751&amp;"ES",'LM7 Non-ENG'!$A$1:$A$5000,0),1,,,"LM7 Non-ENG"),IF(IFERROR(VLOOKUP(B751&amp;"ES",'LM7 Non-ENG'!$A$1:$A$4999,1,FALSE),"ERROR")=B751&amp;"ES","Y","")),"")</f>
        <v/>
      </c>
      <c r="H751" s="29" t="str">
        <f>IFERROR(HYPERLINK("#"&amp;ADDRESS(MATCH(B751&amp;"PT",'LM7 Non-ENG'!$A$1:$A$5000,0),1,,,"LM7 Non-ENG"),IF(IFERROR(VLOOKUP(B751&amp;"PT",'LM7 Non-ENG'!$A$1:$A$5000,1,FALSE),"ERROR")=B751&amp;"PT","Y","")),"")</f>
        <v/>
      </c>
      <c r="I751" t="str">
        <f>IFERROR(VLOOKUP(B751,PN!$A:$C,3,FALSE),"")</f>
        <v>Active</v>
      </c>
      <c r="J751" s="3">
        <f>IFERROR(E751*VLOOKUP(B751,PLInter!$A:$D,3,FALSE),"")</f>
        <v>500</v>
      </c>
      <c r="K751" s="66"/>
      <c r="L751" s="66"/>
      <c r="M751" s="66"/>
      <c r="N751" s="66"/>
      <c r="O751" s="66"/>
      <c r="P751" s="66"/>
      <c r="Q751" s="66"/>
      <c r="R751" s="66"/>
      <c r="S751" s="66"/>
    </row>
    <row r="752" spans="2:19" ht="18" customHeight="1">
      <c r="B752" t="s">
        <v>504</v>
      </c>
      <c r="C752" t="s">
        <v>742</v>
      </c>
      <c r="D752" s="4"/>
      <c r="E752" s="4">
        <v>1</v>
      </c>
      <c r="F752" s="4"/>
      <c r="G752" s="29" t="str">
        <f>IFERROR(HYPERLINK("#"&amp;ADDRESS(MATCH(B752&amp;"ES",'LM7 Non-ENG'!$A$1:$A$5000,0),1,,,"LM7 Non-ENG"),IF(IFERROR(VLOOKUP(B752&amp;"ES",'LM7 Non-ENG'!$A$1:$A$4999,1,FALSE),"ERROR")=B752&amp;"ES","Y","")),"")</f>
        <v/>
      </c>
      <c r="H752" s="29" t="str">
        <f>IFERROR(HYPERLINK("#"&amp;ADDRESS(MATCH(B752&amp;"PT",'LM7 Non-ENG'!$A$1:$A$5000,0),1,,,"LM7 Non-ENG"),IF(IFERROR(VLOOKUP(B752&amp;"PT",'LM7 Non-ENG'!$A$1:$A$5000,1,FALSE),"ERROR")=B752&amp;"PT","Y","")),"")</f>
        <v/>
      </c>
      <c r="I752" t="str">
        <f>IFERROR(VLOOKUP(B752,PN!$A:$C,3,FALSE),"")</f>
        <v>Active</v>
      </c>
      <c r="J752" s="3">
        <f>IFERROR(E752*VLOOKUP(B752,PLInter!$A:$D,3,FALSE),"")</f>
        <v>227</v>
      </c>
      <c r="K752" s="66"/>
      <c r="L752" s="66"/>
      <c r="M752" s="66"/>
      <c r="N752" s="66"/>
      <c r="O752" s="66"/>
      <c r="P752" s="66"/>
      <c r="Q752" s="66"/>
      <c r="R752" s="66"/>
      <c r="S752" s="66"/>
    </row>
    <row r="753" spans="1:19" ht="18" customHeight="1">
      <c r="B753" t="s">
        <v>505</v>
      </c>
      <c r="C753" t="s">
        <v>844</v>
      </c>
      <c r="D753" s="4"/>
      <c r="E753" s="4">
        <v>1</v>
      </c>
      <c r="F753" s="4"/>
      <c r="G753" s="29" t="str">
        <f>IFERROR(HYPERLINK("#"&amp;ADDRESS(MATCH(B753&amp;"ES",'LM7 Non-ENG'!$A$1:$A$5000,0),1,,,"LM7 Non-ENG"),IF(IFERROR(VLOOKUP(B753&amp;"ES",'LM7 Non-ENG'!$A$1:$A$4999,1,FALSE),"ERROR")=B753&amp;"ES","Y","")),"")</f>
        <v/>
      </c>
      <c r="H753" s="29" t="str">
        <f>IFERROR(HYPERLINK("#"&amp;ADDRESS(MATCH(B753&amp;"PT",'LM7 Non-ENG'!$A$1:$A$5000,0),1,,,"LM7 Non-ENG"),IF(IFERROR(VLOOKUP(B753&amp;"PT",'LM7 Non-ENG'!$A$1:$A$5000,1,FALSE),"ERROR")=B753&amp;"PT","Y","")),"")</f>
        <v/>
      </c>
      <c r="I753" t="str">
        <f>IFERROR(VLOOKUP(B753,PN!$A:$C,3,FALSE),"")</f>
        <v>Active</v>
      </c>
      <c r="J753" s="3">
        <f>IFERROR(E753*VLOOKUP(B753,PLInter!$A:$D,3,FALSE),"")</f>
        <v>200</v>
      </c>
      <c r="K753" s="66"/>
      <c r="L753" s="66"/>
      <c r="M753" s="66"/>
      <c r="N753" s="66"/>
      <c r="O753" s="66"/>
      <c r="P753" s="66"/>
      <c r="Q753" s="66"/>
      <c r="R753" s="66"/>
      <c r="S753" s="66"/>
    </row>
    <row r="754" spans="1:19" ht="18" customHeight="1">
      <c r="B754" t="s">
        <v>502</v>
      </c>
      <c r="C754" t="s">
        <v>744</v>
      </c>
      <c r="D754" s="4"/>
      <c r="E754" s="4">
        <v>1</v>
      </c>
      <c r="F754" s="4"/>
      <c r="G754" s="29" t="str">
        <f>IFERROR(HYPERLINK("#"&amp;ADDRESS(MATCH(B754&amp;"ES",'LM7 Non-ENG'!$A$1:$A$5000,0),1,,,"LM7 Non-ENG"),IF(IFERROR(VLOOKUP(B754&amp;"ES",'LM7 Non-ENG'!$A$1:$A$4999,1,FALSE),"ERROR")=B754&amp;"ES","Y","")),"")</f>
        <v/>
      </c>
      <c r="H754" s="29" t="str">
        <f>IFERROR(HYPERLINK("#"&amp;ADDRESS(MATCH(B754&amp;"PT",'LM7 Non-ENG'!$A$1:$A$5000,0),1,,,"LM7 Non-ENG"),IF(IFERROR(VLOOKUP(B754&amp;"PT",'LM7 Non-ENG'!$A$1:$A$5000,1,FALSE),"ERROR")=B754&amp;"PT","Y","")),"")</f>
        <v/>
      </c>
      <c r="I754" t="str">
        <f>IFERROR(VLOOKUP(B754,PN!$A:$C,3,FALSE),"")</f>
        <v>Active</v>
      </c>
      <c r="J754" s="3">
        <f>IFERROR(E754*VLOOKUP(B754,PLInter!$A:$D,3,FALSE),"")</f>
        <v>87</v>
      </c>
      <c r="K754" s="66"/>
      <c r="L754" s="66"/>
      <c r="M754" s="66"/>
      <c r="N754" s="66"/>
      <c r="O754" s="66"/>
      <c r="P754" s="66"/>
      <c r="Q754" s="66"/>
      <c r="R754" s="66"/>
      <c r="S754" s="66"/>
    </row>
    <row r="755" spans="1:19" ht="18" customHeight="1">
      <c r="B755" t="s">
        <v>503</v>
      </c>
      <c r="C755" t="s">
        <v>745</v>
      </c>
      <c r="D755" s="4"/>
      <c r="E755" s="4">
        <v>1</v>
      </c>
      <c r="F755" s="4"/>
      <c r="G755" s="29" t="str">
        <f>IFERROR(HYPERLINK("#"&amp;ADDRESS(MATCH(B755&amp;"ES",'LM7 Non-ENG'!$A$1:$A$5000,0),1,,,"LM7 Non-ENG"),IF(IFERROR(VLOOKUP(B755&amp;"ES",'LM7 Non-ENG'!$A$1:$A$4999,1,FALSE),"ERROR")=B755&amp;"ES","Y","")),"")</f>
        <v/>
      </c>
      <c r="H755" s="29" t="str">
        <f>IFERROR(HYPERLINK("#"&amp;ADDRESS(MATCH(B755&amp;"PT",'LM7 Non-ENG'!$A$1:$A$5000,0),1,,,"LM7 Non-ENG"),IF(IFERROR(VLOOKUP(B755&amp;"PT",'LM7 Non-ENG'!$A$1:$A$5000,1,FALSE),"ERROR")=B755&amp;"PT","Y","")),"")</f>
        <v/>
      </c>
      <c r="I755" t="str">
        <f>IFERROR(VLOOKUP(B755,PN!$A:$C,3,FALSE),"")</f>
        <v>Active</v>
      </c>
      <c r="J755" s="3">
        <f>IFERROR(E755*VLOOKUP(B755,PLInter!$A:$D,3,FALSE),"")</f>
        <v>74</v>
      </c>
      <c r="K755" s="66"/>
      <c r="L755" s="66"/>
      <c r="M755" s="66"/>
      <c r="N755" s="66"/>
      <c r="O755" s="66"/>
      <c r="P755" s="66"/>
      <c r="Q755" s="66"/>
      <c r="R755" s="66"/>
      <c r="S755" s="66"/>
    </row>
    <row r="756" spans="1:19" ht="18" customHeight="1">
      <c r="B756" s="1" t="s">
        <v>480</v>
      </c>
      <c r="C756" s="1" t="s">
        <v>723</v>
      </c>
      <c r="D756" s="6" t="s">
        <v>0</v>
      </c>
      <c r="E756" s="6">
        <v>1</v>
      </c>
      <c r="F756" s="6"/>
      <c r="G756" s="29" t="str">
        <f>IFERROR(HYPERLINK("#"&amp;ADDRESS(MATCH(B756&amp;"ES",'LM7 Non-ENG'!$A$1:$A$5000,0),1,,,"LM7 Non-ENG"),IF(IFERROR(VLOOKUP(B756&amp;"ES",'LM7 Non-ENG'!$A$1:$A$4999,1,FALSE),"ERROR")=B756&amp;"ES","Y","")),"")</f>
        <v/>
      </c>
      <c r="H756" s="29" t="str">
        <f>IFERROR(HYPERLINK("#"&amp;ADDRESS(MATCH(B756&amp;"PT",'LM7 Non-ENG'!$A$1:$A$5000,0),1,,,"LM7 Non-ENG"),IF(IFERROR(VLOOKUP(B756&amp;"PT",'LM7 Non-ENG'!$A$1:$A$5000,1,FALSE),"ERROR")=B756&amp;"PT","Y","")),"")</f>
        <v/>
      </c>
      <c r="I756" t="str">
        <f>IFERROR(VLOOKUP(B756,PN!$A:$C,3,FALSE),"")</f>
        <v>Active</v>
      </c>
      <c r="J756" s="3">
        <f>IFERROR(E756*VLOOKUP(B756,PLInter!$A:$D,3,FALSE),"")</f>
        <v>407</v>
      </c>
      <c r="K756" s="66"/>
      <c r="L756" s="66"/>
      <c r="M756" s="66"/>
      <c r="N756" s="66"/>
      <c r="O756" s="66"/>
      <c r="P756" s="66"/>
      <c r="Q756" s="66"/>
      <c r="R756" s="66"/>
      <c r="S756" s="66"/>
    </row>
    <row r="757" spans="1:19" ht="18" customHeight="1">
      <c r="B757" s="1" t="s">
        <v>479</v>
      </c>
      <c r="C757" s="1" t="s">
        <v>810</v>
      </c>
      <c r="D757" s="6" t="s">
        <v>0</v>
      </c>
      <c r="E757" s="6">
        <v>1</v>
      </c>
      <c r="F757" s="6" t="s">
        <v>0</v>
      </c>
      <c r="G757" s="29" t="str">
        <f>IFERROR(HYPERLINK("#"&amp;ADDRESS(MATCH(B757&amp;"ES",'LM7 Non-ENG'!$A$1:$A$5000,0),1,,,"LM7 Non-ENG"),IF(IFERROR(VLOOKUP(B757&amp;"ES",'LM7 Non-ENG'!$A$1:$A$4999,1,FALSE),"ERROR")=B757&amp;"ES","Y","")),"")</f>
        <v/>
      </c>
      <c r="H757" s="29" t="str">
        <f>IFERROR(HYPERLINK("#"&amp;ADDRESS(MATCH(B757&amp;"PT",'LM7 Non-ENG'!$A$1:$A$5000,0),1,,,"LM7 Non-ENG"),IF(IFERROR(VLOOKUP(B757&amp;"PT",'LM7 Non-ENG'!$A$1:$A$5000,1,FALSE),"ERROR")=B757&amp;"PT","Y","")),"")</f>
        <v/>
      </c>
      <c r="I757" t="str">
        <f>IFERROR(VLOOKUP(B757,PN!$A:$C,3,FALSE),"")</f>
        <v>Active</v>
      </c>
      <c r="J757" s="3">
        <f>IFERROR(E757*VLOOKUP(B757,PLInter!$A:$D,3,FALSE),"")</f>
        <v>407</v>
      </c>
      <c r="K757" s="66"/>
      <c r="L757" s="66"/>
      <c r="M757" s="66"/>
      <c r="N757" s="66"/>
      <c r="O757" s="66"/>
      <c r="P757" s="66"/>
      <c r="Q757" s="66"/>
      <c r="R757" s="66"/>
      <c r="S757" s="66"/>
    </row>
    <row r="758" spans="1:19" ht="18" customHeight="1">
      <c r="B758" t="s">
        <v>478</v>
      </c>
      <c r="C758" t="s">
        <v>716</v>
      </c>
      <c r="D758" s="4"/>
      <c r="E758" s="4">
        <v>1</v>
      </c>
      <c r="F758" s="4"/>
      <c r="G758" s="29" t="str">
        <f>IFERROR(HYPERLINK("#"&amp;ADDRESS(MATCH(B758&amp;"ES",'LM7 Non-ENG'!$A$1:$A$5000,0),1,,,"LM7 Non-ENG"),IF(IFERROR(VLOOKUP(B758&amp;"ES",'LM7 Non-ENG'!$A$1:$A$4999,1,FALSE),"ERROR")=B758&amp;"ES","Y","")),"")</f>
        <v/>
      </c>
      <c r="H758" s="29" t="str">
        <f>IFERROR(HYPERLINK("#"&amp;ADDRESS(MATCH(B758&amp;"PT",'LM7 Non-ENG'!$A$1:$A$5000,0),1,,,"LM7 Non-ENG"),IF(IFERROR(VLOOKUP(B758&amp;"PT",'LM7 Non-ENG'!$A$1:$A$5000,1,FALSE),"ERROR")=B758&amp;"PT","Y","")),"")</f>
        <v/>
      </c>
      <c r="I758" t="str">
        <f>IFERROR(VLOOKUP(B758,PN!$A:$C,3,FALSE),"")</f>
        <v>Active</v>
      </c>
      <c r="J758" s="3">
        <f>IFERROR(E758*VLOOKUP(B758,PLInter!$A:$D,3,FALSE),"")</f>
        <v>795</v>
      </c>
      <c r="K758" s="66"/>
      <c r="L758" s="66"/>
      <c r="M758" s="66"/>
      <c r="N758" s="66"/>
      <c r="O758" s="66"/>
      <c r="P758" s="66"/>
      <c r="Q758" s="66"/>
      <c r="R758" s="66"/>
      <c r="S758" s="66"/>
    </row>
    <row r="759" spans="1:19" ht="18" customHeight="1">
      <c r="B759" t="str">
        <f>"112496"</f>
        <v>112496</v>
      </c>
      <c r="C759" t="s">
        <v>696</v>
      </c>
      <c r="D759" s="4"/>
      <c r="E759" s="16">
        <v>1</v>
      </c>
      <c r="F759" s="4"/>
      <c r="G759" s="29" t="str">
        <f>IFERROR(HYPERLINK("#"&amp;ADDRESS(MATCH(B759&amp;"ES",'LM7 Non-ENG'!$A$1:$A$5000,0),1,,,"LM7 Non-ENG"),IF(IFERROR(VLOOKUP(B759&amp;"ES",'LM7 Non-ENG'!$A$1:$A$4999,1,FALSE),"ERROR")=B759&amp;"ES","Y","")),"")</f>
        <v/>
      </c>
      <c r="H759" s="29" t="str">
        <f>IFERROR(HYPERLINK("#"&amp;ADDRESS(MATCH(B759&amp;"PT",'LM7 Non-ENG'!$A$1:$A$5000,0),1,,,"LM7 Non-ENG"),IF(IFERROR(VLOOKUP(B759&amp;"PT",'LM7 Non-ENG'!$A$1:$A$5000,1,FALSE),"ERROR")=B759&amp;"PT","Y","")),"")</f>
        <v/>
      </c>
      <c r="I759" t="str">
        <f>IFERROR(VLOOKUP(B759,PN!$A:$C,3,FALSE),"")</f>
        <v>Active</v>
      </c>
      <c r="J759" s="3">
        <f>IFERROR(E759*VLOOKUP(B759,PLInter!$A:$D,3,FALSE),"")</f>
        <v>20</v>
      </c>
      <c r="K759" s="66"/>
      <c r="L759" s="66"/>
      <c r="M759" s="66"/>
      <c r="N759" s="66"/>
      <c r="O759" s="66"/>
      <c r="P759" s="66"/>
      <c r="Q759" s="66"/>
      <c r="R759" s="66"/>
      <c r="S759" s="66"/>
    </row>
    <row r="760" spans="1:19" ht="18" customHeight="1">
      <c r="B760" t="s">
        <v>644</v>
      </c>
      <c r="C760" t="s">
        <v>645</v>
      </c>
      <c r="D760" s="4"/>
      <c r="E760" s="4">
        <v>1</v>
      </c>
      <c r="F760" s="4"/>
      <c r="G760" s="29" t="str">
        <f>IFERROR(HYPERLINK("#"&amp;ADDRESS(MATCH(B760&amp;"ES",'LM7 Non-ENG'!$A$1:$A$5000,0),1,,,"LM7 Non-ENG"),IF(IFERROR(VLOOKUP(B760&amp;"ES",'LM7 Non-ENG'!$A$1:$A$4999,1,FALSE),"ERROR")=B760&amp;"ES","Y","")),"")</f>
        <v/>
      </c>
      <c r="H760" s="29" t="str">
        <f>IFERROR(HYPERLINK("#"&amp;ADDRESS(MATCH(B760&amp;"PT",'LM7 Non-ENG'!$A$1:$A$5000,0),1,,,"LM7 Non-ENG"),IF(IFERROR(VLOOKUP(B760&amp;"PT",'LM7 Non-ENG'!$A$1:$A$5000,1,FALSE),"ERROR")=B760&amp;"PT","Y","")),"")</f>
        <v/>
      </c>
      <c r="I760" t="str">
        <f>IFERROR(VLOOKUP(B760,PN!$A:$C,3,FALSE),"")</f>
        <v>Active</v>
      </c>
      <c r="J760" s="3">
        <f>IFERROR(E760*VLOOKUP(B760,PLInter!$A:$D,3,FALSE),"")</f>
        <v>1800</v>
      </c>
      <c r="K760" s="66"/>
      <c r="L760" s="66"/>
      <c r="M760" s="66"/>
      <c r="N760" s="66"/>
      <c r="O760" s="66"/>
      <c r="P760" s="66"/>
      <c r="Q760" s="66"/>
      <c r="R760" s="66"/>
      <c r="S760" s="66"/>
    </row>
    <row r="761" spans="1:19" ht="18" customHeight="1">
      <c r="B761" t="s">
        <v>630</v>
      </c>
      <c r="C761" t="s">
        <v>631</v>
      </c>
      <c r="D761" s="4"/>
      <c r="E761" s="4">
        <v>1</v>
      </c>
      <c r="F761" s="4"/>
      <c r="G761" s="29" t="str">
        <f>IFERROR(HYPERLINK("#"&amp;ADDRESS(MATCH(B761&amp;"ES",'LM7 Non-ENG'!$A$1:$A$5000,0),1,,,"LM7 Non-ENG"),IF(IFERROR(VLOOKUP(B761&amp;"ES",'LM7 Non-ENG'!$A$1:$A$4999,1,FALSE),"ERROR")=B761&amp;"ES","Y","")),"")</f>
        <v/>
      </c>
      <c r="H761" s="29" t="str">
        <f>IFERROR(HYPERLINK("#"&amp;ADDRESS(MATCH(B761&amp;"PT",'LM7 Non-ENG'!$A$1:$A$5000,0),1,,,"LM7 Non-ENG"),IF(IFERROR(VLOOKUP(B761&amp;"PT",'LM7 Non-ENG'!$A$1:$A$5000,1,FALSE),"ERROR")=B761&amp;"PT","Y","")),"")</f>
        <v/>
      </c>
      <c r="I761" t="str">
        <f>IFERROR(VLOOKUP(B761,PN!$A:$C,3,FALSE),"")</f>
        <v>Active</v>
      </c>
      <c r="J761" s="3">
        <f>IFERROR(E761*VLOOKUP(B761,PLInter!$A:$D,3,FALSE),"")</f>
        <v>1735</v>
      </c>
      <c r="K761" s="66"/>
      <c r="L761" s="66"/>
      <c r="M761" s="66"/>
      <c r="N761" s="66"/>
      <c r="O761" s="66"/>
      <c r="P761" s="66"/>
      <c r="Q761" s="66"/>
      <c r="R761" s="66"/>
      <c r="S761" s="66"/>
    </row>
    <row r="763" spans="1:19" s="7" customFormat="1" ht="18" customHeight="1">
      <c r="A763" s="13" t="s">
        <v>851</v>
      </c>
      <c r="B763" s="13"/>
      <c r="C763" s="13" t="s">
        <v>852</v>
      </c>
      <c r="D763" s="14"/>
      <c r="E763" s="14"/>
      <c r="F763" s="14"/>
      <c r="G763" s="14"/>
      <c r="H763" s="14"/>
      <c r="I763" s="14"/>
      <c r="J763" s="14">
        <f>SUMIFS(J764:J777,D764:D777,"&lt;&gt;Y",F764:F777,"&lt;&gt;Y",I764:I777,"&lt;&gt;Inactive",I764:I777,"&lt;&gt;ECO+NFS")</f>
        <v>45406</v>
      </c>
      <c r="K763" s="14"/>
      <c r="L763" s="14"/>
      <c r="M763" s="14"/>
      <c r="N763" s="14"/>
      <c r="O763" s="14"/>
      <c r="P763" s="14"/>
      <c r="Q763" s="14"/>
      <c r="R763" s="14"/>
      <c r="S763" s="14"/>
    </row>
    <row r="764" spans="1:19" ht="18" customHeight="1">
      <c r="A764" s="17" t="str">
        <f>HYPERLINK("#"&amp;ADDRESS(MATCH(A763,'CIM&amp;FMS'!$A$1:$A$4997,0),1,,,"CIM&amp;FMS"),"Back to Price List")</f>
        <v>Back to Price List</v>
      </c>
      <c r="B764" t="s">
        <v>214</v>
      </c>
      <c r="C764" t="s">
        <v>654</v>
      </c>
      <c r="D764" s="4"/>
      <c r="E764" s="4">
        <v>1</v>
      </c>
      <c r="F764" s="4"/>
      <c r="G764" s="29" t="str">
        <f>IFERROR(HYPERLINK("#"&amp;ADDRESS(MATCH(B764&amp;"ES",'LM7 Non-ENG'!$A$1:$A$5000,0),1,,,"LM7 Non-ENG"),IF(IFERROR(VLOOKUP(B764&amp;"ES",'LM7 Non-ENG'!$A$1:$A$4999,1,FALSE),"ERROR")=B764&amp;"ES","Y","")),"")</f>
        <v/>
      </c>
      <c r="H764" s="29" t="str">
        <f>IFERROR(HYPERLINK("#"&amp;ADDRESS(MATCH(B764&amp;"PT",'LM7 Non-ENG'!$A$1:$A$5000,0),1,,,"LM7 Non-ENG"),IF(IFERROR(VLOOKUP(B764&amp;"PT",'LM7 Non-ENG'!$A$1:$A$5000,1,FALSE),"ERROR")=B764&amp;"PT","Y","")),"")</f>
        <v/>
      </c>
      <c r="I764" t="str">
        <f>IFERROR(VLOOKUP(B764,PN!$A:$C,3,FALSE),"")</f>
        <v>Active</v>
      </c>
      <c r="J764" s="3">
        <f>IFERROR(E764*VLOOKUP(B764,PLInter!$A:$D,3,FALSE),"")</f>
        <v>24000</v>
      </c>
      <c r="K764" s="66"/>
      <c r="L764" s="66"/>
      <c r="M764" s="66"/>
      <c r="N764" s="66"/>
      <c r="O764" s="66"/>
      <c r="P764" s="66"/>
      <c r="Q764" s="66"/>
      <c r="R764" s="66"/>
      <c r="S764" s="66"/>
    </row>
    <row r="765" spans="1:19" ht="18" customHeight="1">
      <c r="B765" t="s">
        <v>228</v>
      </c>
      <c r="C765" t="s">
        <v>233</v>
      </c>
      <c r="D765" s="4"/>
      <c r="E765" s="4">
        <v>1</v>
      </c>
      <c r="F765" s="4"/>
      <c r="G765" s="29" t="str">
        <f>IFERROR(HYPERLINK("#"&amp;ADDRESS(MATCH(B765&amp;"ES",'LM7 Non-ENG'!$A$1:$A$5000,0),1,,,"LM7 Non-ENG"),IF(IFERROR(VLOOKUP(B765&amp;"ES",'LM7 Non-ENG'!$A$1:$A$4999,1,FALSE),"ERROR")=B765&amp;"ES","Y","")),"")</f>
        <v/>
      </c>
      <c r="H765" s="29" t="str">
        <f>IFERROR(HYPERLINK("#"&amp;ADDRESS(MATCH(B765&amp;"PT",'LM7 Non-ENG'!$A$1:$A$5000,0),1,,,"LM7 Non-ENG"),IF(IFERROR(VLOOKUP(B765&amp;"PT",'LM7 Non-ENG'!$A$1:$A$5000,1,FALSE),"ERROR")=B765&amp;"PT","Y","")),"")</f>
        <v/>
      </c>
      <c r="I765" t="str">
        <f>IFERROR(VLOOKUP(B765,PN!$A:$C,3,FALSE),"")</f>
        <v>Active</v>
      </c>
      <c r="J765" s="3">
        <f>IFERROR(E765*VLOOKUP(B765,PLInter!$A:$D,3,FALSE),"")</f>
        <v>2134</v>
      </c>
      <c r="K765" s="66"/>
      <c r="L765" s="66"/>
      <c r="M765" s="66"/>
      <c r="N765" s="66"/>
      <c r="O765" s="66"/>
      <c r="P765" s="66"/>
      <c r="Q765" s="66"/>
      <c r="R765" s="66"/>
      <c r="S765" s="66"/>
    </row>
    <row r="766" spans="1:19" ht="18" customHeight="1">
      <c r="B766" t="s">
        <v>236</v>
      </c>
      <c r="C766" t="s">
        <v>626</v>
      </c>
      <c r="D766" s="4"/>
      <c r="E766" s="4">
        <v>1</v>
      </c>
      <c r="F766" s="4"/>
      <c r="G766" s="29" t="str">
        <f>IFERROR(HYPERLINK("#"&amp;ADDRESS(MATCH(B766&amp;"ES",'LM7 Non-ENG'!$A$1:$A$5000,0),1,,,"LM7 Non-ENG"),IF(IFERROR(VLOOKUP(B766&amp;"ES",'LM7 Non-ENG'!$A$1:$A$4999,1,FALSE),"ERROR")=B766&amp;"ES","Y","")),"")</f>
        <v/>
      </c>
      <c r="H766" s="29" t="str">
        <f>IFERROR(HYPERLINK("#"&amp;ADDRESS(MATCH(B766&amp;"PT",'LM7 Non-ENG'!$A$1:$A$5000,0),1,,,"LM7 Non-ENG"),IF(IFERROR(VLOOKUP(B766&amp;"PT",'LM7 Non-ENG'!$A$1:$A$5000,1,FALSE),"ERROR")=B766&amp;"PT","Y","")),"")</f>
        <v/>
      </c>
      <c r="I766" t="str">
        <f>IFERROR(VLOOKUP(B766,PN!$A:$C,3,FALSE),"")</f>
        <v>Active</v>
      </c>
      <c r="J766" s="3">
        <f>IFERROR(E766*VLOOKUP(B766,PLInter!$A:$D,3,FALSE),"")</f>
        <v>1680</v>
      </c>
      <c r="K766" s="66"/>
      <c r="L766" s="66"/>
      <c r="M766" s="66"/>
      <c r="N766" s="66"/>
      <c r="O766" s="66"/>
      <c r="P766" s="66"/>
      <c r="Q766" s="66"/>
      <c r="R766" s="66"/>
      <c r="S766" s="66"/>
    </row>
    <row r="767" spans="1:19" ht="18" customHeight="1">
      <c r="B767" t="s">
        <v>243</v>
      </c>
      <c r="C767" t="s">
        <v>831</v>
      </c>
      <c r="D767" s="4"/>
      <c r="E767" s="4">
        <v>1</v>
      </c>
      <c r="F767" s="4"/>
      <c r="G767" s="29" t="str">
        <f>IFERROR(HYPERLINK("#"&amp;ADDRESS(MATCH(B767&amp;"ES",'LM7 Non-ENG'!$A$1:$A$5000,0),1,,,"LM7 Non-ENG"),IF(IFERROR(VLOOKUP(B767&amp;"ES",'LM7 Non-ENG'!$A$1:$A$4999,1,FALSE),"ERROR")=B767&amp;"ES","Y","")),"")</f>
        <v/>
      </c>
      <c r="H767" s="29" t="str">
        <f>IFERROR(HYPERLINK("#"&amp;ADDRESS(MATCH(B767&amp;"PT",'LM7 Non-ENG'!$A$1:$A$5000,0),1,,,"LM7 Non-ENG"),IF(IFERROR(VLOOKUP(B767&amp;"PT",'LM7 Non-ENG'!$A$1:$A$5000,1,FALSE),"ERROR")=B767&amp;"PT","Y","")),"")</f>
        <v/>
      </c>
      <c r="I767" t="str">
        <f>IFERROR(VLOOKUP(B767,PN!$A:$C,3,FALSE),"")</f>
        <v>Active</v>
      </c>
      <c r="J767" s="3">
        <f>IFERROR(E767*VLOOKUP(B767,PLInter!$A:$D,3,FALSE),"")</f>
        <v>7366</v>
      </c>
      <c r="K767" s="66"/>
      <c r="L767" s="66"/>
      <c r="M767" s="66"/>
      <c r="N767" s="66"/>
      <c r="O767" s="66"/>
      <c r="P767" s="66"/>
      <c r="Q767" s="66"/>
      <c r="R767" s="66"/>
      <c r="S767" s="66"/>
    </row>
    <row r="768" spans="1:19" ht="18" customHeight="1">
      <c r="B768" t="s">
        <v>684</v>
      </c>
      <c r="C768" t="s">
        <v>685</v>
      </c>
      <c r="D768" s="4"/>
      <c r="E768" s="4">
        <v>1</v>
      </c>
      <c r="F768" s="4"/>
      <c r="G768" s="29" t="str">
        <f>IFERROR(HYPERLINK("#"&amp;ADDRESS(MATCH(B768&amp;"ES",'LM7 Non-ENG'!$A$1:$A$5000,0),1,,,"LM7 Non-ENG"),IF(IFERROR(VLOOKUP(B768&amp;"ES",'LM7 Non-ENG'!$A$1:$A$4999,1,FALSE),"ERROR")=B768&amp;"ES","Y","")),"")</f>
        <v/>
      </c>
      <c r="H768" s="29" t="str">
        <f>IFERROR(HYPERLINK("#"&amp;ADDRESS(MATCH(B768&amp;"PT",'LM7 Non-ENG'!$A$1:$A$5000,0),1,,,"LM7 Non-ENG"),IF(IFERROR(VLOOKUP(B768&amp;"PT",'LM7 Non-ENG'!$A$1:$A$5000,1,FALSE),"ERROR")=B768&amp;"PT","Y","")),"")</f>
        <v/>
      </c>
      <c r="I768" t="str">
        <f>IFERROR(VLOOKUP(B768,PN!$A:$C,3,FALSE),"")</f>
        <v>Active</v>
      </c>
      <c r="J768" s="3">
        <f>IFERROR(E768*VLOOKUP(B768,PLInter!$A:$D,3,FALSE),"")</f>
        <v>580</v>
      </c>
      <c r="K768" s="66"/>
      <c r="L768" s="66"/>
      <c r="M768" s="66"/>
      <c r="N768" s="66"/>
      <c r="O768" s="66"/>
      <c r="P768" s="66"/>
      <c r="Q768" s="66"/>
      <c r="R768" s="66"/>
      <c r="S768" s="66"/>
    </row>
    <row r="769" spans="1:19" ht="18" customHeight="1">
      <c r="B769" t="str">
        <f>"021182"</f>
        <v>021182</v>
      </c>
      <c r="C769" t="s">
        <v>686</v>
      </c>
      <c r="D769" s="4"/>
      <c r="E769" s="4">
        <v>1</v>
      </c>
      <c r="F769" s="4"/>
      <c r="G769" s="29" t="str">
        <f>IFERROR(HYPERLINK("#"&amp;ADDRESS(MATCH(B769&amp;"ES",'LM7 Non-ENG'!$A$1:$A$5000,0),1,,,"LM7 Non-ENG"),IF(IFERROR(VLOOKUP(B769&amp;"ES",'LM7 Non-ENG'!$A$1:$A$4999,1,FALSE),"ERROR")=B769&amp;"ES","Y","")),"")</f>
        <v/>
      </c>
      <c r="H769" s="29" t="str">
        <f>IFERROR(HYPERLINK("#"&amp;ADDRESS(MATCH(B769&amp;"PT",'LM7 Non-ENG'!$A$1:$A$5000,0),1,,,"LM7 Non-ENG"),IF(IFERROR(VLOOKUP(B769&amp;"PT",'LM7 Non-ENG'!$A$1:$A$5000,1,FALSE),"ERROR")=B769&amp;"PT","Y","")),"")</f>
        <v/>
      </c>
      <c r="I769" t="str">
        <f>IFERROR(VLOOKUP(B769,PN!$A:$C,3,FALSE),"")</f>
        <v>Active</v>
      </c>
      <c r="J769" s="3">
        <f>IFERROR(E769*VLOOKUP(B769,PLInter!$A:$D,3,FALSE),"")</f>
        <v>16</v>
      </c>
      <c r="K769" s="66"/>
      <c r="L769" s="66"/>
      <c r="M769" s="66"/>
      <c r="N769" s="66"/>
      <c r="O769" s="66"/>
      <c r="P769" s="66"/>
      <c r="Q769" s="66"/>
      <c r="R769" s="66"/>
      <c r="S769" s="66"/>
    </row>
    <row r="770" spans="1:19" ht="18" customHeight="1">
      <c r="B770" t="s">
        <v>682</v>
      </c>
      <c r="C770" t="s">
        <v>683</v>
      </c>
      <c r="D770" s="4"/>
      <c r="E770" s="4">
        <v>1</v>
      </c>
      <c r="F770" s="4"/>
      <c r="G770" s="29" t="str">
        <f>IFERROR(HYPERLINK("#"&amp;ADDRESS(MATCH(B770&amp;"ES",'LM7 Non-ENG'!$A$1:$A$5000,0),1,,,"LM7 Non-ENG"),IF(IFERROR(VLOOKUP(B770&amp;"ES",'LM7 Non-ENG'!$A$1:$A$4999,1,FALSE),"ERROR")=B770&amp;"ES","Y","")),"")</f>
        <v/>
      </c>
      <c r="H770" s="29" t="str">
        <f>IFERROR(HYPERLINK("#"&amp;ADDRESS(MATCH(B770&amp;"PT",'LM7 Non-ENG'!$A$1:$A$5000,0),1,,,"LM7 Non-ENG"),IF(IFERROR(VLOOKUP(B770&amp;"PT",'LM7 Non-ENG'!$A$1:$A$5000,1,FALSE),"ERROR")=B770&amp;"PT","Y","")),"")</f>
        <v/>
      </c>
      <c r="I770" t="str">
        <f>IFERROR(VLOOKUP(B770,PN!$A:$C,3,FALSE),"")</f>
        <v>Active</v>
      </c>
      <c r="J770" s="3">
        <f>IFERROR(E770*VLOOKUP(B770,PLInter!$A:$D,3,FALSE),"")</f>
        <v>494</v>
      </c>
      <c r="K770" s="66"/>
      <c r="L770" s="66"/>
      <c r="M770" s="66"/>
      <c r="N770" s="66"/>
      <c r="O770" s="66"/>
      <c r="P770" s="66"/>
      <c r="Q770" s="66"/>
      <c r="R770" s="66"/>
      <c r="S770" s="66"/>
    </row>
    <row r="771" spans="1:19" ht="18" customHeight="1">
      <c r="B771" t="str">
        <f>"034025"</f>
        <v>034025</v>
      </c>
      <c r="C771" t="s">
        <v>799</v>
      </c>
      <c r="D771" s="4"/>
      <c r="E771" s="4">
        <v>1</v>
      </c>
      <c r="F771" s="4"/>
      <c r="G771" s="29" t="str">
        <f>IFERROR(HYPERLINK("#"&amp;ADDRESS(MATCH(B771&amp;"ES",'LM7 Non-ENG'!$A$1:$A$5000,0),1,,,"LM7 Non-ENG"),IF(IFERROR(VLOOKUP(B771&amp;"ES",'LM7 Non-ENG'!$A$1:$A$4999,1,FALSE),"ERROR")=B771&amp;"ES","Y","")),"")</f>
        <v/>
      </c>
      <c r="H771" s="29" t="str">
        <f>IFERROR(HYPERLINK("#"&amp;ADDRESS(MATCH(B771&amp;"PT",'LM7 Non-ENG'!$A$1:$A$5000,0),1,,,"LM7 Non-ENG"),IF(IFERROR(VLOOKUP(B771&amp;"PT",'LM7 Non-ENG'!$A$1:$A$5000,1,FALSE),"ERROR")=B771&amp;"PT","Y","")),"")</f>
        <v/>
      </c>
      <c r="I771" t="str">
        <f>IFERROR(VLOOKUP(B771,PN!$A:$C,3,FALSE),"")</f>
        <v>Active</v>
      </c>
      <c r="J771" s="3">
        <f>IFERROR(E771*VLOOKUP(B771,PLInter!$A:$D,3,FALSE),"")</f>
        <v>1267</v>
      </c>
      <c r="K771" s="66"/>
      <c r="L771" s="66"/>
      <c r="M771" s="66"/>
      <c r="N771" s="66"/>
      <c r="O771" s="66"/>
      <c r="P771" s="66"/>
      <c r="Q771" s="66"/>
      <c r="R771" s="66"/>
      <c r="S771" s="66"/>
    </row>
    <row r="772" spans="1:19" ht="18" customHeight="1">
      <c r="B772" t="s">
        <v>780</v>
      </c>
      <c r="C772" t="s">
        <v>781</v>
      </c>
      <c r="D772" s="4"/>
      <c r="E772" s="4">
        <v>1</v>
      </c>
      <c r="F772" s="4"/>
      <c r="G772" s="29" t="str">
        <f>IFERROR(HYPERLINK("#"&amp;ADDRESS(MATCH(B772&amp;"ES",'LM7 Non-ENG'!$A$1:$A$5000,0),1,,,"LM7 Non-ENG"),IF(IFERROR(VLOOKUP(B772&amp;"ES",'LM7 Non-ENG'!$A$1:$A$4999,1,FALSE),"ERROR")=B772&amp;"ES","Y","")),"")</f>
        <v/>
      </c>
      <c r="H772" s="29" t="str">
        <f>IFERROR(HYPERLINK("#"&amp;ADDRESS(MATCH(B772&amp;"PT",'LM7 Non-ENG'!$A$1:$A$5000,0),1,,,"LM7 Non-ENG"),IF(IFERROR(VLOOKUP(B772&amp;"PT",'LM7 Non-ENG'!$A$1:$A$5000,1,FALSE),"ERROR")=B772&amp;"PT","Y","")),"")</f>
        <v/>
      </c>
      <c r="I772" t="str">
        <f>IFERROR(VLOOKUP(B772,PN!$A:$C,3,FALSE),"")</f>
        <v>Active</v>
      </c>
      <c r="J772" s="3">
        <f>IFERROR(E772*VLOOKUP(B772,PLInter!$A:$D,3,FALSE),"")</f>
        <v>1920</v>
      </c>
      <c r="K772" s="66"/>
      <c r="L772" s="66"/>
      <c r="M772" s="66"/>
      <c r="N772" s="66"/>
      <c r="O772" s="66"/>
      <c r="P772" s="66"/>
      <c r="Q772" s="66"/>
      <c r="R772" s="66"/>
      <c r="S772" s="66"/>
    </row>
    <row r="773" spans="1:19" ht="18" customHeight="1">
      <c r="B773" t="str">
        <f>"021152"</f>
        <v>021152</v>
      </c>
      <c r="C773" s="41" t="s">
        <v>679</v>
      </c>
      <c r="D773" s="4"/>
      <c r="E773" s="4">
        <v>2</v>
      </c>
      <c r="F773" s="4"/>
      <c r="G773" s="29" t="str">
        <f>IFERROR(HYPERLINK("#"&amp;ADDRESS(MATCH(B773&amp;"ES",'LM7 Non-ENG'!$A$1:$A$5000,0),1,,,"LM7 Non-ENG"),IF(IFERROR(VLOOKUP(B773&amp;"ES",'LM7 Non-ENG'!$A$1:$A$4999,1,FALSE),"ERROR")=B773&amp;"ES","Y","")),"")</f>
        <v/>
      </c>
      <c r="H773" s="29" t="str">
        <f>IFERROR(HYPERLINK("#"&amp;ADDRESS(MATCH(B773&amp;"PT",'LM7 Non-ENG'!$A$1:$A$5000,0),1,,,"LM7 Non-ENG"),IF(IFERROR(VLOOKUP(B773&amp;"PT",'LM7 Non-ENG'!$A$1:$A$5000,1,FALSE),"ERROR")=B773&amp;"PT","Y","")),"")</f>
        <v/>
      </c>
      <c r="I773" t="str">
        <f>IFERROR(VLOOKUP(B773,PN!$A:$C,3,FALSE),"")</f>
        <v>Active</v>
      </c>
      <c r="J773" s="3">
        <f>IFERROR(E773*VLOOKUP(B773,PLInter!$A:$D,3,FALSE),"")</f>
        <v>480</v>
      </c>
      <c r="K773" s="66"/>
      <c r="L773" s="66"/>
      <c r="M773" s="66"/>
      <c r="N773" s="66"/>
      <c r="O773" s="66"/>
      <c r="P773" s="66"/>
      <c r="Q773" s="66"/>
      <c r="R773" s="66"/>
      <c r="S773" s="66"/>
    </row>
    <row r="774" spans="1:19" ht="18" customHeight="1">
      <c r="B774" t="str">
        <f>"112496"</f>
        <v>112496</v>
      </c>
      <c r="C774" t="s">
        <v>696</v>
      </c>
      <c r="D774" s="4"/>
      <c r="E774" s="4">
        <v>50</v>
      </c>
      <c r="F774" s="4"/>
      <c r="G774" s="29" t="str">
        <f>IFERROR(HYPERLINK("#"&amp;ADDRESS(MATCH(B774&amp;"ES",'LM7 Non-ENG'!$A$1:$A$5000,0),1,,,"LM7 Non-ENG"),IF(IFERROR(VLOOKUP(B774&amp;"ES",'LM7 Non-ENG'!$A$1:$A$4999,1,FALSE),"ERROR")=B774&amp;"ES","Y","")),"")</f>
        <v/>
      </c>
      <c r="H774" s="29" t="str">
        <f>IFERROR(HYPERLINK("#"&amp;ADDRESS(MATCH(B774&amp;"PT",'LM7 Non-ENG'!$A$1:$A$5000,0),1,,,"LM7 Non-ENG"),IF(IFERROR(VLOOKUP(B774&amp;"PT",'LM7 Non-ENG'!$A$1:$A$5000,1,FALSE),"ERROR")=B774&amp;"PT","Y","")),"")</f>
        <v/>
      </c>
      <c r="I774" t="str">
        <f>IFERROR(VLOOKUP(B774,PN!$A:$C,3,FALSE),"")</f>
        <v>Active</v>
      </c>
      <c r="J774" s="3">
        <f>IFERROR(E774*VLOOKUP(B774,PLInter!$A:$D,3,FALSE),"")</f>
        <v>1000</v>
      </c>
      <c r="K774" s="66"/>
      <c r="L774" s="66"/>
      <c r="M774" s="66"/>
      <c r="N774" s="66"/>
      <c r="O774" s="66"/>
      <c r="P774" s="66"/>
      <c r="Q774" s="66"/>
      <c r="R774" s="66"/>
      <c r="S774" s="66"/>
    </row>
    <row r="775" spans="1:19" ht="18" customHeight="1">
      <c r="B775" t="s">
        <v>644</v>
      </c>
      <c r="C775" t="s">
        <v>645</v>
      </c>
      <c r="D775" s="4"/>
      <c r="E775" s="4">
        <v>1</v>
      </c>
      <c r="F775" s="4"/>
      <c r="G775" s="29" t="str">
        <f>IFERROR(HYPERLINK("#"&amp;ADDRESS(MATCH(B775&amp;"ES",'LM7 Non-ENG'!$A$1:$A$5000,0),1,,,"LM7 Non-ENG"),IF(IFERROR(VLOOKUP(B775&amp;"ES",'LM7 Non-ENG'!$A$1:$A$4999,1,FALSE),"ERROR")=B775&amp;"ES","Y","")),"")</f>
        <v/>
      </c>
      <c r="H775" s="29" t="str">
        <f>IFERROR(HYPERLINK("#"&amp;ADDRESS(MATCH(B775&amp;"PT",'LM7 Non-ENG'!$A$1:$A$5000,0),1,,,"LM7 Non-ENG"),IF(IFERROR(VLOOKUP(B775&amp;"PT",'LM7 Non-ENG'!$A$1:$A$5000,1,FALSE),"ERROR")=B775&amp;"PT","Y","")),"")</f>
        <v/>
      </c>
      <c r="I775" t="str">
        <f>IFERROR(VLOOKUP(B775,PN!$A:$C,3,FALSE),"")</f>
        <v>Active</v>
      </c>
      <c r="J775" s="3">
        <f>IFERROR(E775*VLOOKUP(B775,PLInter!$A:$D,3,FALSE),"")</f>
        <v>1800</v>
      </c>
      <c r="K775" s="66"/>
      <c r="L775" s="66"/>
      <c r="M775" s="66"/>
      <c r="N775" s="66"/>
      <c r="O775" s="66"/>
      <c r="P775" s="66"/>
      <c r="Q775" s="66"/>
      <c r="R775" s="66"/>
      <c r="S775" s="66"/>
    </row>
    <row r="776" spans="1:19" ht="18" customHeight="1">
      <c r="B776" t="s">
        <v>697</v>
      </c>
      <c r="C776" t="s">
        <v>698</v>
      </c>
      <c r="D776" s="4"/>
      <c r="E776" s="4">
        <v>1</v>
      </c>
      <c r="F776" s="4"/>
      <c r="G776" s="29" t="str">
        <f>IFERROR(HYPERLINK("#"&amp;ADDRESS(MATCH(B776&amp;"ES",'LM7 Non-ENG'!$A$1:$A$5000,0),1,,,"LM7 Non-ENG"),IF(IFERROR(VLOOKUP(B776&amp;"ES",'LM7 Non-ENG'!$A$1:$A$4999,1,FALSE),"ERROR")=B776&amp;"ES","Y","")),"")</f>
        <v/>
      </c>
      <c r="H776" s="29" t="str">
        <f>IFERROR(HYPERLINK("#"&amp;ADDRESS(MATCH(B776&amp;"PT",'LM7 Non-ENG'!$A$1:$A$5000,0),1,,,"LM7 Non-ENG"),IF(IFERROR(VLOOKUP(B776&amp;"PT",'LM7 Non-ENG'!$A$1:$A$5000,1,FALSE),"ERROR")=B776&amp;"PT","Y","")),"")</f>
        <v/>
      </c>
      <c r="I776" t="str">
        <f>IFERROR(VLOOKUP(B776,PN!$A:$C,3,FALSE),"")</f>
        <v>Active</v>
      </c>
      <c r="J776" s="3">
        <f>IFERROR(E776*VLOOKUP(B776,PLInter!$A:$D,3,FALSE),"")</f>
        <v>934</v>
      </c>
      <c r="K776" s="66"/>
      <c r="L776" s="66"/>
      <c r="M776" s="66"/>
      <c r="N776" s="66"/>
      <c r="O776" s="66"/>
      <c r="P776" s="66"/>
      <c r="Q776" s="66"/>
      <c r="R776" s="66"/>
      <c r="S776" s="66"/>
    </row>
    <row r="777" spans="1:19" ht="18" customHeight="1">
      <c r="B777" t="s">
        <v>630</v>
      </c>
      <c r="C777" t="s">
        <v>631</v>
      </c>
      <c r="D777" s="4"/>
      <c r="E777" s="4">
        <v>1</v>
      </c>
      <c r="F777" s="4"/>
      <c r="G777" s="29" t="str">
        <f>IFERROR(HYPERLINK("#"&amp;ADDRESS(MATCH(B777&amp;"ES",'LM7 Non-ENG'!$A$1:$A$5000,0),1,,,"LM7 Non-ENG"),IF(IFERROR(VLOOKUP(B777&amp;"ES",'LM7 Non-ENG'!$A$1:$A$4999,1,FALSE),"ERROR")=B777&amp;"ES","Y","")),"")</f>
        <v/>
      </c>
      <c r="H777" s="29" t="str">
        <f>IFERROR(HYPERLINK("#"&amp;ADDRESS(MATCH(B777&amp;"PT",'LM7 Non-ENG'!$A$1:$A$5000,0),1,,,"LM7 Non-ENG"),IF(IFERROR(VLOOKUP(B777&amp;"PT",'LM7 Non-ENG'!$A$1:$A$5000,1,FALSE),"ERROR")=B777&amp;"PT","Y","")),"")</f>
        <v/>
      </c>
      <c r="I777" t="str">
        <f>IFERROR(VLOOKUP(B777,PN!$A:$C,3,FALSE),"")</f>
        <v>Active</v>
      </c>
      <c r="J777" s="3">
        <f>IFERROR(E777*VLOOKUP(B777,PLInter!$A:$D,3,FALSE),"")</f>
        <v>1735</v>
      </c>
      <c r="K777" s="66"/>
      <c r="L777" s="66"/>
      <c r="M777" s="66"/>
      <c r="N777" s="66"/>
      <c r="O777" s="66"/>
      <c r="P777" s="66"/>
      <c r="Q777" s="66"/>
      <c r="R777" s="66"/>
      <c r="S777" s="66"/>
    </row>
    <row r="779" spans="1:19" s="7" customFormat="1" ht="18" customHeight="1">
      <c r="A779" s="13" t="s">
        <v>853</v>
      </c>
      <c r="B779" s="13"/>
      <c r="C779" s="13" t="s">
        <v>854</v>
      </c>
      <c r="D779" s="14"/>
      <c r="E779" s="14"/>
      <c r="F779" s="14"/>
      <c r="G779" s="14"/>
      <c r="H779" s="14"/>
      <c r="I779" s="14"/>
      <c r="J779" s="14">
        <f>SUMIFS(J780:J791,D780:D791,"&lt;&gt;Y",F780:F791,"&lt;&gt;Y",I780:I791,"&lt;&gt;Inactive",I780:I791,"&lt;&gt;ECO+NFS")</f>
        <v>35867</v>
      </c>
      <c r="K779" s="14"/>
      <c r="L779" s="14"/>
      <c r="M779" s="14"/>
      <c r="N779" s="14"/>
      <c r="O779" s="14"/>
      <c r="P779" s="14"/>
      <c r="Q779" s="14"/>
      <c r="R779" s="14"/>
      <c r="S779" s="14"/>
    </row>
    <row r="780" spans="1:19" ht="18" customHeight="1">
      <c r="A780" s="17" t="str">
        <f>HYPERLINK("#"&amp;ADDRESS(MATCH(A779,'CIM&amp;FMS'!$A$1:$A$4997,0),1,,,"CIM&amp;FMS"),"Back to Price List")</f>
        <v>Back to Price List</v>
      </c>
      <c r="B780" t="s">
        <v>855</v>
      </c>
      <c r="C780" t="s">
        <v>856</v>
      </c>
      <c r="D780" s="4"/>
      <c r="E780" s="4">
        <v>1</v>
      </c>
      <c r="F780" s="4"/>
      <c r="G780" s="29" t="str">
        <f>IFERROR(HYPERLINK("#"&amp;ADDRESS(MATCH(B780&amp;"ES",'LM7 Non-ENG'!$A$1:$A$5000,0),1,,,"LM7 Non-ENG"),IF(IFERROR(VLOOKUP(B780&amp;"ES",'LM7 Non-ENG'!$A$1:$A$4999,1,FALSE),"ERROR")=B780&amp;"ES","Y","")),"")</f>
        <v/>
      </c>
      <c r="H780" s="29" t="str">
        <f>IFERROR(HYPERLINK("#"&amp;ADDRESS(MATCH(B780&amp;"PT",'LM7 Non-ENG'!$A$1:$A$5000,0),1,,,"LM7 Non-ENG"),IF(IFERROR(VLOOKUP(B780&amp;"PT",'LM7 Non-ENG'!$A$1:$A$5000,1,FALSE),"ERROR")=B780&amp;"PT","Y","")),"")</f>
        <v/>
      </c>
      <c r="I780" t="str">
        <f>IFERROR(VLOOKUP(B780,PN!$A:$C,3,FALSE),"")</f>
        <v>Active</v>
      </c>
      <c r="J780" s="3">
        <f>IFERROR(E780*VLOOKUP(B780,PLInter!$A:$D,3,FALSE),"")</f>
        <v>6720</v>
      </c>
      <c r="K780" s="66"/>
      <c r="L780" s="66"/>
      <c r="M780" s="66"/>
      <c r="N780" s="66"/>
      <c r="O780" s="66"/>
      <c r="P780" s="66"/>
      <c r="Q780" s="66"/>
      <c r="R780" s="66"/>
      <c r="S780" s="66"/>
    </row>
    <row r="781" spans="1:19" ht="18" customHeight="1">
      <c r="B781" t="s">
        <v>231</v>
      </c>
      <c r="C781" t="s">
        <v>857</v>
      </c>
      <c r="D781" s="4"/>
      <c r="E781" s="4">
        <v>1</v>
      </c>
      <c r="F781" s="4"/>
      <c r="G781" s="29" t="str">
        <f>IFERROR(HYPERLINK("#"&amp;ADDRESS(MATCH(B781&amp;"ES",'LM7 Non-ENG'!$A$1:$A$5000,0),1,,,"LM7 Non-ENG"),IF(IFERROR(VLOOKUP(B781&amp;"ES",'LM7 Non-ENG'!$A$1:$A$4999,1,FALSE),"ERROR")=B781&amp;"ES","Y","")),"")</f>
        <v/>
      </c>
      <c r="H781" s="29" t="str">
        <f>IFERROR(HYPERLINK("#"&amp;ADDRESS(MATCH(B781&amp;"PT",'LM7 Non-ENG'!$A$1:$A$5000,0),1,,,"LM7 Non-ENG"),IF(IFERROR(VLOOKUP(B781&amp;"PT",'LM7 Non-ENG'!$A$1:$A$5000,1,FALSE),"ERROR")=B781&amp;"PT","Y","")),"")</f>
        <v/>
      </c>
      <c r="I781" t="str">
        <f>IFERROR(VLOOKUP(B781,PN!$A:$C,3,FALSE),"")</f>
        <v>ECO-N2Buy</v>
      </c>
      <c r="J781" s="3">
        <f>IFERROR(E781*VLOOKUP(B781,PLInter!$A:$D,3,FALSE),"")</f>
        <v>3200</v>
      </c>
      <c r="K781" s="66"/>
      <c r="L781" s="66"/>
      <c r="M781" s="66"/>
      <c r="N781" s="66"/>
      <c r="O781" s="66"/>
      <c r="P781" s="66"/>
      <c r="Q781" s="66"/>
      <c r="R781" s="66"/>
      <c r="S781" s="66"/>
    </row>
    <row r="782" spans="1:19" ht="18" customHeight="1">
      <c r="B782" t="s">
        <v>858</v>
      </c>
      <c r="C782" t="s">
        <v>859</v>
      </c>
      <c r="D782" s="4"/>
      <c r="E782" s="4">
        <v>1</v>
      </c>
      <c r="F782" s="4"/>
      <c r="G782" s="29" t="str">
        <f>IFERROR(HYPERLINK("#"&amp;ADDRESS(MATCH(B782&amp;"ES",'LM7 Non-ENG'!$A$1:$A$5000,0),1,,,"LM7 Non-ENG"),IF(IFERROR(VLOOKUP(B782&amp;"ES",'LM7 Non-ENG'!$A$1:$A$4999,1,FALSE),"ERROR")=B782&amp;"ES","Y","")),"")</f>
        <v/>
      </c>
      <c r="H782" s="29" t="str">
        <f>IFERROR(HYPERLINK("#"&amp;ADDRESS(MATCH(B782&amp;"PT",'LM7 Non-ENG'!$A$1:$A$5000,0),1,,,"LM7 Non-ENG"),IF(IFERROR(VLOOKUP(B782&amp;"PT",'LM7 Non-ENG'!$A$1:$A$5000,1,FALSE),"ERROR")=B782&amp;"PT","Y","")),"")</f>
        <v/>
      </c>
      <c r="I782" t="str">
        <f>IFERROR(VLOOKUP(B782,PN!$A:$C,3,FALSE),"")</f>
        <v>Active</v>
      </c>
      <c r="J782" s="3">
        <f>IFERROR(E782*VLOOKUP(B782,PLInter!$A:$D,3,FALSE),"")</f>
        <v>15300</v>
      </c>
      <c r="K782" s="66"/>
      <c r="L782" s="66"/>
      <c r="M782" s="66"/>
      <c r="N782" s="66"/>
      <c r="O782" s="66"/>
      <c r="P782" s="66"/>
      <c r="Q782" s="66"/>
      <c r="R782" s="66"/>
      <c r="S782" s="66"/>
    </row>
    <row r="783" spans="1:19" ht="18" customHeight="1">
      <c r="B783" t="s">
        <v>684</v>
      </c>
      <c r="C783" t="s">
        <v>685</v>
      </c>
      <c r="D783" s="4"/>
      <c r="E783" s="4">
        <v>1</v>
      </c>
      <c r="F783" s="4"/>
      <c r="G783" s="29" t="str">
        <f>IFERROR(HYPERLINK("#"&amp;ADDRESS(MATCH(B783&amp;"ES",'LM7 Non-ENG'!$A$1:$A$5000,0),1,,,"LM7 Non-ENG"),IF(IFERROR(VLOOKUP(B783&amp;"ES",'LM7 Non-ENG'!$A$1:$A$4999,1,FALSE),"ERROR")=B783&amp;"ES","Y","")),"")</f>
        <v/>
      </c>
      <c r="H783" s="29" t="str">
        <f>IFERROR(HYPERLINK("#"&amp;ADDRESS(MATCH(B783&amp;"PT",'LM7 Non-ENG'!$A$1:$A$5000,0),1,,,"LM7 Non-ENG"),IF(IFERROR(VLOOKUP(B783&amp;"PT",'LM7 Non-ENG'!$A$1:$A$5000,1,FALSE),"ERROR")=B783&amp;"PT","Y","")),"")</f>
        <v/>
      </c>
      <c r="I783" t="str">
        <f>IFERROR(VLOOKUP(B783,PN!$A:$C,3,FALSE),"")</f>
        <v>Active</v>
      </c>
      <c r="J783" s="3">
        <f>IFERROR(E783*VLOOKUP(B783,PLInter!$A:$D,3,FALSE),"")</f>
        <v>580</v>
      </c>
      <c r="K783" s="66"/>
      <c r="L783" s="66"/>
      <c r="M783" s="66"/>
      <c r="N783" s="66"/>
      <c r="O783" s="66"/>
      <c r="P783" s="66"/>
      <c r="Q783" s="66"/>
      <c r="R783" s="66"/>
      <c r="S783" s="66"/>
    </row>
    <row r="784" spans="1:19" ht="18" customHeight="1">
      <c r="B784" t="s">
        <v>680</v>
      </c>
      <c r="C784" t="s">
        <v>681</v>
      </c>
      <c r="D784" s="4"/>
      <c r="E784" s="4">
        <v>1</v>
      </c>
      <c r="F784" s="4"/>
      <c r="G784" s="29" t="str">
        <f>IFERROR(HYPERLINK("#"&amp;ADDRESS(MATCH(B784&amp;"ES",'LM7 Non-ENG'!$A$1:$A$5000,0),1,,,"LM7 Non-ENG"),IF(IFERROR(VLOOKUP(B784&amp;"ES",'LM7 Non-ENG'!$A$1:$A$4999,1,FALSE),"ERROR")=B784&amp;"ES","Y","")),"")</f>
        <v/>
      </c>
      <c r="H784" s="29" t="str">
        <f>IFERROR(HYPERLINK("#"&amp;ADDRESS(MATCH(B784&amp;"PT",'LM7 Non-ENG'!$A$1:$A$5000,0),1,,,"LM7 Non-ENG"),IF(IFERROR(VLOOKUP(B784&amp;"PT",'LM7 Non-ENG'!$A$1:$A$5000,1,FALSE),"ERROR")=B784&amp;"PT","Y","")),"")</f>
        <v/>
      </c>
      <c r="I784" t="str">
        <f>IFERROR(VLOOKUP(B784,PN!$A:$C,3,FALSE),"")</f>
        <v>Active</v>
      </c>
      <c r="J784" s="3">
        <f>IFERROR(E784*VLOOKUP(B784,PLInter!$A:$D,3,FALSE),"")</f>
        <v>1440</v>
      </c>
      <c r="K784" s="66"/>
      <c r="L784" s="66"/>
      <c r="M784" s="66"/>
      <c r="N784" s="66"/>
      <c r="O784" s="66"/>
      <c r="P784" s="66"/>
      <c r="Q784" s="66"/>
      <c r="R784" s="66"/>
      <c r="S784" s="66"/>
    </row>
    <row r="785" spans="1:19" ht="18" customHeight="1">
      <c r="B785" t="str">
        <f>"021152"</f>
        <v>021152</v>
      </c>
      <c r="C785" s="41" t="s">
        <v>679</v>
      </c>
      <c r="D785" s="4"/>
      <c r="E785" s="4">
        <v>1</v>
      </c>
      <c r="F785" s="4"/>
      <c r="G785" s="29" t="str">
        <f>IFERROR(HYPERLINK("#"&amp;ADDRESS(MATCH(B785&amp;"ES",'LM7 Non-ENG'!$A$1:$A$5000,0),1,,,"LM7 Non-ENG"),IF(IFERROR(VLOOKUP(B785&amp;"ES",'LM7 Non-ENG'!$A$1:$A$4999,1,FALSE),"ERROR")=B785&amp;"ES","Y","")),"")</f>
        <v/>
      </c>
      <c r="H785" s="29" t="str">
        <f>IFERROR(HYPERLINK("#"&amp;ADDRESS(MATCH(B785&amp;"PT",'LM7 Non-ENG'!$A$1:$A$5000,0),1,,,"LM7 Non-ENG"),IF(IFERROR(VLOOKUP(B785&amp;"PT",'LM7 Non-ENG'!$A$1:$A$5000,1,FALSE),"ERROR")=B785&amp;"PT","Y","")),"")</f>
        <v/>
      </c>
      <c r="I785" t="str">
        <f>IFERROR(VLOOKUP(B785,PN!$A:$C,3,FALSE),"")</f>
        <v>Active</v>
      </c>
      <c r="J785" s="3">
        <f>IFERROR(E785*VLOOKUP(B785,PLInter!$A:$D,3,FALSE),"")</f>
        <v>240</v>
      </c>
      <c r="K785" s="66"/>
      <c r="L785" s="66"/>
      <c r="M785" s="66"/>
      <c r="N785" s="66"/>
      <c r="O785" s="66"/>
      <c r="P785" s="66"/>
      <c r="Q785" s="66"/>
      <c r="R785" s="66"/>
      <c r="S785" s="66"/>
    </row>
    <row r="786" spans="1:19" ht="18" customHeight="1">
      <c r="B786" t="s">
        <v>704</v>
      </c>
      <c r="C786" t="s">
        <v>705</v>
      </c>
      <c r="D786" s="4"/>
      <c r="E786" s="4">
        <v>1</v>
      </c>
      <c r="F786" s="4"/>
      <c r="G786" s="29" t="str">
        <f>IFERROR(HYPERLINK("#"&amp;ADDRESS(MATCH(B786&amp;"ES",'LM7 Non-ENG'!$A$1:$A$5000,0),1,,,"LM7 Non-ENG"),IF(IFERROR(VLOOKUP(B786&amp;"ES",'LM7 Non-ENG'!$A$1:$A$4999,1,FALSE),"ERROR")=B786&amp;"ES","Y","")),"")</f>
        <v/>
      </c>
      <c r="H786" s="29" t="str">
        <f>IFERROR(HYPERLINK("#"&amp;ADDRESS(MATCH(B786&amp;"PT",'LM7 Non-ENG'!$A$1:$A$5000,0),1,,,"LM7 Non-ENG"),IF(IFERROR(VLOOKUP(B786&amp;"PT",'LM7 Non-ENG'!$A$1:$A$5000,1,FALSE),"ERROR")=B786&amp;"PT","Y","")),"")</f>
        <v/>
      </c>
      <c r="I786" t="str">
        <f>IFERROR(VLOOKUP(B786,PN!$A:$C,3,FALSE),"")</f>
        <v>Active</v>
      </c>
      <c r="J786" s="3">
        <f>IFERROR(E786*VLOOKUP(B786,PLInter!$A:$D,3,FALSE),"")</f>
        <v>2640</v>
      </c>
      <c r="K786" s="66"/>
      <c r="L786" s="66"/>
      <c r="M786" s="66"/>
      <c r="N786" s="66"/>
      <c r="O786" s="66"/>
      <c r="P786" s="66"/>
      <c r="Q786" s="66"/>
      <c r="R786" s="66"/>
      <c r="S786" s="66"/>
    </row>
    <row r="787" spans="1:19" ht="18" customHeight="1">
      <c r="B787" t="s">
        <v>786</v>
      </c>
      <c r="C787" t="s">
        <v>787</v>
      </c>
      <c r="D787" s="4"/>
      <c r="E787" s="4">
        <v>1</v>
      </c>
      <c r="F787" s="4"/>
      <c r="G787" s="29" t="str">
        <f>IFERROR(HYPERLINK("#"&amp;ADDRESS(MATCH(B787&amp;"ES",'LM7 Non-ENG'!$A$1:$A$5000,0),1,,,"LM7 Non-ENG"),IF(IFERROR(VLOOKUP(B787&amp;"ES",'LM7 Non-ENG'!$A$1:$A$4999,1,FALSE),"ERROR")=B787&amp;"ES","Y","")),"")</f>
        <v/>
      </c>
      <c r="H787" s="29" t="str">
        <f>IFERROR(HYPERLINK("#"&amp;ADDRESS(MATCH(B787&amp;"PT",'LM7 Non-ENG'!$A$1:$A$5000,0),1,,,"LM7 Non-ENG"),IF(IFERROR(VLOOKUP(B787&amp;"PT",'LM7 Non-ENG'!$A$1:$A$5000,1,FALSE),"ERROR")=B787&amp;"PT","Y","")),"")</f>
        <v/>
      </c>
      <c r="I787" t="str">
        <f>IFERROR(VLOOKUP(B787,PN!$A:$C,3,FALSE),"")</f>
        <v>Active</v>
      </c>
      <c r="J787" s="3">
        <f>IFERROR(E787*VLOOKUP(B787,PLInter!$A:$D,3,FALSE),"")</f>
        <v>528</v>
      </c>
      <c r="K787" s="66"/>
      <c r="L787" s="66"/>
      <c r="M787" s="66"/>
      <c r="N787" s="66"/>
      <c r="O787" s="66"/>
      <c r="P787" s="66"/>
      <c r="Q787" s="66"/>
      <c r="R787" s="66"/>
      <c r="S787" s="66"/>
    </row>
    <row r="788" spans="1:19" ht="18" customHeight="1">
      <c r="B788" t="str">
        <f>"113034"</f>
        <v>113034</v>
      </c>
      <c r="C788" t="s">
        <v>695</v>
      </c>
      <c r="D788" s="4"/>
      <c r="E788" s="4">
        <v>50</v>
      </c>
      <c r="F788" s="4"/>
      <c r="G788" s="29" t="str">
        <f>IFERROR(HYPERLINK("#"&amp;ADDRESS(MATCH(B788&amp;"ES",'LM7 Non-ENG'!$A$1:$A$5000,0),1,,,"LM7 Non-ENG"),IF(IFERROR(VLOOKUP(B788&amp;"ES",'LM7 Non-ENG'!$A$1:$A$4999,1,FALSE),"ERROR")=B788&amp;"ES","Y","")),"")</f>
        <v/>
      </c>
      <c r="H788" s="29" t="str">
        <f>IFERROR(HYPERLINK("#"&amp;ADDRESS(MATCH(B788&amp;"PT",'LM7 Non-ENG'!$A$1:$A$5000,0),1,,,"LM7 Non-ENG"),IF(IFERROR(VLOOKUP(B788&amp;"PT",'LM7 Non-ENG'!$A$1:$A$5000,1,FALSE),"ERROR")=B788&amp;"PT","Y","")),"")</f>
        <v/>
      </c>
      <c r="I788" t="str">
        <f>IFERROR(VLOOKUP(B788,PN!$A:$C,3,FALSE),"")</f>
        <v>Active</v>
      </c>
      <c r="J788" s="3">
        <f>IFERROR(E788*VLOOKUP(B788,PLInter!$A:$D,3,FALSE),"")</f>
        <v>750</v>
      </c>
      <c r="K788" s="66"/>
      <c r="L788" s="66"/>
      <c r="M788" s="66"/>
      <c r="N788" s="66"/>
      <c r="O788" s="66"/>
      <c r="P788" s="66"/>
      <c r="Q788" s="66"/>
      <c r="R788" s="66"/>
      <c r="S788" s="66"/>
    </row>
    <row r="789" spans="1:19" ht="18" customHeight="1">
      <c r="B789" t="s">
        <v>644</v>
      </c>
      <c r="C789" t="s">
        <v>645</v>
      </c>
      <c r="D789" s="4"/>
      <c r="E789" s="4">
        <v>1</v>
      </c>
      <c r="F789" s="4"/>
      <c r="G789" s="29" t="str">
        <f>IFERROR(HYPERLINK("#"&amp;ADDRESS(MATCH(B789&amp;"ES",'LM7 Non-ENG'!$A$1:$A$5000,0),1,,,"LM7 Non-ENG"),IF(IFERROR(VLOOKUP(B789&amp;"ES",'LM7 Non-ENG'!$A$1:$A$4999,1,FALSE),"ERROR")=B789&amp;"ES","Y","")),"")</f>
        <v/>
      </c>
      <c r="H789" s="29" t="str">
        <f>IFERROR(HYPERLINK("#"&amp;ADDRESS(MATCH(B789&amp;"PT",'LM7 Non-ENG'!$A$1:$A$5000,0),1,,,"LM7 Non-ENG"),IF(IFERROR(VLOOKUP(B789&amp;"PT",'LM7 Non-ENG'!$A$1:$A$5000,1,FALSE),"ERROR")=B789&amp;"PT","Y","")),"")</f>
        <v/>
      </c>
      <c r="I789" t="str">
        <f>IFERROR(VLOOKUP(B789,PN!$A:$C,3,FALSE),"")</f>
        <v>Active</v>
      </c>
      <c r="J789" s="3">
        <f>IFERROR(E789*VLOOKUP(B789,PLInter!$A:$D,3,FALSE),"")</f>
        <v>1800</v>
      </c>
      <c r="K789" s="66"/>
      <c r="L789" s="66"/>
      <c r="M789" s="66"/>
      <c r="N789" s="66"/>
      <c r="O789" s="66"/>
      <c r="P789" s="66"/>
      <c r="Q789" s="66"/>
      <c r="R789" s="66"/>
      <c r="S789" s="66"/>
    </row>
    <row r="790" spans="1:19" ht="18" customHeight="1">
      <c r="B790" t="s">
        <v>697</v>
      </c>
      <c r="C790" t="s">
        <v>698</v>
      </c>
      <c r="D790" s="4"/>
      <c r="E790" s="4">
        <v>1</v>
      </c>
      <c r="F790" s="4"/>
      <c r="G790" s="29" t="str">
        <f>IFERROR(HYPERLINK("#"&amp;ADDRESS(MATCH(B790&amp;"ES",'LM7 Non-ENG'!$A$1:$A$5000,0),1,,,"LM7 Non-ENG"),IF(IFERROR(VLOOKUP(B790&amp;"ES",'LM7 Non-ENG'!$A$1:$A$4999,1,FALSE),"ERROR")=B790&amp;"ES","Y","")),"")</f>
        <v/>
      </c>
      <c r="H790" s="29" t="str">
        <f>IFERROR(HYPERLINK("#"&amp;ADDRESS(MATCH(B790&amp;"PT",'LM7 Non-ENG'!$A$1:$A$5000,0),1,,,"LM7 Non-ENG"),IF(IFERROR(VLOOKUP(B790&amp;"PT",'LM7 Non-ENG'!$A$1:$A$5000,1,FALSE),"ERROR")=B790&amp;"PT","Y","")),"")</f>
        <v/>
      </c>
      <c r="I790" t="str">
        <f>IFERROR(VLOOKUP(B790,PN!$A:$C,3,FALSE),"")</f>
        <v>Active</v>
      </c>
      <c r="J790" s="3">
        <f>IFERROR(E790*VLOOKUP(B790,PLInter!$A:$D,3,FALSE),"")</f>
        <v>934</v>
      </c>
      <c r="K790" s="66"/>
      <c r="L790" s="66"/>
      <c r="M790" s="66"/>
      <c r="N790" s="66"/>
      <c r="O790" s="66"/>
      <c r="P790" s="66"/>
      <c r="Q790" s="66"/>
      <c r="R790" s="66"/>
      <c r="S790" s="66"/>
    </row>
    <row r="791" spans="1:19" ht="18" customHeight="1">
      <c r="B791" t="s">
        <v>630</v>
      </c>
      <c r="C791" t="s">
        <v>631</v>
      </c>
      <c r="D791" s="4"/>
      <c r="E791" s="4">
        <v>1</v>
      </c>
      <c r="F791" s="4"/>
      <c r="G791" s="29" t="str">
        <f>IFERROR(HYPERLINK("#"&amp;ADDRESS(MATCH(B791&amp;"ES",'LM7 Non-ENG'!$A$1:$A$5000,0),1,,,"LM7 Non-ENG"),IF(IFERROR(VLOOKUP(B791&amp;"ES",'LM7 Non-ENG'!$A$1:$A$4999,1,FALSE),"ERROR")=B791&amp;"ES","Y","")),"")</f>
        <v/>
      </c>
      <c r="H791" s="29" t="str">
        <f>IFERROR(HYPERLINK("#"&amp;ADDRESS(MATCH(B791&amp;"PT",'LM7 Non-ENG'!$A$1:$A$5000,0),1,,,"LM7 Non-ENG"),IF(IFERROR(VLOOKUP(B791&amp;"PT",'LM7 Non-ENG'!$A$1:$A$5000,1,FALSE),"ERROR")=B791&amp;"PT","Y","")),"")</f>
        <v/>
      </c>
      <c r="I791" t="str">
        <f>IFERROR(VLOOKUP(B791,PN!$A:$C,3,FALSE),"")</f>
        <v>Active</v>
      </c>
      <c r="J791" s="3">
        <f>IFERROR(E791*VLOOKUP(B791,PLInter!$A:$D,3,FALSE),"")</f>
        <v>1735</v>
      </c>
      <c r="K791" s="66"/>
      <c r="L791" s="66"/>
      <c r="M791" s="66"/>
      <c r="N791" s="66"/>
      <c r="O791" s="66"/>
      <c r="P791" s="66"/>
      <c r="Q791" s="66"/>
      <c r="R791" s="66"/>
      <c r="S791" s="66"/>
    </row>
    <row r="793" spans="1:19" s="7" customFormat="1" ht="18" customHeight="1">
      <c r="A793" s="13" t="s">
        <v>860</v>
      </c>
      <c r="B793" s="13"/>
      <c r="C793" s="13" t="s">
        <v>861</v>
      </c>
      <c r="D793" s="14"/>
      <c r="E793" s="14"/>
      <c r="F793" s="14"/>
      <c r="G793" s="14"/>
      <c r="H793" s="14"/>
      <c r="I793" s="14"/>
      <c r="J793" s="14">
        <f>SUMIFS(J794:J807,D794:D807,"&lt;&gt;Y",F794:F807,"&lt;&gt;Y",I794:I807,"&lt;&gt;Inactive",I794:I807,"&lt;&gt;ECO+NFS")</f>
        <v>41349</v>
      </c>
      <c r="K793" s="14"/>
      <c r="L793" s="14"/>
      <c r="M793" s="14"/>
      <c r="N793" s="14"/>
      <c r="O793" s="14"/>
      <c r="P793" s="14"/>
      <c r="Q793" s="14"/>
      <c r="R793" s="14"/>
      <c r="S793" s="14"/>
    </row>
    <row r="794" spans="1:19" ht="18" customHeight="1">
      <c r="A794" s="17" t="str">
        <f>HYPERLINK("#"&amp;ADDRESS(MATCH(A793,'CIM&amp;FMS'!$A$1:$A$4997,0),1,,,"CIM&amp;FMS"),"Back to Price List")</f>
        <v>Back to Price List</v>
      </c>
      <c r="B794" t="s">
        <v>855</v>
      </c>
      <c r="C794" t="s">
        <v>856</v>
      </c>
      <c r="D794" s="4"/>
      <c r="E794" s="4">
        <v>1</v>
      </c>
      <c r="F794" s="4"/>
      <c r="G794" s="29" t="str">
        <f>IFERROR(HYPERLINK("#"&amp;ADDRESS(MATCH(B794&amp;"ES",'LM7 Non-ENG'!$A$1:$A$5000,0),1,,,"LM7 Non-ENG"),IF(IFERROR(VLOOKUP(B794&amp;"ES",'LM7 Non-ENG'!$A$1:$A$4999,1,FALSE),"ERROR")=B794&amp;"ES","Y","")),"")</f>
        <v/>
      </c>
      <c r="H794" s="29" t="str">
        <f>IFERROR(HYPERLINK("#"&amp;ADDRESS(MATCH(B794&amp;"PT",'LM7 Non-ENG'!$A$1:$A$5000,0),1,,,"LM7 Non-ENG"),IF(IFERROR(VLOOKUP(B794&amp;"PT",'LM7 Non-ENG'!$A$1:$A$5000,1,FALSE),"ERROR")=B794&amp;"PT","Y","")),"")</f>
        <v/>
      </c>
      <c r="I794" t="str">
        <f>IFERROR(VLOOKUP(B794,PN!$A:$C,3,FALSE),"")</f>
        <v>Active</v>
      </c>
      <c r="J794" s="3">
        <f>IFERROR(E794*VLOOKUP(B794,PLInter!$A:$D,3,FALSE),"")</f>
        <v>6720</v>
      </c>
      <c r="K794" s="66"/>
      <c r="L794" s="66"/>
      <c r="M794" s="66"/>
      <c r="N794" s="66"/>
      <c r="O794" s="66"/>
      <c r="P794" s="66"/>
      <c r="Q794" s="66"/>
      <c r="R794" s="66"/>
      <c r="S794" s="66"/>
    </row>
    <row r="795" spans="1:19" ht="18" customHeight="1">
      <c r="B795" t="s">
        <v>231</v>
      </c>
      <c r="C795" t="s">
        <v>857</v>
      </c>
      <c r="D795" s="4"/>
      <c r="E795" s="4">
        <v>1</v>
      </c>
      <c r="F795" s="4"/>
      <c r="G795" s="29" t="str">
        <f>IFERROR(HYPERLINK("#"&amp;ADDRESS(MATCH(B795&amp;"ES",'LM7 Non-ENG'!$A$1:$A$5000,0),1,,,"LM7 Non-ENG"),IF(IFERROR(VLOOKUP(B795&amp;"ES",'LM7 Non-ENG'!$A$1:$A$4999,1,FALSE),"ERROR")=B795&amp;"ES","Y","")),"")</f>
        <v/>
      </c>
      <c r="H795" s="29" t="str">
        <f>IFERROR(HYPERLINK("#"&amp;ADDRESS(MATCH(B795&amp;"PT",'LM7 Non-ENG'!$A$1:$A$5000,0),1,,,"LM7 Non-ENG"),IF(IFERROR(VLOOKUP(B795&amp;"PT",'LM7 Non-ENG'!$A$1:$A$5000,1,FALSE),"ERROR")=B795&amp;"PT","Y","")),"")</f>
        <v/>
      </c>
      <c r="I795" t="str">
        <f>IFERROR(VLOOKUP(B795,PN!$A:$C,3,FALSE),"")</f>
        <v>ECO-N2Buy</v>
      </c>
      <c r="J795" s="3">
        <f>IFERROR(E795*VLOOKUP(B795,PLInter!$A:$D,3,FALSE),"")</f>
        <v>3200</v>
      </c>
      <c r="K795" s="66"/>
      <c r="L795" s="66"/>
      <c r="M795" s="66"/>
      <c r="N795" s="66"/>
      <c r="O795" s="66"/>
      <c r="P795" s="66"/>
      <c r="Q795" s="66"/>
      <c r="R795" s="66"/>
      <c r="S795" s="66"/>
    </row>
    <row r="796" spans="1:19" ht="18" customHeight="1">
      <c r="B796" t="s">
        <v>858</v>
      </c>
      <c r="C796" t="s">
        <v>859</v>
      </c>
      <c r="D796" s="4"/>
      <c r="E796" s="4">
        <v>1</v>
      </c>
      <c r="F796" s="4"/>
      <c r="G796" s="29" t="str">
        <f>IFERROR(HYPERLINK("#"&amp;ADDRESS(MATCH(B796&amp;"ES",'LM7 Non-ENG'!$A$1:$A$5000,0),1,,,"LM7 Non-ENG"),IF(IFERROR(VLOOKUP(B796&amp;"ES",'LM7 Non-ENG'!$A$1:$A$4999,1,FALSE),"ERROR")=B796&amp;"ES","Y","")),"")</f>
        <v/>
      </c>
      <c r="H796" s="29" t="str">
        <f>IFERROR(HYPERLINK("#"&amp;ADDRESS(MATCH(B796&amp;"PT",'LM7 Non-ENG'!$A$1:$A$5000,0),1,,,"LM7 Non-ENG"),IF(IFERROR(VLOOKUP(B796&amp;"PT",'LM7 Non-ENG'!$A$1:$A$5000,1,FALSE),"ERROR")=B796&amp;"PT","Y","")),"")</f>
        <v/>
      </c>
      <c r="I796" t="str">
        <f>IFERROR(VLOOKUP(B796,PN!$A:$C,3,FALSE),"")</f>
        <v>Active</v>
      </c>
      <c r="J796" s="3">
        <f>IFERROR(E796*VLOOKUP(B796,PLInter!$A:$D,3,FALSE),"")</f>
        <v>15300</v>
      </c>
      <c r="K796" s="66"/>
      <c r="L796" s="66"/>
      <c r="M796" s="66"/>
      <c r="N796" s="66"/>
      <c r="O796" s="66"/>
      <c r="P796" s="66"/>
      <c r="Q796" s="66"/>
      <c r="R796" s="66"/>
      <c r="S796" s="66"/>
    </row>
    <row r="797" spans="1:19" ht="18" customHeight="1">
      <c r="B797" t="s">
        <v>684</v>
      </c>
      <c r="C797" t="s">
        <v>685</v>
      </c>
      <c r="D797" s="4"/>
      <c r="E797" s="4">
        <v>2</v>
      </c>
      <c r="F797" s="4"/>
      <c r="G797" s="29" t="str">
        <f>IFERROR(HYPERLINK("#"&amp;ADDRESS(MATCH(B797&amp;"ES",'LM7 Non-ENG'!$A$1:$A$5000,0),1,,,"LM7 Non-ENG"),IF(IFERROR(VLOOKUP(B797&amp;"ES",'LM7 Non-ENG'!$A$1:$A$4999,1,FALSE),"ERROR")=B797&amp;"ES","Y","")),"")</f>
        <v/>
      </c>
      <c r="H797" s="29" t="str">
        <f>IFERROR(HYPERLINK("#"&amp;ADDRESS(MATCH(B797&amp;"PT",'LM7 Non-ENG'!$A$1:$A$5000,0),1,,,"LM7 Non-ENG"),IF(IFERROR(VLOOKUP(B797&amp;"PT",'LM7 Non-ENG'!$A$1:$A$5000,1,FALSE),"ERROR")=B797&amp;"PT","Y","")),"")</f>
        <v/>
      </c>
      <c r="I797" t="str">
        <f>IFERROR(VLOOKUP(B797,PN!$A:$C,3,FALSE),"")</f>
        <v>Active</v>
      </c>
      <c r="J797" s="3">
        <f>IFERROR(E797*VLOOKUP(B797,PLInter!$A:$D,3,FALSE),"")</f>
        <v>1160</v>
      </c>
      <c r="K797" s="66"/>
      <c r="L797" s="66"/>
      <c r="M797" s="66"/>
      <c r="N797" s="66"/>
      <c r="O797" s="66"/>
      <c r="P797" s="66"/>
      <c r="Q797" s="66"/>
      <c r="R797" s="66"/>
      <c r="S797" s="66"/>
    </row>
    <row r="798" spans="1:19" ht="18" customHeight="1">
      <c r="B798" t="s">
        <v>682</v>
      </c>
      <c r="C798" t="s">
        <v>683</v>
      </c>
      <c r="D798" s="4"/>
      <c r="E798" s="4">
        <v>1</v>
      </c>
      <c r="F798" s="4"/>
      <c r="G798" s="29" t="str">
        <f>IFERROR(HYPERLINK("#"&amp;ADDRESS(MATCH(B798&amp;"ES",'LM7 Non-ENG'!$A$1:$A$5000,0),1,,,"LM7 Non-ENG"),IF(IFERROR(VLOOKUP(B798&amp;"ES",'LM7 Non-ENG'!$A$1:$A$4999,1,FALSE),"ERROR")=B798&amp;"ES","Y","")),"")</f>
        <v/>
      </c>
      <c r="H798" s="29" t="str">
        <f>IFERROR(HYPERLINK("#"&amp;ADDRESS(MATCH(B798&amp;"PT",'LM7 Non-ENG'!$A$1:$A$5000,0),1,,,"LM7 Non-ENG"),IF(IFERROR(VLOOKUP(B798&amp;"PT",'LM7 Non-ENG'!$A$1:$A$5000,1,FALSE),"ERROR")=B798&amp;"PT","Y","")),"")</f>
        <v/>
      </c>
      <c r="I798" t="str">
        <f>IFERROR(VLOOKUP(B798,PN!$A:$C,3,FALSE),"")</f>
        <v>Active</v>
      </c>
      <c r="J798" s="3">
        <f>IFERROR(E798*VLOOKUP(B798,PLInter!$A:$D,3,FALSE),"")</f>
        <v>494</v>
      </c>
      <c r="K798" s="66"/>
      <c r="L798" s="66"/>
      <c r="M798" s="66"/>
      <c r="N798" s="66"/>
      <c r="O798" s="66"/>
      <c r="P798" s="66"/>
      <c r="Q798" s="66"/>
      <c r="R798" s="66"/>
      <c r="S798" s="66"/>
    </row>
    <row r="799" spans="1:19" ht="18" customHeight="1">
      <c r="B799" t="s">
        <v>680</v>
      </c>
      <c r="C799" t="s">
        <v>681</v>
      </c>
      <c r="D799" s="4"/>
      <c r="E799" s="4">
        <v>1</v>
      </c>
      <c r="F799" s="4"/>
      <c r="G799" s="29" t="str">
        <f>IFERROR(HYPERLINK("#"&amp;ADDRESS(MATCH(B799&amp;"ES",'LM7 Non-ENG'!$A$1:$A$5000,0),1,,,"LM7 Non-ENG"),IF(IFERROR(VLOOKUP(B799&amp;"ES",'LM7 Non-ENG'!$A$1:$A$4999,1,FALSE),"ERROR")=B799&amp;"ES","Y","")),"")</f>
        <v/>
      </c>
      <c r="H799" s="29" t="str">
        <f>IFERROR(HYPERLINK("#"&amp;ADDRESS(MATCH(B799&amp;"PT",'LM7 Non-ENG'!$A$1:$A$5000,0),1,,,"LM7 Non-ENG"),IF(IFERROR(VLOOKUP(B799&amp;"PT",'LM7 Non-ENG'!$A$1:$A$5000,1,FALSE),"ERROR")=B799&amp;"PT","Y","")),"")</f>
        <v/>
      </c>
      <c r="I799" t="str">
        <f>IFERROR(VLOOKUP(B799,PN!$A:$C,3,FALSE),"")</f>
        <v>Active</v>
      </c>
      <c r="J799" s="3">
        <f>IFERROR(E799*VLOOKUP(B799,PLInter!$A:$D,3,FALSE),"")</f>
        <v>1440</v>
      </c>
      <c r="K799" s="66"/>
      <c r="L799" s="66"/>
      <c r="M799" s="66"/>
      <c r="N799" s="66"/>
      <c r="O799" s="66"/>
      <c r="P799" s="66"/>
      <c r="Q799" s="66"/>
      <c r="R799" s="66"/>
      <c r="S799" s="66"/>
    </row>
    <row r="800" spans="1:19" ht="18" customHeight="1">
      <c r="B800" t="str">
        <f>"021152"</f>
        <v>021152</v>
      </c>
      <c r="C800" s="41" t="s">
        <v>679</v>
      </c>
      <c r="D800" s="4"/>
      <c r="E800" s="4">
        <v>2</v>
      </c>
      <c r="F800" s="4"/>
      <c r="G800" s="29" t="str">
        <f>IFERROR(HYPERLINK("#"&amp;ADDRESS(MATCH(B800&amp;"ES",'LM7 Non-ENG'!$A$1:$A$5000,0),1,,,"LM7 Non-ENG"),IF(IFERROR(VLOOKUP(B800&amp;"ES",'LM7 Non-ENG'!$A$1:$A$4999,1,FALSE),"ERROR")=B800&amp;"ES","Y","")),"")</f>
        <v/>
      </c>
      <c r="H800" s="29" t="str">
        <f>IFERROR(HYPERLINK("#"&amp;ADDRESS(MATCH(B800&amp;"PT",'LM7 Non-ENG'!$A$1:$A$5000,0),1,,,"LM7 Non-ENG"),IF(IFERROR(VLOOKUP(B800&amp;"PT",'LM7 Non-ENG'!$A$1:$A$5000,1,FALSE),"ERROR")=B800&amp;"PT","Y","")),"")</f>
        <v/>
      </c>
      <c r="I800" t="str">
        <f>IFERROR(VLOOKUP(B800,PN!$A:$C,3,FALSE),"")</f>
        <v>Active</v>
      </c>
      <c r="J800" s="3">
        <f>IFERROR(E800*VLOOKUP(B800,PLInter!$A:$D,3,FALSE),"")</f>
        <v>480</v>
      </c>
      <c r="K800" s="66"/>
      <c r="L800" s="66"/>
      <c r="M800" s="66"/>
      <c r="N800" s="66"/>
      <c r="O800" s="66"/>
      <c r="P800" s="66"/>
      <c r="Q800" s="66"/>
      <c r="R800" s="66"/>
      <c r="S800" s="66"/>
    </row>
    <row r="801" spans="1:19" ht="18" customHeight="1">
      <c r="B801" t="s">
        <v>704</v>
      </c>
      <c r="C801" t="s">
        <v>705</v>
      </c>
      <c r="D801" s="4"/>
      <c r="E801" s="4">
        <v>2</v>
      </c>
      <c r="F801" s="4"/>
      <c r="G801" s="29" t="str">
        <f>IFERROR(HYPERLINK("#"&amp;ADDRESS(MATCH(B801&amp;"ES",'LM7 Non-ENG'!$A$1:$A$5000,0),1,,,"LM7 Non-ENG"),IF(IFERROR(VLOOKUP(B801&amp;"ES",'LM7 Non-ENG'!$A$1:$A$4999,1,FALSE),"ERROR")=B801&amp;"ES","Y","")),"")</f>
        <v/>
      </c>
      <c r="H801" s="29" t="str">
        <f>IFERROR(HYPERLINK("#"&amp;ADDRESS(MATCH(B801&amp;"PT",'LM7 Non-ENG'!$A$1:$A$5000,0),1,,,"LM7 Non-ENG"),IF(IFERROR(VLOOKUP(B801&amp;"PT",'LM7 Non-ENG'!$A$1:$A$5000,1,FALSE),"ERROR")=B801&amp;"PT","Y","")),"")</f>
        <v/>
      </c>
      <c r="I801" t="str">
        <f>IFERROR(VLOOKUP(B801,PN!$A:$C,3,FALSE),"")</f>
        <v>Active</v>
      </c>
      <c r="J801" s="3">
        <f>IFERROR(E801*VLOOKUP(B801,PLInter!$A:$D,3,FALSE),"")</f>
        <v>5280</v>
      </c>
      <c r="K801" s="66"/>
      <c r="L801" s="66"/>
      <c r="M801" s="66"/>
      <c r="N801" s="66"/>
      <c r="O801" s="66"/>
      <c r="P801" s="66"/>
      <c r="Q801" s="66"/>
      <c r="R801" s="66"/>
      <c r="S801" s="66"/>
    </row>
    <row r="802" spans="1:19" ht="18" customHeight="1">
      <c r="B802" t="s">
        <v>786</v>
      </c>
      <c r="C802" t="s">
        <v>787</v>
      </c>
      <c r="D802" s="4"/>
      <c r="E802" s="4">
        <v>2</v>
      </c>
      <c r="F802" s="4"/>
      <c r="G802" s="29" t="str">
        <f>IFERROR(HYPERLINK("#"&amp;ADDRESS(MATCH(B802&amp;"ES",'LM7 Non-ENG'!$A$1:$A$5000,0),1,,,"LM7 Non-ENG"),IF(IFERROR(VLOOKUP(B802&amp;"ES",'LM7 Non-ENG'!$A$1:$A$4999,1,FALSE),"ERROR")=B802&amp;"ES","Y","")),"")</f>
        <v/>
      </c>
      <c r="H802" s="29" t="str">
        <f>IFERROR(HYPERLINK("#"&amp;ADDRESS(MATCH(B802&amp;"PT",'LM7 Non-ENG'!$A$1:$A$5000,0),1,,,"LM7 Non-ENG"),IF(IFERROR(VLOOKUP(B802&amp;"PT",'LM7 Non-ENG'!$A$1:$A$5000,1,FALSE),"ERROR")=B802&amp;"PT","Y","")),"")</f>
        <v/>
      </c>
      <c r="I802" t="str">
        <f>IFERROR(VLOOKUP(B802,PN!$A:$C,3,FALSE),"")</f>
        <v>Active</v>
      </c>
      <c r="J802" s="3">
        <f>IFERROR(E802*VLOOKUP(B802,PLInter!$A:$D,3,FALSE),"")</f>
        <v>1056</v>
      </c>
      <c r="K802" s="66"/>
      <c r="L802" s="66"/>
      <c r="M802" s="66"/>
      <c r="N802" s="66"/>
      <c r="O802" s="66"/>
      <c r="P802" s="66"/>
      <c r="Q802" s="66"/>
      <c r="R802" s="66"/>
      <c r="S802" s="66"/>
    </row>
    <row r="803" spans="1:19" ht="18" customHeight="1">
      <c r="B803" t="str">
        <f>"113034"</f>
        <v>113034</v>
      </c>
      <c r="C803" t="s">
        <v>695</v>
      </c>
      <c r="D803" s="4"/>
      <c r="E803" s="4">
        <v>50</v>
      </c>
      <c r="F803" s="4"/>
      <c r="G803" s="29" t="str">
        <f>IFERROR(HYPERLINK("#"&amp;ADDRESS(MATCH(B803&amp;"ES",'LM7 Non-ENG'!$A$1:$A$5000,0),1,,,"LM7 Non-ENG"),IF(IFERROR(VLOOKUP(B803&amp;"ES",'LM7 Non-ENG'!$A$1:$A$4999,1,FALSE),"ERROR")=B803&amp;"ES","Y","")),"")</f>
        <v/>
      </c>
      <c r="H803" s="29" t="str">
        <f>IFERROR(HYPERLINK("#"&amp;ADDRESS(MATCH(B803&amp;"PT",'LM7 Non-ENG'!$A$1:$A$5000,0),1,,,"LM7 Non-ENG"),IF(IFERROR(VLOOKUP(B803&amp;"PT",'LM7 Non-ENG'!$A$1:$A$5000,1,FALSE),"ERROR")=B803&amp;"PT","Y","")),"")</f>
        <v/>
      </c>
      <c r="I803" t="str">
        <f>IFERROR(VLOOKUP(B803,PN!$A:$C,3,FALSE),"")</f>
        <v>Active</v>
      </c>
      <c r="J803" s="3">
        <f>IFERROR(E803*VLOOKUP(B803,PLInter!$A:$D,3,FALSE),"")</f>
        <v>750</v>
      </c>
      <c r="K803" s="66"/>
      <c r="L803" s="66"/>
      <c r="M803" s="66"/>
      <c r="N803" s="66"/>
      <c r="O803" s="66"/>
      <c r="P803" s="66"/>
      <c r="Q803" s="66"/>
      <c r="R803" s="66"/>
      <c r="S803" s="66"/>
    </row>
    <row r="804" spans="1:19" ht="18" customHeight="1">
      <c r="B804" t="str">
        <f>"112496"</f>
        <v>112496</v>
      </c>
      <c r="C804" t="s">
        <v>696</v>
      </c>
      <c r="D804" s="4"/>
      <c r="E804" s="4">
        <v>50</v>
      </c>
      <c r="F804" s="4"/>
      <c r="G804" s="29" t="str">
        <f>IFERROR(HYPERLINK("#"&amp;ADDRESS(MATCH(B804&amp;"ES",'LM7 Non-ENG'!$A$1:$A$5000,0),1,,,"LM7 Non-ENG"),IF(IFERROR(VLOOKUP(B804&amp;"ES",'LM7 Non-ENG'!$A$1:$A$4999,1,FALSE),"ERROR")=B804&amp;"ES","Y","")),"")</f>
        <v/>
      </c>
      <c r="H804" s="29" t="str">
        <f>IFERROR(HYPERLINK("#"&amp;ADDRESS(MATCH(B804&amp;"PT",'LM7 Non-ENG'!$A$1:$A$5000,0),1,,,"LM7 Non-ENG"),IF(IFERROR(VLOOKUP(B804&amp;"PT",'LM7 Non-ENG'!$A$1:$A$5000,1,FALSE),"ERROR")=B804&amp;"PT","Y","")),"")</f>
        <v/>
      </c>
      <c r="I804" t="str">
        <f>IFERROR(VLOOKUP(B804,PN!$A:$C,3,FALSE),"")</f>
        <v>Active</v>
      </c>
      <c r="J804" s="3">
        <f>IFERROR(E804*VLOOKUP(B804,PLInter!$A:$D,3,FALSE),"")</f>
        <v>1000</v>
      </c>
      <c r="K804" s="66"/>
      <c r="L804" s="66"/>
      <c r="M804" s="66"/>
      <c r="N804" s="66"/>
      <c r="O804" s="66"/>
      <c r="P804" s="66"/>
      <c r="Q804" s="66"/>
      <c r="R804" s="66"/>
      <c r="S804" s="66"/>
    </row>
    <row r="805" spans="1:19" ht="18" customHeight="1">
      <c r="B805" t="s">
        <v>644</v>
      </c>
      <c r="C805" t="s">
        <v>645</v>
      </c>
      <c r="D805" s="4"/>
      <c r="E805" s="4">
        <v>1</v>
      </c>
      <c r="F805" s="4"/>
      <c r="G805" s="29" t="str">
        <f>IFERROR(HYPERLINK("#"&amp;ADDRESS(MATCH(B805&amp;"ES",'LM7 Non-ENG'!$A$1:$A$5000,0),1,,,"LM7 Non-ENG"),IF(IFERROR(VLOOKUP(B805&amp;"ES",'LM7 Non-ENG'!$A$1:$A$4999,1,FALSE),"ERROR")=B805&amp;"ES","Y","")),"")</f>
        <v/>
      </c>
      <c r="H805" s="29" t="str">
        <f>IFERROR(HYPERLINK("#"&amp;ADDRESS(MATCH(B805&amp;"PT",'LM7 Non-ENG'!$A$1:$A$5000,0),1,,,"LM7 Non-ENG"),IF(IFERROR(VLOOKUP(B805&amp;"PT",'LM7 Non-ENG'!$A$1:$A$5000,1,FALSE),"ERROR")=B805&amp;"PT","Y","")),"")</f>
        <v/>
      </c>
      <c r="I805" t="str">
        <f>IFERROR(VLOOKUP(B805,PN!$A:$C,3,FALSE),"")</f>
        <v>Active</v>
      </c>
      <c r="J805" s="3">
        <f>IFERROR(E805*VLOOKUP(B805,PLInter!$A:$D,3,FALSE),"")</f>
        <v>1800</v>
      </c>
      <c r="K805" s="66"/>
      <c r="L805" s="66"/>
      <c r="M805" s="66"/>
      <c r="N805" s="66"/>
      <c r="O805" s="66"/>
      <c r="P805" s="66"/>
      <c r="Q805" s="66"/>
      <c r="R805" s="66"/>
      <c r="S805" s="66"/>
    </row>
    <row r="806" spans="1:19" ht="18" customHeight="1">
      <c r="B806" t="s">
        <v>697</v>
      </c>
      <c r="C806" t="s">
        <v>698</v>
      </c>
      <c r="D806" s="4"/>
      <c r="E806" s="4">
        <v>1</v>
      </c>
      <c r="F806" s="4"/>
      <c r="G806" s="29" t="str">
        <f>IFERROR(HYPERLINK("#"&amp;ADDRESS(MATCH(B806&amp;"ES",'LM7 Non-ENG'!$A$1:$A$5000,0),1,,,"LM7 Non-ENG"),IF(IFERROR(VLOOKUP(B806&amp;"ES",'LM7 Non-ENG'!$A$1:$A$4999,1,FALSE),"ERROR")=B806&amp;"ES","Y","")),"")</f>
        <v/>
      </c>
      <c r="H806" s="29" t="str">
        <f>IFERROR(HYPERLINK("#"&amp;ADDRESS(MATCH(B806&amp;"PT",'LM7 Non-ENG'!$A$1:$A$5000,0),1,,,"LM7 Non-ENG"),IF(IFERROR(VLOOKUP(B806&amp;"PT",'LM7 Non-ENG'!$A$1:$A$5000,1,FALSE),"ERROR")=B806&amp;"PT","Y","")),"")</f>
        <v/>
      </c>
      <c r="I806" t="str">
        <f>IFERROR(VLOOKUP(B806,PN!$A:$C,3,FALSE),"")</f>
        <v>Active</v>
      </c>
      <c r="J806" s="3">
        <f>IFERROR(E806*VLOOKUP(B806,PLInter!$A:$D,3,FALSE),"")</f>
        <v>934</v>
      </c>
      <c r="K806" s="66"/>
      <c r="L806" s="66"/>
      <c r="M806" s="66"/>
      <c r="N806" s="66"/>
      <c r="O806" s="66"/>
      <c r="P806" s="66"/>
      <c r="Q806" s="66"/>
      <c r="R806" s="66"/>
      <c r="S806" s="66"/>
    </row>
    <row r="807" spans="1:19" ht="18" customHeight="1">
      <c r="B807" t="s">
        <v>630</v>
      </c>
      <c r="C807" t="s">
        <v>631</v>
      </c>
      <c r="D807" s="4"/>
      <c r="E807" s="4">
        <v>1</v>
      </c>
      <c r="F807" s="4"/>
      <c r="G807" s="29" t="str">
        <f>IFERROR(HYPERLINK("#"&amp;ADDRESS(MATCH(B807&amp;"ES",'LM7 Non-ENG'!$A$1:$A$5000,0),1,,,"LM7 Non-ENG"),IF(IFERROR(VLOOKUP(B807&amp;"ES",'LM7 Non-ENG'!$A$1:$A$4999,1,FALSE),"ERROR")=B807&amp;"ES","Y","")),"")</f>
        <v/>
      </c>
      <c r="H807" s="29" t="str">
        <f>IFERROR(HYPERLINK("#"&amp;ADDRESS(MATCH(B807&amp;"PT",'LM7 Non-ENG'!$A$1:$A$5000,0),1,,,"LM7 Non-ENG"),IF(IFERROR(VLOOKUP(B807&amp;"PT",'LM7 Non-ENG'!$A$1:$A$5000,1,FALSE),"ERROR")=B807&amp;"PT","Y","")),"")</f>
        <v/>
      </c>
      <c r="I807" t="str">
        <f>IFERROR(VLOOKUP(B807,PN!$A:$C,3,FALSE),"")</f>
        <v>Active</v>
      </c>
      <c r="J807" s="3">
        <f>IFERROR(E807*VLOOKUP(B807,PLInter!$A:$D,3,FALSE),"")</f>
        <v>1735</v>
      </c>
      <c r="K807" s="66"/>
      <c r="L807" s="66"/>
      <c r="M807" s="66"/>
      <c r="N807" s="66"/>
      <c r="O807" s="66"/>
      <c r="P807" s="66"/>
      <c r="Q807" s="66"/>
      <c r="R807" s="66"/>
      <c r="S807" s="66"/>
    </row>
    <row r="809" spans="1:19" s="7" customFormat="1" ht="18" customHeight="1">
      <c r="A809" s="13" t="s">
        <v>862</v>
      </c>
      <c r="B809" s="13"/>
      <c r="C809" s="13" t="s">
        <v>863</v>
      </c>
      <c r="D809" s="14"/>
      <c r="E809" s="14"/>
      <c r="F809" s="14"/>
      <c r="G809" s="14"/>
      <c r="H809" s="14"/>
      <c r="I809" s="14"/>
      <c r="J809" s="14">
        <f>SUMIFS(J810:J821,D810:D821,"&lt;&gt;Y",F810:F821,"&lt;&gt;Y",I810:I821,"&lt;&gt;Inactive",I810:I821,"&lt;&gt;ECO+NFS")</f>
        <v>35171</v>
      </c>
      <c r="K809" s="14"/>
      <c r="L809" s="14"/>
      <c r="M809" s="14"/>
      <c r="N809" s="14"/>
      <c r="O809" s="14"/>
      <c r="P809" s="14"/>
      <c r="Q809" s="14"/>
      <c r="R809" s="14"/>
      <c r="S809" s="14"/>
    </row>
    <row r="810" spans="1:19" ht="18" customHeight="1">
      <c r="A810" s="17" t="str">
        <f>HYPERLINK("#"&amp;ADDRESS(MATCH(A809,'CIM&amp;FMS'!$A$1:$A$4997,0),1,,,"CIM&amp;FMS"),"Back to Price List")</f>
        <v>Back to Price List</v>
      </c>
      <c r="B810" t="s">
        <v>855</v>
      </c>
      <c r="C810" t="s">
        <v>856</v>
      </c>
      <c r="D810" s="4"/>
      <c r="E810" s="4">
        <v>1</v>
      </c>
      <c r="F810" s="4"/>
      <c r="G810" s="29" t="str">
        <f>IFERROR(HYPERLINK("#"&amp;ADDRESS(MATCH(B810&amp;"ES",'LM7 Non-ENG'!$A$1:$A$5000,0),1,,,"LM7 Non-ENG"),IF(IFERROR(VLOOKUP(B810&amp;"ES",'LM7 Non-ENG'!$A$1:$A$4999,1,FALSE),"ERROR")=B810&amp;"ES","Y","")),"")</f>
        <v/>
      </c>
      <c r="H810" s="29" t="str">
        <f>IFERROR(HYPERLINK("#"&amp;ADDRESS(MATCH(B810&amp;"PT",'LM7 Non-ENG'!$A$1:$A$5000,0),1,,,"LM7 Non-ENG"),IF(IFERROR(VLOOKUP(B810&amp;"PT",'LM7 Non-ENG'!$A$1:$A$5000,1,FALSE),"ERROR")=B810&amp;"PT","Y","")),"")</f>
        <v/>
      </c>
      <c r="I810" t="str">
        <f>IFERROR(VLOOKUP(B810,PN!$A:$C,3,FALSE),"")</f>
        <v>Active</v>
      </c>
      <c r="J810" s="3">
        <f>IFERROR(E810*VLOOKUP(B810,PLInter!$A:$D,3,FALSE),"")</f>
        <v>6720</v>
      </c>
      <c r="K810" s="66"/>
      <c r="L810" s="66"/>
      <c r="M810" s="66"/>
      <c r="N810" s="66"/>
      <c r="O810" s="66"/>
      <c r="P810" s="66"/>
      <c r="Q810" s="66"/>
      <c r="R810" s="66"/>
      <c r="S810" s="66"/>
    </row>
    <row r="811" spans="1:19" ht="18" customHeight="1">
      <c r="B811" t="s">
        <v>231</v>
      </c>
      <c r="C811" t="s">
        <v>857</v>
      </c>
      <c r="D811" s="4"/>
      <c r="E811" s="4">
        <v>1</v>
      </c>
      <c r="F811" s="4"/>
      <c r="G811" s="29" t="str">
        <f>IFERROR(HYPERLINK("#"&amp;ADDRESS(MATCH(B811&amp;"ES",'LM7 Non-ENG'!$A$1:$A$5000,0),1,,,"LM7 Non-ENG"),IF(IFERROR(VLOOKUP(B811&amp;"ES",'LM7 Non-ENG'!$A$1:$A$4999,1,FALSE),"ERROR")=B811&amp;"ES","Y","")),"")</f>
        <v/>
      </c>
      <c r="H811" s="29" t="str">
        <f>IFERROR(HYPERLINK("#"&amp;ADDRESS(MATCH(B811&amp;"PT",'LM7 Non-ENG'!$A$1:$A$5000,0),1,,,"LM7 Non-ENG"),IF(IFERROR(VLOOKUP(B811&amp;"PT",'LM7 Non-ENG'!$A$1:$A$5000,1,FALSE),"ERROR")=B811&amp;"PT","Y","")),"")</f>
        <v/>
      </c>
      <c r="I811" t="str">
        <f>IFERROR(VLOOKUP(B811,PN!$A:$C,3,FALSE),"")</f>
        <v>ECO-N2Buy</v>
      </c>
      <c r="J811" s="3">
        <f>IFERROR(E811*VLOOKUP(B811,PLInter!$A:$D,3,FALSE),"")</f>
        <v>3200</v>
      </c>
      <c r="K811" s="66"/>
      <c r="L811" s="66"/>
      <c r="M811" s="66"/>
      <c r="N811" s="66"/>
      <c r="O811" s="66"/>
      <c r="P811" s="66"/>
      <c r="Q811" s="66"/>
      <c r="R811" s="66"/>
      <c r="S811" s="66"/>
    </row>
    <row r="812" spans="1:19" ht="18" customHeight="1">
      <c r="B812" t="s">
        <v>858</v>
      </c>
      <c r="C812" t="s">
        <v>859</v>
      </c>
      <c r="D812" s="4"/>
      <c r="E812" s="4">
        <v>1</v>
      </c>
      <c r="F812" s="4"/>
      <c r="G812" s="29" t="str">
        <f>IFERROR(HYPERLINK("#"&amp;ADDRESS(MATCH(B812&amp;"ES",'LM7 Non-ENG'!$A$1:$A$5000,0),1,,,"LM7 Non-ENG"),IF(IFERROR(VLOOKUP(B812&amp;"ES",'LM7 Non-ENG'!$A$1:$A$4999,1,FALSE),"ERROR")=B812&amp;"ES","Y","")),"")</f>
        <v/>
      </c>
      <c r="H812" s="29" t="str">
        <f>IFERROR(HYPERLINK("#"&amp;ADDRESS(MATCH(B812&amp;"PT",'LM7 Non-ENG'!$A$1:$A$5000,0),1,,,"LM7 Non-ENG"),IF(IFERROR(VLOOKUP(B812&amp;"PT",'LM7 Non-ENG'!$A$1:$A$5000,1,FALSE),"ERROR")=B812&amp;"PT","Y","")),"")</f>
        <v/>
      </c>
      <c r="I812" t="str">
        <f>IFERROR(VLOOKUP(B812,PN!$A:$C,3,FALSE),"")</f>
        <v>Active</v>
      </c>
      <c r="J812" s="3">
        <f>IFERROR(E812*VLOOKUP(B812,PLInter!$A:$D,3,FALSE),"")</f>
        <v>15300</v>
      </c>
      <c r="K812" s="66"/>
      <c r="L812" s="66"/>
      <c r="M812" s="66"/>
      <c r="N812" s="66"/>
      <c r="O812" s="66"/>
      <c r="P812" s="66"/>
      <c r="Q812" s="66"/>
      <c r="R812" s="66"/>
      <c r="S812" s="66"/>
    </row>
    <row r="813" spans="1:19" ht="18" customHeight="1">
      <c r="B813" t="s">
        <v>684</v>
      </c>
      <c r="C813" t="s">
        <v>685</v>
      </c>
      <c r="D813" s="4"/>
      <c r="E813" s="4">
        <v>1</v>
      </c>
      <c r="F813" s="4"/>
      <c r="G813" s="29" t="str">
        <f>IFERROR(HYPERLINK("#"&amp;ADDRESS(MATCH(B813&amp;"ES",'LM7 Non-ENG'!$A$1:$A$5000,0),1,,,"LM7 Non-ENG"),IF(IFERROR(VLOOKUP(B813&amp;"ES",'LM7 Non-ENG'!$A$1:$A$4999,1,FALSE),"ERROR")=B813&amp;"ES","Y","")),"")</f>
        <v/>
      </c>
      <c r="H813" s="29" t="str">
        <f>IFERROR(HYPERLINK("#"&amp;ADDRESS(MATCH(B813&amp;"PT",'LM7 Non-ENG'!$A$1:$A$5000,0),1,,,"LM7 Non-ENG"),IF(IFERROR(VLOOKUP(B813&amp;"PT",'LM7 Non-ENG'!$A$1:$A$5000,1,FALSE),"ERROR")=B813&amp;"PT","Y","")),"")</f>
        <v/>
      </c>
      <c r="I813" t="str">
        <f>IFERROR(VLOOKUP(B813,PN!$A:$C,3,FALSE),"")</f>
        <v>Active</v>
      </c>
      <c r="J813" s="3">
        <f>IFERROR(E813*VLOOKUP(B813,PLInter!$A:$D,3,FALSE),"")</f>
        <v>580</v>
      </c>
      <c r="K813" s="66"/>
      <c r="L813" s="66"/>
      <c r="M813" s="66"/>
      <c r="N813" s="66"/>
      <c r="O813" s="66"/>
      <c r="P813" s="66"/>
      <c r="Q813" s="66"/>
      <c r="R813" s="66"/>
      <c r="S813" s="66"/>
    </row>
    <row r="814" spans="1:19" ht="18" customHeight="1">
      <c r="B814" t="s">
        <v>682</v>
      </c>
      <c r="C814" t="s">
        <v>683</v>
      </c>
      <c r="D814" s="4"/>
      <c r="E814" s="4">
        <v>1</v>
      </c>
      <c r="F814" s="4"/>
      <c r="G814" s="29" t="str">
        <f>IFERROR(HYPERLINK("#"&amp;ADDRESS(MATCH(B814&amp;"ES",'LM7 Non-ENG'!$A$1:$A$5000,0),1,,,"LM7 Non-ENG"),IF(IFERROR(VLOOKUP(B814&amp;"ES",'LM7 Non-ENG'!$A$1:$A$4999,1,FALSE),"ERROR")=B814&amp;"ES","Y","")),"")</f>
        <v/>
      </c>
      <c r="H814" s="29" t="str">
        <f>IFERROR(HYPERLINK("#"&amp;ADDRESS(MATCH(B814&amp;"PT",'LM7 Non-ENG'!$A$1:$A$5000,0),1,,,"LM7 Non-ENG"),IF(IFERROR(VLOOKUP(B814&amp;"PT",'LM7 Non-ENG'!$A$1:$A$5000,1,FALSE),"ERROR")=B814&amp;"PT","Y","")),"")</f>
        <v/>
      </c>
      <c r="I814" t="str">
        <f>IFERROR(VLOOKUP(B814,PN!$A:$C,3,FALSE),"")</f>
        <v>Active</v>
      </c>
      <c r="J814" s="3">
        <f>IFERROR(E814*VLOOKUP(B814,PLInter!$A:$D,3,FALSE),"")</f>
        <v>494</v>
      </c>
      <c r="K814" s="66"/>
      <c r="L814" s="66"/>
      <c r="M814" s="66"/>
      <c r="N814" s="66"/>
      <c r="O814" s="66"/>
      <c r="P814" s="66"/>
      <c r="Q814" s="66"/>
      <c r="R814" s="66"/>
      <c r="S814" s="66"/>
    </row>
    <row r="815" spans="1:19" ht="18" customHeight="1">
      <c r="B815" t="str">
        <f>"021152"</f>
        <v>021152</v>
      </c>
      <c r="C815" s="41" t="s">
        <v>679</v>
      </c>
      <c r="D815" s="4"/>
      <c r="E815" s="4">
        <v>1</v>
      </c>
      <c r="F815" s="4"/>
      <c r="G815" s="29" t="str">
        <f>IFERROR(HYPERLINK("#"&amp;ADDRESS(MATCH(B815&amp;"ES",'LM7 Non-ENG'!$A$1:$A$5000,0),1,,,"LM7 Non-ENG"),IF(IFERROR(VLOOKUP(B815&amp;"ES",'LM7 Non-ENG'!$A$1:$A$4999,1,FALSE),"ERROR")=B815&amp;"ES","Y","")),"")</f>
        <v/>
      </c>
      <c r="H815" s="29" t="str">
        <f>IFERROR(HYPERLINK("#"&amp;ADDRESS(MATCH(B815&amp;"PT",'LM7 Non-ENG'!$A$1:$A$5000,0),1,,,"LM7 Non-ENG"),IF(IFERROR(VLOOKUP(B815&amp;"PT",'LM7 Non-ENG'!$A$1:$A$5000,1,FALSE),"ERROR")=B815&amp;"PT","Y","")),"")</f>
        <v/>
      </c>
      <c r="I815" t="str">
        <f>IFERROR(VLOOKUP(B815,PN!$A:$C,3,FALSE),"")</f>
        <v>Active</v>
      </c>
      <c r="J815" s="3">
        <f>IFERROR(E815*VLOOKUP(B815,PLInter!$A:$D,3,FALSE),"")</f>
        <v>240</v>
      </c>
      <c r="K815" s="66"/>
      <c r="L815" s="66"/>
      <c r="M815" s="66"/>
      <c r="N815" s="66"/>
      <c r="O815" s="66"/>
      <c r="P815" s="66"/>
      <c r="Q815" s="66"/>
      <c r="R815" s="66"/>
      <c r="S815" s="66"/>
    </row>
    <row r="816" spans="1:19" ht="18" customHeight="1">
      <c r="B816" t="s">
        <v>704</v>
      </c>
      <c r="C816" t="s">
        <v>705</v>
      </c>
      <c r="D816" s="4"/>
      <c r="E816" s="4">
        <v>1</v>
      </c>
      <c r="F816" s="4"/>
      <c r="G816" s="29" t="str">
        <f>IFERROR(HYPERLINK("#"&amp;ADDRESS(MATCH(B816&amp;"ES",'LM7 Non-ENG'!$A$1:$A$5000,0),1,,,"LM7 Non-ENG"),IF(IFERROR(VLOOKUP(B816&amp;"ES",'LM7 Non-ENG'!$A$1:$A$4999,1,FALSE),"ERROR")=B816&amp;"ES","Y","")),"")</f>
        <v/>
      </c>
      <c r="H816" s="29" t="str">
        <f>IFERROR(HYPERLINK("#"&amp;ADDRESS(MATCH(B816&amp;"PT",'LM7 Non-ENG'!$A$1:$A$5000,0),1,,,"LM7 Non-ENG"),IF(IFERROR(VLOOKUP(B816&amp;"PT",'LM7 Non-ENG'!$A$1:$A$5000,1,FALSE),"ERROR")=B816&amp;"PT","Y","")),"")</f>
        <v/>
      </c>
      <c r="I816" t="str">
        <f>IFERROR(VLOOKUP(B816,PN!$A:$C,3,FALSE),"")</f>
        <v>Active</v>
      </c>
      <c r="J816" s="3">
        <f>IFERROR(E816*VLOOKUP(B816,PLInter!$A:$D,3,FALSE),"")</f>
        <v>2640</v>
      </c>
      <c r="K816" s="66"/>
      <c r="L816" s="66"/>
      <c r="M816" s="66"/>
      <c r="N816" s="66"/>
      <c r="O816" s="66"/>
      <c r="P816" s="66"/>
      <c r="Q816" s="66"/>
      <c r="R816" s="66"/>
      <c r="S816" s="66"/>
    </row>
    <row r="817" spans="1:19" ht="18" customHeight="1">
      <c r="B817" t="s">
        <v>786</v>
      </c>
      <c r="C817" t="s">
        <v>787</v>
      </c>
      <c r="D817" s="4"/>
      <c r="E817" s="4">
        <v>1</v>
      </c>
      <c r="F817" s="4"/>
      <c r="G817" s="29" t="str">
        <f>IFERROR(HYPERLINK("#"&amp;ADDRESS(MATCH(B817&amp;"ES",'LM7 Non-ENG'!$A$1:$A$5000,0),1,,,"LM7 Non-ENG"),IF(IFERROR(VLOOKUP(B817&amp;"ES",'LM7 Non-ENG'!$A$1:$A$4999,1,FALSE),"ERROR")=B817&amp;"ES","Y","")),"")</f>
        <v/>
      </c>
      <c r="H817" s="29" t="str">
        <f>IFERROR(HYPERLINK("#"&amp;ADDRESS(MATCH(B817&amp;"PT",'LM7 Non-ENG'!$A$1:$A$5000,0),1,,,"LM7 Non-ENG"),IF(IFERROR(VLOOKUP(B817&amp;"PT",'LM7 Non-ENG'!$A$1:$A$5000,1,FALSE),"ERROR")=B817&amp;"PT","Y","")),"")</f>
        <v/>
      </c>
      <c r="I817" t="str">
        <f>IFERROR(VLOOKUP(B817,PN!$A:$C,3,FALSE),"")</f>
        <v>Active</v>
      </c>
      <c r="J817" s="3">
        <f>IFERROR(E817*VLOOKUP(B817,PLInter!$A:$D,3,FALSE),"")</f>
        <v>528</v>
      </c>
      <c r="K817" s="66"/>
      <c r="L817" s="66"/>
      <c r="M817" s="66"/>
      <c r="N817" s="66"/>
      <c r="O817" s="66"/>
      <c r="P817" s="66"/>
      <c r="Q817" s="66"/>
      <c r="R817" s="66"/>
      <c r="S817" s="66"/>
    </row>
    <row r="818" spans="1:19" ht="18" customHeight="1">
      <c r="B818" t="str">
        <f>"112496"</f>
        <v>112496</v>
      </c>
      <c r="C818" t="s">
        <v>696</v>
      </c>
      <c r="D818" s="4"/>
      <c r="E818" s="4">
        <v>50</v>
      </c>
      <c r="F818" s="4"/>
      <c r="G818" s="29" t="str">
        <f>IFERROR(HYPERLINK("#"&amp;ADDRESS(MATCH(B818&amp;"ES",'LM7 Non-ENG'!$A$1:$A$5000,0),1,,,"LM7 Non-ENG"),IF(IFERROR(VLOOKUP(B818&amp;"ES",'LM7 Non-ENG'!$A$1:$A$4999,1,FALSE),"ERROR")=B818&amp;"ES","Y","")),"")</f>
        <v/>
      </c>
      <c r="H818" s="29" t="str">
        <f>IFERROR(HYPERLINK("#"&amp;ADDRESS(MATCH(B818&amp;"PT",'LM7 Non-ENG'!$A$1:$A$5000,0),1,,,"LM7 Non-ENG"),IF(IFERROR(VLOOKUP(B818&amp;"PT",'LM7 Non-ENG'!$A$1:$A$5000,1,FALSE),"ERROR")=B818&amp;"PT","Y","")),"")</f>
        <v/>
      </c>
      <c r="I818" t="str">
        <f>IFERROR(VLOOKUP(B818,PN!$A:$C,3,FALSE),"")</f>
        <v>Active</v>
      </c>
      <c r="J818" s="3">
        <f>IFERROR(E818*VLOOKUP(B818,PLInter!$A:$D,3,FALSE),"")</f>
        <v>1000</v>
      </c>
      <c r="K818" s="66"/>
      <c r="L818" s="66"/>
      <c r="M818" s="66"/>
      <c r="N818" s="66"/>
      <c r="O818" s="66"/>
      <c r="P818" s="66"/>
      <c r="Q818" s="66"/>
      <c r="R818" s="66"/>
      <c r="S818" s="66"/>
    </row>
    <row r="819" spans="1:19" ht="18" customHeight="1">
      <c r="B819" t="s">
        <v>644</v>
      </c>
      <c r="C819" t="s">
        <v>645</v>
      </c>
      <c r="D819" s="4"/>
      <c r="E819" s="4">
        <v>1</v>
      </c>
      <c r="F819" s="4"/>
      <c r="G819" s="29" t="str">
        <f>IFERROR(HYPERLINK("#"&amp;ADDRESS(MATCH(B819&amp;"ES",'LM7 Non-ENG'!$A$1:$A$5000,0),1,,,"LM7 Non-ENG"),IF(IFERROR(VLOOKUP(B819&amp;"ES",'LM7 Non-ENG'!$A$1:$A$4999,1,FALSE),"ERROR")=B819&amp;"ES","Y","")),"")</f>
        <v/>
      </c>
      <c r="H819" s="29" t="str">
        <f>IFERROR(HYPERLINK("#"&amp;ADDRESS(MATCH(B819&amp;"PT",'LM7 Non-ENG'!$A$1:$A$5000,0),1,,,"LM7 Non-ENG"),IF(IFERROR(VLOOKUP(B819&amp;"PT",'LM7 Non-ENG'!$A$1:$A$5000,1,FALSE),"ERROR")=B819&amp;"PT","Y","")),"")</f>
        <v/>
      </c>
      <c r="I819" t="str">
        <f>IFERROR(VLOOKUP(B819,PN!$A:$C,3,FALSE),"")</f>
        <v>Active</v>
      </c>
      <c r="J819" s="3">
        <f>IFERROR(E819*VLOOKUP(B819,PLInter!$A:$D,3,FALSE),"")</f>
        <v>1800</v>
      </c>
      <c r="K819" s="66"/>
      <c r="L819" s="66"/>
      <c r="M819" s="66"/>
      <c r="N819" s="66"/>
      <c r="O819" s="66"/>
      <c r="P819" s="66"/>
      <c r="Q819" s="66"/>
      <c r="R819" s="66"/>
      <c r="S819" s="66"/>
    </row>
    <row r="820" spans="1:19" ht="18" customHeight="1">
      <c r="B820" t="s">
        <v>697</v>
      </c>
      <c r="C820" t="s">
        <v>698</v>
      </c>
      <c r="D820" s="4"/>
      <c r="E820" s="4">
        <v>1</v>
      </c>
      <c r="F820" s="4"/>
      <c r="G820" s="29" t="str">
        <f>IFERROR(HYPERLINK("#"&amp;ADDRESS(MATCH(B820&amp;"ES",'LM7 Non-ENG'!$A$1:$A$5000,0),1,,,"LM7 Non-ENG"),IF(IFERROR(VLOOKUP(B820&amp;"ES",'LM7 Non-ENG'!$A$1:$A$4999,1,FALSE),"ERROR")=B820&amp;"ES","Y","")),"")</f>
        <v/>
      </c>
      <c r="H820" s="29" t="str">
        <f>IFERROR(HYPERLINK("#"&amp;ADDRESS(MATCH(B820&amp;"PT",'LM7 Non-ENG'!$A$1:$A$5000,0),1,,,"LM7 Non-ENG"),IF(IFERROR(VLOOKUP(B820&amp;"PT",'LM7 Non-ENG'!$A$1:$A$5000,1,FALSE),"ERROR")=B820&amp;"PT","Y","")),"")</f>
        <v/>
      </c>
      <c r="I820" t="str">
        <f>IFERROR(VLOOKUP(B820,PN!$A:$C,3,FALSE),"")</f>
        <v>Active</v>
      </c>
      <c r="J820" s="3">
        <f>IFERROR(E820*VLOOKUP(B820,PLInter!$A:$D,3,FALSE),"")</f>
        <v>934</v>
      </c>
      <c r="K820" s="66"/>
      <c r="L820" s="66"/>
      <c r="M820" s="66"/>
      <c r="N820" s="66"/>
      <c r="O820" s="66"/>
      <c r="P820" s="66"/>
      <c r="Q820" s="66"/>
      <c r="R820" s="66"/>
      <c r="S820" s="66"/>
    </row>
    <row r="821" spans="1:19" ht="18" customHeight="1">
      <c r="B821" t="s">
        <v>630</v>
      </c>
      <c r="C821" t="s">
        <v>631</v>
      </c>
      <c r="D821" s="4"/>
      <c r="E821" s="4">
        <v>1</v>
      </c>
      <c r="F821" s="4"/>
      <c r="G821" s="29" t="str">
        <f>IFERROR(HYPERLINK("#"&amp;ADDRESS(MATCH(B821&amp;"ES",'LM7 Non-ENG'!$A$1:$A$5000,0),1,,,"LM7 Non-ENG"),IF(IFERROR(VLOOKUP(B821&amp;"ES",'LM7 Non-ENG'!$A$1:$A$4999,1,FALSE),"ERROR")=B821&amp;"ES","Y","")),"")</f>
        <v/>
      </c>
      <c r="H821" s="29" t="str">
        <f>IFERROR(HYPERLINK("#"&amp;ADDRESS(MATCH(B821&amp;"PT",'LM7 Non-ENG'!$A$1:$A$5000,0),1,,,"LM7 Non-ENG"),IF(IFERROR(VLOOKUP(B821&amp;"PT",'LM7 Non-ENG'!$A$1:$A$5000,1,FALSE),"ERROR")=B821&amp;"PT","Y","")),"")</f>
        <v/>
      </c>
      <c r="I821" t="str">
        <f>IFERROR(VLOOKUP(B821,PN!$A:$C,3,FALSE),"")</f>
        <v>Active</v>
      </c>
      <c r="J821" s="3">
        <f>IFERROR(E821*VLOOKUP(B821,PLInter!$A:$D,3,FALSE),"")</f>
        <v>1735</v>
      </c>
      <c r="K821" s="66"/>
      <c r="L821" s="66"/>
      <c r="M821" s="66"/>
      <c r="N821" s="66"/>
      <c r="O821" s="66"/>
      <c r="P821" s="66"/>
      <c r="Q821" s="66"/>
      <c r="R821" s="66"/>
      <c r="S821" s="66"/>
    </row>
    <row r="823" spans="1:19" s="7" customFormat="1" ht="18" customHeight="1">
      <c r="A823" s="13" t="s">
        <v>864</v>
      </c>
      <c r="B823" s="13"/>
      <c r="C823" s="13" t="s">
        <v>865</v>
      </c>
      <c r="D823" s="14"/>
      <c r="E823" s="14"/>
      <c r="F823" s="14"/>
      <c r="G823" s="14"/>
      <c r="H823" s="14"/>
      <c r="I823" s="14"/>
      <c r="J823" s="14">
        <f>SUMIFS(J824:J839,D824:D839,"&lt;&gt;Y",F824:F839,"&lt;&gt;Y",I824:I839,"&lt;&gt;Inactive",I824:I839,"&lt;&gt;ECO+NFS")</f>
        <v>119649</v>
      </c>
      <c r="K823" s="14"/>
      <c r="L823" s="14"/>
      <c r="M823" s="14"/>
      <c r="N823" s="14"/>
      <c r="O823" s="14"/>
      <c r="P823" s="14"/>
      <c r="Q823" s="14"/>
      <c r="R823" s="14"/>
      <c r="S823" s="14"/>
    </row>
    <row r="824" spans="1:19" ht="18" customHeight="1">
      <c r="A824" s="17" t="str">
        <f>HYPERLINK("#"&amp;ADDRESS(MATCH(A823,'CIM&amp;FMS'!$A$1:$A$4997,0),1,,,"CIM&amp;FMS"),"Back to Price List")</f>
        <v>Back to Price List</v>
      </c>
      <c r="B824" t="s">
        <v>855</v>
      </c>
      <c r="C824" t="s">
        <v>856</v>
      </c>
      <c r="D824" s="4"/>
      <c r="E824" s="4">
        <v>1</v>
      </c>
      <c r="F824" s="4"/>
      <c r="G824" s="29" t="str">
        <f>IFERROR(HYPERLINK("#"&amp;ADDRESS(MATCH(B824&amp;"ES",'LM7 Non-ENG'!$A$1:$A$5000,0),1,,,"LM7 Non-ENG"),IF(IFERROR(VLOOKUP(B824&amp;"ES",'LM7 Non-ENG'!$A$1:$A$4999,1,FALSE),"ERROR")=B824&amp;"ES","Y","")),"")</f>
        <v/>
      </c>
      <c r="H824" s="29" t="str">
        <f>IFERROR(HYPERLINK("#"&amp;ADDRESS(MATCH(B824&amp;"PT",'LM7 Non-ENG'!$A$1:$A$5000,0),1,,,"LM7 Non-ENG"),IF(IFERROR(VLOOKUP(B824&amp;"PT",'LM7 Non-ENG'!$A$1:$A$5000,1,FALSE),"ERROR")=B824&amp;"PT","Y","")),"")</f>
        <v/>
      </c>
      <c r="I824" t="str">
        <f>IFERROR(VLOOKUP(B824,PN!$A:$C,3,FALSE),"")</f>
        <v>Active</v>
      </c>
      <c r="J824" s="3">
        <f>IFERROR(E824*VLOOKUP(B824,PLInter!$A:$D,3,FALSE),"")</f>
        <v>6720</v>
      </c>
      <c r="K824" s="66"/>
      <c r="L824" s="66"/>
      <c r="M824" s="66"/>
      <c r="N824" s="66"/>
      <c r="O824" s="66"/>
      <c r="P824" s="66"/>
      <c r="Q824" s="66"/>
      <c r="R824" s="66"/>
      <c r="S824" s="66"/>
    </row>
    <row r="825" spans="1:19" ht="18" customHeight="1">
      <c r="B825" t="s">
        <v>231</v>
      </c>
      <c r="C825" t="s">
        <v>857</v>
      </c>
      <c r="D825" s="4"/>
      <c r="E825" s="4">
        <v>1</v>
      </c>
      <c r="F825" s="4"/>
      <c r="G825" s="29" t="str">
        <f>IFERROR(HYPERLINK("#"&amp;ADDRESS(MATCH(B825&amp;"ES",'LM7 Non-ENG'!$A$1:$A$5000,0),1,,,"LM7 Non-ENG"),IF(IFERROR(VLOOKUP(B825&amp;"ES",'LM7 Non-ENG'!$A$1:$A$4999,1,FALSE),"ERROR")=B825&amp;"ES","Y","")),"")</f>
        <v/>
      </c>
      <c r="H825" s="29" t="str">
        <f>IFERROR(HYPERLINK("#"&amp;ADDRESS(MATCH(B825&amp;"PT",'LM7 Non-ENG'!$A$1:$A$5000,0),1,,,"LM7 Non-ENG"),IF(IFERROR(VLOOKUP(B825&amp;"PT",'LM7 Non-ENG'!$A$1:$A$5000,1,FALSE),"ERROR")=B825&amp;"PT","Y","")),"")</f>
        <v/>
      </c>
      <c r="I825" t="str">
        <f>IFERROR(VLOOKUP(B825,PN!$A:$C,3,FALSE),"")</f>
        <v>ECO-N2Buy</v>
      </c>
      <c r="J825" s="3">
        <f>IFERROR(E825*VLOOKUP(B825,PLInter!$A:$D,3,FALSE),"")</f>
        <v>3200</v>
      </c>
      <c r="K825" s="66"/>
      <c r="L825" s="66"/>
      <c r="M825" s="66"/>
      <c r="N825" s="66"/>
      <c r="O825" s="66"/>
      <c r="P825" s="66"/>
      <c r="Q825" s="66"/>
      <c r="R825" s="66"/>
      <c r="S825" s="66"/>
    </row>
    <row r="826" spans="1:19" ht="18" customHeight="1">
      <c r="B826" t="s">
        <v>866</v>
      </c>
      <c r="C826" t="s">
        <v>867</v>
      </c>
      <c r="D826" s="4"/>
      <c r="E826" s="4">
        <v>1</v>
      </c>
      <c r="F826" s="4"/>
      <c r="G826" s="29" t="str">
        <f>IFERROR(HYPERLINK("#"&amp;ADDRESS(MATCH(B826&amp;"ES",'LM7 Non-ENG'!$A$1:$A$5000,0),1,,,"LM7 Non-ENG"),IF(IFERROR(VLOOKUP(B826&amp;"ES",'LM7 Non-ENG'!$A$1:$A$4999,1,FALSE),"ERROR")=B826&amp;"ES","Y","")),"")</f>
        <v/>
      </c>
      <c r="H826" s="29" t="str">
        <f>IFERROR(HYPERLINK("#"&amp;ADDRESS(MATCH(B826&amp;"PT",'LM7 Non-ENG'!$A$1:$A$5000,0),1,,,"LM7 Non-ENG"),IF(IFERROR(VLOOKUP(B826&amp;"PT",'LM7 Non-ENG'!$A$1:$A$5000,1,FALSE),"ERROR")=B826&amp;"PT","Y","")),"")</f>
        <v/>
      </c>
      <c r="I826" t="str">
        <f>IFERROR(VLOOKUP(B826,PN!$A:$C,3,FALSE),"")</f>
        <v>ECO-N2Buy</v>
      </c>
      <c r="J826" s="3">
        <f>IFERROR(E826*VLOOKUP(B826,PLInter!$A:$D,3,FALSE),"")</f>
        <v>93600</v>
      </c>
      <c r="K826" s="66"/>
      <c r="L826" s="66"/>
      <c r="M826" s="66"/>
      <c r="N826" s="66"/>
      <c r="O826" s="66"/>
      <c r="P826" s="66"/>
      <c r="Q826" s="66"/>
      <c r="R826" s="66"/>
      <c r="S826" s="66"/>
    </row>
    <row r="827" spans="1:19" ht="18" customHeight="1">
      <c r="B827" s="2" t="s">
        <v>868</v>
      </c>
      <c r="C827" s="2" t="s">
        <v>869</v>
      </c>
      <c r="D827" s="5"/>
      <c r="E827" s="5">
        <v>1</v>
      </c>
      <c r="F827" s="5" t="s">
        <v>0</v>
      </c>
      <c r="G827" s="29" t="str">
        <f>IFERROR(HYPERLINK("#"&amp;ADDRESS(MATCH(B827&amp;"ES",'LM7 Non-ENG'!$A$1:$A$5000,0),1,,,"LM7 Non-ENG"),IF(IFERROR(VLOOKUP(B827&amp;"ES",'LM7 Non-ENG'!$A$1:$A$4999,1,FALSE),"ERROR")=B827&amp;"ES","Y","")),"")</f>
        <v/>
      </c>
      <c r="H827" s="29" t="str">
        <f>IFERROR(HYPERLINK("#"&amp;ADDRESS(MATCH(B827&amp;"PT",'LM7 Non-ENG'!$A$1:$A$5000,0),1,,,"LM7 Non-ENG"),IF(IFERROR(VLOOKUP(B827&amp;"PT",'LM7 Non-ENG'!$A$1:$A$5000,1,FALSE),"ERROR")=B827&amp;"PT","Y","")),"")</f>
        <v/>
      </c>
      <c r="I827" t="str">
        <f>IFERROR(VLOOKUP(B827,PN!$A:$C,3,FALSE),"")</f>
        <v>ECO-N2Buy</v>
      </c>
      <c r="J827" s="3" t="str">
        <f>IFERROR(E827*VLOOKUP(B827,PLInter!$A:$D,3,FALSE),"")</f>
        <v/>
      </c>
      <c r="K827" s="66"/>
      <c r="L827" s="66"/>
      <c r="M827" s="66"/>
      <c r="N827" s="66"/>
      <c r="O827" s="66"/>
      <c r="P827" s="66"/>
      <c r="Q827" s="66"/>
      <c r="R827" s="66"/>
      <c r="S827" s="66"/>
    </row>
    <row r="828" spans="1:19" ht="18" customHeight="1">
      <c r="B828" s="2" t="s">
        <v>870</v>
      </c>
      <c r="C828" s="2" t="s">
        <v>871</v>
      </c>
      <c r="D828" s="5"/>
      <c r="E828" s="5">
        <v>1</v>
      </c>
      <c r="F828" s="5" t="s">
        <v>0</v>
      </c>
      <c r="G828" s="29" t="str">
        <f>IFERROR(HYPERLINK("#"&amp;ADDRESS(MATCH(B828&amp;"ES",'LM7 Non-ENG'!$A$1:$A$5000,0),1,,,"LM7 Non-ENG"),IF(IFERROR(VLOOKUP(B828&amp;"ES",'LM7 Non-ENG'!$A$1:$A$4999,1,FALSE),"ERROR")=B828&amp;"ES","Y","")),"")</f>
        <v/>
      </c>
      <c r="H828" s="29" t="str">
        <f>IFERROR(HYPERLINK("#"&amp;ADDRESS(MATCH(B828&amp;"PT",'LM7 Non-ENG'!$A$1:$A$5000,0),1,,,"LM7 Non-ENG"),IF(IFERROR(VLOOKUP(B828&amp;"PT",'LM7 Non-ENG'!$A$1:$A$5000,1,FALSE),"ERROR")=B828&amp;"PT","Y","")),"")</f>
        <v/>
      </c>
      <c r="I828" t="str">
        <f>IFERROR(VLOOKUP(B828,PN!$A:$C,3,FALSE),"")</f>
        <v>ECO-N2Buy</v>
      </c>
      <c r="J828" s="3">
        <f>IFERROR(E828*VLOOKUP(B828,PLInter!$A:$D,3,FALSE),"")</f>
        <v>45000</v>
      </c>
      <c r="K828" s="66"/>
      <c r="L828" s="66"/>
      <c r="M828" s="66"/>
      <c r="N828" s="66"/>
      <c r="O828" s="66"/>
      <c r="P828" s="66"/>
      <c r="Q828" s="66"/>
      <c r="R828" s="66"/>
      <c r="S828" s="66"/>
    </row>
    <row r="829" spans="1:19" ht="18" customHeight="1">
      <c r="B829" t="s">
        <v>684</v>
      </c>
      <c r="C829" t="s">
        <v>685</v>
      </c>
      <c r="D829" s="4"/>
      <c r="E829" s="4">
        <v>2</v>
      </c>
      <c r="F829" s="4"/>
      <c r="G829" s="29" t="str">
        <f>IFERROR(HYPERLINK("#"&amp;ADDRESS(MATCH(B829&amp;"ES",'LM7 Non-ENG'!$A$1:$A$5000,0),1,,,"LM7 Non-ENG"),IF(IFERROR(VLOOKUP(B829&amp;"ES",'LM7 Non-ENG'!$A$1:$A$4999,1,FALSE),"ERROR")=B829&amp;"ES","Y","")),"")</f>
        <v/>
      </c>
      <c r="H829" s="29" t="str">
        <f>IFERROR(HYPERLINK("#"&amp;ADDRESS(MATCH(B829&amp;"PT",'LM7 Non-ENG'!$A$1:$A$5000,0),1,,,"LM7 Non-ENG"),IF(IFERROR(VLOOKUP(B829&amp;"PT",'LM7 Non-ENG'!$A$1:$A$5000,1,FALSE),"ERROR")=B829&amp;"PT","Y","")),"")</f>
        <v/>
      </c>
      <c r="I829" t="str">
        <f>IFERROR(VLOOKUP(B829,PN!$A:$C,3,FALSE),"")</f>
        <v>Active</v>
      </c>
      <c r="J829" s="3">
        <f>IFERROR(E829*VLOOKUP(B829,PLInter!$A:$D,3,FALSE),"")</f>
        <v>1160</v>
      </c>
      <c r="K829" s="66"/>
      <c r="L829" s="66"/>
      <c r="M829" s="66"/>
      <c r="N829" s="66"/>
      <c r="O829" s="66"/>
      <c r="P829" s="66"/>
      <c r="Q829" s="66"/>
      <c r="R829" s="66"/>
      <c r="S829" s="66"/>
    </row>
    <row r="830" spans="1:19" ht="18" customHeight="1">
      <c r="B830" t="s">
        <v>682</v>
      </c>
      <c r="C830" t="s">
        <v>683</v>
      </c>
      <c r="D830" s="4"/>
      <c r="E830" s="4">
        <v>1</v>
      </c>
      <c r="F830" s="4"/>
      <c r="G830" s="29" t="str">
        <f>IFERROR(HYPERLINK("#"&amp;ADDRESS(MATCH(B830&amp;"ES",'LM7 Non-ENG'!$A$1:$A$5000,0),1,,,"LM7 Non-ENG"),IF(IFERROR(VLOOKUP(B830&amp;"ES",'LM7 Non-ENG'!$A$1:$A$4999,1,FALSE),"ERROR")=B830&amp;"ES","Y","")),"")</f>
        <v/>
      </c>
      <c r="H830" s="29" t="str">
        <f>IFERROR(HYPERLINK("#"&amp;ADDRESS(MATCH(B830&amp;"PT",'LM7 Non-ENG'!$A$1:$A$5000,0),1,,,"LM7 Non-ENG"),IF(IFERROR(VLOOKUP(B830&amp;"PT",'LM7 Non-ENG'!$A$1:$A$5000,1,FALSE),"ERROR")=B830&amp;"PT","Y","")),"")</f>
        <v/>
      </c>
      <c r="I830" t="str">
        <f>IFERROR(VLOOKUP(B830,PN!$A:$C,3,FALSE),"")</f>
        <v>Active</v>
      </c>
      <c r="J830" s="3">
        <f>IFERROR(E830*VLOOKUP(B830,PLInter!$A:$D,3,FALSE),"")</f>
        <v>494</v>
      </c>
      <c r="K830" s="66"/>
      <c r="L830" s="66"/>
      <c r="M830" s="66"/>
      <c r="N830" s="66"/>
      <c r="O830" s="66"/>
      <c r="P830" s="66"/>
      <c r="Q830" s="66"/>
      <c r="R830" s="66"/>
      <c r="S830" s="66"/>
    </row>
    <row r="831" spans="1:19" ht="18" customHeight="1">
      <c r="B831" t="s">
        <v>680</v>
      </c>
      <c r="C831" t="s">
        <v>681</v>
      </c>
      <c r="D831" s="4"/>
      <c r="E831" s="4">
        <v>1</v>
      </c>
      <c r="F831" s="4"/>
      <c r="G831" s="29" t="str">
        <f>IFERROR(HYPERLINK("#"&amp;ADDRESS(MATCH(B831&amp;"ES",'LM7 Non-ENG'!$A$1:$A$5000,0),1,,,"LM7 Non-ENG"),IF(IFERROR(VLOOKUP(B831&amp;"ES",'LM7 Non-ENG'!$A$1:$A$4999,1,FALSE),"ERROR")=B831&amp;"ES","Y","")),"")</f>
        <v/>
      </c>
      <c r="H831" s="29" t="str">
        <f>IFERROR(HYPERLINK("#"&amp;ADDRESS(MATCH(B831&amp;"PT",'LM7 Non-ENG'!$A$1:$A$5000,0),1,,,"LM7 Non-ENG"),IF(IFERROR(VLOOKUP(B831&amp;"PT",'LM7 Non-ENG'!$A$1:$A$5000,1,FALSE),"ERROR")=B831&amp;"PT","Y","")),"")</f>
        <v/>
      </c>
      <c r="I831" t="str">
        <f>IFERROR(VLOOKUP(B831,PN!$A:$C,3,FALSE),"")</f>
        <v>Active</v>
      </c>
      <c r="J831" s="3">
        <f>IFERROR(E831*VLOOKUP(B831,PLInter!$A:$D,3,FALSE),"")</f>
        <v>1440</v>
      </c>
      <c r="K831" s="66"/>
      <c r="L831" s="66"/>
      <c r="M831" s="66"/>
      <c r="N831" s="66"/>
      <c r="O831" s="66"/>
      <c r="P831" s="66"/>
      <c r="Q831" s="66"/>
      <c r="R831" s="66"/>
      <c r="S831" s="66"/>
    </row>
    <row r="832" spans="1:19" ht="18" customHeight="1">
      <c r="B832" t="str">
        <f>"021152"</f>
        <v>021152</v>
      </c>
      <c r="C832" s="41" t="s">
        <v>679</v>
      </c>
      <c r="D832" s="4"/>
      <c r="E832" s="4">
        <v>2</v>
      </c>
      <c r="F832" s="4"/>
      <c r="G832" s="29" t="str">
        <f>IFERROR(HYPERLINK("#"&amp;ADDRESS(MATCH(B832&amp;"ES",'LM7 Non-ENG'!$A$1:$A$5000,0),1,,,"LM7 Non-ENG"),IF(IFERROR(VLOOKUP(B832&amp;"ES",'LM7 Non-ENG'!$A$1:$A$4999,1,FALSE),"ERROR")=B832&amp;"ES","Y","")),"")</f>
        <v/>
      </c>
      <c r="H832" s="29" t="str">
        <f>IFERROR(HYPERLINK("#"&amp;ADDRESS(MATCH(B832&amp;"PT",'LM7 Non-ENG'!$A$1:$A$5000,0),1,,,"LM7 Non-ENG"),IF(IFERROR(VLOOKUP(B832&amp;"PT",'LM7 Non-ENG'!$A$1:$A$5000,1,FALSE),"ERROR")=B832&amp;"PT","Y","")),"")</f>
        <v/>
      </c>
      <c r="I832" t="str">
        <f>IFERROR(VLOOKUP(B832,PN!$A:$C,3,FALSE),"")</f>
        <v>Active</v>
      </c>
      <c r="J832" s="3">
        <f>IFERROR(E832*VLOOKUP(B832,PLInter!$A:$D,3,FALSE),"")</f>
        <v>480</v>
      </c>
      <c r="K832" s="66"/>
      <c r="L832" s="66"/>
      <c r="M832" s="66"/>
      <c r="N832" s="66"/>
      <c r="O832" s="66"/>
      <c r="P832" s="66"/>
      <c r="Q832" s="66"/>
      <c r="R832" s="66"/>
      <c r="S832" s="66"/>
    </row>
    <row r="833" spans="1:19" ht="18" customHeight="1">
      <c r="B833" t="s">
        <v>704</v>
      </c>
      <c r="C833" t="s">
        <v>705</v>
      </c>
      <c r="D833" s="4"/>
      <c r="E833" s="4">
        <v>2</v>
      </c>
      <c r="F833" s="4"/>
      <c r="G833" s="29" t="str">
        <f>IFERROR(HYPERLINK("#"&amp;ADDRESS(MATCH(B833&amp;"ES",'LM7 Non-ENG'!$A$1:$A$5000,0),1,,,"LM7 Non-ENG"),IF(IFERROR(VLOOKUP(B833&amp;"ES",'LM7 Non-ENG'!$A$1:$A$4999,1,FALSE),"ERROR")=B833&amp;"ES","Y","")),"")</f>
        <v/>
      </c>
      <c r="H833" s="29" t="str">
        <f>IFERROR(HYPERLINK("#"&amp;ADDRESS(MATCH(B833&amp;"PT",'LM7 Non-ENG'!$A$1:$A$5000,0),1,,,"LM7 Non-ENG"),IF(IFERROR(VLOOKUP(B833&amp;"PT",'LM7 Non-ENG'!$A$1:$A$5000,1,FALSE),"ERROR")=B833&amp;"PT","Y","")),"")</f>
        <v/>
      </c>
      <c r="I833" t="str">
        <f>IFERROR(VLOOKUP(B833,PN!$A:$C,3,FALSE),"")</f>
        <v>Active</v>
      </c>
      <c r="J833" s="3">
        <f>IFERROR(E833*VLOOKUP(B833,PLInter!$A:$D,3,FALSE),"")</f>
        <v>5280</v>
      </c>
      <c r="K833" s="66"/>
      <c r="L833" s="66"/>
      <c r="M833" s="66"/>
      <c r="N833" s="66"/>
      <c r="O833" s="66"/>
      <c r="P833" s="66"/>
      <c r="Q833" s="66"/>
      <c r="R833" s="66"/>
      <c r="S833" s="66"/>
    </row>
    <row r="834" spans="1:19" ht="18" customHeight="1">
      <c r="B834" t="s">
        <v>786</v>
      </c>
      <c r="C834" t="s">
        <v>787</v>
      </c>
      <c r="D834" s="4"/>
      <c r="E834" s="4">
        <v>2</v>
      </c>
      <c r="F834" s="4"/>
      <c r="G834" s="29" t="str">
        <f>IFERROR(HYPERLINK("#"&amp;ADDRESS(MATCH(B834&amp;"ES",'LM7 Non-ENG'!$A$1:$A$5000,0),1,,,"LM7 Non-ENG"),IF(IFERROR(VLOOKUP(B834&amp;"ES",'LM7 Non-ENG'!$A$1:$A$4999,1,FALSE),"ERROR")=B834&amp;"ES","Y","")),"")</f>
        <v/>
      </c>
      <c r="H834" s="29" t="str">
        <f>IFERROR(HYPERLINK("#"&amp;ADDRESS(MATCH(B834&amp;"PT",'LM7 Non-ENG'!$A$1:$A$5000,0),1,,,"LM7 Non-ENG"),IF(IFERROR(VLOOKUP(B834&amp;"PT",'LM7 Non-ENG'!$A$1:$A$5000,1,FALSE),"ERROR")=B834&amp;"PT","Y","")),"")</f>
        <v/>
      </c>
      <c r="I834" t="str">
        <f>IFERROR(VLOOKUP(B834,PN!$A:$C,3,FALSE),"")</f>
        <v>Active</v>
      </c>
      <c r="J834" s="3">
        <f>IFERROR(E834*VLOOKUP(B834,PLInter!$A:$D,3,FALSE),"")</f>
        <v>1056</v>
      </c>
      <c r="K834" s="66"/>
      <c r="L834" s="66"/>
      <c r="M834" s="66"/>
      <c r="N834" s="66"/>
      <c r="O834" s="66"/>
      <c r="P834" s="66"/>
      <c r="Q834" s="66"/>
      <c r="R834" s="66"/>
      <c r="S834" s="66"/>
    </row>
    <row r="835" spans="1:19" ht="18" customHeight="1">
      <c r="B835" t="str">
        <f>"113034"</f>
        <v>113034</v>
      </c>
      <c r="C835" t="s">
        <v>695</v>
      </c>
      <c r="D835" s="4"/>
      <c r="E835" s="4">
        <v>50</v>
      </c>
      <c r="F835" s="4"/>
      <c r="G835" s="29" t="str">
        <f>IFERROR(HYPERLINK("#"&amp;ADDRESS(MATCH(B835&amp;"ES",'LM7 Non-ENG'!$A$1:$A$5000,0),1,,,"LM7 Non-ENG"),IF(IFERROR(VLOOKUP(B835&amp;"ES",'LM7 Non-ENG'!$A$1:$A$4999,1,FALSE),"ERROR")=B835&amp;"ES","Y","")),"")</f>
        <v/>
      </c>
      <c r="H835" s="29" t="str">
        <f>IFERROR(HYPERLINK("#"&amp;ADDRESS(MATCH(B835&amp;"PT",'LM7 Non-ENG'!$A$1:$A$5000,0),1,,,"LM7 Non-ENG"),IF(IFERROR(VLOOKUP(B835&amp;"PT",'LM7 Non-ENG'!$A$1:$A$5000,1,FALSE),"ERROR")=B835&amp;"PT","Y","")),"")</f>
        <v/>
      </c>
      <c r="I835" t="str">
        <f>IFERROR(VLOOKUP(B835,PN!$A:$C,3,FALSE),"")</f>
        <v>Active</v>
      </c>
      <c r="J835" s="3">
        <f>IFERROR(E835*VLOOKUP(B835,PLInter!$A:$D,3,FALSE),"")</f>
        <v>750</v>
      </c>
      <c r="K835" s="66"/>
      <c r="L835" s="66"/>
      <c r="M835" s="66"/>
      <c r="N835" s="66"/>
      <c r="O835" s="66"/>
      <c r="P835" s="66"/>
      <c r="Q835" s="66"/>
      <c r="R835" s="66"/>
      <c r="S835" s="66"/>
    </row>
    <row r="836" spans="1:19" ht="18" customHeight="1">
      <c r="B836" t="str">
        <f>"112496"</f>
        <v>112496</v>
      </c>
      <c r="C836" t="s">
        <v>696</v>
      </c>
      <c r="D836" s="4"/>
      <c r="E836" s="4">
        <v>50</v>
      </c>
      <c r="F836" s="4"/>
      <c r="G836" s="29" t="str">
        <f>IFERROR(HYPERLINK("#"&amp;ADDRESS(MATCH(B836&amp;"ES",'LM7 Non-ENG'!$A$1:$A$5000,0),1,,,"LM7 Non-ENG"),IF(IFERROR(VLOOKUP(B836&amp;"ES",'LM7 Non-ENG'!$A$1:$A$4999,1,FALSE),"ERROR")=B836&amp;"ES","Y","")),"")</f>
        <v/>
      </c>
      <c r="H836" s="29" t="str">
        <f>IFERROR(HYPERLINK("#"&amp;ADDRESS(MATCH(B836&amp;"PT",'LM7 Non-ENG'!$A$1:$A$5000,0),1,,,"LM7 Non-ENG"),IF(IFERROR(VLOOKUP(B836&amp;"PT",'LM7 Non-ENG'!$A$1:$A$5000,1,FALSE),"ERROR")=B836&amp;"PT","Y","")),"")</f>
        <v/>
      </c>
      <c r="I836" t="str">
        <f>IFERROR(VLOOKUP(B836,PN!$A:$C,3,FALSE),"")</f>
        <v>Active</v>
      </c>
      <c r="J836" s="3">
        <f>IFERROR(E836*VLOOKUP(B836,PLInter!$A:$D,3,FALSE),"")</f>
        <v>1000</v>
      </c>
      <c r="K836" s="66"/>
      <c r="L836" s="66"/>
      <c r="M836" s="66"/>
      <c r="N836" s="66"/>
      <c r="O836" s="66"/>
      <c r="P836" s="66"/>
      <c r="Q836" s="66"/>
      <c r="R836" s="66"/>
      <c r="S836" s="66"/>
    </row>
    <row r="837" spans="1:19" ht="18" customHeight="1">
      <c r="B837" t="s">
        <v>644</v>
      </c>
      <c r="C837" t="s">
        <v>645</v>
      </c>
      <c r="D837" s="4"/>
      <c r="E837" s="4">
        <v>1</v>
      </c>
      <c r="F837" s="4"/>
      <c r="G837" s="29" t="str">
        <f>IFERROR(HYPERLINK("#"&amp;ADDRESS(MATCH(B837&amp;"ES",'LM7 Non-ENG'!$A$1:$A$5000,0),1,,,"LM7 Non-ENG"),IF(IFERROR(VLOOKUP(B837&amp;"ES",'LM7 Non-ENG'!$A$1:$A$4999,1,FALSE),"ERROR")=B837&amp;"ES","Y","")),"")</f>
        <v/>
      </c>
      <c r="H837" s="29" t="str">
        <f>IFERROR(HYPERLINK("#"&amp;ADDRESS(MATCH(B837&amp;"PT",'LM7 Non-ENG'!$A$1:$A$5000,0),1,,,"LM7 Non-ENG"),IF(IFERROR(VLOOKUP(B837&amp;"PT",'LM7 Non-ENG'!$A$1:$A$5000,1,FALSE),"ERROR")=B837&amp;"PT","Y","")),"")</f>
        <v/>
      </c>
      <c r="I837" t="str">
        <f>IFERROR(VLOOKUP(B837,PN!$A:$C,3,FALSE),"")</f>
        <v>Active</v>
      </c>
      <c r="J837" s="3">
        <f>IFERROR(E837*VLOOKUP(B837,PLInter!$A:$D,3,FALSE),"")</f>
        <v>1800</v>
      </c>
      <c r="K837" s="66"/>
      <c r="L837" s="66"/>
      <c r="M837" s="66"/>
      <c r="N837" s="66"/>
      <c r="O837" s="66"/>
      <c r="P837" s="66"/>
      <c r="Q837" s="66"/>
      <c r="R837" s="66"/>
      <c r="S837" s="66"/>
    </row>
    <row r="838" spans="1:19" ht="18" customHeight="1">
      <c r="B838" t="s">
        <v>697</v>
      </c>
      <c r="C838" t="s">
        <v>698</v>
      </c>
      <c r="D838" s="4"/>
      <c r="E838" s="4">
        <v>1</v>
      </c>
      <c r="F838" s="4"/>
      <c r="G838" s="29" t="str">
        <f>IFERROR(HYPERLINK("#"&amp;ADDRESS(MATCH(B838&amp;"ES",'LM7 Non-ENG'!$A$1:$A$5000,0),1,,,"LM7 Non-ENG"),IF(IFERROR(VLOOKUP(B838&amp;"ES",'LM7 Non-ENG'!$A$1:$A$4999,1,FALSE),"ERROR")=B838&amp;"ES","Y","")),"")</f>
        <v/>
      </c>
      <c r="H838" s="29" t="str">
        <f>IFERROR(HYPERLINK("#"&amp;ADDRESS(MATCH(B838&amp;"PT",'LM7 Non-ENG'!$A$1:$A$5000,0),1,,,"LM7 Non-ENG"),IF(IFERROR(VLOOKUP(B838&amp;"PT",'LM7 Non-ENG'!$A$1:$A$5000,1,FALSE),"ERROR")=B838&amp;"PT","Y","")),"")</f>
        <v/>
      </c>
      <c r="I838" t="str">
        <f>IFERROR(VLOOKUP(B838,PN!$A:$C,3,FALSE),"")</f>
        <v>Active</v>
      </c>
      <c r="J838" s="3">
        <f>IFERROR(E838*VLOOKUP(B838,PLInter!$A:$D,3,FALSE),"")</f>
        <v>934</v>
      </c>
      <c r="K838" s="66"/>
      <c r="L838" s="66"/>
      <c r="M838" s="66"/>
      <c r="N838" s="66"/>
      <c r="O838" s="66"/>
      <c r="P838" s="66"/>
      <c r="Q838" s="66"/>
      <c r="R838" s="66"/>
      <c r="S838" s="66"/>
    </row>
    <row r="839" spans="1:19" ht="18" customHeight="1">
      <c r="B839" t="s">
        <v>630</v>
      </c>
      <c r="C839" t="s">
        <v>631</v>
      </c>
      <c r="D839" s="4"/>
      <c r="E839" s="4">
        <v>1</v>
      </c>
      <c r="F839" s="4"/>
      <c r="G839" s="29" t="str">
        <f>IFERROR(HYPERLINK("#"&amp;ADDRESS(MATCH(B839&amp;"ES",'LM7 Non-ENG'!$A$1:$A$5000,0),1,,,"LM7 Non-ENG"),IF(IFERROR(VLOOKUP(B839&amp;"ES",'LM7 Non-ENG'!$A$1:$A$4999,1,FALSE),"ERROR")=B839&amp;"ES","Y","")),"")</f>
        <v/>
      </c>
      <c r="H839" s="29" t="str">
        <f>IFERROR(HYPERLINK("#"&amp;ADDRESS(MATCH(B839&amp;"PT",'LM7 Non-ENG'!$A$1:$A$5000,0),1,,,"LM7 Non-ENG"),IF(IFERROR(VLOOKUP(B839&amp;"PT",'LM7 Non-ENG'!$A$1:$A$5000,1,FALSE),"ERROR")=B839&amp;"PT","Y","")),"")</f>
        <v/>
      </c>
      <c r="I839" t="str">
        <f>IFERROR(VLOOKUP(B839,PN!$A:$C,3,FALSE),"")</f>
        <v>Active</v>
      </c>
      <c r="J839" s="3">
        <f>IFERROR(E839*VLOOKUP(B839,PLInter!$A:$D,3,FALSE),"")</f>
        <v>1735</v>
      </c>
      <c r="K839" s="66"/>
      <c r="L839" s="66"/>
      <c r="M839" s="66"/>
      <c r="N839" s="66"/>
      <c r="O839" s="66"/>
      <c r="P839" s="66"/>
      <c r="Q839" s="66"/>
      <c r="R839" s="66"/>
      <c r="S839" s="66"/>
    </row>
    <row r="841" spans="1:19" s="7" customFormat="1" ht="18" customHeight="1">
      <c r="A841" s="13" t="s">
        <v>872</v>
      </c>
      <c r="B841" s="13"/>
      <c r="C841" s="13" t="s">
        <v>873</v>
      </c>
      <c r="D841" s="14"/>
      <c r="E841" s="14"/>
      <c r="F841" s="14"/>
      <c r="G841" s="14"/>
      <c r="H841" s="14"/>
      <c r="I841" s="14"/>
      <c r="J841" s="14">
        <f>SUMIFS(J842:J856,D842:D856,"&lt;&gt;Y",F842:F856,"&lt;&gt;Y",I842:I856,"&lt;&gt;Inactive",I842:I856,"&lt;&gt;ECO+NFS")</f>
        <v>24609</v>
      </c>
      <c r="K841" s="14"/>
      <c r="L841" s="14"/>
      <c r="M841" s="14"/>
      <c r="N841" s="14"/>
      <c r="O841" s="14"/>
      <c r="P841" s="14"/>
      <c r="Q841" s="14"/>
      <c r="R841" s="14"/>
      <c r="S841" s="14"/>
    </row>
    <row r="842" spans="1:19" ht="18" customHeight="1">
      <c r="A842" s="17" t="str">
        <f>HYPERLINK("#"&amp;ADDRESS(MATCH(A841,'CIM&amp;FMS'!$A$1:$A$4997,0),1,,,"CIM&amp;FMS"),"Back to Price List")</f>
        <v>Back to Price List</v>
      </c>
      <c r="B842" t="s">
        <v>855</v>
      </c>
      <c r="C842" t="s">
        <v>856</v>
      </c>
      <c r="D842" s="4"/>
      <c r="E842" s="4">
        <v>1</v>
      </c>
      <c r="F842" s="4"/>
      <c r="G842" s="29" t="str">
        <f>IFERROR(HYPERLINK("#"&amp;ADDRESS(MATCH(B842&amp;"ES",'LM7 Non-ENG'!$A$1:$A$5000,0),1,,,"LM7 Non-ENG"),IF(IFERROR(VLOOKUP(B842&amp;"ES",'LM7 Non-ENG'!$A$1:$A$4999,1,FALSE),"ERROR")=B842&amp;"ES","Y","")),"")</f>
        <v/>
      </c>
      <c r="H842" s="29" t="str">
        <f>IFERROR(HYPERLINK("#"&amp;ADDRESS(MATCH(B842&amp;"PT",'LM7 Non-ENG'!$A$1:$A$5000,0),1,,,"LM7 Non-ENG"),IF(IFERROR(VLOOKUP(B842&amp;"PT",'LM7 Non-ENG'!$A$1:$A$5000,1,FALSE),"ERROR")=B842&amp;"PT","Y","")),"")</f>
        <v/>
      </c>
      <c r="I842" t="str">
        <f>IFERROR(VLOOKUP(B842,PN!$A:$C,3,FALSE),"")</f>
        <v>Active</v>
      </c>
      <c r="J842" s="3">
        <f>IFERROR(E842*VLOOKUP(B842,PLInter!$A:$D,3,FALSE),"")</f>
        <v>6720</v>
      </c>
      <c r="K842" s="66"/>
      <c r="L842" s="66"/>
      <c r="M842" s="66"/>
      <c r="N842" s="66"/>
      <c r="O842" s="66"/>
      <c r="P842" s="66"/>
      <c r="Q842" s="66"/>
      <c r="R842" s="66"/>
      <c r="S842" s="66"/>
    </row>
    <row r="843" spans="1:19" ht="18" customHeight="1">
      <c r="B843" t="s">
        <v>231</v>
      </c>
      <c r="C843" t="s">
        <v>874</v>
      </c>
      <c r="D843" s="4"/>
      <c r="E843" s="4">
        <v>1</v>
      </c>
      <c r="F843" s="4"/>
      <c r="G843" s="29" t="str">
        <f>IFERROR(HYPERLINK("#"&amp;ADDRESS(MATCH(B843&amp;"ES",'LM7 Non-ENG'!$A$1:$A$5000,0),1,,,"LM7 Non-ENG"),IF(IFERROR(VLOOKUP(B843&amp;"ES",'LM7 Non-ENG'!$A$1:$A$4999,1,FALSE),"ERROR")=B843&amp;"ES","Y","")),"")</f>
        <v/>
      </c>
      <c r="H843" s="29" t="str">
        <f>IFERROR(HYPERLINK("#"&amp;ADDRESS(MATCH(B843&amp;"PT",'LM7 Non-ENG'!$A$1:$A$5000,0),1,,,"LM7 Non-ENG"),IF(IFERROR(VLOOKUP(B843&amp;"PT",'LM7 Non-ENG'!$A$1:$A$5000,1,FALSE),"ERROR")=B843&amp;"PT","Y","")),"")</f>
        <v/>
      </c>
      <c r="I843" t="str">
        <f>IFERROR(VLOOKUP(B843,PN!$A:$C,3,FALSE),"")</f>
        <v>ECO-N2Buy</v>
      </c>
      <c r="J843" s="3">
        <f>IFERROR(E843*VLOOKUP(B843,PLInter!$A:$D,3,FALSE),"")</f>
        <v>3200</v>
      </c>
      <c r="K843" s="66"/>
      <c r="L843" s="66"/>
      <c r="M843" s="66"/>
      <c r="N843" s="66"/>
      <c r="O843" s="66"/>
      <c r="P843" s="66"/>
      <c r="Q843" s="66"/>
      <c r="R843" s="66"/>
      <c r="S843" s="66"/>
    </row>
    <row r="844" spans="1:19" ht="18" customHeight="1">
      <c r="B844" t="s">
        <v>684</v>
      </c>
      <c r="C844" t="s">
        <v>685</v>
      </c>
      <c r="D844" s="4"/>
      <c r="E844" s="4">
        <v>2</v>
      </c>
      <c r="F844" s="4"/>
      <c r="G844" s="29" t="str">
        <f>IFERROR(HYPERLINK("#"&amp;ADDRESS(MATCH(B844&amp;"ES",'LM7 Non-ENG'!$A$1:$A$5000,0),1,,,"LM7 Non-ENG"),IF(IFERROR(VLOOKUP(B844&amp;"ES",'LM7 Non-ENG'!$A$1:$A$4999,1,FALSE),"ERROR")=B844&amp;"ES","Y","")),"")</f>
        <v/>
      </c>
      <c r="H844" s="29" t="str">
        <f>IFERROR(HYPERLINK("#"&amp;ADDRESS(MATCH(B844&amp;"PT",'LM7 Non-ENG'!$A$1:$A$5000,0),1,,,"LM7 Non-ENG"),IF(IFERROR(VLOOKUP(B844&amp;"PT",'LM7 Non-ENG'!$A$1:$A$5000,1,FALSE),"ERROR")=B844&amp;"PT","Y","")),"")</f>
        <v/>
      </c>
      <c r="I844" t="str">
        <f>IFERROR(VLOOKUP(B844,PN!$A:$C,3,FALSE),"")</f>
        <v>Active</v>
      </c>
      <c r="J844" s="3">
        <f>IFERROR(E844*VLOOKUP(B844,PLInter!$A:$D,3,FALSE),"")</f>
        <v>1160</v>
      </c>
      <c r="K844" s="66"/>
      <c r="L844" s="66"/>
      <c r="M844" s="66"/>
      <c r="N844" s="66"/>
      <c r="O844" s="66"/>
      <c r="P844" s="66"/>
      <c r="Q844" s="66"/>
      <c r="R844" s="66"/>
      <c r="S844" s="66"/>
    </row>
    <row r="845" spans="1:19" ht="18" customHeight="1">
      <c r="B845" t="s">
        <v>682</v>
      </c>
      <c r="C845" t="s">
        <v>683</v>
      </c>
      <c r="D845" s="4"/>
      <c r="E845" s="4">
        <v>1</v>
      </c>
      <c r="F845" s="4"/>
      <c r="G845" s="29" t="str">
        <f>IFERROR(HYPERLINK("#"&amp;ADDRESS(MATCH(B845&amp;"ES",'LM7 Non-ENG'!$A$1:$A$5000,0),1,,,"LM7 Non-ENG"),IF(IFERROR(VLOOKUP(B845&amp;"ES",'LM7 Non-ENG'!$A$1:$A$4999,1,FALSE),"ERROR")=B845&amp;"ES","Y","")),"")</f>
        <v/>
      </c>
      <c r="H845" s="29" t="str">
        <f>IFERROR(HYPERLINK("#"&amp;ADDRESS(MATCH(B845&amp;"PT",'LM7 Non-ENG'!$A$1:$A$5000,0),1,,,"LM7 Non-ENG"),IF(IFERROR(VLOOKUP(B845&amp;"PT",'LM7 Non-ENG'!$A$1:$A$5000,1,FALSE),"ERROR")=B845&amp;"PT","Y","")),"")</f>
        <v/>
      </c>
      <c r="I845" t="str">
        <f>IFERROR(VLOOKUP(B845,PN!$A:$C,3,FALSE),"")</f>
        <v>Active</v>
      </c>
      <c r="J845" s="3">
        <f>IFERROR(E845*VLOOKUP(B845,PLInter!$A:$D,3,FALSE),"")</f>
        <v>494</v>
      </c>
      <c r="K845" s="66"/>
      <c r="L845" s="66"/>
      <c r="M845" s="66"/>
      <c r="N845" s="66"/>
      <c r="O845" s="66"/>
      <c r="P845" s="66"/>
      <c r="Q845" s="66"/>
      <c r="R845" s="66"/>
      <c r="S845" s="66"/>
    </row>
    <row r="846" spans="1:19" ht="18" customHeight="1">
      <c r="B846" t="s">
        <v>680</v>
      </c>
      <c r="C846" t="s">
        <v>681</v>
      </c>
      <c r="D846" s="4"/>
      <c r="E846" s="4">
        <v>1</v>
      </c>
      <c r="F846" s="4"/>
      <c r="G846" s="29" t="str">
        <f>IFERROR(HYPERLINK("#"&amp;ADDRESS(MATCH(B846&amp;"ES",'LM7 Non-ENG'!$A$1:$A$5000,0),1,,,"LM7 Non-ENG"),IF(IFERROR(VLOOKUP(B846&amp;"ES",'LM7 Non-ENG'!$A$1:$A$4999,1,FALSE),"ERROR")=B846&amp;"ES","Y","")),"")</f>
        <v/>
      </c>
      <c r="H846" s="29" t="str">
        <f>IFERROR(HYPERLINK("#"&amp;ADDRESS(MATCH(B846&amp;"PT",'LM7 Non-ENG'!$A$1:$A$5000,0),1,,,"LM7 Non-ENG"),IF(IFERROR(VLOOKUP(B846&amp;"PT",'LM7 Non-ENG'!$A$1:$A$5000,1,FALSE),"ERROR")=B846&amp;"PT","Y","")),"")</f>
        <v/>
      </c>
      <c r="I846" t="str">
        <f>IFERROR(VLOOKUP(B846,PN!$A:$C,3,FALSE),"")</f>
        <v>Active</v>
      </c>
      <c r="J846" s="3">
        <f>IFERROR(E846*VLOOKUP(B846,PLInter!$A:$D,3,FALSE),"")</f>
        <v>1440</v>
      </c>
      <c r="K846" s="66"/>
      <c r="L846" s="66"/>
      <c r="M846" s="66"/>
      <c r="N846" s="66"/>
      <c r="O846" s="66"/>
      <c r="P846" s="66"/>
      <c r="Q846" s="66"/>
      <c r="R846" s="66"/>
      <c r="S846" s="66"/>
    </row>
    <row r="847" spans="1:19" ht="18" customHeight="1">
      <c r="B847" t="s">
        <v>691</v>
      </c>
      <c r="C847" t="s">
        <v>692</v>
      </c>
      <c r="D847" s="4"/>
      <c r="E847" s="4">
        <v>1</v>
      </c>
      <c r="F847" s="4"/>
      <c r="G847" s="29" t="str">
        <f>IFERROR(HYPERLINK("#"&amp;ADDRESS(MATCH(B847&amp;"ES",'LM7 Non-ENG'!$A$1:$A$5000,0),1,,,"LM7 Non-ENG"),IF(IFERROR(VLOOKUP(B847&amp;"ES",'LM7 Non-ENG'!$A$1:$A$4999,1,FALSE),"ERROR")=B847&amp;"ES","Y","")),"")</f>
        <v/>
      </c>
      <c r="H847" s="29" t="str">
        <f>IFERROR(HYPERLINK("#"&amp;ADDRESS(MATCH(B847&amp;"PT",'LM7 Non-ENG'!$A$1:$A$5000,0),1,,,"LM7 Non-ENG"),IF(IFERROR(VLOOKUP(B847&amp;"PT",'LM7 Non-ENG'!$A$1:$A$5000,1,FALSE),"ERROR")=B847&amp;"PT","Y","")),"")</f>
        <v/>
      </c>
      <c r="I847" t="str">
        <f>IFERROR(VLOOKUP(B847,PN!$A:$C,3,FALSE),"")</f>
        <v>Active</v>
      </c>
      <c r="J847" s="3">
        <f>IFERROR(E847*VLOOKUP(B847,PLInter!$A:$D,3,FALSE),"")</f>
        <v>1920</v>
      </c>
      <c r="K847" s="66"/>
      <c r="L847" s="66"/>
      <c r="M847" s="66"/>
      <c r="N847" s="66"/>
      <c r="O847" s="66"/>
      <c r="P847" s="66"/>
      <c r="Q847" s="66"/>
      <c r="R847" s="66"/>
      <c r="S847" s="66"/>
    </row>
    <row r="848" spans="1:19" ht="18" customHeight="1">
      <c r="B848" t="s">
        <v>693</v>
      </c>
      <c r="C848" t="s">
        <v>694</v>
      </c>
      <c r="D848" s="4"/>
      <c r="E848" s="4">
        <v>1</v>
      </c>
      <c r="F848" s="4"/>
      <c r="G848" s="29" t="str">
        <f>IFERROR(HYPERLINK("#"&amp;ADDRESS(MATCH(B848&amp;"ES",'LM7 Non-ENG'!$A$1:$A$5000,0),1,,,"LM7 Non-ENG"),IF(IFERROR(VLOOKUP(B848&amp;"ES",'LM7 Non-ENG'!$A$1:$A$4999,1,FALSE),"ERROR")=B848&amp;"ES","Y","")),"")</f>
        <v/>
      </c>
      <c r="H848" s="29" t="str">
        <f>IFERROR(HYPERLINK("#"&amp;ADDRESS(MATCH(B848&amp;"PT",'LM7 Non-ENG'!$A$1:$A$5000,0),1,,,"LM7 Non-ENG"),IF(IFERROR(VLOOKUP(B848&amp;"PT",'LM7 Non-ENG'!$A$1:$A$5000,1,FALSE),"ERROR")=B848&amp;"PT","Y","")),"")</f>
        <v/>
      </c>
      <c r="I848" t="str">
        <f>IFERROR(VLOOKUP(B848,PN!$A:$C,3,FALSE),"")</f>
        <v>Active</v>
      </c>
      <c r="J848" s="3">
        <f>IFERROR(E848*VLOOKUP(B848,PLInter!$A:$D,3,FALSE),"")</f>
        <v>1920</v>
      </c>
      <c r="K848" s="66"/>
      <c r="L848" s="66"/>
      <c r="M848" s="66"/>
      <c r="N848" s="66"/>
      <c r="O848" s="66"/>
      <c r="P848" s="66"/>
      <c r="Q848" s="66"/>
      <c r="R848" s="66"/>
      <c r="S848" s="66"/>
    </row>
    <row r="849" spans="1:19" ht="18" customHeight="1">
      <c r="B849" t="s">
        <v>786</v>
      </c>
      <c r="C849" t="s">
        <v>787</v>
      </c>
      <c r="D849" s="4"/>
      <c r="E849" s="4">
        <v>2</v>
      </c>
      <c r="F849" s="4"/>
      <c r="G849" s="29" t="str">
        <f>IFERROR(HYPERLINK("#"&amp;ADDRESS(MATCH(B849&amp;"ES",'LM7 Non-ENG'!$A$1:$A$5000,0),1,,,"LM7 Non-ENG"),IF(IFERROR(VLOOKUP(B849&amp;"ES",'LM7 Non-ENG'!$A$1:$A$4999,1,FALSE),"ERROR")=B849&amp;"ES","Y","")),"")</f>
        <v/>
      </c>
      <c r="H849" s="29" t="str">
        <f>IFERROR(HYPERLINK("#"&amp;ADDRESS(MATCH(B849&amp;"PT",'LM7 Non-ENG'!$A$1:$A$5000,0),1,,,"LM7 Non-ENG"),IF(IFERROR(VLOOKUP(B849&amp;"PT",'LM7 Non-ENG'!$A$1:$A$5000,1,FALSE),"ERROR")=B849&amp;"PT","Y","")),"")</f>
        <v/>
      </c>
      <c r="I849" t="str">
        <f>IFERROR(VLOOKUP(B849,PN!$A:$C,3,FALSE),"")</f>
        <v>Active</v>
      </c>
      <c r="J849" s="3">
        <f>IFERROR(E849*VLOOKUP(B849,PLInter!$A:$D,3,FALSE),"")</f>
        <v>1056</v>
      </c>
      <c r="K849" s="66"/>
      <c r="L849" s="66"/>
      <c r="M849" s="66"/>
      <c r="N849" s="66"/>
      <c r="O849" s="66"/>
      <c r="P849" s="66"/>
      <c r="Q849" s="66"/>
      <c r="R849" s="66"/>
      <c r="S849" s="66"/>
    </row>
    <row r="850" spans="1:19" ht="18" customHeight="1">
      <c r="B850" t="str">
        <f>"021152"</f>
        <v>021152</v>
      </c>
      <c r="C850" s="41" t="s">
        <v>679</v>
      </c>
      <c r="D850" s="4"/>
      <c r="E850" s="4">
        <v>2</v>
      </c>
      <c r="F850" s="4"/>
      <c r="G850" s="29" t="str">
        <f>IFERROR(HYPERLINK("#"&amp;ADDRESS(MATCH(B850&amp;"ES",'LM7 Non-ENG'!$A$1:$A$5000,0),1,,,"LM7 Non-ENG"),IF(IFERROR(VLOOKUP(B850&amp;"ES",'LM7 Non-ENG'!$A$1:$A$4999,1,FALSE),"ERROR")=B850&amp;"ES","Y","")),"")</f>
        <v/>
      </c>
      <c r="H850" s="29" t="str">
        <f>IFERROR(HYPERLINK("#"&amp;ADDRESS(MATCH(B850&amp;"PT",'LM7 Non-ENG'!$A$1:$A$5000,0),1,,,"LM7 Non-ENG"),IF(IFERROR(VLOOKUP(B850&amp;"PT",'LM7 Non-ENG'!$A$1:$A$5000,1,FALSE),"ERROR")=B850&amp;"PT","Y","")),"")</f>
        <v/>
      </c>
      <c r="I850" t="str">
        <f>IFERROR(VLOOKUP(B850,PN!$A:$C,3,FALSE),"")</f>
        <v>Active</v>
      </c>
      <c r="J850" s="3">
        <f>IFERROR(E850*VLOOKUP(B850,PLInter!$A:$D,3,FALSE),"")</f>
        <v>480</v>
      </c>
      <c r="K850" s="66"/>
      <c r="L850" s="66"/>
      <c r="M850" s="66"/>
      <c r="N850" s="66"/>
      <c r="O850" s="66"/>
      <c r="P850" s="66"/>
      <c r="Q850" s="66"/>
      <c r="R850" s="66"/>
      <c r="S850" s="66"/>
    </row>
    <row r="851" spans="1:19" ht="18" customHeight="1">
      <c r="B851" t="str">
        <f>"113034"</f>
        <v>113034</v>
      </c>
      <c r="C851" t="s">
        <v>695</v>
      </c>
      <c r="D851" s="4"/>
      <c r="E851" s="4">
        <v>50</v>
      </c>
      <c r="F851" s="4"/>
      <c r="G851" s="29" t="str">
        <f>IFERROR(HYPERLINK("#"&amp;ADDRESS(MATCH(B851&amp;"ES",'LM7 Non-ENG'!$A$1:$A$5000,0),1,,,"LM7 Non-ENG"),IF(IFERROR(VLOOKUP(B851&amp;"ES",'LM7 Non-ENG'!$A$1:$A$4999,1,FALSE),"ERROR")=B851&amp;"ES","Y","")),"")</f>
        <v/>
      </c>
      <c r="H851" s="29" t="str">
        <f>IFERROR(HYPERLINK("#"&amp;ADDRESS(MATCH(B851&amp;"PT",'LM7 Non-ENG'!$A$1:$A$5000,0),1,,,"LM7 Non-ENG"),IF(IFERROR(VLOOKUP(B851&amp;"PT",'LM7 Non-ENG'!$A$1:$A$5000,1,FALSE),"ERROR")=B851&amp;"PT","Y","")),"")</f>
        <v/>
      </c>
      <c r="I851" t="str">
        <f>IFERROR(VLOOKUP(B851,PN!$A:$C,3,FALSE),"")</f>
        <v>Active</v>
      </c>
      <c r="J851" s="3">
        <f>IFERROR(E851*VLOOKUP(B851,PLInter!$A:$D,3,FALSE),"")</f>
        <v>750</v>
      </c>
      <c r="K851" s="66"/>
      <c r="L851" s="66"/>
      <c r="M851" s="66"/>
      <c r="N851" s="66"/>
      <c r="O851" s="66"/>
      <c r="P851" s="66"/>
      <c r="Q851" s="66"/>
      <c r="R851" s="66"/>
      <c r="S851" s="66"/>
    </row>
    <row r="852" spans="1:19" ht="18" customHeight="1">
      <c r="B852" t="str">
        <f>"112496"</f>
        <v>112496</v>
      </c>
      <c r="C852" t="s">
        <v>696</v>
      </c>
      <c r="D852" s="4"/>
      <c r="E852" s="4">
        <v>50</v>
      </c>
      <c r="F852" s="4"/>
      <c r="G852" s="29" t="str">
        <f>IFERROR(HYPERLINK("#"&amp;ADDRESS(MATCH(B852&amp;"ES",'LM7 Non-ENG'!$A$1:$A$5000,0),1,,,"LM7 Non-ENG"),IF(IFERROR(VLOOKUP(B852&amp;"ES",'LM7 Non-ENG'!$A$1:$A$4999,1,FALSE),"ERROR")=B852&amp;"ES","Y","")),"")</f>
        <v/>
      </c>
      <c r="H852" s="29" t="str">
        <f>IFERROR(HYPERLINK("#"&amp;ADDRESS(MATCH(B852&amp;"PT",'LM7 Non-ENG'!$A$1:$A$5000,0),1,,,"LM7 Non-ENG"),IF(IFERROR(VLOOKUP(B852&amp;"PT",'LM7 Non-ENG'!$A$1:$A$5000,1,FALSE),"ERROR")=B852&amp;"PT","Y","")),"")</f>
        <v/>
      </c>
      <c r="I852" t="str">
        <f>IFERROR(VLOOKUP(B852,PN!$A:$C,3,FALSE),"")</f>
        <v>Active</v>
      </c>
      <c r="J852" s="3">
        <f>IFERROR(E852*VLOOKUP(B852,PLInter!$A:$D,3,FALSE),"")</f>
        <v>1000</v>
      </c>
      <c r="K852" s="66"/>
      <c r="L852" s="66"/>
      <c r="M852" s="66"/>
      <c r="N852" s="66"/>
      <c r="O852" s="66"/>
      <c r="P852" s="66"/>
      <c r="Q852" s="66"/>
      <c r="R852" s="66"/>
      <c r="S852" s="66"/>
    </row>
    <row r="853" spans="1:19" ht="18" customHeight="1">
      <c r="B853" t="s">
        <v>644</v>
      </c>
      <c r="C853" t="s">
        <v>645</v>
      </c>
      <c r="D853" s="4"/>
      <c r="E853" s="4">
        <v>1</v>
      </c>
      <c r="F853" s="4"/>
      <c r="G853" s="29" t="str">
        <f>IFERROR(HYPERLINK("#"&amp;ADDRESS(MATCH(B853&amp;"ES",'LM7 Non-ENG'!$A$1:$A$5000,0),1,,,"LM7 Non-ENG"),IF(IFERROR(VLOOKUP(B853&amp;"ES",'LM7 Non-ENG'!$A$1:$A$4999,1,FALSE),"ERROR")=B853&amp;"ES","Y","")),"")</f>
        <v/>
      </c>
      <c r="H853" s="29" t="str">
        <f>IFERROR(HYPERLINK("#"&amp;ADDRESS(MATCH(B853&amp;"PT",'LM7 Non-ENG'!$A$1:$A$5000,0),1,,,"LM7 Non-ENG"),IF(IFERROR(VLOOKUP(B853&amp;"PT",'LM7 Non-ENG'!$A$1:$A$5000,1,FALSE),"ERROR")=B853&amp;"PT","Y","")),"")</f>
        <v/>
      </c>
      <c r="I853" t="str">
        <f>IFERROR(VLOOKUP(B853,PN!$A:$C,3,FALSE),"")</f>
        <v>Active</v>
      </c>
      <c r="J853" s="3">
        <f>IFERROR(E853*VLOOKUP(B853,PLInter!$A:$D,3,FALSE),"")</f>
        <v>1800</v>
      </c>
      <c r="K853" s="66"/>
      <c r="L853" s="66"/>
      <c r="M853" s="66"/>
      <c r="N853" s="66"/>
      <c r="O853" s="66"/>
      <c r="P853" s="66"/>
      <c r="Q853" s="66"/>
      <c r="R853" s="66"/>
      <c r="S853" s="66"/>
    </row>
    <row r="854" spans="1:19" ht="18" customHeight="1">
      <c r="B854" t="s">
        <v>697</v>
      </c>
      <c r="C854" t="s">
        <v>698</v>
      </c>
      <c r="D854" s="4"/>
      <c r="E854" s="4">
        <v>1</v>
      </c>
      <c r="F854" s="4"/>
      <c r="G854" s="29" t="str">
        <f>IFERROR(HYPERLINK("#"&amp;ADDRESS(MATCH(B854&amp;"ES",'LM7 Non-ENG'!$A$1:$A$5000,0),1,,,"LM7 Non-ENG"),IF(IFERROR(VLOOKUP(B854&amp;"ES",'LM7 Non-ENG'!$A$1:$A$4999,1,FALSE),"ERROR")=B854&amp;"ES","Y","")),"")</f>
        <v/>
      </c>
      <c r="H854" s="29" t="str">
        <f>IFERROR(HYPERLINK("#"&amp;ADDRESS(MATCH(B854&amp;"PT",'LM7 Non-ENG'!$A$1:$A$5000,0),1,,,"LM7 Non-ENG"),IF(IFERROR(VLOOKUP(B854&amp;"PT",'LM7 Non-ENG'!$A$1:$A$5000,1,FALSE),"ERROR")=B854&amp;"PT","Y","")),"")</f>
        <v/>
      </c>
      <c r="I854" t="str">
        <f>IFERROR(VLOOKUP(B854,PN!$A:$C,3,FALSE),"")</f>
        <v>Active</v>
      </c>
      <c r="J854" s="3">
        <f>IFERROR(E854*VLOOKUP(B854,PLInter!$A:$D,3,FALSE),"")</f>
        <v>934</v>
      </c>
      <c r="K854" s="66"/>
      <c r="L854" s="66"/>
      <c r="M854" s="66"/>
      <c r="N854" s="66"/>
      <c r="O854" s="66"/>
      <c r="P854" s="66"/>
      <c r="Q854" s="66"/>
      <c r="R854" s="66"/>
      <c r="S854" s="66"/>
    </row>
    <row r="855" spans="1:19" ht="18" customHeight="1">
      <c r="B855" t="s">
        <v>630</v>
      </c>
      <c r="C855" t="s">
        <v>631</v>
      </c>
      <c r="D855" s="4"/>
      <c r="E855" s="4">
        <v>1</v>
      </c>
      <c r="F855" s="4"/>
      <c r="G855" s="29" t="str">
        <f>IFERROR(HYPERLINK("#"&amp;ADDRESS(MATCH(B855&amp;"ES",'LM7 Non-ENG'!$A$1:$A$5000,0),1,,,"LM7 Non-ENG"),IF(IFERROR(VLOOKUP(B855&amp;"ES",'LM7 Non-ENG'!$A$1:$A$4999,1,FALSE),"ERROR")=B855&amp;"ES","Y","")),"")</f>
        <v/>
      </c>
      <c r="H855" s="29" t="str">
        <f>IFERROR(HYPERLINK("#"&amp;ADDRESS(MATCH(B855&amp;"PT",'LM7 Non-ENG'!$A$1:$A$5000,0),1,,,"LM7 Non-ENG"),IF(IFERROR(VLOOKUP(B855&amp;"PT",'LM7 Non-ENG'!$A$1:$A$5000,1,FALSE),"ERROR")=B855&amp;"PT","Y","")),"")</f>
        <v/>
      </c>
      <c r="I855" t="str">
        <f>IFERROR(VLOOKUP(B855,PN!$A:$C,3,FALSE),"")</f>
        <v>Active</v>
      </c>
      <c r="J855" s="3">
        <f>IFERROR(E855*VLOOKUP(B855,PLInter!$A:$D,3,FALSE),"")</f>
        <v>1735</v>
      </c>
      <c r="K855" s="66"/>
      <c r="L855" s="66"/>
      <c r="M855" s="66"/>
      <c r="N855" s="66"/>
      <c r="O855" s="66"/>
      <c r="P855" s="66"/>
      <c r="Q855" s="66"/>
      <c r="R855" s="66"/>
      <c r="S855" s="66"/>
    </row>
    <row r="856" spans="1:19" ht="18" customHeight="1">
      <c r="B856" s="1" t="s">
        <v>228</v>
      </c>
      <c r="C856" s="1" t="s">
        <v>655</v>
      </c>
      <c r="D856" s="6" t="s">
        <v>0</v>
      </c>
      <c r="E856" s="6">
        <v>1</v>
      </c>
      <c r="F856" s="6"/>
      <c r="G856" s="29" t="str">
        <f>IFERROR(HYPERLINK("#"&amp;ADDRESS(MATCH(B856&amp;"ES",'LM7 Non-ENG'!$A$1:$A$5000,0),1,,,"LM7 Non-ENG"),IF(IFERROR(VLOOKUP(B856&amp;"ES",'LM7 Non-ENG'!$A$1:$A$4999,1,FALSE),"ERROR")=B856&amp;"ES","Y","")),"")</f>
        <v/>
      </c>
      <c r="H856" s="29" t="str">
        <f>IFERROR(HYPERLINK("#"&amp;ADDRESS(MATCH(B856&amp;"PT",'LM7 Non-ENG'!$A$1:$A$5000,0),1,,,"LM7 Non-ENG"),IF(IFERROR(VLOOKUP(B856&amp;"PT",'LM7 Non-ENG'!$A$1:$A$5000,1,FALSE),"ERROR")=B856&amp;"PT","Y","")),"")</f>
        <v/>
      </c>
      <c r="I856" t="str">
        <f>IFERROR(VLOOKUP(B856,PN!$A:$C,3,FALSE),"")</f>
        <v>Active</v>
      </c>
      <c r="J856" s="3">
        <f>IFERROR(E856*VLOOKUP(B856,PLInter!$A:$D,3,FALSE),"")</f>
        <v>2134</v>
      </c>
      <c r="K856" s="66"/>
      <c r="L856" s="66"/>
      <c r="M856" s="66"/>
      <c r="N856" s="66"/>
      <c r="O856" s="66"/>
      <c r="P856" s="66"/>
      <c r="Q856" s="66"/>
      <c r="R856" s="66"/>
      <c r="S856" s="66"/>
    </row>
    <row r="858" spans="1:19" s="7" customFormat="1" ht="18" customHeight="1">
      <c r="A858" s="13" t="s">
        <v>875</v>
      </c>
      <c r="B858" s="13"/>
      <c r="C858" s="13" t="s">
        <v>876</v>
      </c>
      <c r="D858" s="14"/>
      <c r="E858" s="14"/>
      <c r="F858" s="14"/>
      <c r="G858" s="14"/>
      <c r="H858" s="14"/>
      <c r="I858" s="14"/>
      <c r="J858" s="14">
        <f>SUMIFS(J859:J868,D859:D868,"&lt;&gt;Y",F859:F868,"&lt;&gt;Y",I859:I868,"&lt;&gt;Inactive",I859:I868,"&lt;&gt;ECO+NFS")</f>
        <v>66415</v>
      </c>
      <c r="K858" s="14"/>
      <c r="L858" s="14"/>
      <c r="M858" s="14"/>
      <c r="N858" s="14"/>
      <c r="O858" s="14"/>
      <c r="P858" s="14"/>
      <c r="Q858" s="14"/>
      <c r="R858" s="14"/>
      <c r="S858" s="14"/>
    </row>
    <row r="859" spans="1:19" ht="18" customHeight="1">
      <c r="A859" s="17" t="str">
        <f>HYPERLINK("#"&amp;ADDRESS(MATCH(A858,'CIM&amp;FMS'!$A$1:$A$4997,0),1,,,"CIM&amp;FMS"),"Back to Price List")</f>
        <v>Back to Price List</v>
      </c>
      <c r="B859" t="s">
        <v>855</v>
      </c>
      <c r="C859" t="s">
        <v>856</v>
      </c>
      <c r="D859" s="4"/>
      <c r="E859" s="4">
        <v>1</v>
      </c>
      <c r="F859" s="4"/>
      <c r="G859" s="29" t="str">
        <f>IFERROR(HYPERLINK("#"&amp;ADDRESS(MATCH(B859&amp;"ES",'LM7 Non-ENG'!$A$1:$A$5000,0),1,,,"LM7 Non-ENG"),IF(IFERROR(VLOOKUP(B859&amp;"ES",'LM7 Non-ENG'!$A$1:$A$4999,1,FALSE),"ERROR")=B859&amp;"ES","Y","")),"")</f>
        <v/>
      </c>
      <c r="H859" s="29" t="str">
        <f>IFERROR(HYPERLINK("#"&amp;ADDRESS(MATCH(B859&amp;"PT",'LM7 Non-ENG'!$A$1:$A$5000,0),1,,,"LM7 Non-ENG"),IF(IFERROR(VLOOKUP(B859&amp;"PT",'LM7 Non-ENG'!$A$1:$A$5000,1,FALSE),"ERROR")=B859&amp;"PT","Y","")),"")</f>
        <v/>
      </c>
      <c r="I859" t="str">
        <f>IFERROR(VLOOKUP(B859,PN!$A:$C,3,FALSE),"")</f>
        <v>Active</v>
      </c>
      <c r="J859" s="3">
        <f>IFERROR(E859*VLOOKUP(B859,PLInter!$A:$D,3,FALSE),"")</f>
        <v>6720</v>
      </c>
      <c r="K859" s="66"/>
      <c r="L859" s="66"/>
      <c r="M859" s="66"/>
      <c r="N859" s="66"/>
      <c r="O859" s="66"/>
      <c r="P859" s="66"/>
      <c r="Q859" s="66"/>
      <c r="R859" s="66"/>
      <c r="S859" s="66"/>
    </row>
    <row r="860" spans="1:19" ht="18" customHeight="1">
      <c r="B860" t="s">
        <v>231</v>
      </c>
      <c r="C860" t="s">
        <v>874</v>
      </c>
      <c r="D860" s="4"/>
      <c r="E860" s="4">
        <v>1</v>
      </c>
      <c r="F860" s="4"/>
      <c r="G860" s="29" t="str">
        <f>IFERROR(HYPERLINK("#"&amp;ADDRESS(MATCH(B860&amp;"ES",'LM7 Non-ENG'!$A$1:$A$5000,0),1,,,"LM7 Non-ENG"),IF(IFERROR(VLOOKUP(B860&amp;"ES",'LM7 Non-ENG'!$A$1:$A$4999,1,FALSE),"ERROR")=B860&amp;"ES","Y","")),"")</f>
        <v/>
      </c>
      <c r="H860" s="29" t="str">
        <f>IFERROR(HYPERLINK("#"&amp;ADDRESS(MATCH(B860&amp;"PT",'LM7 Non-ENG'!$A$1:$A$5000,0),1,,,"LM7 Non-ENG"),IF(IFERROR(VLOOKUP(B860&amp;"PT",'LM7 Non-ENG'!$A$1:$A$5000,1,FALSE),"ERROR")=B860&amp;"PT","Y","")),"")</f>
        <v/>
      </c>
      <c r="I860" t="str">
        <f>IFERROR(VLOOKUP(B860,PN!$A:$C,3,FALSE),"")</f>
        <v>ECO-N2Buy</v>
      </c>
      <c r="J860" s="3">
        <f>IFERROR(E860*VLOOKUP(B860,PLInter!$A:$D,3,FALSE),"")</f>
        <v>3200</v>
      </c>
      <c r="K860" s="66"/>
      <c r="L860" s="66"/>
      <c r="M860" s="66"/>
      <c r="N860" s="66"/>
      <c r="O860" s="66"/>
      <c r="P860" s="66"/>
      <c r="Q860" s="66"/>
      <c r="R860" s="66"/>
      <c r="S860" s="66"/>
    </row>
    <row r="861" spans="1:19" ht="18" customHeight="1">
      <c r="B861" t="s">
        <v>680</v>
      </c>
      <c r="C861" t="s">
        <v>681</v>
      </c>
      <c r="D861" s="4"/>
      <c r="E861" s="4">
        <v>1</v>
      </c>
      <c r="F861" s="4"/>
      <c r="G861" s="29" t="str">
        <f>IFERROR(HYPERLINK("#"&amp;ADDRESS(MATCH(B861&amp;"ES",'LM7 Non-ENG'!$A$1:$A$5000,0),1,,,"LM7 Non-ENG"),IF(IFERROR(VLOOKUP(B861&amp;"ES",'LM7 Non-ENG'!$A$1:$A$4999,1,FALSE),"ERROR")=B861&amp;"ES","Y","")),"")</f>
        <v/>
      </c>
      <c r="H861" s="29" t="str">
        <f>IFERROR(HYPERLINK("#"&amp;ADDRESS(MATCH(B861&amp;"PT",'LM7 Non-ENG'!$A$1:$A$5000,0),1,,,"LM7 Non-ENG"),IF(IFERROR(VLOOKUP(B861&amp;"PT",'LM7 Non-ENG'!$A$1:$A$5000,1,FALSE),"ERROR")=B861&amp;"PT","Y","")),"")</f>
        <v/>
      </c>
      <c r="I861" t="str">
        <f>IFERROR(VLOOKUP(B861,PN!$A:$C,3,FALSE),"")</f>
        <v>Active</v>
      </c>
      <c r="J861" s="3">
        <f>IFERROR(E861*VLOOKUP(B861,PLInter!$A:$D,3,FALSE),"")</f>
        <v>1440</v>
      </c>
      <c r="K861" s="66"/>
      <c r="L861" s="66"/>
      <c r="M861" s="66"/>
      <c r="N861" s="66"/>
      <c r="O861" s="66"/>
      <c r="P861" s="66"/>
      <c r="Q861" s="66"/>
      <c r="R861" s="66"/>
      <c r="S861" s="66"/>
    </row>
    <row r="862" spans="1:19" ht="18" customHeight="1">
      <c r="B862" t="s">
        <v>684</v>
      </c>
      <c r="C862" t="s">
        <v>685</v>
      </c>
      <c r="D862" s="4"/>
      <c r="E862" s="4">
        <v>1</v>
      </c>
      <c r="F862" s="4"/>
      <c r="G862" s="29" t="str">
        <f>IFERROR(HYPERLINK("#"&amp;ADDRESS(MATCH(B862&amp;"ES",'LM7 Non-ENG'!$A$1:$A$5000,0),1,,,"LM7 Non-ENG"),IF(IFERROR(VLOOKUP(B862&amp;"ES",'LM7 Non-ENG'!$A$1:$A$4999,1,FALSE),"ERROR")=B862&amp;"ES","Y","")),"")</f>
        <v/>
      </c>
      <c r="H862" s="29" t="str">
        <f>IFERROR(HYPERLINK("#"&amp;ADDRESS(MATCH(B862&amp;"PT",'LM7 Non-ENG'!$A$1:$A$5000,0),1,,,"LM7 Non-ENG"),IF(IFERROR(VLOOKUP(B862&amp;"PT",'LM7 Non-ENG'!$A$1:$A$5000,1,FALSE),"ERROR")=B862&amp;"PT","Y","")),"")</f>
        <v/>
      </c>
      <c r="I862" t="str">
        <f>IFERROR(VLOOKUP(B862,PN!$A:$C,3,FALSE),"")</f>
        <v>Active</v>
      </c>
      <c r="J862" s="3">
        <f>IFERROR(E862*VLOOKUP(B862,PLInter!$A:$D,3,FALSE),"")</f>
        <v>580</v>
      </c>
      <c r="K862" s="66"/>
      <c r="L862" s="66"/>
      <c r="M862" s="66"/>
      <c r="N862" s="66"/>
      <c r="O862" s="66"/>
      <c r="P862" s="66"/>
      <c r="Q862" s="66"/>
      <c r="R862" s="66"/>
      <c r="S862" s="66"/>
    </row>
    <row r="863" spans="1:19" ht="18" customHeight="1">
      <c r="B863" t="str">
        <f>"113034"</f>
        <v>113034</v>
      </c>
      <c r="C863" t="s">
        <v>695</v>
      </c>
      <c r="D863" s="4"/>
      <c r="E863" s="4">
        <v>20</v>
      </c>
      <c r="F863" s="4"/>
      <c r="G863" s="29" t="str">
        <f>IFERROR(HYPERLINK("#"&amp;ADDRESS(MATCH(B863&amp;"ES",'LM7 Non-ENG'!$A$1:$A$5000,0),1,,,"LM7 Non-ENG"),IF(IFERROR(VLOOKUP(B863&amp;"ES",'LM7 Non-ENG'!$A$1:$A$4999,1,FALSE),"ERROR")=B863&amp;"ES","Y","")),"")</f>
        <v/>
      </c>
      <c r="H863" s="29" t="str">
        <f>IFERROR(HYPERLINK("#"&amp;ADDRESS(MATCH(B863&amp;"PT",'LM7 Non-ENG'!$A$1:$A$5000,0),1,,,"LM7 Non-ENG"),IF(IFERROR(VLOOKUP(B863&amp;"PT",'LM7 Non-ENG'!$A$1:$A$5000,1,FALSE),"ERROR")=B863&amp;"PT","Y","")),"")</f>
        <v/>
      </c>
      <c r="I863" t="str">
        <f>IFERROR(VLOOKUP(B863,PN!$A:$C,3,FALSE),"")</f>
        <v>Active</v>
      </c>
      <c r="J863" s="3">
        <f>IFERROR(E863*VLOOKUP(B863,PLInter!$A:$D,3,FALSE),"")</f>
        <v>300</v>
      </c>
      <c r="K863" s="66"/>
      <c r="L863" s="66"/>
      <c r="M863" s="66"/>
      <c r="N863" s="66"/>
      <c r="O863" s="66"/>
      <c r="P863" s="66"/>
      <c r="Q863" s="66"/>
      <c r="R863" s="66"/>
      <c r="S863" s="66"/>
    </row>
    <row r="864" spans="1:19" ht="18" customHeight="1">
      <c r="B864" t="s">
        <v>704</v>
      </c>
      <c r="C864" t="s">
        <v>705</v>
      </c>
      <c r="D864" s="4"/>
      <c r="E864" s="4">
        <v>1</v>
      </c>
      <c r="F864" s="4"/>
      <c r="G864" s="29" t="str">
        <f>IFERROR(HYPERLINK("#"&amp;ADDRESS(MATCH(B864&amp;"ES",'LM7 Non-ENG'!$A$1:$A$5000,0),1,,,"LM7 Non-ENG"),IF(IFERROR(VLOOKUP(B864&amp;"ES",'LM7 Non-ENG'!$A$1:$A$4999,1,FALSE),"ERROR")=B864&amp;"ES","Y","")),"")</f>
        <v/>
      </c>
      <c r="H864" s="29" t="str">
        <f>IFERROR(HYPERLINK("#"&amp;ADDRESS(MATCH(B864&amp;"PT",'LM7 Non-ENG'!$A$1:$A$5000,0),1,,,"LM7 Non-ENG"),IF(IFERROR(VLOOKUP(B864&amp;"PT",'LM7 Non-ENG'!$A$1:$A$5000,1,FALSE),"ERROR")=B864&amp;"PT","Y","")),"")</f>
        <v/>
      </c>
      <c r="I864" t="str">
        <f>IFERROR(VLOOKUP(B864,PN!$A:$C,3,FALSE),"")</f>
        <v>Active</v>
      </c>
      <c r="J864" s="3">
        <f>IFERROR(E864*VLOOKUP(B864,PLInter!$A:$D,3,FALSE),"")</f>
        <v>2640</v>
      </c>
      <c r="K864" s="66"/>
      <c r="L864" s="66"/>
      <c r="M864" s="66"/>
      <c r="N864" s="66"/>
      <c r="O864" s="66"/>
      <c r="P864" s="66"/>
      <c r="Q864" s="66"/>
      <c r="R864" s="66"/>
      <c r="S864" s="66"/>
    </row>
    <row r="865" spans="1:19" ht="18" customHeight="1">
      <c r="B865" t="s">
        <v>765</v>
      </c>
      <c r="C865" t="s">
        <v>825</v>
      </c>
      <c r="D865" s="4"/>
      <c r="E865" s="4">
        <v>1</v>
      </c>
      <c r="F865" s="4"/>
      <c r="G865" s="29" t="str">
        <f>IFERROR(HYPERLINK("#"&amp;ADDRESS(MATCH(B865&amp;"ES",'LM7 Non-ENG'!$A$1:$A$5000,0),1,,,"LM7 Non-ENG"),IF(IFERROR(VLOOKUP(B865&amp;"ES",'LM7 Non-ENG'!$A$1:$A$4999,1,FALSE),"ERROR")=B865&amp;"ES","Y","")),"")</f>
        <v/>
      </c>
      <c r="H865" s="29" t="str">
        <f>IFERROR(HYPERLINK("#"&amp;ADDRESS(MATCH(B865&amp;"PT",'LM7 Non-ENG'!$A$1:$A$5000,0),1,,,"LM7 Non-ENG"),IF(IFERROR(VLOOKUP(B865&amp;"PT",'LM7 Non-ENG'!$A$1:$A$5000,1,FALSE),"ERROR")=B865&amp;"PT","Y","")),"")</f>
        <v/>
      </c>
      <c r="I865" t="str">
        <f>IFERROR(VLOOKUP(B865,PN!$A:$C,3,FALSE),"")</f>
        <v>Active</v>
      </c>
      <c r="J865" s="3">
        <f>IFERROR(E865*VLOOKUP(B865,PLInter!$A:$D,3,FALSE),"")</f>
        <v>46000</v>
      </c>
      <c r="K865" s="66"/>
      <c r="L865" s="66"/>
      <c r="M865" s="66"/>
      <c r="N865" s="66"/>
      <c r="O865" s="66"/>
      <c r="P865" s="66"/>
      <c r="Q865" s="66"/>
      <c r="R865" s="66"/>
      <c r="S865" s="66"/>
    </row>
    <row r="866" spans="1:19" ht="18" customHeight="1">
      <c r="B866" t="str">
        <f>"025223"</f>
        <v>025223</v>
      </c>
      <c r="C866" s="41" t="s">
        <v>826</v>
      </c>
      <c r="D866" s="4"/>
      <c r="E866" s="4">
        <v>1</v>
      </c>
      <c r="F866" s="4"/>
      <c r="G866" s="29" t="str">
        <f>IFERROR(HYPERLINK("#"&amp;ADDRESS(MATCH(B866&amp;"ES",'LM7 Non-ENG'!$A$1:$A$5000,0),1,,,"LM7 Non-ENG"),IF(IFERROR(VLOOKUP(B866&amp;"ES",'LM7 Non-ENG'!$A$1:$A$4999,1,FALSE),"ERROR")=B866&amp;"ES","Y","")),"")</f>
        <v/>
      </c>
      <c r="H866" s="29" t="str">
        <f>IFERROR(HYPERLINK("#"&amp;ADDRESS(MATCH(B866&amp;"PT",'LM7 Non-ENG'!$A$1:$A$5000,0),1,,,"LM7 Non-ENG"),IF(IFERROR(VLOOKUP(B866&amp;"PT",'LM7 Non-ENG'!$A$1:$A$5000,1,FALSE),"ERROR")=B866&amp;"PT","Y","")),"")</f>
        <v/>
      </c>
      <c r="I866" t="str">
        <f>IFERROR(VLOOKUP(B866,PN!$A:$C,3,FALSE),"")</f>
        <v>Active</v>
      </c>
      <c r="J866" s="3">
        <f>IFERROR(E866*VLOOKUP(B866,PLInter!$A:$D,3,FALSE),"")</f>
        <v>2000</v>
      </c>
      <c r="K866" s="66"/>
      <c r="L866" s="66"/>
      <c r="M866" s="66"/>
      <c r="N866" s="66"/>
      <c r="O866" s="66"/>
      <c r="P866" s="66"/>
      <c r="Q866" s="66"/>
      <c r="R866" s="66"/>
      <c r="S866" s="66"/>
    </row>
    <row r="867" spans="1:19" ht="18" customHeight="1">
      <c r="B867" t="s">
        <v>644</v>
      </c>
      <c r="C867" t="s">
        <v>645</v>
      </c>
      <c r="D867" s="4"/>
      <c r="E867" s="4">
        <v>1</v>
      </c>
      <c r="F867" s="4"/>
      <c r="G867" s="29" t="str">
        <f>IFERROR(HYPERLINK("#"&amp;ADDRESS(MATCH(B867&amp;"ES",'LM7 Non-ENG'!$A$1:$A$5000,0),1,,,"LM7 Non-ENG"),IF(IFERROR(VLOOKUP(B867&amp;"ES",'LM7 Non-ENG'!$A$1:$A$4999,1,FALSE),"ERROR")=B867&amp;"ES","Y","")),"")</f>
        <v/>
      </c>
      <c r="H867" s="29" t="str">
        <f>IFERROR(HYPERLINK("#"&amp;ADDRESS(MATCH(B867&amp;"PT",'LM7 Non-ENG'!$A$1:$A$5000,0),1,,,"LM7 Non-ENG"),IF(IFERROR(VLOOKUP(B867&amp;"PT",'LM7 Non-ENG'!$A$1:$A$5000,1,FALSE),"ERROR")=B867&amp;"PT","Y","")),"")</f>
        <v/>
      </c>
      <c r="I867" t="str">
        <f>IFERROR(VLOOKUP(B867,PN!$A:$C,3,FALSE),"")</f>
        <v>Active</v>
      </c>
      <c r="J867" s="3">
        <f>IFERROR(E867*VLOOKUP(B867,PLInter!$A:$D,3,FALSE),"")</f>
        <v>1800</v>
      </c>
      <c r="K867" s="66"/>
      <c r="L867" s="66"/>
      <c r="M867" s="66"/>
      <c r="N867" s="66"/>
      <c r="O867" s="66"/>
      <c r="P867" s="66"/>
      <c r="Q867" s="66"/>
      <c r="R867" s="66"/>
      <c r="S867" s="66"/>
    </row>
    <row r="868" spans="1:19" ht="18" customHeight="1">
      <c r="B868" t="s">
        <v>630</v>
      </c>
      <c r="C868" t="s">
        <v>631</v>
      </c>
      <c r="D868" s="4"/>
      <c r="E868" s="4">
        <v>1</v>
      </c>
      <c r="F868" s="4"/>
      <c r="G868" s="29" t="str">
        <f>IFERROR(HYPERLINK("#"&amp;ADDRESS(MATCH(B868&amp;"ES",'LM7 Non-ENG'!$A$1:$A$5000,0),1,,,"LM7 Non-ENG"),IF(IFERROR(VLOOKUP(B868&amp;"ES",'LM7 Non-ENG'!$A$1:$A$4999,1,FALSE),"ERROR")=B868&amp;"ES","Y","")),"")</f>
        <v/>
      </c>
      <c r="H868" s="29" t="str">
        <f>IFERROR(HYPERLINK("#"&amp;ADDRESS(MATCH(B868&amp;"PT",'LM7 Non-ENG'!$A$1:$A$5000,0),1,,,"LM7 Non-ENG"),IF(IFERROR(VLOOKUP(B868&amp;"PT",'LM7 Non-ENG'!$A$1:$A$5000,1,FALSE),"ERROR")=B868&amp;"PT","Y","")),"")</f>
        <v/>
      </c>
      <c r="I868" t="str">
        <f>IFERROR(VLOOKUP(B868,PN!$A:$C,3,FALSE),"")</f>
        <v>Active</v>
      </c>
      <c r="J868" s="3">
        <f>IFERROR(E868*VLOOKUP(B868,PLInter!$A:$D,3,FALSE),"")</f>
        <v>1735</v>
      </c>
      <c r="K868" s="66"/>
      <c r="L868" s="66"/>
      <c r="M868" s="66"/>
      <c r="N868" s="66"/>
      <c r="O868" s="66"/>
      <c r="P868" s="66"/>
      <c r="Q868" s="66"/>
      <c r="R868" s="66"/>
      <c r="S868" s="66"/>
    </row>
    <row r="870" spans="1:19" s="7" customFormat="1" ht="18" customHeight="1">
      <c r="A870" s="13" t="s">
        <v>877</v>
      </c>
      <c r="B870" s="13"/>
      <c r="C870" s="13" t="s">
        <v>878</v>
      </c>
      <c r="D870" s="14"/>
      <c r="E870" s="14"/>
      <c r="F870" s="14"/>
      <c r="G870" s="14"/>
      <c r="H870" s="14"/>
      <c r="I870" s="14"/>
      <c r="J870" s="14">
        <f>SUMIFS(J871:J887,D871:D887,"&lt;&gt;Y",F871:F887,"&lt;&gt;Y",I871:I887,"&lt;&gt;Inactive",I871:I887,"&lt;&gt;ECO+NFS")</f>
        <v>71456</v>
      </c>
      <c r="K870" s="14"/>
      <c r="L870" s="14"/>
      <c r="M870" s="14"/>
      <c r="N870" s="14"/>
      <c r="O870" s="14"/>
      <c r="P870" s="14"/>
      <c r="Q870" s="14"/>
      <c r="R870" s="14"/>
      <c r="S870" s="14"/>
    </row>
    <row r="871" spans="1:19" ht="18" customHeight="1">
      <c r="A871" s="17" t="str">
        <f>HYPERLINK("#"&amp;ADDRESS(MATCH(A870,'CIM&amp;FMS'!$A$1:$A$4997,0),1,,,"CIM&amp;FMS"),"Back to Price List")</f>
        <v>Back to Price List</v>
      </c>
      <c r="B871" t="s">
        <v>215</v>
      </c>
      <c r="C871" t="s">
        <v>217</v>
      </c>
      <c r="D871" s="4"/>
      <c r="E871" s="4">
        <v>1</v>
      </c>
      <c r="F871" s="4"/>
      <c r="G871" s="29" t="str">
        <f>IFERROR(HYPERLINK("#"&amp;ADDRESS(MATCH(B871&amp;"ES",'LM7 Non-ENG'!$A$1:$A$5000,0),1,,,"LM7 Non-ENG"),IF(IFERROR(VLOOKUP(B871&amp;"ES",'LM7 Non-ENG'!$A$1:$A$4999,1,FALSE),"ERROR")=B871&amp;"ES","Y","")),"")</f>
        <v/>
      </c>
      <c r="H871" s="29" t="str">
        <f>IFERROR(HYPERLINK("#"&amp;ADDRESS(MATCH(B871&amp;"PT",'LM7 Non-ENG'!$A$1:$A$5000,0),1,,,"LM7 Non-ENG"),IF(IFERROR(VLOOKUP(B871&amp;"PT",'LM7 Non-ENG'!$A$1:$A$5000,1,FALSE),"ERROR")=B871&amp;"PT","Y","")),"")</f>
        <v/>
      </c>
      <c r="I871" t="str">
        <f>IFERROR(VLOOKUP(B871,PN!$A:$C,3,FALSE),"")</f>
        <v>Active</v>
      </c>
      <c r="J871" s="3">
        <f>IFERROR(E871*VLOOKUP(B871,PLInter!$A:$D,3,FALSE),"")</f>
        <v>35000</v>
      </c>
      <c r="K871" s="66"/>
      <c r="L871" s="66"/>
      <c r="M871" s="66"/>
      <c r="N871" s="66"/>
      <c r="O871" s="66"/>
      <c r="P871" s="66"/>
      <c r="Q871" s="66"/>
      <c r="R871" s="66"/>
      <c r="S871" s="66"/>
    </row>
    <row r="872" spans="1:19" ht="18" customHeight="1">
      <c r="B872" t="s">
        <v>230</v>
      </c>
      <c r="C872" t="s">
        <v>235</v>
      </c>
      <c r="D872" s="4"/>
      <c r="E872" s="4">
        <v>1</v>
      </c>
      <c r="F872" s="4"/>
      <c r="G872" s="29" t="str">
        <f>IFERROR(HYPERLINK("#"&amp;ADDRESS(MATCH(B872&amp;"ES",'LM7 Non-ENG'!$A$1:$A$5000,0),1,,,"LM7 Non-ENG"),IF(IFERROR(VLOOKUP(B872&amp;"ES",'LM7 Non-ENG'!$A$1:$A$4999,1,FALSE),"ERROR")=B872&amp;"ES","Y","")),"")</f>
        <v/>
      </c>
      <c r="H872" s="29" t="str">
        <f>IFERROR(HYPERLINK("#"&amp;ADDRESS(MATCH(B872&amp;"PT",'LM7 Non-ENG'!$A$1:$A$5000,0),1,,,"LM7 Non-ENG"),IF(IFERROR(VLOOKUP(B872&amp;"PT",'LM7 Non-ENG'!$A$1:$A$5000,1,FALSE),"ERROR")=B872&amp;"PT","Y","")),"")</f>
        <v/>
      </c>
      <c r="I872" t="str">
        <f>IFERROR(VLOOKUP(B872,PN!$A:$C,3,FALSE),"")</f>
        <v>Active</v>
      </c>
      <c r="J872" s="3">
        <f>IFERROR(E872*VLOOKUP(B872,PLInter!$A:$D,3,FALSE),"")</f>
        <v>3200</v>
      </c>
      <c r="K872" s="66"/>
      <c r="L872" s="66"/>
      <c r="M872" s="66"/>
      <c r="N872" s="66"/>
      <c r="O872" s="66"/>
      <c r="P872" s="66"/>
      <c r="Q872" s="66"/>
      <c r="R872" s="66"/>
      <c r="S872" s="66"/>
    </row>
    <row r="873" spans="1:19" ht="18" customHeight="1">
      <c r="B873" t="s">
        <v>858</v>
      </c>
      <c r="C873" t="s">
        <v>879</v>
      </c>
      <c r="D873" s="4"/>
      <c r="E873" s="4">
        <v>1</v>
      </c>
      <c r="F873" s="4"/>
      <c r="G873" s="29" t="str">
        <f>IFERROR(HYPERLINK("#"&amp;ADDRESS(MATCH(B873&amp;"ES",'LM7 Non-ENG'!$A$1:$A$5000,0),1,,,"LM7 Non-ENG"),IF(IFERROR(VLOOKUP(B873&amp;"ES",'LM7 Non-ENG'!$A$1:$A$4999,1,FALSE),"ERROR")=B873&amp;"ES","Y","")),"")</f>
        <v/>
      </c>
      <c r="H873" s="29" t="str">
        <f>IFERROR(HYPERLINK("#"&amp;ADDRESS(MATCH(B873&amp;"PT",'LM7 Non-ENG'!$A$1:$A$5000,0),1,,,"LM7 Non-ENG"),IF(IFERROR(VLOOKUP(B873&amp;"PT",'LM7 Non-ENG'!$A$1:$A$5000,1,FALSE),"ERROR")=B873&amp;"PT","Y","")),"")</f>
        <v/>
      </c>
      <c r="I873" t="str">
        <f>IFERROR(VLOOKUP(B873,PN!$A:$C,3,FALSE),"")</f>
        <v>Active</v>
      </c>
      <c r="J873" s="3">
        <f>IFERROR(E873*VLOOKUP(B873,PLInter!$A:$D,3,FALSE),"")</f>
        <v>15300</v>
      </c>
      <c r="K873" s="66"/>
      <c r="L873" s="66"/>
      <c r="M873" s="66"/>
      <c r="N873" s="66"/>
      <c r="O873" s="66"/>
      <c r="P873" s="66"/>
      <c r="Q873" s="66"/>
      <c r="R873" s="66"/>
      <c r="S873" s="66"/>
    </row>
    <row r="874" spans="1:19" ht="18" customHeight="1">
      <c r="B874" t="str">
        <f>"021152"</f>
        <v>021152</v>
      </c>
      <c r="C874" s="41" t="s">
        <v>679</v>
      </c>
      <c r="D874" s="4"/>
      <c r="E874" s="4">
        <v>2</v>
      </c>
      <c r="F874" s="4"/>
      <c r="G874" s="29" t="str">
        <f>IFERROR(HYPERLINK("#"&amp;ADDRESS(MATCH(B874&amp;"ES",'LM7 Non-ENG'!$A$1:$A$5000,0),1,,,"LM7 Non-ENG"),IF(IFERROR(VLOOKUP(B874&amp;"ES",'LM7 Non-ENG'!$A$1:$A$4999,1,FALSE),"ERROR")=B874&amp;"ES","Y","")),"")</f>
        <v/>
      </c>
      <c r="H874" s="29" t="str">
        <f>IFERROR(HYPERLINK("#"&amp;ADDRESS(MATCH(B874&amp;"PT",'LM7 Non-ENG'!$A$1:$A$5000,0),1,,,"LM7 Non-ENG"),IF(IFERROR(VLOOKUP(B874&amp;"PT",'LM7 Non-ENG'!$A$1:$A$5000,1,FALSE),"ERROR")=B874&amp;"PT","Y","")),"")</f>
        <v/>
      </c>
      <c r="I874" t="str">
        <f>IFERROR(VLOOKUP(B874,PN!$A:$C,3,FALSE),"")</f>
        <v>Active</v>
      </c>
      <c r="J874" s="3">
        <f>IFERROR(E874*VLOOKUP(B874,PLInter!$A:$D,3,FALSE),"")</f>
        <v>480</v>
      </c>
      <c r="K874" s="66"/>
      <c r="L874" s="66"/>
      <c r="M874" s="66"/>
      <c r="N874" s="66"/>
      <c r="O874" s="66"/>
      <c r="P874" s="66"/>
      <c r="Q874" s="66"/>
      <c r="R874" s="66"/>
      <c r="S874" s="66"/>
    </row>
    <row r="875" spans="1:19" ht="18" customHeight="1">
      <c r="B875" t="s">
        <v>684</v>
      </c>
      <c r="C875" t="s">
        <v>685</v>
      </c>
      <c r="D875" s="4"/>
      <c r="E875" s="4">
        <v>2</v>
      </c>
      <c r="F875" s="4"/>
      <c r="G875" s="29" t="str">
        <f>IFERROR(HYPERLINK("#"&amp;ADDRESS(MATCH(B875&amp;"ES",'LM7 Non-ENG'!$A$1:$A$5000,0),1,,,"LM7 Non-ENG"),IF(IFERROR(VLOOKUP(B875&amp;"ES",'LM7 Non-ENG'!$A$1:$A$4999,1,FALSE),"ERROR")=B875&amp;"ES","Y","")),"")</f>
        <v/>
      </c>
      <c r="H875" s="29" t="str">
        <f>IFERROR(HYPERLINK("#"&amp;ADDRESS(MATCH(B875&amp;"PT",'LM7 Non-ENG'!$A$1:$A$5000,0),1,,,"LM7 Non-ENG"),IF(IFERROR(VLOOKUP(B875&amp;"PT",'LM7 Non-ENG'!$A$1:$A$5000,1,FALSE),"ERROR")=B875&amp;"PT","Y","")),"")</f>
        <v/>
      </c>
      <c r="I875" t="str">
        <f>IFERROR(VLOOKUP(B875,PN!$A:$C,3,FALSE),"")</f>
        <v>Active</v>
      </c>
      <c r="J875" s="3">
        <f>IFERROR(E875*VLOOKUP(B875,PLInter!$A:$D,3,FALSE),"")</f>
        <v>1160</v>
      </c>
      <c r="K875" s="66"/>
      <c r="L875" s="66"/>
      <c r="M875" s="66"/>
      <c r="N875" s="66"/>
      <c r="O875" s="66"/>
      <c r="P875" s="66"/>
      <c r="Q875" s="66"/>
      <c r="R875" s="66"/>
      <c r="S875" s="66"/>
    </row>
    <row r="876" spans="1:19" ht="18" customHeight="1">
      <c r="B876" t="s">
        <v>682</v>
      </c>
      <c r="C876" t="s">
        <v>683</v>
      </c>
      <c r="D876" s="4"/>
      <c r="E876" s="4">
        <v>1</v>
      </c>
      <c r="F876" s="4"/>
      <c r="G876" s="29" t="str">
        <f>IFERROR(HYPERLINK("#"&amp;ADDRESS(MATCH(B876&amp;"ES",'LM7 Non-ENG'!$A$1:$A$5000,0),1,,,"LM7 Non-ENG"),IF(IFERROR(VLOOKUP(B876&amp;"ES",'LM7 Non-ENG'!$A$1:$A$4999,1,FALSE),"ERROR")=B876&amp;"ES","Y","")),"")</f>
        <v/>
      </c>
      <c r="H876" s="29" t="str">
        <f>IFERROR(HYPERLINK("#"&amp;ADDRESS(MATCH(B876&amp;"PT",'LM7 Non-ENG'!$A$1:$A$5000,0),1,,,"LM7 Non-ENG"),IF(IFERROR(VLOOKUP(B876&amp;"PT",'LM7 Non-ENG'!$A$1:$A$5000,1,FALSE),"ERROR")=B876&amp;"PT","Y","")),"")</f>
        <v/>
      </c>
      <c r="I876" t="str">
        <f>IFERROR(VLOOKUP(B876,PN!$A:$C,3,FALSE),"")</f>
        <v>Active</v>
      </c>
      <c r="J876" s="3">
        <f>IFERROR(E876*VLOOKUP(B876,PLInter!$A:$D,3,FALSE),"")</f>
        <v>494</v>
      </c>
      <c r="K876" s="66"/>
      <c r="L876" s="66"/>
      <c r="M876" s="66"/>
      <c r="N876" s="66"/>
      <c r="O876" s="66"/>
      <c r="P876" s="66"/>
      <c r="Q876" s="66"/>
      <c r="R876" s="66"/>
      <c r="S876" s="66"/>
    </row>
    <row r="877" spans="1:19" ht="18" customHeight="1">
      <c r="B877" t="s">
        <v>680</v>
      </c>
      <c r="C877" t="s">
        <v>681</v>
      </c>
      <c r="D877" s="4"/>
      <c r="E877" s="4">
        <v>1</v>
      </c>
      <c r="F877" s="4"/>
      <c r="G877" s="29" t="str">
        <f>IFERROR(HYPERLINK("#"&amp;ADDRESS(MATCH(B877&amp;"ES",'LM7 Non-ENG'!$A$1:$A$5000,0),1,,,"LM7 Non-ENG"),IF(IFERROR(VLOOKUP(B877&amp;"ES",'LM7 Non-ENG'!$A$1:$A$4999,1,FALSE),"ERROR")=B877&amp;"ES","Y","")),"")</f>
        <v/>
      </c>
      <c r="H877" s="29" t="str">
        <f>IFERROR(HYPERLINK("#"&amp;ADDRESS(MATCH(B877&amp;"PT",'LM7 Non-ENG'!$A$1:$A$5000,0),1,,,"LM7 Non-ENG"),IF(IFERROR(VLOOKUP(B877&amp;"PT",'LM7 Non-ENG'!$A$1:$A$5000,1,FALSE),"ERROR")=B877&amp;"PT","Y","")),"")</f>
        <v/>
      </c>
      <c r="I877" t="str">
        <f>IFERROR(VLOOKUP(B877,PN!$A:$C,3,FALSE),"")</f>
        <v>Active</v>
      </c>
      <c r="J877" s="3">
        <f>IFERROR(E877*VLOOKUP(B877,PLInter!$A:$D,3,FALSE),"")</f>
        <v>1440</v>
      </c>
      <c r="K877" s="66"/>
      <c r="L877" s="66"/>
      <c r="M877" s="66"/>
      <c r="N877" s="66"/>
      <c r="O877" s="66"/>
      <c r="P877" s="66"/>
      <c r="Q877" s="66"/>
      <c r="R877" s="66"/>
      <c r="S877" s="66"/>
    </row>
    <row r="878" spans="1:19" ht="18" customHeight="1">
      <c r="B878" t="str">
        <f>"034025"</f>
        <v>034025</v>
      </c>
      <c r="C878" s="41" t="s">
        <v>799</v>
      </c>
      <c r="D878" s="4"/>
      <c r="E878" s="4">
        <v>1</v>
      </c>
      <c r="F878" s="4"/>
      <c r="G878" s="29" t="str">
        <f>IFERROR(HYPERLINK("#"&amp;ADDRESS(MATCH(B878&amp;"ES",'LM7 Non-ENG'!$A$1:$A$5000,0),1,,,"LM7 Non-ENG"),IF(IFERROR(VLOOKUP(B878&amp;"ES",'LM7 Non-ENG'!$A$1:$A$4999,1,FALSE),"ERROR")=B878&amp;"ES","Y","")),"")</f>
        <v/>
      </c>
      <c r="H878" s="29" t="str">
        <f>IFERROR(HYPERLINK("#"&amp;ADDRESS(MATCH(B878&amp;"PT",'LM7 Non-ENG'!$A$1:$A$5000,0),1,,,"LM7 Non-ENG"),IF(IFERROR(VLOOKUP(B878&amp;"PT",'LM7 Non-ENG'!$A$1:$A$5000,1,FALSE),"ERROR")=B878&amp;"PT","Y","")),"")</f>
        <v/>
      </c>
      <c r="I878" t="str">
        <f>IFERROR(VLOOKUP(B878,PN!$A:$C,3,FALSE),"")</f>
        <v>Active</v>
      </c>
      <c r="J878" s="3">
        <f>IFERROR(E878*VLOOKUP(B878,PLInter!$A:$D,3,FALSE),"")</f>
        <v>1267</v>
      </c>
      <c r="K878" s="66"/>
      <c r="L878" s="66"/>
      <c r="M878" s="66"/>
      <c r="N878" s="66"/>
      <c r="O878" s="66"/>
      <c r="P878" s="66"/>
      <c r="Q878" s="66"/>
      <c r="R878" s="66"/>
      <c r="S878" s="66"/>
    </row>
    <row r="879" spans="1:19" ht="18" customHeight="1">
      <c r="B879" t="s">
        <v>691</v>
      </c>
      <c r="C879" t="s">
        <v>692</v>
      </c>
      <c r="D879" s="4"/>
      <c r="E879" s="4">
        <v>1</v>
      </c>
      <c r="F879" s="4"/>
      <c r="G879" s="29" t="str">
        <f>IFERROR(HYPERLINK("#"&amp;ADDRESS(MATCH(B879&amp;"ES",'LM7 Non-ENG'!$A$1:$A$5000,0),1,,,"LM7 Non-ENG"),IF(IFERROR(VLOOKUP(B879&amp;"ES",'LM7 Non-ENG'!$A$1:$A$4999,1,FALSE),"ERROR")=B879&amp;"ES","Y","")),"")</f>
        <v/>
      </c>
      <c r="H879" s="29" t="str">
        <f>IFERROR(HYPERLINK("#"&amp;ADDRESS(MATCH(B879&amp;"PT",'LM7 Non-ENG'!$A$1:$A$5000,0),1,,,"LM7 Non-ENG"),IF(IFERROR(VLOOKUP(B879&amp;"PT",'LM7 Non-ENG'!$A$1:$A$5000,1,FALSE),"ERROR")=B879&amp;"PT","Y","")),"")</f>
        <v/>
      </c>
      <c r="I879" t="str">
        <f>IFERROR(VLOOKUP(B879,PN!$A:$C,3,FALSE),"")</f>
        <v>Active</v>
      </c>
      <c r="J879" s="3">
        <f>IFERROR(E879*VLOOKUP(B879,PLInter!$A:$D,3,FALSE),"")</f>
        <v>1920</v>
      </c>
      <c r="K879" s="66"/>
      <c r="L879" s="66"/>
      <c r="M879" s="66"/>
      <c r="N879" s="66"/>
      <c r="O879" s="66"/>
      <c r="P879" s="66"/>
      <c r="Q879" s="66"/>
      <c r="R879" s="66"/>
      <c r="S879" s="66"/>
    </row>
    <row r="880" spans="1:19" ht="18" customHeight="1">
      <c r="B880" t="s">
        <v>693</v>
      </c>
      <c r="C880" t="s">
        <v>694</v>
      </c>
      <c r="D880" s="4"/>
      <c r="E880" s="4">
        <v>1</v>
      </c>
      <c r="F880" s="4"/>
      <c r="G880" s="29" t="str">
        <f>IFERROR(HYPERLINK("#"&amp;ADDRESS(MATCH(B880&amp;"ES",'LM7 Non-ENG'!$A$1:$A$5000,0),1,,,"LM7 Non-ENG"),IF(IFERROR(VLOOKUP(B880&amp;"ES",'LM7 Non-ENG'!$A$1:$A$4999,1,FALSE),"ERROR")=B880&amp;"ES","Y","")),"")</f>
        <v/>
      </c>
      <c r="H880" s="29" t="str">
        <f>IFERROR(HYPERLINK("#"&amp;ADDRESS(MATCH(B880&amp;"PT",'LM7 Non-ENG'!$A$1:$A$5000,0),1,,,"LM7 Non-ENG"),IF(IFERROR(VLOOKUP(B880&amp;"PT",'LM7 Non-ENG'!$A$1:$A$5000,1,FALSE),"ERROR")=B880&amp;"PT","Y","")),"")</f>
        <v/>
      </c>
      <c r="I880" t="str">
        <f>IFERROR(VLOOKUP(B880,PN!$A:$C,3,FALSE),"")</f>
        <v>Active</v>
      </c>
      <c r="J880" s="3">
        <f>IFERROR(E880*VLOOKUP(B880,PLInter!$A:$D,3,FALSE),"")</f>
        <v>1920</v>
      </c>
      <c r="K880" s="66"/>
      <c r="L880" s="66"/>
      <c r="M880" s="66"/>
      <c r="N880" s="66"/>
      <c r="O880" s="66"/>
      <c r="P880" s="66"/>
      <c r="Q880" s="66"/>
      <c r="R880" s="66"/>
      <c r="S880" s="66"/>
    </row>
    <row r="881" spans="1:19" ht="18" customHeight="1">
      <c r="B881" t="s">
        <v>786</v>
      </c>
      <c r="C881" t="s">
        <v>787</v>
      </c>
      <c r="D881" s="4"/>
      <c r="E881" s="4">
        <v>2</v>
      </c>
      <c r="F881" s="4"/>
      <c r="G881" s="29" t="str">
        <f>IFERROR(HYPERLINK("#"&amp;ADDRESS(MATCH(B881&amp;"ES",'LM7 Non-ENG'!$A$1:$A$5000,0),1,,,"LM7 Non-ENG"),IF(IFERROR(VLOOKUP(B881&amp;"ES",'LM7 Non-ENG'!$A$1:$A$4999,1,FALSE),"ERROR")=B881&amp;"ES","Y","")),"")</f>
        <v/>
      </c>
      <c r="H881" s="29" t="str">
        <f>IFERROR(HYPERLINK("#"&amp;ADDRESS(MATCH(B881&amp;"PT",'LM7 Non-ENG'!$A$1:$A$5000,0),1,,,"LM7 Non-ENG"),IF(IFERROR(VLOOKUP(B881&amp;"PT",'LM7 Non-ENG'!$A$1:$A$5000,1,FALSE),"ERROR")=B881&amp;"PT","Y","")),"")</f>
        <v/>
      </c>
      <c r="I881" t="str">
        <f>IFERROR(VLOOKUP(B881,PN!$A:$C,3,FALSE),"")</f>
        <v>Active</v>
      </c>
      <c r="J881" s="3">
        <f>IFERROR(E881*VLOOKUP(B881,PLInter!$A:$D,3,FALSE),"")</f>
        <v>1056</v>
      </c>
      <c r="K881" s="66"/>
      <c r="L881" s="66"/>
      <c r="M881" s="66"/>
      <c r="N881" s="66"/>
      <c r="O881" s="66"/>
      <c r="P881" s="66"/>
      <c r="Q881" s="66"/>
      <c r="R881" s="66"/>
      <c r="S881" s="66"/>
    </row>
    <row r="882" spans="1:19" ht="18" customHeight="1">
      <c r="B882" t="s">
        <v>689</v>
      </c>
      <c r="C882" t="s">
        <v>690</v>
      </c>
      <c r="D882" s="4"/>
      <c r="E882" s="4">
        <v>1</v>
      </c>
      <c r="F882" s="4"/>
      <c r="G882" s="29" t="str">
        <f>IFERROR(HYPERLINK("#"&amp;ADDRESS(MATCH(B882&amp;"ES",'LM7 Non-ENG'!$A$1:$A$5000,0),1,,,"LM7 Non-ENG"),IF(IFERROR(VLOOKUP(B882&amp;"ES",'LM7 Non-ENG'!$A$1:$A$4999,1,FALSE),"ERROR")=B882&amp;"ES","Y","")),"")</f>
        <v/>
      </c>
      <c r="H882" s="29" t="str">
        <f>IFERROR(HYPERLINK("#"&amp;ADDRESS(MATCH(B882&amp;"PT",'LM7 Non-ENG'!$A$1:$A$5000,0),1,,,"LM7 Non-ENG"),IF(IFERROR(VLOOKUP(B882&amp;"PT",'LM7 Non-ENG'!$A$1:$A$5000,1,FALSE),"ERROR")=B882&amp;"PT","Y","")),"")</f>
        <v/>
      </c>
      <c r="I882" t="str">
        <f>IFERROR(VLOOKUP(B882,PN!$A:$C,3,FALSE),"")</f>
        <v>Active</v>
      </c>
      <c r="J882" s="3">
        <f>IFERROR(E882*VLOOKUP(B882,PLInter!$A:$D,3,FALSE),"")</f>
        <v>2000</v>
      </c>
      <c r="K882" s="66"/>
      <c r="L882" s="66"/>
      <c r="M882" s="66"/>
      <c r="N882" s="66"/>
      <c r="O882" s="66"/>
      <c r="P882" s="66"/>
      <c r="Q882" s="66"/>
      <c r="R882" s="66"/>
      <c r="S882" s="66"/>
    </row>
    <row r="883" spans="1:19" ht="18" customHeight="1">
      <c r="B883" t="str">
        <f>"113034"</f>
        <v>113034</v>
      </c>
      <c r="C883" t="s">
        <v>695</v>
      </c>
      <c r="D883" s="4"/>
      <c r="E883" s="4">
        <v>50</v>
      </c>
      <c r="F883" s="4"/>
      <c r="G883" s="29" t="str">
        <f>IFERROR(HYPERLINK("#"&amp;ADDRESS(MATCH(B883&amp;"ES",'LM7 Non-ENG'!$A$1:$A$5000,0),1,,,"LM7 Non-ENG"),IF(IFERROR(VLOOKUP(B883&amp;"ES",'LM7 Non-ENG'!$A$1:$A$4999,1,FALSE),"ERROR")=B883&amp;"ES","Y","")),"")</f>
        <v/>
      </c>
      <c r="H883" s="29" t="str">
        <f>IFERROR(HYPERLINK("#"&amp;ADDRESS(MATCH(B883&amp;"PT",'LM7 Non-ENG'!$A$1:$A$5000,0),1,,,"LM7 Non-ENG"),IF(IFERROR(VLOOKUP(B883&amp;"PT",'LM7 Non-ENG'!$A$1:$A$5000,1,FALSE),"ERROR")=B883&amp;"PT","Y","")),"")</f>
        <v/>
      </c>
      <c r="I883" t="str">
        <f>IFERROR(VLOOKUP(B883,PN!$A:$C,3,FALSE),"")</f>
        <v>Active</v>
      </c>
      <c r="J883" s="3">
        <f>IFERROR(E883*VLOOKUP(B883,PLInter!$A:$D,3,FALSE),"")</f>
        <v>750</v>
      </c>
      <c r="K883" s="66"/>
      <c r="L883" s="66"/>
      <c r="M883" s="66"/>
      <c r="N883" s="66"/>
      <c r="O883" s="66"/>
      <c r="P883" s="66"/>
      <c r="Q883" s="66"/>
      <c r="R883" s="66"/>
      <c r="S883" s="66"/>
    </row>
    <row r="884" spans="1:19" ht="18" customHeight="1">
      <c r="B884" t="str">
        <f>"112496"</f>
        <v>112496</v>
      </c>
      <c r="C884" t="s">
        <v>696</v>
      </c>
      <c r="D884" s="4"/>
      <c r="E884" s="4">
        <v>50</v>
      </c>
      <c r="F884" s="4"/>
      <c r="G884" s="29" t="str">
        <f>IFERROR(HYPERLINK("#"&amp;ADDRESS(MATCH(B884&amp;"ES",'LM7 Non-ENG'!$A$1:$A$5000,0),1,,,"LM7 Non-ENG"),IF(IFERROR(VLOOKUP(B884&amp;"ES",'LM7 Non-ENG'!$A$1:$A$4999,1,FALSE),"ERROR")=B884&amp;"ES","Y","")),"")</f>
        <v/>
      </c>
      <c r="H884" s="29" t="str">
        <f>IFERROR(HYPERLINK("#"&amp;ADDRESS(MATCH(B884&amp;"PT",'LM7 Non-ENG'!$A$1:$A$5000,0),1,,,"LM7 Non-ENG"),IF(IFERROR(VLOOKUP(B884&amp;"PT",'LM7 Non-ENG'!$A$1:$A$5000,1,FALSE),"ERROR")=B884&amp;"PT","Y","")),"")</f>
        <v/>
      </c>
      <c r="I884" t="str">
        <f>IFERROR(VLOOKUP(B884,PN!$A:$C,3,FALSE),"")</f>
        <v>Active</v>
      </c>
      <c r="J884" s="3">
        <f>IFERROR(E884*VLOOKUP(B884,PLInter!$A:$D,3,FALSE),"")</f>
        <v>1000</v>
      </c>
      <c r="K884" s="66"/>
      <c r="L884" s="66"/>
      <c r="M884" s="66"/>
      <c r="N884" s="66"/>
      <c r="O884" s="66"/>
      <c r="P884" s="66"/>
      <c r="Q884" s="66"/>
      <c r="R884" s="66"/>
      <c r="S884" s="66"/>
    </row>
    <row r="885" spans="1:19" ht="18" customHeight="1">
      <c r="B885" t="s">
        <v>644</v>
      </c>
      <c r="C885" t="s">
        <v>645</v>
      </c>
      <c r="D885" s="4"/>
      <c r="E885" s="4">
        <v>1</v>
      </c>
      <c r="F885" s="4"/>
      <c r="G885" s="29" t="str">
        <f>IFERROR(HYPERLINK("#"&amp;ADDRESS(MATCH(B885&amp;"ES",'LM7 Non-ENG'!$A$1:$A$5000,0),1,,,"LM7 Non-ENG"),IF(IFERROR(VLOOKUP(B885&amp;"ES",'LM7 Non-ENG'!$A$1:$A$4999,1,FALSE),"ERROR")=B885&amp;"ES","Y","")),"")</f>
        <v/>
      </c>
      <c r="H885" s="29" t="str">
        <f>IFERROR(HYPERLINK("#"&amp;ADDRESS(MATCH(B885&amp;"PT",'LM7 Non-ENG'!$A$1:$A$5000,0),1,,,"LM7 Non-ENG"),IF(IFERROR(VLOOKUP(B885&amp;"PT",'LM7 Non-ENG'!$A$1:$A$5000,1,FALSE),"ERROR")=B885&amp;"PT","Y","")),"")</f>
        <v/>
      </c>
      <c r="I885" t="str">
        <f>IFERROR(VLOOKUP(B885,PN!$A:$C,3,FALSE),"")</f>
        <v>Active</v>
      </c>
      <c r="J885" s="3">
        <f>IFERROR(E885*VLOOKUP(B885,PLInter!$A:$D,3,FALSE),"")</f>
        <v>1800</v>
      </c>
      <c r="K885" s="66"/>
      <c r="L885" s="66"/>
      <c r="M885" s="66"/>
      <c r="N885" s="66"/>
      <c r="O885" s="66"/>
      <c r="P885" s="66"/>
      <c r="Q885" s="66"/>
      <c r="R885" s="66"/>
      <c r="S885" s="66"/>
    </row>
    <row r="886" spans="1:19" ht="18" customHeight="1">
      <c r="B886" t="s">
        <v>697</v>
      </c>
      <c r="C886" t="s">
        <v>698</v>
      </c>
      <c r="D886" s="4"/>
      <c r="E886" s="4">
        <v>1</v>
      </c>
      <c r="F886" s="4"/>
      <c r="G886" s="29" t="str">
        <f>IFERROR(HYPERLINK("#"&amp;ADDRESS(MATCH(B886&amp;"ES",'LM7 Non-ENG'!$A$1:$A$5000,0),1,,,"LM7 Non-ENG"),IF(IFERROR(VLOOKUP(B886&amp;"ES",'LM7 Non-ENG'!$A$1:$A$4999,1,FALSE),"ERROR")=B886&amp;"ES","Y","")),"")</f>
        <v/>
      </c>
      <c r="H886" s="29" t="str">
        <f>IFERROR(HYPERLINK("#"&amp;ADDRESS(MATCH(B886&amp;"PT",'LM7 Non-ENG'!$A$1:$A$5000,0),1,,,"LM7 Non-ENG"),IF(IFERROR(VLOOKUP(B886&amp;"PT",'LM7 Non-ENG'!$A$1:$A$5000,1,FALSE),"ERROR")=B886&amp;"PT","Y","")),"")</f>
        <v/>
      </c>
      <c r="I886" t="str">
        <f>IFERROR(VLOOKUP(B886,PN!$A:$C,3,FALSE),"")</f>
        <v>Active</v>
      </c>
      <c r="J886" s="3">
        <f>IFERROR(E886*VLOOKUP(B886,PLInter!$A:$D,3,FALSE),"")</f>
        <v>934</v>
      </c>
      <c r="K886" s="66"/>
      <c r="L886" s="66"/>
      <c r="M886" s="66"/>
      <c r="N886" s="66"/>
      <c r="O886" s="66"/>
      <c r="P886" s="66"/>
      <c r="Q886" s="66"/>
      <c r="R886" s="66"/>
      <c r="S886" s="66"/>
    </row>
    <row r="887" spans="1:19" ht="18" customHeight="1">
      <c r="B887" t="s">
        <v>630</v>
      </c>
      <c r="C887" t="s">
        <v>631</v>
      </c>
      <c r="D887" s="4"/>
      <c r="E887" s="4">
        <v>1</v>
      </c>
      <c r="F887" s="4"/>
      <c r="G887" s="29" t="str">
        <f>IFERROR(HYPERLINK("#"&amp;ADDRESS(MATCH(B887&amp;"ES",'LM7 Non-ENG'!$A$1:$A$5000,0),1,,,"LM7 Non-ENG"),IF(IFERROR(VLOOKUP(B887&amp;"ES",'LM7 Non-ENG'!$A$1:$A$4999,1,FALSE),"ERROR")=B887&amp;"ES","Y","")),"")</f>
        <v/>
      </c>
      <c r="H887" s="29" t="str">
        <f>IFERROR(HYPERLINK("#"&amp;ADDRESS(MATCH(B887&amp;"PT",'LM7 Non-ENG'!$A$1:$A$5000,0),1,,,"LM7 Non-ENG"),IF(IFERROR(VLOOKUP(B887&amp;"PT",'LM7 Non-ENG'!$A$1:$A$5000,1,FALSE),"ERROR")=B887&amp;"PT","Y","")),"")</f>
        <v/>
      </c>
      <c r="I887" t="str">
        <f>IFERROR(VLOOKUP(B887,PN!$A:$C,3,FALSE),"")</f>
        <v>Active</v>
      </c>
      <c r="J887" s="3">
        <f>IFERROR(E887*VLOOKUP(B887,PLInter!$A:$D,3,FALSE),"")</f>
        <v>1735</v>
      </c>
      <c r="K887" s="66"/>
      <c r="L887" s="66"/>
      <c r="M887" s="66"/>
      <c r="N887" s="66"/>
      <c r="O887" s="66"/>
      <c r="P887" s="66"/>
      <c r="Q887" s="66"/>
      <c r="R887" s="66"/>
      <c r="S887" s="66"/>
    </row>
    <row r="889" spans="1:19" s="7" customFormat="1" ht="18" customHeight="1">
      <c r="A889" s="13" t="s">
        <v>880</v>
      </c>
      <c r="B889" s="13"/>
      <c r="C889" s="13" t="s">
        <v>881</v>
      </c>
      <c r="D889" s="14"/>
      <c r="E889" s="14"/>
      <c r="F889" s="14"/>
      <c r="G889" s="14"/>
      <c r="H889" s="14"/>
      <c r="I889" s="14"/>
      <c r="J889" s="14">
        <f>SUMIFS(J890:J906,D890:D906,"&lt;&gt;Y",F890:F906,"&lt;&gt;Y",I890:I906,"&lt;&gt;Inactive",I890:I906,"&lt;&gt;ECO+NFS")</f>
        <v>68787</v>
      </c>
      <c r="K889" s="14"/>
      <c r="L889" s="14"/>
      <c r="M889" s="14"/>
      <c r="N889" s="14"/>
      <c r="O889" s="14"/>
      <c r="P889" s="14"/>
      <c r="Q889" s="14"/>
      <c r="R889" s="14"/>
      <c r="S889" s="14"/>
    </row>
    <row r="890" spans="1:19" ht="18" customHeight="1">
      <c r="A890" s="17" t="str">
        <f>HYPERLINK("#"&amp;ADDRESS(MATCH(A889,'CIM&amp;FMS'!$A$1:$A$4997,0),1,,,"CIM&amp;FMS"),"Back to Price List")</f>
        <v>Back to Price List</v>
      </c>
      <c r="B890" t="s">
        <v>215</v>
      </c>
      <c r="C890" t="s">
        <v>217</v>
      </c>
      <c r="D890" s="4"/>
      <c r="E890" s="4">
        <v>1</v>
      </c>
      <c r="F890" s="4"/>
      <c r="G890" s="29" t="str">
        <f>IFERROR(HYPERLINK("#"&amp;ADDRESS(MATCH(B890&amp;"ES",'LM7 Non-ENG'!$A$1:$A$5000,0),1,,,"LM7 Non-ENG"),IF(IFERROR(VLOOKUP(B890&amp;"ES",'LM7 Non-ENG'!$A$1:$A$4999,1,FALSE),"ERROR")=B890&amp;"ES","Y","")),"")</f>
        <v/>
      </c>
      <c r="H890" s="29" t="str">
        <f>IFERROR(HYPERLINK("#"&amp;ADDRESS(MATCH(B890&amp;"PT",'LM7 Non-ENG'!$A$1:$A$5000,0),1,,,"LM7 Non-ENG"),IF(IFERROR(VLOOKUP(B890&amp;"PT",'LM7 Non-ENG'!$A$1:$A$5000,1,FALSE),"ERROR")=B890&amp;"PT","Y","")),"")</f>
        <v/>
      </c>
      <c r="I890" t="str">
        <f>IFERROR(VLOOKUP(B890,PN!$A:$C,3,FALSE),"")</f>
        <v>Active</v>
      </c>
      <c r="J890" s="3">
        <f>IFERROR(E890*VLOOKUP(B890,PLInter!$A:$D,3,FALSE),"")</f>
        <v>35000</v>
      </c>
      <c r="K890" s="66"/>
      <c r="L890" s="66"/>
      <c r="M890" s="66"/>
      <c r="N890" s="66"/>
      <c r="O890" s="66"/>
      <c r="P890" s="66"/>
      <c r="Q890" s="66"/>
      <c r="R890" s="66"/>
      <c r="S890" s="66"/>
    </row>
    <row r="891" spans="1:19" ht="18" customHeight="1">
      <c r="B891" t="s">
        <v>230</v>
      </c>
      <c r="C891" t="s">
        <v>235</v>
      </c>
      <c r="D891" s="4"/>
      <c r="E891" s="4">
        <v>1</v>
      </c>
      <c r="F891" s="4"/>
      <c r="G891" s="29" t="str">
        <f>IFERROR(HYPERLINK("#"&amp;ADDRESS(MATCH(B891&amp;"ES",'LM7 Non-ENG'!$A$1:$A$5000,0),1,,,"LM7 Non-ENG"),IF(IFERROR(VLOOKUP(B891&amp;"ES",'LM7 Non-ENG'!$A$1:$A$4999,1,FALSE),"ERROR")=B891&amp;"ES","Y","")),"")</f>
        <v/>
      </c>
      <c r="H891" s="29" t="str">
        <f>IFERROR(HYPERLINK("#"&amp;ADDRESS(MATCH(B891&amp;"PT",'LM7 Non-ENG'!$A$1:$A$5000,0),1,,,"LM7 Non-ENG"),IF(IFERROR(VLOOKUP(B891&amp;"PT",'LM7 Non-ENG'!$A$1:$A$5000,1,FALSE),"ERROR")=B891&amp;"PT","Y","")),"")</f>
        <v/>
      </c>
      <c r="I891" t="str">
        <f>IFERROR(VLOOKUP(B891,PN!$A:$C,3,FALSE),"")</f>
        <v>Active</v>
      </c>
      <c r="J891" s="3">
        <f>IFERROR(E891*VLOOKUP(B891,PLInter!$A:$D,3,FALSE),"")</f>
        <v>3200</v>
      </c>
      <c r="K891" s="66"/>
      <c r="L891" s="66"/>
      <c r="M891" s="66"/>
      <c r="N891" s="66"/>
      <c r="O891" s="66"/>
      <c r="P891" s="66"/>
      <c r="Q891" s="66"/>
      <c r="R891" s="66"/>
      <c r="S891" s="66"/>
    </row>
    <row r="892" spans="1:19" ht="18" customHeight="1">
      <c r="B892" t="s">
        <v>858</v>
      </c>
      <c r="C892" t="s">
        <v>859</v>
      </c>
      <c r="D892" s="4"/>
      <c r="E892" s="4">
        <v>1</v>
      </c>
      <c r="F892" s="4"/>
      <c r="G892" s="29" t="str">
        <f>IFERROR(HYPERLINK("#"&amp;ADDRESS(MATCH(B892&amp;"ES",'LM7 Non-ENG'!$A$1:$A$5000,0),1,,,"LM7 Non-ENG"),IF(IFERROR(VLOOKUP(B892&amp;"ES",'LM7 Non-ENG'!$A$1:$A$4999,1,FALSE),"ERROR")=B892&amp;"ES","Y","")),"")</f>
        <v/>
      </c>
      <c r="H892" s="29" t="str">
        <f>IFERROR(HYPERLINK("#"&amp;ADDRESS(MATCH(B892&amp;"PT",'LM7 Non-ENG'!$A$1:$A$5000,0),1,,,"LM7 Non-ENG"),IF(IFERROR(VLOOKUP(B892&amp;"PT",'LM7 Non-ENG'!$A$1:$A$5000,1,FALSE),"ERROR")=B892&amp;"PT","Y","")),"")</f>
        <v/>
      </c>
      <c r="I892" t="str">
        <f>IFERROR(VLOOKUP(B892,PN!$A:$C,3,FALSE),"")</f>
        <v>Active</v>
      </c>
      <c r="J892" s="3">
        <f>IFERROR(E892*VLOOKUP(B892,PLInter!$A:$D,3,FALSE),"")</f>
        <v>15300</v>
      </c>
      <c r="K892" s="66"/>
      <c r="L892" s="66"/>
      <c r="M892" s="66"/>
      <c r="N892" s="66"/>
      <c r="O892" s="66"/>
      <c r="P892" s="66"/>
      <c r="Q892" s="66"/>
      <c r="R892" s="66"/>
      <c r="S892" s="66"/>
    </row>
    <row r="893" spans="1:19" ht="18" customHeight="1">
      <c r="B893" s="2" t="s">
        <v>882</v>
      </c>
      <c r="C893" s="2" t="s">
        <v>883</v>
      </c>
      <c r="D893" s="5"/>
      <c r="E893" s="5">
        <v>1</v>
      </c>
      <c r="F893" s="5" t="s">
        <v>0</v>
      </c>
      <c r="G893" s="29" t="str">
        <f>IFERROR(HYPERLINK("#"&amp;ADDRESS(MATCH(B893&amp;"ES",'LM7 Non-ENG'!$A$1:$A$5000,0),1,,,"LM7 Non-ENG"),IF(IFERROR(VLOOKUP(B893&amp;"ES",'LM7 Non-ENG'!$A$1:$A$4999,1,FALSE),"ERROR")=B893&amp;"ES","Y","")),"")</f>
        <v/>
      </c>
      <c r="H893" s="29" t="str">
        <f>IFERROR(HYPERLINK("#"&amp;ADDRESS(MATCH(B893&amp;"PT",'LM7 Non-ENG'!$A$1:$A$5000,0),1,,,"LM7 Non-ENG"),IF(IFERROR(VLOOKUP(B893&amp;"PT",'LM7 Non-ENG'!$A$1:$A$5000,1,FALSE),"ERROR")=B893&amp;"PT","Y","")),"")</f>
        <v/>
      </c>
      <c r="I893" t="str">
        <f>IFERROR(VLOOKUP(B893,PN!$A:$C,3,FALSE),"")</f>
        <v>Phase Out</v>
      </c>
      <c r="J893" s="3">
        <f>IFERROR(E893*VLOOKUP(B893,PLInter!$A:$D,3,FALSE),"")</f>
        <v>13500</v>
      </c>
      <c r="K893" s="66"/>
      <c r="L893" s="66"/>
      <c r="M893" s="66"/>
      <c r="N893" s="66"/>
      <c r="O893" s="66"/>
      <c r="P893" s="66"/>
      <c r="Q893" s="66"/>
      <c r="R893" s="66"/>
      <c r="S893" s="66"/>
    </row>
    <row r="894" spans="1:19" ht="18" customHeight="1">
      <c r="B894" s="2" t="s">
        <v>884</v>
      </c>
      <c r="C894" s="2" t="s">
        <v>885</v>
      </c>
      <c r="D894" s="5"/>
      <c r="E894" s="5">
        <v>1</v>
      </c>
      <c r="F894" s="5" t="s">
        <v>0</v>
      </c>
      <c r="G894" s="29" t="str">
        <f>IFERROR(HYPERLINK("#"&amp;ADDRESS(MATCH(B894&amp;"ES",'LM7 Non-ENG'!$A$1:$A$5000,0),1,,,"LM7 Non-ENG"),IF(IFERROR(VLOOKUP(B894&amp;"ES",'LM7 Non-ENG'!$A$1:$A$4999,1,FALSE),"ERROR")=B894&amp;"ES","Y","")),"")</f>
        <v/>
      </c>
      <c r="H894" s="29" t="str">
        <f>IFERROR(HYPERLINK("#"&amp;ADDRESS(MATCH(B894&amp;"PT",'LM7 Non-ENG'!$A$1:$A$5000,0),1,,,"LM7 Non-ENG"),IF(IFERROR(VLOOKUP(B894&amp;"PT",'LM7 Non-ENG'!$A$1:$A$5000,1,FALSE),"ERROR")=B894&amp;"PT","Y","")),"")</f>
        <v/>
      </c>
      <c r="I894" t="str">
        <f>IFERROR(VLOOKUP(B894,PN!$A:$C,3,FALSE),"")</f>
        <v>ECO-N2Buy</v>
      </c>
      <c r="J894" s="3">
        <f>IFERROR(E894*VLOOKUP(B894,PLInter!$A:$D,3,FALSE),"")</f>
        <v>18880</v>
      </c>
      <c r="K894" s="66"/>
      <c r="L894" s="66"/>
      <c r="M894" s="66"/>
      <c r="N894" s="66"/>
      <c r="O894" s="66"/>
      <c r="P894" s="66"/>
      <c r="Q894" s="66"/>
      <c r="R894" s="66"/>
      <c r="S894" s="66"/>
    </row>
    <row r="895" spans="1:19" ht="18" customHeight="1">
      <c r="B895" s="2" t="s">
        <v>886</v>
      </c>
      <c r="C895" s="2" t="s">
        <v>887</v>
      </c>
      <c r="D895" s="5"/>
      <c r="E895" s="5">
        <v>1</v>
      </c>
      <c r="F895" s="5" t="s">
        <v>0</v>
      </c>
      <c r="G895" s="29" t="str">
        <f>IFERROR(HYPERLINK("#"&amp;ADDRESS(MATCH(B895&amp;"ES",'LM7 Non-ENG'!$A$1:$A$5000,0),1,,,"LM7 Non-ENG"),IF(IFERROR(VLOOKUP(B895&amp;"ES",'LM7 Non-ENG'!$A$1:$A$4999,1,FALSE),"ERROR")=B895&amp;"ES","Y","")),"")</f>
        <v/>
      </c>
      <c r="H895" s="29" t="str">
        <f>IFERROR(HYPERLINK("#"&amp;ADDRESS(MATCH(B895&amp;"PT",'LM7 Non-ENG'!$A$1:$A$5000,0),1,,,"LM7 Non-ENG"),IF(IFERROR(VLOOKUP(B895&amp;"PT",'LM7 Non-ENG'!$A$1:$A$5000,1,FALSE),"ERROR")=B895&amp;"PT","Y","")),"")</f>
        <v/>
      </c>
      <c r="I895" t="str">
        <f>IFERROR(VLOOKUP(B895,PN!$A:$C,3,FALSE),"")</f>
        <v>ECO-N2Buy</v>
      </c>
      <c r="J895" s="3">
        <f>IFERROR(E895*VLOOKUP(B895,PLInter!$A:$D,3,FALSE),"")</f>
        <v>20000</v>
      </c>
      <c r="K895" s="66"/>
      <c r="L895" s="66"/>
      <c r="M895" s="66"/>
      <c r="N895" s="66"/>
      <c r="O895" s="66"/>
      <c r="P895" s="66"/>
      <c r="Q895" s="66"/>
      <c r="R895" s="66"/>
      <c r="S895" s="66"/>
    </row>
    <row r="896" spans="1:19" ht="18" customHeight="1">
      <c r="B896" s="2" t="s">
        <v>870</v>
      </c>
      <c r="C896" s="2" t="s">
        <v>871</v>
      </c>
      <c r="D896" s="5"/>
      <c r="E896" s="5">
        <v>1</v>
      </c>
      <c r="F896" s="5" t="s">
        <v>0</v>
      </c>
      <c r="G896" s="29" t="str">
        <f>IFERROR(HYPERLINK("#"&amp;ADDRESS(MATCH(B896&amp;"ES",'LM7 Non-ENG'!$A$1:$A$5000,0),1,,,"LM7 Non-ENG"),IF(IFERROR(VLOOKUP(B896&amp;"ES",'LM7 Non-ENG'!$A$1:$A$4999,1,FALSE),"ERROR")=B896&amp;"ES","Y","")),"")</f>
        <v/>
      </c>
      <c r="H896" s="29" t="str">
        <f>IFERROR(HYPERLINK("#"&amp;ADDRESS(MATCH(B896&amp;"PT",'LM7 Non-ENG'!$A$1:$A$5000,0),1,,,"LM7 Non-ENG"),IF(IFERROR(VLOOKUP(B896&amp;"PT",'LM7 Non-ENG'!$A$1:$A$5000,1,FALSE),"ERROR")=B896&amp;"PT","Y","")),"")</f>
        <v/>
      </c>
      <c r="I896" t="str">
        <f>IFERROR(VLOOKUP(B896,PN!$A:$C,3,FALSE),"")</f>
        <v>ECO-N2Buy</v>
      </c>
      <c r="J896" s="3">
        <f>IFERROR(E896*VLOOKUP(B896,PLInter!$A:$D,3,FALSE),"")</f>
        <v>45000</v>
      </c>
      <c r="K896" s="66"/>
      <c r="L896" s="66"/>
      <c r="M896" s="66"/>
      <c r="N896" s="66"/>
      <c r="O896" s="66"/>
      <c r="P896" s="66"/>
      <c r="Q896" s="66"/>
      <c r="R896" s="66"/>
      <c r="S896" s="66"/>
    </row>
    <row r="897" spans="1:19" ht="18" customHeight="1">
      <c r="B897" t="s">
        <v>684</v>
      </c>
      <c r="C897" t="s">
        <v>685</v>
      </c>
      <c r="D897" s="4"/>
      <c r="E897" s="4">
        <v>1</v>
      </c>
      <c r="F897" s="4"/>
      <c r="G897" s="29" t="str">
        <f>IFERROR(HYPERLINK("#"&amp;ADDRESS(MATCH(B897&amp;"ES",'LM7 Non-ENG'!$A$1:$A$5000,0),1,,,"LM7 Non-ENG"),IF(IFERROR(VLOOKUP(B897&amp;"ES",'LM7 Non-ENG'!$A$1:$A$4999,1,FALSE),"ERROR")=B897&amp;"ES","Y","")),"")</f>
        <v/>
      </c>
      <c r="H897" s="29" t="str">
        <f>IFERROR(HYPERLINK("#"&amp;ADDRESS(MATCH(B897&amp;"PT",'LM7 Non-ENG'!$A$1:$A$5000,0),1,,,"LM7 Non-ENG"),IF(IFERROR(VLOOKUP(B897&amp;"PT",'LM7 Non-ENG'!$A$1:$A$5000,1,FALSE),"ERROR")=B897&amp;"PT","Y","")),"")</f>
        <v/>
      </c>
      <c r="I897" t="str">
        <f>IFERROR(VLOOKUP(B897,PN!$A:$C,3,FALSE),"")</f>
        <v>Active</v>
      </c>
      <c r="J897" s="3">
        <f>IFERROR(E897*VLOOKUP(B897,PLInter!$A:$D,3,FALSE),"")</f>
        <v>580</v>
      </c>
      <c r="K897" s="66"/>
      <c r="L897" s="66"/>
      <c r="M897" s="66"/>
      <c r="N897" s="66"/>
      <c r="O897" s="66"/>
      <c r="P897" s="66"/>
      <c r="Q897" s="66"/>
      <c r="R897" s="66"/>
      <c r="S897" s="66"/>
    </row>
    <row r="898" spans="1:19" ht="18" customHeight="1">
      <c r="B898" t="s">
        <v>680</v>
      </c>
      <c r="C898" t="s">
        <v>681</v>
      </c>
      <c r="D898" s="4"/>
      <c r="E898" s="4">
        <v>1</v>
      </c>
      <c r="F898" s="4"/>
      <c r="G898" s="29" t="str">
        <f>IFERROR(HYPERLINK("#"&amp;ADDRESS(MATCH(B898&amp;"ES",'LM7 Non-ENG'!$A$1:$A$5000,0),1,,,"LM7 Non-ENG"),IF(IFERROR(VLOOKUP(B898&amp;"ES",'LM7 Non-ENG'!$A$1:$A$4999,1,FALSE),"ERROR")=B898&amp;"ES","Y","")),"")</f>
        <v/>
      </c>
      <c r="H898" s="29" t="str">
        <f>IFERROR(HYPERLINK("#"&amp;ADDRESS(MATCH(B898&amp;"PT",'LM7 Non-ENG'!$A$1:$A$5000,0),1,,,"LM7 Non-ENG"),IF(IFERROR(VLOOKUP(B898&amp;"PT",'LM7 Non-ENG'!$A$1:$A$5000,1,FALSE),"ERROR")=B898&amp;"PT","Y","")),"")</f>
        <v/>
      </c>
      <c r="I898" t="str">
        <f>IFERROR(VLOOKUP(B898,PN!$A:$C,3,FALSE),"")</f>
        <v>Active</v>
      </c>
      <c r="J898" s="3">
        <f>IFERROR(E898*VLOOKUP(B898,PLInter!$A:$D,3,FALSE),"")</f>
        <v>1440</v>
      </c>
      <c r="K898" s="66"/>
      <c r="L898" s="66"/>
      <c r="M898" s="66"/>
      <c r="N898" s="66"/>
      <c r="O898" s="66"/>
      <c r="P898" s="66"/>
      <c r="Q898" s="66"/>
      <c r="R898" s="66"/>
      <c r="S898" s="66"/>
    </row>
    <row r="899" spans="1:19" ht="18" customHeight="1">
      <c r="B899" t="s">
        <v>704</v>
      </c>
      <c r="C899" t="s">
        <v>705</v>
      </c>
      <c r="D899" s="4"/>
      <c r="E899" s="4">
        <v>2</v>
      </c>
      <c r="F899" s="4"/>
      <c r="G899" s="29" t="str">
        <f>IFERROR(HYPERLINK("#"&amp;ADDRESS(MATCH(B899&amp;"ES",'LM7 Non-ENG'!$A$1:$A$5000,0),1,,,"LM7 Non-ENG"),IF(IFERROR(VLOOKUP(B899&amp;"ES",'LM7 Non-ENG'!$A$1:$A$4999,1,FALSE),"ERROR")=B899&amp;"ES","Y","")),"")</f>
        <v/>
      </c>
      <c r="H899" s="29" t="str">
        <f>IFERROR(HYPERLINK("#"&amp;ADDRESS(MATCH(B899&amp;"PT",'LM7 Non-ENG'!$A$1:$A$5000,0),1,,,"LM7 Non-ENG"),IF(IFERROR(VLOOKUP(B899&amp;"PT",'LM7 Non-ENG'!$A$1:$A$5000,1,FALSE),"ERROR")=B899&amp;"PT","Y","")),"")</f>
        <v/>
      </c>
      <c r="I899" t="str">
        <f>IFERROR(VLOOKUP(B899,PN!$A:$C,3,FALSE),"")</f>
        <v>Active</v>
      </c>
      <c r="J899" s="3">
        <f>IFERROR(E899*VLOOKUP(B899,PLInter!$A:$D,3,FALSE),"")</f>
        <v>5280</v>
      </c>
      <c r="K899" s="66"/>
      <c r="L899" s="66"/>
      <c r="M899" s="66"/>
      <c r="N899" s="66"/>
      <c r="O899" s="66"/>
      <c r="P899" s="66"/>
      <c r="Q899" s="66"/>
      <c r="R899" s="66"/>
      <c r="S899" s="66"/>
    </row>
    <row r="900" spans="1:19" ht="18" customHeight="1">
      <c r="B900" t="s">
        <v>786</v>
      </c>
      <c r="C900" t="s">
        <v>787</v>
      </c>
      <c r="D900" s="4"/>
      <c r="E900" s="4">
        <v>1</v>
      </c>
      <c r="F900" s="4"/>
      <c r="G900" s="29" t="str">
        <f>IFERROR(HYPERLINK("#"&amp;ADDRESS(MATCH(B900&amp;"ES",'LM7 Non-ENG'!$A$1:$A$5000,0),1,,,"LM7 Non-ENG"),IF(IFERROR(VLOOKUP(B900&amp;"ES",'LM7 Non-ENG'!$A$1:$A$4999,1,FALSE),"ERROR")=B900&amp;"ES","Y","")),"")</f>
        <v/>
      </c>
      <c r="H900" s="29" t="str">
        <f>IFERROR(HYPERLINK("#"&amp;ADDRESS(MATCH(B900&amp;"PT",'LM7 Non-ENG'!$A$1:$A$5000,0),1,,,"LM7 Non-ENG"),IF(IFERROR(VLOOKUP(B900&amp;"PT",'LM7 Non-ENG'!$A$1:$A$5000,1,FALSE),"ERROR")=B900&amp;"PT","Y","")),"")</f>
        <v/>
      </c>
      <c r="I900" t="str">
        <f>IFERROR(VLOOKUP(B900,PN!$A:$C,3,FALSE),"")</f>
        <v>Active</v>
      </c>
      <c r="J900" s="3">
        <f>IFERROR(E900*VLOOKUP(B900,PLInter!$A:$D,3,FALSE),"")</f>
        <v>528</v>
      </c>
      <c r="K900" s="66"/>
      <c r="L900" s="66"/>
      <c r="M900" s="66"/>
      <c r="N900" s="66"/>
      <c r="O900" s="66"/>
      <c r="P900" s="66"/>
      <c r="Q900" s="66"/>
      <c r="R900" s="66"/>
      <c r="S900" s="66"/>
    </row>
    <row r="901" spans="1:19" ht="18" customHeight="1">
      <c r="B901" t="s">
        <v>689</v>
      </c>
      <c r="C901" t="s">
        <v>690</v>
      </c>
      <c r="D901" s="4"/>
      <c r="E901" s="4">
        <v>1</v>
      </c>
      <c r="F901" s="4"/>
      <c r="G901" s="29" t="str">
        <f>IFERROR(HYPERLINK("#"&amp;ADDRESS(MATCH(B901&amp;"ES",'LM7 Non-ENG'!$A$1:$A$5000,0),1,,,"LM7 Non-ENG"),IF(IFERROR(VLOOKUP(B901&amp;"ES",'LM7 Non-ENG'!$A$1:$A$4999,1,FALSE),"ERROR")=B901&amp;"ES","Y","")),"")</f>
        <v/>
      </c>
      <c r="H901" s="29" t="str">
        <f>IFERROR(HYPERLINK("#"&amp;ADDRESS(MATCH(B901&amp;"PT",'LM7 Non-ENG'!$A$1:$A$5000,0),1,,,"LM7 Non-ENG"),IF(IFERROR(VLOOKUP(B901&amp;"PT",'LM7 Non-ENG'!$A$1:$A$5000,1,FALSE),"ERROR")=B901&amp;"PT","Y","")),"")</f>
        <v/>
      </c>
      <c r="I901" t="str">
        <f>IFERROR(VLOOKUP(B901,PN!$A:$C,3,FALSE),"")</f>
        <v>Active</v>
      </c>
      <c r="J901" s="3">
        <f>IFERROR(E901*VLOOKUP(B901,PLInter!$A:$D,3,FALSE),"")</f>
        <v>2000</v>
      </c>
      <c r="K901" s="66"/>
      <c r="L901" s="66"/>
      <c r="M901" s="66"/>
      <c r="N901" s="66"/>
      <c r="O901" s="66"/>
      <c r="P901" s="66"/>
      <c r="Q901" s="66"/>
      <c r="R901" s="66"/>
      <c r="S901" s="66"/>
    </row>
    <row r="902" spans="1:19" ht="18" customHeight="1">
      <c r="B902" t="str">
        <f>"113034"</f>
        <v>113034</v>
      </c>
      <c r="C902" t="s">
        <v>695</v>
      </c>
      <c r="D902" s="4"/>
      <c r="E902" s="4">
        <v>50</v>
      </c>
      <c r="F902" s="4"/>
      <c r="G902" s="29" t="str">
        <f>IFERROR(HYPERLINK("#"&amp;ADDRESS(MATCH(B902&amp;"ES",'LM7 Non-ENG'!$A$1:$A$5000,0),1,,,"LM7 Non-ENG"),IF(IFERROR(VLOOKUP(B902&amp;"ES",'LM7 Non-ENG'!$A$1:$A$4999,1,FALSE),"ERROR")=B902&amp;"ES","Y","")),"")</f>
        <v/>
      </c>
      <c r="H902" s="29" t="str">
        <f>IFERROR(HYPERLINK("#"&amp;ADDRESS(MATCH(B902&amp;"PT",'LM7 Non-ENG'!$A$1:$A$5000,0),1,,,"LM7 Non-ENG"),IF(IFERROR(VLOOKUP(B902&amp;"PT",'LM7 Non-ENG'!$A$1:$A$5000,1,FALSE),"ERROR")=B902&amp;"PT","Y","")),"")</f>
        <v/>
      </c>
      <c r="I902" t="str">
        <f>IFERROR(VLOOKUP(B902,PN!$A:$C,3,FALSE),"")</f>
        <v>Active</v>
      </c>
      <c r="J902" s="3">
        <f>IFERROR(E902*VLOOKUP(B902,PLInter!$A:$D,3,FALSE),"")</f>
        <v>750</v>
      </c>
      <c r="K902" s="66"/>
      <c r="L902" s="66"/>
      <c r="M902" s="66"/>
      <c r="N902" s="66"/>
      <c r="O902" s="66"/>
      <c r="P902" s="66"/>
      <c r="Q902" s="66"/>
      <c r="R902" s="66"/>
      <c r="S902" s="66"/>
    </row>
    <row r="903" spans="1:19" ht="18" customHeight="1">
      <c r="B903" t="str">
        <f>"021152"</f>
        <v>021152</v>
      </c>
      <c r="C903" s="41" t="s">
        <v>679</v>
      </c>
      <c r="D903" s="4"/>
      <c r="E903" s="4">
        <v>1</v>
      </c>
      <c r="F903" s="4"/>
      <c r="G903" s="29" t="str">
        <f>IFERROR(HYPERLINK("#"&amp;ADDRESS(MATCH(B903&amp;"ES",'LM7 Non-ENG'!$A$1:$A$5000,0),1,,,"LM7 Non-ENG"),IF(IFERROR(VLOOKUP(B903&amp;"ES",'LM7 Non-ENG'!$A$1:$A$4999,1,FALSE),"ERROR")=B903&amp;"ES","Y","")),"")</f>
        <v/>
      </c>
      <c r="H903" s="29" t="str">
        <f>IFERROR(HYPERLINK("#"&amp;ADDRESS(MATCH(B903&amp;"PT",'LM7 Non-ENG'!$A$1:$A$5000,0),1,,,"LM7 Non-ENG"),IF(IFERROR(VLOOKUP(B903&amp;"PT",'LM7 Non-ENG'!$A$1:$A$5000,1,FALSE),"ERROR")=B903&amp;"PT","Y","")),"")</f>
        <v/>
      </c>
      <c r="I903" t="str">
        <f>IFERROR(VLOOKUP(B903,PN!$A:$C,3,FALSE),"")</f>
        <v>Active</v>
      </c>
      <c r="J903" s="3">
        <f>IFERROR(E903*VLOOKUP(B903,PLInter!$A:$D,3,FALSE),"")</f>
        <v>240</v>
      </c>
      <c r="K903" s="66"/>
      <c r="L903" s="66"/>
      <c r="M903" s="66"/>
      <c r="N903" s="66"/>
      <c r="O903" s="66"/>
      <c r="P903" s="66"/>
      <c r="Q903" s="66"/>
      <c r="R903" s="66"/>
      <c r="S903" s="66"/>
    </row>
    <row r="904" spans="1:19" ht="18" customHeight="1">
      <c r="B904" t="s">
        <v>644</v>
      </c>
      <c r="C904" t="s">
        <v>645</v>
      </c>
      <c r="D904" s="4"/>
      <c r="E904" s="4">
        <v>1</v>
      </c>
      <c r="F904" s="4"/>
      <c r="G904" s="29" t="str">
        <f>IFERROR(HYPERLINK("#"&amp;ADDRESS(MATCH(B904&amp;"ES",'LM7 Non-ENG'!$A$1:$A$5000,0),1,,,"LM7 Non-ENG"),IF(IFERROR(VLOOKUP(B904&amp;"ES",'LM7 Non-ENG'!$A$1:$A$4999,1,FALSE),"ERROR")=B904&amp;"ES","Y","")),"")</f>
        <v/>
      </c>
      <c r="H904" s="29" t="str">
        <f>IFERROR(HYPERLINK("#"&amp;ADDRESS(MATCH(B904&amp;"PT",'LM7 Non-ENG'!$A$1:$A$5000,0),1,,,"LM7 Non-ENG"),IF(IFERROR(VLOOKUP(B904&amp;"PT",'LM7 Non-ENG'!$A$1:$A$5000,1,FALSE),"ERROR")=B904&amp;"PT","Y","")),"")</f>
        <v/>
      </c>
      <c r="I904" t="str">
        <f>IFERROR(VLOOKUP(B904,PN!$A:$C,3,FALSE),"")</f>
        <v>Active</v>
      </c>
      <c r="J904" s="3">
        <f>IFERROR(E904*VLOOKUP(B904,PLInter!$A:$D,3,FALSE),"")</f>
        <v>1800</v>
      </c>
      <c r="K904" s="66"/>
      <c r="L904" s="66"/>
      <c r="M904" s="66"/>
      <c r="N904" s="66"/>
      <c r="O904" s="66"/>
      <c r="P904" s="66"/>
      <c r="Q904" s="66"/>
      <c r="R904" s="66"/>
      <c r="S904" s="66"/>
    </row>
    <row r="905" spans="1:19" ht="18" customHeight="1">
      <c r="B905" t="s">
        <v>697</v>
      </c>
      <c r="C905" t="s">
        <v>698</v>
      </c>
      <c r="D905" s="4"/>
      <c r="E905" s="4">
        <v>1</v>
      </c>
      <c r="F905" s="4"/>
      <c r="G905" s="29" t="str">
        <f>IFERROR(HYPERLINK("#"&amp;ADDRESS(MATCH(B905&amp;"ES",'LM7 Non-ENG'!$A$1:$A$5000,0),1,,,"LM7 Non-ENG"),IF(IFERROR(VLOOKUP(B905&amp;"ES",'LM7 Non-ENG'!$A$1:$A$4999,1,FALSE),"ERROR")=B905&amp;"ES","Y","")),"")</f>
        <v/>
      </c>
      <c r="H905" s="29" t="str">
        <f>IFERROR(HYPERLINK("#"&amp;ADDRESS(MATCH(B905&amp;"PT",'LM7 Non-ENG'!$A$1:$A$5000,0),1,,,"LM7 Non-ENG"),IF(IFERROR(VLOOKUP(B905&amp;"PT",'LM7 Non-ENG'!$A$1:$A$5000,1,FALSE),"ERROR")=B905&amp;"PT","Y","")),"")</f>
        <v/>
      </c>
      <c r="I905" t="str">
        <f>IFERROR(VLOOKUP(B905,PN!$A:$C,3,FALSE),"")</f>
        <v>Active</v>
      </c>
      <c r="J905" s="3">
        <f>IFERROR(E905*VLOOKUP(B905,PLInter!$A:$D,3,FALSE),"")</f>
        <v>934</v>
      </c>
      <c r="K905" s="66"/>
      <c r="L905" s="66"/>
      <c r="M905" s="66"/>
      <c r="N905" s="66"/>
      <c r="O905" s="66"/>
      <c r="P905" s="66"/>
      <c r="Q905" s="66"/>
      <c r="R905" s="66"/>
      <c r="S905" s="66"/>
    </row>
    <row r="906" spans="1:19" ht="18" customHeight="1">
      <c r="B906" t="s">
        <v>630</v>
      </c>
      <c r="C906" t="s">
        <v>631</v>
      </c>
      <c r="D906" s="4"/>
      <c r="E906" s="4">
        <v>1</v>
      </c>
      <c r="F906" s="4"/>
      <c r="G906" s="29" t="str">
        <f>IFERROR(HYPERLINK("#"&amp;ADDRESS(MATCH(B906&amp;"ES",'LM7 Non-ENG'!$A$1:$A$5000,0),1,,,"LM7 Non-ENG"),IF(IFERROR(VLOOKUP(B906&amp;"ES",'LM7 Non-ENG'!$A$1:$A$4999,1,FALSE),"ERROR")=B906&amp;"ES","Y","")),"")</f>
        <v/>
      </c>
      <c r="H906" s="29" t="str">
        <f>IFERROR(HYPERLINK("#"&amp;ADDRESS(MATCH(B906&amp;"PT",'LM7 Non-ENG'!$A$1:$A$5000,0),1,,,"LM7 Non-ENG"),IF(IFERROR(VLOOKUP(B906&amp;"PT",'LM7 Non-ENG'!$A$1:$A$5000,1,FALSE),"ERROR")=B906&amp;"PT","Y","")),"")</f>
        <v/>
      </c>
      <c r="I906" t="str">
        <f>IFERROR(VLOOKUP(B906,PN!$A:$C,3,FALSE),"")</f>
        <v>Active</v>
      </c>
      <c r="J906" s="3">
        <f>IFERROR(E906*VLOOKUP(B906,PLInter!$A:$D,3,FALSE),"")</f>
        <v>1735</v>
      </c>
      <c r="K906" s="66"/>
      <c r="L906" s="66"/>
      <c r="M906" s="66"/>
      <c r="N906" s="66"/>
      <c r="O906" s="66"/>
      <c r="P906" s="66"/>
      <c r="Q906" s="66"/>
      <c r="R906" s="66"/>
      <c r="S906" s="66"/>
    </row>
    <row r="908" spans="1:19" s="7" customFormat="1" ht="18" customHeight="1">
      <c r="A908" s="13" t="s">
        <v>888</v>
      </c>
      <c r="B908" s="13"/>
      <c r="C908" s="13" t="s">
        <v>889</v>
      </c>
      <c r="D908" s="14"/>
      <c r="E908" s="14"/>
      <c r="F908" s="14"/>
      <c r="G908" s="14"/>
      <c r="H908" s="14"/>
      <c r="I908" s="14"/>
      <c r="J908" s="14">
        <f>SUMIFS(J909:J925,D909:D925,"&lt;&gt;Y",F909:F925,"&lt;&gt;Y",I909:I925,"&lt;&gt;Inactive",I909:I925,"&lt;&gt;ECO+NFS")</f>
        <v>71629</v>
      </c>
      <c r="K908" s="14"/>
      <c r="L908" s="14"/>
      <c r="M908" s="14"/>
      <c r="N908" s="14"/>
      <c r="O908" s="14"/>
      <c r="P908" s="14"/>
      <c r="Q908" s="14"/>
      <c r="R908" s="14"/>
      <c r="S908" s="14"/>
    </row>
    <row r="909" spans="1:19" ht="18" customHeight="1">
      <c r="A909" s="17" t="str">
        <f>HYPERLINK("#"&amp;ADDRESS(MATCH(A908,'CIM&amp;FMS'!$A$1:$A$4997,0),1,,,"CIM&amp;FMS"),"Back to Price List")</f>
        <v>Back to Price List</v>
      </c>
      <c r="B909" t="s">
        <v>215</v>
      </c>
      <c r="C909" t="s">
        <v>217</v>
      </c>
      <c r="D909" s="4"/>
      <c r="E909" s="4">
        <v>1</v>
      </c>
      <c r="F909" s="4"/>
      <c r="G909" s="29" t="str">
        <f>IFERROR(HYPERLINK("#"&amp;ADDRESS(MATCH(B909&amp;"ES",'LM7 Non-ENG'!$A$1:$A$5000,0),1,,,"LM7 Non-ENG"),IF(IFERROR(VLOOKUP(B909&amp;"ES",'LM7 Non-ENG'!$A$1:$A$4999,1,FALSE),"ERROR")=B909&amp;"ES","Y","")),"")</f>
        <v/>
      </c>
      <c r="H909" s="29" t="str">
        <f>IFERROR(HYPERLINK("#"&amp;ADDRESS(MATCH(B909&amp;"PT",'LM7 Non-ENG'!$A$1:$A$5000,0),1,,,"LM7 Non-ENG"),IF(IFERROR(VLOOKUP(B909&amp;"PT",'LM7 Non-ENG'!$A$1:$A$5000,1,FALSE),"ERROR")=B909&amp;"PT","Y","")),"")</f>
        <v/>
      </c>
      <c r="I909" t="str">
        <f>IFERROR(VLOOKUP(B909,PN!$A:$C,3,FALSE),"")</f>
        <v>Active</v>
      </c>
      <c r="J909" s="3">
        <f>IFERROR(E909*VLOOKUP(B909,PLInter!$A:$D,3,FALSE),"")</f>
        <v>35000</v>
      </c>
      <c r="K909" s="66"/>
      <c r="L909" s="66"/>
      <c r="M909" s="66"/>
      <c r="N909" s="66"/>
      <c r="O909" s="66"/>
      <c r="P909" s="66"/>
      <c r="Q909" s="66"/>
      <c r="R909" s="66"/>
      <c r="S909" s="66"/>
    </row>
    <row r="910" spans="1:19" ht="18" customHeight="1">
      <c r="B910" t="s">
        <v>230</v>
      </c>
      <c r="C910" t="s">
        <v>235</v>
      </c>
      <c r="D910" s="4"/>
      <c r="E910" s="4">
        <v>1</v>
      </c>
      <c r="F910" s="4"/>
      <c r="G910" s="29" t="str">
        <f>IFERROR(HYPERLINK("#"&amp;ADDRESS(MATCH(B910&amp;"ES",'LM7 Non-ENG'!$A$1:$A$5000,0),1,,,"LM7 Non-ENG"),IF(IFERROR(VLOOKUP(B910&amp;"ES",'LM7 Non-ENG'!$A$1:$A$4999,1,FALSE),"ERROR")=B910&amp;"ES","Y","")),"")</f>
        <v/>
      </c>
      <c r="H910" s="29" t="str">
        <f>IFERROR(HYPERLINK("#"&amp;ADDRESS(MATCH(B910&amp;"PT",'LM7 Non-ENG'!$A$1:$A$5000,0),1,,,"LM7 Non-ENG"),IF(IFERROR(VLOOKUP(B910&amp;"PT",'LM7 Non-ENG'!$A$1:$A$5000,1,FALSE),"ERROR")=B910&amp;"PT","Y","")),"")</f>
        <v/>
      </c>
      <c r="I910" t="str">
        <f>IFERROR(VLOOKUP(B910,PN!$A:$C,3,FALSE),"")</f>
        <v>Active</v>
      </c>
      <c r="J910" s="3">
        <f>IFERROR(E910*VLOOKUP(B910,PLInter!$A:$D,3,FALSE),"")</f>
        <v>3200</v>
      </c>
      <c r="K910" s="66"/>
      <c r="L910" s="66"/>
      <c r="M910" s="66"/>
      <c r="N910" s="66"/>
      <c r="O910" s="66"/>
      <c r="P910" s="66"/>
      <c r="Q910" s="66"/>
      <c r="R910" s="66"/>
      <c r="S910" s="66"/>
    </row>
    <row r="911" spans="1:19" ht="18" customHeight="1">
      <c r="B911" t="s">
        <v>858</v>
      </c>
      <c r="C911" t="s">
        <v>859</v>
      </c>
      <c r="D911" s="4"/>
      <c r="E911" s="4">
        <v>1</v>
      </c>
      <c r="F911" s="4"/>
      <c r="G911" s="29" t="str">
        <f>IFERROR(HYPERLINK("#"&amp;ADDRESS(MATCH(B911&amp;"ES",'LM7 Non-ENG'!$A$1:$A$5000,0),1,,,"LM7 Non-ENG"),IF(IFERROR(VLOOKUP(B911&amp;"ES",'LM7 Non-ENG'!$A$1:$A$4999,1,FALSE),"ERROR")=B911&amp;"ES","Y","")),"")</f>
        <v/>
      </c>
      <c r="H911" s="29" t="str">
        <f>IFERROR(HYPERLINK("#"&amp;ADDRESS(MATCH(B911&amp;"PT",'LM7 Non-ENG'!$A$1:$A$5000,0),1,,,"LM7 Non-ENG"),IF(IFERROR(VLOOKUP(B911&amp;"PT",'LM7 Non-ENG'!$A$1:$A$5000,1,FALSE),"ERROR")=B911&amp;"PT","Y","")),"")</f>
        <v/>
      </c>
      <c r="I911" t="str">
        <f>IFERROR(VLOOKUP(B911,PN!$A:$C,3,FALSE),"")</f>
        <v>Active</v>
      </c>
      <c r="J911" s="3">
        <f>IFERROR(E911*VLOOKUP(B911,PLInter!$A:$D,3,FALSE),"")</f>
        <v>15300</v>
      </c>
      <c r="K911" s="66"/>
      <c r="L911" s="66"/>
      <c r="M911" s="66"/>
      <c r="N911" s="66"/>
      <c r="O911" s="66"/>
      <c r="P911" s="66"/>
      <c r="Q911" s="66"/>
      <c r="R911" s="66"/>
      <c r="S911" s="66"/>
    </row>
    <row r="912" spans="1:19" ht="18" customHeight="1">
      <c r="B912" s="2" t="s">
        <v>884</v>
      </c>
      <c r="C912" s="2" t="s">
        <v>885</v>
      </c>
      <c r="D912" s="5"/>
      <c r="E912" s="5">
        <v>1</v>
      </c>
      <c r="F912" s="5" t="s">
        <v>0</v>
      </c>
      <c r="G912" s="29" t="str">
        <f>IFERROR(HYPERLINK("#"&amp;ADDRESS(MATCH(B912&amp;"ES",'LM7 Non-ENG'!$A$1:$A$5000,0),1,,,"LM7 Non-ENG"),IF(IFERROR(VLOOKUP(B912&amp;"ES",'LM7 Non-ENG'!$A$1:$A$4999,1,FALSE),"ERROR")=B912&amp;"ES","Y","")),"")</f>
        <v/>
      </c>
      <c r="H912" s="29" t="str">
        <f>IFERROR(HYPERLINK("#"&amp;ADDRESS(MATCH(B912&amp;"PT",'LM7 Non-ENG'!$A$1:$A$5000,0),1,,,"LM7 Non-ENG"),IF(IFERROR(VLOOKUP(B912&amp;"PT",'LM7 Non-ENG'!$A$1:$A$5000,1,FALSE),"ERROR")=B912&amp;"PT","Y","")),"")</f>
        <v/>
      </c>
      <c r="I912" t="str">
        <f>IFERROR(VLOOKUP(B912,PN!$A:$C,3,FALSE),"")</f>
        <v>ECO-N2Buy</v>
      </c>
      <c r="J912" s="3">
        <f>IFERROR(E912*VLOOKUP(B912,PLInter!$A:$D,3,FALSE),"")</f>
        <v>18880</v>
      </c>
      <c r="K912" s="66"/>
      <c r="L912" s="66"/>
      <c r="M912" s="66"/>
      <c r="N912" s="66"/>
      <c r="O912" s="66"/>
      <c r="P912" s="66"/>
      <c r="Q912" s="66"/>
      <c r="R912" s="66"/>
      <c r="S912" s="66"/>
    </row>
    <row r="913" spans="1:19" ht="18" customHeight="1">
      <c r="B913" s="2" t="s">
        <v>870</v>
      </c>
      <c r="C913" s="2" t="s">
        <v>871</v>
      </c>
      <c r="D913" s="5"/>
      <c r="E913" s="5">
        <v>1</v>
      </c>
      <c r="F913" s="5" t="s">
        <v>0</v>
      </c>
      <c r="G913" s="29" t="str">
        <f>IFERROR(HYPERLINK("#"&amp;ADDRESS(MATCH(B913&amp;"ES",'LM7 Non-ENG'!$A$1:$A$5000,0),1,,,"LM7 Non-ENG"),IF(IFERROR(VLOOKUP(B913&amp;"ES",'LM7 Non-ENG'!$A$1:$A$4999,1,FALSE),"ERROR")=B913&amp;"ES","Y","")),"")</f>
        <v/>
      </c>
      <c r="H913" s="29" t="str">
        <f>IFERROR(HYPERLINK("#"&amp;ADDRESS(MATCH(B913&amp;"PT",'LM7 Non-ENG'!$A$1:$A$5000,0),1,,,"LM7 Non-ENG"),IF(IFERROR(VLOOKUP(B913&amp;"PT",'LM7 Non-ENG'!$A$1:$A$5000,1,FALSE),"ERROR")=B913&amp;"PT","Y","")),"")</f>
        <v/>
      </c>
      <c r="I913" t="str">
        <f>IFERROR(VLOOKUP(B913,PN!$A:$C,3,FALSE),"")</f>
        <v>ECO-N2Buy</v>
      </c>
      <c r="J913" s="3">
        <f>IFERROR(E913*VLOOKUP(B913,PLInter!$A:$D,3,FALSE),"")</f>
        <v>45000</v>
      </c>
      <c r="K913" s="66"/>
      <c r="L913" s="66"/>
      <c r="M913" s="66"/>
      <c r="N913" s="66"/>
      <c r="O913" s="66"/>
      <c r="P913" s="66"/>
      <c r="Q913" s="66"/>
      <c r="R913" s="66"/>
      <c r="S913" s="66"/>
    </row>
    <row r="914" spans="1:19" ht="18" customHeight="1">
      <c r="B914" t="s">
        <v>684</v>
      </c>
      <c r="C914" t="s">
        <v>685</v>
      </c>
      <c r="D914" s="4"/>
      <c r="E914" s="4">
        <v>2</v>
      </c>
      <c r="F914" s="4"/>
      <c r="G914" s="29" t="str">
        <f>IFERROR(HYPERLINK("#"&amp;ADDRESS(MATCH(B914&amp;"ES",'LM7 Non-ENG'!$A$1:$A$5000,0),1,,,"LM7 Non-ENG"),IF(IFERROR(VLOOKUP(B914&amp;"ES",'LM7 Non-ENG'!$A$1:$A$4999,1,FALSE),"ERROR")=B914&amp;"ES","Y","")),"")</f>
        <v/>
      </c>
      <c r="H914" s="29" t="str">
        <f>IFERROR(HYPERLINK("#"&amp;ADDRESS(MATCH(B914&amp;"PT",'LM7 Non-ENG'!$A$1:$A$5000,0),1,,,"LM7 Non-ENG"),IF(IFERROR(VLOOKUP(B914&amp;"PT",'LM7 Non-ENG'!$A$1:$A$5000,1,FALSE),"ERROR")=B914&amp;"PT","Y","")),"")</f>
        <v/>
      </c>
      <c r="I914" t="str">
        <f>IFERROR(VLOOKUP(B914,PN!$A:$C,3,FALSE),"")</f>
        <v>Active</v>
      </c>
      <c r="J914" s="3">
        <f>IFERROR(E914*VLOOKUP(B914,PLInter!$A:$D,3,FALSE),"")</f>
        <v>1160</v>
      </c>
      <c r="K914" s="66"/>
      <c r="L914" s="66"/>
      <c r="M914" s="66"/>
      <c r="N914" s="66"/>
      <c r="O914" s="66"/>
      <c r="P914" s="66"/>
      <c r="Q914" s="66"/>
      <c r="R914" s="66"/>
      <c r="S914" s="66"/>
    </row>
    <row r="915" spans="1:19" ht="18" customHeight="1">
      <c r="B915" t="s">
        <v>682</v>
      </c>
      <c r="C915" t="s">
        <v>683</v>
      </c>
      <c r="D915" s="4"/>
      <c r="E915" s="4">
        <v>1</v>
      </c>
      <c r="F915" s="4"/>
      <c r="G915" s="29" t="str">
        <f>IFERROR(HYPERLINK("#"&amp;ADDRESS(MATCH(B915&amp;"ES",'LM7 Non-ENG'!$A$1:$A$5000,0),1,,,"LM7 Non-ENG"),IF(IFERROR(VLOOKUP(B915&amp;"ES",'LM7 Non-ENG'!$A$1:$A$4999,1,FALSE),"ERROR")=B915&amp;"ES","Y","")),"")</f>
        <v/>
      </c>
      <c r="H915" s="29" t="str">
        <f>IFERROR(HYPERLINK("#"&amp;ADDRESS(MATCH(B915&amp;"PT",'LM7 Non-ENG'!$A$1:$A$5000,0),1,,,"LM7 Non-ENG"),IF(IFERROR(VLOOKUP(B915&amp;"PT",'LM7 Non-ENG'!$A$1:$A$5000,1,FALSE),"ERROR")=B915&amp;"PT","Y","")),"")</f>
        <v/>
      </c>
      <c r="I915" t="str">
        <f>IFERROR(VLOOKUP(B915,PN!$A:$C,3,FALSE),"")</f>
        <v>Active</v>
      </c>
      <c r="J915" s="3">
        <f>IFERROR(E915*VLOOKUP(B915,PLInter!$A:$D,3,FALSE),"")</f>
        <v>494</v>
      </c>
      <c r="K915" s="66"/>
      <c r="L915" s="66"/>
      <c r="M915" s="66"/>
      <c r="N915" s="66"/>
      <c r="O915" s="66"/>
      <c r="P915" s="66"/>
      <c r="Q915" s="66"/>
      <c r="R915" s="66"/>
      <c r="S915" s="66"/>
    </row>
    <row r="916" spans="1:19" ht="18" customHeight="1">
      <c r="B916" t="s">
        <v>680</v>
      </c>
      <c r="C916" t="s">
        <v>681</v>
      </c>
      <c r="D916" s="4"/>
      <c r="E916" s="4">
        <v>1</v>
      </c>
      <c r="F916" s="4"/>
      <c r="G916" s="29" t="str">
        <f>IFERROR(HYPERLINK("#"&amp;ADDRESS(MATCH(B916&amp;"ES",'LM7 Non-ENG'!$A$1:$A$5000,0),1,,,"LM7 Non-ENG"),IF(IFERROR(VLOOKUP(B916&amp;"ES",'LM7 Non-ENG'!$A$1:$A$4999,1,FALSE),"ERROR")=B916&amp;"ES","Y","")),"")</f>
        <v/>
      </c>
      <c r="H916" s="29" t="str">
        <f>IFERROR(HYPERLINK("#"&amp;ADDRESS(MATCH(B916&amp;"PT",'LM7 Non-ENG'!$A$1:$A$5000,0),1,,,"LM7 Non-ENG"),IF(IFERROR(VLOOKUP(B916&amp;"PT",'LM7 Non-ENG'!$A$1:$A$5000,1,FALSE),"ERROR")=B916&amp;"PT","Y","")),"")</f>
        <v/>
      </c>
      <c r="I916" t="str">
        <f>IFERROR(VLOOKUP(B916,PN!$A:$C,3,FALSE),"")</f>
        <v>Active</v>
      </c>
      <c r="J916" s="3">
        <f>IFERROR(E916*VLOOKUP(B916,PLInter!$A:$D,3,FALSE),"")</f>
        <v>1440</v>
      </c>
      <c r="K916" s="66"/>
      <c r="L916" s="66"/>
      <c r="M916" s="66"/>
      <c r="N916" s="66"/>
      <c r="O916" s="66"/>
      <c r="P916" s="66"/>
      <c r="Q916" s="66"/>
      <c r="R916" s="66"/>
      <c r="S916" s="66"/>
    </row>
    <row r="917" spans="1:19" ht="18" customHeight="1">
      <c r="B917" t="s">
        <v>704</v>
      </c>
      <c r="C917" t="s">
        <v>705</v>
      </c>
      <c r="D917" s="4"/>
      <c r="E917" s="4">
        <v>2</v>
      </c>
      <c r="F917" s="4"/>
      <c r="G917" s="29" t="str">
        <f>IFERROR(HYPERLINK("#"&amp;ADDRESS(MATCH(B917&amp;"ES",'LM7 Non-ENG'!$A$1:$A$5000,0),1,,,"LM7 Non-ENG"),IF(IFERROR(VLOOKUP(B917&amp;"ES",'LM7 Non-ENG'!$A$1:$A$4999,1,FALSE),"ERROR")=B917&amp;"ES","Y","")),"")</f>
        <v/>
      </c>
      <c r="H917" s="29" t="str">
        <f>IFERROR(HYPERLINK("#"&amp;ADDRESS(MATCH(B917&amp;"PT",'LM7 Non-ENG'!$A$1:$A$5000,0),1,,,"LM7 Non-ENG"),IF(IFERROR(VLOOKUP(B917&amp;"PT",'LM7 Non-ENG'!$A$1:$A$5000,1,FALSE),"ERROR")=B917&amp;"PT","Y","")),"")</f>
        <v/>
      </c>
      <c r="I917" t="str">
        <f>IFERROR(VLOOKUP(B917,PN!$A:$C,3,FALSE),"")</f>
        <v>Active</v>
      </c>
      <c r="J917" s="3">
        <f>IFERROR(E917*VLOOKUP(B917,PLInter!$A:$D,3,FALSE),"")</f>
        <v>5280</v>
      </c>
      <c r="K917" s="66"/>
      <c r="L917" s="66"/>
      <c r="M917" s="66"/>
      <c r="N917" s="66"/>
      <c r="O917" s="66"/>
      <c r="P917" s="66"/>
      <c r="Q917" s="66"/>
      <c r="R917" s="66"/>
      <c r="S917" s="66"/>
    </row>
    <row r="918" spans="1:19" ht="18" customHeight="1">
      <c r="B918" t="s">
        <v>786</v>
      </c>
      <c r="C918" t="s">
        <v>787</v>
      </c>
      <c r="D918" s="4"/>
      <c r="E918" s="4">
        <v>2</v>
      </c>
      <c r="F918" s="4"/>
      <c r="G918" s="29" t="str">
        <f>IFERROR(HYPERLINK("#"&amp;ADDRESS(MATCH(B918&amp;"ES",'LM7 Non-ENG'!$A$1:$A$5000,0),1,,,"LM7 Non-ENG"),IF(IFERROR(VLOOKUP(B918&amp;"ES",'LM7 Non-ENG'!$A$1:$A$4999,1,FALSE),"ERROR")=B918&amp;"ES","Y","")),"")</f>
        <v/>
      </c>
      <c r="H918" s="29" t="str">
        <f>IFERROR(HYPERLINK("#"&amp;ADDRESS(MATCH(B918&amp;"PT",'LM7 Non-ENG'!$A$1:$A$5000,0),1,,,"LM7 Non-ENG"),IF(IFERROR(VLOOKUP(B918&amp;"PT",'LM7 Non-ENG'!$A$1:$A$5000,1,FALSE),"ERROR")=B918&amp;"PT","Y","")),"")</f>
        <v/>
      </c>
      <c r="I918" t="str">
        <f>IFERROR(VLOOKUP(B918,PN!$A:$C,3,FALSE),"")</f>
        <v>Active</v>
      </c>
      <c r="J918" s="3">
        <f>IFERROR(E918*VLOOKUP(B918,PLInter!$A:$D,3,FALSE),"")</f>
        <v>1056</v>
      </c>
      <c r="K918" s="66"/>
      <c r="L918" s="66"/>
      <c r="M918" s="66"/>
      <c r="N918" s="66"/>
      <c r="O918" s="66"/>
      <c r="P918" s="66"/>
      <c r="Q918" s="66"/>
      <c r="R918" s="66"/>
      <c r="S918" s="66"/>
    </row>
    <row r="919" spans="1:19" ht="18" customHeight="1">
      <c r="B919" t="s">
        <v>689</v>
      </c>
      <c r="C919" t="s">
        <v>690</v>
      </c>
      <c r="D919" s="4"/>
      <c r="E919" s="4">
        <v>1</v>
      </c>
      <c r="F919" s="4"/>
      <c r="G919" s="29" t="str">
        <f>IFERROR(HYPERLINK("#"&amp;ADDRESS(MATCH(B919&amp;"ES",'LM7 Non-ENG'!$A$1:$A$5000,0),1,,,"LM7 Non-ENG"),IF(IFERROR(VLOOKUP(B919&amp;"ES",'LM7 Non-ENG'!$A$1:$A$4999,1,FALSE),"ERROR")=B919&amp;"ES","Y","")),"")</f>
        <v/>
      </c>
      <c r="H919" s="29" t="str">
        <f>IFERROR(HYPERLINK("#"&amp;ADDRESS(MATCH(B919&amp;"PT",'LM7 Non-ENG'!$A$1:$A$5000,0),1,,,"LM7 Non-ENG"),IF(IFERROR(VLOOKUP(B919&amp;"PT",'LM7 Non-ENG'!$A$1:$A$5000,1,FALSE),"ERROR")=B919&amp;"PT","Y","")),"")</f>
        <v/>
      </c>
      <c r="I919" t="str">
        <f>IFERROR(VLOOKUP(B919,PN!$A:$C,3,FALSE),"")</f>
        <v>Active</v>
      </c>
      <c r="J919" s="3">
        <f>IFERROR(E919*VLOOKUP(B919,PLInter!$A:$D,3,FALSE),"")</f>
        <v>2000</v>
      </c>
      <c r="K919" s="66"/>
      <c r="L919" s="66"/>
      <c r="M919" s="66"/>
      <c r="N919" s="66"/>
      <c r="O919" s="66"/>
      <c r="P919" s="66"/>
      <c r="Q919" s="66"/>
      <c r="R919" s="66"/>
      <c r="S919" s="66"/>
    </row>
    <row r="920" spans="1:19" ht="18" customHeight="1">
      <c r="B920" t="str">
        <f>"113034"</f>
        <v>113034</v>
      </c>
      <c r="C920" t="s">
        <v>695</v>
      </c>
      <c r="D920" s="4"/>
      <c r="E920" s="4">
        <v>50</v>
      </c>
      <c r="F920" s="4"/>
      <c r="G920" s="29" t="str">
        <f>IFERROR(HYPERLINK("#"&amp;ADDRESS(MATCH(B920&amp;"ES",'LM7 Non-ENG'!$A$1:$A$5000,0),1,,,"LM7 Non-ENG"),IF(IFERROR(VLOOKUP(B920&amp;"ES",'LM7 Non-ENG'!$A$1:$A$4999,1,FALSE),"ERROR")=B920&amp;"ES","Y","")),"")</f>
        <v/>
      </c>
      <c r="H920" s="29" t="str">
        <f>IFERROR(HYPERLINK("#"&amp;ADDRESS(MATCH(B920&amp;"PT",'LM7 Non-ENG'!$A$1:$A$5000,0),1,,,"LM7 Non-ENG"),IF(IFERROR(VLOOKUP(B920&amp;"PT",'LM7 Non-ENG'!$A$1:$A$5000,1,FALSE),"ERROR")=B920&amp;"PT","Y","")),"")</f>
        <v/>
      </c>
      <c r="I920" t="str">
        <f>IFERROR(VLOOKUP(B920,PN!$A:$C,3,FALSE),"")</f>
        <v>Active</v>
      </c>
      <c r="J920" s="3">
        <f>IFERROR(E920*VLOOKUP(B920,PLInter!$A:$D,3,FALSE),"")</f>
        <v>750</v>
      </c>
      <c r="K920" s="66"/>
      <c r="L920" s="66"/>
      <c r="M920" s="66"/>
      <c r="N920" s="66"/>
      <c r="O920" s="66"/>
      <c r="P920" s="66"/>
      <c r="Q920" s="66"/>
      <c r="R920" s="66"/>
      <c r="S920" s="66"/>
    </row>
    <row r="921" spans="1:19" ht="18" customHeight="1">
      <c r="B921" t="str">
        <f>"112496"</f>
        <v>112496</v>
      </c>
      <c r="C921" t="s">
        <v>696</v>
      </c>
      <c r="D921" s="4"/>
      <c r="E921" s="4">
        <v>50</v>
      </c>
      <c r="F921" s="4"/>
      <c r="G921" s="29" t="str">
        <f>IFERROR(HYPERLINK("#"&amp;ADDRESS(MATCH(B921&amp;"ES",'LM7 Non-ENG'!$A$1:$A$5000,0),1,,,"LM7 Non-ENG"),IF(IFERROR(VLOOKUP(B921&amp;"ES",'LM7 Non-ENG'!$A$1:$A$4999,1,FALSE),"ERROR")=B921&amp;"ES","Y","")),"")</f>
        <v/>
      </c>
      <c r="H921" s="29" t="str">
        <f>IFERROR(HYPERLINK("#"&amp;ADDRESS(MATCH(B921&amp;"PT",'LM7 Non-ENG'!$A$1:$A$5000,0),1,,,"LM7 Non-ENG"),IF(IFERROR(VLOOKUP(B921&amp;"PT",'LM7 Non-ENG'!$A$1:$A$5000,1,FALSE),"ERROR")=B921&amp;"PT","Y","")),"")</f>
        <v/>
      </c>
      <c r="I921" t="str">
        <f>IFERROR(VLOOKUP(B921,PN!$A:$C,3,FALSE),"")</f>
        <v>Active</v>
      </c>
      <c r="J921" s="3">
        <f>IFERROR(E921*VLOOKUP(B921,PLInter!$A:$D,3,FALSE),"")</f>
        <v>1000</v>
      </c>
      <c r="K921" s="66"/>
      <c r="L921" s="66"/>
      <c r="M921" s="66"/>
      <c r="N921" s="66"/>
      <c r="O921" s="66"/>
      <c r="P921" s="66"/>
      <c r="Q921" s="66"/>
      <c r="R921" s="66"/>
      <c r="S921" s="66"/>
    </row>
    <row r="922" spans="1:19" ht="18" customHeight="1">
      <c r="B922" t="str">
        <f>"021152"</f>
        <v>021152</v>
      </c>
      <c r="C922" s="41" t="s">
        <v>679</v>
      </c>
      <c r="D922" s="4"/>
      <c r="E922" s="4">
        <v>2</v>
      </c>
      <c r="F922" s="4"/>
      <c r="G922" s="29" t="str">
        <f>IFERROR(HYPERLINK("#"&amp;ADDRESS(MATCH(B922&amp;"ES",'LM7 Non-ENG'!$A$1:$A$5000,0),1,,,"LM7 Non-ENG"),IF(IFERROR(VLOOKUP(B922&amp;"ES",'LM7 Non-ENG'!$A$1:$A$4999,1,FALSE),"ERROR")=B922&amp;"ES","Y","")),"")</f>
        <v/>
      </c>
      <c r="H922" s="29" t="str">
        <f>IFERROR(HYPERLINK("#"&amp;ADDRESS(MATCH(B922&amp;"PT",'LM7 Non-ENG'!$A$1:$A$5000,0),1,,,"LM7 Non-ENG"),IF(IFERROR(VLOOKUP(B922&amp;"PT",'LM7 Non-ENG'!$A$1:$A$5000,1,FALSE),"ERROR")=B922&amp;"PT","Y","")),"")</f>
        <v/>
      </c>
      <c r="I922" t="str">
        <f>IFERROR(VLOOKUP(B922,PN!$A:$C,3,FALSE),"")</f>
        <v>Active</v>
      </c>
      <c r="J922" s="3">
        <f>IFERROR(E922*VLOOKUP(B922,PLInter!$A:$D,3,FALSE),"")</f>
        <v>480</v>
      </c>
      <c r="K922" s="66"/>
      <c r="L922" s="66"/>
      <c r="M922" s="66"/>
      <c r="N922" s="66"/>
      <c r="O922" s="66"/>
      <c r="P922" s="66"/>
      <c r="Q922" s="66"/>
      <c r="R922" s="66"/>
      <c r="S922" s="66"/>
    </row>
    <row r="923" spans="1:19" ht="18" customHeight="1">
      <c r="B923" t="s">
        <v>644</v>
      </c>
      <c r="C923" t="s">
        <v>645</v>
      </c>
      <c r="D923" s="4"/>
      <c r="E923" s="4">
        <v>1</v>
      </c>
      <c r="F923" s="4"/>
      <c r="G923" s="29" t="str">
        <f>IFERROR(HYPERLINK("#"&amp;ADDRESS(MATCH(B923&amp;"ES",'LM7 Non-ENG'!$A$1:$A$5000,0),1,,,"LM7 Non-ENG"),IF(IFERROR(VLOOKUP(B923&amp;"ES",'LM7 Non-ENG'!$A$1:$A$4999,1,FALSE),"ERROR")=B923&amp;"ES","Y","")),"")</f>
        <v/>
      </c>
      <c r="H923" s="29" t="str">
        <f>IFERROR(HYPERLINK("#"&amp;ADDRESS(MATCH(B923&amp;"PT",'LM7 Non-ENG'!$A$1:$A$5000,0),1,,,"LM7 Non-ENG"),IF(IFERROR(VLOOKUP(B923&amp;"PT",'LM7 Non-ENG'!$A$1:$A$5000,1,FALSE),"ERROR")=B923&amp;"PT","Y","")),"")</f>
        <v/>
      </c>
      <c r="I923" t="str">
        <f>IFERROR(VLOOKUP(B923,PN!$A:$C,3,FALSE),"")</f>
        <v>Active</v>
      </c>
      <c r="J923" s="3">
        <f>IFERROR(E923*VLOOKUP(B923,PLInter!$A:$D,3,FALSE),"")</f>
        <v>1800</v>
      </c>
      <c r="K923" s="66"/>
      <c r="L923" s="66"/>
      <c r="M923" s="66"/>
      <c r="N923" s="66"/>
      <c r="O923" s="66"/>
      <c r="P923" s="66"/>
      <c r="Q923" s="66"/>
      <c r="R923" s="66"/>
      <c r="S923" s="66"/>
    </row>
    <row r="924" spans="1:19" ht="18" customHeight="1">
      <c r="B924" t="s">
        <v>697</v>
      </c>
      <c r="C924" t="s">
        <v>698</v>
      </c>
      <c r="D924" s="4"/>
      <c r="E924" s="4">
        <v>1</v>
      </c>
      <c r="F924" s="4"/>
      <c r="G924" s="29" t="str">
        <f>IFERROR(HYPERLINK("#"&amp;ADDRESS(MATCH(B924&amp;"ES",'LM7 Non-ENG'!$A$1:$A$5000,0),1,,,"LM7 Non-ENG"),IF(IFERROR(VLOOKUP(B924&amp;"ES",'LM7 Non-ENG'!$A$1:$A$4999,1,FALSE),"ERROR")=B924&amp;"ES","Y","")),"")</f>
        <v/>
      </c>
      <c r="H924" s="29" t="str">
        <f>IFERROR(HYPERLINK("#"&amp;ADDRESS(MATCH(B924&amp;"PT",'LM7 Non-ENG'!$A$1:$A$5000,0),1,,,"LM7 Non-ENG"),IF(IFERROR(VLOOKUP(B924&amp;"PT",'LM7 Non-ENG'!$A$1:$A$5000,1,FALSE),"ERROR")=B924&amp;"PT","Y","")),"")</f>
        <v/>
      </c>
      <c r="I924" t="str">
        <f>IFERROR(VLOOKUP(B924,PN!$A:$C,3,FALSE),"")</f>
        <v>Active</v>
      </c>
      <c r="J924" s="3">
        <f>IFERROR(E924*VLOOKUP(B924,PLInter!$A:$D,3,FALSE),"")</f>
        <v>934</v>
      </c>
      <c r="K924" s="66"/>
      <c r="L924" s="66"/>
      <c r="M924" s="66"/>
      <c r="N924" s="66"/>
      <c r="O924" s="66"/>
      <c r="P924" s="66"/>
      <c r="Q924" s="66"/>
      <c r="R924" s="66"/>
      <c r="S924" s="66"/>
    </row>
    <row r="925" spans="1:19" ht="18" customHeight="1">
      <c r="B925" t="s">
        <v>630</v>
      </c>
      <c r="C925" t="s">
        <v>631</v>
      </c>
      <c r="D925" s="4"/>
      <c r="E925" s="4">
        <v>1</v>
      </c>
      <c r="F925" s="4"/>
      <c r="G925" s="29" t="str">
        <f>IFERROR(HYPERLINK("#"&amp;ADDRESS(MATCH(B925&amp;"ES",'LM7 Non-ENG'!$A$1:$A$5000,0),1,,,"LM7 Non-ENG"),IF(IFERROR(VLOOKUP(B925&amp;"ES",'LM7 Non-ENG'!$A$1:$A$4999,1,FALSE),"ERROR")=B925&amp;"ES","Y","")),"")</f>
        <v/>
      </c>
      <c r="H925" s="29" t="str">
        <f>IFERROR(HYPERLINK("#"&amp;ADDRESS(MATCH(B925&amp;"PT",'LM7 Non-ENG'!$A$1:$A$5000,0),1,,,"LM7 Non-ENG"),IF(IFERROR(VLOOKUP(B925&amp;"PT",'LM7 Non-ENG'!$A$1:$A$5000,1,FALSE),"ERROR")=B925&amp;"PT","Y","")),"")</f>
        <v/>
      </c>
      <c r="I925" t="str">
        <f>IFERROR(VLOOKUP(B925,PN!$A:$C,3,FALSE),"")</f>
        <v>Active</v>
      </c>
      <c r="J925" s="3">
        <f>IFERROR(E925*VLOOKUP(B925,PLInter!$A:$D,3,FALSE),"")</f>
        <v>1735</v>
      </c>
      <c r="K925" s="66"/>
      <c r="L925" s="66"/>
      <c r="M925" s="66"/>
      <c r="N925" s="66"/>
      <c r="O925" s="66"/>
      <c r="P925" s="66"/>
      <c r="Q925" s="66"/>
      <c r="R925" s="66"/>
      <c r="S925" s="66"/>
    </row>
    <row r="927" spans="1:19" s="7" customFormat="1" ht="18" customHeight="1">
      <c r="A927" s="13" t="s">
        <v>890</v>
      </c>
      <c r="B927" s="13"/>
      <c r="C927" s="13" t="s">
        <v>891</v>
      </c>
      <c r="D927" s="14"/>
      <c r="E927" s="14"/>
      <c r="F927" s="14"/>
      <c r="G927" s="14"/>
      <c r="H927" s="14"/>
      <c r="I927" s="14"/>
      <c r="J927" s="14">
        <f>SUMIFS(J928:J943,D928:D943,"&lt;&gt;Y",F928:F943,"&lt;&gt;Y",I928:I943,"&lt;&gt;Inactive",I928:I943,"&lt;&gt;ECO+NFS")</f>
        <v>63451</v>
      </c>
      <c r="K927" s="14"/>
      <c r="L927" s="14"/>
      <c r="M927" s="14"/>
      <c r="N927" s="14"/>
      <c r="O927" s="14"/>
      <c r="P927" s="14"/>
      <c r="Q927" s="14"/>
      <c r="R927" s="14"/>
      <c r="S927" s="14"/>
    </row>
    <row r="928" spans="1:19" ht="18" customHeight="1">
      <c r="A928" s="17" t="str">
        <f>HYPERLINK("#"&amp;ADDRESS(MATCH(A927,'CIM&amp;FMS'!$A$1:$A$4997,0),1,,,"CIM&amp;FMS"),"Back to Price List")</f>
        <v>Back to Price List</v>
      </c>
      <c r="B928" t="s">
        <v>215</v>
      </c>
      <c r="C928" t="s">
        <v>217</v>
      </c>
      <c r="D928" s="4"/>
      <c r="E928" s="4">
        <v>1</v>
      </c>
      <c r="F928" s="4"/>
      <c r="G928" s="29" t="str">
        <f>IFERROR(HYPERLINK("#"&amp;ADDRESS(MATCH(B928&amp;"ES",'LM7 Non-ENG'!$A$1:$A$5000,0),1,,,"LM7 Non-ENG"),IF(IFERROR(VLOOKUP(B928&amp;"ES",'LM7 Non-ENG'!$A$1:$A$4999,1,FALSE),"ERROR")=B928&amp;"ES","Y","")),"")</f>
        <v/>
      </c>
      <c r="H928" s="29" t="str">
        <f>IFERROR(HYPERLINK("#"&amp;ADDRESS(MATCH(B928&amp;"PT",'LM7 Non-ENG'!$A$1:$A$5000,0),1,,,"LM7 Non-ENG"),IF(IFERROR(VLOOKUP(B928&amp;"PT",'LM7 Non-ENG'!$A$1:$A$5000,1,FALSE),"ERROR")=B928&amp;"PT","Y","")),"")</f>
        <v/>
      </c>
      <c r="I928" t="str">
        <f>IFERROR(VLOOKUP(B928,PN!$A:$C,3,FALSE),"")</f>
        <v>Active</v>
      </c>
      <c r="J928" s="3">
        <f>IFERROR(E928*VLOOKUP(B928,PLInter!$A:$D,3,FALSE),"")</f>
        <v>35000</v>
      </c>
      <c r="K928" s="66"/>
      <c r="L928" s="66"/>
      <c r="M928" s="66"/>
      <c r="N928" s="66"/>
      <c r="O928" s="66"/>
      <c r="P928" s="66"/>
      <c r="Q928" s="66"/>
      <c r="R928" s="66"/>
      <c r="S928" s="66"/>
    </row>
    <row r="929" spans="2:19" ht="18" customHeight="1">
      <c r="B929" t="s">
        <v>230</v>
      </c>
      <c r="C929" t="s">
        <v>235</v>
      </c>
      <c r="D929" s="4"/>
      <c r="E929" s="4">
        <v>1</v>
      </c>
      <c r="F929" s="4"/>
      <c r="G929" s="29" t="str">
        <f>IFERROR(HYPERLINK("#"&amp;ADDRESS(MATCH(B929&amp;"ES",'LM7 Non-ENG'!$A$1:$A$5000,0),1,,,"LM7 Non-ENG"),IF(IFERROR(VLOOKUP(B929&amp;"ES",'LM7 Non-ENG'!$A$1:$A$4999,1,FALSE),"ERROR")=B929&amp;"ES","Y","")),"")</f>
        <v/>
      </c>
      <c r="H929" s="29" t="str">
        <f>IFERROR(HYPERLINK("#"&amp;ADDRESS(MATCH(B929&amp;"PT",'LM7 Non-ENG'!$A$1:$A$5000,0),1,,,"LM7 Non-ENG"),IF(IFERROR(VLOOKUP(B929&amp;"PT",'LM7 Non-ENG'!$A$1:$A$5000,1,FALSE),"ERROR")=B929&amp;"PT","Y","")),"")</f>
        <v/>
      </c>
      <c r="I929" t="str">
        <f>IFERROR(VLOOKUP(B929,PN!$A:$C,3,FALSE),"")</f>
        <v>Active</v>
      </c>
      <c r="J929" s="3">
        <f>IFERROR(E929*VLOOKUP(B929,PLInter!$A:$D,3,FALSE),"")</f>
        <v>3200</v>
      </c>
      <c r="K929" s="66"/>
      <c r="L929" s="66"/>
      <c r="M929" s="66"/>
      <c r="N929" s="66"/>
      <c r="O929" s="66"/>
      <c r="P929" s="66"/>
      <c r="Q929" s="66"/>
      <c r="R929" s="66"/>
      <c r="S929" s="66"/>
    </row>
    <row r="930" spans="2:19" ht="18" customHeight="1">
      <c r="B930" t="s">
        <v>858</v>
      </c>
      <c r="C930" t="s">
        <v>859</v>
      </c>
      <c r="D930" s="4"/>
      <c r="E930" s="4">
        <v>1</v>
      </c>
      <c r="F930" s="4"/>
      <c r="G930" s="29" t="str">
        <f>IFERROR(HYPERLINK("#"&amp;ADDRESS(MATCH(B930&amp;"ES",'LM7 Non-ENG'!$A$1:$A$5000,0),1,,,"LM7 Non-ENG"),IF(IFERROR(VLOOKUP(B930&amp;"ES",'LM7 Non-ENG'!$A$1:$A$4999,1,FALSE),"ERROR")=B930&amp;"ES","Y","")),"")</f>
        <v/>
      </c>
      <c r="H930" s="29" t="str">
        <f>IFERROR(HYPERLINK("#"&amp;ADDRESS(MATCH(B930&amp;"PT",'LM7 Non-ENG'!$A$1:$A$5000,0),1,,,"LM7 Non-ENG"),IF(IFERROR(VLOOKUP(B930&amp;"PT",'LM7 Non-ENG'!$A$1:$A$5000,1,FALSE),"ERROR")=B930&amp;"PT","Y","")),"")</f>
        <v/>
      </c>
      <c r="I930" t="str">
        <f>IFERROR(VLOOKUP(B930,PN!$A:$C,3,FALSE),"")</f>
        <v>Active</v>
      </c>
      <c r="J930" s="3">
        <f>IFERROR(E930*VLOOKUP(B930,PLInter!$A:$D,3,FALSE),"")</f>
        <v>15300</v>
      </c>
      <c r="K930" s="66"/>
      <c r="L930" s="66"/>
      <c r="M930" s="66"/>
      <c r="N930" s="66"/>
      <c r="O930" s="66"/>
      <c r="P930" s="66"/>
      <c r="Q930" s="66"/>
      <c r="R930" s="66"/>
      <c r="S930" s="66"/>
    </row>
    <row r="931" spans="2:19" ht="18" customHeight="1">
      <c r="B931" s="2" t="s">
        <v>882</v>
      </c>
      <c r="C931" s="2" t="s">
        <v>883</v>
      </c>
      <c r="D931" s="5"/>
      <c r="E931" s="5">
        <v>1</v>
      </c>
      <c r="F931" s="5" t="s">
        <v>0</v>
      </c>
      <c r="G931" s="29" t="str">
        <f>IFERROR(HYPERLINK("#"&amp;ADDRESS(MATCH(B931&amp;"ES",'LM7 Non-ENG'!$A$1:$A$5000,0),1,,,"LM7 Non-ENG"),IF(IFERROR(VLOOKUP(B931&amp;"ES",'LM7 Non-ENG'!$A$1:$A$4999,1,FALSE),"ERROR")=B931&amp;"ES","Y","")),"")</f>
        <v/>
      </c>
      <c r="H931" s="29" t="str">
        <f>IFERROR(HYPERLINK("#"&amp;ADDRESS(MATCH(B931&amp;"PT",'LM7 Non-ENG'!$A$1:$A$5000,0),1,,,"LM7 Non-ENG"),IF(IFERROR(VLOOKUP(B931&amp;"PT",'LM7 Non-ENG'!$A$1:$A$5000,1,FALSE),"ERROR")=B931&amp;"PT","Y","")),"")</f>
        <v/>
      </c>
      <c r="I931" t="str">
        <f>IFERROR(VLOOKUP(B931,PN!$A:$C,3,FALSE),"")</f>
        <v>Phase Out</v>
      </c>
      <c r="J931" s="3">
        <f>IFERROR(E931*VLOOKUP(B931,PLInter!$A:$D,3,FALSE),"")</f>
        <v>13500</v>
      </c>
      <c r="K931" s="66"/>
      <c r="L931" s="66"/>
      <c r="M931" s="66"/>
      <c r="N931" s="66"/>
      <c r="O931" s="66"/>
      <c r="P931" s="66"/>
      <c r="Q931" s="66"/>
      <c r="R931" s="66"/>
      <c r="S931" s="66"/>
    </row>
    <row r="932" spans="2:19" ht="18" customHeight="1">
      <c r="B932" s="2" t="s">
        <v>884</v>
      </c>
      <c r="C932" s="2" t="s">
        <v>885</v>
      </c>
      <c r="D932" s="5"/>
      <c r="E932" s="5">
        <v>1</v>
      </c>
      <c r="F932" s="5" t="s">
        <v>0</v>
      </c>
      <c r="G932" s="29" t="str">
        <f>IFERROR(HYPERLINK("#"&amp;ADDRESS(MATCH(B932&amp;"ES",'LM7 Non-ENG'!$A$1:$A$5000,0),1,,,"LM7 Non-ENG"),IF(IFERROR(VLOOKUP(B932&amp;"ES",'LM7 Non-ENG'!$A$1:$A$4999,1,FALSE),"ERROR")=B932&amp;"ES","Y","")),"")</f>
        <v/>
      </c>
      <c r="H932" s="29" t="str">
        <f>IFERROR(HYPERLINK("#"&amp;ADDRESS(MATCH(B932&amp;"PT",'LM7 Non-ENG'!$A$1:$A$5000,0),1,,,"LM7 Non-ENG"),IF(IFERROR(VLOOKUP(B932&amp;"PT",'LM7 Non-ENG'!$A$1:$A$5000,1,FALSE),"ERROR")=B932&amp;"PT","Y","")),"")</f>
        <v/>
      </c>
      <c r="I932" t="str">
        <f>IFERROR(VLOOKUP(B932,PN!$A:$C,3,FALSE),"")</f>
        <v>ECO-N2Buy</v>
      </c>
      <c r="J932" s="3">
        <f>IFERROR(E932*VLOOKUP(B932,PLInter!$A:$D,3,FALSE),"")</f>
        <v>18880</v>
      </c>
      <c r="K932" s="66"/>
      <c r="L932" s="66"/>
      <c r="M932" s="66"/>
      <c r="N932" s="66"/>
      <c r="O932" s="66"/>
      <c r="P932" s="66"/>
      <c r="Q932" s="66"/>
      <c r="R932" s="66"/>
      <c r="S932" s="66"/>
    </row>
    <row r="933" spans="2:19" ht="18" customHeight="1">
      <c r="B933" s="2" t="s">
        <v>886</v>
      </c>
      <c r="C933" s="2" t="s">
        <v>887</v>
      </c>
      <c r="D933" s="5"/>
      <c r="E933" s="5">
        <v>1</v>
      </c>
      <c r="F933" s="5" t="s">
        <v>0</v>
      </c>
      <c r="G933" s="29" t="str">
        <f>IFERROR(HYPERLINK("#"&amp;ADDRESS(MATCH(B933&amp;"ES",'LM7 Non-ENG'!$A$1:$A$5000,0),1,,,"LM7 Non-ENG"),IF(IFERROR(VLOOKUP(B933&amp;"ES",'LM7 Non-ENG'!$A$1:$A$4999,1,FALSE),"ERROR")=B933&amp;"ES","Y","")),"")</f>
        <v/>
      </c>
      <c r="H933" s="29" t="str">
        <f>IFERROR(HYPERLINK("#"&amp;ADDRESS(MATCH(B933&amp;"PT",'LM7 Non-ENG'!$A$1:$A$5000,0),1,,,"LM7 Non-ENG"),IF(IFERROR(VLOOKUP(B933&amp;"PT",'LM7 Non-ENG'!$A$1:$A$5000,1,FALSE),"ERROR")=B933&amp;"PT","Y","")),"")</f>
        <v/>
      </c>
      <c r="I933" t="str">
        <f>IFERROR(VLOOKUP(B933,PN!$A:$C,3,FALSE),"")</f>
        <v>ECO-N2Buy</v>
      </c>
      <c r="J933" s="3">
        <f>IFERROR(E933*VLOOKUP(B933,PLInter!$A:$D,3,FALSE),"")</f>
        <v>20000</v>
      </c>
      <c r="K933" s="66"/>
      <c r="L933" s="66"/>
      <c r="M933" s="66"/>
      <c r="N933" s="66"/>
      <c r="O933" s="66"/>
      <c r="P933" s="66"/>
      <c r="Q933" s="66"/>
      <c r="R933" s="66"/>
      <c r="S933" s="66"/>
    </row>
    <row r="934" spans="2:19" ht="18" customHeight="1">
      <c r="B934" s="2" t="s">
        <v>870</v>
      </c>
      <c r="C934" s="2" t="s">
        <v>871</v>
      </c>
      <c r="D934" s="5"/>
      <c r="E934" s="5">
        <v>1</v>
      </c>
      <c r="F934" s="5" t="s">
        <v>0</v>
      </c>
      <c r="G934" s="29" t="str">
        <f>IFERROR(HYPERLINK("#"&amp;ADDRESS(MATCH(B934&amp;"ES",'LM7 Non-ENG'!$A$1:$A$5000,0),1,,,"LM7 Non-ENG"),IF(IFERROR(VLOOKUP(B934&amp;"ES",'LM7 Non-ENG'!$A$1:$A$4999,1,FALSE),"ERROR")=B934&amp;"ES","Y","")),"")</f>
        <v/>
      </c>
      <c r="H934" s="29" t="str">
        <f>IFERROR(HYPERLINK("#"&amp;ADDRESS(MATCH(B934&amp;"PT",'LM7 Non-ENG'!$A$1:$A$5000,0),1,,,"LM7 Non-ENG"),IF(IFERROR(VLOOKUP(B934&amp;"PT",'LM7 Non-ENG'!$A$1:$A$5000,1,FALSE),"ERROR")=B934&amp;"PT","Y","")),"")</f>
        <v/>
      </c>
      <c r="I934" t="str">
        <f>IFERROR(VLOOKUP(B934,PN!$A:$C,3,FALSE),"")</f>
        <v>ECO-N2Buy</v>
      </c>
      <c r="J934" s="3">
        <f>IFERROR(E934*VLOOKUP(B934,PLInter!$A:$D,3,FALSE),"")</f>
        <v>45000</v>
      </c>
      <c r="K934" s="66"/>
      <c r="L934" s="66"/>
      <c r="M934" s="66"/>
      <c r="N934" s="66"/>
      <c r="O934" s="66"/>
      <c r="P934" s="66"/>
      <c r="Q934" s="66"/>
      <c r="R934" s="66"/>
      <c r="S934" s="66"/>
    </row>
    <row r="935" spans="2:19" ht="18" customHeight="1">
      <c r="B935" t="s">
        <v>684</v>
      </c>
      <c r="C935" t="s">
        <v>685</v>
      </c>
      <c r="D935" s="4"/>
      <c r="E935" s="4">
        <v>1</v>
      </c>
      <c r="F935" s="4"/>
      <c r="G935" s="29" t="str">
        <f>IFERROR(HYPERLINK("#"&amp;ADDRESS(MATCH(B935&amp;"ES",'LM7 Non-ENG'!$A$1:$A$5000,0),1,,,"LM7 Non-ENG"),IF(IFERROR(VLOOKUP(B935&amp;"ES",'LM7 Non-ENG'!$A$1:$A$4999,1,FALSE),"ERROR")=B935&amp;"ES","Y","")),"")</f>
        <v/>
      </c>
      <c r="H935" s="29" t="str">
        <f>IFERROR(HYPERLINK("#"&amp;ADDRESS(MATCH(B935&amp;"PT",'LM7 Non-ENG'!$A$1:$A$5000,0),1,,,"LM7 Non-ENG"),IF(IFERROR(VLOOKUP(B935&amp;"PT",'LM7 Non-ENG'!$A$1:$A$5000,1,FALSE),"ERROR")=B935&amp;"PT","Y","")),"")</f>
        <v/>
      </c>
      <c r="I935" t="str">
        <f>IFERROR(VLOOKUP(B935,PN!$A:$C,3,FALSE),"")</f>
        <v>Active</v>
      </c>
      <c r="J935" s="3">
        <f>IFERROR(E935*VLOOKUP(B935,PLInter!$A:$D,3,FALSE),"")</f>
        <v>580</v>
      </c>
      <c r="K935" s="66"/>
      <c r="L935" s="66"/>
      <c r="M935" s="66"/>
      <c r="N935" s="66"/>
      <c r="O935" s="66"/>
      <c r="P935" s="66"/>
      <c r="Q935" s="66"/>
      <c r="R935" s="66"/>
      <c r="S935" s="66"/>
    </row>
    <row r="936" spans="2:19" ht="18" customHeight="1">
      <c r="B936" t="s">
        <v>682</v>
      </c>
      <c r="C936" t="s">
        <v>683</v>
      </c>
      <c r="D936" s="4"/>
      <c r="E936" s="4">
        <v>1</v>
      </c>
      <c r="F936" s="4"/>
      <c r="G936" s="29" t="str">
        <f>IFERROR(HYPERLINK("#"&amp;ADDRESS(MATCH(B936&amp;"ES",'LM7 Non-ENG'!$A$1:$A$5000,0),1,,,"LM7 Non-ENG"),IF(IFERROR(VLOOKUP(B936&amp;"ES",'LM7 Non-ENG'!$A$1:$A$4999,1,FALSE),"ERROR")=B936&amp;"ES","Y","")),"")</f>
        <v/>
      </c>
      <c r="H936" s="29" t="str">
        <f>IFERROR(HYPERLINK("#"&amp;ADDRESS(MATCH(B936&amp;"PT",'LM7 Non-ENG'!$A$1:$A$5000,0),1,,,"LM7 Non-ENG"),IF(IFERROR(VLOOKUP(B936&amp;"PT",'LM7 Non-ENG'!$A$1:$A$5000,1,FALSE),"ERROR")=B936&amp;"PT","Y","")),"")</f>
        <v/>
      </c>
      <c r="I936" t="str">
        <f>IFERROR(VLOOKUP(B936,PN!$A:$C,3,FALSE),"")</f>
        <v>Active</v>
      </c>
      <c r="J936" s="3">
        <f>IFERROR(E936*VLOOKUP(B936,PLInter!$A:$D,3,FALSE),"")</f>
        <v>494</v>
      </c>
      <c r="K936" s="66"/>
      <c r="L936" s="66"/>
      <c r="M936" s="66"/>
      <c r="N936" s="66"/>
      <c r="O936" s="66"/>
      <c r="P936" s="66"/>
      <c r="Q936" s="66"/>
      <c r="R936" s="66"/>
      <c r="S936" s="66"/>
    </row>
    <row r="937" spans="2:19" ht="18" customHeight="1">
      <c r="B937" t="s">
        <v>704</v>
      </c>
      <c r="C937" t="s">
        <v>705</v>
      </c>
      <c r="D937" s="4"/>
      <c r="E937" s="4">
        <v>1</v>
      </c>
      <c r="F937" s="4"/>
      <c r="G937" s="29" t="str">
        <f>IFERROR(HYPERLINK("#"&amp;ADDRESS(MATCH(B937&amp;"ES",'LM7 Non-ENG'!$A$1:$A$5000,0),1,,,"LM7 Non-ENG"),IF(IFERROR(VLOOKUP(B937&amp;"ES",'LM7 Non-ENG'!$A$1:$A$4999,1,FALSE),"ERROR")=B937&amp;"ES","Y","")),"")</f>
        <v/>
      </c>
      <c r="H937" s="29" t="str">
        <f>IFERROR(HYPERLINK("#"&amp;ADDRESS(MATCH(B937&amp;"PT",'LM7 Non-ENG'!$A$1:$A$5000,0),1,,,"LM7 Non-ENG"),IF(IFERROR(VLOOKUP(B937&amp;"PT",'LM7 Non-ENG'!$A$1:$A$5000,1,FALSE),"ERROR")=B937&amp;"PT","Y","")),"")</f>
        <v/>
      </c>
      <c r="I937" t="str">
        <f>IFERROR(VLOOKUP(B937,PN!$A:$C,3,FALSE),"")</f>
        <v>Active</v>
      </c>
      <c r="J937" s="3">
        <f>IFERROR(E937*VLOOKUP(B937,PLInter!$A:$D,3,FALSE),"")</f>
        <v>2640</v>
      </c>
      <c r="K937" s="66"/>
      <c r="L937" s="66"/>
      <c r="M937" s="66"/>
      <c r="N937" s="66"/>
      <c r="O937" s="66"/>
      <c r="P937" s="66"/>
      <c r="Q937" s="66"/>
      <c r="R937" s="66"/>
      <c r="S937" s="66"/>
    </row>
    <row r="938" spans="2:19" ht="18" customHeight="1">
      <c r="B938" t="s">
        <v>786</v>
      </c>
      <c r="C938" t="s">
        <v>787</v>
      </c>
      <c r="D938" s="4"/>
      <c r="E938" s="4">
        <v>1</v>
      </c>
      <c r="F938" s="4"/>
      <c r="G938" s="29" t="str">
        <f>IFERROR(HYPERLINK("#"&amp;ADDRESS(MATCH(B938&amp;"ES",'LM7 Non-ENG'!$A$1:$A$5000,0),1,,,"LM7 Non-ENG"),IF(IFERROR(VLOOKUP(B938&amp;"ES",'LM7 Non-ENG'!$A$1:$A$4999,1,FALSE),"ERROR")=B938&amp;"ES","Y","")),"")</f>
        <v/>
      </c>
      <c r="H938" s="29" t="str">
        <f>IFERROR(HYPERLINK("#"&amp;ADDRESS(MATCH(B938&amp;"PT",'LM7 Non-ENG'!$A$1:$A$5000,0),1,,,"LM7 Non-ENG"),IF(IFERROR(VLOOKUP(B938&amp;"PT",'LM7 Non-ENG'!$A$1:$A$5000,1,FALSE),"ERROR")=B938&amp;"PT","Y","")),"")</f>
        <v/>
      </c>
      <c r="I938" t="str">
        <f>IFERROR(VLOOKUP(B938,PN!$A:$C,3,FALSE),"")</f>
        <v>Active</v>
      </c>
      <c r="J938" s="3">
        <f>IFERROR(E938*VLOOKUP(B938,PLInter!$A:$D,3,FALSE),"")</f>
        <v>528</v>
      </c>
      <c r="K938" s="66"/>
      <c r="L938" s="66"/>
      <c r="M938" s="66"/>
      <c r="N938" s="66"/>
      <c r="O938" s="66"/>
      <c r="P938" s="66"/>
      <c r="Q938" s="66"/>
      <c r="R938" s="66"/>
      <c r="S938" s="66"/>
    </row>
    <row r="939" spans="2:19" ht="18" customHeight="1">
      <c r="B939" t="str">
        <f>"112496"</f>
        <v>112496</v>
      </c>
      <c r="C939" t="s">
        <v>696</v>
      </c>
      <c r="D939" s="4"/>
      <c r="E939" s="4">
        <v>50</v>
      </c>
      <c r="F939" s="4"/>
      <c r="G939" s="29" t="str">
        <f>IFERROR(HYPERLINK("#"&amp;ADDRESS(MATCH(B939&amp;"ES",'LM7 Non-ENG'!$A$1:$A$5000,0),1,,,"LM7 Non-ENG"),IF(IFERROR(VLOOKUP(B939&amp;"ES",'LM7 Non-ENG'!$A$1:$A$4999,1,FALSE),"ERROR")=B939&amp;"ES","Y","")),"")</f>
        <v/>
      </c>
      <c r="H939" s="29" t="str">
        <f>IFERROR(HYPERLINK("#"&amp;ADDRESS(MATCH(B939&amp;"PT",'LM7 Non-ENG'!$A$1:$A$5000,0),1,,,"LM7 Non-ENG"),IF(IFERROR(VLOOKUP(B939&amp;"PT",'LM7 Non-ENG'!$A$1:$A$5000,1,FALSE),"ERROR")=B939&amp;"PT","Y","")),"")</f>
        <v/>
      </c>
      <c r="I939" t="str">
        <f>IFERROR(VLOOKUP(B939,PN!$A:$C,3,FALSE),"")</f>
        <v>Active</v>
      </c>
      <c r="J939" s="3">
        <f>IFERROR(E939*VLOOKUP(B939,PLInter!$A:$D,3,FALSE),"")</f>
        <v>1000</v>
      </c>
      <c r="K939" s="66"/>
      <c r="L939" s="66"/>
      <c r="M939" s="66"/>
      <c r="N939" s="66"/>
      <c r="O939" s="66"/>
      <c r="P939" s="66"/>
      <c r="Q939" s="66"/>
      <c r="R939" s="66"/>
      <c r="S939" s="66"/>
    </row>
    <row r="940" spans="2:19" ht="18" customHeight="1">
      <c r="B940" t="str">
        <f>"021152"</f>
        <v>021152</v>
      </c>
      <c r="C940" s="41" t="s">
        <v>679</v>
      </c>
      <c r="D940" s="4"/>
      <c r="E940" s="4">
        <v>1</v>
      </c>
      <c r="F940" s="4"/>
      <c r="G940" s="29" t="str">
        <f>IFERROR(HYPERLINK("#"&amp;ADDRESS(MATCH(B940&amp;"ES",'LM7 Non-ENG'!$A$1:$A$5000,0),1,,,"LM7 Non-ENG"),IF(IFERROR(VLOOKUP(B940&amp;"ES",'LM7 Non-ENG'!$A$1:$A$4999,1,FALSE),"ERROR")=B940&amp;"ES","Y","")),"")</f>
        <v/>
      </c>
      <c r="H940" s="29" t="str">
        <f>IFERROR(HYPERLINK("#"&amp;ADDRESS(MATCH(B940&amp;"PT",'LM7 Non-ENG'!$A$1:$A$5000,0),1,,,"LM7 Non-ENG"),IF(IFERROR(VLOOKUP(B940&amp;"PT",'LM7 Non-ENG'!$A$1:$A$5000,1,FALSE),"ERROR")=B940&amp;"PT","Y","")),"")</f>
        <v/>
      </c>
      <c r="I940" t="str">
        <f>IFERROR(VLOOKUP(B940,PN!$A:$C,3,FALSE),"")</f>
        <v>Active</v>
      </c>
      <c r="J940" s="3">
        <f>IFERROR(E940*VLOOKUP(B940,PLInter!$A:$D,3,FALSE),"")</f>
        <v>240</v>
      </c>
      <c r="K940" s="66"/>
      <c r="L940" s="66"/>
      <c r="M940" s="66"/>
      <c r="N940" s="66"/>
      <c r="O940" s="66"/>
      <c r="P940" s="66"/>
      <c r="Q940" s="66"/>
      <c r="R940" s="66"/>
      <c r="S940" s="66"/>
    </row>
    <row r="941" spans="2:19" ht="18" customHeight="1">
      <c r="B941" t="s">
        <v>644</v>
      </c>
      <c r="C941" t="s">
        <v>645</v>
      </c>
      <c r="D941" s="4"/>
      <c r="E941" s="4">
        <v>1</v>
      </c>
      <c r="F941" s="4"/>
      <c r="G941" s="29" t="str">
        <f>IFERROR(HYPERLINK("#"&amp;ADDRESS(MATCH(B941&amp;"ES",'LM7 Non-ENG'!$A$1:$A$5000,0),1,,,"LM7 Non-ENG"),IF(IFERROR(VLOOKUP(B941&amp;"ES",'LM7 Non-ENG'!$A$1:$A$4999,1,FALSE),"ERROR")=B941&amp;"ES","Y","")),"")</f>
        <v/>
      </c>
      <c r="H941" s="29" t="str">
        <f>IFERROR(HYPERLINK("#"&amp;ADDRESS(MATCH(B941&amp;"PT",'LM7 Non-ENG'!$A$1:$A$5000,0),1,,,"LM7 Non-ENG"),IF(IFERROR(VLOOKUP(B941&amp;"PT",'LM7 Non-ENG'!$A$1:$A$5000,1,FALSE),"ERROR")=B941&amp;"PT","Y","")),"")</f>
        <v/>
      </c>
      <c r="I941" t="str">
        <f>IFERROR(VLOOKUP(B941,PN!$A:$C,3,FALSE),"")</f>
        <v>Active</v>
      </c>
      <c r="J941" s="3">
        <f>IFERROR(E941*VLOOKUP(B941,PLInter!$A:$D,3,FALSE),"")</f>
        <v>1800</v>
      </c>
      <c r="K941" s="66"/>
      <c r="L941" s="66"/>
      <c r="M941" s="66"/>
      <c r="N941" s="66"/>
      <c r="O941" s="66"/>
      <c r="P941" s="66"/>
      <c r="Q941" s="66"/>
      <c r="R941" s="66"/>
      <c r="S941" s="66"/>
    </row>
    <row r="942" spans="2:19" ht="18" customHeight="1">
      <c r="B942" t="s">
        <v>697</v>
      </c>
      <c r="C942" t="s">
        <v>698</v>
      </c>
      <c r="D942" s="4"/>
      <c r="E942" s="4">
        <v>1</v>
      </c>
      <c r="F942" s="4"/>
      <c r="G942" s="29" t="str">
        <f>IFERROR(HYPERLINK("#"&amp;ADDRESS(MATCH(B942&amp;"ES",'LM7 Non-ENG'!$A$1:$A$5000,0),1,,,"LM7 Non-ENG"),IF(IFERROR(VLOOKUP(B942&amp;"ES",'LM7 Non-ENG'!$A$1:$A$4999,1,FALSE),"ERROR")=B942&amp;"ES","Y","")),"")</f>
        <v/>
      </c>
      <c r="H942" s="29" t="str">
        <f>IFERROR(HYPERLINK("#"&amp;ADDRESS(MATCH(B942&amp;"PT",'LM7 Non-ENG'!$A$1:$A$5000,0),1,,,"LM7 Non-ENG"),IF(IFERROR(VLOOKUP(B942&amp;"PT",'LM7 Non-ENG'!$A$1:$A$5000,1,FALSE),"ERROR")=B942&amp;"PT","Y","")),"")</f>
        <v/>
      </c>
      <c r="I942" t="str">
        <f>IFERROR(VLOOKUP(B942,PN!$A:$C,3,FALSE),"")</f>
        <v>Active</v>
      </c>
      <c r="J942" s="3">
        <f>IFERROR(E942*VLOOKUP(B942,PLInter!$A:$D,3,FALSE),"")</f>
        <v>934</v>
      </c>
      <c r="K942" s="66"/>
      <c r="L942" s="66"/>
      <c r="M942" s="66"/>
      <c r="N942" s="66"/>
      <c r="O942" s="66"/>
      <c r="P942" s="66"/>
      <c r="Q942" s="66"/>
      <c r="R942" s="66"/>
      <c r="S942" s="66"/>
    </row>
    <row r="943" spans="2:19" ht="18" customHeight="1">
      <c r="B943" t="s">
        <v>630</v>
      </c>
      <c r="C943" t="s">
        <v>631</v>
      </c>
      <c r="D943" s="4"/>
      <c r="E943" s="4">
        <v>1</v>
      </c>
      <c r="F943" s="4"/>
      <c r="G943" s="29" t="str">
        <f>IFERROR(HYPERLINK("#"&amp;ADDRESS(MATCH(B943&amp;"ES",'LM7 Non-ENG'!$A$1:$A$5000,0),1,,,"LM7 Non-ENG"),IF(IFERROR(VLOOKUP(B943&amp;"ES",'LM7 Non-ENG'!$A$1:$A$4999,1,FALSE),"ERROR")=B943&amp;"ES","Y","")),"")</f>
        <v/>
      </c>
      <c r="H943" s="29" t="str">
        <f>IFERROR(HYPERLINK("#"&amp;ADDRESS(MATCH(B943&amp;"PT",'LM7 Non-ENG'!$A$1:$A$5000,0),1,,,"LM7 Non-ENG"),IF(IFERROR(VLOOKUP(B943&amp;"PT",'LM7 Non-ENG'!$A$1:$A$5000,1,FALSE),"ERROR")=B943&amp;"PT","Y","")),"")</f>
        <v/>
      </c>
      <c r="I943" t="str">
        <f>IFERROR(VLOOKUP(B943,PN!$A:$C,3,FALSE),"")</f>
        <v>Active</v>
      </c>
      <c r="J943" s="3">
        <f>IFERROR(E943*VLOOKUP(B943,PLInter!$A:$D,3,FALSE),"")</f>
        <v>1735</v>
      </c>
      <c r="K943" s="66"/>
      <c r="L943" s="66"/>
      <c r="M943" s="66"/>
      <c r="N943" s="66"/>
      <c r="O943" s="66"/>
      <c r="P943" s="66"/>
      <c r="Q943" s="66"/>
      <c r="R943" s="66"/>
      <c r="S943" s="66"/>
    </row>
    <row r="945" spans="1:19" s="7" customFormat="1" ht="18" customHeight="1">
      <c r="A945" s="13" t="s">
        <v>892</v>
      </c>
      <c r="B945" s="13"/>
      <c r="C945" s="13" t="s">
        <v>893</v>
      </c>
      <c r="D945" s="14"/>
      <c r="E945" s="14"/>
      <c r="F945" s="14"/>
      <c r="G945" s="14"/>
      <c r="H945" s="14"/>
      <c r="I945" s="14"/>
      <c r="J945" s="14">
        <f>SUMIFS(J946:J999,D946:D999,"&lt;&gt;Y",F946:F999,"&lt;&gt;Y",I946:I999,"&lt;&gt;Inactive",I946:I999,"&lt;&gt;ECO+NFS")</f>
        <v>111650</v>
      </c>
      <c r="K945" s="14"/>
      <c r="L945" s="14"/>
      <c r="M945" s="14"/>
      <c r="N945" s="14"/>
      <c r="O945" s="14"/>
      <c r="P945" s="14"/>
      <c r="Q945" s="14"/>
      <c r="R945" s="14"/>
      <c r="S945" s="14"/>
    </row>
    <row r="946" spans="1:19" ht="18" customHeight="1">
      <c r="A946" s="17" t="str">
        <f>HYPERLINK("#"&amp;ADDRESS(MATCH(A945,'CIM&amp;FMS'!$A$1:$A$4997,0),1,,,"CIM&amp;FMS"),"Back to Price List")</f>
        <v>Back to Price List</v>
      </c>
      <c r="B946" t="s">
        <v>215</v>
      </c>
      <c r="C946" t="s">
        <v>217</v>
      </c>
      <c r="D946" s="4"/>
      <c r="E946" s="4">
        <v>1</v>
      </c>
      <c r="F946" s="4"/>
      <c r="G946" s="29" t="str">
        <f>IFERROR(HYPERLINK("#"&amp;ADDRESS(MATCH(B946&amp;"ES",'LM7 Non-ENG'!$A$1:$A$5000,0),1,,,"LM7 Non-ENG"),IF(IFERROR(VLOOKUP(B946&amp;"ES",'LM7 Non-ENG'!$A$1:$A$4999,1,FALSE),"ERROR")=B946&amp;"ES","Y","")),"")</f>
        <v/>
      </c>
      <c r="H946" s="29" t="str">
        <f>IFERROR(HYPERLINK("#"&amp;ADDRESS(MATCH(B946&amp;"PT",'LM7 Non-ENG'!$A$1:$A$5000,0),1,,,"LM7 Non-ENG"),IF(IFERROR(VLOOKUP(B946&amp;"PT",'LM7 Non-ENG'!$A$1:$A$5000,1,FALSE),"ERROR")=B946&amp;"PT","Y","")),"")</f>
        <v/>
      </c>
      <c r="I946" t="str">
        <f>IFERROR(VLOOKUP(B946,PN!$A:$C,3,FALSE),"")</f>
        <v>Active</v>
      </c>
      <c r="J946" s="3">
        <f>IFERROR(E946*VLOOKUP(B946,PLInter!$A:$D,3,FALSE),"")</f>
        <v>35000</v>
      </c>
      <c r="K946" s="66"/>
      <c r="L946" s="66"/>
      <c r="M946" s="66"/>
      <c r="N946" s="66"/>
      <c r="O946" s="66"/>
      <c r="P946" s="66"/>
      <c r="Q946" s="66"/>
      <c r="R946" s="66"/>
      <c r="S946" s="66"/>
    </row>
    <row r="947" spans="1:19" ht="18" customHeight="1">
      <c r="B947" t="s">
        <v>230</v>
      </c>
      <c r="C947" t="s">
        <v>235</v>
      </c>
      <c r="D947" s="4"/>
      <c r="E947" s="4">
        <v>1</v>
      </c>
      <c r="F947" s="4"/>
      <c r="G947" s="29" t="str">
        <f>IFERROR(HYPERLINK("#"&amp;ADDRESS(MATCH(B947&amp;"ES",'LM7 Non-ENG'!$A$1:$A$5000,0),1,,,"LM7 Non-ENG"),IF(IFERROR(VLOOKUP(B947&amp;"ES",'LM7 Non-ENG'!$A$1:$A$4999,1,FALSE),"ERROR")=B947&amp;"ES","Y","")),"")</f>
        <v/>
      </c>
      <c r="H947" s="29" t="str">
        <f>IFERROR(HYPERLINK("#"&amp;ADDRESS(MATCH(B947&amp;"PT",'LM7 Non-ENG'!$A$1:$A$5000,0),1,,,"LM7 Non-ENG"),IF(IFERROR(VLOOKUP(B947&amp;"PT",'LM7 Non-ENG'!$A$1:$A$5000,1,FALSE),"ERROR")=B947&amp;"PT","Y","")),"")</f>
        <v/>
      </c>
      <c r="I947" t="str">
        <f>IFERROR(VLOOKUP(B947,PN!$A:$C,3,FALSE),"")</f>
        <v>Active</v>
      </c>
      <c r="J947" s="3">
        <f>IFERROR(E947*VLOOKUP(B947,PLInter!$A:$D,3,FALSE),"")</f>
        <v>3200</v>
      </c>
      <c r="K947" s="66"/>
      <c r="L947" s="66"/>
      <c r="M947" s="66"/>
      <c r="N947" s="66"/>
      <c r="O947" s="66"/>
      <c r="P947" s="66"/>
      <c r="Q947" s="66"/>
      <c r="R947" s="66"/>
      <c r="S947" s="66"/>
    </row>
    <row r="948" spans="1:19" ht="18" customHeight="1">
      <c r="B948" t="s">
        <v>858</v>
      </c>
      <c r="C948" t="s">
        <v>859</v>
      </c>
      <c r="D948" s="4"/>
      <c r="E948" s="4">
        <v>1</v>
      </c>
      <c r="F948" s="4"/>
      <c r="G948" s="29" t="str">
        <f>IFERROR(HYPERLINK("#"&amp;ADDRESS(MATCH(B948&amp;"ES",'LM7 Non-ENG'!$A$1:$A$5000,0),1,,,"LM7 Non-ENG"),IF(IFERROR(VLOOKUP(B948&amp;"ES",'LM7 Non-ENG'!$A$1:$A$4999,1,FALSE),"ERROR")=B948&amp;"ES","Y","")),"")</f>
        <v/>
      </c>
      <c r="H948" s="29" t="str">
        <f>IFERROR(HYPERLINK("#"&amp;ADDRESS(MATCH(B948&amp;"PT",'LM7 Non-ENG'!$A$1:$A$5000,0),1,,,"LM7 Non-ENG"),IF(IFERROR(VLOOKUP(B948&amp;"PT",'LM7 Non-ENG'!$A$1:$A$5000,1,FALSE),"ERROR")=B948&amp;"PT","Y","")),"")</f>
        <v/>
      </c>
      <c r="I948" t="str">
        <f>IFERROR(VLOOKUP(B948,PN!$A:$C,3,FALSE),"")</f>
        <v>Active</v>
      </c>
      <c r="J948" s="3">
        <f>IFERROR(E948*VLOOKUP(B948,PLInter!$A:$D,3,FALSE),"")</f>
        <v>15300</v>
      </c>
      <c r="K948" s="66"/>
      <c r="L948" s="66"/>
      <c r="M948" s="66"/>
      <c r="N948" s="66"/>
      <c r="O948" s="66"/>
      <c r="P948" s="66"/>
      <c r="Q948" s="66"/>
      <c r="R948" s="66"/>
      <c r="S948" s="66"/>
    </row>
    <row r="949" spans="1:19" ht="18" customHeight="1">
      <c r="B949" s="2" t="s">
        <v>884</v>
      </c>
      <c r="C949" s="2" t="s">
        <v>885</v>
      </c>
      <c r="D949" s="5"/>
      <c r="E949" s="5">
        <v>1</v>
      </c>
      <c r="F949" s="5" t="s">
        <v>0</v>
      </c>
      <c r="G949" s="29" t="str">
        <f>IFERROR(HYPERLINK("#"&amp;ADDRESS(MATCH(B949&amp;"ES",'LM7 Non-ENG'!$A$1:$A$5000,0),1,,,"LM7 Non-ENG"),IF(IFERROR(VLOOKUP(B949&amp;"ES",'LM7 Non-ENG'!$A$1:$A$4999,1,FALSE),"ERROR")=B949&amp;"ES","Y","")),"")</f>
        <v/>
      </c>
      <c r="H949" s="29" t="str">
        <f>IFERROR(HYPERLINK("#"&amp;ADDRESS(MATCH(B949&amp;"PT",'LM7 Non-ENG'!$A$1:$A$5000,0),1,,,"LM7 Non-ENG"),IF(IFERROR(VLOOKUP(B949&amp;"PT",'LM7 Non-ENG'!$A$1:$A$5000,1,FALSE),"ERROR")=B949&amp;"PT","Y","")),"")</f>
        <v/>
      </c>
      <c r="I949" t="str">
        <f>IFERROR(VLOOKUP(B949,PN!$A:$C,3,FALSE),"")</f>
        <v>ECO-N2Buy</v>
      </c>
      <c r="J949" s="3">
        <f>IFERROR(E949*VLOOKUP(B949,PLInter!$A:$D,3,FALSE),"")</f>
        <v>18880</v>
      </c>
      <c r="K949" s="66"/>
      <c r="L949" s="66"/>
      <c r="M949" s="66"/>
      <c r="N949" s="66"/>
      <c r="O949" s="66"/>
      <c r="P949" s="66"/>
      <c r="Q949" s="66"/>
      <c r="R949" s="66"/>
      <c r="S949" s="66"/>
    </row>
    <row r="950" spans="1:19" ht="18" customHeight="1">
      <c r="B950" s="2" t="s">
        <v>870</v>
      </c>
      <c r="C950" s="2" t="s">
        <v>871</v>
      </c>
      <c r="D950" s="5"/>
      <c r="E950" s="5">
        <v>1</v>
      </c>
      <c r="F950" s="5" t="s">
        <v>0</v>
      </c>
      <c r="G950" s="29" t="str">
        <f>IFERROR(HYPERLINK("#"&amp;ADDRESS(MATCH(B950&amp;"ES",'LM7 Non-ENG'!$A$1:$A$5000,0),1,,,"LM7 Non-ENG"),IF(IFERROR(VLOOKUP(B950&amp;"ES",'LM7 Non-ENG'!$A$1:$A$4999,1,FALSE),"ERROR")=B950&amp;"ES","Y","")),"")</f>
        <v/>
      </c>
      <c r="H950" s="29" t="str">
        <f>IFERROR(HYPERLINK("#"&amp;ADDRESS(MATCH(B950&amp;"PT",'LM7 Non-ENG'!$A$1:$A$5000,0),1,,,"LM7 Non-ENG"),IF(IFERROR(VLOOKUP(B950&amp;"PT",'LM7 Non-ENG'!$A$1:$A$5000,1,FALSE),"ERROR")=B950&amp;"PT","Y","")),"")</f>
        <v/>
      </c>
      <c r="I950" t="str">
        <f>IFERROR(VLOOKUP(B950,PN!$A:$C,3,FALSE),"")</f>
        <v>ECO-N2Buy</v>
      </c>
      <c r="J950" s="3">
        <f>IFERROR(E950*VLOOKUP(B950,PLInter!$A:$D,3,FALSE),"")</f>
        <v>45000</v>
      </c>
      <c r="K950" s="66"/>
      <c r="L950" s="66"/>
      <c r="M950" s="66"/>
      <c r="N950" s="66"/>
      <c r="O950" s="66"/>
      <c r="P950" s="66"/>
      <c r="Q950" s="66"/>
      <c r="R950" s="66"/>
      <c r="S950" s="66"/>
    </row>
    <row r="951" spans="1:19" ht="18" customHeight="1">
      <c r="B951" t="str">
        <f>"021152"</f>
        <v>021152</v>
      </c>
      <c r="C951" s="41" t="s">
        <v>679</v>
      </c>
      <c r="D951" s="4"/>
      <c r="E951" s="4">
        <v>2</v>
      </c>
      <c r="F951" s="4"/>
      <c r="G951" s="29" t="str">
        <f>IFERROR(HYPERLINK("#"&amp;ADDRESS(MATCH(B951&amp;"ES",'LM7 Non-ENG'!$A$1:$A$5000,0),1,,,"LM7 Non-ENG"),IF(IFERROR(VLOOKUP(B951&amp;"ES",'LM7 Non-ENG'!$A$1:$A$4999,1,FALSE),"ERROR")=B951&amp;"ES","Y","")),"")</f>
        <v/>
      </c>
      <c r="H951" s="29" t="str">
        <f>IFERROR(HYPERLINK("#"&amp;ADDRESS(MATCH(B951&amp;"PT",'LM7 Non-ENG'!$A$1:$A$5000,0),1,,,"LM7 Non-ENG"),IF(IFERROR(VLOOKUP(B951&amp;"PT",'LM7 Non-ENG'!$A$1:$A$5000,1,FALSE),"ERROR")=B951&amp;"PT","Y","")),"")</f>
        <v/>
      </c>
      <c r="I951" t="str">
        <f>IFERROR(VLOOKUP(B951,PN!$A:$C,3,FALSE),"")</f>
        <v>Active</v>
      </c>
      <c r="J951" s="3">
        <f>IFERROR(E951*VLOOKUP(B951,PLInter!$A:$D,3,FALSE),"")</f>
        <v>480</v>
      </c>
      <c r="K951" s="66"/>
      <c r="L951" s="66"/>
      <c r="M951" s="66"/>
      <c r="N951" s="66"/>
      <c r="O951" s="66"/>
      <c r="P951" s="66"/>
      <c r="Q951" s="66"/>
      <c r="R951" s="66"/>
      <c r="S951" s="66"/>
    </row>
    <row r="952" spans="1:19" ht="18" customHeight="1">
      <c r="B952" t="s">
        <v>680</v>
      </c>
      <c r="C952" t="s">
        <v>681</v>
      </c>
      <c r="D952" s="4"/>
      <c r="E952" s="4">
        <v>1</v>
      </c>
      <c r="F952" s="4"/>
      <c r="G952" s="29" t="str">
        <f>IFERROR(HYPERLINK("#"&amp;ADDRESS(MATCH(B952&amp;"ES",'LM7 Non-ENG'!$A$1:$A$5000,0),1,,,"LM7 Non-ENG"),IF(IFERROR(VLOOKUP(B952&amp;"ES",'LM7 Non-ENG'!$A$1:$A$4999,1,FALSE),"ERROR")=B952&amp;"ES","Y","")),"")</f>
        <v/>
      </c>
      <c r="H952" s="29" t="str">
        <f>IFERROR(HYPERLINK("#"&amp;ADDRESS(MATCH(B952&amp;"PT",'LM7 Non-ENG'!$A$1:$A$5000,0),1,,,"LM7 Non-ENG"),IF(IFERROR(VLOOKUP(B952&amp;"PT",'LM7 Non-ENG'!$A$1:$A$5000,1,FALSE),"ERROR")=B952&amp;"PT","Y","")),"")</f>
        <v/>
      </c>
      <c r="I952" t="str">
        <f>IFERROR(VLOOKUP(B952,PN!$A:$C,3,FALSE),"")</f>
        <v>Active</v>
      </c>
      <c r="J952" s="3">
        <f>IFERROR(E952*VLOOKUP(B952,PLInter!$A:$D,3,FALSE),"")</f>
        <v>1440</v>
      </c>
      <c r="K952" s="66"/>
      <c r="L952" s="66"/>
      <c r="M952" s="66"/>
      <c r="N952" s="66"/>
      <c r="O952" s="66"/>
      <c r="P952" s="66"/>
      <c r="Q952" s="66"/>
      <c r="R952" s="66"/>
      <c r="S952" s="66"/>
    </row>
    <row r="953" spans="1:19" ht="18" customHeight="1">
      <c r="B953" t="s">
        <v>682</v>
      </c>
      <c r="C953" t="s">
        <v>683</v>
      </c>
      <c r="D953" s="4"/>
      <c r="E953" s="4">
        <v>1</v>
      </c>
      <c r="F953" s="4"/>
      <c r="G953" s="29" t="str">
        <f>IFERROR(HYPERLINK("#"&amp;ADDRESS(MATCH(B953&amp;"ES",'LM7 Non-ENG'!$A$1:$A$5000,0),1,,,"LM7 Non-ENG"),IF(IFERROR(VLOOKUP(B953&amp;"ES",'LM7 Non-ENG'!$A$1:$A$4999,1,FALSE),"ERROR")=B953&amp;"ES","Y","")),"")</f>
        <v/>
      </c>
      <c r="H953" s="29" t="str">
        <f>IFERROR(HYPERLINK("#"&amp;ADDRESS(MATCH(B953&amp;"PT",'LM7 Non-ENG'!$A$1:$A$5000,0),1,,,"LM7 Non-ENG"),IF(IFERROR(VLOOKUP(B953&amp;"PT",'LM7 Non-ENG'!$A$1:$A$5000,1,FALSE),"ERROR")=B953&amp;"PT","Y","")),"")</f>
        <v/>
      </c>
      <c r="I953" t="str">
        <f>IFERROR(VLOOKUP(B953,PN!$A:$C,3,FALSE),"")</f>
        <v>Active</v>
      </c>
      <c r="J953" s="3">
        <f>IFERROR(E953*VLOOKUP(B953,PLInter!$A:$D,3,FALSE),"")</f>
        <v>494</v>
      </c>
      <c r="K953" s="66"/>
      <c r="L953" s="66"/>
      <c r="M953" s="66"/>
      <c r="N953" s="66"/>
      <c r="O953" s="66"/>
      <c r="P953" s="66"/>
      <c r="Q953" s="66"/>
      <c r="R953" s="66"/>
      <c r="S953" s="66"/>
    </row>
    <row r="954" spans="1:19" ht="18" customHeight="1">
      <c r="B954" t="s">
        <v>684</v>
      </c>
      <c r="C954" t="s">
        <v>685</v>
      </c>
      <c r="D954" s="4"/>
      <c r="E954" s="4">
        <v>2</v>
      </c>
      <c r="F954" s="4"/>
      <c r="G954" s="29" t="str">
        <f>IFERROR(HYPERLINK("#"&amp;ADDRESS(MATCH(B954&amp;"ES",'LM7 Non-ENG'!$A$1:$A$5000,0),1,,,"LM7 Non-ENG"),IF(IFERROR(VLOOKUP(B954&amp;"ES",'LM7 Non-ENG'!$A$1:$A$4999,1,FALSE),"ERROR")=B954&amp;"ES","Y","")),"")</f>
        <v/>
      </c>
      <c r="H954" s="29" t="str">
        <f>IFERROR(HYPERLINK("#"&amp;ADDRESS(MATCH(B954&amp;"PT",'LM7 Non-ENG'!$A$1:$A$5000,0),1,,,"LM7 Non-ENG"),IF(IFERROR(VLOOKUP(B954&amp;"PT",'LM7 Non-ENG'!$A$1:$A$5000,1,FALSE),"ERROR")=B954&amp;"PT","Y","")),"")</f>
        <v/>
      </c>
      <c r="I954" t="str">
        <f>IFERROR(VLOOKUP(B954,PN!$A:$C,3,FALSE),"")</f>
        <v>Active</v>
      </c>
      <c r="J954" s="3">
        <f>IFERROR(E954*VLOOKUP(B954,PLInter!$A:$D,3,FALSE),"")</f>
        <v>1160</v>
      </c>
      <c r="K954" s="66"/>
      <c r="L954" s="66"/>
      <c r="M954" s="66"/>
      <c r="N954" s="66"/>
      <c r="O954" s="66"/>
      <c r="P954" s="66"/>
      <c r="Q954" s="66"/>
      <c r="R954" s="66"/>
      <c r="S954" s="66"/>
    </row>
    <row r="955" spans="1:19" ht="18" customHeight="1">
      <c r="B955" t="str">
        <f>"021182"</f>
        <v>021182</v>
      </c>
      <c r="C955" t="s">
        <v>686</v>
      </c>
      <c r="D955" s="4"/>
      <c r="E955" s="4">
        <v>2</v>
      </c>
      <c r="F955" s="4"/>
      <c r="G955" s="29" t="str">
        <f>IFERROR(HYPERLINK("#"&amp;ADDRESS(MATCH(B955&amp;"ES",'LM7 Non-ENG'!$A$1:$A$5000,0),1,,,"LM7 Non-ENG"),IF(IFERROR(VLOOKUP(B955&amp;"ES",'LM7 Non-ENG'!$A$1:$A$4999,1,FALSE),"ERROR")=B955&amp;"ES","Y","")),"")</f>
        <v/>
      </c>
      <c r="H955" s="29" t="str">
        <f>IFERROR(HYPERLINK("#"&amp;ADDRESS(MATCH(B955&amp;"PT",'LM7 Non-ENG'!$A$1:$A$5000,0),1,,,"LM7 Non-ENG"),IF(IFERROR(VLOOKUP(B955&amp;"PT",'LM7 Non-ENG'!$A$1:$A$5000,1,FALSE),"ERROR")=B955&amp;"PT","Y","")),"")</f>
        <v/>
      </c>
      <c r="I955" t="str">
        <f>IFERROR(VLOOKUP(B955,PN!$A:$C,3,FALSE),"")</f>
        <v>Active</v>
      </c>
      <c r="J955" s="3">
        <f>IFERROR(E955*VLOOKUP(B955,PLInter!$A:$D,3,FALSE),"")</f>
        <v>32</v>
      </c>
      <c r="K955" s="66"/>
      <c r="L955" s="66"/>
      <c r="M955" s="66"/>
      <c r="N955" s="66"/>
      <c r="O955" s="66"/>
      <c r="P955" s="66"/>
      <c r="Q955" s="66"/>
      <c r="R955" s="66"/>
      <c r="S955" s="66"/>
    </row>
    <row r="956" spans="1:19" ht="18" customHeight="1">
      <c r="B956" t="s">
        <v>708</v>
      </c>
      <c r="C956" t="s">
        <v>709</v>
      </c>
      <c r="D956" s="4"/>
      <c r="E956" s="4">
        <v>1</v>
      </c>
      <c r="F956" s="4"/>
      <c r="G956" s="29" t="str">
        <f>IFERROR(HYPERLINK("#"&amp;ADDRESS(MATCH(B956&amp;"ES",'LM7 Non-ENG'!$A$1:$A$5000,0),1,,,"LM7 Non-ENG"),IF(IFERROR(VLOOKUP(B956&amp;"ES",'LM7 Non-ENG'!$A$1:$A$4999,1,FALSE),"ERROR")=B956&amp;"ES","Y","")),"")</f>
        <v/>
      </c>
      <c r="H956" s="29" t="str">
        <f>IFERROR(HYPERLINK("#"&amp;ADDRESS(MATCH(B956&amp;"PT",'LM7 Non-ENG'!$A$1:$A$5000,0),1,,,"LM7 Non-ENG"),IF(IFERROR(VLOOKUP(B956&amp;"PT",'LM7 Non-ENG'!$A$1:$A$5000,1,FALSE),"ERROR")=B956&amp;"PT","Y","")),"")</f>
        <v/>
      </c>
      <c r="I956" t="str">
        <f>IFERROR(VLOOKUP(B956,PN!$A:$C,3,FALSE),"")</f>
        <v>Active</v>
      </c>
      <c r="J956" s="3">
        <f>IFERROR(E956*VLOOKUP(B956,PLInter!$A:$D,3,FALSE),"")</f>
        <v>667</v>
      </c>
      <c r="K956" s="66"/>
      <c r="L956" s="66"/>
      <c r="M956" s="66"/>
      <c r="N956" s="66"/>
      <c r="O956" s="66"/>
      <c r="P956" s="66"/>
      <c r="Q956" s="66"/>
      <c r="R956" s="66"/>
      <c r="S956" s="66"/>
    </row>
    <row r="957" spans="1:19" ht="18" customHeight="1">
      <c r="B957" t="s">
        <v>451</v>
      </c>
      <c r="C957" t="s">
        <v>710</v>
      </c>
      <c r="D957" s="4"/>
      <c r="E957" s="4">
        <v>1</v>
      </c>
      <c r="F957" s="4"/>
      <c r="G957" s="29" t="str">
        <f>IFERROR(HYPERLINK("#"&amp;ADDRESS(MATCH(B957&amp;"ES",'LM7 Non-ENG'!$A$1:$A$5000,0),1,,,"LM7 Non-ENG"),IF(IFERROR(VLOOKUP(B957&amp;"ES",'LM7 Non-ENG'!$A$1:$A$4999,1,FALSE),"ERROR")=B957&amp;"ES","Y","")),"")</f>
        <v/>
      </c>
      <c r="H957" s="29" t="str">
        <f>IFERROR(HYPERLINK("#"&amp;ADDRESS(MATCH(B957&amp;"PT",'LM7 Non-ENG'!$A$1:$A$5000,0),1,,,"LM7 Non-ENG"),IF(IFERROR(VLOOKUP(B957&amp;"PT",'LM7 Non-ENG'!$A$1:$A$5000,1,FALSE),"ERROR")=B957&amp;"PT","Y","")),"")</f>
        <v/>
      </c>
      <c r="I957" t="str">
        <f>IFERROR(VLOOKUP(B957,PN!$A:$C,3,FALSE),"")</f>
        <v>Active</v>
      </c>
      <c r="J957" s="3">
        <f>IFERROR(E957*VLOOKUP(B957,PLInter!$A:$D,3,FALSE),"")</f>
        <v>14934</v>
      </c>
      <c r="K957" s="66"/>
      <c r="L957" s="66"/>
      <c r="M957" s="66"/>
      <c r="N957" s="66"/>
      <c r="O957" s="66"/>
      <c r="P957" s="66"/>
      <c r="Q957" s="66"/>
      <c r="R957" s="66"/>
      <c r="S957" s="66"/>
    </row>
    <row r="958" spans="1:19" ht="18" customHeight="1">
      <c r="B958" s="2" t="s">
        <v>450</v>
      </c>
      <c r="C958" s="2" t="s">
        <v>458</v>
      </c>
      <c r="D958" s="5"/>
      <c r="E958" s="5">
        <v>1</v>
      </c>
      <c r="F958" s="5" t="s">
        <v>0</v>
      </c>
      <c r="G958" s="29" t="str">
        <f>IFERROR(HYPERLINK("#"&amp;ADDRESS(MATCH(B958&amp;"ES",'LM7 Non-ENG'!$A$1:$A$5000,0),1,,,"LM7 Non-ENG"),IF(IFERROR(VLOOKUP(B958&amp;"ES",'LM7 Non-ENG'!$A$1:$A$4999,1,FALSE),"ERROR")=B958&amp;"ES","Y","")),"")</f>
        <v/>
      </c>
      <c r="H958" s="29" t="str">
        <f>IFERROR(HYPERLINK("#"&amp;ADDRESS(MATCH(B958&amp;"PT",'LM7 Non-ENG'!$A$1:$A$5000,0),1,,,"LM7 Non-ENG"),IF(IFERROR(VLOOKUP(B958&amp;"PT",'LM7 Non-ENG'!$A$1:$A$5000,1,FALSE),"ERROR")=B958&amp;"PT","Y","")),"")</f>
        <v/>
      </c>
      <c r="I958" t="str">
        <f>IFERROR(VLOOKUP(B958,PN!$A:$C,3,FALSE),"")</f>
        <v>Active</v>
      </c>
      <c r="J958" s="3">
        <f>IFERROR(E958*VLOOKUP(B958,PLInter!$A:$D,3,FALSE),"")</f>
        <v>14934</v>
      </c>
      <c r="K958" s="66"/>
      <c r="L958" s="66"/>
      <c r="M958" s="66"/>
      <c r="N958" s="66"/>
      <c r="O958" s="66"/>
      <c r="P958" s="66"/>
      <c r="Q958" s="66"/>
      <c r="R958" s="66"/>
      <c r="S958" s="66"/>
    </row>
    <row r="959" spans="1:19" ht="18" customHeight="1">
      <c r="B959" t="s">
        <v>553</v>
      </c>
      <c r="C959" t="s">
        <v>733</v>
      </c>
      <c r="D959" s="4"/>
      <c r="E959" s="4">
        <v>1</v>
      </c>
      <c r="F959" s="4"/>
      <c r="G959" s="29" t="str">
        <f>IFERROR(HYPERLINK("#"&amp;ADDRESS(MATCH(B959&amp;"ES",'LM7 Non-ENG'!$A$1:$A$5000,0),1,,,"LM7 Non-ENG"),IF(IFERROR(VLOOKUP(B959&amp;"ES",'LM7 Non-ENG'!$A$1:$A$4999,1,FALSE),"ERROR")=B959&amp;"ES","Y","")),"")</f>
        <v/>
      </c>
      <c r="H959" s="29" t="str">
        <f>IFERROR(HYPERLINK("#"&amp;ADDRESS(MATCH(B959&amp;"PT",'LM7 Non-ENG'!$A$1:$A$5000,0),1,,,"LM7 Non-ENG"),IF(IFERROR(VLOOKUP(B959&amp;"PT",'LM7 Non-ENG'!$A$1:$A$5000,1,FALSE),"ERROR")=B959&amp;"PT","Y","")),"")</f>
        <v/>
      </c>
      <c r="I959" t="str">
        <f>IFERROR(VLOOKUP(B959,PN!$A:$C,3,FALSE),"")</f>
        <v>Active</v>
      </c>
      <c r="J959" s="3">
        <f>IFERROR(E959*VLOOKUP(B959,PLInter!$A:$D,3,FALSE),"")</f>
        <v>500</v>
      </c>
      <c r="K959" s="66"/>
      <c r="L959" s="66"/>
      <c r="M959" s="66"/>
      <c r="N959" s="66"/>
      <c r="O959" s="66"/>
      <c r="P959" s="66"/>
      <c r="Q959" s="66"/>
      <c r="R959" s="66"/>
      <c r="S959" s="66"/>
    </row>
    <row r="960" spans="1:19" ht="18" customHeight="1">
      <c r="B960" t="s">
        <v>568</v>
      </c>
      <c r="C960" t="s">
        <v>731</v>
      </c>
      <c r="D960" s="4"/>
      <c r="E960" s="4">
        <v>1</v>
      </c>
      <c r="F960" s="4"/>
      <c r="G960" s="29" t="str">
        <f>IFERROR(HYPERLINK("#"&amp;ADDRESS(MATCH(B960&amp;"ES",'LM7 Non-ENG'!$A$1:$A$5000,0),1,,,"LM7 Non-ENG"),IF(IFERROR(VLOOKUP(B960&amp;"ES",'LM7 Non-ENG'!$A$1:$A$4999,1,FALSE),"ERROR")=B960&amp;"ES","Y","")),"")</f>
        <v/>
      </c>
      <c r="H960" s="29" t="str">
        <f>IFERROR(HYPERLINK("#"&amp;ADDRESS(MATCH(B960&amp;"PT",'LM7 Non-ENG'!$A$1:$A$5000,0),1,,,"LM7 Non-ENG"),IF(IFERROR(VLOOKUP(B960&amp;"PT",'LM7 Non-ENG'!$A$1:$A$5000,1,FALSE),"ERROR")=B960&amp;"PT","Y","")),"")</f>
        <v/>
      </c>
      <c r="I960" t="str">
        <f>IFERROR(VLOOKUP(B960,PN!$A:$C,3,FALSE),"")</f>
        <v>Active</v>
      </c>
      <c r="J960" s="3">
        <f>IFERROR(E960*VLOOKUP(B960,PLInter!$A:$D,3,FALSE),"")</f>
        <v>500</v>
      </c>
      <c r="K960" s="66"/>
      <c r="L960" s="66"/>
      <c r="M960" s="66"/>
      <c r="N960" s="66"/>
      <c r="O960" s="66"/>
      <c r="P960" s="66"/>
      <c r="Q960" s="66"/>
      <c r="R960" s="66"/>
      <c r="S960" s="66"/>
    </row>
    <row r="961" spans="2:19" ht="18" customHeight="1">
      <c r="B961" t="s">
        <v>569</v>
      </c>
      <c r="C961" t="s">
        <v>732</v>
      </c>
      <c r="D961" s="4"/>
      <c r="E961" s="4">
        <v>1</v>
      </c>
      <c r="F961" s="4"/>
      <c r="G961" s="29" t="str">
        <f>IFERROR(HYPERLINK("#"&amp;ADDRESS(MATCH(B961&amp;"ES",'LM7 Non-ENG'!$A$1:$A$5000,0),1,,,"LM7 Non-ENG"),IF(IFERROR(VLOOKUP(B961&amp;"ES",'LM7 Non-ENG'!$A$1:$A$4999,1,FALSE),"ERROR")=B961&amp;"ES","Y","")),"")</f>
        <v/>
      </c>
      <c r="H961" s="29" t="str">
        <f>IFERROR(HYPERLINK("#"&amp;ADDRESS(MATCH(B961&amp;"PT",'LM7 Non-ENG'!$A$1:$A$5000,0),1,,,"LM7 Non-ENG"),IF(IFERROR(VLOOKUP(B961&amp;"PT",'LM7 Non-ENG'!$A$1:$A$5000,1,FALSE),"ERROR")=B961&amp;"PT","Y","")),"")</f>
        <v/>
      </c>
      <c r="I961" t="str">
        <f>IFERROR(VLOOKUP(B961,PN!$A:$C,3,FALSE),"")</f>
        <v>Active</v>
      </c>
      <c r="J961" s="3">
        <f>IFERROR(E961*VLOOKUP(B961,PLInter!$A:$D,3,FALSE),"")</f>
        <v>500</v>
      </c>
      <c r="K961" s="66"/>
      <c r="L961" s="66"/>
      <c r="M961" s="66"/>
      <c r="N961" s="66"/>
      <c r="O961" s="66"/>
      <c r="P961" s="66"/>
      <c r="Q961" s="66"/>
      <c r="R961" s="66"/>
      <c r="S961" s="66"/>
    </row>
    <row r="962" spans="2:19" ht="18" customHeight="1">
      <c r="B962" t="s">
        <v>513</v>
      </c>
      <c r="C962" t="s">
        <v>711</v>
      </c>
      <c r="D962" s="4"/>
      <c r="E962" s="4">
        <v>1</v>
      </c>
      <c r="F962" s="4"/>
      <c r="G962" s="29" t="str">
        <f>IFERROR(HYPERLINK("#"&amp;ADDRESS(MATCH(B962&amp;"ES",'LM7 Non-ENG'!$A$1:$A$5000,0),1,,,"LM7 Non-ENG"),IF(IFERROR(VLOOKUP(B962&amp;"ES",'LM7 Non-ENG'!$A$1:$A$4999,1,FALSE),"ERROR")=B962&amp;"ES","Y","")),"")</f>
        <v/>
      </c>
      <c r="H962" s="29" t="str">
        <f>IFERROR(HYPERLINK("#"&amp;ADDRESS(MATCH(B962&amp;"PT",'LM7 Non-ENG'!$A$1:$A$5000,0),1,,,"LM7 Non-ENG"),IF(IFERROR(VLOOKUP(B962&amp;"PT",'LM7 Non-ENG'!$A$1:$A$5000,1,FALSE),"ERROR")=B962&amp;"PT","Y","")),"")</f>
        <v/>
      </c>
      <c r="I962" t="str">
        <f>IFERROR(VLOOKUP(B962,PN!$A:$C,3,FALSE),"")</f>
        <v>Active</v>
      </c>
      <c r="J962" s="3">
        <f>IFERROR(E962*VLOOKUP(B962,PLInter!$A:$D,3,FALSE),"")</f>
        <v>740</v>
      </c>
      <c r="K962" s="66"/>
      <c r="L962" s="66"/>
      <c r="M962" s="66"/>
      <c r="N962" s="66"/>
      <c r="O962" s="66"/>
      <c r="P962" s="66"/>
      <c r="Q962" s="66"/>
      <c r="R962" s="66"/>
      <c r="S962" s="66"/>
    </row>
    <row r="963" spans="2:19" ht="18" customHeight="1">
      <c r="B963" t="s">
        <v>477</v>
      </c>
      <c r="C963" t="s">
        <v>712</v>
      </c>
      <c r="D963" s="4"/>
      <c r="E963" s="4">
        <v>1</v>
      </c>
      <c r="F963" s="4"/>
      <c r="G963" s="29" t="str">
        <f>IFERROR(HYPERLINK("#"&amp;ADDRESS(MATCH(B963&amp;"ES",'LM7 Non-ENG'!$A$1:$A$5000,0),1,,,"LM7 Non-ENG"),IF(IFERROR(VLOOKUP(B963&amp;"ES",'LM7 Non-ENG'!$A$1:$A$4999,1,FALSE),"ERROR")=B963&amp;"ES","Y","")),"")</f>
        <v/>
      </c>
      <c r="H963" s="29" t="str">
        <f>IFERROR(HYPERLINK("#"&amp;ADDRESS(MATCH(B963&amp;"PT",'LM7 Non-ENG'!$A$1:$A$5000,0),1,,,"LM7 Non-ENG"),IF(IFERROR(VLOOKUP(B963&amp;"PT",'LM7 Non-ENG'!$A$1:$A$5000,1,FALSE),"ERROR")=B963&amp;"PT","Y","")),"")</f>
        <v/>
      </c>
      <c r="I963" t="str">
        <f>IFERROR(VLOOKUP(B963,PN!$A:$C,3,FALSE),"")</f>
        <v>Active</v>
      </c>
      <c r="J963" s="3">
        <f>IFERROR(E963*VLOOKUP(B963,PLInter!$A:$D,3,FALSE),"")</f>
        <v>2188</v>
      </c>
      <c r="K963" s="66"/>
      <c r="L963" s="66"/>
      <c r="M963" s="66"/>
      <c r="N963" s="66"/>
      <c r="O963" s="66"/>
      <c r="P963" s="66"/>
      <c r="Q963" s="66"/>
      <c r="R963" s="66"/>
      <c r="S963" s="66"/>
    </row>
    <row r="964" spans="2:19" ht="18" customHeight="1">
      <c r="B964" t="s">
        <v>470</v>
      </c>
      <c r="C964" t="s">
        <v>713</v>
      </c>
      <c r="D964" s="4"/>
      <c r="E964" s="4">
        <v>1</v>
      </c>
      <c r="F964" s="4"/>
      <c r="G964" s="29" t="str">
        <f>IFERROR(HYPERLINK("#"&amp;ADDRESS(MATCH(B964&amp;"ES",'LM7 Non-ENG'!$A$1:$A$5000,0),1,,,"LM7 Non-ENG"),IF(IFERROR(VLOOKUP(B964&amp;"ES",'LM7 Non-ENG'!$A$1:$A$4999,1,FALSE),"ERROR")=B964&amp;"ES","Y","")),"")</f>
        <v/>
      </c>
      <c r="H964" s="29" t="str">
        <f>IFERROR(HYPERLINK("#"&amp;ADDRESS(MATCH(B964&amp;"PT",'LM7 Non-ENG'!$A$1:$A$5000,0),1,,,"LM7 Non-ENG"),IF(IFERROR(VLOOKUP(B964&amp;"PT",'LM7 Non-ENG'!$A$1:$A$5000,1,FALSE),"ERROR")=B964&amp;"PT","Y","")),"")</f>
        <v/>
      </c>
      <c r="I964" t="str">
        <f>IFERROR(VLOOKUP(B964,PN!$A:$C,3,FALSE),"")</f>
        <v>Active</v>
      </c>
      <c r="J964" s="3">
        <f>IFERROR(E964*VLOOKUP(B964,PLInter!$A:$D,3,FALSE),"")</f>
        <v>207</v>
      </c>
      <c r="K964" s="66"/>
      <c r="L964" s="66"/>
      <c r="M964" s="66"/>
      <c r="N964" s="66"/>
      <c r="O964" s="66"/>
      <c r="P964" s="66"/>
      <c r="Q964" s="66"/>
      <c r="R964" s="66"/>
      <c r="S964" s="66"/>
    </row>
    <row r="965" spans="2:19" ht="18" customHeight="1">
      <c r="B965" t="s">
        <v>473</v>
      </c>
      <c r="C965" t="s">
        <v>714</v>
      </c>
      <c r="D965" s="4"/>
      <c r="E965" s="4">
        <v>1</v>
      </c>
      <c r="F965" s="4"/>
      <c r="G965" s="29" t="str">
        <f>IFERROR(HYPERLINK("#"&amp;ADDRESS(MATCH(B965&amp;"ES",'LM7 Non-ENG'!$A$1:$A$5000,0),1,,,"LM7 Non-ENG"),IF(IFERROR(VLOOKUP(B965&amp;"ES",'LM7 Non-ENG'!$A$1:$A$4999,1,FALSE),"ERROR")=B965&amp;"ES","Y","")),"")</f>
        <v/>
      </c>
      <c r="H965" s="29" t="str">
        <f>IFERROR(HYPERLINK("#"&amp;ADDRESS(MATCH(B965&amp;"PT",'LM7 Non-ENG'!$A$1:$A$5000,0),1,,,"LM7 Non-ENG"),IF(IFERROR(VLOOKUP(B965&amp;"PT",'LM7 Non-ENG'!$A$1:$A$5000,1,FALSE),"ERROR")=B965&amp;"PT","Y","")),"")</f>
        <v/>
      </c>
      <c r="I965" t="str">
        <f>IFERROR(VLOOKUP(B965,PN!$A:$C,3,FALSE),"")</f>
        <v>Active</v>
      </c>
      <c r="J965" s="3">
        <f>IFERROR(E965*VLOOKUP(B965,PLInter!$A:$D,3,FALSE),"")</f>
        <v>200</v>
      </c>
      <c r="K965" s="66"/>
      <c r="L965" s="66"/>
      <c r="M965" s="66"/>
      <c r="N965" s="66"/>
      <c r="O965" s="66"/>
      <c r="P965" s="66"/>
      <c r="Q965" s="66"/>
      <c r="R965" s="66"/>
      <c r="S965" s="66"/>
    </row>
    <row r="966" spans="2:19" ht="18" customHeight="1">
      <c r="B966" s="2" t="s">
        <v>472</v>
      </c>
      <c r="C966" s="2" t="s">
        <v>715</v>
      </c>
      <c r="D966" s="5"/>
      <c r="E966" s="5">
        <v>1</v>
      </c>
      <c r="F966" s="5" t="s">
        <v>0</v>
      </c>
      <c r="G966" s="29" t="str">
        <f>IFERROR(HYPERLINK("#"&amp;ADDRESS(MATCH(B966&amp;"ES",'LM7 Non-ENG'!$A$1:$A$5000,0),1,,,"LM7 Non-ENG"),IF(IFERROR(VLOOKUP(B966&amp;"ES",'LM7 Non-ENG'!$A$1:$A$4999,1,FALSE),"ERROR")=B966&amp;"ES","Y","")),"")</f>
        <v/>
      </c>
      <c r="H966" s="29" t="str">
        <f>IFERROR(HYPERLINK("#"&amp;ADDRESS(MATCH(B966&amp;"PT",'LM7 Non-ENG'!$A$1:$A$5000,0),1,,,"LM7 Non-ENG"),IF(IFERROR(VLOOKUP(B966&amp;"PT",'LM7 Non-ENG'!$A$1:$A$5000,1,FALSE),"ERROR")=B966&amp;"PT","Y","")),"")</f>
        <v/>
      </c>
      <c r="I966" t="str">
        <f>IFERROR(VLOOKUP(B966,PN!$A:$C,3,FALSE),"")</f>
        <v>Active</v>
      </c>
      <c r="J966" s="3">
        <f>IFERROR(E966*VLOOKUP(B966,PLInter!$A:$D,3,FALSE),"")</f>
        <v>200</v>
      </c>
      <c r="K966" s="66"/>
      <c r="L966" s="66"/>
      <c r="M966" s="66"/>
      <c r="N966" s="66"/>
      <c r="O966" s="66"/>
      <c r="P966" s="66"/>
      <c r="Q966" s="66"/>
      <c r="R966" s="66"/>
      <c r="S966" s="66"/>
    </row>
    <row r="967" spans="2:19" ht="18" customHeight="1">
      <c r="B967" t="s">
        <v>478</v>
      </c>
      <c r="C967" t="s">
        <v>800</v>
      </c>
      <c r="D967" s="4"/>
      <c r="E967" s="4">
        <v>1</v>
      </c>
      <c r="F967" s="4"/>
      <c r="G967" s="29" t="str">
        <f>IFERROR(HYPERLINK("#"&amp;ADDRESS(MATCH(B967&amp;"ES",'LM7 Non-ENG'!$A$1:$A$5000,0),1,,,"LM7 Non-ENG"),IF(IFERROR(VLOOKUP(B967&amp;"ES",'LM7 Non-ENG'!$A$1:$A$4999,1,FALSE),"ERROR")=B967&amp;"ES","Y","")),"")</f>
        <v/>
      </c>
      <c r="H967" s="29" t="str">
        <f>IFERROR(HYPERLINK("#"&amp;ADDRESS(MATCH(B967&amp;"PT",'LM7 Non-ENG'!$A$1:$A$5000,0),1,,,"LM7 Non-ENG"),IF(IFERROR(VLOOKUP(B967&amp;"PT",'LM7 Non-ENG'!$A$1:$A$5000,1,FALSE),"ERROR")=B967&amp;"PT","Y","")),"")</f>
        <v/>
      </c>
      <c r="I967" t="str">
        <f>IFERROR(VLOOKUP(B967,PN!$A:$C,3,FALSE),"")</f>
        <v>Active</v>
      </c>
      <c r="J967" s="3">
        <f>IFERROR(E967*VLOOKUP(B967,PLInter!$A:$D,3,FALSE),"")</f>
        <v>795</v>
      </c>
      <c r="K967" s="66"/>
      <c r="L967" s="66"/>
      <c r="M967" s="66"/>
      <c r="N967" s="66"/>
      <c r="O967" s="66"/>
      <c r="P967" s="66"/>
      <c r="Q967" s="66"/>
      <c r="R967" s="66"/>
      <c r="S967" s="66"/>
    </row>
    <row r="968" spans="2:19" ht="18" customHeight="1">
      <c r="B968" s="1" t="s">
        <v>468</v>
      </c>
      <c r="C968" s="1" t="s">
        <v>717</v>
      </c>
      <c r="D968" s="6" t="s">
        <v>0</v>
      </c>
      <c r="E968" s="6">
        <v>1</v>
      </c>
      <c r="F968" s="6"/>
      <c r="G968" s="29" t="str">
        <f>IFERROR(HYPERLINK("#"&amp;ADDRESS(MATCH(B968&amp;"ES",'LM7 Non-ENG'!$A$1:$A$5000,0),1,,,"LM7 Non-ENG"),IF(IFERROR(VLOOKUP(B968&amp;"ES",'LM7 Non-ENG'!$A$1:$A$4999,1,FALSE),"ERROR")=B968&amp;"ES","Y","")),"")</f>
        <v/>
      </c>
      <c r="H968" s="29" t="str">
        <f>IFERROR(HYPERLINK("#"&amp;ADDRESS(MATCH(B968&amp;"PT",'LM7 Non-ENG'!$A$1:$A$5000,0),1,,,"LM7 Non-ENG"),IF(IFERROR(VLOOKUP(B968&amp;"PT",'LM7 Non-ENG'!$A$1:$A$5000,1,FALSE),"ERROR")=B968&amp;"PT","Y","")),"")</f>
        <v/>
      </c>
      <c r="I968" t="str">
        <f>IFERROR(VLOOKUP(B968,PN!$A:$C,3,FALSE),"")</f>
        <v>Active</v>
      </c>
      <c r="J968" s="3">
        <f>IFERROR(E968*VLOOKUP(B968,PLInter!$A:$D,3,FALSE),"")</f>
        <v>206</v>
      </c>
      <c r="K968" s="66"/>
      <c r="L968" s="66"/>
      <c r="M968" s="66"/>
      <c r="N968" s="66"/>
      <c r="O968" s="66"/>
      <c r="P968" s="66"/>
      <c r="Q968" s="66"/>
      <c r="R968" s="66"/>
      <c r="S968" s="66"/>
    </row>
    <row r="969" spans="2:19" ht="18" customHeight="1">
      <c r="B969" s="1" t="s">
        <v>474</v>
      </c>
      <c r="C969" s="1" t="s">
        <v>718</v>
      </c>
      <c r="D969" s="6" t="s">
        <v>0</v>
      </c>
      <c r="E969" s="6">
        <v>1</v>
      </c>
      <c r="F969" s="6"/>
      <c r="G969" s="29" t="str">
        <f>IFERROR(HYPERLINK("#"&amp;ADDRESS(MATCH(B969&amp;"ES",'LM7 Non-ENG'!$A$1:$A$5000,0),1,,,"LM7 Non-ENG"),IF(IFERROR(VLOOKUP(B969&amp;"ES",'LM7 Non-ENG'!$A$1:$A$4999,1,FALSE),"ERROR")=B969&amp;"ES","Y","")),"")</f>
        <v/>
      </c>
      <c r="H969" s="29" t="str">
        <f>IFERROR(HYPERLINK("#"&amp;ADDRESS(MATCH(B969&amp;"PT",'LM7 Non-ENG'!$A$1:$A$5000,0),1,,,"LM7 Non-ENG"),IF(IFERROR(VLOOKUP(B969&amp;"PT",'LM7 Non-ENG'!$A$1:$A$5000,1,FALSE),"ERROR")=B969&amp;"PT","Y","")),"")</f>
        <v/>
      </c>
      <c r="I969" t="str">
        <f>IFERROR(VLOOKUP(B969,PN!$A:$C,3,FALSE),"")</f>
        <v>Active</v>
      </c>
      <c r="J969" s="3">
        <f>IFERROR(E969*VLOOKUP(B969,PLInter!$A:$D,3,FALSE),"")</f>
        <v>175</v>
      </c>
      <c r="K969" s="66"/>
      <c r="L969" s="66"/>
      <c r="M969" s="66"/>
      <c r="N969" s="66"/>
      <c r="O969" s="66"/>
      <c r="P969" s="66"/>
      <c r="Q969" s="66"/>
      <c r="R969" s="66"/>
      <c r="S969" s="66"/>
    </row>
    <row r="970" spans="2:19" ht="18" customHeight="1">
      <c r="B970" s="1" t="s">
        <v>719</v>
      </c>
      <c r="C970" s="1" t="s">
        <v>720</v>
      </c>
      <c r="D970" s="6" t="s">
        <v>0</v>
      </c>
      <c r="E970" s="6">
        <v>1</v>
      </c>
      <c r="F970" s="6"/>
      <c r="G970" s="29" t="str">
        <f>IFERROR(HYPERLINK("#"&amp;ADDRESS(MATCH(B970&amp;"ES",'LM7 Non-ENG'!$A$1:$A$5000,0),1,,,"LM7 Non-ENG"),IF(IFERROR(VLOOKUP(B970&amp;"ES",'LM7 Non-ENG'!$A$1:$A$4999,1,FALSE),"ERROR")=B970&amp;"ES","Y","")),"")</f>
        <v/>
      </c>
      <c r="H970" s="29" t="str">
        <f>IFERROR(HYPERLINK("#"&amp;ADDRESS(MATCH(B970&amp;"PT",'LM7 Non-ENG'!$A$1:$A$5000,0),1,,,"LM7 Non-ENG"),IF(IFERROR(VLOOKUP(B970&amp;"PT",'LM7 Non-ENG'!$A$1:$A$5000,1,FALSE),"ERROR")=B970&amp;"PT","Y","")),"")</f>
        <v/>
      </c>
      <c r="I970" t="str">
        <f>IFERROR(VLOOKUP(B970,PN!$A:$C,3,FALSE),"")</f>
        <v>Active</v>
      </c>
      <c r="J970" s="3">
        <f>IFERROR(E970*VLOOKUP(B970,PLInter!$A:$D,3,FALSE),"")</f>
        <v>2126</v>
      </c>
      <c r="K970" s="66"/>
      <c r="L970" s="66"/>
      <c r="M970" s="66"/>
      <c r="N970" s="66"/>
      <c r="O970" s="66"/>
      <c r="P970" s="66"/>
      <c r="Q970" s="66"/>
      <c r="R970" s="66"/>
      <c r="S970" s="66"/>
    </row>
    <row r="971" spans="2:19" ht="18" customHeight="1">
      <c r="B971" s="1" t="s">
        <v>482</v>
      </c>
      <c r="C971" s="1" t="s">
        <v>721</v>
      </c>
      <c r="D971" s="6" t="s">
        <v>0</v>
      </c>
      <c r="E971" s="6">
        <v>1</v>
      </c>
      <c r="F971" s="6"/>
      <c r="G971" s="29" t="str">
        <f>IFERROR(HYPERLINK("#"&amp;ADDRESS(MATCH(B971&amp;"ES",'LM7 Non-ENG'!$A$1:$A$5000,0),1,,,"LM7 Non-ENG"),IF(IFERROR(VLOOKUP(B971&amp;"ES",'LM7 Non-ENG'!$A$1:$A$4999,1,FALSE),"ERROR")=B971&amp;"ES","Y","")),"")</f>
        <v/>
      </c>
      <c r="H971" s="29" t="str">
        <f>IFERROR(HYPERLINK("#"&amp;ADDRESS(MATCH(B971&amp;"PT",'LM7 Non-ENG'!$A$1:$A$5000,0),1,,,"LM7 Non-ENG"),IF(IFERROR(VLOOKUP(B971&amp;"PT",'LM7 Non-ENG'!$A$1:$A$5000,1,FALSE),"ERROR")=B971&amp;"PT","Y","")),"")</f>
        <v/>
      </c>
      <c r="I971" t="str">
        <f>IFERROR(VLOOKUP(B971,PN!$A:$C,3,FALSE),"")</f>
        <v>Active</v>
      </c>
      <c r="J971" s="3">
        <f>IFERROR(E971*VLOOKUP(B971,PLInter!$A:$D,3,FALSE),"")</f>
        <v>186</v>
      </c>
      <c r="K971" s="66"/>
      <c r="L971" s="66"/>
      <c r="M971" s="66"/>
      <c r="N971" s="66"/>
      <c r="O971" s="66"/>
      <c r="P971" s="66"/>
      <c r="Q971" s="66"/>
      <c r="R971" s="66"/>
      <c r="S971" s="66"/>
    </row>
    <row r="972" spans="2:19" ht="18" customHeight="1">
      <c r="B972" t="s">
        <v>471</v>
      </c>
      <c r="C972" t="s">
        <v>722</v>
      </c>
      <c r="D972" s="4"/>
      <c r="E972" s="4">
        <v>1</v>
      </c>
      <c r="F972" s="4"/>
      <c r="G972" s="29" t="str">
        <f>IFERROR(HYPERLINK("#"&amp;ADDRESS(MATCH(B972&amp;"ES",'LM7 Non-ENG'!$A$1:$A$5000,0),1,,,"LM7 Non-ENG"),IF(IFERROR(VLOOKUP(B972&amp;"ES",'LM7 Non-ENG'!$A$1:$A$4999,1,FALSE),"ERROR")=B972&amp;"ES","Y","")),"")</f>
        <v/>
      </c>
      <c r="H972" s="29" t="str">
        <f>IFERROR(HYPERLINK("#"&amp;ADDRESS(MATCH(B972&amp;"PT",'LM7 Non-ENG'!$A$1:$A$5000,0),1,,,"LM7 Non-ENG"),IF(IFERROR(VLOOKUP(B972&amp;"PT",'LM7 Non-ENG'!$A$1:$A$5000,1,FALSE),"ERROR")=B972&amp;"PT","Y","")),"")</f>
        <v/>
      </c>
      <c r="I972" t="str">
        <f>IFERROR(VLOOKUP(B972,PN!$A:$C,3,FALSE),"")</f>
        <v>Active</v>
      </c>
      <c r="J972" s="3">
        <f>IFERROR(E972*VLOOKUP(B972,PLInter!$A:$D,3,FALSE),"")</f>
        <v>226</v>
      </c>
      <c r="K972" s="66"/>
      <c r="L972" s="66"/>
      <c r="M972" s="66"/>
      <c r="N972" s="66"/>
      <c r="O972" s="66"/>
      <c r="P972" s="66"/>
      <c r="Q972" s="66"/>
      <c r="R972" s="66"/>
      <c r="S972" s="66"/>
    </row>
    <row r="973" spans="2:19" ht="18" customHeight="1">
      <c r="B973" s="1" t="s">
        <v>480</v>
      </c>
      <c r="C973" s="1" t="s">
        <v>894</v>
      </c>
      <c r="D973" s="6" t="s">
        <v>0</v>
      </c>
      <c r="E973" s="6">
        <v>1</v>
      </c>
      <c r="F973" s="6"/>
      <c r="G973" s="29" t="str">
        <f>IFERROR(HYPERLINK("#"&amp;ADDRESS(MATCH(B973&amp;"ES",'LM7 Non-ENG'!$A$1:$A$5000,0),1,,,"LM7 Non-ENG"),IF(IFERROR(VLOOKUP(B973&amp;"ES",'LM7 Non-ENG'!$A$1:$A$4999,1,FALSE),"ERROR")=B973&amp;"ES","Y","")),"")</f>
        <v/>
      </c>
      <c r="H973" s="29" t="str">
        <f>IFERROR(HYPERLINK("#"&amp;ADDRESS(MATCH(B973&amp;"PT",'LM7 Non-ENG'!$A$1:$A$5000,0),1,,,"LM7 Non-ENG"),IF(IFERROR(VLOOKUP(B973&amp;"PT",'LM7 Non-ENG'!$A$1:$A$5000,1,FALSE),"ERROR")=B973&amp;"PT","Y","")),"")</f>
        <v/>
      </c>
      <c r="I973" t="str">
        <f>IFERROR(VLOOKUP(B973,PN!$A:$C,3,FALSE),"")</f>
        <v>Active</v>
      </c>
      <c r="J973" s="3">
        <f>IFERROR(E973*VLOOKUP(B973,PLInter!$A:$D,3,FALSE),"")</f>
        <v>407</v>
      </c>
      <c r="K973" s="66"/>
      <c r="L973" s="66"/>
      <c r="M973" s="66"/>
      <c r="N973" s="66"/>
      <c r="O973" s="66"/>
      <c r="P973" s="66"/>
      <c r="Q973" s="66"/>
      <c r="R973" s="66"/>
      <c r="S973" s="66"/>
    </row>
    <row r="974" spans="2:19" ht="18" customHeight="1">
      <c r="B974" t="s">
        <v>475</v>
      </c>
      <c r="C974" t="s">
        <v>724</v>
      </c>
      <c r="D974" s="4"/>
      <c r="E974" s="4">
        <v>4</v>
      </c>
      <c r="F974" s="4"/>
      <c r="G974" s="29" t="str">
        <f>IFERROR(HYPERLINK("#"&amp;ADDRESS(MATCH(B974&amp;"ES",'LM7 Non-ENG'!$A$1:$A$5000,0),1,,,"LM7 Non-ENG"),IF(IFERROR(VLOOKUP(B974&amp;"ES",'LM7 Non-ENG'!$A$1:$A$4999,1,FALSE),"ERROR")=B974&amp;"ES","Y","")),"")</f>
        <v/>
      </c>
      <c r="H974" s="29" t="str">
        <f>IFERROR(HYPERLINK("#"&amp;ADDRESS(MATCH(B974&amp;"PT",'LM7 Non-ENG'!$A$1:$A$5000,0),1,,,"LM7 Non-ENG"),IF(IFERROR(VLOOKUP(B974&amp;"PT",'LM7 Non-ENG'!$A$1:$A$5000,1,FALSE),"ERROR")=B974&amp;"PT","Y","")),"")</f>
        <v/>
      </c>
      <c r="I974" t="str">
        <f>IFERROR(VLOOKUP(B974,PN!$A:$C,3,FALSE),"")</f>
        <v>Active</v>
      </c>
      <c r="J974" s="3">
        <f>IFERROR(E974*VLOOKUP(B974,PLInter!$A:$D,3,FALSE),"")</f>
        <v>1440</v>
      </c>
      <c r="K974" s="66"/>
      <c r="L974" s="66"/>
      <c r="M974" s="66"/>
      <c r="N974" s="66"/>
      <c r="O974" s="66"/>
      <c r="P974" s="66"/>
      <c r="Q974" s="66"/>
      <c r="R974" s="66"/>
      <c r="S974" s="66"/>
    </row>
    <row r="975" spans="2:19" ht="18" customHeight="1">
      <c r="B975" t="s">
        <v>484</v>
      </c>
      <c r="C975" t="s">
        <v>725</v>
      </c>
      <c r="D975" s="4"/>
      <c r="E975" s="4">
        <v>1</v>
      </c>
      <c r="F975" s="4"/>
      <c r="G975" s="29" t="str">
        <f>IFERROR(HYPERLINK("#"&amp;ADDRESS(MATCH(B975&amp;"ES",'LM7 Non-ENG'!$A$1:$A$5000,0),1,,,"LM7 Non-ENG"),IF(IFERROR(VLOOKUP(B975&amp;"ES",'LM7 Non-ENG'!$A$1:$A$4999,1,FALSE),"ERROR")=B975&amp;"ES","Y","")),"")</f>
        <v/>
      </c>
      <c r="H975" s="29" t="str">
        <f>IFERROR(HYPERLINK("#"&amp;ADDRESS(MATCH(B975&amp;"PT",'LM7 Non-ENG'!$A$1:$A$5000,0),1,,,"LM7 Non-ENG"),IF(IFERROR(VLOOKUP(B975&amp;"PT",'LM7 Non-ENG'!$A$1:$A$5000,1,FALSE),"ERROR")=B975&amp;"PT","Y","")),"")</f>
        <v/>
      </c>
      <c r="I975" t="str">
        <f>IFERROR(VLOOKUP(B975,PN!$A:$C,3,FALSE),"")</f>
        <v>Active</v>
      </c>
      <c r="J975" s="3">
        <f>IFERROR(E975*VLOOKUP(B975,PLInter!$A:$D,3,FALSE),"")</f>
        <v>157</v>
      </c>
      <c r="K975" s="66"/>
      <c r="L975" s="66"/>
      <c r="M975" s="66"/>
      <c r="N975" s="66"/>
      <c r="O975" s="66"/>
      <c r="P975" s="66"/>
      <c r="Q975" s="66"/>
      <c r="R975" s="66"/>
      <c r="S975" s="66"/>
    </row>
    <row r="976" spans="2:19" ht="18" customHeight="1">
      <c r="B976" s="2" t="s">
        <v>483</v>
      </c>
      <c r="C976" s="2" t="s">
        <v>726</v>
      </c>
      <c r="D976" s="5"/>
      <c r="E976" s="5">
        <v>1</v>
      </c>
      <c r="F976" s="5" t="s">
        <v>0</v>
      </c>
      <c r="G976" s="29" t="str">
        <f>IFERROR(HYPERLINK("#"&amp;ADDRESS(MATCH(B976&amp;"ES",'LM7 Non-ENG'!$A$1:$A$5000,0),1,,,"LM7 Non-ENG"),IF(IFERROR(VLOOKUP(B976&amp;"ES",'LM7 Non-ENG'!$A$1:$A$4999,1,FALSE),"ERROR")=B976&amp;"ES","Y","")),"")</f>
        <v/>
      </c>
      <c r="H976" s="29" t="str">
        <f>IFERROR(HYPERLINK("#"&amp;ADDRESS(MATCH(B976&amp;"PT",'LM7 Non-ENG'!$A$1:$A$5000,0),1,,,"LM7 Non-ENG"),IF(IFERROR(VLOOKUP(B976&amp;"PT",'LM7 Non-ENG'!$A$1:$A$5000,1,FALSE),"ERROR")=B976&amp;"PT","Y","")),"")</f>
        <v/>
      </c>
      <c r="I976" t="str">
        <f>IFERROR(VLOOKUP(B976,PN!$A:$C,3,FALSE),"")</f>
        <v>Active</v>
      </c>
      <c r="J976" s="3">
        <f>IFERROR(E976*VLOOKUP(B976,PLInter!$A:$D,3,FALSE),"")</f>
        <v>157</v>
      </c>
      <c r="K976" s="66"/>
      <c r="L976" s="66"/>
      <c r="M976" s="66"/>
      <c r="N976" s="66"/>
      <c r="O976" s="66"/>
      <c r="P976" s="66"/>
      <c r="Q976" s="66"/>
      <c r="R976" s="66"/>
      <c r="S976" s="66"/>
    </row>
    <row r="977" spans="2:19" ht="18" customHeight="1">
      <c r="B977" s="1" t="s">
        <v>727</v>
      </c>
      <c r="C977" s="1" t="s">
        <v>728</v>
      </c>
      <c r="D977" s="6" t="s">
        <v>0</v>
      </c>
      <c r="E977" s="6">
        <v>1</v>
      </c>
      <c r="F977" s="6"/>
      <c r="G977" s="29" t="str">
        <f>IFERROR(HYPERLINK("#"&amp;ADDRESS(MATCH(B977&amp;"ES",'LM7 Non-ENG'!$A$1:$A$5000,0),1,,,"LM7 Non-ENG"),IF(IFERROR(VLOOKUP(B977&amp;"ES",'LM7 Non-ENG'!$A$1:$A$4999,1,FALSE),"ERROR")=B977&amp;"ES","Y","")),"")</f>
        <v/>
      </c>
      <c r="H977" s="29" t="str">
        <f>IFERROR(HYPERLINK("#"&amp;ADDRESS(MATCH(B977&amp;"PT",'LM7 Non-ENG'!$A$1:$A$5000,0),1,,,"LM7 Non-ENG"),IF(IFERROR(VLOOKUP(B977&amp;"PT",'LM7 Non-ENG'!$A$1:$A$5000,1,FALSE),"ERROR")=B977&amp;"PT","Y","")),"")</f>
        <v/>
      </c>
      <c r="I977" t="str">
        <f>IFERROR(VLOOKUP(B977,PN!$A:$C,3,FALSE),"")</f>
        <v>Phase Out</v>
      </c>
      <c r="J977" s="3" t="str">
        <f>IFERROR(E977*VLOOKUP(B977,PLInter!$A:$D,3,FALSE),"")</f>
        <v/>
      </c>
      <c r="K977" s="66"/>
      <c r="L977" s="66"/>
      <c r="M977" s="66"/>
      <c r="N977" s="66"/>
      <c r="O977" s="66"/>
      <c r="P977" s="66"/>
      <c r="Q977" s="66"/>
      <c r="R977" s="66"/>
      <c r="S977" s="66"/>
    </row>
    <row r="978" spans="2:19" ht="18" customHeight="1">
      <c r="B978" s="1" t="s">
        <v>729</v>
      </c>
      <c r="C978" s="1" t="s">
        <v>730</v>
      </c>
      <c r="D978" s="6" t="s">
        <v>0</v>
      </c>
      <c r="E978" s="6">
        <v>1</v>
      </c>
      <c r="F978" s="6"/>
      <c r="G978" s="29" t="str">
        <f>IFERROR(HYPERLINK("#"&amp;ADDRESS(MATCH(B978&amp;"ES",'LM7 Non-ENG'!$A$1:$A$5000,0),1,,,"LM7 Non-ENG"),IF(IFERROR(VLOOKUP(B978&amp;"ES",'LM7 Non-ENG'!$A$1:$A$4999,1,FALSE),"ERROR")=B978&amp;"ES","Y","")),"")</f>
        <v/>
      </c>
      <c r="H978" s="29" t="str">
        <f>IFERROR(HYPERLINK("#"&amp;ADDRESS(MATCH(B978&amp;"PT",'LM7 Non-ENG'!$A$1:$A$5000,0),1,,,"LM7 Non-ENG"),IF(IFERROR(VLOOKUP(B978&amp;"PT",'LM7 Non-ENG'!$A$1:$A$5000,1,FALSE),"ERROR")=B978&amp;"PT","Y","")),"")</f>
        <v/>
      </c>
      <c r="I978" t="str">
        <f>IFERROR(VLOOKUP(B978,PN!$A:$C,3,FALSE),"")</f>
        <v>Active</v>
      </c>
      <c r="J978" s="3" t="str">
        <f>IFERROR(E978*VLOOKUP(B978,PLInter!$A:$D,3,FALSE),"")</f>
        <v/>
      </c>
      <c r="K978" s="66"/>
      <c r="L978" s="66"/>
      <c r="M978" s="66"/>
      <c r="N978" s="66"/>
      <c r="O978" s="66"/>
      <c r="P978" s="66"/>
      <c r="Q978" s="66"/>
      <c r="R978" s="66"/>
      <c r="S978" s="66"/>
    </row>
    <row r="979" spans="2:19" ht="18" customHeight="1">
      <c r="B979" t="str">
        <f>"113034"</f>
        <v>113034</v>
      </c>
      <c r="C979" t="s">
        <v>695</v>
      </c>
      <c r="D979" s="4"/>
      <c r="E979" s="4">
        <v>50</v>
      </c>
      <c r="F979" s="4"/>
      <c r="G979" s="29" t="str">
        <f>IFERROR(HYPERLINK("#"&amp;ADDRESS(MATCH(B979&amp;"ES",'LM7 Non-ENG'!$A$1:$A$5000,0),1,,,"LM7 Non-ENG"),IF(IFERROR(VLOOKUP(B979&amp;"ES",'LM7 Non-ENG'!$A$1:$A$4999,1,FALSE),"ERROR")=B979&amp;"ES","Y","")),"")</f>
        <v/>
      </c>
      <c r="H979" s="29" t="str">
        <f>IFERROR(HYPERLINK("#"&amp;ADDRESS(MATCH(B979&amp;"PT",'LM7 Non-ENG'!$A$1:$A$5000,0),1,,,"LM7 Non-ENG"),IF(IFERROR(VLOOKUP(B979&amp;"PT",'LM7 Non-ENG'!$A$1:$A$5000,1,FALSE),"ERROR")=B979&amp;"PT","Y","")),"")</f>
        <v/>
      </c>
      <c r="I979" t="str">
        <f>IFERROR(VLOOKUP(B979,PN!$A:$C,3,FALSE),"")</f>
        <v>Active</v>
      </c>
      <c r="J979" s="3">
        <f>IFERROR(E979*VLOOKUP(B979,PLInter!$A:$D,3,FALSE),"")</f>
        <v>750</v>
      </c>
      <c r="K979" s="66"/>
      <c r="L979" s="66"/>
      <c r="M979" s="66"/>
      <c r="N979" s="66"/>
      <c r="O979" s="66"/>
      <c r="P979" s="66"/>
      <c r="Q979" s="66"/>
      <c r="R979" s="66"/>
      <c r="S979" s="66"/>
    </row>
    <row r="980" spans="2:19" ht="18" customHeight="1">
      <c r="B980" t="s">
        <v>735</v>
      </c>
      <c r="C980" t="s">
        <v>736</v>
      </c>
      <c r="D980" s="4"/>
      <c r="E980" s="4">
        <v>1</v>
      </c>
      <c r="F980" s="4"/>
      <c r="G980" s="29" t="str">
        <f>IFERROR(HYPERLINK("#"&amp;ADDRESS(MATCH(B980&amp;"ES",'LM7 Non-ENG'!$A$1:$A$5000,0),1,,,"LM7 Non-ENG"),IF(IFERROR(VLOOKUP(B980&amp;"ES",'LM7 Non-ENG'!$A$1:$A$4999,1,FALSE),"ERROR")=B980&amp;"ES","Y","")),"")</f>
        <v/>
      </c>
      <c r="H980" s="29" t="str">
        <f>IFERROR(HYPERLINK("#"&amp;ADDRESS(MATCH(B980&amp;"PT",'LM7 Non-ENG'!$A$1:$A$5000,0),1,,,"LM7 Non-ENG"),IF(IFERROR(VLOOKUP(B980&amp;"PT",'LM7 Non-ENG'!$A$1:$A$5000,1,FALSE),"ERROR")=B980&amp;"PT","Y","")),"")</f>
        <v/>
      </c>
      <c r="I980" t="str">
        <f>IFERROR(VLOOKUP(B980,PN!$A:$C,3,FALSE),"")</f>
        <v>Active</v>
      </c>
      <c r="J980" s="3">
        <f>IFERROR(E980*VLOOKUP(B980,PLInter!$A:$D,3,FALSE),"")</f>
        <v>667</v>
      </c>
      <c r="K980" s="66"/>
      <c r="L980" s="66"/>
      <c r="M980" s="66"/>
      <c r="N980" s="66"/>
      <c r="O980" s="66"/>
      <c r="P980" s="66"/>
      <c r="Q980" s="66"/>
      <c r="R980" s="66"/>
      <c r="S980" s="66"/>
    </row>
    <row r="981" spans="2:19" ht="18" customHeight="1">
      <c r="B981" t="s">
        <v>453</v>
      </c>
      <c r="C981" t="s">
        <v>463</v>
      </c>
      <c r="D981" s="4"/>
      <c r="E981" s="4">
        <v>1</v>
      </c>
      <c r="F981" s="4"/>
      <c r="G981" s="29" t="str">
        <f>IFERROR(HYPERLINK("#"&amp;ADDRESS(MATCH(B981&amp;"ES",'LM7 Non-ENG'!$A$1:$A$5000,0),1,,,"LM7 Non-ENG"),IF(IFERROR(VLOOKUP(B981&amp;"ES",'LM7 Non-ENG'!$A$1:$A$4999,1,FALSE),"ERROR")=B981&amp;"ES","Y","")),"")</f>
        <v/>
      </c>
      <c r="H981" s="29" t="str">
        <f>IFERROR(HYPERLINK("#"&amp;ADDRESS(MATCH(B981&amp;"PT",'LM7 Non-ENG'!$A$1:$A$5000,0),1,,,"LM7 Non-ENG"),IF(IFERROR(VLOOKUP(B981&amp;"PT",'LM7 Non-ENG'!$A$1:$A$5000,1,FALSE),"ERROR")=B981&amp;"PT","Y","")),"")</f>
        <v/>
      </c>
      <c r="I981" t="str">
        <f>IFERROR(VLOOKUP(B981,PN!$A:$C,3,FALSE),"")</f>
        <v>Active</v>
      </c>
      <c r="J981" s="3">
        <f>IFERROR(E981*VLOOKUP(B981,PLInter!$A:$D,3,FALSE),"")</f>
        <v>14934</v>
      </c>
      <c r="K981" s="66"/>
      <c r="L981" s="66"/>
      <c r="M981" s="66"/>
      <c r="N981" s="66"/>
      <c r="O981" s="66"/>
      <c r="P981" s="66"/>
      <c r="Q981" s="66"/>
      <c r="R981" s="66"/>
      <c r="S981" s="66"/>
    </row>
    <row r="982" spans="2:19" ht="18" customHeight="1">
      <c r="B982" s="2" t="s">
        <v>452</v>
      </c>
      <c r="C982" s="2" t="s">
        <v>737</v>
      </c>
      <c r="D982" s="5"/>
      <c r="E982" s="5">
        <v>1</v>
      </c>
      <c r="F982" s="5" t="s">
        <v>0</v>
      </c>
      <c r="G982" s="29" t="str">
        <f>IFERROR(HYPERLINK("#"&amp;ADDRESS(MATCH(B982&amp;"ES",'LM7 Non-ENG'!$A$1:$A$5000,0),1,,,"LM7 Non-ENG"),IF(IFERROR(VLOOKUP(B982&amp;"ES",'LM7 Non-ENG'!$A$1:$A$4999,1,FALSE),"ERROR")=B982&amp;"ES","Y","")),"")</f>
        <v/>
      </c>
      <c r="H982" s="29" t="str">
        <f>IFERROR(HYPERLINK("#"&amp;ADDRESS(MATCH(B982&amp;"PT",'LM7 Non-ENG'!$A$1:$A$5000,0),1,,,"LM7 Non-ENG"),IF(IFERROR(VLOOKUP(B982&amp;"PT",'LM7 Non-ENG'!$A$1:$A$5000,1,FALSE),"ERROR")=B982&amp;"PT","Y","")),"")</f>
        <v/>
      </c>
      <c r="I982" t="str">
        <f>IFERROR(VLOOKUP(B982,PN!$A:$C,3,FALSE),"")</f>
        <v>Active</v>
      </c>
      <c r="J982" s="3">
        <f>IFERROR(E982*VLOOKUP(B982,PLInter!$A:$D,3,FALSE),"")</f>
        <v>14934</v>
      </c>
      <c r="K982" s="66"/>
      <c r="L982" s="66"/>
      <c r="M982" s="66"/>
      <c r="N982" s="66"/>
      <c r="O982" s="66"/>
      <c r="P982" s="66"/>
      <c r="Q982" s="66"/>
      <c r="R982" s="66"/>
      <c r="S982" s="66"/>
    </row>
    <row r="983" spans="2:19" ht="18" customHeight="1">
      <c r="B983" t="s">
        <v>518</v>
      </c>
      <c r="C983" t="s">
        <v>738</v>
      </c>
      <c r="D983" s="4"/>
      <c r="E983" s="4">
        <v>1</v>
      </c>
      <c r="F983" s="4"/>
      <c r="G983" s="29" t="str">
        <f>IFERROR(HYPERLINK("#"&amp;ADDRESS(MATCH(B983&amp;"ES",'LM7 Non-ENG'!$A$1:$A$5000,0),1,,,"LM7 Non-ENG"),IF(IFERROR(VLOOKUP(B983&amp;"ES",'LM7 Non-ENG'!$A$1:$A$4999,1,FALSE),"ERROR")=B983&amp;"ES","Y","")),"")</f>
        <v/>
      </c>
      <c r="H983" s="29" t="str">
        <f>IFERROR(HYPERLINK("#"&amp;ADDRESS(MATCH(B983&amp;"PT",'LM7 Non-ENG'!$A$1:$A$5000,0),1,,,"LM7 Non-ENG"),IF(IFERROR(VLOOKUP(B983&amp;"PT",'LM7 Non-ENG'!$A$1:$A$5000,1,FALSE),"ERROR")=B983&amp;"PT","Y","")),"")</f>
        <v/>
      </c>
      <c r="I983" t="str">
        <f>IFERROR(VLOOKUP(B983,PN!$A:$C,3,FALSE),"")</f>
        <v>Active</v>
      </c>
      <c r="J983" s="3">
        <f>IFERROR(E983*VLOOKUP(B983,PLInter!$A:$D,3,FALSE),"")</f>
        <v>534</v>
      </c>
      <c r="K983" s="66"/>
      <c r="L983" s="66"/>
      <c r="M983" s="66"/>
      <c r="N983" s="66"/>
      <c r="O983" s="66"/>
      <c r="P983" s="66"/>
      <c r="Q983" s="66"/>
      <c r="R983" s="66"/>
      <c r="S983" s="66"/>
    </row>
    <row r="984" spans="2:19" ht="18" customHeight="1">
      <c r="B984" t="s">
        <v>572</v>
      </c>
      <c r="C984" t="s">
        <v>749</v>
      </c>
      <c r="D984" s="4"/>
      <c r="E984" s="4">
        <v>1</v>
      </c>
      <c r="F984" s="4"/>
      <c r="G984" s="29" t="str">
        <f>IFERROR(HYPERLINK("#"&amp;ADDRESS(MATCH(B984&amp;"ES",'LM7 Non-ENG'!$A$1:$A$5000,0),1,,,"LM7 Non-ENG"),IF(IFERROR(VLOOKUP(B984&amp;"ES",'LM7 Non-ENG'!$A$1:$A$4999,1,FALSE),"ERROR")=B984&amp;"ES","Y","")),"")</f>
        <v/>
      </c>
      <c r="H984" s="29" t="str">
        <f>IFERROR(HYPERLINK("#"&amp;ADDRESS(MATCH(B984&amp;"PT",'LM7 Non-ENG'!$A$1:$A$5000,0),1,,,"LM7 Non-ENG"),IF(IFERROR(VLOOKUP(B984&amp;"PT",'LM7 Non-ENG'!$A$1:$A$5000,1,FALSE),"ERROR")=B984&amp;"PT","Y","")),"")</f>
        <v/>
      </c>
      <c r="I984" t="str">
        <f>IFERROR(VLOOKUP(B984,PN!$A:$C,3,FALSE),"")</f>
        <v>Active</v>
      </c>
      <c r="J984" s="3">
        <f>IFERROR(E984*VLOOKUP(B984,PLInter!$A:$D,3,FALSE),"")</f>
        <v>500</v>
      </c>
      <c r="K984" s="66"/>
      <c r="L984" s="66"/>
      <c r="M984" s="66"/>
      <c r="N984" s="66"/>
      <c r="O984" s="66"/>
      <c r="P984" s="66"/>
      <c r="Q984" s="66"/>
      <c r="R984" s="66"/>
      <c r="S984" s="66"/>
    </row>
    <row r="985" spans="2:19" ht="18" customHeight="1">
      <c r="B985" t="s">
        <v>515</v>
      </c>
      <c r="C985" t="s">
        <v>739</v>
      </c>
      <c r="D985" s="4"/>
      <c r="E985" s="4">
        <v>1</v>
      </c>
      <c r="F985" s="4"/>
      <c r="G985" s="29" t="str">
        <f>IFERROR(HYPERLINK("#"&amp;ADDRESS(MATCH(B985&amp;"ES",'LM7 Non-ENG'!$A$1:$A$5000,0),1,,,"LM7 Non-ENG"),IF(IFERROR(VLOOKUP(B985&amp;"ES",'LM7 Non-ENG'!$A$1:$A$4999,1,FALSE),"ERROR")=B985&amp;"ES","Y","")),"")</f>
        <v/>
      </c>
      <c r="H985" s="29" t="str">
        <f>IFERROR(HYPERLINK("#"&amp;ADDRESS(MATCH(B985&amp;"PT",'LM7 Non-ENG'!$A$1:$A$5000,0),1,,,"LM7 Non-ENG"),IF(IFERROR(VLOOKUP(B985&amp;"PT",'LM7 Non-ENG'!$A$1:$A$5000,1,FALSE),"ERROR")=B985&amp;"PT","Y","")),"")</f>
        <v/>
      </c>
      <c r="I985" t="str">
        <f>IFERROR(VLOOKUP(B985,PN!$A:$C,3,FALSE),"")</f>
        <v>Active</v>
      </c>
      <c r="J985" s="3">
        <f>IFERROR(E985*VLOOKUP(B985,PLInter!$A:$D,3,FALSE),"")</f>
        <v>1895</v>
      </c>
      <c r="K985" s="66"/>
      <c r="L985" s="66"/>
      <c r="M985" s="66"/>
      <c r="N985" s="66"/>
      <c r="O985" s="66"/>
      <c r="P985" s="66"/>
      <c r="Q985" s="66"/>
      <c r="R985" s="66"/>
      <c r="S985" s="66"/>
    </row>
    <row r="986" spans="2:19" ht="18" customHeight="1">
      <c r="B986" t="s">
        <v>556</v>
      </c>
      <c r="C986" t="s">
        <v>750</v>
      </c>
      <c r="D986" s="4"/>
      <c r="E986" s="4">
        <v>1</v>
      </c>
      <c r="F986" s="4"/>
      <c r="G986" s="29" t="str">
        <f>IFERROR(HYPERLINK("#"&amp;ADDRESS(MATCH(B986&amp;"ES",'LM7 Non-ENG'!$A$1:$A$5000,0),1,,,"LM7 Non-ENG"),IF(IFERROR(VLOOKUP(B986&amp;"ES",'LM7 Non-ENG'!$A$1:$A$4999,1,FALSE),"ERROR")=B986&amp;"ES","Y","")),"")</f>
        <v/>
      </c>
      <c r="H986" s="29" t="str">
        <f>IFERROR(HYPERLINK("#"&amp;ADDRESS(MATCH(B986&amp;"PT",'LM7 Non-ENG'!$A$1:$A$5000,0),1,,,"LM7 Non-ENG"),IF(IFERROR(VLOOKUP(B986&amp;"PT",'LM7 Non-ENG'!$A$1:$A$5000,1,FALSE),"ERROR")=B986&amp;"PT","Y","")),"")</f>
        <v/>
      </c>
      <c r="I986" t="str">
        <f>IFERROR(VLOOKUP(B986,PN!$A:$C,3,FALSE),"")</f>
        <v>Active</v>
      </c>
      <c r="J986" s="3">
        <f>IFERROR(E986*VLOOKUP(B986,PLInter!$A:$D,3,FALSE),"")</f>
        <v>500</v>
      </c>
      <c r="K986" s="66"/>
      <c r="L986" s="66"/>
      <c r="M986" s="66"/>
      <c r="N986" s="66"/>
      <c r="O986" s="66"/>
      <c r="P986" s="66"/>
      <c r="Q986" s="66"/>
      <c r="R986" s="66"/>
      <c r="S986" s="66"/>
    </row>
    <row r="987" spans="2:19" ht="18" customHeight="1">
      <c r="B987" t="s">
        <v>504</v>
      </c>
      <c r="C987" t="s">
        <v>742</v>
      </c>
      <c r="D987" s="4"/>
      <c r="E987" s="4">
        <v>1</v>
      </c>
      <c r="F987" s="4"/>
      <c r="G987" s="29" t="str">
        <f>IFERROR(HYPERLINK("#"&amp;ADDRESS(MATCH(B987&amp;"ES",'LM7 Non-ENG'!$A$1:$A$5000,0),1,,,"LM7 Non-ENG"),IF(IFERROR(VLOOKUP(B987&amp;"ES",'LM7 Non-ENG'!$A$1:$A$4999,1,FALSE),"ERROR")=B987&amp;"ES","Y","")),"")</f>
        <v/>
      </c>
      <c r="H987" s="29" t="str">
        <f>IFERROR(HYPERLINK("#"&amp;ADDRESS(MATCH(B987&amp;"PT",'LM7 Non-ENG'!$A$1:$A$5000,0),1,,,"LM7 Non-ENG"),IF(IFERROR(VLOOKUP(B987&amp;"PT",'LM7 Non-ENG'!$A$1:$A$5000,1,FALSE),"ERROR")=B987&amp;"PT","Y","")),"")</f>
        <v/>
      </c>
      <c r="I987" t="str">
        <f>IFERROR(VLOOKUP(B987,PN!$A:$C,3,FALSE),"")</f>
        <v>Active</v>
      </c>
      <c r="J987" s="3">
        <f>IFERROR(E987*VLOOKUP(B987,PLInter!$A:$D,3,FALSE),"")</f>
        <v>227</v>
      </c>
      <c r="K987" s="66"/>
      <c r="L987" s="66"/>
      <c r="M987" s="66"/>
      <c r="N987" s="66"/>
      <c r="O987" s="66"/>
      <c r="P987" s="66"/>
      <c r="Q987" s="66"/>
      <c r="R987" s="66"/>
      <c r="S987" s="66"/>
    </row>
    <row r="988" spans="2:19" ht="18" customHeight="1">
      <c r="B988" t="s">
        <v>505</v>
      </c>
      <c r="C988" t="s">
        <v>743</v>
      </c>
      <c r="D988" s="4"/>
      <c r="E988" s="4">
        <v>1</v>
      </c>
      <c r="F988" s="4"/>
      <c r="G988" s="29" t="str">
        <f>IFERROR(HYPERLINK("#"&amp;ADDRESS(MATCH(B988&amp;"ES",'LM7 Non-ENG'!$A$1:$A$5000,0),1,,,"LM7 Non-ENG"),IF(IFERROR(VLOOKUP(B988&amp;"ES",'LM7 Non-ENG'!$A$1:$A$4999,1,FALSE),"ERROR")=B988&amp;"ES","Y","")),"")</f>
        <v/>
      </c>
      <c r="H988" s="29" t="str">
        <f>IFERROR(HYPERLINK("#"&amp;ADDRESS(MATCH(B988&amp;"PT",'LM7 Non-ENG'!$A$1:$A$5000,0),1,,,"LM7 Non-ENG"),IF(IFERROR(VLOOKUP(B988&amp;"PT",'LM7 Non-ENG'!$A$1:$A$5000,1,FALSE),"ERROR")=B988&amp;"PT","Y","")),"")</f>
        <v/>
      </c>
      <c r="I988" t="str">
        <f>IFERROR(VLOOKUP(B988,PN!$A:$C,3,FALSE),"")</f>
        <v>Active</v>
      </c>
      <c r="J988" s="3">
        <f>IFERROR(E988*VLOOKUP(B988,PLInter!$A:$D,3,FALSE),"")</f>
        <v>200</v>
      </c>
      <c r="K988" s="66"/>
      <c r="L988" s="66"/>
      <c r="M988" s="66"/>
      <c r="N988" s="66"/>
      <c r="O988" s="66"/>
      <c r="P988" s="66"/>
      <c r="Q988" s="66"/>
      <c r="R988" s="66"/>
      <c r="S988" s="66"/>
    </row>
    <row r="989" spans="2:19" ht="18" customHeight="1">
      <c r="B989" t="s">
        <v>502</v>
      </c>
      <c r="C989" t="s">
        <v>744</v>
      </c>
      <c r="D989" s="4"/>
      <c r="E989" s="4">
        <v>1</v>
      </c>
      <c r="F989" s="4"/>
      <c r="G989" s="29" t="str">
        <f>IFERROR(HYPERLINK("#"&amp;ADDRESS(MATCH(B989&amp;"ES",'LM7 Non-ENG'!$A$1:$A$5000,0),1,,,"LM7 Non-ENG"),IF(IFERROR(VLOOKUP(B989&amp;"ES",'LM7 Non-ENG'!$A$1:$A$4999,1,FALSE),"ERROR")=B989&amp;"ES","Y","")),"")</f>
        <v/>
      </c>
      <c r="H989" s="29" t="str">
        <f>IFERROR(HYPERLINK("#"&amp;ADDRESS(MATCH(B989&amp;"PT",'LM7 Non-ENG'!$A$1:$A$5000,0),1,,,"LM7 Non-ENG"),IF(IFERROR(VLOOKUP(B989&amp;"PT",'LM7 Non-ENG'!$A$1:$A$5000,1,FALSE),"ERROR")=B989&amp;"PT","Y","")),"")</f>
        <v/>
      </c>
      <c r="I989" t="str">
        <f>IFERROR(VLOOKUP(B989,PN!$A:$C,3,FALSE),"")</f>
        <v>Active</v>
      </c>
      <c r="J989" s="3">
        <f>IFERROR(E989*VLOOKUP(B989,PLInter!$A:$D,3,FALSE),"")</f>
        <v>87</v>
      </c>
      <c r="K989" s="66"/>
      <c r="L989" s="66"/>
      <c r="M989" s="66"/>
      <c r="N989" s="66"/>
      <c r="O989" s="66"/>
      <c r="P989" s="66"/>
      <c r="Q989" s="66"/>
      <c r="R989" s="66"/>
      <c r="S989" s="66"/>
    </row>
    <row r="990" spans="2:19" ht="18" customHeight="1">
      <c r="B990" t="s">
        <v>503</v>
      </c>
      <c r="C990" t="s">
        <v>745</v>
      </c>
      <c r="D990" s="4"/>
      <c r="E990" s="4">
        <v>1</v>
      </c>
      <c r="F990" s="4"/>
      <c r="G990" s="29" t="str">
        <f>IFERROR(HYPERLINK("#"&amp;ADDRESS(MATCH(B990&amp;"ES",'LM7 Non-ENG'!$A$1:$A$5000,0),1,,,"LM7 Non-ENG"),IF(IFERROR(VLOOKUP(B990&amp;"ES",'LM7 Non-ENG'!$A$1:$A$4999,1,FALSE),"ERROR")=B990&amp;"ES","Y","")),"")</f>
        <v/>
      </c>
      <c r="H990" s="29" t="str">
        <f>IFERROR(HYPERLINK("#"&amp;ADDRESS(MATCH(B990&amp;"PT",'LM7 Non-ENG'!$A$1:$A$5000,0),1,,,"LM7 Non-ENG"),IF(IFERROR(VLOOKUP(B990&amp;"PT",'LM7 Non-ENG'!$A$1:$A$5000,1,FALSE),"ERROR")=B990&amp;"PT","Y","")),"")</f>
        <v/>
      </c>
      <c r="I990" t="str">
        <f>IFERROR(VLOOKUP(B990,PN!$A:$C,3,FALSE),"")</f>
        <v>Active</v>
      </c>
      <c r="J990" s="3">
        <f>IFERROR(E990*VLOOKUP(B990,PLInter!$A:$D,3,FALSE),"")</f>
        <v>74</v>
      </c>
      <c r="K990" s="66"/>
      <c r="L990" s="66"/>
      <c r="M990" s="66"/>
      <c r="N990" s="66"/>
      <c r="O990" s="66"/>
      <c r="P990" s="66"/>
      <c r="Q990" s="66"/>
      <c r="R990" s="66"/>
      <c r="S990" s="66"/>
    </row>
    <row r="991" spans="2:19" ht="18" customHeight="1">
      <c r="B991" t="s">
        <v>478</v>
      </c>
      <c r="C991" t="s">
        <v>800</v>
      </c>
      <c r="D991" s="4"/>
      <c r="E991" s="4">
        <v>1</v>
      </c>
      <c r="F991" s="4"/>
      <c r="G991" s="29" t="str">
        <f>IFERROR(HYPERLINK("#"&amp;ADDRESS(MATCH(B991&amp;"ES",'LM7 Non-ENG'!$A$1:$A$5000,0),1,,,"LM7 Non-ENG"),IF(IFERROR(VLOOKUP(B991&amp;"ES",'LM7 Non-ENG'!$A$1:$A$4999,1,FALSE),"ERROR")=B991&amp;"ES","Y","")),"")</f>
        <v/>
      </c>
      <c r="H991" s="29" t="str">
        <f>IFERROR(HYPERLINK("#"&amp;ADDRESS(MATCH(B991&amp;"PT",'LM7 Non-ENG'!$A$1:$A$5000,0),1,,,"LM7 Non-ENG"),IF(IFERROR(VLOOKUP(B991&amp;"PT",'LM7 Non-ENG'!$A$1:$A$5000,1,FALSE),"ERROR")=B991&amp;"PT","Y","")),"")</f>
        <v/>
      </c>
      <c r="I991" t="str">
        <f>IFERROR(VLOOKUP(B991,PN!$A:$C,3,FALSE),"")</f>
        <v>Active</v>
      </c>
      <c r="J991" s="3">
        <f>IFERROR(E991*VLOOKUP(B991,PLInter!$A:$D,3,FALSE),"")</f>
        <v>795</v>
      </c>
      <c r="K991" s="66"/>
      <c r="L991" s="66"/>
      <c r="M991" s="66"/>
      <c r="N991" s="66"/>
      <c r="O991" s="66"/>
      <c r="P991" s="66"/>
      <c r="Q991" s="66"/>
      <c r="R991" s="66"/>
      <c r="S991" s="66"/>
    </row>
    <row r="992" spans="2:19" ht="18" customHeight="1">
      <c r="B992" s="1" t="s">
        <v>506</v>
      </c>
      <c r="C992" s="1" t="s">
        <v>746</v>
      </c>
      <c r="D992" s="6" t="s">
        <v>0</v>
      </c>
      <c r="E992" s="6">
        <v>1</v>
      </c>
      <c r="F992" s="6"/>
      <c r="G992" s="29" t="str">
        <f>IFERROR(HYPERLINK("#"&amp;ADDRESS(MATCH(B992&amp;"ES",'LM7 Non-ENG'!$A$1:$A$5000,0),1,,,"LM7 Non-ENG"),IF(IFERROR(VLOOKUP(B992&amp;"ES",'LM7 Non-ENG'!$A$1:$A$4999,1,FALSE),"ERROR")=B992&amp;"ES","Y","")),"")</f>
        <v/>
      </c>
      <c r="H992" s="29" t="str">
        <f>IFERROR(HYPERLINK("#"&amp;ADDRESS(MATCH(B992&amp;"PT",'LM7 Non-ENG'!$A$1:$A$5000,0),1,,,"LM7 Non-ENG"),IF(IFERROR(VLOOKUP(B992&amp;"PT",'LM7 Non-ENG'!$A$1:$A$5000,1,FALSE),"ERROR")=B992&amp;"PT","Y","")),"")</f>
        <v/>
      </c>
      <c r="I992" t="str">
        <f>IFERROR(VLOOKUP(B992,PN!$A:$C,3,FALSE),"")</f>
        <v>Active</v>
      </c>
      <c r="J992" s="3">
        <f>IFERROR(E992*VLOOKUP(B992,PLInter!$A:$D,3,FALSE),"")</f>
        <v>231</v>
      </c>
      <c r="K992" s="66"/>
      <c r="L992" s="66"/>
      <c r="M992" s="66"/>
      <c r="N992" s="66"/>
      <c r="O992" s="66"/>
      <c r="P992" s="66"/>
      <c r="Q992" s="66"/>
      <c r="R992" s="66"/>
      <c r="S992" s="66"/>
    </row>
    <row r="993" spans="1:19" ht="18" customHeight="1">
      <c r="B993" s="1" t="s">
        <v>480</v>
      </c>
      <c r="C993" s="1" t="s">
        <v>894</v>
      </c>
      <c r="D993" s="6" t="s">
        <v>0</v>
      </c>
      <c r="E993" s="6">
        <v>1</v>
      </c>
      <c r="F993" s="6"/>
      <c r="G993" s="29" t="str">
        <f>IFERROR(HYPERLINK("#"&amp;ADDRESS(MATCH(B993&amp;"ES",'LM7 Non-ENG'!$A$1:$A$5000,0),1,,,"LM7 Non-ENG"),IF(IFERROR(VLOOKUP(B993&amp;"ES",'LM7 Non-ENG'!$A$1:$A$4999,1,FALSE),"ERROR")=B993&amp;"ES","Y","")),"")</f>
        <v/>
      </c>
      <c r="H993" s="29" t="str">
        <f>IFERROR(HYPERLINK("#"&amp;ADDRESS(MATCH(B993&amp;"PT",'LM7 Non-ENG'!$A$1:$A$5000,0),1,,,"LM7 Non-ENG"),IF(IFERROR(VLOOKUP(B993&amp;"PT",'LM7 Non-ENG'!$A$1:$A$5000,1,FALSE),"ERROR")=B993&amp;"PT","Y","")),"")</f>
        <v/>
      </c>
      <c r="I993" t="str">
        <f>IFERROR(VLOOKUP(B993,PN!$A:$C,3,FALSE),"")</f>
        <v>Active</v>
      </c>
      <c r="J993" s="3">
        <f>IFERROR(E993*VLOOKUP(B993,PLInter!$A:$D,3,FALSE),"")</f>
        <v>407</v>
      </c>
      <c r="K993" s="66"/>
      <c r="L993" s="66"/>
      <c r="M993" s="66"/>
      <c r="N993" s="66"/>
      <c r="O993" s="66"/>
      <c r="P993" s="66"/>
      <c r="Q993" s="66"/>
      <c r="R993" s="66"/>
      <c r="S993" s="66"/>
    </row>
    <row r="994" spans="1:19" ht="18" customHeight="1">
      <c r="B994" s="1" t="s">
        <v>727</v>
      </c>
      <c r="C994" s="1" t="s">
        <v>728</v>
      </c>
      <c r="D994" s="6" t="s">
        <v>0</v>
      </c>
      <c r="E994" s="6">
        <v>1</v>
      </c>
      <c r="F994" s="6"/>
      <c r="G994" s="29" t="str">
        <f>IFERROR(HYPERLINK("#"&amp;ADDRESS(MATCH(B994&amp;"ES",'LM7 Non-ENG'!$A$1:$A$5000,0),1,,,"LM7 Non-ENG"),IF(IFERROR(VLOOKUP(B994&amp;"ES",'LM7 Non-ENG'!$A$1:$A$4999,1,FALSE),"ERROR")=B994&amp;"ES","Y","")),"")</f>
        <v/>
      </c>
      <c r="H994" s="29" t="str">
        <f>IFERROR(HYPERLINK("#"&amp;ADDRESS(MATCH(B994&amp;"PT",'LM7 Non-ENG'!$A$1:$A$5000,0),1,,,"LM7 Non-ENG"),IF(IFERROR(VLOOKUP(B994&amp;"PT",'LM7 Non-ENG'!$A$1:$A$5000,1,FALSE),"ERROR")=B994&amp;"PT","Y","")),"")</f>
        <v/>
      </c>
      <c r="I994" t="str">
        <f>IFERROR(VLOOKUP(B994,PN!$A:$C,3,FALSE),"")</f>
        <v>Phase Out</v>
      </c>
      <c r="J994" s="3" t="str">
        <f>IFERROR(E994*VLOOKUP(B994,PLInter!$A:$D,3,FALSE),"")</f>
        <v/>
      </c>
      <c r="K994" s="66"/>
      <c r="L994" s="66"/>
      <c r="M994" s="66"/>
      <c r="N994" s="66"/>
      <c r="O994" s="66"/>
      <c r="P994" s="66"/>
      <c r="Q994" s="66"/>
      <c r="R994" s="66"/>
      <c r="S994" s="66"/>
    </row>
    <row r="995" spans="1:19" ht="18" customHeight="1">
      <c r="B995" s="1" t="s">
        <v>729</v>
      </c>
      <c r="C995" s="1" t="s">
        <v>730</v>
      </c>
      <c r="D995" s="6" t="s">
        <v>0</v>
      </c>
      <c r="E995" s="6">
        <v>1</v>
      </c>
      <c r="F995" s="6"/>
      <c r="G995" s="29" t="str">
        <f>IFERROR(HYPERLINK("#"&amp;ADDRESS(MATCH(B995&amp;"ES",'LM7 Non-ENG'!$A$1:$A$5000,0),1,,,"LM7 Non-ENG"),IF(IFERROR(VLOOKUP(B995&amp;"ES",'LM7 Non-ENG'!$A$1:$A$4999,1,FALSE),"ERROR")=B995&amp;"ES","Y","")),"")</f>
        <v/>
      </c>
      <c r="H995" s="29" t="str">
        <f>IFERROR(HYPERLINK("#"&amp;ADDRESS(MATCH(B995&amp;"PT",'LM7 Non-ENG'!$A$1:$A$5000,0),1,,,"LM7 Non-ENG"),IF(IFERROR(VLOOKUP(B995&amp;"PT",'LM7 Non-ENG'!$A$1:$A$5000,1,FALSE),"ERROR")=B995&amp;"PT","Y","")),"")</f>
        <v/>
      </c>
      <c r="I995" t="str">
        <f>IFERROR(VLOOKUP(B995,PN!$A:$C,3,FALSE),"")</f>
        <v>Active</v>
      </c>
      <c r="J995" s="3" t="str">
        <f>IFERROR(E995*VLOOKUP(B995,PLInter!$A:$D,3,FALSE),"")</f>
        <v/>
      </c>
      <c r="K995" s="66"/>
      <c r="L995" s="66"/>
      <c r="M995" s="66"/>
      <c r="N995" s="66"/>
      <c r="O995" s="66"/>
      <c r="P995" s="66"/>
      <c r="Q995" s="66"/>
      <c r="R995" s="66"/>
      <c r="S995" s="66"/>
    </row>
    <row r="996" spans="1:19" ht="18" customHeight="1">
      <c r="B996" t="str">
        <f>"112496"</f>
        <v>112496</v>
      </c>
      <c r="C996" t="s">
        <v>696</v>
      </c>
      <c r="D996" s="4"/>
      <c r="E996" s="4">
        <v>50</v>
      </c>
      <c r="F996" s="4"/>
      <c r="G996" s="29" t="str">
        <f>IFERROR(HYPERLINK("#"&amp;ADDRESS(MATCH(B996&amp;"ES",'LM7 Non-ENG'!$A$1:$A$5000,0),1,,,"LM7 Non-ENG"),IF(IFERROR(VLOOKUP(B996&amp;"ES",'LM7 Non-ENG'!$A$1:$A$4999,1,FALSE),"ERROR")=B996&amp;"ES","Y","")),"")</f>
        <v/>
      </c>
      <c r="H996" s="29" t="str">
        <f>IFERROR(HYPERLINK("#"&amp;ADDRESS(MATCH(B996&amp;"PT",'LM7 Non-ENG'!$A$1:$A$5000,0),1,,,"LM7 Non-ENG"),IF(IFERROR(VLOOKUP(B996&amp;"PT",'LM7 Non-ENG'!$A$1:$A$5000,1,FALSE),"ERROR")=B996&amp;"PT","Y","")),"")</f>
        <v/>
      </c>
      <c r="I996" t="str">
        <f>IFERROR(VLOOKUP(B996,PN!$A:$C,3,FALSE),"")</f>
        <v>Active</v>
      </c>
      <c r="J996" s="3">
        <f>IFERROR(E996*VLOOKUP(B996,PLInter!$A:$D,3,FALSE),"")</f>
        <v>1000</v>
      </c>
      <c r="K996" s="66"/>
      <c r="L996" s="66"/>
      <c r="M996" s="66"/>
      <c r="N996" s="66"/>
      <c r="O996" s="66"/>
      <c r="P996" s="66"/>
      <c r="Q996" s="66"/>
      <c r="R996" s="66"/>
      <c r="S996" s="66"/>
    </row>
    <row r="997" spans="1:19" ht="18" customHeight="1">
      <c r="B997" t="s">
        <v>753</v>
      </c>
      <c r="C997" t="s">
        <v>754</v>
      </c>
      <c r="D997" s="4"/>
      <c r="E997" s="4">
        <v>2</v>
      </c>
      <c r="F997" s="4"/>
      <c r="G997" s="29" t="str">
        <f>IFERROR(HYPERLINK("#"&amp;ADDRESS(MATCH(B997&amp;"ES",'LM7 Non-ENG'!$A$1:$A$5000,0),1,,,"LM7 Non-ENG"),IF(IFERROR(VLOOKUP(B997&amp;"ES",'LM7 Non-ENG'!$A$1:$A$4999,1,FALSE),"ERROR")=B997&amp;"ES","Y","")),"")</f>
        <v/>
      </c>
      <c r="H997" s="29" t="str">
        <f>IFERROR(HYPERLINK("#"&amp;ADDRESS(MATCH(B997&amp;"PT",'LM7 Non-ENG'!$A$1:$A$5000,0),1,,,"LM7 Non-ENG"),IF(IFERROR(VLOOKUP(B997&amp;"PT",'LM7 Non-ENG'!$A$1:$A$5000,1,FALSE),"ERROR")=B997&amp;"PT","Y","")),"")</f>
        <v/>
      </c>
      <c r="I997" t="str">
        <f>IFERROR(VLOOKUP(B997,PN!$A:$C,3,FALSE),"")</f>
        <v>Active</v>
      </c>
      <c r="J997" s="3">
        <f>IFERROR(E997*VLOOKUP(B997,PLInter!$A:$D,3,FALSE),"")</f>
        <v>6560</v>
      </c>
      <c r="K997" s="66"/>
      <c r="L997" s="66"/>
      <c r="M997" s="66"/>
      <c r="N997" s="66"/>
      <c r="O997" s="66"/>
      <c r="P997" s="66"/>
      <c r="Q997" s="66"/>
      <c r="R997" s="66"/>
      <c r="S997" s="66"/>
    </row>
    <row r="998" spans="1:19" ht="18" customHeight="1">
      <c r="B998" t="s">
        <v>755</v>
      </c>
      <c r="C998" t="s">
        <v>756</v>
      </c>
      <c r="D998" s="4"/>
      <c r="E998" s="4">
        <v>2</v>
      </c>
      <c r="F998" s="4"/>
      <c r="G998" s="29" t="str">
        <f>IFERROR(HYPERLINK("#"&amp;ADDRESS(MATCH(B998&amp;"ES",'LM7 Non-ENG'!$A$1:$A$5000,0),1,,,"LM7 Non-ENG"),IF(IFERROR(VLOOKUP(B998&amp;"ES",'LM7 Non-ENG'!$A$1:$A$4999,1,FALSE),"ERROR")=B998&amp;"ES","Y","")),"")</f>
        <v/>
      </c>
      <c r="H998" s="29" t="str">
        <f>IFERROR(HYPERLINK("#"&amp;ADDRESS(MATCH(B998&amp;"PT",'LM7 Non-ENG'!$A$1:$A$5000,0),1,,,"LM7 Non-ENG"),IF(IFERROR(VLOOKUP(B998&amp;"PT",'LM7 Non-ENG'!$A$1:$A$5000,1,FALSE),"ERROR")=B998&amp;"PT","Y","")),"")</f>
        <v/>
      </c>
      <c r="I998" t="str">
        <f>IFERROR(VLOOKUP(B998,PN!$A:$C,3,FALSE),"")</f>
        <v>Active</v>
      </c>
      <c r="J998" s="3">
        <f>IFERROR(E998*VLOOKUP(B998,PLInter!$A:$D,3,FALSE),"")</f>
        <v>1032</v>
      </c>
      <c r="K998" s="66"/>
      <c r="L998" s="66"/>
      <c r="M998" s="66"/>
      <c r="N998" s="66"/>
      <c r="O998" s="66"/>
      <c r="P998" s="66"/>
      <c r="Q998" s="66"/>
      <c r="R998" s="66"/>
      <c r="S998" s="66"/>
    </row>
    <row r="999" spans="1:19" ht="18" customHeight="1">
      <c r="B999" t="s">
        <v>630</v>
      </c>
      <c r="C999" t="s">
        <v>631</v>
      </c>
      <c r="D999" s="4"/>
      <c r="E999" s="4">
        <v>1</v>
      </c>
      <c r="F999" s="4"/>
      <c r="G999" s="29" t="str">
        <f>IFERROR(HYPERLINK("#"&amp;ADDRESS(MATCH(B999&amp;"ES",'LM7 Non-ENG'!$A$1:$A$5000,0),1,,,"LM7 Non-ENG"),IF(IFERROR(VLOOKUP(B999&amp;"ES",'LM7 Non-ENG'!$A$1:$A$4999,1,FALSE),"ERROR")=B999&amp;"ES","Y","")),"")</f>
        <v/>
      </c>
      <c r="H999" s="29" t="str">
        <f>IFERROR(HYPERLINK("#"&amp;ADDRESS(MATCH(B999&amp;"PT",'LM7 Non-ENG'!$A$1:$A$5000,0),1,,,"LM7 Non-ENG"),IF(IFERROR(VLOOKUP(B999&amp;"PT",'LM7 Non-ENG'!$A$1:$A$5000,1,FALSE),"ERROR")=B999&amp;"PT","Y","")),"")</f>
        <v/>
      </c>
      <c r="I999" t="str">
        <f>IFERROR(VLOOKUP(B999,PN!$A:$C,3,FALSE),"")</f>
        <v>Active</v>
      </c>
      <c r="J999" s="3">
        <f>IFERROR(E999*VLOOKUP(B999,PLInter!$A:$D,3,FALSE),"")</f>
        <v>1735</v>
      </c>
      <c r="K999" s="66"/>
      <c r="L999" s="66"/>
      <c r="M999" s="66"/>
      <c r="N999" s="66"/>
      <c r="O999" s="66"/>
      <c r="P999" s="66"/>
      <c r="Q999" s="66"/>
      <c r="R999" s="66"/>
      <c r="S999" s="66"/>
    </row>
    <row r="1001" spans="1:19" s="7" customFormat="1" ht="18" customHeight="1">
      <c r="A1001" s="13" t="s">
        <v>895</v>
      </c>
      <c r="B1001" s="13"/>
      <c r="C1001" s="13" t="s">
        <v>896</v>
      </c>
      <c r="D1001" s="14"/>
      <c r="E1001" s="14"/>
      <c r="F1001" s="14"/>
      <c r="G1001" s="14"/>
      <c r="H1001" s="14"/>
      <c r="I1001" s="14"/>
      <c r="J1001" s="14">
        <f>SUMIFS(J1002:J1038,D1002:D1038,"&lt;&gt;Y",F1002:F1038,"&lt;&gt;Y",I1002:I1038,"&lt;&gt;Inactive",I1002:I1038,"&lt;&gt;ECO+NFS")</f>
        <v>80910</v>
      </c>
      <c r="K1001" s="14"/>
      <c r="L1001" s="14"/>
      <c r="M1001" s="14"/>
      <c r="N1001" s="14"/>
      <c r="O1001" s="14"/>
      <c r="P1001" s="14"/>
      <c r="Q1001" s="14"/>
      <c r="R1001" s="14"/>
      <c r="S1001" s="14"/>
    </row>
    <row r="1002" spans="1:19" ht="18" customHeight="1">
      <c r="A1002" s="17" t="str">
        <f>HYPERLINK("#"&amp;ADDRESS(MATCH(A1001,'CIM&amp;FMS'!$A$1:$A$4997,0),1,,,"CIM&amp;FMS"),"Back to Price List")</f>
        <v>Back to Price List</v>
      </c>
      <c r="B1002" t="s">
        <v>215</v>
      </c>
      <c r="C1002" t="s">
        <v>217</v>
      </c>
      <c r="D1002" s="4"/>
      <c r="E1002" s="4">
        <v>1</v>
      </c>
      <c r="F1002" s="4"/>
      <c r="G1002" s="29" t="str">
        <f>IFERROR(HYPERLINK("#"&amp;ADDRESS(MATCH(B1002&amp;"ES",'LM7 Non-ENG'!$A$1:$A$5000,0),1,,,"LM7 Non-ENG"),IF(IFERROR(VLOOKUP(B1002&amp;"ES",'LM7 Non-ENG'!$A$1:$A$4999,1,FALSE),"ERROR")=B1002&amp;"ES","Y","")),"")</f>
        <v/>
      </c>
      <c r="H1002" s="29" t="str">
        <f>IFERROR(HYPERLINK("#"&amp;ADDRESS(MATCH(B1002&amp;"PT",'LM7 Non-ENG'!$A$1:$A$5000,0),1,,,"LM7 Non-ENG"),IF(IFERROR(VLOOKUP(B1002&amp;"PT",'LM7 Non-ENG'!$A$1:$A$5000,1,FALSE),"ERROR")=B1002&amp;"PT","Y","")),"")</f>
        <v/>
      </c>
      <c r="I1002" t="str">
        <f>IFERROR(VLOOKUP(B1002,PN!$A:$C,3,FALSE),"")</f>
        <v>Active</v>
      </c>
      <c r="J1002" s="3">
        <f>IFERROR(E1002*VLOOKUP(B1002,PLInter!$A:$D,3,FALSE),"")</f>
        <v>35000</v>
      </c>
      <c r="K1002" s="66"/>
      <c r="L1002" s="66"/>
      <c r="M1002" s="66"/>
      <c r="N1002" s="66"/>
      <c r="O1002" s="66"/>
      <c r="P1002" s="66"/>
      <c r="Q1002" s="66"/>
      <c r="R1002" s="66"/>
      <c r="S1002" s="66"/>
    </row>
    <row r="1003" spans="1:19" ht="18" customHeight="1">
      <c r="B1003" t="s">
        <v>230</v>
      </c>
      <c r="C1003" t="s">
        <v>235</v>
      </c>
      <c r="D1003" s="4"/>
      <c r="E1003" s="4">
        <v>1</v>
      </c>
      <c r="F1003" s="4"/>
      <c r="G1003" s="29" t="str">
        <f>IFERROR(HYPERLINK("#"&amp;ADDRESS(MATCH(B1003&amp;"ES",'LM7 Non-ENG'!$A$1:$A$5000,0),1,,,"LM7 Non-ENG"),IF(IFERROR(VLOOKUP(B1003&amp;"ES",'LM7 Non-ENG'!$A$1:$A$4999,1,FALSE),"ERROR")=B1003&amp;"ES","Y","")),"")</f>
        <v/>
      </c>
      <c r="H1003" s="29" t="str">
        <f>IFERROR(HYPERLINK("#"&amp;ADDRESS(MATCH(B1003&amp;"PT",'LM7 Non-ENG'!$A$1:$A$5000,0),1,,,"LM7 Non-ENG"),IF(IFERROR(VLOOKUP(B1003&amp;"PT",'LM7 Non-ENG'!$A$1:$A$5000,1,FALSE),"ERROR")=B1003&amp;"PT","Y","")),"")</f>
        <v/>
      </c>
      <c r="I1003" t="str">
        <f>IFERROR(VLOOKUP(B1003,PN!$A:$C,3,FALSE),"")</f>
        <v>Active</v>
      </c>
      <c r="J1003" s="3">
        <f>IFERROR(E1003*VLOOKUP(B1003,PLInter!$A:$D,3,FALSE),"")</f>
        <v>3200</v>
      </c>
      <c r="K1003" s="66"/>
      <c r="L1003" s="66"/>
      <c r="M1003" s="66"/>
      <c r="N1003" s="66"/>
      <c r="O1003" s="66"/>
      <c r="P1003" s="66"/>
      <c r="Q1003" s="66"/>
      <c r="R1003" s="66"/>
      <c r="S1003" s="66"/>
    </row>
    <row r="1004" spans="1:19" ht="18" customHeight="1">
      <c r="B1004" t="s">
        <v>882</v>
      </c>
      <c r="C1004" t="s">
        <v>897</v>
      </c>
      <c r="D1004" s="4"/>
      <c r="E1004" s="4">
        <v>1</v>
      </c>
      <c r="F1004" s="4"/>
      <c r="G1004" s="29" t="str">
        <f>IFERROR(HYPERLINK("#"&amp;ADDRESS(MATCH(B1004&amp;"ES",'LM7 Non-ENG'!$A$1:$A$5000,0),1,,,"LM7 Non-ENG"),IF(IFERROR(VLOOKUP(B1004&amp;"ES",'LM7 Non-ENG'!$A$1:$A$4999,1,FALSE),"ERROR")=B1004&amp;"ES","Y","")),"")</f>
        <v/>
      </c>
      <c r="H1004" s="29" t="str">
        <f>IFERROR(HYPERLINK("#"&amp;ADDRESS(MATCH(B1004&amp;"PT",'LM7 Non-ENG'!$A$1:$A$5000,0),1,,,"LM7 Non-ENG"),IF(IFERROR(VLOOKUP(B1004&amp;"PT",'LM7 Non-ENG'!$A$1:$A$5000,1,FALSE),"ERROR")=B1004&amp;"PT","Y","")),"")</f>
        <v/>
      </c>
      <c r="I1004" t="str">
        <f>IFERROR(VLOOKUP(B1004,PN!$A:$C,3,FALSE),"")</f>
        <v>Phase Out</v>
      </c>
      <c r="J1004" s="3">
        <f>IFERROR(E1004*VLOOKUP(B1004,PLInter!$A:$D,3,FALSE),"")</f>
        <v>13500</v>
      </c>
      <c r="K1004" s="66"/>
      <c r="L1004" s="66"/>
      <c r="M1004" s="66"/>
      <c r="N1004" s="66"/>
      <c r="O1004" s="66"/>
      <c r="P1004" s="66"/>
      <c r="Q1004" s="66"/>
      <c r="R1004" s="66"/>
      <c r="S1004" s="66"/>
    </row>
    <row r="1005" spans="1:19" ht="18" customHeight="1">
      <c r="B1005" s="2" t="s">
        <v>858</v>
      </c>
      <c r="C1005" s="2" t="s">
        <v>879</v>
      </c>
      <c r="D1005" s="5"/>
      <c r="E1005" s="5">
        <v>1</v>
      </c>
      <c r="F1005" s="5" t="s">
        <v>0</v>
      </c>
      <c r="G1005" s="29" t="str">
        <f>IFERROR(HYPERLINK("#"&amp;ADDRESS(MATCH(B1005&amp;"ES",'LM7 Non-ENG'!$A$1:$A$5000,0),1,,,"LM7 Non-ENG"),IF(IFERROR(VLOOKUP(B1005&amp;"ES",'LM7 Non-ENG'!$A$1:$A$4999,1,FALSE),"ERROR")=B1005&amp;"ES","Y","")),"")</f>
        <v/>
      </c>
      <c r="H1005" s="29" t="str">
        <f>IFERROR(HYPERLINK("#"&amp;ADDRESS(MATCH(B1005&amp;"PT",'LM7 Non-ENG'!$A$1:$A$5000,0),1,,,"LM7 Non-ENG"),IF(IFERROR(VLOOKUP(B1005&amp;"PT",'LM7 Non-ENG'!$A$1:$A$5000,1,FALSE),"ERROR")=B1005&amp;"PT","Y","")),"")</f>
        <v/>
      </c>
      <c r="I1005" t="str">
        <f>IFERROR(VLOOKUP(B1005,PN!$A:$C,3,FALSE),"")</f>
        <v>Active</v>
      </c>
      <c r="J1005" s="3">
        <f>IFERROR(E1005*VLOOKUP(B1005,PLInter!$A:$D,3,FALSE),"")</f>
        <v>15300</v>
      </c>
      <c r="K1005" s="66"/>
      <c r="L1005" s="66"/>
      <c r="M1005" s="66"/>
      <c r="N1005" s="66"/>
      <c r="O1005" s="66"/>
      <c r="P1005" s="66"/>
      <c r="Q1005" s="66"/>
      <c r="R1005" s="66"/>
      <c r="S1005" s="66"/>
    </row>
    <row r="1006" spans="1:19" ht="18" customHeight="1">
      <c r="B1006" s="2" t="s">
        <v>884</v>
      </c>
      <c r="C1006" s="2" t="s">
        <v>885</v>
      </c>
      <c r="D1006" s="5"/>
      <c r="E1006" s="5">
        <v>1</v>
      </c>
      <c r="F1006" s="5" t="s">
        <v>0</v>
      </c>
      <c r="G1006" s="29" t="str">
        <f>IFERROR(HYPERLINK("#"&amp;ADDRESS(MATCH(B1006&amp;"ES",'LM7 Non-ENG'!$A$1:$A$5000,0),1,,,"LM7 Non-ENG"),IF(IFERROR(VLOOKUP(B1006&amp;"ES",'LM7 Non-ENG'!$A$1:$A$4999,1,FALSE),"ERROR")=B1006&amp;"ES","Y","")),"")</f>
        <v/>
      </c>
      <c r="H1006" s="29" t="str">
        <f>IFERROR(HYPERLINK("#"&amp;ADDRESS(MATCH(B1006&amp;"PT",'LM7 Non-ENG'!$A$1:$A$5000,0),1,,,"LM7 Non-ENG"),IF(IFERROR(VLOOKUP(B1006&amp;"PT",'LM7 Non-ENG'!$A$1:$A$5000,1,FALSE),"ERROR")=B1006&amp;"PT","Y","")),"")</f>
        <v/>
      </c>
      <c r="I1006" t="str">
        <f>IFERROR(VLOOKUP(B1006,PN!$A:$C,3,FALSE),"")</f>
        <v>ECO-N2Buy</v>
      </c>
      <c r="J1006" s="3">
        <f>IFERROR(E1006*VLOOKUP(B1006,PLInter!$A:$D,3,FALSE),"")</f>
        <v>18880</v>
      </c>
      <c r="K1006" s="66"/>
      <c r="L1006" s="66"/>
      <c r="M1006" s="66"/>
      <c r="N1006" s="66"/>
      <c r="O1006" s="66"/>
      <c r="P1006" s="66"/>
      <c r="Q1006" s="66"/>
      <c r="R1006" s="66"/>
      <c r="S1006" s="66"/>
    </row>
    <row r="1007" spans="1:19" ht="18" customHeight="1">
      <c r="B1007" s="2" t="s">
        <v>886</v>
      </c>
      <c r="C1007" s="2" t="s">
        <v>887</v>
      </c>
      <c r="D1007" s="5"/>
      <c r="E1007" s="5">
        <v>1</v>
      </c>
      <c r="F1007" s="5" t="s">
        <v>0</v>
      </c>
      <c r="G1007" s="29" t="str">
        <f>IFERROR(HYPERLINK("#"&amp;ADDRESS(MATCH(B1007&amp;"ES",'LM7 Non-ENG'!$A$1:$A$5000,0),1,,,"LM7 Non-ENG"),IF(IFERROR(VLOOKUP(B1007&amp;"ES",'LM7 Non-ENG'!$A$1:$A$4999,1,FALSE),"ERROR")=B1007&amp;"ES","Y","")),"")</f>
        <v/>
      </c>
      <c r="H1007" s="29" t="str">
        <f>IFERROR(HYPERLINK("#"&amp;ADDRESS(MATCH(B1007&amp;"PT",'LM7 Non-ENG'!$A$1:$A$5000,0),1,,,"LM7 Non-ENG"),IF(IFERROR(VLOOKUP(B1007&amp;"PT",'LM7 Non-ENG'!$A$1:$A$5000,1,FALSE),"ERROR")=B1007&amp;"PT","Y","")),"")</f>
        <v/>
      </c>
      <c r="I1007" t="str">
        <f>IFERROR(VLOOKUP(B1007,PN!$A:$C,3,FALSE),"")</f>
        <v>ECO-N2Buy</v>
      </c>
      <c r="J1007" s="3">
        <f>IFERROR(E1007*VLOOKUP(B1007,PLInter!$A:$D,3,FALSE),"")</f>
        <v>20000</v>
      </c>
      <c r="K1007" s="66"/>
      <c r="L1007" s="66"/>
      <c r="M1007" s="66"/>
      <c r="N1007" s="66"/>
      <c r="O1007" s="66"/>
      <c r="P1007" s="66"/>
      <c r="Q1007" s="66"/>
      <c r="R1007" s="66"/>
      <c r="S1007" s="66"/>
    </row>
    <row r="1008" spans="1:19" ht="18" customHeight="1">
      <c r="B1008" s="2" t="s">
        <v>870</v>
      </c>
      <c r="C1008" s="2" t="s">
        <v>871</v>
      </c>
      <c r="D1008" s="5"/>
      <c r="E1008" s="5">
        <v>1</v>
      </c>
      <c r="F1008" s="5" t="s">
        <v>0</v>
      </c>
      <c r="G1008" s="29" t="str">
        <f>IFERROR(HYPERLINK("#"&amp;ADDRESS(MATCH(B1008&amp;"ES",'LM7 Non-ENG'!$A$1:$A$5000,0),1,,,"LM7 Non-ENG"),IF(IFERROR(VLOOKUP(B1008&amp;"ES",'LM7 Non-ENG'!$A$1:$A$4999,1,FALSE),"ERROR")=B1008&amp;"ES","Y","")),"")</f>
        <v/>
      </c>
      <c r="H1008" s="29" t="str">
        <f>IFERROR(HYPERLINK("#"&amp;ADDRESS(MATCH(B1008&amp;"PT",'LM7 Non-ENG'!$A$1:$A$5000,0),1,,,"LM7 Non-ENG"),IF(IFERROR(VLOOKUP(B1008&amp;"PT",'LM7 Non-ENG'!$A$1:$A$5000,1,FALSE),"ERROR")=B1008&amp;"PT","Y","")),"")</f>
        <v/>
      </c>
      <c r="I1008" t="str">
        <f>IFERROR(VLOOKUP(B1008,PN!$A:$C,3,FALSE),"")</f>
        <v>ECO-N2Buy</v>
      </c>
      <c r="J1008" s="3">
        <f>IFERROR(E1008*VLOOKUP(B1008,PLInter!$A:$D,3,FALSE),"")</f>
        <v>45000</v>
      </c>
      <c r="K1008" s="66"/>
      <c r="L1008" s="66"/>
      <c r="M1008" s="66"/>
      <c r="N1008" s="66"/>
      <c r="O1008" s="66"/>
      <c r="P1008" s="66"/>
      <c r="Q1008" s="66"/>
      <c r="R1008" s="66"/>
      <c r="S1008" s="66"/>
    </row>
    <row r="1009" spans="2:19" ht="18" customHeight="1">
      <c r="B1009" t="str">
        <f>"021152"</f>
        <v>021152</v>
      </c>
      <c r="C1009" s="41" t="s">
        <v>679</v>
      </c>
      <c r="D1009" s="4"/>
      <c r="E1009" s="4">
        <v>1</v>
      </c>
      <c r="F1009" s="4"/>
      <c r="G1009" s="29" t="str">
        <f>IFERROR(HYPERLINK("#"&amp;ADDRESS(MATCH(B1009&amp;"ES",'LM7 Non-ENG'!$A$1:$A$5000,0),1,,,"LM7 Non-ENG"),IF(IFERROR(VLOOKUP(B1009&amp;"ES",'LM7 Non-ENG'!$A$1:$A$4999,1,FALSE),"ERROR")=B1009&amp;"ES","Y","")),"")</f>
        <v/>
      </c>
      <c r="H1009" s="29" t="str">
        <f>IFERROR(HYPERLINK("#"&amp;ADDRESS(MATCH(B1009&amp;"PT",'LM7 Non-ENG'!$A$1:$A$5000,0),1,,,"LM7 Non-ENG"),IF(IFERROR(VLOOKUP(B1009&amp;"PT",'LM7 Non-ENG'!$A$1:$A$5000,1,FALSE),"ERROR")=B1009&amp;"PT","Y","")),"")</f>
        <v/>
      </c>
      <c r="I1009" t="str">
        <f>IFERROR(VLOOKUP(B1009,PN!$A:$C,3,FALSE),"")</f>
        <v>Active</v>
      </c>
      <c r="J1009" s="3">
        <f>IFERROR(E1009*VLOOKUP(B1009,PLInter!$A:$D,3,FALSE),"")</f>
        <v>240</v>
      </c>
      <c r="K1009" s="66"/>
      <c r="L1009" s="66"/>
      <c r="M1009" s="66"/>
      <c r="N1009" s="66"/>
      <c r="O1009" s="66"/>
      <c r="P1009" s="66"/>
      <c r="Q1009" s="66"/>
      <c r="R1009" s="66"/>
      <c r="S1009" s="66"/>
    </row>
    <row r="1010" spans="2:19" ht="18" customHeight="1">
      <c r="B1010" t="s">
        <v>680</v>
      </c>
      <c r="C1010" t="s">
        <v>681</v>
      </c>
      <c r="D1010" s="4"/>
      <c r="E1010" s="4">
        <v>1</v>
      </c>
      <c r="F1010" s="4"/>
      <c r="G1010" s="29" t="str">
        <f>IFERROR(HYPERLINK("#"&amp;ADDRESS(MATCH(B1010&amp;"ES",'LM7 Non-ENG'!$A$1:$A$5000,0),1,,,"LM7 Non-ENG"),IF(IFERROR(VLOOKUP(B1010&amp;"ES",'LM7 Non-ENG'!$A$1:$A$4999,1,FALSE),"ERROR")=B1010&amp;"ES","Y","")),"")</f>
        <v/>
      </c>
      <c r="H1010" s="29" t="str">
        <f>IFERROR(HYPERLINK("#"&amp;ADDRESS(MATCH(B1010&amp;"PT",'LM7 Non-ENG'!$A$1:$A$5000,0),1,,,"LM7 Non-ENG"),IF(IFERROR(VLOOKUP(B1010&amp;"PT",'LM7 Non-ENG'!$A$1:$A$5000,1,FALSE),"ERROR")=B1010&amp;"PT","Y","")),"")</f>
        <v/>
      </c>
      <c r="I1010" t="str">
        <f>IFERROR(VLOOKUP(B1010,PN!$A:$C,3,FALSE),"")</f>
        <v>Active</v>
      </c>
      <c r="J1010" s="3">
        <f>IFERROR(E1010*VLOOKUP(B1010,PLInter!$A:$D,3,FALSE),"")</f>
        <v>1440</v>
      </c>
      <c r="K1010" s="66"/>
      <c r="L1010" s="66"/>
      <c r="M1010" s="66"/>
      <c r="N1010" s="66"/>
      <c r="O1010" s="66"/>
      <c r="P1010" s="66"/>
      <c r="Q1010" s="66"/>
      <c r="R1010" s="66"/>
      <c r="S1010" s="66"/>
    </row>
    <row r="1011" spans="2:19" ht="18" customHeight="1">
      <c r="B1011" t="s">
        <v>684</v>
      </c>
      <c r="C1011" t="s">
        <v>685</v>
      </c>
      <c r="D1011" s="4"/>
      <c r="E1011" s="4">
        <v>1</v>
      </c>
      <c r="F1011" s="4"/>
      <c r="G1011" s="29" t="str">
        <f>IFERROR(HYPERLINK("#"&amp;ADDRESS(MATCH(B1011&amp;"ES",'LM7 Non-ENG'!$A$1:$A$5000,0),1,,,"LM7 Non-ENG"),IF(IFERROR(VLOOKUP(B1011&amp;"ES",'LM7 Non-ENG'!$A$1:$A$4999,1,FALSE),"ERROR")=B1011&amp;"ES","Y","")),"")</f>
        <v/>
      </c>
      <c r="H1011" s="29" t="str">
        <f>IFERROR(HYPERLINK("#"&amp;ADDRESS(MATCH(B1011&amp;"PT",'LM7 Non-ENG'!$A$1:$A$5000,0),1,,,"LM7 Non-ENG"),IF(IFERROR(VLOOKUP(B1011&amp;"PT",'LM7 Non-ENG'!$A$1:$A$5000,1,FALSE),"ERROR")=B1011&amp;"PT","Y","")),"")</f>
        <v/>
      </c>
      <c r="I1011" t="str">
        <f>IFERROR(VLOOKUP(B1011,PN!$A:$C,3,FALSE),"")</f>
        <v>Active</v>
      </c>
      <c r="J1011" s="3">
        <f>IFERROR(E1011*VLOOKUP(B1011,PLInter!$A:$D,3,FALSE),"")</f>
        <v>580</v>
      </c>
      <c r="K1011" s="66"/>
      <c r="L1011" s="66"/>
      <c r="M1011" s="66"/>
      <c r="N1011" s="66"/>
      <c r="O1011" s="66"/>
      <c r="P1011" s="66"/>
      <c r="Q1011" s="66"/>
      <c r="R1011" s="66"/>
      <c r="S1011" s="66"/>
    </row>
    <row r="1012" spans="2:19" ht="18" customHeight="1">
      <c r="B1012" t="str">
        <f>"021182"</f>
        <v>021182</v>
      </c>
      <c r="C1012" t="s">
        <v>686</v>
      </c>
      <c r="D1012" s="4"/>
      <c r="E1012" s="4">
        <v>1</v>
      </c>
      <c r="F1012" s="4"/>
      <c r="G1012" s="29" t="str">
        <f>IFERROR(HYPERLINK("#"&amp;ADDRESS(MATCH(B1012&amp;"ES",'LM7 Non-ENG'!$A$1:$A$5000,0),1,,,"LM7 Non-ENG"),IF(IFERROR(VLOOKUP(B1012&amp;"ES",'LM7 Non-ENG'!$A$1:$A$4999,1,FALSE),"ERROR")=B1012&amp;"ES","Y","")),"")</f>
        <v/>
      </c>
      <c r="H1012" s="29" t="str">
        <f>IFERROR(HYPERLINK("#"&amp;ADDRESS(MATCH(B1012&amp;"PT",'LM7 Non-ENG'!$A$1:$A$5000,0),1,,,"LM7 Non-ENG"),IF(IFERROR(VLOOKUP(B1012&amp;"PT",'LM7 Non-ENG'!$A$1:$A$5000,1,FALSE),"ERROR")=B1012&amp;"PT","Y","")),"")</f>
        <v/>
      </c>
      <c r="I1012" t="str">
        <f>IFERROR(VLOOKUP(B1012,PN!$A:$C,3,FALSE),"")</f>
        <v>Active</v>
      </c>
      <c r="J1012" s="3">
        <f>IFERROR(E1012*VLOOKUP(B1012,PLInter!$A:$D,3,FALSE),"")</f>
        <v>16</v>
      </c>
      <c r="K1012" s="66"/>
      <c r="L1012" s="66"/>
      <c r="M1012" s="66"/>
      <c r="N1012" s="66"/>
      <c r="O1012" s="66"/>
      <c r="P1012" s="66"/>
      <c r="Q1012" s="66"/>
      <c r="R1012" s="66"/>
      <c r="S1012" s="66"/>
    </row>
    <row r="1013" spans="2:19" ht="18" customHeight="1">
      <c r="B1013" t="s">
        <v>708</v>
      </c>
      <c r="C1013" t="s">
        <v>709</v>
      </c>
      <c r="D1013" s="4"/>
      <c r="E1013" s="4">
        <v>1</v>
      </c>
      <c r="F1013" s="4"/>
      <c r="G1013" s="29" t="str">
        <f>IFERROR(HYPERLINK("#"&amp;ADDRESS(MATCH(B1013&amp;"ES",'LM7 Non-ENG'!$A$1:$A$5000,0),1,,,"LM7 Non-ENG"),IF(IFERROR(VLOOKUP(B1013&amp;"ES",'LM7 Non-ENG'!$A$1:$A$4999,1,FALSE),"ERROR")=B1013&amp;"ES","Y","")),"")</f>
        <v/>
      </c>
      <c r="H1013" s="29" t="str">
        <f>IFERROR(HYPERLINK("#"&amp;ADDRESS(MATCH(B1013&amp;"PT",'LM7 Non-ENG'!$A$1:$A$5000,0),1,,,"LM7 Non-ENG"),IF(IFERROR(VLOOKUP(B1013&amp;"PT",'LM7 Non-ENG'!$A$1:$A$5000,1,FALSE),"ERROR")=B1013&amp;"PT","Y","")),"")</f>
        <v/>
      </c>
      <c r="I1013" t="str">
        <f>IFERROR(VLOOKUP(B1013,PN!$A:$C,3,FALSE),"")</f>
        <v>Active</v>
      </c>
      <c r="J1013" s="3">
        <f>IFERROR(E1013*VLOOKUP(B1013,PLInter!$A:$D,3,FALSE),"")</f>
        <v>667</v>
      </c>
      <c r="K1013" s="66"/>
      <c r="L1013" s="66"/>
      <c r="M1013" s="66"/>
      <c r="N1013" s="66"/>
      <c r="O1013" s="66"/>
      <c r="P1013" s="66"/>
      <c r="Q1013" s="66"/>
      <c r="R1013" s="66"/>
      <c r="S1013" s="66"/>
    </row>
    <row r="1014" spans="2:19" ht="18" customHeight="1">
      <c r="B1014" t="s">
        <v>451</v>
      </c>
      <c r="C1014" t="s">
        <v>710</v>
      </c>
      <c r="D1014" s="4"/>
      <c r="E1014" s="4">
        <v>1</v>
      </c>
      <c r="F1014" s="4"/>
      <c r="G1014" s="29" t="str">
        <f>IFERROR(HYPERLINK("#"&amp;ADDRESS(MATCH(B1014&amp;"ES",'LM7 Non-ENG'!$A$1:$A$5000,0),1,,,"LM7 Non-ENG"),IF(IFERROR(VLOOKUP(B1014&amp;"ES",'LM7 Non-ENG'!$A$1:$A$4999,1,FALSE),"ERROR")=B1014&amp;"ES","Y","")),"")</f>
        <v/>
      </c>
      <c r="H1014" s="29" t="str">
        <f>IFERROR(HYPERLINK("#"&amp;ADDRESS(MATCH(B1014&amp;"PT",'LM7 Non-ENG'!$A$1:$A$5000,0),1,,,"LM7 Non-ENG"),IF(IFERROR(VLOOKUP(B1014&amp;"PT",'LM7 Non-ENG'!$A$1:$A$5000,1,FALSE),"ERROR")=B1014&amp;"PT","Y","")),"")</f>
        <v/>
      </c>
      <c r="I1014" t="str">
        <f>IFERROR(VLOOKUP(B1014,PN!$A:$C,3,FALSE),"")</f>
        <v>Active</v>
      </c>
      <c r="J1014" s="3">
        <f>IFERROR(E1014*VLOOKUP(B1014,PLInter!$A:$D,3,FALSE),"")</f>
        <v>14934</v>
      </c>
      <c r="K1014" s="66"/>
      <c r="L1014" s="66"/>
      <c r="M1014" s="66"/>
      <c r="N1014" s="66"/>
      <c r="O1014" s="66"/>
      <c r="P1014" s="66"/>
      <c r="Q1014" s="66"/>
      <c r="R1014" s="66"/>
      <c r="S1014" s="66"/>
    </row>
    <row r="1015" spans="2:19" ht="18" customHeight="1">
      <c r="B1015" s="2" t="s">
        <v>450</v>
      </c>
      <c r="C1015" s="2" t="s">
        <v>458</v>
      </c>
      <c r="D1015" s="5"/>
      <c r="E1015" s="5">
        <v>1</v>
      </c>
      <c r="F1015" s="5" t="s">
        <v>0</v>
      </c>
      <c r="G1015" s="29" t="str">
        <f>IFERROR(HYPERLINK("#"&amp;ADDRESS(MATCH(B1015&amp;"ES",'LM7 Non-ENG'!$A$1:$A$5000,0),1,,,"LM7 Non-ENG"),IF(IFERROR(VLOOKUP(B1015&amp;"ES",'LM7 Non-ENG'!$A$1:$A$4999,1,FALSE),"ERROR")=B1015&amp;"ES","Y","")),"")</f>
        <v/>
      </c>
      <c r="H1015" s="29" t="str">
        <f>IFERROR(HYPERLINK("#"&amp;ADDRESS(MATCH(B1015&amp;"PT",'LM7 Non-ENG'!$A$1:$A$5000,0),1,,,"LM7 Non-ENG"),IF(IFERROR(VLOOKUP(B1015&amp;"PT",'LM7 Non-ENG'!$A$1:$A$5000,1,FALSE),"ERROR")=B1015&amp;"PT","Y","")),"")</f>
        <v/>
      </c>
      <c r="I1015" t="str">
        <f>IFERROR(VLOOKUP(B1015,PN!$A:$C,3,FALSE),"")</f>
        <v>Active</v>
      </c>
      <c r="J1015" s="3">
        <f>IFERROR(E1015*VLOOKUP(B1015,PLInter!$A:$D,3,FALSE),"")</f>
        <v>14934</v>
      </c>
      <c r="K1015" s="66"/>
      <c r="L1015" s="66"/>
      <c r="M1015" s="66"/>
      <c r="N1015" s="66"/>
      <c r="O1015" s="66"/>
      <c r="P1015" s="66"/>
      <c r="Q1015" s="66"/>
      <c r="R1015" s="66"/>
      <c r="S1015" s="66"/>
    </row>
    <row r="1016" spans="2:19" ht="18" customHeight="1">
      <c r="B1016" s="1" t="s">
        <v>813</v>
      </c>
      <c r="C1016" s="1" t="s">
        <v>814</v>
      </c>
      <c r="D1016" s="6" t="s">
        <v>0</v>
      </c>
      <c r="E1016" s="6">
        <v>1</v>
      </c>
      <c r="F1016" s="6"/>
      <c r="G1016" s="29" t="str">
        <f>IFERROR(HYPERLINK("#"&amp;ADDRESS(MATCH(B1016&amp;"ES",'LM7 Non-ENG'!$A$1:$A$5000,0),1,,,"LM7 Non-ENG"),IF(IFERROR(VLOOKUP(B1016&amp;"ES",'LM7 Non-ENG'!$A$1:$A$4999,1,FALSE),"ERROR")=B1016&amp;"ES","Y","")),"")</f>
        <v/>
      </c>
      <c r="H1016" s="29" t="str">
        <f>IFERROR(HYPERLINK("#"&amp;ADDRESS(MATCH(B1016&amp;"PT",'LM7 Non-ENG'!$A$1:$A$5000,0),1,,,"LM7 Non-ENG"),IF(IFERROR(VLOOKUP(B1016&amp;"PT",'LM7 Non-ENG'!$A$1:$A$5000,1,FALSE),"ERROR")=B1016&amp;"PT","Y","")),"")</f>
        <v/>
      </c>
      <c r="I1016" t="str">
        <f>IFERROR(VLOOKUP(B1016,PN!$A:$C,3,FALSE),"")</f>
        <v>Active</v>
      </c>
      <c r="J1016" s="3" t="str">
        <f>IFERROR(E1016*VLOOKUP(B1016,PLInter!$A:$D,3,FALSE),"")</f>
        <v/>
      </c>
      <c r="K1016" s="66"/>
      <c r="L1016" s="66"/>
      <c r="M1016" s="66"/>
      <c r="N1016" s="66"/>
      <c r="O1016" s="66"/>
      <c r="P1016" s="66"/>
      <c r="Q1016" s="66"/>
      <c r="R1016" s="66"/>
      <c r="S1016" s="66"/>
    </row>
    <row r="1017" spans="2:19" ht="18" customHeight="1">
      <c r="B1017" t="s">
        <v>513</v>
      </c>
      <c r="C1017" t="s">
        <v>711</v>
      </c>
      <c r="D1017" s="4"/>
      <c r="E1017" s="4">
        <v>1</v>
      </c>
      <c r="F1017" s="4"/>
      <c r="G1017" s="29" t="str">
        <f>IFERROR(HYPERLINK("#"&amp;ADDRESS(MATCH(B1017&amp;"ES",'LM7 Non-ENG'!$A$1:$A$5000,0),1,,,"LM7 Non-ENG"),IF(IFERROR(VLOOKUP(B1017&amp;"ES",'LM7 Non-ENG'!$A$1:$A$4999,1,FALSE),"ERROR")=B1017&amp;"ES","Y","")),"")</f>
        <v/>
      </c>
      <c r="H1017" s="29" t="str">
        <f>IFERROR(HYPERLINK("#"&amp;ADDRESS(MATCH(B1017&amp;"PT",'LM7 Non-ENG'!$A$1:$A$5000,0),1,,,"LM7 Non-ENG"),IF(IFERROR(VLOOKUP(B1017&amp;"PT",'LM7 Non-ENG'!$A$1:$A$5000,1,FALSE),"ERROR")=B1017&amp;"PT","Y","")),"")</f>
        <v/>
      </c>
      <c r="I1017" t="str">
        <f>IFERROR(VLOOKUP(B1017,PN!$A:$C,3,FALSE),"")</f>
        <v>Active</v>
      </c>
      <c r="J1017" s="3">
        <f>IFERROR(E1017*VLOOKUP(B1017,PLInter!$A:$D,3,FALSE),"")</f>
        <v>740</v>
      </c>
      <c r="K1017" s="66"/>
      <c r="L1017" s="66"/>
      <c r="M1017" s="66"/>
      <c r="N1017" s="66"/>
      <c r="O1017" s="66"/>
      <c r="P1017" s="66"/>
      <c r="Q1017" s="66"/>
      <c r="R1017" s="66"/>
      <c r="S1017" s="66"/>
    </row>
    <row r="1018" spans="2:19" ht="18" customHeight="1">
      <c r="B1018" t="s">
        <v>477</v>
      </c>
      <c r="C1018" t="s">
        <v>712</v>
      </c>
      <c r="D1018" s="4"/>
      <c r="E1018" s="4">
        <v>1</v>
      </c>
      <c r="F1018" s="4"/>
      <c r="G1018" s="29" t="str">
        <f>IFERROR(HYPERLINK("#"&amp;ADDRESS(MATCH(B1018&amp;"ES",'LM7 Non-ENG'!$A$1:$A$5000,0),1,,,"LM7 Non-ENG"),IF(IFERROR(VLOOKUP(B1018&amp;"ES",'LM7 Non-ENG'!$A$1:$A$4999,1,FALSE),"ERROR")=B1018&amp;"ES","Y","")),"")</f>
        <v/>
      </c>
      <c r="H1018" s="29" t="str">
        <f>IFERROR(HYPERLINK("#"&amp;ADDRESS(MATCH(B1018&amp;"PT",'LM7 Non-ENG'!$A$1:$A$5000,0),1,,,"LM7 Non-ENG"),IF(IFERROR(VLOOKUP(B1018&amp;"PT",'LM7 Non-ENG'!$A$1:$A$5000,1,FALSE),"ERROR")=B1018&amp;"PT","Y","")),"")</f>
        <v/>
      </c>
      <c r="I1018" t="str">
        <f>IFERROR(VLOOKUP(B1018,PN!$A:$C,3,FALSE),"")</f>
        <v>Active</v>
      </c>
      <c r="J1018" s="3">
        <f>IFERROR(E1018*VLOOKUP(B1018,PLInter!$A:$D,3,FALSE),"")</f>
        <v>2188</v>
      </c>
      <c r="K1018" s="66"/>
      <c r="L1018" s="66"/>
      <c r="M1018" s="66"/>
      <c r="N1018" s="66"/>
      <c r="O1018" s="66"/>
      <c r="P1018" s="66"/>
      <c r="Q1018" s="66"/>
      <c r="R1018" s="66"/>
      <c r="S1018" s="66"/>
    </row>
    <row r="1019" spans="2:19" ht="18" customHeight="1">
      <c r="B1019" t="s">
        <v>470</v>
      </c>
      <c r="C1019" t="s">
        <v>713</v>
      </c>
      <c r="D1019" s="4"/>
      <c r="E1019" s="4">
        <v>1</v>
      </c>
      <c r="F1019" s="4"/>
      <c r="G1019" s="29" t="str">
        <f>IFERROR(HYPERLINK("#"&amp;ADDRESS(MATCH(B1019&amp;"ES",'LM7 Non-ENG'!$A$1:$A$5000,0),1,,,"LM7 Non-ENG"),IF(IFERROR(VLOOKUP(B1019&amp;"ES",'LM7 Non-ENG'!$A$1:$A$4999,1,FALSE),"ERROR")=B1019&amp;"ES","Y","")),"")</f>
        <v/>
      </c>
      <c r="H1019" s="29" t="str">
        <f>IFERROR(HYPERLINK("#"&amp;ADDRESS(MATCH(B1019&amp;"PT",'LM7 Non-ENG'!$A$1:$A$5000,0),1,,,"LM7 Non-ENG"),IF(IFERROR(VLOOKUP(B1019&amp;"PT",'LM7 Non-ENG'!$A$1:$A$5000,1,FALSE),"ERROR")=B1019&amp;"PT","Y","")),"")</f>
        <v/>
      </c>
      <c r="I1019" t="str">
        <f>IFERROR(VLOOKUP(B1019,PN!$A:$C,3,FALSE),"")</f>
        <v>Active</v>
      </c>
      <c r="J1019" s="3">
        <f>IFERROR(E1019*VLOOKUP(B1019,PLInter!$A:$D,3,FALSE),"")</f>
        <v>207</v>
      </c>
      <c r="K1019" s="66"/>
      <c r="L1019" s="66"/>
      <c r="M1019" s="66"/>
      <c r="N1019" s="66"/>
      <c r="O1019" s="66"/>
      <c r="P1019" s="66"/>
      <c r="Q1019" s="66"/>
      <c r="R1019" s="66"/>
      <c r="S1019" s="66"/>
    </row>
    <row r="1020" spans="2:19" ht="18" customHeight="1">
      <c r="B1020" t="s">
        <v>473</v>
      </c>
      <c r="C1020" t="s">
        <v>714</v>
      </c>
      <c r="D1020" s="4"/>
      <c r="E1020" s="4">
        <v>1</v>
      </c>
      <c r="F1020" s="4"/>
      <c r="G1020" s="29" t="str">
        <f>IFERROR(HYPERLINK("#"&amp;ADDRESS(MATCH(B1020&amp;"ES",'LM7 Non-ENG'!$A$1:$A$5000,0),1,,,"LM7 Non-ENG"),IF(IFERROR(VLOOKUP(B1020&amp;"ES",'LM7 Non-ENG'!$A$1:$A$4999,1,FALSE),"ERROR")=B1020&amp;"ES","Y","")),"")</f>
        <v/>
      </c>
      <c r="H1020" s="29" t="str">
        <f>IFERROR(HYPERLINK("#"&amp;ADDRESS(MATCH(B1020&amp;"PT",'LM7 Non-ENG'!$A$1:$A$5000,0),1,,,"LM7 Non-ENG"),IF(IFERROR(VLOOKUP(B1020&amp;"PT",'LM7 Non-ENG'!$A$1:$A$5000,1,FALSE),"ERROR")=B1020&amp;"PT","Y","")),"")</f>
        <v/>
      </c>
      <c r="I1020" t="str">
        <f>IFERROR(VLOOKUP(B1020,PN!$A:$C,3,FALSE),"")</f>
        <v>Active</v>
      </c>
      <c r="J1020" s="3">
        <f>IFERROR(E1020*VLOOKUP(B1020,PLInter!$A:$D,3,FALSE),"")</f>
        <v>200</v>
      </c>
      <c r="K1020" s="66"/>
      <c r="L1020" s="66"/>
      <c r="M1020" s="66"/>
      <c r="N1020" s="66"/>
      <c r="O1020" s="66"/>
      <c r="P1020" s="66"/>
      <c r="Q1020" s="66"/>
      <c r="R1020" s="66"/>
      <c r="S1020" s="66"/>
    </row>
    <row r="1021" spans="2:19" ht="18" customHeight="1">
      <c r="B1021" s="2" t="s">
        <v>472</v>
      </c>
      <c r="C1021" s="2" t="s">
        <v>715</v>
      </c>
      <c r="D1021" s="5"/>
      <c r="E1021" s="5">
        <v>1</v>
      </c>
      <c r="F1021" s="5" t="s">
        <v>0</v>
      </c>
      <c r="G1021" s="29" t="str">
        <f>IFERROR(HYPERLINK("#"&amp;ADDRESS(MATCH(B1021&amp;"ES",'LM7 Non-ENG'!$A$1:$A$5000,0),1,,,"LM7 Non-ENG"),IF(IFERROR(VLOOKUP(B1021&amp;"ES",'LM7 Non-ENG'!$A$1:$A$4999,1,FALSE),"ERROR")=B1021&amp;"ES","Y","")),"")</f>
        <v/>
      </c>
      <c r="H1021" s="29" t="str">
        <f>IFERROR(HYPERLINK("#"&amp;ADDRESS(MATCH(B1021&amp;"PT",'LM7 Non-ENG'!$A$1:$A$5000,0),1,,,"LM7 Non-ENG"),IF(IFERROR(VLOOKUP(B1021&amp;"PT",'LM7 Non-ENG'!$A$1:$A$5000,1,FALSE),"ERROR")=B1021&amp;"PT","Y","")),"")</f>
        <v/>
      </c>
      <c r="I1021" t="str">
        <f>IFERROR(VLOOKUP(B1021,PN!$A:$C,3,FALSE),"")</f>
        <v>Active</v>
      </c>
      <c r="J1021" s="3">
        <f>IFERROR(E1021*VLOOKUP(B1021,PLInter!$A:$D,3,FALSE),"")</f>
        <v>200</v>
      </c>
      <c r="K1021" s="66"/>
      <c r="L1021" s="66"/>
      <c r="M1021" s="66"/>
      <c r="N1021" s="66"/>
      <c r="O1021" s="66"/>
      <c r="P1021" s="66"/>
      <c r="Q1021" s="66"/>
      <c r="R1021" s="66"/>
      <c r="S1021" s="66"/>
    </row>
    <row r="1022" spans="2:19" ht="18" customHeight="1">
      <c r="B1022" t="s">
        <v>478</v>
      </c>
      <c r="C1022" t="s">
        <v>716</v>
      </c>
      <c r="D1022" s="4"/>
      <c r="E1022" s="4">
        <v>1</v>
      </c>
      <c r="F1022" s="4"/>
      <c r="G1022" s="29" t="str">
        <f>IFERROR(HYPERLINK("#"&amp;ADDRESS(MATCH(B1022&amp;"ES",'LM7 Non-ENG'!$A$1:$A$5000,0),1,,,"LM7 Non-ENG"),IF(IFERROR(VLOOKUP(B1022&amp;"ES",'LM7 Non-ENG'!$A$1:$A$4999,1,FALSE),"ERROR")=B1022&amp;"ES","Y","")),"")</f>
        <v/>
      </c>
      <c r="H1022" s="29" t="str">
        <f>IFERROR(HYPERLINK("#"&amp;ADDRESS(MATCH(B1022&amp;"PT",'LM7 Non-ENG'!$A$1:$A$5000,0),1,,,"LM7 Non-ENG"),IF(IFERROR(VLOOKUP(B1022&amp;"PT",'LM7 Non-ENG'!$A$1:$A$5000,1,FALSE),"ERROR")=B1022&amp;"PT","Y","")),"")</f>
        <v/>
      </c>
      <c r="I1022" t="str">
        <f>IFERROR(VLOOKUP(B1022,PN!$A:$C,3,FALSE),"")</f>
        <v>Active</v>
      </c>
      <c r="J1022" s="3">
        <f>IFERROR(E1022*VLOOKUP(B1022,PLInter!$A:$D,3,FALSE),"")</f>
        <v>795</v>
      </c>
      <c r="K1022" s="66"/>
      <c r="L1022" s="66"/>
      <c r="M1022" s="66"/>
      <c r="N1022" s="66"/>
      <c r="O1022" s="66"/>
      <c r="P1022" s="66"/>
      <c r="Q1022" s="66"/>
      <c r="R1022" s="66"/>
      <c r="S1022" s="66"/>
    </row>
    <row r="1023" spans="2:19" ht="18" customHeight="1">
      <c r="B1023" s="1" t="s">
        <v>468</v>
      </c>
      <c r="C1023" s="1" t="s">
        <v>717</v>
      </c>
      <c r="D1023" s="6" t="s">
        <v>0</v>
      </c>
      <c r="E1023" s="6">
        <v>1</v>
      </c>
      <c r="F1023" s="6"/>
      <c r="G1023" s="29" t="str">
        <f>IFERROR(HYPERLINK("#"&amp;ADDRESS(MATCH(B1023&amp;"ES",'LM7 Non-ENG'!$A$1:$A$5000,0),1,,,"LM7 Non-ENG"),IF(IFERROR(VLOOKUP(B1023&amp;"ES",'LM7 Non-ENG'!$A$1:$A$4999,1,FALSE),"ERROR")=B1023&amp;"ES","Y","")),"")</f>
        <v/>
      </c>
      <c r="H1023" s="29" t="str">
        <f>IFERROR(HYPERLINK("#"&amp;ADDRESS(MATCH(B1023&amp;"PT",'LM7 Non-ENG'!$A$1:$A$5000,0),1,,,"LM7 Non-ENG"),IF(IFERROR(VLOOKUP(B1023&amp;"PT",'LM7 Non-ENG'!$A$1:$A$5000,1,FALSE),"ERROR")=B1023&amp;"PT","Y","")),"")</f>
        <v/>
      </c>
      <c r="I1023" t="str">
        <f>IFERROR(VLOOKUP(B1023,PN!$A:$C,3,FALSE),"")</f>
        <v>Active</v>
      </c>
      <c r="J1023" s="3">
        <f>IFERROR(E1023*VLOOKUP(B1023,PLInter!$A:$D,3,FALSE),"")</f>
        <v>206</v>
      </c>
      <c r="K1023" s="66"/>
      <c r="L1023" s="66"/>
      <c r="M1023" s="66"/>
      <c r="N1023" s="66"/>
      <c r="O1023" s="66"/>
      <c r="P1023" s="66"/>
      <c r="Q1023" s="66"/>
      <c r="R1023" s="66"/>
      <c r="S1023" s="66"/>
    </row>
    <row r="1024" spans="2:19" ht="18" customHeight="1">
      <c r="B1024" s="1" t="s">
        <v>474</v>
      </c>
      <c r="C1024" s="1" t="s">
        <v>718</v>
      </c>
      <c r="D1024" s="6" t="s">
        <v>0</v>
      </c>
      <c r="E1024" s="6">
        <v>1</v>
      </c>
      <c r="F1024" s="6"/>
      <c r="G1024" s="29" t="str">
        <f>IFERROR(HYPERLINK("#"&amp;ADDRESS(MATCH(B1024&amp;"ES",'LM7 Non-ENG'!$A$1:$A$5000,0),1,,,"LM7 Non-ENG"),IF(IFERROR(VLOOKUP(B1024&amp;"ES",'LM7 Non-ENG'!$A$1:$A$4999,1,FALSE),"ERROR")=B1024&amp;"ES","Y","")),"")</f>
        <v/>
      </c>
      <c r="H1024" s="29" t="str">
        <f>IFERROR(HYPERLINK("#"&amp;ADDRESS(MATCH(B1024&amp;"PT",'LM7 Non-ENG'!$A$1:$A$5000,0),1,,,"LM7 Non-ENG"),IF(IFERROR(VLOOKUP(B1024&amp;"PT",'LM7 Non-ENG'!$A$1:$A$5000,1,FALSE),"ERROR")=B1024&amp;"PT","Y","")),"")</f>
        <v/>
      </c>
      <c r="I1024" t="str">
        <f>IFERROR(VLOOKUP(B1024,PN!$A:$C,3,FALSE),"")</f>
        <v>Active</v>
      </c>
      <c r="J1024" s="3">
        <f>IFERROR(E1024*VLOOKUP(B1024,PLInter!$A:$D,3,FALSE),"")</f>
        <v>175</v>
      </c>
      <c r="K1024" s="66"/>
      <c r="L1024" s="66"/>
      <c r="M1024" s="66"/>
      <c r="N1024" s="66"/>
      <c r="O1024" s="66"/>
      <c r="P1024" s="66"/>
      <c r="Q1024" s="66"/>
      <c r="R1024" s="66"/>
      <c r="S1024" s="66"/>
    </row>
    <row r="1025" spans="1:19" ht="18" customHeight="1">
      <c r="B1025" s="1" t="s">
        <v>719</v>
      </c>
      <c r="C1025" s="1" t="s">
        <v>720</v>
      </c>
      <c r="D1025" s="6" t="s">
        <v>0</v>
      </c>
      <c r="E1025" s="6">
        <v>1</v>
      </c>
      <c r="F1025" s="6"/>
      <c r="G1025" s="29" t="str">
        <f>IFERROR(HYPERLINK("#"&amp;ADDRESS(MATCH(B1025&amp;"ES",'LM7 Non-ENG'!$A$1:$A$5000,0),1,,,"LM7 Non-ENG"),IF(IFERROR(VLOOKUP(B1025&amp;"ES",'LM7 Non-ENG'!$A$1:$A$4999,1,FALSE),"ERROR")=B1025&amp;"ES","Y","")),"")</f>
        <v/>
      </c>
      <c r="H1025" s="29" t="str">
        <f>IFERROR(HYPERLINK("#"&amp;ADDRESS(MATCH(B1025&amp;"PT",'LM7 Non-ENG'!$A$1:$A$5000,0),1,,,"LM7 Non-ENG"),IF(IFERROR(VLOOKUP(B1025&amp;"PT",'LM7 Non-ENG'!$A$1:$A$5000,1,FALSE),"ERROR")=B1025&amp;"PT","Y","")),"")</f>
        <v/>
      </c>
      <c r="I1025" t="str">
        <f>IFERROR(VLOOKUP(B1025,PN!$A:$C,3,FALSE),"")</f>
        <v>Active</v>
      </c>
      <c r="J1025" s="3">
        <f>IFERROR(E1025*VLOOKUP(B1025,PLInter!$A:$D,3,FALSE),"")</f>
        <v>2126</v>
      </c>
      <c r="K1025" s="66"/>
      <c r="L1025" s="66"/>
      <c r="M1025" s="66"/>
      <c r="N1025" s="66"/>
      <c r="O1025" s="66"/>
      <c r="P1025" s="66"/>
      <c r="Q1025" s="66"/>
      <c r="R1025" s="66"/>
      <c r="S1025" s="66"/>
    </row>
    <row r="1026" spans="1:19" ht="18" customHeight="1">
      <c r="B1026" t="s">
        <v>553</v>
      </c>
      <c r="C1026" t="s">
        <v>733</v>
      </c>
      <c r="D1026" s="4"/>
      <c r="E1026" s="4">
        <v>1</v>
      </c>
      <c r="F1026" s="4"/>
      <c r="G1026" s="29" t="str">
        <f>IFERROR(HYPERLINK("#"&amp;ADDRESS(MATCH(B1026&amp;"ES",'LM7 Non-ENG'!$A$1:$A$5000,0),1,,,"LM7 Non-ENG"),IF(IFERROR(VLOOKUP(B1026&amp;"ES",'LM7 Non-ENG'!$A$1:$A$4999,1,FALSE),"ERROR")=B1026&amp;"ES","Y","")),"")</f>
        <v/>
      </c>
      <c r="H1026" s="29" t="str">
        <f>IFERROR(HYPERLINK("#"&amp;ADDRESS(MATCH(B1026&amp;"PT",'LM7 Non-ENG'!$A$1:$A$5000,0),1,,,"LM7 Non-ENG"),IF(IFERROR(VLOOKUP(B1026&amp;"PT",'LM7 Non-ENG'!$A$1:$A$5000,1,FALSE),"ERROR")=B1026&amp;"PT","Y","")),"")</f>
        <v/>
      </c>
      <c r="I1026" t="str">
        <f>IFERROR(VLOOKUP(B1026,PN!$A:$C,3,FALSE),"")</f>
        <v>Active</v>
      </c>
      <c r="J1026" s="3">
        <f>IFERROR(E1026*VLOOKUP(B1026,PLInter!$A:$D,3,FALSE),"")</f>
        <v>500</v>
      </c>
      <c r="K1026" s="66"/>
      <c r="L1026" s="66"/>
      <c r="M1026" s="66"/>
      <c r="N1026" s="66"/>
      <c r="O1026" s="66"/>
      <c r="P1026" s="66"/>
      <c r="Q1026" s="66"/>
      <c r="R1026" s="66"/>
      <c r="S1026" s="66"/>
    </row>
    <row r="1027" spans="1:19" ht="18" customHeight="1">
      <c r="B1027" s="2" t="s">
        <v>565</v>
      </c>
      <c r="C1027" s="2" t="s">
        <v>734</v>
      </c>
      <c r="D1027" s="5"/>
      <c r="E1027" s="5">
        <v>1</v>
      </c>
      <c r="F1027" s="5" t="s">
        <v>0</v>
      </c>
      <c r="G1027" s="29" t="str">
        <f>IFERROR(HYPERLINK("#"&amp;ADDRESS(MATCH(B1027&amp;"ES",'LM7 Non-ENG'!$A$1:$A$5000,0),1,,,"LM7 Non-ENG"),IF(IFERROR(VLOOKUP(B1027&amp;"ES",'LM7 Non-ENG'!$A$1:$A$4999,1,FALSE),"ERROR")=B1027&amp;"ES","Y","")),"")</f>
        <v/>
      </c>
      <c r="H1027" s="29" t="str">
        <f>IFERROR(HYPERLINK("#"&amp;ADDRESS(MATCH(B1027&amp;"PT",'LM7 Non-ENG'!$A$1:$A$5000,0),1,,,"LM7 Non-ENG"),IF(IFERROR(VLOOKUP(B1027&amp;"PT",'LM7 Non-ENG'!$A$1:$A$5000,1,FALSE),"ERROR")=B1027&amp;"PT","Y","")),"")</f>
        <v/>
      </c>
      <c r="I1027" t="str">
        <f>IFERROR(VLOOKUP(B1027,PN!$A:$C,3,FALSE),"")</f>
        <v>Active</v>
      </c>
      <c r="J1027" s="3">
        <f>IFERROR(E1027*VLOOKUP(B1027,PLInter!$A:$D,3,FALSE),"")</f>
        <v>500</v>
      </c>
      <c r="K1027" s="66"/>
      <c r="L1027" s="66"/>
      <c r="M1027" s="66"/>
      <c r="N1027" s="66"/>
      <c r="O1027" s="66"/>
      <c r="P1027" s="66"/>
      <c r="Q1027" s="66"/>
      <c r="R1027" s="66"/>
      <c r="S1027" s="66"/>
    </row>
    <row r="1028" spans="1:19" ht="18" customHeight="1">
      <c r="B1028" t="s">
        <v>568</v>
      </c>
      <c r="C1028" t="s">
        <v>731</v>
      </c>
      <c r="D1028" s="4"/>
      <c r="E1028" s="4">
        <v>1</v>
      </c>
      <c r="F1028" s="4"/>
      <c r="G1028" s="29" t="str">
        <f>IFERROR(HYPERLINK("#"&amp;ADDRESS(MATCH(B1028&amp;"ES",'LM7 Non-ENG'!$A$1:$A$5000,0),1,,,"LM7 Non-ENG"),IF(IFERROR(VLOOKUP(B1028&amp;"ES",'LM7 Non-ENG'!$A$1:$A$4999,1,FALSE),"ERROR")=B1028&amp;"ES","Y","")),"")</f>
        <v/>
      </c>
      <c r="H1028" s="29" t="str">
        <f>IFERROR(HYPERLINK("#"&amp;ADDRESS(MATCH(B1028&amp;"PT",'LM7 Non-ENG'!$A$1:$A$5000,0),1,,,"LM7 Non-ENG"),IF(IFERROR(VLOOKUP(B1028&amp;"PT",'LM7 Non-ENG'!$A$1:$A$5000,1,FALSE),"ERROR")=B1028&amp;"PT","Y","")),"")</f>
        <v/>
      </c>
      <c r="I1028" t="str">
        <f>IFERROR(VLOOKUP(B1028,PN!$A:$C,3,FALSE),"")</f>
        <v>Active</v>
      </c>
      <c r="J1028" s="3">
        <f>IFERROR(E1028*VLOOKUP(B1028,PLInter!$A:$D,3,FALSE),"")</f>
        <v>500</v>
      </c>
      <c r="K1028" s="66"/>
      <c r="L1028" s="66"/>
      <c r="M1028" s="66"/>
      <c r="N1028" s="66"/>
      <c r="O1028" s="66"/>
      <c r="P1028" s="66"/>
      <c r="Q1028" s="66"/>
      <c r="R1028" s="66"/>
      <c r="S1028" s="66"/>
    </row>
    <row r="1029" spans="1:19" ht="18" customHeight="1">
      <c r="B1029" t="s">
        <v>569</v>
      </c>
      <c r="C1029" t="s">
        <v>732</v>
      </c>
      <c r="D1029" s="4"/>
      <c r="E1029" s="4">
        <v>1</v>
      </c>
      <c r="F1029" s="4"/>
      <c r="G1029" s="29" t="str">
        <f>IFERROR(HYPERLINK("#"&amp;ADDRESS(MATCH(B1029&amp;"ES",'LM7 Non-ENG'!$A$1:$A$5000,0),1,,,"LM7 Non-ENG"),IF(IFERROR(VLOOKUP(B1029&amp;"ES",'LM7 Non-ENG'!$A$1:$A$4999,1,FALSE),"ERROR")=B1029&amp;"ES","Y","")),"")</f>
        <v/>
      </c>
      <c r="H1029" s="29" t="str">
        <f>IFERROR(HYPERLINK("#"&amp;ADDRESS(MATCH(B1029&amp;"PT",'LM7 Non-ENG'!$A$1:$A$5000,0),1,,,"LM7 Non-ENG"),IF(IFERROR(VLOOKUP(B1029&amp;"PT",'LM7 Non-ENG'!$A$1:$A$5000,1,FALSE),"ERROR")=B1029&amp;"PT","Y","")),"")</f>
        <v/>
      </c>
      <c r="I1029" t="str">
        <f>IFERROR(VLOOKUP(B1029,PN!$A:$C,3,FALSE),"")</f>
        <v>Active</v>
      </c>
      <c r="J1029" s="3">
        <f>IFERROR(E1029*VLOOKUP(B1029,PLInter!$A:$D,3,FALSE),"")</f>
        <v>500</v>
      </c>
      <c r="K1029" s="66"/>
      <c r="L1029" s="66"/>
      <c r="M1029" s="66"/>
      <c r="N1029" s="66"/>
      <c r="O1029" s="66"/>
      <c r="P1029" s="66"/>
      <c r="Q1029" s="66"/>
      <c r="R1029" s="66"/>
      <c r="S1029" s="66"/>
    </row>
    <row r="1030" spans="1:19" ht="18" customHeight="1">
      <c r="B1030" s="1" t="s">
        <v>471</v>
      </c>
      <c r="C1030" s="1" t="s">
        <v>722</v>
      </c>
      <c r="D1030" s="6" t="s">
        <v>0</v>
      </c>
      <c r="E1030" s="6">
        <v>1</v>
      </c>
      <c r="F1030" s="6"/>
      <c r="G1030" s="29" t="str">
        <f>IFERROR(HYPERLINK("#"&amp;ADDRESS(MATCH(B1030&amp;"ES",'LM7 Non-ENG'!$A$1:$A$5000,0),1,,,"LM7 Non-ENG"),IF(IFERROR(VLOOKUP(B1030&amp;"ES",'LM7 Non-ENG'!$A$1:$A$4999,1,FALSE),"ERROR")=B1030&amp;"ES","Y","")),"")</f>
        <v/>
      </c>
      <c r="H1030" s="29" t="str">
        <f>IFERROR(HYPERLINK("#"&amp;ADDRESS(MATCH(B1030&amp;"PT",'LM7 Non-ENG'!$A$1:$A$5000,0),1,,,"LM7 Non-ENG"),IF(IFERROR(VLOOKUP(B1030&amp;"PT",'LM7 Non-ENG'!$A$1:$A$5000,1,FALSE),"ERROR")=B1030&amp;"PT","Y","")),"")</f>
        <v/>
      </c>
      <c r="I1030" t="str">
        <f>IFERROR(VLOOKUP(B1030,PN!$A:$C,3,FALSE),"")</f>
        <v>Active</v>
      </c>
      <c r="J1030" s="3">
        <f>IFERROR(E1030*VLOOKUP(B1030,PLInter!$A:$D,3,FALSE),"")</f>
        <v>226</v>
      </c>
      <c r="K1030" s="66"/>
      <c r="L1030" s="66"/>
      <c r="M1030" s="66"/>
      <c r="N1030" s="66"/>
      <c r="O1030" s="66"/>
      <c r="P1030" s="66"/>
      <c r="Q1030" s="66"/>
      <c r="R1030" s="66"/>
      <c r="S1030" s="66"/>
    </row>
    <row r="1031" spans="1:19" ht="18" customHeight="1">
      <c r="B1031" s="1" t="s">
        <v>480</v>
      </c>
      <c r="C1031" s="1" t="s">
        <v>894</v>
      </c>
      <c r="D1031" s="6" t="s">
        <v>0</v>
      </c>
      <c r="E1031" s="6">
        <v>1</v>
      </c>
      <c r="F1031" s="6"/>
      <c r="G1031" s="29" t="str">
        <f>IFERROR(HYPERLINK("#"&amp;ADDRESS(MATCH(B1031&amp;"ES",'LM7 Non-ENG'!$A$1:$A$5000,0),1,,,"LM7 Non-ENG"),IF(IFERROR(VLOOKUP(B1031&amp;"ES",'LM7 Non-ENG'!$A$1:$A$4999,1,FALSE),"ERROR")=B1031&amp;"ES","Y","")),"")</f>
        <v/>
      </c>
      <c r="H1031" s="29" t="str">
        <f>IFERROR(HYPERLINK("#"&amp;ADDRESS(MATCH(B1031&amp;"PT",'LM7 Non-ENG'!$A$1:$A$5000,0),1,,,"LM7 Non-ENG"),IF(IFERROR(VLOOKUP(B1031&amp;"PT",'LM7 Non-ENG'!$A$1:$A$5000,1,FALSE),"ERROR")=B1031&amp;"PT","Y","")),"")</f>
        <v/>
      </c>
      <c r="I1031" t="str">
        <f>IFERROR(VLOOKUP(B1031,PN!$A:$C,3,FALSE),"")</f>
        <v>Active</v>
      </c>
      <c r="J1031" s="3">
        <f>IFERROR(E1031*VLOOKUP(B1031,PLInter!$A:$D,3,FALSE),"")</f>
        <v>407</v>
      </c>
      <c r="K1031" s="66"/>
      <c r="L1031" s="66"/>
      <c r="M1031" s="66"/>
      <c r="N1031" s="66"/>
      <c r="O1031" s="66"/>
      <c r="P1031" s="66"/>
      <c r="Q1031" s="66"/>
      <c r="R1031" s="66"/>
      <c r="S1031" s="66"/>
    </row>
    <row r="1032" spans="1:19" ht="18" customHeight="1">
      <c r="B1032" s="1" t="s">
        <v>475</v>
      </c>
      <c r="C1032" s="1" t="s">
        <v>724</v>
      </c>
      <c r="D1032" s="6" t="s">
        <v>0</v>
      </c>
      <c r="E1032" s="6">
        <v>4</v>
      </c>
      <c r="F1032" s="6"/>
      <c r="G1032" s="29" t="str">
        <f>IFERROR(HYPERLINK("#"&amp;ADDRESS(MATCH(B1032&amp;"ES",'LM7 Non-ENG'!$A$1:$A$5000,0),1,,,"LM7 Non-ENG"),IF(IFERROR(VLOOKUP(B1032&amp;"ES",'LM7 Non-ENG'!$A$1:$A$4999,1,FALSE),"ERROR")=B1032&amp;"ES","Y","")),"")</f>
        <v/>
      </c>
      <c r="H1032" s="29" t="str">
        <f>IFERROR(HYPERLINK("#"&amp;ADDRESS(MATCH(B1032&amp;"PT",'LM7 Non-ENG'!$A$1:$A$5000,0),1,,,"LM7 Non-ENG"),IF(IFERROR(VLOOKUP(B1032&amp;"PT",'LM7 Non-ENG'!$A$1:$A$5000,1,FALSE),"ERROR")=B1032&amp;"PT","Y","")),"")</f>
        <v/>
      </c>
      <c r="I1032" t="str">
        <f>IFERROR(VLOOKUP(B1032,PN!$A:$C,3,FALSE),"")</f>
        <v>Active</v>
      </c>
      <c r="J1032" s="3">
        <f>IFERROR(E1032*VLOOKUP(B1032,PLInter!$A:$D,3,FALSE),"")</f>
        <v>1440</v>
      </c>
      <c r="K1032" s="66"/>
      <c r="L1032" s="66"/>
      <c r="M1032" s="66"/>
      <c r="N1032" s="66"/>
      <c r="O1032" s="66"/>
      <c r="P1032" s="66"/>
      <c r="Q1032" s="66"/>
      <c r="R1032" s="66"/>
      <c r="S1032" s="66"/>
    </row>
    <row r="1033" spans="1:19" ht="18" customHeight="1">
      <c r="B1033" t="s">
        <v>484</v>
      </c>
      <c r="C1033" t="s">
        <v>725</v>
      </c>
      <c r="D1033" s="4"/>
      <c r="E1033" s="4">
        <v>1</v>
      </c>
      <c r="F1033" s="4"/>
      <c r="G1033" s="29" t="str">
        <f>IFERROR(HYPERLINK("#"&amp;ADDRESS(MATCH(B1033&amp;"ES",'LM7 Non-ENG'!$A$1:$A$5000,0),1,,,"LM7 Non-ENG"),IF(IFERROR(VLOOKUP(B1033&amp;"ES",'LM7 Non-ENG'!$A$1:$A$4999,1,FALSE),"ERROR")=B1033&amp;"ES","Y","")),"")</f>
        <v/>
      </c>
      <c r="H1033" s="29" t="str">
        <f>IFERROR(HYPERLINK("#"&amp;ADDRESS(MATCH(B1033&amp;"PT",'LM7 Non-ENG'!$A$1:$A$5000,0),1,,,"LM7 Non-ENG"),IF(IFERROR(VLOOKUP(B1033&amp;"PT",'LM7 Non-ENG'!$A$1:$A$5000,1,FALSE),"ERROR")=B1033&amp;"PT","Y","")),"")</f>
        <v/>
      </c>
      <c r="I1033" t="str">
        <f>IFERROR(VLOOKUP(B1033,PN!$A:$C,3,FALSE),"")</f>
        <v>Active</v>
      </c>
      <c r="J1033" s="3">
        <f>IFERROR(E1033*VLOOKUP(B1033,PLInter!$A:$D,3,FALSE),"")</f>
        <v>157</v>
      </c>
      <c r="K1033" s="66"/>
      <c r="L1033" s="66"/>
      <c r="M1033" s="66"/>
      <c r="N1033" s="66"/>
      <c r="O1033" s="66"/>
      <c r="P1033" s="66"/>
      <c r="Q1033" s="66"/>
      <c r="R1033" s="66"/>
      <c r="S1033" s="66"/>
    </row>
    <row r="1034" spans="1:19" ht="18" customHeight="1">
      <c r="B1034" s="2" t="s">
        <v>483</v>
      </c>
      <c r="C1034" s="2" t="s">
        <v>726</v>
      </c>
      <c r="D1034" s="5"/>
      <c r="E1034" s="5">
        <v>1</v>
      </c>
      <c r="F1034" s="5" t="s">
        <v>0</v>
      </c>
      <c r="G1034" s="29" t="str">
        <f>IFERROR(HYPERLINK("#"&amp;ADDRESS(MATCH(B1034&amp;"ES",'LM7 Non-ENG'!$A$1:$A$5000,0),1,,,"LM7 Non-ENG"),IF(IFERROR(VLOOKUP(B1034&amp;"ES",'LM7 Non-ENG'!$A$1:$A$4999,1,FALSE),"ERROR")=B1034&amp;"ES","Y","")),"")</f>
        <v/>
      </c>
      <c r="H1034" s="29" t="str">
        <f>IFERROR(HYPERLINK("#"&amp;ADDRESS(MATCH(B1034&amp;"PT",'LM7 Non-ENG'!$A$1:$A$5000,0),1,,,"LM7 Non-ENG"),IF(IFERROR(VLOOKUP(B1034&amp;"PT",'LM7 Non-ENG'!$A$1:$A$5000,1,FALSE),"ERROR")=B1034&amp;"PT","Y","")),"")</f>
        <v/>
      </c>
      <c r="I1034" t="str">
        <f>IFERROR(VLOOKUP(B1034,PN!$A:$C,3,FALSE),"")</f>
        <v>Active</v>
      </c>
      <c r="J1034" s="3">
        <f>IFERROR(E1034*VLOOKUP(B1034,PLInter!$A:$D,3,FALSE),"")</f>
        <v>157</v>
      </c>
      <c r="K1034" s="66"/>
      <c r="L1034" s="66"/>
      <c r="M1034" s="66"/>
      <c r="N1034" s="66"/>
      <c r="O1034" s="66"/>
      <c r="P1034" s="66"/>
      <c r="Q1034" s="66"/>
      <c r="R1034" s="66"/>
      <c r="S1034" s="66"/>
    </row>
    <row r="1035" spans="1:19" ht="18" customHeight="1">
      <c r="B1035" t="str">
        <f>"113034"</f>
        <v>113034</v>
      </c>
      <c r="C1035" t="s">
        <v>695</v>
      </c>
      <c r="D1035" s="4"/>
      <c r="E1035" s="4">
        <v>1</v>
      </c>
      <c r="F1035" s="4"/>
      <c r="G1035" s="29" t="str">
        <f>IFERROR(HYPERLINK("#"&amp;ADDRESS(MATCH(B1035&amp;"ES",'LM7 Non-ENG'!$A$1:$A$5000,0),1,,,"LM7 Non-ENG"),IF(IFERROR(VLOOKUP(B1035&amp;"ES",'LM7 Non-ENG'!$A$1:$A$4999,1,FALSE),"ERROR")=B1035&amp;"ES","Y","")),"")</f>
        <v/>
      </c>
      <c r="H1035" s="29" t="str">
        <f>IFERROR(HYPERLINK("#"&amp;ADDRESS(MATCH(B1035&amp;"PT",'LM7 Non-ENG'!$A$1:$A$5000,0),1,,,"LM7 Non-ENG"),IF(IFERROR(VLOOKUP(B1035&amp;"PT",'LM7 Non-ENG'!$A$1:$A$5000,1,FALSE),"ERROR")=B1035&amp;"PT","Y","")),"")</f>
        <v/>
      </c>
      <c r="I1035" t="str">
        <f>IFERROR(VLOOKUP(B1035,PN!$A:$C,3,FALSE),"")</f>
        <v>Active</v>
      </c>
      <c r="J1035" s="3">
        <f>IFERROR(E1035*VLOOKUP(B1035,PLInter!$A:$D,3,FALSE),"")</f>
        <v>15</v>
      </c>
      <c r="K1035" s="66"/>
      <c r="L1035" s="66"/>
      <c r="M1035" s="66"/>
      <c r="N1035" s="66"/>
      <c r="O1035" s="66"/>
      <c r="P1035" s="66"/>
      <c r="Q1035" s="66"/>
      <c r="R1035" s="66"/>
      <c r="S1035" s="66"/>
    </row>
    <row r="1036" spans="1:19" ht="18" customHeight="1">
      <c r="B1036" t="s">
        <v>753</v>
      </c>
      <c r="C1036" t="s">
        <v>754</v>
      </c>
      <c r="D1036" s="4"/>
      <c r="E1036" s="4">
        <v>1</v>
      </c>
      <c r="F1036" s="4"/>
      <c r="G1036" s="29" t="str">
        <f>IFERROR(HYPERLINK("#"&amp;ADDRESS(MATCH(B1036&amp;"ES",'LM7 Non-ENG'!$A$1:$A$5000,0),1,,,"LM7 Non-ENG"),IF(IFERROR(VLOOKUP(B1036&amp;"ES",'LM7 Non-ENG'!$A$1:$A$4999,1,FALSE),"ERROR")=B1036&amp;"ES","Y","")),"")</f>
        <v/>
      </c>
      <c r="H1036" s="29" t="str">
        <f>IFERROR(HYPERLINK("#"&amp;ADDRESS(MATCH(B1036&amp;"PT",'LM7 Non-ENG'!$A$1:$A$5000,0),1,,,"LM7 Non-ENG"),IF(IFERROR(VLOOKUP(B1036&amp;"PT",'LM7 Non-ENG'!$A$1:$A$5000,1,FALSE),"ERROR")=B1036&amp;"PT","Y","")),"")</f>
        <v/>
      </c>
      <c r="I1036" t="str">
        <f>IFERROR(VLOOKUP(B1036,PN!$A:$C,3,FALSE),"")</f>
        <v>Active</v>
      </c>
      <c r="J1036" s="3">
        <f>IFERROR(E1036*VLOOKUP(B1036,PLInter!$A:$D,3,FALSE),"")</f>
        <v>3280</v>
      </c>
      <c r="K1036" s="66"/>
      <c r="L1036" s="66"/>
      <c r="M1036" s="66"/>
      <c r="N1036" s="66"/>
      <c r="O1036" s="66"/>
      <c r="P1036" s="66"/>
      <c r="Q1036" s="66"/>
      <c r="R1036" s="66"/>
      <c r="S1036" s="66"/>
    </row>
    <row r="1037" spans="1:19" ht="18" customHeight="1">
      <c r="B1037" t="s">
        <v>755</v>
      </c>
      <c r="C1037" t="s">
        <v>756</v>
      </c>
      <c r="D1037" s="4"/>
      <c r="E1037" s="4">
        <v>1</v>
      </c>
      <c r="F1037" s="4"/>
      <c r="G1037" s="29" t="str">
        <f>IFERROR(HYPERLINK("#"&amp;ADDRESS(MATCH(B1037&amp;"ES",'LM7 Non-ENG'!$A$1:$A$5000,0),1,,,"LM7 Non-ENG"),IF(IFERROR(VLOOKUP(B1037&amp;"ES",'LM7 Non-ENG'!$A$1:$A$4999,1,FALSE),"ERROR")=B1037&amp;"ES","Y","")),"")</f>
        <v/>
      </c>
      <c r="H1037" s="29" t="str">
        <f>IFERROR(HYPERLINK("#"&amp;ADDRESS(MATCH(B1037&amp;"PT",'LM7 Non-ENG'!$A$1:$A$5000,0),1,,,"LM7 Non-ENG"),IF(IFERROR(VLOOKUP(B1037&amp;"PT",'LM7 Non-ENG'!$A$1:$A$5000,1,FALSE),"ERROR")=B1037&amp;"PT","Y","")),"")</f>
        <v/>
      </c>
      <c r="I1037" t="str">
        <f>IFERROR(VLOOKUP(B1037,PN!$A:$C,3,FALSE),"")</f>
        <v>Active</v>
      </c>
      <c r="J1037" s="3">
        <f>IFERROR(E1037*VLOOKUP(B1037,PLInter!$A:$D,3,FALSE),"")</f>
        <v>516</v>
      </c>
      <c r="K1037" s="66"/>
      <c r="L1037" s="66"/>
      <c r="M1037" s="66"/>
      <c r="N1037" s="66"/>
      <c r="O1037" s="66"/>
      <c r="P1037" s="66"/>
      <c r="Q1037" s="66"/>
      <c r="R1037" s="66"/>
      <c r="S1037" s="66"/>
    </row>
    <row r="1038" spans="1:19" ht="18" customHeight="1">
      <c r="B1038" t="s">
        <v>630</v>
      </c>
      <c r="C1038" t="s">
        <v>631</v>
      </c>
      <c r="D1038" s="4"/>
      <c r="E1038" s="4">
        <v>1</v>
      </c>
      <c r="F1038" s="4"/>
      <c r="G1038" s="29" t="str">
        <f>IFERROR(HYPERLINK("#"&amp;ADDRESS(MATCH(B1038&amp;"ES",'LM7 Non-ENG'!$A$1:$A$5000,0),1,,,"LM7 Non-ENG"),IF(IFERROR(VLOOKUP(B1038&amp;"ES",'LM7 Non-ENG'!$A$1:$A$4999,1,FALSE),"ERROR")=B1038&amp;"ES","Y","")),"")</f>
        <v/>
      </c>
      <c r="H1038" s="29" t="str">
        <f>IFERROR(HYPERLINK("#"&amp;ADDRESS(MATCH(B1038&amp;"PT",'LM7 Non-ENG'!$A$1:$A$5000,0),1,,,"LM7 Non-ENG"),IF(IFERROR(VLOOKUP(B1038&amp;"PT",'LM7 Non-ENG'!$A$1:$A$5000,1,FALSE),"ERROR")=B1038&amp;"PT","Y","")),"")</f>
        <v/>
      </c>
      <c r="I1038" t="str">
        <f>IFERROR(VLOOKUP(B1038,PN!$A:$C,3,FALSE),"")</f>
        <v>Active</v>
      </c>
      <c r="J1038" s="3">
        <f>IFERROR(E1038*VLOOKUP(B1038,PLInter!$A:$D,3,FALSE),"")</f>
        <v>1735</v>
      </c>
      <c r="K1038" s="66"/>
      <c r="L1038" s="66"/>
      <c r="M1038" s="66"/>
      <c r="N1038" s="66"/>
      <c r="O1038" s="66"/>
      <c r="P1038" s="66"/>
      <c r="Q1038" s="66"/>
      <c r="R1038" s="66"/>
      <c r="S1038" s="66"/>
    </row>
    <row r="1040" spans="1:19" s="7" customFormat="1" ht="18" customHeight="1">
      <c r="A1040" s="13" t="s">
        <v>898</v>
      </c>
      <c r="B1040" s="13"/>
      <c r="C1040" s="13" t="s">
        <v>899</v>
      </c>
      <c r="D1040" s="14"/>
      <c r="E1040" s="14"/>
      <c r="F1040" s="14"/>
      <c r="G1040" s="14"/>
      <c r="H1040" s="14"/>
      <c r="I1040" s="14"/>
      <c r="J1040" s="14">
        <f>SUMIFS(J1041:J1071,D1041:D1071,"&lt;&gt;Y",F1041:F1071,"&lt;&gt;Y",I1041:I1071,"&lt;&gt;Inactive",I1041:I1071,"&lt;&gt;ECO+NFS")</f>
        <v>79974</v>
      </c>
      <c r="K1040" s="14"/>
      <c r="L1040" s="14"/>
      <c r="M1040" s="14"/>
      <c r="N1040" s="14"/>
      <c r="O1040" s="14"/>
      <c r="P1040" s="14"/>
      <c r="Q1040" s="14"/>
      <c r="R1040" s="14"/>
      <c r="S1040" s="14"/>
    </row>
    <row r="1041" spans="1:19" ht="18" customHeight="1">
      <c r="A1041" s="17" t="str">
        <f>HYPERLINK("#"&amp;ADDRESS(MATCH(A1040,'CIM&amp;FMS'!$A$1:$A$4997,0),1,,,"CIM&amp;FMS"),"Back to Price List")</f>
        <v>Back to Price List</v>
      </c>
      <c r="B1041" t="s">
        <v>215</v>
      </c>
      <c r="C1041" t="s">
        <v>217</v>
      </c>
      <c r="D1041" s="4"/>
      <c r="E1041" s="4">
        <v>1</v>
      </c>
      <c r="F1041" s="4"/>
      <c r="G1041" s="29" t="str">
        <f>IFERROR(HYPERLINK("#"&amp;ADDRESS(MATCH(B1041&amp;"ES",'LM7 Non-ENG'!$A$1:$A$5000,0),1,,,"LM7 Non-ENG"),IF(IFERROR(VLOOKUP(B1041&amp;"ES",'LM7 Non-ENG'!$A$1:$A$4999,1,FALSE),"ERROR")=B1041&amp;"ES","Y","")),"")</f>
        <v/>
      </c>
      <c r="H1041" s="29" t="str">
        <f>IFERROR(HYPERLINK("#"&amp;ADDRESS(MATCH(B1041&amp;"PT",'LM7 Non-ENG'!$A$1:$A$5000,0),1,,,"LM7 Non-ENG"),IF(IFERROR(VLOOKUP(B1041&amp;"PT",'LM7 Non-ENG'!$A$1:$A$5000,1,FALSE),"ERROR")=B1041&amp;"PT","Y","")),"")</f>
        <v/>
      </c>
      <c r="I1041" t="str">
        <f>IFERROR(VLOOKUP(B1041,PN!$A:$C,3,FALSE),"")</f>
        <v>Active</v>
      </c>
      <c r="J1041" s="3">
        <f>IFERROR(E1041*VLOOKUP(B1041,PLInter!$A:$D,3,FALSE),"")</f>
        <v>35000</v>
      </c>
      <c r="K1041" s="66"/>
      <c r="L1041" s="66"/>
      <c r="M1041" s="66"/>
      <c r="N1041" s="66"/>
      <c r="O1041" s="66"/>
      <c r="P1041" s="66"/>
      <c r="Q1041" s="66"/>
      <c r="R1041" s="66"/>
      <c r="S1041" s="66"/>
    </row>
    <row r="1042" spans="1:19" ht="18" customHeight="1">
      <c r="B1042" t="s">
        <v>230</v>
      </c>
      <c r="C1042" t="s">
        <v>235</v>
      </c>
      <c r="D1042" s="4"/>
      <c r="E1042" s="4">
        <v>1</v>
      </c>
      <c r="F1042" s="4"/>
      <c r="G1042" s="29" t="str">
        <f>IFERROR(HYPERLINK("#"&amp;ADDRESS(MATCH(B1042&amp;"ES",'LM7 Non-ENG'!$A$1:$A$5000,0),1,,,"LM7 Non-ENG"),IF(IFERROR(VLOOKUP(B1042&amp;"ES",'LM7 Non-ENG'!$A$1:$A$4999,1,FALSE),"ERROR")=B1042&amp;"ES","Y","")),"")</f>
        <v/>
      </c>
      <c r="H1042" s="29" t="str">
        <f>IFERROR(HYPERLINK("#"&amp;ADDRESS(MATCH(B1042&amp;"PT",'LM7 Non-ENG'!$A$1:$A$5000,0),1,,,"LM7 Non-ENG"),IF(IFERROR(VLOOKUP(B1042&amp;"PT",'LM7 Non-ENG'!$A$1:$A$5000,1,FALSE),"ERROR")=B1042&amp;"PT","Y","")),"")</f>
        <v/>
      </c>
      <c r="I1042" t="str">
        <f>IFERROR(VLOOKUP(B1042,PN!$A:$C,3,FALSE),"")</f>
        <v>Active</v>
      </c>
      <c r="J1042" s="3">
        <f>IFERROR(E1042*VLOOKUP(B1042,PLInter!$A:$D,3,FALSE),"")</f>
        <v>3200</v>
      </c>
      <c r="K1042" s="66"/>
      <c r="L1042" s="66"/>
      <c r="M1042" s="66"/>
      <c r="N1042" s="66"/>
      <c r="O1042" s="66"/>
      <c r="P1042" s="66"/>
      <c r="Q1042" s="66"/>
      <c r="R1042" s="66"/>
      <c r="S1042" s="66"/>
    </row>
    <row r="1043" spans="1:19" ht="18" customHeight="1">
      <c r="B1043" t="s">
        <v>882</v>
      </c>
      <c r="C1043" t="s">
        <v>897</v>
      </c>
      <c r="D1043" s="4"/>
      <c r="E1043" s="4">
        <v>1</v>
      </c>
      <c r="F1043" s="4"/>
      <c r="G1043" s="29" t="str">
        <f>IFERROR(HYPERLINK("#"&amp;ADDRESS(MATCH(B1043&amp;"ES",'LM7 Non-ENG'!$A$1:$A$5000,0),1,,,"LM7 Non-ENG"),IF(IFERROR(VLOOKUP(B1043&amp;"ES",'LM7 Non-ENG'!$A$1:$A$4999,1,FALSE),"ERROR")=B1043&amp;"ES","Y","")),"")</f>
        <v/>
      </c>
      <c r="H1043" s="29" t="str">
        <f>IFERROR(HYPERLINK("#"&amp;ADDRESS(MATCH(B1043&amp;"PT",'LM7 Non-ENG'!$A$1:$A$5000,0),1,,,"LM7 Non-ENG"),IF(IFERROR(VLOOKUP(B1043&amp;"PT",'LM7 Non-ENG'!$A$1:$A$5000,1,FALSE),"ERROR")=B1043&amp;"PT","Y","")),"")</f>
        <v/>
      </c>
      <c r="I1043" t="str">
        <f>IFERROR(VLOOKUP(B1043,PN!$A:$C,3,FALSE),"")</f>
        <v>Phase Out</v>
      </c>
      <c r="J1043" s="3">
        <f>IFERROR(E1043*VLOOKUP(B1043,PLInter!$A:$D,3,FALSE),"")</f>
        <v>13500</v>
      </c>
      <c r="K1043" s="66"/>
      <c r="L1043" s="66"/>
      <c r="M1043" s="66"/>
      <c r="N1043" s="66"/>
      <c r="O1043" s="66"/>
      <c r="P1043" s="66"/>
      <c r="Q1043" s="66"/>
      <c r="R1043" s="66"/>
      <c r="S1043" s="66"/>
    </row>
    <row r="1044" spans="1:19" ht="18" customHeight="1">
      <c r="B1044" s="2" t="s">
        <v>858</v>
      </c>
      <c r="C1044" s="2" t="s">
        <v>879</v>
      </c>
      <c r="D1044" s="5"/>
      <c r="E1044" s="5">
        <v>1</v>
      </c>
      <c r="F1044" s="5" t="s">
        <v>0</v>
      </c>
      <c r="G1044" s="29" t="str">
        <f>IFERROR(HYPERLINK("#"&amp;ADDRESS(MATCH(B1044&amp;"ES",'LM7 Non-ENG'!$A$1:$A$5000,0),1,,,"LM7 Non-ENG"),IF(IFERROR(VLOOKUP(B1044&amp;"ES",'LM7 Non-ENG'!$A$1:$A$4999,1,FALSE),"ERROR")=B1044&amp;"ES","Y","")),"")</f>
        <v/>
      </c>
      <c r="H1044" s="29" t="str">
        <f>IFERROR(HYPERLINK("#"&amp;ADDRESS(MATCH(B1044&amp;"PT",'LM7 Non-ENG'!$A$1:$A$5000,0),1,,,"LM7 Non-ENG"),IF(IFERROR(VLOOKUP(B1044&amp;"PT",'LM7 Non-ENG'!$A$1:$A$5000,1,FALSE),"ERROR")=B1044&amp;"PT","Y","")),"")</f>
        <v/>
      </c>
      <c r="I1044" t="str">
        <f>IFERROR(VLOOKUP(B1044,PN!$A:$C,3,FALSE),"")</f>
        <v>Active</v>
      </c>
      <c r="J1044" s="3">
        <f>IFERROR(E1044*VLOOKUP(B1044,PLInter!$A:$D,3,FALSE),"")</f>
        <v>15300</v>
      </c>
      <c r="K1044" s="66"/>
      <c r="L1044" s="66"/>
      <c r="M1044" s="66"/>
      <c r="N1044" s="66"/>
      <c r="O1044" s="66"/>
      <c r="P1044" s="66"/>
      <c r="Q1044" s="66"/>
      <c r="R1044" s="66"/>
      <c r="S1044" s="66"/>
    </row>
    <row r="1045" spans="1:19" ht="18" customHeight="1">
      <c r="B1045" s="2" t="s">
        <v>884</v>
      </c>
      <c r="C1045" s="2" t="s">
        <v>885</v>
      </c>
      <c r="D1045" s="5"/>
      <c r="E1045" s="5">
        <v>1</v>
      </c>
      <c r="F1045" s="5" t="s">
        <v>0</v>
      </c>
      <c r="G1045" s="29" t="str">
        <f>IFERROR(HYPERLINK("#"&amp;ADDRESS(MATCH(B1045&amp;"ES",'LM7 Non-ENG'!$A$1:$A$5000,0),1,,,"LM7 Non-ENG"),IF(IFERROR(VLOOKUP(B1045&amp;"ES",'LM7 Non-ENG'!$A$1:$A$4999,1,FALSE),"ERROR")=B1045&amp;"ES","Y","")),"")</f>
        <v/>
      </c>
      <c r="H1045" s="29" t="str">
        <f>IFERROR(HYPERLINK("#"&amp;ADDRESS(MATCH(B1045&amp;"PT",'LM7 Non-ENG'!$A$1:$A$5000,0),1,,,"LM7 Non-ENG"),IF(IFERROR(VLOOKUP(B1045&amp;"PT",'LM7 Non-ENG'!$A$1:$A$5000,1,FALSE),"ERROR")=B1045&amp;"PT","Y","")),"")</f>
        <v/>
      </c>
      <c r="I1045" t="str">
        <f>IFERROR(VLOOKUP(B1045,PN!$A:$C,3,FALSE),"")</f>
        <v>ECO-N2Buy</v>
      </c>
      <c r="J1045" s="3">
        <f>IFERROR(E1045*VLOOKUP(B1045,PLInter!$A:$D,3,FALSE),"")</f>
        <v>18880</v>
      </c>
      <c r="K1045" s="66"/>
      <c r="L1045" s="66"/>
      <c r="M1045" s="66"/>
      <c r="N1045" s="66"/>
      <c r="O1045" s="66"/>
      <c r="P1045" s="66"/>
      <c r="Q1045" s="66"/>
      <c r="R1045" s="66"/>
      <c r="S1045" s="66"/>
    </row>
    <row r="1046" spans="1:19" ht="18" customHeight="1">
      <c r="B1046" s="2" t="s">
        <v>886</v>
      </c>
      <c r="C1046" s="2" t="s">
        <v>887</v>
      </c>
      <c r="D1046" s="5"/>
      <c r="E1046" s="5">
        <v>1</v>
      </c>
      <c r="F1046" s="5" t="s">
        <v>0</v>
      </c>
      <c r="G1046" s="29" t="str">
        <f>IFERROR(HYPERLINK("#"&amp;ADDRESS(MATCH(B1046&amp;"ES",'LM7 Non-ENG'!$A$1:$A$5000,0),1,,,"LM7 Non-ENG"),IF(IFERROR(VLOOKUP(B1046&amp;"ES",'LM7 Non-ENG'!$A$1:$A$4999,1,FALSE),"ERROR")=B1046&amp;"ES","Y","")),"")</f>
        <v/>
      </c>
      <c r="H1046" s="29" t="str">
        <f>IFERROR(HYPERLINK("#"&amp;ADDRESS(MATCH(B1046&amp;"PT",'LM7 Non-ENG'!$A$1:$A$5000,0),1,,,"LM7 Non-ENG"),IF(IFERROR(VLOOKUP(B1046&amp;"PT",'LM7 Non-ENG'!$A$1:$A$5000,1,FALSE),"ERROR")=B1046&amp;"PT","Y","")),"")</f>
        <v/>
      </c>
      <c r="I1046" t="str">
        <f>IFERROR(VLOOKUP(B1046,PN!$A:$C,3,FALSE),"")</f>
        <v>ECO-N2Buy</v>
      </c>
      <c r="J1046" s="3">
        <f>IFERROR(E1046*VLOOKUP(B1046,PLInter!$A:$D,3,FALSE),"")</f>
        <v>20000</v>
      </c>
      <c r="K1046" s="66"/>
      <c r="L1046" s="66"/>
      <c r="M1046" s="66"/>
      <c r="N1046" s="66"/>
      <c r="O1046" s="66"/>
      <c r="P1046" s="66"/>
      <c r="Q1046" s="66"/>
      <c r="R1046" s="66"/>
      <c r="S1046" s="66"/>
    </row>
    <row r="1047" spans="1:19" ht="18" customHeight="1">
      <c r="B1047" s="2" t="s">
        <v>870</v>
      </c>
      <c r="C1047" s="2" t="s">
        <v>871</v>
      </c>
      <c r="D1047" s="5"/>
      <c r="E1047" s="5">
        <v>1</v>
      </c>
      <c r="F1047" s="5" t="s">
        <v>0</v>
      </c>
      <c r="G1047" s="29" t="str">
        <f>IFERROR(HYPERLINK("#"&amp;ADDRESS(MATCH(B1047&amp;"ES",'LM7 Non-ENG'!$A$1:$A$5000,0),1,,,"LM7 Non-ENG"),IF(IFERROR(VLOOKUP(B1047&amp;"ES",'LM7 Non-ENG'!$A$1:$A$4999,1,FALSE),"ERROR")=B1047&amp;"ES","Y","")),"")</f>
        <v/>
      </c>
      <c r="H1047" s="29" t="str">
        <f>IFERROR(HYPERLINK("#"&amp;ADDRESS(MATCH(B1047&amp;"PT",'LM7 Non-ENG'!$A$1:$A$5000,0),1,,,"LM7 Non-ENG"),IF(IFERROR(VLOOKUP(B1047&amp;"PT",'LM7 Non-ENG'!$A$1:$A$5000,1,FALSE),"ERROR")=B1047&amp;"PT","Y","")),"")</f>
        <v/>
      </c>
      <c r="I1047" t="str">
        <f>IFERROR(VLOOKUP(B1047,PN!$A:$C,3,FALSE),"")</f>
        <v>ECO-N2Buy</v>
      </c>
      <c r="J1047" s="3">
        <f>IFERROR(E1047*VLOOKUP(B1047,PLInter!$A:$D,3,FALSE),"")</f>
        <v>45000</v>
      </c>
      <c r="K1047" s="66"/>
      <c r="L1047" s="66"/>
      <c r="M1047" s="66"/>
      <c r="N1047" s="66"/>
      <c r="O1047" s="66"/>
      <c r="P1047" s="66"/>
      <c r="Q1047" s="66"/>
      <c r="R1047" s="66"/>
      <c r="S1047" s="66"/>
    </row>
    <row r="1048" spans="1:19" ht="18" customHeight="1">
      <c r="B1048" t="str">
        <f>"021152"</f>
        <v>021152</v>
      </c>
      <c r="C1048" s="41" t="s">
        <v>679</v>
      </c>
      <c r="D1048" s="4"/>
      <c r="E1048" s="4">
        <v>1</v>
      </c>
      <c r="F1048" s="4"/>
      <c r="G1048" s="29" t="str">
        <f>IFERROR(HYPERLINK("#"&amp;ADDRESS(MATCH(B1048&amp;"ES",'LM7 Non-ENG'!$A$1:$A$5000,0),1,,,"LM7 Non-ENG"),IF(IFERROR(VLOOKUP(B1048&amp;"ES",'LM7 Non-ENG'!$A$1:$A$4999,1,FALSE),"ERROR")=B1048&amp;"ES","Y","")),"")</f>
        <v/>
      </c>
      <c r="H1048" s="29" t="str">
        <f>IFERROR(HYPERLINK("#"&amp;ADDRESS(MATCH(B1048&amp;"PT",'LM7 Non-ENG'!$A$1:$A$5000,0),1,,,"LM7 Non-ENG"),IF(IFERROR(VLOOKUP(B1048&amp;"PT",'LM7 Non-ENG'!$A$1:$A$5000,1,FALSE),"ERROR")=B1048&amp;"PT","Y","")),"")</f>
        <v/>
      </c>
      <c r="I1048" t="str">
        <f>IFERROR(VLOOKUP(B1048,PN!$A:$C,3,FALSE),"")</f>
        <v>Active</v>
      </c>
      <c r="J1048" s="3">
        <f>IFERROR(E1048*VLOOKUP(B1048,PLInter!$A:$D,3,FALSE),"")</f>
        <v>240</v>
      </c>
      <c r="K1048" s="66"/>
      <c r="L1048" s="66"/>
      <c r="M1048" s="66"/>
      <c r="N1048" s="66"/>
      <c r="O1048" s="66"/>
      <c r="P1048" s="66"/>
      <c r="Q1048" s="66"/>
      <c r="R1048" s="66"/>
      <c r="S1048" s="66"/>
    </row>
    <row r="1049" spans="1:19" ht="18" customHeight="1">
      <c r="B1049" t="s">
        <v>682</v>
      </c>
      <c r="C1049" t="s">
        <v>683</v>
      </c>
      <c r="D1049" s="4"/>
      <c r="E1049" s="4">
        <v>1</v>
      </c>
      <c r="F1049" s="4"/>
      <c r="G1049" s="29" t="str">
        <f>IFERROR(HYPERLINK("#"&amp;ADDRESS(MATCH(B1049&amp;"ES",'LM7 Non-ENG'!$A$1:$A$5000,0),1,,,"LM7 Non-ENG"),IF(IFERROR(VLOOKUP(B1049&amp;"ES",'LM7 Non-ENG'!$A$1:$A$4999,1,FALSE),"ERROR")=B1049&amp;"ES","Y","")),"")</f>
        <v/>
      </c>
      <c r="H1049" s="29" t="str">
        <f>IFERROR(HYPERLINK("#"&amp;ADDRESS(MATCH(B1049&amp;"PT",'LM7 Non-ENG'!$A$1:$A$5000,0),1,,,"LM7 Non-ENG"),IF(IFERROR(VLOOKUP(B1049&amp;"PT",'LM7 Non-ENG'!$A$1:$A$5000,1,FALSE),"ERROR")=B1049&amp;"PT","Y","")),"")</f>
        <v/>
      </c>
      <c r="I1049" t="str">
        <f>IFERROR(VLOOKUP(B1049,PN!$A:$C,3,FALSE),"")</f>
        <v>Active</v>
      </c>
      <c r="J1049" s="3">
        <f>IFERROR(E1049*VLOOKUP(B1049,PLInter!$A:$D,3,FALSE),"")</f>
        <v>494</v>
      </c>
      <c r="K1049" s="66"/>
      <c r="L1049" s="66"/>
      <c r="M1049" s="66"/>
      <c r="N1049" s="66"/>
      <c r="O1049" s="66"/>
      <c r="P1049" s="66"/>
      <c r="Q1049" s="66"/>
      <c r="R1049" s="66"/>
      <c r="S1049" s="66"/>
    </row>
    <row r="1050" spans="1:19" ht="18" customHeight="1">
      <c r="B1050" t="s">
        <v>684</v>
      </c>
      <c r="C1050" t="s">
        <v>685</v>
      </c>
      <c r="D1050" s="4"/>
      <c r="E1050" s="4">
        <v>1</v>
      </c>
      <c r="F1050" s="4"/>
      <c r="G1050" s="29" t="str">
        <f>IFERROR(HYPERLINK("#"&amp;ADDRESS(MATCH(B1050&amp;"ES",'LM7 Non-ENG'!$A$1:$A$5000,0),1,,,"LM7 Non-ENG"),IF(IFERROR(VLOOKUP(B1050&amp;"ES",'LM7 Non-ENG'!$A$1:$A$4999,1,FALSE),"ERROR")=B1050&amp;"ES","Y","")),"")</f>
        <v/>
      </c>
      <c r="H1050" s="29" t="str">
        <f>IFERROR(HYPERLINK("#"&amp;ADDRESS(MATCH(B1050&amp;"PT",'LM7 Non-ENG'!$A$1:$A$5000,0),1,,,"LM7 Non-ENG"),IF(IFERROR(VLOOKUP(B1050&amp;"PT",'LM7 Non-ENG'!$A$1:$A$5000,1,FALSE),"ERROR")=B1050&amp;"PT","Y","")),"")</f>
        <v/>
      </c>
      <c r="I1050" t="str">
        <f>IFERROR(VLOOKUP(B1050,PN!$A:$C,3,FALSE),"")</f>
        <v>Active</v>
      </c>
      <c r="J1050" s="3">
        <f>IFERROR(E1050*VLOOKUP(B1050,PLInter!$A:$D,3,FALSE),"")</f>
        <v>580</v>
      </c>
      <c r="K1050" s="66"/>
      <c r="L1050" s="66"/>
      <c r="M1050" s="66"/>
      <c r="N1050" s="66"/>
      <c r="O1050" s="66"/>
      <c r="P1050" s="66"/>
      <c r="Q1050" s="66"/>
      <c r="R1050" s="66"/>
      <c r="S1050" s="66"/>
    </row>
    <row r="1051" spans="1:19" ht="18" customHeight="1">
      <c r="B1051" t="str">
        <f>"021182"</f>
        <v>021182</v>
      </c>
      <c r="C1051" t="s">
        <v>686</v>
      </c>
      <c r="D1051" s="4"/>
      <c r="E1051" s="4">
        <v>1</v>
      </c>
      <c r="F1051" s="4"/>
      <c r="G1051" s="29" t="str">
        <f>IFERROR(HYPERLINK("#"&amp;ADDRESS(MATCH(B1051&amp;"ES",'LM7 Non-ENG'!$A$1:$A$5000,0),1,,,"LM7 Non-ENG"),IF(IFERROR(VLOOKUP(B1051&amp;"ES",'LM7 Non-ENG'!$A$1:$A$4999,1,FALSE),"ERROR")=B1051&amp;"ES","Y","")),"")</f>
        <v/>
      </c>
      <c r="H1051" s="29" t="str">
        <f>IFERROR(HYPERLINK("#"&amp;ADDRESS(MATCH(B1051&amp;"PT",'LM7 Non-ENG'!$A$1:$A$5000,0),1,,,"LM7 Non-ENG"),IF(IFERROR(VLOOKUP(B1051&amp;"PT",'LM7 Non-ENG'!$A$1:$A$5000,1,FALSE),"ERROR")=B1051&amp;"PT","Y","")),"")</f>
        <v/>
      </c>
      <c r="I1051" t="str">
        <f>IFERROR(VLOOKUP(B1051,PN!$A:$C,3,FALSE),"")</f>
        <v>Active</v>
      </c>
      <c r="J1051" s="3">
        <f>IFERROR(E1051*VLOOKUP(B1051,PLInter!$A:$D,3,FALSE),"")</f>
        <v>16</v>
      </c>
      <c r="K1051" s="66"/>
      <c r="L1051" s="66"/>
      <c r="M1051" s="66"/>
      <c r="N1051" s="66"/>
      <c r="O1051" s="66"/>
      <c r="P1051" s="66"/>
      <c r="Q1051" s="66"/>
      <c r="R1051" s="66"/>
      <c r="S1051" s="66"/>
    </row>
    <row r="1052" spans="1:19" ht="18" customHeight="1">
      <c r="B1052" t="s">
        <v>735</v>
      </c>
      <c r="C1052" t="s">
        <v>736</v>
      </c>
      <c r="D1052" s="4"/>
      <c r="E1052" s="4">
        <v>1</v>
      </c>
      <c r="F1052" s="4"/>
      <c r="G1052" s="29" t="str">
        <f>IFERROR(HYPERLINK("#"&amp;ADDRESS(MATCH(B1052&amp;"ES",'LM7 Non-ENG'!$A$1:$A$5000,0),1,,,"LM7 Non-ENG"),IF(IFERROR(VLOOKUP(B1052&amp;"ES",'LM7 Non-ENG'!$A$1:$A$4999,1,FALSE),"ERROR")=B1052&amp;"ES","Y","")),"")</f>
        <v/>
      </c>
      <c r="H1052" s="29" t="str">
        <f>IFERROR(HYPERLINK("#"&amp;ADDRESS(MATCH(B1052&amp;"PT",'LM7 Non-ENG'!$A$1:$A$5000,0),1,,,"LM7 Non-ENG"),IF(IFERROR(VLOOKUP(B1052&amp;"PT",'LM7 Non-ENG'!$A$1:$A$5000,1,FALSE),"ERROR")=B1052&amp;"PT","Y","")),"")</f>
        <v/>
      </c>
      <c r="I1052" t="str">
        <f>IFERROR(VLOOKUP(B1052,PN!$A:$C,3,FALSE),"")</f>
        <v>Active</v>
      </c>
      <c r="J1052" s="3">
        <f>IFERROR(E1052*VLOOKUP(B1052,PLInter!$A:$D,3,FALSE),"")</f>
        <v>667</v>
      </c>
      <c r="K1052" s="66"/>
      <c r="L1052" s="66"/>
      <c r="M1052" s="66"/>
      <c r="N1052" s="66"/>
      <c r="O1052" s="66"/>
      <c r="P1052" s="66"/>
      <c r="Q1052" s="66"/>
      <c r="R1052" s="66"/>
      <c r="S1052" s="66"/>
    </row>
    <row r="1053" spans="1:19" ht="18" customHeight="1">
      <c r="B1053" t="s">
        <v>453</v>
      </c>
      <c r="C1053" t="s">
        <v>463</v>
      </c>
      <c r="D1053" s="4"/>
      <c r="E1053" s="4">
        <v>1</v>
      </c>
      <c r="F1053" s="4"/>
      <c r="G1053" s="29" t="str">
        <f>IFERROR(HYPERLINK("#"&amp;ADDRESS(MATCH(B1053&amp;"ES",'LM7 Non-ENG'!$A$1:$A$5000,0),1,,,"LM7 Non-ENG"),IF(IFERROR(VLOOKUP(B1053&amp;"ES",'LM7 Non-ENG'!$A$1:$A$4999,1,FALSE),"ERROR")=B1053&amp;"ES","Y","")),"")</f>
        <v/>
      </c>
      <c r="H1053" s="29" t="str">
        <f>IFERROR(HYPERLINK("#"&amp;ADDRESS(MATCH(B1053&amp;"PT",'LM7 Non-ENG'!$A$1:$A$5000,0),1,,,"LM7 Non-ENG"),IF(IFERROR(VLOOKUP(B1053&amp;"PT",'LM7 Non-ENG'!$A$1:$A$5000,1,FALSE),"ERROR")=B1053&amp;"PT","Y","")),"")</f>
        <v/>
      </c>
      <c r="I1053" t="str">
        <f>IFERROR(VLOOKUP(B1053,PN!$A:$C,3,FALSE),"")</f>
        <v>Active</v>
      </c>
      <c r="J1053" s="3">
        <f>IFERROR(E1053*VLOOKUP(B1053,PLInter!$A:$D,3,FALSE),"")</f>
        <v>14934</v>
      </c>
      <c r="K1053" s="66"/>
      <c r="L1053" s="66"/>
      <c r="M1053" s="66"/>
      <c r="N1053" s="66"/>
      <c r="O1053" s="66"/>
      <c r="P1053" s="66"/>
      <c r="Q1053" s="66"/>
      <c r="R1053" s="66"/>
      <c r="S1053" s="66"/>
    </row>
    <row r="1054" spans="1:19" ht="18" customHeight="1">
      <c r="B1054" s="2" t="s">
        <v>452</v>
      </c>
      <c r="C1054" s="2" t="s">
        <v>737</v>
      </c>
      <c r="D1054" s="5"/>
      <c r="E1054" s="5">
        <v>1</v>
      </c>
      <c r="F1054" s="5" t="s">
        <v>0</v>
      </c>
      <c r="G1054" s="29" t="str">
        <f>IFERROR(HYPERLINK("#"&amp;ADDRESS(MATCH(B1054&amp;"ES",'LM7 Non-ENG'!$A$1:$A$5000,0),1,,,"LM7 Non-ENG"),IF(IFERROR(VLOOKUP(B1054&amp;"ES",'LM7 Non-ENG'!$A$1:$A$4999,1,FALSE),"ERROR")=B1054&amp;"ES","Y","")),"")</f>
        <v/>
      </c>
      <c r="H1054" s="29" t="str">
        <f>IFERROR(HYPERLINK("#"&amp;ADDRESS(MATCH(B1054&amp;"PT",'LM7 Non-ENG'!$A$1:$A$5000,0),1,,,"LM7 Non-ENG"),IF(IFERROR(VLOOKUP(B1054&amp;"PT",'LM7 Non-ENG'!$A$1:$A$5000,1,FALSE),"ERROR")=B1054&amp;"PT","Y","")),"")</f>
        <v/>
      </c>
      <c r="I1054" t="str">
        <f>IFERROR(VLOOKUP(B1054,PN!$A:$C,3,FALSE),"")</f>
        <v>Active</v>
      </c>
      <c r="J1054" s="3">
        <f>IFERROR(E1054*VLOOKUP(B1054,PLInter!$A:$D,3,FALSE),"")</f>
        <v>14934</v>
      </c>
      <c r="K1054" s="66"/>
      <c r="L1054" s="66"/>
      <c r="M1054" s="66"/>
      <c r="N1054" s="66"/>
      <c r="O1054" s="66"/>
      <c r="P1054" s="66"/>
      <c r="Q1054" s="66"/>
      <c r="R1054" s="66"/>
      <c r="S1054" s="66"/>
    </row>
    <row r="1055" spans="1:19" ht="18" customHeight="1">
      <c r="B1055" t="s">
        <v>518</v>
      </c>
      <c r="C1055" t="s">
        <v>738</v>
      </c>
      <c r="D1055" s="4"/>
      <c r="E1055" s="4">
        <v>1</v>
      </c>
      <c r="F1055" s="4"/>
      <c r="G1055" s="29" t="str">
        <f>IFERROR(HYPERLINK("#"&amp;ADDRESS(MATCH(B1055&amp;"ES",'LM7 Non-ENG'!$A$1:$A$5000,0),1,,,"LM7 Non-ENG"),IF(IFERROR(VLOOKUP(B1055&amp;"ES",'LM7 Non-ENG'!$A$1:$A$4999,1,FALSE),"ERROR")=B1055&amp;"ES","Y","")),"")</f>
        <v/>
      </c>
      <c r="H1055" s="29" t="str">
        <f>IFERROR(HYPERLINK("#"&amp;ADDRESS(MATCH(B1055&amp;"PT",'LM7 Non-ENG'!$A$1:$A$5000,0),1,,,"LM7 Non-ENG"),IF(IFERROR(VLOOKUP(B1055&amp;"PT",'LM7 Non-ENG'!$A$1:$A$5000,1,FALSE),"ERROR")=B1055&amp;"PT","Y","")),"")</f>
        <v/>
      </c>
      <c r="I1055" t="str">
        <f>IFERROR(VLOOKUP(B1055,PN!$A:$C,3,FALSE),"")</f>
        <v>Active</v>
      </c>
      <c r="J1055" s="3">
        <f>IFERROR(E1055*VLOOKUP(B1055,PLInter!$A:$D,3,FALSE),"")</f>
        <v>534</v>
      </c>
      <c r="K1055" s="66"/>
      <c r="L1055" s="66"/>
      <c r="M1055" s="66"/>
      <c r="N1055" s="66"/>
      <c r="O1055" s="66"/>
      <c r="P1055" s="66"/>
      <c r="Q1055" s="66"/>
      <c r="R1055" s="66"/>
      <c r="S1055" s="66"/>
    </row>
    <row r="1056" spans="1:19" ht="18" customHeight="1">
      <c r="B1056" t="s">
        <v>515</v>
      </c>
      <c r="C1056" t="s">
        <v>739</v>
      </c>
      <c r="D1056" s="4"/>
      <c r="E1056" s="4">
        <v>1</v>
      </c>
      <c r="F1056" s="4"/>
      <c r="G1056" s="29" t="str">
        <f>IFERROR(HYPERLINK("#"&amp;ADDRESS(MATCH(B1056&amp;"ES",'LM7 Non-ENG'!$A$1:$A$5000,0),1,,,"LM7 Non-ENG"),IF(IFERROR(VLOOKUP(B1056&amp;"ES",'LM7 Non-ENG'!$A$1:$A$4999,1,FALSE),"ERROR")=B1056&amp;"ES","Y","")),"")</f>
        <v/>
      </c>
      <c r="H1056" s="29" t="str">
        <f>IFERROR(HYPERLINK("#"&amp;ADDRESS(MATCH(B1056&amp;"PT",'LM7 Non-ENG'!$A$1:$A$5000,0),1,,,"LM7 Non-ENG"),IF(IFERROR(VLOOKUP(B1056&amp;"PT",'LM7 Non-ENG'!$A$1:$A$5000,1,FALSE),"ERROR")=B1056&amp;"PT","Y","")),"")</f>
        <v/>
      </c>
      <c r="I1056" t="str">
        <f>IFERROR(VLOOKUP(B1056,PN!$A:$C,3,FALSE),"")</f>
        <v>Active</v>
      </c>
      <c r="J1056" s="3">
        <f>IFERROR(E1056*VLOOKUP(B1056,PLInter!$A:$D,3,FALSE),"")</f>
        <v>1895</v>
      </c>
      <c r="K1056" s="66"/>
      <c r="L1056" s="66"/>
      <c r="M1056" s="66"/>
      <c r="N1056" s="66"/>
      <c r="O1056" s="66"/>
      <c r="P1056" s="66"/>
      <c r="Q1056" s="66"/>
      <c r="R1056" s="66"/>
      <c r="S1056" s="66"/>
    </row>
    <row r="1057" spans="2:19" ht="18" customHeight="1">
      <c r="B1057" s="1" t="s">
        <v>740</v>
      </c>
      <c r="C1057" s="1" t="s">
        <v>741</v>
      </c>
      <c r="D1057" s="6" t="s">
        <v>0</v>
      </c>
      <c r="E1057" s="6">
        <v>1</v>
      </c>
      <c r="F1057" s="6"/>
      <c r="G1057" s="29" t="str">
        <f>IFERROR(HYPERLINK("#"&amp;ADDRESS(MATCH(B1057&amp;"ES",'LM7 Non-ENG'!$A$1:$A$5000,0),1,,,"LM7 Non-ENG"),IF(IFERROR(VLOOKUP(B1057&amp;"ES",'LM7 Non-ENG'!$A$1:$A$4999,1,FALSE),"ERROR")=B1057&amp;"ES","Y","")),"")</f>
        <v/>
      </c>
      <c r="H1057" s="29" t="str">
        <f>IFERROR(HYPERLINK("#"&amp;ADDRESS(MATCH(B1057&amp;"PT",'LM7 Non-ENG'!$A$1:$A$5000,0),1,,,"LM7 Non-ENG"),IF(IFERROR(VLOOKUP(B1057&amp;"PT",'LM7 Non-ENG'!$A$1:$A$5000,1,FALSE),"ERROR")=B1057&amp;"PT","Y","")),"")</f>
        <v/>
      </c>
      <c r="I1057" t="str">
        <f>IFERROR(VLOOKUP(B1057,PN!$A:$C,3,FALSE),"")</f>
        <v>Active</v>
      </c>
      <c r="J1057" s="3" t="str">
        <f>IFERROR(E1057*VLOOKUP(B1057,PLInter!$A:$D,3,FALSE),"")</f>
        <v/>
      </c>
      <c r="K1057" s="66"/>
      <c r="L1057" s="66"/>
      <c r="M1057" s="66"/>
      <c r="N1057" s="66"/>
      <c r="O1057" s="66"/>
      <c r="P1057" s="66"/>
      <c r="Q1057" s="66"/>
      <c r="R1057" s="66"/>
      <c r="S1057" s="66"/>
    </row>
    <row r="1058" spans="2:19" ht="18" customHeight="1">
      <c r="B1058" t="s">
        <v>504</v>
      </c>
      <c r="C1058" t="s">
        <v>742</v>
      </c>
      <c r="D1058" s="4"/>
      <c r="E1058" s="4">
        <v>1</v>
      </c>
      <c r="F1058" s="4"/>
      <c r="G1058" s="29" t="str">
        <f>IFERROR(HYPERLINK("#"&amp;ADDRESS(MATCH(B1058&amp;"ES",'LM7 Non-ENG'!$A$1:$A$5000,0),1,,,"LM7 Non-ENG"),IF(IFERROR(VLOOKUP(B1058&amp;"ES",'LM7 Non-ENG'!$A$1:$A$4999,1,FALSE),"ERROR")=B1058&amp;"ES","Y","")),"")</f>
        <v/>
      </c>
      <c r="H1058" s="29" t="str">
        <f>IFERROR(HYPERLINK("#"&amp;ADDRESS(MATCH(B1058&amp;"PT",'LM7 Non-ENG'!$A$1:$A$5000,0),1,,,"LM7 Non-ENG"),IF(IFERROR(VLOOKUP(B1058&amp;"PT",'LM7 Non-ENG'!$A$1:$A$5000,1,FALSE),"ERROR")=B1058&amp;"PT","Y","")),"")</f>
        <v/>
      </c>
      <c r="I1058" t="str">
        <f>IFERROR(VLOOKUP(B1058,PN!$A:$C,3,FALSE),"")</f>
        <v>Active</v>
      </c>
      <c r="J1058" s="3">
        <f>IFERROR(E1058*VLOOKUP(B1058,PLInter!$A:$D,3,FALSE),"")</f>
        <v>227</v>
      </c>
      <c r="K1058" s="66"/>
      <c r="L1058" s="66"/>
      <c r="M1058" s="66"/>
      <c r="N1058" s="66"/>
      <c r="O1058" s="66"/>
      <c r="P1058" s="66"/>
      <c r="Q1058" s="66"/>
      <c r="R1058" s="66"/>
      <c r="S1058" s="66"/>
    </row>
    <row r="1059" spans="2:19" ht="18" customHeight="1">
      <c r="B1059" t="s">
        <v>505</v>
      </c>
      <c r="C1059" t="s">
        <v>743</v>
      </c>
      <c r="D1059" s="4"/>
      <c r="E1059" s="4">
        <v>1</v>
      </c>
      <c r="F1059" s="4"/>
      <c r="G1059" s="29" t="str">
        <f>IFERROR(HYPERLINK("#"&amp;ADDRESS(MATCH(B1059&amp;"ES",'LM7 Non-ENG'!$A$1:$A$5000,0),1,,,"LM7 Non-ENG"),IF(IFERROR(VLOOKUP(B1059&amp;"ES",'LM7 Non-ENG'!$A$1:$A$4999,1,FALSE),"ERROR")=B1059&amp;"ES","Y","")),"")</f>
        <v/>
      </c>
      <c r="H1059" s="29" t="str">
        <f>IFERROR(HYPERLINK("#"&amp;ADDRESS(MATCH(B1059&amp;"PT",'LM7 Non-ENG'!$A$1:$A$5000,0),1,,,"LM7 Non-ENG"),IF(IFERROR(VLOOKUP(B1059&amp;"PT",'LM7 Non-ENG'!$A$1:$A$5000,1,FALSE),"ERROR")=B1059&amp;"PT","Y","")),"")</f>
        <v/>
      </c>
      <c r="I1059" t="str">
        <f>IFERROR(VLOOKUP(B1059,PN!$A:$C,3,FALSE),"")</f>
        <v>Active</v>
      </c>
      <c r="J1059" s="3">
        <f>IFERROR(E1059*VLOOKUP(B1059,PLInter!$A:$D,3,FALSE),"")</f>
        <v>200</v>
      </c>
      <c r="K1059" s="66"/>
      <c r="L1059" s="66"/>
      <c r="M1059" s="66"/>
      <c r="N1059" s="66"/>
      <c r="O1059" s="66"/>
      <c r="P1059" s="66"/>
      <c r="Q1059" s="66"/>
      <c r="R1059" s="66"/>
      <c r="S1059" s="66"/>
    </row>
    <row r="1060" spans="2:19" ht="18" customHeight="1">
      <c r="B1060" t="s">
        <v>502</v>
      </c>
      <c r="C1060" t="s">
        <v>744</v>
      </c>
      <c r="D1060" s="4"/>
      <c r="E1060" s="4">
        <v>1</v>
      </c>
      <c r="F1060" s="4"/>
      <c r="G1060" s="29" t="str">
        <f>IFERROR(HYPERLINK("#"&amp;ADDRESS(MATCH(B1060&amp;"ES",'LM7 Non-ENG'!$A$1:$A$5000,0),1,,,"LM7 Non-ENG"),IF(IFERROR(VLOOKUP(B1060&amp;"ES",'LM7 Non-ENG'!$A$1:$A$4999,1,FALSE),"ERROR")=B1060&amp;"ES","Y","")),"")</f>
        <v/>
      </c>
      <c r="H1060" s="29" t="str">
        <f>IFERROR(HYPERLINK("#"&amp;ADDRESS(MATCH(B1060&amp;"PT",'LM7 Non-ENG'!$A$1:$A$5000,0),1,,,"LM7 Non-ENG"),IF(IFERROR(VLOOKUP(B1060&amp;"PT",'LM7 Non-ENG'!$A$1:$A$5000,1,FALSE),"ERROR")=B1060&amp;"PT","Y","")),"")</f>
        <v/>
      </c>
      <c r="I1060" t="str">
        <f>IFERROR(VLOOKUP(B1060,PN!$A:$C,3,FALSE),"")</f>
        <v>Active</v>
      </c>
      <c r="J1060" s="3">
        <f>IFERROR(E1060*VLOOKUP(B1060,PLInter!$A:$D,3,FALSE),"")</f>
        <v>87</v>
      </c>
      <c r="K1060" s="66"/>
      <c r="L1060" s="66"/>
      <c r="M1060" s="66"/>
      <c r="N1060" s="66"/>
      <c r="O1060" s="66"/>
      <c r="P1060" s="66"/>
      <c r="Q1060" s="66"/>
      <c r="R1060" s="66"/>
      <c r="S1060" s="66"/>
    </row>
    <row r="1061" spans="2:19" ht="18" customHeight="1">
      <c r="B1061" t="s">
        <v>503</v>
      </c>
      <c r="C1061" t="s">
        <v>745</v>
      </c>
      <c r="D1061" s="4"/>
      <c r="E1061" s="4">
        <v>1</v>
      </c>
      <c r="F1061" s="4"/>
      <c r="G1061" s="29" t="str">
        <f>IFERROR(HYPERLINK("#"&amp;ADDRESS(MATCH(B1061&amp;"ES",'LM7 Non-ENG'!$A$1:$A$5000,0),1,,,"LM7 Non-ENG"),IF(IFERROR(VLOOKUP(B1061&amp;"ES",'LM7 Non-ENG'!$A$1:$A$4999,1,FALSE),"ERROR")=B1061&amp;"ES","Y","")),"")</f>
        <v/>
      </c>
      <c r="H1061" s="29" t="str">
        <f>IFERROR(HYPERLINK("#"&amp;ADDRESS(MATCH(B1061&amp;"PT",'LM7 Non-ENG'!$A$1:$A$5000,0),1,,,"LM7 Non-ENG"),IF(IFERROR(VLOOKUP(B1061&amp;"PT",'LM7 Non-ENG'!$A$1:$A$5000,1,FALSE),"ERROR")=B1061&amp;"PT","Y","")),"")</f>
        <v/>
      </c>
      <c r="I1061" t="str">
        <f>IFERROR(VLOOKUP(B1061,PN!$A:$C,3,FALSE),"")</f>
        <v>Active</v>
      </c>
      <c r="J1061" s="3">
        <f>IFERROR(E1061*VLOOKUP(B1061,PLInter!$A:$D,3,FALSE),"")</f>
        <v>74</v>
      </c>
      <c r="K1061" s="66"/>
      <c r="L1061" s="66"/>
      <c r="M1061" s="66"/>
      <c r="N1061" s="66"/>
      <c r="O1061" s="66"/>
      <c r="P1061" s="66"/>
      <c r="Q1061" s="66"/>
      <c r="R1061" s="66"/>
      <c r="S1061" s="66"/>
    </row>
    <row r="1062" spans="2:19" ht="18" customHeight="1">
      <c r="B1062" t="s">
        <v>478</v>
      </c>
      <c r="C1062" t="s">
        <v>800</v>
      </c>
      <c r="D1062" s="4"/>
      <c r="E1062" s="4">
        <v>1</v>
      </c>
      <c r="F1062" s="4"/>
      <c r="G1062" s="29" t="str">
        <f>IFERROR(HYPERLINK("#"&amp;ADDRESS(MATCH(B1062&amp;"ES",'LM7 Non-ENG'!$A$1:$A$5000,0),1,,,"LM7 Non-ENG"),IF(IFERROR(VLOOKUP(B1062&amp;"ES",'LM7 Non-ENG'!$A$1:$A$4999,1,FALSE),"ERROR")=B1062&amp;"ES","Y","")),"")</f>
        <v/>
      </c>
      <c r="H1062" s="29" t="str">
        <f>IFERROR(HYPERLINK("#"&amp;ADDRESS(MATCH(B1062&amp;"PT",'LM7 Non-ENG'!$A$1:$A$5000,0),1,,,"LM7 Non-ENG"),IF(IFERROR(VLOOKUP(B1062&amp;"PT",'LM7 Non-ENG'!$A$1:$A$5000,1,FALSE),"ERROR")=B1062&amp;"PT","Y","")),"")</f>
        <v/>
      </c>
      <c r="I1062" t="str">
        <f>IFERROR(VLOOKUP(B1062,PN!$A:$C,3,FALSE),"")</f>
        <v>Active</v>
      </c>
      <c r="J1062" s="3">
        <f>IFERROR(E1062*VLOOKUP(B1062,PLInter!$A:$D,3,FALSE),"")</f>
        <v>795</v>
      </c>
      <c r="K1062" s="66"/>
      <c r="L1062" s="66"/>
      <c r="M1062" s="66"/>
      <c r="N1062" s="66"/>
      <c r="O1062" s="66"/>
      <c r="P1062" s="66"/>
      <c r="Q1062" s="66"/>
      <c r="R1062" s="66"/>
      <c r="S1062" s="66"/>
    </row>
    <row r="1063" spans="2:19" ht="18" customHeight="1">
      <c r="B1063" s="1" t="s">
        <v>506</v>
      </c>
      <c r="C1063" s="1" t="s">
        <v>746</v>
      </c>
      <c r="D1063" s="6" t="s">
        <v>0</v>
      </c>
      <c r="E1063" s="6">
        <v>1</v>
      </c>
      <c r="F1063" s="6"/>
      <c r="G1063" s="29" t="str">
        <f>IFERROR(HYPERLINK("#"&amp;ADDRESS(MATCH(B1063&amp;"ES",'LM7 Non-ENG'!$A$1:$A$5000,0),1,,,"LM7 Non-ENG"),IF(IFERROR(VLOOKUP(B1063&amp;"ES",'LM7 Non-ENG'!$A$1:$A$4999,1,FALSE),"ERROR")=B1063&amp;"ES","Y","")),"")</f>
        <v/>
      </c>
      <c r="H1063" s="29" t="str">
        <f>IFERROR(HYPERLINK("#"&amp;ADDRESS(MATCH(B1063&amp;"PT",'LM7 Non-ENG'!$A$1:$A$5000,0),1,,,"LM7 Non-ENG"),IF(IFERROR(VLOOKUP(B1063&amp;"PT",'LM7 Non-ENG'!$A$1:$A$5000,1,FALSE),"ERROR")=B1063&amp;"PT","Y","")),"")</f>
        <v/>
      </c>
      <c r="I1063" t="str">
        <f>IFERROR(VLOOKUP(B1063,PN!$A:$C,3,FALSE),"")</f>
        <v>Active</v>
      </c>
      <c r="J1063" s="3">
        <f>IFERROR(E1063*VLOOKUP(B1063,PLInter!$A:$D,3,FALSE),"")</f>
        <v>231</v>
      </c>
      <c r="K1063" s="66"/>
      <c r="L1063" s="66"/>
      <c r="M1063" s="66"/>
      <c r="N1063" s="66"/>
      <c r="O1063" s="66"/>
      <c r="P1063" s="66"/>
      <c r="Q1063" s="66"/>
      <c r="R1063" s="66"/>
      <c r="S1063" s="66"/>
    </row>
    <row r="1064" spans="2:19" ht="18" customHeight="1">
      <c r="B1064" s="1" t="s">
        <v>480</v>
      </c>
      <c r="C1064" s="1" t="s">
        <v>894</v>
      </c>
      <c r="D1064" s="6" t="s">
        <v>0</v>
      </c>
      <c r="E1064" s="6">
        <v>1</v>
      </c>
      <c r="F1064" s="6"/>
      <c r="G1064" s="29" t="str">
        <f>IFERROR(HYPERLINK("#"&amp;ADDRESS(MATCH(B1064&amp;"ES",'LM7 Non-ENG'!$A$1:$A$5000,0),1,,,"LM7 Non-ENG"),IF(IFERROR(VLOOKUP(B1064&amp;"ES",'LM7 Non-ENG'!$A$1:$A$4999,1,FALSE),"ERROR")=B1064&amp;"ES","Y","")),"")</f>
        <v/>
      </c>
      <c r="H1064" s="29" t="str">
        <f>IFERROR(HYPERLINK("#"&amp;ADDRESS(MATCH(B1064&amp;"PT",'LM7 Non-ENG'!$A$1:$A$5000,0),1,,,"LM7 Non-ENG"),IF(IFERROR(VLOOKUP(B1064&amp;"PT",'LM7 Non-ENG'!$A$1:$A$5000,1,FALSE),"ERROR")=B1064&amp;"PT","Y","")),"")</f>
        <v/>
      </c>
      <c r="I1064" t="str">
        <f>IFERROR(VLOOKUP(B1064,PN!$A:$C,3,FALSE),"")</f>
        <v>Active</v>
      </c>
      <c r="J1064" s="3">
        <f>IFERROR(E1064*VLOOKUP(B1064,PLInter!$A:$D,3,FALSE),"")</f>
        <v>407</v>
      </c>
      <c r="K1064" s="66"/>
      <c r="L1064" s="66"/>
      <c r="M1064" s="66"/>
      <c r="N1064" s="66"/>
      <c r="O1064" s="66"/>
      <c r="P1064" s="66"/>
      <c r="Q1064" s="66"/>
      <c r="R1064" s="66"/>
      <c r="S1064" s="66"/>
    </row>
    <row r="1065" spans="2:19" ht="18" customHeight="1">
      <c r="B1065" s="1" t="s">
        <v>479</v>
      </c>
      <c r="C1065" s="1" t="s">
        <v>810</v>
      </c>
      <c r="D1065" s="6" t="s">
        <v>0</v>
      </c>
      <c r="E1065" s="6">
        <v>1</v>
      </c>
      <c r="F1065" s="6" t="s">
        <v>0</v>
      </c>
      <c r="G1065" s="29" t="str">
        <f>IFERROR(HYPERLINK("#"&amp;ADDRESS(MATCH(B1065&amp;"ES",'LM7 Non-ENG'!$A$1:$A$5000,0),1,,,"LM7 Non-ENG"),IF(IFERROR(VLOOKUP(B1065&amp;"ES",'LM7 Non-ENG'!$A$1:$A$4999,1,FALSE),"ERROR")=B1065&amp;"ES","Y","")),"")</f>
        <v/>
      </c>
      <c r="H1065" s="29" t="str">
        <f>IFERROR(HYPERLINK("#"&amp;ADDRESS(MATCH(B1065&amp;"PT",'LM7 Non-ENG'!$A$1:$A$5000,0),1,,,"LM7 Non-ENG"),IF(IFERROR(VLOOKUP(B1065&amp;"PT",'LM7 Non-ENG'!$A$1:$A$5000,1,FALSE),"ERROR")=B1065&amp;"PT","Y","")),"")</f>
        <v/>
      </c>
      <c r="I1065" t="str">
        <f>IFERROR(VLOOKUP(B1065,PN!$A:$C,3,FALSE),"")</f>
        <v>Active</v>
      </c>
      <c r="J1065" s="3">
        <f>IFERROR(E1065*VLOOKUP(B1065,PLInter!$A:$D,3,FALSE),"")</f>
        <v>407</v>
      </c>
      <c r="K1065" s="66"/>
      <c r="L1065" s="66"/>
      <c r="M1065" s="66"/>
      <c r="N1065" s="66"/>
      <c r="O1065" s="66"/>
      <c r="P1065" s="66"/>
      <c r="Q1065" s="66"/>
      <c r="R1065" s="66"/>
      <c r="S1065" s="66"/>
    </row>
    <row r="1066" spans="2:19" ht="18" customHeight="1">
      <c r="B1066" t="s">
        <v>556</v>
      </c>
      <c r="C1066" t="s">
        <v>750</v>
      </c>
      <c r="D1066" s="4"/>
      <c r="E1066" s="4">
        <v>1</v>
      </c>
      <c r="F1066" s="4"/>
      <c r="G1066" s="29" t="str">
        <f>IFERROR(HYPERLINK("#"&amp;ADDRESS(MATCH(B1066&amp;"ES",'LM7 Non-ENG'!$A$1:$A$5000,0),1,,,"LM7 Non-ENG"),IF(IFERROR(VLOOKUP(B1066&amp;"ES",'LM7 Non-ENG'!$A$1:$A$4999,1,FALSE),"ERROR")=B1066&amp;"ES","Y","")),"")</f>
        <v/>
      </c>
      <c r="H1066" s="29" t="str">
        <f>IFERROR(HYPERLINK("#"&amp;ADDRESS(MATCH(B1066&amp;"PT",'LM7 Non-ENG'!$A$1:$A$5000,0),1,,,"LM7 Non-ENG"),IF(IFERROR(VLOOKUP(B1066&amp;"PT",'LM7 Non-ENG'!$A$1:$A$5000,1,FALSE),"ERROR")=B1066&amp;"PT","Y","")),"")</f>
        <v/>
      </c>
      <c r="I1066" t="str">
        <f>IFERROR(VLOOKUP(B1066,PN!$A:$C,3,FALSE),"")</f>
        <v>Active</v>
      </c>
      <c r="J1066" s="3">
        <f>IFERROR(E1066*VLOOKUP(B1066,PLInter!$A:$D,3,FALSE),"")</f>
        <v>500</v>
      </c>
      <c r="K1066" s="66"/>
      <c r="L1066" s="66"/>
      <c r="M1066" s="66"/>
      <c r="N1066" s="66"/>
      <c r="O1066" s="66"/>
      <c r="P1066" s="66"/>
      <c r="Q1066" s="66"/>
      <c r="R1066" s="66"/>
      <c r="S1066" s="66"/>
    </row>
    <row r="1067" spans="2:19" ht="18" customHeight="1">
      <c r="B1067" t="s">
        <v>572</v>
      </c>
      <c r="C1067" t="s">
        <v>749</v>
      </c>
      <c r="D1067" s="4"/>
      <c r="E1067" s="4">
        <v>1</v>
      </c>
      <c r="F1067" s="4"/>
      <c r="G1067" s="29" t="str">
        <f>IFERROR(HYPERLINK("#"&amp;ADDRESS(MATCH(B1067&amp;"ES",'LM7 Non-ENG'!$A$1:$A$5000,0),1,,,"LM7 Non-ENG"),IF(IFERROR(VLOOKUP(B1067&amp;"ES",'LM7 Non-ENG'!$A$1:$A$4999,1,FALSE),"ERROR")=B1067&amp;"ES","Y","")),"")</f>
        <v/>
      </c>
      <c r="H1067" s="29" t="str">
        <f>IFERROR(HYPERLINK("#"&amp;ADDRESS(MATCH(B1067&amp;"PT",'LM7 Non-ENG'!$A$1:$A$5000,0),1,,,"LM7 Non-ENG"),IF(IFERROR(VLOOKUP(B1067&amp;"PT",'LM7 Non-ENG'!$A$1:$A$5000,1,FALSE),"ERROR")=B1067&amp;"PT","Y","")),"")</f>
        <v/>
      </c>
      <c r="I1067" t="str">
        <f>IFERROR(VLOOKUP(B1067,PN!$A:$C,3,FALSE),"")</f>
        <v>Active</v>
      </c>
      <c r="J1067" s="3">
        <f>IFERROR(E1067*VLOOKUP(B1067,PLInter!$A:$D,3,FALSE),"")</f>
        <v>500</v>
      </c>
      <c r="K1067" s="66"/>
      <c r="L1067" s="66"/>
      <c r="M1067" s="66"/>
      <c r="N1067" s="66"/>
      <c r="O1067" s="66"/>
      <c r="P1067" s="66"/>
      <c r="Q1067" s="66"/>
      <c r="R1067" s="66"/>
      <c r="S1067" s="66"/>
    </row>
    <row r="1068" spans="2:19" ht="18" customHeight="1">
      <c r="B1068" t="str">
        <f>"112496"</f>
        <v>112496</v>
      </c>
      <c r="C1068" t="s">
        <v>696</v>
      </c>
      <c r="D1068" s="4"/>
      <c r="E1068" s="4">
        <v>50</v>
      </c>
      <c r="F1068" s="4"/>
      <c r="G1068" s="29" t="str">
        <f>IFERROR(HYPERLINK("#"&amp;ADDRESS(MATCH(B1068&amp;"ES",'LM7 Non-ENG'!$A$1:$A$5000,0),1,,,"LM7 Non-ENG"),IF(IFERROR(VLOOKUP(B1068&amp;"ES",'LM7 Non-ENG'!$A$1:$A$4999,1,FALSE),"ERROR")=B1068&amp;"ES","Y","")),"")</f>
        <v/>
      </c>
      <c r="H1068" s="29" t="str">
        <f>IFERROR(HYPERLINK("#"&amp;ADDRESS(MATCH(B1068&amp;"PT",'LM7 Non-ENG'!$A$1:$A$5000,0),1,,,"LM7 Non-ENG"),IF(IFERROR(VLOOKUP(B1068&amp;"PT",'LM7 Non-ENG'!$A$1:$A$5000,1,FALSE),"ERROR")=B1068&amp;"PT","Y","")),"")</f>
        <v/>
      </c>
      <c r="I1068" t="str">
        <f>IFERROR(VLOOKUP(B1068,PN!$A:$C,3,FALSE),"")</f>
        <v>Active</v>
      </c>
      <c r="J1068" s="3">
        <f>IFERROR(E1068*VLOOKUP(B1068,PLInter!$A:$D,3,FALSE),"")</f>
        <v>1000</v>
      </c>
      <c r="K1068" s="66"/>
      <c r="L1068" s="66"/>
      <c r="M1068" s="66"/>
      <c r="N1068" s="66"/>
      <c r="O1068" s="66"/>
      <c r="P1068" s="66"/>
      <c r="Q1068" s="66"/>
      <c r="R1068" s="66"/>
      <c r="S1068" s="66"/>
    </row>
    <row r="1069" spans="2:19" ht="18" customHeight="1">
      <c r="B1069" t="s">
        <v>753</v>
      </c>
      <c r="C1069" t="s">
        <v>754</v>
      </c>
      <c r="D1069" s="4"/>
      <c r="E1069" s="4">
        <v>1</v>
      </c>
      <c r="F1069" s="4"/>
      <c r="G1069" s="29" t="str">
        <f>IFERROR(HYPERLINK("#"&amp;ADDRESS(MATCH(B1069&amp;"ES",'LM7 Non-ENG'!$A$1:$A$5000,0),1,,,"LM7 Non-ENG"),IF(IFERROR(VLOOKUP(B1069&amp;"ES",'LM7 Non-ENG'!$A$1:$A$4999,1,FALSE),"ERROR")=B1069&amp;"ES","Y","")),"")</f>
        <v/>
      </c>
      <c r="H1069" s="29" t="str">
        <f>IFERROR(HYPERLINK("#"&amp;ADDRESS(MATCH(B1069&amp;"PT",'LM7 Non-ENG'!$A$1:$A$5000,0),1,,,"LM7 Non-ENG"),IF(IFERROR(VLOOKUP(B1069&amp;"PT",'LM7 Non-ENG'!$A$1:$A$5000,1,FALSE),"ERROR")=B1069&amp;"PT","Y","")),"")</f>
        <v/>
      </c>
      <c r="I1069" t="str">
        <f>IFERROR(VLOOKUP(B1069,PN!$A:$C,3,FALSE),"")</f>
        <v>Active</v>
      </c>
      <c r="J1069" s="3">
        <f>IFERROR(E1069*VLOOKUP(B1069,PLInter!$A:$D,3,FALSE),"")</f>
        <v>3280</v>
      </c>
      <c r="K1069" s="66"/>
      <c r="L1069" s="66"/>
      <c r="M1069" s="66"/>
      <c r="N1069" s="66"/>
      <c r="O1069" s="66"/>
      <c r="P1069" s="66"/>
      <c r="Q1069" s="66"/>
      <c r="R1069" s="66"/>
      <c r="S1069" s="66"/>
    </row>
    <row r="1070" spans="2:19" ht="18" customHeight="1">
      <c r="B1070" t="s">
        <v>755</v>
      </c>
      <c r="C1070" t="s">
        <v>756</v>
      </c>
      <c r="D1070" s="4"/>
      <c r="E1070" s="4">
        <v>1</v>
      </c>
      <c r="F1070" s="4"/>
      <c r="G1070" s="29" t="str">
        <f>IFERROR(HYPERLINK("#"&amp;ADDRESS(MATCH(B1070&amp;"ES",'LM7 Non-ENG'!$A$1:$A$5000,0),1,,,"LM7 Non-ENG"),IF(IFERROR(VLOOKUP(B1070&amp;"ES",'LM7 Non-ENG'!$A$1:$A$4999,1,FALSE),"ERROR")=B1070&amp;"ES","Y","")),"")</f>
        <v/>
      </c>
      <c r="H1070" s="29" t="str">
        <f>IFERROR(HYPERLINK("#"&amp;ADDRESS(MATCH(B1070&amp;"PT",'LM7 Non-ENG'!$A$1:$A$5000,0),1,,,"LM7 Non-ENG"),IF(IFERROR(VLOOKUP(B1070&amp;"PT",'LM7 Non-ENG'!$A$1:$A$5000,1,FALSE),"ERROR")=B1070&amp;"PT","Y","")),"")</f>
        <v/>
      </c>
      <c r="I1070" t="str">
        <f>IFERROR(VLOOKUP(B1070,PN!$A:$C,3,FALSE),"")</f>
        <v>Active</v>
      </c>
      <c r="J1070" s="3">
        <f>IFERROR(E1070*VLOOKUP(B1070,PLInter!$A:$D,3,FALSE),"")</f>
        <v>516</v>
      </c>
      <c r="K1070" s="66"/>
      <c r="L1070" s="66"/>
      <c r="M1070" s="66"/>
      <c r="N1070" s="66"/>
      <c r="O1070" s="66"/>
      <c r="P1070" s="66"/>
      <c r="Q1070" s="66"/>
      <c r="R1070" s="66"/>
      <c r="S1070" s="66"/>
    </row>
    <row r="1071" spans="2:19" ht="18" customHeight="1">
      <c r="B1071" t="s">
        <v>630</v>
      </c>
      <c r="C1071" t="s">
        <v>631</v>
      </c>
      <c r="D1071" s="4"/>
      <c r="E1071" s="4">
        <v>1</v>
      </c>
      <c r="F1071" s="4"/>
      <c r="G1071" s="29" t="str">
        <f>IFERROR(HYPERLINK("#"&amp;ADDRESS(MATCH(B1071&amp;"ES",'LM7 Non-ENG'!$A$1:$A$5000,0),1,,,"LM7 Non-ENG"),IF(IFERROR(VLOOKUP(B1071&amp;"ES",'LM7 Non-ENG'!$A$1:$A$4999,1,FALSE),"ERROR")=B1071&amp;"ES","Y","")),"")</f>
        <v/>
      </c>
      <c r="H1071" s="29" t="str">
        <f>IFERROR(HYPERLINK("#"&amp;ADDRESS(MATCH(B1071&amp;"PT",'LM7 Non-ENG'!$A$1:$A$5000,0),1,,,"LM7 Non-ENG"),IF(IFERROR(VLOOKUP(B1071&amp;"PT",'LM7 Non-ENG'!$A$1:$A$5000,1,FALSE),"ERROR")=B1071&amp;"PT","Y","")),"")</f>
        <v/>
      </c>
      <c r="I1071" t="str">
        <f>IFERROR(VLOOKUP(B1071,PN!$A:$C,3,FALSE),"")</f>
        <v>Active</v>
      </c>
      <c r="J1071" s="3">
        <f>IFERROR(E1071*VLOOKUP(B1071,PLInter!$A:$D,3,FALSE),"")</f>
        <v>1735</v>
      </c>
      <c r="K1071" s="66"/>
      <c r="L1071" s="66"/>
      <c r="M1071" s="66"/>
      <c r="N1071" s="66"/>
      <c r="O1071" s="66"/>
      <c r="P1071" s="66"/>
      <c r="Q1071" s="66"/>
      <c r="R1071" s="66"/>
      <c r="S1071" s="66"/>
    </row>
    <row r="1073" spans="1:19" s="7" customFormat="1" ht="18" customHeight="1">
      <c r="A1073" s="13" t="s">
        <v>900</v>
      </c>
      <c r="B1073" s="13"/>
      <c r="C1073" s="13" t="s">
        <v>901</v>
      </c>
      <c r="D1073" s="14"/>
      <c r="E1073" s="14"/>
      <c r="F1073" s="14"/>
      <c r="G1073" s="14"/>
      <c r="H1073" s="14"/>
      <c r="I1073" s="14"/>
      <c r="J1073" s="14">
        <f>SUMIFS(J1074:J1084,D1074:D1084,"&lt;&gt;Y",F1074:F1084,"&lt;&gt;Y",I1074:I1084,"&lt;&gt;Inactive",I1074:I1084,"&lt;&gt;ECO+NFS")</f>
        <v>94539</v>
      </c>
      <c r="K1073" s="14"/>
      <c r="L1073" s="14"/>
      <c r="M1073" s="14"/>
      <c r="N1073" s="14"/>
      <c r="O1073" s="14"/>
      <c r="P1073" s="14"/>
      <c r="Q1073" s="14"/>
      <c r="R1073" s="14"/>
      <c r="S1073" s="14"/>
    </row>
    <row r="1074" spans="1:19" ht="18" customHeight="1">
      <c r="A1074" s="17" t="str">
        <f>HYPERLINK("#"&amp;ADDRESS(MATCH(A1073,'CIM&amp;FMS'!$A$1:$A$4997,0),1,,,"CIM&amp;FMS"),"Back to Price List")</f>
        <v>Back to Price List</v>
      </c>
      <c r="B1074" t="s">
        <v>215</v>
      </c>
      <c r="C1074" t="s">
        <v>217</v>
      </c>
      <c r="D1074" s="4"/>
      <c r="E1074" s="4">
        <v>1</v>
      </c>
      <c r="F1074" s="4"/>
      <c r="G1074" s="29" t="str">
        <f>IFERROR(HYPERLINK("#"&amp;ADDRESS(MATCH(B1074&amp;"ES",'LM7 Non-ENG'!$A$1:$A$5000,0),1,,,"LM7 Non-ENG"),IF(IFERROR(VLOOKUP(B1074&amp;"ES",'LM7 Non-ENG'!$A$1:$A$4999,1,FALSE),"ERROR")=B1074&amp;"ES","Y","")),"")</f>
        <v/>
      </c>
      <c r="H1074" s="29" t="str">
        <f>IFERROR(HYPERLINK("#"&amp;ADDRESS(MATCH(B1074&amp;"PT",'LM7 Non-ENG'!$A$1:$A$5000,0),1,,,"LM7 Non-ENG"),IF(IFERROR(VLOOKUP(B1074&amp;"PT",'LM7 Non-ENG'!$A$1:$A$5000,1,FALSE),"ERROR")=B1074&amp;"PT","Y","")),"")</f>
        <v/>
      </c>
      <c r="I1074" t="str">
        <f>IFERROR(VLOOKUP(B1074,PN!$A:$C,3,FALSE),"")</f>
        <v>Active</v>
      </c>
      <c r="J1074" s="3">
        <f>IFERROR(E1074*VLOOKUP(B1074,PLInter!$A:$D,3,FALSE),"")</f>
        <v>35000</v>
      </c>
      <c r="K1074" s="66"/>
      <c r="L1074" s="66"/>
      <c r="M1074" s="66"/>
      <c r="N1074" s="66"/>
      <c r="O1074" s="66"/>
      <c r="P1074" s="66"/>
      <c r="Q1074" s="66"/>
      <c r="R1074" s="66"/>
      <c r="S1074" s="66"/>
    </row>
    <row r="1075" spans="1:19" ht="18" customHeight="1">
      <c r="B1075" t="s">
        <v>230</v>
      </c>
      <c r="C1075" t="s">
        <v>235</v>
      </c>
      <c r="D1075" s="4"/>
      <c r="E1075" s="4">
        <v>1</v>
      </c>
      <c r="F1075" s="4"/>
      <c r="G1075" s="29" t="str">
        <f>IFERROR(HYPERLINK("#"&amp;ADDRESS(MATCH(B1075&amp;"ES",'LM7 Non-ENG'!$A$1:$A$5000,0),1,,,"LM7 Non-ENG"),IF(IFERROR(VLOOKUP(B1075&amp;"ES",'LM7 Non-ENG'!$A$1:$A$4999,1,FALSE),"ERROR")=B1075&amp;"ES","Y","")),"")</f>
        <v/>
      </c>
      <c r="H1075" s="29" t="str">
        <f>IFERROR(HYPERLINK("#"&amp;ADDRESS(MATCH(B1075&amp;"PT",'LM7 Non-ENG'!$A$1:$A$5000,0),1,,,"LM7 Non-ENG"),IF(IFERROR(VLOOKUP(B1075&amp;"PT",'LM7 Non-ENG'!$A$1:$A$5000,1,FALSE),"ERROR")=B1075&amp;"PT","Y","")),"")</f>
        <v/>
      </c>
      <c r="I1075" t="str">
        <f>IFERROR(VLOOKUP(B1075,PN!$A:$C,3,FALSE),"")</f>
        <v>Active</v>
      </c>
      <c r="J1075" s="3">
        <f>IFERROR(E1075*VLOOKUP(B1075,PLInter!$A:$D,3,FALSE),"")</f>
        <v>3200</v>
      </c>
      <c r="K1075" s="66"/>
      <c r="L1075" s="66"/>
      <c r="M1075" s="66"/>
      <c r="N1075" s="66"/>
      <c r="O1075" s="66"/>
      <c r="P1075" s="66"/>
      <c r="Q1075" s="66"/>
      <c r="R1075" s="66"/>
      <c r="S1075" s="66"/>
    </row>
    <row r="1076" spans="1:19" ht="18" customHeight="1">
      <c r="B1076" t="s">
        <v>680</v>
      </c>
      <c r="C1076" t="s">
        <v>681</v>
      </c>
      <c r="D1076" s="4"/>
      <c r="E1076" s="4">
        <v>1</v>
      </c>
      <c r="F1076" s="4"/>
      <c r="G1076" s="29" t="str">
        <f>IFERROR(HYPERLINK("#"&amp;ADDRESS(MATCH(B1076&amp;"ES",'LM7 Non-ENG'!$A$1:$A$5000,0),1,,,"LM7 Non-ENG"),IF(IFERROR(VLOOKUP(B1076&amp;"ES",'LM7 Non-ENG'!$A$1:$A$4999,1,FALSE),"ERROR")=B1076&amp;"ES","Y","")),"")</f>
        <v/>
      </c>
      <c r="H1076" s="29" t="str">
        <f>IFERROR(HYPERLINK("#"&amp;ADDRESS(MATCH(B1076&amp;"PT",'LM7 Non-ENG'!$A$1:$A$5000,0),1,,,"LM7 Non-ENG"),IF(IFERROR(VLOOKUP(B1076&amp;"PT",'LM7 Non-ENG'!$A$1:$A$5000,1,FALSE),"ERROR")=B1076&amp;"PT","Y","")),"")</f>
        <v/>
      </c>
      <c r="I1076" t="str">
        <f>IFERROR(VLOOKUP(B1076,PN!$A:$C,3,FALSE),"")</f>
        <v>Active</v>
      </c>
      <c r="J1076" s="3">
        <f>IFERROR(E1076*VLOOKUP(B1076,PLInter!$A:$D,3,FALSE),"")</f>
        <v>1440</v>
      </c>
      <c r="K1076" s="66"/>
      <c r="L1076" s="66"/>
      <c r="M1076" s="66"/>
      <c r="N1076" s="66"/>
      <c r="O1076" s="66"/>
      <c r="P1076" s="66"/>
      <c r="Q1076" s="66"/>
      <c r="R1076" s="66"/>
      <c r="S1076" s="66"/>
    </row>
    <row r="1077" spans="1:19" ht="18" customHeight="1">
      <c r="B1077" t="s">
        <v>684</v>
      </c>
      <c r="C1077" t="s">
        <v>685</v>
      </c>
      <c r="D1077" s="4"/>
      <c r="E1077" s="4">
        <v>1</v>
      </c>
      <c r="F1077" s="4"/>
      <c r="G1077" s="29" t="str">
        <f>IFERROR(HYPERLINK("#"&amp;ADDRESS(MATCH(B1077&amp;"ES",'LM7 Non-ENG'!$A$1:$A$5000,0),1,,,"LM7 Non-ENG"),IF(IFERROR(VLOOKUP(B1077&amp;"ES",'LM7 Non-ENG'!$A$1:$A$4999,1,FALSE),"ERROR")=B1077&amp;"ES","Y","")),"")</f>
        <v/>
      </c>
      <c r="H1077" s="29" t="str">
        <f>IFERROR(HYPERLINK("#"&amp;ADDRESS(MATCH(B1077&amp;"PT",'LM7 Non-ENG'!$A$1:$A$5000,0),1,,,"LM7 Non-ENG"),IF(IFERROR(VLOOKUP(B1077&amp;"PT",'LM7 Non-ENG'!$A$1:$A$5000,1,FALSE),"ERROR")=B1077&amp;"PT","Y","")),"")</f>
        <v/>
      </c>
      <c r="I1077" t="str">
        <f>IFERROR(VLOOKUP(B1077,PN!$A:$C,3,FALSE),"")</f>
        <v>Active</v>
      </c>
      <c r="J1077" s="3">
        <f>IFERROR(E1077*VLOOKUP(B1077,PLInter!$A:$D,3,FALSE),"")</f>
        <v>580</v>
      </c>
      <c r="K1077" s="66"/>
      <c r="L1077" s="66"/>
      <c r="M1077" s="66"/>
      <c r="N1077" s="66"/>
      <c r="O1077" s="66"/>
      <c r="P1077" s="66"/>
      <c r="Q1077" s="66"/>
      <c r="R1077" s="66"/>
      <c r="S1077" s="66"/>
    </row>
    <row r="1078" spans="1:19" ht="18" customHeight="1">
      <c r="B1078" t="str">
        <f>"021181"</f>
        <v>021181</v>
      </c>
      <c r="C1078" t="s">
        <v>667</v>
      </c>
      <c r="D1078" s="4"/>
      <c r="E1078" s="4">
        <v>1</v>
      </c>
      <c r="F1078" s="4"/>
      <c r="G1078" s="29" t="str">
        <f>IFERROR(HYPERLINK("#"&amp;ADDRESS(MATCH(B1078&amp;"ES",'LM7 Non-ENG'!$A$1:$A$5000,0),1,,,"LM7 Non-ENG"),IF(IFERROR(VLOOKUP(B1078&amp;"ES",'LM7 Non-ENG'!$A$1:$A$4999,1,FALSE),"ERROR")=B1078&amp;"ES","Y","")),"")</f>
        <v/>
      </c>
      <c r="H1078" s="29" t="str">
        <f>IFERROR(HYPERLINK("#"&amp;ADDRESS(MATCH(B1078&amp;"PT",'LM7 Non-ENG'!$A$1:$A$5000,0),1,,,"LM7 Non-ENG"),IF(IFERROR(VLOOKUP(B1078&amp;"PT",'LM7 Non-ENG'!$A$1:$A$5000,1,FALSE),"ERROR")=B1078&amp;"PT","Y","")),"")</f>
        <v/>
      </c>
      <c r="I1078" t="str">
        <f>IFERROR(VLOOKUP(B1078,PN!$A:$C,3,FALSE),"")</f>
        <v>Active</v>
      </c>
      <c r="J1078" s="3">
        <f>IFERROR(E1078*VLOOKUP(B1078,PLInter!$A:$D,3,FALSE),"")</f>
        <v>34</v>
      </c>
      <c r="K1078" s="66"/>
      <c r="L1078" s="66"/>
      <c r="M1078" s="66"/>
      <c r="N1078" s="66"/>
      <c r="O1078" s="66"/>
      <c r="P1078" s="66"/>
      <c r="Q1078" s="66"/>
      <c r="R1078" s="66"/>
      <c r="S1078" s="66"/>
    </row>
    <row r="1079" spans="1:19" ht="18" customHeight="1">
      <c r="B1079" t="str">
        <f>"113034"</f>
        <v>113034</v>
      </c>
      <c r="C1079" t="s">
        <v>695</v>
      </c>
      <c r="D1079" s="4"/>
      <c r="E1079" s="4">
        <v>50</v>
      </c>
      <c r="F1079" s="4"/>
      <c r="G1079" s="29" t="str">
        <f>IFERROR(HYPERLINK("#"&amp;ADDRESS(MATCH(B1079&amp;"ES",'LM7 Non-ENG'!$A$1:$A$5000,0),1,,,"LM7 Non-ENG"),IF(IFERROR(VLOOKUP(B1079&amp;"ES",'LM7 Non-ENG'!$A$1:$A$4999,1,FALSE),"ERROR")=B1079&amp;"ES","Y","")),"")</f>
        <v/>
      </c>
      <c r="H1079" s="29" t="str">
        <f>IFERROR(HYPERLINK("#"&amp;ADDRESS(MATCH(B1079&amp;"PT",'LM7 Non-ENG'!$A$1:$A$5000,0),1,,,"LM7 Non-ENG"),IF(IFERROR(VLOOKUP(B1079&amp;"PT",'LM7 Non-ENG'!$A$1:$A$5000,1,FALSE),"ERROR")=B1079&amp;"PT","Y","")),"")</f>
        <v/>
      </c>
      <c r="I1079" t="str">
        <f>IFERROR(VLOOKUP(B1079,PN!$A:$C,3,FALSE),"")</f>
        <v>Active</v>
      </c>
      <c r="J1079" s="3">
        <f>IFERROR(E1079*VLOOKUP(B1079,PLInter!$A:$D,3,FALSE),"")</f>
        <v>750</v>
      </c>
      <c r="K1079" s="66"/>
      <c r="L1079" s="66"/>
      <c r="M1079" s="66"/>
      <c r="N1079" s="66"/>
      <c r="O1079" s="66"/>
      <c r="P1079" s="66"/>
      <c r="Q1079" s="66"/>
      <c r="R1079" s="66"/>
      <c r="S1079" s="66"/>
    </row>
    <row r="1080" spans="1:19" ht="18" customHeight="1">
      <c r="B1080" t="s">
        <v>765</v>
      </c>
      <c r="C1080" t="s">
        <v>825</v>
      </c>
      <c r="D1080" s="4"/>
      <c r="E1080" s="4">
        <v>1</v>
      </c>
      <c r="F1080" s="4"/>
      <c r="G1080" s="29" t="str">
        <f>IFERROR(HYPERLINK("#"&amp;ADDRESS(MATCH(B1080&amp;"ES",'LM7 Non-ENG'!$A$1:$A$5000,0),1,,,"LM7 Non-ENG"),IF(IFERROR(VLOOKUP(B1080&amp;"ES",'LM7 Non-ENG'!$A$1:$A$4999,1,FALSE),"ERROR")=B1080&amp;"ES","Y","")),"")</f>
        <v/>
      </c>
      <c r="H1080" s="29" t="str">
        <f>IFERROR(HYPERLINK("#"&amp;ADDRESS(MATCH(B1080&amp;"PT",'LM7 Non-ENG'!$A$1:$A$5000,0),1,,,"LM7 Non-ENG"),IF(IFERROR(VLOOKUP(B1080&amp;"PT",'LM7 Non-ENG'!$A$1:$A$5000,1,FALSE),"ERROR")=B1080&amp;"PT","Y","")),"")</f>
        <v/>
      </c>
      <c r="I1080" t="str">
        <f>IFERROR(VLOOKUP(B1080,PN!$A:$C,3,FALSE),"")</f>
        <v>Active</v>
      </c>
      <c r="J1080" s="3">
        <f>IFERROR(E1080*VLOOKUP(B1080,PLInter!$A:$D,3,FALSE),"")</f>
        <v>46000</v>
      </c>
      <c r="K1080" s="66"/>
      <c r="L1080" s="66"/>
      <c r="M1080" s="66"/>
      <c r="N1080" s="66"/>
      <c r="O1080" s="66"/>
      <c r="P1080" s="66"/>
      <c r="Q1080" s="66"/>
      <c r="R1080" s="66"/>
      <c r="S1080" s="66"/>
    </row>
    <row r="1081" spans="1:19" ht="18" customHeight="1">
      <c r="B1081" t="str">
        <f>"025223"</f>
        <v>025223</v>
      </c>
      <c r="C1081" s="41" t="s">
        <v>826</v>
      </c>
      <c r="D1081" s="4"/>
      <c r="E1081" s="4">
        <v>1</v>
      </c>
      <c r="F1081" s="4"/>
      <c r="G1081" s="29" t="str">
        <f>IFERROR(HYPERLINK("#"&amp;ADDRESS(MATCH(B1081&amp;"ES",'LM7 Non-ENG'!$A$1:$A$5000,0),1,,,"LM7 Non-ENG"),IF(IFERROR(VLOOKUP(B1081&amp;"ES",'LM7 Non-ENG'!$A$1:$A$4999,1,FALSE),"ERROR")=B1081&amp;"ES","Y","")),"")</f>
        <v/>
      </c>
      <c r="H1081" s="29" t="str">
        <f>IFERROR(HYPERLINK("#"&amp;ADDRESS(MATCH(B1081&amp;"PT",'LM7 Non-ENG'!$A$1:$A$5000,0),1,,,"LM7 Non-ENG"),IF(IFERROR(VLOOKUP(B1081&amp;"PT",'LM7 Non-ENG'!$A$1:$A$5000,1,FALSE),"ERROR")=B1081&amp;"PT","Y","")),"")</f>
        <v/>
      </c>
      <c r="I1081" t="str">
        <f>IFERROR(VLOOKUP(B1081,PN!$A:$C,3,FALSE),"")</f>
        <v>Active</v>
      </c>
      <c r="J1081" s="3">
        <f>IFERROR(E1081*VLOOKUP(B1081,PLInter!$A:$D,3,FALSE),"")</f>
        <v>2000</v>
      </c>
      <c r="K1081" s="66"/>
      <c r="L1081" s="66"/>
      <c r="M1081" s="66"/>
      <c r="N1081" s="66"/>
      <c r="O1081" s="66"/>
      <c r="P1081" s="66"/>
      <c r="Q1081" s="66"/>
      <c r="R1081" s="66"/>
      <c r="S1081" s="66"/>
    </row>
    <row r="1082" spans="1:19" ht="18" customHeight="1">
      <c r="B1082" t="s">
        <v>902</v>
      </c>
      <c r="C1082" t="s">
        <v>903</v>
      </c>
      <c r="D1082" s="4"/>
      <c r="E1082" s="4">
        <v>1</v>
      </c>
      <c r="F1082" s="4"/>
      <c r="G1082" s="29" t="str">
        <f>IFERROR(HYPERLINK("#"&amp;ADDRESS(MATCH(B1082&amp;"ES",'LM7 Non-ENG'!$A$1:$A$5000,0),1,,,"LM7 Non-ENG"),IF(IFERROR(VLOOKUP(B1082&amp;"ES",'LM7 Non-ENG'!$A$1:$A$4999,1,FALSE),"ERROR")=B1082&amp;"ES","Y","")),"")</f>
        <v/>
      </c>
      <c r="H1082" s="29" t="str">
        <f>IFERROR(HYPERLINK("#"&amp;ADDRESS(MATCH(B1082&amp;"PT",'LM7 Non-ENG'!$A$1:$A$5000,0),1,,,"LM7 Non-ENG"),IF(IFERROR(VLOOKUP(B1082&amp;"PT",'LM7 Non-ENG'!$A$1:$A$5000,1,FALSE),"ERROR")=B1082&amp;"PT","Y","")),"")</f>
        <v/>
      </c>
      <c r="I1082" t="str">
        <f>IFERROR(VLOOKUP(B1082,PN!$A:$C,3,FALSE),"")</f>
        <v>Active</v>
      </c>
      <c r="J1082" s="3">
        <f>IFERROR(E1082*VLOOKUP(B1082,PLInter!$A:$D,3,FALSE),"")</f>
        <v>2000</v>
      </c>
      <c r="K1082" s="66"/>
      <c r="L1082" s="66"/>
      <c r="M1082" s="66"/>
      <c r="N1082" s="66"/>
      <c r="O1082" s="66"/>
      <c r="P1082" s="66"/>
      <c r="Q1082" s="66"/>
      <c r="R1082" s="66"/>
      <c r="S1082" s="66"/>
    </row>
    <row r="1083" spans="1:19" ht="18" customHeight="1">
      <c r="B1083" t="s">
        <v>644</v>
      </c>
      <c r="C1083" t="s">
        <v>645</v>
      </c>
      <c r="D1083" s="4"/>
      <c r="E1083" s="4">
        <v>1</v>
      </c>
      <c r="F1083" s="4"/>
      <c r="G1083" s="29" t="str">
        <f>IFERROR(HYPERLINK("#"&amp;ADDRESS(MATCH(B1083&amp;"ES",'LM7 Non-ENG'!$A$1:$A$5000,0),1,,,"LM7 Non-ENG"),IF(IFERROR(VLOOKUP(B1083&amp;"ES",'LM7 Non-ENG'!$A$1:$A$4999,1,FALSE),"ERROR")=B1083&amp;"ES","Y","")),"")</f>
        <v/>
      </c>
      <c r="H1083" s="29" t="str">
        <f>IFERROR(HYPERLINK("#"&amp;ADDRESS(MATCH(B1083&amp;"PT",'LM7 Non-ENG'!$A$1:$A$5000,0),1,,,"LM7 Non-ENG"),IF(IFERROR(VLOOKUP(B1083&amp;"PT",'LM7 Non-ENG'!$A$1:$A$5000,1,FALSE),"ERROR")=B1083&amp;"PT","Y","")),"")</f>
        <v/>
      </c>
      <c r="I1083" t="str">
        <f>IFERROR(VLOOKUP(B1083,PN!$A:$C,3,FALSE),"")</f>
        <v>Active</v>
      </c>
      <c r="J1083" s="3">
        <f>IFERROR(E1083*VLOOKUP(B1083,PLInter!$A:$D,3,FALSE),"")</f>
        <v>1800</v>
      </c>
      <c r="K1083" s="66"/>
      <c r="L1083" s="66"/>
      <c r="M1083" s="66"/>
      <c r="N1083" s="66"/>
      <c r="O1083" s="66"/>
      <c r="P1083" s="66"/>
      <c r="Q1083" s="66"/>
      <c r="R1083" s="66"/>
      <c r="S1083" s="66"/>
    </row>
    <row r="1084" spans="1:19" ht="18" customHeight="1">
      <c r="B1084" t="s">
        <v>630</v>
      </c>
      <c r="C1084" t="s">
        <v>631</v>
      </c>
      <c r="D1084" s="4"/>
      <c r="E1084" s="4">
        <v>1</v>
      </c>
      <c r="F1084" s="4"/>
      <c r="G1084" s="29" t="str">
        <f>IFERROR(HYPERLINK("#"&amp;ADDRESS(MATCH(B1084&amp;"ES",'LM7 Non-ENG'!$A$1:$A$5000,0),1,,,"LM7 Non-ENG"),IF(IFERROR(VLOOKUP(B1084&amp;"ES",'LM7 Non-ENG'!$A$1:$A$4999,1,FALSE),"ERROR")=B1084&amp;"ES","Y","")),"")</f>
        <v/>
      </c>
      <c r="H1084" s="29" t="str">
        <f>IFERROR(HYPERLINK("#"&amp;ADDRESS(MATCH(B1084&amp;"PT",'LM7 Non-ENG'!$A$1:$A$5000,0),1,,,"LM7 Non-ENG"),IF(IFERROR(VLOOKUP(B1084&amp;"PT",'LM7 Non-ENG'!$A$1:$A$5000,1,FALSE),"ERROR")=B1084&amp;"PT","Y","")),"")</f>
        <v/>
      </c>
      <c r="I1084" t="str">
        <f>IFERROR(VLOOKUP(B1084,PN!$A:$C,3,FALSE),"")</f>
        <v>Active</v>
      </c>
      <c r="J1084" s="3">
        <f>IFERROR(E1084*VLOOKUP(B1084,PLInter!$A:$D,3,FALSE),"")</f>
        <v>1735</v>
      </c>
      <c r="K1084" s="66"/>
      <c r="L1084" s="66"/>
      <c r="M1084" s="66"/>
      <c r="N1084" s="66"/>
      <c r="O1084" s="66"/>
      <c r="P1084" s="66"/>
      <c r="Q1084" s="66"/>
      <c r="R1084" s="66"/>
      <c r="S1084" s="66"/>
    </row>
    <row r="1086" spans="1:19" s="7" customFormat="1" ht="18" customHeight="1">
      <c r="A1086" s="13" t="s">
        <v>904</v>
      </c>
      <c r="B1086" s="13"/>
      <c r="C1086" s="13" t="s">
        <v>905</v>
      </c>
      <c r="D1086" s="14"/>
      <c r="E1086" s="14"/>
      <c r="F1086" s="14"/>
      <c r="G1086" s="14"/>
      <c r="H1086" s="14"/>
      <c r="I1086" s="14"/>
      <c r="J1086" s="14">
        <f>SUMIFS(J1087:J1139,D1087:D1139,"&lt;&gt;Y",F1087:F1139,"&lt;&gt;Y",I1087:I1139,"&lt;&gt;Inactive",I1087:I1139,"&lt;&gt;ECO+NFS")</f>
        <v>127563</v>
      </c>
      <c r="K1086" s="14"/>
      <c r="L1086" s="14"/>
      <c r="M1086" s="14"/>
      <c r="N1086" s="14"/>
      <c r="O1086" s="14"/>
      <c r="P1086" s="14"/>
      <c r="Q1086" s="14"/>
      <c r="R1086" s="14"/>
      <c r="S1086" s="14"/>
    </row>
    <row r="1087" spans="1:19" ht="18" customHeight="1">
      <c r="A1087" s="17" t="str">
        <f>HYPERLINK("#"&amp;ADDRESS(MATCH(A1086,'CIM&amp;FMS'!$A$1:$A$4997,0),1,,,"CIM&amp;FMS"),"Back to Price List")</f>
        <v>Back to Price List</v>
      </c>
      <c r="B1087" t="s">
        <v>215</v>
      </c>
      <c r="C1087" t="s">
        <v>217</v>
      </c>
      <c r="D1087" s="4"/>
      <c r="E1087" s="4">
        <v>1</v>
      </c>
      <c r="F1087" s="4"/>
      <c r="G1087" s="29" t="str">
        <f>IFERROR(HYPERLINK("#"&amp;ADDRESS(MATCH(B1087&amp;"ES",'LM7 Non-ENG'!$A$1:$A$5000,0),1,,,"LM7 Non-ENG"),IF(IFERROR(VLOOKUP(B1087&amp;"ES",'LM7 Non-ENG'!$A$1:$A$4999,1,FALSE),"ERROR")=B1087&amp;"ES","Y","")),"")</f>
        <v/>
      </c>
      <c r="H1087" s="29" t="str">
        <f>IFERROR(HYPERLINK("#"&amp;ADDRESS(MATCH(B1087&amp;"PT",'LM7 Non-ENG'!$A$1:$A$5000,0),1,,,"LM7 Non-ENG"),IF(IFERROR(VLOOKUP(B1087&amp;"PT",'LM7 Non-ENG'!$A$1:$A$5000,1,FALSE),"ERROR")=B1087&amp;"PT","Y","")),"")</f>
        <v/>
      </c>
      <c r="I1087" t="str">
        <f>IFERROR(VLOOKUP(B1087,PN!$A:$C,3,FALSE),"")</f>
        <v>Active</v>
      </c>
      <c r="J1087" s="3">
        <f>IFERROR(E1087*VLOOKUP(B1087,PLInter!$A:$D,3,FALSE),"")</f>
        <v>35000</v>
      </c>
      <c r="K1087" s="66"/>
      <c r="L1087" s="66"/>
      <c r="M1087" s="66"/>
      <c r="N1087" s="66"/>
      <c r="O1087" s="66"/>
      <c r="P1087" s="66"/>
      <c r="Q1087" s="66"/>
      <c r="R1087" s="66"/>
      <c r="S1087" s="66"/>
    </row>
    <row r="1088" spans="1:19" ht="18" customHeight="1">
      <c r="B1088" t="s">
        <v>230</v>
      </c>
      <c r="C1088" t="s">
        <v>235</v>
      </c>
      <c r="D1088" s="4"/>
      <c r="E1088" s="4">
        <v>1</v>
      </c>
      <c r="F1088" s="4"/>
      <c r="G1088" s="29" t="str">
        <f>IFERROR(HYPERLINK("#"&amp;ADDRESS(MATCH(B1088&amp;"ES",'LM7 Non-ENG'!$A$1:$A$5000,0),1,,,"LM7 Non-ENG"),IF(IFERROR(VLOOKUP(B1088&amp;"ES",'LM7 Non-ENG'!$A$1:$A$4999,1,FALSE),"ERROR")=B1088&amp;"ES","Y","")),"")</f>
        <v/>
      </c>
      <c r="H1088" s="29" t="str">
        <f>IFERROR(HYPERLINK("#"&amp;ADDRESS(MATCH(B1088&amp;"PT",'LM7 Non-ENG'!$A$1:$A$5000,0),1,,,"LM7 Non-ENG"),IF(IFERROR(VLOOKUP(B1088&amp;"PT",'LM7 Non-ENG'!$A$1:$A$5000,1,FALSE),"ERROR")=B1088&amp;"PT","Y","")),"")</f>
        <v/>
      </c>
      <c r="I1088" t="str">
        <f>IFERROR(VLOOKUP(B1088,PN!$A:$C,3,FALSE),"")</f>
        <v>Active</v>
      </c>
      <c r="J1088" s="3">
        <f>IFERROR(E1088*VLOOKUP(B1088,PLInter!$A:$D,3,FALSE),"")</f>
        <v>3200</v>
      </c>
      <c r="K1088" s="66"/>
      <c r="L1088" s="66"/>
      <c r="M1088" s="66"/>
      <c r="N1088" s="66"/>
      <c r="O1088" s="66"/>
      <c r="P1088" s="66"/>
      <c r="Q1088" s="66"/>
      <c r="R1088" s="66"/>
      <c r="S1088" s="66"/>
    </row>
    <row r="1089" spans="2:19" ht="18" customHeight="1">
      <c r="B1089" t="s">
        <v>858</v>
      </c>
      <c r="C1089" t="s">
        <v>859</v>
      </c>
      <c r="D1089" s="4"/>
      <c r="E1089" s="4">
        <v>1</v>
      </c>
      <c r="F1089" s="4"/>
      <c r="G1089" s="29" t="str">
        <f>IFERROR(HYPERLINK("#"&amp;ADDRESS(MATCH(B1089&amp;"ES",'LM7 Non-ENG'!$A$1:$A$5000,0),1,,,"LM7 Non-ENG"),IF(IFERROR(VLOOKUP(B1089&amp;"ES",'LM7 Non-ENG'!$A$1:$A$4999,1,FALSE),"ERROR")=B1089&amp;"ES","Y","")),"")</f>
        <v/>
      </c>
      <c r="H1089" s="29" t="str">
        <f>IFERROR(HYPERLINK("#"&amp;ADDRESS(MATCH(B1089&amp;"PT",'LM7 Non-ENG'!$A$1:$A$5000,0),1,,,"LM7 Non-ENG"),IF(IFERROR(VLOOKUP(B1089&amp;"PT",'LM7 Non-ENG'!$A$1:$A$5000,1,FALSE),"ERROR")=B1089&amp;"PT","Y","")),"")</f>
        <v/>
      </c>
      <c r="I1089" t="str">
        <f>IFERROR(VLOOKUP(B1089,PN!$A:$C,3,FALSE),"")</f>
        <v>Active</v>
      </c>
      <c r="J1089" s="3">
        <f>IFERROR(E1089*VLOOKUP(B1089,PLInter!$A:$D,3,FALSE),"")</f>
        <v>15300</v>
      </c>
      <c r="K1089" s="66"/>
      <c r="L1089" s="66"/>
      <c r="M1089" s="66"/>
      <c r="N1089" s="66"/>
      <c r="O1089" s="66"/>
      <c r="P1089" s="66"/>
      <c r="Q1089" s="66"/>
      <c r="R1089" s="66"/>
      <c r="S1089" s="66"/>
    </row>
    <row r="1090" spans="2:19" ht="18" customHeight="1">
      <c r="B1090" s="2" t="s">
        <v>884</v>
      </c>
      <c r="C1090" s="2" t="s">
        <v>885</v>
      </c>
      <c r="D1090" s="5"/>
      <c r="E1090" s="5">
        <v>1</v>
      </c>
      <c r="F1090" s="5" t="s">
        <v>0</v>
      </c>
      <c r="G1090" s="29" t="str">
        <f>IFERROR(HYPERLINK("#"&amp;ADDRESS(MATCH(B1090&amp;"ES",'LM7 Non-ENG'!$A$1:$A$5000,0),1,,,"LM7 Non-ENG"),IF(IFERROR(VLOOKUP(B1090&amp;"ES",'LM7 Non-ENG'!$A$1:$A$4999,1,FALSE),"ERROR")=B1090&amp;"ES","Y","")),"")</f>
        <v/>
      </c>
      <c r="H1090" s="29" t="str">
        <f>IFERROR(HYPERLINK("#"&amp;ADDRESS(MATCH(B1090&amp;"PT",'LM7 Non-ENG'!$A$1:$A$5000,0),1,,,"LM7 Non-ENG"),IF(IFERROR(VLOOKUP(B1090&amp;"PT",'LM7 Non-ENG'!$A$1:$A$5000,1,FALSE),"ERROR")=B1090&amp;"PT","Y","")),"")</f>
        <v/>
      </c>
      <c r="I1090" t="str">
        <f>IFERROR(VLOOKUP(B1090,PN!$A:$C,3,FALSE),"")</f>
        <v>ECO-N2Buy</v>
      </c>
      <c r="J1090" s="3">
        <f>IFERROR(E1090*VLOOKUP(B1090,PLInter!$A:$D,3,FALSE),"")</f>
        <v>18880</v>
      </c>
      <c r="K1090" s="66"/>
      <c r="L1090" s="66"/>
      <c r="M1090" s="66"/>
      <c r="N1090" s="66"/>
      <c r="O1090" s="66"/>
      <c r="P1090" s="66"/>
      <c r="Q1090" s="66"/>
      <c r="R1090" s="66"/>
      <c r="S1090" s="66"/>
    </row>
    <row r="1091" spans="2:19" ht="18" customHeight="1">
      <c r="B1091" s="2" t="s">
        <v>870</v>
      </c>
      <c r="C1091" s="2" t="s">
        <v>871</v>
      </c>
      <c r="D1091" s="5"/>
      <c r="E1091" s="5">
        <v>1</v>
      </c>
      <c r="F1091" s="5" t="s">
        <v>0</v>
      </c>
      <c r="G1091" s="29" t="str">
        <f>IFERROR(HYPERLINK("#"&amp;ADDRESS(MATCH(B1091&amp;"ES",'LM7 Non-ENG'!$A$1:$A$5000,0),1,,,"LM7 Non-ENG"),IF(IFERROR(VLOOKUP(B1091&amp;"ES",'LM7 Non-ENG'!$A$1:$A$4999,1,FALSE),"ERROR")=B1091&amp;"ES","Y","")),"")</f>
        <v/>
      </c>
      <c r="H1091" s="29" t="str">
        <f>IFERROR(HYPERLINK("#"&amp;ADDRESS(MATCH(B1091&amp;"PT",'LM7 Non-ENG'!$A$1:$A$5000,0),1,,,"LM7 Non-ENG"),IF(IFERROR(VLOOKUP(B1091&amp;"PT",'LM7 Non-ENG'!$A$1:$A$5000,1,FALSE),"ERROR")=B1091&amp;"PT","Y","")),"")</f>
        <v/>
      </c>
      <c r="I1091" t="str">
        <f>IFERROR(VLOOKUP(B1091,PN!$A:$C,3,FALSE),"")</f>
        <v>ECO-N2Buy</v>
      </c>
      <c r="J1091" s="3">
        <f>IFERROR(E1091*VLOOKUP(B1091,PLInter!$A:$D,3,FALSE),"")</f>
        <v>45000</v>
      </c>
      <c r="K1091" s="66"/>
      <c r="L1091" s="66"/>
      <c r="M1091" s="66"/>
      <c r="N1091" s="66"/>
      <c r="O1091" s="66"/>
      <c r="P1091" s="66"/>
      <c r="Q1091" s="66"/>
      <c r="R1091" s="66"/>
      <c r="S1091" s="66"/>
    </row>
    <row r="1092" spans="2:19" ht="18" customHeight="1">
      <c r="B1092" t="s">
        <v>684</v>
      </c>
      <c r="C1092" t="s">
        <v>685</v>
      </c>
      <c r="D1092" s="4"/>
      <c r="E1092" s="4">
        <v>2</v>
      </c>
      <c r="F1092" s="4"/>
      <c r="G1092" s="29" t="str">
        <f>IFERROR(HYPERLINK("#"&amp;ADDRESS(MATCH(B1092&amp;"ES",'LM7 Non-ENG'!$A$1:$A$5000,0),1,,,"LM7 Non-ENG"),IF(IFERROR(VLOOKUP(B1092&amp;"ES",'LM7 Non-ENG'!$A$1:$A$4999,1,FALSE),"ERROR")=B1092&amp;"ES","Y","")),"")</f>
        <v/>
      </c>
      <c r="H1092" s="29" t="str">
        <f>IFERROR(HYPERLINK("#"&amp;ADDRESS(MATCH(B1092&amp;"PT",'LM7 Non-ENG'!$A$1:$A$5000,0),1,,,"LM7 Non-ENG"),IF(IFERROR(VLOOKUP(B1092&amp;"PT",'LM7 Non-ENG'!$A$1:$A$5000,1,FALSE),"ERROR")=B1092&amp;"PT","Y","")),"")</f>
        <v/>
      </c>
      <c r="I1092" t="str">
        <f>IFERROR(VLOOKUP(B1092,PN!$A:$C,3,FALSE),"")</f>
        <v>Active</v>
      </c>
      <c r="J1092" s="3">
        <f>IFERROR(E1092*VLOOKUP(B1092,PLInter!$A:$D,3,FALSE),"")</f>
        <v>1160</v>
      </c>
      <c r="K1092" s="66"/>
      <c r="L1092" s="66"/>
      <c r="M1092" s="66"/>
      <c r="N1092" s="66"/>
      <c r="O1092" s="66"/>
      <c r="P1092" s="66"/>
      <c r="Q1092" s="66"/>
      <c r="R1092" s="66"/>
      <c r="S1092" s="66"/>
    </row>
    <row r="1093" spans="2:19" ht="18" customHeight="1">
      <c r="B1093" t="s">
        <v>680</v>
      </c>
      <c r="C1093" t="s">
        <v>681</v>
      </c>
      <c r="D1093" s="4"/>
      <c r="E1093" s="4">
        <v>1</v>
      </c>
      <c r="F1093" s="4"/>
      <c r="G1093" s="29" t="str">
        <f>IFERROR(HYPERLINK("#"&amp;ADDRESS(MATCH(B1093&amp;"ES",'LM7 Non-ENG'!$A$1:$A$5000,0),1,,,"LM7 Non-ENG"),IF(IFERROR(VLOOKUP(B1093&amp;"ES",'LM7 Non-ENG'!$A$1:$A$4999,1,FALSE),"ERROR")=B1093&amp;"ES","Y","")),"")</f>
        <v/>
      </c>
      <c r="H1093" s="29" t="str">
        <f>IFERROR(HYPERLINK("#"&amp;ADDRESS(MATCH(B1093&amp;"PT",'LM7 Non-ENG'!$A$1:$A$5000,0),1,,,"LM7 Non-ENG"),IF(IFERROR(VLOOKUP(B1093&amp;"PT",'LM7 Non-ENG'!$A$1:$A$5000,1,FALSE),"ERROR")=B1093&amp;"PT","Y","")),"")</f>
        <v/>
      </c>
      <c r="I1093" t="str">
        <f>IFERROR(VLOOKUP(B1093,PN!$A:$C,3,FALSE),"")</f>
        <v>Active</v>
      </c>
      <c r="J1093" s="3">
        <f>IFERROR(E1093*VLOOKUP(B1093,PLInter!$A:$D,3,FALSE),"")</f>
        <v>1440</v>
      </c>
      <c r="K1093" s="66"/>
      <c r="L1093" s="66"/>
      <c r="M1093" s="66"/>
      <c r="N1093" s="66"/>
      <c r="O1093" s="66"/>
      <c r="P1093" s="66"/>
      <c r="Q1093" s="66"/>
      <c r="R1093" s="66"/>
      <c r="S1093" s="66"/>
    </row>
    <row r="1094" spans="2:19" ht="18" customHeight="1">
      <c r="B1094" t="s">
        <v>682</v>
      </c>
      <c r="C1094" t="s">
        <v>683</v>
      </c>
      <c r="D1094" s="4"/>
      <c r="E1094" s="4">
        <v>1</v>
      </c>
      <c r="F1094" s="4"/>
      <c r="G1094" s="29" t="str">
        <f>IFERROR(HYPERLINK("#"&amp;ADDRESS(MATCH(B1094&amp;"ES",'LM7 Non-ENG'!$A$1:$A$5000,0),1,,,"LM7 Non-ENG"),IF(IFERROR(VLOOKUP(B1094&amp;"ES",'LM7 Non-ENG'!$A$1:$A$4999,1,FALSE),"ERROR")=B1094&amp;"ES","Y","")),"")</f>
        <v/>
      </c>
      <c r="H1094" s="29" t="str">
        <f>IFERROR(HYPERLINK("#"&amp;ADDRESS(MATCH(B1094&amp;"PT",'LM7 Non-ENG'!$A$1:$A$5000,0),1,,,"LM7 Non-ENG"),IF(IFERROR(VLOOKUP(B1094&amp;"PT",'LM7 Non-ENG'!$A$1:$A$5000,1,FALSE),"ERROR")=B1094&amp;"PT","Y","")),"")</f>
        <v/>
      </c>
      <c r="I1094" t="str">
        <f>IFERROR(VLOOKUP(B1094,PN!$A:$C,3,FALSE),"")</f>
        <v>Active</v>
      </c>
      <c r="J1094" s="3">
        <f>IFERROR(E1094*VLOOKUP(B1094,PLInter!$A:$D,3,FALSE),"")</f>
        <v>494</v>
      </c>
      <c r="K1094" s="66"/>
      <c r="L1094" s="66"/>
      <c r="M1094" s="66"/>
      <c r="N1094" s="66"/>
      <c r="O1094" s="66"/>
      <c r="P1094" s="66"/>
      <c r="Q1094" s="66"/>
      <c r="R1094" s="66"/>
      <c r="S1094" s="66"/>
    </row>
    <row r="1095" spans="2:19" ht="18" customHeight="1">
      <c r="B1095" t="str">
        <f>"021152"</f>
        <v>021152</v>
      </c>
      <c r="C1095" s="41" t="s">
        <v>679</v>
      </c>
      <c r="D1095" s="4"/>
      <c r="E1095" s="4">
        <v>2</v>
      </c>
      <c r="F1095" s="4"/>
      <c r="G1095" s="29" t="str">
        <f>IFERROR(HYPERLINK("#"&amp;ADDRESS(MATCH(B1095&amp;"ES",'LM7 Non-ENG'!$A$1:$A$5000,0),1,,,"LM7 Non-ENG"),IF(IFERROR(VLOOKUP(B1095&amp;"ES",'LM7 Non-ENG'!$A$1:$A$4999,1,FALSE),"ERROR")=B1095&amp;"ES","Y","")),"")</f>
        <v/>
      </c>
      <c r="H1095" s="29" t="str">
        <f>IFERROR(HYPERLINK("#"&amp;ADDRESS(MATCH(B1095&amp;"PT",'LM7 Non-ENG'!$A$1:$A$5000,0),1,,,"LM7 Non-ENG"),IF(IFERROR(VLOOKUP(B1095&amp;"PT",'LM7 Non-ENG'!$A$1:$A$5000,1,FALSE),"ERROR")=B1095&amp;"PT","Y","")),"")</f>
        <v/>
      </c>
      <c r="I1095" t="str">
        <f>IFERROR(VLOOKUP(B1095,PN!$A:$C,3,FALSE),"")</f>
        <v>Active</v>
      </c>
      <c r="J1095" s="3">
        <f>IFERROR(E1095*VLOOKUP(B1095,PLInter!$A:$D,3,FALSE),"")</f>
        <v>480</v>
      </c>
      <c r="K1095" s="66"/>
      <c r="L1095" s="66"/>
      <c r="M1095" s="66"/>
      <c r="N1095" s="66"/>
      <c r="O1095" s="66"/>
      <c r="P1095" s="66"/>
      <c r="Q1095" s="66"/>
      <c r="R1095" s="66"/>
      <c r="S1095" s="66"/>
    </row>
    <row r="1096" spans="2:19" ht="18" customHeight="1">
      <c r="B1096" t="s">
        <v>835</v>
      </c>
      <c r="C1096" t="s">
        <v>836</v>
      </c>
      <c r="D1096" s="4"/>
      <c r="E1096" s="4">
        <v>1</v>
      </c>
      <c r="F1096" s="4"/>
      <c r="G1096" s="29" t="str">
        <f>IFERROR(HYPERLINK("#"&amp;ADDRESS(MATCH(B1096&amp;"ES",'LM7 Non-ENG'!$A$1:$A$5000,0),1,,,"LM7 Non-ENG"),IF(IFERROR(VLOOKUP(B1096&amp;"ES",'LM7 Non-ENG'!$A$1:$A$4999,1,FALSE),"ERROR")=B1096&amp;"ES","Y","")),"")</f>
        <v/>
      </c>
      <c r="H1096" s="29" t="str">
        <f>IFERROR(HYPERLINK("#"&amp;ADDRESS(MATCH(B1096&amp;"PT",'LM7 Non-ENG'!$A$1:$A$5000,0),1,,,"LM7 Non-ENG"),IF(IFERROR(VLOOKUP(B1096&amp;"PT",'LM7 Non-ENG'!$A$1:$A$5000,1,FALSE),"ERROR")=B1096&amp;"PT","Y","")),"")</f>
        <v/>
      </c>
      <c r="I1096" t="str">
        <f>IFERROR(VLOOKUP(B1096,PN!$A:$C,3,FALSE),"")</f>
        <v>Active</v>
      </c>
      <c r="J1096" s="3">
        <f>IFERROR(E1096*VLOOKUP(B1096,PLInter!$A:$D,3,FALSE),"")</f>
        <v>667</v>
      </c>
      <c r="K1096" s="66"/>
      <c r="L1096" s="66"/>
      <c r="M1096" s="66"/>
      <c r="N1096" s="66"/>
      <c r="O1096" s="66"/>
      <c r="P1096" s="66"/>
      <c r="Q1096" s="66"/>
      <c r="R1096" s="66"/>
      <c r="S1096" s="66"/>
    </row>
    <row r="1097" spans="2:19" ht="18" customHeight="1">
      <c r="B1097" t="s">
        <v>455</v>
      </c>
      <c r="C1097" t="s">
        <v>837</v>
      </c>
      <c r="D1097" s="4"/>
      <c r="E1097" s="4">
        <v>1</v>
      </c>
      <c r="F1097" s="4"/>
      <c r="G1097" s="29" t="str">
        <f>IFERROR(HYPERLINK("#"&amp;ADDRESS(MATCH(B1097&amp;"ES",'LM7 Non-ENG'!$A$1:$A$5000,0),1,,,"LM7 Non-ENG"),IF(IFERROR(VLOOKUP(B1097&amp;"ES",'LM7 Non-ENG'!$A$1:$A$4999,1,FALSE),"ERROR")=B1097&amp;"ES","Y","")),"")</f>
        <v/>
      </c>
      <c r="H1097" s="29" t="str">
        <f>IFERROR(HYPERLINK("#"&amp;ADDRESS(MATCH(B1097&amp;"PT",'LM7 Non-ENG'!$A$1:$A$5000,0),1,,,"LM7 Non-ENG"),IF(IFERROR(VLOOKUP(B1097&amp;"PT",'LM7 Non-ENG'!$A$1:$A$5000,1,FALSE),"ERROR")=B1097&amp;"PT","Y","")),"")</f>
        <v/>
      </c>
      <c r="I1097" t="str">
        <f>IFERROR(VLOOKUP(B1097,PN!$A:$C,3,FALSE),"")</f>
        <v>Active</v>
      </c>
      <c r="J1097" s="3">
        <f>IFERROR(E1097*VLOOKUP(B1097,PLInter!$A:$D,3,FALSE),"")</f>
        <v>26667</v>
      </c>
      <c r="K1097" s="66"/>
      <c r="L1097" s="66"/>
      <c r="M1097" s="66"/>
      <c r="N1097" s="66"/>
      <c r="O1097" s="66"/>
      <c r="P1097" s="66"/>
      <c r="Q1097" s="66"/>
      <c r="R1097" s="66"/>
      <c r="S1097" s="66"/>
    </row>
    <row r="1098" spans="2:19" ht="18" customHeight="1">
      <c r="B1098" s="2" t="s">
        <v>454</v>
      </c>
      <c r="C1098" s="2" t="s">
        <v>838</v>
      </c>
      <c r="D1098" s="5"/>
      <c r="E1098" s="5">
        <v>1</v>
      </c>
      <c r="F1098" s="5" t="s">
        <v>0</v>
      </c>
      <c r="G1098" s="29" t="str">
        <f>IFERROR(HYPERLINK("#"&amp;ADDRESS(MATCH(B1098&amp;"ES",'LM7 Non-ENG'!$A$1:$A$5000,0),1,,,"LM7 Non-ENG"),IF(IFERROR(VLOOKUP(B1098&amp;"ES",'LM7 Non-ENG'!$A$1:$A$4999,1,FALSE),"ERROR")=B1098&amp;"ES","Y","")),"")</f>
        <v/>
      </c>
      <c r="H1098" s="29" t="str">
        <f>IFERROR(HYPERLINK("#"&amp;ADDRESS(MATCH(B1098&amp;"PT",'LM7 Non-ENG'!$A$1:$A$5000,0),1,,,"LM7 Non-ENG"),IF(IFERROR(VLOOKUP(B1098&amp;"PT",'LM7 Non-ENG'!$A$1:$A$5000,1,FALSE),"ERROR")=B1098&amp;"PT","Y","")),"")</f>
        <v/>
      </c>
      <c r="I1098" t="str">
        <f>IFERROR(VLOOKUP(B1098,PN!$A:$C,3,FALSE),"")</f>
        <v>Active</v>
      </c>
      <c r="J1098" s="3">
        <f>IFERROR(E1098*VLOOKUP(B1098,PLInter!$A:$D,3,FALSE),"")</f>
        <v>26667</v>
      </c>
      <c r="K1098" s="66"/>
      <c r="L1098" s="66"/>
      <c r="M1098" s="66"/>
      <c r="N1098" s="66"/>
      <c r="O1098" s="66"/>
      <c r="P1098" s="66"/>
      <c r="Q1098" s="66"/>
      <c r="R1098" s="66"/>
      <c r="S1098" s="66"/>
    </row>
    <row r="1099" spans="2:19" ht="18" customHeight="1">
      <c r="B1099" t="s">
        <v>475</v>
      </c>
      <c r="C1099" t="s">
        <v>724</v>
      </c>
      <c r="D1099" s="4"/>
      <c r="E1099" s="4">
        <v>12</v>
      </c>
      <c r="F1099" s="4"/>
      <c r="G1099" s="29" t="str">
        <f>IFERROR(HYPERLINK("#"&amp;ADDRESS(MATCH(B1099&amp;"ES",'LM7 Non-ENG'!$A$1:$A$5000,0),1,,,"LM7 Non-ENG"),IF(IFERROR(VLOOKUP(B1099&amp;"ES",'LM7 Non-ENG'!$A$1:$A$4999,1,FALSE),"ERROR")=B1099&amp;"ES","Y","")),"")</f>
        <v/>
      </c>
      <c r="H1099" s="29" t="str">
        <f>IFERROR(HYPERLINK("#"&amp;ADDRESS(MATCH(B1099&amp;"PT",'LM7 Non-ENG'!$A$1:$A$5000,0),1,,,"LM7 Non-ENG"),IF(IFERROR(VLOOKUP(B1099&amp;"PT",'LM7 Non-ENG'!$A$1:$A$5000,1,FALSE),"ERROR")=B1099&amp;"PT","Y","")),"")</f>
        <v/>
      </c>
      <c r="I1099" t="str">
        <f>IFERROR(VLOOKUP(B1099,PN!$A:$C,3,FALSE),"")</f>
        <v>Active</v>
      </c>
      <c r="J1099" s="3">
        <f>IFERROR(E1099*VLOOKUP(B1099,PLInter!$A:$D,3,FALSE),"")</f>
        <v>4320</v>
      </c>
      <c r="K1099" s="66"/>
      <c r="L1099" s="66"/>
      <c r="M1099" s="66"/>
      <c r="N1099" s="66"/>
      <c r="O1099" s="66"/>
      <c r="P1099" s="66"/>
      <c r="Q1099" s="66"/>
      <c r="R1099" s="66"/>
      <c r="S1099" s="66"/>
    </row>
    <row r="1100" spans="2:19" ht="18" customHeight="1">
      <c r="B1100" t="s">
        <v>517</v>
      </c>
      <c r="C1100" t="s">
        <v>839</v>
      </c>
      <c r="D1100" s="4"/>
      <c r="E1100" s="4">
        <v>1</v>
      </c>
      <c r="F1100" s="4"/>
      <c r="G1100" s="29" t="str">
        <f>IFERROR(HYPERLINK("#"&amp;ADDRESS(MATCH(B1100&amp;"ES",'LM7 Non-ENG'!$A$1:$A$5000,0),1,,,"LM7 Non-ENG"),IF(IFERROR(VLOOKUP(B1100&amp;"ES",'LM7 Non-ENG'!$A$1:$A$4999,1,FALSE),"ERROR")=B1100&amp;"ES","Y","")),"")</f>
        <v/>
      </c>
      <c r="H1100" s="29" t="str">
        <f>IFERROR(HYPERLINK("#"&amp;ADDRESS(MATCH(B1100&amp;"PT",'LM7 Non-ENG'!$A$1:$A$5000,0),1,,,"LM7 Non-ENG"),IF(IFERROR(VLOOKUP(B1100&amp;"PT",'LM7 Non-ENG'!$A$1:$A$5000,1,FALSE),"ERROR")=B1100&amp;"PT","Y","")),"")</f>
        <v/>
      </c>
      <c r="I1100" t="str">
        <f>IFERROR(VLOOKUP(B1100,PN!$A:$C,3,FALSE),"")</f>
        <v>Active</v>
      </c>
      <c r="J1100" s="3">
        <f>IFERROR(E1100*VLOOKUP(B1100,PLInter!$A:$D,3,FALSE),"")</f>
        <v>1334</v>
      </c>
      <c r="K1100" s="66"/>
      <c r="L1100" s="66"/>
      <c r="M1100" s="66"/>
      <c r="N1100" s="66"/>
      <c r="O1100" s="66"/>
      <c r="P1100" s="66"/>
      <c r="Q1100" s="66"/>
      <c r="R1100" s="66"/>
      <c r="S1100" s="66"/>
    </row>
    <row r="1101" spans="2:19" ht="18" customHeight="1">
      <c r="B1101" t="s">
        <v>513</v>
      </c>
      <c r="C1101" t="s">
        <v>711</v>
      </c>
      <c r="D1101" s="4"/>
      <c r="E1101" s="4">
        <v>1</v>
      </c>
      <c r="F1101" s="4"/>
      <c r="G1101" s="29" t="str">
        <f>IFERROR(HYPERLINK("#"&amp;ADDRESS(MATCH(B1101&amp;"ES",'LM7 Non-ENG'!$A$1:$A$5000,0),1,,,"LM7 Non-ENG"),IF(IFERROR(VLOOKUP(B1101&amp;"ES",'LM7 Non-ENG'!$A$1:$A$4999,1,FALSE),"ERROR")=B1101&amp;"ES","Y","")),"")</f>
        <v/>
      </c>
      <c r="H1101" s="29" t="str">
        <f>IFERROR(HYPERLINK("#"&amp;ADDRESS(MATCH(B1101&amp;"PT",'LM7 Non-ENG'!$A$1:$A$5000,0),1,,,"LM7 Non-ENG"),IF(IFERROR(VLOOKUP(B1101&amp;"PT",'LM7 Non-ENG'!$A$1:$A$5000,1,FALSE),"ERROR")=B1101&amp;"PT","Y","")),"")</f>
        <v/>
      </c>
      <c r="I1101" t="str">
        <f>IFERROR(VLOOKUP(B1101,PN!$A:$C,3,FALSE),"")</f>
        <v>Active</v>
      </c>
      <c r="J1101" s="3">
        <f>IFERROR(E1101*VLOOKUP(B1101,PLInter!$A:$D,3,FALSE),"")</f>
        <v>740</v>
      </c>
      <c r="K1101" s="66"/>
      <c r="L1101" s="66"/>
      <c r="M1101" s="66"/>
      <c r="N1101" s="66"/>
      <c r="O1101" s="66"/>
      <c r="P1101" s="66"/>
      <c r="Q1101" s="66"/>
      <c r="R1101" s="66"/>
      <c r="S1101" s="66"/>
    </row>
    <row r="1102" spans="2:19" ht="18" customHeight="1">
      <c r="B1102" t="s">
        <v>471</v>
      </c>
      <c r="C1102" t="s">
        <v>722</v>
      </c>
      <c r="D1102" s="4"/>
      <c r="E1102" s="4">
        <v>1</v>
      </c>
      <c r="F1102" s="4"/>
      <c r="G1102" s="29" t="str">
        <f>IFERROR(HYPERLINK("#"&amp;ADDRESS(MATCH(B1102&amp;"ES",'LM7 Non-ENG'!$A$1:$A$5000,0),1,,,"LM7 Non-ENG"),IF(IFERROR(VLOOKUP(B1102&amp;"ES",'LM7 Non-ENG'!$A$1:$A$4999,1,FALSE),"ERROR")=B1102&amp;"ES","Y","")),"")</f>
        <v/>
      </c>
      <c r="H1102" s="29" t="str">
        <f>IFERROR(HYPERLINK("#"&amp;ADDRESS(MATCH(B1102&amp;"PT",'LM7 Non-ENG'!$A$1:$A$5000,0),1,,,"LM7 Non-ENG"),IF(IFERROR(VLOOKUP(B1102&amp;"PT",'LM7 Non-ENG'!$A$1:$A$5000,1,FALSE),"ERROR")=B1102&amp;"PT","Y","")),"")</f>
        <v/>
      </c>
      <c r="I1102" t="str">
        <f>IFERROR(VLOOKUP(B1102,PN!$A:$C,3,FALSE),"")</f>
        <v>Active</v>
      </c>
      <c r="J1102" s="3">
        <f>IFERROR(E1102*VLOOKUP(B1102,PLInter!$A:$D,3,FALSE),"")</f>
        <v>226</v>
      </c>
      <c r="K1102" s="66"/>
      <c r="L1102" s="66"/>
      <c r="M1102" s="66"/>
      <c r="N1102" s="66"/>
      <c r="O1102" s="66"/>
      <c r="P1102" s="66"/>
      <c r="Q1102" s="66"/>
      <c r="R1102" s="66"/>
      <c r="S1102" s="66"/>
    </row>
    <row r="1103" spans="2:19" ht="18" customHeight="1">
      <c r="B1103" t="s">
        <v>473</v>
      </c>
      <c r="C1103" t="s">
        <v>714</v>
      </c>
      <c r="D1103" s="4"/>
      <c r="E1103" s="4">
        <v>1</v>
      </c>
      <c r="F1103" s="4"/>
      <c r="G1103" s="29" t="str">
        <f>IFERROR(HYPERLINK("#"&amp;ADDRESS(MATCH(B1103&amp;"ES",'LM7 Non-ENG'!$A$1:$A$5000,0),1,,,"LM7 Non-ENG"),IF(IFERROR(VLOOKUP(B1103&amp;"ES",'LM7 Non-ENG'!$A$1:$A$4999,1,FALSE),"ERROR")=B1103&amp;"ES","Y","")),"")</f>
        <v/>
      </c>
      <c r="H1103" s="29" t="str">
        <f>IFERROR(HYPERLINK("#"&amp;ADDRESS(MATCH(B1103&amp;"PT",'LM7 Non-ENG'!$A$1:$A$5000,0),1,,,"LM7 Non-ENG"),IF(IFERROR(VLOOKUP(B1103&amp;"PT",'LM7 Non-ENG'!$A$1:$A$5000,1,FALSE),"ERROR")=B1103&amp;"PT","Y","")),"")</f>
        <v/>
      </c>
      <c r="I1103" t="str">
        <f>IFERROR(VLOOKUP(B1103,PN!$A:$C,3,FALSE),"")</f>
        <v>Active</v>
      </c>
      <c r="J1103" s="3">
        <f>IFERROR(E1103*VLOOKUP(B1103,PLInter!$A:$D,3,FALSE),"")</f>
        <v>200</v>
      </c>
      <c r="K1103" s="66"/>
      <c r="L1103" s="66"/>
      <c r="M1103" s="66"/>
      <c r="N1103" s="66"/>
      <c r="O1103" s="66"/>
      <c r="P1103" s="66"/>
      <c r="Q1103" s="66"/>
      <c r="R1103" s="66"/>
      <c r="S1103" s="66"/>
    </row>
    <row r="1104" spans="2:19" ht="18" customHeight="1">
      <c r="B1104" s="2" t="s">
        <v>472</v>
      </c>
      <c r="C1104" s="2" t="s">
        <v>715</v>
      </c>
      <c r="D1104" s="5"/>
      <c r="E1104" s="5">
        <v>1</v>
      </c>
      <c r="F1104" s="5" t="s">
        <v>0</v>
      </c>
      <c r="G1104" s="29" t="str">
        <f>IFERROR(HYPERLINK("#"&amp;ADDRESS(MATCH(B1104&amp;"ES",'LM7 Non-ENG'!$A$1:$A$5000,0),1,,,"LM7 Non-ENG"),IF(IFERROR(VLOOKUP(B1104&amp;"ES",'LM7 Non-ENG'!$A$1:$A$4999,1,FALSE),"ERROR")=B1104&amp;"ES","Y","")),"")</f>
        <v/>
      </c>
      <c r="H1104" s="29" t="str">
        <f>IFERROR(HYPERLINK("#"&amp;ADDRESS(MATCH(B1104&amp;"PT",'LM7 Non-ENG'!$A$1:$A$5000,0),1,,,"LM7 Non-ENG"),IF(IFERROR(VLOOKUP(B1104&amp;"PT",'LM7 Non-ENG'!$A$1:$A$5000,1,FALSE),"ERROR")=B1104&amp;"PT","Y","")),"")</f>
        <v/>
      </c>
      <c r="I1104" t="str">
        <f>IFERROR(VLOOKUP(B1104,PN!$A:$C,3,FALSE),"")</f>
        <v>Active</v>
      </c>
      <c r="J1104" s="3">
        <f>IFERROR(E1104*VLOOKUP(B1104,PLInter!$A:$D,3,FALSE),"")</f>
        <v>200</v>
      </c>
      <c r="K1104" s="66"/>
      <c r="L1104" s="66"/>
      <c r="M1104" s="66"/>
      <c r="N1104" s="66"/>
      <c r="O1104" s="66"/>
      <c r="P1104" s="66"/>
      <c r="Q1104" s="66"/>
      <c r="R1104" s="66"/>
      <c r="S1104" s="66"/>
    </row>
    <row r="1105" spans="2:19" ht="18" customHeight="1">
      <c r="B1105" t="s">
        <v>484</v>
      </c>
      <c r="C1105" t="s">
        <v>725</v>
      </c>
      <c r="D1105" s="4"/>
      <c r="E1105" s="4">
        <v>1</v>
      </c>
      <c r="F1105" s="4"/>
      <c r="G1105" s="29" t="str">
        <f>IFERROR(HYPERLINK("#"&amp;ADDRESS(MATCH(B1105&amp;"ES",'LM7 Non-ENG'!$A$1:$A$5000,0),1,,,"LM7 Non-ENG"),IF(IFERROR(VLOOKUP(B1105&amp;"ES",'LM7 Non-ENG'!$A$1:$A$4999,1,FALSE),"ERROR")=B1105&amp;"ES","Y","")),"")</f>
        <v/>
      </c>
      <c r="H1105" s="29" t="str">
        <f>IFERROR(HYPERLINK("#"&amp;ADDRESS(MATCH(B1105&amp;"PT",'LM7 Non-ENG'!$A$1:$A$5000,0),1,,,"LM7 Non-ENG"),IF(IFERROR(VLOOKUP(B1105&amp;"PT",'LM7 Non-ENG'!$A$1:$A$5000,1,FALSE),"ERROR")=B1105&amp;"PT","Y","")),"")</f>
        <v/>
      </c>
      <c r="I1105" t="str">
        <f>IFERROR(VLOOKUP(B1105,PN!$A:$C,3,FALSE),"")</f>
        <v>Active</v>
      </c>
      <c r="J1105" s="3">
        <f>IFERROR(E1105*VLOOKUP(B1105,PLInter!$A:$D,3,FALSE),"")</f>
        <v>157</v>
      </c>
      <c r="K1105" s="66"/>
      <c r="L1105" s="66"/>
      <c r="M1105" s="66"/>
      <c r="N1105" s="66"/>
      <c r="O1105" s="66"/>
      <c r="P1105" s="66"/>
      <c r="Q1105" s="66"/>
      <c r="R1105" s="66"/>
      <c r="S1105" s="66"/>
    </row>
    <row r="1106" spans="2:19" ht="18" customHeight="1">
      <c r="B1106" s="2" t="s">
        <v>483</v>
      </c>
      <c r="C1106" s="2" t="s">
        <v>726</v>
      </c>
      <c r="D1106" s="5"/>
      <c r="E1106" s="5">
        <v>1</v>
      </c>
      <c r="F1106" s="5" t="s">
        <v>0</v>
      </c>
      <c r="G1106" s="29" t="str">
        <f>IFERROR(HYPERLINK("#"&amp;ADDRESS(MATCH(B1106&amp;"ES",'LM7 Non-ENG'!$A$1:$A$5000,0),1,,,"LM7 Non-ENG"),IF(IFERROR(VLOOKUP(B1106&amp;"ES",'LM7 Non-ENG'!$A$1:$A$4999,1,FALSE),"ERROR")=B1106&amp;"ES","Y","")),"")</f>
        <v/>
      </c>
      <c r="H1106" s="29" t="str">
        <f>IFERROR(HYPERLINK("#"&amp;ADDRESS(MATCH(B1106&amp;"PT",'LM7 Non-ENG'!$A$1:$A$5000,0),1,,,"LM7 Non-ENG"),IF(IFERROR(VLOOKUP(B1106&amp;"PT",'LM7 Non-ENG'!$A$1:$A$5000,1,FALSE),"ERROR")=B1106&amp;"PT","Y","")),"")</f>
        <v/>
      </c>
      <c r="I1106" t="str">
        <f>IFERROR(VLOOKUP(B1106,PN!$A:$C,3,FALSE),"")</f>
        <v>Active</v>
      </c>
      <c r="J1106" s="3">
        <f>IFERROR(E1106*VLOOKUP(B1106,PLInter!$A:$D,3,FALSE),"")</f>
        <v>157</v>
      </c>
      <c r="K1106" s="66"/>
      <c r="L1106" s="66"/>
      <c r="M1106" s="66"/>
      <c r="N1106" s="66"/>
      <c r="O1106" s="66"/>
      <c r="P1106" s="66"/>
      <c r="Q1106" s="66"/>
      <c r="R1106" s="66"/>
      <c r="S1106" s="66"/>
    </row>
    <row r="1107" spans="2:19" ht="18" customHeight="1">
      <c r="B1107" t="s">
        <v>478</v>
      </c>
      <c r="C1107" t="s">
        <v>716</v>
      </c>
      <c r="D1107" s="4"/>
      <c r="E1107" s="4">
        <v>1</v>
      </c>
      <c r="F1107" s="4"/>
      <c r="G1107" s="29" t="str">
        <f>IFERROR(HYPERLINK("#"&amp;ADDRESS(MATCH(B1107&amp;"ES",'LM7 Non-ENG'!$A$1:$A$5000,0),1,,,"LM7 Non-ENG"),IF(IFERROR(VLOOKUP(B1107&amp;"ES",'LM7 Non-ENG'!$A$1:$A$4999,1,FALSE),"ERROR")=B1107&amp;"ES","Y","")),"")</f>
        <v/>
      </c>
      <c r="H1107" s="29" t="str">
        <f>IFERROR(HYPERLINK("#"&amp;ADDRESS(MATCH(B1107&amp;"PT",'LM7 Non-ENG'!$A$1:$A$5000,0),1,,,"LM7 Non-ENG"),IF(IFERROR(VLOOKUP(B1107&amp;"PT",'LM7 Non-ENG'!$A$1:$A$5000,1,FALSE),"ERROR")=B1107&amp;"PT","Y","")),"")</f>
        <v/>
      </c>
      <c r="I1107" t="str">
        <f>IFERROR(VLOOKUP(B1107,PN!$A:$C,3,FALSE),"")</f>
        <v>Active</v>
      </c>
      <c r="J1107" s="3">
        <f>IFERROR(E1107*VLOOKUP(B1107,PLInter!$A:$D,3,FALSE),"")</f>
        <v>795</v>
      </c>
      <c r="K1107" s="66"/>
      <c r="L1107" s="66"/>
      <c r="M1107" s="66"/>
      <c r="N1107" s="66"/>
      <c r="O1107" s="66"/>
      <c r="P1107" s="66"/>
      <c r="Q1107" s="66"/>
      <c r="R1107" s="66"/>
      <c r="S1107" s="66"/>
    </row>
    <row r="1108" spans="2:19" ht="18" customHeight="1">
      <c r="B1108" t="s">
        <v>486</v>
      </c>
      <c r="C1108" t="s">
        <v>806</v>
      </c>
      <c r="D1108" s="4"/>
      <c r="E1108" s="4">
        <v>1</v>
      </c>
      <c r="F1108" s="4"/>
      <c r="G1108" s="29" t="str">
        <f>IFERROR(HYPERLINK("#"&amp;ADDRESS(MATCH(B1108&amp;"ES",'LM7 Non-ENG'!$A$1:$A$5000,0),1,,,"LM7 Non-ENG"),IF(IFERROR(VLOOKUP(B1108&amp;"ES",'LM7 Non-ENG'!$A$1:$A$4999,1,FALSE),"ERROR")=B1108&amp;"ES","Y","")),"")</f>
        <v/>
      </c>
      <c r="H1108" s="29" t="str">
        <f>IFERROR(HYPERLINK("#"&amp;ADDRESS(MATCH(B1108&amp;"PT",'LM7 Non-ENG'!$A$1:$A$5000,0),1,,,"LM7 Non-ENG"),IF(IFERROR(VLOOKUP(B1108&amp;"PT",'LM7 Non-ENG'!$A$1:$A$5000,1,FALSE),"ERROR")=B1108&amp;"PT","Y","")),"")</f>
        <v/>
      </c>
      <c r="I1108" t="str">
        <f>IFERROR(VLOOKUP(B1108,PN!$A:$C,3,FALSE),"")</f>
        <v>Active</v>
      </c>
      <c r="J1108" s="3">
        <f>IFERROR(E1108*VLOOKUP(B1108,PLInter!$A:$D,3,FALSE),"")</f>
        <v>313</v>
      </c>
      <c r="K1108" s="66"/>
      <c r="L1108" s="66"/>
      <c r="M1108" s="66"/>
      <c r="N1108" s="66"/>
      <c r="O1108" s="66"/>
      <c r="P1108" s="66"/>
      <c r="Q1108" s="66"/>
      <c r="R1108" s="66"/>
      <c r="S1108" s="66"/>
    </row>
    <row r="1109" spans="2:19" ht="18" customHeight="1">
      <c r="B1109" t="s">
        <v>470</v>
      </c>
      <c r="C1109" t="s">
        <v>713</v>
      </c>
      <c r="D1109" s="4"/>
      <c r="E1109" s="4">
        <v>1</v>
      </c>
      <c r="F1109" s="4"/>
      <c r="G1109" s="29" t="str">
        <f>IFERROR(HYPERLINK("#"&amp;ADDRESS(MATCH(B1109&amp;"ES",'LM7 Non-ENG'!$A$1:$A$5000,0),1,,,"LM7 Non-ENG"),IF(IFERROR(VLOOKUP(B1109&amp;"ES",'LM7 Non-ENG'!$A$1:$A$4999,1,FALSE),"ERROR")=B1109&amp;"ES","Y","")),"")</f>
        <v/>
      </c>
      <c r="H1109" s="29" t="str">
        <f>IFERROR(HYPERLINK("#"&amp;ADDRESS(MATCH(B1109&amp;"PT",'LM7 Non-ENG'!$A$1:$A$5000,0),1,,,"LM7 Non-ENG"),IF(IFERROR(VLOOKUP(B1109&amp;"PT",'LM7 Non-ENG'!$A$1:$A$5000,1,FALSE),"ERROR")=B1109&amp;"PT","Y","")),"")</f>
        <v/>
      </c>
      <c r="I1109" t="str">
        <f>IFERROR(VLOOKUP(B1109,PN!$A:$C,3,FALSE),"")</f>
        <v>Active</v>
      </c>
      <c r="J1109" s="3">
        <f>IFERROR(E1109*VLOOKUP(B1109,PLInter!$A:$D,3,FALSE),"")</f>
        <v>207</v>
      </c>
      <c r="K1109" s="66"/>
      <c r="L1109" s="66"/>
      <c r="M1109" s="66"/>
      <c r="N1109" s="66"/>
      <c r="O1109" s="66"/>
      <c r="P1109" s="66"/>
      <c r="Q1109" s="66"/>
      <c r="R1109" s="66"/>
      <c r="S1109" s="66"/>
    </row>
    <row r="1110" spans="2:19" ht="18" customHeight="1">
      <c r="B1110" s="1" t="s">
        <v>468</v>
      </c>
      <c r="C1110" s="1" t="s">
        <v>717</v>
      </c>
      <c r="D1110" s="6" t="s">
        <v>0</v>
      </c>
      <c r="E1110" s="6">
        <v>1</v>
      </c>
      <c r="F1110" s="6"/>
      <c r="G1110" s="29" t="str">
        <f>IFERROR(HYPERLINK("#"&amp;ADDRESS(MATCH(B1110&amp;"ES",'LM7 Non-ENG'!$A$1:$A$5000,0),1,,,"LM7 Non-ENG"),IF(IFERROR(VLOOKUP(B1110&amp;"ES",'LM7 Non-ENG'!$A$1:$A$4999,1,FALSE),"ERROR")=B1110&amp;"ES","Y","")),"")</f>
        <v/>
      </c>
      <c r="H1110" s="29" t="str">
        <f>IFERROR(HYPERLINK("#"&amp;ADDRESS(MATCH(B1110&amp;"PT",'LM7 Non-ENG'!$A$1:$A$5000,0),1,,,"LM7 Non-ENG"),IF(IFERROR(VLOOKUP(B1110&amp;"PT",'LM7 Non-ENG'!$A$1:$A$5000,1,FALSE),"ERROR")=B1110&amp;"PT","Y","")),"")</f>
        <v/>
      </c>
      <c r="I1110" t="str">
        <f>IFERROR(VLOOKUP(B1110,PN!$A:$C,3,FALSE),"")</f>
        <v>Active</v>
      </c>
      <c r="J1110" s="3">
        <f>IFERROR(E1110*VLOOKUP(B1110,PLInter!$A:$D,3,FALSE),"")</f>
        <v>206</v>
      </c>
      <c r="K1110" s="66"/>
      <c r="L1110" s="66"/>
      <c r="M1110" s="66"/>
      <c r="N1110" s="66"/>
      <c r="O1110" s="66"/>
      <c r="P1110" s="66"/>
      <c r="Q1110" s="66"/>
      <c r="R1110" s="66"/>
      <c r="S1110" s="66"/>
    </row>
    <row r="1111" spans="2:19" ht="18" customHeight="1">
      <c r="B1111" s="1" t="s">
        <v>474</v>
      </c>
      <c r="C1111" s="1" t="s">
        <v>718</v>
      </c>
      <c r="D1111" s="6" t="s">
        <v>0</v>
      </c>
      <c r="E1111" s="6">
        <v>1</v>
      </c>
      <c r="F1111" s="6"/>
      <c r="G1111" s="29" t="str">
        <f>IFERROR(HYPERLINK("#"&amp;ADDRESS(MATCH(B1111&amp;"ES",'LM7 Non-ENG'!$A$1:$A$5000,0),1,,,"LM7 Non-ENG"),IF(IFERROR(VLOOKUP(B1111&amp;"ES",'LM7 Non-ENG'!$A$1:$A$4999,1,FALSE),"ERROR")=B1111&amp;"ES","Y","")),"")</f>
        <v/>
      </c>
      <c r="H1111" s="29" t="str">
        <f>IFERROR(HYPERLINK("#"&amp;ADDRESS(MATCH(B1111&amp;"PT",'LM7 Non-ENG'!$A$1:$A$5000,0),1,,,"LM7 Non-ENG"),IF(IFERROR(VLOOKUP(B1111&amp;"PT",'LM7 Non-ENG'!$A$1:$A$5000,1,FALSE),"ERROR")=B1111&amp;"PT","Y","")),"")</f>
        <v/>
      </c>
      <c r="I1111" t="str">
        <f>IFERROR(VLOOKUP(B1111,PN!$A:$C,3,FALSE),"")</f>
        <v>Active</v>
      </c>
      <c r="J1111" s="3">
        <f>IFERROR(E1111*VLOOKUP(B1111,PLInter!$A:$D,3,FALSE),"")</f>
        <v>175</v>
      </c>
      <c r="K1111" s="66"/>
      <c r="L1111" s="66"/>
      <c r="M1111" s="66"/>
      <c r="N1111" s="66"/>
      <c r="O1111" s="66"/>
      <c r="P1111" s="66"/>
      <c r="Q1111" s="66"/>
      <c r="R1111" s="66"/>
      <c r="S1111" s="66"/>
    </row>
    <row r="1112" spans="2:19" ht="18" customHeight="1">
      <c r="B1112" s="1" t="s">
        <v>719</v>
      </c>
      <c r="C1112" s="1" t="s">
        <v>720</v>
      </c>
      <c r="D1112" s="6" t="s">
        <v>0</v>
      </c>
      <c r="E1112" s="6">
        <v>1</v>
      </c>
      <c r="F1112" s="6"/>
      <c r="G1112" s="29" t="str">
        <f>IFERROR(HYPERLINK("#"&amp;ADDRESS(MATCH(B1112&amp;"ES",'LM7 Non-ENG'!$A$1:$A$5000,0),1,,,"LM7 Non-ENG"),IF(IFERROR(VLOOKUP(B1112&amp;"ES",'LM7 Non-ENG'!$A$1:$A$4999,1,FALSE),"ERROR")=B1112&amp;"ES","Y","")),"")</f>
        <v/>
      </c>
      <c r="H1112" s="29" t="str">
        <f>IFERROR(HYPERLINK("#"&amp;ADDRESS(MATCH(B1112&amp;"PT",'LM7 Non-ENG'!$A$1:$A$5000,0),1,,,"LM7 Non-ENG"),IF(IFERROR(VLOOKUP(B1112&amp;"PT",'LM7 Non-ENG'!$A$1:$A$5000,1,FALSE),"ERROR")=B1112&amp;"PT","Y","")),"")</f>
        <v/>
      </c>
      <c r="I1112" t="str">
        <f>IFERROR(VLOOKUP(B1112,PN!$A:$C,3,FALSE),"")</f>
        <v>Active</v>
      </c>
      <c r="J1112" s="3">
        <f>IFERROR(E1112*VLOOKUP(B1112,PLInter!$A:$D,3,FALSE),"")</f>
        <v>2126</v>
      </c>
      <c r="K1112" s="66"/>
      <c r="L1112" s="66"/>
      <c r="M1112" s="66"/>
      <c r="N1112" s="66"/>
      <c r="O1112" s="66"/>
      <c r="P1112" s="66"/>
      <c r="Q1112" s="66"/>
      <c r="R1112" s="66"/>
      <c r="S1112" s="66"/>
    </row>
    <row r="1113" spans="2:19" ht="18" customHeight="1">
      <c r="B1113" s="1" t="s">
        <v>482</v>
      </c>
      <c r="C1113" s="1" t="s">
        <v>721</v>
      </c>
      <c r="D1113" s="6" t="s">
        <v>0</v>
      </c>
      <c r="E1113" s="6">
        <v>1</v>
      </c>
      <c r="F1113" s="6"/>
      <c r="G1113" s="29" t="str">
        <f>IFERROR(HYPERLINK("#"&amp;ADDRESS(MATCH(B1113&amp;"ES",'LM7 Non-ENG'!$A$1:$A$5000,0),1,,,"LM7 Non-ENG"),IF(IFERROR(VLOOKUP(B1113&amp;"ES",'LM7 Non-ENG'!$A$1:$A$4999,1,FALSE),"ERROR")=B1113&amp;"ES","Y","")),"")</f>
        <v/>
      </c>
      <c r="H1113" s="29" t="str">
        <f>IFERROR(HYPERLINK("#"&amp;ADDRESS(MATCH(B1113&amp;"PT",'LM7 Non-ENG'!$A$1:$A$5000,0),1,,,"LM7 Non-ENG"),IF(IFERROR(VLOOKUP(B1113&amp;"PT",'LM7 Non-ENG'!$A$1:$A$5000,1,FALSE),"ERROR")=B1113&amp;"PT","Y","")),"")</f>
        <v/>
      </c>
      <c r="I1113" t="str">
        <f>IFERROR(VLOOKUP(B1113,PN!$A:$C,3,FALSE),"")</f>
        <v>Active</v>
      </c>
      <c r="J1113" s="3">
        <f>IFERROR(E1113*VLOOKUP(B1113,PLInter!$A:$D,3,FALSE),"")</f>
        <v>186</v>
      </c>
      <c r="K1113" s="66"/>
      <c r="L1113" s="66"/>
      <c r="M1113" s="66"/>
      <c r="N1113" s="66"/>
      <c r="O1113" s="66"/>
      <c r="P1113" s="66"/>
      <c r="Q1113" s="66"/>
      <c r="R1113" s="66"/>
      <c r="S1113" s="66"/>
    </row>
    <row r="1114" spans="2:19" ht="18" customHeight="1">
      <c r="B1114" t="s">
        <v>559</v>
      </c>
      <c r="C1114" t="s">
        <v>840</v>
      </c>
      <c r="D1114" s="4"/>
      <c r="E1114" s="4">
        <v>1</v>
      </c>
      <c r="F1114" s="4"/>
      <c r="G1114" s="29" t="str">
        <f>IFERROR(HYPERLINK("#"&amp;ADDRESS(MATCH(B1114&amp;"ES",'LM7 Non-ENG'!$A$1:$A$5000,0),1,,,"LM7 Non-ENG"),IF(IFERROR(VLOOKUP(B1114&amp;"ES",'LM7 Non-ENG'!$A$1:$A$4999,1,FALSE),"ERROR")=B1114&amp;"ES","Y","")),"")</f>
        <v/>
      </c>
      <c r="H1114" s="29" t="str">
        <f>IFERROR(HYPERLINK("#"&amp;ADDRESS(MATCH(B1114&amp;"PT",'LM7 Non-ENG'!$A$1:$A$5000,0),1,,,"LM7 Non-ENG"),IF(IFERROR(VLOOKUP(B1114&amp;"PT",'LM7 Non-ENG'!$A$1:$A$5000,1,FALSE),"ERROR")=B1114&amp;"PT","Y","")),"")</f>
        <v/>
      </c>
      <c r="I1114" t="str">
        <f>IFERROR(VLOOKUP(B1114,PN!$A:$C,3,FALSE),"")</f>
        <v>Active</v>
      </c>
      <c r="J1114" s="3">
        <f>IFERROR(E1114*VLOOKUP(B1114,PLInter!$A:$D,3,FALSE),"")</f>
        <v>500</v>
      </c>
      <c r="K1114" s="66"/>
      <c r="L1114" s="66"/>
      <c r="M1114" s="66"/>
      <c r="N1114" s="66"/>
      <c r="O1114" s="66"/>
      <c r="P1114" s="66"/>
      <c r="Q1114" s="66"/>
      <c r="R1114" s="66"/>
      <c r="S1114" s="66"/>
    </row>
    <row r="1115" spans="2:19" ht="18" customHeight="1">
      <c r="B1115" s="2" t="s">
        <v>841</v>
      </c>
      <c r="C1115" s="2" t="s">
        <v>842</v>
      </c>
      <c r="D1115" s="5"/>
      <c r="E1115" s="5">
        <v>1</v>
      </c>
      <c r="F1115" s="5" t="s">
        <v>0</v>
      </c>
      <c r="G1115" s="29" t="str">
        <f>IFERROR(HYPERLINK("#"&amp;ADDRESS(MATCH(B1115&amp;"ES",'LM7 Non-ENG'!$A$1:$A$5000,0),1,,,"LM7 Non-ENG"),IF(IFERROR(VLOOKUP(B1115&amp;"ES",'LM7 Non-ENG'!$A$1:$A$4999,1,FALSE),"ERROR")=B1115&amp;"ES","Y","")),"")</f>
        <v/>
      </c>
      <c r="H1115" s="29" t="str">
        <f>IFERROR(HYPERLINK("#"&amp;ADDRESS(MATCH(B1115&amp;"PT",'LM7 Non-ENG'!$A$1:$A$5000,0),1,,,"LM7 Non-ENG"),IF(IFERROR(VLOOKUP(B1115&amp;"PT",'LM7 Non-ENG'!$A$1:$A$5000,1,FALSE),"ERROR")=B1115&amp;"PT","Y","")),"")</f>
        <v/>
      </c>
      <c r="I1115" t="str">
        <f>IFERROR(VLOOKUP(B1115,PN!$A:$C,3,FALSE),"")</f>
        <v>Active</v>
      </c>
      <c r="J1115" s="3" t="str">
        <f>IFERROR(E1115*VLOOKUP(B1115,PLInter!$A:$D,3,FALSE),"")</f>
        <v/>
      </c>
      <c r="K1115" s="66"/>
      <c r="L1115" s="66"/>
      <c r="M1115" s="66"/>
      <c r="N1115" s="66"/>
      <c r="O1115" s="66"/>
      <c r="P1115" s="66"/>
      <c r="Q1115" s="66"/>
      <c r="R1115" s="66"/>
      <c r="S1115" s="66"/>
    </row>
    <row r="1116" spans="2:19" ht="18" customHeight="1">
      <c r="B1116" t="s">
        <v>568</v>
      </c>
      <c r="C1116" t="s">
        <v>731</v>
      </c>
      <c r="D1116" s="4"/>
      <c r="E1116" s="4">
        <v>1</v>
      </c>
      <c r="F1116" s="4"/>
      <c r="G1116" s="29" t="str">
        <f>IFERROR(HYPERLINK("#"&amp;ADDRESS(MATCH(B1116&amp;"ES",'LM7 Non-ENG'!$A$1:$A$5000,0),1,,,"LM7 Non-ENG"),IF(IFERROR(VLOOKUP(B1116&amp;"ES",'LM7 Non-ENG'!$A$1:$A$4999,1,FALSE),"ERROR")=B1116&amp;"ES","Y","")),"")</f>
        <v/>
      </c>
      <c r="H1116" s="29" t="str">
        <f>IFERROR(HYPERLINK("#"&amp;ADDRESS(MATCH(B1116&amp;"PT",'LM7 Non-ENG'!$A$1:$A$5000,0),1,,,"LM7 Non-ENG"),IF(IFERROR(VLOOKUP(B1116&amp;"PT",'LM7 Non-ENG'!$A$1:$A$5000,1,FALSE),"ERROR")=B1116&amp;"PT","Y","")),"")</f>
        <v/>
      </c>
      <c r="I1116" t="str">
        <f>IFERROR(VLOOKUP(B1116,PN!$A:$C,3,FALSE),"")</f>
        <v>Active</v>
      </c>
      <c r="J1116" s="3">
        <f>IFERROR(E1116*VLOOKUP(B1116,PLInter!$A:$D,3,FALSE),"")</f>
        <v>500</v>
      </c>
      <c r="K1116" s="66"/>
      <c r="L1116" s="66"/>
      <c r="M1116" s="66"/>
      <c r="N1116" s="66"/>
      <c r="O1116" s="66"/>
      <c r="P1116" s="66"/>
      <c r="Q1116" s="66"/>
      <c r="R1116" s="66"/>
      <c r="S1116" s="66"/>
    </row>
    <row r="1117" spans="2:19" ht="18" customHeight="1">
      <c r="B1117" t="s">
        <v>569</v>
      </c>
      <c r="C1117" t="s">
        <v>732</v>
      </c>
      <c r="D1117" s="4"/>
      <c r="E1117" s="4">
        <v>1</v>
      </c>
      <c r="F1117" s="4"/>
      <c r="G1117" s="29" t="str">
        <f>IFERROR(HYPERLINK("#"&amp;ADDRESS(MATCH(B1117&amp;"ES",'LM7 Non-ENG'!$A$1:$A$5000,0),1,,,"LM7 Non-ENG"),IF(IFERROR(VLOOKUP(B1117&amp;"ES",'LM7 Non-ENG'!$A$1:$A$4999,1,FALSE),"ERROR")=B1117&amp;"ES","Y","")),"")</f>
        <v/>
      </c>
      <c r="H1117" s="29" t="str">
        <f>IFERROR(HYPERLINK("#"&amp;ADDRESS(MATCH(B1117&amp;"PT",'LM7 Non-ENG'!$A$1:$A$5000,0),1,,,"LM7 Non-ENG"),IF(IFERROR(VLOOKUP(B1117&amp;"PT",'LM7 Non-ENG'!$A$1:$A$5000,1,FALSE),"ERROR")=B1117&amp;"PT","Y","")),"")</f>
        <v/>
      </c>
      <c r="I1117" t="str">
        <f>IFERROR(VLOOKUP(B1117,PN!$A:$C,3,FALSE),"")</f>
        <v>Active</v>
      </c>
      <c r="J1117" s="3">
        <f>IFERROR(E1117*VLOOKUP(B1117,PLInter!$A:$D,3,FALSE),"")</f>
        <v>500</v>
      </c>
      <c r="K1117" s="66"/>
      <c r="L1117" s="66"/>
      <c r="M1117" s="66"/>
      <c r="N1117" s="66"/>
      <c r="O1117" s="66"/>
      <c r="P1117" s="66"/>
      <c r="Q1117" s="66"/>
      <c r="R1117" s="66"/>
      <c r="S1117" s="66"/>
    </row>
    <row r="1118" spans="2:19" ht="18" customHeight="1">
      <c r="B1118" t="str">
        <f>"113034"</f>
        <v>113034</v>
      </c>
      <c r="C1118" t="s">
        <v>695</v>
      </c>
      <c r="D1118" s="4"/>
      <c r="E1118" s="4">
        <v>50</v>
      </c>
      <c r="F1118" s="4"/>
      <c r="G1118" s="29" t="str">
        <f>IFERROR(HYPERLINK("#"&amp;ADDRESS(MATCH(B1118&amp;"ES",'LM7 Non-ENG'!$A$1:$A$5000,0),1,,,"LM7 Non-ENG"),IF(IFERROR(VLOOKUP(B1118&amp;"ES",'LM7 Non-ENG'!$A$1:$A$4999,1,FALSE),"ERROR")=B1118&amp;"ES","Y","")),"")</f>
        <v/>
      </c>
      <c r="H1118" s="29" t="str">
        <f>IFERROR(HYPERLINK("#"&amp;ADDRESS(MATCH(B1118&amp;"PT",'LM7 Non-ENG'!$A$1:$A$5000,0),1,,,"LM7 Non-ENG"),IF(IFERROR(VLOOKUP(B1118&amp;"PT",'LM7 Non-ENG'!$A$1:$A$5000,1,FALSE),"ERROR")=B1118&amp;"PT","Y","")),"")</f>
        <v/>
      </c>
      <c r="I1118" t="str">
        <f>IFERROR(VLOOKUP(B1118,PN!$A:$C,3,FALSE),"")</f>
        <v>Active</v>
      </c>
      <c r="J1118" s="3">
        <f>IFERROR(E1118*VLOOKUP(B1118,PLInter!$A:$D,3,FALSE),"")</f>
        <v>750</v>
      </c>
      <c r="K1118" s="66"/>
      <c r="L1118" s="66"/>
      <c r="M1118" s="66"/>
      <c r="N1118" s="66"/>
      <c r="O1118" s="66"/>
      <c r="P1118" s="66"/>
      <c r="Q1118" s="66"/>
      <c r="R1118" s="66"/>
      <c r="S1118" s="66"/>
    </row>
    <row r="1119" spans="2:19" ht="18" customHeight="1">
      <c r="B1119" t="s">
        <v>801</v>
      </c>
      <c r="C1119" t="s">
        <v>802</v>
      </c>
      <c r="D1119" s="4"/>
      <c r="E1119" s="4">
        <v>1</v>
      </c>
      <c r="F1119" s="4"/>
      <c r="G1119" s="29" t="str">
        <f>IFERROR(HYPERLINK("#"&amp;ADDRESS(MATCH(B1119&amp;"ES",'LM7 Non-ENG'!$A$1:$A$5000,0),1,,,"LM7 Non-ENG"),IF(IFERROR(VLOOKUP(B1119&amp;"ES",'LM7 Non-ENG'!$A$1:$A$4999,1,FALSE),"ERROR")=B1119&amp;"ES","Y","")),"")</f>
        <v/>
      </c>
      <c r="H1119" s="29" t="str">
        <f>IFERROR(HYPERLINK("#"&amp;ADDRESS(MATCH(B1119&amp;"PT",'LM7 Non-ENG'!$A$1:$A$5000,0),1,,,"LM7 Non-ENG"),IF(IFERROR(VLOOKUP(B1119&amp;"PT",'LM7 Non-ENG'!$A$1:$A$5000,1,FALSE),"ERROR")=B1119&amp;"PT","Y","")),"")</f>
        <v/>
      </c>
      <c r="I1119" t="str">
        <f>IFERROR(VLOOKUP(B1119,PN!$A:$C,3,FALSE),"")</f>
        <v>Active</v>
      </c>
      <c r="J1119" s="3">
        <f>IFERROR(E1119*VLOOKUP(B1119,PLInter!$A:$D,3,FALSE),"")</f>
        <v>667</v>
      </c>
      <c r="K1119" s="66"/>
      <c r="L1119" s="66"/>
      <c r="M1119" s="66"/>
      <c r="N1119" s="66"/>
      <c r="O1119" s="66"/>
      <c r="P1119" s="66"/>
      <c r="Q1119" s="66"/>
      <c r="R1119" s="66"/>
      <c r="S1119" s="66"/>
    </row>
    <row r="1120" spans="2:19" ht="18" customHeight="1">
      <c r="B1120" t="s">
        <v>457</v>
      </c>
      <c r="C1120" t="s">
        <v>466</v>
      </c>
      <c r="D1120" s="4"/>
      <c r="E1120" s="4">
        <v>1</v>
      </c>
      <c r="F1120" s="4"/>
      <c r="G1120" s="29" t="str">
        <f>IFERROR(HYPERLINK("#"&amp;ADDRESS(MATCH(B1120&amp;"ES",'LM7 Non-ENG'!$A$1:$A$5000,0),1,,,"LM7 Non-ENG"),IF(IFERROR(VLOOKUP(B1120&amp;"ES",'LM7 Non-ENG'!$A$1:$A$4999,1,FALSE),"ERROR")=B1120&amp;"ES","Y","")),"")</f>
        <v/>
      </c>
      <c r="H1120" s="29" t="str">
        <f>IFERROR(HYPERLINK("#"&amp;ADDRESS(MATCH(B1120&amp;"PT",'LM7 Non-ENG'!$A$1:$A$5000,0),1,,,"LM7 Non-ENG"),IF(IFERROR(VLOOKUP(B1120&amp;"PT",'LM7 Non-ENG'!$A$1:$A$5000,1,FALSE),"ERROR")=B1120&amp;"PT","Y","")),"")</f>
        <v/>
      </c>
      <c r="I1120" t="str">
        <f>IFERROR(VLOOKUP(B1120,PN!$A:$C,3,FALSE),"")</f>
        <v>Active</v>
      </c>
      <c r="J1120" s="3">
        <f>IFERROR(E1120*VLOOKUP(B1120,PLInter!$A:$D,3,FALSE),"")</f>
        <v>20994</v>
      </c>
      <c r="K1120" s="66"/>
      <c r="L1120" s="66"/>
      <c r="M1120" s="66"/>
      <c r="N1120" s="66"/>
      <c r="O1120" s="66"/>
      <c r="P1120" s="66"/>
      <c r="Q1120" s="66"/>
      <c r="R1120" s="66"/>
      <c r="S1120" s="66"/>
    </row>
    <row r="1121" spans="2:19" ht="18" customHeight="1">
      <c r="B1121" s="2" t="s">
        <v>456</v>
      </c>
      <c r="C1121" s="2" t="s">
        <v>465</v>
      </c>
      <c r="D1121" s="5"/>
      <c r="E1121" s="5">
        <v>1</v>
      </c>
      <c r="F1121" s="5" t="s">
        <v>0</v>
      </c>
      <c r="G1121" s="29" t="str">
        <f>IFERROR(HYPERLINK("#"&amp;ADDRESS(MATCH(B1121&amp;"ES",'LM7 Non-ENG'!$A$1:$A$5000,0),1,,,"LM7 Non-ENG"),IF(IFERROR(VLOOKUP(B1121&amp;"ES",'LM7 Non-ENG'!$A$1:$A$4999,1,FALSE),"ERROR")=B1121&amp;"ES","Y","")),"")</f>
        <v/>
      </c>
      <c r="H1121" s="29" t="str">
        <f>IFERROR(HYPERLINK("#"&amp;ADDRESS(MATCH(B1121&amp;"PT",'LM7 Non-ENG'!$A$1:$A$5000,0),1,,,"LM7 Non-ENG"),IF(IFERROR(VLOOKUP(B1121&amp;"PT",'LM7 Non-ENG'!$A$1:$A$5000,1,FALSE),"ERROR")=B1121&amp;"PT","Y","")),"")</f>
        <v/>
      </c>
      <c r="I1121" t="str">
        <f>IFERROR(VLOOKUP(B1121,PN!$A:$C,3,FALSE),"")</f>
        <v>Active</v>
      </c>
      <c r="J1121" s="3">
        <f>IFERROR(E1121*VLOOKUP(B1121,PLInter!$A:$D,3,FALSE),"")</f>
        <v>20994</v>
      </c>
      <c r="K1121" s="66"/>
      <c r="L1121" s="66"/>
      <c r="M1121" s="66"/>
      <c r="N1121" s="66"/>
      <c r="O1121" s="66"/>
      <c r="P1121" s="66"/>
      <c r="Q1121" s="66"/>
      <c r="R1121" s="66"/>
      <c r="S1121" s="66"/>
    </row>
    <row r="1122" spans="2:19" ht="18" customHeight="1">
      <c r="B1122" t="s">
        <v>519</v>
      </c>
      <c r="C1122" t="s">
        <v>803</v>
      </c>
      <c r="D1122" s="4"/>
      <c r="E1122" s="4">
        <v>1</v>
      </c>
      <c r="F1122" s="4"/>
      <c r="G1122" s="29" t="str">
        <f>IFERROR(HYPERLINK("#"&amp;ADDRESS(MATCH(B1122&amp;"ES",'LM7 Non-ENG'!$A$1:$A$5000,0),1,,,"LM7 Non-ENG"),IF(IFERROR(VLOOKUP(B1122&amp;"ES",'LM7 Non-ENG'!$A$1:$A$4999,1,FALSE),"ERROR")=B1122&amp;"ES","Y","")),"")</f>
        <v/>
      </c>
      <c r="H1122" s="29" t="str">
        <f>IFERROR(HYPERLINK("#"&amp;ADDRESS(MATCH(B1122&amp;"PT",'LM7 Non-ENG'!$A$1:$A$5000,0),1,,,"LM7 Non-ENG"),IF(IFERROR(VLOOKUP(B1122&amp;"PT",'LM7 Non-ENG'!$A$1:$A$5000,1,FALSE),"ERROR")=B1122&amp;"PT","Y","")),"")</f>
        <v/>
      </c>
      <c r="I1122" t="str">
        <f>IFERROR(VLOOKUP(B1122,PN!$A:$C,3,FALSE),"")</f>
        <v>Active</v>
      </c>
      <c r="J1122" s="3">
        <f>IFERROR(E1122*VLOOKUP(B1122,PLInter!$A:$D,3,FALSE),"")</f>
        <v>1595</v>
      </c>
      <c r="K1122" s="66"/>
      <c r="L1122" s="66"/>
      <c r="M1122" s="66"/>
      <c r="N1122" s="66"/>
      <c r="O1122" s="66"/>
      <c r="P1122" s="66"/>
      <c r="Q1122" s="66"/>
      <c r="R1122" s="66"/>
      <c r="S1122" s="66"/>
    </row>
    <row r="1123" spans="2:19" ht="18" customHeight="1">
      <c r="B1123" t="s">
        <v>516</v>
      </c>
      <c r="C1123" t="s">
        <v>804</v>
      </c>
      <c r="D1123" s="4"/>
      <c r="E1123" s="4">
        <v>1</v>
      </c>
      <c r="F1123" s="4"/>
      <c r="G1123" s="29" t="str">
        <f>IFERROR(HYPERLINK("#"&amp;ADDRESS(MATCH(B1123&amp;"ES",'LM7 Non-ENG'!$A$1:$A$5000,0),1,,,"LM7 Non-ENG"),IF(IFERROR(VLOOKUP(B1123&amp;"ES",'LM7 Non-ENG'!$A$1:$A$4999,1,FALSE),"ERROR")=B1123&amp;"ES","Y","")),"")</f>
        <v/>
      </c>
      <c r="H1123" s="29" t="str">
        <f>IFERROR(HYPERLINK("#"&amp;ADDRESS(MATCH(B1123&amp;"PT",'LM7 Non-ENG'!$A$1:$A$5000,0),1,,,"LM7 Non-ENG"),IF(IFERROR(VLOOKUP(B1123&amp;"PT",'LM7 Non-ENG'!$A$1:$A$5000,1,FALSE),"ERROR")=B1123&amp;"PT","Y","")),"")</f>
        <v/>
      </c>
      <c r="I1123" t="str">
        <f>IFERROR(VLOOKUP(B1123,PN!$A:$C,3,FALSE),"")</f>
        <v>Active</v>
      </c>
      <c r="J1123" s="3">
        <f>IFERROR(E1123*VLOOKUP(B1123,PLInter!$A:$D,3,FALSE),"")</f>
        <v>2126</v>
      </c>
      <c r="K1123" s="66"/>
      <c r="L1123" s="66"/>
      <c r="M1123" s="66"/>
      <c r="N1123" s="66"/>
      <c r="O1123" s="66"/>
      <c r="P1123" s="66"/>
      <c r="Q1123" s="66"/>
      <c r="R1123" s="66"/>
      <c r="S1123" s="66"/>
    </row>
    <row r="1124" spans="2:19" ht="18" customHeight="1">
      <c r="B1124" s="1" t="s">
        <v>507</v>
      </c>
      <c r="C1124" s="1" t="s">
        <v>843</v>
      </c>
      <c r="D1124" s="6" t="s">
        <v>0</v>
      </c>
      <c r="E1124" s="6">
        <v>1</v>
      </c>
      <c r="F1124" s="6"/>
      <c r="G1124" s="29" t="str">
        <f>IFERROR(HYPERLINK("#"&amp;ADDRESS(MATCH(B1124&amp;"ES",'LM7 Non-ENG'!$A$1:$A$5000,0),1,,,"LM7 Non-ENG"),IF(IFERROR(VLOOKUP(B1124&amp;"ES",'LM7 Non-ENG'!$A$1:$A$4999,1,FALSE),"ERROR")=B1124&amp;"ES","Y","")),"")</f>
        <v/>
      </c>
      <c r="H1124" s="29" t="str">
        <f>IFERROR(HYPERLINK("#"&amp;ADDRESS(MATCH(B1124&amp;"PT",'LM7 Non-ENG'!$A$1:$A$5000,0),1,,,"LM7 Non-ENG"),IF(IFERROR(VLOOKUP(B1124&amp;"PT",'LM7 Non-ENG'!$A$1:$A$5000,1,FALSE),"ERROR")=B1124&amp;"PT","Y","")),"")</f>
        <v/>
      </c>
      <c r="I1124" t="str">
        <f>IFERROR(VLOOKUP(B1124,PN!$A:$C,3,FALSE),"")</f>
        <v>Active</v>
      </c>
      <c r="J1124" s="3">
        <f>IFERROR(E1124*VLOOKUP(B1124,PLInter!$A:$D,3,FALSE),"")</f>
        <v>244</v>
      </c>
      <c r="K1124" s="66"/>
      <c r="L1124" s="66"/>
      <c r="M1124" s="66"/>
      <c r="N1124" s="66"/>
      <c r="O1124" s="66"/>
      <c r="P1124" s="66"/>
      <c r="Q1124" s="66"/>
      <c r="R1124" s="66"/>
      <c r="S1124" s="66"/>
    </row>
    <row r="1125" spans="2:19" ht="18" customHeight="1">
      <c r="B1125" s="1" t="s">
        <v>740</v>
      </c>
      <c r="C1125" s="1" t="s">
        <v>741</v>
      </c>
      <c r="D1125" s="6" t="s">
        <v>0</v>
      </c>
      <c r="E1125" s="6">
        <v>1</v>
      </c>
      <c r="F1125" s="6"/>
      <c r="G1125" s="29" t="str">
        <f>IFERROR(HYPERLINK("#"&amp;ADDRESS(MATCH(B1125&amp;"ES",'LM7 Non-ENG'!$A$1:$A$5000,0),1,,,"LM7 Non-ENG"),IF(IFERROR(VLOOKUP(B1125&amp;"ES",'LM7 Non-ENG'!$A$1:$A$4999,1,FALSE),"ERROR")=B1125&amp;"ES","Y","")),"")</f>
        <v/>
      </c>
      <c r="H1125" s="29" t="str">
        <f>IFERROR(HYPERLINK("#"&amp;ADDRESS(MATCH(B1125&amp;"PT",'LM7 Non-ENG'!$A$1:$A$5000,0),1,,,"LM7 Non-ENG"),IF(IFERROR(VLOOKUP(B1125&amp;"PT",'LM7 Non-ENG'!$A$1:$A$5000,1,FALSE),"ERROR")=B1125&amp;"PT","Y","")),"")</f>
        <v/>
      </c>
      <c r="I1125" t="str">
        <f>IFERROR(VLOOKUP(B1125,PN!$A:$C,3,FALSE),"")</f>
        <v>Active</v>
      </c>
      <c r="J1125" s="3" t="str">
        <f>IFERROR(E1125*VLOOKUP(B1125,PLInter!$A:$D,3,FALSE),"")</f>
        <v/>
      </c>
      <c r="K1125" s="66"/>
      <c r="L1125" s="66"/>
      <c r="M1125" s="66"/>
      <c r="N1125" s="66"/>
      <c r="O1125" s="66"/>
      <c r="P1125" s="66"/>
      <c r="Q1125" s="66"/>
      <c r="R1125" s="66"/>
      <c r="S1125" s="66"/>
    </row>
    <row r="1126" spans="2:19" ht="18" customHeight="1">
      <c r="B1126" t="s">
        <v>504</v>
      </c>
      <c r="C1126" t="s">
        <v>742</v>
      </c>
      <c r="D1126" s="4"/>
      <c r="E1126" s="4">
        <v>1</v>
      </c>
      <c r="F1126" s="4"/>
      <c r="G1126" s="29" t="str">
        <f>IFERROR(HYPERLINK("#"&amp;ADDRESS(MATCH(B1126&amp;"ES",'LM7 Non-ENG'!$A$1:$A$5000,0),1,,,"LM7 Non-ENG"),IF(IFERROR(VLOOKUP(B1126&amp;"ES",'LM7 Non-ENG'!$A$1:$A$4999,1,FALSE),"ERROR")=B1126&amp;"ES","Y","")),"")</f>
        <v/>
      </c>
      <c r="H1126" s="29" t="str">
        <f>IFERROR(HYPERLINK("#"&amp;ADDRESS(MATCH(B1126&amp;"PT",'LM7 Non-ENG'!$A$1:$A$5000,0),1,,,"LM7 Non-ENG"),IF(IFERROR(VLOOKUP(B1126&amp;"PT",'LM7 Non-ENG'!$A$1:$A$5000,1,FALSE),"ERROR")=B1126&amp;"PT","Y","")),"")</f>
        <v/>
      </c>
      <c r="I1126" t="str">
        <f>IFERROR(VLOOKUP(B1126,PN!$A:$C,3,FALSE),"")</f>
        <v>Active</v>
      </c>
      <c r="J1126" s="3">
        <f>IFERROR(E1126*VLOOKUP(B1126,PLInter!$A:$D,3,FALSE),"")</f>
        <v>227</v>
      </c>
      <c r="K1126" s="66"/>
      <c r="L1126" s="66"/>
      <c r="M1126" s="66"/>
      <c r="N1126" s="66"/>
      <c r="O1126" s="66"/>
      <c r="P1126" s="66"/>
      <c r="Q1126" s="66"/>
      <c r="R1126" s="66"/>
      <c r="S1126" s="66"/>
    </row>
    <row r="1127" spans="2:19" ht="18" customHeight="1">
      <c r="B1127" t="s">
        <v>505</v>
      </c>
      <c r="C1127" t="s">
        <v>844</v>
      </c>
      <c r="D1127" s="4"/>
      <c r="E1127" s="4">
        <v>1</v>
      </c>
      <c r="F1127" s="4"/>
      <c r="G1127" s="29" t="str">
        <f>IFERROR(HYPERLINK("#"&amp;ADDRESS(MATCH(B1127&amp;"ES",'LM7 Non-ENG'!$A$1:$A$5000,0),1,,,"LM7 Non-ENG"),IF(IFERROR(VLOOKUP(B1127&amp;"ES",'LM7 Non-ENG'!$A$1:$A$4999,1,FALSE),"ERROR")=B1127&amp;"ES","Y","")),"")</f>
        <v/>
      </c>
      <c r="H1127" s="29" t="str">
        <f>IFERROR(HYPERLINK("#"&amp;ADDRESS(MATCH(B1127&amp;"PT",'LM7 Non-ENG'!$A$1:$A$5000,0),1,,,"LM7 Non-ENG"),IF(IFERROR(VLOOKUP(B1127&amp;"PT",'LM7 Non-ENG'!$A$1:$A$5000,1,FALSE),"ERROR")=B1127&amp;"PT","Y","")),"")</f>
        <v/>
      </c>
      <c r="I1127" t="str">
        <f>IFERROR(VLOOKUP(B1127,PN!$A:$C,3,FALSE),"")</f>
        <v>Active</v>
      </c>
      <c r="J1127" s="3">
        <f>IFERROR(E1127*VLOOKUP(B1127,PLInter!$A:$D,3,FALSE),"")</f>
        <v>200</v>
      </c>
      <c r="K1127" s="66"/>
      <c r="L1127" s="66"/>
      <c r="M1127" s="66"/>
      <c r="N1127" s="66"/>
      <c r="O1127" s="66"/>
      <c r="P1127" s="66"/>
      <c r="Q1127" s="66"/>
      <c r="R1127" s="66"/>
      <c r="S1127" s="66"/>
    </row>
    <row r="1128" spans="2:19" ht="18" customHeight="1">
      <c r="B1128" t="s">
        <v>502</v>
      </c>
      <c r="C1128" t="s">
        <v>744</v>
      </c>
      <c r="D1128" s="4"/>
      <c r="E1128" s="4">
        <v>1</v>
      </c>
      <c r="F1128" s="4"/>
      <c r="G1128" s="29" t="str">
        <f>IFERROR(HYPERLINK("#"&amp;ADDRESS(MATCH(B1128&amp;"ES",'LM7 Non-ENG'!$A$1:$A$5000,0),1,,,"LM7 Non-ENG"),IF(IFERROR(VLOOKUP(B1128&amp;"ES",'LM7 Non-ENG'!$A$1:$A$4999,1,FALSE),"ERROR")=B1128&amp;"ES","Y","")),"")</f>
        <v/>
      </c>
      <c r="H1128" s="29" t="str">
        <f>IFERROR(HYPERLINK("#"&amp;ADDRESS(MATCH(B1128&amp;"PT",'LM7 Non-ENG'!$A$1:$A$5000,0),1,,,"LM7 Non-ENG"),IF(IFERROR(VLOOKUP(B1128&amp;"PT",'LM7 Non-ENG'!$A$1:$A$5000,1,FALSE),"ERROR")=B1128&amp;"PT","Y","")),"")</f>
        <v/>
      </c>
      <c r="I1128" t="str">
        <f>IFERROR(VLOOKUP(B1128,PN!$A:$C,3,FALSE),"")</f>
        <v>Active</v>
      </c>
      <c r="J1128" s="3">
        <f>IFERROR(E1128*VLOOKUP(B1128,PLInter!$A:$D,3,FALSE),"")</f>
        <v>87</v>
      </c>
      <c r="K1128" s="66"/>
      <c r="L1128" s="66"/>
      <c r="M1128" s="66"/>
      <c r="N1128" s="66"/>
      <c r="O1128" s="66"/>
      <c r="P1128" s="66"/>
      <c r="Q1128" s="66"/>
      <c r="R1128" s="66"/>
      <c r="S1128" s="66"/>
    </row>
    <row r="1129" spans="2:19" ht="18" customHeight="1">
      <c r="B1129" t="s">
        <v>503</v>
      </c>
      <c r="C1129" t="s">
        <v>745</v>
      </c>
      <c r="D1129" s="4"/>
      <c r="E1129" s="4">
        <v>1</v>
      </c>
      <c r="F1129" s="4"/>
      <c r="G1129" s="29" t="str">
        <f>IFERROR(HYPERLINK("#"&amp;ADDRESS(MATCH(B1129&amp;"ES",'LM7 Non-ENG'!$A$1:$A$5000,0),1,,,"LM7 Non-ENG"),IF(IFERROR(VLOOKUP(B1129&amp;"ES",'LM7 Non-ENG'!$A$1:$A$4999,1,FALSE),"ERROR")=B1129&amp;"ES","Y","")),"")</f>
        <v/>
      </c>
      <c r="H1129" s="29" t="str">
        <f>IFERROR(HYPERLINK("#"&amp;ADDRESS(MATCH(B1129&amp;"PT",'LM7 Non-ENG'!$A$1:$A$5000,0),1,,,"LM7 Non-ENG"),IF(IFERROR(VLOOKUP(B1129&amp;"PT",'LM7 Non-ENG'!$A$1:$A$5000,1,FALSE),"ERROR")=B1129&amp;"PT","Y","")),"")</f>
        <v/>
      </c>
      <c r="I1129" t="str">
        <f>IFERROR(VLOOKUP(B1129,PN!$A:$C,3,FALSE),"")</f>
        <v>Active</v>
      </c>
      <c r="J1129" s="3">
        <f>IFERROR(E1129*VLOOKUP(B1129,PLInter!$A:$D,3,FALSE),"")</f>
        <v>74</v>
      </c>
      <c r="K1129" s="66"/>
      <c r="L1129" s="66"/>
      <c r="M1129" s="66"/>
      <c r="N1129" s="66"/>
      <c r="O1129" s="66"/>
      <c r="P1129" s="66"/>
      <c r="Q1129" s="66"/>
      <c r="R1129" s="66"/>
      <c r="S1129" s="66"/>
    </row>
    <row r="1130" spans="2:19" ht="18" customHeight="1">
      <c r="B1130" s="1" t="s">
        <v>480</v>
      </c>
      <c r="C1130" s="1" t="s">
        <v>723</v>
      </c>
      <c r="D1130" s="6" t="s">
        <v>0</v>
      </c>
      <c r="E1130" s="6">
        <v>1</v>
      </c>
      <c r="F1130" s="6"/>
      <c r="G1130" s="29" t="str">
        <f>IFERROR(HYPERLINK("#"&amp;ADDRESS(MATCH(B1130&amp;"ES",'LM7 Non-ENG'!$A$1:$A$5000,0),1,,,"LM7 Non-ENG"),IF(IFERROR(VLOOKUP(B1130&amp;"ES",'LM7 Non-ENG'!$A$1:$A$4999,1,FALSE),"ERROR")=B1130&amp;"ES","Y","")),"")</f>
        <v/>
      </c>
      <c r="H1130" s="29" t="str">
        <f>IFERROR(HYPERLINK("#"&amp;ADDRESS(MATCH(B1130&amp;"PT",'LM7 Non-ENG'!$A$1:$A$5000,0),1,,,"LM7 Non-ENG"),IF(IFERROR(VLOOKUP(B1130&amp;"PT",'LM7 Non-ENG'!$A$1:$A$5000,1,FALSE),"ERROR")=B1130&amp;"PT","Y","")),"")</f>
        <v/>
      </c>
      <c r="I1130" t="str">
        <f>IFERROR(VLOOKUP(B1130,PN!$A:$C,3,FALSE),"")</f>
        <v>Active</v>
      </c>
      <c r="J1130" s="3">
        <f>IFERROR(E1130*VLOOKUP(B1130,PLInter!$A:$D,3,FALSE),"")</f>
        <v>407</v>
      </c>
      <c r="K1130" s="66"/>
      <c r="L1130" s="66"/>
      <c r="M1130" s="66"/>
      <c r="N1130" s="66"/>
      <c r="O1130" s="66"/>
      <c r="P1130" s="66"/>
      <c r="Q1130" s="66"/>
      <c r="R1130" s="66"/>
      <c r="S1130" s="66"/>
    </row>
    <row r="1131" spans="2:19" ht="18" customHeight="1">
      <c r="B1131" s="1" t="s">
        <v>479</v>
      </c>
      <c r="C1131" s="1" t="s">
        <v>810</v>
      </c>
      <c r="D1131" s="6" t="s">
        <v>0</v>
      </c>
      <c r="E1131" s="6">
        <v>1</v>
      </c>
      <c r="F1131" s="6" t="s">
        <v>0</v>
      </c>
      <c r="G1131" s="29" t="str">
        <f>IFERROR(HYPERLINK("#"&amp;ADDRESS(MATCH(B1131&amp;"ES",'LM7 Non-ENG'!$A$1:$A$5000,0),1,,,"LM7 Non-ENG"),IF(IFERROR(VLOOKUP(B1131&amp;"ES",'LM7 Non-ENG'!$A$1:$A$4999,1,FALSE),"ERROR")=B1131&amp;"ES","Y","")),"")</f>
        <v/>
      </c>
      <c r="H1131" s="29" t="str">
        <f>IFERROR(HYPERLINK("#"&amp;ADDRESS(MATCH(B1131&amp;"PT",'LM7 Non-ENG'!$A$1:$A$5000,0),1,,,"LM7 Non-ENG"),IF(IFERROR(VLOOKUP(B1131&amp;"PT",'LM7 Non-ENG'!$A$1:$A$5000,1,FALSE),"ERROR")=B1131&amp;"PT","Y","")),"")</f>
        <v/>
      </c>
      <c r="I1131" t="str">
        <f>IFERROR(VLOOKUP(B1131,PN!$A:$C,3,FALSE),"")</f>
        <v>Active</v>
      </c>
      <c r="J1131" s="3">
        <f>IFERROR(E1131*VLOOKUP(B1131,PLInter!$A:$D,3,FALSE),"")</f>
        <v>407</v>
      </c>
      <c r="K1131" s="66"/>
      <c r="L1131" s="66"/>
      <c r="M1131" s="66"/>
      <c r="N1131" s="66"/>
      <c r="O1131" s="66"/>
      <c r="P1131" s="66"/>
      <c r="Q1131" s="66"/>
      <c r="R1131" s="66"/>
      <c r="S1131" s="66"/>
    </row>
    <row r="1132" spans="2:19" ht="18" customHeight="1">
      <c r="B1132" t="s">
        <v>478</v>
      </c>
      <c r="C1132" t="s">
        <v>716</v>
      </c>
      <c r="D1132" s="4"/>
      <c r="E1132" s="4">
        <v>1</v>
      </c>
      <c r="F1132" s="4"/>
      <c r="G1132" s="29" t="str">
        <f>IFERROR(HYPERLINK("#"&amp;ADDRESS(MATCH(B1132&amp;"ES",'LM7 Non-ENG'!$A$1:$A$5000,0),1,,,"LM7 Non-ENG"),IF(IFERROR(VLOOKUP(B1132&amp;"ES",'LM7 Non-ENG'!$A$1:$A$4999,1,FALSE),"ERROR")=B1132&amp;"ES","Y","")),"")</f>
        <v/>
      </c>
      <c r="H1132" s="29" t="str">
        <f>IFERROR(HYPERLINK("#"&amp;ADDRESS(MATCH(B1132&amp;"PT",'LM7 Non-ENG'!$A$1:$A$5000,0),1,,,"LM7 Non-ENG"),IF(IFERROR(VLOOKUP(B1132&amp;"PT",'LM7 Non-ENG'!$A$1:$A$5000,1,FALSE),"ERROR")=B1132&amp;"PT","Y","")),"")</f>
        <v/>
      </c>
      <c r="I1132" t="str">
        <f>IFERROR(VLOOKUP(B1132,PN!$A:$C,3,FALSE),"")</f>
        <v>Active</v>
      </c>
      <c r="J1132" s="3">
        <f>IFERROR(E1132*VLOOKUP(B1132,PLInter!$A:$D,3,FALSE),"")</f>
        <v>795</v>
      </c>
      <c r="K1132" s="66"/>
      <c r="L1132" s="66"/>
      <c r="M1132" s="66"/>
      <c r="N1132" s="66"/>
      <c r="O1132" s="66"/>
      <c r="P1132" s="66"/>
      <c r="Q1132" s="66"/>
      <c r="R1132" s="66"/>
      <c r="S1132" s="66"/>
    </row>
    <row r="1133" spans="2:19" ht="18" customHeight="1">
      <c r="B1133" t="s">
        <v>486</v>
      </c>
      <c r="C1133" t="s">
        <v>806</v>
      </c>
      <c r="D1133" s="4"/>
      <c r="E1133" s="4">
        <v>1</v>
      </c>
      <c r="F1133" s="4"/>
      <c r="G1133" s="29" t="str">
        <f>IFERROR(HYPERLINK("#"&amp;ADDRESS(MATCH(B1133&amp;"ES",'LM7 Non-ENG'!$A$1:$A$5000,0),1,,,"LM7 Non-ENG"),IF(IFERROR(VLOOKUP(B1133&amp;"ES",'LM7 Non-ENG'!$A$1:$A$4999,1,FALSE),"ERROR")=B1133&amp;"ES","Y","")),"")</f>
        <v/>
      </c>
      <c r="H1133" s="29" t="str">
        <f>IFERROR(HYPERLINK("#"&amp;ADDRESS(MATCH(B1133&amp;"PT",'LM7 Non-ENG'!$A$1:$A$5000,0),1,,,"LM7 Non-ENG"),IF(IFERROR(VLOOKUP(B1133&amp;"PT",'LM7 Non-ENG'!$A$1:$A$5000,1,FALSE),"ERROR")=B1133&amp;"PT","Y","")),"")</f>
        <v/>
      </c>
      <c r="I1133" t="str">
        <f>IFERROR(VLOOKUP(B1133,PN!$A:$C,3,FALSE),"")</f>
        <v>Active</v>
      </c>
      <c r="J1133" s="3">
        <f>IFERROR(E1133*VLOOKUP(B1133,PLInter!$A:$D,3,FALSE),"")</f>
        <v>313</v>
      </c>
      <c r="K1133" s="66"/>
      <c r="L1133" s="66"/>
      <c r="M1133" s="66"/>
      <c r="N1133" s="66"/>
      <c r="O1133" s="66"/>
      <c r="P1133" s="66"/>
      <c r="Q1133" s="66"/>
      <c r="R1133" s="66"/>
      <c r="S1133" s="66"/>
    </row>
    <row r="1134" spans="2:19" ht="18" customHeight="1">
      <c r="B1134" t="s">
        <v>562</v>
      </c>
      <c r="C1134" t="s">
        <v>807</v>
      </c>
      <c r="D1134" s="4"/>
      <c r="E1134" s="4">
        <v>1</v>
      </c>
      <c r="F1134" s="4"/>
      <c r="G1134" s="29" t="str">
        <f>IFERROR(HYPERLINK("#"&amp;ADDRESS(MATCH(B1134&amp;"ES",'LM7 Non-ENG'!$A$1:$A$5000,0),1,,,"LM7 Non-ENG"),IF(IFERROR(VLOOKUP(B1134&amp;"ES",'LM7 Non-ENG'!$A$1:$A$4999,1,FALSE),"ERROR")=B1134&amp;"ES","Y","")),"")</f>
        <v/>
      </c>
      <c r="H1134" s="29" t="str">
        <f>IFERROR(HYPERLINK("#"&amp;ADDRESS(MATCH(B1134&amp;"PT",'LM7 Non-ENG'!$A$1:$A$5000,0),1,,,"LM7 Non-ENG"),IF(IFERROR(VLOOKUP(B1134&amp;"PT",'LM7 Non-ENG'!$A$1:$A$5000,1,FALSE),"ERROR")=B1134&amp;"PT","Y","")),"")</f>
        <v/>
      </c>
      <c r="I1134" t="str">
        <f>IFERROR(VLOOKUP(B1134,PN!$A:$C,3,FALSE),"")</f>
        <v>Active</v>
      </c>
      <c r="J1134" s="3">
        <f>IFERROR(E1134*VLOOKUP(B1134,PLInter!$A:$D,3,FALSE),"")</f>
        <v>500</v>
      </c>
      <c r="K1134" s="66"/>
      <c r="L1134" s="66"/>
      <c r="M1134" s="66"/>
      <c r="N1134" s="66"/>
      <c r="O1134" s="66"/>
      <c r="P1134" s="66"/>
      <c r="Q1134" s="66"/>
      <c r="R1134" s="66"/>
      <c r="S1134" s="66"/>
    </row>
    <row r="1135" spans="2:19" ht="18" customHeight="1">
      <c r="B1135" t="s">
        <v>572</v>
      </c>
      <c r="C1135" t="s">
        <v>749</v>
      </c>
      <c r="D1135" s="4"/>
      <c r="E1135" s="4">
        <v>1</v>
      </c>
      <c r="F1135" s="4"/>
      <c r="G1135" s="29" t="str">
        <f>IFERROR(HYPERLINK("#"&amp;ADDRESS(MATCH(B1135&amp;"ES",'LM7 Non-ENG'!$A$1:$A$5000,0),1,,,"LM7 Non-ENG"),IF(IFERROR(VLOOKUP(B1135&amp;"ES",'LM7 Non-ENG'!$A$1:$A$4999,1,FALSE),"ERROR")=B1135&amp;"ES","Y","")),"")</f>
        <v/>
      </c>
      <c r="H1135" s="29" t="str">
        <f>IFERROR(HYPERLINK("#"&amp;ADDRESS(MATCH(B1135&amp;"PT",'LM7 Non-ENG'!$A$1:$A$5000,0),1,,,"LM7 Non-ENG"),IF(IFERROR(VLOOKUP(B1135&amp;"PT",'LM7 Non-ENG'!$A$1:$A$5000,1,FALSE),"ERROR")=B1135&amp;"PT","Y","")),"")</f>
        <v/>
      </c>
      <c r="I1135" t="str">
        <f>IFERROR(VLOOKUP(B1135,PN!$A:$C,3,FALSE),"")</f>
        <v>Active</v>
      </c>
      <c r="J1135" s="3">
        <f>IFERROR(E1135*VLOOKUP(B1135,PLInter!$A:$D,3,FALSE),"")</f>
        <v>500</v>
      </c>
      <c r="K1135" s="66"/>
      <c r="L1135" s="66"/>
      <c r="M1135" s="66"/>
      <c r="N1135" s="66"/>
      <c r="O1135" s="66"/>
      <c r="P1135" s="66"/>
      <c r="Q1135" s="66"/>
      <c r="R1135" s="66"/>
      <c r="S1135" s="66"/>
    </row>
    <row r="1136" spans="2:19" ht="18" customHeight="1">
      <c r="B1136" s="2" t="s">
        <v>845</v>
      </c>
      <c r="C1136" s="2" t="s">
        <v>846</v>
      </c>
      <c r="D1136" s="5"/>
      <c r="E1136" s="5">
        <v>1</v>
      </c>
      <c r="F1136" s="5" t="s">
        <v>0</v>
      </c>
      <c r="G1136" s="29" t="str">
        <f>IFERROR(HYPERLINK("#"&amp;ADDRESS(MATCH(B1136&amp;"ES",'LM7 Non-ENG'!$A$1:$A$5000,0),1,,,"LM7 Non-ENG"),IF(IFERROR(VLOOKUP(B1136&amp;"ES",'LM7 Non-ENG'!$A$1:$A$4999,1,FALSE),"ERROR")=B1136&amp;"ES","Y","")),"")</f>
        <v/>
      </c>
      <c r="H1136" s="29" t="str">
        <f>IFERROR(HYPERLINK("#"&amp;ADDRESS(MATCH(B1136&amp;"PT",'LM7 Non-ENG'!$A$1:$A$5000,0),1,,,"LM7 Non-ENG"),IF(IFERROR(VLOOKUP(B1136&amp;"PT",'LM7 Non-ENG'!$A$1:$A$5000,1,FALSE),"ERROR")=B1136&amp;"PT","Y","")),"")</f>
        <v/>
      </c>
      <c r="I1136" t="str">
        <f>IFERROR(VLOOKUP(B1136,PN!$A:$C,3,FALSE),"")</f>
        <v>Active</v>
      </c>
      <c r="J1136" s="3" t="str">
        <f>IFERROR(E1136*VLOOKUP(B1136,PLInter!$A:$D,3,FALSE),"")</f>
        <v/>
      </c>
      <c r="K1136" s="66"/>
      <c r="L1136" s="66"/>
      <c r="M1136" s="66"/>
      <c r="N1136" s="66"/>
      <c r="O1136" s="66"/>
      <c r="P1136" s="66"/>
      <c r="Q1136" s="66"/>
      <c r="R1136" s="66"/>
      <c r="S1136" s="66"/>
    </row>
    <row r="1137" spans="1:19" ht="18" customHeight="1">
      <c r="B1137" t="str">
        <f>"112496"</f>
        <v>112496</v>
      </c>
      <c r="C1137" t="s">
        <v>696</v>
      </c>
      <c r="D1137" s="4"/>
      <c r="E1137" s="4">
        <v>50</v>
      </c>
      <c r="F1137" s="4"/>
      <c r="G1137" s="29" t="str">
        <f>IFERROR(HYPERLINK("#"&amp;ADDRESS(MATCH(B1137&amp;"ES",'LM7 Non-ENG'!$A$1:$A$5000,0),1,,,"LM7 Non-ENG"),IF(IFERROR(VLOOKUP(B1137&amp;"ES",'LM7 Non-ENG'!$A$1:$A$4999,1,FALSE),"ERROR")=B1137&amp;"ES","Y","")),"")</f>
        <v/>
      </c>
      <c r="H1137" s="29" t="str">
        <f>IFERROR(HYPERLINK("#"&amp;ADDRESS(MATCH(B1137&amp;"PT",'LM7 Non-ENG'!$A$1:$A$5000,0),1,,,"LM7 Non-ENG"),IF(IFERROR(VLOOKUP(B1137&amp;"PT",'LM7 Non-ENG'!$A$1:$A$5000,1,FALSE),"ERROR")=B1137&amp;"PT","Y","")),"")</f>
        <v/>
      </c>
      <c r="I1137" t="str">
        <f>IFERROR(VLOOKUP(B1137,PN!$A:$C,3,FALSE),"")</f>
        <v>Active</v>
      </c>
      <c r="J1137" s="3">
        <f>IFERROR(E1137*VLOOKUP(B1137,PLInter!$A:$D,3,FALSE),"")</f>
        <v>1000</v>
      </c>
      <c r="K1137" s="66"/>
      <c r="L1137" s="66"/>
      <c r="M1137" s="66"/>
      <c r="N1137" s="66"/>
      <c r="O1137" s="66"/>
      <c r="P1137" s="66"/>
      <c r="Q1137" s="66"/>
      <c r="R1137" s="66"/>
      <c r="S1137" s="66"/>
    </row>
    <row r="1138" spans="1:19" ht="18" customHeight="1">
      <c r="B1138" t="s">
        <v>644</v>
      </c>
      <c r="C1138" t="s">
        <v>645</v>
      </c>
      <c r="D1138" s="4"/>
      <c r="E1138" s="4">
        <v>1</v>
      </c>
      <c r="F1138" s="4"/>
      <c r="G1138" s="29" t="str">
        <f>IFERROR(HYPERLINK("#"&amp;ADDRESS(MATCH(B1138&amp;"ES",'LM7 Non-ENG'!$A$1:$A$5000,0),1,,,"LM7 Non-ENG"),IF(IFERROR(VLOOKUP(B1138&amp;"ES",'LM7 Non-ENG'!$A$1:$A$4999,1,FALSE),"ERROR")=B1138&amp;"ES","Y","")),"")</f>
        <v/>
      </c>
      <c r="H1138" s="29" t="str">
        <f>IFERROR(HYPERLINK("#"&amp;ADDRESS(MATCH(B1138&amp;"PT",'LM7 Non-ENG'!$A$1:$A$5000,0),1,,,"LM7 Non-ENG"),IF(IFERROR(VLOOKUP(B1138&amp;"PT",'LM7 Non-ENG'!$A$1:$A$5000,1,FALSE),"ERROR")=B1138&amp;"PT","Y","")),"")</f>
        <v/>
      </c>
      <c r="I1138" t="str">
        <f>IFERROR(VLOOKUP(B1138,PN!$A:$C,3,FALSE),"")</f>
        <v>Active</v>
      </c>
      <c r="J1138" s="3">
        <f>IFERROR(E1138*VLOOKUP(B1138,PLInter!$A:$D,3,FALSE),"")</f>
        <v>1800</v>
      </c>
      <c r="K1138" s="66"/>
      <c r="L1138" s="66"/>
      <c r="M1138" s="66"/>
      <c r="N1138" s="66"/>
      <c r="O1138" s="66"/>
      <c r="P1138" s="66"/>
      <c r="Q1138" s="66"/>
      <c r="R1138" s="66"/>
      <c r="S1138" s="66"/>
    </row>
    <row r="1139" spans="1:19" ht="18" customHeight="1">
      <c r="B1139" t="s">
        <v>630</v>
      </c>
      <c r="C1139" t="s">
        <v>631</v>
      </c>
      <c r="D1139" s="4"/>
      <c r="E1139" s="4">
        <v>1</v>
      </c>
      <c r="F1139" s="4"/>
      <c r="G1139" s="29" t="str">
        <f>IFERROR(HYPERLINK("#"&amp;ADDRESS(MATCH(B1139&amp;"ES",'LM7 Non-ENG'!$A$1:$A$5000,0),1,,,"LM7 Non-ENG"),IF(IFERROR(VLOOKUP(B1139&amp;"ES",'LM7 Non-ENG'!$A$1:$A$4999,1,FALSE),"ERROR")=B1139&amp;"ES","Y","")),"")</f>
        <v/>
      </c>
      <c r="H1139" s="29" t="str">
        <f>IFERROR(HYPERLINK("#"&amp;ADDRESS(MATCH(B1139&amp;"PT",'LM7 Non-ENG'!$A$1:$A$5000,0),1,,,"LM7 Non-ENG"),IF(IFERROR(VLOOKUP(B1139&amp;"PT",'LM7 Non-ENG'!$A$1:$A$5000,1,FALSE),"ERROR")=B1139&amp;"PT","Y","")),"")</f>
        <v/>
      </c>
      <c r="I1139" t="str">
        <f>IFERROR(VLOOKUP(B1139,PN!$A:$C,3,FALSE),"")</f>
        <v>Active</v>
      </c>
      <c r="J1139" s="3">
        <f>IFERROR(E1139*VLOOKUP(B1139,PLInter!$A:$D,3,FALSE),"")</f>
        <v>1735</v>
      </c>
      <c r="K1139" s="66"/>
      <c r="L1139" s="66"/>
      <c r="M1139" s="66"/>
      <c r="N1139" s="66"/>
      <c r="O1139" s="66"/>
      <c r="P1139" s="66"/>
      <c r="Q1139" s="66"/>
      <c r="R1139" s="66"/>
      <c r="S1139" s="66"/>
    </row>
    <row r="1141" spans="1:19" s="7" customFormat="1" ht="18" customHeight="1">
      <c r="A1141" s="13" t="s">
        <v>906</v>
      </c>
      <c r="B1141" s="13"/>
      <c r="C1141" s="13" t="s">
        <v>907</v>
      </c>
      <c r="D1141" s="14"/>
      <c r="E1141" s="14"/>
      <c r="F1141" s="14"/>
      <c r="G1141" s="14"/>
      <c r="H1141" s="14"/>
      <c r="I1141" s="14"/>
      <c r="J1141" s="14">
        <f>SUMIFS(J1142:J1172,D1142:D1172,"&lt;&gt;Y",F1142:F1172,"&lt;&gt;Y",I1142:I1172,"&lt;&gt;Inactive",I1142:I1172,"&lt;&gt;ECO+NFS")</f>
        <v>83871</v>
      </c>
      <c r="K1141" s="14"/>
      <c r="L1141" s="14"/>
      <c r="M1141" s="14"/>
      <c r="N1141" s="14"/>
      <c r="O1141" s="14"/>
      <c r="P1141" s="14"/>
      <c r="Q1141" s="14"/>
      <c r="R1141" s="14"/>
      <c r="S1141" s="14"/>
    </row>
    <row r="1142" spans="1:19" ht="18" customHeight="1">
      <c r="A1142" s="17" t="str">
        <f>HYPERLINK("#"&amp;ADDRESS(MATCH(A1141,'CIM&amp;FMS'!$A$1:$A$4997,0),1,,,"CIM&amp;FMS"),"Back to Price List")</f>
        <v>Back to Price List</v>
      </c>
      <c r="B1142" t="s">
        <v>215</v>
      </c>
      <c r="C1142" t="s">
        <v>217</v>
      </c>
      <c r="D1142" s="4"/>
      <c r="E1142" s="4">
        <v>1</v>
      </c>
      <c r="F1142" s="4"/>
      <c r="G1142" s="29" t="str">
        <f>IFERROR(HYPERLINK("#"&amp;ADDRESS(MATCH(B1142&amp;"ES",'LM7 Non-ENG'!$A$1:$A$5000,0),1,,,"LM7 Non-ENG"),IF(IFERROR(VLOOKUP(B1142&amp;"ES",'LM7 Non-ENG'!$A$1:$A$4999,1,FALSE),"ERROR")=B1142&amp;"ES","Y","")),"")</f>
        <v/>
      </c>
      <c r="H1142" s="29" t="str">
        <f>IFERROR(HYPERLINK("#"&amp;ADDRESS(MATCH(B1142&amp;"PT",'LM7 Non-ENG'!$A$1:$A$5000,0),1,,,"LM7 Non-ENG"),IF(IFERROR(VLOOKUP(B1142&amp;"PT",'LM7 Non-ENG'!$A$1:$A$5000,1,FALSE),"ERROR")=B1142&amp;"PT","Y","")),"")</f>
        <v/>
      </c>
      <c r="I1142" t="str">
        <f>IFERROR(VLOOKUP(B1142,PN!$A:$C,3,FALSE),"")</f>
        <v>Active</v>
      </c>
      <c r="J1142" s="3">
        <f>IFERROR(E1142*VLOOKUP(B1142,PLInter!$A:$D,3,FALSE),"")</f>
        <v>35000</v>
      </c>
      <c r="K1142" s="66"/>
      <c r="L1142" s="66"/>
      <c r="M1142" s="66"/>
      <c r="N1142" s="66"/>
      <c r="O1142" s="66"/>
      <c r="P1142" s="66"/>
      <c r="Q1142" s="66"/>
      <c r="R1142" s="66"/>
      <c r="S1142" s="66"/>
    </row>
    <row r="1143" spans="1:19" ht="18" customHeight="1">
      <c r="B1143" t="s">
        <v>230</v>
      </c>
      <c r="C1143" t="s">
        <v>235</v>
      </c>
      <c r="D1143" s="4"/>
      <c r="E1143" s="4">
        <v>1</v>
      </c>
      <c r="F1143" s="4"/>
      <c r="G1143" s="29" t="str">
        <f>IFERROR(HYPERLINK("#"&amp;ADDRESS(MATCH(B1143&amp;"ES",'LM7 Non-ENG'!$A$1:$A$5000,0),1,,,"LM7 Non-ENG"),IF(IFERROR(VLOOKUP(B1143&amp;"ES",'LM7 Non-ENG'!$A$1:$A$4999,1,FALSE),"ERROR")=B1143&amp;"ES","Y","")),"")</f>
        <v/>
      </c>
      <c r="H1143" s="29" t="str">
        <f>IFERROR(HYPERLINK("#"&amp;ADDRESS(MATCH(B1143&amp;"PT",'LM7 Non-ENG'!$A$1:$A$5000,0),1,,,"LM7 Non-ENG"),IF(IFERROR(VLOOKUP(B1143&amp;"PT",'LM7 Non-ENG'!$A$1:$A$5000,1,FALSE),"ERROR")=B1143&amp;"PT","Y","")),"")</f>
        <v/>
      </c>
      <c r="I1143" t="str">
        <f>IFERROR(VLOOKUP(B1143,PN!$A:$C,3,FALSE),"")</f>
        <v>Active</v>
      </c>
      <c r="J1143" s="3">
        <f>IFERROR(E1143*VLOOKUP(B1143,PLInter!$A:$D,3,FALSE),"")</f>
        <v>3200</v>
      </c>
      <c r="K1143" s="66"/>
      <c r="L1143" s="66"/>
      <c r="M1143" s="66"/>
      <c r="N1143" s="66"/>
      <c r="O1143" s="66"/>
      <c r="P1143" s="66"/>
      <c r="Q1143" s="66"/>
      <c r="R1143" s="66"/>
      <c r="S1143" s="66"/>
    </row>
    <row r="1144" spans="1:19" ht="18" customHeight="1">
      <c r="B1144" t="s">
        <v>902</v>
      </c>
      <c r="C1144" t="s">
        <v>903</v>
      </c>
      <c r="D1144" s="4"/>
      <c r="E1144" s="4">
        <v>1</v>
      </c>
      <c r="F1144" s="4"/>
      <c r="G1144" s="29" t="str">
        <f>IFERROR(HYPERLINK("#"&amp;ADDRESS(MATCH(B1144&amp;"ES",'LM7 Non-ENG'!$A$1:$A$5000,0),1,,,"LM7 Non-ENG"),IF(IFERROR(VLOOKUP(B1144&amp;"ES",'LM7 Non-ENG'!$A$1:$A$4999,1,FALSE),"ERROR")=B1144&amp;"ES","Y","")),"")</f>
        <v/>
      </c>
      <c r="H1144" s="29" t="str">
        <f>IFERROR(HYPERLINK("#"&amp;ADDRESS(MATCH(B1144&amp;"PT",'LM7 Non-ENG'!$A$1:$A$5000,0),1,,,"LM7 Non-ENG"),IF(IFERROR(VLOOKUP(B1144&amp;"PT",'LM7 Non-ENG'!$A$1:$A$5000,1,FALSE),"ERROR")=B1144&amp;"PT","Y","")),"")</f>
        <v/>
      </c>
      <c r="I1144" t="str">
        <f>IFERROR(VLOOKUP(B1144,PN!$A:$C,3,FALSE),"")</f>
        <v>Active</v>
      </c>
      <c r="J1144" s="3">
        <f>IFERROR(E1144*VLOOKUP(B1144,PLInter!$A:$D,3,FALSE),"")</f>
        <v>2000</v>
      </c>
      <c r="K1144" s="66"/>
      <c r="L1144" s="66"/>
      <c r="M1144" s="66"/>
      <c r="N1144" s="66"/>
      <c r="O1144" s="66"/>
      <c r="P1144" s="66"/>
      <c r="Q1144" s="66"/>
      <c r="R1144" s="66"/>
      <c r="S1144" s="66"/>
    </row>
    <row r="1145" spans="1:19" ht="18" customHeight="1">
      <c r="B1145" t="s">
        <v>684</v>
      </c>
      <c r="C1145" t="s">
        <v>685</v>
      </c>
      <c r="D1145" s="4"/>
      <c r="E1145" s="4">
        <v>1</v>
      </c>
      <c r="F1145" s="4"/>
      <c r="G1145" s="29" t="str">
        <f>IFERROR(HYPERLINK("#"&amp;ADDRESS(MATCH(B1145&amp;"ES",'LM7 Non-ENG'!$A$1:$A$5000,0),1,,,"LM7 Non-ENG"),IF(IFERROR(VLOOKUP(B1145&amp;"ES",'LM7 Non-ENG'!$A$1:$A$4999,1,FALSE),"ERROR")=B1145&amp;"ES","Y","")),"")</f>
        <v/>
      </c>
      <c r="H1145" s="29" t="str">
        <f>IFERROR(HYPERLINK("#"&amp;ADDRESS(MATCH(B1145&amp;"PT",'LM7 Non-ENG'!$A$1:$A$5000,0),1,,,"LM7 Non-ENG"),IF(IFERROR(VLOOKUP(B1145&amp;"PT",'LM7 Non-ENG'!$A$1:$A$5000,1,FALSE),"ERROR")=B1145&amp;"PT","Y","")),"")</f>
        <v/>
      </c>
      <c r="I1145" t="str">
        <f>IFERROR(VLOOKUP(B1145,PN!$A:$C,3,FALSE),"")</f>
        <v>Active</v>
      </c>
      <c r="J1145" s="3">
        <f>IFERROR(E1145*VLOOKUP(B1145,PLInter!$A:$D,3,FALSE),"")</f>
        <v>580</v>
      </c>
      <c r="K1145" s="66"/>
      <c r="L1145" s="66"/>
      <c r="M1145" s="66"/>
      <c r="N1145" s="66"/>
      <c r="O1145" s="66"/>
      <c r="P1145" s="66"/>
      <c r="Q1145" s="66"/>
      <c r="R1145" s="66"/>
      <c r="S1145" s="66"/>
    </row>
    <row r="1146" spans="1:19" ht="18" customHeight="1">
      <c r="B1146" t="s">
        <v>680</v>
      </c>
      <c r="C1146" t="s">
        <v>681</v>
      </c>
      <c r="D1146" s="4"/>
      <c r="E1146" s="4">
        <v>1</v>
      </c>
      <c r="F1146" s="4"/>
      <c r="G1146" s="29" t="str">
        <f>IFERROR(HYPERLINK("#"&amp;ADDRESS(MATCH(B1146&amp;"ES",'LM7 Non-ENG'!$A$1:$A$5000,0),1,,,"LM7 Non-ENG"),IF(IFERROR(VLOOKUP(B1146&amp;"ES",'LM7 Non-ENG'!$A$1:$A$4999,1,FALSE),"ERROR")=B1146&amp;"ES","Y","")),"")</f>
        <v/>
      </c>
      <c r="H1146" s="29" t="str">
        <f>IFERROR(HYPERLINK("#"&amp;ADDRESS(MATCH(B1146&amp;"PT",'LM7 Non-ENG'!$A$1:$A$5000,0),1,,,"LM7 Non-ENG"),IF(IFERROR(VLOOKUP(B1146&amp;"PT",'LM7 Non-ENG'!$A$1:$A$5000,1,FALSE),"ERROR")=B1146&amp;"PT","Y","")),"")</f>
        <v/>
      </c>
      <c r="I1146" t="str">
        <f>IFERROR(VLOOKUP(B1146,PN!$A:$C,3,FALSE),"")</f>
        <v>Active</v>
      </c>
      <c r="J1146" s="3">
        <f>IFERROR(E1146*VLOOKUP(B1146,PLInter!$A:$D,3,FALSE),"")</f>
        <v>1440</v>
      </c>
      <c r="K1146" s="66"/>
      <c r="L1146" s="66"/>
      <c r="M1146" s="66"/>
      <c r="N1146" s="66"/>
      <c r="O1146" s="66"/>
      <c r="P1146" s="66"/>
      <c r="Q1146" s="66"/>
      <c r="R1146" s="66"/>
      <c r="S1146" s="66"/>
    </row>
    <row r="1147" spans="1:19" ht="18" customHeight="1">
      <c r="B1147" t="str">
        <f>"021152"</f>
        <v>021152</v>
      </c>
      <c r="C1147" s="41" t="s">
        <v>679</v>
      </c>
      <c r="D1147" s="4"/>
      <c r="E1147" s="4">
        <v>1</v>
      </c>
      <c r="F1147" s="4"/>
      <c r="G1147" s="29" t="str">
        <f>IFERROR(HYPERLINK("#"&amp;ADDRESS(MATCH(B1147&amp;"ES",'LM7 Non-ENG'!$A$1:$A$5000,0),1,,,"LM7 Non-ENG"),IF(IFERROR(VLOOKUP(B1147&amp;"ES",'LM7 Non-ENG'!$A$1:$A$4999,1,FALSE),"ERROR")=B1147&amp;"ES","Y","")),"")</f>
        <v/>
      </c>
      <c r="H1147" s="29" t="str">
        <f>IFERROR(HYPERLINK("#"&amp;ADDRESS(MATCH(B1147&amp;"PT",'LM7 Non-ENG'!$A$1:$A$5000,0),1,,,"LM7 Non-ENG"),IF(IFERROR(VLOOKUP(B1147&amp;"PT",'LM7 Non-ENG'!$A$1:$A$5000,1,FALSE),"ERROR")=B1147&amp;"PT","Y","")),"")</f>
        <v/>
      </c>
      <c r="I1147" t="str">
        <f>IFERROR(VLOOKUP(B1147,PN!$A:$C,3,FALSE),"")</f>
        <v>Active</v>
      </c>
      <c r="J1147" s="3">
        <f>IFERROR(E1147*VLOOKUP(B1147,PLInter!$A:$D,3,FALSE),"")</f>
        <v>240</v>
      </c>
      <c r="K1147" s="66"/>
      <c r="L1147" s="66"/>
      <c r="M1147" s="66"/>
      <c r="N1147" s="66"/>
      <c r="O1147" s="66"/>
      <c r="P1147" s="66"/>
      <c r="Q1147" s="66"/>
      <c r="R1147" s="66"/>
      <c r="S1147" s="66"/>
    </row>
    <row r="1148" spans="1:19" ht="18" customHeight="1">
      <c r="B1148" t="s">
        <v>835</v>
      </c>
      <c r="C1148" t="s">
        <v>836</v>
      </c>
      <c r="D1148" s="4"/>
      <c r="E1148" s="4">
        <v>1</v>
      </c>
      <c r="F1148" s="4"/>
      <c r="G1148" s="29" t="str">
        <f>IFERROR(HYPERLINK("#"&amp;ADDRESS(MATCH(B1148&amp;"ES",'LM7 Non-ENG'!$A$1:$A$5000,0),1,,,"LM7 Non-ENG"),IF(IFERROR(VLOOKUP(B1148&amp;"ES",'LM7 Non-ENG'!$A$1:$A$4999,1,FALSE),"ERROR")=B1148&amp;"ES","Y","")),"")</f>
        <v/>
      </c>
      <c r="H1148" s="29" t="str">
        <f>IFERROR(HYPERLINK("#"&amp;ADDRESS(MATCH(B1148&amp;"PT",'LM7 Non-ENG'!$A$1:$A$5000,0),1,,,"LM7 Non-ENG"),IF(IFERROR(VLOOKUP(B1148&amp;"PT",'LM7 Non-ENG'!$A$1:$A$5000,1,FALSE),"ERROR")=B1148&amp;"PT","Y","")),"")</f>
        <v/>
      </c>
      <c r="I1148" t="str">
        <f>IFERROR(VLOOKUP(B1148,PN!$A:$C,3,FALSE),"")</f>
        <v>Active</v>
      </c>
      <c r="J1148" s="3">
        <f>IFERROR(E1148*VLOOKUP(B1148,PLInter!$A:$D,3,FALSE),"")</f>
        <v>667</v>
      </c>
      <c r="K1148" s="66"/>
      <c r="L1148" s="66"/>
      <c r="M1148" s="66"/>
      <c r="N1148" s="66"/>
      <c r="O1148" s="66"/>
      <c r="P1148" s="66"/>
      <c r="Q1148" s="66"/>
      <c r="R1148" s="66"/>
      <c r="S1148" s="66"/>
    </row>
    <row r="1149" spans="1:19" ht="18" customHeight="1">
      <c r="B1149" t="s">
        <v>455</v>
      </c>
      <c r="C1149" t="s">
        <v>837</v>
      </c>
      <c r="D1149" s="4"/>
      <c r="E1149" s="4">
        <v>1</v>
      </c>
      <c r="F1149" s="4"/>
      <c r="G1149" s="29" t="str">
        <f>IFERROR(HYPERLINK("#"&amp;ADDRESS(MATCH(B1149&amp;"ES",'LM7 Non-ENG'!$A$1:$A$5000,0),1,,,"LM7 Non-ENG"),IF(IFERROR(VLOOKUP(B1149&amp;"ES",'LM7 Non-ENG'!$A$1:$A$4999,1,FALSE),"ERROR")=B1149&amp;"ES","Y","")),"")</f>
        <v/>
      </c>
      <c r="H1149" s="29" t="str">
        <f>IFERROR(HYPERLINK("#"&amp;ADDRESS(MATCH(B1149&amp;"PT",'LM7 Non-ENG'!$A$1:$A$5000,0),1,,,"LM7 Non-ENG"),IF(IFERROR(VLOOKUP(B1149&amp;"PT",'LM7 Non-ENG'!$A$1:$A$5000,1,FALSE),"ERROR")=B1149&amp;"PT","Y","")),"")</f>
        <v/>
      </c>
      <c r="I1149" t="str">
        <f>IFERROR(VLOOKUP(B1149,PN!$A:$C,3,FALSE),"")</f>
        <v>Active</v>
      </c>
      <c r="J1149" s="3">
        <f>IFERROR(E1149*VLOOKUP(B1149,PLInter!$A:$D,3,FALSE),"")</f>
        <v>26667</v>
      </c>
      <c r="K1149" s="66"/>
      <c r="L1149" s="66"/>
      <c r="M1149" s="66"/>
      <c r="N1149" s="66"/>
      <c r="O1149" s="66"/>
      <c r="P1149" s="66"/>
      <c r="Q1149" s="66"/>
      <c r="R1149" s="66"/>
      <c r="S1149" s="66"/>
    </row>
    <row r="1150" spans="1:19" ht="18" customHeight="1">
      <c r="B1150" s="2" t="s">
        <v>454</v>
      </c>
      <c r="C1150" s="2" t="s">
        <v>838</v>
      </c>
      <c r="D1150" s="5"/>
      <c r="E1150" s="5">
        <v>1</v>
      </c>
      <c r="F1150" s="5" t="s">
        <v>0</v>
      </c>
      <c r="G1150" s="29" t="str">
        <f>IFERROR(HYPERLINK("#"&amp;ADDRESS(MATCH(B1150&amp;"ES",'LM7 Non-ENG'!$A$1:$A$5000,0),1,,,"LM7 Non-ENG"),IF(IFERROR(VLOOKUP(B1150&amp;"ES",'LM7 Non-ENG'!$A$1:$A$4999,1,FALSE),"ERROR")=B1150&amp;"ES","Y","")),"")</f>
        <v/>
      </c>
      <c r="H1150" s="29" t="str">
        <f>IFERROR(HYPERLINK("#"&amp;ADDRESS(MATCH(B1150&amp;"PT",'LM7 Non-ENG'!$A$1:$A$5000,0),1,,,"LM7 Non-ENG"),IF(IFERROR(VLOOKUP(B1150&amp;"PT",'LM7 Non-ENG'!$A$1:$A$5000,1,FALSE),"ERROR")=B1150&amp;"PT","Y","")),"")</f>
        <v/>
      </c>
      <c r="I1150" t="str">
        <f>IFERROR(VLOOKUP(B1150,PN!$A:$C,3,FALSE),"")</f>
        <v>Active</v>
      </c>
      <c r="J1150" s="3">
        <f>IFERROR(E1150*VLOOKUP(B1150,PLInter!$A:$D,3,FALSE),"")</f>
        <v>26667</v>
      </c>
      <c r="K1150" s="66"/>
      <c r="L1150" s="66"/>
      <c r="M1150" s="66"/>
      <c r="N1150" s="66"/>
      <c r="O1150" s="66"/>
      <c r="P1150" s="66"/>
      <c r="Q1150" s="66"/>
      <c r="R1150" s="66"/>
      <c r="S1150" s="66"/>
    </row>
    <row r="1151" spans="1:19" ht="18" customHeight="1">
      <c r="B1151" t="s">
        <v>475</v>
      </c>
      <c r="C1151" t="s">
        <v>724</v>
      </c>
      <c r="D1151" s="4"/>
      <c r="E1151" s="4">
        <v>12</v>
      </c>
      <c r="F1151" s="4"/>
      <c r="G1151" s="29" t="str">
        <f>IFERROR(HYPERLINK("#"&amp;ADDRESS(MATCH(B1151&amp;"ES",'LM7 Non-ENG'!$A$1:$A$5000,0),1,,,"LM7 Non-ENG"),IF(IFERROR(VLOOKUP(B1151&amp;"ES",'LM7 Non-ENG'!$A$1:$A$4999,1,FALSE),"ERROR")=B1151&amp;"ES","Y","")),"")</f>
        <v/>
      </c>
      <c r="H1151" s="29" t="str">
        <f>IFERROR(HYPERLINK("#"&amp;ADDRESS(MATCH(B1151&amp;"PT",'LM7 Non-ENG'!$A$1:$A$5000,0),1,,,"LM7 Non-ENG"),IF(IFERROR(VLOOKUP(B1151&amp;"PT",'LM7 Non-ENG'!$A$1:$A$5000,1,FALSE),"ERROR")=B1151&amp;"PT","Y","")),"")</f>
        <v/>
      </c>
      <c r="I1151" t="str">
        <f>IFERROR(VLOOKUP(B1151,PN!$A:$C,3,FALSE),"")</f>
        <v>Active</v>
      </c>
      <c r="J1151" s="3">
        <f>IFERROR(E1151*VLOOKUP(B1151,PLInter!$A:$D,3,FALSE),"")</f>
        <v>4320</v>
      </c>
      <c r="K1151" s="66"/>
      <c r="L1151" s="66"/>
      <c r="M1151" s="66"/>
      <c r="N1151" s="66"/>
      <c r="O1151" s="66"/>
      <c r="P1151" s="66"/>
      <c r="Q1151" s="66"/>
      <c r="R1151" s="66"/>
      <c r="S1151" s="66"/>
    </row>
    <row r="1152" spans="1:19" ht="18" customHeight="1">
      <c r="B1152" t="s">
        <v>517</v>
      </c>
      <c r="C1152" t="s">
        <v>839</v>
      </c>
      <c r="D1152" s="4"/>
      <c r="E1152" s="4">
        <v>1</v>
      </c>
      <c r="F1152" s="4"/>
      <c r="G1152" s="29" t="str">
        <f>IFERROR(HYPERLINK("#"&amp;ADDRESS(MATCH(B1152&amp;"ES",'LM7 Non-ENG'!$A$1:$A$5000,0),1,,,"LM7 Non-ENG"),IF(IFERROR(VLOOKUP(B1152&amp;"ES",'LM7 Non-ENG'!$A$1:$A$4999,1,FALSE),"ERROR")=B1152&amp;"ES","Y","")),"")</f>
        <v/>
      </c>
      <c r="H1152" s="29" t="str">
        <f>IFERROR(HYPERLINK("#"&amp;ADDRESS(MATCH(B1152&amp;"PT",'LM7 Non-ENG'!$A$1:$A$5000,0),1,,,"LM7 Non-ENG"),IF(IFERROR(VLOOKUP(B1152&amp;"PT",'LM7 Non-ENG'!$A$1:$A$5000,1,FALSE),"ERROR")=B1152&amp;"PT","Y","")),"")</f>
        <v/>
      </c>
      <c r="I1152" t="str">
        <f>IFERROR(VLOOKUP(B1152,PN!$A:$C,3,FALSE),"")</f>
        <v>Active</v>
      </c>
      <c r="J1152" s="3">
        <f>IFERROR(E1152*VLOOKUP(B1152,PLInter!$A:$D,3,FALSE),"")</f>
        <v>1334</v>
      </c>
      <c r="K1152" s="66"/>
      <c r="L1152" s="66"/>
      <c r="M1152" s="66"/>
      <c r="N1152" s="66"/>
      <c r="O1152" s="66"/>
      <c r="P1152" s="66"/>
      <c r="Q1152" s="66"/>
      <c r="R1152" s="66"/>
      <c r="S1152" s="66"/>
    </row>
    <row r="1153" spans="2:19" ht="18" customHeight="1">
      <c r="B1153" t="s">
        <v>513</v>
      </c>
      <c r="C1153" t="s">
        <v>711</v>
      </c>
      <c r="D1153" s="4"/>
      <c r="E1153" s="4">
        <v>1</v>
      </c>
      <c r="F1153" s="4"/>
      <c r="G1153" s="29" t="str">
        <f>IFERROR(HYPERLINK("#"&amp;ADDRESS(MATCH(B1153&amp;"ES",'LM7 Non-ENG'!$A$1:$A$5000,0),1,,,"LM7 Non-ENG"),IF(IFERROR(VLOOKUP(B1153&amp;"ES",'LM7 Non-ENG'!$A$1:$A$4999,1,FALSE),"ERROR")=B1153&amp;"ES","Y","")),"")</f>
        <v/>
      </c>
      <c r="H1153" s="29" t="str">
        <f>IFERROR(HYPERLINK("#"&amp;ADDRESS(MATCH(B1153&amp;"PT",'LM7 Non-ENG'!$A$1:$A$5000,0),1,,,"LM7 Non-ENG"),IF(IFERROR(VLOOKUP(B1153&amp;"PT",'LM7 Non-ENG'!$A$1:$A$5000,1,FALSE),"ERROR")=B1153&amp;"PT","Y","")),"")</f>
        <v/>
      </c>
      <c r="I1153" t="str">
        <f>IFERROR(VLOOKUP(B1153,PN!$A:$C,3,FALSE),"")</f>
        <v>Active</v>
      </c>
      <c r="J1153" s="3">
        <f>IFERROR(E1153*VLOOKUP(B1153,PLInter!$A:$D,3,FALSE),"")</f>
        <v>740</v>
      </c>
      <c r="K1153" s="66"/>
      <c r="L1153" s="66"/>
      <c r="M1153" s="66"/>
      <c r="N1153" s="66"/>
      <c r="O1153" s="66"/>
      <c r="P1153" s="66"/>
      <c r="Q1153" s="66"/>
      <c r="R1153" s="66"/>
      <c r="S1153" s="66"/>
    </row>
    <row r="1154" spans="2:19" ht="18" customHeight="1">
      <c r="B1154" t="s">
        <v>470</v>
      </c>
      <c r="C1154" t="s">
        <v>713</v>
      </c>
      <c r="D1154" s="4"/>
      <c r="E1154" s="4">
        <v>1</v>
      </c>
      <c r="F1154" s="4"/>
      <c r="G1154" s="29" t="str">
        <f>IFERROR(HYPERLINK("#"&amp;ADDRESS(MATCH(B1154&amp;"ES",'LM7 Non-ENG'!$A$1:$A$5000,0),1,,,"LM7 Non-ENG"),IF(IFERROR(VLOOKUP(B1154&amp;"ES",'LM7 Non-ENG'!$A$1:$A$4999,1,FALSE),"ERROR")=B1154&amp;"ES","Y","")),"")</f>
        <v/>
      </c>
      <c r="H1154" s="29" t="str">
        <f>IFERROR(HYPERLINK("#"&amp;ADDRESS(MATCH(B1154&amp;"PT",'LM7 Non-ENG'!$A$1:$A$5000,0),1,,,"LM7 Non-ENG"),IF(IFERROR(VLOOKUP(B1154&amp;"PT",'LM7 Non-ENG'!$A$1:$A$5000,1,FALSE),"ERROR")=B1154&amp;"PT","Y","")),"")</f>
        <v/>
      </c>
      <c r="I1154" t="str">
        <f>IFERROR(VLOOKUP(B1154,PN!$A:$C,3,FALSE),"")</f>
        <v>Active</v>
      </c>
      <c r="J1154" s="3">
        <f>IFERROR(E1154*VLOOKUP(B1154,PLInter!$A:$D,3,FALSE),"")</f>
        <v>207</v>
      </c>
      <c r="K1154" s="66"/>
      <c r="L1154" s="66"/>
      <c r="M1154" s="66"/>
      <c r="N1154" s="66"/>
      <c r="O1154" s="66"/>
      <c r="P1154" s="66"/>
      <c r="Q1154" s="66"/>
      <c r="R1154" s="66"/>
      <c r="S1154" s="66"/>
    </row>
    <row r="1155" spans="2:19" ht="18" customHeight="1">
      <c r="B1155" t="s">
        <v>473</v>
      </c>
      <c r="C1155" t="s">
        <v>714</v>
      </c>
      <c r="D1155" s="4"/>
      <c r="E1155" s="4">
        <v>1</v>
      </c>
      <c r="F1155" s="4"/>
      <c r="G1155" s="29" t="str">
        <f>IFERROR(HYPERLINK("#"&amp;ADDRESS(MATCH(B1155&amp;"ES",'LM7 Non-ENG'!$A$1:$A$5000,0),1,,,"LM7 Non-ENG"),IF(IFERROR(VLOOKUP(B1155&amp;"ES",'LM7 Non-ENG'!$A$1:$A$4999,1,FALSE),"ERROR")=B1155&amp;"ES","Y","")),"")</f>
        <v/>
      </c>
      <c r="H1155" s="29" t="str">
        <f>IFERROR(HYPERLINK("#"&amp;ADDRESS(MATCH(B1155&amp;"PT",'LM7 Non-ENG'!$A$1:$A$5000,0),1,,,"LM7 Non-ENG"),IF(IFERROR(VLOOKUP(B1155&amp;"PT",'LM7 Non-ENG'!$A$1:$A$5000,1,FALSE),"ERROR")=B1155&amp;"PT","Y","")),"")</f>
        <v/>
      </c>
      <c r="I1155" t="str">
        <f>IFERROR(VLOOKUP(B1155,PN!$A:$C,3,FALSE),"")</f>
        <v>Active</v>
      </c>
      <c r="J1155" s="3">
        <f>IFERROR(E1155*VLOOKUP(B1155,PLInter!$A:$D,3,FALSE),"")</f>
        <v>200</v>
      </c>
      <c r="K1155" s="66"/>
      <c r="L1155" s="66"/>
      <c r="M1155" s="66"/>
      <c r="N1155" s="66"/>
      <c r="O1155" s="66"/>
      <c r="P1155" s="66"/>
      <c r="Q1155" s="66"/>
      <c r="R1155" s="66"/>
      <c r="S1155" s="66"/>
    </row>
    <row r="1156" spans="2:19" ht="18" customHeight="1">
      <c r="B1156" s="2" t="s">
        <v>472</v>
      </c>
      <c r="C1156" s="2" t="s">
        <v>715</v>
      </c>
      <c r="D1156" s="5"/>
      <c r="E1156" s="5">
        <v>1</v>
      </c>
      <c r="F1156" s="5" t="s">
        <v>0</v>
      </c>
      <c r="G1156" s="29" t="str">
        <f>IFERROR(HYPERLINK("#"&amp;ADDRESS(MATCH(B1156&amp;"ES",'LM7 Non-ENG'!$A$1:$A$5000,0),1,,,"LM7 Non-ENG"),IF(IFERROR(VLOOKUP(B1156&amp;"ES",'LM7 Non-ENG'!$A$1:$A$4999,1,FALSE),"ERROR")=B1156&amp;"ES","Y","")),"")</f>
        <v/>
      </c>
      <c r="H1156" s="29" t="str">
        <f>IFERROR(HYPERLINK("#"&amp;ADDRESS(MATCH(B1156&amp;"PT",'LM7 Non-ENG'!$A$1:$A$5000,0),1,,,"LM7 Non-ENG"),IF(IFERROR(VLOOKUP(B1156&amp;"PT",'LM7 Non-ENG'!$A$1:$A$5000,1,FALSE),"ERROR")=B1156&amp;"PT","Y","")),"")</f>
        <v/>
      </c>
      <c r="I1156" t="str">
        <f>IFERROR(VLOOKUP(B1156,PN!$A:$C,3,FALSE),"")</f>
        <v>Active</v>
      </c>
      <c r="J1156" s="3">
        <f>IFERROR(E1156*VLOOKUP(B1156,PLInter!$A:$D,3,FALSE),"")</f>
        <v>200</v>
      </c>
      <c r="K1156" s="66"/>
      <c r="L1156" s="66"/>
      <c r="M1156" s="66"/>
      <c r="N1156" s="66"/>
      <c r="O1156" s="66"/>
      <c r="P1156" s="66"/>
      <c r="Q1156" s="66"/>
      <c r="R1156" s="66"/>
      <c r="S1156" s="66"/>
    </row>
    <row r="1157" spans="2:19" ht="18" customHeight="1">
      <c r="B1157" t="s">
        <v>484</v>
      </c>
      <c r="C1157" t="s">
        <v>725</v>
      </c>
      <c r="D1157" s="4"/>
      <c r="E1157" s="4">
        <v>1</v>
      </c>
      <c r="F1157" s="4"/>
      <c r="G1157" s="29" t="str">
        <f>IFERROR(HYPERLINK("#"&amp;ADDRESS(MATCH(B1157&amp;"ES",'LM7 Non-ENG'!$A$1:$A$5000,0),1,,,"LM7 Non-ENG"),IF(IFERROR(VLOOKUP(B1157&amp;"ES",'LM7 Non-ENG'!$A$1:$A$4999,1,FALSE),"ERROR")=B1157&amp;"ES","Y","")),"")</f>
        <v/>
      </c>
      <c r="H1157" s="29" t="str">
        <f>IFERROR(HYPERLINK("#"&amp;ADDRESS(MATCH(B1157&amp;"PT",'LM7 Non-ENG'!$A$1:$A$5000,0),1,,,"LM7 Non-ENG"),IF(IFERROR(VLOOKUP(B1157&amp;"PT",'LM7 Non-ENG'!$A$1:$A$5000,1,FALSE),"ERROR")=B1157&amp;"PT","Y","")),"")</f>
        <v/>
      </c>
      <c r="I1157" t="str">
        <f>IFERROR(VLOOKUP(B1157,PN!$A:$C,3,FALSE),"")</f>
        <v>Active</v>
      </c>
      <c r="J1157" s="3">
        <f>IFERROR(E1157*VLOOKUP(B1157,PLInter!$A:$D,3,FALSE),"")</f>
        <v>157</v>
      </c>
      <c r="K1157" s="66"/>
      <c r="L1157" s="66"/>
      <c r="M1157" s="66"/>
      <c r="N1157" s="66"/>
      <c r="O1157" s="66"/>
      <c r="P1157" s="66"/>
      <c r="Q1157" s="66"/>
      <c r="R1157" s="66"/>
      <c r="S1157" s="66"/>
    </row>
    <row r="1158" spans="2:19" ht="18" customHeight="1">
      <c r="B1158" s="2" t="s">
        <v>483</v>
      </c>
      <c r="C1158" s="2" t="s">
        <v>726</v>
      </c>
      <c r="D1158" s="5"/>
      <c r="E1158" s="5">
        <v>1</v>
      </c>
      <c r="F1158" s="5" t="s">
        <v>0</v>
      </c>
      <c r="G1158" s="29" t="str">
        <f>IFERROR(HYPERLINK("#"&amp;ADDRESS(MATCH(B1158&amp;"ES",'LM7 Non-ENG'!$A$1:$A$5000,0),1,,,"LM7 Non-ENG"),IF(IFERROR(VLOOKUP(B1158&amp;"ES",'LM7 Non-ENG'!$A$1:$A$4999,1,FALSE),"ERROR")=B1158&amp;"ES","Y","")),"")</f>
        <v/>
      </c>
      <c r="H1158" s="29" t="str">
        <f>IFERROR(HYPERLINK("#"&amp;ADDRESS(MATCH(B1158&amp;"PT",'LM7 Non-ENG'!$A$1:$A$5000,0),1,,,"LM7 Non-ENG"),IF(IFERROR(VLOOKUP(B1158&amp;"PT",'LM7 Non-ENG'!$A$1:$A$5000,1,FALSE),"ERROR")=B1158&amp;"PT","Y","")),"")</f>
        <v/>
      </c>
      <c r="I1158" t="str">
        <f>IFERROR(VLOOKUP(B1158,PN!$A:$C,3,FALSE),"")</f>
        <v>Active</v>
      </c>
      <c r="J1158" s="3">
        <f>IFERROR(E1158*VLOOKUP(B1158,PLInter!$A:$D,3,FALSE),"")</f>
        <v>157</v>
      </c>
      <c r="K1158" s="66"/>
      <c r="L1158" s="66"/>
      <c r="M1158" s="66"/>
      <c r="N1158" s="66"/>
      <c r="O1158" s="66"/>
      <c r="P1158" s="66"/>
      <c r="Q1158" s="66"/>
      <c r="R1158" s="66"/>
      <c r="S1158" s="66"/>
    </row>
    <row r="1159" spans="2:19" ht="18" customHeight="1">
      <c r="B1159" t="s">
        <v>478</v>
      </c>
      <c r="C1159" t="s">
        <v>716</v>
      </c>
      <c r="D1159" s="4"/>
      <c r="E1159" s="4">
        <v>1</v>
      </c>
      <c r="F1159" s="4"/>
      <c r="G1159" s="29" t="str">
        <f>IFERROR(HYPERLINK("#"&amp;ADDRESS(MATCH(B1159&amp;"ES",'LM7 Non-ENG'!$A$1:$A$5000,0),1,,,"LM7 Non-ENG"),IF(IFERROR(VLOOKUP(B1159&amp;"ES",'LM7 Non-ENG'!$A$1:$A$4999,1,FALSE),"ERROR")=B1159&amp;"ES","Y","")),"")</f>
        <v/>
      </c>
      <c r="H1159" s="29" t="str">
        <f>IFERROR(HYPERLINK("#"&amp;ADDRESS(MATCH(B1159&amp;"PT",'LM7 Non-ENG'!$A$1:$A$5000,0),1,,,"LM7 Non-ENG"),IF(IFERROR(VLOOKUP(B1159&amp;"PT",'LM7 Non-ENG'!$A$1:$A$5000,1,FALSE),"ERROR")=B1159&amp;"PT","Y","")),"")</f>
        <v/>
      </c>
      <c r="I1159" t="str">
        <f>IFERROR(VLOOKUP(B1159,PN!$A:$C,3,FALSE),"")</f>
        <v>Active</v>
      </c>
      <c r="J1159" s="3">
        <f>IFERROR(E1159*VLOOKUP(B1159,PLInter!$A:$D,3,FALSE),"")</f>
        <v>795</v>
      </c>
      <c r="K1159" s="66"/>
      <c r="L1159" s="66"/>
      <c r="M1159" s="66"/>
      <c r="N1159" s="66"/>
      <c r="O1159" s="66"/>
      <c r="P1159" s="66"/>
      <c r="Q1159" s="66"/>
      <c r="R1159" s="66"/>
      <c r="S1159" s="66"/>
    </row>
    <row r="1160" spans="2:19" ht="18" customHeight="1">
      <c r="B1160" t="s">
        <v>486</v>
      </c>
      <c r="C1160" t="s">
        <v>806</v>
      </c>
      <c r="D1160" s="4"/>
      <c r="E1160" s="4">
        <v>1</v>
      </c>
      <c r="F1160" s="4"/>
      <c r="G1160" s="29" t="str">
        <f>IFERROR(HYPERLINK("#"&amp;ADDRESS(MATCH(B1160&amp;"ES",'LM7 Non-ENG'!$A$1:$A$5000,0),1,,,"LM7 Non-ENG"),IF(IFERROR(VLOOKUP(B1160&amp;"ES",'LM7 Non-ENG'!$A$1:$A$4999,1,FALSE),"ERROR")=B1160&amp;"ES","Y","")),"")</f>
        <v/>
      </c>
      <c r="H1160" s="29" t="str">
        <f>IFERROR(HYPERLINK("#"&amp;ADDRESS(MATCH(B1160&amp;"PT",'LM7 Non-ENG'!$A$1:$A$5000,0),1,,,"LM7 Non-ENG"),IF(IFERROR(VLOOKUP(B1160&amp;"PT",'LM7 Non-ENG'!$A$1:$A$5000,1,FALSE),"ERROR")=B1160&amp;"PT","Y","")),"")</f>
        <v/>
      </c>
      <c r="I1160" t="str">
        <f>IFERROR(VLOOKUP(B1160,PN!$A:$C,3,FALSE),"")</f>
        <v>Active</v>
      </c>
      <c r="J1160" s="3">
        <f>IFERROR(E1160*VLOOKUP(B1160,PLInter!$A:$D,3,FALSE),"")</f>
        <v>313</v>
      </c>
      <c r="K1160" s="66"/>
      <c r="L1160" s="66"/>
      <c r="M1160" s="66"/>
      <c r="N1160" s="66"/>
      <c r="O1160" s="66"/>
      <c r="P1160" s="66"/>
      <c r="Q1160" s="66"/>
      <c r="R1160" s="66"/>
      <c r="S1160" s="66"/>
    </row>
    <row r="1161" spans="2:19" ht="18" customHeight="1">
      <c r="B1161" t="s">
        <v>471</v>
      </c>
      <c r="C1161" t="s">
        <v>722</v>
      </c>
      <c r="D1161" s="4"/>
      <c r="E1161" s="4">
        <v>1</v>
      </c>
      <c r="F1161" s="4"/>
      <c r="G1161" s="29" t="str">
        <f>IFERROR(HYPERLINK("#"&amp;ADDRESS(MATCH(B1161&amp;"ES",'LM7 Non-ENG'!$A$1:$A$5000,0),1,,,"LM7 Non-ENG"),IF(IFERROR(VLOOKUP(B1161&amp;"ES",'LM7 Non-ENG'!$A$1:$A$4999,1,FALSE),"ERROR")=B1161&amp;"ES","Y","")),"")</f>
        <v/>
      </c>
      <c r="H1161" s="29" t="str">
        <f>IFERROR(HYPERLINK("#"&amp;ADDRESS(MATCH(B1161&amp;"PT",'LM7 Non-ENG'!$A$1:$A$5000,0),1,,,"LM7 Non-ENG"),IF(IFERROR(VLOOKUP(B1161&amp;"PT",'LM7 Non-ENG'!$A$1:$A$5000,1,FALSE),"ERROR")=B1161&amp;"PT","Y","")),"")</f>
        <v/>
      </c>
      <c r="I1161" t="str">
        <f>IFERROR(VLOOKUP(B1161,PN!$A:$C,3,FALSE),"")</f>
        <v>Active</v>
      </c>
      <c r="J1161" s="3">
        <f>IFERROR(E1161*VLOOKUP(B1161,PLInter!$A:$D,3,FALSE),"")</f>
        <v>226</v>
      </c>
      <c r="K1161" s="66"/>
      <c r="L1161" s="66"/>
      <c r="M1161" s="66"/>
      <c r="N1161" s="66"/>
      <c r="O1161" s="66"/>
      <c r="P1161" s="66"/>
      <c r="Q1161" s="66"/>
      <c r="R1161" s="66"/>
      <c r="S1161" s="66"/>
    </row>
    <row r="1162" spans="2:19" ht="18" customHeight="1">
      <c r="B1162" s="1" t="s">
        <v>468</v>
      </c>
      <c r="C1162" s="1" t="s">
        <v>717</v>
      </c>
      <c r="D1162" s="6" t="s">
        <v>0</v>
      </c>
      <c r="E1162" s="6">
        <v>1</v>
      </c>
      <c r="F1162" s="6"/>
      <c r="G1162" s="29" t="str">
        <f>IFERROR(HYPERLINK("#"&amp;ADDRESS(MATCH(B1162&amp;"ES",'LM7 Non-ENG'!$A$1:$A$5000,0),1,,,"LM7 Non-ENG"),IF(IFERROR(VLOOKUP(B1162&amp;"ES",'LM7 Non-ENG'!$A$1:$A$4999,1,FALSE),"ERROR")=B1162&amp;"ES","Y","")),"")</f>
        <v/>
      </c>
      <c r="H1162" s="29" t="str">
        <f>IFERROR(HYPERLINK("#"&amp;ADDRESS(MATCH(B1162&amp;"PT",'LM7 Non-ENG'!$A$1:$A$5000,0),1,,,"LM7 Non-ENG"),IF(IFERROR(VLOOKUP(B1162&amp;"PT",'LM7 Non-ENG'!$A$1:$A$5000,1,FALSE),"ERROR")=B1162&amp;"PT","Y","")),"")</f>
        <v/>
      </c>
      <c r="I1162" t="str">
        <f>IFERROR(VLOOKUP(B1162,PN!$A:$C,3,FALSE),"")</f>
        <v>Active</v>
      </c>
      <c r="J1162" s="3">
        <f>IFERROR(E1162*VLOOKUP(B1162,PLInter!$A:$D,3,FALSE),"")</f>
        <v>206</v>
      </c>
      <c r="K1162" s="66"/>
      <c r="L1162" s="66"/>
      <c r="M1162" s="66"/>
      <c r="N1162" s="66"/>
      <c r="O1162" s="66"/>
      <c r="P1162" s="66"/>
      <c r="Q1162" s="66"/>
      <c r="R1162" s="66"/>
      <c r="S1162" s="66"/>
    </row>
    <row r="1163" spans="2:19" ht="18" customHeight="1">
      <c r="B1163" s="1" t="s">
        <v>474</v>
      </c>
      <c r="C1163" s="1" t="s">
        <v>718</v>
      </c>
      <c r="D1163" s="6" t="s">
        <v>0</v>
      </c>
      <c r="E1163" s="6">
        <v>1</v>
      </c>
      <c r="F1163" s="6"/>
      <c r="G1163" s="29" t="str">
        <f>IFERROR(HYPERLINK("#"&amp;ADDRESS(MATCH(B1163&amp;"ES",'LM7 Non-ENG'!$A$1:$A$5000,0),1,,,"LM7 Non-ENG"),IF(IFERROR(VLOOKUP(B1163&amp;"ES",'LM7 Non-ENG'!$A$1:$A$4999,1,FALSE),"ERROR")=B1163&amp;"ES","Y","")),"")</f>
        <v/>
      </c>
      <c r="H1163" s="29" t="str">
        <f>IFERROR(HYPERLINK("#"&amp;ADDRESS(MATCH(B1163&amp;"PT",'LM7 Non-ENG'!$A$1:$A$5000,0),1,,,"LM7 Non-ENG"),IF(IFERROR(VLOOKUP(B1163&amp;"PT",'LM7 Non-ENG'!$A$1:$A$5000,1,FALSE),"ERROR")=B1163&amp;"PT","Y","")),"")</f>
        <v/>
      </c>
      <c r="I1163" t="str">
        <f>IFERROR(VLOOKUP(B1163,PN!$A:$C,3,FALSE),"")</f>
        <v>Active</v>
      </c>
      <c r="J1163" s="3">
        <f>IFERROR(E1163*VLOOKUP(B1163,PLInter!$A:$D,3,FALSE),"")</f>
        <v>175</v>
      </c>
      <c r="K1163" s="66"/>
      <c r="L1163" s="66"/>
      <c r="M1163" s="66"/>
      <c r="N1163" s="66"/>
      <c r="O1163" s="66"/>
      <c r="P1163" s="66"/>
      <c r="Q1163" s="66"/>
      <c r="R1163" s="66"/>
      <c r="S1163" s="66"/>
    </row>
    <row r="1164" spans="2:19" ht="18" customHeight="1">
      <c r="B1164" s="1" t="s">
        <v>719</v>
      </c>
      <c r="C1164" s="1" t="s">
        <v>720</v>
      </c>
      <c r="D1164" s="6" t="s">
        <v>0</v>
      </c>
      <c r="E1164" s="6">
        <v>1</v>
      </c>
      <c r="F1164" s="6"/>
      <c r="G1164" s="29" t="str">
        <f>IFERROR(HYPERLINK("#"&amp;ADDRESS(MATCH(B1164&amp;"ES",'LM7 Non-ENG'!$A$1:$A$5000,0),1,,,"LM7 Non-ENG"),IF(IFERROR(VLOOKUP(B1164&amp;"ES",'LM7 Non-ENG'!$A$1:$A$4999,1,FALSE),"ERROR")=B1164&amp;"ES","Y","")),"")</f>
        <v/>
      </c>
      <c r="H1164" s="29" t="str">
        <f>IFERROR(HYPERLINK("#"&amp;ADDRESS(MATCH(B1164&amp;"PT",'LM7 Non-ENG'!$A$1:$A$5000,0),1,,,"LM7 Non-ENG"),IF(IFERROR(VLOOKUP(B1164&amp;"PT",'LM7 Non-ENG'!$A$1:$A$5000,1,FALSE),"ERROR")=B1164&amp;"PT","Y","")),"")</f>
        <v/>
      </c>
      <c r="I1164" t="str">
        <f>IFERROR(VLOOKUP(B1164,PN!$A:$C,3,FALSE),"")</f>
        <v>Active</v>
      </c>
      <c r="J1164" s="3">
        <f>IFERROR(E1164*VLOOKUP(B1164,PLInter!$A:$D,3,FALSE),"")</f>
        <v>2126</v>
      </c>
      <c r="K1164" s="66"/>
      <c r="L1164" s="66"/>
      <c r="M1164" s="66"/>
      <c r="N1164" s="66"/>
      <c r="O1164" s="66"/>
      <c r="P1164" s="66"/>
      <c r="Q1164" s="66"/>
      <c r="R1164" s="66"/>
      <c r="S1164" s="66"/>
    </row>
    <row r="1165" spans="2:19" ht="18" customHeight="1">
      <c r="B1165" s="1" t="s">
        <v>482</v>
      </c>
      <c r="C1165" s="1" t="s">
        <v>721</v>
      </c>
      <c r="D1165" s="6" t="s">
        <v>0</v>
      </c>
      <c r="E1165" s="6">
        <v>1</v>
      </c>
      <c r="F1165" s="6"/>
      <c r="G1165" s="29" t="str">
        <f>IFERROR(HYPERLINK("#"&amp;ADDRESS(MATCH(B1165&amp;"ES",'LM7 Non-ENG'!$A$1:$A$5000,0),1,,,"LM7 Non-ENG"),IF(IFERROR(VLOOKUP(B1165&amp;"ES",'LM7 Non-ENG'!$A$1:$A$4999,1,FALSE),"ERROR")=B1165&amp;"ES","Y","")),"")</f>
        <v/>
      </c>
      <c r="H1165" s="29" t="str">
        <f>IFERROR(HYPERLINK("#"&amp;ADDRESS(MATCH(B1165&amp;"PT",'LM7 Non-ENG'!$A$1:$A$5000,0),1,,,"LM7 Non-ENG"),IF(IFERROR(VLOOKUP(B1165&amp;"PT",'LM7 Non-ENG'!$A$1:$A$5000,1,FALSE),"ERROR")=B1165&amp;"PT","Y","")),"")</f>
        <v/>
      </c>
      <c r="I1165" t="str">
        <f>IFERROR(VLOOKUP(B1165,PN!$A:$C,3,FALSE),"")</f>
        <v>Active</v>
      </c>
      <c r="J1165" s="3">
        <f>IFERROR(E1165*VLOOKUP(B1165,PLInter!$A:$D,3,FALSE),"")</f>
        <v>186</v>
      </c>
      <c r="K1165" s="66"/>
      <c r="L1165" s="66"/>
      <c r="M1165" s="66"/>
      <c r="N1165" s="66"/>
      <c r="O1165" s="66"/>
      <c r="P1165" s="66"/>
      <c r="Q1165" s="66"/>
      <c r="R1165" s="66"/>
      <c r="S1165" s="66"/>
    </row>
    <row r="1166" spans="2:19" ht="18" customHeight="1">
      <c r="B1166" t="s">
        <v>559</v>
      </c>
      <c r="C1166" t="s">
        <v>840</v>
      </c>
      <c r="D1166" s="4"/>
      <c r="E1166" s="4">
        <v>1</v>
      </c>
      <c r="F1166" s="4"/>
      <c r="G1166" s="29" t="str">
        <f>IFERROR(HYPERLINK("#"&amp;ADDRESS(MATCH(B1166&amp;"ES",'LM7 Non-ENG'!$A$1:$A$5000,0),1,,,"LM7 Non-ENG"),IF(IFERROR(VLOOKUP(B1166&amp;"ES",'LM7 Non-ENG'!$A$1:$A$4999,1,FALSE),"ERROR")=B1166&amp;"ES","Y","")),"")</f>
        <v/>
      </c>
      <c r="H1166" s="29" t="str">
        <f>IFERROR(HYPERLINK("#"&amp;ADDRESS(MATCH(B1166&amp;"PT",'LM7 Non-ENG'!$A$1:$A$5000,0),1,,,"LM7 Non-ENG"),IF(IFERROR(VLOOKUP(B1166&amp;"PT",'LM7 Non-ENG'!$A$1:$A$5000,1,FALSE),"ERROR")=B1166&amp;"PT","Y","")),"")</f>
        <v/>
      </c>
      <c r="I1166" t="str">
        <f>IFERROR(VLOOKUP(B1166,PN!$A:$C,3,FALSE),"")</f>
        <v>Active</v>
      </c>
      <c r="J1166" s="3">
        <f>IFERROR(E1166*VLOOKUP(B1166,PLInter!$A:$D,3,FALSE),"")</f>
        <v>500</v>
      </c>
      <c r="K1166" s="66"/>
      <c r="L1166" s="66"/>
      <c r="M1166" s="66"/>
      <c r="N1166" s="66"/>
      <c r="O1166" s="66"/>
      <c r="P1166" s="66"/>
      <c r="Q1166" s="66"/>
      <c r="R1166" s="66"/>
      <c r="S1166" s="66"/>
    </row>
    <row r="1167" spans="2:19" ht="18" customHeight="1">
      <c r="B1167" s="2" t="s">
        <v>841</v>
      </c>
      <c r="C1167" s="2" t="s">
        <v>842</v>
      </c>
      <c r="D1167" s="5"/>
      <c r="E1167" s="5">
        <v>1</v>
      </c>
      <c r="F1167" s="5" t="s">
        <v>0</v>
      </c>
      <c r="G1167" s="29" t="str">
        <f>IFERROR(HYPERLINK("#"&amp;ADDRESS(MATCH(B1167&amp;"ES",'LM7 Non-ENG'!$A$1:$A$5000,0),1,,,"LM7 Non-ENG"),IF(IFERROR(VLOOKUP(B1167&amp;"ES",'LM7 Non-ENG'!$A$1:$A$4999,1,FALSE),"ERROR")=B1167&amp;"ES","Y","")),"")</f>
        <v/>
      </c>
      <c r="H1167" s="29" t="str">
        <f>IFERROR(HYPERLINK("#"&amp;ADDRESS(MATCH(B1167&amp;"PT",'LM7 Non-ENG'!$A$1:$A$5000,0),1,,,"LM7 Non-ENG"),IF(IFERROR(VLOOKUP(B1167&amp;"PT",'LM7 Non-ENG'!$A$1:$A$5000,1,FALSE),"ERROR")=B1167&amp;"PT","Y","")),"")</f>
        <v/>
      </c>
      <c r="I1167" t="str">
        <f>IFERROR(VLOOKUP(B1167,PN!$A:$C,3,FALSE),"")</f>
        <v>Active</v>
      </c>
      <c r="J1167" s="3" t="str">
        <f>IFERROR(E1167*VLOOKUP(B1167,PLInter!$A:$D,3,FALSE),"")</f>
        <v/>
      </c>
      <c r="K1167" s="66"/>
      <c r="L1167" s="66"/>
      <c r="M1167" s="66"/>
      <c r="N1167" s="66"/>
      <c r="O1167" s="66"/>
      <c r="P1167" s="66"/>
      <c r="Q1167" s="66"/>
      <c r="R1167" s="66"/>
      <c r="S1167" s="66"/>
    </row>
    <row r="1168" spans="2:19" ht="18" customHeight="1">
      <c r="B1168" t="s">
        <v>568</v>
      </c>
      <c r="C1168" t="s">
        <v>731</v>
      </c>
      <c r="D1168" s="4"/>
      <c r="E1168" s="4">
        <v>1</v>
      </c>
      <c r="F1168" s="4"/>
      <c r="G1168" s="29" t="str">
        <f>IFERROR(HYPERLINK("#"&amp;ADDRESS(MATCH(B1168&amp;"ES",'LM7 Non-ENG'!$A$1:$A$5000,0),1,,,"LM7 Non-ENG"),IF(IFERROR(VLOOKUP(B1168&amp;"ES",'LM7 Non-ENG'!$A$1:$A$4999,1,FALSE),"ERROR")=B1168&amp;"ES","Y","")),"")</f>
        <v/>
      </c>
      <c r="H1168" s="29" t="str">
        <f>IFERROR(HYPERLINK("#"&amp;ADDRESS(MATCH(B1168&amp;"PT",'LM7 Non-ENG'!$A$1:$A$5000,0),1,,,"LM7 Non-ENG"),IF(IFERROR(VLOOKUP(B1168&amp;"PT",'LM7 Non-ENG'!$A$1:$A$5000,1,FALSE),"ERROR")=B1168&amp;"PT","Y","")),"")</f>
        <v/>
      </c>
      <c r="I1168" t="str">
        <f>IFERROR(VLOOKUP(B1168,PN!$A:$C,3,FALSE),"")</f>
        <v>Active</v>
      </c>
      <c r="J1168" s="3">
        <f>IFERROR(E1168*VLOOKUP(B1168,PLInter!$A:$D,3,FALSE),"")</f>
        <v>500</v>
      </c>
      <c r="K1168" s="66"/>
      <c r="L1168" s="66"/>
      <c r="M1168" s="66"/>
      <c r="N1168" s="66"/>
      <c r="O1168" s="66"/>
      <c r="P1168" s="66"/>
      <c r="Q1168" s="66"/>
      <c r="R1168" s="66"/>
      <c r="S1168" s="66"/>
    </row>
    <row r="1169" spans="1:19" ht="18" customHeight="1">
      <c r="B1169" t="s">
        <v>569</v>
      </c>
      <c r="C1169" t="s">
        <v>732</v>
      </c>
      <c r="D1169" s="4"/>
      <c r="E1169" s="4">
        <v>1</v>
      </c>
      <c r="F1169" s="4"/>
      <c r="G1169" s="29" t="str">
        <f>IFERROR(HYPERLINK("#"&amp;ADDRESS(MATCH(B1169&amp;"ES",'LM7 Non-ENG'!$A$1:$A$5000,0),1,,,"LM7 Non-ENG"),IF(IFERROR(VLOOKUP(B1169&amp;"ES",'LM7 Non-ENG'!$A$1:$A$4999,1,FALSE),"ERROR")=B1169&amp;"ES","Y","")),"")</f>
        <v/>
      </c>
      <c r="H1169" s="29" t="str">
        <f>IFERROR(HYPERLINK("#"&amp;ADDRESS(MATCH(B1169&amp;"PT",'LM7 Non-ENG'!$A$1:$A$5000,0),1,,,"LM7 Non-ENG"),IF(IFERROR(VLOOKUP(B1169&amp;"PT",'LM7 Non-ENG'!$A$1:$A$5000,1,FALSE),"ERROR")=B1169&amp;"PT","Y","")),"")</f>
        <v/>
      </c>
      <c r="I1169" t="str">
        <f>IFERROR(VLOOKUP(B1169,PN!$A:$C,3,FALSE),"")</f>
        <v>Active</v>
      </c>
      <c r="J1169" s="3">
        <f>IFERROR(E1169*VLOOKUP(B1169,PLInter!$A:$D,3,FALSE),"")</f>
        <v>500</v>
      </c>
      <c r="K1169" s="66"/>
      <c r="L1169" s="66"/>
      <c r="M1169" s="66"/>
      <c r="N1169" s="66"/>
      <c r="O1169" s="66"/>
      <c r="P1169" s="66"/>
      <c r="Q1169" s="66"/>
      <c r="R1169" s="66"/>
      <c r="S1169" s="66"/>
    </row>
    <row r="1170" spans="1:19" ht="18" customHeight="1">
      <c r="B1170" t="str">
        <f>"113034"</f>
        <v>113034</v>
      </c>
      <c r="C1170" t="s">
        <v>695</v>
      </c>
      <c r="D1170" s="4"/>
      <c r="E1170" s="4">
        <v>50</v>
      </c>
      <c r="F1170" s="4"/>
      <c r="G1170" s="29" t="str">
        <f>IFERROR(HYPERLINK("#"&amp;ADDRESS(MATCH(B1170&amp;"ES",'LM7 Non-ENG'!$A$1:$A$5000,0),1,,,"LM7 Non-ENG"),IF(IFERROR(VLOOKUP(B1170&amp;"ES",'LM7 Non-ENG'!$A$1:$A$4999,1,FALSE),"ERROR")=B1170&amp;"ES","Y","")),"")</f>
        <v/>
      </c>
      <c r="H1170" s="29" t="str">
        <f>IFERROR(HYPERLINK("#"&amp;ADDRESS(MATCH(B1170&amp;"PT",'LM7 Non-ENG'!$A$1:$A$5000,0),1,,,"LM7 Non-ENG"),IF(IFERROR(VLOOKUP(B1170&amp;"PT",'LM7 Non-ENG'!$A$1:$A$5000,1,FALSE),"ERROR")=B1170&amp;"PT","Y","")),"")</f>
        <v/>
      </c>
      <c r="I1170" t="str">
        <f>IFERROR(VLOOKUP(B1170,PN!$A:$C,3,FALSE),"")</f>
        <v>Active</v>
      </c>
      <c r="J1170" s="3">
        <f>IFERROR(E1170*VLOOKUP(B1170,PLInter!$A:$D,3,FALSE),"")</f>
        <v>750</v>
      </c>
      <c r="K1170" s="66"/>
      <c r="L1170" s="66"/>
      <c r="M1170" s="66"/>
      <c r="N1170" s="66"/>
      <c r="O1170" s="66"/>
      <c r="P1170" s="66"/>
      <c r="Q1170" s="66"/>
      <c r="R1170" s="66"/>
      <c r="S1170" s="66"/>
    </row>
    <row r="1171" spans="1:19" ht="18" customHeight="1">
      <c r="B1171" t="s">
        <v>644</v>
      </c>
      <c r="C1171" t="s">
        <v>645</v>
      </c>
      <c r="D1171" s="4"/>
      <c r="E1171" s="4">
        <v>1</v>
      </c>
      <c r="F1171" s="4"/>
      <c r="G1171" s="29" t="str">
        <f>IFERROR(HYPERLINK("#"&amp;ADDRESS(MATCH(B1171&amp;"ES",'LM7 Non-ENG'!$A$1:$A$5000,0),1,,,"LM7 Non-ENG"),IF(IFERROR(VLOOKUP(B1171&amp;"ES",'LM7 Non-ENG'!$A$1:$A$4999,1,FALSE),"ERROR")=B1171&amp;"ES","Y","")),"")</f>
        <v/>
      </c>
      <c r="H1171" s="29" t="str">
        <f>IFERROR(HYPERLINK("#"&amp;ADDRESS(MATCH(B1171&amp;"PT",'LM7 Non-ENG'!$A$1:$A$5000,0),1,,,"LM7 Non-ENG"),IF(IFERROR(VLOOKUP(B1171&amp;"PT",'LM7 Non-ENG'!$A$1:$A$5000,1,FALSE),"ERROR")=B1171&amp;"PT","Y","")),"")</f>
        <v/>
      </c>
      <c r="I1171" t="str">
        <f>IFERROR(VLOOKUP(B1171,PN!$A:$C,3,FALSE),"")</f>
        <v>Active</v>
      </c>
      <c r="J1171" s="3">
        <f>IFERROR(E1171*VLOOKUP(B1171,PLInter!$A:$D,3,FALSE),"")</f>
        <v>1800</v>
      </c>
      <c r="K1171" s="66"/>
      <c r="L1171" s="66"/>
      <c r="M1171" s="66"/>
      <c r="N1171" s="66"/>
      <c r="O1171" s="66"/>
      <c r="P1171" s="66"/>
      <c r="Q1171" s="66"/>
      <c r="R1171" s="66"/>
      <c r="S1171" s="66"/>
    </row>
    <row r="1172" spans="1:19" ht="18" customHeight="1">
      <c r="B1172" t="s">
        <v>630</v>
      </c>
      <c r="C1172" t="s">
        <v>631</v>
      </c>
      <c r="D1172" s="4"/>
      <c r="E1172" s="4">
        <v>1</v>
      </c>
      <c r="F1172" s="4"/>
      <c r="G1172" s="29" t="str">
        <f>IFERROR(HYPERLINK("#"&amp;ADDRESS(MATCH(B1172&amp;"ES",'LM7 Non-ENG'!$A$1:$A$5000,0),1,,,"LM7 Non-ENG"),IF(IFERROR(VLOOKUP(B1172&amp;"ES",'LM7 Non-ENG'!$A$1:$A$4999,1,FALSE),"ERROR")=B1172&amp;"ES","Y","")),"")</f>
        <v/>
      </c>
      <c r="H1172" s="29" t="str">
        <f>IFERROR(HYPERLINK("#"&amp;ADDRESS(MATCH(B1172&amp;"PT",'LM7 Non-ENG'!$A$1:$A$5000,0),1,,,"LM7 Non-ENG"),IF(IFERROR(VLOOKUP(B1172&amp;"PT",'LM7 Non-ENG'!$A$1:$A$5000,1,FALSE),"ERROR")=B1172&amp;"PT","Y","")),"")</f>
        <v/>
      </c>
      <c r="I1172" t="str">
        <f>IFERROR(VLOOKUP(B1172,PN!$A:$C,3,FALSE),"")</f>
        <v>Active</v>
      </c>
      <c r="J1172" s="3">
        <f>IFERROR(E1172*VLOOKUP(B1172,PLInter!$A:$D,3,FALSE),"")</f>
        <v>1735</v>
      </c>
      <c r="K1172" s="66"/>
      <c r="L1172" s="66"/>
      <c r="M1172" s="66"/>
      <c r="N1172" s="66"/>
      <c r="O1172" s="66"/>
      <c r="P1172" s="66"/>
      <c r="Q1172" s="66"/>
      <c r="R1172" s="66"/>
      <c r="S1172" s="66"/>
    </row>
    <row r="1174" spans="1:19" s="7" customFormat="1" ht="18" customHeight="1">
      <c r="A1174" s="13" t="s">
        <v>908</v>
      </c>
      <c r="B1174" s="13"/>
      <c r="C1174" s="13" t="s">
        <v>909</v>
      </c>
      <c r="D1174" s="14"/>
      <c r="E1174" s="14"/>
      <c r="F1174" s="14"/>
      <c r="G1174" s="14"/>
      <c r="H1174" s="14"/>
      <c r="I1174" s="14"/>
      <c r="J1174" s="14">
        <f>SUMIFS(J1175:J1205,D1175:D1205,"&lt;&gt;Y",F1175:F1205,"&lt;&gt;Y",I1175:I1205,"&lt;&gt;Inactive",I1175:I1205,"&lt;&gt;ECO+NFS")</f>
        <v>87427</v>
      </c>
      <c r="K1174" s="14"/>
      <c r="L1174" s="14"/>
      <c r="M1174" s="14"/>
      <c r="N1174" s="14"/>
      <c r="O1174" s="14"/>
      <c r="P1174" s="14"/>
      <c r="Q1174" s="14"/>
      <c r="R1174" s="14"/>
      <c r="S1174" s="14"/>
    </row>
    <row r="1175" spans="1:19" ht="18" customHeight="1">
      <c r="A1175" s="17" t="str">
        <f>HYPERLINK("#"&amp;ADDRESS(MATCH(A1174,'CIM&amp;FMS'!$A$1:$A$4997,0),1,,,"CIM&amp;FMS"),"Back to Price List")</f>
        <v>Back to Price List</v>
      </c>
      <c r="B1175" t="s">
        <v>215</v>
      </c>
      <c r="C1175" t="s">
        <v>217</v>
      </c>
      <c r="D1175" s="4"/>
      <c r="E1175" s="4">
        <v>1</v>
      </c>
      <c r="F1175" s="4"/>
      <c r="G1175" s="29" t="str">
        <f>IFERROR(HYPERLINK("#"&amp;ADDRESS(MATCH(B1175&amp;"ES",'LM7 Non-ENG'!$A$1:$A$5000,0),1,,,"LM7 Non-ENG"),IF(IFERROR(VLOOKUP(B1175&amp;"ES",'LM7 Non-ENG'!$A$1:$A$4999,1,FALSE),"ERROR")=B1175&amp;"ES","Y","")),"")</f>
        <v/>
      </c>
      <c r="H1175" s="29" t="str">
        <f>IFERROR(HYPERLINK("#"&amp;ADDRESS(MATCH(B1175&amp;"PT",'LM7 Non-ENG'!$A$1:$A$5000,0),1,,,"LM7 Non-ENG"),IF(IFERROR(VLOOKUP(B1175&amp;"PT",'LM7 Non-ENG'!$A$1:$A$5000,1,FALSE),"ERROR")=B1175&amp;"PT","Y","")),"")</f>
        <v/>
      </c>
      <c r="I1175" t="str">
        <f>IFERROR(VLOOKUP(B1175,PN!$A:$C,3,FALSE),"")</f>
        <v>Active</v>
      </c>
      <c r="J1175" s="3">
        <f>IFERROR(E1175*VLOOKUP(B1175,PLInter!$A:$D,3,FALSE),"")</f>
        <v>35000</v>
      </c>
      <c r="K1175" s="66"/>
      <c r="L1175" s="66"/>
      <c r="M1175" s="66"/>
      <c r="N1175" s="66"/>
      <c r="O1175" s="66"/>
      <c r="P1175" s="66"/>
      <c r="Q1175" s="66"/>
      <c r="R1175" s="66"/>
      <c r="S1175" s="66"/>
    </row>
    <row r="1176" spans="1:19" ht="18" customHeight="1">
      <c r="B1176" t="s">
        <v>230</v>
      </c>
      <c r="C1176" t="s">
        <v>235</v>
      </c>
      <c r="D1176" s="4"/>
      <c r="E1176" s="4">
        <v>1</v>
      </c>
      <c r="F1176" s="4"/>
      <c r="G1176" s="29" t="str">
        <f>IFERROR(HYPERLINK("#"&amp;ADDRESS(MATCH(B1176&amp;"ES",'LM7 Non-ENG'!$A$1:$A$5000,0),1,,,"LM7 Non-ENG"),IF(IFERROR(VLOOKUP(B1176&amp;"ES",'LM7 Non-ENG'!$A$1:$A$4999,1,FALSE),"ERROR")=B1176&amp;"ES","Y","")),"")</f>
        <v/>
      </c>
      <c r="H1176" s="29" t="str">
        <f>IFERROR(HYPERLINK("#"&amp;ADDRESS(MATCH(B1176&amp;"PT",'LM7 Non-ENG'!$A$1:$A$5000,0),1,,,"LM7 Non-ENG"),IF(IFERROR(VLOOKUP(B1176&amp;"PT",'LM7 Non-ENG'!$A$1:$A$5000,1,FALSE),"ERROR")=B1176&amp;"PT","Y","")),"")</f>
        <v/>
      </c>
      <c r="I1176" t="str">
        <f>IFERROR(VLOOKUP(B1176,PN!$A:$C,3,FALSE),"")</f>
        <v>Active</v>
      </c>
      <c r="J1176" s="3">
        <f>IFERROR(E1176*VLOOKUP(B1176,PLInter!$A:$D,3,FALSE),"")</f>
        <v>3200</v>
      </c>
      <c r="K1176" s="66"/>
      <c r="L1176" s="66"/>
      <c r="M1176" s="66"/>
      <c r="N1176" s="66"/>
      <c r="O1176" s="66"/>
      <c r="P1176" s="66"/>
      <c r="Q1176" s="66"/>
      <c r="R1176" s="66"/>
      <c r="S1176" s="66"/>
    </row>
    <row r="1177" spans="1:19" ht="18" customHeight="1">
      <c r="B1177" t="s">
        <v>858</v>
      </c>
      <c r="C1177" t="s">
        <v>859</v>
      </c>
      <c r="D1177" s="4"/>
      <c r="E1177" s="4">
        <v>1</v>
      </c>
      <c r="F1177" s="4"/>
      <c r="G1177" s="29" t="str">
        <f>IFERROR(HYPERLINK("#"&amp;ADDRESS(MATCH(B1177&amp;"ES",'LM7 Non-ENG'!$A$1:$A$5000,0),1,,,"LM7 Non-ENG"),IF(IFERROR(VLOOKUP(B1177&amp;"ES",'LM7 Non-ENG'!$A$1:$A$4999,1,FALSE),"ERROR")=B1177&amp;"ES","Y","")),"")</f>
        <v/>
      </c>
      <c r="H1177" s="29" t="str">
        <f>IFERROR(HYPERLINK("#"&amp;ADDRESS(MATCH(B1177&amp;"PT",'LM7 Non-ENG'!$A$1:$A$5000,0),1,,,"LM7 Non-ENG"),IF(IFERROR(VLOOKUP(B1177&amp;"PT",'LM7 Non-ENG'!$A$1:$A$5000,1,FALSE),"ERROR")=B1177&amp;"PT","Y","")),"")</f>
        <v/>
      </c>
      <c r="I1177" t="str">
        <f>IFERROR(VLOOKUP(B1177,PN!$A:$C,3,FALSE),"")</f>
        <v>Active</v>
      </c>
      <c r="J1177" s="3">
        <f>IFERROR(E1177*VLOOKUP(B1177,PLInter!$A:$D,3,FALSE),"")</f>
        <v>15300</v>
      </c>
      <c r="K1177" s="66"/>
      <c r="L1177" s="66"/>
      <c r="M1177" s="66"/>
      <c r="N1177" s="66"/>
      <c r="O1177" s="66"/>
      <c r="P1177" s="66"/>
      <c r="Q1177" s="66"/>
      <c r="R1177" s="66"/>
      <c r="S1177" s="66"/>
    </row>
    <row r="1178" spans="1:19" ht="18" customHeight="1">
      <c r="B1178" s="2" t="s">
        <v>882</v>
      </c>
      <c r="C1178" s="2" t="s">
        <v>883</v>
      </c>
      <c r="D1178" s="5"/>
      <c r="E1178" s="5">
        <v>1</v>
      </c>
      <c r="F1178" s="5" t="s">
        <v>0</v>
      </c>
      <c r="G1178" s="29" t="str">
        <f>IFERROR(HYPERLINK("#"&amp;ADDRESS(MATCH(B1178&amp;"ES",'LM7 Non-ENG'!$A$1:$A$5000,0),1,,,"LM7 Non-ENG"),IF(IFERROR(VLOOKUP(B1178&amp;"ES",'LM7 Non-ENG'!$A$1:$A$4999,1,FALSE),"ERROR")=B1178&amp;"ES","Y","")),"")</f>
        <v/>
      </c>
      <c r="H1178" s="29" t="str">
        <f>IFERROR(HYPERLINK("#"&amp;ADDRESS(MATCH(B1178&amp;"PT",'LM7 Non-ENG'!$A$1:$A$5000,0),1,,,"LM7 Non-ENG"),IF(IFERROR(VLOOKUP(B1178&amp;"PT",'LM7 Non-ENG'!$A$1:$A$5000,1,FALSE),"ERROR")=B1178&amp;"PT","Y","")),"")</f>
        <v/>
      </c>
      <c r="I1178" t="str">
        <f>IFERROR(VLOOKUP(B1178,PN!$A:$C,3,FALSE),"")</f>
        <v>Phase Out</v>
      </c>
      <c r="J1178" s="3">
        <f>IFERROR(E1178*VLOOKUP(B1178,PLInter!$A:$D,3,FALSE),"")</f>
        <v>13500</v>
      </c>
      <c r="K1178" s="66"/>
      <c r="L1178" s="66"/>
      <c r="M1178" s="66"/>
      <c r="N1178" s="66"/>
      <c r="O1178" s="66"/>
      <c r="P1178" s="66"/>
      <c r="Q1178" s="66"/>
      <c r="R1178" s="66"/>
      <c r="S1178" s="66"/>
    </row>
    <row r="1179" spans="1:19" ht="18" customHeight="1">
      <c r="B1179" s="2" t="s">
        <v>884</v>
      </c>
      <c r="C1179" s="2" t="s">
        <v>885</v>
      </c>
      <c r="D1179" s="5"/>
      <c r="E1179" s="5">
        <v>1</v>
      </c>
      <c r="F1179" s="5" t="s">
        <v>0</v>
      </c>
      <c r="G1179" s="29" t="str">
        <f>IFERROR(HYPERLINK("#"&amp;ADDRESS(MATCH(B1179&amp;"ES",'LM7 Non-ENG'!$A$1:$A$5000,0),1,,,"LM7 Non-ENG"),IF(IFERROR(VLOOKUP(B1179&amp;"ES",'LM7 Non-ENG'!$A$1:$A$4999,1,FALSE),"ERROR")=B1179&amp;"ES","Y","")),"")</f>
        <v/>
      </c>
      <c r="H1179" s="29" t="str">
        <f>IFERROR(HYPERLINK("#"&amp;ADDRESS(MATCH(B1179&amp;"PT",'LM7 Non-ENG'!$A$1:$A$5000,0),1,,,"LM7 Non-ENG"),IF(IFERROR(VLOOKUP(B1179&amp;"PT",'LM7 Non-ENG'!$A$1:$A$5000,1,FALSE),"ERROR")=B1179&amp;"PT","Y","")),"")</f>
        <v/>
      </c>
      <c r="I1179" t="str">
        <f>IFERROR(VLOOKUP(B1179,PN!$A:$C,3,FALSE),"")</f>
        <v>ECO-N2Buy</v>
      </c>
      <c r="J1179" s="3">
        <f>IFERROR(E1179*VLOOKUP(B1179,PLInter!$A:$D,3,FALSE),"")</f>
        <v>18880</v>
      </c>
      <c r="K1179" s="66"/>
      <c r="L1179" s="66"/>
      <c r="M1179" s="66"/>
      <c r="N1179" s="66"/>
      <c r="O1179" s="66"/>
      <c r="P1179" s="66"/>
      <c r="Q1179" s="66"/>
      <c r="R1179" s="66"/>
      <c r="S1179" s="66"/>
    </row>
    <row r="1180" spans="1:19" ht="18" customHeight="1">
      <c r="B1180" s="2" t="s">
        <v>886</v>
      </c>
      <c r="C1180" s="2" t="s">
        <v>887</v>
      </c>
      <c r="D1180" s="5"/>
      <c r="E1180" s="5">
        <v>1</v>
      </c>
      <c r="F1180" s="5" t="s">
        <v>0</v>
      </c>
      <c r="G1180" s="29" t="str">
        <f>IFERROR(HYPERLINK("#"&amp;ADDRESS(MATCH(B1180&amp;"ES",'LM7 Non-ENG'!$A$1:$A$5000,0),1,,,"LM7 Non-ENG"),IF(IFERROR(VLOOKUP(B1180&amp;"ES",'LM7 Non-ENG'!$A$1:$A$4999,1,FALSE),"ERROR")=B1180&amp;"ES","Y","")),"")</f>
        <v/>
      </c>
      <c r="H1180" s="29" t="str">
        <f>IFERROR(HYPERLINK("#"&amp;ADDRESS(MATCH(B1180&amp;"PT",'LM7 Non-ENG'!$A$1:$A$5000,0),1,,,"LM7 Non-ENG"),IF(IFERROR(VLOOKUP(B1180&amp;"PT",'LM7 Non-ENG'!$A$1:$A$5000,1,FALSE),"ERROR")=B1180&amp;"PT","Y","")),"")</f>
        <v/>
      </c>
      <c r="I1180" t="str">
        <f>IFERROR(VLOOKUP(B1180,PN!$A:$C,3,FALSE),"")</f>
        <v>ECO-N2Buy</v>
      </c>
      <c r="J1180" s="3">
        <f>IFERROR(E1180*VLOOKUP(B1180,PLInter!$A:$D,3,FALSE),"")</f>
        <v>20000</v>
      </c>
      <c r="K1180" s="66"/>
      <c r="L1180" s="66"/>
      <c r="M1180" s="66"/>
      <c r="N1180" s="66"/>
      <c r="O1180" s="66"/>
      <c r="P1180" s="66"/>
      <c r="Q1180" s="66"/>
      <c r="R1180" s="66"/>
      <c r="S1180" s="66"/>
    </row>
    <row r="1181" spans="1:19" ht="18" customHeight="1">
      <c r="B1181" s="2" t="s">
        <v>870</v>
      </c>
      <c r="C1181" s="2" t="s">
        <v>871</v>
      </c>
      <c r="D1181" s="5"/>
      <c r="E1181" s="5">
        <v>1</v>
      </c>
      <c r="F1181" s="5" t="s">
        <v>0</v>
      </c>
      <c r="G1181" s="29" t="str">
        <f>IFERROR(HYPERLINK("#"&amp;ADDRESS(MATCH(B1181&amp;"ES",'LM7 Non-ENG'!$A$1:$A$5000,0),1,,,"LM7 Non-ENG"),IF(IFERROR(VLOOKUP(B1181&amp;"ES",'LM7 Non-ENG'!$A$1:$A$4999,1,FALSE),"ERROR")=B1181&amp;"ES","Y","")),"")</f>
        <v/>
      </c>
      <c r="H1181" s="29" t="str">
        <f>IFERROR(HYPERLINK("#"&amp;ADDRESS(MATCH(B1181&amp;"PT",'LM7 Non-ENG'!$A$1:$A$5000,0),1,,,"LM7 Non-ENG"),IF(IFERROR(VLOOKUP(B1181&amp;"PT",'LM7 Non-ENG'!$A$1:$A$5000,1,FALSE),"ERROR")=B1181&amp;"PT","Y","")),"")</f>
        <v/>
      </c>
      <c r="I1181" t="str">
        <f>IFERROR(VLOOKUP(B1181,PN!$A:$C,3,FALSE),"")</f>
        <v>ECO-N2Buy</v>
      </c>
      <c r="J1181" s="3">
        <f>IFERROR(E1181*VLOOKUP(B1181,PLInter!$A:$D,3,FALSE),"")</f>
        <v>45000</v>
      </c>
      <c r="K1181" s="66"/>
      <c r="L1181" s="66"/>
      <c r="M1181" s="66"/>
      <c r="N1181" s="66"/>
      <c r="O1181" s="66"/>
      <c r="P1181" s="66"/>
      <c r="Q1181" s="66"/>
      <c r="R1181" s="66"/>
      <c r="S1181" s="66"/>
    </row>
    <row r="1182" spans="1:19" ht="18" customHeight="1">
      <c r="B1182" t="s">
        <v>684</v>
      </c>
      <c r="C1182" t="s">
        <v>685</v>
      </c>
      <c r="D1182" s="4"/>
      <c r="E1182" s="4">
        <v>1</v>
      </c>
      <c r="F1182" s="4"/>
      <c r="G1182" s="29" t="str">
        <f>IFERROR(HYPERLINK("#"&amp;ADDRESS(MATCH(B1182&amp;"ES",'LM7 Non-ENG'!$A$1:$A$5000,0),1,,,"LM7 Non-ENG"),IF(IFERROR(VLOOKUP(B1182&amp;"ES",'LM7 Non-ENG'!$A$1:$A$4999,1,FALSE),"ERROR")=B1182&amp;"ES","Y","")),"")</f>
        <v/>
      </c>
      <c r="H1182" s="29" t="str">
        <f>IFERROR(HYPERLINK("#"&amp;ADDRESS(MATCH(B1182&amp;"PT",'LM7 Non-ENG'!$A$1:$A$5000,0),1,,,"LM7 Non-ENG"),IF(IFERROR(VLOOKUP(B1182&amp;"PT",'LM7 Non-ENG'!$A$1:$A$5000,1,FALSE),"ERROR")=B1182&amp;"PT","Y","")),"")</f>
        <v/>
      </c>
      <c r="I1182" t="str">
        <f>IFERROR(VLOOKUP(B1182,PN!$A:$C,3,FALSE),"")</f>
        <v>Active</v>
      </c>
      <c r="J1182" s="3">
        <f>IFERROR(E1182*VLOOKUP(B1182,PLInter!$A:$D,3,FALSE),"")</f>
        <v>580</v>
      </c>
      <c r="K1182" s="66"/>
      <c r="L1182" s="66"/>
      <c r="M1182" s="66"/>
      <c r="N1182" s="66"/>
      <c r="O1182" s="66"/>
      <c r="P1182" s="66"/>
      <c r="Q1182" s="66"/>
      <c r="R1182" s="66"/>
      <c r="S1182" s="66"/>
    </row>
    <row r="1183" spans="1:19" ht="18" customHeight="1">
      <c r="B1183" t="s">
        <v>682</v>
      </c>
      <c r="C1183" t="s">
        <v>683</v>
      </c>
      <c r="D1183" s="4"/>
      <c r="E1183" s="4">
        <v>1</v>
      </c>
      <c r="F1183" s="4"/>
      <c r="G1183" s="29" t="str">
        <f>IFERROR(HYPERLINK("#"&amp;ADDRESS(MATCH(B1183&amp;"ES",'LM7 Non-ENG'!$A$1:$A$5000,0),1,,,"LM7 Non-ENG"),IF(IFERROR(VLOOKUP(B1183&amp;"ES",'LM7 Non-ENG'!$A$1:$A$4999,1,FALSE),"ERROR")=B1183&amp;"ES","Y","")),"")</f>
        <v/>
      </c>
      <c r="H1183" s="29" t="str">
        <f>IFERROR(HYPERLINK("#"&amp;ADDRESS(MATCH(B1183&amp;"PT",'LM7 Non-ENG'!$A$1:$A$5000,0),1,,,"LM7 Non-ENG"),IF(IFERROR(VLOOKUP(B1183&amp;"PT",'LM7 Non-ENG'!$A$1:$A$5000,1,FALSE),"ERROR")=B1183&amp;"PT","Y","")),"")</f>
        <v/>
      </c>
      <c r="I1183" t="str">
        <f>IFERROR(VLOOKUP(B1183,PN!$A:$C,3,FALSE),"")</f>
        <v>Active</v>
      </c>
      <c r="J1183" s="3">
        <f>IFERROR(E1183*VLOOKUP(B1183,PLInter!$A:$D,3,FALSE),"")</f>
        <v>494</v>
      </c>
      <c r="K1183" s="66"/>
      <c r="L1183" s="66"/>
      <c r="M1183" s="66"/>
      <c r="N1183" s="66"/>
      <c r="O1183" s="66"/>
      <c r="P1183" s="66"/>
      <c r="Q1183" s="66"/>
      <c r="R1183" s="66"/>
      <c r="S1183" s="66"/>
    </row>
    <row r="1184" spans="1:19" ht="18" customHeight="1">
      <c r="B1184" t="str">
        <f>"021152"</f>
        <v>021152</v>
      </c>
      <c r="C1184" s="41" t="s">
        <v>679</v>
      </c>
      <c r="D1184" s="4"/>
      <c r="E1184" s="4">
        <v>1</v>
      </c>
      <c r="F1184" s="4"/>
      <c r="G1184" s="29" t="str">
        <f>IFERROR(HYPERLINK("#"&amp;ADDRESS(MATCH(B1184&amp;"ES",'LM7 Non-ENG'!$A$1:$A$5000,0),1,,,"LM7 Non-ENG"),IF(IFERROR(VLOOKUP(B1184&amp;"ES",'LM7 Non-ENG'!$A$1:$A$4999,1,FALSE),"ERROR")=B1184&amp;"ES","Y","")),"")</f>
        <v/>
      </c>
      <c r="H1184" s="29" t="str">
        <f>IFERROR(HYPERLINK("#"&amp;ADDRESS(MATCH(B1184&amp;"PT",'LM7 Non-ENG'!$A$1:$A$5000,0),1,,,"LM7 Non-ENG"),IF(IFERROR(VLOOKUP(B1184&amp;"PT",'LM7 Non-ENG'!$A$1:$A$5000,1,FALSE),"ERROR")=B1184&amp;"PT","Y","")),"")</f>
        <v/>
      </c>
      <c r="I1184" t="str">
        <f>IFERROR(VLOOKUP(B1184,PN!$A:$C,3,FALSE),"")</f>
        <v>Active</v>
      </c>
      <c r="J1184" s="3">
        <f>IFERROR(E1184*VLOOKUP(B1184,PLInter!$A:$D,3,FALSE),"")</f>
        <v>240</v>
      </c>
      <c r="K1184" s="66"/>
      <c r="L1184" s="66"/>
      <c r="M1184" s="66"/>
      <c r="N1184" s="66"/>
      <c r="O1184" s="66"/>
      <c r="P1184" s="66"/>
      <c r="Q1184" s="66"/>
      <c r="R1184" s="66"/>
      <c r="S1184" s="66"/>
    </row>
    <row r="1185" spans="2:19" ht="18" customHeight="1">
      <c r="B1185" t="s">
        <v>801</v>
      </c>
      <c r="C1185" t="s">
        <v>802</v>
      </c>
      <c r="D1185" s="4"/>
      <c r="E1185" s="4">
        <v>1</v>
      </c>
      <c r="F1185" s="4"/>
      <c r="G1185" s="29" t="str">
        <f>IFERROR(HYPERLINK("#"&amp;ADDRESS(MATCH(B1185&amp;"ES",'LM7 Non-ENG'!$A$1:$A$5000,0),1,,,"LM7 Non-ENG"),IF(IFERROR(VLOOKUP(B1185&amp;"ES",'LM7 Non-ENG'!$A$1:$A$4999,1,FALSE),"ERROR")=B1185&amp;"ES","Y","")),"")</f>
        <v/>
      </c>
      <c r="H1185" s="29" t="str">
        <f>IFERROR(HYPERLINK("#"&amp;ADDRESS(MATCH(B1185&amp;"PT",'LM7 Non-ENG'!$A$1:$A$5000,0),1,,,"LM7 Non-ENG"),IF(IFERROR(VLOOKUP(B1185&amp;"PT",'LM7 Non-ENG'!$A$1:$A$5000,1,FALSE),"ERROR")=B1185&amp;"PT","Y","")),"")</f>
        <v/>
      </c>
      <c r="I1185" t="str">
        <f>IFERROR(VLOOKUP(B1185,PN!$A:$C,3,FALSE),"")</f>
        <v>Active</v>
      </c>
      <c r="J1185" s="3">
        <f>IFERROR(E1185*VLOOKUP(B1185,PLInter!$A:$D,3,FALSE),"")</f>
        <v>667</v>
      </c>
      <c r="K1185" s="66"/>
      <c r="L1185" s="66"/>
      <c r="M1185" s="66"/>
      <c r="N1185" s="66"/>
      <c r="O1185" s="66"/>
      <c r="P1185" s="66"/>
      <c r="Q1185" s="66"/>
      <c r="R1185" s="66"/>
      <c r="S1185" s="66"/>
    </row>
    <row r="1186" spans="2:19" ht="18" customHeight="1">
      <c r="B1186" t="s">
        <v>457</v>
      </c>
      <c r="C1186" t="s">
        <v>466</v>
      </c>
      <c r="D1186" s="4"/>
      <c r="E1186" s="4">
        <v>1</v>
      </c>
      <c r="F1186" s="4"/>
      <c r="G1186" s="29" t="str">
        <f>IFERROR(HYPERLINK("#"&amp;ADDRESS(MATCH(B1186&amp;"ES",'LM7 Non-ENG'!$A$1:$A$5000,0),1,,,"LM7 Non-ENG"),IF(IFERROR(VLOOKUP(B1186&amp;"ES",'LM7 Non-ENG'!$A$1:$A$4999,1,FALSE),"ERROR")=B1186&amp;"ES","Y","")),"")</f>
        <v/>
      </c>
      <c r="H1186" s="29" t="str">
        <f>IFERROR(HYPERLINK("#"&amp;ADDRESS(MATCH(B1186&amp;"PT",'LM7 Non-ENG'!$A$1:$A$5000,0),1,,,"LM7 Non-ENG"),IF(IFERROR(VLOOKUP(B1186&amp;"PT",'LM7 Non-ENG'!$A$1:$A$5000,1,FALSE),"ERROR")=B1186&amp;"PT","Y","")),"")</f>
        <v/>
      </c>
      <c r="I1186" t="str">
        <f>IFERROR(VLOOKUP(B1186,PN!$A:$C,3,FALSE),"")</f>
        <v>Active</v>
      </c>
      <c r="J1186" s="3">
        <f>IFERROR(E1186*VLOOKUP(B1186,PLInter!$A:$D,3,FALSE),"")</f>
        <v>20994</v>
      </c>
      <c r="K1186" s="66"/>
      <c r="L1186" s="66"/>
      <c r="M1186" s="66"/>
      <c r="N1186" s="66"/>
      <c r="O1186" s="66"/>
      <c r="P1186" s="66"/>
      <c r="Q1186" s="66"/>
      <c r="R1186" s="66"/>
      <c r="S1186" s="66"/>
    </row>
    <row r="1187" spans="2:19" ht="18" customHeight="1">
      <c r="B1187" s="2" t="s">
        <v>456</v>
      </c>
      <c r="C1187" s="2" t="s">
        <v>465</v>
      </c>
      <c r="D1187" s="5"/>
      <c r="E1187" s="5">
        <v>1</v>
      </c>
      <c r="F1187" s="5" t="s">
        <v>0</v>
      </c>
      <c r="G1187" s="29" t="str">
        <f>IFERROR(HYPERLINK("#"&amp;ADDRESS(MATCH(B1187&amp;"ES",'LM7 Non-ENG'!$A$1:$A$5000,0),1,,,"LM7 Non-ENG"),IF(IFERROR(VLOOKUP(B1187&amp;"ES",'LM7 Non-ENG'!$A$1:$A$4999,1,FALSE),"ERROR")=B1187&amp;"ES","Y","")),"")</f>
        <v/>
      </c>
      <c r="H1187" s="29" t="str">
        <f>IFERROR(HYPERLINK("#"&amp;ADDRESS(MATCH(B1187&amp;"PT",'LM7 Non-ENG'!$A$1:$A$5000,0),1,,,"LM7 Non-ENG"),IF(IFERROR(VLOOKUP(B1187&amp;"PT",'LM7 Non-ENG'!$A$1:$A$5000,1,FALSE),"ERROR")=B1187&amp;"PT","Y","")),"")</f>
        <v/>
      </c>
      <c r="I1187" t="str">
        <f>IFERROR(VLOOKUP(B1187,PN!$A:$C,3,FALSE),"")</f>
        <v>Active</v>
      </c>
      <c r="J1187" s="3">
        <f>IFERROR(E1187*VLOOKUP(B1187,PLInter!$A:$D,3,FALSE),"")</f>
        <v>20994</v>
      </c>
      <c r="K1187" s="66"/>
      <c r="L1187" s="66"/>
      <c r="M1187" s="66"/>
      <c r="N1187" s="66"/>
      <c r="O1187" s="66"/>
      <c r="P1187" s="66"/>
      <c r="Q1187" s="66"/>
      <c r="R1187" s="66"/>
      <c r="S1187" s="66"/>
    </row>
    <row r="1188" spans="2:19" ht="18" customHeight="1">
      <c r="B1188" t="s">
        <v>519</v>
      </c>
      <c r="C1188" t="s">
        <v>803</v>
      </c>
      <c r="D1188" s="4"/>
      <c r="E1188" s="4">
        <v>1</v>
      </c>
      <c r="F1188" s="4"/>
      <c r="G1188" s="29" t="str">
        <f>IFERROR(HYPERLINK("#"&amp;ADDRESS(MATCH(B1188&amp;"ES",'LM7 Non-ENG'!$A$1:$A$5000,0),1,,,"LM7 Non-ENG"),IF(IFERROR(VLOOKUP(B1188&amp;"ES",'LM7 Non-ENG'!$A$1:$A$4999,1,FALSE),"ERROR")=B1188&amp;"ES","Y","")),"")</f>
        <v/>
      </c>
      <c r="H1188" s="29" t="str">
        <f>IFERROR(HYPERLINK("#"&amp;ADDRESS(MATCH(B1188&amp;"PT",'LM7 Non-ENG'!$A$1:$A$5000,0),1,,,"LM7 Non-ENG"),IF(IFERROR(VLOOKUP(B1188&amp;"PT",'LM7 Non-ENG'!$A$1:$A$5000,1,FALSE),"ERROR")=B1188&amp;"PT","Y","")),"")</f>
        <v/>
      </c>
      <c r="I1188" t="str">
        <f>IFERROR(VLOOKUP(B1188,PN!$A:$C,3,FALSE),"")</f>
        <v>Active</v>
      </c>
      <c r="J1188" s="3">
        <f>IFERROR(E1188*VLOOKUP(B1188,PLInter!$A:$D,3,FALSE),"")</f>
        <v>1595</v>
      </c>
      <c r="K1188" s="66"/>
      <c r="L1188" s="66"/>
      <c r="M1188" s="66"/>
      <c r="N1188" s="66"/>
      <c r="O1188" s="66"/>
      <c r="P1188" s="66"/>
      <c r="Q1188" s="66"/>
      <c r="R1188" s="66"/>
      <c r="S1188" s="66"/>
    </row>
    <row r="1189" spans="2:19" ht="18" customHeight="1">
      <c r="B1189" t="s">
        <v>516</v>
      </c>
      <c r="C1189" t="s">
        <v>804</v>
      </c>
      <c r="D1189" s="4"/>
      <c r="E1189" s="4">
        <v>1</v>
      </c>
      <c r="F1189" s="4"/>
      <c r="G1189" s="29" t="str">
        <f>IFERROR(HYPERLINK("#"&amp;ADDRESS(MATCH(B1189&amp;"ES",'LM7 Non-ENG'!$A$1:$A$5000,0),1,,,"LM7 Non-ENG"),IF(IFERROR(VLOOKUP(B1189&amp;"ES",'LM7 Non-ENG'!$A$1:$A$4999,1,FALSE),"ERROR")=B1189&amp;"ES","Y","")),"")</f>
        <v/>
      </c>
      <c r="H1189" s="29" t="str">
        <f>IFERROR(HYPERLINK("#"&amp;ADDRESS(MATCH(B1189&amp;"PT",'LM7 Non-ENG'!$A$1:$A$5000,0),1,,,"LM7 Non-ENG"),IF(IFERROR(VLOOKUP(B1189&amp;"PT",'LM7 Non-ENG'!$A$1:$A$5000,1,FALSE),"ERROR")=B1189&amp;"PT","Y","")),"")</f>
        <v/>
      </c>
      <c r="I1189" t="str">
        <f>IFERROR(VLOOKUP(B1189,PN!$A:$C,3,FALSE),"")</f>
        <v>Active</v>
      </c>
      <c r="J1189" s="3">
        <f>IFERROR(E1189*VLOOKUP(B1189,PLInter!$A:$D,3,FALSE),"")</f>
        <v>2126</v>
      </c>
      <c r="K1189" s="66"/>
      <c r="L1189" s="66"/>
      <c r="M1189" s="66"/>
      <c r="N1189" s="66"/>
      <c r="O1189" s="66"/>
      <c r="P1189" s="66"/>
      <c r="Q1189" s="66"/>
      <c r="R1189" s="66"/>
      <c r="S1189" s="66"/>
    </row>
    <row r="1190" spans="2:19" ht="18" customHeight="1">
      <c r="B1190" s="1" t="s">
        <v>507</v>
      </c>
      <c r="C1190" s="1" t="s">
        <v>843</v>
      </c>
      <c r="D1190" s="6" t="s">
        <v>0</v>
      </c>
      <c r="E1190" s="6">
        <v>1</v>
      </c>
      <c r="F1190" s="6"/>
      <c r="G1190" s="29" t="str">
        <f>IFERROR(HYPERLINK("#"&amp;ADDRESS(MATCH(B1190&amp;"ES",'LM7 Non-ENG'!$A$1:$A$5000,0),1,,,"LM7 Non-ENG"),IF(IFERROR(VLOOKUP(B1190&amp;"ES",'LM7 Non-ENG'!$A$1:$A$4999,1,FALSE),"ERROR")=B1190&amp;"ES","Y","")),"")</f>
        <v/>
      </c>
      <c r="H1190" s="29" t="str">
        <f>IFERROR(HYPERLINK("#"&amp;ADDRESS(MATCH(B1190&amp;"PT",'LM7 Non-ENG'!$A$1:$A$5000,0),1,,,"LM7 Non-ENG"),IF(IFERROR(VLOOKUP(B1190&amp;"PT",'LM7 Non-ENG'!$A$1:$A$5000,1,FALSE),"ERROR")=B1190&amp;"PT","Y","")),"")</f>
        <v/>
      </c>
      <c r="I1190" t="str">
        <f>IFERROR(VLOOKUP(B1190,PN!$A:$C,3,FALSE),"")</f>
        <v>Active</v>
      </c>
      <c r="J1190" s="3">
        <f>IFERROR(E1190*VLOOKUP(B1190,PLInter!$A:$D,3,FALSE),"")</f>
        <v>244</v>
      </c>
      <c r="K1190" s="66"/>
      <c r="L1190" s="66"/>
      <c r="M1190" s="66"/>
      <c r="N1190" s="66"/>
      <c r="O1190" s="66"/>
      <c r="P1190" s="66"/>
      <c r="Q1190" s="66"/>
      <c r="R1190" s="66"/>
      <c r="S1190" s="66"/>
    </row>
    <row r="1191" spans="2:19" ht="18" customHeight="1">
      <c r="B1191" s="1" t="s">
        <v>740</v>
      </c>
      <c r="C1191" s="1" t="s">
        <v>741</v>
      </c>
      <c r="D1191" s="6" t="s">
        <v>0</v>
      </c>
      <c r="E1191" s="6">
        <v>1</v>
      </c>
      <c r="F1191" s="6"/>
      <c r="G1191" s="29" t="str">
        <f>IFERROR(HYPERLINK("#"&amp;ADDRESS(MATCH(B1191&amp;"ES",'LM7 Non-ENG'!$A$1:$A$5000,0),1,,,"LM7 Non-ENG"),IF(IFERROR(VLOOKUP(B1191&amp;"ES",'LM7 Non-ENG'!$A$1:$A$4999,1,FALSE),"ERROR")=B1191&amp;"ES","Y","")),"")</f>
        <v/>
      </c>
      <c r="H1191" s="29" t="str">
        <f>IFERROR(HYPERLINK("#"&amp;ADDRESS(MATCH(B1191&amp;"PT",'LM7 Non-ENG'!$A$1:$A$5000,0),1,,,"LM7 Non-ENG"),IF(IFERROR(VLOOKUP(B1191&amp;"PT",'LM7 Non-ENG'!$A$1:$A$5000,1,FALSE),"ERROR")=B1191&amp;"PT","Y","")),"")</f>
        <v/>
      </c>
      <c r="I1191" t="str">
        <f>IFERROR(VLOOKUP(B1191,PN!$A:$C,3,FALSE),"")</f>
        <v>Active</v>
      </c>
      <c r="J1191" s="3" t="str">
        <f>IFERROR(E1191*VLOOKUP(B1191,PLInter!$A:$D,3,FALSE),"")</f>
        <v/>
      </c>
      <c r="K1191" s="66"/>
      <c r="L1191" s="66"/>
      <c r="M1191" s="66"/>
      <c r="N1191" s="66"/>
      <c r="O1191" s="66"/>
      <c r="P1191" s="66"/>
      <c r="Q1191" s="66"/>
      <c r="R1191" s="66"/>
      <c r="S1191" s="66"/>
    </row>
    <row r="1192" spans="2:19" ht="18" customHeight="1">
      <c r="B1192" t="s">
        <v>504</v>
      </c>
      <c r="C1192" t="s">
        <v>742</v>
      </c>
      <c r="D1192" s="4"/>
      <c r="E1192" s="4">
        <v>1</v>
      </c>
      <c r="F1192" s="4"/>
      <c r="G1192" s="29" t="str">
        <f>IFERROR(HYPERLINK("#"&amp;ADDRESS(MATCH(B1192&amp;"ES",'LM7 Non-ENG'!$A$1:$A$5000,0),1,,,"LM7 Non-ENG"),IF(IFERROR(VLOOKUP(B1192&amp;"ES",'LM7 Non-ENG'!$A$1:$A$4999,1,FALSE),"ERROR")=B1192&amp;"ES","Y","")),"")</f>
        <v/>
      </c>
      <c r="H1192" s="29" t="str">
        <f>IFERROR(HYPERLINK("#"&amp;ADDRESS(MATCH(B1192&amp;"PT",'LM7 Non-ENG'!$A$1:$A$5000,0),1,,,"LM7 Non-ENG"),IF(IFERROR(VLOOKUP(B1192&amp;"PT",'LM7 Non-ENG'!$A$1:$A$5000,1,FALSE),"ERROR")=B1192&amp;"PT","Y","")),"")</f>
        <v/>
      </c>
      <c r="I1192" t="str">
        <f>IFERROR(VLOOKUP(B1192,PN!$A:$C,3,FALSE),"")</f>
        <v>Active</v>
      </c>
      <c r="J1192" s="3">
        <f>IFERROR(E1192*VLOOKUP(B1192,PLInter!$A:$D,3,FALSE),"")</f>
        <v>227</v>
      </c>
      <c r="K1192" s="66"/>
      <c r="L1192" s="66"/>
      <c r="M1192" s="66"/>
      <c r="N1192" s="66"/>
      <c r="O1192" s="66"/>
      <c r="P1192" s="66"/>
      <c r="Q1192" s="66"/>
      <c r="R1192" s="66"/>
      <c r="S1192" s="66"/>
    </row>
    <row r="1193" spans="2:19" ht="18" customHeight="1">
      <c r="B1193" t="s">
        <v>505</v>
      </c>
      <c r="C1193" t="s">
        <v>844</v>
      </c>
      <c r="D1193" s="4"/>
      <c r="E1193" s="4">
        <v>1</v>
      </c>
      <c r="F1193" s="4"/>
      <c r="G1193" s="29" t="str">
        <f>IFERROR(HYPERLINK("#"&amp;ADDRESS(MATCH(B1193&amp;"ES",'LM7 Non-ENG'!$A$1:$A$5000,0),1,,,"LM7 Non-ENG"),IF(IFERROR(VLOOKUP(B1193&amp;"ES",'LM7 Non-ENG'!$A$1:$A$4999,1,FALSE),"ERROR")=B1193&amp;"ES","Y","")),"")</f>
        <v/>
      </c>
      <c r="H1193" s="29" t="str">
        <f>IFERROR(HYPERLINK("#"&amp;ADDRESS(MATCH(B1193&amp;"PT",'LM7 Non-ENG'!$A$1:$A$5000,0),1,,,"LM7 Non-ENG"),IF(IFERROR(VLOOKUP(B1193&amp;"PT",'LM7 Non-ENG'!$A$1:$A$5000,1,FALSE),"ERROR")=B1193&amp;"PT","Y","")),"")</f>
        <v/>
      </c>
      <c r="I1193" t="str">
        <f>IFERROR(VLOOKUP(B1193,PN!$A:$C,3,FALSE),"")</f>
        <v>Active</v>
      </c>
      <c r="J1193" s="3">
        <f>IFERROR(E1193*VLOOKUP(B1193,PLInter!$A:$D,3,FALSE),"")</f>
        <v>200</v>
      </c>
      <c r="K1193" s="66"/>
      <c r="L1193" s="66"/>
      <c r="M1193" s="66"/>
      <c r="N1193" s="66"/>
      <c r="O1193" s="66"/>
      <c r="P1193" s="66"/>
      <c r="Q1193" s="66"/>
      <c r="R1193" s="66"/>
      <c r="S1193" s="66"/>
    </row>
    <row r="1194" spans="2:19" ht="18" customHeight="1">
      <c r="B1194" t="s">
        <v>502</v>
      </c>
      <c r="C1194" t="s">
        <v>744</v>
      </c>
      <c r="D1194" s="4"/>
      <c r="E1194" s="4">
        <v>1</v>
      </c>
      <c r="F1194" s="4"/>
      <c r="G1194" s="29" t="str">
        <f>IFERROR(HYPERLINK("#"&amp;ADDRESS(MATCH(B1194&amp;"ES",'LM7 Non-ENG'!$A$1:$A$5000,0),1,,,"LM7 Non-ENG"),IF(IFERROR(VLOOKUP(B1194&amp;"ES",'LM7 Non-ENG'!$A$1:$A$4999,1,FALSE),"ERROR")=B1194&amp;"ES","Y","")),"")</f>
        <v/>
      </c>
      <c r="H1194" s="29" t="str">
        <f>IFERROR(HYPERLINK("#"&amp;ADDRESS(MATCH(B1194&amp;"PT",'LM7 Non-ENG'!$A$1:$A$5000,0),1,,,"LM7 Non-ENG"),IF(IFERROR(VLOOKUP(B1194&amp;"PT",'LM7 Non-ENG'!$A$1:$A$5000,1,FALSE),"ERROR")=B1194&amp;"PT","Y","")),"")</f>
        <v/>
      </c>
      <c r="I1194" t="str">
        <f>IFERROR(VLOOKUP(B1194,PN!$A:$C,3,FALSE),"")</f>
        <v>Active</v>
      </c>
      <c r="J1194" s="3">
        <f>IFERROR(E1194*VLOOKUP(B1194,PLInter!$A:$D,3,FALSE),"")</f>
        <v>87</v>
      </c>
      <c r="K1194" s="66"/>
      <c r="L1194" s="66"/>
      <c r="M1194" s="66"/>
      <c r="N1194" s="66"/>
      <c r="O1194" s="66"/>
      <c r="P1194" s="66"/>
      <c r="Q1194" s="66"/>
      <c r="R1194" s="66"/>
      <c r="S1194" s="66"/>
    </row>
    <row r="1195" spans="2:19" ht="18" customHeight="1">
      <c r="B1195" t="s">
        <v>503</v>
      </c>
      <c r="C1195" t="s">
        <v>745</v>
      </c>
      <c r="D1195" s="4"/>
      <c r="E1195" s="4">
        <v>1</v>
      </c>
      <c r="F1195" s="4"/>
      <c r="G1195" s="29" t="str">
        <f>IFERROR(HYPERLINK("#"&amp;ADDRESS(MATCH(B1195&amp;"ES",'LM7 Non-ENG'!$A$1:$A$5000,0),1,,,"LM7 Non-ENG"),IF(IFERROR(VLOOKUP(B1195&amp;"ES",'LM7 Non-ENG'!$A$1:$A$4999,1,FALSE),"ERROR")=B1195&amp;"ES","Y","")),"")</f>
        <v/>
      </c>
      <c r="H1195" s="29" t="str">
        <f>IFERROR(HYPERLINK("#"&amp;ADDRESS(MATCH(B1195&amp;"PT",'LM7 Non-ENG'!$A$1:$A$5000,0),1,,,"LM7 Non-ENG"),IF(IFERROR(VLOOKUP(B1195&amp;"PT",'LM7 Non-ENG'!$A$1:$A$5000,1,FALSE),"ERROR")=B1195&amp;"PT","Y","")),"")</f>
        <v/>
      </c>
      <c r="I1195" t="str">
        <f>IFERROR(VLOOKUP(B1195,PN!$A:$C,3,FALSE),"")</f>
        <v>Active</v>
      </c>
      <c r="J1195" s="3">
        <f>IFERROR(E1195*VLOOKUP(B1195,PLInter!$A:$D,3,FALSE),"")</f>
        <v>74</v>
      </c>
      <c r="K1195" s="66"/>
      <c r="L1195" s="66"/>
      <c r="M1195" s="66"/>
      <c r="N1195" s="66"/>
      <c r="O1195" s="66"/>
      <c r="P1195" s="66"/>
      <c r="Q1195" s="66"/>
      <c r="R1195" s="66"/>
      <c r="S1195" s="66"/>
    </row>
    <row r="1196" spans="2:19" ht="18" customHeight="1">
      <c r="B1196" s="1" t="s">
        <v>480</v>
      </c>
      <c r="C1196" s="1" t="s">
        <v>723</v>
      </c>
      <c r="D1196" s="6" t="s">
        <v>0</v>
      </c>
      <c r="E1196" s="6">
        <v>1</v>
      </c>
      <c r="F1196" s="6"/>
      <c r="G1196" s="29" t="str">
        <f>IFERROR(HYPERLINK("#"&amp;ADDRESS(MATCH(B1196&amp;"ES",'LM7 Non-ENG'!$A$1:$A$5000,0),1,,,"LM7 Non-ENG"),IF(IFERROR(VLOOKUP(B1196&amp;"ES",'LM7 Non-ENG'!$A$1:$A$4999,1,FALSE),"ERROR")=B1196&amp;"ES","Y","")),"")</f>
        <v/>
      </c>
      <c r="H1196" s="29" t="str">
        <f>IFERROR(HYPERLINK("#"&amp;ADDRESS(MATCH(B1196&amp;"PT",'LM7 Non-ENG'!$A$1:$A$5000,0),1,,,"LM7 Non-ENG"),IF(IFERROR(VLOOKUP(B1196&amp;"PT",'LM7 Non-ENG'!$A$1:$A$5000,1,FALSE),"ERROR")=B1196&amp;"PT","Y","")),"")</f>
        <v/>
      </c>
      <c r="I1196" t="str">
        <f>IFERROR(VLOOKUP(B1196,PN!$A:$C,3,FALSE),"")</f>
        <v>Active</v>
      </c>
      <c r="J1196" s="3">
        <f>IFERROR(E1196*VLOOKUP(B1196,PLInter!$A:$D,3,FALSE),"")</f>
        <v>407</v>
      </c>
      <c r="K1196" s="66"/>
      <c r="L1196" s="66"/>
      <c r="M1196" s="66"/>
      <c r="N1196" s="66"/>
      <c r="O1196" s="66"/>
      <c r="P1196" s="66"/>
      <c r="Q1196" s="66"/>
      <c r="R1196" s="66"/>
      <c r="S1196" s="66"/>
    </row>
    <row r="1197" spans="2:19" ht="18" customHeight="1">
      <c r="B1197" s="1" t="s">
        <v>479</v>
      </c>
      <c r="C1197" s="1" t="s">
        <v>810</v>
      </c>
      <c r="D1197" s="6" t="s">
        <v>0</v>
      </c>
      <c r="E1197" s="6">
        <v>1</v>
      </c>
      <c r="F1197" s="6" t="s">
        <v>0</v>
      </c>
      <c r="G1197" s="29" t="str">
        <f>IFERROR(HYPERLINK("#"&amp;ADDRESS(MATCH(B1197&amp;"ES",'LM7 Non-ENG'!$A$1:$A$5000,0),1,,,"LM7 Non-ENG"),IF(IFERROR(VLOOKUP(B1197&amp;"ES",'LM7 Non-ENG'!$A$1:$A$4999,1,FALSE),"ERROR")=B1197&amp;"ES","Y","")),"")</f>
        <v/>
      </c>
      <c r="H1197" s="29" t="str">
        <f>IFERROR(HYPERLINK("#"&amp;ADDRESS(MATCH(B1197&amp;"PT",'LM7 Non-ENG'!$A$1:$A$5000,0),1,,,"LM7 Non-ENG"),IF(IFERROR(VLOOKUP(B1197&amp;"PT",'LM7 Non-ENG'!$A$1:$A$5000,1,FALSE),"ERROR")=B1197&amp;"PT","Y","")),"")</f>
        <v/>
      </c>
      <c r="I1197" t="str">
        <f>IFERROR(VLOOKUP(B1197,PN!$A:$C,3,FALSE),"")</f>
        <v>Active</v>
      </c>
      <c r="J1197" s="3">
        <f>IFERROR(E1197*VLOOKUP(B1197,PLInter!$A:$D,3,FALSE),"")</f>
        <v>407</v>
      </c>
      <c r="K1197" s="66"/>
      <c r="L1197" s="66"/>
      <c r="M1197" s="66"/>
      <c r="N1197" s="66"/>
      <c r="O1197" s="66"/>
      <c r="P1197" s="66"/>
      <c r="Q1197" s="66"/>
      <c r="R1197" s="66"/>
      <c r="S1197" s="66"/>
    </row>
    <row r="1198" spans="2:19" ht="18" customHeight="1">
      <c r="B1198" t="s">
        <v>478</v>
      </c>
      <c r="C1198" t="s">
        <v>716</v>
      </c>
      <c r="D1198" s="4"/>
      <c r="E1198" s="4">
        <v>1</v>
      </c>
      <c r="F1198" s="4"/>
      <c r="G1198" s="29" t="str">
        <f>IFERROR(HYPERLINK("#"&amp;ADDRESS(MATCH(B1198&amp;"ES",'LM7 Non-ENG'!$A$1:$A$5000,0),1,,,"LM7 Non-ENG"),IF(IFERROR(VLOOKUP(B1198&amp;"ES",'LM7 Non-ENG'!$A$1:$A$4999,1,FALSE),"ERROR")=B1198&amp;"ES","Y","")),"")</f>
        <v/>
      </c>
      <c r="H1198" s="29" t="str">
        <f>IFERROR(HYPERLINK("#"&amp;ADDRESS(MATCH(B1198&amp;"PT",'LM7 Non-ENG'!$A$1:$A$5000,0),1,,,"LM7 Non-ENG"),IF(IFERROR(VLOOKUP(B1198&amp;"PT",'LM7 Non-ENG'!$A$1:$A$5000,1,FALSE),"ERROR")=B1198&amp;"PT","Y","")),"")</f>
        <v/>
      </c>
      <c r="I1198" t="str">
        <f>IFERROR(VLOOKUP(B1198,PN!$A:$C,3,FALSE),"")</f>
        <v>Active</v>
      </c>
      <c r="J1198" s="3">
        <f>IFERROR(E1198*VLOOKUP(B1198,PLInter!$A:$D,3,FALSE),"")</f>
        <v>795</v>
      </c>
      <c r="K1198" s="66"/>
      <c r="L1198" s="66"/>
      <c r="M1198" s="66"/>
      <c r="N1198" s="66"/>
      <c r="O1198" s="66"/>
      <c r="P1198" s="66"/>
      <c r="Q1198" s="66"/>
      <c r="R1198" s="66"/>
      <c r="S1198" s="66"/>
    </row>
    <row r="1199" spans="2:19" ht="18" customHeight="1">
      <c r="B1199" t="s">
        <v>486</v>
      </c>
      <c r="C1199" t="s">
        <v>806</v>
      </c>
      <c r="D1199" s="4"/>
      <c r="E1199" s="4">
        <v>1</v>
      </c>
      <c r="F1199" s="4"/>
      <c r="G1199" s="29" t="str">
        <f>IFERROR(HYPERLINK("#"&amp;ADDRESS(MATCH(B1199&amp;"ES",'LM7 Non-ENG'!$A$1:$A$5000,0),1,,,"LM7 Non-ENG"),IF(IFERROR(VLOOKUP(B1199&amp;"ES",'LM7 Non-ENG'!$A$1:$A$4999,1,FALSE),"ERROR")=B1199&amp;"ES","Y","")),"")</f>
        <v/>
      </c>
      <c r="H1199" s="29" t="str">
        <f>IFERROR(HYPERLINK("#"&amp;ADDRESS(MATCH(B1199&amp;"PT",'LM7 Non-ENG'!$A$1:$A$5000,0),1,,,"LM7 Non-ENG"),IF(IFERROR(VLOOKUP(B1199&amp;"PT",'LM7 Non-ENG'!$A$1:$A$5000,1,FALSE),"ERROR")=B1199&amp;"PT","Y","")),"")</f>
        <v/>
      </c>
      <c r="I1199" t="str">
        <f>IFERROR(VLOOKUP(B1199,PN!$A:$C,3,FALSE),"")</f>
        <v>Active</v>
      </c>
      <c r="J1199" s="3">
        <f>IFERROR(E1199*VLOOKUP(B1199,PLInter!$A:$D,3,FALSE),"")</f>
        <v>313</v>
      </c>
      <c r="K1199" s="66"/>
      <c r="L1199" s="66"/>
      <c r="M1199" s="66"/>
      <c r="N1199" s="66"/>
      <c r="O1199" s="66"/>
      <c r="P1199" s="66"/>
      <c r="Q1199" s="66"/>
      <c r="R1199" s="66"/>
      <c r="S1199" s="66"/>
    </row>
    <row r="1200" spans="2:19" ht="18" customHeight="1">
      <c r="B1200" t="s">
        <v>562</v>
      </c>
      <c r="C1200" t="s">
        <v>807</v>
      </c>
      <c r="D1200" s="4"/>
      <c r="E1200" s="4">
        <v>1</v>
      </c>
      <c r="F1200" s="4"/>
      <c r="G1200" s="29" t="str">
        <f>IFERROR(HYPERLINK("#"&amp;ADDRESS(MATCH(B1200&amp;"ES",'LM7 Non-ENG'!$A$1:$A$5000,0),1,,,"LM7 Non-ENG"),IF(IFERROR(VLOOKUP(B1200&amp;"ES",'LM7 Non-ENG'!$A$1:$A$4999,1,FALSE),"ERROR")=B1200&amp;"ES","Y","")),"")</f>
        <v/>
      </c>
      <c r="H1200" s="29" t="str">
        <f>IFERROR(HYPERLINK("#"&amp;ADDRESS(MATCH(B1200&amp;"PT",'LM7 Non-ENG'!$A$1:$A$5000,0),1,,,"LM7 Non-ENG"),IF(IFERROR(VLOOKUP(B1200&amp;"PT",'LM7 Non-ENG'!$A$1:$A$5000,1,FALSE),"ERROR")=B1200&amp;"PT","Y","")),"")</f>
        <v/>
      </c>
      <c r="I1200" t="str">
        <f>IFERROR(VLOOKUP(B1200,PN!$A:$C,3,FALSE),"")</f>
        <v>Active</v>
      </c>
      <c r="J1200" s="3">
        <f>IFERROR(E1200*VLOOKUP(B1200,PLInter!$A:$D,3,FALSE),"")</f>
        <v>500</v>
      </c>
      <c r="K1200" s="66"/>
      <c r="L1200" s="66"/>
      <c r="M1200" s="66"/>
      <c r="N1200" s="66"/>
      <c r="O1200" s="66"/>
      <c r="P1200" s="66"/>
      <c r="Q1200" s="66"/>
      <c r="R1200" s="66"/>
      <c r="S1200" s="66"/>
    </row>
    <row r="1201" spans="1:19" ht="18" customHeight="1">
      <c r="B1201" s="2" t="s">
        <v>845</v>
      </c>
      <c r="C1201" s="2" t="s">
        <v>846</v>
      </c>
      <c r="D1201" s="5"/>
      <c r="E1201" s="5">
        <v>1</v>
      </c>
      <c r="F1201" s="5" t="s">
        <v>0</v>
      </c>
      <c r="G1201" s="29" t="str">
        <f>IFERROR(HYPERLINK("#"&amp;ADDRESS(MATCH(B1201&amp;"ES",'LM7 Non-ENG'!$A$1:$A$5000,0),1,,,"LM7 Non-ENG"),IF(IFERROR(VLOOKUP(B1201&amp;"ES",'LM7 Non-ENG'!$A$1:$A$4999,1,FALSE),"ERROR")=B1201&amp;"ES","Y","")),"")</f>
        <v/>
      </c>
      <c r="H1201" s="29" t="str">
        <f>IFERROR(HYPERLINK("#"&amp;ADDRESS(MATCH(B1201&amp;"PT",'LM7 Non-ENG'!$A$1:$A$5000,0),1,,,"LM7 Non-ENG"),IF(IFERROR(VLOOKUP(B1201&amp;"PT",'LM7 Non-ENG'!$A$1:$A$5000,1,FALSE),"ERROR")=B1201&amp;"PT","Y","")),"")</f>
        <v/>
      </c>
      <c r="I1201" t="str">
        <f>IFERROR(VLOOKUP(B1201,PN!$A:$C,3,FALSE),"")</f>
        <v>Active</v>
      </c>
      <c r="J1201" s="3" t="str">
        <f>IFERROR(E1201*VLOOKUP(B1201,PLInter!$A:$D,3,FALSE),"")</f>
        <v/>
      </c>
      <c r="K1201" s="66"/>
      <c r="L1201" s="66"/>
      <c r="M1201" s="66"/>
      <c r="N1201" s="66"/>
      <c r="O1201" s="66"/>
      <c r="P1201" s="66"/>
      <c r="Q1201" s="66"/>
      <c r="R1201" s="66"/>
      <c r="S1201" s="66"/>
    </row>
    <row r="1202" spans="1:19" ht="18" customHeight="1">
      <c r="B1202" t="s">
        <v>572</v>
      </c>
      <c r="C1202" t="s">
        <v>749</v>
      </c>
      <c r="D1202" s="4"/>
      <c r="E1202" s="4">
        <v>1</v>
      </c>
      <c r="F1202" s="4"/>
      <c r="G1202" s="29" t="str">
        <f>IFERROR(HYPERLINK("#"&amp;ADDRESS(MATCH(B1202&amp;"ES",'LM7 Non-ENG'!$A$1:$A$5000,0),1,,,"LM7 Non-ENG"),IF(IFERROR(VLOOKUP(B1202&amp;"ES",'LM7 Non-ENG'!$A$1:$A$4999,1,FALSE),"ERROR")=B1202&amp;"ES","Y","")),"")</f>
        <v/>
      </c>
      <c r="H1202" s="29" t="str">
        <f>IFERROR(HYPERLINK("#"&amp;ADDRESS(MATCH(B1202&amp;"PT",'LM7 Non-ENG'!$A$1:$A$5000,0),1,,,"LM7 Non-ENG"),IF(IFERROR(VLOOKUP(B1202&amp;"PT",'LM7 Non-ENG'!$A$1:$A$5000,1,FALSE),"ERROR")=B1202&amp;"PT","Y","")),"")</f>
        <v/>
      </c>
      <c r="I1202" t="str">
        <f>IFERROR(VLOOKUP(B1202,PN!$A:$C,3,FALSE),"")</f>
        <v>Active</v>
      </c>
      <c r="J1202" s="3">
        <f>IFERROR(E1202*VLOOKUP(B1202,PLInter!$A:$D,3,FALSE),"")</f>
        <v>500</v>
      </c>
      <c r="K1202" s="66"/>
      <c r="L1202" s="66"/>
      <c r="M1202" s="66"/>
      <c r="N1202" s="66"/>
      <c r="O1202" s="66"/>
      <c r="P1202" s="66"/>
      <c r="Q1202" s="66"/>
      <c r="R1202" s="66"/>
      <c r="S1202" s="66"/>
    </row>
    <row r="1203" spans="1:19" ht="18" customHeight="1">
      <c r="B1203" t="str">
        <f>"112496"</f>
        <v>112496</v>
      </c>
      <c r="C1203" t="s">
        <v>696</v>
      </c>
      <c r="D1203" s="4"/>
      <c r="E1203" s="4">
        <v>50</v>
      </c>
      <c r="F1203" s="4"/>
      <c r="G1203" s="29" t="str">
        <f>IFERROR(HYPERLINK("#"&amp;ADDRESS(MATCH(B1203&amp;"ES",'LM7 Non-ENG'!$A$1:$A$5000,0),1,,,"LM7 Non-ENG"),IF(IFERROR(VLOOKUP(B1203&amp;"ES",'LM7 Non-ENG'!$A$1:$A$4999,1,FALSE),"ERROR")=B1203&amp;"ES","Y","")),"")</f>
        <v/>
      </c>
      <c r="H1203" s="29" t="str">
        <f>IFERROR(HYPERLINK("#"&amp;ADDRESS(MATCH(B1203&amp;"PT",'LM7 Non-ENG'!$A$1:$A$5000,0),1,,,"LM7 Non-ENG"),IF(IFERROR(VLOOKUP(B1203&amp;"PT",'LM7 Non-ENG'!$A$1:$A$5000,1,FALSE),"ERROR")=B1203&amp;"PT","Y","")),"")</f>
        <v/>
      </c>
      <c r="I1203" t="str">
        <f>IFERROR(VLOOKUP(B1203,PN!$A:$C,3,FALSE),"")</f>
        <v>Active</v>
      </c>
      <c r="J1203" s="3">
        <f>IFERROR(E1203*VLOOKUP(B1203,PLInter!$A:$D,3,FALSE),"")</f>
        <v>1000</v>
      </c>
      <c r="K1203" s="66"/>
      <c r="L1203" s="66"/>
      <c r="M1203" s="66"/>
      <c r="N1203" s="66"/>
      <c r="O1203" s="66"/>
      <c r="P1203" s="66"/>
      <c r="Q1203" s="66"/>
      <c r="R1203" s="66"/>
      <c r="S1203" s="66"/>
    </row>
    <row r="1204" spans="1:19" ht="18" customHeight="1">
      <c r="B1204" t="s">
        <v>644</v>
      </c>
      <c r="C1204" t="s">
        <v>645</v>
      </c>
      <c r="D1204" s="4"/>
      <c r="E1204" s="4">
        <v>1</v>
      </c>
      <c r="F1204" s="4"/>
      <c r="G1204" s="29" t="str">
        <f>IFERROR(HYPERLINK("#"&amp;ADDRESS(MATCH(B1204&amp;"ES",'LM7 Non-ENG'!$A$1:$A$5000,0),1,,,"LM7 Non-ENG"),IF(IFERROR(VLOOKUP(B1204&amp;"ES",'LM7 Non-ENG'!$A$1:$A$4999,1,FALSE),"ERROR")=B1204&amp;"ES","Y","")),"")</f>
        <v/>
      </c>
      <c r="H1204" s="29" t="str">
        <f>IFERROR(HYPERLINK("#"&amp;ADDRESS(MATCH(B1204&amp;"PT",'LM7 Non-ENG'!$A$1:$A$5000,0),1,,,"LM7 Non-ENG"),IF(IFERROR(VLOOKUP(B1204&amp;"PT",'LM7 Non-ENG'!$A$1:$A$5000,1,FALSE),"ERROR")=B1204&amp;"PT","Y","")),"")</f>
        <v/>
      </c>
      <c r="I1204" t="str">
        <f>IFERROR(VLOOKUP(B1204,PN!$A:$C,3,FALSE),"")</f>
        <v>Active</v>
      </c>
      <c r="J1204" s="3">
        <f>IFERROR(E1204*VLOOKUP(B1204,PLInter!$A:$D,3,FALSE),"")</f>
        <v>1800</v>
      </c>
      <c r="K1204" s="66"/>
      <c r="L1204" s="66"/>
      <c r="M1204" s="66"/>
      <c r="N1204" s="66"/>
      <c r="O1204" s="66"/>
      <c r="P1204" s="66"/>
      <c r="Q1204" s="66"/>
      <c r="R1204" s="66"/>
      <c r="S1204" s="66"/>
    </row>
    <row r="1205" spans="1:19" ht="18" customHeight="1">
      <c r="B1205" t="s">
        <v>630</v>
      </c>
      <c r="C1205" t="s">
        <v>631</v>
      </c>
      <c r="D1205" s="4"/>
      <c r="E1205" s="4">
        <v>1</v>
      </c>
      <c r="F1205" s="4"/>
      <c r="G1205" s="29" t="str">
        <f>IFERROR(HYPERLINK("#"&amp;ADDRESS(MATCH(B1205&amp;"ES",'LM7 Non-ENG'!$A$1:$A$5000,0),1,,,"LM7 Non-ENG"),IF(IFERROR(VLOOKUP(B1205&amp;"ES",'LM7 Non-ENG'!$A$1:$A$4999,1,FALSE),"ERROR")=B1205&amp;"ES","Y","")),"")</f>
        <v/>
      </c>
      <c r="H1205" s="29" t="str">
        <f>IFERROR(HYPERLINK("#"&amp;ADDRESS(MATCH(B1205&amp;"PT",'LM7 Non-ENG'!$A$1:$A$5000,0),1,,,"LM7 Non-ENG"),IF(IFERROR(VLOOKUP(B1205&amp;"PT",'LM7 Non-ENG'!$A$1:$A$5000,1,FALSE),"ERROR")=B1205&amp;"PT","Y","")),"")</f>
        <v/>
      </c>
      <c r="I1205" t="str">
        <f>IFERROR(VLOOKUP(B1205,PN!$A:$C,3,FALSE),"")</f>
        <v>Active</v>
      </c>
      <c r="J1205" s="3">
        <f>IFERROR(E1205*VLOOKUP(B1205,PLInter!$A:$D,3,FALSE),"")</f>
        <v>1735</v>
      </c>
      <c r="K1205" s="66"/>
      <c r="L1205" s="66"/>
      <c r="M1205" s="66"/>
      <c r="N1205" s="66"/>
      <c r="O1205" s="66"/>
      <c r="P1205" s="66"/>
      <c r="Q1205" s="66"/>
      <c r="R1205" s="66"/>
      <c r="S1205" s="66"/>
    </row>
    <row r="1207" spans="1:19" s="7" customFormat="1" ht="18" customHeight="1">
      <c r="A1207" s="13" t="s">
        <v>911</v>
      </c>
      <c r="B1207" s="13"/>
      <c r="C1207" s="13" t="s">
        <v>912</v>
      </c>
      <c r="D1207" s="14"/>
      <c r="E1207" s="14"/>
      <c r="F1207" s="14"/>
      <c r="G1207" s="14"/>
      <c r="H1207" s="14"/>
      <c r="I1207" s="14"/>
      <c r="J1207" s="14">
        <f>SUMIFS(J1208:J1223,D1208:D1223,"&lt;&gt;Y",F1208:F1223,"&lt;&gt;Y",I1208:I1223,"&lt;&gt;Inactive",I1208:I1223,"&lt;&gt;ECO+NFS")</f>
        <v>46027</v>
      </c>
      <c r="K1207" s="14"/>
      <c r="L1207" s="14"/>
      <c r="M1207" s="14"/>
      <c r="N1207" s="14"/>
      <c r="O1207" s="14"/>
      <c r="P1207" s="14"/>
      <c r="Q1207" s="14"/>
      <c r="R1207" s="14"/>
      <c r="S1207" s="14"/>
    </row>
    <row r="1208" spans="1:19" ht="18" customHeight="1">
      <c r="A1208" s="17" t="str">
        <f>HYPERLINK("#"&amp;ADDRESS(MATCH(A1207,'CIM&amp;FMS'!$A$1:$A$4997,0),1,,,"CIM&amp;FMS"),"Back to Price List")</f>
        <v>Back to Price List</v>
      </c>
      <c r="B1208" t="s">
        <v>216</v>
      </c>
      <c r="C1208" t="s">
        <v>913</v>
      </c>
      <c r="D1208" s="4"/>
      <c r="E1208" s="4">
        <v>1</v>
      </c>
      <c r="F1208" s="4"/>
      <c r="G1208" s="29" t="str">
        <f>IFERROR(HYPERLINK("#"&amp;ADDRESS(MATCH(B1208&amp;"ES",'LM7 Non-ENG'!$A$1:$A$5000,0),1,,,"LM7 Non-ENG"),IF(IFERROR(VLOOKUP(B1208&amp;"ES",'LM7 Non-ENG'!$A$1:$A$4999,1,FALSE),"ERROR")=B1208&amp;"ES","Y","")),"")</f>
        <v/>
      </c>
      <c r="H1208" s="29" t="str">
        <f>IFERROR(HYPERLINK("#"&amp;ADDRESS(MATCH(B1208&amp;"PT",'LM7 Non-ENG'!$A$1:$A$5000,0),1,,,"LM7 Non-ENG"),IF(IFERROR(VLOOKUP(B1208&amp;"PT",'LM7 Non-ENG'!$A$1:$A$5000,1,FALSE),"ERROR")=B1208&amp;"PT","Y","")),"")</f>
        <v/>
      </c>
      <c r="I1208" t="str">
        <f>IFERROR(VLOOKUP(B1208,PN!$A:$C,3,FALSE),"")</f>
        <v>Active</v>
      </c>
      <c r="J1208" s="3">
        <f>IFERROR(E1208*VLOOKUP(B1208,PLInter!$A:$D,3,FALSE),"")</f>
        <v>26667</v>
      </c>
      <c r="K1208" s="66"/>
      <c r="L1208" s="66"/>
      <c r="M1208" s="66"/>
      <c r="N1208" s="66"/>
      <c r="O1208" s="66"/>
      <c r="P1208" s="66"/>
      <c r="Q1208" s="66"/>
      <c r="R1208" s="66"/>
      <c r="S1208" s="66"/>
    </row>
    <row r="1209" spans="1:19" ht="18" customHeight="1">
      <c r="B1209" t="s">
        <v>229</v>
      </c>
      <c r="C1209" t="s">
        <v>234</v>
      </c>
      <c r="D1209" s="4"/>
      <c r="E1209" s="4">
        <v>1</v>
      </c>
      <c r="F1209" s="4"/>
      <c r="G1209" s="29" t="str">
        <f>IFERROR(HYPERLINK("#"&amp;ADDRESS(MATCH(B1209&amp;"ES",'LM7 Non-ENG'!$A$1:$A$5000,0),1,,,"LM7 Non-ENG"),IF(IFERROR(VLOOKUP(B1209&amp;"ES",'LM7 Non-ENG'!$A$1:$A$4999,1,FALSE),"ERROR")=B1209&amp;"ES","Y","")),"")</f>
        <v/>
      </c>
      <c r="H1209" s="29" t="str">
        <f>IFERROR(HYPERLINK("#"&amp;ADDRESS(MATCH(B1209&amp;"PT",'LM7 Non-ENG'!$A$1:$A$5000,0),1,,,"LM7 Non-ENG"),IF(IFERROR(VLOOKUP(B1209&amp;"PT",'LM7 Non-ENG'!$A$1:$A$5000,1,FALSE),"ERROR")=B1209&amp;"PT","Y","")),"")</f>
        <v/>
      </c>
      <c r="I1209" t="str">
        <f>IFERROR(VLOOKUP(B1209,PN!$A:$C,3,FALSE),"")</f>
        <v>Active</v>
      </c>
      <c r="J1209" s="3">
        <f>IFERROR(E1209*VLOOKUP(B1209,PLInter!$A:$D,3,FALSE),"")</f>
        <v>3270</v>
      </c>
      <c r="K1209" s="66"/>
      <c r="L1209" s="66"/>
      <c r="M1209" s="66"/>
      <c r="N1209" s="66"/>
      <c r="O1209" s="66"/>
      <c r="P1209" s="66"/>
      <c r="Q1209" s="66"/>
      <c r="R1209" s="66"/>
      <c r="S1209" s="66"/>
    </row>
    <row r="1210" spans="1:19" ht="18" customHeight="1">
      <c r="B1210" s="2" t="s">
        <v>227</v>
      </c>
      <c r="C1210" s="2" t="s">
        <v>232</v>
      </c>
      <c r="D1210" s="5"/>
      <c r="E1210" s="5">
        <v>1</v>
      </c>
      <c r="F1210" s="5" t="s">
        <v>0</v>
      </c>
      <c r="G1210" s="29" t="str">
        <f>IFERROR(HYPERLINK("#"&amp;ADDRESS(MATCH(B1210&amp;"ES",'LM7 Non-ENG'!$A$1:$A$5000,0),1,,,"LM7 Non-ENG"),IF(IFERROR(VLOOKUP(B1210&amp;"ES",'LM7 Non-ENG'!$A$1:$A$4999,1,FALSE),"ERROR")=B1210&amp;"ES","Y","")),"")</f>
        <v/>
      </c>
      <c r="H1210" s="29" t="str">
        <f>IFERROR(HYPERLINK("#"&amp;ADDRESS(MATCH(B1210&amp;"PT",'LM7 Non-ENG'!$A$1:$A$5000,0),1,,,"LM7 Non-ENG"),IF(IFERROR(VLOOKUP(B1210&amp;"PT",'LM7 Non-ENG'!$A$1:$A$5000,1,FALSE),"ERROR")=B1210&amp;"PT","Y","")),"")</f>
        <v/>
      </c>
      <c r="I1210" t="str">
        <f>IFERROR(VLOOKUP(B1210,PN!$A:$C,3,FALSE),"")</f>
        <v>Active</v>
      </c>
      <c r="J1210" s="3">
        <f>IFERROR(E1210*VLOOKUP(B1210,PLInter!$A:$D,3,FALSE),"")</f>
        <v>1700</v>
      </c>
      <c r="K1210" s="66"/>
      <c r="L1210" s="66"/>
      <c r="M1210" s="66"/>
      <c r="N1210" s="66"/>
      <c r="O1210" s="66"/>
      <c r="P1210" s="66"/>
      <c r="Q1210" s="66"/>
      <c r="R1210" s="66"/>
      <c r="S1210" s="66"/>
    </row>
    <row r="1211" spans="1:19" ht="18" customHeight="1">
      <c r="B1211" t="s">
        <v>236</v>
      </c>
      <c r="C1211" t="s">
        <v>626</v>
      </c>
      <c r="D1211" s="4"/>
      <c r="E1211" s="4">
        <v>1</v>
      </c>
      <c r="F1211" s="4"/>
      <c r="G1211" s="29" t="str">
        <f>IFERROR(HYPERLINK("#"&amp;ADDRESS(MATCH(B1211&amp;"ES",'LM7 Non-ENG'!$A$1:$A$5000,0),1,,,"LM7 Non-ENG"),IF(IFERROR(VLOOKUP(B1211&amp;"ES",'LM7 Non-ENG'!$A$1:$A$4999,1,FALSE),"ERROR")=B1211&amp;"ES","Y","")),"")</f>
        <v/>
      </c>
      <c r="H1211" s="29" t="str">
        <f>IFERROR(HYPERLINK("#"&amp;ADDRESS(MATCH(B1211&amp;"PT",'LM7 Non-ENG'!$A$1:$A$5000,0),1,,,"LM7 Non-ENG"),IF(IFERROR(VLOOKUP(B1211&amp;"PT",'LM7 Non-ENG'!$A$1:$A$5000,1,FALSE),"ERROR")=B1211&amp;"PT","Y","")),"")</f>
        <v/>
      </c>
      <c r="I1211" t="str">
        <f>IFERROR(VLOOKUP(B1211,PN!$A:$C,3,FALSE),"")</f>
        <v>Active</v>
      </c>
      <c r="J1211" s="3">
        <f>IFERROR(E1211*VLOOKUP(B1211,PLInter!$A:$D,3,FALSE),"")</f>
        <v>1680</v>
      </c>
      <c r="K1211" s="66"/>
      <c r="L1211" s="66"/>
      <c r="M1211" s="66"/>
      <c r="N1211" s="66"/>
      <c r="O1211" s="66"/>
      <c r="P1211" s="66"/>
      <c r="Q1211" s="66"/>
      <c r="R1211" s="66"/>
      <c r="S1211" s="66"/>
    </row>
    <row r="1212" spans="1:19" ht="18" customHeight="1">
      <c r="B1212" t="str">
        <f>"034025"</f>
        <v>034025</v>
      </c>
      <c r="C1212" t="s">
        <v>777</v>
      </c>
      <c r="D1212" s="4"/>
      <c r="E1212" s="4">
        <v>1</v>
      </c>
      <c r="F1212" s="4"/>
      <c r="G1212" s="29" t="str">
        <f>IFERROR(HYPERLINK("#"&amp;ADDRESS(MATCH(B1212&amp;"ES",'LM7 Non-ENG'!$A$1:$A$5000,0),1,,,"LM7 Non-ENG"),IF(IFERROR(VLOOKUP(B1212&amp;"ES",'LM7 Non-ENG'!$A$1:$A$4999,1,FALSE),"ERROR")=B1212&amp;"ES","Y","")),"")</f>
        <v/>
      </c>
      <c r="H1212" s="29" t="str">
        <f>IFERROR(HYPERLINK("#"&amp;ADDRESS(MATCH(B1212&amp;"PT",'LM7 Non-ENG'!$A$1:$A$5000,0),1,,,"LM7 Non-ENG"),IF(IFERROR(VLOOKUP(B1212&amp;"PT",'LM7 Non-ENG'!$A$1:$A$5000,1,FALSE),"ERROR")=B1212&amp;"PT","Y","")),"")</f>
        <v/>
      </c>
      <c r="I1212" t="str">
        <f>IFERROR(VLOOKUP(B1212,PN!$A:$C,3,FALSE),"")</f>
        <v>Active</v>
      </c>
      <c r="J1212" s="3">
        <f>IFERROR(E1212*VLOOKUP(B1212,PLInter!$A:$D,3,FALSE),"")</f>
        <v>1267</v>
      </c>
      <c r="K1212" s="66"/>
      <c r="L1212" s="66"/>
      <c r="M1212" s="66"/>
      <c r="N1212" s="66"/>
      <c r="O1212" s="66"/>
      <c r="P1212" s="66"/>
      <c r="Q1212" s="66"/>
      <c r="R1212" s="66"/>
      <c r="S1212" s="66"/>
    </row>
    <row r="1213" spans="1:19" ht="18" customHeight="1">
      <c r="B1213" t="s">
        <v>914</v>
      </c>
      <c r="C1213" t="s">
        <v>915</v>
      </c>
      <c r="D1213" s="4"/>
      <c r="E1213" s="4">
        <v>3</v>
      </c>
      <c r="F1213" s="4"/>
      <c r="G1213" s="29" t="str">
        <f>IFERROR(HYPERLINK("#"&amp;ADDRESS(MATCH(B1213&amp;"ES",'LM7 Non-ENG'!$A$1:$A$5000,0),1,,,"LM7 Non-ENG"),IF(IFERROR(VLOOKUP(B1213&amp;"ES",'LM7 Non-ENG'!$A$1:$A$4999,1,FALSE),"ERROR")=B1213&amp;"ES","Y","")),"")</f>
        <v/>
      </c>
      <c r="H1213" s="29" t="str">
        <f>IFERROR(HYPERLINK("#"&amp;ADDRESS(MATCH(B1213&amp;"PT",'LM7 Non-ENG'!$A$1:$A$5000,0),1,,,"LM7 Non-ENG"),IF(IFERROR(VLOOKUP(B1213&amp;"PT",'LM7 Non-ENG'!$A$1:$A$5000,1,FALSE),"ERROR")=B1213&amp;"PT","Y","")),"")</f>
        <v/>
      </c>
      <c r="I1213" t="str">
        <f>IFERROR(VLOOKUP(B1213,PN!$A:$C,3,FALSE),"")</f>
        <v>Active</v>
      </c>
      <c r="J1213" s="3">
        <f>IFERROR(E1213*VLOOKUP(B1213,PLInter!$A:$D,3,FALSE),"")</f>
        <v>402</v>
      </c>
      <c r="K1213" s="66"/>
      <c r="L1213" s="66"/>
      <c r="M1213" s="66"/>
      <c r="N1213" s="66"/>
      <c r="O1213" s="66"/>
      <c r="P1213" s="66"/>
      <c r="Q1213" s="66"/>
      <c r="R1213" s="66"/>
      <c r="S1213" s="66"/>
    </row>
    <row r="1214" spans="1:19" ht="18" customHeight="1">
      <c r="B1214" t="s">
        <v>684</v>
      </c>
      <c r="C1214" t="s">
        <v>685</v>
      </c>
      <c r="D1214" s="4"/>
      <c r="E1214" s="4">
        <v>2</v>
      </c>
      <c r="F1214" s="4"/>
      <c r="G1214" s="29" t="str">
        <f>IFERROR(HYPERLINK("#"&amp;ADDRESS(MATCH(B1214&amp;"ES",'LM7 Non-ENG'!$A$1:$A$5000,0),1,,,"LM7 Non-ENG"),IF(IFERROR(VLOOKUP(B1214&amp;"ES",'LM7 Non-ENG'!$A$1:$A$4999,1,FALSE),"ERROR")=B1214&amp;"ES","Y","")),"")</f>
        <v/>
      </c>
      <c r="H1214" s="29" t="str">
        <f>IFERROR(HYPERLINK("#"&amp;ADDRESS(MATCH(B1214&amp;"PT",'LM7 Non-ENG'!$A$1:$A$5000,0),1,,,"LM7 Non-ENG"),IF(IFERROR(VLOOKUP(B1214&amp;"PT",'LM7 Non-ENG'!$A$1:$A$5000,1,FALSE),"ERROR")=B1214&amp;"PT","Y","")),"")</f>
        <v/>
      </c>
      <c r="I1214" t="str">
        <f>IFERROR(VLOOKUP(B1214,PN!$A:$C,3,FALSE),"")</f>
        <v>Active</v>
      </c>
      <c r="J1214" s="3">
        <f>IFERROR(E1214*VLOOKUP(B1214,PLInter!$A:$D,3,FALSE),"")</f>
        <v>1160</v>
      </c>
      <c r="K1214" s="66"/>
      <c r="L1214" s="66"/>
      <c r="M1214" s="66"/>
      <c r="N1214" s="66"/>
      <c r="O1214" s="66"/>
      <c r="P1214" s="66"/>
      <c r="Q1214" s="66"/>
      <c r="R1214" s="66"/>
      <c r="S1214" s="66"/>
    </row>
    <row r="1215" spans="1:19" ht="18" customHeight="1">
      <c r="B1215" t="str">
        <f>"021172"</f>
        <v>021172</v>
      </c>
      <c r="C1215" t="s">
        <v>916</v>
      </c>
      <c r="D1215" s="4"/>
      <c r="E1215" s="4">
        <v>2</v>
      </c>
      <c r="F1215" s="4"/>
      <c r="G1215" s="29" t="str">
        <f>IFERROR(HYPERLINK("#"&amp;ADDRESS(MATCH(B1215&amp;"ES",'LM7 Non-ENG'!$A$1:$A$5000,0),1,,,"LM7 Non-ENG"),IF(IFERROR(VLOOKUP(B1215&amp;"ES",'LM7 Non-ENG'!$A$1:$A$4999,1,FALSE),"ERROR")=B1215&amp;"ES","Y","")),"")</f>
        <v/>
      </c>
      <c r="H1215" s="29" t="str">
        <f>IFERROR(HYPERLINK("#"&amp;ADDRESS(MATCH(B1215&amp;"PT",'LM7 Non-ENG'!$A$1:$A$5000,0),1,,,"LM7 Non-ENG"),IF(IFERROR(VLOOKUP(B1215&amp;"PT",'LM7 Non-ENG'!$A$1:$A$5000,1,FALSE),"ERROR")=B1215&amp;"PT","Y","")),"")</f>
        <v/>
      </c>
      <c r="I1215" t="str">
        <f>IFERROR(VLOOKUP(B1215,PN!$A:$C,3,FALSE),"")</f>
        <v>Active</v>
      </c>
      <c r="J1215" s="3">
        <f>IFERROR(E1215*VLOOKUP(B1215,PLInter!$A:$D,3,FALSE),"")</f>
        <v>80</v>
      </c>
      <c r="K1215" s="66"/>
      <c r="L1215" s="66"/>
      <c r="M1215" s="66"/>
      <c r="N1215" s="66"/>
      <c r="O1215" s="66"/>
      <c r="P1215" s="66"/>
      <c r="Q1215" s="66"/>
      <c r="R1215" s="66"/>
      <c r="S1215" s="66"/>
    </row>
    <row r="1216" spans="1:19" ht="18" customHeight="1">
      <c r="B1216" t="s">
        <v>917</v>
      </c>
      <c r="C1216" t="s">
        <v>918</v>
      </c>
      <c r="D1216" s="4"/>
      <c r="E1216" s="4">
        <v>1</v>
      </c>
      <c r="F1216" s="4"/>
      <c r="G1216" s="29" t="str">
        <f>IFERROR(HYPERLINK("#"&amp;ADDRESS(MATCH(B1216&amp;"ES",'LM7 Non-ENG'!$A$1:$A$5000,0),1,,,"LM7 Non-ENG"),IF(IFERROR(VLOOKUP(B1216&amp;"ES",'LM7 Non-ENG'!$A$1:$A$4999,1,FALSE),"ERROR")=B1216&amp;"ES","Y","")),"")</f>
        <v/>
      </c>
      <c r="H1216" s="29" t="str">
        <f>IFERROR(HYPERLINK("#"&amp;ADDRESS(MATCH(B1216&amp;"PT",'LM7 Non-ENG'!$A$1:$A$5000,0),1,,,"LM7 Non-ENG"),IF(IFERROR(VLOOKUP(B1216&amp;"PT",'LM7 Non-ENG'!$A$1:$A$5000,1,FALSE),"ERROR")=B1216&amp;"PT","Y","")),"")</f>
        <v/>
      </c>
      <c r="I1216" t="str">
        <f>IFERROR(VLOOKUP(B1216,PN!$A:$C,3,FALSE),"")</f>
        <v>Phase Out</v>
      </c>
      <c r="J1216" s="3">
        <f>IFERROR(E1216*VLOOKUP(B1216,PLInter!$A:$D,3,FALSE),"")</f>
        <v>1735</v>
      </c>
      <c r="K1216" s="66"/>
      <c r="L1216" s="66"/>
      <c r="M1216" s="66"/>
      <c r="N1216" s="66"/>
      <c r="O1216" s="66"/>
      <c r="P1216" s="66"/>
      <c r="Q1216" s="66"/>
      <c r="R1216" s="66"/>
      <c r="S1216" s="66"/>
    </row>
    <row r="1217" spans="1:19" ht="18" customHeight="1">
      <c r="B1217" t="s">
        <v>919</v>
      </c>
      <c r="C1217" t="s">
        <v>920</v>
      </c>
      <c r="D1217" s="4"/>
      <c r="E1217" s="4">
        <v>1</v>
      </c>
      <c r="F1217" s="4"/>
      <c r="G1217" s="29" t="str">
        <f>IFERROR(HYPERLINK("#"&amp;ADDRESS(MATCH(B1217&amp;"ES",'LM7 Non-ENG'!$A$1:$A$5000,0),1,,,"LM7 Non-ENG"),IF(IFERROR(VLOOKUP(B1217&amp;"ES",'LM7 Non-ENG'!$A$1:$A$4999,1,FALSE),"ERROR")=B1217&amp;"ES","Y","")),"")</f>
        <v/>
      </c>
      <c r="H1217" s="29" t="str">
        <f>IFERROR(HYPERLINK("#"&amp;ADDRESS(MATCH(B1217&amp;"PT",'LM7 Non-ENG'!$A$1:$A$5000,0),1,,,"LM7 Non-ENG"),IF(IFERROR(VLOOKUP(B1217&amp;"PT",'LM7 Non-ENG'!$A$1:$A$5000,1,FALSE),"ERROR")=B1217&amp;"PT","Y","")),"")</f>
        <v/>
      </c>
      <c r="I1217" t="str">
        <f>IFERROR(VLOOKUP(B1217,PN!$A:$C,3,FALSE),"")</f>
        <v>Active</v>
      </c>
      <c r="J1217" s="3">
        <f>IFERROR(E1217*VLOOKUP(B1217,PLInter!$A:$D,3,FALSE),"")</f>
        <v>635</v>
      </c>
      <c r="K1217" s="66"/>
      <c r="L1217" s="66"/>
      <c r="M1217" s="66"/>
      <c r="N1217" s="66"/>
      <c r="O1217" s="66"/>
      <c r="P1217" s="66"/>
      <c r="Q1217" s="66"/>
      <c r="R1217" s="66"/>
      <c r="S1217" s="66"/>
    </row>
    <row r="1218" spans="1:19" ht="18" customHeight="1">
      <c r="B1218" t="s">
        <v>921</v>
      </c>
      <c r="C1218" t="s">
        <v>922</v>
      </c>
      <c r="D1218" s="4"/>
      <c r="E1218" s="4">
        <v>1</v>
      </c>
      <c r="F1218" s="4"/>
      <c r="G1218" s="29" t="str">
        <f>IFERROR(HYPERLINK("#"&amp;ADDRESS(MATCH(B1218&amp;"ES",'LM7 Non-ENG'!$A$1:$A$5000,0),1,,,"LM7 Non-ENG"),IF(IFERROR(VLOOKUP(B1218&amp;"ES",'LM7 Non-ENG'!$A$1:$A$4999,1,FALSE),"ERROR")=B1218&amp;"ES","Y","")),"")</f>
        <v/>
      </c>
      <c r="H1218" s="29" t="str">
        <f>IFERROR(HYPERLINK("#"&amp;ADDRESS(MATCH(B1218&amp;"PT",'LM7 Non-ENG'!$A$1:$A$5000,0),1,,,"LM7 Non-ENG"),IF(IFERROR(VLOOKUP(B1218&amp;"PT",'LM7 Non-ENG'!$A$1:$A$5000,1,FALSE),"ERROR")=B1218&amp;"PT","Y","")),"")</f>
        <v/>
      </c>
      <c r="I1218" t="str">
        <f>IFERROR(VLOOKUP(B1218,PN!$A:$C,3,FALSE),"")</f>
        <v>Active</v>
      </c>
      <c r="J1218" s="3">
        <f>IFERROR(E1218*VLOOKUP(B1218,PLInter!$A:$D,3,FALSE),"")</f>
        <v>2585</v>
      </c>
      <c r="K1218" s="66"/>
      <c r="L1218" s="66"/>
      <c r="M1218" s="66"/>
      <c r="N1218" s="66"/>
      <c r="O1218" s="66"/>
      <c r="P1218" s="66"/>
      <c r="Q1218" s="66"/>
      <c r="R1218" s="66"/>
      <c r="S1218" s="66"/>
    </row>
    <row r="1219" spans="1:19" ht="18" customHeight="1">
      <c r="B1219" t="s">
        <v>923</v>
      </c>
      <c r="C1219" t="s">
        <v>924</v>
      </c>
      <c r="D1219" s="4"/>
      <c r="E1219" s="4">
        <v>12</v>
      </c>
      <c r="F1219" s="4"/>
      <c r="G1219" s="29" t="str">
        <f>IFERROR(HYPERLINK("#"&amp;ADDRESS(MATCH(B1219&amp;"ES",'LM7 Non-ENG'!$A$1:$A$5000,0),1,,,"LM7 Non-ENG"),IF(IFERROR(VLOOKUP(B1219&amp;"ES",'LM7 Non-ENG'!$A$1:$A$4999,1,FALSE),"ERROR")=B1219&amp;"ES","Y","")),"")</f>
        <v/>
      </c>
      <c r="H1219" s="29" t="str">
        <f>IFERROR(HYPERLINK("#"&amp;ADDRESS(MATCH(B1219&amp;"PT",'LM7 Non-ENG'!$A$1:$A$5000,0),1,,,"LM7 Non-ENG"),IF(IFERROR(VLOOKUP(B1219&amp;"PT",'LM7 Non-ENG'!$A$1:$A$5000,1,FALSE),"ERROR")=B1219&amp;"PT","Y","")),"")</f>
        <v/>
      </c>
      <c r="I1219" t="str">
        <f>IFERROR(VLOOKUP(B1219,PN!$A:$C,3,FALSE),"")</f>
        <v>Active</v>
      </c>
      <c r="J1219" s="3">
        <f>IFERROR(E1219*VLOOKUP(B1219,PLInter!$A:$D,3,FALSE),"")</f>
        <v>1104</v>
      </c>
      <c r="K1219" s="66"/>
      <c r="L1219" s="66"/>
      <c r="M1219" s="66"/>
      <c r="N1219" s="66"/>
      <c r="O1219" s="66"/>
      <c r="P1219" s="66"/>
      <c r="Q1219" s="66"/>
      <c r="R1219" s="66"/>
      <c r="S1219" s="66"/>
    </row>
    <row r="1220" spans="1:19" ht="18" customHeight="1">
      <c r="B1220" t="s">
        <v>925</v>
      </c>
      <c r="C1220" t="s">
        <v>926</v>
      </c>
      <c r="D1220" s="4"/>
      <c r="E1220" s="4">
        <v>1</v>
      </c>
      <c r="F1220" s="4"/>
      <c r="G1220" s="29" t="str">
        <f>IFERROR(HYPERLINK("#"&amp;ADDRESS(MATCH(B1220&amp;"ES",'LM7 Non-ENG'!$A$1:$A$5000,0),1,,,"LM7 Non-ENG"),IF(IFERROR(VLOOKUP(B1220&amp;"ES",'LM7 Non-ENG'!$A$1:$A$4999,1,FALSE),"ERROR")=B1220&amp;"ES","Y","")),"")</f>
        <v/>
      </c>
      <c r="H1220" s="29" t="str">
        <f>IFERROR(HYPERLINK("#"&amp;ADDRESS(MATCH(B1220&amp;"PT",'LM7 Non-ENG'!$A$1:$A$5000,0),1,,,"LM7 Non-ENG"),IF(IFERROR(VLOOKUP(B1220&amp;"PT",'LM7 Non-ENG'!$A$1:$A$5000,1,FALSE),"ERROR")=B1220&amp;"PT","Y","")),"")</f>
        <v/>
      </c>
      <c r="I1220" t="str">
        <f>IFERROR(VLOOKUP(B1220,PN!$A:$C,3,FALSE),"")</f>
        <v>Active</v>
      </c>
      <c r="J1220" s="3">
        <f>IFERROR(E1220*VLOOKUP(B1220,PLInter!$A:$D,3,FALSE),"")</f>
        <v>2760</v>
      </c>
      <c r="K1220" s="66"/>
      <c r="L1220" s="66"/>
      <c r="M1220" s="66"/>
      <c r="N1220" s="66"/>
      <c r="O1220" s="66"/>
      <c r="P1220" s="66"/>
      <c r="Q1220" s="66"/>
      <c r="R1220" s="66"/>
      <c r="S1220" s="66"/>
    </row>
    <row r="1221" spans="1:19" ht="18" customHeight="1">
      <c r="B1221" t="s">
        <v>927</v>
      </c>
      <c r="C1221" t="s">
        <v>928</v>
      </c>
      <c r="D1221" s="4"/>
      <c r="E1221" s="4">
        <v>1</v>
      </c>
      <c r="F1221" s="4"/>
      <c r="G1221" s="29" t="str">
        <f>IFERROR(HYPERLINK("#"&amp;ADDRESS(MATCH(B1221&amp;"ES",'LM7 Non-ENG'!$A$1:$A$5000,0),1,,,"LM7 Non-ENG"),IF(IFERROR(VLOOKUP(B1221&amp;"ES",'LM7 Non-ENG'!$A$1:$A$4999,1,FALSE),"ERROR")=B1221&amp;"ES","Y","")),"")</f>
        <v/>
      </c>
      <c r="H1221" s="29" t="str">
        <f>IFERROR(HYPERLINK("#"&amp;ADDRESS(MATCH(B1221&amp;"PT",'LM7 Non-ENG'!$A$1:$A$5000,0),1,,,"LM7 Non-ENG"),IF(IFERROR(VLOOKUP(B1221&amp;"PT",'LM7 Non-ENG'!$A$1:$A$5000,1,FALSE),"ERROR")=B1221&amp;"PT","Y","")),"")</f>
        <v/>
      </c>
      <c r="I1221" t="str">
        <f>IFERROR(VLOOKUP(B1221,PN!$A:$C,3,FALSE),"")</f>
        <v>Active</v>
      </c>
      <c r="J1221" s="3">
        <f>IFERROR(E1221*VLOOKUP(B1221,PLInter!$A:$D,3,FALSE),"")</f>
        <v>467</v>
      </c>
      <c r="K1221" s="66"/>
      <c r="L1221" s="66"/>
      <c r="M1221" s="66"/>
      <c r="N1221" s="66"/>
      <c r="O1221" s="66"/>
      <c r="P1221" s="66"/>
      <c r="Q1221" s="66"/>
      <c r="R1221" s="66"/>
      <c r="S1221" s="66"/>
    </row>
    <row r="1222" spans="1:19" ht="18" customHeight="1">
      <c r="B1222" t="s">
        <v>668</v>
      </c>
      <c r="C1222" t="s">
        <v>669</v>
      </c>
      <c r="D1222" s="4"/>
      <c r="E1222" s="4">
        <v>1</v>
      </c>
      <c r="F1222" s="4"/>
      <c r="G1222" s="29" t="str">
        <f>IFERROR(HYPERLINK("#"&amp;ADDRESS(MATCH(B1222&amp;"ES",'LM7 Non-ENG'!$A$1:$A$5000,0),1,,,"LM7 Non-ENG"),IF(IFERROR(VLOOKUP(B1222&amp;"ES",'LM7 Non-ENG'!$A$1:$A$4999,1,FALSE),"ERROR")=B1222&amp;"ES","Y","")),"")</f>
        <v/>
      </c>
      <c r="H1222" s="29" t="str">
        <f>IFERROR(HYPERLINK("#"&amp;ADDRESS(MATCH(B1222&amp;"PT",'LM7 Non-ENG'!$A$1:$A$5000,0),1,,,"LM7 Non-ENG"),IF(IFERROR(VLOOKUP(B1222&amp;"PT",'LM7 Non-ENG'!$A$1:$A$5000,1,FALSE),"ERROR")=B1222&amp;"PT","Y","")),"")</f>
        <v/>
      </c>
      <c r="I1222" t="str">
        <f>IFERROR(VLOOKUP(B1222,PN!$A:$C,3,FALSE),"")</f>
        <v>Active</v>
      </c>
      <c r="J1222" s="3">
        <f>IFERROR(E1222*VLOOKUP(B1222,PLInter!$A:$D,3,FALSE),"")</f>
        <v>480</v>
      </c>
      <c r="K1222" s="66"/>
      <c r="L1222" s="66"/>
      <c r="M1222" s="66"/>
      <c r="N1222" s="66"/>
      <c r="O1222" s="66"/>
      <c r="P1222" s="66"/>
      <c r="Q1222" s="66"/>
      <c r="R1222" s="66"/>
      <c r="S1222" s="66"/>
    </row>
    <row r="1223" spans="1:19" ht="18" customHeight="1">
      <c r="B1223" t="s">
        <v>630</v>
      </c>
      <c r="C1223" t="s">
        <v>631</v>
      </c>
      <c r="D1223" s="4"/>
      <c r="E1223" s="4">
        <v>1</v>
      </c>
      <c r="F1223" s="4"/>
      <c r="G1223" s="29" t="str">
        <f>IFERROR(HYPERLINK("#"&amp;ADDRESS(MATCH(B1223&amp;"ES",'LM7 Non-ENG'!$A$1:$A$5000,0),1,,,"LM7 Non-ENG"),IF(IFERROR(VLOOKUP(B1223&amp;"ES",'LM7 Non-ENG'!$A$1:$A$4999,1,FALSE),"ERROR")=B1223&amp;"ES","Y","")),"")</f>
        <v/>
      </c>
      <c r="H1223" s="29" t="str">
        <f>IFERROR(HYPERLINK("#"&amp;ADDRESS(MATCH(B1223&amp;"PT",'LM7 Non-ENG'!$A$1:$A$5000,0),1,,,"LM7 Non-ENG"),IF(IFERROR(VLOOKUP(B1223&amp;"PT",'LM7 Non-ENG'!$A$1:$A$5000,1,FALSE),"ERROR")=B1223&amp;"PT","Y","")),"")</f>
        <v/>
      </c>
      <c r="I1223" t="str">
        <f>IFERROR(VLOOKUP(B1223,PN!$A:$C,3,FALSE),"")</f>
        <v>Active</v>
      </c>
      <c r="J1223" s="3">
        <f>IFERROR(E1223*VLOOKUP(B1223,PLInter!$A:$D,3,FALSE),"")</f>
        <v>1735</v>
      </c>
      <c r="K1223" s="66"/>
      <c r="L1223" s="66"/>
      <c r="M1223" s="66"/>
      <c r="N1223" s="66"/>
      <c r="O1223" s="66"/>
      <c r="P1223" s="66"/>
      <c r="Q1223" s="66"/>
      <c r="R1223" s="66"/>
      <c r="S1223" s="66"/>
    </row>
    <row r="1225" spans="1:19" s="7" customFormat="1" ht="18" customHeight="1">
      <c r="A1225" s="13" t="s">
        <v>929</v>
      </c>
      <c r="B1225" s="13"/>
      <c r="C1225" s="13" t="s">
        <v>930</v>
      </c>
      <c r="D1225" s="14"/>
      <c r="E1225" s="14"/>
      <c r="F1225" s="14"/>
      <c r="G1225" s="14"/>
      <c r="H1225" s="14"/>
      <c r="I1225" s="14"/>
      <c r="J1225" s="14">
        <f>SUMIFS(J1226:J1242,D1226:D1242,"&lt;&gt;Y",F1226:F1242,"&lt;&gt;Y",I1226:I1242,"&lt;&gt;Inactive",I1226:I1242,"&lt;&gt;ECO+NFS")</f>
        <v>52362</v>
      </c>
      <c r="K1225" s="14"/>
      <c r="L1225" s="14"/>
      <c r="M1225" s="14"/>
      <c r="N1225" s="14"/>
      <c r="O1225" s="14"/>
      <c r="P1225" s="14"/>
      <c r="Q1225" s="14"/>
      <c r="R1225" s="14"/>
      <c r="S1225" s="14"/>
    </row>
    <row r="1226" spans="1:19" ht="18" customHeight="1">
      <c r="A1226" s="17" t="str">
        <f>HYPERLINK("#"&amp;ADDRESS(MATCH(A1225,'CIM&amp;FMS'!$A$1:$A$4997,0),1,,,"CIM&amp;FMS"),"Back to Price List")</f>
        <v>Back to Price List</v>
      </c>
      <c r="B1226" t="s">
        <v>216</v>
      </c>
      <c r="C1226" t="s">
        <v>913</v>
      </c>
      <c r="D1226" s="4"/>
      <c r="E1226" s="4">
        <v>1</v>
      </c>
      <c r="F1226" s="4"/>
      <c r="G1226" s="29" t="str">
        <f>IFERROR(HYPERLINK("#"&amp;ADDRESS(MATCH(B1226&amp;"ES",'LM7 Non-ENG'!$A$1:$A$5000,0),1,,,"LM7 Non-ENG"),IF(IFERROR(VLOOKUP(B1226&amp;"ES",'LM7 Non-ENG'!$A$1:$A$4999,1,FALSE),"ERROR")=B1226&amp;"ES","Y","")),"")</f>
        <v/>
      </c>
      <c r="H1226" s="29" t="str">
        <f>IFERROR(HYPERLINK("#"&amp;ADDRESS(MATCH(B1226&amp;"PT",'LM7 Non-ENG'!$A$1:$A$5000,0),1,,,"LM7 Non-ENG"),IF(IFERROR(VLOOKUP(B1226&amp;"PT",'LM7 Non-ENG'!$A$1:$A$5000,1,FALSE),"ERROR")=B1226&amp;"PT","Y","")),"")</f>
        <v/>
      </c>
      <c r="I1226" t="str">
        <f>IFERROR(VLOOKUP(B1226,PN!$A:$C,3,FALSE),"")</f>
        <v>Active</v>
      </c>
      <c r="J1226" s="3">
        <f>IFERROR(E1226*VLOOKUP(B1226,PLInter!$A:$D,3,FALSE),"")</f>
        <v>26667</v>
      </c>
      <c r="K1226" s="66"/>
      <c r="L1226" s="66"/>
      <c r="M1226" s="66"/>
      <c r="N1226" s="66"/>
      <c r="O1226" s="66"/>
      <c r="P1226" s="66"/>
      <c r="Q1226" s="66"/>
      <c r="R1226" s="66"/>
      <c r="S1226" s="66"/>
    </row>
    <row r="1227" spans="1:19" ht="18" customHeight="1">
      <c r="B1227" t="s">
        <v>229</v>
      </c>
      <c r="C1227" t="s">
        <v>234</v>
      </c>
      <c r="D1227" s="4"/>
      <c r="E1227" s="4">
        <v>1</v>
      </c>
      <c r="F1227" s="4"/>
      <c r="G1227" s="29" t="str">
        <f>IFERROR(HYPERLINK("#"&amp;ADDRESS(MATCH(B1227&amp;"ES",'LM7 Non-ENG'!$A$1:$A$5000,0),1,,,"LM7 Non-ENG"),IF(IFERROR(VLOOKUP(B1227&amp;"ES",'LM7 Non-ENG'!$A$1:$A$4999,1,FALSE),"ERROR")=B1227&amp;"ES","Y","")),"")</f>
        <v/>
      </c>
      <c r="H1227" s="29" t="str">
        <f>IFERROR(HYPERLINK("#"&amp;ADDRESS(MATCH(B1227&amp;"PT",'LM7 Non-ENG'!$A$1:$A$5000,0),1,,,"LM7 Non-ENG"),IF(IFERROR(VLOOKUP(B1227&amp;"PT",'LM7 Non-ENG'!$A$1:$A$5000,1,FALSE),"ERROR")=B1227&amp;"PT","Y","")),"")</f>
        <v/>
      </c>
      <c r="I1227" t="str">
        <f>IFERROR(VLOOKUP(B1227,PN!$A:$C,3,FALSE),"")</f>
        <v>Active</v>
      </c>
      <c r="J1227" s="3">
        <f>IFERROR(E1227*VLOOKUP(B1227,PLInter!$A:$D,3,FALSE),"")</f>
        <v>3270</v>
      </c>
      <c r="K1227" s="66"/>
      <c r="L1227" s="66"/>
      <c r="M1227" s="66"/>
      <c r="N1227" s="66"/>
      <c r="O1227" s="66"/>
      <c r="P1227" s="66"/>
      <c r="Q1227" s="66"/>
      <c r="R1227" s="66"/>
      <c r="S1227" s="66"/>
    </row>
    <row r="1228" spans="1:19" ht="18" customHeight="1">
      <c r="B1228" s="2" t="s">
        <v>227</v>
      </c>
      <c r="C1228" s="2" t="s">
        <v>232</v>
      </c>
      <c r="D1228" s="5"/>
      <c r="E1228" s="5">
        <v>1</v>
      </c>
      <c r="F1228" s="5" t="s">
        <v>0</v>
      </c>
      <c r="G1228" s="29" t="str">
        <f>IFERROR(HYPERLINK("#"&amp;ADDRESS(MATCH(B1228&amp;"ES",'LM7 Non-ENG'!$A$1:$A$5000,0),1,,,"LM7 Non-ENG"),IF(IFERROR(VLOOKUP(B1228&amp;"ES",'LM7 Non-ENG'!$A$1:$A$4999,1,FALSE),"ERROR")=B1228&amp;"ES","Y","")),"")</f>
        <v/>
      </c>
      <c r="H1228" s="29" t="str">
        <f>IFERROR(HYPERLINK("#"&amp;ADDRESS(MATCH(B1228&amp;"PT",'LM7 Non-ENG'!$A$1:$A$5000,0),1,,,"LM7 Non-ENG"),IF(IFERROR(VLOOKUP(B1228&amp;"PT",'LM7 Non-ENG'!$A$1:$A$5000,1,FALSE),"ERROR")=B1228&amp;"PT","Y","")),"")</f>
        <v/>
      </c>
      <c r="I1228" t="str">
        <f>IFERROR(VLOOKUP(B1228,PN!$A:$C,3,FALSE),"")</f>
        <v>Active</v>
      </c>
      <c r="J1228" s="3">
        <f>IFERROR(E1228*VLOOKUP(B1228,PLInter!$A:$D,3,FALSE),"")</f>
        <v>1700</v>
      </c>
      <c r="K1228" s="66"/>
      <c r="L1228" s="66"/>
      <c r="M1228" s="66"/>
      <c r="N1228" s="66"/>
      <c r="O1228" s="66"/>
      <c r="P1228" s="66"/>
      <c r="Q1228" s="66"/>
      <c r="R1228" s="66"/>
      <c r="S1228" s="66"/>
    </row>
    <row r="1229" spans="1:19" ht="18" customHeight="1">
      <c r="B1229" t="s">
        <v>236</v>
      </c>
      <c r="C1229" t="s">
        <v>626</v>
      </c>
      <c r="D1229" s="4"/>
      <c r="E1229" s="4">
        <v>1</v>
      </c>
      <c r="F1229" s="4"/>
      <c r="G1229" s="29" t="str">
        <f>IFERROR(HYPERLINK("#"&amp;ADDRESS(MATCH(B1229&amp;"ES",'LM7 Non-ENG'!$A$1:$A$5000,0),1,,,"LM7 Non-ENG"),IF(IFERROR(VLOOKUP(B1229&amp;"ES",'LM7 Non-ENG'!$A$1:$A$4999,1,FALSE),"ERROR")=B1229&amp;"ES","Y","")),"")</f>
        <v/>
      </c>
      <c r="H1229" s="29" t="str">
        <f>IFERROR(HYPERLINK("#"&amp;ADDRESS(MATCH(B1229&amp;"PT",'LM7 Non-ENG'!$A$1:$A$5000,0),1,,,"LM7 Non-ENG"),IF(IFERROR(VLOOKUP(B1229&amp;"PT",'LM7 Non-ENG'!$A$1:$A$5000,1,FALSE),"ERROR")=B1229&amp;"PT","Y","")),"")</f>
        <v/>
      </c>
      <c r="I1229" t="str">
        <f>IFERROR(VLOOKUP(B1229,PN!$A:$C,3,FALSE),"")</f>
        <v>Active</v>
      </c>
      <c r="J1229" s="3">
        <f>IFERROR(E1229*VLOOKUP(B1229,PLInter!$A:$D,3,FALSE),"")</f>
        <v>1680</v>
      </c>
      <c r="K1229" s="66"/>
      <c r="L1229" s="66"/>
      <c r="M1229" s="66"/>
      <c r="N1229" s="66"/>
      <c r="O1229" s="66"/>
      <c r="P1229" s="66"/>
      <c r="Q1229" s="66"/>
      <c r="R1229" s="66"/>
      <c r="S1229" s="66"/>
    </row>
    <row r="1230" spans="1:19" ht="18" customHeight="1">
      <c r="B1230" t="str">
        <f>"034025"</f>
        <v>034025</v>
      </c>
      <c r="C1230" t="s">
        <v>777</v>
      </c>
      <c r="D1230" s="4"/>
      <c r="E1230" s="4">
        <v>1</v>
      </c>
      <c r="F1230" s="4"/>
      <c r="G1230" s="29" t="str">
        <f>IFERROR(HYPERLINK("#"&amp;ADDRESS(MATCH(B1230&amp;"ES",'LM7 Non-ENG'!$A$1:$A$5000,0),1,,,"LM7 Non-ENG"),IF(IFERROR(VLOOKUP(B1230&amp;"ES",'LM7 Non-ENG'!$A$1:$A$4999,1,FALSE),"ERROR")=B1230&amp;"ES","Y","")),"")</f>
        <v/>
      </c>
      <c r="H1230" s="29" t="str">
        <f>IFERROR(HYPERLINK("#"&amp;ADDRESS(MATCH(B1230&amp;"PT",'LM7 Non-ENG'!$A$1:$A$5000,0),1,,,"LM7 Non-ENG"),IF(IFERROR(VLOOKUP(B1230&amp;"PT",'LM7 Non-ENG'!$A$1:$A$5000,1,FALSE),"ERROR")=B1230&amp;"PT","Y","")),"")</f>
        <v/>
      </c>
      <c r="I1230" t="str">
        <f>IFERROR(VLOOKUP(B1230,PN!$A:$C,3,FALSE),"")</f>
        <v>Active</v>
      </c>
      <c r="J1230" s="3">
        <f>IFERROR(E1230*VLOOKUP(B1230,PLInter!$A:$D,3,FALSE),"")</f>
        <v>1267</v>
      </c>
      <c r="K1230" s="66"/>
      <c r="L1230" s="66"/>
      <c r="M1230" s="66"/>
      <c r="N1230" s="66"/>
      <c r="O1230" s="66"/>
      <c r="P1230" s="66"/>
      <c r="Q1230" s="66"/>
      <c r="R1230" s="66"/>
      <c r="S1230" s="66"/>
    </row>
    <row r="1231" spans="1:19" ht="18" customHeight="1">
      <c r="B1231" t="s">
        <v>914</v>
      </c>
      <c r="C1231" t="s">
        <v>915</v>
      </c>
      <c r="D1231" s="4"/>
      <c r="E1231" s="4">
        <v>3</v>
      </c>
      <c r="F1231" s="4"/>
      <c r="G1231" s="29" t="str">
        <f>IFERROR(HYPERLINK("#"&amp;ADDRESS(MATCH(B1231&amp;"ES",'LM7 Non-ENG'!$A$1:$A$5000,0),1,,,"LM7 Non-ENG"),IF(IFERROR(VLOOKUP(B1231&amp;"ES",'LM7 Non-ENG'!$A$1:$A$4999,1,FALSE),"ERROR")=B1231&amp;"ES","Y","")),"")</f>
        <v/>
      </c>
      <c r="H1231" s="29" t="str">
        <f>IFERROR(HYPERLINK("#"&amp;ADDRESS(MATCH(B1231&amp;"PT",'LM7 Non-ENG'!$A$1:$A$5000,0),1,,,"LM7 Non-ENG"),IF(IFERROR(VLOOKUP(B1231&amp;"PT",'LM7 Non-ENG'!$A$1:$A$5000,1,FALSE),"ERROR")=B1231&amp;"PT","Y","")),"")</f>
        <v/>
      </c>
      <c r="I1231" t="str">
        <f>IFERROR(VLOOKUP(B1231,PN!$A:$C,3,FALSE),"")</f>
        <v>Active</v>
      </c>
      <c r="J1231" s="3">
        <f>IFERROR(E1231*VLOOKUP(B1231,PLInter!$A:$D,3,FALSE),"")</f>
        <v>402</v>
      </c>
      <c r="K1231" s="66"/>
      <c r="L1231" s="66"/>
      <c r="M1231" s="66"/>
      <c r="N1231" s="66"/>
      <c r="O1231" s="66"/>
      <c r="P1231" s="66"/>
      <c r="Q1231" s="66"/>
      <c r="R1231" s="66"/>
      <c r="S1231" s="66"/>
    </row>
    <row r="1232" spans="1:19" ht="18" customHeight="1">
      <c r="B1232" t="s">
        <v>684</v>
      </c>
      <c r="C1232" t="s">
        <v>685</v>
      </c>
      <c r="D1232" s="4"/>
      <c r="E1232" s="4">
        <v>2</v>
      </c>
      <c r="F1232" s="4"/>
      <c r="G1232" s="29" t="str">
        <f>IFERROR(HYPERLINK("#"&amp;ADDRESS(MATCH(B1232&amp;"ES",'LM7 Non-ENG'!$A$1:$A$5000,0),1,,,"LM7 Non-ENG"),IF(IFERROR(VLOOKUP(B1232&amp;"ES",'LM7 Non-ENG'!$A$1:$A$4999,1,FALSE),"ERROR")=B1232&amp;"ES","Y","")),"")</f>
        <v/>
      </c>
      <c r="H1232" s="29" t="str">
        <f>IFERROR(HYPERLINK("#"&amp;ADDRESS(MATCH(B1232&amp;"PT",'LM7 Non-ENG'!$A$1:$A$5000,0),1,,,"LM7 Non-ENG"),IF(IFERROR(VLOOKUP(B1232&amp;"PT",'LM7 Non-ENG'!$A$1:$A$5000,1,FALSE),"ERROR")=B1232&amp;"PT","Y","")),"")</f>
        <v/>
      </c>
      <c r="I1232" t="str">
        <f>IFERROR(VLOOKUP(B1232,PN!$A:$C,3,FALSE),"")</f>
        <v>Active</v>
      </c>
      <c r="J1232" s="3">
        <f>IFERROR(E1232*VLOOKUP(B1232,PLInter!$A:$D,3,FALSE),"")</f>
        <v>1160</v>
      </c>
      <c r="K1232" s="66"/>
      <c r="L1232" s="66"/>
      <c r="M1232" s="66"/>
      <c r="N1232" s="66"/>
      <c r="O1232" s="66"/>
      <c r="P1232" s="66"/>
      <c r="Q1232" s="66"/>
      <c r="R1232" s="66"/>
      <c r="S1232" s="66"/>
    </row>
    <row r="1233" spans="1:19" ht="18" customHeight="1">
      <c r="B1233" t="str">
        <f>"021172"</f>
        <v>021172</v>
      </c>
      <c r="C1233" t="s">
        <v>916</v>
      </c>
      <c r="D1233" s="4"/>
      <c r="E1233" s="4">
        <v>2</v>
      </c>
      <c r="F1233" s="4"/>
      <c r="G1233" s="29" t="str">
        <f>IFERROR(HYPERLINK("#"&amp;ADDRESS(MATCH(B1233&amp;"ES",'LM7 Non-ENG'!$A$1:$A$5000,0),1,,,"LM7 Non-ENG"),IF(IFERROR(VLOOKUP(B1233&amp;"ES",'LM7 Non-ENG'!$A$1:$A$4999,1,FALSE),"ERROR")=B1233&amp;"ES","Y","")),"")</f>
        <v/>
      </c>
      <c r="H1233" s="29" t="str">
        <f>IFERROR(HYPERLINK("#"&amp;ADDRESS(MATCH(B1233&amp;"PT",'LM7 Non-ENG'!$A$1:$A$5000,0),1,,,"LM7 Non-ENG"),IF(IFERROR(VLOOKUP(B1233&amp;"PT",'LM7 Non-ENG'!$A$1:$A$5000,1,FALSE),"ERROR")=B1233&amp;"PT","Y","")),"")</f>
        <v/>
      </c>
      <c r="I1233" t="str">
        <f>IFERROR(VLOOKUP(B1233,PN!$A:$C,3,FALSE),"")</f>
        <v>Active</v>
      </c>
      <c r="J1233" s="3">
        <f>IFERROR(E1233*VLOOKUP(B1233,PLInter!$A:$D,3,FALSE),"")</f>
        <v>80</v>
      </c>
      <c r="K1233" s="66"/>
      <c r="L1233" s="66"/>
      <c r="M1233" s="66"/>
      <c r="N1233" s="66"/>
      <c r="O1233" s="66"/>
      <c r="P1233" s="66"/>
      <c r="Q1233" s="66"/>
      <c r="R1233" s="66"/>
      <c r="S1233" s="66"/>
    </row>
    <row r="1234" spans="1:19" ht="18" customHeight="1">
      <c r="B1234" t="s">
        <v>917</v>
      </c>
      <c r="C1234" t="s">
        <v>918</v>
      </c>
      <c r="D1234" s="4"/>
      <c r="E1234" s="4">
        <v>1</v>
      </c>
      <c r="F1234" s="4"/>
      <c r="G1234" s="29" t="str">
        <f>IFERROR(HYPERLINK("#"&amp;ADDRESS(MATCH(B1234&amp;"ES",'LM7 Non-ENG'!$A$1:$A$5000,0),1,,,"LM7 Non-ENG"),IF(IFERROR(VLOOKUP(B1234&amp;"ES",'LM7 Non-ENG'!$A$1:$A$4999,1,FALSE),"ERROR")=B1234&amp;"ES","Y","")),"")</f>
        <v/>
      </c>
      <c r="H1234" s="29" t="str">
        <f>IFERROR(HYPERLINK("#"&amp;ADDRESS(MATCH(B1234&amp;"PT",'LM7 Non-ENG'!$A$1:$A$5000,0),1,,,"LM7 Non-ENG"),IF(IFERROR(VLOOKUP(B1234&amp;"PT",'LM7 Non-ENG'!$A$1:$A$5000,1,FALSE),"ERROR")=B1234&amp;"PT","Y","")),"")</f>
        <v/>
      </c>
      <c r="I1234" t="str">
        <f>IFERROR(VLOOKUP(B1234,PN!$A:$C,3,FALSE),"")</f>
        <v>Phase Out</v>
      </c>
      <c r="J1234" s="3">
        <f>IFERROR(E1234*VLOOKUP(B1234,PLInter!$A:$D,3,FALSE),"")</f>
        <v>1735</v>
      </c>
      <c r="K1234" s="66"/>
      <c r="L1234" s="66"/>
      <c r="M1234" s="66"/>
      <c r="N1234" s="66"/>
      <c r="O1234" s="66"/>
      <c r="P1234" s="66"/>
      <c r="Q1234" s="66"/>
      <c r="R1234" s="66"/>
      <c r="S1234" s="66"/>
    </row>
    <row r="1235" spans="1:19" ht="18" customHeight="1">
      <c r="B1235" t="s">
        <v>919</v>
      </c>
      <c r="C1235" t="s">
        <v>920</v>
      </c>
      <c r="D1235" s="4"/>
      <c r="E1235" s="4">
        <v>1</v>
      </c>
      <c r="F1235" s="4"/>
      <c r="G1235" s="29" t="str">
        <f>IFERROR(HYPERLINK("#"&amp;ADDRESS(MATCH(B1235&amp;"ES",'LM7 Non-ENG'!$A$1:$A$5000,0),1,,,"LM7 Non-ENG"),IF(IFERROR(VLOOKUP(B1235&amp;"ES",'LM7 Non-ENG'!$A$1:$A$4999,1,FALSE),"ERROR")=B1235&amp;"ES","Y","")),"")</f>
        <v/>
      </c>
      <c r="H1235" s="29" t="str">
        <f>IFERROR(HYPERLINK("#"&amp;ADDRESS(MATCH(B1235&amp;"PT",'LM7 Non-ENG'!$A$1:$A$5000,0),1,,,"LM7 Non-ENG"),IF(IFERROR(VLOOKUP(B1235&amp;"PT",'LM7 Non-ENG'!$A$1:$A$5000,1,FALSE),"ERROR")=B1235&amp;"PT","Y","")),"")</f>
        <v/>
      </c>
      <c r="I1235" t="str">
        <f>IFERROR(VLOOKUP(B1235,PN!$A:$C,3,FALSE),"")</f>
        <v>Active</v>
      </c>
      <c r="J1235" s="3">
        <f>IFERROR(E1235*VLOOKUP(B1235,PLInter!$A:$D,3,FALSE),"")</f>
        <v>635</v>
      </c>
      <c r="K1235" s="66"/>
      <c r="L1235" s="66"/>
      <c r="M1235" s="66"/>
      <c r="N1235" s="66"/>
      <c r="O1235" s="66"/>
      <c r="P1235" s="66"/>
      <c r="Q1235" s="66"/>
      <c r="R1235" s="66"/>
      <c r="S1235" s="66"/>
    </row>
    <row r="1236" spans="1:19" ht="18" customHeight="1">
      <c r="B1236" t="s">
        <v>921</v>
      </c>
      <c r="C1236" t="s">
        <v>922</v>
      </c>
      <c r="D1236" s="4"/>
      <c r="E1236" s="4">
        <v>1</v>
      </c>
      <c r="F1236" s="4"/>
      <c r="G1236" s="29" t="str">
        <f>IFERROR(HYPERLINK("#"&amp;ADDRESS(MATCH(B1236&amp;"ES",'LM7 Non-ENG'!$A$1:$A$5000,0),1,,,"LM7 Non-ENG"),IF(IFERROR(VLOOKUP(B1236&amp;"ES",'LM7 Non-ENG'!$A$1:$A$4999,1,FALSE),"ERROR")=B1236&amp;"ES","Y","")),"")</f>
        <v/>
      </c>
      <c r="H1236" s="29" t="str">
        <f>IFERROR(HYPERLINK("#"&amp;ADDRESS(MATCH(B1236&amp;"PT",'LM7 Non-ENG'!$A$1:$A$5000,0),1,,,"LM7 Non-ENG"),IF(IFERROR(VLOOKUP(B1236&amp;"PT",'LM7 Non-ENG'!$A$1:$A$5000,1,FALSE),"ERROR")=B1236&amp;"PT","Y","")),"")</f>
        <v/>
      </c>
      <c r="I1236" t="str">
        <f>IFERROR(VLOOKUP(B1236,PN!$A:$C,3,FALSE),"")</f>
        <v>Active</v>
      </c>
      <c r="J1236" s="3">
        <f>IFERROR(E1236*VLOOKUP(B1236,PLInter!$A:$D,3,FALSE),"")</f>
        <v>2585</v>
      </c>
      <c r="K1236" s="66"/>
      <c r="L1236" s="66"/>
      <c r="M1236" s="66"/>
      <c r="N1236" s="66"/>
      <c r="O1236" s="66"/>
      <c r="P1236" s="66"/>
      <c r="Q1236" s="66"/>
      <c r="R1236" s="66"/>
      <c r="S1236" s="66"/>
    </row>
    <row r="1237" spans="1:19" ht="18" customHeight="1">
      <c r="B1237" t="s">
        <v>931</v>
      </c>
      <c r="C1237" t="s">
        <v>932</v>
      </c>
      <c r="D1237" s="4"/>
      <c r="E1237" s="4">
        <v>1</v>
      </c>
      <c r="F1237" s="4"/>
      <c r="G1237" s="29" t="str">
        <f>IFERROR(HYPERLINK("#"&amp;ADDRESS(MATCH(B1237&amp;"ES",'LM7 Non-ENG'!$A$1:$A$5000,0),1,,,"LM7 Non-ENG"),IF(IFERROR(VLOOKUP(B1237&amp;"ES",'LM7 Non-ENG'!$A$1:$A$4999,1,FALSE),"ERROR")=B1237&amp;"ES","Y","")),"")</f>
        <v/>
      </c>
      <c r="H1237" s="29" t="str">
        <f>IFERROR(HYPERLINK("#"&amp;ADDRESS(MATCH(B1237&amp;"PT",'LM7 Non-ENG'!$A$1:$A$5000,0),1,,,"LM7 Non-ENG"),IF(IFERROR(VLOOKUP(B1237&amp;"PT",'LM7 Non-ENG'!$A$1:$A$5000,1,FALSE),"ERROR")=B1237&amp;"PT","Y","")),"")</f>
        <v/>
      </c>
      <c r="I1237" t="str">
        <f>IFERROR(VLOOKUP(B1237,PN!$A:$C,3,FALSE),"")</f>
        <v>Active</v>
      </c>
      <c r="J1237" s="3">
        <f>IFERROR(E1237*VLOOKUP(B1237,PLInter!$A:$D,3,FALSE),"")</f>
        <v>6335</v>
      </c>
      <c r="K1237" s="66"/>
      <c r="L1237" s="66"/>
      <c r="M1237" s="66"/>
      <c r="N1237" s="66"/>
      <c r="O1237" s="66"/>
      <c r="P1237" s="66"/>
      <c r="Q1237" s="66"/>
      <c r="R1237" s="66"/>
      <c r="S1237" s="66"/>
    </row>
    <row r="1238" spans="1:19" ht="18" customHeight="1">
      <c r="B1238" t="s">
        <v>923</v>
      </c>
      <c r="C1238" t="s">
        <v>924</v>
      </c>
      <c r="D1238" s="4"/>
      <c r="E1238" s="4">
        <v>12</v>
      </c>
      <c r="F1238" s="4"/>
      <c r="G1238" s="29" t="str">
        <f>IFERROR(HYPERLINK("#"&amp;ADDRESS(MATCH(B1238&amp;"ES",'LM7 Non-ENG'!$A$1:$A$5000,0),1,,,"LM7 Non-ENG"),IF(IFERROR(VLOOKUP(B1238&amp;"ES",'LM7 Non-ENG'!$A$1:$A$4999,1,FALSE),"ERROR")=B1238&amp;"ES","Y","")),"")</f>
        <v/>
      </c>
      <c r="H1238" s="29" t="str">
        <f>IFERROR(HYPERLINK("#"&amp;ADDRESS(MATCH(B1238&amp;"PT",'LM7 Non-ENG'!$A$1:$A$5000,0),1,,,"LM7 Non-ENG"),IF(IFERROR(VLOOKUP(B1238&amp;"PT",'LM7 Non-ENG'!$A$1:$A$5000,1,FALSE),"ERROR")=B1238&amp;"PT","Y","")),"")</f>
        <v/>
      </c>
      <c r="I1238" t="str">
        <f>IFERROR(VLOOKUP(B1238,PN!$A:$C,3,FALSE),"")</f>
        <v>Active</v>
      </c>
      <c r="J1238" s="3">
        <f>IFERROR(E1238*VLOOKUP(B1238,PLInter!$A:$D,3,FALSE),"")</f>
        <v>1104</v>
      </c>
      <c r="K1238" s="66"/>
      <c r="L1238" s="66"/>
      <c r="M1238" s="66"/>
      <c r="N1238" s="66"/>
      <c r="O1238" s="66"/>
      <c r="P1238" s="66"/>
      <c r="Q1238" s="66"/>
      <c r="R1238" s="66"/>
      <c r="S1238" s="66"/>
    </row>
    <row r="1239" spans="1:19" ht="18" customHeight="1">
      <c r="B1239" t="s">
        <v>925</v>
      </c>
      <c r="C1239" t="s">
        <v>926</v>
      </c>
      <c r="D1239" s="4"/>
      <c r="E1239" s="4">
        <v>1</v>
      </c>
      <c r="F1239" s="4"/>
      <c r="G1239" s="29" t="str">
        <f>IFERROR(HYPERLINK("#"&amp;ADDRESS(MATCH(B1239&amp;"ES",'LM7 Non-ENG'!$A$1:$A$5000,0),1,,,"LM7 Non-ENG"),IF(IFERROR(VLOOKUP(B1239&amp;"ES",'LM7 Non-ENG'!$A$1:$A$4999,1,FALSE),"ERROR")=B1239&amp;"ES","Y","")),"")</f>
        <v/>
      </c>
      <c r="H1239" s="29" t="str">
        <f>IFERROR(HYPERLINK("#"&amp;ADDRESS(MATCH(B1239&amp;"PT",'LM7 Non-ENG'!$A$1:$A$5000,0),1,,,"LM7 Non-ENG"),IF(IFERROR(VLOOKUP(B1239&amp;"PT",'LM7 Non-ENG'!$A$1:$A$5000,1,FALSE),"ERROR")=B1239&amp;"PT","Y","")),"")</f>
        <v/>
      </c>
      <c r="I1239" t="str">
        <f>IFERROR(VLOOKUP(B1239,PN!$A:$C,3,FALSE),"")</f>
        <v>Active</v>
      </c>
      <c r="J1239" s="3">
        <f>IFERROR(E1239*VLOOKUP(B1239,PLInter!$A:$D,3,FALSE),"")</f>
        <v>2760</v>
      </c>
      <c r="K1239" s="66"/>
      <c r="L1239" s="66"/>
      <c r="M1239" s="66"/>
      <c r="N1239" s="66"/>
      <c r="O1239" s="66"/>
      <c r="P1239" s="66"/>
      <c r="Q1239" s="66"/>
      <c r="R1239" s="66"/>
      <c r="S1239" s="66"/>
    </row>
    <row r="1240" spans="1:19" ht="18" customHeight="1">
      <c r="B1240" t="s">
        <v>927</v>
      </c>
      <c r="C1240" t="s">
        <v>928</v>
      </c>
      <c r="D1240" s="4"/>
      <c r="E1240" s="4">
        <v>1</v>
      </c>
      <c r="F1240" s="4"/>
      <c r="G1240" s="29" t="str">
        <f>IFERROR(HYPERLINK("#"&amp;ADDRESS(MATCH(B1240&amp;"ES",'LM7 Non-ENG'!$A$1:$A$5000,0),1,,,"LM7 Non-ENG"),IF(IFERROR(VLOOKUP(B1240&amp;"ES",'LM7 Non-ENG'!$A$1:$A$4999,1,FALSE),"ERROR")=B1240&amp;"ES","Y","")),"")</f>
        <v/>
      </c>
      <c r="H1240" s="29" t="str">
        <f>IFERROR(HYPERLINK("#"&amp;ADDRESS(MATCH(B1240&amp;"PT",'LM7 Non-ENG'!$A$1:$A$5000,0),1,,,"LM7 Non-ENG"),IF(IFERROR(VLOOKUP(B1240&amp;"PT",'LM7 Non-ENG'!$A$1:$A$5000,1,FALSE),"ERROR")=B1240&amp;"PT","Y","")),"")</f>
        <v/>
      </c>
      <c r="I1240" t="str">
        <f>IFERROR(VLOOKUP(B1240,PN!$A:$C,3,FALSE),"")</f>
        <v>Active</v>
      </c>
      <c r="J1240" s="3">
        <f>IFERROR(E1240*VLOOKUP(B1240,PLInter!$A:$D,3,FALSE),"")</f>
        <v>467</v>
      </c>
      <c r="K1240" s="66"/>
      <c r="L1240" s="66"/>
      <c r="M1240" s="66"/>
      <c r="N1240" s="66"/>
      <c r="O1240" s="66"/>
      <c r="P1240" s="66"/>
      <c r="Q1240" s="66"/>
      <c r="R1240" s="66"/>
      <c r="S1240" s="66"/>
    </row>
    <row r="1241" spans="1:19" ht="18" customHeight="1">
      <c r="B1241" t="s">
        <v>668</v>
      </c>
      <c r="C1241" t="s">
        <v>669</v>
      </c>
      <c r="D1241" s="4"/>
      <c r="E1241" s="4">
        <v>1</v>
      </c>
      <c r="F1241" s="4"/>
      <c r="G1241" s="29" t="str">
        <f>IFERROR(HYPERLINK("#"&amp;ADDRESS(MATCH(B1241&amp;"ES",'LM7 Non-ENG'!$A$1:$A$5000,0),1,,,"LM7 Non-ENG"),IF(IFERROR(VLOOKUP(B1241&amp;"ES",'LM7 Non-ENG'!$A$1:$A$4999,1,FALSE),"ERROR")=B1241&amp;"ES","Y","")),"")</f>
        <v/>
      </c>
      <c r="H1241" s="29" t="str">
        <f>IFERROR(HYPERLINK("#"&amp;ADDRESS(MATCH(B1241&amp;"PT",'LM7 Non-ENG'!$A$1:$A$5000,0),1,,,"LM7 Non-ENG"),IF(IFERROR(VLOOKUP(B1241&amp;"PT",'LM7 Non-ENG'!$A$1:$A$5000,1,FALSE),"ERROR")=B1241&amp;"PT","Y","")),"")</f>
        <v/>
      </c>
      <c r="I1241" t="str">
        <f>IFERROR(VLOOKUP(B1241,PN!$A:$C,3,FALSE),"")</f>
        <v>Active</v>
      </c>
      <c r="J1241" s="3">
        <f>IFERROR(E1241*VLOOKUP(B1241,PLInter!$A:$D,3,FALSE),"")</f>
        <v>480</v>
      </c>
      <c r="K1241" s="66"/>
      <c r="L1241" s="66"/>
      <c r="M1241" s="66"/>
      <c r="N1241" s="66"/>
      <c r="O1241" s="66"/>
      <c r="P1241" s="66"/>
      <c r="Q1241" s="66"/>
      <c r="R1241" s="66"/>
      <c r="S1241" s="66"/>
    </row>
    <row r="1242" spans="1:19" ht="18" customHeight="1">
      <c r="B1242" t="s">
        <v>630</v>
      </c>
      <c r="C1242" t="s">
        <v>631</v>
      </c>
      <c r="D1242" s="4"/>
      <c r="E1242" s="4">
        <v>1</v>
      </c>
      <c r="F1242" s="4"/>
      <c r="G1242" s="29" t="str">
        <f>IFERROR(HYPERLINK("#"&amp;ADDRESS(MATCH(B1242&amp;"ES",'LM7 Non-ENG'!$A$1:$A$5000,0),1,,,"LM7 Non-ENG"),IF(IFERROR(VLOOKUP(B1242&amp;"ES",'LM7 Non-ENG'!$A$1:$A$4999,1,FALSE),"ERROR")=B1242&amp;"ES","Y","")),"")</f>
        <v/>
      </c>
      <c r="H1242" s="29" t="str">
        <f>IFERROR(HYPERLINK("#"&amp;ADDRESS(MATCH(B1242&amp;"PT",'LM7 Non-ENG'!$A$1:$A$5000,0),1,,,"LM7 Non-ENG"),IF(IFERROR(VLOOKUP(B1242&amp;"PT",'LM7 Non-ENG'!$A$1:$A$5000,1,FALSE),"ERROR")=B1242&amp;"PT","Y","")),"")</f>
        <v/>
      </c>
      <c r="I1242" t="str">
        <f>IFERROR(VLOOKUP(B1242,PN!$A:$C,3,FALSE),"")</f>
        <v>Active</v>
      </c>
      <c r="J1242" s="3">
        <f>IFERROR(E1242*VLOOKUP(B1242,PLInter!$A:$D,3,FALSE),"")</f>
        <v>1735</v>
      </c>
      <c r="K1242" s="66"/>
      <c r="L1242" s="66"/>
      <c r="M1242" s="66"/>
      <c r="N1242" s="66"/>
      <c r="O1242" s="66"/>
      <c r="P1242" s="66"/>
      <c r="Q1242" s="66"/>
      <c r="R1242" s="66"/>
      <c r="S1242" s="66"/>
    </row>
    <row r="1244" spans="1:19" s="7" customFormat="1" ht="18" customHeight="1">
      <c r="A1244" s="13" t="s">
        <v>933</v>
      </c>
      <c r="B1244" s="13"/>
      <c r="C1244" s="13" t="s">
        <v>934</v>
      </c>
      <c r="D1244" s="14"/>
      <c r="E1244" s="14"/>
      <c r="F1244" s="14"/>
      <c r="G1244" s="14"/>
      <c r="H1244" s="14"/>
      <c r="I1244" s="14"/>
      <c r="J1244" s="14">
        <f>SUMIFS(J1245:J1261,D1245:D1261,"&lt;&gt;Y",F1245:F1261,"&lt;&gt;Y",I1245:I1261,"&lt;&gt;Inactive",I1245:I1261,"&lt;&gt;ECO+NFS")</f>
        <v>85303</v>
      </c>
      <c r="K1244" s="14"/>
      <c r="L1244" s="14"/>
      <c r="M1244" s="14"/>
      <c r="N1244" s="14"/>
      <c r="O1244" s="14"/>
      <c r="P1244" s="14"/>
      <c r="Q1244" s="14"/>
      <c r="R1244" s="14"/>
      <c r="S1244" s="14"/>
    </row>
    <row r="1245" spans="1:19" ht="18" customHeight="1">
      <c r="A1245" s="17" t="str">
        <f>HYPERLINK("#"&amp;ADDRESS(MATCH(A1244,'CIM&amp;FMS'!$A$1:$A$4997,0),1,,,"CIM&amp;FMS"),"Back to Price List")</f>
        <v>Back to Price List</v>
      </c>
      <c r="B1245" t="s">
        <v>216</v>
      </c>
      <c r="C1245" t="s">
        <v>913</v>
      </c>
      <c r="D1245" s="4"/>
      <c r="E1245" s="4">
        <v>1</v>
      </c>
      <c r="F1245" s="4"/>
      <c r="G1245" s="29" t="str">
        <f>IFERROR(HYPERLINK("#"&amp;ADDRESS(MATCH(B1245&amp;"ES",'LM7 Non-ENG'!$A$1:$A$5000,0),1,,,"LM7 Non-ENG"),IF(IFERROR(VLOOKUP(B1245&amp;"ES",'LM7 Non-ENG'!$A$1:$A$4999,1,FALSE),"ERROR")=B1245&amp;"ES","Y","")),"")</f>
        <v/>
      </c>
      <c r="H1245" s="29" t="str">
        <f>IFERROR(HYPERLINK("#"&amp;ADDRESS(MATCH(B1245&amp;"PT",'LM7 Non-ENG'!$A$1:$A$5000,0),1,,,"LM7 Non-ENG"),IF(IFERROR(VLOOKUP(B1245&amp;"PT",'LM7 Non-ENG'!$A$1:$A$5000,1,FALSE),"ERROR")=B1245&amp;"PT","Y","")),"")</f>
        <v/>
      </c>
      <c r="I1245" t="str">
        <f>IFERROR(VLOOKUP(B1245,PN!$A:$C,3,FALSE),"")</f>
        <v>Active</v>
      </c>
      <c r="J1245" s="3">
        <f>IFERROR(E1245*VLOOKUP(B1245,PLInter!$A:$D,3,FALSE),"")</f>
        <v>26667</v>
      </c>
      <c r="K1245" s="66"/>
      <c r="L1245" s="66"/>
      <c r="M1245" s="66"/>
      <c r="N1245" s="66"/>
      <c r="O1245" s="66"/>
      <c r="P1245" s="66"/>
      <c r="Q1245" s="66"/>
      <c r="R1245" s="66"/>
      <c r="S1245" s="66"/>
    </row>
    <row r="1246" spans="1:19" ht="18" customHeight="1">
      <c r="B1246" t="s">
        <v>229</v>
      </c>
      <c r="C1246" t="s">
        <v>234</v>
      </c>
      <c r="D1246" s="4"/>
      <c r="E1246" s="4">
        <v>1</v>
      </c>
      <c r="F1246" s="4"/>
      <c r="G1246" s="29" t="str">
        <f>IFERROR(HYPERLINK("#"&amp;ADDRESS(MATCH(B1246&amp;"ES",'LM7 Non-ENG'!$A$1:$A$5000,0),1,,,"LM7 Non-ENG"),IF(IFERROR(VLOOKUP(B1246&amp;"ES",'LM7 Non-ENG'!$A$1:$A$4999,1,FALSE),"ERROR")=B1246&amp;"ES","Y","")),"")</f>
        <v/>
      </c>
      <c r="H1246" s="29" t="str">
        <f>IFERROR(HYPERLINK("#"&amp;ADDRESS(MATCH(B1246&amp;"PT",'LM7 Non-ENG'!$A$1:$A$5000,0),1,,,"LM7 Non-ENG"),IF(IFERROR(VLOOKUP(B1246&amp;"PT",'LM7 Non-ENG'!$A$1:$A$5000,1,FALSE),"ERROR")=B1246&amp;"PT","Y","")),"")</f>
        <v/>
      </c>
      <c r="I1246" t="str">
        <f>IFERROR(VLOOKUP(B1246,PN!$A:$C,3,FALSE),"")</f>
        <v>Active</v>
      </c>
      <c r="J1246" s="3">
        <f>IFERROR(E1246*VLOOKUP(B1246,PLInter!$A:$D,3,FALSE),"")</f>
        <v>3270</v>
      </c>
      <c r="K1246" s="66"/>
      <c r="L1246" s="66"/>
      <c r="M1246" s="66"/>
      <c r="N1246" s="66"/>
      <c r="O1246" s="66"/>
      <c r="P1246" s="66"/>
      <c r="Q1246" s="66"/>
      <c r="R1246" s="66"/>
      <c r="S1246" s="66"/>
    </row>
    <row r="1247" spans="1:19" ht="18" customHeight="1">
      <c r="B1247" s="2" t="s">
        <v>227</v>
      </c>
      <c r="C1247" s="2" t="s">
        <v>232</v>
      </c>
      <c r="D1247" s="5"/>
      <c r="E1247" s="5">
        <v>1</v>
      </c>
      <c r="F1247" s="5" t="s">
        <v>0</v>
      </c>
      <c r="G1247" s="29" t="str">
        <f>IFERROR(HYPERLINK("#"&amp;ADDRESS(MATCH(B1247&amp;"ES",'LM7 Non-ENG'!$A$1:$A$5000,0),1,,,"LM7 Non-ENG"),IF(IFERROR(VLOOKUP(B1247&amp;"ES",'LM7 Non-ENG'!$A$1:$A$4999,1,FALSE),"ERROR")=B1247&amp;"ES","Y","")),"")</f>
        <v/>
      </c>
      <c r="H1247" s="29" t="str">
        <f>IFERROR(HYPERLINK("#"&amp;ADDRESS(MATCH(B1247&amp;"PT",'LM7 Non-ENG'!$A$1:$A$5000,0),1,,,"LM7 Non-ENG"),IF(IFERROR(VLOOKUP(B1247&amp;"PT",'LM7 Non-ENG'!$A$1:$A$5000,1,FALSE),"ERROR")=B1247&amp;"PT","Y","")),"")</f>
        <v/>
      </c>
      <c r="I1247" t="str">
        <f>IFERROR(VLOOKUP(B1247,PN!$A:$C,3,FALSE),"")</f>
        <v>Active</v>
      </c>
      <c r="J1247" s="3">
        <f>IFERROR(E1247*VLOOKUP(B1247,PLInter!$A:$D,3,FALSE),"")</f>
        <v>1700</v>
      </c>
      <c r="K1247" s="66"/>
      <c r="L1247" s="66"/>
      <c r="M1247" s="66"/>
      <c r="N1247" s="66"/>
      <c r="O1247" s="66"/>
      <c r="P1247" s="66"/>
      <c r="Q1247" s="66"/>
      <c r="R1247" s="66"/>
      <c r="S1247" s="66"/>
    </row>
    <row r="1248" spans="1:19" ht="18" customHeight="1">
      <c r="B1248" t="s">
        <v>236</v>
      </c>
      <c r="C1248" t="s">
        <v>626</v>
      </c>
      <c r="D1248" s="4"/>
      <c r="E1248" s="4">
        <v>1</v>
      </c>
      <c r="F1248" s="4"/>
      <c r="G1248" s="29" t="str">
        <f>IFERROR(HYPERLINK("#"&amp;ADDRESS(MATCH(B1248&amp;"ES",'LM7 Non-ENG'!$A$1:$A$5000,0),1,,,"LM7 Non-ENG"),IF(IFERROR(VLOOKUP(B1248&amp;"ES",'LM7 Non-ENG'!$A$1:$A$4999,1,FALSE),"ERROR")=B1248&amp;"ES","Y","")),"")</f>
        <v/>
      </c>
      <c r="H1248" s="29" t="str">
        <f>IFERROR(HYPERLINK("#"&amp;ADDRESS(MATCH(B1248&amp;"PT",'LM7 Non-ENG'!$A$1:$A$5000,0),1,,,"LM7 Non-ENG"),IF(IFERROR(VLOOKUP(B1248&amp;"PT",'LM7 Non-ENG'!$A$1:$A$5000,1,FALSE),"ERROR")=B1248&amp;"PT","Y","")),"")</f>
        <v/>
      </c>
      <c r="I1248" t="str">
        <f>IFERROR(VLOOKUP(B1248,PN!$A:$C,3,FALSE),"")</f>
        <v>Active</v>
      </c>
      <c r="J1248" s="3">
        <f>IFERROR(E1248*VLOOKUP(B1248,PLInter!$A:$D,3,FALSE),"")</f>
        <v>1680</v>
      </c>
      <c r="K1248" s="66"/>
      <c r="L1248" s="66"/>
      <c r="M1248" s="66"/>
      <c r="N1248" s="66"/>
      <c r="O1248" s="66"/>
      <c r="P1248" s="66"/>
      <c r="Q1248" s="66"/>
      <c r="R1248" s="66"/>
      <c r="S1248" s="66"/>
    </row>
    <row r="1249" spans="1:19" ht="18" customHeight="1">
      <c r="B1249" t="str">
        <f>"034025"</f>
        <v>034025</v>
      </c>
      <c r="C1249" t="s">
        <v>777</v>
      </c>
      <c r="D1249" s="4"/>
      <c r="E1249" s="4">
        <v>1</v>
      </c>
      <c r="F1249" s="4"/>
      <c r="G1249" s="29" t="str">
        <f>IFERROR(HYPERLINK("#"&amp;ADDRESS(MATCH(B1249&amp;"ES",'LM7 Non-ENG'!$A$1:$A$5000,0),1,,,"LM7 Non-ENG"),IF(IFERROR(VLOOKUP(B1249&amp;"ES",'LM7 Non-ENG'!$A$1:$A$4999,1,FALSE),"ERROR")=B1249&amp;"ES","Y","")),"")</f>
        <v/>
      </c>
      <c r="H1249" s="29" t="str">
        <f>IFERROR(HYPERLINK("#"&amp;ADDRESS(MATCH(B1249&amp;"PT",'LM7 Non-ENG'!$A$1:$A$5000,0),1,,,"LM7 Non-ENG"),IF(IFERROR(VLOOKUP(B1249&amp;"PT",'LM7 Non-ENG'!$A$1:$A$5000,1,FALSE),"ERROR")=B1249&amp;"PT","Y","")),"")</f>
        <v/>
      </c>
      <c r="I1249" t="str">
        <f>IFERROR(VLOOKUP(B1249,PN!$A:$C,3,FALSE),"")</f>
        <v>Active</v>
      </c>
      <c r="J1249" s="3">
        <f>IFERROR(E1249*VLOOKUP(B1249,PLInter!$A:$D,3,FALSE),"")</f>
        <v>1267</v>
      </c>
      <c r="K1249" s="66"/>
      <c r="L1249" s="66"/>
      <c r="M1249" s="66"/>
      <c r="N1249" s="66"/>
      <c r="O1249" s="66"/>
      <c r="P1249" s="66"/>
      <c r="Q1249" s="66"/>
      <c r="R1249" s="66"/>
      <c r="S1249" s="66"/>
    </row>
    <row r="1250" spans="1:19" ht="18" customHeight="1">
      <c r="B1250" t="s">
        <v>914</v>
      </c>
      <c r="C1250" t="s">
        <v>915</v>
      </c>
      <c r="D1250" s="4"/>
      <c r="E1250" s="4">
        <v>3</v>
      </c>
      <c r="F1250" s="4"/>
      <c r="G1250" s="29" t="str">
        <f>IFERROR(HYPERLINK("#"&amp;ADDRESS(MATCH(B1250&amp;"ES",'LM7 Non-ENG'!$A$1:$A$5000,0),1,,,"LM7 Non-ENG"),IF(IFERROR(VLOOKUP(B1250&amp;"ES",'LM7 Non-ENG'!$A$1:$A$4999,1,FALSE),"ERROR")=B1250&amp;"ES","Y","")),"")</f>
        <v/>
      </c>
      <c r="H1250" s="29" t="str">
        <f>IFERROR(HYPERLINK("#"&amp;ADDRESS(MATCH(B1250&amp;"PT",'LM7 Non-ENG'!$A$1:$A$5000,0),1,,,"LM7 Non-ENG"),IF(IFERROR(VLOOKUP(B1250&amp;"PT",'LM7 Non-ENG'!$A$1:$A$5000,1,FALSE),"ERROR")=B1250&amp;"PT","Y","")),"")</f>
        <v/>
      </c>
      <c r="I1250" t="str">
        <f>IFERROR(VLOOKUP(B1250,PN!$A:$C,3,FALSE),"")</f>
        <v>Active</v>
      </c>
      <c r="J1250" s="3">
        <f>IFERROR(E1250*VLOOKUP(B1250,PLInter!$A:$D,3,FALSE),"")</f>
        <v>402</v>
      </c>
      <c r="K1250" s="66"/>
      <c r="L1250" s="66"/>
      <c r="M1250" s="66"/>
      <c r="N1250" s="66"/>
      <c r="O1250" s="66"/>
      <c r="P1250" s="66"/>
      <c r="Q1250" s="66"/>
      <c r="R1250" s="66"/>
      <c r="S1250" s="66"/>
    </row>
    <row r="1251" spans="1:19" ht="18" customHeight="1">
      <c r="B1251" t="s">
        <v>684</v>
      </c>
      <c r="C1251" t="s">
        <v>685</v>
      </c>
      <c r="D1251" s="4"/>
      <c r="E1251" s="4">
        <v>2</v>
      </c>
      <c r="F1251" s="4"/>
      <c r="G1251" s="29" t="str">
        <f>IFERROR(HYPERLINK("#"&amp;ADDRESS(MATCH(B1251&amp;"ES",'LM7 Non-ENG'!$A$1:$A$5000,0),1,,,"LM7 Non-ENG"),IF(IFERROR(VLOOKUP(B1251&amp;"ES",'LM7 Non-ENG'!$A$1:$A$4999,1,FALSE),"ERROR")=B1251&amp;"ES","Y","")),"")</f>
        <v/>
      </c>
      <c r="H1251" s="29" t="str">
        <f>IFERROR(HYPERLINK("#"&amp;ADDRESS(MATCH(B1251&amp;"PT",'LM7 Non-ENG'!$A$1:$A$5000,0),1,,,"LM7 Non-ENG"),IF(IFERROR(VLOOKUP(B1251&amp;"PT",'LM7 Non-ENG'!$A$1:$A$5000,1,FALSE),"ERROR")=B1251&amp;"PT","Y","")),"")</f>
        <v/>
      </c>
      <c r="I1251" t="str">
        <f>IFERROR(VLOOKUP(B1251,PN!$A:$C,3,FALSE),"")</f>
        <v>Active</v>
      </c>
      <c r="J1251" s="3">
        <f>IFERROR(E1251*VLOOKUP(B1251,PLInter!$A:$D,3,FALSE),"")</f>
        <v>1160</v>
      </c>
      <c r="K1251" s="66"/>
      <c r="L1251" s="66"/>
      <c r="M1251" s="66"/>
      <c r="N1251" s="66"/>
      <c r="O1251" s="66"/>
      <c r="P1251" s="66"/>
      <c r="Q1251" s="66"/>
      <c r="R1251" s="66"/>
      <c r="S1251" s="66"/>
    </row>
    <row r="1252" spans="1:19" ht="18" customHeight="1">
      <c r="B1252" t="str">
        <f>"021172"</f>
        <v>021172</v>
      </c>
      <c r="C1252" t="s">
        <v>916</v>
      </c>
      <c r="D1252" s="4"/>
      <c r="E1252" s="4">
        <v>2</v>
      </c>
      <c r="F1252" s="4"/>
      <c r="G1252" s="29" t="str">
        <f>IFERROR(HYPERLINK("#"&amp;ADDRESS(MATCH(B1252&amp;"ES",'LM7 Non-ENG'!$A$1:$A$5000,0),1,,,"LM7 Non-ENG"),IF(IFERROR(VLOOKUP(B1252&amp;"ES",'LM7 Non-ENG'!$A$1:$A$4999,1,FALSE),"ERROR")=B1252&amp;"ES","Y","")),"")</f>
        <v/>
      </c>
      <c r="H1252" s="29" t="str">
        <f>IFERROR(HYPERLINK("#"&amp;ADDRESS(MATCH(B1252&amp;"PT",'LM7 Non-ENG'!$A$1:$A$5000,0),1,,,"LM7 Non-ENG"),IF(IFERROR(VLOOKUP(B1252&amp;"PT",'LM7 Non-ENG'!$A$1:$A$5000,1,FALSE),"ERROR")=B1252&amp;"PT","Y","")),"")</f>
        <v/>
      </c>
      <c r="I1252" t="str">
        <f>IFERROR(VLOOKUP(B1252,PN!$A:$C,3,FALSE),"")</f>
        <v>Active</v>
      </c>
      <c r="J1252" s="3">
        <f>IFERROR(E1252*VLOOKUP(B1252,PLInter!$A:$D,3,FALSE),"")</f>
        <v>80</v>
      </c>
      <c r="K1252" s="66"/>
      <c r="L1252" s="66"/>
      <c r="M1252" s="66"/>
      <c r="N1252" s="66"/>
      <c r="O1252" s="66"/>
      <c r="P1252" s="66"/>
      <c r="Q1252" s="66"/>
      <c r="R1252" s="66"/>
      <c r="S1252" s="66"/>
    </row>
    <row r="1253" spans="1:19" ht="18" customHeight="1">
      <c r="B1253" t="s">
        <v>917</v>
      </c>
      <c r="C1253" t="s">
        <v>918</v>
      </c>
      <c r="D1253" s="4"/>
      <c r="E1253" s="4">
        <v>1</v>
      </c>
      <c r="F1253" s="4"/>
      <c r="G1253" s="29" t="str">
        <f>IFERROR(HYPERLINK("#"&amp;ADDRESS(MATCH(B1253&amp;"ES",'LM7 Non-ENG'!$A$1:$A$5000,0),1,,,"LM7 Non-ENG"),IF(IFERROR(VLOOKUP(B1253&amp;"ES",'LM7 Non-ENG'!$A$1:$A$4999,1,FALSE),"ERROR")=B1253&amp;"ES","Y","")),"")</f>
        <v/>
      </c>
      <c r="H1253" s="29" t="str">
        <f>IFERROR(HYPERLINK("#"&amp;ADDRESS(MATCH(B1253&amp;"PT",'LM7 Non-ENG'!$A$1:$A$5000,0),1,,,"LM7 Non-ENG"),IF(IFERROR(VLOOKUP(B1253&amp;"PT",'LM7 Non-ENG'!$A$1:$A$5000,1,FALSE),"ERROR")=B1253&amp;"PT","Y","")),"")</f>
        <v/>
      </c>
      <c r="I1253" t="str">
        <f>IFERROR(VLOOKUP(B1253,PN!$A:$C,3,FALSE),"")</f>
        <v>Phase Out</v>
      </c>
      <c r="J1253" s="3">
        <f>IFERROR(E1253*VLOOKUP(B1253,PLInter!$A:$D,3,FALSE),"")</f>
        <v>1735</v>
      </c>
      <c r="K1253" s="66"/>
      <c r="L1253" s="66"/>
      <c r="M1253" s="66"/>
      <c r="N1253" s="66"/>
      <c r="O1253" s="66"/>
      <c r="P1253" s="66"/>
      <c r="Q1253" s="66"/>
      <c r="R1253" s="66"/>
      <c r="S1253" s="66"/>
    </row>
    <row r="1254" spans="1:19" ht="18" customHeight="1">
      <c r="B1254" t="s">
        <v>919</v>
      </c>
      <c r="C1254" t="s">
        <v>920</v>
      </c>
      <c r="D1254" s="4"/>
      <c r="E1254" s="4">
        <v>1</v>
      </c>
      <c r="F1254" s="4"/>
      <c r="G1254" s="29" t="str">
        <f>IFERROR(HYPERLINK("#"&amp;ADDRESS(MATCH(B1254&amp;"ES",'LM7 Non-ENG'!$A$1:$A$5000,0),1,,,"LM7 Non-ENG"),IF(IFERROR(VLOOKUP(B1254&amp;"ES",'LM7 Non-ENG'!$A$1:$A$4999,1,FALSE),"ERROR")=B1254&amp;"ES","Y","")),"")</f>
        <v/>
      </c>
      <c r="H1254" s="29" t="str">
        <f>IFERROR(HYPERLINK("#"&amp;ADDRESS(MATCH(B1254&amp;"PT",'LM7 Non-ENG'!$A$1:$A$5000,0),1,,,"LM7 Non-ENG"),IF(IFERROR(VLOOKUP(B1254&amp;"PT",'LM7 Non-ENG'!$A$1:$A$5000,1,FALSE),"ERROR")=B1254&amp;"PT","Y","")),"")</f>
        <v/>
      </c>
      <c r="I1254" t="str">
        <f>IFERROR(VLOOKUP(B1254,PN!$A:$C,3,FALSE),"")</f>
        <v>Active</v>
      </c>
      <c r="J1254" s="3">
        <f>IFERROR(E1254*VLOOKUP(B1254,PLInter!$A:$D,3,FALSE),"")</f>
        <v>635</v>
      </c>
      <c r="K1254" s="66"/>
      <c r="L1254" s="66"/>
      <c r="M1254" s="66"/>
      <c r="N1254" s="66"/>
      <c r="O1254" s="66"/>
      <c r="P1254" s="66"/>
      <c r="Q1254" s="66"/>
      <c r="R1254" s="66"/>
      <c r="S1254" s="66"/>
    </row>
    <row r="1255" spans="1:19" ht="18" customHeight="1">
      <c r="B1255" t="s">
        <v>921</v>
      </c>
      <c r="C1255" t="s">
        <v>922</v>
      </c>
      <c r="D1255" s="4"/>
      <c r="E1255" s="4">
        <v>1</v>
      </c>
      <c r="F1255" s="4"/>
      <c r="G1255" s="29" t="str">
        <f>IFERROR(HYPERLINK("#"&amp;ADDRESS(MATCH(B1255&amp;"ES",'LM7 Non-ENG'!$A$1:$A$5000,0),1,,,"LM7 Non-ENG"),IF(IFERROR(VLOOKUP(B1255&amp;"ES",'LM7 Non-ENG'!$A$1:$A$4999,1,FALSE),"ERROR")=B1255&amp;"ES","Y","")),"")</f>
        <v/>
      </c>
      <c r="H1255" s="29" t="str">
        <f>IFERROR(HYPERLINK("#"&amp;ADDRESS(MATCH(B1255&amp;"PT",'LM7 Non-ENG'!$A$1:$A$5000,0),1,,,"LM7 Non-ENG"),IF(IFERROR(VLOOKUP(B1255&amp;"PT",'LM7 Non-ENG'!$A$1:$A$5000,1,FALSE),"ERROR")=B1255&amp;"PT","Y","")),"")</f>
        <v/>
      </c>
      <c r="I1255" t="str">
        <f>IFERROR(VLOOKUP(B1255,PN!$A:$C,3,FALSE),"")</f>
        <v>Active</v>
      </c>
      <c r="J1255" s="3">
        <f>IFERROR(E1255*VLOOKUP(B1255,PLInter!$A:$D,3,FALSE),"")</f>
        <v>2585</v>
      </c>
      <c r="K1255" s="66"/>
      <c r="L1255" s="66"/>
      <c r="M1255" s="66"/>
      <c r="N1255" s="66"/>
      <c r="O1255" s="66"/>
      <c r="P1255" s="66"/>
      <c r="Q1255" s="66"/>
      <c r="R1255" s="66"/>
      <c r="S1255" s="66"/>
    </row>
    <row r="1256" spans="1:19" ht="18" customHeight="1">
      <c r="B1256" t="s">
        <v>935</v>
      </c>
      <c r="C1256" t="s">
        <v>936</v>
      </c>
      <c r="D1256" s="4"/>
      <c r="E1256" s="4">
        <v>12</v>
      </c>
      <c r="F1256" s="4"/>
      <c r="G1256" s="29" t="str">
        <f>IFERROR(HYPERLINK("#"&amp;ADDRESS(MATCH(B1256&amp;"ES",'LM7 Non-ENG'!$A$1:$A$5000,0),1,,,"LM7 Non-ENG"),IF(IFERROR(VLOOKUP(B1256&amp;"ES",'LM7 Non-ENG'!$A$1:$A$4999,1,FALSE),"ERROR")=B1256&amp;"ES","Y","")),"")</f>
        <v/>
      </c>
      <c r="H1256" s="29" t="str">
        <f>IFERROR(HYPERLINK("#"&amp;ADDRESS(MATCH(B1256&amp;"PT",'LM7 Non-ENG'!$A$1:$A$5000,0),1,,,"LM7 Non-ENG"),IF(IFERROR(VLOOKUP(B1256&amp;"PT",'LM7 Non-ENG'!$A$1:$A$5000,1,FALSE),"ERROR")=B1256&amp;"PT","Y","")),"")</f>
        <v/>
      </c>
      <c r="I1256" t="str">
        <f>IFERROR(VLOOKUP(B1256,PN!$A:$C,3,FALSE),"")</f>
        <v>Phase Out</v>
      </c>
      <c r="J1256" s="3">
        <f>IFERROR(E1256*VLOOKUP(B1256,PLInter!$A:$D,3,FALSE),"")</f>
        <v>1020</v>
      </c>
      <c r="K1256" s="66"/>
      <c r="L1256" s="66"/>
      <c r="M1256" s="66"/>
      <c r="N1256" s="66"/>
      <c r="O1256" s="66"/>
      <c r="P1256" s="66"/>
      <c r="Q1256" s="66"/>
      <c r="R1256" s="66"/>
      <c r="S1256" s="66"/>
    </row>
    <row r="1257" spans="1:19" ht="18" customHeight="1">
      <c r="B1257" t="s">
        <v>937</v>
      </c>
      <c r="C1257" t="s">
        <v>938</v>
      </c>
      <c r="D1257" s="4"/>
      <c r="E1257" s="4">
        <v>1</v>
      </c>
      <c r="F1257" s="4"/>
      <c r="G1257" s="29" t="str">
        <f>IFERROR(HYPERLINK("#"&amp;ADDRESS(MATCH(B1257&amp;"ES",'LM7 Non-ENG'!$A$1:$A$5000,0),1,,,"LM7 Non-ENG"),IF(IFERROR(VLOOKUP(B1257&amp;"ES",'LM7 Non-ENG'!$A$1:$A$4999,1,FALSE),"ERROR")=B1257&amp;"ES","Y","")),"")</f>
        <v/>
      </c>
      <c r="H1257" s="29" t="str">
        <f>IFERROR(HYPERLINK("#"&amp;ADDRESS(MATCH(B1257&amp;"PT",'LM7 Non-ENG'!$A$1:$A$5000,0),1,,,"LM7 Non-ENG"),IF(IFERROR(VLOOKUP(B1257&amp;"PT",'LM7 Non-ENG'!$A$1:$A$5000,1,FALSE),"ERROR")=B1257&amp;"PT","Y","")),"")</f>
        <v/>
      </c>
      <c r="I1257" t="str">
        <f>IFERROR(VLOOKUP(B1257,PN!$A:$C,3,FALSE),"")</f>
        <v>Active</v>
      </c>
      <c r="J1257" s="3">
        <f>IFERROR(E1257*VLOOKUP(B1257,PLInter!$A:$D,3,FALSE),"")</f>
        <v>39360</v>
      </c>
      <c r="K1257" s="66"/>
      <c r="L1257" s="66"/>
      <c r="M1257" s="66"/>
      <c r="N1257" s="66"/>
      <c r="O1257" s="66"/>
      <c r="P1257" s="66"/>
      <c r="Q1257" s="66"/>
      <c r="R1257" s="66"/>
      <c r="S1257" s="66"/>
    </row>
    <row r="1258" spans="1:19" ht="18" customHeight="1">
      <c r="B1258" t="s">
        <v>925</v>
      </c>
      <c r="C1258" t="s">
        <v>926</v>
      </c>
      <c r="D1258" s="4"/>
      <c r="E1258" s="4">
        <v>1</v>
      </c>
      <c r="F1258" s="4"/>
      <c r="G1258" s="29" t="str">
        <f>IFERROR(HYPERLINK("#"&amp;ADDRESS(MATCH(B1258&amp;"ES",'LM7 Non-ENG'!$A$1:$A$5000,0),1,,,"LM7 Non-ENG"),IF(IFERROR(VLOOKUP(B1258&amp;"ES",'LM7 Non-ENG'!$A$1:$A$4999,1,FALSE),"ERROR")=B1258&amp;"ES","Y","")),"")</f>
        <v/>
      </c>
      <c r="H1258" s="29" t="str">
        <f>IFERROR(HYPERLINK("#"&amp;ADDRESS(MATCH(B1258&amp;"PT",'LM7 Non-ENG'!$A$1:$A$5000,0),1,,,"LM7 Non-ENG"),IF(IFERROR(VLOOKUP(B1258&amp;"PT",'LM7 Non-ENG'!$A$1:$A$5000,1,FALSE),"ERROR")=B1258&amp;"PT","Y","")),"")</f>
        <v/>
      </c>
      <c r="I1258" t="str">
        <f>IFERROR(VLOOKUP(B1258,PN!$A:$C,3,FALSE),"")</f>
        <v>Active</v>
      </c>
      <c r="J1258" s="3">
        <f>IFERROR(E1258*VLOOKUP(B1258,PLInter!$A:$D,3,FALSE),"")</f>
        <v>2760</v>
      </c>
      <c r="K1258" s="66"/>
      <c r="L1258" s="66"/>
      <c r="M1258" s="66"/>
      <c r="N1258" s="66"/>
      <c r="O1258" s="66"/>
      <c r="P1258" s="66"/>
      <c r="Q1258" s="66"/>
      <c r="R1258" s="66"/>
      <c r="S1258" s="66"/>
    </row>
    <row r="1259" spans="1:19" ht="18" customHeight="1">
      <c r="B1259" t="s">
        <v>927</v>
      </c>
      <c r="C1259" t="s">
        <v>928</v>
      </c>
      <c r="D1259" s="4"/>
      <c r="E1259" s="4">
        <v>1</v>
      </c>
      <c r="F1259" s="4"/>
      <c r="G1259" s="29" t="str">
        <f>IFERROR(HYPERLINK("#"&amp;ADDRESS(MATCH(B1259&amp;"ES",'LM7 Non-ENG'!$A$1:$A$5000,0),1,,,"LM7 Non-ENG"),IF(IFERROR(VLOOKUP(B1259&amp;"ES",'LM7 Non-ENG'!$A$1:$A$4999,1,FALSE),"ERROR")=B1259&amp;"ES","Y","")),"")</f>
        <v/>
      </c>
      <c r="H1259" s="29" t="str">
        <f>IFERROR(HYPERLINK("#"&amp;ADDRESS(MATCH(B1259&amp;"PT",'LM7 Non-ENG'!$A$1:$A$5000,0),1,,,"LM7 Non-ENG"),IF(IFERROR(VLOOKUP(B1259&amp;"PT",'LM7 Non-ENG'!$A$1:$A$5000,1,FALSE),"ERROR")=B1259&amp;"PT","Y","")),"")</f>
        <v/>
      </c>
      <c r="I1259" t="str">
        <f>IFERROR(VLOOKUP(B1259,PN!$A:$C,3,FALSE),"")</f>
        <v>Active</v>
      </c>
      <c r="J1259" s="3">
        <f>IFERROR(E1259*VLOOKUP(B1259,PLInter!$A:$D,3,FALSE),"")</f>
        <v>467</v>
      </c>
      <c r="K1259" s="66"/>
      <c r="L1259" s="66"/>
      <c r="M1259" s="66"/>
      <c r="N1259" s="66"/>
      <c r="O1259" s="66"/>
      <c r="P1259" s="66"/>
      <c r="Q1259" s="66"/>
      <c r="R1259" s="66"/>
      <c r="S1259" s="66"/>
    </row>
    <row r="1260" spans="1:19" ht="18" customHeight="1">
      <c r="B1260" t="s">
        <v>668</v>
      </c>
      <c r="C1260" t="s">
        <v>669</v>
      </c>
      <c r="D1260" s="4"/>
      <c r="E1260" s="4">
        <v>1</v>
      </c>
      <c r="F1260" s="4"/>
      <c r="G1260" s="29" t="str">
        <f>IFERROR(HYPERLINK("#"&amp;ADDRESS(MATCH(B1260&amp;"ES",'LM7 Non-ENG'!$A$1:$A$5000,0),1,,,"LM7 Non-ENG"),IF(IFERROR(VLOOKUP(B1260&amp;"ES",'LM7 Non-ENG'!$A$1:$A$4999,1,FALSE),"ERROR")=B1260&amp;"ES","Y","")),"")</f>
        <v/>
      </c>
      <c r="H1260" s="29" t="str">
        <f>IFERROR(HYPERLINK("#"&amp;ADDRESS(MATCH(B1260&amp;"PT",'LM7 Non-ENG'!$A$1:$A$5000,0),1,,,"LM7 Non-ENG"),IF(IFERROR(VLOOKUP(B1260&amp;"PT",'LM7 Non-ENG'!$A$1:$A$5000,1,FALSE),"ERROR")=B1260&amp;"PT","Y","")),"")</f>
        <v/>
      </c>
      <c r="I1260" t="str">
        <f>IFERROR(VLOOKUP(B1260,PN!$A:$C,3,FALSE),"")</f>
        <v>Active</v>
      </c>
      <c r="J1260" s="3">
        <f>IFERROR(E1260*VLOOKUP(B1260,PLInter!$A:$D,3,FALSE),"")</f>
        <v>480</v>
      </c>
      <c r="K1260" s="66"/>
      <c r="L1260" s="66"/>
      <c r="M1260" s="66"/>
      <c r="N1260" s="66"/>
      <c r="O1260" s="66"/>
      <c r="P1260" s="66"/>
      <c r="Q1260" s="66"/>
      <c r="R1260" s="66"/>
      <c r="S1260" s="66"/>
    </row>
    <row r="1261" spans="1:19" ht="18" customHeight="1">
      <c r="B1261" t="s">
        <v>630</v>
      </c>
      <c r="C1261" t="s">
        <v>631</v>
      </c>
      <c r="D1261" s="4"/>
      <c r="E1261" s="4">
        <v>1</v>
      </c>
      <c r="F1261" s="4"/>
      <c r="G1261" s="29" t="str">
        <f>IFERROR(HYPERLINK("#"&amp;ADDRESS(MATCH(B1261&amp;"ES",'LM7 Non-ENG'!$A$1:$A$5000,0),1,,,"LM7 Non-ENG"),IF(IFERROR(VLOOKUP(B1261&amp;"ES",'LM7 Non-ENG'!$A$1:$A$4999,1,FALSE),"ERROR")=B1261&amp;"ES","Y","")),"")</f>
        <v/>
      </c>
      <c r="H1261" s="29" t="str">
        <f>IFERROR(HYPERLINK("#"&amp;ADDRESS(MATCH(B1261&amp;"PT",'LM7 Non-ENG'!$A$1:$A$5000,0),1,,,"LM7 Non-ENG"),IF(IFERROR(VLOOKUP(B1261&amp;"PT",'LM7 Non-ENG'!$A$1:$A$5000,1,FALSE),"ERROR")=B1261&amp;"PT","Y","")),"")</f>
        <v/>
      </c>
      <c r="I1261" t="str">
        <f>IFERROR(VLOOKUP(B1261,PN!$A:$C,3,FALSE),"")</f>
        <v>Active</v>
      </c>
      <c r="J1261" s="3">
        <f>IFERROR(E1261*VLOOKUP(B1261,PLInter!$A:$D,3,FALSE),"")</f>
        <v>1735</v>
      </c>
      <c r="K1261" s="66"/>
      <c r="L1261" s="66"/>
      <c r="M1261" s="66"/>
      <c r="N1261" s="66"/>
      <c r="O1261" s="66"/>
      <c r="P1261" s="66"/>
      <c r="Q1261" s="66"/>
      <c r="R1261" s="66"/>
      <c r="S1261" s="66"/>
    </row>
    <row r="1263" spans="1:19" s="7" customFormat="1" ht="18" customHeight="1">
      <c r="A1263" s="13" t="s">
        <v>939</v>
      </c>
      <c r="B1263" s="13"/>
      <c r="C1263" s="13" t="s">
        <v>940</v>
      </c>
      <c r="D1263" s="14"/>
      <c r="E1263" s="14"/>
      <c r="F1263" s="14"/>
      <c r="G1263" s="14"/>
      <c r="H1263" s="14"/>
      <c r="I1263" s="14"/>
      <c r="J1263" s="14">
        <f>SUMIFS(J1264:J1275,D1264:D1275,"&lt;&gt;Y",F1264:F1275,"&lt;&gt;Y",I1264:I1275,"&lt;&gt;Inactive",I1264:I1275,"&lt;&gt;ECO+NFS")</f>
        <v>21037</v>
      </c>
      <c r="K1263" s="14"/>
      <c r="L1263" s="14"/>
      <c r="M1263" s="14"/>
      <c r="N1263" s="14"/>
      <c r="O1263" s="14"/>
      <c r="P1263" s="14"/>
      <c r="Q1263" s="14"/>
      <c r="R1263" s="14"/>
      <c r="S1263" s="14"/>
    </row>
    <row r="1264" spans="1:19" ht="18" customHeight="1">
      <c r="A1264" s="17" t="str">
        <f>HYPERLINK("#"&amp;ADDRESS(MATCH(A1263,'CIM&amp;FMS'!$A$1:$A$4997,0),1,,,"CIM&amp;FMS"),"Back to Price List")</f>
        <v>Back to Price List</v>
      </c>
      <c r="B1264" t="s">
        <v>213</v>
      </c>
      <c r="C1264" t="s">
        <v>640</v>
      </c>
      <c r="D1264" s="4"/>
      <c r="E1264" s="4">
        <v>1</v>
      </c>
      <c r="F1264" s="4"/>
      <c r="G1264" s="29" t="str">
        <f>IFERROR(HYPERLINK("#"&amp;ADDRESS(MATCH(B1264&amp;"ES",'LM7 Non-ENG'!$A$1:$A$5000,0),1,,,"LM7 Non-ENG"),IF(IFERROR(VLOOKUP(B1264&amp;"ES",'LM7 Non-ENG'!$A$1:$A$4999,1,FALSE),"ERROR")=B1264&amp;"ES","Y","")),"")</f>
        <v/>
      </c>
      <c r="H1264" s="29" t="str">
        <f>IFERROR(HYPERLINK("#"&amp;ADDRESS(MATCH(B1264&amp;"PT",'LM7 Non-ENG'!$A$1:$A$5000,0),1,,,"LM7 Non-ENG"),IF(IFERROR(VLOOKUP(B1264&amp;"PT",'LM7 Non-ENG'!$A$1:$A$5000,1,FALSE),"ERROR")=B1264&amp;"PT","Y","")),"")</f>
        <v/>
      </c>
      <c r="I1264" t="str">
        <f>IFERROR(VLOOKUP(B1264,PN!$A:$C,3,FALSE),"")</f>
        <v>Active</v>
      </c>
      <c r="J1264" s="3">
        <f>IFERROR(E1264*VLOOKUP(B1264,PLInter!$A:$D,3,FALSE),"")</f>
        <v>11726</v>
      </c>
      <c r="K1264" s="66"/>
      <c r="L1264" s="66"/>
      <c r="M1264" s="66"/>
      <c r="N1264" s="66"/>
      <c r="O1264" s="66"/>
      <c r="P1264" s="66"/>
      <c r="Q1264" s="66"/>
      <c r="R1264" s="66"/>
      <c r="S1264" s="66"/>
    </row>
    <row r="1265" spans="1:19" ht="18" customHeight="1">
      <c r="B1265" t="s">
        <v>226</v>
      </c>
      <c r="C1265" t="s">
        <v>641</v>
      </c>
      <c r="D1265" s="4"/>
      <c r="E1265" s="4">
        <v>1</v>
      </c>
      <c r="F1265" s="4"/>
      <c r="G1265" s="29" t="str">
        <f>IFERROR(HYPERLINK("#"&amp;ADDRESS(MATCH(B1265&amp;"ES",'LM7 Non-ENG'!$A$1:$A$5000,0),1,,,"LM7 Non-ENG"),IF(IFERROR(VLOOKUP(B1265&amp;"ES",'LM7 Non-ENG'!$A$1:$A$4999,1,FALSE),"ERROR")=B1265&amp;"ES","Y","")),"")</f>
        <v/>
      </c>
      <c r="H1265" s="29" t="str">
        <f>IFERROR(HYPERLINK("#"&amp;ADDRESS(MATCH(B1265&amp;"PT",'LM7 Non-ENG'!$A$1:$A$5000,0),1,,,"LM7 Non-ENG"),IF(IFERROR(VLOOKUP(B1265&amp;"PT",'LM7 Non-ENG'!$A$1:$A$5000,1,FALSE),"ERROR")=B1265&amp;"PT","Y","")),"")</f>
        <v/>
      </c>
      <c r="I1265" t="str">
        <f>IFERROR(VLOOKUP(B1265,PN!$A:$C,3,FALSE),"")</f>
        <v>Active</v>
      </c>
      <c r="J1265" s="3">
        <f>IFERROR(E1265*VLOOKUP(B1265,PLInter!$A:$D,3,FALSE),"")</f>
        <v>125</v>
      </c>
      <c r="K1265" s="66"/>
      <c r="L1265" s="66"/>
      <c r="M1265" s="66"/>
      <c r="N1265" s="66"/>
      <c r="O1265" s="66"/>
      <c r="P1265" s="66"/>
      <c r="Q1265" s="66"/>
      <c r="R1265" s="66"/>
      <c r="S1265" s="66"/>
    </row>
    <row r="1266" spans="1:19" ht="18" customHeight="1">
      <c r="B1266" t="s">
        <v>236</v>
      </c>
      <c r="C1266" t="s">
        <v>626</v>
      </c>
      <c r="D1266" s="4"/>
      <c r="E1266" s="4">
        <v>1</v>
      </c>
      <c r="F1266" s="4"/>
      <c r="G1266" s="29" t="str">
        <f>IFERROR(HYPERLINK("#"&amp;ADDRESS(MATCH(B1266&amp;"ES",'LM7 Non-ENG'!$A$1:$A$5000,0),1,,,"LM7 Non-ENG"),IF(IFERROR(VLOOKUP(B1266&amp;"ES",'LM7 Non-ENG'!$A$1:$A$4999,1,FALSE),"ERROR")=B1266&amp;"ES","Y","")),"")</f>
        <v/>
      </c>
      <c r="H1266" s="29" t="str">
        <f>IFERROR(HYPERLINK("#"&amp;ADDRESS(MATCH(B1266&amp;"PT",'LM7 Non-ENG'!$A$1:$A$5000,0),1,,,"LM7 Non-ENG"),IF(IFERROR(VLOOKUP(B1266&amp;"PT",'LM7 Non-ENG'!$A$1:$A$5000,1,FALSE),"ERROR")=B1266&amp;"PT","Y","")),"")</f>
        <v/>
      </c>
      <c r="I1266" t="str">
        <f>IFERROR(VLOOKUP(B1266,PN!$A:$C,3,FALSE),"")</f>
        <v>Active</v>
      </c>
      <c r="J1266" s="3">
        <f>IFERROR(E1266*VLOOKUP(B1266,PLInter!$A:$D,3,FALSE),"")</f>
        <v>1680</v>
      </c>
      <c r="K1266" s="66"/>
      <c r="L1266" s="66"/>
      <c r="M1266" s="66"/>
      <c r="N1266" s="66"/>
      <c r="O1266" s="66"/>
      <c r="P1266" s="66"/>
      <c r="Q1266" s="66"/>
      <c r="R1266" s="66"/>
      <c r="S1266" s="66"/>
    </row>
    <row r="1267" spans="1:19" ht="18" customHeight="1">
      <c r="B1267" t="s">
        <v>941</v>
      </c>
      <c r="C1267" t="s">
        <v>942</v>
      </c>
      <c r="D1267" s="4"/>
      <c r="E1267" s="4">
        <v>1</v>
      </c>
      <c r="F1267" s="4"/>
      <c r="G1267" s="29" t="str">
        <f>IFERROR(HYPERLINK("#"&amp;ADDRESS(MATCH(B1267&amp;"ES",'LM7 Non-ENG'!$A$1:$A$5000,0),1,,,"LM7 Non-ENG"),IF(IFERROR(VLOOKUP(B1267&amp;"ES",'LM7 Non-ENG'!$A$1:$A$4999,1,FALSE),"ERROR")=B1267&amp;"ES","Y","")),"")</f>
        <v/>
      </c>
      <c r="H1267" s="29" t="str">
        <f>IFERROR(HYPERLINK("#"&amp;ADDRESS(MATCH(B1267&amp;"PT",'LM7 Non-ENG'!$A$1:$A$5000,0),1,,,"LM7 Non-ENG"),IF(IFERROR(VLOOKUP(B1267&amp;"PT",'LM7 Non-ENG'!$A$1:$A$5000,1,FALSE),"ERROR")=B1267&amp;"PT","Y","")),"")</f>
        <v/>
      </c>
      <c r="I1267" t="str">
        <f>IFERROR(VLOOKUP(B1267,PN!$A:$C,3,FALSE),"")</f>
        <v>Active</v>
      </c>
      <c r="J1267" s="3">
        <f>IFERROR(E1267*VLOOKUP(B1267,PLInter!$A:$D,3,FALSE),"")</f>
        <v>427</v>
      </c>
      <c r="K1267" s="66"/>
      <c r="L1267" s="66"/>
      <c r="M1267" s="66"/>
      <c r="N1267" s="66"/>
      <c r="O1267" s="66"/>
      <c r="P1267" s="66"/>
      <c r="Q1267" s="66"/>
      <c r="R1267" s="66"/>
      <c r="S1267" s="66"/>
    </row>
    <row r="1268" spans="1:19" ht="18" customHeight="1">
      <c r="B1268" t="s">
        <v>914</v>
      </c>
      <c r="C1268" t="s">
        <v>915</v>
      </c>
      <c r="D1268" s="4"/>
      <c r="E1268" s="4">
        <v>3</v>
      </c>
      <c r="F1268" s="4"/>
      <c r="G1268" s="29" t="str">
        <f>IFERROR(HYPERLINK("#"&amp;ADDRESS(MATCH(B1268&amp;"ES",'LM7 Non-ENG'!$A$1:$A$5000,0),1,,,"LM7 Non-ENG"),IF(IFERROR(VLOOKUP(B1268&amp;"ES",'LM7 Non-ENG'!$A$1:$A$4999,1,FALSE),"ERROR")=B1268&amp;"ES","Y","")),"")</f>
        <v/>
      </c>
      <c r="H1268" s="29" t="str">
        <f>IFERROR(HYPERLINK("#"&amp;ADDRESS(MATCH(B1268&amp;"PT",'LM7 Non-ENG'!$A$1:$A$5000,0),1,,,"LM7 Non-ENG"),IF(IFERROR(VLOOKUP(B1268&amp;"PT",'LM7 Non-ENG'!$A$1:$A$5000,1,FALSE),"ERROR")=B1268&amp;"PT","Y","")),"")</f>
        <v/>
      </c>
      <c r="I1268" t="str">
        <f>IFERROR(VLOOKUP(B1268,PN!$A:$C,3,FALSE),"")</f>
        <v>Active</v>
      </c>
      <c r="J1268" s="3">
        <f>IFERROR(E1268*VLOOKUP(B1268,PLInter!$A:$D,3,FALSE),"")</f>
        <v>402</v>
      </c>
      <c r="K1268" s="66"/>
      <c r="L1268" s="66"/>
      <c r="M1268" s="66"/>
      <c r="N1268" s="66"/>
      <c r="O1268" s="66"/>
      <c r="P1268" s="66"/>
      <c r="Q1268" s="66"/>
      <c r="R1268" s="66"/>
      <c r="S1268" s="66"/>
    </row>
    <row r="1269" spans="1:19" ht="18" customHeight="1">
      <c r="B1269" t="s">
        <v>684</v>
      </c>
      <c r="C1269" t="s">
        <v>685</v>
      </c>
      <c r="D1269" s="4"/>
      <c r="E1269" s="4">
        <v>2</v>
      </c>
      <c r="F1269" s="4"/>
      <c r="G1269" s="29" t="str">
        <f>IFERROR(HYPERLINK("#"&amp;ADDRESS(MATCH(B1269&amp;"ES",'LM7 Non-ENG'!$A$1:$A$5000,0),1,,,"LM7 Non-ENG"),IF(IFERROR(VLOOKUP(B1269&amp;"ES",'LM7 Non-ENG'!$A$1:$A$4999,1,FALSE),"ERROR")=B1269&amp;"ES","Y","")),"")</f>
        <v/>
      </c>
      <c r="H1269" s="29" t="str">
        <f>IFERROR(HYPERLINK("#"&amp;ADDRESS(MATCH(B1269&amp;"PT",'LM7 Non-ENG'!$A$1:$A$5000,0),1,,,"LM7 Non-ENG"),IF(IFERROR(VLOOKUP(B1269&amp;"PT",'LM7 Non-ENG'!$A$1:$A$5000,1,FALSE),"ERROR")=B1269&amp;"PT","Y","")),"")</f>
        <v/>
      </c>
      <c r="I1269" t="str">
        <f>IFERROR(VLOOKUP(B1269,PN!$A:$C,3,FALSE),"")</f>
        <v>Active</v>
      </c>
      <c r="J1269" s="3">
        <f>IFERROR(E1269*VLOOKUP(B1269,PLInter!$A:$D,3,FALSE),"")</f>
        <v>1160</v>
      </c>
      <c r="K1269" s="66"/>
      <c r="L1269" s="66"/>
      <c r="M1269" s="66"/>
      <c r="N1269" s="66"/>
      <c r="O1269" s="66"/>
      <c r="P1269" s="66"/>
      <c r="Q1269" s="66"/>
      <c r="R1269" s="66"/>
      <c r="S1269" s="66"/>
    </row>
    <row r="1270" spans="1:19" ht="18" customHeight="1">
      <c r="B1270" t="str">
        <f>"021172"</f>
        <v>021172</v>
      </c>
      <c r="C1270" t="s">
        <v>916</v>
      </c>
      <c r="D1270" s="4"/>
      <c r="E1270" s="4">
        <v>2</v>
      </c>
      <c r="F1270" s="4"/>
      <c r="G1270" s="29" t="str">
        <f>IFERROR(HYPERLINK("#"&amp;ADDRESS(MATCH(B1270&amp;"ES",'LM7 Non-ENG'!$A$1:$A$5000,0),1,,,"LM7 Non-ENG"),IF(IFERROR(VLOOKUP(B1270&amp;"ES",'LM7 Non-ENG'!$A$1:$A$4999,1,FALSE),"ERROR")=B1270&amp;"ES","Y","")),"")</f>
        <v/>
      </c>
      <c r="H1270" s="29" t="str">
        <f>IFERROR(HYPERLINK("#"&amp;ADDRESS(MATCH(B1270&amp;"PT",'LM7 Non-ENG'!$A$1:$A$5000,0),1,,,"LM7 Non-ENG"),IF(IFERROR(VLOOKUP(B1270&amp;"PT",'LM7 Non-ENG'!$A$1:$A$5000,1,FALSE),"ERROR")=B1270&amp;"PT","Y","")),"")</f>
        <v/>
      </c>
      <c r="I1270" t="str">
        <f>IFERROR(VLOOKUP(B1270,PN!$A:$C,3,FALSE),"")</f>
        <v>Active</v>
      </c>
      <c r="J1270" s="3">
        <f>IFERROR(E1270*VLOOKUP(B1270,PLInter!$A:$D,3,FALSE),"")</f>
        <v>80</v>
      </c>
      <c r="K1270" s="66"/>
      <c r="L1270" s="66"/>
      <c r="M1270" s="66"/>
      <c r="N1270" s="66"/>
      <c r="O1270" s="66"/>
      <c r="P1270" s="66"/>
      <c r="Q1270" s="66"/>
      <c r="R1270" s="66"/>
      <c r="S1270" s="66"/>
    </row>
    <row r="1271" spans="1:19" ht="18" customHeight="1">
      <c r="B1271" t="str">
        <f>"113096"</f>
        <v>113096</v>
      </c>
      <c r="C1271" t="s">
        <v>943</v>
      </c>
      <c r="D1271" s="4"/>
      <c r="E1271" s="4">
        <v>3</v>
      </c>
      <c r="F1271" s="4"/>
      <c r="G1271" s="29" t="str">
        <f>IFERROR(HYPERLINK("#"&amp;ADDRESS(MATCH(B1271&amp;"ES",'LM7 Non-ENG'!$A$1:$A$5000,0),1,,,"LM7 Non-ENG"),IF(IFERROR(VLOOKUP(B1271&amp;"ES",'LM7 Non-ENG'!$A$1:$A$4999,1,FALSE),"ERROR")=B1271&amp;"ES","Y","")),"")</f>
        <v/>
      </c>
      <c r="H1271" s="29" t="str">
        <f>IFERROR(HYPERLINK("#"&amp;ADDRESS(MATCH(B1271&amp;"PT",'LM7 Non-ENG'!$A$1:$A$5000,0),1,,,"LM7 Non-ENG"),IF(IFERROR(VLOOKUP(B1271&amp;"PT",'LM7 Non-ENG'!$A$1:$A$5000,1,FALSE),"ERROR")=B1271&amp;"PT","Y","")),"")</f>
        <v/>
      </c>
      <c r="I1271" t="str">
        <f>IFERROR(VLOOKUP(B1271,PN!$A:$C,3,FALSE),"")</f>
        <v>Active</v>
      </c>
      <c r="J1271" s="3">
        <f>IFERROR(E1271*VLOOKUP(B1271,PLInter!$A:$D,3,FALSE),"")</f>
        <v>162</v>
      </c>
      <c r="K1271" s="66"/>
      <c r="L1271" s="66"/>
      <c r="M1271" s="66"/>
      <c r="N1271" s="66"/>
      <c r="O1271" s="66"/>
      <c r="P1271" s="66"/>
      <c r="Q1271" s="66"/>
      <c r="R1271" s="66"/>
      <c r="S1271" s="66"/>
    </row>
    <row r="1272" spans="1:19" ht="18" customHeight="1">
      <c r="B1272" t="str">
        <f>"112713"</f>
        <v>112713</v>
      </c>
      <c r="C1272" t="s">
        <v>944</v>
      </c>
      <c r="D1272" s="4"/>
      <c r="E1272" s="4">
        <v>3</v>
      </c>
      <c r="F1272" s="4"/>
      <c r="G1272" s="29" t="str">
        <f>IFERROR(HYPERLINK("#"&amp;ADDRESS(MATCH(B1272&amp;"ES",'LM7 Non-ENG'!$A$1:$A$5000,0),1,,,"LM7 Non-ENG"),IF(IFERROR(VLOOKUP(B1272&amp;"ES",'LM7 Non-ENG'!$A$1:$A$4999,1,FALSE),"ERROR")=B1272&amp;"ES","Y","")),"")</f>
        <v/>
      </c>
      <c r="H1272" s="29" t="str">
        <f>IFERROR(HYPERLINK("#"&amp;ADDRESS(MATCH(B1272&amp;"PT",'LM7 Non-ENG'!$A$1:$A$5000,0),1,,,"LM7 Non-ENG"),IF(IFERROR(VLOOKUP(B1272&amp;"PT",'LM7 Non-ENG'!$A$1:$A$5000,1,FALSE),"ERROR")=B1272&amp;"PT","Y","")),"")</f>
        <v/>
      </c>
      <c r="I1272" t="str">
        <f>IFERROR(VLOOKUP(B1272,PN!$A:$C,3,FALSE),"")</f>
        <v>Active</v>
      </c>
      <c r="J1272" s="3">
        <f>IFERROR(E1272*VLOOKUP(B1272,PLInter!$A:$D,3,FALSE),"")</f>
        <v>300</v>
      </c>
      <c r="K1272" s="66"/>
      <c r="L1272" s="66"/>
      <c r="M1272" s="66"/>
      <c r="N1272" s="66"/>
      <c r="O1272" s="66"/>
      <c r="P1272" s="66"/>
      <c r="Q1272" s="66"/>
      <c r="R1272" s="66"/>
      <c r="S1272" s="66"/>
    </row>
    <row r="1273" spans="1:19" ht="18" customHeight="1">
      <c r="B1273" t="s">
        <v>925</v>
      </c>
      <c r="C1273" t="s">
        <v>926</v>
      </c>
      <c r="D1273" s="4"/>
      <c r="E1273" s="4">
        <v>1</v>
      </c>
      <c r="F1273" s="4"/>
      <c r="G1273" s="29" t="str">
        <f>IFERROR(HYPERLINK("#"&amp;ADDRESS(MATCH(B1273&amp;"ES",'LM7 Non-ENG'!$A$1:$A$5000,0),1,,,"LM7 Non-ENG"),IF(IFERROR(VLOOKUP(B1273&amp;"ES",'LM7 Non-ENG'!$A$1:$A$4999,1,FALSE),"ERROR")=B1273&amp;"ES","Y","")),"")</f>
        <v/>
      </c>
      <c r="H1273" s="29" t="str">
        <f>IFERROR(HYPERLINK("#"&amp;ADDRESS(MATCH(B1273&amp;"PT",'LM7 Non-ENG'!$A$1:$A$5000,0),1,,,"LM7 Non-ENG"),IF(IFERROR(VLOOKUP(B1273&amp;"PT",'LM7 Non-ENG'!$A$1:$A$5000,1,FALSE),"ERROR")=B1273&amp;"PT","Y","")),"")</f>
        <v/>
      </c>
      <c r="I1273" t="str">
        <f>IFERROR(VLOOKUP(B1273,PN!$A:$C,3,FALSE),"")</f>
        <v>Active</v>
      </c>
      <c r="J1273" s="3">
        <f>IFERROR(E1273*VLOOKUP(B1273,PLInter!$A:$D,3,FALSE),"")</f>
        <v>2760</v>
      </c>
      <c r="K1273" s="66"/>
      <c r="L1273" s="66"/>
      <c r="M1273" s="66"/>
      <c r="N1273" s="66"/>
      <c r="O1273" s="66"/>
      <c r="P1273" s="66"/>
      <c r="Q1273" s="66"/>
      <c r="R1273" s="66"/>
      <c r="S1273" s="66"/>
    </row>
    <row r="1274" spans="1:19" ht="18" customHeight="1">
      <c r="B1274" t="s">
        <v>668</v>
      </c>
      <c r="C1274" t="s">
        <v>669</v>
      </c>
      <c r="D1274" s="4"/>
      <c r="E1274" s="4">
        <v>1</v>
      </c>
      <c r="F1274" s="4"/>
      <c r="G1274" s="29" t="str">
        <f>IFERROR(HYPERLINK("#"&amp;ADDRESS(MATCH(B1274&amp;"ES",'LM7 Non-ENG'!$A$1:$A$5000,0),1,,,"LM7 Non-ENG"),IF(IFERROR(VLOOKUP(B1274&amp;"ES",'LM7 Non-ENG'!$A$1:$A$4999,1,FALSE),"ERROR")=B1274&amp;"ES","Y","")),"")</f>
        <v/>
      </c>
      <c r="H1274" s="29" t="str">
        <f>IFERROR(HYPERLINK("#"&amp;ADDRESS(MATCH(B1274&amp;"PT",'LM7 Non-ENG'!$A$1:$A$5000,0),1,,,"LM7 Non-ENG"),IF(IFERROR(VLOOKUP(B1274&amp;"PT",'LM7 Non-ENG'!$A$1:$A$5000,1,FALSE),"ERROR")=B1274&amp;"PT","Y","")),"")</f>
        <v/>
      </c>
      <c r="I1274" t="str">
        <f>IFERROR(VLOOKUP(B1274,PN!$A:$C,3,FALSE),"")</f>
        <v>Active</v>
      </c>
      <c r="J1274" s="3">
        <f>IFERROR(E1274*VLOOKUP(B1274,PLInter!$A:$D,3,FALSE),"")</f>
        <v>480</v>
      </c>
      <c r="K1274" s="66"/>
      <c r="L1274" s="66"/>
      <c r="M1274" s="66"/>
      <c r="N1274" s="66"/>
      <c r="O1274" s="66"/>
      <c r="P1274" s="66"/>
      <c r="Q1274" s="66"/>
      <c r="R1274" s="66"/>
      <c r="S1274" s="66"/>
    </row>
    <row r="1275" spans="1:19" ht="18" customHeight="1">
      <c r="B1275" t="s">
        <v>630</v>
      </c>
      <c r="C1275" t="s">
        <v>631</v>
      </c>
      <c r="D1275" s="4"/>
      <c r="E1275" s="4">
        <v>1</v>
      </c>
      <c r="F1275" s="4"/>
      <c r="G1275" s="29" t="str">
        <f>IFERROR(HYPERLINK("#"&amp;ADDRESS(MATCH(B1275&amp;"ES",'LM7 Non-ENG'!$A$1:$A$5000,0),1,,,"LM7 Non-ENG"),IF(IFERROR(VLOOKUP(B1275&amp;"ES",'LM7 Non-ENG'!$A$1:$A$4999,1,FALSE),"ERROR")=B1275&amp;"ES","Y","")),"")</f>
        <v/>
      </c>
      <c r="H1275" s="29" t="str">
        <f>IFERROR(HYPERLINK("#"&amp;ADDRESS(MATCH(B1275&amp;"PT",'LM7 Non-ENG'!$A$1:$A$5000,0),1,,,"LM7 Non-ENG"),IF(IFERROR(VLOOKUP(B1275&amp;"PT",'LM7 Non-ENG'!$A$1:$A$5000,1,FALSE),"ERROR")=B1275&amp;"PT","Y","")),"")</f>
        <v/>
      </c>
      <c r="I1275" t="str">
        <f>IFERROR(VLOOKUP(B1275,PN!$A:$C,3,FALSE),"")</f>
        <v>Active</v>
      </c>
      <c r="J1275" s="3">
        <f>IFERROR(E1275*VLOOKUP(B1275,PLInter!$A:$D,3,FALSE),"")</f>
        <v>1735</v>
      </c>
      <c r="K1275" s="66"/>
      <c r="L1275" s="66"/>
      <c r="M1275" s="66"/>
      <c r="N1275" s="66"/>
      <c r="O1275" s="66"/>
      <c r="P1275" s="66"/>
      <c r="Q1275" s="66"/>
      <c r="R1275" s="66"/>
      <c r="S1275" s="66"/>
    </row>
    <row r="1277" spans="1:19" s="7" customFormat="1" ht="18" customHeight="1">
      <c r="A1277" s="13" t="s">
        <v>945</v>
      </c>
      <c r="B1277" s="13"/>
      <c r="C1277" s="13" t="s">
        <v>946</v>
      </c>
      <c r="D1277" s="14"/>
      <c r="E1277" s="14"/>
      <c r="F1277" s="14"/>
      <c r="G1277" s="14"/>
      <c r="H1277" s="14"/>
      <c r="I1277" s="14"/>
      <c r="J1277" s="14">
        <f>SUMIFS(J1278:J1293,D1278:D1293,"&lt;&gt;Y",F1278:F1293,"&lt;&gt;Y",I1278:I1293,"&lt;&gt;Inactive",I1278:I1293,"&lt;&gt;ECO+NFS")</f>
        <v>42224</v>
      </c>
      <c r="K1277" s="14"/>
      <c r="L1277" s="14"/>
      <c r="M1277" s="14"/>
      <c r="N1277" s="14"/>
      <c r="O1277" s="14"/>
      <c r="P1277" s="14"/>
      <c r="Q1277" s="14"/>
      <c r="R1277" s="14"/>
      <c r="S1277" s="14"/>
    </row>
    <row r="1278" spans="1:19" ht="18" customHeight="1">
      <c r="A1278" s="17" t="str">
        <f>HYPERLINK("#"&amp;ADDRESS(MATCH(A1277,'CIM&amp;FMS'!$A$1:$A$4997,0),1,,,"CIM&amp;FMS"),"Back to Price List")</f>
        <v>Back to Price List</v>
      </c>
      <c r="B1278" t="s">
        <v>214</v>
      </c>
      <c r="C1278" t="s">
        <v>654</v>
      </c>
      <c r="D1278" s="4"/>
      <c r="E1278" s="4">
        <v>1</v>
      </c>
      <c r="F1278" s="4"/>
      <c r="G1278" s="29" t="str">
        <f>IFERROR(HYPERLINK("#"&amp;ADDRESS(MATCH(B1278&amp;"ES",'LM7 Non-ENG'!$A$1:$A$5000,0),1,,,"LM7 Non-ENG"),IF(IFERROR(VLOOKUP(B1278&amp;"ES",'LM7 Non-ENG'!$A$1:$A$4999,1,FALSE),"ERROR")=B1278&amp;"ES","Y","")),"")</f>
        <v/>
      </c>
      <c r="H1278" s="29" t="str">
        <f>IFERROR(HYPERLINK("#"&amp;ADDRESS(MATCH(B1278&amp;"PT",'LM7 Non-ENG'!$A$1:$A$5000,0),1,,,"LM7 Non-ENG"),IF(IFERROR(VLOOKUP(B1278&amp;"PT",'LM7 Non-ENG'!$A$1:$A$5000,1,FALSE),"ERROR")=B1278&amp;"PT","Y","")),"")</f>
        <v/>
      </c>
      <c r="I1278" t="str">
        <f>IFERROR(VLOOKUP(B1278,PN!$A:$C,3,FALSE),"")</f>
        <v>Active</v>
      </c>
      <c r="J1278" s="3">
        <f>IFERROR(E1278*VLOOKUP(B1278,PLInter!$A:$D,3,FALSE),"")</f>
        <v>24000</v>
      </c>
      <c r="K1278" s="66"/>
      <c r="L1278" s="66"/>
      <c r="M1278" s="66"/>
      <c r="N1278" s="66"/>
      <c r="O1278" s="66"/>
      <c r="P1278" s="66"/>
      <c r="Q1278" s="66"/>
      <c r="R1278" s="66"/>
      <c r="S1278" s="66"/>
    </row>
    <row r="1279" spans="1:19" ht="18" customHeight="1">
      <c r="B1279" t="s">
        <v>228</v>
      </c>
      <c r="C1279" t="s">
        <v>655</v>
      </c>
      <c r="D1279" s="4"/>
      <c r="E1279" s="4">
        <v>1</v>
      </c>
      <c r="F1279" s="4"/>
      <c r="G1279" s="29" t="str">
        <f>IFERROR(HYPERLINK("#"&amp;ADDRESS(MATCH(B1279&amp;"ES",'LM7 Non-ENG'!$A$1:$A$5000,0),1,,,"LM7 Non-ENG"),IF(IFERROR(VLOOKUP(B1279&amp;"ES",'LM7 Non-ENG'!$A$1:$A$4999,1,FALSE),"ERROR")=B1279&amp;"ES","Y","")),"")</f>
        <v/>
      </c>
      <c r="H1279" s="29" t="str">
        <f>IFERROR(HYPERLINK("#"&amp;ADDRESS(MATCH(B1279&amp;"PT",'LM7 Non-ENG'!$A$1:$A$5000,0),1,,,"LM7 Non-ENG"),IF(IFERROR(VLOOKUP(B1279&amp;"PT",'LM7 Non-ENG'!$A$1:$A$5000,1,FALSE),"ERROR")=B1279&amp;"PT","Y","")),"")</f>
        <v/>
      </c>
      <c r="I1279" t="str">
        <f>IFERROR(VLOOKUP(B1279,PN!$A:$C,3,FALSE),"")</f>
        <v>Active</v>
      </c>
      <c r="J1279" s="3">
        <f>IFERROR(E1279*VLOOKUP(B1279,PLInter!$A:$D,3,FALSE),"")</f>
        <v>2134</v>
      </c>
      <c r="K1279" s="66"/>
      <c r="L1279" s="66"/>
      <c r="M1279" s="66"/>
      <c r="N1279" s="66"/>
      <c r="O1279" s="66"/>
      <c r="P1279" s="66"/>
      <c r="Q1279" s="66"/>
      <c r="R1279" s="66"/>
      <c r="S1279" s="66"/>
    </row>
    <row r="1280" spans="1:19" ht="18" customHeight="1">
      <c r="B1280" s="2" t="s">
        <v>227</v>
      </c>
      <c r="C1280" s="2" t="s">
        <v>232</v>
      </c>
      <c r="D1280" s="5"/>
      <c r="E1280" s="5">
        <v>1</v>
      </c>
      <c r="F1280" s="5" t="s">
        <v>0</v>
      </c>
      <c r="G1280" s="29" t="str">
        <f>IFERROR(HYPERLINK("#"&amp;ADDRESS(MATCH(B1280&amp;"ES",'LM7 Non-ENG'!$A$1:$A$5000,0),1,,,"LM7 Non-ENG"),IF(IFERROR(VLOOKUP(B1280&amp;"ES",'LM7 Non-ENG'!$A$1:$A$4999,1,FALSE),"ERROR")=B1280&amp;"ES","Y","")),"")</f>
        <v/>
      </c>
      <c r="H1280" s="29" t="str">
        <f>IFERROR(HYPERLINK("#"&amp;ADDRESS(MATCH(B1280&amp;"PT",'LM7 Non-ENG'!$A$1:$A$5000,0),1,,,"LM7 Non-ENG"),IF(IFERROR(VLOOKUP(B1280&amp;"PT",'LM7 Non-ENG'!$A$1:$A$5000,1,FALSE),"ERROR")=B1280&amp;"PT","Y","")),"")</f>
        <v/>
      </c>
      <c r="I1280" t="str">
        <f>IFERROR(VLOOKUP(B1280,PN!$A:$C,3,FALSE),"")</f>
        <v>Active</v>
      </c>
      <c r="J1280" s="3">
        <f>IFERROR(E1280*VLOOKUP(B1280,PLInter!$A:$D,3,FALSE),"")</f>
        <v>1700</v>
      </c>
      <c r="K1280" s="66"/>
      <c r="L1280" s="66"/>
      <c r="M1280" s="66"/>
      <c r="N1280" s="66"/>
      <c r="O1280" s="66"/>
      <c r="P1280" s="66"/>
      <c r="Q1280" s="66"/>
      <c r="R1280" s="66"/>
      <c r="S1280" s="66"/>
    </row>
    <row r="1281" spans="1:19" ht="18" customHeight="1">
      <c r="B1281" t="s">
        <v>236</v>
      </c>
      <c r="C1281" t="s">
        <v>626</v>
      </c>
      <c r="D1281" s="4"/>
      <c r="E1281" s="4">
        <v>1</v>
      </c>
      <c r="F1281" s="4"/>
      <c r="G1281" s="29" t="str">
        <f>IFERROR(HYPERLINK("#"&amp;ADDRESS(MATCH(B1281&amp;"ES",'LM7 Non-ENG'!$A$1:$A$5000,0),1,,,"LM7 Non-ENG"),IF(IFERROR(VLOOKUP(B1281&amp;"ES",'LM7 Non-ENG'!$A$1:$A$4999,1,FALSE),"ERROR")=B1281&amp;"ES","Y","")),"")</f>
        <v/>
      </c>
      <c r="H1281" s="29" t="str">
        <f>IFERROR(HYPERLINK("#"&amp;ADDRESS(MATCH(B1281&amp;"PT",'LM7 Non-ENG'!$A$1:$A$5000,0),1,,,"LM7 Non-ENG"),IF(IFERROR(VLOOKUP(B1281&amp;"PT",'LM7 Non-ENG'!$A$1:$A$5000,1,FALSE),"ERROR")=B1281&amp;"PT","Y","")),"")</f>
        <v/>
      </c>
      <c r="I1281" t="str">
        <f>IFERROR(VLOOKUP(B1281,PN!$A:$C,3,FALSE),"")</f>
        <v>Active</v>
      </c>
      <c r="J1281" s="3">
        <f>IFERROR(E1281*VLOOKUP(B1281,PLInter!$A:$D,3,FALSE),"")</f>
        <v>1680</v>
      </c>
      <c r="K1281" s="66"/>
      <c r="L1281" s="66"/>
      <c r="M1281" s="66"/>
      <c r="N1281" s="66"/>
      <c r="O1281" s="66"/>
      <c r="P1281" s="66"/>
      <c r="Q1281" s="66"/>
      <c r="R1281" s="66"/>
      <c r="S1281" s="66"/>
    </row>
    <row r="1282" spans="1:19" ht="18" customHeight="1">
      <c r="B1282" t="str">
        <f>"034025"</f>
        <v>034025</v>
      </c>
      <c r="C1282" t="s">
        <v>777</v>
      </c>
      <c r="D1282" s="4"/>
      <c r="E1282" s="4">
        <v>1</v>
      </c>
      <c r="F1282" s="4"/>
      <c r="G1282" s="29" t="str">
        <f>IFERROR(HYPERLINK("#"&amp;ADDRESS(MATCH(B1282&amp;"ES",'LM7 Non-ENG'!$A$1:$A$5000,0),1,,,"LM7 Non-ENG"),IF(IFERROR(VLOOKUP(B1282&amp;"ES",'LM7 Non-ENG'!$A$1:$A$4999,1,FALSE),"ERROR")=B1282&amp;"ES","Y","")),"")</f>
        <v/>
      </c>
      <c r="H1282" s="29" t="str">
        <f>IFERROR(HYPERLINK("#"&amp;ADDRESS(MATCH(B1282&amp;"PT",'LM7 Non-ENG'!$A$1:$A$5000,0),1,,,"LM7 Non-ENG"),IF(IFERROR(VLOOKUP(B1282&amp;"PT",'LM7 Non-ENG'!$A$1:$A$5000,1,FALSE),"ERROR")=B1282&amp;"PT","Y","")),"")</f>
        <v/>
      </c>
      <c r="I1282" t="str">
        <f>IFERROR(VLOOKUP(B1282,PN!$A:$C,3,FALSE),"")</f>
        <v>Active</v>
      </c>
      <c r="J1282" s="3">
        <f>IFERROR(E1282*VLOOKUP(B1282,PLInter!$A:$D,3,FALSE),"")</f>
        <v>1267</v>
      </c>
      <c r="K1282" s="66"/>
      <c r="L1282" s="66"/>
      <c r="M1282" s="66"/>
      <c r="N1282" s="66"/>
      <c r="O1282" s="66"/>
      <c r="P1282" s="66"/>
      <c r="Q1282" s="66"/>
      <c r="R1282" s="66"/>
      <c r="S1282" s="66"/>
    </row>
    <row r="1283" spans="1:19" ht="18" customHeight="1">
      <c r="B1283" t="s">
        <v>914</v>
      </c>
      <c r="C1283" t="s">
        <v>915</v>
      </c>
      <c r="D1283" s="4"/>
      <c r="E1283" s="4">
        <v>3</v>
      </c>
      <c r="F1283" s="4"/>
      <c r="G1283" s="29" t="str">
        <f>IFERROR(HYPERLINK("#"&amp;ADDRESS(MATCH(B1283&amp;"ES",'LM7 Non-ENG'!$A$1:$A$5000,0),1,,,"LM7 Non-ENG"),IF(IFERROR(VLOOKUP(B1283&amp;"ES",'LM7 Non-ENG'!$A$1:$A$4999,1,FALSE),"ERROR")=B1283&amp;"ES","Y","")),"")</f>
        <v/>
      </c>
      <c r="H1283" s="29" t="str">
        <f>IFERROR(HYPERLINK("#"&amp;ADDRESS(MATCH(B1283&amp;"PT",'LM7 Non-ENG'!$A$1:$A$5000,0),1,,,"LM7 Non-ENG"),IF(IFERROR(VLOOKUP(B1283&amp;"PT",'LM7 Non-ENG'!$A$1:$A$5000,1,FALSE),"ERROR")=B1283&amp;"PT","Y","")),"")</f>
        <v/>
      </c>
      <c r="I1283" t="str">
        <f>IFERROR(VLOOKUP(B1283,PN!$A:$C,3,FALSE),"")</f>
        <v>Active</v>
      </c>
      <c r="J1283" s="3">
        <f>IFERROR(E1283*VLOOKUP(B1283,PLInter!$A:$D,3,FALSE),"")</f>
        <v>402</v>
      </c>
      <c r="K1283" s="66"/>
      <c r="L1283" s="66"/>
      <c r="M1283" s="66"/>
      <c r="N1283" s="66"/>
      <c r="O1283" s="66"/>
      <c r="P1283" s="66"/>
      <c r="Q1283" s="66"/>
      <c r="R1283" s="66"/>
      <c r="S1283" s="66"/>
    </row>
    <row r="1284" spans="1:19" ht="18" customHeight="1">
      <c r="B1284" t="s">
        <v>684</v>
      </c>
      <c r="C1284" t="s">
        <v>685</v>
      </c>
      <c r="D1284" s="4"/>
      <c r="E1284" s="4">
        <v>2</v>
      </c>
      <c r="F1284" s="4"/>
      <c r="G1284" s="29" t="str">
        <f>IFERROR(HYPERLINK("#"&amp;ADDRESS(MATCH(B1284&amp;"ES",'LM7 Non-ENG'!$A$1:$A$5000,0),1,,,"LM7 Non-ENG"),IF(IFERROR(VLOOKUP(B1284&amp;"ES",'LM7 Non-ENG'!$A$1:$A$4999,1,FALSE),"ERROR")=B1284&amp;"ES","Y","")),"")</f>
        <v/>
      </c>
      <c r="H1284" s="29" t="str">
        <f>IFERROR(HYPERLINK("#"&amp;ADDRESS(MATCH(B1284&amp;"PT",'LM7 Non-ENG'!$A$1:$A$5000,0),1,,,"LM7 Non-ENG"),IF(IFERROR(VLOOKUP(B1284&amp;"PT",'LM7 Non-ENG'!$A$1:$A$5000,1,FALSE),"ERROR")=B1284&amp;"PT","Y","")),"")</f>
        <v/>
      </c>
      <c r="I1284" t="str">
        <f>IFERROR(VLOOKUP(B1284,PN!$A:$C,3,FALSE),"")</f>
        <v>Active</v>
      </c>
      <c r="J1284" s="3">
        <f>IFERROR(E1284*VLOOKUP(B1284,PLInter!$A:$D,3,FALSE),"")</f>
        <v>1160</v>
      </c>
      <c r="K1284" s="66"/>
      <c r="L1284" s="66"/>
      <c r="M1284" s="66"/>
      <c r="N1284" s="66"/>
      <c r="O1284" s="66"/>
      <c r="P1284" s="66"/>
      <c r="Q1284" s="66"/>
      <c r="R1284" s="66"/>
      <c r="S1284" s="66"/>
    </row>
    <row r="1285" spans="1:19" ht="18" customHeight="1">
      <c r="B1285" t="str">
        <f>"021172"</f>
        <v>021172</v>
      </c>
      <c r="C1285" t="s">
        <v>916</v>
      </c>
      <c r="D1285" s="4"/>
      <c r="E1285" s="4">
        <v>2</v>
      </c>
      <c r="F1285" s="4"/>
      <c r="G1285" s="29" t="str">
        <f>IFERROR(HYPERLINK("#"&amp;ADDRESS(MATCH(B1285&amp;"ES",'LM7 Non-ENG'!$A$1:$A$5000,0),1,,,"LM7 Non-ENG"),IF(IFERROR(VLOOKUP(B1285&amp;"ES",'LM7 Non-ENG'!$A$1:$A$4999,1,FALSE),"ERROR")=B1285&amp;"ES","Y","")),"")</f>
        <v/>
      </c>
      <c r="H1285" s="29" t="str">
        <f>IFERROR(HYPERLINK("#"&amp;ADDRESS(MATCH(B1285&amp;"PT",'LM7 Non-ENG'!$A$1:$A$5000,0),1,,,"LM7 Non-ENG"),IF(IFERROR(VLOOKUP(B1285&amp;"PT",'LM7 Non-ENG'!$A$1:$A$5000,1,FALSE),"ERROR")=B1285&amp;"PT","Y","")),"")</f>
        <v/>
      </c>
      <c r="I1285" t="str">
        <f>IFERROR(VLOOKUP(B1285,PN!$A:$C,3,FALSE),"")</f>
        <v>Active</v>
      </c>
      <c r="J1285" s="3">
        <f>IFERROR(E1285*VLOOKUP(B1285,PLInter!$A:$D,3,FALSE),"")</f>
        <v>80</v>
      </c>
      <c r="K1285" s="66"/>
      <c r="L1285" s="66"/>
      <c r="M1285" s="66"/>
      <c r="N1285" s="66"/>
      <c r="O1285" s="66"/>
      <c r="P1285" s="66"/>
      <c r="Q1285" s="66"/>
      <c r="R1285" s="66"/>
      <c r="S1285" s="66"/>
    </row>
    <row r="1286" spans="1:19" ht="18" customHeight="1">
      <c r="B1286" t="s">
        <v>917</v>
      </c>
      <c r="C1286" t="s">
        <v>918</v>
      </c>
      <c r="D1286" s="4"/>
      <c r="E1286" s="4">
        <v>1</v>
      </c>
      <c r="F1286" s="4"/>
      <c r="G1286" s="29" t="str">
        <f>IFERROR(HYPERLINK("#"&amp;ADDRESS(MATCH(B1286&amp;"ES",'LM7 Non-ENG'!$A$1:$A$5000,0),1,,,"LM7 Non-ENG"),IF(IFERROR(VLOOKUP(B1286&amp;"ES",'LM7 Non-ENG'!$A$1:$A$4999,1,FALSE),"ERROR")=B1286&amp;"ES","Y","")),"")</f>
        <v/>
      </c>
      <c r="H1286" s="29" t="str">
        <f>IFERROR(HYPERLINK("#"&amp;ADDRESS(MATCH(B1286&amp;"PT",'LM7 Non-ENG'!$A$1:$A$5000,0),1,,,"LM7 Non-ENG"),IF(IFERROR(VLOOKUP(B1286&amp;"PT",'LM7 Non-ENG'!$A$1:$A$5000,1,FALSE),"ERROR")=B1286&amp;"PT","Y","")),"")</f>
        <v/>
      </c>
      <c r="I1286" t="str">
        <f>IFERROR(VLOOKUP(B1286,PN!$A:$C,3,FALSE),"")</f>
        <v>Phase Out</v>
      </c>
      <c r="J1286" s="3">
        <f>IFERROR(E1286*VLOOKUP(B1286,PLInter!$A:$D,3,FALSE),"")</f>
        <v>1735</v>
      </c>
      <c r="K1286" s="66"/>
      <c r="L1286" s="66"/>
      <c r="M1286" s="66"/>
      <c r="N1286" s="66"/>
      <c r="O1286" s="66"/>
      <c r="P1286" s="66"/>
      <c r="Q1286" s="66"/>
      <c r="R1286" s="66"/>
      <c r="S1286" s="66"/>
    </row>
    <row r="1287" spans="1:19" ht="18" customHeight="1">
      <c r="B1287" t="s">
        <v>919</v>
      </c>
      <c r="C1287" t="s">
        <v>920</v>
      </c>
      <c r="D1287" s="4"/>
      <c r="E1287" s="4">
        <v>1</v>
      </c>
      <c r="F1287" s="4"/>
      <c r="G1287" s="29" t="str">
        <f>IFERROR(HYPERLINK("#"&amp;ADDRESS(MATCH(B1287&amp;"ES",'LM7 Non-ENG'!$A$1:$A$5000,0),1,,,"LM7 Non-ENG"),IF(IFERROR(VLOOKUP(B1287&amp;"ES",'LM7 Non-ENG'!$A$1:$A$4999,1,FALSE),"ERROR")=B1287&amp;"ES","Y","")),"")</f>
        <v/>
      </c>
      <c r="H1287" s="29" t="str">
        <f>IFERROR(HYPERLINK("#"&amp;ADDRESS(MATCH(B1287&amp;"PT",'LM7 Non-ENG'!$A$1:$A$5000,0),1,,,"LM7 Non-ENG"),IF(IFERROR(VLOOKUP(B1287&amp;"PT",'LM7 Non-ENG'!$A$1:$A$5000,1,FALSE),"ERROR")=B1287&amp;"PT","Y","")),"")</f>
        <v/>
      </c>
      <c r="I1287" t="str">
        <f>IFERROR(VLOOKUP(B1287,PN!$A:$C,3,FALSE),"")</f>
        <v>Active</v>
      </c>
      <c r="J1287" s="3">
        <f>IFERROR(E1287*VLOOKUP(B1287,PLInter!$A:$D,3,FALSE),"")</f>
        <v>635</v>
      </c>
      <c r="K1287" s="66"/>
      <c r="L1287" s="66"/>
      <c r="M1287" s="66"/>
      <c r="N1287" s="66"/>
      <c r="O1287" s="66"/>
      <c r="P1287" s="66"/>
      <c r="Q1287" s="66"/>
      <c r="R1287" s="66"/>
      <c r="S1287" s="66"/>
    </row>
    <row r="1288" spans="1:19" ht="18" customHeight="1">
      <c r="B1288" t="s">
        <v>921</v>
      </c>
      <c r="C1288" t="s">
        <v>922</v>
      </c>
      <c r="D1288" s="4"/>
      <c r="E1288" s="4">
        <v>1</v>
      </c>
      <c r="F1288" s="4"/>
      <c r="G1288" s="29" t="str">
        <f>IFERROR(HYPERLINK("#"&amp;ADDRESS(MATCH(B1288&amp;"ES",'LM7 Non-ENG'!$A$1:$A$5000,0),1,,,"LM7 Non-ENG"),IF(IFERROR(VLOOKUP(B1288&amp;"ES",'LM7 Non-ENG'!$A$1:$A$4999,1,FALSE),"ERROR")=B1288&amp;"ES","Y","")),"")</f>
        <v/>
      </c>
      <c r="H1288" s="29" t="str">
        <f>IFERROR(HYPERLINK("#"&amp;ADDRESS(MATCH(B1288&amp;"PT",'LM7 Non-ENG'!$A$1:$A$5000,0),1,,,"LM7 Non-ENG"),IF(IFERROR(VLOOKUP(B1288&amp;"PT",'LM7 Non-ENG'!$A$1:$A$5000,1,FALSE),"ERROR")=B1288&amp;"PT","Y","")),"")</f>
        <v/>
      </c>
      <c r="I1288" t="str">
        <f>IFERROR(VLOOKUP(B1288,PN!$A:$C,3,FALSE),"")</f>
        <v>Active</v>
      </c>
      <c r="J1288" s="3">
        <f>IFERROR(E1288*VLOOKUP(B1288,PLInter!$A:$D,3,FALSE),"")</f>
        <v>2585</v>
      </c>
      <c r="K1288" s="66"/>
      <c r="L1288" s="66"/>
      <c r="M1288" s="66"/>
      <c r="N1288" s="66"/>
      <c r="O1288" s="66"/>
      <c r="P1288" s="66"/>
      <c r="Q1288" s="66"/>
      <c r="R1288" s="66"/>
      <c r="S1288" s="66"/>
    </row>
    <row r="1289" spans="1:19" ht="18" customHeight="1">
      <c r="B1289" t="s">
        <v>923</v>
      </c>
      <c r="C1289" t="s">
        <v>924</v>
      </c>
      <c r="D1289" s="4"/>
      <c r="E1289" s="4">
        <v>12</v>
      </c>
      <c r="F1289" s="4"/>
      <c r="G1289" s="29" t="str">
        <f>IFERROR(HYPERLINK("#"&amp;ADDRESS(MATCH(B1289&amp;"ES",'LM7 Non-ENG'!$A$1:$A$5000,0),1,,,"LM7 Non-ENG"),IF(IFERROR(VLOOKUP(B1289&amp;"ES",'LM7 Non-ENG'!$A$1:$A$4999,1,FALSE),"ERROR")=B1289&amp;"ES","Y","")),"")</f>
        <v/>
      </c>
      <c r="H1289" s="29" t="str">
        <f>IFERROR(HYPERLINK("#"&amp;ADDRESS(MATCH(B1289&amp;"PT",'LM7 Non-ENG'!$A$1:$A$5000,0),1,,,"LM7 Non-ENG"),IF(IFERROR(VLOOKUP(B1289&amp;"PT",'LM7 Non-ENG'!$A$1:$A$5000,1,FALSE),"ERROR")=B1289&amp;"PT","Y","")),"")</f>
        <v/>
      </c>
      <c r="I1289" t="str">
        <f>IFERROR(VLOOKUP(B1289,PN!$A:$C,3,FALSE),"")</f>
        <v>Active</v>
      </c>
      <c r="J1289" s="3">
        <f>IFERROR(E1289*VLOOKUP(B1289,PLInter!$A:$D,3,FALSE),"")</f>
        <v>1104</v>
      </c>
      <c r="K1289" s="66"/>
      <c r="L1289" s="66"/>
      <c r="M1289" s="66"/>
      <c r="N1289" s="66"/>
      <c r="O1289" s="66"/>
      <c r="P1289" s="66"/>
      <c r="Q1289" s="66"/>
      <c r="R1289" s="66"/>
      <c r="S1289" s="66"/>
    </row>
    <row r="1290" spans="1:19" ht="18" customHeight="1">
      <c r="B1290" t="s">
        <v>925</v>
      </c>
      <c r="C1290" t="s">
        <v>926</v>
      </c>
      <c r="D1290" s="4"/>
      <c r="E1290" s="4">
        <v>1</v>
      </c>
      <c r="F1290" s="4"/>
      <c r="G1290" s="29" t="str">
        <f>IFERROR(HYPERLINK("#"&amp;ADDRESS(MATCH(B1290&amp;"ES",'LM7 Non-ENG'!$A$1:$A$5000,0),1,,,"LM7 Non-ENG"),IF(IFERROR(VLOOKUP(B1290&amp;"ES",'LM7 Non-ENG'!$A$1:$A$4999,1,FALSE),"ERROR")=B1290&amp;"ES","Y","")),"")</f>
        <v/>
      </c>
      <c r="H1290" s="29" t="str">
        <f>IFERROR(HYPERLINK("#"&amp;ADDRESS(MATCH(B1290&amp;"PT",'LM7 Non-ENG'!$A$1:$A$5000,0),1,,,"LM7 Non-ENG"),IF(IFERROR(VLOOKUP(B1290&amp;"PT",'LM7 Non-ENG'!$A$1:$A$5000,1,FALSE),"ERROR")=B1290&amp;"PT","Y","")),"")</f>
        <v/>
      </c>
      <c r="I1290" t="str">
        <f>IFERROR(VLOOKUP(B1290,PN!$A:$C,3,FALSE),"")</f>
        <v>Active</v>
      </c>
      <c r="J1290" s="3">
        <f>IFERROR(E1290*VLOOKUP(B1290,PLInter!$A:$D,3,FALSE),"")</f>
        <v>2760</v>
      </c>
      <c r="K1290" s="66"/>
      <c r="L1290" s="66"/>
      <c r="M1290" s="66"/>
      <c r="N1290" s="66"/>
      <c r="O1290" s="66"/>
      <c r="P1290" s="66"/>
      <c r="Q1290" s="66"/>
      <c r="R1290" s="66"/>
      <c r="S1290" s="66"/>
    </row>
    <row r="1291" spans="1:19" ht="18" customHeight="1">
      <c r="B1291" t="s">
        <v>927</v>
      </c>
      <c r="C1291" t="s">
        <v>928</v>
      </c>
      <c r="D1291" s="4"/>
      <c r="E1291" s="4">
        <v>1</v>
      </c>
      <c r="F1291" s="4"/>
      <c r="G1291" s="29" t="str">
        <f>IFERROR(HYPERLINK("#"&amp;ADDRESS(MATCH(B1291&amp;"ES",'LM7 Non-ENG'!$A$1:$A$5000,0),1,,,"LM7 Non-ENG"),IF(IFERROR(VLOOKUP(B1291&amp;"ES",'LM7 Non-ENG'!$A$1:$A$4999,1,FALSE),"ERROR")=B1291&amp;"ES","Y","")),"")</f>
        <v/>
      </c>
      <c r="H1291" s="29" t="str">
        <f>IFERROR(HYPERLINK("#"&amp;ADDRESS(MATCH(B1291&amp;"PT",'LM7 Non-ENG'!$A$1:$A$5000,0),1,,,"LM7 Non-ENG"),IF(IFERROR(VLOOKUP(B1291&amp;"PT",'LM7 Non-ENG'!$A$1:$A$5000,1,FALSE),"ERROR")=B1291&amp;"PT","Y","")),"")</f>
        <v/>
      </c>
      <c r="I1291" t="str">
        <f>IFERROR(VLOOKUP(B1291,PN!$A:$C,3,FALSE),"")</f>
        <v>Active</v>
      </c>
      <c r="J1291" s="3">
        <f>IFERROR(E1291*VLOOKUP(B1291,PLInter!$A:$D,3,FALSE),"")</f>
        <v>467</v>
      </c>
      <c r="K1291" s="66"/>
      <c r="L1291" s="66"/>
      <c r="M1291" s="66"/>
      <c r="N1291" s="66"/>
      <c r="O1291" s="66"/>
      <c r="P1291" s="66"/>
      <c r="Q1291" s="66"/>
      <c r="R1291" s="66"/>
      <c r="S1291" s="66"/>
    </row>
    <row r="1292" spans="1:19" ht="18" customHeight="1">
      <c r="B1292" t="s">
        <v>668</v>
      </c>
      <c r="C1292" t="s">
        <v>669</v>
      </c>
      <c r="D1292" s="4"/>
      <c r="E1292" s="4">
        <v>1</v>
      </c>
      <c r="F1292" s="4"/>
      <c r="G1292" s="29" t="str">
        <f>IFERROR(HYPERLINK("#"&amp;ADDRESS(MATCH(B1292&amp;"ES",'LM7 Non-ENG'!$A$1:$A$5000,0),1,,,"LM7 Non-ENG"),IF(IFERROR(VLOOKUP(B1292&amp;"ES",'LM7 Non-ENG'!$A$1:$A$4999,1,FALSE),"ERROR")=B1292&amp;"ES","Y","")),"")</f>
        <v/>
      </c>
      <c r="H1292" s="29" t="str">
        <f>IFERROR(HYPERLINK("#"&amp;ADDRESS(MATCH(B1292&amp;"PT",'LM7 Non-ENG'!$A$1:$A$5000,0),1,,,"LM7 Non-ENG"),IF(IFERROR(VLOOKUP(B1292&amp;"PT",'LM7 Non-ENG'!$A$1:$A$5000,1,FALSE),"ERROR")=B1292&amp;"PT","Y","")),"")</f>
        <v/>
      </c>
      <c r="I1292" t="str">
        <f>IFERROR(VLOOKUP(B1292,PN!$A:$C,3,FALSE),"")</f>
        <v>Active</v>
      </c>
      <c r="J1292" s="3">
        <f>IFERROR(E1292*VLOOKUP(B1292,PLInter!$A:$D,3,FALSE),"")</f>
        <v>480</v>
      </c>
      <c r="K1292" s="66"/>
      <c r="L1292" s="66"/>
      <c r="M1292" s="66"/>
      <c r="N1292" s="66"/>
      <c r="O1292" s="66"/>
      <c r="P1292" s="66"/>
      <c r="Q1292" s="66"/>
      <c r="R1292" s="66"/>
      <c r="S1292" s="66"/>
    </row>
    <row r="1293" spans="1:19" ht="18" customHeight="1">
      <c r="B1293" t="str">
        <f>"50-0094-0000"</f>
        <v>50-0094-0000</v>
      </c>
      <c r="C1293" t="str">
        <f>"Pre-Engineering, Design and Testing"</f>
        <v>Pre-Engineering, Design and Testing</v>
      </c>
      <c r="D1293" s="4"/>
      <c r="E1293" s="4">
        <v>1</v>
      </c>
      <c r="F1293" s="4"/>
      <c r="G1293" s="29" t="str">
        <f>IFERROR(HYPERLINK("#"&amp;ADDRESS(MATCH(B1293&amp;"ES",'LM7 Non-ENG'!$A$1:$A$5000,0),1,,,"LM7 Non-ENG"),IF(IFERROR(VLOOKUP(B1293&amp;"ES",'LM7 Non-ENG'!$A$1:$A$4999,1,FALSE),"ERROR")=B1293&amp;"ES","Y","")),"")</f>
        <v/>
      </c>
      <c r="H1293" s="29" t="str">
        <f>IFERROR(HYPERLINK("#"&amp;ADDRESS(MATCH(B1293&amp;"PT",'LM7 Non-ENG'!$A$1:$A$5000,0),1,,,"LM7 Non-ENG"),IF(IFERROR(VLOOKUP(B1293&amp;"PT",'LM7 Non-ENG'!$A$1:$A$5000,1,FALSE),"ERROR")=B1293&amp;"PT","Y","")),"")</f>
        <v/>
      </c>
      <c r="I1293" t="str">
        <f>IFERROR(VLOOKUP(B1293,PN!$A:$C,3,FALSE),"")</f>
        <v>Active</v>
      </c>
      <c r="J1293" s="3">
        <f>IFERROR(E1293*VLOOKUP(B1293,PLInter!$A:$D,3,FALSE),"")</f>
        <v>1735</v>
      </c>
      <c r="K1293" s="66"/>
      <c r="L1293" s="66"/>
      <c r="M1293" s="66"/>
      <c r="N1293" s="66"/>
      <c r="O1293" s="66"/>
      <c r="P1293" s="66"/>
      <c r="Q1293" s="66"/>
      <c r="R1293" s="66"/>
      <c r="S1293" s="66"/>
    </row>
    <row r="1295" spans="1:19" s="7" customFormat="1" ht="18" customHeight="1">
      <c r="A1295" s="13" t="s">
        <v>947</v>
      </c>
      <c r="B1295" s="13"/>
      <c r="C1295" s="13" t="s">
        <v>948</v>
      </c>
      <c r="D1295" s="14"/>
      <c r="E1295" s="14"/>
      <c r="F1295" s="14"/>
      <c r="G1295" s="14"/>
      <c r="H1295" s="14"/>
      <c r="I1295" s="14"/>
      <c r="J1295" s="14">
        <f>SUMIFS(J1296:J1312,D1296:D1312,"&lt;&gt;Y",F1296:F1312,"&lt;&gt;Y",I1296:I1312,"&lt;&gt;Inactive",I1296:I1312,"&lt;&gt;ECO+NFS")</f>
        <v>80565</v>
      </c>
      <c r="K1295" s="14"/>
      <c r="L1295" s="14"/>
      <c r="M1295" s="14"/>
      <c r="N1295" s="14"/>
      <c r="O1295" s="14"/>
      <c r="P1295" s="14"/>
      <c r="Q1295" s="14"/>
      <c r="R1295" s="14"/>
      <c r="S1295" s="14"/>
    </row>
    <row r="1296" spans="1:19" ht="18" customHeight="1">
      <c r="A1296" s="17" t="str">
        <f>HYPERLINK("#"&amp;ADDRESS(MATCH(A1295,'CIM&amp;FMS'!$A$1:$A$4997,0),1,,,"CIM&amp;FMS"),"Back to Price List")</f>
        <v>Back to Price List</v>
      </c>
      <c r="B1296" t="s">
        <v>214</v>
      </c>
      <c r="C1296" t="s">
        <v>654</v>
      </c>
      <c r="D1296" s="4"/>
      <c r="E1296" s="4">
        <v>1</v>
      </c>
      <c r="F1296" s="4"/>
      <c r="G1296" s="29" t="str">
        <f>IFERROR(HYPERLINK("#"&amp;ADDRESS(MATCH(B1296&amp;"ES",'LM7 Non-ENG'!$A$1:$A$5000,0),1,,,"LM7 Non-ENG"),IF(IFERROR(VLOOKUP(B1296&amp;"ES",'LM7 Non-ENG'!$A$1:$A$4999,1,FALSE),"ERROR")=B1296&amp;"ES","Y","")),"")</f>
        <v/>
      </c>
      <c r="H1296" s="29" t="str">
        <f>IFERROR(HYPERLINK("#"&amp;ADDRESS(MATCH(B1296&amp;"PT",'LM7 Non-ENG'!$A$1:$A$5000,0),1,,,"LM7 Non-ENG"),IF(IFERROR(VLOOKUP(B1296&amp;"PT",'LM7 Non-ENG'!$A$1:$A$5000,1,FALSE),"ERROR")=B1296&amp;"PT","Y","")),"")</f>
        <v/>
      </c>
      <c r="I1296" t="str">
        <f>IFERROR(VLOOKUP(B1296,PN!$A:$C,3,FALSE),"")</f>
        <v>Active</v>
      </c>
      <c r="J1296" s="3">
        <f>IFERROR(E1296*VLOOKUP(B1296,PLInter!$A:$D,3,FALSE),"")</f>
        <v>24000</v>
      </c>
      <c r="K1296" s="66"/>
      <c r="L1296" s="66"/>
      <c r="M1296" s="66"/>
      <c r="N1296" s="66"/>
      <c r="O1296" s="66"/>
      <c r="P1296" s="66"/>
      <c r="Q1296" s="66"/>
      <c r="R1296" s="66"/>
      <c r="S1296" s="66"/>
    </row>
    <row r="1297" spans="2:19" ht="18" customHeight="1">
      <c r="B1297" t="s">
        <v>228</v>
      </c>
      <c r="C1297" t="s">
        <v>655</v>
      </c>
      <c r="D1297" s="4"/>
      <c r="E1297" s="4">
        <v>1</v>
      </c>
      <c r="F1297" s="4"/>
      <c r="G1297" s="29" t="str">
        <f>IFERROR(HYPERLINK("#"&amp;ADDRESS(MATCH(B1297&amp;"ES",'LM7 Non-ENG'!$A$1:$A$5000,0),1,,,"LM7 Non-ENG"),IF(IFERROR(VLOOKUP(B1297&amp;"ES",'LM7 Non-ENG'!$A$1:$A$4999,1,FALSE),"ERROR")=B1297&amp;"ES","Y","")),"")</f>
        <v/>
      </c>
      <c r="H1297" s="29" t="str">
        <f>IFERROR(HYPERLINK("#"&amp;ADDRESS(MATCH(B1297&amp;"PT",'LM7 Non-ENG'!$A$1:$A$5000,0),1,,,"LM7 Non-ENG"),IF(IFERROR(VLOOKUP(B1297&amp;"PT",'LM7 Non-ENG'!$A$1:$A$5000,1,FALSE),"ERROR")=B1297&amp;"PT","Y","")),"")</f>
        <v/>
      </c>
      <c r="I1297" t="str">
        <f>IFERROR(VLOOKUP(B1297,PN!$A:$C,3,FALSE),"")</f>
        <v>Active</v>
      </c>
      <c r="J1297" s="3">
        <f>IFERROR(E1297*VLOOKUP(B1297,PLInter!$A:$D,3,FALSE),"")</f>
        <v>2134</v>
      </c>
      <c r="K1297" s="66"/>
      <c r="L1297" s="66"/>
      <c r="M1297" s="66"/>
      <c r="N1297" s="66"/>
      <c r="O1297" s="66"/>
      <c r="P1297" s="66"/>
      <c r="Q1297" s="66"/>
      <c r="R1297" s="66"/>
      <c r="S1297" s="66"/>
    </row>
    <row r="1298" spans="2:19" ht="18" customHeight="1">
      <c r="B1298" s="2" t="s">
        <v>227</v>
      </c>
      <c r="C1298" s="2" t="s">
        <v>232</v>
      </c>
      <c r="D1298" s="5"/>
      <c r="E1298" s="5">
        <v>1</v>
      </c>
      <c r="F1298" s="5" t="s">
        <v>0</v>
      </c>
      <c r="G1298" s="29" t="str">
        <f>IFERROR(HYPERLINK("#"&amp;ADDRESS(MATCH(B1298&amp;"ES",'LM7 Non-ENG'!$A$1:$A$5000,0),1,,,"LM7 Non-ENG"),IF(IFERROR(VLOOKUP(B1298&amp;"ES",'LM7 Non-ENG'!$A$1:$A$4999,1,FALSE),"ERROR")=B1298&amp;"ES","Y","")),"")</f>
        <v/>
      </c>
      <c r="H1298" s="29" t="str">
        <f>IFERROR(HYPERLINK("#"&amp;ADDRESS(MATCH(B1298&amp;"PT",'LM7 Non-ENG'!$A$1:$A$5000,0),1,,,"LM7 Non-ENG"),IF(IFERROR(VLOOKUP(B1298&amp;"PT",'LM7 Non-ENG'!$A$1:$A$5000,1,FALSE),"ERROR")=B1298&amp;"PT","Y","")),"")</f>
        <v/>
      </c>
      <c r="I1298" t="str">
        <f>IFERROR(VLOOKUP(B1298,PN!$A:$C,3,FALSE),"")</f>
        <v>Active</v>
      </c>
      <c r="J1298" s="3">
        <f>IFERROR(E1298*VLOOKUP(B1298,PLInter!$A:$D,3,FALSE),"")</f>
        <v>1700</v>
      </c>
      <c r="K1298" s="66"/>
      <c r="L1298" s="66"/>
      <c r="M1298" s="66"/>
      <c r="N1298" s="66"/>
      <c r="O1298" s="66"/>
      <c r="P1298" s="66"/>
      <c r="Q1298" s="66"/>
      <c r="R1298" s="66"/>
      <c r="S1298" s="66"/>
    </row>
    <row r="1299" spans="2:19" ht="18" customHeight="1">
      <c r="B1299" t="s">
        <v>236</v>
      </c>
      <c r="C1299" t="s">
        <v>626</v>
      </c>
      <c r="D1299" s="4"/>
      <c r="E1299" s="4">
        <v>1</v>
      </c>
      <c r="F1299" s="4"/>
      <c r="G1299" s="29" t="str">
        <f>IFERROR(HYPERLINK("#"&amp;ADDRESS(MATCH(B1299&amp;"ES",'LM7 Non-ENG'!$A$1:$A$5000,0),1,,,"LM7 Non-ENG"),IF(IFERROR(VLOOKUP(B1299&amp;"ES",'LM7 Non-ENG'!$A$1:$A$4999,1,FALSE),"ERROR")=B1299&amp;"ES","Y","")),"")</f>
        <v/>
      </c>
      <c r="H1299" s="29" t="str">
        <f>IFERROR(HYPERLINK("#"&amp;ADDRESS(MATCH(B1299&amp;"PT",'LM7 Non-ENG'!$A$1:$A$5000,0),1,,,"LM7 Non-ENG"),IF(IFERROR(VLOOKUP(B1299&amp;"PT",'LM7 Non-ENG'!$A$1:$A$5000,1,FALSE),"ERROR")=B1299&amp;"PT","Y","")),"")</f>
        <v/>
      </c>
      <c r="I1299" t="str">
        <f>IFERROR(VLOOKUP(B1299,PN!$A:$C,3,FALSE),"")</f>
        <v>Active</v>
      </c>
      <c r="J1299" s="3">
        <f>IFERROR(E1299*VLOOKUP(B1299,PLInter!$A:$D,3,FALSE),"")</f>
        <v>1680</v>
      </c>
      <c r="K1299" s="66"/>
      <c r="L1299" s="66"/>
      <c r="M1299" s="66"/>
      <c r="N1299" s="66"/>
      <c r="O1299" s="66"/>
      <c r="P1299" s="66"/>
      <c r="Q1299" s="66"/>
      <c r="R1299" s="66"/>
      <c r="S1299" s="66"/>
    </row>
    <row r="1300" spans="2:19" ht="18" customHeight="1">
      <c r="B1300" t="str">
        <f>"034025"</f>
        <v>034025</v>
      </c>
      <c r="C1300" t="s">
        <v>777</v>
      </c>
      <c r="D1300" s="4"/>
      <c r="E1300" s="4">
        <v>1</v>
      </c>
      <c r="F1300" s="4"/>
      <c r="G1300" s="29" t="str">
        <f>IFERROR(HYPERLINK("#"&amp;ADDRESS(MATCH(B1300&amp;"ES",'LM7 Non-ENG'!$A$1:$A$5000,0),1,,,"LM7 Non-ENG"),IF(IFERROR(VLOOKUP(B1300&amp;"ES",'LM7 Non-ENG'!$A$1:$A$4999,1,FALSE),"ERROR")=B1300&amp;"ES","Y","")),"")</f>
        <v/>
      </c>
      <c r="H1300" s="29" t="str">
        <f>IFERROR(HYPERLINK("#"&amp;ADDRESS(MATCH(B1300&amp;"PT",'LM7 Non-ENG'!$A$1:$A$5000,0),1,,,"LM7 Non-ENG"),IF(IFERROR(VLOOKUP(B1300&amp;"PT",'LM7 Non-ENG'!$A$1:$A$5000,1,FALSE),"ERROR")=B1300&amp;"PT","Y","")),"")</f>
        <v/>
      </c>
      <c r="I1300" t="str">
        <f>IFERROR(VLOOKUP(B1300,PN!$A:$C,3,FALSE),"")</f>
        <v>Active</v>
      </c>
      <c r="J1300" s="3">
        <f>IFERROR(E1300*VLOOKUP(B1300,PLInter!$A:$D,3,FALSE),"")</f>
        <v>1267</v>
      </c>
      <c r="K1300" s="66"/>
      <c r="L1300" s="66"/>
      <c r="M1300" s="66"/>
      <c r="N1300" s="66"/>
      <c r="O1300" s="66"/>
      <c r="P1300" s="66"/>
      <c r="Q1300" s="66"/>
      <c r="R1300" s="66"/>
      <c r="S1300" s="66"/>
    </row>
    <row r="1301" spans="2:19" ht="18" customHeight="1">
      <c r="B1301" t="s">
        <v>914</v>
      </c>
      <c r="C1301" t="s">
        <v>915</v>
      </c>
      <c r="D1301" s="4"/>
      <c r="E1301" s="4">
        <v>3</v>
      </c>
      <c r="F1301" s="4"/>
      <c r="G1301" s="29" t="str">
        <f>IFERROR(HYPERLINK("#"&amp;ADDRESS(MATCH(B1301&amp;"ES",'LM7 Non-ENG'!$A$1:$A$5000,0),1,,,"LM7 Non-ENG"),IF(IFERROR(VLOOKUP(B1301&amp;"ES",'LM7 Non-ENG'!$A$1:$A$4999,1,FALSE),"ERROR")=B1301&amp;"ES","Y","")),"")</f>
        <v/>
      </c>
      <c r="H1301" s="29" t="str">
        <f>IFERROR(HYPERLINK("#"&amp;ADDRESS(MATCH(B1301&amp;"PT",'LM7 Non-ENG'!$A$1:$A$5000,0),1,,,"LM7 Non-ENG"),IF(IFERROR(VLOOKUP(B1301&amp;"PT",'LM7 Non-ENG'!$A$1:$A$5000,1,FALSE),"ERROR")=B1301&amp;"PT","Y","")),"")</f>
        <v/>
      </c>
      <c r="I1301" t="str">
        <f>IFERROR(VLOOKUP(B1301,PN!$A:$C,3,FALSE),"")</f>
        <v>Active</v>
      </c>
      <c r="J1301" s="3">
        <f>IFERROR(E1301*VLOOKUP(B1301,PLInter!$A:$D,3,FALSE),"")</f>
        <v>402</v>
      </c>
      <c r="K1301" s="66"/>
      <c r="L1301" s="66"/>
      <c r="M1301" s="66"/>
      <c r="N1301" s="66"/>
      <c r="O1301" s="66"/>
      <c r="P1301" s="66"/>
      <c r="Q1301" s="66"/>
      <c r="R1301" s="66"/>
      <c r="S1301" s="66"/>
    </row>
    <row r="1302" spans="2:19" ht="18" customHeight="1">
      <c r="B1302" t="s">
        <v>684</v>
      </c>
      <c r="C1302" t="s">
        <v>685</v>
      </c>
      <c r="D1302" s="4"/>
      <c r="E1302" s="4">
        <v>2</v>
      </c>
      <c r="F1302" s="4"/>
      <c r="G1302" s="29" t="str">
        <f>IFERROR(HYPERLINK("#"&amp;ADDRESS(MATCH(B1302&amp;"ES",'LM7 Non-ENG'!$A$1:$A$5000,0),1,,,"LM7 Non-ENG"),IF(IFERROR(VLOOKUP(B1302&amp;"ES",'LM7 Non-ENG'!$A$1:$A$4999,1,FALSE),"ERROR")=B1302&amp;"ES","Y","")),"")</f>
        <v/>
      </c>
      <c r="H1302" s="29" t="str">
        <f>IFERROR(HYPERLINK("#"&amp;ADDRESS(MATCH(B1302&amp;"PT",'LM7 Non-ENG'!$A$1:$A$5000,0),1,,,"LM7 Non-ENG"),IF(IFERROR(VLOOKUP(B1302&amp;"PT",'LM7 Non-ENG'!$A$1:$A$5000,1,FALSE),"ERROR")=B1302&amp;"PT","Y","")),"")</f>
        <v/>
      </c>
      <c r="I1302" t="str">
        <f>IFERROR(VLOOKUP(B1302,PN!$A:$C,3,FALSE),"")</f>
        <v>Active</v>
      </c>
      <c r="J1302" s="3">
        <f>IFERROR(E1302*VLOOKUP(B1302,PLInter!$A:$D,3,FALSE),"")</f>
        <v>1160</v>
      </c>
      <c r="K1302" s="66"/>
      <c r="L1302" s="66"/>
      <c r="M1302" s="66"/>
      <c r="N1302" s="66"/>
      <c r="O1302" s="66"/>
      <c r="P1302" s="66"/>
      <c r="Q1302" s="66"/>
      <c r="R1302" s="66"/>
      <c r="S1302" s="66"/>
    </row>
    <row r="1303" spans="2:19" ht="18" customHeight="1">
      <c r="B1303" t="str">
        <f>"021172"</f>
        <v>021172</v>
      </c>
      <c r="C1303" t="s">
        <v>916</v>
      </c>
      <c r="D1303" s="4"/>
      <c r="E1303" s="4">
        <v>2</v>
      </c>
      <c r="F1303" s="4"/>
      <c r="G1303" s="29" t="str">
        <f>IFERROR(HYPERLINK("#"&amp;ADDRESS(MATCH(B1303&amp;"ES",'LM7 Non-ENG'!$A$1:$A$5000,0),1,,,"LM7 Non-ENG"),IF(IFERROR(VLOOKUP(B1303&amp;"ES",'LM7 Non-ENG'!$A$1:$A$4999,1,FALSE),"ERROR")=B1303&amp;"ES","Y","")),"")</f>
        <v/>
      </c>
      <c r="H1303" s="29" t="str">
        <f>IFERROR(HYPERLINK("#"&amp;ADDRESS(MATCH(B1303&amp;"PT",'LM7 Non-ENG'!$A$1:$A$5000,0),1,,,"LM7 Non-ENG"),IF(IFERROR(VLOOKUP(B1303&amp;"PT",'LM7 Non-ENG'!$A$1:$A$5000,1,FALSE),"ERROR")=B1303&amp;"PT","Y","")),"")</f>
        <v/>
      </c>
      <c r="I1303" t="str">
        <f>IFERROR(VLOOKUP(B1303,PN!$A:$C,3,FALSE),"")</f>
        <v>Active</v>
      </c>
      <c r="J1303" s="3">
        <f>IFERROR(E1303*VLOOKUP(B1303,PLInter!$A:$D,3,FALSE),"")</f>
        <v>80</v>
      </c>
      <c r="K1303" s="66"/>
      <c r="L1303" s="66"/>
      <c r="M1303" s="66"/>
      <c r="N1303" s="66"/>
      <c r="O1303" s="66"/>
      <c r="P1303" s="66"/>
      <c r="Q1303" s="66"/>
      <c r="R1303" s="66"/>
      <c r="S1303" s="66"/>
    </row>
    <row r="1304" spans="2:19" ht="18" customHeight="1">
      <c r="B1304" t="s">
        <v>917</v>
      </c>
      <c r="C1304" t="s">
        <v>918</v>
      </c>
      <c r="D1304" s="4"/>
      <c r="E1304" s="4">
        <v>1</v>
      </c>
      <c r="F1304" s="4"/>
      <c r="G1304" s="29" t="str">
        <f>IFERROR(HYPERLINK("#"&amp;ADDRESS(MATCH(B1304&amp;"ES",'LM7 Non-ENG'!$A$1:$A$5000,0),1,,,"LM7 Non-ENG"),IF(IFERROR(VLOOKUP(B1304&amp;"ES",'LM7 Non-ENG'!$A$1:$A$4999,1,FALSE),"ERROR")=B1304&amp;"ES","Y","")),"")</f>
        <v/>
      </c>
      <c r="H1304" s="29" t="str">
        <f>IFERROR(HYPERLINK("#"&amp;ADDRESS(MATCH(B1304&amp;"PT",'LM7 Non-ENG'!$A$1:$A$5000,0),1,,,"LM7 Non-ENG"),IF(IFERROR(VLOOKUP(B1304&amp;"PT",'LM7 Non-ENG'!$A$1:$A$5000,1,FALSE),"ERROR")=B1304&amp;"PT","Y","")),"")</f>
        <v/>
      </c>
      <c r="I1304" t="str">
        <f>IFERROR(VLOOKUP(B1304,PN!$A:$C,3,FALSE),"")</f>
        <v>Phase Out</v>
      </c>
      <c r="J1304" s="3">
        <f>IFERROR(E1304*VLOOKUP(B1304,PLInter!$A:$D,3,FALSE),"")</f>
        <v>1735</v>
      </c>
      <c r="K1304" s="66"/>
      <c r="L1304" s="66"/>
      <c r="M1304" s="66"/>
      <c r="N1304" s="66"/>
      <c r="O1304" s="66"/>
      <c r="P1304" s="66"/>
      <c r="Q1304" s="66"/>
      <c r="R1304" s="66"/>
      <c r="S1304" s="66"/>
    </row>
    <row r="1305" spans="2:19" ht="18" customHeight="1">
      <c r="B1305" t="s">
        <v>919</v>
      </c>
      <c r="C1305" t="s">
        <v>920</v>
      </c>
      <c r="D1305" s="4"/>
      <c r="E1305" s="4">
        <v>1</v>
      </c>
      <c r="F1305" s="4"/>
      <c r="G1305" s="29" t="str">
        <f>IFERROR(HYPERLINK("#"&amp;ADDRESS(MATCH(B1305&amp;"ES",'LM7 Non-ENG'!$A$1:$A$5000,0),1,,,"LM7 Non-ENG"),IF(IFERROR(VLOOKUP(B1305&amp;"ES",'LM7 Non-ENG'!$A$1:$A$4999,1,FALSE),"ERROR")=B1305&amp;"ES","Y","")),"")</f>
        <v/>
      </c>
      <c r="H1305" s="29" t="str">
        <f>IFERROR(HYPERLINK("#"&amp;ADDRESS(MATCH(B1305&amp;"PT",'LM7 Non-ENG'!$A$1:$A$5000,0),1,,,"LM7 Non-ENG"),IF(IFERROR(VLOOKUP(B1305&amp;"PT",'LM7 Non-ENG'!$A$1:$A$5000,1,FALSE),"ERROR")=B1305&amp;"PT","Y","")),"")</f>
        <v/>
      </c>
      <c r="I1305" t="str">
        <f>IFERROR(VLOOKUP(B1305,PN!$A:$C,3,FALSE),"")</f>
        <v>Active</v>
      </c>
      <c r="J1305" s="3">
        <f>IFERROR(E1305*VLOOKUP(B1305,PLInter!$A:$D,3,FALSE),"")</f>
        <v>635</v>
      </c>
      <c r="K1305" s="66"/>
      <c r="L1305" s="66"/>
      <c r="M1305" s="66"/>
      <c r="N1305" s="66"/>
      <c r="O1305" s="66"/>
      <c r="P1305" s="66"/>
      <c r="Q1305" s="66"/>
      <c r="R1305" s="66"/>
      <c r="S1305" s="66"/>
    </row>
    <row r="1306" spans="2:19" ht="18" customHeight="1">
      <c r="B1306" t="s">
        <v>921</v>
      </c>
      <c r="C1306" t="s">
        <v>922</v>
      </c>
      <c r="D1306" s="4"/>
      <c r="E1306" s="4">
        <v>1</v>
      </c>
      <c r="F1306" s="4"/>
      <c r="G1306" s="29" t="str">
        <f>IFERROR(HYPERLINK("#"&amp;ADDRESS(MATCH(B1306&amp;"ES",'LM7 Non-ENG'!$A$1:$A$5000,0),1,,,"LM7 Non-ENG"),IF(IFERROR(VLOOKUP(B1306&amp;"ES",'LM7 Non-ENG'!$A$1:$A$4999,1,FALSE),"ERROR")=B1306&amp;"ES","Y","")),"")</f>
        <v/>
      </c>
      <c r="H1306" s="29" t="str">
        <f>IFERROR(HYPERLINK("#"&amp;ADDRESS(MATCH(B1306&amp;"PT",'LM7 Non-ENG'!$A$1:$A$5000,0),1,,,"LM7 Non-ENG"),IF(IFERROR(VLOOKUP(B1306&amp;"PT",'LM7 Non-ENG'!$A$1:$A$5000,1,FALSE),"ERROR")=B1306&amp;"PT","Y","")),"")</f>
        <v/>
      </c>
      <c r="I1306" t="str">
        <f>IFERROR(VLOOKUP(B1306,PN!$A:$C,3,FALSE),"")</f>
        <v>Active</v>
      </c>
      <c r="J1306" s="3">
        <f>IFERROR(E1306*VLOOKUP(B1306,PLInter!$A:$D,3,FALSE),"")</f>
        <v>2585</v>
      </c>
      <c r="K1306" s="66"/>
      <c r="L1306" s="66"/>
      <c r="M1306" s="66"/>
      <c r="N1306" s="66"/>
      <c r="O1306" s="66"/>
      <c r="P1306" s="66"/>
      <c r="Q1306" s="66"/>
      <c r="R1306" s="66"/>
      <c r="S1306" s="66"/>
    </row>
    <row r="1307" spans="2:19" ht="18" customHeight="1">
      <c r="B1307" t="s">
        <v>935</v>
      </c>
      <c r="C1307" t="s">
        <v>936</v>
      </c>
      <c r="D1307" s="4"/>
      <c r="E1307" s="4">
        <v>1</v>
      </c>
      <c r="F1307" s="4"/>
      <c r="G1307" s="29" t="str">
        <f>IFERROR(HYPERLINK("#"&amp;ADDRESS(MATCH(B1307&amp;"ES",'LM7 Non-ENG'!$A$1:$A$5000,0),1,,,"LM7 Non-ENG"),IF(IFERROR(VLOOKUP(B1307&amp;"ES",'LM7 Non-ENG'!$A$1:$A$4999,1,FALSE),"ERROR")=B1307&amp;"ES","Y","")),"")</f>
        <v/>
      </c>
      <c r="H1307" s="29" t="str">
        <f>IFERROR(HYPERLINK("#"&amp;ADDRESS(MATCH(B1307&amp;"PT",'LM7 Non-ENG'!$A$1:$A$5000,0),1,,,"LM7 Non-ENG"),IF(IFERROR(VLOOKUP(B1307&amp;"PT",'LM7 Non-ENG'!$A$1:$A$5000,1,FALSE),"ERROR")=B1307&amp;"PT","Y","")),"")</f>
        <v/>
      </c>
      <c r="I1307" t="str">
        <f>IFERROR(VLOOKUP(B1307,PN!$A:$C,3,FALSE),"")</f>
        <v>Phase Out</v>
      </c>
      <c r="J1307" s="3">
        <f>IFERROR(E1307*VLOOKUP(B1307,PLInter!$A:$D,3,FALSE),"")</f>
        <v>85</v>
      </c>
      <c r="K1307" s="66"/>
      <c r="L1307" s="66"/>
      <c r="M1307" s="66"/>
      <c r="N1307" s="66"/>
      <c r="O1307" s="66"/>
      <c r="P1307" s="66"/>
      <c r="Q1307" s="66"/>
      <c r="R1307" s="66"/>
      <c r="S1307" s="66"/>
    </row>
    <row r="1308" spans="2:19" ht="18" customHeight="1">
      <c r="B1308" t="s">
        <v>937</v>
      </c>
      <c r="C1308" t="s">
        <v>938</v>
      </c>
      <c r="D1308" s="4"/>
      <c r="E1308" s="4">
        <v>1</v>
      </c>
      <c r="F1308" s="4"/>
      <c r="G1308" s="29" t="str">
        <f>IFERROR(HYPERLINK("#"&amp;ADDRESS(MATCH(B1308&amp;"ES",'LM7 Non-ENG'!$A$1:$A$5000,0),1,,,"LM7 Non-ENG"),IF(IFERROR(VLOOKUP(B1308&amp;"ES",'LM7 Non-ENG'!$A$1:$A$4999,1,FALSE),"ERROR")=B1308&amp;"ES","Y","")),"")</f>
        <v/>
      </c>
      <c r="H1308" s="29" t="str">
        <f>IFERROR(HYPERLINK("#"&amp;ADDRESS(MATCH(B1308&amp;"PT",'LM7 Non-ENG'!$A$1:$A$5000,0),1,,,"LM7 Non-ENG"),IF(IFERROR(VLOOKUP(B1308&amp;"PT",'LM7 Non-ENG'!$A$1:$A$5000,1,FALSE),"ERROR")=B1308&amp;"PT","Y","")),"")</f>
        <v/>
      </c>
      <c r="I1308" t="str">
        <f>IFERROR(VLOOKUP(B1308,PN!$A:$C,3,FALSE),"")</f>
        <v>Active</v>
      </c>
      <c r="J1308" s="3">
        <f>IFERROR(E1308*VLOOKUP(B1308,PLInter!$A:$D,3,FALSE),"")</f>
        <v>39360</v>
      </c>
      <c r="K1308" s="66"/>
      <c r="L1308" s="66"/>
      <c r="M1308" s="66"/>
      <c r="N1308" s="66"/>
      <c r="O1308" s="66"/>
      <c r="P1308" s="66"/>
      <c r="Q1308" s="66"/>
      <c r="R1308" s="66"/>
      <c r="S1308" s="66"/>
    </row>
    <row r="1309" spans="2:19" ht="18" customHeight="1">
      <c r="B1309" t="s">
        <v>925</v>
      </c>
      <c r="C1309" t="s">
        <v>926</v>
      </c>
      <c r="D1309" s="4"/>
      <c r="E1309" s="4">
        <v>1</v>
      </c>
      <c r="F1309" s="4"/>
      <c r="G1309" s="29" t="str">
        <f>IFERROR(HYPERLINK("#"&amp;ADDRESS(MATCH(B1309&amp;"ES",'LM7 Non-ENG'!$A$1:$A$5000,0),1,,,"LM7 Non-ENG"),IF(IFERROR(VLOOKUP(B1309&amp;"ES",'LM7 Non-ENG'!$A$1:$A$4999,1,FALSE),"ERROR")=B1309&amp;"ES","Y","")),"")</f>
        <v/>
      </c>
      <c r="H1309" s="29" t="str">
        <f>IFERROR(HYPERLINK("#"&amp;ADDRESS(MATCH(B1309&amp;"PT",'LM7 Non-ENG'!$A$1:$A$5000,0),1,,,"LM7 Non-ENG"),IF(IFERROR(VLOOKUP(B1309&amp;"PT",'LM7 Non-ENG'!$A$1:$A$5000,1,FALSE),"ERROR")=B1309&amp;"PT","Y","")),"")</f>
        <v/>
      </c>
      <c r="I1309" t="str">
        <f>IFERROR(VLOOKUP(B1309,PN!$A:$C,3,FALSE),"")</f>
        <v>Active</v>
      </c>
      <c r="J1309" s="3">
        <f>IFERROR(E1309*VLOOKUP(B1309,PLInter!$A:$D,3,FALSE),"")</f>
        <v>2760</v>
      </c>
      <c r="K1309" s="66"/>
      <c r="L1309" s="66"/>
      <c r="M1309" s="66"/>
      <c r="N1309" s="66"/>
      <c r="O1309" s="66"/>
      <c r="P1309" s="66"/>
      <c r="Q1309" s="66"/>
      <c r="R1309" s="66"/>
      <c r="S1309" s="66"/>
    </row>
    <row r="1310" spans="2:19" ht="18" customHeight="1">
      <c r="B1310" t="s">
        <v>927</v>
      </c>
      <c r="C1310" t="s">
        <v>928</v>
      </c>
      <c r="D1310" s="4"/>
      <c r="E1310" s="4">
        <v>1</v>
      </c>
      <c r="F1310" s="4"/>
      <c r="G1310" s="29" t="str">
        <f>IFERROR(HYPERLINK("#"&amp;ADDRESS(MATCH(B1310&amp;"ES",'LM7 Non-ENG'!$A$1:$A$5000,0),1,,,"LM7 Non-ENG"),IF(IFERROR(VLOOKUP(B1310&amp;"ES",'LM7 Non-ENG'!$A$1:$A$4999,1,FALSE),"ERROR")=B1310&amp;"ES","Y","")),"")</f>
        <v/>
      </c>
      <c r="H1310" s="29" t="str">
        <f>IFERROR(HYPERLINK("#"&amp;ADDRESS(MATCH(B1310&amp;"PT",'LM7 Non-ENG'!$A$1:$A$5000,0),1,,,"LM7 Non-ENG"),IF(IFERROR(VLOOKUP(B1310&amp;"PT",'LM7 Non-ENG'!$A$1:$A$5000,1,FALSE),"ERROR")=B1310&amp;"PT","Y","")),"")</f>
        <v/>
      </c>
      <c r="I1310" t="str">
        <f>IFERROR(VLOOKUP(B1310,PN!$A:$C,3,FALSE),"")</f>
        <v>Active</v>
      </c>
      <c r="J1310" s="3">
        <f>IFERROR(E1310*VLOOKUP(B1310,PLInter!$A:$D,3,FALSE),"")</f>
        <v>467</v>
      </c>
      <c r="K1310" s="66"/>
      <c r="L1310" s="66"/>
      <c r="M1310" s="66"/>
      <c r="N1310" s="66"/>
      <c r="O1310" s="66"/>
      <c r="P1310" s="66"/>
      <c r="Q1310" s="66"/>
      <c r="R1310" s="66"/>
      <c r="S1310" s="66"/>
    </row>
    <row r="1311" spans="2:19" ht="18" customHeight="1">
      <c r="B1311" t="s">
        <v>668</v>
      </c>
      <c r="C1311" t="s">
        <v>669</v>
      </c>
      <c r="D1311" s="4"/>
      <c r="E1311" s="4">
        <v>1</v>
      </c>
      <c r="F1311" s="4"/>
      <c r="G1311" s="29" t="str">
        <f>IFERROR(HYPERLINK("#"&amp;ADDRESS(MATCH(B1311&amp;"ES",'LM7 Non-ENG'!$A$1:$A$5000,0),1,,,"LM7 Non-ENG"),IF(IFERROR(VLOOKUP(B1311&amp;"ES",'LM7 Non-ENG'!$A$1:$A$4999,1,FALSE),"ERROR")=B1311&amp;"ES","Y","")),"")</f>
        <v/>
      </c>
      <c r="H1311" s="29" t="str">
        <f>IFERROR(HYPERLINK("#"&amp;ADDRESS(MATCH(B1311&amp;"PT",'LM7 Non-ENG'!$A$1:$A$5000,0),1,,,"LM7 Non-ENG"),IF(IFERROR(VLOOKUP(B1311&amp;"PT",'LM7 Non-ENG'!$A$1:$A$5000,1,FALSE),"ERROR")=B1311&amp;"PT","Y","")),"")</f>
        <v/>
      </c>
      <c r="I1311" t="str">
        <f>IFERROR(VLOOKUP(B1311,PN!$A:$C,3,FALSE),"")</f>
        <v>Active</v>
      </c>
      <c r="J1311" s="3">
        <f>IFERROR(E1311*VLOOKUP(B1311,PLInter!$A:$D,3,FALSE),"")</f>
        <v>480</v>
      </c>
      <c r="K1311" s="66"/>
      <c r="L1311" s="66"/>
      <c r="M1311" s="66"/>
      <c r="N1311" s="66"/>
      <c r="O1311" s="66"/>
      <c r="P1311" s="66"/>
      <c r="Q1311" s="66"/>
      <c r="R1311" s="66"/>
      <c r="S1311" s="66"/>
    </row>
    <row r="1312" spans="2:19" ht="18" customHeight="1">
      <c r="B1312" t="s">
        <v>630</v>
      </c>
      <c r="C1312" t="s">
        <v>631</v>
      </c>
      <c r="D1312" s="4"/>
      <c r="E1312" s="4">
        <v>1</v>
      </c>
      <c r="F1312" s="4"/>
      <c r="G1312" s="29" t="str">
        <f>IFERROR(HYPERLINK("#"&amp;ADDRESS(MATCH(B1312&amp;"ES",'LM7 Non-ENG'!$A$1:$A$5000,0),1,,,"LM7 Non-ENG"),IF(IFERROR(VLOOKUP(B1312&amp;"ES",'LM7 Non-ENG'!$A$1:$A$4999,1,FALSE),"ERROR")=B1312&amp;"ES","Y","")),"")</f>
        <v/>
      </c>
      <c r="H1312" s="29" t="str">
        <f>IFERROR(HYPERLINK("#"&amp;ADDRESS(MATCH(B1312&amp;"PT",'LM7 Non-ENG'!$A$1:$A$5000,0),1,,,"LM7 Non-ENG"),IF(IFERROR(VLOOKUP(B1312&amp;"PT",'LM7 Non-ENG'!$A$1:$A$5000,1,FALSE),"ERROR")=B1312&amp;"PT","Y","")),"")</f>
        <v/>
      </c>
      <c r="I1312" t="str">
        <f>IFERROR(VLOOKUP(B1312,PN!$A:$C,3,FALSE),"")</f>
        <v>Active</v>
      </c>
      <c r="J1312" s="3">
        <f>IFERROR(E1312*VLOOKUP(B1312,PLInter!$A:$D,3,FALSE),"")</f>
        <v>1735</v>
      </c>
      <c r="K1312" s="66"/>
      <c r="L1312" s="66"/>
      <c r="M1312" s="66"/>
      <c r="N1312" s="66"/>
      <c r="O1312" s="66"/>
      <c r="P1312" s="66"/>
      <c r="Q1312" s="66"/>
      <c r="R1312" s="66"/>
      <c r="S1312" s="66"/>
    </row>
    <row r="1314" spans="1:19" s="7" customFormat="1" ht="18" customHeight="1">
      <c r="A1314" s="13" t="s">
        <v>949</v>
      </c>
      <c r="B1314" s="13"/>
      <c r="C1314" s="13" t="s">
        <v>950</v>
      </c>
      <c r="D1314" s="14"/>
      <c r="E1314" s="14"/>
      <c r="F1314" s="14"/>
      <c r="G1314" s="14"/>
      <c r="H1314" s="14"/>
      <c r="I1314" s="14"/>
      <c r="J1314" s="14">
        <f>SUMIFS(J1315:J1330,D1315:D1330,"&lt;&gt;Y",F1315:F1330,"&lt;&gt;Y",I1315:I1330,"&lt;&gt;Inactive",I1315:I1330,"&lt;&gt;ECO+NFS")</f>
        <v>38654</v>
      </c>
      <c r="K1314" s="14"/>
      <c r="L1314" s="14"/>
      <c r="M1314" s="14"/>
      <c r="N1314" s="14"/>
      <c r="O1314" s="14"/>
      <c r="P1314" s="14"/>
      <c r="Q1314" s="14"/>
      <c r="R1314" s="14"/>
      <c r="S1314" s="14"/>
    </row>
    <row r="1315" spans="1:19" ht="18" customHeight="1">
      <c r="A1315" s="17" t="str">
        <f>HYPERLINK("#"&amp;ADDRESS(MATCH(A1314,'CIM&amp;FMS'!$A$1:$A$4997,0),1,,,"CIM&amp;FMS"),"Back to Price List")</f>
        <v>Back to Price List</v>
      </c>
      <c r="B1315" t="s">
        <v>214</v>
      </c>
      <c r="C1315" t="s">
        <v>654</v>
      </c>
      <c r="D1315" s="4"/>
      <c r="E1315" s="4">
        <v>1</v>
      </c>
      <c r="F1315" s="4"/>
      <c r="G1315" s="29" t="str">
        <f>IFERROR(HYPERLINK("#"&amp;ADDRESS(MATCH(B1315&amp;"ES",'LM7 Non-ENG'!$A$1:$A$5000,0),1,,,"LM7 Non-ENG"),IF(IFERROR(VLOOKUP(B1315&amp;"ES",'LM7 Non-ENG'!$A$1:$A$4999,1,FALSE),"ERROR")=B1315&amp;"ES","Y","")),"")</f>
        <v/>
      </c>
      <c r="H1315" s="29" t="str">
        <f>IFERROR(HYPERLINK("#"&amp;ADDRESS(MATCH(B1315&amp;"PT",'LM7 Non-ENG'!$A$1:$A$5000,0),1,,,"LM7 Non-ENG"),IF(IFERROR(VLOOKUP(B1315&amp;"PT",'LM7 Non-ENG'!$A$1:$A$5000,1,FALSE),"ERROR")=B1315&amp;"PT","Y","")),"")</f>
        <v/>
      </c>
      <c r="I1315" t="str">
        <f>IFERROR(VLOOKUP(B1315,PN!$A:$C,3,FALSE),"")</f>
        <v>Active</v>
      </c>
      <c r="J1315" s="3">
        <f>IFERROR(E1315*VLOOKUP(B1315,PLInter!$A:$D,3,FALSE),"")</f>
        <v>24000</v>
      </c>
      <c r="K1315" s="66"/>
      <c r="L1315" s="66"/>
      <c r="M1315" s="66"/>
      <c r="N1315" s="66"/>
      <c r="O1315" s="66"/>
      <c r="P1315" s="66"/>
      <c r="Q1315" s="66"/>
      <c r="R1315" s="66"/>
      <c r="S1315" s="66"/>
    </row>
    <row r="1316" spans="1:19" ht="18" customHeight="1">
      <c r="B1316" t="s">
        <v>228</v>
      </c>
      <c r="C1316" t="s">
        <v>655</v>
      </c>
      <c r="D1316" s="4"/>
      <c r="E1316" s="4">
        <v>1</v>
      </c>
      <c r="F1316" s="4"/>
      <c r="G1316" s="29" t="str">
        <f>IFERROR(HYPERLINK("#"&amp;ADDRESS(MATCH(B1316&amp;"ES",'LM7 Non-ENG'!$A$1:$A$5000,0),1,,,"LM7 Non-ENG"),IF(IFERROR(VLOOKUP(B1316&amp;"ES",'LM7 Non-ENG'!$A$1:$A$4999,1,FALSE),"ERROR")=B1316&amp;"ES","Y","")),"")</f>
        <v/>
      </c>
      <c r="H1316" s="29" t="str">
        <f>IFERROR(HYPERLINK("#"&amp;ADDRESS(MATCH(B1316&amp;"PT",'LM7 Non-ENG'!$A$1:$A$5000,0),1,,,"LM7 Non-ENG"),IF(IFERROR(VLOOKUP(B1316&amp;"PT",'LM7 Non-ENG'!$A$1:$A$5000,1,FALSE),"ERROR")=B1316&amp;"PT","Y","")),"")</f>
        <v/>
      </c>
      <c r="I1316" t="str">
        <f>IFERROR(VLOOKUP(B1316,PN!$A:$C,3,FALSE),"")</f>
        <v>Active</v>
      </c>
      <c r="J1316" s="3">
        <f>IFERROR(E1316*VLOOKUP(B1316,PLInter!$A:$D,3,FALSE),"")</f>
        <v>2134</v>
      </c>
      <c r="K1316" s="66"/>
      <c r="L1316" s="66"/>
      <c r="M1316" s="66"/>
      <c r="N1316" s="66"/>
      <c r="O1316" s="66"/>
      <c r="P1316" s="66"/>
      <c r="Q1316" s="66"/>
      <c r="R1316" s="66"/>
      <c r="S1316" s="66"/>
    </row>
    <row r="1317" spans="1:19" ht="18" customHeight="1">
      <c r="B1317" s="2" t="s">
        <v>227</v>
      </c>
      <c r="C1317" s="2" t="s">
        <v>232</v>
      </c>
      <c r="D1317" s="5"/>
      <c r="E1317" s="5">
        <v>1</v>
      </c>
      <c r="F1317" s="5" t="s">
        <v>0</v>
      </c>
      <c r="G1317" s="29" t="str">
        <f>IFERROR(HYPERLINK("#"&amp;ADDRESS(MATCH(B1317&amp;"ES",'LM7 Non-ENG'!$A$1:$A$5000,0),1,,,"LM7 Non-ENG"),IF(IFERROR(VLOOKUP(B1317&amp;"ES",'LM7 Non-ENG'!$A$1:$A$4999,1,FALSE),"ERROR")=B1317&amp;"ES","Y","")),"")</f>
        <v/>
      </c>
      <c r="H1317" s="29" t="str">
        <f>IFERROR(HYPERLINK("#"&amp;ADDRESS(MATCH(B1317&amp;"PT",'LM7 Non-ENG'!$A$1:$A$5000,0),1,,,"LM7 Non-ENG"),IF(IFERROR(VLOOKUP(B1317&amp;"PT",'LM7 Non-ENG'!$A$1:$A$5000,1,FALSE),"ERROR")=B1317&amp;"PT","Y","")),"")</f>
        <v/>
      </c>
      <c r="I1317" t="str">
        <f>IFERROR(VLOOKUP(B1317,PN!$A:$C,3,FALSE),"")</f>
        <v>Active</v>
      </c>
      <c r="J1317" s="3">
        <f>IFERROR(E1317*VLOOKUP(B1317,PLInter!$A:$D,3,FALSE),"")</f>
        <v>1700</v>
      </c>
      <c r="K1317" s="66"/>
      <c r="L1317" s="66"/>
      <c r="M1317" s="66"/>
      <c r="N1317" s="66"/>
      <c r="O1317" s="66"/>
      <c r="P1317" s="66"/>
      <c r="Q1317" s="66"/>
      <c r="R1317" s="66"/>
      <c r="S1317" s="66"/>
    </row>
    <row r="1318" spans="1:19" ht="18" customHeight="1">
      <c r="B1318" t="s">
        <v>236</v>
      </c>
      <c r="C1318" t="s">
        <v>626</v>
      </c>
      <c r="D1318" s="4"/>
      <c r="E1318" s="4">
        <v>1</v>
      </c>
      <c r="F1318" s="4"/>
      <c r="G1318" s="29" t="str">
        <f>IFERROR(HYPERLINK("#"&amp;ADDRESS(MATCH(B1318&amp;"ES",'LM7 Non-ENG'!$A$1:$A$5000,0),1,,,"LM7 Non-ENG"),IF(IFERROR(VLOOKUP(B1318&amp;"ES",'LM7 Non-ENG'!$A$1:$A$4999,1,FALSE),"ERROR")=B1318&amp;"ES","Y","")),"")</f>
        <v/>
      </c>
      <c r="H1318" s="29" t="str">
        <f>IFERROR(HYPERLINK("#"&amp;ADDRESS(MATCH(B1318&amp;"PT",'LM7 Non-ENG'!$A$1:$A$5000,0),1,,,"LM7 Non-ENG"),IF(IFERROR(VLOOKUP(B1318&amp;"PT",'LM7 Non-ENG'!$A$1:$A$5000,1,FALSE),"ERROR")=B1318&amp;"PT","Y","")),"")</f>
        <v/>
      </c>
      <c r="I1318" t="str">
        <f>IFERROR(VLOOKUP(B1318,PN!$A:$C,3,FALSE),"")</f>
        <v>Active</v>
      </c>
      <c r="J1318" s="3">
        <f>IFERROR(E1318*VLOOKUP(B1318,PLInter!$A:$D,3,FALSE),"")</f>
        <v>1680</v>
      </c>
      <c r="K1318" s="66"/>
      <c r="L1318" s="66"/>
      <c r="M1318" s="66"/>
      <c r="N1318" s="66"/>
      <c r="O1318" s="66"/>
      <c r="P1318" s="66"/>
      <c r="Q1318" s="66"/>
      <c r="R1318" s="66"/>
      <c r="S1318" s="66"/>
    </row>
    <row r="1319" spans="1:19" ht="18" customHeight="1">
      <c r="B1319" t="str">
        <f>"034025"</f>
        <v>034025</v>
      </c>
      <c r="C1319" t="s">
        <v>777</v>
      </c>
      <c r="D1319" s="4"/>
      <c r="E1319" s="4">
        <v>1</v>
      </c>
      <c r="F1319" s="4"/>
      <c r="G1319" s="29" t="str">
        <f>IFERROR(HYPERLINK("#"&amp;ADDRESS(MATCH(B1319&amp;"ES",'LM7 Non-ENG'!$A$1:$A$5000,0),1,,,"LM7 Non-ENG"),IF(IFERROR(VLOOKUP(B1319&amp;"ES",'LM7 Non-ENG'!$A$1:$A$4999,1,FALSE),"ERROR")=B1319&amp;"ES","Y","")),"")</f>
        <v/>
      </c>
      <c r="H1319" s="29" t="str">
        <f>IFERROR(HYPERLINK("#"&amp;ADDRESS(MATCH(B1319&amp;"PT",'LM7 Non-ENG'!$A$1:$A$5000,0),1,,,"LM7 Non-ENG"),IF(IFERROR(VLOOKUP(B1319&amp;"PT",'LM7 Non-ENG'!$A$1:$A$5000,1,FALSE),"ERROR")=B1319&amp;"PT","Y","")),"")</f>
        <v/>
      </c>
      <c r="I1319" t="str">
        <f>IFERROR(VLOOKUP(B1319,PN!$A:$C,3,FALSE),"")</f>
        <v>Active</v>
      </c>
      <c r="J1319" s="3">
        <f>IFERROR(E1319*VLOOKUP(B1319,PLInter!$A:$D,3,FALSE),"")</f>
        <v>1267</v>
      </c>
      <c r="K1319" s="66"/>
      <c r="L1319" s="66"/>
      <c r="M1319" s="66"/>
      <c r="N1319" s="66"/>
      <c r="O1319" s="66"/>
      <c r="P1319" s="66"/>
      <c r="Q1319" s="66"/>
      <c r="R1319" s="66"/>
      <c r="S1319" s="66"/>
    </row>
    <row r="1320" spans="1:19" ht="18" customHeight="1">
      <c r="B1320" t="s">
        <v>914</v>
      </c>
      <c r="C1320" t="s">
        <v>915</v>
      </c>
      <c r="D1320" s="4"/>
      <c r="E1320" s="4">
        <v>1</v>
      </c>
      <c r="F1320" s="4"/>
      <c r="G1320" s="29" t="str">
        <f>IFERROR(HYPERLINK("#"&amp;ADDRESS(MATCH(B1320&amp;"ES",'LM7 Non-ENG'!$A$1:$A$5000,0),1,,,"LM7 Non-ENG"),IF(IFERROR(VLOOKUP(B1320&amp;"ES",'LM7 Non-ENG'!$A$1:$A$4999,1,FALSE),"ERROR")=B1320&amp;"ES","Y","")),"")</f>
        <v/>
      </c>
      <c r="H1320" s="29" t="str">
        <f>IFERROR(HYPERLINK("#"&amp;ADDRESS(MATCH(B1320&amp;"PT",'LM7 Non-ENG'!$A$1:$A$5000,0),1,,,"LM7 Non-ENG"),IF(IFERROR(VLOOKUP(B1320&amp;"PT",'LM7 Non-ENG'!$A$1:$A$5000,1,FALSE),"ERROR")=B1320&amp;"PT","Y","")),"")</f>
        <v/>
      </c>
      <c r="I1320" t="str">
        <f>IFERROR(VLOOKUP(B1320,PN!$A:$C,3,FALSE),"")</f>
        <v>Active</v>
      </c>
      <c r="J1320" s="3">
        <f>IFERROR(E1320*VLOOKUP(B1320,PLInter!$A:$D,3,FALSE),"")</f>
        <v>134</v>
      </c>
      <c r="K1320" s="66"/>
      <c r="L1320" s="66"/>
      <c r="M1320" s="66"/>
      <c r="N1320" s="66"/>
      <c r="O1320" s="66"/>
      <c r="P1320" s="66"/>
      <c r="Q1320" s="66"/>
      <c r="R1320" s="66"/>
      <c r="S1320" s="66"/>
    </row>
    <row r="1321" spans="1:19" ht="18" customHeight="1">
      <c r="B1321" t="s">
        <v>684</v>
      </c>
      <c r="C1321" t="s">
        <v>685</v>
      </c>
      <c r="D1321" s="4"/>
      <c r="E1321" s="4">
        <v>2</v>
      </c>
      <c r="F1321" s="4"/>
      <c r="G1321" s="29" t="str">
        <f>IFERROR(HYPERLINK("#"&amp;ADDRESS(MATCH(B1321&amp;"ES",'LM7 Non-ENG'!$A$1:$A$5000,0),1,,,"LM7 Non-ENG"),IF(IFERROR(VLOOKUP(B1321&amp;"ES",'LM7 Non-ENG'!$A$1:$A$4999,1,FALSE),"ERROR")=B1321&amp;"ES","Y","")),"")</f>
        <v/>
      </c>
      <c r="H1321" s="29" t="str">
        <f>IFERROR(HYPERLINK("#"&amp;ADDRESS(MATCH(B1321&amp;"PT",'LM7 Non-ENG'!$A$1:$A$5000,0),1,,,"LM7 Non-ENG"),IF(IFERROR(VLOOKUP(B1321&amp;"PT",'LM7 Non-ENG'!$A$1:$A$5000,1,FALSE),"ERROR")=B1321&amp;"PT","Y","")),"")</f>
        <v/>
      </c>
      <c r="I1321" t="str">
        <f>IFERROR(VLOOKUP(B1321,PN!$A:$C,3,FALSE),"")</f>
        <v>Active</v>
      </c>
      <c r="J1321" s="3">
        <f>IFERROR(E1321*VLOOKUP(B1321,PLInter!$A:$D,3,FALSE),"")</f>
        <v>1160</v>
      </c>
      <c r="K1321" s="66"/>
      <c r="L1321" s="66"/>
      <c r="M1321" s="66"/>
      <c r="N1321" s="66"/>
      <c r="O1321" s="66"/>
      <c r="P1321" s="66"/>
      <c r="Q1321" s="66"/>
      <c r="R1321" s="66"/>
      <c r="S1321" s="66"/>
    </row>
    <row r="1322" spans="1:19" ht="18" customHeight="1">
      <c r="B1322" t="str">
        <f>"021172"</f>
        <v>021172</v>
      </c>
      <c r="C1322" t="s">
        <v>916</v>
      </c>
      <c r="D1322" s="4"/>
      <c r="E1322" s="4">
        <v>2</v>
      </c>
      <c r="F1322" s="4"/>
      <c r="G1322" s="29" t="str">
        <f>IFERROR(HYPERLINK("#"&amp;ADDRESS(MATCH(B1322&amp;"ES",'LM7 Non-ENG'!$A$1:$A$5000,0),1,,,"LM7 Non-ENG"),IF(IFERROR(VLOOKUP(B1322&amp;"ES",'LM7 Non-ENG'!$A$1:$A$4999,1,FALSE),"ERROR")=B1322&amp;"ES","Y","")),"")</f>
        <v/>
      </c>
      <c r="H1322" s="29" t="str">
        <f>IFERROR(HYPERLINK("#"&amp;ADDRESS(MATCH(B1322&amp;"PT",'LM7 Non-ENG'!$A$1:$A$5000,0),1,,,"LM7 Non-ENG"),IF(IFERROR(VLOOKUP(B1322&amp;"PT",'LM7 Non-ENG'!$A$1:$A$5000,1,FALSE),"ERROR")=B1322&amp;"PT","Y","")),"")</f>
        <v/>
      </c>
      <c r="I1322" t="str">
        <f>IFERROR(VLOOKUP(B1322,PN!$A:$C,3,FALSE),"")</f>
        <v>Active</v>
      </c>
      <c r="J1322" s="3">
        <f>IFERROR(E1322*VLOOKUP(B1322,PLInter!$A:$D,3,FALSE),"")</f>
        <v>80</v>
      </c>
      <c r="K1322" s="66"/>
      <c r="L1322" s="66"/>
      <c r="M1322" s="66"/>
      <c r="N1322" s="66"/>
      <c r="O1322" s="66"/>
      <c r="P1322" s="66"/>
      <c r="Q1322" s="66"/>
      <c r="R1322" s="66"/>
      <c r="S1322" s="66"/>
    </row>
    <row r="1323" spans="1:19" ht="18" customHeight="1">
      <c r="B1323" t="s">
        <v>917</v>
      </c>
      <c r="C1323" t="s">
        <v>951</v>
      </c>
      <c r="D1323" s="4"/>
      <c r="E1323" s="4">
        <v>1</v>
      </c>
      <c r="F1323" s="4"/>
      <c r="G1323" s="29" t="str">
        <f>IFERROR(HYPERLINK("#"&amp;ADDRESS(MATCH(B1323&amp;"ES",'LM7 Non-ENG'!$A$1:$A$5000,0),1,,,"LM7 Non-ENG"),IF(IFERROR(VLOOKUP(B1323&amp;"ES",'LM7 Non-ENG'!$A$1:$A$4999,1,FALSE),"ERROR")=B1323&amp;"ES","Y","")),"")</f>
        <v/>
      </c>
      <c r="H1323" s="29" t="str">
        <f>IFERROR(HYPERLINK("#"&amp;ADDRESS(MATCH(B1323&amp;"PT",'LM7 Non-ENG'!$A$1:$A$5000,0),1,,,"LM7 Non-ENG"),IF(IFERROR(VLOOKUP(B1323&amp;"PT",'LM7 Non-ENG'!$A$1:$A$5000,1,FALSE),"ERROR")=B1323&amp;"PT","Y","")),"")</f>
        <v/>
      </c>
      <c r="I1323" t="str">
        <f>IFERROR(VLOOKUP(B1323,PN!$A:$C,3,FALSE),"")</f>
        <v>Phase Out</v>
      </c>
      <c r="J1323" s="3">
        <f>IFERROR(E1323*VLOOKUP(B1323,PLInter!$A:$D,3,FALSE),"")</f>
        <v>1735</v>
      </c>
      <c r="K1323" s="66"/>
      <c r="L1323" s="66"/>
      <c r="M1323" s="66"/>
      <c r="N1323" s="66"/>
      <c r="O1323" s="66"/>
      <c r="P1323" s="66"/>
      <c r="Q1323" s="66"/>
      <c r="R1323" s="66"/>
      <c r="S1323" s="66"/>
    </row>
    <row r="1324" spans="1:19" ht="18" customHeight="1">
      <c r="B1324" t="s">
        <v>919</v>
      </c>
      <c r="C1324" t="s">
        <v>952</v>
      </c>
      <c r="D1324" s="4"/>
      <c r="E1324" s="4">
        <v>1</v>
      </c>
      <c r="F1324" s="4"/>
      <c r="G1324" s="29" t="str">
        <f>IFERROR(HYPERLINK("#"&amp;ADDRESS(MATCH(B1324&amp;"ES",'LM7 Non-ENG'!$A$1:$A$5000,0),1,,,"LM7 Non-ENG"),IF(IFERROR(VLOOKUP(B1324&amp;"ES",'LM7 Non-ENG'!$A$1:$A$4999,1,FALSE),"ERROR")=B1324&amp;"ES","Y","")),"")</f>
        <v/>
      </c>
      <c r="H1324" s="29" t="str">
        <f>IFERROR(HYPERLINK("#"&amp;ADDRESS(MATCH(B1324&amp;"PT",'LM7 Non-ENG'!$A$1:$A$5000,0),1,,,"LM7 Non-ENG"),IF(IFERROR(VLOOKUP(B1324&amp;"PT",'LM7 Non-ENG'!$A$1:$A$5000,1,FALSE),"ERROR")=B1324&amp;"PT","Y","")),"")</f>
        <v/>
      </c>
      <c r="I1324" t="str">
        <f>IFERROR(VLOOKUP(B1324,PN!$A:$C,3,FALSE),"")</f>
        <v>Active</v>
      </c>
      <c r="J1324" s="3">
        <f>IFERROR(E1324*VLOOKUP(B1324,PLInter!$A:$D,3,FALSE),"")</f>
        <v>635</v>
      </c>
      <c r="K1324" s="66"/>
      <c r="L1324" s="66"/>
      <c r="M1324" s="66"/>
      <c r="N1324" s="66"/>
      <c r="O1324" s="66"/>
      <c r="P1324" s="66"/>
      <c r="Q1324" s="66"/>
      <c r="R1324" s="66"/>
      <c r="S1324" s="66"/>
    </row>
    <row r="1325" spans="1:19" ht="18" customHeight="1">
      <c r="B1325" t="str">
        <f>"021061"</f>
        <v>021061</v>
      </c>
      <c r="C1325" t="s">
        <v>953</v>
      </c>
      <c r="D1325" s="4"/>
      <c r="E1325" s="4">
        <v>1</v>
      </c>
      <c r="F1325" s="4"/>
      <c r="G1325" s="29" t="str">
        <f>IFERROR(HYPERLINK("#"&amp;ADDRESS(MATCH(B1325&amp;"ES",'LM7 Non-ENG'!$A$1:$A$5000,0),1,,,"LM7 Non-ENG"),IF(IFERROR(VLOOKUP(B1325&amp;"ES",'LM7 Non-ENG'!$A$1:$A$4999,1,FALSE),"ERROR")=B1325&amp;"ES","Y","")),"")</f>
        <v/>
      </c>
      <c r="H1325" s="29" t="str">
        <f>IFERROR(HYPERLINK("#"&amp;ADDRESS(MATCH(B1325&amp;"PT",'LM7 Non-ENG'!$A$1:$A$5000,0),1,,,"LM7 Non-ENG"),IF(IFERROR(VLOOKUP(B1325&amp;"PT",'LM7 Non-ENG'!$A$1:$A$5000,1,FALSE),"ERROR")=B1325&amp;"PT","Y","")),"")</f>
        <v/>
      </c>
      <c r="I1325" t="str">
        <f>IFERROR(VLOOKUP(B1325,PN!$A:$C,3,FALSE),"")</f>
        <v>Active</v>
      </c>
      <c r="J1325" s="3">
        <f>IFERROR(E1325*VLOOKUP(B1325,PLInter!$A:$D,3,FALSE),"")</f>
        <v>320</v>
      </c>
      <c r="K1325" s="66"/>
      <c r="L1325" s="66"/>
      <c r="M1325" s="66"/>
      <c r="N1325" s="66"/>
      <c r="O1325" s="66"/>
      <c r="P1325" s="66"/>
      <c r="Q1325" s="66"/>
      <c r="R1325" s="66"/>
      <c r="S1325" s="66"/>
    </row>
    <row r="1326" spans="1:19" ht="18" customHeight="1">
      <c r="B1326" t="str">
        <f>"021062"</f>
        <v>021062</v>
      </c>
      <c r="C1326" t="s">
        <v>954</v>
      </c>
      <c r="D1326" s="4"/>
      <c r="E1326" s="4">
        <v>1</v>
      </c>
      <c r="F1326" s="4"/>
      <c r="G1326" s="29" t="str">
        <f>IFERROR(HYPERLINK("#"&amp;ADDRESS(MATCH(B1326&amp;"ES",'LM7 Non-ENG'!$A$1:$A$5000,0),1,,,"LM7 Non-ENG"),IF(IFERROR(VLOOKUP(B1326&amp;"ES",'LM7 Non-ENG'!$A$1:$A$4999,1,FALSE),"ERROR")=B1326&amp;"ES","Y","")),"")</f>
        <v/>
      </c>
      <c r="H1326" s="29" t="str">
        <f>IFERROR(HYPERLINK("#"&amp;ADDRESS(MATCH(B1326&amp;"PT",'LM7 Non-ENG'!$A$1:$A$5000,0),1,,,"LM7 Non-ENG"),IF(IFERROR(VLOOKUP(B1326&amp;"PT",'LM7 Non-ENG'!$A$1:$A$5000,1,FALSE),"ERROR")=B1326&amp;"PT","Y","")),"")</f>
        <v/>
      </c>
      <c r="I1326" t="str">
        <f>IFERROR(VLOOKUP(B1326,PN!$A:$C,3,FALSE),"")</f>
        <v>Active</v>
      </c>
      <c r="J1326" s="3">
        <f>IFERROR(E1326*VLOOKUP(B1326,PLInter!$A:$D,3,FALSE),"")</f>
        <v>67</v>
      </c>
      <c r="K1326" s="66"/>
      <c r="L1326" s="66"/>
      <c r="M1326" s="66"/>
      <c r="N1326" s="66"/>
      <c r="O1326" s="66"/>
      <c r="P1326" s="66"/>
      <c r="Q1326" s="66"/>
      <c r="R1326" s="66"/>
      <c r="S1326" s="66"/>
    </row>
    <row r="1327" spans="1:19" ht="18" customHeight="1">
      <c r="B1327" t="s">
        <v>925</v>
      </c>
      <c r="C1327" t="s">
        <v>926</v>
      </c>
      <c r="D1327" s="4"/>
      <c r="E1327" s="4">
        <v>1</v>
      </c>
      <c r="F1327" s="4"/>
      <c r="G1327" s="29" t="str">
        <f>IFERROR(HYPERLINK("#"&amp;ADDRESS(MATCH(B1327&amp;"ES",'LM7 Non-ENG'!$A$1:$A$5000,0),1,,,"LM7 Non-ENG"),IF(IFERROR(VLOOKUP(B1327&amp;"ES",'LM7 Non-ENG'!$A$1:$A$4999,1,FALSE),"ERROR")=B1327&amp;"ES","Y","")),"")</f>
        <v/>
      </c>
      <c r="H1327" s="29" t="str">
        <f>IFERROR(HYPERLINK("#"&amp;ADDRESS(MATCH(B1327&amp;"PT",'LM7 Non-ENG'!$A$1:$A$5000,0),1,,,"LM7 Non-ENG"),IF(IFERROR(VLOOKUP(B1327&amp;"PT",'LM7 Non-ENG'!$A$1:$A$5000,1,FALSE),"ERROR")=B1327&amp;"PT","Y","")),"")</f>
        <v/>
      </c>
      <c r="I1327" t="str">
        <f>IFERROR(VLOOKUP(B1327,PN!$A:$C,3,FALSE),"")</f>
        <v>Active</v>
      </c>
      <c r="J1327" s="3">
        <f>IFERROR(E1327*VLOOKUP(B1327,PLInter!$A:$D,3,FALSE),"")</f>
        <v>2760</v>
      </c>
      <c r="K1327" s="66"/>
      <c r="L1327" s="66"/>
      <c r="M1327" s="66"/>
      <c r="N1327" s="66"/>
      <c r="O1327" s="66"/>
      <c r="P1327" s="66"/>
      <c r="Q1327" s="66"/>
      <c r="R1327" s="66"/>
      <c r="S1327" s="66"/>
    </row>
    <row r="1328" spans="1:19" ht="18" customHeight="1">
      <c r="B1328" t="s">
        <v>927</v>
      </c>
      <c r="C1328" t="s">
        <v>928</v>
      </c>
      <c r="D1328" s="4"/>
      <c r="E1328" s="4">
        <v>1</v>
      </c>
      <c r="F1328" s="4"/>
      <c r="G1328" s="29" t="str">
        <f>IFERROR(HYPERLINK("#"&amp;ADDRESS(MATCH(B1328&amp;"ES",'LM7 Non-ENG'!$A$1:$A$5000,0),1,,,"LM7 Non-ENG"),IF(IFERROR(VLOOKUP(B1328&amp;"ES",'LM7 Non-ENG'!$A$1:$A$4999,1,FALSE),"ERROR")=B1328&amp;"ES","Y","")),"")</f>
        <v/>
      </c>
      <c r="H1328" s="29" t="str">
        <f>IFERROR(HYPERLINK("#"&amp;ADDRESS(MATCH(B1328&amp;"PT",'LM7 Non-ENG'!$A$1:$A$5000,0),1,,,"LM7 Non-ENG"),IF(IFERROR(VLOOKUP(B1328&amp;"PT",'LM7 Non-ENG'!$A$1:$A$5000,1,FALSE),"ERROR")=B1328&amp;"PT","Y","")),"")</f>
        <v/>
      </c>
      <c r="I1328" t="str">
        <f>IFERROR(VLOOKUP(B1328,PN!$A:$C,3,FALSE),"")</f>
        <v>Active</v>
      </c>
      <c r="J1328" s="3">
        <f>IFERROR(E1328*VLOOKUP(B1328,PLInter!$A:$D,3,FALSE),"")</f>
        <v>467</v>
      </c>
      <c r="K1328" s="66"/>
      <c r="L1328" s="66"/>
      <c r="M1328" s="66"/>
      <c r="N1328" s="66"/>
      <c r="O1328" s="66"/>
      <c r="P1328" s="66"/>
      <c r="Q1328" s="66"/>
      <c r="R1328" s="66"/>
      <c r="S1328" s="66"/>
    </row>
    <row r="1329" spans="1:19" ht="18" customHeight="1">
      <c r="B1329" t="s">
        <v>668</v>
      </c>
      <c r="C1329" t="s">
        <v>669</v>
      </c>
      <c r="D1329" s="4"/>
      <c r="E1329" s="4">
        <v>1</v>
      </c>
      <c r="F1329" s="4"/>
      <c r="G1329" s="29" t="str">
        <f>IFERROR(HYPERLINK("#"&amp;ADDRESS(MATCH(B1329&amp;"ES",'LM7 Non-ENG'!$A$1:$A$5000,0),1,,,"LM7 Non-ENG"),IF(IFERROR(VLOOKUP(B1329&amp;"ES",'LM7 Non-ENG'!$A$1:$A$4999,1,FALSE),"ERROR")=B1329&amp;"ES","Y","")),"")</f>
        <v/>
      </c>
      <c r="H1329" s="29" t="str">
        <f>IFERROR(HYPERLINK("#"&amp;ADDRESS(MATCH(B1329&amp;"PT",'LM7 Non-ENG'!$A$1:$A$5000,0),1,,,"LM7 Non-ENG"),IF(IFERROR(VLOOKUP(B1329&amp;"PT",'LM7 Non-ENG'!$A$1:$A$5000,1,FALSE),"ERROR")=B1329&amp;"PT","Y","")),"")</f>
        <v/>
      </c>
      <c r="I1329" t="str">
        <f>IFERROR(VLOOKUP(B1329,PN!$A:$C,3,FALSE),"")</f>
        <v>Active</v>
      </c>
      <c r="J1329" s="3">
        <f>IFERROR(E1329*VLOOKUP(B1329,PLInter!$A:$D,3,FALSE),"")</f>
        <v>480</v>
      </c>
      <c r="K1329" s="66"/>
      <c r="L1329" s="66"/>
      <c r="M1329" s="66"/>
      <c r="N1329" s="66"/>
      <c r="O1329" s="66"/>
      <c r="P1329" s="66"/>
      <c r="Q1329" s="66"/>
      <c r="R1329" s="66"/>
      <c r="S1329" s="66"/>
    </row>
    <row r="1330" spans="1:19" ht="18" customHeight="1">
      <c r="B1330" t="s">
        <v>630</v>
      </c>
      <c r="C1330" t="s">
        <v>631</v>
      </c>
      <c r="D1330" s="4"/>
      <c r="E1330" s="4">
        <v>1</v>
      </c>
      <c r="F1330" s="4"/>
      <c r="G1330" s="29" t="str">
        <f>IFERROR(HYPERLINK("#"&amp;ADDRESS(MATCH(B1330&amp;"ES",'LM7 Non-ENG'!$A$1:$A$5000,0),1,,,"LM7 Non-ENG"),IF(IFERROR(VLOOKUP(B1330&amp;"ES",'LM7 Non-ENG'!$A$1:$A$4999,1,FALSE),"ERROR")=B1330&amp;"ES","Y","")),"")</f>
        <v/>
      </c>
      <c r="H1330" s="29" t="str">
        <f>IFERROR(HYPERLINK("#"&amp;ADDRESS(MATCH(B1330&amp;"PT",'LM7 Non-ENG'!$A$1:$A$5000,0),1,,,"LM7 Non-ENG"),IF(IFERROR(VLOOKUP(B1330&amp;"PT",'LM7 Non-ENG'!$A$1:$A$5000,1,FALSE),"ERROR")=B1330&amp;"PT","Y","")),"")</f>
        <v/>
      </c>
      <c r="I1330" t="str">
        <f>IFERROR(VLOOKUP(B1330,PN!$A:$C,3,FALSE),"")</f>
        <v>Active</v>
      </c>
      <c r="J1330" s="3">
        <f>IFERROR(E1330*VLOOKUP(B1330,PLInter!$A:$D,3,FALSE),"")</f>
        <v>1735</v>
      </c>
      <c r="K1330" s="66"/>
      <c r="L1330" s="66"/>
      <c r="M1330" s="66"/>
      <c r="N1330" s="66"/>
      <c r="O1330" s="66"/>
      <c r="P1330" s="66"/>
      <c r="Q1330" s="66"/>
      <c r="R1330" s="66"/>
      <c r="S1330" s="66"/>
    </row>
    <row r="1332" spans="1:19" s="7" customFormat="1" ht="18" customHeight="1">
      <c r="A1332" s="13" t="s">
        <v>955</v>
      </c>
      <c r="B1332" s="13"/>
      <c r="C1332" s="13" t="s">
        <v>956</v>
      </c>
      <c r="D1332" s="14"/>
      <c r="E1332" s="14"/>
      <c r="F1332" s="14"/>
      <c r="G1332" s="14"/>
      <c r="H1332" s="14"/>
      <c r="I1332" s="14"/>
      <c r="J1332" s="14">
        <f>SUMIFS(J1333:J1345,D1333:D1345,"&lt;&gt;Y",F1333:F1345,"&lt;&gt;Y",I1333:I1345,"&lt;&gt;Inactive",I1333:I1345,"&lt;&gt;ECO+NFS")</f>
        <v>24484</v>
      </c>
      <c r="K1332" s="14"/>
      <c r="L1332" s="14"/>
      <c r="M1332" s="14"/>
      <c r="N1332" s="14"/>
      <c r="O1332" s="14"/>
      <c r="P1332" s="14"/>
      <c r="Q1332" s="14"/>
      <c r="R1332" s="14"/>
      <c r="S1332" s="14"/>
    </row>
    <row r="1333" spans="1:19" ht="18" customHeight="1">
      <c r="A1333" s="17" t="str">
        <f>HYPERLINK("#"&amp;ADDRESS(MATCH(A1332,'CIM&amp;FMS'!$A$1:$A$4997,0),1,,,"CIM&amp;FMS"),"Back to Price List")</f>
        <v>Back to Price List</v>
      </c>
      <c r="B1333" t="str">
        <f>"10-2119-9000"</f>
        <v>10-2119-9000</v>
      </c>
      <c r="C1333" t="str">
        <f>"Interface with industrial robot"</f>
        <v>Interface with industrial robot</v>
      </c>
      <c r="D1333" s="4"/>
      <c r="E1333" s="4">
        <v>1</v>
      </c>
      <c r="F1333" s="4"/>
      <c r="G1333" s="29" t="str">
        <f>IFERROR(HYPERLINK("#"&amp;ADDRESS(MATCH(B1333&amp;"ES",'LM7 Non-ENG'!$A$1:$A$5000,0),1,,,"LM7 Non-ENG"),IF(IFERROR(VLOOKUP(B1333&amp;"ES",'LM7 Non-ENG'!$A$1:$A$4999,1,FALSE),"ERROR")=B1333&amp;"ES","Y","")),"")</f>
        <v/>
      </c>
      <c r="H1333" s="29" t="str">
        <f>IFERROR(HYPERLINK("#"&amp;ADDRESS(MATCH(B1333&amp;"PT",'LM7 Non-ENG'!$A$1:$A$5000,0),1,,,"LM7 Non-ENG"),IF(IFERROR(VLOOKUP(B1333&amp;"PT",'LM7 Non-ENG'!$A$1:$A$5000,1,FALSE),"ERROR")=B1333&amp;"PT","Y","")),"")</f>
        <v/>
      </c>
      <c r="I1333" t="str">
        <f>IFERROR(VLOOKUP(B1333,PN!$A:$C,3,FALSE),"")</f>
        <v>Active</v>
      </c>
      <c r="J1333" s="3">
        <f>IFERROR(E1333*VLOOKUP(B1333,PLInter!$A:$D,3,FALSE),"")</f>
        <v>6720</v>
      </c>
      <c r="K1333" s="66"/>
      <c r="L1333" s="66"/>
      <c r="M1333" s="66"/>
      <c r="N1333" s="66"/>
      <c r="O1333" s="66"/>
      <c r="P1333" s="66"/>
      <c r="Q1333" s="66"/>
      <c r="R1333" s="66"/>
      <c r="S1333" s="66"/>
    </row>
    <row r="1334" spans="1:19" ht="18" customHeight="1">
      <c r="B1334" t="str">
        <f>"00-0647-0000"</f>
        <v>00-0647-0000</v>
      </c>
      <c r="C1334" t="str">
        <f>"Pneumatic Gripper for small industrial robots"</f>
        <v>Pneumatic Gripper for small industrial robots</v>
      </c>
      <c r="D1334" s="4"/>
      <c r="E1334" s="4">
        <v>1</v>
      </c>
      <c r="F1334" s="4"/>
      <c r="G1334" s="29" t="str">
        <f>IFERROR(HYPERLINK("#"&amp;ADDRESS(MATCH(B1334&amp;"ES",'LM7 Non-ENG'!$A$1:$A$5000,0),1,,,"LM7 Non-ENG"),IF(IFERROR(VLOOKUP(B1334&amp;"ES",'LM7 Non-ENG'!$A$1:$A$4999,1,FALSE),"ERROR")=B1334&amp;"ES","Y","")),"")</f>
        <v/>
      </c>
      <c r="H1334" s="29" t="str">
        <f>IFERROR(HYPERLINK("#"&amp;ADDRESS(MATCH(B1334&amp;"PT",'LM7 Non-ENG'!$A$1:$A$5000,0),1,,,"LM7 Non-ENG"),IF(IFERROR(VLOOKUP(B1334&amp;"PT",'LM7 Non-ENG'!$A$1:$A$5000,1,FALSE),"ERROR")=B1334&amp;"PT","Y","")),"")</f>
        <v/>
      </c>
      <c r="I1334" t="str">
        <f>IFERROR(VLOOKUP(B1334,PN!$A:$C,3,FALSE),"")</f>
        <v>ECO-N2Buy</v>
      </c>
      <c r="J1334" s="3">
        <f>IFERROR(E1334*VLOOKUP(B1334,PLInter!$A:$D,3,FALSE),"")</f>
        <v>3200</v>
      </c>
      <c r="K1334" s="66"/>
      <c r="L1334" s="66"/>
      <c r="M1334" s="66"/>
      <c r="N1334" s="66"/>
      <c r="O1334" s="66"/>
      <c r="P1334" s="66"/>
      <c r="Q1334" s="66"/>
      <c r="R1334" s="66"/>
      <c r="S1334" s="66"/>
    </row>
    <row r="1335" spans="1:19" ht="18" customHeight="1">
      <c r="B1335" t="str">
        <f>"021031"</f>
        <v>021031</v>
      </c>
      <c r="C1335" s="41" t="str">
        <f>"מכלול- בסיס לטמפלט CIM"</f>
        <v>מכלול- בסיס לטמפלט CIM</v>
      </c>
      <c r="D1335" s="4"/>
      <c r="E1335" s="4">
        <v>4</v>
      </c>
      <c r="F1335" s="4"/>
      <c r="G1335" s="29" t="str">
        <f>IFERROR(HYPERLINK("#"&amp;ADDRESS(MATCH(B1335&amp;"ES",'LM7 Non-ENG'!$A$1:$A$5000,0),1,,,"LM7 Non-ENG"),IF(IFERROR(VLOOKUP(B1335&amp;"ES",'LM7 Non-ENG'!$A$1:$A$4999,1,FALSE),"ERROR")=B1335&amp;"ES","Y","")),"")</f>
        <v/>
      </c>
      <c r="H1335" s="29" t="str">
        <f>IFERROR(HYPERLINK("#"&amp;ADDRESS(MATCH(B1335&amp;"PT",'LM7 Non-ENG'!$A$1:$A$5000,0),1,,,"LM7 Non-ENG"),IF(IFERROR(VLOOKUP(B1335&amp;"PT",'LM7 Non-ENG'!$A$1:$A$5000,1,FALSE),"ERROR")=B1335&amp;"PT","Y","")),"")</f>
        <v/>
      </c>
      <c r="I1335" t="str">
        <f>IFERROR(VLOOKUP(B1335,PN!$A:$C,3,FALSE),"")</f>
        <v>Active</v>
      </c>
      <c r="J1335" s="3">
        <f>IFERROR(E1335*VLOOKUP(B1335,PLInter!$A:$D,3,FALSE),"")</f>
        <v>216</v>
      </c>
      <c r="K1335" s="66"/>
      <c r="L1335" s="66"/>
      <c r="M1335" s="66"/>
      <c r="N1335" s="66"/>
      <c r="O1335" s="66"/>
      <c r="P1335" s="66"/>
      <c r="Q1335" s="66"/>
      <c r="R1335" s="66"/>
      <c r="S1335" s="66"/>
    </row>
    <row r="1336" spans="1:19" ht="18" customHeight="1">
      <c r="B1336" t="str">
        <f>"00-1110-0000"</f>
        <v>00-1110-0000</v>
      </c>
      <c r="C1336" t="str">
        <f>"Palletizing Rack (incl. Pins for creating Jigs)"</f>
        <v>Palletizing Rack (incl. Pins for creating Jigs)</v>
      </c>
      <c r="D1336" s="4"/>
      <c r="E1336" s="4">
        <v>2</v>
      </c>
      <c r="F1336" s="4"/>
      <c r="G1336" s="29" t="str">
        <f>IFERROR(HYPERLINK("#"&amp;ADDRESS(MATCH(B1336&amp;"ES",'LM7 Non-ENG'!$A$1:$A$5000,0),1,,,"LM7 Non-ENG"),IF(IFERROR(VLOOKUP(B1336&amp;"ES",'LM7 Non-ENG'!$A$1:$A$4999,1,FALSE),"ERROR")=B1336&amp;"ES","Y","")),"")</f>
        <v/>
      </c>
      <c r="H1336" s="29" t="str">
        <f>IFERROR(HYPERLINK("#"&amp;ADDRESS(MATCH(B1336&amp;"PT",'LM7 Non-ENG'!$A$1:$A$5000,0),1,,,"LM7 Non-ENG"),IF(IFERROR(VLOOKUP(B1336&amp;"PT",'LM7 Non-ENG'!$A$1:$A$5000,1,FALSE),"ERROR")=B1336&amp;"PT","Y","")),"")</f>
        <v/>
      </c>
      <c r="I1336" t="str">
        <f>IFERROR(VLOOKUP(B1336,PN!$A:$C,3,FALSE),"")</f>
        <v>Active</v>
      </c>
      <c r="J1336" s="3">
        <f>IFERROR(E1336*VLOOKUP(B1336,PLInter!$A:$D,3,FALSE),"")</f>
        <v>1160</v>
      </c>
      <c r="K1336" s="66"/>
      <c r="L1336" s="66"/>
      <c r="M1336" s="66"/>
      <c r="N1336" s="66"/>
      <c r="O1336" s="66"/>
      <c r="P1336" s="66"/>
      <c r="Q1336" s="66"/>
      <c r="R1336" s="66"/>
      <c r="S1336" s="66"/>
    </row>
    <row r="1337" spans="1:19" ht="18" customHeight="1">
      <c r="B1337" t="str">
        <f>"021177"</f>
        <v>021177</v>
      </c>
      <c r="C1337" t="str">
        <f>"30mm Height Adapter -Rack 001110 on formica 19mm"</f>
        <v>30mm Height Adapter -Rack 001110 on formica 19mm</v>
      </c>
      <c r="D1337" s="4"/>
      <c r="E1337" s="4">
        <v>2</v>
      </c>
      <c r="F1337" s="4"/>
      <c r="G1337" s="29" t="str">
        <f>IFERROR(HYPERLINK("#"&amp;ADDRESS(MATCH(B1337&amp;"ES",'LM7 Non-ENG'!$A$1:$A$5000,0),1,,,"LM7 Non-ENG"),IF(IFERROR(VLOOKUP(B1337&amp;"ES",'LM7 Non-ENG'!$A$1:$A$4999,1,FALSE),"ERROR")=B1337&amp;"ES","Y","")),"")</f>
        <v/>
      </c>
      <c r="H1337" s="29" t="str">
        <f>IFERROR(HYPERLINK("#"&amp;ADDRESS(MATCH(B1337&amp;"PT",'LM7 Non-ENG'!$A$1:$A$5000,0),1,,,"LM7 Non-ENG"),IF(IFERROR(VLOOKUP(B1337&amp;"PT",'LM7 Non-ENG'!$A$1:$A$5000,1,FALSE),"ERROR")=B1337&amp;"PT","Y","")),"")</f>
        <v/>
      </c>
      <c r="I1337" t="str">
        <f>IFERROR(VLOOKUP(B1337,PN!$A:$C,3,FALSE),"")</f>
        <v>Active</v>
      </c>
      <c r="J1337" s="3">
        <f>IFERROR(E1337*VLOOKUP(B1337,PLInter!$A:$D,3,FALSE),"")</f>
        <v>60</v>
      </c>
      <c r="K1337" s="66"/>
      <c r="L1337" s="66"/>
      <c r="M1337" s="66"/>
      <c r="N1337" s="66"/>
      <c r="O1337" s="66"/>
      <c r="P1337" s="66"/>
      <c r="Q1337" s="66"/>
      <c r="R1337" s="66"/>
      <c r="S1337" s="66"/>
    </row>
    <row r="1338" spans="1:19" ht="18" customHeight="1">
      <c r="B1338" t="str">
        <f>"21-0004-0000"</f>
        <v>21-0004-0000</v>
      </c>
      <c r="C1338" t="str">
        <f>"Assembly, Dual Axis Air Vise Mechanicals"</f>
        <v>Assembly, Dual Axis Air Vise Mechanicals</v>
      </c>
      <c r="D1338" s="4"/>
      <c r="E1338" s="4">
        <v>1</v>
      </c>
      <c r="F1338" s="4"/>
      <c r="G1338" s="29" t="str">
        <f>IFERROR(HYPERLINK("#"&amp;ADDRESS(MATCH(B1338&amp;"ES",'LM7 Non-ENG'!$A$1:$A$5000,0),1,,,"LM7 Non-ENG"),IF(IFERROR(VLOOKUP(B1338&amp;"ES",'LM7 Non-ENG'!$A$1:$A$4999,1,FALSE),"ERROR")=B1338&amp;"ES","Y","")),"")</f>
        <v/>
      </c>
      <c r="H1338" s="29" t="str">
        <f>IFERROR(HYPERLINK("#"&amp;ADDRESS(MATCH(B1338&amp;"PT",'LM7 Non-ENG'!$A$1:$A$5000,0),1,,,"LM7 Non-ENG"),IF(IFERROR(VLOOKUP(B1338&amp;"PT",'LM7 Non-ENG'!$A$1:$A$5000,1,FALSE),"ERROR")=B1338&amp;"PT","Y","")),"")</f>
        <v/>
      </c>
      <c r="I1338" t="str">
        <f>IFERROR(VLOOKUP(B1338,PN!$A:$C,3,FALSE),"")</f>
        <v>Phase Out</v>
      </c>
      <c r="J1338" s="3">
        <f>IFERROR(E1338*VLOOKUP(B1338,PLInter!$A:$D,3,FALSE),"")</f>
        <v>1735</v>
      </c>
      <c r="K1338" s="66"/>
      <c r="L1338" s="66"/>
      <c r="M1338" s="66"/>
      <c r="N1338" s="66"/>
      <c r="O1338" s="66"/>
      <c r="P1338" s="66"/>
      <c r="Q1338" s="66"/>
      <c r="R1338" s="66"/>
      <c r="S1338" s="66"/>
    </row>
    <row r="1339" spans="1:19" ht="18" customHeight="1">
      <c r="B1339" t="str">
        <f>"10-2523-4000"</f>
        <v>10-2523-4000</v>
      </c>
      <c r="C1339" t="str">
        <f>"Solenoid Valve (24V) for Pipe 3 mm"</f>
        <v>Solenoid Valve (24V) for Pipe 3 mm</v>
      </c>
      <c r="D1339" s="4"/>
      <c r="E1339" s="4">
        <v>1</v>
      </c>
      <c r="F1339" s="4"/>
      <c r="G1339" s="29" t="str">
        <f>IFERROR(HYPERLINK("#"&amp;ADDRESS(MATCH(B1339&amp;"ES",'LM7 Non-ENG'!$A$1:$A$5000,0),1,,,"LM7 Non-ENG"),IF(IFERROR(VLOOKUP(B1339&amp;"ES",'LM7 Non-ENG'!$A$1:$A$4999,1,FALSE),"ERROR")=B1339&amp;"ES","Y","")),"")</f>
        <v/>
      </c>
      <c r="H1339" s="29" t="str">
        <f>IFERROR(HYPERLINK("#"&amp;ADDRESS(MATCH(B1339&amp;"PT",'LM7 Non-ENG'!$A$1:$A$5000,0),1,,,"LM7 Non-ENG"),IF(IFERROR(VLOOKUP(B1339&amp;"PT",'LM7 Non-ENG'!$A$1:$A$5000,1,FALSE),"ERROR")=B1339&amp;"PT","Y","")),"")</f>
        <v/>
      </c>
      <c r="I1339" t="str">
        <f>IFERROR(VLOOKUP(B1339,PN!$A:$C,3,FALSE),"")</f>
        <v>Active</v>
      </c>
      <c r="J1339" s="3">
        <f>IFERROR(E1339*VLOOKUP(B1339,PLInter!$A:$D,3,FALSE),"")</f>
        <v>635</v>
      </c>
      <c r="K1339" s="66"/>
      <c r="L1339" s="66"/>
      <c r="M1339" s="66"/>
      <c r="N1339" s="66"/>
      <c r="O1339" s="66"/>
      <c r="P1339" s="66"/>
      <c r="Q1339" s="66"/>
      <c r="R1339" s="66"/>
      <c r="S1339" s="66"/>
    </row>
    <row r="1340" spans="1:19" ht="18" customHeight="1">
      <c r="B1340" t="str">
        <f>"00-1230-0000"</f>
        <v>00-1230-0000</v>
      </c>
      <c r="C1340" t="str">
        <f>"Ball Feeder (incl. sensor for ball counting)"</f>
        <v>Ball Feeder (incl. sensor for ball counting)</v>
      </c>
      <c r="D1340" s="4"/>
      <c r="E1340" s="4">
        <v>1</v>
      </c>
      <c r="F1340" s="4"/>
      <c r="G1340" s="29" t="str">
        <f>IFERROR(HYPERLINK("#"&amp;ADDRESS(MATCH(B1340&amp;"ES",'LM7 Non-ENG'!$A$1:$A$5000,0),1,,,"LM7 Non-ENG"),IF(IFERROR(VLOOKUP(B1340&amp;"ES",'LM7 Non-ENG'!$A$1:$A$4999,1,FALSE),"ERROR")=B1340&amp;"ES","Y","")),"")</f>
        <v/>
      </c>
      <c r="H1340" s="29" t="str">
        <f>IFERROR(HYPERLINK("#"&amp;ADDRESS(MATCH(B1340&amp;"PT",'LM7 Non-ENG'!$A$1:$A$5000,0),1,,,"LM7 Non-ENG"),IF(IFERROR(VLOOKUP(B1340&amp;"PT",'LM7 Non-ENG'!$A$1:$A$5000,1,FALSE),"ERROR")=B1340&amp;"PT","Y","")),"")</f>
        <v/>
      </c>
      <c r="I1340" t="str">
        <f>IFERROR(VLOOKUP(B1340,PN!$A:$C,3,FALSE),"")</f>
        <v>Active</v>
      </c>
      <c r="J1340" s="3">
        <f>IFERROR(E1340*VLOOKUP(B1340,PLInter!$A:$D,3,FALSE),"")</f>
        <v>2585</v>
      </c>
      <c r="K1340" s="66"/>
      <c r="L1340" s="66"/>
      <c r="M1340" s="66"/>
      <c r="N1340" s="66"/>
      <c r="O1340" s="66"/>
      <c r="P1340" s="66"/>
      <c r="Q1340" s="66"/>
      <c r="R1340" s="66"/>
      <c r="S1340" s="66"/>
    </row>
    <row r="1341" spans="1:19" ht="18" customHeight="1">
      <c r="B1341" t="str">
        <f>"00-1243-0000"</f>
        <v>00-1243-0000</v>
      </c>
      <c r="C1341" t="str">
        <f>"Ball Game Set (Assembly with Plastic Pins)"</f>
        <v>Ball Game Set (Assembly with Plastic Pins)</v>
      </c>
      <c r="D1341" s="4"/>
      <c r="E1341" s="4">
        <v>12</v>
      </c>
      <c r="F1341" s="4"/>
      <c r="G1341" s="29" t="str">
        <f>IFERROR(HYPERLINK("#"&amp;ADDRESS(MATCH(B1341&amp;"ES",'LM7 Non-ENG'!$A$1:$A$5000,0),1,,,"LM7 Non-ENG"),IF(IFERROR(VLOOKUP(B1341&amp;"ES",'LM7 Non-ENG'!$A$1:$A$4999,1,FALSE),"ERROR")=B1341&amp;"ES","Y","")),"")</f>
        <v/>
      </c>
      <c r="H1341" s="29" t="str">
        <f>IFERROR(HYPERLINK("#"&amp;ADDRESS(MATCH(B1341&amp;"PT",'LM7 Non-ENG'!$A$1:$A$5000,0),1,,,"LM7 Non-ENG"),IF(IFERROR(VLOOKUP(B1341&amp;"PT",'LM7 Non-ENG'!$A$1:$A$5000,1,FALSE),"ERROR")=B1341&amp;"PT","Y","")),"")</f>
        <v/>
      </c>
      <c r="I1341" t="str">
        <f>IFERROR(VLOOKUP(B1341,PN!$A:$C,3,FALSE),"")</f>
        <v>Active</v>
      </c>
      <c r="J1341" s="3">
        <f>IFERROR(E1341*VLOOKUP(B1341,PLInter!$A:$D,3,FALSE),"")</f>
        <v>1104</v>
      </c>
      <c r="K1341" s="66"/>
      <c r="L1341" s="66"/>
      <c r="M1341" s="66"/>
      <c r="N1341" s="66"/>
      <c r="O1341" s="66"/>
      <c r="P1341" s="66"/>
      <c r="Q1341" s="66"/>
      <c r="R1341" s="66"/>
      <c r="S1341" s="66"/>
    </row>
    <row r="1342" spans="1:19" ht="18" customHeight="1">
      <c r="B1342" t="str">
        <f>"00-1284-0000"</f>
        <v>00-1284-0000</v>
      </c>
      <c r="C1342" t="str">
        <f>"Robot Pedestal Welded for ER9/14Pro&amp;MH5"</f>
        <v>Robot Pedestal Welded for ER9/14Pro&amp;MH5</v>
      </c>
      <c r="D1342" s="4"/>
      <c r="E1342" s="4">
        <v>1</v>
      </c>
      <c r="F1342" s="4"/>
      <c r="G1342" s="29" t="str">
        <f>IFERROR(HYPERLINK("#"&amp;ADDRESS(MATCH(B1342&amp;"ES",'LM7 Non-ENG'!$A$1:$A$5000,0),1,,,"LM7 Non-ENG"),IF(IFERROR(VLOOKUP(B1342&amp;"ES",'LM7 Non-ENG'!$A$1:$A$4999,1,FALSE),"ERROR")=B1342&amp;"ES","Y","")),"")</f>
        <v/>
      </c>
      <c r="H1342" s="29" t="str">
        <f>IFERROR(HYPERLINK("#"&amp;ADDRESS(MATCH(B1342&amp;"PT",'LM7 Non-ENG'!$A$1:$A$5000,0),1,,,"LM7 Non-ENG"),IF(IFERROR(VLOOKUP(B1342&amp;"PT",'LM7 Non-ENG'!$A$1:$A$5000,1,FALSE),"ERROR")=B1342&amp;"PT","Y","")),"")</f>
        <v/>
      </c>
      <c r="I1342" t="str">
        <f>IFERROR(VLOOKUP(B1342,PN!$A:$C,3,FALSE),"")</f>
        <v>Active</v>
      </c>
      <c r="J1342" s="3">
        <f>IFERROR(E1342*VLOOKUP(B1342,PLInter!$A:$D,3,FALSE),"")</f>
        <v>2000</v>
      </c>
      <c r="K1342" s="66"/>
      <c r="L1342" s="66"/>
      <c r="M1342" s="66"/>
      <c r="N1342" s="66"/>
      <c r="O1342" s="66"/>
      <c r="P1342" s="66"/>
      <c r="Q1342" s="66"/>
      <c r="R1342" s="66"/>
      <c r="S1342" s="66"/>
    </row>
    <row r="1343" spans="1:19" ht="18" customHeight="1">
      <c r="B1343" t="str">
        <f>"00-1293-0000"</f>
        <v>00-1293-0000</v>
      </c>
      <c r="C1343" t="str">
        <f>"Mobile Workbench 1500x1140mm (incl. Wheels)"</f>
        <v>Mobile Workbench 1500x1140mm (incl. Wheels)</v>
      </c>
      <c r="D1343" s="4"/>
      <c r="E1343" s="4">
        <v>1</v>
      </c>
      <c r="F1343" s="4"/>
      <c r="G1343" s="29" t="str">
        <f>IFERROR(HYPERLINK("#"&amp;ADDRESS(MATCH(B1343&amp;"ES",'LM7 Non-ENG'!$A$1:$A$5000,0),1,,,"LM7 Non-ENG"),IF(IFERROR(VLOOKUP(B1343&amp;"ES",'LM7 Non-ENG'!$A$1:$A$4999,1,FALSE),"ERROR")=B1343&amp;"ES","Y","")),"")</f>
        <v/>
      </c>
      <c r="H1343" s="29" t="str">
        <f>IFERROR(HYPERLINK("#"&amp;ADDRESS(MATCH(B1343&amp;"PT",'LM7 Non-ENG'!$A$1:$A$5000,0),1,,,"LM7 Non-ENG"),IF(IFERROR(VLOOKUP(B1343&amp;"PT",'LM7 Non-ENG'!$A$1:$A$5000,1,FALSE),"ERROR")=B1343&amp;"PT","Y","")),"")</f>
        <v/>
      </c>
      <c r="I1343" t="str">
        <f>IFERROR(VLOOKUP(B1343,PN!$A:$C,3,FALSE),"")</f>
        <v>Active</v>
      </c>
      <c r="J1343" s="3">
        <f>IFERROR(E1343*VLOOKUP(B1343,PLInter!$A:$D,3,FALSE),"")</f>
        <v>2400</v>
      </c>
      <c r="K1343" s="66"/>
      <c r="L1343" s="66"/>
      <c r="M1343" s="66"/>
      <c r="N1343" s="66"/>
      <c r="O1343" s="66"/>
      <c r="P1343" s="66"/>
      <c r="Q1343" s="66"/>
      <c r="R1343" s="66"/>
      <c r="S1343" s="66"/>
    </row>
    <row r="1344" spans="1:19" ht="18" customHeight="1">
      <c r="B1344" t="str">
        <f>"00-1290-0000"</f>
        <v>00-1290-0000</v>
      </c>
      <c r="C1344" t="str">
        <f>"PC Table 630x800mm (with Keyboard Drawer)"</f>
        <v>PC Table 630x800mm (with Keyboard Drawer)</v>
      </c>
      <c r="D1344" s="4"/>
      <c r="E1344" s="4">
        <v>1</v>
      </c>
      <c r="F1344" s="4"/>
      <c r="G1344" s="29" t="str">
        <f>IFERROR(HYPERLINK("#"&amp;ADDRESS(MATCH(B1344&amp;"ES",'LM7 Non-ENG'!$A$1:$A$5000,0),1,,,"LM7 Non-ENG"),IF(IFERROR(VLOOKUP(B1344&amp;"ES",'LM7 Non-ENG'!$A$1:$A$4999,1,FALSE),"ERROR")=B1344&amp;"ES","Y","")),"")</f>
        <v/>
      </c>
      <c r="H1344" s="29" t="str">
        <f>IFERROR(HYPERLINK("#"&amp;ADDRESS(MATCH(B1344&amp;"PT",'LM7 Non-ENG'!$A$1:$A$5000,0),1,,,"LM7 Non-ENG"),IF(IFERROR(VLOOKUP(B1344&amp;"PT",'LM7 Non-ENG'!$A$1:$A$5000,1,FALSE),"ERROR")=B1344&amp;"PT","Y","")),"")</f>
        <v/>
      </c>
      <c r="I1344" t="str">
        <f>IFERROR(VLOOKUP(B1344,PN!$A:$C,3,FALSE),"")</f>
        <v>Active</v>
      </c>
      <c r="J1344" s="3">
        <f>IFERROR(E1344*VLOOKUP(B1344,PLInter!$A:$D,3,FALSE),"")</f>
        <v>934</v>
      </c>
      <c r="K1344" s="66"/>
      <c r="L1344" s="66"/>
      <c r="M1344" s="66"/>
      <c r="N1344" s="66"/>
      <c r="O1344" s="66"/>
      <c r="P1344" s="66"/>
      <c r="Q1344" s="66"/>
      <c r="R1344" s="66"/>
      <c r="S1344" s="66"/>
    </row>
    <row r="1345" spans="1:19" ht="18" customHeight="1">
      <c r="B1345" t="str">
        <f>"50-0094-0000"</f>
        <v>50-0094-0000</v>
      </c>
      <c r="C1345" t="str">
        <f>"Pre-Engineering, Design and Testing"</f>
        <v>Pre-Engineering, Design and Testing</v>
      </c>
      <c r="D1345" s="4"/>
      <c r="E1345" s="4">
        <v>1</v>
      </c>
      <c r="F1345" s="4"/>
      <c r="G1345" s="29" t="str">
        <f>IFERROR(HYPERLINK("#"&amp;ADDRESS(MATCH(B1345&amp;"ES",'LM7 Non-ENG'!$A$1:$A$5000,0),1,,,"LM7 Non-ENG"),IF(IFERROR(VLOOKUP(B1345&amp;"ES",'LM7 Non-ENG'!$A$1:$A$4999,1,FALSE),"ERROR")=B1345&amp;"ES","Y","")),"")</f>
        <v/>
      </c>
      <c r="H1345" s="29" t="str">
        <f>IFERROR(HYPERLINK("#"&amp;ADDRESS(MATCH(B1345&amp;"PT",'LM7 Non-ENG'!$A$1:$A$5000,0),1,,,"LM7 Non-ENG"),IF(IFERROR(VLOOKUP(B1345&amp;"PT",'LM7 Non-ENG'!$A$1:$A$5000,1,FALSE),"ERROR")=B1345&amp;"PT","Y","")),"")</f>
        <v/>
      </c>
      <c r="I1345" t="str">
        <f>IFERROR(VLOOKUP(B1345,PN!$A:$C,3,FALSE),"")</f>
        <v>Active</v>
      </c>
      <c r="J1345" s="3">
        <f>IFERROR(E1345*VLOOKUP(B1345,PLInter!$A:$D,3,FALSE),"")</f>
        <v>1735</v>
      </c>
      <c r="K1345" s="66"/>
      <c r="L1345" s="66"/>
      <c r="M1345" s="66"/>
      <c r="N1345" s="66"/>
      <c r="O1345" s="66"/>
      <c r="P1345" s="66"/>
      <c r="Q1345" s="66"/>
      <c r="R1345" s="66"/>
      <c r="S1345" s="66"/>
    </row>
    <row r="1347" spans="1:19" s="7" customFormat="1" ht="18" customHeight="1">
      <c r="A1347" s="13" t="s">
        <v>957</v>
      </c>
      <c r="B1347" s="13"/>
      <c r="C1347" s="13" t="s">
        <v>958</v>
      </c>
      <c r="D1347" s="14"/>
      <c r="E1347" s="14"/>
      <c r="F1347" s="14"/>
      <c r="G1347" s="14"/>
      <c r="H1347" s="14"/>
      <c r="I1347" s="14"/>
      <c r="J1347" s="14">
        <f>SUMIFS(J1348:J1361,D1348:D1361,"&lt;&gt;Y",F1348:F1361,"&lt;&gt;Y",I1348:I1361,"&lt;&gt;Inactive",I1348:I1361,"&lt;&gt;ECO+NFS")</f>
        <v>30047</v>
      </c>
      <c r="K1347" s="14"/>
      <c r="L1347" s="14"/>
      <c r="M1347" s="14"/>
      <c r="N1347" s="14"/>
      <c r="O1347" s="14"/>
      <c r="P1347" s="14"/>
      <c r="Q1347" s="14"/>
      <c r="R1347" s="14"/>
      <c r="S1347" s="14"/>
    </row>
    <row r="1348" spans="1:19" ht="18" customHeight="1">
      <c r="A1348" s="17" t="str">
        <f>HYPERLINK("#"&amp;ADDRESS(MATCH(A1347,'CIM&amp;FMS'!$A$1:$A$4997,0),1,,,"CIM&amp;FMS"),"Back to Price List")</f>
        <v>Back to Price List</v>
      </c>
      <c r="B1348" t="s">
        <v>855</v>
      </c>
      <c r="C1348" t="s">
        <v>856</v>
      </c>
      <c r="D1348" s="4"/>
      <c r="E1348" s="4">
        <v>1</v>
      </c>
      <c r="F1348" s="4"/>
      <c r="G1348" s="29" t="str">
        <f>IFERROR(HYPERLINK("#"&amp;ADDRESS(MATCH(B1348&amp;"ES",'LM7 Non-ENG'!$A$1:$A$5000,0),1,,,"LM7 Non-ENG"),IF(IFERROR(VLOOKUP(B1348&amp;"ES",'LM7 Non-ENG'!$A$1:$A$4999,1,FALSE),"ERROR")=B1348&amp;"ES","Y","")),"")</f>
        <v/>
      </c>
      <c r="H1348" s="29" t="str">
        <f>IFERROR(HYPERLINK("#"&amp;ADDRESS(MATCH(B1348&amp;"PT",'LM7 Non-ENG'!$A$1:$A$5000,0),1,,,"LM7 Non-ENG"),IF(IFERROR(VLOOKUP(B1348&amp;"PT",'LM7 Non-ENG'!$A$1:$A$5000,1,FALSE),"ERROR")=B1348&amp;"PT","Y","")),"")</f>
        <v/>
      </c>
      <c r="I1348" t="str">
        <f>IFERROR(VLOOKUP(B1348,PN!$A:$C,3,FALSE),"")</f>
        <v>Active</v>
      </c>
      <c r="J1348" s="3">
        <f>IFERROR(E1348*VLOOKUP(B1348,PLInter!$A:$D,3,FALSE),"")</f>
        <v>6720</v>
      </c>
      <c r="K1348" s="66"/>
      <c r="L1348" s="66"/>
      <c r="M1348" s="66"/>
      <c r="N1348" s="66"/>
      <c r="O1348" s="66"/>
      <c r="P1348" s="66"/>
      <c r="Q1348" s="66"/>
      <c r="R1348" s="66"/>
      <c r="S1348" s="66"/>
    </row>
    <row r="1349" spans="1:19" ht="18" customHeight="1">
      <c r="B1349" t="s">
        <v>231</v>
      </c>
      <c r="C1349" t="s">
        <v>857</v>
      </c>
      <c r="D1349" s="4"/>
      <c r="E1349" s="4">
        <v>1</v>
      </c>
      <c r="F1349" s="4"/>
      <c r="G1349" s="29" t="str">
        <f>IFERROR(HYPERLINK("#"&amp;ADDRESS(MATCH(B1349&amp;"ES",'LM7 Non-ENG'!$A$1:$A$5000,0),1,,,"LM7 Non-ENG"),IF(IFERROR(VLOOKUP(B1349&amp;"ES",'LM7 Non-ENG'!$A$1:$A$4999,1,FALSE),"ERROR")=B1349&amp;"ES","Y","")),"")</f>
        <v/>
      </c>
      <c r="H1349" s="29" t="str">
        <f>IFERROR(HYPERLINK("#"&amp;ADDRESS(MATCH(B1349&amp;"PT",'LM7 Non-ENG'!$A$1:$A$5000,0),1,,,"LM7 Non-ENG"),IF(IFERROR(VLOOKUP(B1349&amp;"PT",'LM7 Non-ENG'!$A$1:$A$5000,1,FALSE),"ERROR")=B1349&amp;"PT","Y","")),"")</f>
        <v/>
      </c>
      <c r="I1349" t="str">
        <f>IFERROR(VLOOKUP(B1349,PN!$A:$C,3,FALSE),"")</f>
        <v>ECO-N2Buy</v>
      </c>
      <c r="J1349" s="3">
        <f>IFERROR(E1349*VLOOKUP(B1349,PLInter!$A:$D,3,FALSE),"")</f>
        <v>3200</v>
      </c>
      <c r="K1349" s="66"/>
      <c r="L1349" s="66"/>
      <c r="M1349" s="66"/>
      <c r="N1349" s="66"/>
      <c r="O1349" s="66"/>
      <c r="P1349" s="66"/>
      <c r="Q1349" s="66"/>
      <c r="R1349" s="66"/>
      <c r="S1349" s="66"/>
    </row>
    <row r="1350" spans="1:19" ht="18" customHeight="1">
      <c r="B1350" t="str">
        <f>"021031"</f>
        <v>021031</v>
      </c>
      <c r="C1350" s="41" t="str">
        <f>"מכלול- בסיס לטמפלט CIM"</f>
        <v>מכלול- בסיס לטמפלט CIM</v>
      </c>
      <c r="D1350" s="4"/>
      <c r="E1350" s="4">
        <v>1</v>
      </c>
      <c r="F1350" s="4"/>
      <c r="G1350" s="29" t="str">
        <f>IFERROR(HYPERLINK("#"&amp;ADDRESS(MATCH(B1350&amp;"ES",'LM7 Non-ENG'!$A$1:$A$5000,0),1,,,"LM7 Non-ENG"),IF(IFERROR(VLOOKUP(B1350&amp;"ES",'LM7 Non-ENG'!$A$1:$A$4999,1,FALSE),"ERROR")=B1350&amp;"ES","Y","")),"")</f>
        <v/>
      </c>
      <c r="H1350" s="29" t="str">
        <f>IFERROR(HYPERLINK("#"&amp;ADDRESS(MATCH(B1350&amp;"PT",'LM7 Non-ENG'!$A$1:$A$5000,0),1,,,"LM7 Non-ENG"),IF(IFERROR(VLOOKUP(B1350&amp;"PT",'LM7 Non-ENG'!$A$1:$A$5000,1,FALSE),"ERROR")=B1350&amp;"PT","Y","")),"")</f>
        <v/>
      </c>
      <c r="I1350" t="str">
        <f>IFERROR(VLOOKUP(B1350,PN!$A:$C,3,FALSE),"")</f>
        <v>Active</v>
      </c>
      <c r="J1350" s="3">
        <f>IFERROR(E1350*VLOOKUP(B1350,PLInter!$A:$D,3,FALSE),"")</f>
        <v>54</v>
      </c>
      <c r="K1350" s="66"/>
      <c r="L1350" s="66"/>
      <c r="M1350" s="66"/>
      <c r="N1350" s="66"/>
      <c r="O1350" s="66"/>
      <c r="P1350" s="66"/>
      <c r="Q1350" s="66"/>
      <c r="R1350" s="66"/>
      <c r="S1350" s="66"/>
    </row>
    <row r="1351" spans="1:19" ht="18" customHeight="1">
      <c r="B1351" t="s">
        <v>684</v>
      </c>
      <c r="C1351" t="s">
        <v>685</v>
      </c>
      <c r="D1351" s="4"/>
      <c r="E1351" s="4">
        <v>1</v>
      </c>
      <c r="F1351" s="4"/>
      <c r="G1351" s="29" t="str">
        <f>IFERROR(HYPERLINK("#"&amp;ADDRESS(MATCH(B1351&amp;"ES",'LM7 Non-ENG'!$A$1:$A$5000,0),1,,,"LM7 Non-ENG"),IF(IFERROR(VLOOKUP(B1351&amp;"ES",'LM7 Non-ENG'!$A$1:$A$4999,1,FALSE),"ERROR")=B1351&amp;"ES","Y","")),"")</f>
        <v/>
      </c>
      <c r="H1351" s="29" t="str">
        <f>IFERROR(HYPERLINK("#"&amp;ADDRESS(MATCH(B1351&amp;"PT",'LM7 Non-ENG'!$A$1:$A$5000,0),1,,,"LM7 Non-ENG"),IF(IFERROR(VLOOKUP(B1351&amp;"PT",'LM7 Non-ENG'!$A$1:$A$5000,1,FALSE),"ERROR")=B1351&amp;"PT","Y","")),"")</f>
        <v/>
      </c>
      <c r="I1351" t="str">
        <f>IFERROR(VLOOKUP(B1351,PN!$A:$C,3,FALSE),"")</f>
        <v>Active</v>
      </c>
      <c r="J1351" s="3">
        <f>IFERROR(E1351*VLOOKUP(B1351,PLInter!$A:$D,3,FALSE),"")</f>
        <v>580</v>
      </c>
      <c r="K1351" s="66"/>
      <c r="L1351" s="66"/>
      <c r="M1351" s="66"/>
      <c r="N1351" s="66"/>
      <c r="O1351" s="66"/>
      <c r="P1351" s="66"/>
      <c r="Q1351" s="66"/>
      <c r="R1351" s="66"/>
      <c r="S1351" s="66"/>
    </row>
    <row r="1352" spans="1:19" ht="18" customHeight="1">
      <c r="B1352" t="str">
        <f>"021177"</f>
        <v>021177</v>
      </c>
      <c r="C1352" t="s">
        <v>959</v>
      </c>
      <c r="D1352" s="4"/>
      <c r="E1352" s="4">
        <v>1</v>
      </c>
      <c r="F1352" s="4"/>
      <c r="G1352" s="29" t="str">
        <f>IFERROR(HYPERLINK("#"&amp;ADDRESS(MATCH(B1352&amp;"ES",'LM7 Non-ENG'!$A$1:$A$5000,0),1,,,"LM7 Non-ENG"),IF(IFERROR(VLOOKUP(B1352&amp;"ES",'LM7 Non-ENG'!$A$1:$A$4999,1,FALSE),"ERROR")=B1352&amp;"ES","Y","")),"")</f>
        <v/>
      </c>
      <c r="H1352" s="29" t="str">
        <f>IFERROR(HYPERLINK("#"&amp;ADDRESS(MATCH(B1352&amp;"PT",'LM7 Non-ENG'!$A$1:$A$5000,0),1,,,"LM7 Non-ENG"),IF(IFERROR(VLOOKUP(B1352&amp;"PT",'LM7 Non-ENG'!$A$1:$A$5000,1,FALSE),"ERROR")=B1352&amp;"PT","Y","")),"")</f>
        <v/>
      </c>
      <c r="I1352" t="str">
        <f>IFERROR(VLOOKUP(B1352,PN!$A:$C,3,FALSE),"")</f>
        <v>Active</v>
      </c>
      <c r="J1352" s="3">
        <f>IFERROR(E1352*VLOOKUP(B1352,PLInter!$A:$D,3,FALSE),"")</f>
        <v>30</v>
      </c>
      <c r="K1352" s="66"/>
      <c r="L1352" s="66"/>
      <c r="M1352" s="66"/>
      <c r="N1352" s="66"/>
      <c r="O1352" s="66"/>
      <c r="P1352" s="66"/>
      <c r="Q1352" s="66"/>
      <c r="R1352" s="66"/>
      <c r="S1352" s="66"/>
    </row>
    <row r="1353" spans="1:19" ht="18" customHeight="1">
      <c r="B1353" t="s">
        <v>917</v>
      </c>
      <c r="C1353" t="s">
        <v>951</v>
      </c>
      <c r="D1353" s="4"/>
      <c r="E1353" s="4">
        <v>1</v>
      </c>
      <c r="F1353" s="4"/>
      <c r="G1353" s="29" t="str">
        <f>IFERROR(HYPERLINK("#"&amp;ADDRESS(MATCH(B1353&amp;"ES",'LM7 Non-ENG'!$A$1:$A$5000,0),1,,,"LM7 Non-ENG"),IF(IFERROR(VLOOKUP(B1353&amp;"ES",'LM7 Non-ENG'!$A$1:$A$4999,1,FALSE),"ERROR")=B1353&amp;"ES","Y","")),"")</f>
        <v/>
      </c>
      <c r="H1353" s="29" t="str">
        <f>IFERROR(HYPERLINK("#"&amp;ADDRESS(MATCH(B1353&amp;"PT",'LM7 Non-ENG'!$A$1:$A$5000,0),1,,,"LM7 Non-ENG"),IF(IFERROR(VLOOKUP(B1353&amp;"PT",'LM7 Non-ENG'!$A$1:$A$5000,1,FALSE),"ERROR")=B1353&amp;"PT","Y","")),"")</f>
        <v/>
      </c>
      <c r="I1353" t="str">
        <f>IFERROR(VLOOKUP(B1353,PN!$A:$C,3,FALSE),"")</f>
        <v>Phase Out</v>
      </c>
      <c r="J1353" s="3">
        <f>IFERROR(E1353*VLOOKUP(B1353,PLInter!$A:$D,3,FALSE),"")</f>
        <v>1735</v>
      </c>
      <c r="K1353" s="66"/>
      <c r="L1353" s="66"/>
      <c r="M1353" s="66"/>
      <c r="N1353" s="66"/>
      <c r="O1353" s="66"/>
      <c r="P1353" s="66"/>
      <c r="Q1353" s="66"/>
      <c r="R1353" s="66"/>
      <c r="S1353" s="66"/>
    </row>
    <row r="1354" spans="1:19" ht="18" customHeight="1">
      <c r="B1354" t="s">
        <v>919</v>
      </c>
      <c r="C1354" t="s">
        <v>952</v>
      </c>
      <c r="D1354" s="4"/>
      <c r="E1354" s="4">
        <v>1</v>
      </c>
      <c r="F1354" s="4"/>
      <c r="G1354" s="29" t="str">
        <f>IFERROR(HYPERLINK("#"&amp;ADDRESS(MATCH(B1354&amp;"ES",'LM7 Non-ENG'!$A$1:$A$5000,0),1,,,"LM7 Non-ENG"),IF(IFERROR(VLOOKUP(B1354&amp;"ES",'LM7 Non-ENG'!$A$1:$A$4999,1,FALSE),"ERROR")=B1354&amp;"ES","Y","")),"")</f>
        <v/>
      </c>
      <c r="H1354" s="29" t="str">
        <f>IFERROR(HYPERLINK("#"&amp;ADDRESS(MATCH(B1354&amp;"PT",'LM7 Non-ENG'!$A$1:$A$5000,0),1,,,"LM7 Non-ENG"),IF(IFERROR(VLOOKUP(B1354&amp;"PT",'LM7 Non-ENG'!$A$1:$A$5000,1,FALSE),"ERROR")=B1354&amp;"PT","Y","")),"")</f>
        <v/>
      </c>
      <c r="I1354" t="str">
        <f>IFERROR(VLOOKUP(B1354,PN!$A:$C,3,FALSE),"")</f>
        <v>Active</v>
      </c>
      <c r="J1354" s="3">
        <f>IFERROR(E1354*VLOOKUP(B1354,PLInter!$A:$D,3,FALSE),"")</f>
        <v>635</v>
      </c>
      <c r="K1354" s="66"/>
      <c r="L1354" s="66"/>
      <c r="M1354" s="66"/>
      <c r="N1354" s="66"/>
      <c r="O1354" s="66"/>
      <c r="P1354" s="66"/>
      <c r="Q1354" s="66"/>
      <c r="R1354" s="66"/>
      <c r="S1354" s="66"/>
    </row>
    <row r="1355" spans="1:19" ht="18" customHeight="1">
      <c r="B1355" t="s">
        <v>921</v>
      </c>
      <c r="C1355" t="s">
        <v>922</v>
      </c>
      <c r="D1355" s="4"/>
      <c r="E1355" s="4">
        <v>1</v>
      </c>
      <c r="F1355" s="4"/>
      <c r="G1355" s="29" t="str">
        <f>IFERROR(HYPERLINK("#"&amp;ADDRESS(MATCH(B1355&amp;"ES",'LM7 Non-ENG'!$A$1:$A$5000,0),1,,,"LM7 Non-ENG"),IF(IFERROR(VLOOKUP(B1355&amp;"ES",'LM7 Non-ENG'!$A$1:$A$4999,1,FALSE),"ERROR")=B1355&amp;"ES","Y","")),"")</f>
        <v/>
      </c>
      <c r="H1355" s="29" t="str">
        <f>IFERROR(HYPERLINK("#"&amp;ADDRESS(MATCH(B1355&amp;"PT",'LM7 Non-ENG'!$A$1:$A$5000,0),1,,,"LM7 Non-ENG"),IF(IFERROR(VLOOKUP(B1355&amp;"PT",'LM7 Non-ENG'!$A$1:$A$5000,1,FALSE),"ERROR")=B1355&amp;"PT","Y","")),"")</f>
        <v/>
      </c>
      <c r="I1355" t="str">
        <f>IFERROR(VLOOKUP(B1355,PN!$A:$C,3,FALSE),"")</f>
        <v>Active</v>
      </c>
      <c r="J1355" s="3">
        <f>IFERROR(E1355*VLOOKUP(B1355,PLInter!$A:$D,3,FALSE),"")</f>
        <v>2585</v>
      </c>
      <c r="K1355" s="66"/>
      <c r="L1355" s="66"/>
      <c r="M1355" s="66"/>
      <c r="N1355" s="66"/>
      <c r="O1355" s="66"/>
      <c r="P1355" s="66"/>
      <c r="Q1355" s="66"/>
      <c r="R1355" s="66"/>
      <c r="S1355" s="66"/>
    </row>
    <row r="1356" spans="1:19" ht="18" customHeight="1">
      <c r="B1356" t="s">
        <v>923</v>
      </c>
      <c r="C1356" t="s">
        <v>924</v>
      </c>
      <c r="D1356" s="4"/>
      <c r="E1356" s="4">
        <v>12</v>
      </c>
      <c r="F1356" s="4"/>
      <c r="G1356" s="29" t="str">
        <f>IFERROR(HYPERLINK("#"&amp;ADDRESS(MATCH(B1356&amp;"ES",'LM7 Non-ENG'!$A$1:$A$5000,0),1,,,"LM7 Non-ENG"),IF(IFERROR(VLOOKUP(B1356&amp;"ES",'LM7 Non-ENG'!$A$1:$A$4999,1,FALSE),"ERROR")=B1356&amp;"ES","Y","")),"")</f>
        <v/>
      </c>
      <c r="H1356" s="29" t="str">
        <f>IFERROR(HYPERLINK("#"&amp;ADDRESS(MATCH(B1356&amp;"PT",'LM7 Non-ENG'!$A$1:$A$5000,0),1,,,"LM7 Non-ENG"),IF(IFERROR(VLOOKUP(B1356&amp;"PT",'LM7 Non-ENG'!$A$1:$A$5000,1,FALSE),"ERROR")=B1356&amp;"PT","Y","")),"")</f>
        <v/>
      </c>
      <c r="I1356" t="str">
        <f>IFERROR(VLOOKUP(B1356,PN!$A:$C,3,FALSE),"")</f>
        <v>Active</v>
      </c>
      <c r="J1356" s="3">
        <f>IFERROR(E1356*VLOOKUP(B1356,PLInter!$A:$D,3,FALSE),"")</f>
        <v>1104</v>
      </c>
      <c r="K1356" s="66"/>
      <c r="L1356" s="66"/>
      <c r="M1356" s="66"/>
      <c r="N1356" s="66"/>
      <c r="O1356" s="66"/>
      <c r="P1356" s="66"/>
      <c r="Q1356" s="66"/>
      <c r="R1356" s="66"/>
      <c r="S1356" s="66"/>
    </row>
    <row r="1357" spans="1:19" ht="18" customHeight="1">
      <c r="B1357" t="s">
        <v>931</v>
      </c>
      <c r="C1357" t="s">
        <v>932</v>
      </c>
      <c r="D1357" s="4"/>
      <c r="E1357" s="4">
        <v>1</v>
      </c>
      <c r="F1357" s="4"/>
      <c r="G1357" s="29" t="str">
        <f>IFERROR(HYPERLINK("#"&amp;ADDRESS(MATCH(B1357&amp;"ES",'LM7 Non-ENG'!$A$1:$A$5000,0),1,,,"LM7 Non-ENG"),IF(IFERROR(VLOOKUP(B1357&amp;"ES",'LM7 Non-ENG'!$A$1:$A$4999,1,FALSE),"ERROR")=B1357&amp;"ES","Y","")),"")</f>
        <v/>
      </c>
      <c r="H1357" s="29" t="str">
        <f>IFERROR(HYPERLINK("#"&amp;ADDRESS(MATCH(B1357&amp;"PT",'LM7 Non-ENG'!$A$1:$A$5000,0),1,,,"LM7 Non-ENG"),IF(IFERROR(VLOOKUP(B1357&amp;"PT",'LM7 Non-ENG'!$A$1:$A$5000,1,FALSE),"ERROR")=B1357&amp;"PT","Y","")),"")</f>
        <v/>
      </c>
      <c r="I1357" t="str">
        <f>IFERROR(VLOOKUP(B1357,PN!$A:$C,3,FALSE),"")</f>
        <v>Active</v>
      </c>
      <c r="J1357" s="3">
        <f>IFERROR(E1357*VLOOKUP(B1357,PLInter!$A:$D,3,FALSE),"")</f>
        <v>6335</v>
      </c>
      <c r="K1357" s="66"/>
      <c r="L1357" s="66"/>
      <c r="M1357" s="66"/>
      <c r="N1357" s="66"/>
      <c r="O1357" s="66"/>
      <c r="P1357" s="66"/>
      <c r="Q1357" s="66"/>
      <c r="R1357" s="66"/>
      <c r="S1357" s="66"/>
    </row>
    <row r="1358" spans="1:19" ht="18" customHeight="1">
      <c r="B1358" t="s">
        <v>902</v>
      </c>
      <c r="C1358" t="s">
        <v>903</v>
      </c>
      <c r="D1358" s="4"/>
      <c r="E1358" s="4">
        <v>1</v>
      </c>
      <c r="F1358" s="4"/>
      <c r="G1358" s="29" t="str">
        <f>IFERROR(HYPERLINK("#"&amp;ADDRESS(MATCH(B1358&amp;"ES",'LM7 Non-ENG'!$A$1:$A$5000,0),1,,,"LM7 Non-ENG"),IF(IFERROR(VLOOKUP(B1358&amp;"ES",'LM7 Non-ENG'!$A$1:$A$4999,1,FALSE),"ERROR")=B1358&amp;"ES","Y","")),"")</f>
        <v/>
      </c>
      <c r="H1358" s="29" t="str">
        <f>IFERROR(HYPERLINK("#"&amp;ADDRESS(MATCH(B1358&amp;"PT",'LM7 Non-ENG'!$A$1:$A$5000,0),1,,,"LM7 Non-ENG"),IF(IFERROR(VLOOKUP(B1358&amp;"PT",'LM7 Non-ENG'!$A$1:$A$5000,1,FALSE),"ERROR")=B1358&amp;"PT","Y","")),"")</f>
        <v/>
      </c>
      <c r="I1358" t="str">
        <f>IFERROR(VLOOKUP(B1358,PN!$A:$C,3,FALSE),"")</f>
        <v>Active</v>
      </c>
      <c r="J1358" s="3">
        <f>IFERROR(E1358*VLOOKUP(B1358,PLInter!$A:$D,3,FALSE),"")</f>
        <v>2000</v>
      </c>
      <c r="K1358" s="66"/>
      <c r="L1358" s="66"/>
      <c r="M1358" s="66"/>
      <c r="N1358" s="66"/>
      <c r="O1358" s="66"/>
      <c r="P1358" s="66"/>
      <c r="Q1358" s="66"/>
      <c r="R1358" s="66"/>
      <c r="S1358" s="66"/>
    </row>
    <row r="1359" spans="1:19" ht="18" customHeight="1">
      <c r="B1359" t="s">
        <v>244</v>
      </c>
      <c r="C1359" t="s">
        <v>247</v>
      </c>
      <c r="D1359" s="4"/>
      <c r="E1359" s="4">
        <v>1</v>
      </c>
      <c r="F1359" s="4"/>
      <c r="G1359" s="29" t="str">
        <f>IFERROR(HYPERLINK("#"&amp;ADDRESS(MATCH(B1359&amp;"ES",'LM7 Non-ENG'!$A$1:$A$5000,0),1,,,"LM7 Non-ENG"),IF(IFERROR(VLOOKUP(B1359&amp;"ES",'LM7 Non-ENG'!$A$1:$A$4999,1,FALSE),"ERROR")=B1359&amp;"ES","Y","")),"")</f>
        <v/>
      </c>
      <c r="H1359" s="29" t="str">
        <f>IFERROR(HYPERLINK("#"&amp;ADDRESS(MATCH(B1359&amp;"PT",'LM7 Non-ENG'!$A$1:$A$5000,0),1,,,"LM7 Non-ENG"),IF(IFERROR(VLOOKUP(B1359&amp;"PT",'LM7 Non-ENG'!$A$1:$A$5000,1,FALSE),"ERROR")=B1359&amp;"PT","Y","")),"")</f>
        <v/>
      </c>
      <c r="I1359" t="str">
        <f>IFERROR(VLOOKUP(B1359,PN!$A:$C,3,FALSE),"")</f>
        <v>Active</v>
      </c>
      <c r="J1359" s="3">
        <f>IFERROR(E1359*VLOOKUP(B1359,PLInter!$A:$D,3,FALSE),"")</f>
        <v>2400</v>
      </c>
      <c r="K1359" s="66"/>
      <c r="L1359" s="66"/>
      <c r="M1359" s="66"/>
      <c r="N1359" s="66"/>
      <c r="O1359" s="66"/>
      <c r="P1359" s="66"/>
      <c r="Q1359" s="66"/>
      <c r="R1359" s="66"/>
      <c r="S1359" s="66"/>
    </row>
    <row r="1360" spans="1:19" ht="18" customHeight="1">
      <c r="B1360" t="s">
        <v>697</v>
      </c>
      <c r="C1360" t="s">
        <v>698</v>
      </c>
      <c r="D1360" s="4"/>
      <c r="E1360" s="4">
        <v>1</v>
      </c>
      <c r="F1360" s="4"/>
      <c r="G1360" s="29" t="str">
        <f>IFERROR(HYPERLINK("#"&amp;ADDRESS(MATCH(B1360&amp;"ES",'LM7 Non-ENG'!$A$1:$A$5000,0),1,,,"LM7 Non-ENG"),IF(IFERROR(VLOOKUP(B1360&amp;"ES",'LM7 Non-ENG'!$A$1:$A$4999,1,FALSE),"ERROR")=B1360&amp;"ES","Y","")),"")</f>
        <v/>
      </c>
      <c r="H1360" s="29" t="str">
        <f>IFERROR(HYPERLINK("#"&amp;ADDRESS(MATCH(B1360&amp;"PT",'LM7 Non-ENG'!$A$1:$A$5000,0),1,,,"LM7 Non-ENG"),IF(IFERROR(VLOOKUP(B1360&amp;"PT",'LM7 Non-ENG'!$A$1:$A$5000,1,FALSE),"ERROR")=B1360&amp;"PT","Y","")),"")</f>
        <v/>
      </c>
      <c r="I1360" t="str">
        <f>IFERROR(VLOOKUP(B1360,PN!$A:$C,3,FALSE),"")</f>
        <v>Active</v>
      </c>
      <c r="J1360" s="3">
        <f>IFERROR(E1360*VLOOKUP(B1360,PLInter!$A:$D,3,FALSE),"")</f>
        <v>934</v>
      </c>
      <c r="K1360" s="66"/>
      <c r="L1360" s="66"/>
      <c r="M1360" s="66"/>
      <c r="N1360" s="66"/>
      <c r="O1360" s="66"/>
      <c r="P1360" s="66"/>
      <c r="Q1360" s="66"/>
      <c r="R1360" s="66"/>
      <c r="S1360" s="66"/>
    </row>
    <row r="1361" spans="1:19" ht="18" customHeight="1">
      <c r="B1361" t="s">
        <v>630</v>
      </c>
      <c r="C1361" t="s">
        <v>631</v>
      </c>
      <c r="D1361" s="4"/>
      <c r="E1361" s="4">
        <v>1</v>
      </c>
      <c r="F1361" s="4"/>
      <c r="G1361" s="29" t="str">
        <f>IFERROR(HYPERLINK("#"&amp;ADDRESS(MATCH(B1361&amp;"ES",'LM7 Non-ENG'!$A$1:$A$5000,0),1,,,"LM7 Non-ENG"),IF(IFERROR(VLOOKUP(B1361&amp;"ES",'LM7 Non-ENG'!$A$1:$A$4999,1,FALSE),"ERROR")=B1361&amp;"ES","Y","")),"")</f>
        <v/>
      </c>
      <c r="H1361" s="29" t="str">
        <f>IFERROR(HYPERLINK("#"&amp;ADDRESS(MATCH(B1361&amp;"PT",'LM7 Non-ENG'!$A$1:$A$5000,0),1,,,"LM7 Non-ENG"),IF(IFERROR(VLOOKUP(B1361&amp;"PT",'LM7 Non-ENG'!$A$1:$A$5000,1,FALSE),"ERROR")=B1361&amp;"PT","Y","")),"")</f>
        <v/>
      </c>
      <c r="I1361" t="str">
        <f>IFERROR(VLOOKUP(B1361,PN!$A:$C,3,FALSE),"")</f>
        <v>Active</v>
      </c>
      <c r="J1361" s="3">
        <f>IFERROR(E1361*VLOOKUP(B1361,PLInter!$A:$D,3,FALSE),"")</f>
        <v>1735</v>
      </c>
      <c r="K1361" s="66"/>
      <c r="L1361" s="66"/>
      <c r="M1361" s="66"/>
      <c r="N1361" s="66"/>
      <c r="O1361" s="66"/>
      <c r="P1361" s="66"/>
      <c r="Q1361" s="66"/>
      <c r="R1361" s="66"/>
      <c r="S1361" s="66"/>
    </row>
    <row r="1363" spans="1:19" s="7" customFormat="1" ht="18" customHeight="1">
      <c r="A1363" s="13" t="s">
        <v>960</v>
      </c>
      <c r="B1363" s="13"/>
      <c r="C1363" s="13" t="s">
        <v>961</v>
      </c>
      <c r="D1363" s="14"/>
      <c r="E1363" s="14"/>
      <c r="F1363" s="14"/>
      <c r="G1363" s="14"/>
      <c r="H1363" s="14"/>
      <c r="I1363" s="14"/>
      <c r="J1363" s="14">
        <f>SUMIFS(J1364:J1376,D1364:D1376,"&lt;&gt;Y",F1364:F1376,"&lt;&gt;Y",I1364:I1376,"&lt;&gt;Inactive",I1364:I1376,"&lt;&gt;ECO+NFS")</f>
        <v>24484</v>
      </c>
      <c r="K1363" s="14"/>
      <c r="L1363" s="14"/>
      <c r="M1363" s="14"/>
      <c r="N1363" s="14"/>
      <c r="O1363" s="14"/>
      <c r="P1363" s="14"/>
      <c r="Q1363" s="14"/>
      <c r="R1363" s="14"/>
      <c r="S1363" s="14"/>
    </row>
    <row r="1364" spans="1:19" ht="18" customHeight="1">
      <c r="A1364" s="17" t="str">
        <f>HYPERLINK("#"&amp;ADDRESS(MATCH(A1363,'CIM&amp;FMS'!$A$1:$A$4997,0),1,,,"CIM&amp;FMS"),"Back to Price List")</f>
        <v>Back to Price List</v>
      </c>
      <c r="B1364" t="s">
        <v>855</v>
      </c>
      <c r="C1364" t="s">
        <v>856</v>
      </c>
      <c r="D1364" s="4"/>
      <c r="E1364" s="4">
        <v>1</v>
      </c>
      <c r="F1364" s="4"/>
      <c r="G1364" s="29" t="str">
        <f>IFERROR(HYPERLINK("#"&amp;ADDRESS(MATCH(B1364&amp;"ES",'LM7 Non-ENG'!$A$1:$A$5000,0),1,,,"LM7 Non-ENG"),IF(IFERROR(VLOOKUP(B1364&amp;"ES",'LM7 Non-ENG'!$A$1:$A$4999,1,FALSE),"ERROR")=B1364&amp;"ES","Y","")),"")</f>
        <v/>
      </c>
      <c r="H1364" s="29" t="str">
        <f>IFERROR(HYPERLINK("#"&amp;ADDRESS(MATCH(B1364&amp;"PT",'LM7 Non-ENG'!$A$1:$A$5000,0),1,,,"LM7 Non-ENG"),IF(IFERROR(VLOOKUP(B1364&amp;"PT",'LM7 Non-ENG'!$A$1:$A$5000,1,FALSE),"ERROR")=B1364&amp;"PT","Y","")),"")</f>
        <v/>
      </c>
      <c r="I1364" t="str">
        <f>IFERROR(VLOOKUP(B1364,PN!$A:$C,3,FALSE),"")</f>
        <v>Active</v>
      </c>
      <c r="J1364" s="3">
        <f>IFERROR(E1364*VLOOKUP(B1364,PLInter!$A:$D,3,FALSE),"")</f>
        <v>6720</v>
      </c>
      <c r="K1364" s="66"/>
      <c r="L1364" s="66"/>
      <c r="M1364" s="66"/>
      <c r="N1364" s="66"/>
      <c r="O1364" s="66"/>
      <c r="P1364" s="66"/>
      <c r="Q1364" s="66"/>
      <c r="R1364" s="66"/>
      <c r="S1364" s="66"/>
    </row>
    <row r="1365" spans="1:19" ht="18" customHeight="1">
      <c r="B1365" t="s">
        <v>231</v>
      </c>
      <c r="C1365" t="s">
        <v>874</v>
      </c>
      <c r="D1365" s="4"/>
      <c r="E1365" s="4">
        <v>1</v>
      </c>
      <c r="F1365" s="4"/>
      <c r="G1365" s="29" t="str">
        <f>IFERROR(HYPERLINK("#"&amp;ADDRESS(MATCH(B1365&amp;"ES",'LM7 Non-ENG'!$A$1:$A$5000,0),1,,,"LM7 Non-ENG"),IF(IFERROR(VLOOKUP(B1365&amp;"ES",'LM7 Non-ENG'!$A$1:$A$4999,1,FALSE),"ERROR")=B1365&amp;"ES","Y","")),"")</f>
        <v/>
      </c>
      <c r="H1365" s="29" t="str">
        <f>IFERROR(HYPERLINK("#"&amp;ADDRESS(MATCH(B1365&amp;"PT",'LM7 Non-ENG'!$A$1:$A$5000,0),1,,,"LM7 Non-ENG"),IF(IFERROR(VLOOKUP(B1365&amp;"PT",'LM7 Non-ENG'!$A$1:$A$5000,1,FALSE),"ERROR")=B1365&amp;"PT","Y","")),"")</f>
        <v/>
      </c>
      <c r="I1365" t="str">
        <f>IFERROR(VLOOKUP(B1365,PN!$A:$C,3,FALSE),"")</f>
        <v>ECO-N2Buy</v>
      </c>
      <c r="J1365" s="3">
        <f>IFERROR(E1365*VLOOKUP(B1365,PLInter!$A:$D,3,FALSE),"")</f>
        <v>3200</v>
      </c>
      <c r="K1365" s="66"/>
      <c r="L1365" s="66"/>
      <c r="M1365" s="66"/>
      <c r="N1365" s="66"/>
      <c r="O1365" s="66"/>
      <c r="P1365" s="66"/>
      <c r="Q1365" s="66"/>
      <c r="R1365" s="66"/>
      <c r="S1365" s="66"/>
    </row>
    <row r="1366" spans="1:19" ht="18" customHeight="1">
      <c r="B1366" t="str">
        <f>"021031"</f>
        <v>021031</v>
      </c>
      <c r="C1366" s="41" t="str">
        <f>"מכלול- בסיס לטמפלט CIM"</f>
        <v>מכלול- בסיס לטמפלט CIM</v>
      </c>
      <c r="D1366" s="4"/>
      <c r="E1366" s="4">
        <v>4</v>
      </c>
      <c r="F1366" s="4"/>
      <c r="G1366" s="29" t="str">
        <f>IFERROR(HYPERLINK("#"&amp;ADDRESS(MATCH(B1366&amp;"ES",'LM7 Non-ENG'!$A$1:$A$5000,0),1,,,"LM7 Non-ENG"),IF(IFERROR(VLOOKUP(B1366&amp;"ES",'LM7 Non-ENG'!$A$1:$A$4999,1,FALSE),"ERROR")=B1366&amp;"ES","Y","")),"")</f>
        <v/>
      </c>
      <c r="H1366" s="29" t="str">
        <f>IFERROR(HYPERLINK("#"&amp;ADDRESS(MATCH(B1366&amp;"PT",'LM7 Non-ENG'!$A$1:$A$5000,0),1,,,"LM7 Non-ENG"),IF(IFERROR(VLOOKUP(B1366&amp;"PT",'LM7 Non-ENG'!$A$1:$A$5000,1,FALSE),"ERROR")=B1366&amp;"PT","Y","")),"")</f>
        <v/>
      </c>
      <c r="I1366" t="str">
        <f>IFERROR(VLOOKUP(B1366,PN!$A:$C,3,FALSE),"")</f>
        <v>Active</v>
      </c>
      <c r="J1366" s="3">
        <f>IFERROR(E1366*VLOOKUP(B1366,PLInter!$A:$D,3,FALSE),"")</f>
        <v>216</v>
      </c>
      <c r="K1366" s="66"/>
      <c r="L1366" s="66"/>
      <c r="M1366" s="66"/>
      <c r="N1366" s="66"/>
      <c r="O1366" s="66"/>
      <c r="P1366" s="66"/>
      <c r="Q1366" s="66"/>
      <c r="R1366" s="66"/>
      <c r="S1366" s="66"/>
    </row>
    <row r="1367" spans="1:19" ht="18" customHeight="1">
      <c r="B1367" t="s">
        <v>684</v>
      </c>
      <c r="C1367" t="s">
        <v>685</v>
      </c>
      <c r="D1367" s="4"/>
      <c r="E1367" s="4">
        <v>2</v>
      </c>
      <c r="F1367" s="4"/>
      <c r="G1367" s="29" t="str">
        <f>IFERROR(HYPERLINK("#"&amp;ADDRESS(MATCH(B1367&amp;"ES",'LM7 Non-ENG'!$A$1:$A$5000,0),1,,,"LM7 Non-ENG"),IF(IFERROR(VLOOKUP(B1367&amp;"ES",'LM7 Non-ENG'!$A$1:$A$4999,1,FALSE),"ERROR")=B1367&amp;"ES","Y","")),"")</f>
        <v/>
      </c>
      <c r="H1367" s="29" t="str">
        <f>IFERROR(HYPERLINK("#"&amp;ADDRESS(MATCH(B1367&amp;"PT",'LM7 Non-ENG'!$A$1:$A$5000,0),1,,,"LM7 Non-ENG"),IF(IFERROR(VLOOKUP(B1367&amp;"PT",'LM7 Non-ENG'!$A$1:$A$5000,1,FALSE),"ERROR")=B1367&amp;"PT","Y","")),"")</f>
        <v/>
      </c>
      <c r="I1367" t="str">
        <f>IFERROR(VLOOKUP(B1367,PN!$A:$C,3,FALSE),"")</f>
        <v>Active</v>
      </c>
      <c r="J1367" s="3">
        <f>IFERROR(E1367*VLOOKUP(B1367,PLInter!$A:$D,3,FALSE),"")</f>
        <v>1160</v>
      </c>
      <c r="K1367" s="66"/>
      <c r="L1367" s="66"/>
      <c r="M1367" s="66"/>
      <c r="N1367" s="66"/>
      <c r="O1367" s="66"/>
      <c r="P1367" s="66"/>
      <c r="Q1367" s="66"/>
      <c r="R1367" s="66"/>
      <c r="S1367" s="66"/>
    </row>
    <row r="1368" spans="1:19" ht="18" customHeight="1">
      <c r="B1368" t="str">
        <f>"021177"</f>
        <v>021177</v>
      </c>
      <c r="C1368" t="s">
        <v>959</v>
      </c>
      <c r="D1368" s="4"/>
      <c r="E1368" s="4">
        <v>2</v>
      </c>
      <c r="F1368" s="4"/>
      <c r="G1368" s="29" t="str">
        <f>IFERROR(HYPERLINK("#"&amp;ADDRESS(MATCH(B1368&amp;"ES",'LM7 Non-ENG'!$A$1:$A$5000,0),1,,,"LM7 Non-ENG"),IF(IFERROR(VLOOKUP(B1368&amp;"ES",'LM7 Non-ENG'!$A$1:$A$4999,1,FALSE),"ERROR")=B1368&amp;"ES","Y","")),"")</f>
        <v/>
      </c>
      <c r="H1368" s="29" t="str">
        <f>IFERROR(HYPERLINK("#"&amp;ADDRESS(MATCH(B1368&amp;"PT",'LM7 Non-ENG'!$A$1:$A$5000,0),1,,,"LM7 Non-ENG"),IF(IFERROR(VLOOKUP(B1368&amp;"PT",'LM7 Non-ENG'!$A$1:$A$5000,1,FALSE),"ERROR")=B1368&amp;"PT","Y","")),"")</f>
        <v/>
      </c>
      <c r="I1368" t="str">
        <f>IFERROR(VLOOKUP(B1368,PN!$A:$C,3,FALSE),"")</f>
        <v>Active</v>
      </c>
      <c r="J1368" s="3">
        <f>IFERROR(E1368*VLOOKUP(B1368,PLInter!$A:$D,3,FALSE),"")</f>
        <v>60</v>
      </c>
      <c r="K1368" s="66"/>
      <c r="L1368" s="66"/>
      <c r="M1368" s="66"/>
      <c r="N1368" s="66"/>
      <c r="O1368" s="66"/>
      <c r="P1368" s="66"/>
      <c r="Q1368" s="66"/>
      <c r="R1368" s="66"/>
      <c r="S1368" s="66"/>
    </row>
    <row r="1369" spans="1:19" ht="18" customHeight="1">
      <c r="B1369" t="s">
        <v>917</v>
      </c>
      <c r="C1369" t="s">
        <v>918</v>
      </c>
      <c r="D1369" s="4"/>
      <c r="E1369" s="4">
        <v>1</v>
      </c>
      <c r="F1369" s="4"/>
      <c r="G1369" s="29" t="str">
        <f>IFERROR(HYPERLINK("#"&amp;ADDRESS(MATCH(B1369&amp;"ES",'LM7 Non-ENG'!$A$1:$A$5000,0),1,,,"LM7 Non-ENG"),IF(IFERROR(VLOOKUP(B1369&amp;"ES",'LM7 Non-ENG'!$A$1:$A$4999,1,FALSE),"ERROR")=B1369&amp;"ES","Y","")),"")</f>
        <v/>
      </c>
      <c r="H1369" s="29" t="str">
        <f>IFERROR(HYPERLINK("#"&amp;ADDRESS(MATCH(B1369&amp;"PT",'LM7 Non-ENG'!$A$1:$A$5000,0),1,,,"LM7 Non-ENG"),IF(IFERROR(VLOOKUP(B1369&amp;"PT",'LM7 Non-ENG'!$A$1:$A$5000,1,FALSE),"ERROR")=B1369&amp;"PT","Y","")),"")</f>
        <v/>
      </c>
      <c r="I1369" t="str">
        <f>IFERROR(VLOOKUP(B1369,PN!$A:$C,3,FALSE),"")</f>
        <v>Phase Out</v>
      </c>
      <c r="J1369" s="3">
        <f>IFERROR(E1369*VLOOKUP(B1369,PLInter!$A:$D,3,FALSE),"")</f>
        <v>1735</v>
      </c>
      <c r="K1369" s="66"/>
      <c r="L1369" s="66"/>
      <c r="M1369" s="66"/>
      <c r="N1369" s="66"/>
      <c r="O1369" s="66"/>
      <c r="P1369" s="66"/>
      <c r="Q1369" s="66"/>
      <c r="R1369" s="66"/>
      <c r="S1369" s="66"/>
    </row>
    <row r="1370" spans="1:19" ht="18" customHeight="1">
      <c r="B1370" t="s">
        <v>919</v>
      </c>
      <c r="C1370" t="s">
        <v>920</v>
      </c>
      <c r="D1370" s="4"/>
      <c r="E1370" s="4">
        <v>1</v>
      </c>
      <c r="F1370" s="4"/>
      <c r="G1370" s="29" t="str">
        <f>IFERROR(HYPERLINK("#"&amp;ADDRESS(MATCH(B1370&amp;"ES",'LM7 Non-ENG'!$A$1:$A$5000,0),1,,,"LM7 Non-ENG"),IF(IFERROR(VLOOKUP(B1370&amp;"ES",'LM7 Non-ENG'!$A$1:$A$4999,1,FALSE),"ERROR")=B1370&amp;"ES","Y","")),"")</f>
        <v/>
      </c>
      <c r="H1370" s="29" t="str">
        <f>IFERROR(HYPERLINK("#"&amp;ADDRESS(MATCH(B1370&amp;"PT",'LM7 Non-ENG'!$A$1:$A$5000,0),1,,,"LM7 Non-ENG"),IF(IFERROR(VLOOKUP(B1370&amp;"PT",'LM7 Non-ENG'!$A$1:$A$5000,1,FALSE),"ERROR")=B1370&amp;"PT","Y","")),"")</f>
        <v/>
      </c>
      <c r="I1370" t="str">
        <f>IFERROR(VLOOKUP(B1370,PN!$A:$C,3,FALSE),"")</f>
        <v>Active</v>
      </c>
      <c r="J1370" s="3">
        <f>IFERROR(E1370*VLOOKUP(B1370,PLInter!$A:$D,3,FALSE),"")</f>
        <v>635</v>
      </c>
      <c r="K1370" s="66"/>
      <c r="L1370" s="66"/>
      <c r="M1370" s="66"/>
      <c r="N1370" s="66"/>
      <c r="O1370" s="66"/>
      <c r="P1370" s="66"/>
      <c r="Q1370" s="66"/>
      <c r="R1370" s="66"/>
      <c r="S1370" s="66"/>
    </row>
    <row r="1371" spans="1:19" ht="18" customHeight="1">
      <c r="B1371" t="s">
        <v>921</v>
      </c>
      <c r="C1371" t="s">
        <v>922</v>
      </c>
      <c r="D1371" s="4"/>
      <c r="E1371" s="4">
        <v>1</v>
      </c>
      <c r="F1371" s="4"/>
      <c r="G1371" s="29" t="str">
        <f>IFERROR(HYPERLINK("#"&amp;ADDRESS(MATCH(B1371&amp;"ES",'LM7 Non-ENG'!$A$1:$A$5000,0),1,,,"LM7 Non-ENG"),IF(IFERROR(VLOOKUP(B1371&amp;"ES",'LM7 Non-ENG'!$A$1:$A$4999,1,FALSE),"ERROR")=B1371&amp;"ES","Y","")),"")</f>
        <v/>
      </c>
      <c r="H1371" s="29" t="str">
        <f>IFERROR(HYPERLINK("#"&amp;ADDRESS(MATCH(B1371&amp;"PT",'LM7 Non-ENG'!$A$1:$A$5000,0),1,,,"LM7 Non-ENG"),IF(IFERROR(VLOOKUP(B1371&amp;"PT",'LM7 Non-ENG'!$A$1:$A$5000,1,FALSE),"ERROR")=B1371&amp;"PT","Y","")),"")</f>
        <v/>
      </c>
      <c r="I1371" t="str">
        <f>IFERROR(VLOOKUP(B1371,PN!$A:$C,3,FALSE),"")</f>
        <v>Active</v>
      </c>
      <c r="J1371" s="3">
        <f>IFERROR(E1371*VLOOKUP(B1371,PLInter!$A:$D,3,FALSE),"")</f>
        <v>2585</v>
      </c>
      <c r="K1371" s="66"/>
      <c r="L1371" s="66"/>
      <c r="M1371" s="66"/>
      <c r="N1371" s="66"/>
      <c r="O1371" s="66"/>
      <c r="P1371" s="66"/>
      <c r="Q1371" s="66"/>
      <c r="R1371" s="66"/>
      <c r="S1371" s="66"/>
    </row>
    <row r="1372" spans="1:19" ht="18" customHeight="1">
      <c r="B1372" t="s">
        <v>923</v>
      </c>
      <c r="C1372" t="s">
        <v>924</v>
      </c>
      <c r="D1372" s="4"/>
      <c r="E1372" s="4">
        <v>12</v>
      </c>
      <c r="F1372" s="4"/>
      <c r="G1372" s="29" t="str">
        <f>IFERROR(HYPERLINK("#"&amp;ADDRESS(MATCH(B1372&amp;"ES",'LM7 Non-ENG'!$A$1:$A$5000,0),1,,,"LM7 Non-ENG"),IF(IFERROR(VLOOKUP(B1372&amp;"ES",'LM7 Non-ENG'!$A$1:$A$4999,1,FALSE),"ERROR")=B1372&amp;"ES","Y","")),"")</f>
        <v/>
      </c>
      <c r="H1372" s="29" t="str">
        <f>IFERROR(HYPERLINK("#"&amp;ADDRESS(MATCH(B1372&amp;"PT",'LM7 Non-ENG'!$A$1:$A$5000,0),1,,,"LM7 Non-ENG"),IF(IFERROR(VLOOKUP(B1372&amp;"PT",'LM7 Non-ENG'!$A$1:$A$5000,1,FALSE),"ERROR")=B1372&amp;"PT","Y","")),"")</f>
        <v/>
      </c>
      <c r="I1372" t="str">
        <f>IFERROR(VLOOKUP(B1372,PN!$A:$C,3,FALSE),"")</f>
        <v>Active</v>
      </c>
      <c r="J1372" s="3">
        <f>IFERROR(E1372*VLOOKUP(B1372,PLInter!$A:$D,3,FALSE),"")</f>
        <v>1104</v>
      </c>
      <c r="K1372" s="66"/>
      <c r="L1372" s="66"/>
      <c r="M1372" s="66"/>
      <c r="N1372" s="66"/>
      <c r="O1372" s="66"/>
      <c r="P1372" s="66"/>
      <c r="Q1372" s="66"/>
      <c r="R1372" s="66"/>
      <c r="S1372" s="66"/>
    </row>
    <row r="1373" spans="1:19" ht="18" customHeight="1">
      <c r="B1373" t="s">
        <v>902</v>
      </c>
      <c r="C1373" t="s">
        <v>962</v>
      </c>
      <c r="D1373" s="4"/>
      <c r="E1373" s="4">
        <v>1</v>
      </c>
      <c r="F1373" s="4"/>
      <c r="G1373" s="29" t="str">
        <f>IFERROR(HYPERLINK("#"&amp;ADDRESS(MATCH(B1373&amp;"ES",'LM7 Non-ENG'!$A$1:$A$5000,0),1,,,"LM7 Non-ENG"),IF(IFERROR(VLOOKUP(B1373&amp;"ES",'LM7 Non-ENG'!$A$1:$A$4999,1,FALSE),"ERROR")=B1373&amp;"ES","Y","")),"")</f>
        <v/>
      </c>
      <c r="H1373" s="29" t="str">
        <f>IFERROR(HYPERLINK("#"&amp;ADDRESS(MATCH(B1373&amp;"PT",'LM7 Non-ENG'!$A$1:$A$5000,0),1,,,"LM7 Non-ENG"),IF(IFERROR(VLOOKUP(B1373&amp;"PT",'LM7 Non-ENG'!$A$1:$A$5000,1,FALSE),"ERROR")=B1373&amp;"PT","Y","")),"")</f>
        <v/>
      </c>
      <c r="I1373" t="str">
        <f>IFERROR(VLOOKUP(B1373,PN!$A:$C,3,FALSE),"")</f>
        <v>Active</v>
      </c>
      <c r="J1373" s="3">
        <f>IFERROR(E1373*VLOOKUP(B1373,PLInter!$A:$D,3,FALSE),"")</f>
        <v>2000</v>
      </c>
      <c r="K1373" s="66"/>
      <c r="L1373" s="66"/>
      <c r="M1373" s="66"/>
      <c r="N1373" s="66"/>
      <c r="O1373" s="66"/>
      <c r="P1373" s="66"/>
      <c r="Q1373" s="66"/>
      <c r="R1373" s="66"/>
      <c r="S1373" s="66"/>
    </row>
    <row r="1374" spans="1:19" ht="18" customHeight="1">
      <c r="B1374" t="s">
        <v>244</v>
      </c>
      <c r="C1374" t="s">
        <v>247</v>
      </c>
      <c r="D1374" s="4"/>
      <c r="E1374" s="4">
        <v>1</v>
      </c>
      <c r="F1374" s="4"/>
      <c r="G1374" s="29" t="str">
        <f>IFERROR(HYPERLINK("#"&amp;ADDRESS(MATCH(B1374&amp;"ES",'LM7 Non-ENG'!$A$1:$A$5000,0),1,,,"LM7 Non-ENG"),IF(IFERROR(VLOOKUP(B1374&amp;"ES",'LM7 Non-ENG'!$A$1:$A$4999,1,FALSE),"ERROR")=B1374&amp;"ES","Y","")),"")</f>
        <v/>
      </c>
      <c r="H1374" s="29" t="str">
        <f>IFERROR(HYPERLINK("#"&amp;ADDRESS(MATCH(B1374&amp;"PT",'LM7 Non-ENG'!$A$1:$A$5000,0),1,,,"LM7 Non-ENG"),IF(IFERROR(VLOOKUP(B1374&amp;"PT",'LM7 Non-ENG'!$A$1:$A$5000,1,FALSE),"ERROR")=B1374&amp;"PT","Y","")),"")</f>
        <v/>
      </c>
      <c r="I1374" t="str">
        <f>IFERROR(VLOOKUP(B1374,PN!$A:$C,3,FALSE),"")</f>
        <v>Active</v>
      </c>
      <c r="J1374" s="3">
        <f>IFERROR(E1374*VLOOKUP(B1374,PLInter!$A:$D,3,FALSE),"")</f>
        <v>2400</v>
      </c>
      <c r="K1374" s="66"/>
      <c r="L1374" s="66"/>
      <c r="M1374" s="66"/>
      <c r="N1374" s="66"/>
      <c r="O1374" s="66"/>
      <c r="P1374" s="66"/>
      <c r="Q1374" s="66"/>
      <c r="R1374" s="66"/>
      <c r="S1374" s="66"/>
    </row>
    <row r="1375" spans="1:19" ht="18" customHeight="1">
      <c r="B1375" t="s">
        <v>697</v>
      </c>
      <c r="C1375" t="s">
        <v>698</v>
      </c>
      <c r="D1375" s="4"/>
      <c r="E1375" s="4">
        <v>1</v>
      </c>
      <c r="F1375" s="4"/>
      <c r="G1375" s="29" t="str">
        <f>IFERROR(HYPERLINK("#"&amp;ADDRESS(MATCH(B1375&amp;"ES",'LM7 Non-ENG'!$A$1:$A$5000,0),1,,,"LM7 Non-ENG"),IF(IFERROR(VLOOKUP(B1375&amp;"ES",'LM7 Non-ENG'!$A$1:$A$4999,1,FALSE),"ERROR")=B1375&amp;"ES","Y","")),"")</f>
        <v/>
      </c>
      <c r="H1375" s="29" t="str">
        <f>IFERROR(HYPERLINK("#"&amp;ADDRESS(MATCH(B1375&amp;"PT",'LM7 Non-ENG'!$A$1:$A$5000,0),1,,,"LM7 Non-ENG"),IF(IFERROR(VLOOKUP(B1375&amp;"PT",'LM7 Non-ENG'!$A$1:$A$5000,1,FALSE),"ERROR")=B1375&amp;"PT","Y","")),"")</f>
        <v/>
      </c>
      <c r="I1375" t="str">
        <f>IFERROR(VLOOKUP(B1375,PN!$A:$C,3,FALSE),"")</f>
        <v>Active</v>
      </c>
      <c r="J1375" s="3">
        <f>IFERROR(E1375*VLOOKUP(B1375,PLInter!$A:$D,3,FALSE),"")</f>
        <v>934</v>
      </c>
      <c r="K1375" s="66"/>
      <c r="L1375" s="66"/>
      <c r="M1375" s="66"/>
      <c r="N1375" s="66"/>
      <c r="O1375" s="66"/>
      <c r="P1375" s="66"/>
      <c r="Q1375" s="66"/>
      <c r="R1375" s="66"/>
      <c r="S1375" s="66"/>
    </row>
    <row r="1376" spans="1:19" ht="18" customHeight="1">
      <c r="B1376" t="s">
        <v>630</v>
      </c>
      <c r="C1376" t="s">
        <v>631</v>
      </c>
      <c r="D1376" s="4"/>
      <c r="E1376" s="4">
        <v>1</v>
      </c>
      <c r="F1376" s="4"/>
      <c r="G1376" s="29" t="str">
        <f>IFERROR(HYPERLINK("#"&amp;ADDRESS(MATCH(B1376&amp;"ES",'LM7 Non-ENG'!$A$1:$A$5000,0),1,,,"LM7 Non-ENG"),IF(IFERROR(VLOOKUP(B1376&amp;"ES",'LM7 Non-ENG'!$A$1:$A$4999,1,FALSE),"ERROR")=B1376&amp;"ES","Y","")),"")</f>
        <v/>
      </c>
      <c r="H1376" s="29" t="str">
        <f>IFERROR(HYPERLINK("#"&amp;ADDRESS(MATCH(B1376&amp;"PT",'LM7 Non-ENG'!$A$1:$A$5000,0),1,,,"LM7 Non-ENG"),IF(IFERROR(VLOOKUP(B1376&amp;"PT",'LM7 Non-ENG'!$A$1:$A$5000,1,FALSE),"ERROR")=B1376&amp;"PT","Y","")),"")</f>
        <v/>
      </c>
      <c r="I1376" t="str">
        <f>IFERROR(VLOOKUP(B1376,PN!$A:$C,3,FALSE),"")</f>
        <v>Active</v>
      </c>
      <c r="J1376" s="3">
        <f>IFERROR(E1376*VLOOKUP(B1376,PLInter!$A:$D,3,FALSE),"")</f>
        <v>1735</v>
      </c>
      <c r="K1376" s="66"/>
      <c r="L1376" s="66"/>
      <c r="M1376" s="66"/>
      <c r="N1376" s="66"/>
      <c r="O1376" s="66"/>
      <c r="P1376" s="66"/>
      <c r="Q1376" s="66"/>
      <c r="R1376" s="66"/>
      <c r="S1376" s="66"/>
    </row>
    <row r="1378" spans="1:19" s="7" customFormat="1" ht="18" customHeight="1">
      <c r="A1378" s="13" t="s">
        <v>963</v>
      </c>
      <c r="B1378" s="13"/>
      <c r="C1378" s="13" t="s">
        <v>964</v>
      </c>
      <c r="D1378" s="14"/>
      <c r="E1378" s="14"/>
      <c r="F1378" s="14"/>
      <c r="G1378" s="14"/>
      <c r="H1378" s="14"/>
      <c r="I1378" s="14"/>
      <c r="J1378" s="14">
        <f>SUMIFS(J1379:J1388,D1379:D1388,"&lt;&gt;Y",F1379:F1388,"&lt;&gt;Y",I1379:I1388,"&lt;&gt;Inactive",I1379:I1388,"&lt;&gt;ECO+NFS")</f>
        <v>12564</v>
      </c>
      <c r="K1378" s="14"/>
      <c r="L1378" s="14"/>
      <c r="M1378" s="14"/>
      <c r="N1378" s="14"/>
      <c r="O1378" s="14"/>
      <c r="P1378" s="14"/>
      <c r="Q1378" s="14"/>
      <c r="R1378" s="14"/>
      <c r="S1378" s="14"/>
    </row>
    <row r="1379" spans="1:19" ht="18" customHeight="1">
      <c r="A1379" s="17" t="str">
        <f>HYPERLINK("#"&amp;ADDRESS(MATCH(A1378,'CIM&amp;FMS'!$A$1:$A$4997,0),1,,,"CIM&amp;FMS"),"Back to Price List")</f>
        <v>Back to Price List</v>
      </c>
      <c r="B1379" t="str">
        <f>"021031"</f>
        <v>021031</v>
      </c>
      <c r="C1379" s="41" t="str">
        <f>"מכלול- בסיס לטמפלט CIM"</f>
        <v>מכלול- בסיס לטמפלט CIM</v>
      </c>
      <c r="D1379" s="4"/>
      <c r="E1379" s="4">
        <v>4</v>
      </c>
      <c r="F1379" s="4"/>
      <c r="G1379" s="29" t="str">
        <f>IFERROR(HYPERLINK("#"&amp;ADDRESS(MATCH(B1379&amp;"ES",'LM7 Non-ENG'!$A$1:$A$5000,0),1,,,"LM7 Non-ENG"),IF(IFERROR(VLOOKUP(B1379&amp;"ES",'LM7 Non-ENG'!$A$1:$A$4999,1,FALSE),"ERROR")=B1379&amp;"ES","Y","")),"")</f>
        <v/>
      </c>
      <c r="H1379" s="29" t="str">
        <f>IFERROR(HYPERLINK("#"&amp;ADDRESS(MATCH(B1379&amp;"PT",'LM7 Non-ENG'!$A$1:$A$5000,0),1,,,"LM7 Non-ENG"),IF(IFERROR(VLOOKUP(B1379&amp;"PT",'LM7 Non-ENG'!$A$1:$A$5000,1,FALSE),"ERROR")=B1379&amp;"PT","Y","")),"")</f>
        <v/>
      </c>
      <c r="I1379" t="str">
        <f>IFERROR(VLOOKUP(B1379,PN!$A:$C,3,FALSE),"")</f>
        <v>Active</v>
      </c>
      <c r="J1379" s="3">
        <f>IFERROR(E1379*VLOOKUP(B1379,PLInter!$A:$D,3,FALSE),"")</f>
        <v>216</v>
      </c>
      <c r="K1379" s="66"/>
      <c r="L1379" s="66"/>
      <c r="M1379" s="66"/>
      <c r="N1379" s="66"/>
      <c r="O1379" s="66"/>
      <c r="P1379" s="66"/>
      <c r="Q1379" s="66"/>
      <c r="R1379" s="66"/>
      <c r="S1379" s="66"/>
    </row>
    <row r="1380" spans="1:19" ht="18" customHeight="1">
      <c r="B1380" t="s">
        <v>684</v>
      </c>
      <c r="C1380" t="s">
        <v>685</v>
      </c>
      <c r="D1380" s="4"/>
      <c r="E1380" s="4">
        <v>2</v>
      </c>
      <c r="F1380" s="4"/>
      <c r="G1380" s="29" t="str">
        <f>IFERROR(HYPERLINK("#"&amp;ADDRESS(MATCH(B1380&amp;"ES",'LM7 Non-ENG'!$A$1:$A$5000,0),1,,,"LM7 Non-ENG"),IF(IFERROR(VLOOKUP(B1380&amp;"ES",'LM7 Non-ENG'!$A$1:$A$4999,1,FALSE),"ERROR")=B1380&amp;"ES","Y","")),"")</f>
        <v/>
      </c>
      <c r="H1380" s="29" t="str">
        <f>IFERROR(HYPERLINK("#"&amp;ADDRESS(MATCH(B1380&amp;"PT",'LM7 Non-ENG'!$A$1:$A$5000,0),1,,,"LM7 Non-ENG"),IF(IFERROR(VLOOKUP(B1380&amp;"PT",'LM7 Non-ENG'!$A$1:$A$5000,1,FALSE),"ERROR")=B1380&amp;"PT","Y","")),"")</f>
        <v/>
      </c>
      <c r="I1380" t="str">
        <f>IFERROR(VLOOKUP(B1380,PN!$A:$C,3,FALSE),"")</f>
        <v>Active</v>
      </c>
      <c r="J1380" s="3">
        <f>IFERROR(E1380*VLOOKUP(B1380,PLInter!$A:$D,3,FALSE),"")</f>
        <v>1160</v>
      </c>
      <c r="K1380" s="66"/>
      <c r="L1380" s="66"/>
      <c r="M1380" s="66"/>
      <c r="N1380" s="66"/>
      <c r="O1380" s="66"/>
      <c r="P1380" s="66"/>
      <c r="Q1380" s="66"/>
      <c r="R1380" s="66"/>
      <c r="S1380" s="66"/>
    </row>
    <row r="1381" spans="1:19" ht="18" customHeight="1">
      <c r="B1381" t="str">
        <f>"021177"</f>
        <v>021177</v>
      </c>
      <c r="C1381" t="s">
        <v>959</v>
      </c>
      <c r="D1381" s="4"/>
      <c r="E1381" s="4">
        <v>2</v>
      </c>
      <c r="F1381" s="4"/>
      <c r="G1381" s="29" t="str">
        <f>IFERROR(HYPERLINK("#"&amp;ADDRESS(MATCH(B1381&amp;"ES",'LM7 Non-ENG'!$A$1:$A$5000,0),1,,,"LM7 Non-ENG"),IF(IFERROR(VLOOKUP(B1381&amp;"ES",'LM7 Non-ENG'!$A$1:$A$4999,1,FALSE),"ERROR")=B1381&amp;"ES","Y","")),"")</f>
        <v/>
      </c>
      <c r="H1381" s="29" t="str">
        <f>IFERROR(HYPERLINK("#"&amp;ADDRESS(MATCH(B1381&amp;"PT",'LM7 Non-ENG'!$A$1:$A$5000,0),1,,,"LM7 Non-ENG"),IF(IFERROR(VLOOKUP(B1381&amp;"PT",'LM7 Non-ENG'!$A$1:$A$5000,1,FALSE),"ERROR")=B1381&amp;"PT","Y","")),"")</f>
        <v/>
      </c>
      <c r="I1381" t="str">
        <f>IFERROR(VLOOKUP(B1381,PN!$A:$C,3,FALSE),"")</f>
        <v>Active</v>
      </c>
      <c r="J1381" s="3">
        <f>IFERROR(E1381*VLOOKUP(B1381,PLInter!$A:$D,3,FALSE),"")</f>
        <v>60</v>
      </c>
      <c r="K1381" s="66"/>
      <c r="L1381" s="66"/>
      <c r="M1381" s="66"/>
      <c r="N1381" s="66"/>
      <c r="O1381" s="66"/>
      <c r="P1381" s="66"/>
      <c r="Q1381" s="66"/>
      <c r="R1381" s="66"/>
      <c r="S1381" s="66"/>
    </row>
    <row r="1382" spans="1:19" ht="18" customHeight="1">
      <c r="B1382" t="s">
        <v>917</v>
      </c>
      <c r="C1382" t="s">
        <v>918</v>
      </c>
      <c r="D1382" s="4"/>
      <c r="E1382" s="4">
        <v>1</v>
      </c>
      <c r="F1382" s="4"/>
      <c r="G1382" s="29" t="str">
        <f>IFERROR(HYPERLINK("#"&amp;ADDRESS(MATCH(B1382&amp;"ES",'LM7 Non-ENG'!$A$1:$A$5000,0),1,,,"LM7 Non-ENG"),IF(IFERROR(VLOOKUP(B1382&amp;"ES",'LM7 Non-ENG'!$A$1:$A$4999,1,FALSE),"ERROR")=B1382&amp;"ES","Y","")),"")</f>
        <v/>
      </c>
      <c r="H1382" s="29" t="str">
        <f>IFERROR(HYPERLINK("#"&amp;ADDRESS(MATCH(B1382&amp;"PT",'LM7 Non-ENG'!$A$1:$A$5000,0),1,,,"LM7 Non-ENG"),IF(IFERROR(VLOOKUP(B1382&amp;"PT",'LM7 Non-ENG'!$A$1:$A$5000,1,FALSE),"ERROR")=B1382&amp;"PT","Y","")),"")</f>
        <v/>
      </c>
      <c r="I1382" t="str">
        <f>IFERROR(VLOOKUP(B1382,PN!$A:$C,3,FALSE),"")</f>
        <v>Phase Out</v>
      </c>
      <c r="J1382" s="3">
        <f>IFERROR(E1382*VLOOKUP(B1382,PLInter!$A:$D,3,FALSE),"")</f>
        <v>1735</v>
      </c>
      <c r="K1382" s="66"/>
      <c r="L1382" s="66"/>
      <c r="M1382" s="66"/>
      <c r="N1382" s="66"/>
      <c r="O1382" s="66"/>
      <c r="P1382" s="66"/>
      <c r="Q1382" s="66"/>
      <c r="R1382" s="66"/>
      <c r="S1382" s="66"/>
    </row>
    <row r="1383" spans="1:19" ht="18" customHeight="1">
      <c r="B1383" t="s">
        <v>919</v>
      </c>
      <c r="C1383" t="s">
        <v>920</v>
      </c>
      <c r="D1383" s="4"/>
      <c r="E1383" s="4">
        <v>1</v>
      </c>
      <c r="F1383" s="4"/>
      <c r="G1383" s="29" t="str">
        <f>IFERROR(HYPERLINK("#"&amp;ADDRESS(MATCH(B1383&amp;"ES",'LM7 Non-ENG'!$A$1:$A$5000,0),1,,,"LM7 Non-ENG"),IF(IFERROR(VLOOKUP(B1383&amp;"ES",'LM7 Non-ENG'!$A$1:$A$4999,1,FALSE),"ERROR")=B1383&amp;"ES","Y","")),"")</f>
        <v/>
      </c>
      <c r="H1383" s="29" t="str">
        <f>IFERROR(HYPERLINK("#"&amp;ADDRESS(MATCH(B1383&amp;"PT",'LM7 Non-ENG'!$A$1:$A$5000,0),1,,,"LM7 Non-ENG"),IF(IFERROR(VLOOKUP(B1383&amp;"PT",'LM7 Non-ENG'!$A$1:$A$5000,1,FALSE),"ERROR")=B1383&amp;"PT","Y","")),"")</f>
        <v/>
      </c>
      <c r="I1383" t="str">
        <f>IFERROR(VLOOKUP(B1383,PN!$A:$C,3,FALSE),"")</f>
        <v>Active</v>
      </c>
      <c r="J1383" s="3">
        <f>IFERROR(E1383*VLOOKUP(B1383,PLInter!$A:$D,3,FALSE),"")</f>
        <v>635</v>
      </c>
      <c r="K1383" s="66"/>
      <c r="L1383" s="66"/>
      <c r="M1383" s="66"/>
      <c r="N1383" s="66"/>
      <c r="O1383" s="66"/>
      <c r="P1383" s="66"/>
      <c r="Q1383" s="66"/>
      <c r="R1383" s="66"/>
      <c r="S1383" s="66"/>
    </row>
    <row r="1384" spans="1:19" ht="18" customHeight="1">
      <c r="B1384" t="s">
        <v>921</v>
      </c>
      <c r="C1384" t="s">
        <v>922</v>
      </c>
      <c r="D1384" s="4"/>
      <c r="E1384" s="4">
        <v>1</v>
      </c>
      <c r="F1384" s="4"/>
      <c r="G1384" s="29" t="str">
        <f>IFERROR(HYPERLINK("#"&amp;ADDRESS(MATCH(B1384&amp;"ES",'LM7 Non-ENG'!$A$1:$A$5000,0),1,,,"LM7 Non-ENG"),IF(IFERROR(VLOOKUP(B1384&amp;"ES",'LM7 Non-ENG'!$A$1:$A$4999,1,FALSE),"ERROR")=B1384&amp;"ES","Y","")),"")</f>
        <v/>
      </c>
      <c r="H1384" s="29" t="str">
        <f>IFERROR(HYPERLINK("#"&amp;ADDRESS(MATCH(B1384&amp;"PT",'LM7 Non-ENG'!$A$1:$A$5000,0),1,,,"LM7 Non-ENG"),IF(IFERROR(VLOOKUP(B1384&amp;"PT",'LM7 Non-ENG'!$A$1:$A$5000,1,FALSE),"ERROR")=B1384&amp;"PT","Y","")),"")</f>
        <v/>
      </c>
      <c r="I1384" t="str">
        <f>IFERROR(VLOOKUP(B1384,PN!$A:$C,3,FALSE),"")</f>
        <v>Active</v>
      </c>
      <c r="J1384" s="3">
        <f>IFERROR(E1384*VLOOKUP(B1384,PLInter!$A:$D,3,FALSE),"")</f>
        <v>2585</v>
      </c>
      <c r="K1384" s="66"/>
      <c r="L1384" s="66"/>
      <c r="M1384" s="66"/>
      <c r="N1384" s="66"/>
      <c r="O1384" s="66"/>
      <c r="P1384" s="66"/>
      <c r="Q1384" s="66"/>
      <c r="R1384" s="66"/>
      <c r="S1384" s="66"/>
    </row>
    <row r="1385" spans="1:19" ht="18" customHeight="1">
      <c r="B1385" t="s">
        <v>923</v>
      </c>
      <c r="C1385" t="s">
        <v>924</v>
      </c>
      <c r="D1385" s="4"/>
      <c r="E1385" s="4">
        <v>12</v>
      </c>
      <c r="F1385" s="4"/>
      <c r="G1385" s="29" t="str">
        <f>IFERROR(HYPERLINK("#"&amp;ADDRESS(MATCH(B1385&amp;"ES",'LM7 Non-ENG'!$A$1:$A$5000,0),1,,,"LM7 Non-ENG"),IF(IFERROR(VLOOKUP(B1385&amp;"ES",'LM7 Non-ENG'!$A$1:$A$4999,1,FALSE),"ERROR")=B1385&amp;"ES","Y","")),"")</f>
        <v/>
      </c>
      <c r="H1385" s="29" t="str">
        <f>IFERROR(HYPERLINK("#"&amp;ADDRESS(MATCH(B1385&amp;"PT",'LM7 Non-ENG'!$A$1:$A$5000,0),1,,,"LM7 Non-ENG"),IF(IFERROR(VLOOKUP(B1385&amp;"PT",'LM7 Non-ENG'!$A$1:$A$5000,1,FALSE),"ERROR")=B1385&amp;"PT","Y","")),"")</f>
        <v/>
      </c>
      <c r="I1385" t="str">
        <f>IFERROR(VLOOKUP(B1385,PN!$A:$C,3,FALSE),"")</f>
        <v>Active</v>
      </c>
      <c r="J1385" s="3">
        <f>IFERROR(E1385*VLOOKUP(B1385,PLInter!$A:$D,3,FALSE),"")</f>
        <v>1104</v>
      </c>
      <c r="K1385" s="66"/>
      <c r="L1385" s="66"/>
      <c r="M1385" s="66"/>
      <c r="N1385" s="66"/>
      <c r="O1385" s="66"/>
      <c r="P1385" s="66"/>
      <c r="Q1385" s="66"/>
      <c r="R1385" s="66"/>
      <c r="S1385" s="66"/>
    </row>
    <row r="1386" spans="1:19" ht="18" customHeight="1">
      <c r="B1386" t="s">
        <v>244</v>
      </c>
      <c r="C1386" t="s">
        <v>247</v>
      </c>
      <c r="D1386" s="4"/>
      <c r="E1386" s="4">
        <v>1</v>
      </c>
      <c r="F1386" s="4"/>
      <c r="G1386" s="29" t="str">
        <f>IFERROR(HYPERLINK("#"&amp;ADDRESS(MATCH(B1386&amp;"ES",'LM7 Non-ENG'!$A$1:$A$5000,0),1,,,"LM7 Non-ENG"),IF(IFERROR(VLOOKUP(B1386&amp;"ES",'LM7 Non-ENG'!$A$1:$A$4999,1,FALSE),"ERROR")=B1386&amp;"ES","Y","")),"")</f>
        <v/>
      </c>
      <c r="H1386" s="29" t="str">
        <f>IFERROR(HYPERLINK("#"&amp;ADDRESS(MATCH(B1386&amp;"PT",'LM7 Non-ENG'!$A$1:$A$5000,0),1,,,"LM7 Non-ENG"),IF(IFERROR(VLOOKUP(B1386&amp;"PT",'LM7 Non-ENG'!$A$1:$A$5000,1,FALSE),"ERROR")=B1386&amp;"PT","Y","")),"")</f>
        <v/>
      </c>
      <c r="I1386" t="str">
        <f>IFERROR(VLOOKUP(B1386,PN!$A:$C,3,FALSE),"")</f>
        <v>Active</v>
      </c>
      <c r="J1386" s="3">
        <f>IFERROR(E1386*VLOOKUP(B1386,PLInter!$A:$D,3,FALSE),"")</f>
        <v>2400</v>
      </c>
      <c r="K1386" s="66"/>
      <c r="L1386" s="66"/>
      <c r="M1386" s="66"/>
      <c r="N1386" s="66"/>
      <c r="O1386" s="66"/>
      <c r="P1386" s="66"/>
      <c r="Q1386" s="66"/>
      <c r="R1386" s="66"/>
      <c r="S1386" s="66"/>
    </row>
    <row r="1387" spans="1:19" ht="18" customHeight="1">
      <c r="B1387" t="s">
        <v>697</v>
      </c>
      <c r="C1387" t="s">
        <v>698</v>
      </c>
      <c r="D1387" s="4"/>
      <c r="E1387" s="4">
        <v>1</v>
      </c>
      <c r="F1387" s="4"/>
      <c r="G1387" s="29" t="str">
        <f>IFERROR(HYPERLINK("#"&amp;ADDRESS(MATCH(B1387&amp;"ES",'LM7 Non-ENG'!$A$1:$A$5000,0),1,,,"LM7 Non-ENG"),IF(IFERROR(VLOOKUP(B1387&amp;"ES",'LM7 Non-ENG'!$A$1:$A$4999,1,FALSE),"ERROR")=B1387&amp;"ES","Y","")),"")</f>
        <v/>
      </c>
      <c r="H1387" s="29" t="str">
        <f>IFERROR(HYPERLINK("#"&amp;ADDRESS(MATCH(B1387&amp;"PT",'LM7 Non-ENG'!$A$1:$A$5000,0),1,,,"LM7 Non-ENG"),IF(IFERROR(VLOOKUP(B1387&amp;"PT",'LM7 Non-ENG'!$A$1:$A$5000,1,FALSE),"ERROR")=B1387&amp;"PT","Y","")),"")</f>
        <v/>
      </c>
      <c r="I1387" t="str">
        <f>IFERROR(VLOOKUP(B1387,PN!$A:$C,3,FALSE),"")</f>
        <v>Active</v>
      </c>
      <c r="J1387" s="3">
        <f>IFERROR(E1387*VLOOKUP(B1387,PLInter!$A:$D,3,FALSE),"")</f>
        <v>934</v>
      </c>
      <c r="K1387" s="66"/>
      <c r="L1387" s="66"/>
      <c r="M1387" s="66"/>
      <c r="N1387" s="66"/>
      <c r="O1387" s="66"/>
      <c r="P1387" s="66"/>
      <c r="Q1387" s="66"/>
      <c r="R1387" s="66"/>
      <c r="S1387" s="66"/>
    </row>
    <row r="1388" spans="1:19" ht="18" customHeight="1">
      <c r="B1388" t="s">
        <v>630</v>
      </c>
      <c r="C1388" t="s">
        <v>631</v>
      </c>
      <c r="D1388" s="4"/>
      <c r="E1388" s="4">
        <v>1</v>
      </c>
      <c r="F1388" s="4"/>
      <c r="G1388" s="29" t="str">
        <f>IFERROR(HYPERLINK("#"&amp;ADDRESS(MATCH(B1388&amp;"ES",'LM7 Non-ENG'!$A$1:$A$5000,0),1,,,"LM7 Non-ENG"),IF(IFERROR(VLOOKUP(B1388&amp;"ES",'LM7 Non-ENG'!$A$1:$A$4999,1,FALSE),"ERROR")=B1388&amp;"ES","Y","")),"")</f>
        <v/>
      </c>
      <c r="H1388" s="29" t="str">
        <f>IFERROR(HYPERLINK("#"&amp;ADDRESS(MATCH(B1388&amp;"PT",'LM7 Non-ENG'!$A$1:$A$5000,0),1,,,"LM7 Non-ENG"),IF(IFERROR(VLOOKUP(B1388&amp;"PT",'LM7 Non-ENG'!$A$1:$A$5000,1,FALSE),"ERROR")=B1388&amp;"PT","Y","")),"")</f>
        <v/>
      </c>
      <c r="I1388" t="str">
        <f>IFERROR(VLOOKUP(B1388,PN!$A:$C,3,FALSE),"")</f>
        <v>Active</v>
      </c>
      <c r="J1388" s="3">
        <f>IFERROR(E1388*VLOOKUP(B1388,PLInter!$A:$D,3,FALSE),"")</f>
        <v>1735</v>
      </c>
      <c r="K1388" s="66"/>
      <c r="L1388" s="66"/>
      <c r="M1388" s="66"/>
      <c r="N1388" s="66"/>
      <c r="O1388" s="66"/>
      <c r="P1388" s="66"/>
      <c r="Q1388" s="66"/>
      <c r="R1388" s="66"/>
      <c r="S1388" s="66"/>
    </row>
    <row r="1390" spans="1:19" s="7" customFormat="1" ht="18" customHeight="1">
      <c r="A1390" s="13" t="s">
        <v>965</v>
      </c>
      <c r="B1390" s="13"/>
      <c r="C1390" s="13" t="s">
        <v>966</v>
      </c>
      <c r="D1390" s="14"/>
      <c r="E1390" s="14"/>
      <c r="F1390" s="14"/>
      <c r="G1390" s="14"/>
      <c r="H1390" s="14"/>
      <c r="I1390" s="14"/>
      <c r="J1390" s="14">
        <f>SUMIFS(J1391:J1403,D1391:D1403,"&lt;&gt;Y",F1391:F1403,"&lt;&gt;Y",I1391:I1403,"&lt;&gt;Inactive",I1391:I1403,"&lt;&gt;ECO+NFS")</f>
        <v>52764</v>
      </c>
      <c r="K1390" s="14"/>
      <c r="L1390" s="14"/>
      <c r="M1390" s="14"/>
      <c r="N1390" s="14"/>
      <c r="O1390" s="14"/>
      <c r="P1390" s="14"/>
      <c r="Q1390" s="14"/>
      <c r="R1390" s="14"/>
      <c r="S1390" s="14"/>
    </row>
    <row r="1391" spans="1:19" ht="18" customHeight="1">
      <c r="A1391" s="17" t="str">
        <f>HYPERLINK("#"&amp;ADDRESS(MATCH(A1390,'CIM&amp;FMS'!$A$1:$A$4997,0),1,,,"CIM&amp;FMS"),"Back to Price List")</f>
        <v>Back to Price List</v>
      </c>
      <c r="B1391" t="s">
        <v>215</v>
      </c>
      <c r="C1391" t="s">
        <v>967</v>
      </c>
      <c r="D1391" s="4"/>
      <c r="E1391" s="4">
        <v>1</v>
      </c>
      <c r="F1391" s="4"/>
      <c r="G1391" s="29" t="str">
        <f>IFERROR(HYPERLINK("#"&amp;ADDRESS(MATCH(B1391&amp;"ES",'LM7 Non-ENG'!$A$1:$A$5000,0),1,,,"LM7 Non-ENG"),IF(IFERROR(VLOOKUP(B1391&amp;"ES",'LM7 Non-ENG'!$A$1:$A$4999,1,FALSE),"ERROR")=B1391&amp;"ES","Y","")),"")</f>
        <v/>
      </c>
      <c r="H1391" s="29" t="str">
        <f>IFERROR(HYPERLINK("#"&amp;ADDRESS(MATCH(B1391&amp;"PT",'LM7 Non-ENG'!$A$1:$A$5000,0),1,,,"LM7 Non-ENG"),IF(IFERROR(VLOOKUP(B1391&amp;"PT",'LM7 Non-ENG'!$A$1:$A$5000,1,FALSE),"ERROR")=B1391&amp;"PT","Y","")),"")</f>
        <v/>
      </c>
      <c r="I1391" t="str">
        <f>IFERROR(VLOOKUP(B1391,PN!$A:$C,3,FALSE),"")</f>
        <v>Active</v>
      </c>
      <c r="J1391" s="3">
        <f>IFERROR(E1391*VLOOKUP(B1391,PLInter!$A:$D,3,FALSE),"")</f>
        <v>35000</v>
      </c>
      <c r="K1391" s="66"/>
      <c r="L1391" s="66"/>
      <c r="M1391" s="66"/>
      <c r="N1391" s="66"/>
      <c r="O1391" s="66"/>
      <c r="P1391" s="66"/>
      <c r="Q1391" s="66"/>
      <c r="R1391" s="66"/>
      <c r="S1391" s="66"/>
    </row>
    <row r="1392" spans="1:19" ht="18" customHeight="1">
      <c r="B1392" t="s">
        <v>230</v>
      </c>
      <c r="C1392" t="s">
        <v>235</v>
      </c>
      <c r="D1392" s="4"/>
      <c r="E1392" s="4">
        <v>1</v>
      </c>
      <c r="F1392" s="4"/>
      <c r="G1392" s="29" t="str">
        <f>IFERROR(HYPERLINK("#"&amp;ADDRESS(MATCH(B1392&amp;"ES",'LM7 Non-ENG'!$A$1:$A$5000,0),1,,,"LM7 Non-ENG"),IF(IFERROR(VLOOKUP(B1392&amp;"ES",'LM7 Non-ENG'!$A$1:$A$4999,1,FALSE),"ERROR")=B1392&amp;"ES","Y","")),"")</f>
        <v/>
      </c>
      <c r="H1392" s="29" t="str">
        <f>IFERROR(HYPERLINK("#"&amp;ADDRESS(MATCH(B1392&amp;"PT",'LM7 Non-ENG'!$A$1:$A$5000,0),1,,,"LM7 Non-ENG"),IF(IFERROR(VLOOKUP(B1392&amp;"PT",'LM7 Non-ENG'!$A$1:$A$5000,1,FALSE),"ERROR")=B1392&amp;"PT","Y","")),"")</f>
        <v/>
      </c>
      <c r="I1392" t="str">
        <f>IFERROR(VLOOKUP(B1392,PN!$A:$C,3,FALSE),"")</f>
        <v>Active</v>
      </c>
      <c r="J1392" s="3">
        <f>IFERROR(E1392*VLOOKUP(B1392,PLInter!$A:$D,3,FALSE),"")</f>
        <v>3200</v>
      </c>
      <c r="K1392" s="66"/>
      <c r="L1392" s="66"/>
      <c r="M1392" s="66"/>
      <c r="N1392" s="66"/>
      <c r="O1392" s="66"/>
      <c r="P1392" s="66"/>
      <c r="Q1392" s="66"/>
      <c r="R1392" s="66"/>
      <c r="S1392" s="66"/>
    </row>
    <row r="1393" spans="1:19" ht="18" customHeight="1">
      <c r="B1393" t="str">
        <f>"021031"</f>
        <v>021031</v>
      </c>
      <c r="C1393" s="41" t="str">
        <f>"מכלול- בסיס לטמפלט CIM"</f>
        <v>מכלול- בסיס לטמפלט CIM</v>
      </c>
      <c r="D1393" s="4"/>
      <c r="E1393" s="4">
        <v>4</v>
      </c>
      <c r="F1393" s="4"/>
      <c r="G1393" s="29" t="str">
        <f>IFERROR(HYPERLINK("#"&amp;ADDRESS(MATCH(B1393&amp;"ES",'LM7 Non-ENG'!$A$1:$A$5000,0),1,,,"LM7 Non-ENG"),IF(IFERROR(VLOOKUP(B1393&amp;"ES",'LM7 Non-ENG'!$A$1:$A$4999,1,FALSE),"ERROR")=B1393&amp;"ES","Y","")),"")</f>
        <v/>
      </c>
      <c r="H1393" s="29" t="str">
        <f>IFERROR(HYPERLINK("#"&amp;ADDRESS(MATCH(B1393&amp;"PT",'LM7 Non-ENG'!$A$1:$A$5000,0),1,,,"LM7 Non-ENG"),IF(IFERROR(VLOOKUP(B1393&amp;"PT",'LM7 Non-ENG'!$A$1:$A$5000,1,FALSE),"ERROR")=B1393&amp;"PT","Y","")),"")</f>
        <v/>
      </c>
      <c r="I1393" t="str">
        <f>IFERROR(VLOOKUP(B1393,PN!$A:$C,3,FALSE),"")</f>
        <v>Active</v>
      </c>
      <c r="J1393" s="3">
        <f>IFERROR(E1393*VLOOKUP(B1393,PLInter!$A:$D,3,FALSE),"")</f>
        <v>216</v>
      </c>
      <c r="K1393" s="66"/>
      <c r="L1393" s="66"/>
      <c r="M1393" s="66"/>
      <c r="N1393" s="66"/>
      <c r="O1393" s="66"/>
      <c r="P1393" s="66"/>
      <c r="Q1393" s="66"/>
      <c r="R1393" s="66"/>
      <c r="S1393" s="66"/>
    </row>
    <row r="1394" spans="1:19" ht="18" customHeight="1">
      <c r="B1394" t="s">
        <v>684</v>
      </c>
      <c r="C1394" t="s">
        <v>685</v>
      </c>
      <c r="D1394" s="4"/>
      <c r="E1394" s="4">
        <v>2</v>
      </c>
      <c r="F1394" s="4"/>
      <c r="G1394" s="29" t="str">
        <f>IFERROR(HYPERLINK("#"&amp;ADDRESS(MATCH(B1394&amp;"ES",'LM7 Non-ENG'!$A$1:$A$5000,0),1,,,"LM7 Non-ENG"),IF(IFERROR(VLOOKUP(B1394&amp;"ES",'LM7 Non-ENG'!$A$1:$A$4999,1,FALSE),"ERROR")=B1394&amp;"ES","Y","")),"")</f>
        <v/>
      </c>
      <c r="H1394" s="29" t="str">
        <f>IFERROR(HYPERLINK("#"&amp;ADDRESS(MATCH(B1394&amp;"PT",'LM7 Non-ENG'!$A$1:$A$5000,0),1,,,"LM7 Non-ENG"),IF(IFERROR(VLOOKUP(B1394&amp;"PT",'LM7 Non-ENG'!$A$1:$A$5000,1,FALSE),"ERROR")=B1394&amp;"PT","Y","")),"")</f>
        <v/>
      </c>
      <c r="I1394" t="str">
        <f>IFERROR(VLOOKUP(B1394,PN!$A:$C,3,FALSE),"")</f>
        <v>Active</v>
      </c>
      <c r="J1394" s="3">
        <f>IFERROR(E1394*VLOOKUP(B1394,PLInter!$A:$D,3,FALSE),"")</f>
        <v>1160</v>
      </c>
      <c r="K1394" s="66"/>
      <c r="L1394" s="66"/>
      <c r="M1394" s="66"/>
      <c r="N1394" s="66"/>
      <c r="O1394" s="66"/>
      <c r="P1394" s="66"/>
      <c r="Q1394" s="66"/>
      <c r="R1394" s="66"/>
      <c r="S1394" s="66"/>
    </row>
    <row r="1395" spans="1:19" ht="18" customHeight="1">
      <c r="B1395" t="str">
        <f>"021177"</f>
        <v>021177</v>
      </c>
      <c r="C1395" t="s">
        <v>959</v>
      </c>
      <c r="D1395" s="4"/>
      <c r="E1395" s="4">
        <v>2</v>
      </c>
      <c r="F1395" s="4"/>
      <c r="G1395" s="29" t="str">
        <f>IFERROR(HYPERLINK("#"&amp;ADDRESS(MATCH(B1395&amp;"ES",'LM7 Non-ENG'!$A$1:$A$5000,0),1,,,"LM7 Non-ENG"),IF(IFERROR(VLOOKUP(B1395&amp;"ES",'LM7 Non-ENG'!$A$1:$A$4999,1,FALSE),"ERROR")=B1395&amp;"ES","Y","")),"")</f>
        <v/>
      </c>
      <c r="H1395" s="29" t="str">
        <f>IFERROR(HYPERLINK("#"&amp;ADDRESS(MATCH(B1395&amp;"PT",'LM7 Non-ENG'!$A$1:$A$5000,0),1,,,"LM7 Non-ENG"),IF(IFERROR(VLOOKUP(B1395&amp;"PT",'LM7 Non-ENG'!$A$1:$A$5000,1,FALSE),"ERROR")=B1395&amp;"PT","Y","")),"")</f>
        <v/>
      </c>
      <c r="I1395" t="str">
        <f>IFERROR(VLOOKUP(B1395,PN!$A:$C,3,FALSE),"")</f>
        <v>Active</v>
      </c>
      <c r="J1395" s="3">
        <f>IFERROR(E1395*VLOOKUP(B1395,PLInter!$A:$D,3,FALSE),"")</f>
        <v>60</v>
      </c>
      <c r="K1395" s="66"/>
      <c r="L1395" s="66"/>
      <c r="M1395" s="66"/>
      <c r="N1395" s="66"/>
      <c r="O1395" s="66"/>
      <c r="P1395" s="66"/>
      <c r="Q1395" s="66"/>
      <c r="R1395" s="66"/>
      <c r="S1395" s="66"/>
    </row>
    <row r="1396" spans="1:19" ht="18" customHeight="1">
      <c r="B1396" t="s">
        <v>917</v>
      </c>
      <c r="C1396" t="s">
        <v>918</v>
      </c>
      <c r="D1396" s="4"/>
      <c r="E1396" s="4">
        <v>1</v>
      </c>
      <c r="F1396" s="4"/>
      <c r="G1396" s="29" t="str">
        <f>IFERROR(HYPERLINK("#"&amp;ADDRESS(MATCH(B1396&amp;"ES",'LM7 Non-ENG'!$A$1:$A$5000,0),1,,,"LM7 Non-ENG"),IF(IFERROR(VLOOKUP(B1396&amp;"ES",'LM7 Non-ENG'!$A$1:$A$4999,1,FALSE),"ERROR")=B1396&amp;"ES","Y","")),"")</f>
        <v/>
      </c>
      <c r="H1396" s="29" t="str">
        <f>IFERROR(HYPERLINK("#"&amp;ADDRESS(MATCH(B1396&amp;"PT",'LM7 Non-ENG'!$A$1:$A$5000,0),1,,,"LM7 Non-ENG"),IF(IFERROR(VLOOKUP(B1396&amp;"PT",'LM7 Non-ENG'!$A$1:$A$5000,1,FALSE),"ERROR")=B1396&amp;"PT","Y","")),"")</f>
        <v/>
      </c>
      <c r="I1396" t="str">
        <f>IFERROR(VLOOKUP(B1396,PN!$A:$C,3,FALSE),"")</f>
        <v>Phase Out</v>
      </c>
      <c r="J1396" s="3">
        <f>IFERROR(E1396*VLOOKUP(B1396,PLInter!$A:$D,3,FALSE),"")</f>
        <v>1735</v>
      </c>
      <c r="K1396" s="66"/>
      <c r="L1396" s="66"/>
      <c r="M1396" s="66"/>
      <c r="N1396" s="66"/>
      <c r="O1396" s="66"/>
      <c r="P1396" s="66"/>
      <c r="Q1396" s="66"/>
      <c r="R1396" s="66"/>
      <c r="S1396" s="66"/>
    </row>
    <row r="1397" spans="1:19" ht="18" customHeight="1">
      <c r="B1397" t="s">
        <v>919</v>
      </c>
      <c r="C1397" t="s">
        <v>920</v>
      </c>
      <c r="D1397" s="4"/>
      <c r="E1397" s="4">
        <v>1</v>
      </c>
      <c r="F1397" s="4"/>
      <c r="G1397" s="29" t="str">
        <f>IFERROR(HYPERLINK("#"&amp;ADDRESS(MATCH(B1397&amp;"ES",'LM7 Non-ENG'!$A$1:$A$5000,0),1,,,"LM7 Non-ENG"),IF(IFERROR(VLOOKUP(B1397&amp;"ES",'LM7 Non-ENG'!$A$1:$A$4999,1,FALSE),"ERROR")=B1397&amp;"ES","Y","")),"")</f>
        <v/>
      </c>
      <c r="H1397" s="29" t="str">
        <f>IFERROR(HYPERLINK("#"&amp;ADDRESS(MATCH(B1397&amp;"PT",'LM7 Non-ENG'!$A$1:$A$5000,0),1,,,"LM7 Non-ENG"),IF(IFERROR(VLOOKUP(B1397&amp;"PT",'LM7 Non-ENG'!$A$1:$A$5000,1,FALSE),"ERROR")=B1397&amp;"PT","Y","")),"")</f>
        <v/>
      </c>
      <c r="I1397" t="str">
        <f>IFERROR(VLOOKUP(B1397,PN!$A:$C,3,FALSE),"")</f>
        <v>Active</v>
      </c>
      <c r="J1397" s="3">
        <f>IFERROR(E1397*VLOOKUP(B1397,PLInter!$A:$D,3,FALSE),"")</f>
        <v>635</v>
      </c>
      <c r="K1397" s="66"/>
      <c r="L1397" s="66"/>
      <c r="M1397" s="66"/>
      <c r="N1397" s="66"/>
      <c r="O1397" s="66"/>
      <c r="P1397" s="66"/>
      <c r="Q1397" s="66"/>
      <c r="R1397" s="66"/>
      <c r="S1397" s="66"/>
    </row>
    <row r="1398" spans="1:19" ht="18" customHeight="1">
      <c r="B1398" t="s">
        <v>921</v>
      </c>
      <c r="C1398" t="s">
        <v>922</v>
      </c>
      <c r="D1398" s="4"/>
      <c r="E1398" s="4">
        <v>1</v>
      </c>
      <c r="F1398" s="4"/>
      <c r="G1398" s="29" t="str">
        <f>IFERROR(HYPERLINK("#"&amp;ADDRESS(MATCH(B1398&amp;"ES",'LM7 Non-ENG'!$A$1:$A$5000,0),1,,,"LM7 Non-ENG"),IF(IFERROR(VLOOKUP(B1398&amp;"ES",'LM7 Non-ENG'!$A$1:$A$4999,1,FALSE),"ERROR")=B1398&amp;"ES","Y","")),"")</f>
        <v/>
      </c>
      <c r="H1398" s="29" t="str">
        <f>IFERROR(HYPERLINK("#"&amp;ADDRESS(MATCH(B1398&amp;"PT",'LM7 Non-ENG'!$A$1:$A$5000,0),1,,,"LM7 Non-ENG"),IF(IFERROR(VLOOKUP(B1398&amp;"PT",'LM7 Non-ENG'!$A$1:$A$5000,1,FALSE),"ERROR")=B1398&amp;"PT","Y","")),"")</f>
        <v/>
      </c>
      <c r="I1398" t="str">
        <f>IFERROR(VLOOKUP(B1398,PN!$A:$C,3,FALSE),"")</f>
        <v>Active</v>
      </c>
      <c r="J1398" s="3">
        <f>IFERROR(E1398*VLOOKUP(B1398,PLInter!$A:$D,3,FALSE),"")</f>
        <v>2585</v>
      </c>
      <c r="K1398" s="66"/>
      <c r="L1398" s="66"/>
      <c r="M1398" s="66"/>
      <c r="N1398" s="66"/>
      <c r="O1398" s="66"/>
      <c r="P1398" s="66"/>
      <c r="Q1398" s="66"/>
      <c r="R1398" s="66"/>
      <c r="S1398" s="66"/>
    </row>
    <row r="1399" spans="1:19" ht="18" customHeight="1">
      <c r="B1399" t="s">
        <v>923</v>
      </c>
      <c r="C1399" t="s">
        <v>924</v>
      </c>
      <c r="D1399" s="4"/>
      <c r="E1399" s="4">
        <v>12</v>
      </c>
      <c r="F1399" s="4"/>
      <c r="G1399" s="29" t="str">
        <f>IFERROR(HYPERLINK("#"&amp;ADDRESS(MATCH(B1399&amp;"ES",'LM7 Non-ENG'!$A$1:$A$5000,0),1,,,"LM7 Non-ENG"),IF(IFERROR(VLOOKUP(B1399&amp;"ES",'LM7 Non-ENG'!$A$1:$A$4999,1,FALSE),"ERROR")=B1399&amp;"ES","Y","")),"")</f>
        <v/>
      </c>
      <c r="H1399" s="29" t="str">
        <f>IFERROR(HYPERLINK("#"&amp;ADDRESS(MATCH(B1399&amp;"PT",'LM7 Non-ENG'!$A$1:$A$5000,0),1,,,"LM7 Non-ENG"),IF(IFERROR(VLOOKUP(B1399&amp;"PT",'LM7 Non-ENG'!$A$1:$A$5000,1,FALSE),"ERROR")=B1399&amp;"PT","Y","")),"")</f>
        <v/>
      </c>
      <c r="I1399" t="str">
        <f>IFERROR(VLOOKUP(B1399,PN!$A:$C,3,FALSE),"")</f>
        <v>Active</v>
      </c>
      <c r="J1399" s="3">
        <f>IFERROR(E1399*VLOOKUP(B1399,PLInter!$A:$D,3,FALSE),"")</f>
        <v>1104</v>
      </c>
      <c r="K1399" s="66"/>
      <c r="L1399" s="66"/>
      <c r="M1399" s="66"/>
      <c r="N1399" s="66"/>
      <c r="O1399" s="66"/>
      <c r="P1399" s="66"/>
      <c r="Q1399" s="66"/>
      <c r="R1399" s="66"/>
      <c r="S1399" s="66"/>
    </row>
    <row r="1400" spans="1:19" ht="18" customHeight="1">
      <c r="B1400" t="s">
        <v>902</v>
      </c>
      <c r="C1400" t="s">
        <v>962</v>
      </c>
      <c r="D1400" s="4"/>
      <c r="E1400" s="4">
        <v>1</v>
      </c>
      <c r="F1400" s="4"/>
      <c r="G1400" s="29" t="str">
        <f>IFERROR(HYPERLINK("#"&amp;ADDRESS(MATCH(B1400&amp;"ES",'LM7 Non-ENG'!$A$1:$A$5000,0),1,,,"LM7 Non-ENG"),IF(IFERROR(VLOOKUP(B1400&amp;"ES",'LM7 Non-ENG'!$A$1:$A$4999,1,FALSE),"ERROR")=B1400&amp;"ES","Y","")),"")</f>
        <v/>
      </c>
      <c r="H1400" s="29" t="str">
        <f>IFERROR(HYPERLINK("#"&amp;ADDRESS(MATCH(B1400&amp;"PT",'LM7 Non-ENG'!$A$1:$A$5000,0),1,,,"LM7 Non-ENG"),IF(IFERROR(VLOOKUP(B1400&amp;"PT",'LM7 Non-ENG'!$A$1:$A$5000,1,FALSE),"ERROR")=B1400&amp;"PT","Y","")),"")</f>
        <v/>
      </c>
      <c r="I1400" t="str">
        <f>IFERROR(VLOOKUP(B1400,PN!$A:$C,3,FALSE),"")</f>
        <v>Active</v>
      </c>
      <c r="J1400" s="3">
        <f>IFERROR(E1400*VLOOKUP(B1400,PLInter!$A:$D,3,FALSE),"")</f>
        <v>2000</v>
      </c>
      <c r="K1400" s="66"/>
      <c r="L1400" s="66"/>
      <c r="M1400" s="66"/>
      <c r="N1400" s="66"/>
      <c r="O1400" s="66"/>
      <c r="P1400" s="66"/>
      <c r="Q1400" s="66"/>
      <c r="R1400" s="66"/>
      <c r="S1400" s="66"/>
    </row>
    <row r="1401" spans="1:19" ht="18" customHeight="1">
      <c r="B1401" t="s">
        <v>244</v>
      </c>
      <c r="C1401" t="s">
        <v>247</v>
      </c>
      <c r="D1401" s="4"/>
      <c r="E1401" s="4">
        <v>1</v>
      </c>
      <c r="F1401" s="4"/>
      <c r="G1401" s="29" t="str">
        <f>IFERROR(HYPERLINK("#"&amp;ADDRESS(MATCH(B1401&amp;"ES",'LM7 Non-ENG'!$A$1:$A$5000,0),1,,,"LM7 Non-ENG"),IF(IFERROR(VLOOKUP(B1401&amp;"ES",'LM7 Non-ENG'!$A$1:$A$4999,1,FALSE),"ERROR")=B1401&amp;"ES","Y","")),"")</f>
        <v/>
      </c>
      <c r="H1401" s="29" t="str">
        <f>IFERROR(HYPERLINK("#"&amp;ADDRESS(MATCH(B1401&amp;"PT",'LM7 Non-ENG'!$A$1:$A$5000,0),1,,,"LM7 Non-ENG"),IF(IFERROR(VLOOKUP(B1401&amp;"PT",'LM7 Non-ENG'!$A$1:$A$5000,1,FALSE),"ERROR")=B1401&amp;"PT","Y","")),"")</f>
        <v/>
      </c>
      <c r="I1401" t="str">
        <f>IFERROR(VLOOKUP(B1401,PN!$A:$C,3,FALSE),"")</f>
        <v>Active</v>
      </c>
      <c r="J1401" s="3">
        <f>IFERROR(E1401*VLOOKUP(B1401,PLInter!$A:$D,3,FALSE),"")</f>
        <v>2400</v>
      </c>
      <c r="K1401" s="66"/>
      <c r="L1401" s="66"/>
      <c r="M1401" s="66"/>
      <c r="N1401" s="66"/>
      <c r="O1401" s="66"/>
      <c r="P1401" s="66"/>
      <c r="Q1401" s="66"/>
      <c r="R1401" s="66"/>
      <c r="S1401" s="66"/>
    </row>
    <row r="1402" spans="1:19" ht="18" customHeight="1">
      <c r="B1402" t="s">
        <v>697</v>
      </c>
      <c r="C1402" t="s">
        <v>698</v>
      </c>
      <c r="D1402" s="4"/>
      <c r="E1402" s="4">
        <v>1</v>
      </c>
      <c r="F1402" s="4"/>
      <c r="G1402" s="29" t="str">
        <f>IFERROR(HYPERLINK("#"&amp;ADDRESS(MATCH(B1402&amp;"ES",'LM7 Non-ENG'!$A$1:$A$5000,0),1,,,"LM7 Non-ENG"),IF(IFERROR(VLOOKUP(B1402&amp;"ES",'LM7 Non-ENG'!$A$1:$A$4999,1,FALSE),"ERROR")=B1402&amp;"ES","Y","")),"")</f>
        <v/>
      </c>
      <c r="H1402" s="29" t="str">
        <f>IFERROR(HYPERLINK("#"&amp;ADDRESS(MATCH(B1402&amp;"PT",'LM7 Non-ENG'!$A$1:$A$5000,0),1,,,"LM7 Non-ENG"),IF(IFERROR(VLOOKUP(B1402&amp;"PT",'LM7 Non-ENG'!$A$1:$A$5000,1,FALSE),"ERROR")=B1402&amp;"PT","Y","")),"")</f>
        <v/>
      </c>
      <c r="I1402" t="str">
        <f>IFERROR(VLOOKUP(B1402,PN!$A:$C,3,FALSE),"")</f>
        <v>Active</v>
      </c>
      <c r="J1402" s="3">
        <f>IFERROR(E1402*VLOOKUP(B1402,PLInter!$A:$D,3,FALSE),"")</f>
        <v>934</v>
      </c>
      <c r="K1402" s="66"/>
      <c r="L1402" s="66"/>
      <c r="M1402" s="66"/>
      <c r="N1402" s="66"/>
      <c r="O1402" s="66"/>
      <c r="P1402" s="66"/>
      <c r="Q1402" s="66"/>
      <c r="R1402" s="66"/>
      <c r="S1402" s="66"/>
    </row>
    <row r="1403" spans="1:19" ht="18" customHeight="1">
      <c r="B1403" t="s">
        <v>630</v>
      </c>
      <c r="C1403" t="s">
        <v>631</v>
      </c>
      <c r="D1403" s="4"/>
      <c r="E1403" s="4">
        <v>1</v>
      </c>
      <c r="F1403" s="4"/>
      <c r="G1403" s="29" t="str">
        <f>IFERROR(HYPERLINK("#"&amp;ADDRESS(MATCH(B1403&amp;"ES",'LM7 Non-ENG'!$A$1:$A$5000,0),1,,,"LM7 Non-ENG"),IF(IFERROR(VLOOKUP(B1403&amp;"ES",'LM7 Non-ENG'!$A$1:$A$4999,1,FALSE),"ERROR")=B1403&amp;"ES","Y","")),"")</f>
        <v/>
      </c>
      <c r="H1403" s="29" t="str">
        <f>IFERROR(HYPERLINK("#"&amp;ADDRESS(MATCH(B1403&amp;"PT",'LM7 Non-ENG'!$A$1:$A$5000,0),1,,,"LM7 Non-ENG"),IF(IFERROR(VLOOKUP(B1403&amp;"PT",'LM7 Non-ENG'!$A$1:$A$5000,1,FALSE),"ERROR")=B1403&amp;"PT","Y","")),"")</f>
        <v/>
      </c>
      <c r="I1403" t="str">
        <f>IFERROR(VLOOKUP(B1403,PN!$A:$C,3,FALSE),"")</f>
        <v>Active</v>
      </c>
      <c r="J1403" s="3">
        <f>IFERROR(E1403*VLOOKUP(B1403,PLInter!$A:$D,3,FALSE),"")</f>
        <v>1735</v>
      </c>
      <c r="K1403" s="66"/>
      <c r="L1403" s="66"/>
      <c r="M1403" s="66"/>
      <c r="N1403" s="66"/>
      <c r="O1403" s="66"/>
      <c r="P1403" s="66"/>
      <c r="Q1403" s="66"/>
      <c r="R1403" s="66"/>
      <c r="S1403" s="66"/>
    </row>
    <row r="1405" spans="1:19" s="7" customFormat="1" ht="18" customHeight="1">
      <c r="A1405" s="13" t="s">
        <v>968</v>
      </c>
      <c r="B1405" s="13"/>
      <c r="C1405" s="13" t="s">
        <v>969</v>
      </c>
      <c r="D1405" s="14"/>
      <c r="E1405" s="14"/>
      <c r="F1405" s="14"/>
      <c r="G1405" s="14"/>
      <c r="H1405" s="14"/>
      <c r="I1405" s="14"/>
      <c r="J1405" s="14">
        <f>SUMIFS(J1406:J1419,D1406:D1419,"&lt;&gt;Y",F1406:F1419,"&lt;&gt;Y",I1406:I1419,"&lt;&gt;Inactive",I1406:I1419,"&lt;&gt;ECO+NFS")</f>
        <v>59099</v>
      </c>
      <c r="K1405" s="14"/>
      <c r="L1405" s="14"/>
      <c r="M1405" s="14"/>
      <c r="N1405" s="14"/>
      <c r="O1405" s="14"/>
      <c r="P1405" s="14"/>
      <c r="Q1405" s="14"/>
      <c r="R1405" s="14"/>
      <c r="S1405" s="14"/>
    </row>
    <row r="1406" spans="1:19" ht="18" customHeight="1">
      <c r="A1406" s="17" t="str">
        <f>HYPERLINK("#"&amp;ADDRESS(MATCH(A1405,'CIM&amp;FMS'!$A$1:$A$4997,0),1,,,"CIM&amp;FMS"),"Back to Price List")</f>
        <v>Back to Price List</v>
      </c>
      <c r="B1406" t="s">
        <v>215</v>
      </c>
      <c r="C1406" t="s">
        <v>967</v>
      </c>
      <c r="D1406" s="4"/>
      <c r="E1406" s="4">
        <v>1</v>
      </c>
      <c r="F1406" s="4"/>
      <c r="G1406" s="29" t="str">
        <f>IFERROR(HYPERLINK("#"&amp;ADDRESS(MATCH(B1406&amp;"ES",'LM7 Non-ENG'!$A$1:$A$5000,0),1,,,"LM7 Non-ENG"),IF(IFERROR(VLOOKUP(B1406&amp;"ES",'LM7 Non-ENG'!$A$1:$A$4999,1,FALSE),"ERROR")=B1406&amp;"ES","Y","")),"")</f>
        <v/>
      </c>
      <c r="H1406" s="29" t="str">
        <f>IFERROR(HYPERLINK("#"&amp;ADDRESS(MATCH(B1406&amp;"PT",'LM7 Non-ENG'!$A$1:$A$5000,0),1,,,"LM7 Non-ENG"),IF(IFERROR(VLOOKUP(B1406&amp;"PT",'LM7 Non-ENG'!$A$1:$A$5000,1,FALSE),"ERROR")=B1406&amp;"PT","Y","")),"")</f>
        <v/>
      </c>
      <c r="I1406" t="str">
        <f>IFERROR(VLOOKUP(B1406,PN!$A:$C,3,FALSE),"")</f>
        <v>Active</v>
      </c>
      <c r="J1406" s="3">
        <f>IFERROR(E1406*VLOOKUP(B1406,PLInter!$A:$D,3,FALSE),"")</f>
        <v>35000</v>
      </c>
      <c r="K1406" s="66"/>
      <c r="L1406" s="66"/>
      <c r="M1406" s="66"/>
      <c r="N1406" s="66"/>
      <c r="O1406" s="66"/>
      <c r="P1406" s="66"/>
      <c r="Q1406" s="66"/>
      <c r="R1406" s="66"/>
      <c r="S1406" s="66"/>
    </row>
    <row r="1407" spans="1:19" ht="18" customHeight="1">
      <c r="B1407" t="s">
        <v>230</v>
      </c>
      <c r="C1407" t="s">
        <v>235</v>
      </c>
      <c r="D1407" s="4"/>
      <c r="E1407" s="4">
        <v>1</v>
      </c>
      <c r="F1407" s="4"/>
      <c r="G1407" s="29" t="str">
        <f>IFERROR(HYPERLINK("#"&amp;ADDRESS(MATCH(B1407&amp;"ES",'LM7 Non-ENG'!$A$1:$A$5000,0),1,,,"LM7 Non-ENG"),IF(IFERROR(VLOOKUP(B1407&amp;"ES",'LM7 Non-ENG'!$A$1:$A$4999,1,FALSE),"ERROR")=B1407&amp;"ES","Y","")),"")</f>
        <v/>
      </c>
      <c r="H1407" s="29" t="str">
        <f>IFERROR(HYPERLINK("#"&amp;ADDRESS(MATCH(B1407&amp;"PT",'LM7 Non-ENG'!$A$1:$A$5000,0),1,,,"LM7 Non-ENG"),IF(IFERROR(VLOOKUP(B1407&amp;"PT",'LM7 Non-ENG'!$A$1:$A$5000,1,FALSE),"ERROR")=B1407&amp;"PT","Y","")),"")</f>
        <v/>
      </c>
      <c r="I1407" t="str">
        <f>IFERROR(VLOOKUP(B1407,PN!$A:$C,3,FALSE),"")</f>
        <v>Active</v>
      </c>
      <c r="J1407" s="3">
        <f>IFERROR(E1407*VLOOKUP(B1407,PLInter!$A:$D,3,FALSE),"")</f>
        <v>3200</v>
      </c>
      <c r="K1407" s="66"/>
      <c r="L1407" s="66"/>
      <c r="M1407" s="66"/>
      <c r="N1407" s="66"/>
      <c r="O1407" s="66"/>
      <c r="P1407" s="66"/>
      <c r="Q1407" s="66"/>
      <c r="R1407" s="66"/>
      <c r="S1407" s="66"/>
    </row>
    <row r="1408" spans="1:19" ht="18" customHeight="1">
      <c r="B1408" t="str">
        <f>"021031"</f>
        <v>021031</v>
      </c>
      <c r="C1408" s="41" t="str">
        <f>"מכלול- בסיס לטמפלט CIM"</f>
        <v>מכלול- בסיס לטמפלט CIM</v>
      </c>
      <c r="D1408" s="4"/>
      <c r="E1408" s="4">
        <v>4</v>
      </c>
      <c r="F1408" s="4"/>
      <c r="G1408" s="29" t="str">
        <f>IFERROR(HYPERLINK("#"&amp;ADDRESS(MATCH(B1408&amp;"ES",'LM7 Non-ENG'!$A$1:$A$5000,0),1,,,"LM7 Non-ENG"),IF(IFERROR(VLOOKUP(B1408&amp;"ES",'LM7 Non-ENG'!$A$1:$A$4999,1,FALSE),"ERROR")=B1408&amp;"ES","Y","")),"")</f>
        <v/>
      </c>
      <c r="H1408" s="29" t="str">
        <f>IFERROR(HYPERLINK("#"&amp;ADDRESS(MATCH(B1408&amp;"PT",'LM7 Non-ENG'!$A$1:$A$5000,0),1,,,"LM7 Non-ENG"),IF(IFERROR(VLOOKUP(B1408&amp;"PT",'LM7 Non-ENG'!$A$1:$A$5000,1,FALSE),"ERROR")=B1408&amp;"PT","Y","")),"")</f>
        <v/>
      </c>
      <c r="I1408" t="str">
        <f>IFERROR(VLOOKUP(B1408,PN!$A:$C,3,FALSE),"")</f>
        <v>Active</v>
      </c>
      <c r="J1408" s="3">
        <f>IFERROR(E1408*VLOOKUP(B1408,PLInter!$A:$D,3,FALSE),"")</f>
        <v>216</v>
      </c>
      <c r="K1408" s="66"/>
      <c r="L1408" s="66"/>
      <c r="M1408" s="66"/>
      <c r="N1408" s="66"/>
      <c r="O1408" s="66"/>
      <c r="P1408" s="66"/>
      <c r="Q1408" s="66"/>
      <c r="R1408" s="66"/>
      <c r="S1408" s="66"/>
    </row>
    <row r="1409" spans="1:19" ht="18" customHeight="1">
      <c r="B1409" t="s">
        <v>684</v>
      </c>
      <c r="C1409" t="s">
        <v>685</v>
      </c>
      <c r="D1409" s="4"/>
      <c r="E1409" s="4">
        <v>2</v>
      </c>
      <c r="F1409" s="4"/>
      <c r="G1409" s="29" t="str">
        <f>IFERROR(HYPERLINK("#"&amp;ADDRESS(MATCH(B1409&amp;"ES",'LM7 Non-ENG'!$A$1:$A$5000,0),1,,,"LM7 Non-ENG"),IF(IFERROR(VLOOKUP(B1409&amp;"ES",'LM7 Non-ENG'!$A$1:$A$4999,1,FALSE),"ERROR")=B1409&amp;"ES","Y","")),"")</f>
        <v/>
      </c>
      <c r="H1409" s="29" t="str">
        <f>IFERROR(HYPERLINK("#"&amp;ADDRESS(MATCH(B1409&amp;"PT",'LM7 Non-ENG'!$A$1:$A$5000,0),1,,,"LM7 Non-ENG"),IF(IFERROR(VLOOKUP(B1409&amp;"PT",'LM7 Non-ENG'!$A$1:$A$5000,1,FALSE),"ERROR")=B1409&amp;"PT","Y","")),"")</f>
        <v/>
      </c>
      <c r="I1409" t="str">
        <f>IFERROR(VLOOKUP(B1409,PN!$A:$C,3,FALSE),"")</f>
        <v>Active</v>
      </c>
      <c r="J1409" s="3">
        <f>IFERROR(E1409*VLOOKUP(B1409,PLInter!$A:$D,3,FALSE),"")</f>
        <v>1160</v>
      </c>
      <c r="K1409" s="66"/>
      <c r="L1409" s="66"/>
      <c r="M1409" s="66"/>
      <c r="N1409" s="66"/>
      <c r="O1409" s="66"/>
      <c r="P1409" s="66"/>
      <c r="Q1409" s="66"/>
      <c r="R1409" s="66"/>
      <c r="S1409" s="66"/>
    </row>
    <row r="1410" spans="1:19" ht="18" customHeight="1">
      <c r="B1410" t="str">
        <f>"021177"</f>
        <v>021177</v>
      </c>
      <c r="C1410" t="s">
        <v>959</v>
      </c>
      <c r="D1410" s="4"/>
      <c r="E1410" s="4">
        <v>2</v>
      </c>
      <c r="F1410" s="4"/>
      <c r="G1410" s="29" t="str">
        <f>IFERROR(HYPERLINK("#"&amp;ADDRESS(MATCH(B1410&amp;"ES",'LM7 Non-ENG'!$A$1:$A$5000,0),1,,,"LM7 Non-ENG"),IF(IFERROR(VLOOKUP(B1410&amp;"ES",'LM7 Non-ENG'!$A$1:$A$4999,1,FALSE),"ERROR")=B1410&amp;"ES","Y","")),"")</f>
        <v/>
      </c>
      <c r="H1410" s="29" t="str">
        <f>IFERROR(HYPERLINK("#"&amp;ADDRESS(MATCH(B1410&amp;"PT",'LM7 Non-ENG'!$A$1:$A$5000,0),1,,,"LM7 Non-ENG"),IF(IFERROR(VLOOKUP(B1410&amp;"PT",'LM7 Non-ENG'!$A$1:$A$5000,1,FALSE),"ERROR")=B1410&amp;"PT","Y","")),"")</f>
        <v/>
      </c>
      <c r="I1410" t="str">
        <f>IFERROR(VLOOKUP(B1410,PN!$A:$C,3,FALSE),"")</f>
        <v>Active</v>
      </c>
      <c r="J1410" s="3">
        <f>IFERROR(E1410*VLOOKUP(B1410,PLInter!$A:$D,3,FALSE),"")</f>
        <v>60</v>
      </c>
      <c r="K1410" s="66"/>
      <c r="L1410" s="66"/>
      <c r="M1410" s="66"/>
      <c r="N1410" s="66"/>
      <c r="O1410" s="66"/>
      <c r="P1410" s="66"/>
      <c r="Q1410" s="66"/>
      <c r="R1410" s="66"/>
      <c r="S1410" s="66"/>
    </row>
    <row r="1411" spans="1:19" ht="18" customHeight="1">
      <c r="B1411" t="s">
        <v>917</v>
      </c>
      <c r="C1411" t="s">
        <v>918</v>
      </c>
      <c r="D1411" s="4"/>
      <c r="E1411" s="4">
        <v>1</v>
      </c>
      <c r="F1411" s="4"/>
      <c r="G1411" s="29" t="str">
        <f>IFERROR(HYPERLINK("#"&amp;ADDRESS(MATCH(B1411&amp;"ES",'LM7 Non-ENG'!$A$1:$A$5000,0),1,,,"LM7 Non-ENG"),IF(IFERROR(VLOOKUP(B1411&amp;"ES",'LM7 Non-ENG'!$A$1:$A$4999,1,FALSE),"ERROR")=B1411&amp;"ES","Y","")),"")</f>
        <v/>
      </c>
      <c r="H1411" s="29" t="str">
        <f>IFERROR(HYPERLINK("#"&amp;ADDRESS(MATCH(B1411&amp;"PT",'LM7 Non-ENG'!$A$1:$A$5000,0),1,,,"LM7 Non-ENG"),IF(IFERROR(VLOOKUP(B1411&amp;"PT",'LM7 Non-ENG'!$A$1:$A$5000,1,FALSE),"ERROR")=B1411&amp;"PT","Y","")),"")</f>
        <v/>
      </c>
      <c r="I1411" t="str">
        <f>IFERROR(VLOOKUP(B1411,PN!$A:$C,3,FALSE),"")</f>
        <v>Phase Out</v>
      </c>
      <c r="J1411" s="3">
        <f>IFERROR(E1411*VLOOKUP(B1411,PLInter!$A:$D,3,FALSE),"")</f>
        <v>1735</v>
      </c>
      <c r="K1411" s="66"/>
      <c r="L1411" s="66"/>
      <c r="M1411" s="66"/>
      <c r="N1411" s="66"/>
      <c r="O1411" s="66"/>
      <c r="P1411" s="66"/>
      <c r="Q1411" s="66"/>
      <c r="R1411" s="66"/>
      <c r="S1411" s="66"/>
    </row>
    <row r="1412" spans="1:19" ht="18" customHeight="1">
      <c r="B1412" t="s">
        <v>919</v>
      </c>
      <c r="C1412" t="s">
        <v>920</v>
      </c>
      <c r="D1412" s="4"/>
      <c r="E1412" s="4">
        <v>1</v>
      </c>
      <c r="F1412" s="4"/>
      <c r="G1412" s="29" t="str">
        <f>IFERROR(HYPERLINK("#"&amp;ADDRESS(MATCH(B1412&amp;"ES",'LM7 Non-ENG'!$A$1:$A$5000,0),1,,,"LM7 Non-ENG"),IF(IFERROR(VLOOKUP(B1412&amp;"ES",'LM7 Non-ENG'!$A$1:$A$4999,1,FALSE),"ERROR")=B1412&amp;"ES","Y","")),"")</f>
        <v/>
      </c>
      <c r="H1412" s="29" t="str">
        <f>IFERROR(HYPERLINK("#"&amp;ADDRESS(MATCH(B1412&amp;"PT",'LM7 Non-ENG'!$A$1:$A$5000,0),1,,,"LM7 Non-ENG"),IF(IFERROR(VLOOKUP(B1412&amp;"PT",'LM7 Non-ENG'!$A$1:$A$5000,1,FALSE),"ERROR")=B1412&amp;"PT","Y","")),"")</f>
        <v/>
      </c>
      <c r="I1412" t="str">
        <f>IFERROR(VLOOKUP(B1412,PN!$A:$C,3,FALSE),"")</f>
        <v>Active</v>
      </c>
      <c r="J1412" s="3">
        <f>IFERROR(E1412*VLOOKUP(B1412,PLInter!$A:$D,3,FALSE),"")</f>
        <v>635</v>
      </c>
      <c r="K1412" s="66"/>
      <c r="L1412" s="66"/>
      <c r="M1412" s="66"/>
      <c r="N1412" s="66"/>
      <c r="O1412" s="66"/>
      <c r="P1412" s="66"/>
      <c r="Q1412" s="66"/>
      <c r="R1412" s="66"/>
      <c r="S1412" s="66"/>
    </row>
    <row r="1413" spans="1:19" ht="18" customHeight="1">
      <c r="B1413" t="s">
        <v>921</v>
      </c>
      <c r="C1413" t="s">
        <v>922</v>
      </c>
      <c r="D1413" s="4"/>
      <c r="E1413" s="4">
        <v>1</v>
      </c>
      <c r="F1413" s="4"/>
      <c r="G1413" s="29" t="str">
        <f>IFERROR(HYPERLINK("#"&amp;ADDRESS(MATCH(B1413&amp;"ES",'LM7 Non-ENG'!$A$1:$A$5000,0),1,,,"LM7 Non-ENG"),IF(IFERROR(VLOOKUP(B1413&amp;"ES",'LM7 Non-ENG'!$A$1:$A$4999,1,FALSE),"ERROR")=B1413&amp;"ES","Y","")),"")</f>
        <v/>
      </c>
      <c r="H1413" s="29" t="str">
        <f>IFERROR(HYPERLINK("#"&amp;ADDRESS(MATCH(B1413&amp;"PT",'LM7 Non-ENG'!$A$1:$A$5000,0),1,,,"LM7 Non-ENG"),IF(IFERROR(VLOOKUP(B1413&amp;"PT",'LM7 Non-ENG'!$A$1:$A$5000,1,FALSE),"ERROR")=B1413&amp;"PT","Y","")),"")</f>
        <v/>
      </c>
      <c r="I1413" t="str">
        <f>IFERROR(VLOOKUP(B1413,PN!$A:$C,3,FALSE),"")</f>
        <v>Active</v>
      </c>
      <c r="J1413" s="3">
        <f>IFERROR(E1413*VLOOKUP(B1413,PLInter!$A:$D,3,FALSE),"")</f>
        <v>2585</v>
      </c>
      <c r="K1413" s="66"/>
      <c r="L1413" s="66"/>
      <c r="M1413" s="66"/>
      <c r="N1413" s="66"/>
      <c r="O1413" s="66"/>
      <c r="P1413" s="66"/>
      <c r="Q1413" s="66"/>
      <c r="R1413" s="66"/>
      <c r="S1413" s="66"/>
    </row>
    <row r="1414" spans="1:19" ht="18" customHeight="1">
      <c r="B1414" t="s">
        <v>923</v>
      </c>
      <c r="C1414" t="s">
        <v>924</v>
      </c>
      <c r="D1414" s="4"/>
      <c r="E1414" s="4">
        <v>12</v>
      </c>
      <c r="F1414" s="4"/>
      <c r="G1414" s="29" t="str">
        <f>IFERROR(HYPERLINK("#"&amp;ADDRESS(MATCH(B1414&amp;"ES",'LM7 Non-ENG'!$A$1:$A$5000,0),1,,,"LM7 Non-ENG"),IF(IFERROR(VLOOKUP(B1414&amp;"ES",'LM7 Non-ENG'!$A$1:$A$4999,1,FALSE),"ERROR")=B1414&amp;"ES","Y","")),"")</f>
        <v/>
      </c>
      <c r="H1414" s="29" t="str">
        <f>IFERROR(HYPERLINK("#"&amp;ADDRESS(MATCH(B1414&amp;"PT",'LM7 Non-ENG'!$A$1:$A$5000,0),1,,,"LM7 Non-ENG"),IF(IFERROR(VLOOKUP(B1414&amp;"PT",'LM7 Non-ENG'!$A$1:$A$5000,1,FALSE),"ERROR")=B1414&amp;"PT","Y","")),"")</f>
        <v/>
      </c>
      <c r="I1414" t="str">
        <f>IFERROR(VLOOKUP(B1414,PN!$A:$C,3,FALSE),"")</f>
        <v>Active</v>
      </c>
      <c r="J1414" s="3">
        <f>IFERROR(E1414*VLOOKUP(B1414,PLInter!$A:$D,3,FALSE),"")</f>
        <v>1104</v>
      </c>
      <c r="K1414" s="66"/>
      <c r="L1414" s="66"/>
      <c r="M1414" s="66"/>
      <c r="N1414" s="66"/>
      <c r="O1414" s="66"/>
      <c r="P1414" s="66"/>
      <c r="Q1414" s="66"/>
      <c r="R1414" s="66"/>
      <c r="S1414" s="66"/>
    </row>
    <row r="1415" spans="1:19" ht="18" customHeight="1">
      <c r="B1415" t="s">
        <v>931</v>
      </c>
      <c r="C1415" t="s">
        <v>932</v>
      </c>
      <c r="D1415" s="4"/>
      <c r="E1415" s="4">
        <v>1</v>
      </c>
      <c r="F1415" s="4"/>
      <c r="G1415" s="29" t="str">
        <f>IFERROR(HYPERLINK("#"&amp;ADDRESS(MATCH(B1415&amp;"ES",'LM7 Non-ENG'!$A$1:$A$5000,0),1,,,"LM7 Non-ENG"),IF(IFERROR(VLOOKUP(B1415&amp;"ES",'LM7 Non-ENG'!$A$1:$A$4999,1,FALSE),"ERROR")=B1415&amp;"ES","Y","")),"")</f>
        <v/>
      </c>
      <c r="H1415" s="29" t="str">
        <f>IFERROR(HYPERLINK("#"&amp;ADDRESS(MATCH(B1415&amp;"PT",'LM7 Non-ENG'!$A$1:$A$5000,0),1,,,"LM7 Non-ENG"),IF(IFERROR(VLOOKUP(B1415&amp;"PT",'LM7 Non-ENG'!$A$1:$A$5000,1,FALSE),"ERROR")=B1415&amp;"PT","Y","")),"")</f>
        <v/>
      </c>
      <c r="I1415" t="str">
        <f>IFERROR(VLOOKUP(B1415,PN!$A:$C,3,FALSE),"")</f>
        <v>Active</v>
      </c>
      <c r="J1415" s="3">
        <f>IFERROR(E1415*VLOOKUP(B1415,PLInter!$A:$D,3,FALSE),"")</f>
        <v>6335</v>
      </c>
      <c r="K1415" s="66"/>
      <c r="L1415" s="66"/>
      <c r="M1415" s="66"/>
      <c r="N1415" s="66"/>
      <c r="O1415" s="66"/>
      <c r="P1415" s="66"/>
      <c r="Q1415" s="66"/>
      <c r="R1415" s="66"/>
      <c r="S1415" s="66"/>
    </row>
    <row r="1416" spans="1:19" ht="18" customHeight="1">
      <c r="B1416" t="s">
        <v>902</v>
      </c>
      <c r="C1416" t="s">
        <v>962</v>
      </c>
      <c r="D1416" s="4"/>
      <c r="E1416" s="4">
        <v>1</v>
      </c>
      <c r="F1416" s="4"/>
      <c r="G1416" s="29" t="str">
        <f>IFERROR(HYPERLINK("#"&amp;ADDRESS(MATCH(B1416&amp;"ES",'LM7 Non-ENG'!$A$1:$A$5000,0),1,,,"LM7 Non-ENG"),IF(IFERROR(VLOOKUP(B1416&amp;"ES",'LM7 Non-ENG'!$A$1:$A$4999,1,FALSE),"ERROR")=B1416&amp;"ES","Y","")),"")</f>
        <v/>
      </c>
      <c r="H1416" s="29" t="str">
        <f>IFERROR(HYPERLINK("#"&amp;ADDRESS(MATCH(B1416&amp;"PT",'LM7 Non-ENG'!$A$1:$A$5000,0),1,,,"LM7 Non-ENG"),IF(IFERROR(VLOOKUP(B1416&amp;"PT",'LM7 Non-ENG'!$A$1:$A$5000,1,FALSE),"ERROR")=B1416&amp;"PT","Y","")),"")</f>
        <v/>
      </c>
      <c r="I1416" t="str">
        <f>IFERROR(VLOOKUP(B1416,PN!$A:$C,3,FALSE),"")</f>
        <v>Active</v>
      </c>
      <c r="J1416" s="3">
        <f>IFERROR(E1416*VLOOKUP(B1416,PLInter!$A:$D,3,FALSE),"")</f>
        <v>2000</v>
      </c>
      <c r="K1416" s="66"/>
      <c r="L1416" s="66"/>
      <c r="M1416" s="66"/>
      <c r="N1416" s="66"/>
      <c r="O1416" s="66"/>
      <c r="P1416" s="66"/>
      <c r="Q1416" s="66"/>
      <c r="R1416" s="66"/>
      <c r="S1416" s="66"/>
    </row>
    <row r="1417" spans="1:19" ht="18" customHeight="1">
      <c r="B1417" t="s">
        <v>244</v>
      </c>
      <c r="C1417" t="s">
        <v>247</v>
      </c>
      <c r="D1417" s="4"/>
      <c r="E1417" s="4">
        <v>1</v>
      </c>
      <c r="F1417" s="4"/>
      <c r="G1417" s="29" t="str">
        <f>IFERROR(HYPERLINK("#"&amp;ADDRESS(MATCH(B1417&amp;"ES",'LM7 Non-ENG'!$A$1:$A$5000,0),1,,,"LM7 Non-ENG"),IF(IFERROR(VLOOKUP(B1417&amp;"ES",'LM7 Non-ENG'!$A$1:$A$4999,1,FALSE),"ERROR")=B1417&amp;"ES","Y","")),"")</f>
        <v/>
      </c>
      <c r="H1417" s="29" t="str">
        <f>IFERROR(HYPERLINK("#"&amp;ADDRESS(MATCH(B1417&amp;"PT",'LM7 Non-ENG'!$A$1:$A$5000,0),1,,,"LM7 Non-ENG"),IF(IFERROR(VLOOKUP(B1417&amp;"PT",'LM7 Non-ENG'!$A$1:$A$5000,1,FALSE),"ERROR")=B1417&amp;"PT","Y","")),"")</f>
        <v/>
      </c>
      <c r="I1417" t="str">
        <f>IFERROR(VLOOKUP(B1417,PN!$A:$C,3,FALSE),"")</f>
        <v>Active</v>
      </c>
      <c r="J1417" s="3">
        <f>IFERROR(E1417*VLOOKUP(B1417,PLInter!$A:$D,3,FALSE),"")</f>
        <v>2400</v>
      </c>
      <c r="K1417" s="66"/>
      <c r="L1417" s="66"/>
      <c r="M1417" s="66"/>
      <c r="N1417" s="66"/>
      <c r="O1417" s="66"/>
      <c r="P1417" s="66"/>
      <c r="Q1417" s="66"/>
      <c r="R1417" s="66"/>
      <c r="S1417" s="66"/>
    </row>
    <row r="1418" spans="1:19" ht="18" customHeight="1">
      <c r="B1418" t="s">
        <v>697</v>
      </c>
      <c r="C1418" t="s">
        <v>698</v>
      </c>
      <c r="D1418" s="4"/>
      <c r="E1418" s="4">
        <v>1</v>
      </c>
      <c r="F1418" s="4"/>
      <c r="G1418" s="29" t="str">
        <f>IFERROR(HYPERLINK("#"&amp;ADDRESS(MATCH(B1418&amp;"ES",'LM7 Non-ENG'!$A$1:$A$5000,0),1,,,"LM7 Non-ENG"),IF(IFERROR(VLOOKUP(B1418&amp;"ES",'LM7 Non-ENG'!$A$1:$A$4999,1,FALSE),"ERROR")=B1418&amp;"ES","Y","")),"")</f>
        <v/>
      </c>
      <c r="H1418" s="29" t="str">
        <f>IFERROR(HYPERLINK("#"&amp;ADDRESS(MATCH(B1418&amp;"PT",'LM7 Non-ENG'!$A$1:$A$5000,0),1,,,"LM7 Non-ENG"),IF(IFERROR(VLOOKUP(B1418&amp;"PT",'LM7 Non-ENG'!$A$1:$A$5000,1,FALSE),"ERROR")=B1418&amp;"PT","Y","")),"")</f>
        <v/>
      </c>
      <c r="I1418" t="str">
        <f>IFERROR(VLOOKUP(B1418,PN!$A:$C,3,FALSE),"")</f>
        <v>Active</v>
      </c>
      <c r="J1418" s="3">
        <f>IFERROR(E1418*VLOOKUP(B1418,PLInter!$A:$D,3,FALSE),"")</f>
        <v>934</v>
      </c>
      <c r="K1418" s="66"/>
      <c r="L1418" s="66"/>
      <c r="M1418" s="66"/>
      <c r="N1418" s="66"/>
      <c r="O1418" s="66"/>
      <c r="P1418" s="66"/>
      <c r="Q1418" s="66"/>
      <c r="R1418" s="66"/>
      <c r="S1418" s="66"/>
    </row>
    <row r="1419" spans="1:19" ht="18" customHeight="1">
      <c r="B1419" t="s">
        <v>630</v>
      </c>
      <c r="C1419" t="s">
        <v>631</v>
      </c>
      <c r="D1419" s="4"/>
      <c r="E1419" s="4">
        <v>1</v>
      </c>
      <c r="F1419" s="4"/>
      <c r="G1419" s="29" t="str">
        <f>IFERROR(HYPERLINK("#"&amp;ADDRESS(MATCH(B1419&amp;"ES",'LM7 Non-ENG'!$A$1:$A$5000,0),1,,,"LM7 Non-ENG"),IF(IFERROR(VLOOKUP(B1419&amp;"ES",'LM7 Non-ENG'!$A$1:$A$4999,1,FALSE),"ERROR")=B1419&amp;"ES","Y","")),"")</f>
        <v/>
      </c>
      <c r="H1419" s="29" t="str">
        <f>IFERROR(HYPERLINK("#"&amp;ADDRESS(MATCH(B1419&amp;"PT",'LM7 Non-ENG'!$A$1:$A$5000,0),1,,,"LM7 Non-ENG"),IF(IFERROR(VLOOKUP(B1419&amp;"PT",'LM7 Non-ENG'!$A$1:$A$5000,1,FALSE),"ERROR")=B1419&amp;"PT","Y","")),"")</f>
        <v/>
      </c>
      <c r="I1419" t="str">
        <f>IFERROR(VLOOKUP(B1419,PN!$A:$C,3,FALSE),"")</f>
        <v>Active</v>
      </c>
      <c r="J1419" s="3">
        <f>IFERROR(E1419*VLOOKUP(B1419,PLInter!$A:$D,3,FALSE),"")</f>
        <v>1735</v>
      </c>
      <c r="K1419" s="66"/>
      <c r="L1419" s="66"/>
      <c r="M1419" s="66"/>
      <c r="N1419" s="66"/>
      <c r="O1419" s="66"/>
      <c r="P1419" s="66"/>
      <c r="Q1419" s="66"/>
      <c r="R1419" s="66"/>
      <c r="S1419" s="66"/>
    </row>
    <row r="1421" spans="1:19" s="7" customFormat="1" ht="18" customHeight="1">
      <c r="A1421" s="13" t="s">
        <v>970</v>
      </c>
      <c r="B1421" s="13"/>
      <c r="C1421" s="13" t="s">
        <v>971</v>
      </c>
      <c r="D1421" s="14"/>
      <c r="E1421" s="14"/>
      <c r="F1421" s="14"/>
      <c r="G1421" s="14"/>
      <c r="H1421" s="14"/>
      <c r="I1421" s="14"/>
      <c r="J1421" s="14">
        <f>SUMIFS(J1422:J1434,D1422:D1434,"&lt;&gt;Y",F1422:F1434,"&lt;&gt;Y",I1422:I1434,"&lt;&gt;Inactive",I1422:I1434,"&lt;&gt;ECO+NFS")</f>
        <v>49482</v>
      </c>
      <c r="K1421" s="14"/>
      <c r="L1421" s="14"/>
      <c r="M1421" s="14"/>
      <c r="N1421" s="14"/>
      <c r="O1421" s="14"/>
      <c r="P1421" s="14"/>
      <c r="Q1421" s="14"/>
      <c r="R1421" s="14"/>
      <c r="S1421" s="14"/>
    </row>
    <row r="1422" spans="1:19" ht="18" customHeight="1">
      <c r="A1422" s="17" t="str">
        <f>HYPERLINK("#"&amp;ADDRESS(MATCH(A1421,'CIM&amp;FMS'!$A$1:$A$4997,0),1,,,"CIM&amp;FMS"),"Back to Price List")</f>
        <v>Back to Price List</v>
      </c>
      <c r="B1422" t="s">
        <v>215</v>
      </c>
      <c r="C1422" t="s">
        <v>217</v>
      </c>
      <c r="D1422" s="4"/>
      <c r="E1422" s="4">
        <v>1</v>
      </c>
      <c r="F1422" s="4"/>
      <c r="G1422" s="29" t="str">
        <f>IFERROR(HYPERLINK("#"&amp;ADDRESS(MATCH(B1422&amp;"ES",'LM7 Non-ENG'!$A$1:$A$5000,0),1,,,"LM7 Non-ENG"),IF(IFERROR(VLOOKUP(B1422&amp;"ES",'LM7 Non-ENG'!$A$1:$A$4999,1,FALSE),"ERROR")=B1422&amp;"ES","Y","")),"")</f>
        <v/>
      </c>
      <c r="H1422" s="29" t="str">
        <f>IFERROR(HYPERLINK("#"&amp;ADDRESS(MATCH(B1422&amp;"PT",'LM7 Non-ENG'!$A$1:$A$5000,0),1,,,"LM7 Non-ENG"),IF(IFERROR(VLOOKUP(B1422&amp;"PT",'LM7 Non-ENG'!$A$1:$A$5000,1,FALSE),"ERROR")=B1422&amp;"PT","Y","")),"")</f>
        <v/>
      </c>
      <c r="I1422" t="str">
        <f>IFERROR(VLOOKUP(B1422,PN!$A:$C,3,FALSE),"")</f>
        <v>Active</v>
      </c>
      <c r="J1422" s="3">
        <f>IFERROR(E1422*VLOOKUP(B1422,PLInter!$A:$D,3,FALSE),"")</f>
        <v>35000</v>
      </c>
      <c r="K1422" s="66"/>
      <c r="L1422" s="66"/>
      <c r="M1422" s="66"/>
      <c r="N1422" s="66"/>
      <c r="O1422" s="66"/>
      <c r="P1422" s="66"/>
      <c r="Q1422" s="66"/>
      <c r="R1422" s="66"/>
      <c r="S1422" s="66"/>
    </row>
    <row r="1423" spans="1:19" ht="18" customHeight="1">
      <c r="B1423" t="s">
        <v>230</v>
      </c>
      <c r="C1423" t="s">
        <v>235</v>
      </c>
      <c r="D1423" s="4"/>
      <c r="E1423" s="4">
        <v>1</v>
      </c>
      <c r="F1423" s="4"/>
      <c r="G1423" s="29" t="str">
        <f>IFERROR(HYPERLINK("#"&amp;ADDRESS(MATCH(B1423&amp;"ES",'LM7 Non-ENG'!$A$1:$A$5000,0),1,,,"LM7 Non-ENG"),IF(IFERROR(VLOOKUP(B1423&amp;"ES",'LM7 Non-ENG'!$A$1:$A$4999,1,FALSE),"ERROR")=B1423&amp;"ES","Y","")),"")</f>
        <v/>
      </c>
      <c r="H1423" s="29" t="str">
        <f>IFERROR(HYPERLINK("#"&amp;ADDRESS(MATCH(B1423&amp;"PT",'LM7 Non-ENG'!$A$1:$A$5000,0),1,,,"LM7 Non-ENG"),IF(IFERROR(VLOOKUP(B1423&amp;"PT",'LM7 Non-ENG'!$A$1:$A$5000,1,FALSE),"ERROR")=B1423&amp;"PT","Y","")),"")</f>
        <v/>
      </c>
      <c r="I1423" t="str">
        <f>IFERROR(VLOOKUP(B1423,PN!$A:$C,3,FALSE),"")</f>
        <v>Active</v>
      </c>
      <c r="J1423" s="3">
        <f>IFERROR(E1423*VLOOKUP(B1423,PLInter!$A:$D,3,FALSE),"")</f>
        <v>3200</v>
      </c>
      <c r="K1423" s="66"/>
      <c r="L1423" s="66"/>
      <c r="M1423" s="66"/>
      <c r="N1423" s="66"/>
      <c r="O1423" s="66"/>
      <c r="P1423" s="66"/>
      <c r="Q1423" s="66"/>
      <c r="R1423" s="66"/>
      <c r="S1423" s="66"/>
    </row>
    <row r="1424" spans="1:19" ht="18" customHeight="1">
      <c r="B1424" t="str">
        <f>"021031"</f>
        <v>021031</v>
      </c>
      <c r="C1424" s="41" t="str">
        <f>"מכלול- בסיס לטמפלט CIM"</f>
        <v>מכלול- בסיס לטמפלט CIM</v>
      </c>
      <c r="D1424" s="4"/>
      <c r="E1424" s="4">
        <v>4</v>
      </c>
      <c r="F1424" s="4"/>
      <c r="G1424" s="29" t="str">
        <f>IFERROR(HYPERLINK("#"&amp;ADDRESS(MATCH(B1424&amp;"ES",'LM7 Non-ENG'!$A$1:$A$5000,0),1,,,"LM7 Non-ENG"),IF(IFERROR(VLOOKUP(B1424&amp;"ES",'LM7 Non-ENG'!$A$1:$A$4999,1,FALSE),"ERROR")=B1424&amp;"ES","Y","")),"")</f>
        <v/>
      </c>
      <c r="H1424" s="29" t="str">
        <f>IFERROR(HYPERLINK("#"&amp;ADDRESS(MATCH(B1424&amp;"PT",'LM7 Non-ENG'!$A$1:$A$5000,0),1,,,"LM7 Non-ENG"),IF(IFERROR(VLOOKUP(B1424&amp;"PT",'LM7 Non-ENG'!$A$1:$A$5000,1,FALSE),"ERROR")=B1424&amp;"PT","Y","")),"")</f>
        <v/>
      </c>
      <c r="I1424" t="str">
        <f>IFERROR(VLOOKUP(B1424,PN!$A:$C,3,FALSE),"")</f>
        <v>Active</v>
      </c>
      <c r="J1424" s="3">
        <f>IFERROR(E1424*VLOOKUP(B1424,PLInter!$A:$D,3,FALSE),"")</f>
        <v>216</v>
      </c>
      <c r="K1424" s="66"/>
      <c r="L1424" s="66"/>
      <c r="M1424" s="66"/>
      <c r="N1424" s="66"/>
      <c r="O1424" s="66"/>
      <c r="P1424" s="66"/>
      <c r="Q1424" s="66"/>
      <c r="R1424" s="66"/>
      <c r="S1424" s="66"/>
    </row>
    <row r="1425" spans="1:19" ht="18" customHeight="1">
      <c r="B1425" t="s">
        <v>684</v>
      </c>
      <c r="C1425" t="s">
        <v>685</v>
      </c>
      <c r="D1425" s="4"/>
      <c r="E1425" s="4">
        <v>2</v>
      </c>
      <c r="F1425" s="4"/>
      <c r="G1425" s="29" t="str">
        <f>IFERROR(HYPERLINK("#"&amp;ADDRESS(MATCH(B1425&amp;"ES",'LM7 Non-ENG'!$A$1:$A$5000,0),1,,,"LM7 Non-ENG"),IF(IFERROR(VLOOKUP(B1425&amp;"ES",'LM7 Non-ENG'!$A$1:$A$4999,1,FALSE),"ERROR")=B1425&amp;"ES","Y","")),"")</f>
        <v/>
      </c>
      <c r="H1425" s="29" t="str">
        <f>IFERROR(HYPERLINK("#"&amp;ADDRESS(MATCH(B1425&amp;"PT",'LM7 Non-ENG'!$A$1:$A$5000,0),1,,,"LM7 Non-ENG"),IF(IFERROR(VLOOKUP(B1425&amp;"PT",'LM7 Non-ENG'!$A$1:$A$5000,1,FALSE),"ERROR")=B1425&amp;"PT","Y","")),"")</f>
        <v/>
      </c>
      <c r="I1425" t="str">
        <f>IFERROR(VLOOKUP(B1425,PN!$A:$C,3,FALSE),"")</f>
        <v>Active</v>
      </c>
      <c r="J1425" s="3">
        <f>IFERROR(E1425*VLOOKUP(B1425,PLInter!$A:$D,3,FALSE),"")</f>
        <v>1160</v>
      </c>
      <c r="K1425" s="66"/>
      <c r="L1425" s="66"/>
      <c r="M1425" s="66"/>
      <c r="N1425" s="66"/>
      <c r="O1425" s="66"/>
      <c r="P1425" s="66"/>
      <c r="Q1425" s="66"/>
      <c r="R1425" s="66"/>
      <c r="S1425" s="66"/>
    </row>
    <row r="1426" spans="1:19" ht="18" customHeight="1">
      <c r="B1426" t="str">
        <f>"021172"</f>
        <v>021172</v>
      </c>
      <c r="C1426" t="s">
        <v>916</v>
      </c>
      <c r="D1426" s="4"/>
      <c r="E1426" s="4">
        <v>2</v>
      </c>
      <c r="F1426" s="4"/>
      <c r="G1426" s="29" t="str">
        <f>IFERROR(HYPERLINK("#"&amp;ADDRESS(MATCH(B1426&amp;"ES",'LM7 Non-ENG'!$A$1:$A$5000,0),1,,,"LM7 Non-ENG"),IF(IFERROR(VLOOKUP(B1426&amp;"ES",'LM7 Non-ENG'!$A$1:$A$4999,1,FALSE),"ERROR")=B1426&amp;"ES","Y","")),"")</f>
        <v/>
      </c>
      <c r="H1426" s="29" t="str">
        <f>IFERROR(HYPERLINK("#"&amp;ADDRESS(MATCH(B1426&amp;"PT",'LM7 Non-ENG'!$A$1:$A$5000,0),1,,,"LM7 Non-ENG"),IF(IFERROR(VLOOKUP(B1426&amp;"PT",'LM7 Non-ENG'!$A$1:$A$5000,1,FALSE),"ERROR")=B1426&amp;"PT","Y","")),"")</f>
        <v/>
      </c>
      <c r="I1426" t="str">
        <f>IFERROR(VLOOKUP(B1426,PN!$A:$C,3,FALSE),"")</f>
        <v>Active</v>
      </c>
      <c r="J1426" s="3">
        <f>IFERROR(E1426*VLOOKUP(B1426,PLInter!$A:$D,3,FALSE),"")</f>
        <v>80</v>
      </c>
      <c r="K1426" s="66"/>
      <c r="L1426" s="66"/>
      <c r="M1426" s="66"/>
      <c r="N1426" s="66"/>
      <c r="O1426" s="66"/>
      <c r="P1426" s="66"/>
      <c r="Q1426" s="66"/>
      <c r="R1426" s="66"/>
      <c r="S1426" s="66"/>
    </row>
    <row r="1427" spans="1:19" ht="18" customHeight="1">
      <c r="B1427" t="s">
        <v>917</v>
      </c>
      <c r="C1427" t="s">
        <v>951</v>
      </c>
      <c r="D1427" s="4"/>
      <c r="E1427" s="4">
        <v>1</v>
      </c>
      <c r="F1427" s="4"/>
      <c r="G1427" s="29" t="str">
        <f>IFERROR(HYPERLINK("#"&amp;ADDRESS(MATCH(B1427&amp;"ES",'LM7 Non-ENG'!$A$1:$A$5000,0),1,,,"LM7 Non-ENG"),IF(IFERROR(VLOOKUP(B1427&amp;"ES",'LM7 Non-ENG'!$A$1:$A$4999,1,FALSE),"ERROR")=B1427&amp;"ES","Y","")),"")</f>
        <v/>
      </c>
      <c r="H1427" s="29" t="str">
        <f>IFERROR(HYPERLINK("#"&amp;ADDRESS(MATCH(B1427&amp;"PT",'LM7 Non-ENG'!$A$1:$A$5000,0),1,,,"LM7 Non-ENG"),IF(IFERROR(VLOOKUP(B1427&amp;"PT",'LM7 Non-ENG'!$A$1:$A$5000,1,FALSE),"ERROR")=B1427&amp;"PT","Y","")),"")</f>
        <v/>
      </c>
      <c r="I1427" t="str">
        <f>IFERROR(VLOOKUP(B1427,PN!$A:$C,3,FALSE),"")</f>
        <v>Phase Out</v>
      </c>
      <c r="J1427" s="3">
        <f>IFERROR(E1427*VLOOKUP(B1427,PLInter!$A:$D,3,FALSE),"")</f>
        <v>1735</v>
      </c>
      <c r="K1427" s="66"/>
      <c r="L1427" s="66"/>
      <c r="M1427" s="66"/>
      <c r="N1427" s="66"/>
      <c r="O1427" s="66"/>
      <c r="P1427" s="66"/>
      <c r="Q1427" s="66"/>
      <c r="R1427" s="66"/>
      <c r="S1427" s="66"/>
    </row>
    <row r="1428" spans="1:19" ht="18" customHeight="1">
      <c r="B1428" t="s">
        <v>919</v>
      </c>
      <c r="C1428" t="s">
        <v>952</v>
      </c>
      <c r="D1428" s="4"/>
      <c r="E1428" s="4">
        <v>1</v>
      </c>
      <c r="F1428" s="4"/>
      <c r="G1428" s="29" t="str">
        <f>IFERROR(HYPERLINK("#"&amp;ADDRESS(MATCH(B1428&amp;"ES",'LM7 Non-ENG'!$A$1:$A$5000,0),1,,,"LM7 Non-ENG"),IF(IFERROR(VLOOKUP(B1428&amp;"ES",'LM7 Non-ENG'!$A$1:$A$4999,1,FALSE),"ERROR")=B1428&amp;"ES","Y","")),"")</f>
        <v/>
      </c>
      <c r="H1428" s="29" t="str">
        <f>IFERROR(HYPERLINK("#"&amp;ADDRESS(MATCH(B1428&amp;"PT",'LM7 Non-ENG'!$A$1:$A$5000,0),1,,,"LM7 Non-ENG"),IF(IFERROR(VLOOKUP(B1428&amp;"PT",'LM7 Non-ENG'!$A$1:$A$5000,1,FALSE),"ERROR")=B1428&amp;"PT","Y","")),"")</f>
        <v/>
      </c>
      <c r="I1428" t="str">
        <f>IFERROR(VLOOKUP(B1428,PN!$A:$C,3,FALSE),"")</f>
        <v>Active</v>
      </c>
      <c r="J1428" s="3">
        <f>IFERROR(E1428*VLOOKUP(B1428,PLInter!$A:$D,3,FALSE),"")</f>
        <v>635</v>
      </c>
      <c r="K1428" s="66"/>
      <c r="L1428" s="66"/>
      <c r="M1428" s="66"/>
      <c r="N1428" s="66"/>
      <c r="O1428" s="66"/>
      <c r="P1428" s="66"/>
      <c r="Q1428" s="66"/>
      <c r="R1428" s="66"/>
      <c r="S1428" s="66"/>
    </row>
    <row r="1429" spans="1:19" ht="18" customHeight="1">
      <c r="B1429" t="str">
        <f>"021061"</f>
        <v>021061</v>
      </c>
      <c r="C1429" t="s">
        <v>953</v>
      </c>
      <c r="D1429" s="4"/>
      <c r="E1429" s="4">
        <v>1</v>
      </c>
      <c r="F1429" s="4"/>
      <c r="G1429" s="29" t="str">
        <f>IFERROR(HYPERLINK("#"&amp;ADDRESS(MATCH(B1429&amp;"ES",'LM7 Non-ENG'!$A$1:$A$5000,0),1,,,"LM7 Non-ENG"),IF(IFERROR(VLOOKUP(B1429&amp;"ES",'LM7 Non-ENG'!$A$1:$A$4999,1,FALSE),"ERROR")=B1429&amp;"ES","Y","")),"")</f>
        <v/>
      </c>
      <c r="H1429" s="29" t="str">
        <f>IFERROR(HYPERLINK("#"&amp;ADDRESS(MATCH(B1429&amp;"PT",'LM7 Non-ENG'!$A$1:$A$5000,0),1,,,"LM7 Non-ENG"),IF(IFERROR(VLOOKUP(B1429&amp;"PT",'LM7 Non-ENG'!$A$1:$A$5000,1,FALSE),"ERROR")=B1429&amp;"PT","Y","")),"")</f>
        <v/>
      </c>
      <c r="I1429" t="str">
        <f>IFERROR(VLOOKUP(B1429,PN!$A:$C,3,FALSE),"")</f>
        <v>Active</v>
      </c>
      <c r="J1429" s="3">
        <f>IFERROR(E1429*VLOOKUP(B1429,PLInter!$A:$D,3,FALSE),"")</f>
        <v>320</v>
      </c>
      <c r="K1429" s="66"/>
      <c r="L1429" s="66"/>
      <c r="M1429" s="66"/>
      <c r="N1429" s="66"/>
      <c r="O1429" s="66"/>
      <c r="P1429" s="66"/>
      <c r="Q1429" s="66"/>
      <c r="R1429" s="66"/>
      <c r="S1429" s="66"/>
    </row>
    <row r="1430" spans="1:19" ht="18" customHeight="1">
      <c r="B1430" t="str">
        <f>"021062"</f>
        <v>021062</v>
      </c>
      <c r="C1430" t="s">
        <v>972</v>
      </c>
      <c r="D1430" s="4"/>
      <c r="E1430" s="4">
        <v>1</v>
      </c>
      <c r="F1430" s="4"/>
      <c r="G1430" s="29" t="str">
        <f>IFERROR(HYPERLINK("#"&amp;ADDRESS(MATCH(B1430&amp;"ES",'LM7 Non-ENG'!$A$1:$A$5000,0),1,,,"LM7 Non-ENG"),IF(IFERROR(VLOOKUP(B1430&amp;"ES",'LM7 Non-ENG'!$A$1:$A$4999,1,FALSE),"ERROR")=B1430&amp;"ES","Y","")),"")</f>
        <v/>
      </c>
      <c r="H1430" s="29" t="str">
        <f>IFERROR(HYPERLINK("#"&amp;ADDRESS(MATCH(B1430&amp;"PT",'LM7 Non-ENG'!$A$1:$A$5000,0),1,,,"LM7 Non-ENG"),IF(IFERROR(VLOOKUP(B1430&amp;"PT",'LM7 Non-ENG'!$A$1:$A$5000,1,FALSE),"ERROR")=B1430&amp;"PT","Y","")),"")</f>
        <v/>
      </c>
      <c r="I1430" t="str">
        <f>IFERROR(VLOOKUP(B1430,PN!$A:$C,3,FALSE),"")</f>
        <v>Active</v>
      </c>
      <c r="J1430" s="3">
        <f>IFERROR(E1430*VLOOKUP(B1430,PLInter!$A:$D,3,FALSE),"")</f>
        <v>67</v>
      </c>
      <c r="K1430" s="66"/>
      <c r="L1430" s="66"/>
      <c r="M1430" s="66"/>
      <c r="N1430" s="66"/>
      <c r="O1430" s="66"/>
      <c r="P1430" s="66"/>
      <c r="Q1430" s="66"/>
      <c r="R1430" s="66"/>
      <c r="S1430" s="66"/>
    </row>
    <row r="1431" spans="1:19" ht="18" customHeight="1">
      <c r="B1431" t="s">
        <v>902</v>
      </c>
      <c r="C1431" t="s">
        <v>903</v>
      </c>
      <c r="D1431" s="4"/>
      <c r="E1431" s="4">
        <v>1</v>
      </c>
      <c r="F1431" s="4"/>
      <c r="G1431" s="29" t="str">
        <f>IFERROR(HYPERLINK("#"&amp;ADDRESS(MATCH(B1431&amp;"ES",'LM7 Non-ENG'!$A$1:$A$5000,0),1,,,"LM7 Non-ENG"),IF(IFERROR(VLOOKUP(B1431&amp;"ES",'LM7 Non-ENG'!$A$1:$A$4999,1,FALSE),"ERROR")=B1431&amp;"ES","Y","")),"")</f>
        <v/>
      </c>
      <c r="H1431" s="29" t="str">
        <f>IFERROR(HYPERLINK("#"&amp;ADDRESS(MATCH(B1431&amp;"PT",'LM7 Non-ENG'!$A$1:$A$5000,0),1,,,"LM7 Non-ENG"),IF(IFERROR(VLOOKUP(B1431&amp;"PT",'LM7 Non-ENG'!$A$1:$A$5000,1,FALSE),"ERROR")=B1431&amp;"PT","Y","")),"")</f>
        <v/>
      </c>
      <c r="I1431" t="str">
        <f>IFERROR(VLOOKUP(B1431,PN!$A:$C,3,FALSE),"")</f>
        <v>Active</v>
      </c>
      <c r="J1431" s="3">
        <f>IFERROR(E1431*VLOOKUP(B1431,PLInter!$A:$D,3,FALSE),"")</f>
        <v>2000</v>
      </c>
      <c r="K1431" s="66"/>
      <c r="L1431" s="66"/>
      <c r="M1431" s="66"/>
      <c r="N1431" s="66"/>
      <c r="O1431" s="66"/>
      <c r="P1431" s="66"/>
      <c r="Q1431" s="66"/>
      <c r="R1431" s="66"/>
      <c r="S1431" s="66"/>
    </row>
    <row r="1432" spans="1:19" ht="18" customHeight="1">
      <c r="B1432" t="s">
        <v>244</v>
      </c>
      <c r="C1432" t="s">
        <v>247</v>
      </c>
      <c r="D1432" s="4"/>
      <c r="E1432" s="4">
        <v>1</v>
      </c>
      <c r="F1432" s="4"/>
      <c r="G1432" s="29" t="str">
        <f>IFERROR(HYPERLINK("#"&amp;ADDRESS(MATCH(B1432&amp;"ES",'LM7 Non-ENG'!$A$1:$A$5000,0),1,,,"LM7 Non-ENG"),IF(IFERROR(VLOOKUP(B1432&amp;"ES",'LM7 Non-ENG'!$A$1:$A$4999,1,FALSE),"ERROR")=B1432&amp;"ES","Y","")),"")</f>
        <v/>
      </c>
      <c r="H1432" s="29" t="str">
        <f>IFERROR(HYPERLINK("#"&amp;ADDRESS(MATCH(B1432&amp;"PT",'LM7 Non-ENG'!$A$1:$A$5000,0),1,,,"LM7 Non-ENG"),IF(IFERROR(VLOOKUP(B1432&amp;"PT",'LM7 Non-ENG'!$A$1:$A$5000,1,FALSE),"ERROR")=B1432&amp;"PT","Y","")),"")</f>
        <v/>
      </c>
      <c r="I1432" t="str">
        <f>IFERROR(VLOOKUP(B1432,PN!$A:$C,3,FALSE),"")</f>
        <v>Active</v>
      </c>
      <c r="J1432" s="3">
        <f>IFERROR(E1432*VLOOKUP(B1432,PLInter!$A:$D,3,FALSE),"")</f>
        <v>2400</v>
      </c>
      <c r="K1432" s="66"/>
      <c r="L1432" s="66"/>
      <c r="M1432" s="66"/>
      <c r="N1432" s="66"/>
      <c r="O1432" s="66"/>
      <c r="P1432" s="66"/>
      <c r="Q1432" s="66"/>
      <c r="R1432" s="66"/>
      <c r="S1432" s="66"/>
    </row>
    <row r="1433" spans="1:19" ht="18" customHeight="1">
      <c r="B1433" t="s">
        <v>697</v>
      </c>
      <c r="C1433" t="s">
        <v>698</v>
      </c>
      <c r="D1433" s="4"/>
      <c r="E1433" s="4">
        <v>1</v>
      </c>
      <c r="F1433" s="4"/>
      <c r="G1433" s="29" t="str">
        <f>IFERROR(HYPERLINK("#"&amp;ADDRESS(MATCH(B1433&amp;"ES",'LM7 Non-ENG'!$A$1:$A$5000,0),1,,,"LM7 Non-ENG"),IF(IFERROR(VLOOKUP(B1433&amp;"ES",'LM7 Non-ENG'!$A$1:$A$4999,1,FALSE),"ERROR")=B1433&amp;"ES","Y","")),"")</f>
        <v/>
      </c>
      <c r="H1433" s="29" t="str">
        <f>IFERROR(HYPERLINK("#"&amp;ADDRESS(MATCH(B1433&amp;"PT",'LM7 Non-ENG'!$A$1:$A$5000,0),1,,,"LM7 Non-ENG"),IF(IFERROR(VLOOKUP(B1433&amp;"PT",'LM7 Non-ENG'!$A$1:$A$5000,1,FALSE),"ERROR")=B1433&amp;"PT","Y","")),"")</f>
        <v/>
      </c>
      <c r="I1433" t="str">
        <f>IFERROR(VLOOKUP(B1433,PN!$A:$C,3,FALSE),"")</f>
        <v>Active</v>
      </c>
      <c r="J1433" s="3">
        <f>IFERROR(E1433*VLOOKUP(B1433,PLInter!$A:$D,3,FALSE),"")</f>
        <v>934</v>
      </c>
      <c r="K1433" s="66"/>
      <c r="L1433" s="66"/>
      <c r="M1433" s="66"/>
      <c r="N1433" s="66"/>
      <c r="O1433" s="66"/>
      <c r="P1433" s="66"/>
      <c r="Q1433" s="66"/>
      <c r="R1433" s="66"/>
      <c r="S1433" s="66"/>
    </row>
    <row r="1434" spans="1:19" ht="18" customHeight="1">
      <c r="B1434" t="s">
        <v>630</v>
      </c>
      <c r="C1434" t="s">
        <v>631</v>
      </c>
      <c r="D1434" s="4"/>
      <c r="E1434" s="4">
        <v>1</v>
      </c>
      <c r="F1434" s="4"/>
      <c r="G1434" s="29" t="str">
        <f>IFERROR(HYPERLINK("#"&amp;ADDRESS(MATCH(B1434&amp;"ES",'LM7 Non-ENG'!$A$1:$A$5000,0),1,,,"LM7 Non-ENG"),IF(IFERROR(VLOOKUP(B1434&amp;"ES",'LM7 Non-ENG'!$A$1:$A$4999,1,FALSE),"ERROR")=B1434&amp;"ES","Y","")),"")</f>
        <v/>
      </c>
      <c r="H1434" s="29" t="str">
        <f>IFERROR(HYPERLINK("#"&amp;ADDRESS(MATCH(B1434&amp;"PT",'LM7 Non-ENG'!$A$1:$A$5000,0),1,,,"LM7 Non-ENG"),IF(IFERROR(VLOOKUP(B1434&amp;"PT",'LM7 Non-ENG'!$A$1:$A$5000,1,FALSE),"ERROR")=B1434&amp;"PT","Y","")),"")</f>
        <v/>
      </c>
      <c r="I1434" t="str">
        <f>IFERROR(VLOOKUP(B1434,PN!$A:$C,3,FALSE),"")</f>
        <v>Active</v>
      </c>
      <c r="J1434" s="3">
        <f>IFERROR(E1434*VLOOKUP(B1434,PLInter!$A:$D,3,FALSE),"")</f>
        <v>1735</v>
      </c>
      <c r="K1434" s="66"/>
      <c r="L1434" s="66"/>
      <c r="M1434" s="66"/>
      <c r="N1434" s="66"/>
      <c r="O1434" s="66"/>
      <c r="P1434" s="66"/>
      <c r="Q1434" s="66"/>
      <c r="R1434" s="66"/>
      <c r="S1434" s="66"/>
    </row>
    <row r="1436" spans="1:19" s="7" customFormat="1" ht="18" customHeight="1">
      <c r="A1436" s="13" t="s">
        <v>973</v>
      </c>
      <c r="B1436" s="13"/>
      <c r="C1436" s="13" t="s">
        <v>974</v>
      </c>
      <c r="D1436" s="14"/>
      <c r="E1436" s="14"/>
      <c r="F1436" s="14"/>
      <c r="G1436" s="14"/>
      <c r="H1436" s="14"/>
      <c r="I1436" s="14"/>
      <c r="J1436" s="14">
        <f>SUMIFS(J1437:J1457,D1437:D1457,"&lt;&gt;Y",F1437:F1457,"&lt;&gt;Y",I1437:I1457,"&lt;&gt;Inactive",I1437:I1457,"&lt;&gt;ECO+NFS")</f>
        <v>52994</v>
      </c>
      <c r="K1436" s="14"/>
      <c r="L1436" s="14"/>
      <c r="M1436" s="14"/>
      <c r="N1436" s="14"/>
      <c r="O1436" s="14"/>
      <c r="P1436" s="14"/>
      <c r="Q1436" s="14"/>
      <c r="R1436" s="14"/>
      <c r="S1436" s="14"/>
    </row>
    <row r="1437" spans="1:19" ht="18" customHeight="1">
      <c r="A1437" s="17" t="str">
        <f>HYPERLINK("#"&amp;ADDRESS(MATCH(A1436,'CIM&amp;FMS'!$A$1:$A$4997,0),1,,,"CIM&amp;FMS"),"Back to Price List")</f>
        <v>Back to Price List</v>
      </c>
      <c r="B1437" t="s">
        <v>216</v>
      </c>
      <c r="C1437" t="s">
        <v>913</v>
      </c>
      <c r="D1437" s="4"/>
      <c r="E1437" s="4">
        <v>1</v>
      </c>
      <c r="F1437" s="4"/>
      <c r="G1437" s="29" t="str">
        <f>IFERROR(HYPERLINK("#"&amp;ADDRESS(MATCH(B1437&amp;"ES",'LM7 Non-ENG'!$A$1:$A$5000,0),1,,,"LM7 Non-ENG"),IF(IFERROR(VLOOKUP(B1437&amp;"ES",'LM7 Non-ENG'!$A$1:$A$4999,1,FALSE),"ERROR")=B1437&amp;"ES","Y","")),"")</f>
        <v/>
      </c>
      <c r="H1437" s="29" t="str">
        <f>IFERROR(HYPERLINK("#"&amp;ADDRESS(MATCH(B1437&amp;"PT",'LM7 Non-ENG'!$A$1:$A$5000,0),1,,,"LM7 Non-ENG"),IF(IFERROR(VLOOKUP(B1437&amp;"PT",'LM7 Non-ENG'!$A$1:$A$5000,1,FALSE),"ERROR")=B1437&amp;"PT","Y","")),"")</f>
        <v/>
      </c>
      <c r="I1437" t="str">
        <f>IFERROR(VLOOKUP(B1437,PN!$A:$C,3,FALSE),"")</f>
        <v>Active</v>
      </c>
      <c r="J1437" s="3">
        <f>IFERROR(E1437*VLOOKUP(B1437,PLInter!$A:$D,3,FALSE),"")</f>
        <v>26667</v>
      </c>
      <c r="K1437" s="66"/>
      <c r="L1437" s="66"/>
      <c r="M1437" s="66"/>
      <c r="N1437" s="66"/>
      <c r="O1437" s="66"/>
      <c r="P1437" s="66"/>
      <c r="Q1437" s="66"/>
      <c r="R1437" s="66"/>
      <c r="S1437" s="66"/>
    </row>
    <row r="1438" spans="1:19" ht="18" customHeight="1">
      <c r="B1438" t="s">
        <v>229</v>
      </c>
      <c r="C1438" t="s">
        <v>234</v>
      </c>
      <c r="D1438" s="4"/>
      <c r="E1438" s="4">
        <v>1</v>
      </c>
      <c r="F1438" s="4"/>
      <c r="G1438" s="29" t="str">
        <f>IFERROR(HYPERLINK("#"&amp;ADDRESS(MATCH(B1438&amp;"ES",'LM7 Non-ENG'!$A$1:$A$5000,0),1,,,"LM7 Non-ENG"),IF(IFERROR(VLOOKUP(B1438&amp;"ES",'LM7 Non-ENG'!$A$1:$A$4999,1,FALSE),"ERROR")=B1438&amp;"ES","Y","")),"")</f>
        <v/>
      </c>
      <c r="H1438" s="29" t="str">
        <f>IFERROR(HYPERLINK("#"&amp;ADDRESS(MATCH(B1438&amp;"PT",'LM7 Non-ENG'!$A$1:$A$5000,0),1,,,"LM7 Non-ENG"),IF(IFERROR(VLOOKUP(B1438&amp;"PT",'LM7 Non-ENG'!$A$1:$A$5000,1,FALSE),"ERROR")=B1438&amp;"PT","Y","")),"")</f>
        <v/>
      </c>
      <c r="I1438" t="str">
        <f>IFERROR(VLOOKUP(B1438,PN!$A:$C,3,FALSE),"")</f>
        <v>Active</v>
      </c>
      <c r="J1438" s="3">
        <f>IFERROR(E1438*VLOOKUP(B1438,PLInter!$A:$D,3,FALSE),"")</f>
        <v>3270</v>
      </c>
      <c r="K1438" s="66"/>
      <c r="L1438" s="66"/>
      <c r="M1438" s="66"/>
      <c r="N1438" s="66"/>
      <c r="O1438" s="66"/>
      <c r="P1438" s="66"/>
      <c r="Q1438" s="66"/>
      <c r="R1438" s="66"/>
      <c r="S1438" s="66"/>
    </row>
    <row r="1439" spans="1:19" ht="18" customHeight="1">
      <c r="B1439" s="2" t="s">
        <v>227</v>
      </c>
      <c r="C1439" s="2" t="s">
        <v>232</v>
      </c>
      <c r="D1439" s="5"/>
      <c r="E1439" s="5">
        <v>1</v>
      </c>
      <c r="F1439" s="5" t="s">
        <v>0</v>
      </c>
      <c r="G1439" s="29" t="str">
        <f>IFERROR(HYPERLINK("#"&amp;ADDRESS(MATCH(B1439&amp;"ES",'LM7 Non-ENG'!$A$1:$A$5000,0),1,,,"LM7 Non-ENG"),IF(IFERROR(VLOOKUP(B1439&amp;"ES",'LM7 Non-ENG'!$A$1:$A$4999,1,FALSE),"ERROR")=B1439&amp;"ES","Y","")),"")</f>
        <v/>
      </c>
      <c r="H1439" s="29" t="str">
        <f>IFERROR(HYPERLINK("#"&amp;ADDRESS(MATCH(B1439&amp;"PT",'LM7 Non-ENG'!$A$1:$A$5000,0),1,,,"LM7 Non-ENG"),IF(IFERROR(VLOOKUP(B1439&amp;"PT",'LM7 Non-ENG'!$A$1:$A$5000,1,FALSE),"ERROR")=B1439&amp;"PT","Y","")),"")</f>
        <v/>
      </c>
      <c r="I1439" t="str">
        <f>IFERROR(VLOOKUP(B1439,PN!$A:$C,3,FALSE),"")</f>
        <v>Active</v>
      </c>
      <c r="J1439" s="3">
        <f>IFERROR(E1439*VLOOKUP(B1439,PLInter!$A:$D,3,FALSE),"")</f>
        <v>1700</v>
      </c>
      <c r="K1439" s="66"/>
      <c r="L1439" s="66"/>
      <c r="M1439" s="66"/>
      <c r="N1439" s="66"/>
      <c r="O1439" s="66"/>
      <c r="P1439" s="66"/>
      <c r="Q1439" s="66"/>
      <c r="R1439" s="66"/>
      <c r="S1439" s="66"/>
    </row>
    <row r="1440" spans="1:19" ht="18" customHeight="1">
      <c r="B1440" t="s">
        <v>236</v>
      </c>
      <c r="C1440" t="s">
        <v>626</v>
      </c>
      <c r="D1440" s="4"/>
      <c r="E1440" s="4">
        <v>1</v>
      </c>
      <c r="F1440" s="4"/>
      <c r="G1440" s="29" t="str">
        <f>IFERROR(HYPERLINK("#"&amp;ADDRESS(MATCH(B1440&amp;"ES",'LM7 Non-ENG'!$A$1:$A$5000,0),1,,,"LM7 Non-ENG"),IF(IFERROR(VLOOKUP(B1440&amp;"ES",'LM7 Non-ENG'!$A$1:$A$4999,1,FALSE),"ERROR")=B1440&amp;"ES","Y","")),"")</f>
        <v/>
      </c>
      <c r="H1440" s="29" t="str">
        <f>IFERROR(HYPERLINK("#"&amp;ADDRESS(MATCH(B1440&amp;"PT",'LM7 Non-ENG'!$A$1:$A$5000,0),1,,,"LM7 Non-ENG"),IF(IFERROR(VLOOKUP(B1440&amp;"PT",'LM7 Non-ENG'!$A$1:$A$5000,1,FALSE),"ERROR")=B1440&amp;"PT","Y","")),"")</f>
        <v/>
      </c>
      <c r="I1440" t="str">
        <f>IFERROR(VLOOKUP(B1440,PN!$A:$C,3,FALSE),"")</f>
        <v>Active</v>
      </c>
      <c r="J1440" s="3">
        <f>IFERROR(E1440*VLOOKUP(B1440,PLInter!$A:$D,3,FALSE),"")</f>
        <v>1680</v>
      </c>
      <c r="K1440" s="66"/>
      <c r="L1440" s="66"/>
      <c r="M1440" s="66"/>
      <c r="N1440" s="66"/>
      <c r="O1440" s="66"/>
      <c r="P1440" s="66"/>
      <c r="Q1440" s="66"/>
      <c r="R1440" s="66"/>
      <c r="S1440" s="66"/>
    </row>
    <row r="1441" spans="2:19" ht="18" customHeight="1">
      <c r="B1441" t="str">
        <f>"034025"</f>
        <v>034025</v>
      </c>
      <c r="C1441" t="s">
        <v>777</v>
      </c>
      <c r="D1441" s="4"/>
      <c r="E1441" s="4">
        <v>1</v>
      </c>
      <c r="F1441" s="4"/>
      <c r="G1441" s="29" t="str">
        <f>IFERROR(HYPERLINK("#"&amp;ADDRESS(MATCH(B1441&amp;"ES",'LM7 Non-ENG'!$A$1:$A$5000,0),1,,,"LM7 Non-ENG"),IF(IFERROR(VLOOKUP(B1441&amp;"ES",'LM7 Non-ENG'!$A$1:$A$4999,1,FALSE),"ERROR")=B1441&amp;"ES","Y","")),"")</f>
        <v/>
      </c>
      <c r="H1441" s="29" t="str">
        <f>IFERROR(HYPERLINK("#"&amp;ADDRESS(MATCH(B1441&amp;"PT",'LM7 Non-ENG'!$A$1:$A$5000,0),1,,,"LM7 Non-ENG"),IF(IFERROR(VLOOKUP(B1441&amp;"PT",'LM7 Non-ENG'!$A$1:$A$5000,1,FALSE),"ERROR")=B1441&amp;"PT","Y","")),"")</f>
        <v/>
      </c>
      <c r="I1441" t="str">
        <f>IFERROR(VLOOKUP(B1441,PN!$A:$C,3,FALSE),"")</f>
        <v>Active</v>
      </c>
      <c r="J1441" s="3">
        <f>IFERROR(E1441*VLOOKUP(B1441,PLInter!$A:$D,3,FALSE),"")</f>
        <v>1267</v>
      </c>
      <c r="K1441" s="66"/>
      <c r="L1441" s="66"/>
      <c r="M1441" s="66"/>
      <c r="N1441" s="66"/>
      <c r="O1441" s="66"/>
      <c r="P1441" s="66"/>
      <c r="Q1441" s="66"/>
      <c r="R1441" s="66"/>
      <c r="S1441" s="66"/>
    </row>
    <row r="1442" spans="2:19" ht="18" customHeight="1">
      <c r="B1442" t="s">
        <v>914</v>
      </c>
      <c r="C1442" t="s">
        <v>915</v>
      </c>
      <c r="D1442" s="4"/>
      <c r="E1442" s="4">
        <v>3</v>
      </c>
      <c r="F1442" s="4"/>
      <c r="G1442" s="29" t="str">
        <f>IFERROR(HYPERLINK("#"&amp;ADDRESS(MATCH(B1442&amp;"ES",'LM7 Non-ENG'!$A$1:$A$5000,0),1,,,"LM7 Non-ENG"),IF(IFERROR(VLOOKUP(B1442&amp;"ES",'LM7 Non-ENG'!$A$1:$A$4999,1,FALSE),"ERROR")=B1442&amp;"ES","Y","")),"")</f>
        <v/>
      </c>
      <c r="H1442" s="29" t="str">
        <f>IFERROR(HYPERLINK("#"&amp;ADDRESS(MATCH(B1442&amp;"PT",'LM7 Non-ENG'!$A$1:$A$5000,0),1,,,"LM7 Non-ENG"),IF(IFERROR(VLOOKUP(B1442&amp;"PT",'LM7 Non-ENG'!$A$1:$A$5000,1,FALSE),"ERROR")=B1442&amp;"PT","Y","")),"")</f>
        <v/>
      </c>
      <c r="I1442" t="str">
        <f>IFERROR(VLOOKUP(B1442,PN!$A:$C,3,FALSE),"")</f>
        <v>Active</v>
      </c>
      <c r="J1442" s="3">
        <f>IFERROR(E1442*VLOOKUP(B1442,PLInter!$A:$D,3,FALSE),"")</f>
        <v>402</v>
      </c>
      <c r="K1442" s="66"/>
      <c r="L1442" s="66"/>
      <c r="M1442" s="66"/>
      <c r="N1442" s="66"/>
      <c r="O1442" s="66"/>
      <c r="P1442" s="66"/>
      <c r="Q1442" s="66"/>
      <c r="R1442" s="66"/>
      <c r="S1442" s="66"/>
    </row>
    <row r="1443" spans="2:19" ht="18" customHeight="1">
      <c r="B1443" t="s">
        <v>684</v>
      </c>
      <c r="C1443" t="s">
        <v>685</v>
      </c>
      <c r="D1443" s="4"/>
      <c r="E1443" s="4">
        <v>2</v>
      </c>
      <c r="F1443" s="4"/>
      <c r="G1443" s="29" t="str">
        <f>IFERROR(HYPERLINK("#"&amp;ADDRESS(MATCH(B1443&amp;"ES",'LM7 Non-ENG'!$A$1:$A$5000,0),1,,,"LM7 Non-ENG"),IF(IFERROR(VLOOKUP(B1443&amp;"ES",'LM7 Non-ENG'!$A$1:$A$4999,1,FALSE),"ERROR")=B1443&amp;"ES","Y","")),"")</f>
        <v/>
      </c>
      <c r="H1443" s="29" t="str">
        <f>IFERROR(HYPERLINK("#"&amp;ADDRESS(MATCH(B1443&amp;"PT",'LM7 Non-ENG'!$A$1:$A$5000,0),1,,,"LM7 Non-ENG"),IF(IFERROR(VLOOKUP(B1443&amp;"PT",'LM7 Non-ENG'!$A$1:$A$5000,1,FALSE),"ERROR")=B1443&amp;"PT","Y","")),"")</f>
        <v/>
      </c>
      <c r="I1443" t="str">
        <f>IFERROR(VLOOKUP(B1443,PN!$A:$C,3,FALSE),"")</f>
        <v>Active</v>
      </c>
      <c r="J1443" s="3">
        <f>IFERROR(E1443*VLOOKUP(B1443,PLInter!$A:$D,3,FALSE),"")</f>
        <v>1160</v>
      </c>
      <c r="K1443" s="66"/>
      <c r="L1443" s="66"/>
      <c r="M1443" s="66"/>
      <c r="N1443" s="66"/>
      <c r="O1443" s="66"/>
      <c r="P1443" s="66"/>
      <c r="Q1443" s="66"/>
      <c r="R1443" s="66"/>
      <c r="S1443" s="66"/>
    </row>
    <row r="1444" spans="2:19" ht="18" customHeight="1">
      <c r="B1444" t="str">
        <f>"021172"</f>
        <v>021172</v>
      </c>
      <c r="C1444" t="s">
        <v>916</v>
      </c>
      <c r="D1444" s="4"/>
      <c r="E1444" s="4">
        <v>2</v>
      </c>
      <c r="F1444" s="4"/>
      <c r="G1444" s="29" t="str">
        <f>IFERROR(HYPERLINK("#"&amp;ADDRESS(MATCH(B1444&amp;"ES",'LM7 Non-ENG'!$A$1:$A$5000,0),1,,,"LM7 Non-ENG"),IF(IFERROR(VLOOKUP(B1444&amp;"ES",'LM7 Non-ENG'!$A$1:$A$4999,1,FALSE),"ERROR")=B1444&amp;"ES","Y","")),"")</f>
        <v/>
      </c>
      <c r="H1444" s="29" t="str">
        <f>IFERROR(HYPERLINK("#"&amp;ADDRESS(MATCH(B1444&amp;"PT",'LM7 Non-ENG'!$A$1:$A$5000,0),1,,,"LM7 Non-ENG"),IF(IFERROR(VLOOKUP(B1444&amp;"PT",'LM7 Non-ENG'!$A$1:$A$5000,1,FALSE),"ERROR")=B1444&amp;"PT","Y","")),"")</f>
        <v/>
      </c>
      <c r="I1444" t="str">
        <f>IFERROR(VLOOKUP(B1444,PN!$A:$C,3,FALSE),"")</f>
        <v>Active</v>
      </c>
      <c r="J1444" s="3">
        <f>IFERROR(E1444*VLOOKUP(B1444,PLInter!$A:$D,3,FALSE),"")</f>
        <v>80</v>
      </c>
      <c r="K1444" s="66"/>
      <c r="L1444" s="66"/>
      <c r="M1444" s="66"/>
      <c r="N1444" s="66"/>
      <c r="O1444" s="66"/>
      <c r="P1444" s="66"/>
      <c r="Q1444" s="66"/>
      <c r="R1444" s="66"/>
      <c r="S1444" s="66"/>
    </row>
    <row r="1445" spans="2:19" ht="18" customHeight="1">
      <c r="B1445" t="s">
        <v>917</v>
      </c>
      <c r="C1445" t="s">
        <v>918</v>
      </c>
      <c r="D1445" s="4"/>
      <c r="E1445" s="4">
        <v>1</v>
      </c>
      <c r="F1445" s="4"/>
      <c r="G1445" s="29" t="str">
        <f>IFERROR(HYPERLINK("#"&amp;ADDRESS(MATCH(B1445&amp;"ES",'LM7 Non-ENG'!$A$1:$A$5000,0),1,,,"LM7 Non-ENG"),IF(IFERROR(VLOOKUP(B1445&amp;"ES",'LM7 Non-ENG'!$A$1:$A$4999,1,FALSE),"ERROR")=B1445&amp;"ES","Y","")),"")</f>
        <v/>
      </c>
      <c r="H1445" s="29" t="str">
        <f>IFERROR(HYPERLINK("#"&amp;ADDRESS(MATCH(B1445&amp;"PT",'LM7 Non-ENG'!$A$1:$A$5000,0),1,,,"LM7 Non-ENG"),IF(IFERROR(VLOOKUP(B1445&amp;"PT",'LM7 Non-ENG'!$A$1:$A$5000,1,FALSE),"ERROR")=B1445&amp;"PT","Y","")),"")</f>
        <v/>
      </c>
      <c r="I1445" t="str">
        <f>IFERROR(VLOOKUP(B1445,PN!$A:$C,3,FALSE),"")</f>
        <v>Phase Out</v>
      </c>
      <c r="J1445" s="3">
        <f>IFERROR(E1445*VLOOKUP(B1445,PLInter!$A:$D,3,FALSE),"")</f>
        <v>1735</v>
      </c>
      <c r="K1445" s="66"/>
      <c r="L1445" s="66"/>
      <c r="M1445" s="66"/>
      <c r="N1445" s="66"/>
      <c r="O1445" s="66"/>
      <c r="P1445" s="66"/>
      <c r="Q1445" s="66"/>
      <c r="R1445" s="66"/>
      <c r="S1445" s="66"/>
    </row>
    <row r="1446" spans="2:19" ht="18" customHeight="1">
      <c r="B1446" t="s">
        <v>919</v>
      </c>
      <c r="C1446" t="s">
        <v>920</v>
      </c>
      <c r="D1446" s="4"/>
      <c r="E1446" s="4">
        <v>1</v>
      </c>
      <c r="F1446" s="4"/>
      <c r="G1446" s="29" t="str">
        <f>IFERROR(HYPERLINK("#"&amp;ADDRESS(MATCH(B1446&amp;"ES",'LM7 Non-ENG'!$A$1:$A$5000,0),1,,,"LM7 Non-ENG"),IF(IFERROR(VLOOKUP(B1446&amp;"ES",'LM7 Non-ENG'!$A$1:$A$4999,1,FALSE),"ERROR")=B1446&amp;"ES","Y","")),"")</f>
        <v/>
      </c>
      <c r="H1446" s="29" t="str">
        <f>IFERROR(HYPERLINK("#"&amp;ADDRESS(MATCH(B1446&amp;"PT",'LM7 Non-ENG'!$A$1:$A$5000,0),1,,,"LM7 Non-ENG"),IF(IFERROR(VLOOKUP(B1446&amp;"PT",'LM7 Non-ENG'!$A$1:$A$5000,1,FALSE),"ERROR")=B1446&amp;"PT","Y","")),"")</f>
        <v/>
      </c>
      <c r="I1446" t="str">
        <f>IFERROR(VLOOKUP(B1446,PN!$A:$C,3,FALSE),"")</f>
        <v>Active</v>
      </c>
      <c r="J1446" s="3">
        <f>IFERROR(E1446*VLOOKUP(B1446,PLInter!$A:$D,3,FALSE),"")</f>
        <v>635</v>
      </c>
      <c r="K1446" s="66"/>
      <c r="L1446" s="66"/>
      <c r="M1446" s="66"/>
      <c r="N1446" s="66"/>
      <c r="O1446" s="66"/>
      <c r="P1446" s="66"/>
      <c r="Q1446" s="66"/>
      <c r="R1446" s="66"/>
      <c r="S1446" s="66"/>
    </row>
    <row r="1447" spans="2:19" ht="18" customHeight="1">
      <c r="B1447" t="s">
        <v>921</v>
      </c>
      <c r="C1447" t="s">
        <v>922</v>
      </c>
      <c r="D1447" s="4"/>
      <c r="E1447" s="4">
        <v>1</v>
      </c>
      <c r="F1447" s="4"/>
      <c r="G1447" s="29" t="str">
        <f>IFERROR(HYPERLINK("#"&amp;ADDRESS(MATCH(B1447&amp;"ES",'LM7 Non-ENG'!$A$1:$A$5000,0),1,,,"LM7 Non-ENG"),IF(IFERROR(VLOOKUP(B1447&amp;"ES",'LM7 Non-ENG'!$A$1:$A$4999,1,FALSE),"ERROR")=B1447&amp;"ES","Y","")),"")</f>
        <v/>
      </c>
      <c r="H1447" s="29" t="str">
        <f>IFERROR(HYPERLINK("#"&amp;ADDRESS(MATCH(B1447&amp;"PT",'LM7 Non-ENG'!$A$1:$A$5000,0),1,,,"LM7 Non-ENG"),IF(IFERROR(VLOOKUP(B1447&amp;"PT",'LM7 Non-ENG'!$A$1:$A$5000,1,FALSE),"ERROR")=B1447&amp;"PT","Y","")),"")</f>
        <v/>
      </c>
      <c r="I1447" t="str">
        <f>IFERROR(VLOOKUP(B1447,PN!$A:$C,3,FALSE),"")</f>
        <v>Active</v>
      </c>
      <c r="J1447" s="3">
        <f>IFERROR(E1447*VLOOKUP(B1447,PLInter!$A:$D,3,FALSE),"")</f>
        <v>2585</v>
      </c>
      <c r="K1447" s="66"/>
      <c r="L1447" s="66"/>
      <c r="M1447" s="66"/>
      <c r="N1447" s="66"/>
      <c r="O1447" s="66"/>
      <c r="P1447" s="66"/>
      <c r="Q1447" s="66"/>
      <c r="R1447" s="66"/>
      <c r="S1447" s="66"/>
    </row>
    <row r="1448" spans="2:19" ht="18" customHeight="1">
      <c r="B1448" t="s">
        <v>923</v>
      </c>
      <c r="C1448" t="s">
        <v>924</v>
      </c>
      <c r="D1448" s="4"/>
      <c r="E1448" s="4">
        <v>12</v>
      </c>
      <c r="F1448" s="4"/>
      <c r="G1448" s="29" t="str">
        <f>IFERROR(HYPERLINK("#"&amp;ADDRESS(MATCH(B1448&amp;"ES",'LM7 Non-ENG'!$A$1:$A$5000,0),1,,,"LM7 Non-ENG"),IF(IFERROR(VLOOKUP(B1448&amp;"ES",'LM7 Non-ENG'!$A$1:$A$4999,1,FALSE),"ERROR")=B1448&amp;"ES","Y","")),"")</f>
        <v/>
      </c>
      <c r="H1448" s="29" t="str">
        <f>IFERROR(HYPERLINK("#"&amp;ADDRESS(MATCH(B1448&amp;"PT",'LM7 Non-ENG'!$A$1:$A$5000,0),1,,,"LM7 Non-ENG"),IF(IFERROR(VLOOKUP(B1448&amp;"PT",'LM7 Non-ENG'!$A$1:$A$5000,1,FALSE),"ERROR")=B1448&amp;"PT","Y","")),"")</f>
        <v/>
      </c>
      <c r="I1448" t="str">
        <f>IFERROR(VLOOKUP(B1448,PN!$A:$C,3,FALSE),"")</f>
        <v>Active</v>
      </c>
      <c r="J1448" s="3">
        <f>IFERROR(E1448*VLOOKUP(B1448,PLInter!$A:$D,3,FALSE),"")</f>
        <v>1104</v>
      </c>
      <c r="K1448" s="66"/>
      <c r="L1448" s="66"/>
      <c r="M1448" s="66"/>
      <c r="N1448" s="66"/>
      <c r="O1448" s="66"/>
      <c r="P1448" s="66"/>
      <c r="Q1448" s="66"/>
      <c r="R1448" s="66"/>
      <c r="S1448" s="66"/>
    </row>
    <row r="1449" spans="2:19" ht="18" customHeight="1">
      <c r="B1449" t="s">
        <v>241</v>
      </c>
      <c r="C1449" t="s">
        <v>976</v>
      </c>
      <c r="D1449" s="4"/>
      <c r="E1449" s="4">
        <v>1</v>
      </c>
      <c r="F1449" s="4"/>
      <c r="G1449" s="29" t="str">
        <f>IFERROR(HYPERLINK("#"&amp;ADDRESS(MATCH(B1449&amp;"ES",'LM7 Non-ENG'!$A$1:$A$5000,0),1,,,"LM7 Non-ENG"),IF(IFERROR(VLOOKUP(B1449&amp;"ES",'LM7 Non-ENG'!$A$1:$A$4999,1,FALSE),"ERROR")=B1449&amp;"ES","Y","")),"")</f>
        <v/>
      </c>
      <c r="H1449" s="29" t="str">
        <f>IFERROR(HYPERLINK("#"&amp;ADDRESS(MATCH(B1449&amp;"PT",'LM7 Non-ENG'!$A$1:$A$5000,0),1,,,"LM7 Non-ENG"),IF(IFERROR(VLOOKUP(B1449&amp;"PT",'LM7 Non-ENG'!$A$1:$A$5000,1,FALSE),"ERROR")=B1449&amp;"PT","Y","")),"")</f>
        <v/>
      </c>
      <c r="I1449" t="str">
        <f>IFERROR(VLOOKUP(B1449,PN!$A:$C,3,FALSE),"")</f>
        <v>Active</v>
      </c>
      <c r="J1449" s="3">
        <f>IFERROR(E1449*VLOOKUP(B1449,PLInter!$A:$D,3,FALSE),"")</f>
        <v>2600</v>
      </c>
      <c r="K1449" s="66"/>
      <c r="L1449" s="66"/>
      <c r="M1449" s="66"/>
      <c r="N1449" s="66"/>
      <c r="O1449" s="66"/>
      <c r="P1449" s="66"/>
      <c r="Q1449" s="66"/>
      <c r="R1449" s="66"/>
      <c r="S1449" s="66"/>
    </row>
    <row r="1450" spans="2:19" ht="18" customHeight="1">
      <c r="B1450" t="s">
        <v>977</v>
      </c>
      <c r="C1450" t="s">
        <v>978</v>
      </c>
      <c r="D1450" s="4"/>
      <c r="E1450" s="4">
        <v>1</v>
      </c>
      <c r="F1450" s="4"/>
      <c r="G1450" s="29" t="str">
        <f>IFERROR(HYPERLINK("#"&amp;ADDRESS(MATCH(B1450&amp;"ES",'LM7 Non-ENG'!$A$1:$A$5000,0),1,,,"LM7 Non-ENG"),IF(IFERROR(VLOOKUP(B1450&amp;"ES",'LM7 Non-ENG'!$A$1:$A$4999,1,FALSE),"ERROR")=B1450&amp;"ES","Y","")),"")</f>
        <v/>
      </c>
      <c r="H1450" s="29" t="str">
        <f>IFERROR(HYPERLINK("#"&amp;ADDRESS(MATCH(B1450&amp;"PT",'LM7 Non-ENG'!$A$1:$A$5000,0),1,,,"LM7 Non-ENG"),IF(IFERROR(VLOOKUP(B1450&amp;"PT",'LM7 Non-ENG'!$A$1:$A$5000,1,FALSE),"ERROR")=B1450&amp;"PT","Y","")),"")</f>
        <v/>
      </c>
      <c r="I1450" t="str">
        <f>IFERROR(VLOOKUP(B1450,PN!$A:$C,3,FALSE),"")</f>
        <v>Active</v>
      </c>
      <c r="J1450" s="3">
        <f>IFERROR(E1450*VLOOKUP(B1450,PLInter!$A:$D,3,FALSE),"")</f>
        <v>3885</v>
      </c>
      <c r="K1450" s="66"/>
      <c r="L1450" s="66"/>
      <c r="M1450" s="66"/>
      <c r="N1450" s="66"/>
      <c r="O1450" s="66"/>
      <c r="P1450" s="66"/>
      <c r="Q1450" s="66"/>
      <c r="R1450" s="66"/>
      <c r="S1450" s="66"/>
    </row>
    <row r="1451" spans="2:19" ht="18" customHeight="1">
      <c r="B1451" t="str">
        <f>"113316"</f>
        <v>113316</v>
      </c>
      <c r="C1451" t="s">
        <v>979</v>
      </c>
      <c r="D1451" s="4"/>
      <c r="E1451" s="4">
        <v>1</v>
      </c>
      <c r="F1451" s="4"/>
      <c r="G1451" s="29" t="str">
        <f>IFERROR(HYPERLINK("#"&amp;ADDRESS(MATCH(B1451&amp;"ES",'LM7 Non-ENG'!$A$1:$A$5000,0),1,,,"LM7 Non-ENG"),IF(IFERROR(VLOOKUP(B1451&amp;"ES",'LM7 Non-ENG'!$A$1:$A$4999,1,FALSE),"ERROR")=B1451&amp;"ES","Y","")),"")</f>
        <v/>
      </c>
      <c r="H1451" s="29" t="str">
        <f>IFERROR(HYPERLINK("#"&amp;ADDRESS(MATCH(B1451&amp;"PT",'LM7 Non-ENG'!$A$1:$A$5000,0),1,,,"LM7 Non-ENG"),IF(IFERROR(VLOOKUP(B1451&amp;"PT",'LM7 Non-ENG'!$A$1:$A$5000,1,FALSE),"ERROR")=B1451&amp;"PT","Y","")),"")</f>
        <v/>
      </c>
      <c r="I1451" t="str">
        <f>IFERROR(VLOOKUP(B1451,PN!$A:$C,3,FALSE),"")</f>
        <v>Active</v>
      </c>
      <c r="J1451" s="3">
        <f>IFERROR(E1451*VLOOKUP(B1451,PLInter!$A:$D,3,FALSE),"")</f>
        <v>20</v>
      </c>
      <c r="K1451" s="66"/>
      <c r="L1451" s="66"/>
      <c r="M1451" s="66"/>
      <c r="N1451" s="66"/>
      <c r="O1451" s="66"/>
      <c r="P1451" s="66"/>
      <c r="Q1451" s="66"/>
      <c r="R1451" s="66"/>
      <c r="S1451" s="66"/>
    </row>
    <row r="1452" spans="2:19" ht="18" customHeight="1">
      <c r="B1452" t="str">
        <f>"112713"</f>
        <v>112713</v>
      </c>
      <c r="C1452" t="s">
        <v>944</v>
      </c>
      <c r="D1452" s="4"/>
      <c r="E1452" s="4">
        <v>3</v>
      </c>
      <c r="F1452" s="4"/>
      <c r="G1452" s="29" t="str">
        <f>IFERROR(HYPERLINK("#"&amp;ADDRESS(MATCH(B1452&amp;"ES",'LM7 Non-ENG'!$A$1:$A$5000,0),1,,,"LM7 Non-ENG"),IF(IFERROR(VLOOKUP(B1452&amp;"ES",'LM7 Non-ENG'!$A$1:$A$4999,1,FALSE),"ERROR")=B1452&amp;"ES","Y","")),"")</f>
        <v/>
      </c>
      <c r="H1452" s="29" t="str">
        <f>IFERROR(HYPERLINK("#"&amp;ADDRESS(MATCH(B1452&amp;"PT",'LM7 Non-ENG'!$A$1:$A$5000,0),1,,,"LM7 Non-ENG"),IF(IFERROR(VLOOKUP(B1452&amp;"PT",'LM7 Non-ENG'!$A$1:$A$5000,1,FALSE),"ERROR")=B1452&amp;"PT","Y","")),"")</f>
        <v/>
      </c>
      <c r="I1452" t="str">
        <f>IFERROR(VLOOKUP(B1452,PN!$A:$C,3,FALSE),"")</f>
        <v>Active</v>
      </c>
      <c r="J1452" s="3">
        <f>IFERROR(E1452*VLOOKUP(B1452,PLInter!$A:$D,3,FALSE),"")</f>
        <v>300</v>
      </c>
      <c r="K1452" s="66"/>
      <c r="L1452" s="66"/>
      <c r="M1452" s="66"/>
      <c r="N1452" s="66"/>
      <c r="O1452" s="66"/>
      <c r="P1452" s="66"/>
      <c r="Q1452" s="66"/>
      <c r="R1452" s="66"/>
      <c r="S1452" s="66"/>
    </row>
    <row r="1453" spans="2:19" ht="18" customHeight="1">
      <c r="B1453" t="str">
        <f>"113096"</f>
        <v>113096</v>
      </c>
      <c r="C1453" t="s">
        <v>943</v>
      </c>
      <c r="D1453" s="4"/>
      <c r="E1453" s="4">
        <v>3</v>
      </c>
      <c r="F1453" s="4"/>
      <c r="G1453" s="29" t="str">
        <f>IFERROR(HYPERLINK("#"&amp;ADDRESS(MATCH(B1453&amp;"ES",'LM7 Non-ENG'!$A$1:$A$5000,0),1,,,"LM7 Non-ENG"),IF(IFERROR(VLOOKUP(B1453&amp;"ES",'LM7 Non-ENG'!$A$1:$A$4999,1,FALSE),"ERROR")=B1453&amp;"ES","Y","")),"")</f>
        <v/>
      </c>
      <c r="H1453" s="29" t="str">
        <f>IFERROR(HYPERLINK("#"&amp;ADDRESS(MATCH(B1453&amp;"PT",'LM7 Non-ENG'!$A$1:$A$5000,0),1,,,"LM7 Non-ENG"),IF(IFERROR(VLOOKUP(B1453&amp;"PT",'LM7 Non-ENG'!$A$1:$A$5000,1,FALSE),"ERROR")=B1453&amp;"PT","Y","")),"")</f>
        <v/>
      </c>
      <c r="I1453" t="str">
        <f>IFERROR(VLOOKUP(B1453,PN!$A:$C,3,FALSE),"")</f>
        <v>Active</v>
      </c>
      <c r="J1453" s="3">
        <f>IFERROR(E1453*VLOOKUP(B1453,PLInter!$A:$D,3,FALSE),"")</f>
        <v>162</v>
      </c>
      <c r="K1453" s="66"/>
      <c r="L1453" s="66"/>
      <c r="M1453" s="66"/>
      <c r="N1453" s="66"/>
      <c r="O1453" s="66"/>
      <c r="P1453" s="66"/>
      <c r="Q1453" s="66"/>
      <c r="R1453" s="66"/>
      <c r="S1453" s="66"/>
    </row>
    <row r="1454" spans="2:19" ht="18" customHeight="1">
      <c r="B1454" t="s">
        <v>925</v>
      </c>
      <c r="C1454" t="s">
        <v>926</v>
      </c>
      <c r="D1454" s="4"/>
      <c r="E1454" s="4">
        <v>1</v>
      </c>
      <c r="F1454" s="4"/>
      <c r="G1454" s="29" t="str">
        <f>IFERROR(HYPERLINK("#"&amp;ADDRESS(MATCH(B1454&amp;"ES",'LM7 Non-ENG'!$A$1:$A$5000,0),1,,,"LM7 Non-ENG"),IF(IFERROR(VLOOKUP(B1454&amp;"ES",'LM7 Non-ENG'!$A$1:$A$4999,1,FALSE),"ERROR")=B1454&amp;"ES","Y","")),"")</f>
        <v/>
      </c>
      <c r="H1454" s="29" t="str">
        <f>IFERROR(HYPERLINK("#"&amp;ADDRESS(MATCH(B1454&amp;"PT",'LM7 Non-ENG'!$A$1:$A$5000,0),1,,,"LM7 Non-ENG"),IF(IFERROR(VLOOKUP(B1454&amp;"PT",'LM7 Non-ENG'!$A$1:$A$5000,1,FALSE),"ERROR")=B1454&amp;"PT","Y","")),"")</f>
        <v/>
      </c>
      <c r="I1454" t="str">
        <f>IFERROR(VLOOKUP(B1454,PN!$A:$C,3,FALSE),"")</f>
        <v>Active</v>
      </c>
      <c r="J1454" s="3">
        <f>IFERROR(E1454*VLOOKUP(B1454,PLInter!$A:$D,3,FALSE),"")</f>
        <v>2760</v>
      </c>
      <c r="K1454" s="66"/>
      <c r="L1454" s="66"/>
      <c r="M1454" s="66"/>
      <c r="N1454" s="66"/>
      <c r="O1454" s="66"/>
      <c r="P1454" s="66"/>
      <c r="Q1454" s="66"/>
      <c r="R1454" s="66"/>
      <c r="S1454" s="66"/>
    </row>
    <row r="1455" spans="2:19" ht="18" customHeight="1">
      <c r="B1455" t="s">
        <v>927</v>
      </c>
      <c r="C1455" t="s">
        <v>928</v>
      </c>
      <c r="D1455" s="4"/>
      <c r="E1455" s="4">
        <v>1</v>
      </c>
      <c r="F1455" s="4"/>
      <c r="G1455" s="29" t="str">
        <f>IFERROR(HYPERLINK("#"&amp;ADDRESS(MATCH(B1455&amp;"ES",'LM7 Non-ENG'!$A$1:$A$5000,0),1,,,"LM7 Non-ENG"),IF(IFERROR(VLOOKUP(B1455&amp;"ES",'LM7 Non-ENG'!$A$1:$A$4999,1,FALSE),"ERROR")=B1455&amp;"ES","Y","")),"")</f>
        <v/>
      </c>
      <c r="H1455" s="29" t="str">
        <f>IFERROR(HYPERLINK("#"&amp;ADDRESS(MATCH(B1455&amp;"PT",'LM7 Non-ENG'!$A$1:$A$5000,0),1,,,"LM7 Non-ENG"),IF(IFERROR(VLOOKUP(B1455&amp;"PT",'LM7 Non-ENG'!$A$1:$A$5000,1,FALSE),"ERROR")=B1455&amp;"PT","Y","")),"")</f>
        <v/>
      </c>
      <c r="I1455" t="str">
        <f>IFERROR(VLOOKUP(B1455,PN!$A:$C,3,FALSE),"")</f>
        <v>Active</v>
      </c>
      <c r="J1455" s="3">
        <f>IFERROR(E1455*VLOOKUP(B1455,PLInter!$A:$D,3,FALSE),"")</f>
        <v>467</v>
      </c>
      <c r="K1455" s="66"/>
      <c r="L1455" s="66"/>
      <c r="M1455" s="66"/>
      <c r="N1455" s="66"/>
      <c r="O1455" s="66"/>
      <c r="P1455" s="66"/>
      <c r="Q1455" s="66"/>
      <c r="R1455" s="66"/>
      <c r="S1455" s="66"/>
    </row>
    <row r="1456" spans="2:19" ht="18" customHeight="1">
      <c r="B1456" t="s">
        <v>668</v>
      </c>
      <c r="C1456" t="s">
        <v>669</v>
      </c>
      <c r="D1456" s="4"/>
      <c r="E1456" s="4">
        <v>1</v>
      </c>
      <c r="F1456" s="4"/>
      <c r="G1456" s="29" t="str">
        <f>IFERROR(HYPERLINK("#"&amp;ADDRESS(MATCH(B1456&amp;"ES",'LM7 Non-ENG'!$A$1:$A$5000,0),1,,,"LM7 Non-ENG"),IF(IFERROR(VLOOKUP(B1456&amp;"ES",'LM7 Non-ENG'!$A$1:$A$4999,1,FALSE),"ERROR")=B1456&amp;"ES","Y","")),"")</f>
        <v/>
      </c>
      <c r="H1456" s="29" t="str">
        <f>IFERROR(HYPERLINK("#"&amp;ADDRESS(MATCH(B1456&amp;"PT",'LM7 Non-ENG'!$A$1:$A$5000,0),1,,,"LM7 Non-ENG"),IF(IFERROR(VLOOKUP(B1456&amp;"PT",'LM7 Non-ENG'!$A$1:$A$5000,1,FALSE),"ERROR")=B1456&amp;"PT","Y","")),"")</f>
        <v/>
      </c>
      <c r="I1456" t="str">
        <f>IFERROR(VLOOKUP(B1456,PN!$A:$C,3,FALSE),"")</f>
        <v>Active</v>
      </c>
      <c r="J1456" s="3">
        <f>IFERROR(E1456*VLOOKUP(B1456,PLInter!$A:$D,3,FALSE),"")</f>
        <v>480</v>
      </c>
      <c r="K1456" s="66"/>
      <c r="L1456" s="66"/>
      <c r="M1456" s="66"/>
      <c r="N1456" s="66"/>
      <c r="O1456" s="66"/>
      <c r="P1456" s="66"/>
      <c r="Q1456" s="66"/>
      <c r="R1456" s="66"/>
      <c r="S1456" s="66"/>
    </row>
    <row r="1457" spans="1:19" ht="18" customHeight="1">
      <c r="B1457" t="s">
        <v>630</v>
      </c>
      <c r="C1457" t="s">
        <v>631</v>
      </c>
      <c r="D1457" s="4"/>
      <c r="E1457" s="4">
        <v>1</v>
      </c>
      <c r="F1457" s="4"/>
      <c r="G1457" s="29" t="str">
        <f>IFERROR(HYPERLINK("#"&amp;ADDRESS(MATCH(B1457&amp;"ES",'LM7 Non-ENG'!$A$1:$A$5000,0),1,,,"LM7 Non-ENG"),IF(IFERROR(VLOOKUP(B1457&amp;"ES",'LM7 Non-ENG'!$A$1:$A$4999,1,FALSE),"ERROR")=B1457&amp;"ES","Y","")),"")</f>
        <v/>
      </c>
      <c r="H1457" s="29" t="str">
        <f>IFERROR(HYPERLINK("#"&amp;ADDRESS(MATCH(B1457&amp;"PT",'LM7 Non-ENG'!$A$1:$A$5000,0),1,,,"LM7 Non-ENG"),IF(IFERROR(VLOOKUP(B1457&amp;"PT",'LM7 Non-ENG'!$A$1:$A$5000,1,FALSE),"ERROR")=B1457&amp;"PT","Y","")),"")</f>
        <v/>
      </c>
      <c r="I1457" t="str">
        <f>IFERROR(VLOOKUP(B1457,PN!$A:$C,3,FALSE),"")</f>
        <v>Active</v>
      </c>
      <c r="J1457" s="3">
        <f>IFERROR(E1457*VLOOKUP(B1457,PLInter!$A:$D,3,FALSE),"")</f>
        <v>1735</v>
      </c>
      <c r="K1457" s="66"/>
      <c r="L1457" s="66"/>
      <c r="M1457" s="66"/>
      <c r="N1457" s="66"/>
      <c r="O1457" s="66"/>
      <c r="P1457" s="66"/>
      <c r="Q1457" s="66"/>
      <c r="R1457" s="66"/>
      <c r="S1457" s="66"/>
    </row>
    <row r="1459" spans="1:19" s="7" customFormat="1" ht="18" customHeight="1">
      <c r="A1459" s="13" t="s">
        <v>980</v>
      </c>
      <c r="B1459" s="13"/>
      <c r="C1459" s="13" t="s">
        <v>981</v>
      </c>
      <c r="D1459" s="14"/>
      <c r="E1459" s="14"/>
      <c r="F1459" s="14"/>
      <c r="G1459" s="14"/>
      <c r="H1459" s="14"/>
      <c r="I1459" s="14"/>
      <c r="J1459" s="14">
        <f>SUMIFS(J1460:J1482,D1460:D1482,"&lt;&gt;Y",F1460:F1482,"&lt;&gt;Y",I1460:I1482,"&lt;&gt;Inactive",I1460:I1482,"&lt;&gt;ECO+NFS")</f>
        <v>56134</v>
      </c>
      <c r="K1459" s="14"/>
      <c r="L1459" s="14"/>
      <c r="M1459" s="14"/>
      <c r="N1459" s="14"/>
      <c r="O1459" s="14"/>
      <c r="P1459" s="14"/>
      <c r="Q1459" s="14"/>
      <c r="R1459" s="14"/>
      <c r="S1459" s="14"/>
    </row>
    <row r="1460" spans="1:19" ht="18" customHeight="1">
      <c r="A1460" s="17" t="str">
        <f>HYPERLINK("#"&amp;ADDRESS(MATCH(A1459,'CIM&amp;FMS'!$A$1:$A$4997,0),1,,,"CIM&amp;FMS"),"Back to Price List")</f>
        <v>Back to Price List</v>
      </c>
      <c r="B1460" t="s">
        <v>216</v>
      </c>
      <c r="C1460" t="s">
        <v>913</v>
      </c>
      <c r="D1460" s="4"/>
      <c r="E1460" s="4">
        <v>1</v>
      </c>
      <c r="F1460" s="4"/>
      <c r="G1460" s="29" t="str">
        <f>IFERROR(HYPERLINK("#"&amp;ADDRESS(MATCH(B1460&amp;"ES",'LM7 Non-ENG'!$A$1:$A$5000,0),1,,,"LM7 Non-ENG"),IF(IFERROR(VLOOKUP(B1460&amp;"ES",'LM7 Non-ENG'!$A$1:$A$4999,1,FALSE),"ERROR")=B1460&amp;"ES","Y","")),"")</f>
        <v/>
      </c>
      <c r="H1460" s="29" t="str">
        <f>IFERROR(HYPERLINK("#"&amp;ADDRESS(MATCH(B1460&amp;"PT",'LM7 Non-ENG'!$A$1:$A$5000,0),1,,,"LM7 Non-ENG"),IF(IFERROR(VLOOKUP(B1460&amp;"PT",'LM7 Non-ENG'!$A$1:$A$5000,1,FALSE),"ERROR")=B1460&amp;"PT","Y","")),"")</f>
        <v/>
      </c>
      <c r="I1460" t="str">
        <f>IFERROR(VLOOKUP(B1460,PN!$A:$C,3,FALSE),"")</f>
        <v>Active</v>
      </c>
      <c r="J1460" s="3">
        <f>IFERROR(E1460*VLOOKUP(B1460,PLInter!$A:$D,3,FALSE),"")</f>
        <v>26667</v>
      </c>
      <c r="K1460" s="66"/>
      <c r="L1460" s="66"/>
      <c r="M1460" s="66"/>
      <c r="N1460" s="66"/>
      <c r="O1460" s="66"/>
      <c r="P1460" s="66"/>
      <c r="Q1460" s="66"/>
      <c r="R1460" s="66"/>
      <c r="S1460" s="66"/>
    </row>
    <row r="1461" spans="1:19" ht="18" customHeight="1">
      <c r="B1461" t="s">
        <v>229</v>
      </c>
      <c r="C1461" t="s">
        <v>234</v>
      </c>
      <c r="D1461" s="4"/>
      <c r="E1461" s="4">
        <v>1</v>
      </c>
      <c r="F1461" s="4"/>
      <c r="G1461" s="29" t="str">
        <f>IFERROR(HYPERLINK("#"&amp;ADDRESS(MATCH(B1461&amp;"ES",'LM7 Non-ENG'!$A$1:$A$5000,0),1,,,"LM7 Non-ENG"),IF(IFERROR(VLOOKUP(B1461&amp;"ES",'LM7 Non-ENG'!$A$1:$A$4999,1,FALSE),"ERROR")=B1461&amp;"ES","Y","")),"")</f>
        <v/>
      </c>
      <c r="H1461" s="29" t="str">
        <f>IFERROR(HYPERLINK("#"&amp;ADDRESS(MATCH(B1461&amp;"PT",'LM7 Non-ENG'!$A$1:$A$5000,0),1,,,"LM7 Non-ENG"),IF(IFERROR(VLOOKUP(B1461&amp;"PT",'LM7 Non-ENG'!$A$1:$A$5000,1,FALSE),"ERROR")=B1461&amp;"PT","Y","")),"")</f>
        <v/>
      </c>
      <c r="I1461" t="str">
        <f>IFERROR(VLOOKUP(B1461,PN!$A:$C,3,FALSE),"")</f>
        <v>Active</v>
      </c>
      <c r="J1461" s="3">
        <f>IFERROR(E1461*VLOOKUP(B1461,PLInter!$A:$D,3,FALSE),"")</f>
        <v>3270</v>
      </c>
      <c r="K1461" s="66"/>
      <c r="L1461" s="66"/>
      <c r="M1461" s="66"/>
      <c r="N1461" s="66"/>
      <c r="O1461" s="66"/>
      <c r="P1461" s="66"/>
      <c r="Q1461" s="66"/>
      <c r="R1461" s="66"/>
      <c r="S1461" s="66"/>
    </row>
    <row r="1462" spans="1:19" ht="18" customHeight="1">
      <c r="B1462" s="2" t="s">
        <v>227</v>
      </c>
      <c r="C1462" s="2" t="s">
        <v>232</v>
      </c>
      <c r="D1462" s="5"/>
      <c r="E1462" s="5">
        <v>1</v>
      </c>
      <c r="F1462" s="5" t="s">
        <v>0</v>
      </c>
      <c r="G1462" s="29" t="str">
        <f>IFERROR(HYPERLINK("#"&amp;ADDRESS(MATCH(B1462&amp;"ES",'LM7 Non-ENG'!$A$1:$A$5000,0),1,,,"LM7 Non-ENG"),IF(IFERROR(VLOOKUP(B1462&amp;"ES",'LM7 Non-ENG'!$A$1:$A$4999,1,FALSE),"ERROR")=B1462&amp;"ES","Y","")),"")</f>
        <v/>
      </c>
      <c r="H1462" s="29" t="str">
        <f>IFERROR(HYPERLINK("#"&amp;ADDRESS(MATCH(B1462&amp;"PT",'LM7 Non-ENG'!$A$1:$A$5000,0),1,,,"LM7 Non-ENG"),IF(IFERROR(VLOOKUP(B1462&amp;"PT",'LM7 Non-ENG'!$A$1:$A$5000,1,FALSE),"ERROR")=B1462&amp;"PT","Y","")),"")</f>
        <v/>
      </c>
      <c r="I1462" t="str">
        <f>IFERROR(VLOOKUP(B1462,PN!$A:$C,3,FALSE),"")</f>
        <v>Active</v>
      </c>
      <c r="J1462" s="3">
        <f>IFERROR(E1462*VLOOKUP(B1462,PLInter!$A:$D,3,FALSE),"")</f>
        <v>1700</v>
      </c>
      <c r="K1462" s="66"/>
      <c r="L1462" s="66"/>
      <c r="M1462" s="66"/>
      <c r="N1462" s="66"/>
      <c r="O1462" s="66"/>
      <c r="P1462" s="66"/>
      <c r="Q1462" s="66"/>
      <c r="R1462" s="66"/>
      <c r="S1462" s="66"/>
    </row>
    <row r="1463" spans="1:19" ht="18" customHeight="1">
      <c r="B1463" t="s">
        <v>236</v>
      </c>
      <c r="C1463" t="s">
        <v>626</v>
      </c>
      <c r="D1463" s="4"/>
      <c r="E1463" s="4">
        <v>1</v>
      </c>
      <c r="F1463" s="4"/>
      <c r="G1463" s="29" t="str">
        <f>IFERROR(HYPERLINK("#"&amp;ADDRESS(MATCH(B1463&amp;"ES",'LM7 Non-ENG'!$A$1:$A$5000,0),1,,,"LM7 Non-ENG"),IF(IFERROR(VLOOKUP(B1463&amp;"ES",'LM7 Non-ENG'!$A$1:$A$4999,1,FALSE),"ERROR")=B1463&amp;"ES","Y","")),"")</f>
        <v/>
      </c>
      <c r="H1463" s="29" t="str">
        <f>IFERROR(HYPERLINK("#"&amp;ADDRESS(MATCH(B1463&amp;"PT",'LM7 Non-ENG'!$A$1:$A$5000,0),1,,,"LM7 Non-ENG"),IF(IFERROR(VLOOKUP(B1463&amp;"PT",'LM7 Non-ENG'!$A$1:$A$5000,1,FALSE),"ERROR")=B1463&amp;"PT","Y","")),"")</f>
        <v/>
      </c>
      <c r="I1463" t="str">
        <f>IFERROR(VLOOKUP(B1463,PN!$A:$C,3,FALSE),"")</f>
        <v>Active</v>
      </c>
      <c r="J1463" s="3">
        <f>IFERROR(E1463*VLOOKUP(B1463,PLInter!$A:$D,3,FALSE),"")</f>
        <v>1680</v>
      </c>
      <c r="K1463" s="66"/>
      <c r="L1463" s="66"/>
      <c r="M1463" s="66"/>
      <c r="N1463" s="66"/>
      <c r="O1463" s="66"/>
      <c r="P1463" s="66"/>
      <c r="Q1463" s="66"/>
      <c r="R1463" s="66"/>
      <c r="S1463" s="66"/>
    </row>
    <row r="1464" spans="1:19" ht="18" customHeight="1">
      <c r="B1464" t="str">
        <f>"034025"</f>
        <v>034025</v>
      </c>
      <c r="C1464" t="s">
        <v>777</v>
      </c>
      <c r="D1464" s="4"/>
      <c r="E1464" s="4">
        <v>1</v>
      </c>
      <c r="F1464" s="4"/>
      <c r="G1464" s="29" t="str">
        <f>IFERROR(HYPERLINK("#"&amp;ADDRESS(MATCH(B1464&amp;"ES",'LM7 Non-ENG'!$A$1:$A$5000,0),1,,,"LM7 Non-ENG"),IF(IFERROR(VLOOKUP(B1464&amp;"ES",'LM7 Non-ENG'!$A$1:$A$4999,1,FALSE),"ERROR")=B1464&amp;"ES","Y","")),"")</f>
        <v/>
      </c>
      <c r="H1464" s="29" t="str">
        <f>IFERROR(HYPERLINK("#"&amp;ADDRESS(MATCH(B1464&amp;"PT",'LM7 Non-ENG'!$A$1:$A$5000,0),1,,,"LM7 Non-ENG"),IF(IFERROR(VLOOKUP(B1464&amp;"PT",'LM7 Non-ENG'!$A$1:$A$5000,1,FALSE),"ERROR")=B1464&amp;"PT","Y","")),"")</f>
        <v/>
      </c>
      <c r="I1464" t="str">
        <f>IFERROR(VLOOKUP(B1464,PN!$A:$C,3,FALSE),"")</f>
        <v>Active</v>
      </c>
      <c r="J1464" s="3">
        <f>IFERROR(E1464*VLOOKUP(B1464,PLInter!$A:$D,3,FALSE),"")</f>
        <v>1267</v>
      </c>
      <c r="K1464" s="66"/>
      <c r="L1464" s="66"/>
      <c r="M1464" s="66"/>
      <c r="N1464" s="66"/>
      <c r="O1464" s="66"/>
      <c r="P1464" s="66"/>
      <c r="Q1464" s="66"/>
      <c r="R1464" s="66"/>
      <c r="S1464" s="66"/>
    </row>
    <row r="1465" spans="1:19" ht="18" customHeight="1">
      <c r="B1465" t="s">
        <v>914</v>
      </c>
      <c r="C1465" t="s">
        <v>915</v>
      </c>
      <c r="D1465" s="4"/>
      <c r="E1465" s="4">
        <v>3</v>
      </c>
      <c r="F1465" s="4"/>
      <c r="G1465" s="29" t="str">
        <f>IFERROR(HYPERLINK("#"&amp;ADDRESS(MATCH(B1465&amp;"ES",'LM7 Non-ENG'!$A$1:$A$5000,0),1,,,"LM7 Non-ENG"),IF(IFERROR(VLOOKUP(B1465&amp;"ES",'LM7 Non-ENG'!$A$1:$A$4999,1,FALSE),"ERROR")=B1465&amp;"ES","Y","")),"")</f>
        <v/>
      </c>
      <c r="H1465" s="29" t="str">
        <f>IFERROR(HYPERLINK("#"&amp;ADDRESS(MATCH(B1465&amp;"PT",'LM7 Non-ENG'!$A$1:$A$5000,0),1,,,"LM7 Non-ENG"),IF(IFERROR(VLOOKUP(B1465&amp;"PT",'LM7 Non-ENG'!$A$1:$A$5000,1,FALSE),"ERROR")=B1465&amp;"PT","Y","")),"")</f>
        <v/>
      </c>
      <c r="I1465" t="str">
        <f>IFERROR(VLOOKUP(B1465,PN!$A:$C,3,FALSE),"")</f>
        <v>Active</v>
      </c>
      <c r="J1465" s="3">
        <f>IFERROR(E1465*VLOOKUP(B1465,PLInter!$A:$D,3,FALSE),"")</f>
        <v>402</v>
      </c>
      <c r="K1465" s="66"/>
      <c r="L1465" s="66"/>
      <c r="M1465" s="66"/>
      <c r="N1465" s="66"/>
      <c r="O1465" s="66"/>
      <c r="P1465" s="66"/>
      <c r="Q1465" s="66"/>
      <c r="R1465" s="66"/>
      <c r="S1465" s="66"/>
    </row>
    <row r="1466" spans="1:19" ht="18" customHeight="1">
      <c r="B1466" t="s">
        <v>684</v>
      </c>
      <c r="C1466" t="s">
        <v>685</v>
      </c>
      <c r="D1466" s="4"/>
      <c r="E1466" s="4">
        <v>2</v>
      </c>
      <c r="F1466" s="4"/>
      <c r="G1466" s="29" t="str">
        <f>IFERROR(HYPERLINK("#"&amp;ADDRESS(MATCH(B1466&amp;"ES",'LM7 Non-ENG'!$A$1:$A$5000,0),1,,,"LM7 Non-ENG"),IF(IFERROR(VLOOKUP(B1466&amp;"ES",'LM7 Non-ENG'!$A$1:$A$4999,1,FALSE),"ERROR")=B1466&amp;"ES","Y","")),"")</f>
        <v/>
      </c>
      <c r="H1466" s="29" t="str">
        <f>IFERROR(HYPERLINK("#"&amp;ADDRESS(MATCH(B1466&amp;"PT",'LM7 Non-ENG'!$A$1:$A$5000,0),1,,,"LM7 Non-ENG"),IF(IFERROR(VLOOKUP(B1466&amp;"PT",'LM7 Non-ENG'!$A$1:$A$5000,1,FALSE),"ERROR")=B1466&amp;"PT","Y","")),"")</f>
        <v/>
      </c>
      <c r="I1466" t="str">
        <f>IFERROR(VLOOKUP(B1466,PN!$A:$C,3,FALSE),"")</f>
        <v>Active</v>
      </c>
      <c r="J1466" s="3">
        <f>IFERROR(E1466*VLOOKUP(B1466,PLInter!$A:$D,3,FALSE),"")</f>
        <v>1160</v>
      </c>
      <c r="K1466" s="66"/>
      <c r="L1466" s="66"/>
      <c r="M1466" s="66"/>
      <c r="N1466" s="66"/>
      <c r="O1466" s="66"/>
      <c r="P1466" s="66"/>
      <c r="Q1466" s="66"/>
      <c r="R1466" s="66"/>
      <c r="S1466" s="66"/>
    </row>
    <row r="1467" spans="1:19" ht="18" customHeight="1">
      <c r="B1467" t="str">
        <f>"021172"</f>
        <v>021172</v>
      </c>
      <c r="C1467" t="s">
        <v>916</v>
      </c>
      <c r="D1467" s="4"/>
      <c r="E1467" s="4">
        <v>2</v>
      </c>
      <c r="F1467" s="4"/>
      <c r="G1467" s="29" t="str">
        <f>IFERROR(HYPERLINK("#"&amp;ADDRESS(MATCH(B1467&amp;"ES",'LM7 Non-ENG'!$A$1:$A$5000,0),1,,,"LM7 Non-ENG"),IF(IFERROR(VLOOKUP(B1467&amp;"ES",'LM7 Non-ENG'!$A$1:$A$4999,1,FALSE),"ERROR")=B1467&amp;"ES","Y","")),"")</f>
        <v/>
      </c>
      <c r="H1467" s="29" t="str">
        <f>IFERROR(HYPERLINK("#"&amp;ADDRESS(MATCH(B1467&amp;"PT",'LM7 Non-ENG'!$A$1:$A$5000,0),1,,,"LM7 Non-ENG"),IF(IFERROR(VLOOKUP(B1467&amp;"PT",'LM7 Non-ENG'!$A$1:$A$5000,1,FALSE),"ERROR")=B1467&amp;"PT","Y","")),"")</f>
        <v/>
      </c>
      <c r="I1467" t="str">
        <f>IFERROR(VLOOKUP(B1467,PN!$A:$C,3,FALSE),"")</f>
        <v>Active</v>
      </c>
      <c r="J1467" s="3">
        <f>IFERROR(E1467*VLOOKUP(B1467,PLInter!$A:$D,3,FALSE),"")</f>
        <v>80</v>
      </c>
      <c r="K1467" s="66"/>
      <c r="L1467" s="66"/>
      <c r="M1467" s="66"/>
      <c r="N1467" s="66"/>
      <c r="O1467" s="66"/>
      <c r="P1467" s="66"/>
      <c r="Q1467" s="66"/>
      <c r="R1467" s="66"/>
      <c r="S1467" s="66"/>
    </row>
    <row r="1468" spans="1:19" ht="18" customHeight="1">
      <c r="B1468" t="s">
        <v>917</v>
      </c>
      <c r="C1468" t="s">
        <v>918</v>
      </c>
      <c r="D1468" s="4"/>
      <c r="E1468" s="4">
        <v>1</v>
      </c>
      <c r="F1468" s="4"/>
      <c r="G1468" s="29" t="str">
        <f>IFERROR(HYPERLINK("#"&amp;ADDRESS(MATCH(B1468&amp;"ES",'LM7 Non-ENG'!$A$1:$A$5000,0),1,,,"LM7 Non-ENG"),IF(IFERROR(VLOOKUP(B1468&amp;"ES",'LM7 Non-ENG'!$A$1:$A$4999,1,FALSE),"ERROR")=B1468&amp;"ES","Y","")),"")</f>
        <v/>
      </c>
      <c r="H1468" s="29" t="str">
        <f>IFERROR(HYPERLINK("#"&amp;ADDRESS(MATCH(B1468&amp;"PT",'LM7 Non-ENG'!$A$1:$A$5000,0),1,,,"LM7 Non-ENG"),IF(IFERROR(VLOOKUP(B1468&amp;"PT",'LM7 Non-ENG'!$A$1:$A$5000,1,FALSE),"ERROR")=B1468&amp;"PT","Y","")),"")</f>
        <v/>
      </c>
      <c r="I1468" t="str">
        <f>IFERROR(VLOOKUP(B1468,PN!$A:$C,3,FALSE),"")</f>
        <v>Phase Out</v>
      </c>
      <c r="J1468" s="3">
        <f>IFERROR(E1468*VLOOKUP(B1468,PLInter!$A:$D,3,FALSE),"")</f>
        <v>1735</v>
      </c>
      <c r="K1468" s="66"/>
      <c r="L1468" s="66"/>
      <c r="M1468" s="66"/>
      <c r="N1468" s="66"/>
      <c r="O1468" s="66"/>
      <c r="P1468" s="66"/>
      <c r="Q1468" s="66"/>
      <c r="R1468" s="66"/>
      <c r="S1468" s="66"/>
    </row>
    <row r="1469" spans="1:19" ht="18" customHeight="1">
      <c r="B1469" t="s">
        <v>919</v>
      </c>
      <c r="C1469" t="s">
        <v>920</v>
      </c>
      <c r="D1469" s="4"/>
      <c r="E1469" s="4">
        <v>1</v>
      </c>
      <c r="F1469" s="4"/>
      <c r="G1469" s="29" t="str">
        <f>IFERROR(HYPERLINK("#"&amp;ADDRESS(MATCH(B1469&amp;"ES",'LM7 Non-ENG'!$A$1:$A$5000,0),1,,,"LM7 Non-ENG"),IF(IFERROR(VLOOKUP(B1469&amp;"ES",'LM7 Non-ENG'!$A$1:$A$4999,1,FALSE),"ERROR")=B1469&amp;"ES","Y","")),"")</f>
        <v/>
      </c>
      <c r="H1469" s="29" t="str">
        <f>IFERROR(HYPERLINK("#"&amp;ADDRESS(MATCH(B1469&amp;"PT",'LM7 Non-ENG'!$A$1:$A$5000,0),1,,,"LM7 Non-ENG"),IF(IFERROR(VLOOKUP(B1469&amp;"PT",'LM7 Non-ENG'!$A$1:$A$5000,1,FALSE),"ERROR")=B1469&amp;"PT","Y","")),"")</f>
        <v/>
      </c>
      <c r="I1469" t="str">
        <f>IFERROR(VLOOKUP(B1469,PN!$A:$C,3,FALSE),"")</f>
        <v>Active</v>
      </c>
      <c r="J1469" s="3">
        <f>IFERROR(E1469*VLOOKUP(B1469,PLInter!$A:$D,3,FALSE),"")</f>
        <v>635</v>
      </c>
      <c r="K1469" s="66"/>
      <c r="L1469" s="66"/>
      <c r="M1469" s="66"/>
      <c r="N1469" s="66"/>
      <c r="O1469" s="66"/>
      <c r="P1469" s="66"/>
      <c r="Q1469" s="66"/>
      <c r="R1469" s="66"/>
      <c r="S1469" s="66"/>
    </row>
    <row r="1470" spans="1:19" ht="18" customHeight="1">
      <c r="B1470" t="s">
        <v>921</v>
      </c>
      <c r="C1470" t="s">
        <v>922</v>
      </c>
      <c r="D1470" s="4"/>
      <c r="E1470" s="4">
        <v>1</v>
      </c>
      <c r="F1470" s="4"/>
      <c r="G1470" s="29" t="str">
        <f>IFERROR(HYPERLINK("#"&amp;ADDRESS(MATCH(B1470&amp;"ES",'LM7 Non-ENG'!$A$1:$A$5000,0),1,,,"LM7 Non-ENG"),IF(IFERROR(VLOOKUP(B1470&amp;"ES",'LM7 Non-ENG'!$A$1:$A$4999,1,FALSE),"ERROR")=B1470&amp;"ES","Y","")),"")</f>
        <v/>
      </c>
      <c r="H1470" s="29" t="str">
        <f>IFERROR(HYPERLINK("#"&amp;ADDRESS(MATCH(B1470&amp;"PT",'LM7 Non-ENG'!$A$1:$A$5000,0),1,,,"LM7 Non-ENG"),IF(IFERROR(VLOOKUP(B1470&amp;"PT",'LM7 Non-ENG'!$A$1:$A$5000,1,FALSE),"ERROR")=B1470&amp;"PT","Y","")),"")</f>
        <v/>
      </c>
      <c r="I1470" t="str">
        <f>IFERROR(VLOOKUP(B1470,PN!$A:$C,3,FALSE),"")</f>
        <v>Active</v>
      </c>
      <c r="J1470" s="3">
        <f>IFERROR(E1470*VLOOKUP(B1470,PLInter!$A:$D,3,FALSE),"")</f>
        <v>2585</v>
      </c>
      <c r="K1470" s="66"/>
      <c r="L1470" s="66"/>
      <c r="M1470" s="66"/>
      <c r="N1470" s="66"/>
      <c r="O1470" s="66"/>
      <c r="P1470" s="66"/>
      <c r="Q1470" s="66"/>
      <c r="R1470" s="66"/>
      <c r="S1470" s="66"/>
    </row>
    <row r="1471" spans="1:19" ht="18" customHeight="1">
      <c r="B1471" t="s">
        <v>923</v>
      </c>
      <c r="C1471" t="s">
        <v>924</v>
      </c>
      <c r="D1471" s="4"/>
      <c r="E1471" s="4">
        <v>12</v>
      </c>
      <c r="F1471" s="4"/>
      <c r="G1471" s="29" t="str">
        <f>IFERROR(HYPERLINK("#"&amp;ADDRESS(MATCH(B1471&amp;"ES",'LM7 Non-ENG'!$A$1:$A$5000,0),1,,,"LM7 Non-ENG"),IF(IFERROR(VLOOKUP(B1471&amp;"ES",'LM7 Non-ENG'!$A$1:$A$4999,1,FALSE),"ERROR")=B1471&amp;"ES","Y","")),"")</f>
        <v/>
      </c>
      <c r="H1471" s="29" t="str">
        <f>IFERROR(HYPERLINK("#"&amp;ADDRESS(MATCH(B1471&amp;"PT",'LM7 Non-ENG'!$A$1:$A$5000,0),1,,,"LM7 Non-ENG"),IF(IFERROR(VLOOKUP(B1471&amp;"PT",'LM7 Non-ENG'!$A$1:$A$5000,1,FALSE),"ERROR")=B1471&amp;"PT","Y","")),"")</f>
        <v/>
      </c>
      <c r="I1471" t="str">
        <f>IFERROR(VLOOKUP(B1471,PN!$A:$C,3,FALSE),"")</f>
        <v>Active</v>
      </c>
      <c r="J1471" s="3">
        <f>IFERROR(E1471*VLOOKUP(B1471,PLInter!$A:$D,3,FALSE),"")</f>
        <v>1104</v>
      </c>
      <c r="K1471" s="66"/>
      <c r="L1471" s="66"/>
      <c r="M1471" s="66"/>
      <c r="N1471" s="66"/>
      <c r="O1471" s="66"/>
      <c r="P1471" s="66"/>
      <c r="Q1471" s="66"/>
      <c r="R1471" s="66"/>
      <c r="S1471" s="66"/>
    </row>
    <row r="1472" spans="1:19" ht="18" customHeight="1">
      <c r="B1472" t="s">
        <v>925</v>
      </c>
      <c r="C1472" t="s">
        <v>926</v>
      </c>
      <c r="D1472" s="4"/>
      <c r="E1472" s="4">
        <v>1</v>
      </c>
      <c r="F1472" s="4"/>
      <c r="G1472" s="29" t="str">
        <f>IFERROR(HYPERLINK("#"&amp;ADDRESS(MATCH(B1472&amp;"ES",'LM7 Non-ENG'!$A$1:$A$5000,0),1,,,"LM7 Non-ENG"),IF(IFERROR(VLOOKUP(B1472&amp;"ES",'LM7 Non-ENG'!$A$1:$A$4999,1,FALSE),"ERROR")=B1472&amp;"ES","Y","")),"")</f>
        <v/>
      </c>
      <c r="H1472" s="29" t="str">
        <f>IFERROR(HYPERLINK("#"&amp;ADDRESS(MATCH(B1472&amp;"PT",'LM7 Non-ENG'!$A$1:$A$5000,0),1,,,"LM7 Non-ENG"),IF(IFERROR(VLOOKUP(B1472&amp;"PT",'LM7 Non-ENG'!$A$1:$A$5000,1,FALSE),"ERROR")=B1472&amp;"PT","Y","")),"")</f>
        <v/>
      </c>
      <c r="I1472" t="str">
        <f>IFERROR(VLOOKUP(B1472,PN!$A:$C,3,FALSE),"")</f>
        <v>Active</v>
      </c>
      <c r="J1472" s="3">
        <f>IFERROR(E1472*VLOOKUP(B1472,PLInter!$A:$D,3,FALSE),"")</f>
        <v>2760</v>
      </c>
      <c r="K1472" s="66"/>
      <c r="L1472" s="66"/>
      <c r="M1472" s="66"/>
      <c r="N1472" s="66"/>
      <c r="O1472" s="66"/>
      <c r="P1472" s="66"/>
      <c r="Q1472" s="66"/>
      <c r="R1472" s="66"/>
      <c r="S1472" s="66"/>
    </row>
    <row r="1473" spans="1:19" ht="18" customHeight="1">
      <c r="B1473" t="s">
        <v>927</v>
      </c>
      <c r="C1473" t="s">
        <v>928</v>
      </c>
      <c r="D1473" s="4"/>
      <c r="E1473" s="4">
        <v>1</v>
      </c>
      <c r="F1473" s="4"/>
      <c r="G1473" s="29" t="str">
        <f>IFERROR(HYPERLINK("#"&amp;ADDRESS(MATCH(B1473&amp;"ES",'LM7 Non-ENG'!$A$1:$A$5000,0),1,,,"LM7 Non-ENG"),IF(IFERROR(VLOOKUP(B1473&amp;"ES",'LM7 Non-ENG'!$A$1:$A$4999,1,FALSE),"ERROR")=B1473&amp;"ES","Y","")),"")</f>
        <v/>
      </c>
      <c r="H1473" s="29" t="str">
        <f>IFERROR(HYPERLINK("#"&amp;ADDRESS(MATCH(B1473&amp;"PT",'LM7 Non-ENG'!$A$1:$A$5000,0),1,,,"LM7 Non-ENG"),IF(IFERROR(VLOOKUP(B1473&amp;"PT",'LM7 Non-ENG'!$A$1:$A$5000,1,FALSE),"ERROR")=B1473&amp;"PT","Y","")),"")</f>
        <v/>
      </c>
      <c r="I1473" t="str">
        <f>IFERROR(VLOOKUP(B1473,PN!$A:$C,3,FALSE),"")</f>
        <v>Active</v>
      </c>
      <c r="J1473" s="3">
        <f>IFERROR(E1473*VLOOKUP(B1473,PLInter!$A:$D,3,FALSE),"")</f>
        <v>467</v>
      </c>
      <c r="K1473" s="66"/>
      <c r="L1473" s="66"/>
      <c r="M1473" s="66"/>
      <c r="N1473" s="66"/>
      <c r="O1473" s="66"/>
      <c r="P1473" s="66"/>
      <c r="Q1473" s="66"/>
      <c r="R1473" s="66"/>
      <c r="S1473" s="66"/>
    </row>
    <row r="1474" spans="1:19" ht="18" customHeight="1">
      <c r="B1474" t="s">
        <v>668</v>
      </c>
      <c r="C1474" t="s">
        <v>669</v>
      </c>
      <c r="D1474" s="4"/>
      <c r="E1474" s="4">
        <v>1</v>
      </c>
      <c r="F1474" s="4"/>
      <c r="G1474" s="29" t="str">
        <f>IFERROR(HYPERLINK("#"&amp;ADDRESS(MATCH(B1474&amp;"ES",'LM7 Non-ENG'!$A$1:$A$5000,0),1,,,"LM7 Non-ENG"),IF(IFERROR(VLOOKUP(B1474&amp;"ES",'LM7 Non-ENG'!$A$1:$A$4999,1,FALSE),"ERROR")=B1474&amp;"ES","Y","")),"")</f>
        <v/>
      </c>
      <c r="H1474" s="29" t="str">
        <f>IFERROR(HYPERLINK("#"&amp;ADDRESS(MATCH(B1474&amp;"PT",'LM7 Non-ENG'!$A$1:$A$5000,0),1,,,"LM7 Non-ENG"),IF(IFERROR(VLOOKUP(B1474&amp;"PT",'LM7 Non-ENG'!$A$1:$A$5000,1,FALSE),"ERROR")=B1474&amp;"PT","Y","")),"")</f>
        <v/>
      </c>
      <c r="I1474" t="str">
        <f>IFERROR(VLOOKUP(B1474,PN!$A:$C,3,FALSE),"")</f>
        <v>Active</v>
      </c>
      <c r="J1474" s="3">
        <f>IFERROR(E1474*VLOOKUP(B1474,PLInter!$A:$D,3,FALSE),"")</f>
        <v>480</v>
      </c>
      <c r="K1474" s="66"/>
      <c r="L1474" s="66"/>
      <c r="M1474" s="66"/>
      <c r="N1474" s="66"/>
      <c r="O1474" s="66"/>
      <c r="P1474" s="66"/>
      <c r="Q1474" s="66"/>
      <c r="R1474" s="66"/>
      <c r="S1474" s="66"/>
    </row>
    <row r="1475" spans="1:19" ht="18" customHeight="1">
      <c r="B1475" t="s">
        <v>982</v>
      </c>
      <c r="C1475" t="s">
        <v>983</v>
      </c>
      <c r="D1475" s="4"/>
      <c r="E1475" s="4">
        <v>1</v>
      </c>
      <c r="F1475" s="4"/>
      <c r="G1475" s="29" t="str">
        <f>IFERROR(HYPERLINK("#"&amp;ADDRESS(MATCH(B1475&amp;"ES",'LM7 Non-ENG'!$A$1:$A$5000,0),1,,,"LM7 Non-ENG"),IF(IFERROR(VLOOKUP(B1475&amp;"ES",'LM7 Non-ENG'!$A$1:$A$4999,1,FALSE),"ERROR")=B1475&amp;"ES","Y","")),"")</f>
        <v/>
      </c>
      <c r="H1475" s="29" t="str">
        <f>IFERROR(HYPERLINK("#"&amp;ADDRESS(MATCH(B1475&amp;"PT",'LM7 Non-ENG'!$A$1:$A$5000,0),1,,,"LM7 Non-ENG"),IF(IFERROR(VLOOKUP(B1475&amp;"PT",'LM7 Non-ENG'!$A$1:$A$5000,1,FALSE),"ERROR")=B1475&amp;"PT","Y","")),"")</f>
        <v/>
      </c>
      <c r="I1475" t="str">
        <f>IFERROR(VLOOKUP(B1475,PN!$A:$C,3,FALSE),"")</f>
        <v>Active</v>
      </c>
      <c r="J1475" s="3">
        <f>IFERROR(E1475*VLOOKUP(B1475,PLInter!$A:$D,3,FALSE),"")</f>
        <v>3120</v>
      </c>
      <c r="K1475" s="66"/>
      <c r="L1475" s="66"/>
      <c r="M1475" s="66"/>
      <c r="N1475" s="66"/>
      <c r="O1475" s="66"/>
      <c r="P1475" s="66"/>
      <c r="Q1475" s="66"/>
      <c r="R1475" s="66"/>
      <c r="S1475" s="66"/>
    </row>
    <row r="1476" spans="1:19" ht="18" customHeight="1">
      <c r="B1476" t="str">
        <f>"113316"</f>
        <v>113316</v>
      </c>
      <c r="C1476" t="s">
        <v>979</v>
      </c>
      <c r="D1476" s="4"/>
      <c r="E1476" s="4">
        <v>1</v>
      </c>
      <c r="F1476" s="4"/>
      <c r="G1476" s="29" t="str">
        <f>IFERROR(HYPERLINK("#"&amp;ADDRESS(MATCH(B1476&amp;"ES",'LM7 Non-ENG'!$A$1:$A$5000,0),1,,,"LM7 Non-ENG"),IF(IFERROR(VLOOKUP(B1476&amp;"ES",'LM7 Non-ENG'!$A$1:$A$4999,1,FALSE),"ERROR")=B1476&amp;"ES","Y","")),"")</f>
        <v/>
      </c>
      <c r="H1476" s="29" t="str">
        <f>IFERROR(HYPERLINK("#"&amp;ADDRESS(MATCH(B1476&amp;"PT",'LM7 Non-ENG'!$A$1:$A$5000,0),1,,,"LM7 Non-ENG"),IF(IFERROR(VLOOKUP(B1476&amp;"PT",'LM7 Non-ENG'!$A$1:$A$5000,1,FALSE),"ERROR")=B1476&amp;"PT","Y","")),"")</f>
        <v/>
      </c>
      <c r="I1476" t="str">
        <f>IFERROR(VLOOKUP(B1476,PN!$A:$C,3,FALSE),"")</f>
        <v>Active</v>
      </c>
      <c r="J1476" s="3">
        <f>IFERROR(E1476*VLOOKUP(B1476,PLInter!$A:$D,3,FALSE),"")</f>
        <v>20</v>
      </c>
      <c r="K1476" s="66"/>
      <c r="L1476" s="66"/>
      <c r="M1476" s="66"/>
      <c r="N1476" s="66"/>
      <c r="O1476" s="66"/>
      <c r="P1476" s="66"/>
      <c r="Q1476" s="66"/>
      <c r="R1476" s="66"/>
      <c r="S1476" s="66"/>
    </row>
    <row r="1477" spans="1:19" ht="18" customHeight="1">
      <c r="B1477" t="s">
        <v>241</v>
      </c>
      <c r="C1477" t="s">
        <v>976</v>
      </c>
      <c r="D1477" s="4"/>
      <c r="E1477" s="4">
        <v>1</v>
      </c>
      <c r="F1477" s="4"/>
      <c r="G1477" s="29" t="str">
        <f>IFERROR(HYPERLINK("#"&amp;ADDRESS(MATCH(B1477&amp;"ES",'LM7 Non-ENG'!$A$1:$A$5000,0),1,,,"LM7 Non-ENG"),IF(IFERROR(VLOOKUP(B1477&amp;"ES",'LM7 Non-ENG'!$A$1:$A$4999,1,FALSE),"ERROR")=B1477&amp;"ES","Y","")),"")</f>
        <v/>
      </c>
      <c r="H1477" s="29" t="str">
        <f>IFERROR(HYPERLINK("#"&amp;ADDRESS(MATCH(B1477&amp;"PT",'LM7 Non-ENG'!$A$1:$A$5000,0),1,,,"LM7 Non-ENG"),IF(IFERROR(VLOOKUP(B1477&amp;"PT",'LM7 Non-ENG'!$A$1:$A$5000,1,FALSE),"ERROR")=B1477&amp;"PT","Y","")),"")</f>
        <v/>
      </c>
      <c r="I1477" t="str">
        <f>IFERROR(VLOOKUP(B1477,PN!$A:$C,3,FALSE),"")</f>
        <v>Active</v>
      </c>
      <c r="J1477" s="3">
        <f>IFERROR(E1477*VLOOKUP(B1477,PLInter!$A:$D,3,FALSE),"")</f>
        <v>2600</v>
      </c>
      <c r="K1477" s="66"/>
      <c r="L1477" s="66"/>
      <c r="M1477" s="66"/>
      <c r="N1477" s="66"/>
      <c r="O1477" s="66"/>
      <c r="P1477" s="66"/>
      <c r="Q1477" s="66"/>
      <c r="R1477" s="66"/>
      <c r="S1477" s="66"/>
    </row>
    <row r="1478" spans="1:19" ht="18" customHeight="1">
      <c r="B1478" t="s">
        <v>977</v>
      </c>
      <c r="C1478" t="s">
        <v>978</v>
      </c>
      <c r="D1478" s="4"/>
      <c r="E1478" s="4">
        <v>1</v>
      </c>
      <c r="F1478" s="4"/>
      <c r="G1478" s="29" t="str">
        <f>IFERROR(HYPERLINK("#"&amp;ADDRESS(MATCH(B1478&amp;"ES",'LM7 Non-ENG'!$A$1:$A$5000,0),1,,,"LM7 Non-ENG"),IF(IFERROR(VLOOKUP(B1478&amp;"ES",'LM7 Non-ENG'!$A$1:$A$4999,1,FALSE),"ERROR")=B1478&amp;"ES","Y","")),"")</f>
        <v/>
      </c>
      <c r="H1478" s="29" t="str">
        <f>IFERROR(HYPERLINK("#"&amp;ADDRESS(MATCH(B1478&amp;"PT",'LM7 Non-ENG'!$A$1:$A$5000,0),1,,,"LM7 Non-ENG"),IF(IFERROR(VLOOKUP(B1478&amp;"PT",'LM7 Non-ENG'!$A$1:$A$5000,1,FALSE),"ERROR")=B1478&amp;"PT","Y","")),"")</f>
        <v/>
      </c>
      <c r="I1478" t="str">
        <f>IFERROR(VLOOKUP(B1478,PN!$A:$C,3,FALSE),"")</f>
        <v>Active</v>
      </c>
      <c r="J1478" s="3">
        <f>IFERROR(E1478*VLOOKUP(B1478,PLInter!$A:$D,3,FALSE),"")</f>
        <v>3885</v>
      </c>
      <c r="K1478" s="66"/>
      <c r="L1478" s="66"/>
      <c r="M1478" s="66"/>
      <c r="N1478" s="66"/>
      <c r="O1478" s="66"/>
      <c r="P1478" s="66"/>
      <c r="Q1478" s="66"/>
      <c r="R1478" s="66"/>
      <c r="S1478" s="66"/>
    </row>
    <row r="1479" spans="1:19" ht="18" customHeight="1">
      <c r="B1479" t="str">
        <f>"113316"</f>
        <v>113316</v>
      </c>
      <c r="C1479" t="s">
        <v>979</v>
      </c>
      <c r="D1479" s="4"/>
      <c r="E1479" s="4">
        <v>1</v>
      </c>
      <c r="F1479" s="4"/>
      <c r="G1479" s="29" t="str">
        <f>IFERROR(HYPERLINK("#"&amp;ADDRESS(MATCH(B1479&amp;"ES",'LM7 Non-ENG'!$A$1:$A$5000,0),1,,,"LM7 Non-ENG"),IF(IFERROR(VLOOKUP(B1479&amp;"ES",'LM7 Non-ENG'!$A$1:$A$4999,1,FALSE),"ERROR")=B1479&amp;"ES","Y","")),"")</f>
        <v/>
      </c>
      <c r="H1479" s="29" t="str">
        <f>IFERROR(HYPERLINK("#"&amp;ADDRESS(MATCH(B1479&amp;"PT",'LM7 Non-ENG'!$A$1:$A$5000,0),1,,,"LM7 Non-ENG"),IF(IFERROR(VLOOKUP(B1479&amp;"PT",'LM7 Non-ENG'!$A$1:$A$5000,1,FALSE),"ERROR")=B1479&amp;"PT","Y","")),"")</f>
        <v/>
      </c>
      <c r="I1479" t="str">
        <f>IFERROR(VLOOKUP(B1479,PN!$A:$C,3,FALSE),"")</f>
        <v>Active</v>
      </c>
      <c r="J1479" s="3">
        <f>IFERROR(E1479*VLOOKUP(B1479,PLInter!$A:$D,3,FALSE),"")</f>
        <v>20</v>
      </c>
      <c r="K1479" s="66"/>
      <c r="L1479" s="66"/>
      <c r="M1479" s="66"/>
      <c r="N1479" s="66"/>
      <c r="O1479" s="66"/>
      <c r="P1479" s="66"/>
      <c r="Q1479" s="66"/>
      <c r="R1479" s="66"/>
      <c r="S1479" s="66"/>
    </row>
    <row r="1480" spans="1:19" ht="18" customHeight="1">
      <c r="B1480" t="str">
        <f>"112713"</f>
        <v>112713</v>
      </c>
      <c r="C1480" t="s">
        <v>944</v>
      </c>
      <c r="D1480" s="4"/>
      <c r="E1480" s="4">
        <v>3</v>
      </c>
      <c r="F1480" s="4"/>
      <c r="G1480" s="29" t="str">
        <f>IFERROR(HYPERLINK("#"&amp;ADDRESS(MATCH(B1480&amp;"ES",'LM7 Non-ENG'!$A$1:$A$5000,0),1,,,"LM7 Non-ENG"),IF(IFERROR(VLOOKUP(B1480&amp;"ES",'LM7 Non-ENG'!$A$1:$A$4999,1,FALSE),"ERROR")=B1480&amp;"ES","Y","")),"")</f>
        <v/>
      </c>
      <c r="H1480" s="29" t="str">
        <f>IFERROR(HYPERLINK("#"&amp;ADDRESS(MATCH(B1480&amp;"PT",'LM7 Non-ENG'!$A$1:$A$5000,0),1,,,"LM7 Non-ENG"),IF(IFERROR(VLOOKUP(B1480&amp;"PT",'LM7 Non-ENG'!$A$1:$A$5000,1,FALSE),"ERROR")=B1480&amp;"PT","Y","")),"")</f>
        <v/>
      </c>
      <c r="I1480" t="str">
        <f>IFERROR(VLOOKUP(B1480,PN!$A:$C,3,FALSE),"")</f>
        <v>Active</v>
      </c>
      <c r="J1480" s="3">
        <f>IFERROR(E1480*VLOOKUP(B1480,PLInter!$A:$D,3,FALSE),"")</f>
        <v>300</v>
      </c>
      <c r="K1480" s="66"/>
      <c r="L1480" s="66"/>
      <c r="M1480" s="66"/>
      <c r="N1480" s="66"/>
      <c r="O1480" s="66"/>
      <c r="P1480" s="66"/>
      <c r="Q1480" s="66"/>
      <c r="R1480" s="66"/>
      <c r="S1480" s="66"/>
    </row>
    <row r="1481" spans="1:19" ht="18" customHeight="1">
      <c r="B1481" t="str">
        <f>"113096"</f>
        <v>113096</v>
      </c>
      <c r="C1481" t="s">
        <v>943</v>
      </c>
      <c r="D1481" s="4"/>
      <c r="E1481" s="4">
        <v>3</v>
      </c>
      <c r="F1481" s="4"/>
      <c r="G1481" s="29" t="str">
        <f>IFERROR(HYPERLINK("#"&amp;ADDRESS(MATCH(B1481&amp;"ES",'LM7 Non-ENG'!$A$1:$A$5000,0),1,,,"LM7 Non-ENG"),IF(IFERROR(VLOOKUP(B1481&amp;"ES",'LM7 Non-ENG'!$A$1:$A$4999,1,FALSE),"ERROR")=B1481&amp;"ES","Y","")),"")</f>
        <v/>
      </c>
      <c r="H1481" s="29" t="str">
        <f>IFERROR(HYPERLINK("#"&amp;ADDRESS(MATCH(B1481&amp;"PT",'LM7 Non-ENG'!$A$1:$A$5000,0),1,,,"LM7 Non-ENG"),IF(IFERROR(VLOOKUP(B1481&amp;"PT",'LM7 Non-ENG'!$A$1:$A$5000,1,FALSE),"ERROR")=B1481&amp;"PT","Y","")),"")</f>
        <v/>
      </c>
      <c r="I1481" t="str">
        <f>IFERROR(VLOOKUP(B1481,PN!$A:$C,3,FALSE),"")</f>
        <v>Active</v>
      </c>
      <c r="J1481" s="3">
        <f>IFERROR(E1481*VLOOKUP(B1481,PLInter!$A:$D,3,FALSE),"")</f>
        <v>162</v>
      </c>
      <c r="K1481" s="66"/>
      <c r="L1481" s="66"/>
      <c r="M1481" s="66"/>
      <c r="N1481" s="66"/>
      <c r="O1481" s="66"/>
      <c r="P1481" s="66"/>
      <c r="Q1481" s="66"/>
      <c r="R1481" s="66"/>
      <c r="S1481" s="66"/>
    </row>
    <row r="1482" spans="1:19" ht="18" customHeight="1">
      <c r="B1482" t="s">
        <v>630</v>
      </c>
      <c r="C1482" t="s">
        <v>631</v>
      </c>
      <c r="D1482" s="4"/>
      <c r="E1482" s="4">
        <v>1</v>
      </c>
      <c r="F1482" s="4"/>
      <c r="G1482" s="29" t="str">
        <f>IFERROR(HYPERLINK("#"&amp;ADDRESS(MATCH(B1482&amp;"ES",'LM7 Non-ENG'!$A$1:$A$5000,0),1,,,"LM7 Non-ENG"),IF(IFERROR(VLOOKUP(B1482&amp;"ES",'LM7 Non-ENG'!$A$1:$A$4999,1,FALSE),"ERROR")=B1482&amp;"ES","Y","")),"")</f>
        <v/>
      </c>
      <c r="H1482" s="29" t="str">
        <f>IFERROR(HYPERLINK("#"&amp;ADDRESS(MATCH(B1482&amp;"PT",'LM7 Non-ENG'!$A$1:$A$5000,0),1,,,"LM7 Non-ENG"),IF(IFERROR(VLOOKUP(B1482&amp;"PT",'LM7 Non-ENG'!$A$1:$A$5000,1,FALSE),"ERROR")=B1482&amp;"PT","Y","")),"")</f>
        <v/>
      </c>
      <c r="I1482" t="str">
        <f>IFERROR(VLOOKUP(B1482,PN!$A:$C,3,FALSE),"")</f>
        <v>Active</v>
      </c>
      <c r="J1482" s="3">
        <f>IFERROR(E1482*VLOOKUP(B1482,PLInter!$A:$D,3,FALSE),"")</f>
        <v>1735</v>
      </c>
      <c r="K1482" s="66"/>
      <c r="L1482" s="66"/>
      <c r="M1482" s="66"/>
      <c r="N1482" s="66"/>
      <c r="O1482" s="66"/>
      <c r="P1482" s="66"/>
      <c r="Q1482" s="66"/>
      <c r="R1482" s="66"/>
      <c r="S1482" s="66"/>
    </row>
    <row r="1484" spans="1:19" s="7" customFormat="1" ht="18" customHeight="1">
      <c r="A1484" s="13" t="s">
        <v>984</v>
      </c>
      <c r="B1484" s="13"/>
      <c r="C1484" s="13" t="s">
        <v>985</v>
      </c>
      <c r="D1484" s="14"/>
      <c r="E1484" s="14"/>
      <c r="F1484" s="14"/>
      <c r="G1484" s="14"/>
      <c r="H1484" s="14"/>
      <c r="I1484" s="14"/>
      <c r="J1484" s="14">
        <f>SUMIFS(J1485:J1500,D1485:D1500,"&lt;&gt;Y",F1485:F1500,"&lt;&gt;Y",I1485:I1500,"&lt;&gt;Inactive",I1485:I1500,"&lt;&gt;ECO+NFS")</f>
        <v>46027</v>
      </c>
      <c r="K1484" s="14"/>
      <c r="L1484" s="14"/>
      <c r="M1484" s="14"/>
      <c r="N1484" s="14"/>
      <c r="O1484" s="14"/>
      <c r="P1484" s="14"/>
      <c r="Q1484" s="14"/>
      <c r="R1484" s="14"/>
      <c r="S1484" s="14"/>
    </row>
    <row r="1485" spans="1:19" ht="18" customHeight="1">
      <c r="A1485" s="17" t="str">
        <f>HYPERLINK("#"&amp;ADDRESS(MATCH(A1484,'CIM&amp;FMS'!$A$1:$A$4997,0),1,,,"CIM&amp;FMS"),"Back to Price List")</f>
        <v>Back to Price List</v>
      </c>
      <c r="B1485" t="s">
        <v>216</v>
      </c>
      <c r="C1485" t="s">
        <v>913</v>
      </c>
      <c r="D1485" s="4"/>
      <c r="E1485" s="4">
        <v>1</v>
      </c>
      <c r="F1485" s="4"/>
      <c r="G1485" s="29" t="str">
        <f>IFERROR(HYPERLINK("#"&amp;ADDRESS(MATCH(B1485&amp;"ES",'LM7 Non-ENG'!$A$1:$A$5000,0),1,,,"LM7 Non-ENG"),IF(IFERROR(VLOOKUP(B1485&amp;"ES",'LM7 Non-ENG'!$A$1:$A$4999,1,FALSE),"ERROR")=B1485&amp;"ES","Y","")),"")</f>
        <v/>
      </c>
      <c r="H1485" s="29" t="str">
        <f>IFERROR(HYPERLINK("#"&amp;ADDRESS(MATCH(B1485&amp;"PT",'LM7 Non-ENG'!$A$1:$A$5000,0),1,,,"LM7 Non-ENG"),IF(IFERROR(VLOOKUP(B1485&amp;"PT",'LM7 Non-ENG'!$A$1:$A$5000,1,FALSE),"ERROR")=B1485&amp;"PT","Y","")),"")</f>
        <v/>
      </c>
      <c r="I1485" t="str">
        <f>IFERROR(VLOOKUP(B1485,PN!$A:$C,3,FALSE),"")</f>
        <v>Active</v>
      </c>
      <c r="J1485" s="3">
        <f>IFERROR(E1485*VLOOKUP(B1485,PLInter!$A:$D,3,FALSE),"")</f>
        <v>26667</v>
      </c>
      <c r="K1485" s="66"/>
      <c r="L1485" s="66"/>
      <c r="M1485" s="66"/>
      <c r="N1485" s="66"/>
      <c r="O1485" s="66"/>
      <c r="P1485" s="66"/>
      <c r="Q1485" s="66"/>
      <c r="R1485" s="66"/>
      <c r="S1485" s="66"/>
    </row>
    <row r="1486" spans="1:19" ht="18" customHeight="1">
      <c r="B1486" t="s">
        <v>229</v>
      </c>
      <c r="C1486" t="s">
        <v>234</v>
      </c>
      <c r="D1486" s="4"/>
      <c r="E1486" s="4">
        <v>1</v>
      </c>
      <c r="F1486" s="4"/>
      <c r="G1486" s="29" t="str">
        <f>IFERROR(HYPERLINK("#"&amp;ADDRESS(MATCH(B1486&amp;"ES",'LM7 Non-ENG'!$A$1:$A$5000,0),1,,,"LM7 Non-ENG"),IF(IFERROR(VLOOKUP(B1486&amp;"ES",'LM7 Non-ENG'!$A$1:$A$4999,1,FALSE),"ERROR")=B1486&amp;"ES","Y","")),"")</f>
        <v/>
      </c>
      <c r="H1486" s="29" t="str">
        <f>IFERROR(HYPERLINK("#"&amp;ADDRESS(MATCH(B1486&amp;"PT",'LM7 Non-ENG'!$A$1:$A$5000,0),1,,,"LM7 Non-ENG"),IF(IFERROR(VLOOKUP(B1486&amp;"PT",'LM7 Non-ENG'!$A$1:$A$5000,1,FALSE),"ERROR")=B1486&amp;"PT","Y","")),"")</f>
        <v/>
      </c>
      <c r="I1486" t="str">
        <f>IFERROR(VLOOKUP(B1486,PN!$A:$C,3,FALSE),"")</f>
        <v>Active</v>
      </c>
      <c r="J1486" s="3">
        <f>IFERROR(E1486*VLOOKUP(B1486,PLInter!$A:$D,3,FALSE),"")</f>
        <v>3270</v>
      </c>
      <c r="K1486" s="66"/>
      <c r="L1486" s="66"/>
      <c r="M1486" s="66"/>
      <c r="N1486" s="66"/>
      <c r="O1486" s="66"/>
      <c r="P1486" s="66"/>
      <c r="Q1486" s="66"/>
      <c r="R1486" s="66"/>
      <c r="S1486" s="66"/>
    </row>
    <row r="1487" spans="1:19" ht="18" customHeight="1">
      <c r="B1487" s="2" t="s">
        <v>227</v>
      </c>
      <c r="C1487" s="2" t="s">
        <v>232</v>
      </c>
      <c r="D1487" s="5"/>
      <c r="E1487" s="5">
        <v>1</v>
      </c>
      <c r="F1487" s="5" t="s">
        <v>0</v>
      </c>
      <c r="G1487" s="29" t="str">
        <f>IFERROR(HYPERLINK("#"&amp;ADDRESS(MATCH(B1487&amp;"ES",'LM7 Non-ENG'!$A$1:$A$5000,0),1,,,"LM7 Non-ENG"),IF(IFERROR(VLOOKUP(B1487&amp;"ES",'LM7 Non-ENG'!$A$1:$A$4999,1,FALSE),"ERROR")=B1487&amp;"ES","Y","")),"")</f>
        <v/>
      </c>
      <c r="H1487" s="29" t="str">
        <f>IFERROR(HYPERLINK("#"&amp;ADDRESS(MATCH(B1487&amp;"PT",'LM7 Non-ENG'!$A$1:$A$5000,0),1,,,"LM7 Non-ENG"),IF(IFERROR(VLOOKUP(B1487&amp;"PT",'LM7 Non-ENG'!$A$1:$A$5000,1,FALSE),"ERROR")=B1487&amp;"PT","Y","")),"")</f>
        <v/>
      </c>
      <c r="I1487" t="str">
        <f>IFERROR(VLOOKUP(B1487,PN!$A:$C,3,FALSE),"")</f>
        <v>Active</v>
      </c>
      <c r="J1487" s="3">
        <f>IFERROR(E1487*VLOOKUP(B1487,PLInter!$A:$D,3,FALSE),"")</f>
        <v>1700</v>
      </c>
      <c r="K1487" s="66"/>
      <c r="L1487" s="66"/>
      <c r="M1487" s="66"/>
      <c r="N1487" s="66"/>
      <c r="O1487" s="66"/>
      <c r="P1487" s="66"/>
      <c r="Q1487" s="66"/>
      <c r="R1487" s="66"/>
      <c r="S1487" s="66"/>
    </row>
    <row r="1488" spans="1:19" ht="18" customHeight="1">
      <c r="B1488" t="s">
        <v>236</v>
      </c>
      <c r="C1488" t="s">
        <v>626</v>
      </c>
      <c r="D1488" s="4"/>
      <c r="E1488" s="4">
        <v>1</v>
      </c>
      <c r="F1488" s="4"/>
      <c r="G1488" s="29" t="str">
        <f>IFERROR(HYPERLINK("#"&amp;ADDRESS(MATCH(B1488&amp;"ES",'LM7 Non-ENG'!$A$1:$A$5000,0),1,,,"LM7 Non-ENG"),IF(IFERROR(VLOOKUP(B1488&amp;"ES",'LM7 Non-ENG'!$A$1:$A$4999,1,FALSE),"ERROR")=B1488&amp;"ES","Y","")),"")</f>
        <v/>
      </c>
      <c r="H1488" s="29" t="str">
        <f>IFERROR(HYPERLINK("#"&amp;ADDRESS(MATCH(B1488&amp;"PT",'LM7 Non-ENG'!$A$1:$A$5000,0),1,,,"LM7 Non-ENG"),IF(IFERROR(VLOOKUP(B1488&amp;"PT",'LM7 Non-ENG'!$A$1:$A$5000,1,FALSE),"ERROR")=B1488&amp;"PT","Y","")),"")</f>
        <v/>
      </c>
      <c r="I1488" t="str">
        <f>IFERROR(VLOOKUP(B1488,PN!$A:$C,3,FALSE),"")</f>
        <v>Active</v>
      </c>
      <c r="J1488" s="3">
        <f>IFERROR(E1488*VLOOKUP(B1488,PLInter!$A:$D,3,FALSE),"")</f>
        <v>1680</v>
      </c>
      <c r="K1488" s="66"/>
      <c r="L1488" s="66"/>
      <c r="M1488" s="66"/>
      <c r="N1488" s="66"/>
      <c r="O1488" s="66"/>
      <c r="P1488" s="66"/>
      <c r="Q1488" s="66"/>
      <c r="R1488" s="66"/>
      <c r="S1488" s="66"/>
    </row>
    <row r="1489" spans="1:19" ht="18" customHeight="1">
      <c r="B1489" t="str">
        <f>"034025"</f>
        <v>034025</v>
      </c>
      <c r="C1489" t="s">
        <v>777</v>
      </c>
      <c r="D1489" s="4"/>
      <c r="E1489" s="4">
        <v>1</v>
      </c>
      <c r="F1489" s="4"/>
      <c r="G1489" s="29" t="str">
        <f>IFERROR(HYPERLINK("#"&amp;ADDRESS(MATCH(B1489&amp;"ES",'LM7 Non-ENG'!$A$1:$A$5000,0),1,,,"LM7 Non-ENG"),IF(IFERROR(VLOOKUP(B1489&amp;"ES",'LM7 Non-ENG'!$A$1:$A$4999,1,FALSE),"ERROR")=B1489&amp;"ES","Y","")),"")</f>
        <v/>
      </c>
      <c r="H1489" s="29" t="str">
        <f>IFERROR(HYPERLINK("#"&amp;ADDRESS(MATCH(B1489&amp;"PT",'LM7 Non-ENG'!$A$1:$A$5000,0),1,,,"LM7 Non-ENG"),IF(IFERROR(VLOOKUP(B1489&amp;"PT",'LM7 Non-ENG'!$A$1:$A$5000,1,FALSE),"ERROR")=B1489&amp;"PT","Y","")),"")</f>
        <v/>
      </c>
      <c r="I1489" t="str">
        <f>IFERROR(VLOOKUP(B1489,PN!$A:$C,3,FALSE),"")</f>
        <v>Active</v>
      </c>
      <c r="J1489" s="3">
        <f>IFERROR(E1489*VLOOKUP(B1489,PLInter!$A:$D,3,FALSE),"")</f>
        <v>1267</v>
      </c>
      <c r="K1489" s="66"/>
      <c r="L1489" s="66"/>
      <c r="M1489" s="66"/>
      <c r="N1489" s="66"/>
      <c r="O1489" s="66"/>
      <c r="P1489" s="66"/>
      <c r="Q1489" s="66"/>
      <c r="R1489" s="66"/>
      <c r="S1489" s="66"/>
    </row>
    <row r="1490" spans="1:19" ht="18" customHeight="1">
      <c r="B1490" t="s">
        <v>914</v>
      </c>
      <c r="C1490" t="s">
        <v>915</v>
      </c>
      <c r="D1490" s="4"/>
      <c r="E1490" s="4">
        <v>3</v>
      </c>
      <c r="F1490" s="4"/>
      <c r="G1490" s="29" t="str">
        <f>IFERROR(HYPERLINK("#"&amp;ADDRESS(MATCH(B1490&amp;"ES",'LM7 Non-ENG'!$A$1:$A$5000,0),1,,,"LM7 Non-ENG"),IF(IFERROR(VLOOKUP(B1490&amp;"ES",'LM7 Non-ENG'!$A$1:$A$4999,1,FALSE),"ERROR")=B1490&amp;"ES","Y","")),"")</f>
        <v/>
      </c>
      <c r="H1490" s="29" t="str">
        <f>IFERROR(HYPERLINK("#"&amp;ADDRESS(MATCH(B1490&amp;"PT",'LM7 Non-ENG'!$A$1:$A$5000,0),1,,,"LM7 Non-ENG"),IF(IFERROR(VLOOKUP(B1490&amp;"PT",'LM7 Non-ENG'!$A$1:$A$5000,1,FALSE),"ERROR")=B1490&amp;"PT","Y","")),"")</f>
        <v/>
      </c>
      <c r="I1490" t="str">
        <f>IFERROR(VLOOKUP(B1490,PN!$A:$C,3,FALSE),"")</f>
        <v>Active</v>
      </c>
      <c r="J1490" s="3">
        <f>IFERROR(E1490*VLOOKUP(B1490,PLInter!$A:$D,3,FALSE),"")</f>
        <v>402</v>
      </c>
      <c r="K1490" s="66"/>
      <c r="L1490" s="66"/>
      <c r="M1490" s="66"/>
      <c r="N1490" s="66"/>
      <c r="O1490" s="66"/>
      <c r="P1490" s="66"/>
      <c r="Q1490" s="66"/>
      <c r="R1490" s="66"/>
      <c r="S1490" s="66"/>
    </row>
    <row r="1491" spans="1:19" ht="18" customHeight="1">
      <c r="B1491" t="s">
        <v>684</v>
      </c>
      <c r="C1491" t="s">
        <v>685</v>
      </c>
      <c r="D1491" s="4"/>
      <c r="E1491" s="4">
        <v>2</v>
      </c>
      <c r="F1491" s="4"/>
      <c r="G1491" s="29" t="str">
        <f>IFERROR(HYPERLINK("#"&amp;ADDRESS(MATCH(B1491&amp;"ES",'LM7 Non-ENG'!$A$1:$A$5000,0),1,,,"LM7 Non-ENG"),IF(IFERROR(VLOOKUP(B1491&amp;"ES",'LM7 Non-ENG'!$A$1:$A$4999,1,FALSE),"ERROR")=B1491&amp;"ES","Y","")),"")</f>
        <v/>
      </c>
      <c r="H1491" s="29" t="str">
        <f>IFERROR(HYPERLINK("#"&amp;ADDRESS(MATCH(B1491&amp;"PT",'LM7 Non-ENG'!$A$1:$A$5000,0),1,,,"LM7 Non-ENG"),IF(IFERROR(VLOOKUP(B1491&amp;"PT",'LM7 Non-ENG'!$A$1:$A$5000,1,FALSE),"ERROR")=B1491&amp;"PT","Y","")),"")</f>
        <v/>
      </c>
      <c r="I1491" t="str">
        <f>IFERROR(VLOOKUP(B1491,PN!$A:$C,3,FALSE),"")</f>
        <v>Active</v>
      </c>
      <c r="J1491" s="3">
        <f>IFERROR(E1491*VLOOKUP(B1491,PLInter!$A:$D,3,FALSE),"")</f>
        <v>1160</v>
      </c>
      <c r="K1491" s="66"/>
      <c r="L1491" s="66"/>
      <c r="M1491" s="66"/>
      <c r="N1491" s="66"/>
      <c r="O1491" s="66"/>
      <c r="P1491" s="66"/>
      <c r="Q1491" s="66"/>
      <c r="R1491" s="66"/>
      <c r="S1491" s="66"/>
    </row>
    <row r="1492" spans="1:19" ht="18" customHeight="1">
      <c r="B1492" t="str">
        <f>"021172"</f>
        <v>021172</v>
      </c>
      <c r="C1492" t="s">
        <v>916</v>
      </c>
      <c r="D1492" s="4"/>
      <c r="E1492" s="4">
        <v>2</v>
      </c>
      <c r="F1492" s="4"/>
      <c r="G1492" s="29" t="str">
        <f>IFERROR(HYPERLINK("#"&amp;ADDRESS(MATCH(B1492&amp;"ES",'LM7 Non-ENG'!$A$1:$A$5000,0),1,,,"LM7 Non-ENG"),IF(IFERROR(VLOOKUP(B1492&amp;"ES",'LM7 Non-ENG'!$A$1:$A$4999,1,FALSE),"ERROR")=B1492&amp;"ES","Y","")),"")</f>
        <v/>
      </c>
      <c r="H1492" s="29" t="str">
        <f>IFERROR(HYPERLINK("#"&amp;ADDRESS(MATCH(B1492&amp;"PT",'LM7 Non-ENG'!$A$1:$A$5000,0),1,,,"LM7 Non-ENG"),IF(IFERROR(VLOOKUP(B1492&amp;"PT",'LM7 Non-ENG'!$A$1:$A$5000,1,FALSE),"ERROR")=B1492&amp;"PT","Y","")),"")</f>
        <v/>
      </c>
      <c r="I1492" t="str">
        <f>IFERROR(VLOOKUP(B1492,PN!$A:$C,3,FALSE),"")</f>
        <v>Active</v>
      </c>
      <c r="J1492" s="3">
        <f>IFERROR(E1492*VLOOKUP(B1492,PLInter!$A:$D,3,FALSE),"")</f>
        <v>80</v>
      </c>
      <c r="K1492" s="66"/>
      <c r="L1492" s="66"/>
      <c r="M1492" s="66"/>
      <c r="N1492" s="66"/>
      <c r="O1492" s="66"/>
      <c r="P1492" s="66"/>
      <c r="Q1492" s="66"/>
      <c r="R1492" s="66"/>
      <c r="S1492" s="66"/>
    </row>
    <row r="1493" spans="1:19" ht="18" customHeight="1">
      <c r="B1493" t="s">
        <v>917</v>
      </c>
      <c r="C1493" t="s">
        <v>918</v>
      </c>
      <c r="D1493" s="4"/>
      <c r="E1493" s="4">
        <v>1</v>
      </c>
      <c r="F1493" s="4"/>
      <c r="G1493" s="29" t="str">
        <f>IFERROR(HYPERLINK("#"&amp;ADDRESS(MATCH(B1493&amp;"ES",'LM7 Non-ENG'!$A$1:$A$5000,0),1,,,"LM7 Non-ENG"),IF(IFERROR(VLOOKUP(B1493&amp;"ES",'LM7 Non-ENG'!$A$1:$A$4999,1,FALSE),"ERROR")=B1493&amp;"ES","Y","")),"")</f>
        <v/>
      </c>
      <c r="H1493" s="29" t="str">
        <f>IFERROR(HYPERLINK("#"&amp;ADDRESS(MATCH(B1493&amp;"PT",'LM7 Non-ENG'!$A$1:$A$5000,0),1,,,"LM7 Non-ENG"),IF(IFERROR(VLOOKUP(B1493&amp;"PT",'LM7 Non-ENG'!$A$1:$A$5000,1,FALSE),"ERROR")=B1493&amp;"PT","Y","")),"")</f>
        <v/>
      </c>
      <c r="I1493" t="str">
        <f>IFERROR(VLOOKUP(B1493,PN!$A:$C,3,FALSE),"")</f>
        <v>Phase Out</v>
      </c>
      <c r="J1493" s="3">
        <f>IFERROR(E1493*VLOOKUP(B1493,PLInter!$A:$D,3,FALSE),"")</f>
        <v>1735</v>
      </c>
      <c r="K1493" s="66"/>
      <c r="L1493" s="66"/>
      <c r="M1493" s="66"/>
      <c r="N1493" s="66"/>
      <c r="O1493" s="66"/>
      <c r="P1493" s="66"/>
      <c r="Q1493" s="66"/>
      <c r="R1493" s="66"/>
      <c r="S1493" s="66"/>
    </row>
    <row r="1494" spans="1:19" ht="18" customHeight="1">
      <c r="B1494" t="s">
        <v>919</v>
      </c>
      <c r="C1494" t="s">
        <v>920</v>
      </c>
      <c r="D1494" s="4"/>
      <c r="E1494" s="4">
        <v>1</v>
      </c>
      <c r="F1494" s="4"/>
      <c r="G1494" s="29" t="str">
        <f>IFERROR(HYPERLINK("#"&amp;ADDRESS(MATCH(B1494&amp;"ES",'LM7 Non-ENG'!$A$1:$A$5000,0),1,,,"LM7 Non-ENG"),IF(IFERROR(VLOOKUP(B1494&amp;"ES",'LM7 Non-ENG'!$A$1:$A$4999,1,FALSE),"ERROR")=B1494&amp;"ES","Y","")),"")</f>
        <v/>
      </c>
      <c r="H1494" s="29" t="str">
        <f>IFERROR(HYPERLINK("#"&amp;ADDRESS(MATCH(B1494&amp;"PT",'LM7 Non-ENG'!$A$1:$A$5000,0),1,,,"LM7 Non-ENG"),IF(IFERROR(VLOOKUP(B1494&amp;"PT",'LM7 Non-ENG'!$A$1:$A$5000,1,FALSE),"ERROR")=B1494&amp;"PT","Y","")),"")</f>
        <v/>
      </c>
      <c r="I1494" t="str">
        <f>IFERROR(VLOOKUP(B1494,PN!$A:$C,3,FALSE),"")</f>
        <v>Active</v>
      </c>
      <c r="J1494" s="3">
        <f>IFERROR(E1494*VLOOKUP(B1494,PLInter!$A:$D,3,FALSE),"")</f>
        <v>635</v>
      </c>
      <c r="K1494" s="66"/>
      <c r="L1494" s="66"/>
      <c r="M1494" s="66"/>
      <c r="N1494" s="66"/>
      <c r="O1494" s="66"/>
      <c r="P1494" s="66"/>
      <c r="Q1494" s="66"/>
      <c r="R1494" s="66"/>
      <c r="S1494" s="66"/>
    </row>
    <row r="1495" spans="1:19" ht="18" customHeight="1">
      <c r="B1495" t="s">
        <v>921</v>
      </c>
      <c r="C1495" t="s">
        <v>922</v>
      </c>
      <c r="D1495" s="4"/>
      <c r="E1495" s="4">
        <v>1</v>
      </c>
      <c r="F1495" s="4"/>
      <c r="G1495" s="29" t="str">
        <f>IFERROR(HYPERLINK("#"&amp;ADDRESS(MATCH(B1495&amp;"ES",'LM7 Non-ENG'!$A$1:$A$5000,0),1,,,"LM7 Non-ENG"),IF(IFERROR(VLOOKUP(B1495&amp;"ES",'LM7 Non-ENG'!$A$1:$A$4999,1,FALSE),"ERROR")=B1495&amp;"ES","Y","")),"")</f>
        <v/>
      </c>
      <c r="H1495" s="29" t="str">
        <f>IFERROR(HYPERLINK("#"&amp;ADDRESS(MATCH(B1495&amp;"PT",'LM7 Non-ENG'!$A$1:$A$5000,0),1,,,"LM7 Non-ENG"),IF(IFERROR(VLOOKUP(B1495&amp;"PT",'LM7 Non-ENG'!$A$1:$A$5000,1,FALSE),"ERROR")=B1495&amp;"PT","Y","")),"")</f>
        <v/>
      </c>
      <c r="I1495" t="str">
        <f>IFERROR(VLOOKUP(B1495,PN!$A:$C,3,FALSE),"")</f>
        <v>Active</v>
      </c>
      <c r="J1495" s="3">
        <f>IFERROR(E1495*VLOOKUP(B1495,PLInter!$A:$D,3,FALSE),"")</f>
        <v>2585</v>
      </c>
      <c r="K1495" s="66"/>
      <c r="L1495" s="66"/>
      <c r="M1495" s="66"/>
      <c r="N1495" s="66"/>
      <c r="O1495" s="66"/>
      <c r="P1495" s="66"/>
      <c r="Q1495" s="66"/>
      <c r="R1495" s="66"/>
      <c r="S1495" s="66"/>
    </row>
    <row r="1496" spans="1:19" ht="18" customHeight="1">
      <c r="B1496" t="s">
        <v>923</v>
      </c>
      <c r="C1496" t="s">
        <v>924</v>
      </c>
      <c r="D1496" s="4"/>
      <c r="E1496" s="4">
        <v>12</v>
      </c>
      <c r="F1496" s="4"/>
      <c r="G1496" s="29" t="str">
        <f>IFERROR(HYPERLINK("#"&amp;ADDRESS(MATCH(B1496&amp;"ES",'LM7 Non-ENG'!$A$1:$A$5000,0),1,,,"LM7 Non-ENG"),IF(IFERROR(VLOOKUP(B1496&amp;"ES",'LM7 Non-ENG'!$A$1:$A$4999,1,FALSE),"ERROR")=B1496&amp;"ES","Y","")),"")</f>
        <v/>
      </c>
      <c r="H1496" s="29" t="str">
        <f>IFERROR(HYPERLINK("#"&amp;ADDRESS(MATCH(B1496&amp;"PT",'LM7 Non-ENG'!$A$1:$A$5000,0),1,,,"LM7 Non-ENG"),IF(IFERROR(VLOOKUP(B1496&amp;"PT",'LM7 Non-ENG'!$A$1:$A$5000,1,FALSE),"ERROR")=B1496&amp;"PT","Y","")),"")</f>
        <v/>
      </c>
      <c r="I1496" t="str">
        <f>IFERROR(VLOOKUP(B1496,PN!$A:$C,3,FALSE),"")</f>
        <v>Active</v>
      </c>
      <c r="J1496" s="3">
        <f>IFERROR(E1496*VLOOKUP(B1496,PLInter!$A:$D,3,FALSE),"")</f>
        <v>1104</v>
      </c>
      <c r="K1496" s="66"/>
      <c r="L1496" s="66"/>
      <c r="M1496" s="66"/>
      <c r="N1496" s="66"/>
      <c r="O1496" s="66"/>
      <c r="P1496" s="66"/>
      <c r="Q1496" s="66"/>
      <c r="R1496" s="66"/>
      <c r="S1496" s="66"/>
    </row>
    <row r="1497" spans="1:19" ht="18" customHeight="1">
      <c r="B1497" t="s">
        <v>925</v>
      </c>
      <c r="C1497" t="s">
        <v>926</v>
      </c>
      <c r="D1497" s="4"/>
      <c r="E1497" s="4">
        <v>1</v>
      </c>
      <c r="F1497" s="4"/>
      <c r="G1497" s="29" t="str">
        <f>IFERROR(HYPERLINK("#"&amp;ADDRESS(MATCH(B1497&amp;"ES",'LM7 Non-ENG'!$A$1:$A$5000,0),1,,,"LM7 Non-ENG"),IF(IFERROR(VLOOKUP(B1497&amp;"ES",'LM7 Non-ENG'!$A$1:$A$4999,1,FALSE),"ERROR")=B1497&amp;"ES","Y","")),"")</f>
        <v/>
      </c>
      <c r="H1497" s="29" t="str">
        <f>IFERROR(HYPERLINK("#"&amp;ADDRESS(MATCH(B1497&amp;"PT",'LM7 Non-ENG'!$A$1:$A$5000,0),1,,,"LM7 Non-ENG"),IF(IFERROR(VLOOKUP(B1497&amp;"PT",'LM7 Non-ENG'!$A$1:$A$5000,1,FALSE),"ERROR")=B1497&amp;"PT","Y","")),"")</f>
        <v/>
      </c>
      <c r="I1497" t="str">
        <f>IFERROR(VLOOKUP(B1497,PN!$A:$C,3,FALSE),"")</f>
        <v>Active</v>
      </c>
      <c r="J1497" s="3">
        <f>IFERROR(E1497*VLOOKUP(B1497,PLInter!$A:$D,3,FALSE),"")</f>
        <v>2760</v>
      </c>
      <c r="K1497" s="66"/>
      <c r="L1497" s="66"/>
      <c r="M1497" s="66"/>
      <c r="N1497" s="66"/>
      <c r="O1497" s="66"/>
      <c r="P1497" s="66"/>
      <c r="Q1497" s="66"/>
      <c r="R1497" s="66"/>
      <c r="S1497" s="66"/>
    </row>
    <row r="1498" spans="1:19" ht="18" customHeight="1">
      <c r="B1498" t="s">
        <v>927</v>
      </c>
      <c r="C1498" t="s">
        <v>928</v>
      </c>
      <c r="D1498" s="4"/>
      <c r="E1498" s="4">
        <v>1</v>
      </c>
      <c r="F1498" s="4"/>
      <c r="G1498" s="29" t="str">
        <f>IFERROR(HYPERLINK("#"&amp;ADDRESS(MATCH(B1498&amp;"ES",'LM7 Non-ENG'!$A$1:$A$5000,0),1,,,"LM7 Non-ENG"),IF(IFERROR(VLOOKUP(B1498&amp;"ES",'LM7 Non-ENG'!$A$1:$A$4999,1,FALSE),"ERROR")=B1498&amp;"ES","Y","")),"")</f>
        <v/>
      </c>
      <c r="H1498" s="29" t="str">
        <f>IFERROR(HYPERLINK("#"&amp;ADDRESS(MATCH(B1498&amp;"PT",'LM7 Non-ENG'!$A$1:$A$5000,0),1,,,"LM7 Non-ENG"),IF(IFERROR(VLOOKUP(B1498&amp;"PT",'LM7 Non-ENG'!$A$1:$A$5000,1,FALSE),"ERROR")=B1498&amp;"PT","Y","")),"")</f>
        <v/>
      </c>
      <c r="I1498" t="str">
        <f>IFERROR(VLOOKUP(B1498,PN!$A:$C,3,FALSE),"")</f>
        <v>Active</v>
      </c>
      <c r="J1498" s="3">
        <f>IFERROR(E1498*VLOOKUP(B1498,PLInter!$A:$D,3,FALSE),"")</f>
        <v>467</v>
      </c>
      <c r="K1498" s="66"/>
      <c r="L1498" s="66"/>
      <c r="M1498" s="66"/>
      <c r="N1498" s="66"/>
      <c r="O1498" s="66"/>
      <c r="P1498" s="66"/>
      <c r="Q1498" s="66"/>
      <c r="R1498" s="66"/>
      <c r="S1498" s="66"/>
    </row>
    <row r="1499" spans="1:19" ht="18" customHeight="1">
      <c r="B1499" t="s">
        <v>668</v>
      </c>
      <c r="C1499" t="s">
        <v>669</v>
      </c>
      <c r="D1499" s="4"/>
      <c r="E1499" s="4">
        <v>1</v>
      </c>
      <c r="F1499" s="4"/>
      <c r="G1499" s="29" t="str">
        <f>IFERROR(HYPERLINK("#"&amp;ADDRESS(MATCH(B1499&amp;"ES",'LM7 Non-ENG'!$A$1:$A$5000,0),1,,,"LM7 Non-ENG"),IF(IFERROR(VLOOKUP(B1499&amp;"ES",'LM7 Non-ENG'!$A$1:$A$4999,1,FALSE),"ERROR")=B1499&amp;"ES","Y","")),"")</f>
        <v/>
      </c>
      <c r="H1499" s="29" t="str">
        <f>IFERROR(HYPERLINK("#"&amp;ADDRESS(MATCH(B1499&amp;"PT",'LM7 Non-ENG'!$A$1:$A$5000,0),1,,,"LM7 Non-ENG"),IF(IFERROR(VLOOKUP(B1499&amp;"PT",'LM7 Non-ENG'!$A$1:$A$5000,1,FALSE),"ERROR")=B1499&amp;"PT","Y","")),"")</f>
        <v/>
      </c>
      <c r="I1499" t="str">
        <f>IFERROR(VLOOKUP(B1499,PN!$A:$C,3,FALSE),"")</f>
        <v>Active</v>
      </c>
      <c r="J1499" s="3">
        <f>IFERROR(E1499*VLOOKUP(B1499,PLInter!$A:$D,3,FALSE),"")</f>
        <v>480</v>
      </c>
      <c r="K1499" s="66"/>
      <c r="L1499" s="66"/>
      <c r="M1499" s="66"/>
      <c r="N1499" s="66"/>
      <c r="O1499" s="66"/>
      <c r="P1499" s="66"/>
      <c r="Q1499" s="66"/>
      <c r="R1499" s="66"/>
      <c r="S1499" s="66"/>
    </row>
    <row r="1500" spans="1:19" ht="18" customHeight="1">
      <c r="B1500" t="s">
        <v>630</v>
      </c>
      <c r="C1500" t="s">
        <v>631</v>
      </c>
      <c r="D1500" s="4"/>
      <c r="E1500" s="4">
        <v>1</v>
      </c>
      <c r="F1500" s="4"/>
      <c r="G1500" s="29" t="str">
        <f>IFERROR(HYPERLINK("#"&amp;ADDRESS(MATCH(B1500&amp;"ES",'LM7 Non-ENG'!$A$1:$A$5000,0),1,,,"LM7 Non-ENG"),IF(IFERROR(VLOOKUP(B1500&amp;"ES",'LM7 Non-ENG'!$A$1:$A$4999,1,FALSE),"ERROR")=B1500&amp;"ES","Y","")),"")</f>
        <v/>
      </c>
      <c r="H1500" s="29" t="str">
        <f>IFERROR(HYPERLINK("#"&amp;ADDRESS(MATCH(B1500&amp;"PT",'LM7 Non-ENG'!$A$1:$A$5000,0),1,,,"LM7 Non-ENG"),IF(IFERROR(VLOOKUP(B1500&amp;"PT",'LM7 Non-ENG'!$A$1:$A$5000,1,FALSE),"ERROR")=B1500&amp;"PT","Y","")),"")</f>
        <v/>
      </c>
      <c r="I1500" t="str">
        <f>IFERROR(VLOOKUP(B1500,PN!$A:$C,3,FALSE),"")</f>
        <v>Active</v>
      </c>
      <c r="J1500" s="3">
        <f>IFERROR(E1500*VLOOKUP(B1500,PLInter!$A:$D,3,FALSE),"")</f>
        <v>1735</v>
      </c>
      <c r="K1500" s="66"/>
      <c r="L1500" s="66"/>
      <c r="M1500" s="66"/>
      <c r="N1500" s="66"/>
      <c r="O1500" s="66"/>
      <c r="P1500" s="66"/>
      <c r="Q1500" s="66"/>
      <c r="R1500" s="66"/>
      <c r="S1500" s="66"/>
    </row>
    <row r="1502" spans="1:19" s="7" customFormat="1" ht="18" customHeight="1">
      <c r="A1502" s="13" t="s">
        <v>986</v>
      </c>
      <c r="B1502" s="13"/>
      <c r="C1502" s="13" t="s">
        <v>987</v>
      </c>
      <c r="D1502" s="14"/>
      <c r="E1502" s="14"/>
      <c r="F1502" s="14"/>
      <c r="G1502" s="14"/>
      <c r="H1502" s="14"/>
      <c r="I1502" s="14"/>
      <c r="J1502" s="14">
        <f>SUMIFS(J1503:J1524,D1503:D1524,"&lt;&gt;Y",F1503:F1524,"&lt;&gt;Y",I1503:I1524,"&lt;&gt;Inactive",I1503:I1524,"&lt;&gt;ECO+NFS")</f>
        <v>59329</v>
      </c>
      <c r="K1502" s="14"/>
      <c r="L1502" s="14"/>
      <c r="M1502" s="14"/>
      <c r="N1502" s="14"/>
      <c r="O1502" s="14"/>
      <c r="P1502" s="14"/>
      <c r="Q1502" s="14"/>
      <c r="R1502" s="14"/>
      <c r="S1502" s="14"/>
    </row>
    <row r="1503" spans="1:19" ht="18" customHeight="1">
      <c r="A1503" s="17" t="str">
        <f>HYPERLINK("#"&amp;ADDRESS(MATCH(A1502,'CIM&amp;FMS'!$A$1:$A$4997,0),1,,,"CIM&amp;FMS"),"Back to Price List")</f>
        <v>Back to Price List</v>
      </c>
      <c r="B1503" t="s">
        <v>216</v>
      </c>
      <c r="C1503" t="s">
        <v>913</v>
      </c>
      <c r="D1503" s="4"/>
      <c r="E1503" s="4">
        <v>1</v>
      </c>
      <c r="F1503" s="4"/>
      <c r="G1503" s="29" t="str">
        <f>IFERROR(HYPERLINK("#"&amp;ADDRESS(MATCH(B1503&amp;"ES",'LM7 Non-ENG'!$A$1:$A$5000,0),1,,,"LM7 Non-ENG"),IF(IFERROR(VLOOKUP(B1503&amp;"ES",'LM7 Non-ENG'!$A$1:$A$4999,1,FALSE),"ERROR")=B1503&amp;"ES","Y","")),"")</f>
        <v/>
      </c>
      <c r="H1503" s="29" t="str">
        <f>IFERROR(HYPERLINK("#"&amp;ADDRESS(MATCH(B1503&amp;"PT",'LM7 Non-ENG'!$A$1:$A$5000,0),1,,,"LM7 Non-ENG"),IF(IFERROR(VLOOKUP(B1503&amp;"PT",'LM7 Non-ENG'!$A$1:$A$5000,1,FALSE),"ERROR")=B1503&amp;"PT","Y","")),"")</f>
        <v/>
      </c>
      <c r="I1503" t="str">
        <f>IFERROR(VLOOKUP(B1503,PN!$A:$C,3,FALSE),"")</f>
        <v>Active</v>
      </c>
      <c r="J1503" s="3">
        <f>IFERROR(E1503*VLOOKUP(B1503,PLInter!$A:$D,3,FALSE),"")</f>
        <v>26667</v>
      </c>
      <c r="K1503" s="66"/>
      <c r="L1503" s="66"/>
      <c r="M1503" s="66"/>
      <c r="N1503" s="66"/>
      <c r="O1503" s="66"/>
      <c r="P1503" s="66"/>
      <c r="Q1503" s="66"/>
      <c r="R1503" s="66"/>
      <c r="S1503" s="66"/>
    </row>
    <row r="1504" spans="1:19" ht="18" customHeight="1">
      <c r="B1504" t="s">
        <v>229</v>
      </c>
      <c r="C1504" t="s">
        <v>234</v>
      </c>
      <c r="D1504" s="4"/>
      <c r="E1504" s="4">
        <v>1</v>
      </c>
      <c r="F1504" s="4"/>
      <c r="G1504" s="29" t="str">
        <f>IFERROR(HYPERLINK("#"&amp;ADDRESS(MATCH(B1504&amp;"ES",'LM7 Non-ENG'!$A$1:$A$5000,0),1,,,"LM7 Non-ENG"),IF(IFERROR(VLOOKUP(B1504&amp;"ES",'LM7 Non-ENG'!$A$1:$A$4999,1,FALSE),"ERROR")=B1504&amp;"ES","Y","")),"")</f>
        <v/>
      </c>
      <c r="H1504" s="29" t="str">
        <f>IFERROR(HYPERLINK("#"&amp;ADDRESS(MATCH(B1504&amp;"PT",'LM7 Non-ENG'!$A$1:$A$5000,0),1,,,"LM7 Non-ENG"),IF(IFERROR(VLOOKUP(B1504&amp;"PT",'LM7 Non-ENG'!$A$1:$A$5000,1,FALSE),"ERROR")=B1504&amp;"PT","Y","")),"")</f>
        <v/>
      </c>
      <c r="I1504" t="str">
        <f>IFERROR(VLOOKUP(B1504,PN!$A:$C,3,FALSE),"")</f>
        <v>Active</v>
      </c>
      <c r="J1504" s="3">
        <f>IFERROR(E1504*VLOOKUP(B1504,PLInter!$A:$D,3,FALSE),"")</f>
        <v>3270</v>
      </c>
      <c r="K1504" s="66"/>
      <c r="L1504" s="66"/>
      <c r="M1504" s="66"/>
      <c r="N1504" s="66"/>
      <c r="O1504" s="66"/>
      <c r="P1504" s="66"/>
      <c r="Q1504" s="66"/>
      <c r="R1504" s="66"/>
      <c r="S1504" s="66"/>
    </row>
    <row r="1505" spans="2:19" ht="18" customHeight="1">
      <c r="B1505" s="2" t="s">
        <v>227</v>
      </c>
      <c r="C1505" s="2" t="s">
        <v>232</v>
      </c>
      <c r="D1505" s="5"/>
      <c r="E1505" s="5">
        <v>1</v>
      </c>
      <c r="F1505" s="5" t="s">
        <v>0</v>
      </c>
      <c r="G1505" s="29" t="str">
        <f>IFERROR(HYPERLINK("#"&amp;ADDRESS(MATCH(B1505&amp;"ES",'LM7 Non-ENG'!$A$1:$A$5000,0),1,,,"LM7 Non-ENG"),IF(IFERROR(VLOOKUP(B1505&amp;"ES",'LM7 Non-ENG'!$A$1:$A$4999,1,FALSE),"ERROR")=B1505&amp;"ES","Y","")),"")</f>
        <v/>
      </c>
      <c r="H1505" s="29" t="str">
        <f>IFERROR(HYPERLINK("#"&amp;ADDRESS(MATCH(B1505&amp;"PT",'LM7 Non-ENG'!$A$1:$A$5000,0),1,,,"LM7 Non-ENG"),IF(IFERROR(VLOOKUP(B1505&amp;"PT",'LM7 Non-ENG'!$A$1:$A$5000,1,FALSE),"ERROR")=B1505&amp;"PT","Y","")),"")</f>
        <v/>
      </c>
      <c r="I1505" t="str">
        <f>IFERROR(VLOOKUP(B1505,PN!$A:$C,3,FALSE),"")</f>
        <v>Active</v>
      </c>
      <c r="J1505" s="3">
        <f>IFERROR(E1505*VLOOKUP(B1505,PLInter!$A:$D,3,FALSE),"")</f>
        <v>1700</v>
      </c>
      <c r="K1505" s="66"/>
      <c r="L1505" s="66"/>
      <c r="M1505" s="66"/>
      <c r="N1505" s="66"/>
      <c r="O1505" s="66"/>
      <c r="P1505" s="66"/>
      <c r="Q1505" s="66"/>
      <c r="R1505" s="66"/>
      <c r="S1505" s="66"/>
    </row>
    <row r="1506" spans="2:19" ht="18" customHeight="1">
      <c r="B1506" t="s">
        <v>236</v>
      </c>
      <c r="C1506" t="s">
        <v>626</v>
      </c>
      <c r="D1506" s="4"/>
      <c r="E1506" s="4">
        <v>1</v>
      </c>
      <c r="F1506" s="4"/>
      <c r="G1506" s="29" t="str">
        <f>IFERROR(HYPERLINK("#"&amp;ADDRESS(MATCH(B1506&amp;"ES",'LM7 Non-ENG'!$A$1:$A$5000,0),1,,,"LM7 Non-ENG"),IF(IFERROR(VLOOKUP(B1506&amp;"ES",'LM7 Non-ENG'!$A$1:$A$4999,1,FALSE),"ERROR")=B1506&amp;"ES","Y","")),"")</f>
        <v/>
      </c>
      <c r="H1506" s="29" t="str">
        <f>IFERROR(HYPERLINK("#"&amp;ADDRESS(MATCH(B1506&amp;"PT",'LM7 Non-ENG'!$A$1:$A$5000,0),1,,,"LM7 Non-ENG"),IF(IFERROR(VLOOKUP(B1506&amp;"PT",'LM7 Non-ENG'!$A$1:$A$5000,1,FALSE),"ERROR")=B1506&amp;"PT","Y","")),"")</f>
        <v/>
      </c>
      <c r="I1506" t="str">
        <f>IFERROR(VLOOKUP(B1506,PN!$A:$C,3,FALSE),"")</f>
        <v>Active</v>
      </c>
      <c r="J1506" s="3">
        <f>IFERROR(E1506*VLOOKUP(B1506,PLInter!$A:$D,3,FALSE),"")</f>
        <v>1680</v>
      </c>
      <c r="K1506" s="66"/>
      <c r="L1506" s="66"/>
      <c r="M1506" s="66"/>
      <c r="N1506" s="66"/>
      <c r="O1506" s="66"/>
      <c r="P1506" s="66"/>
      <c r="Q1506" s="66"/>
      <c r="R1506" s="66"/>
      <c r="S1506" s="66"/>
    </row>
    <row r="1507" spans="2:19" ht="18" customHeight="1">
      <c r="B1507" t="str">
        <f>"034025"</f>
        <v>034025</v>
      </c>
      <c r="C1507" t="s">
        <v>777</v>
      </c>
      <c r="D1507" s="4"/>
      <c r="E1507" s="4">
        <v>1</v>
      </c>
      <c r="F1507" s="4"/>
      <c r="G1507" s="29" t="str">
        <f>IFERROR(HYPERLINK("#"&amp;ADDRESS(MATCH(B1507&amp;"ES",'LM7 Non-ENG'!$A$1:$A$5000,0),1,,,"LM7 Non-ENG"),IF(IFERROR(VLOOKUP(B1507&amp;"ES",'LM7 Non-ENG'!$A$1:$A$4999,1,FALSE),"ERROR")=B1507&amp;"ES","Y","")),"")</f>
        <v/>
      </c>
      <c r="H1507" s="29" t="str">
        <f>IFERROR(HYPERLINK("#"&amp;ADDRESS(MATCH(B1507&amp;"PT",'LM7 Non-ENG'!$A$1:$A$5000,0),1,,,"LM7 Non-ENG"),IF(IFERROR(VLOOKUP(B1507&amp;"PT",'LM7 Non-ENG'!$A$1:$A$5000,1,FALSE),"ERROR")=B1507&amp;"PT","Y","")),"")</f>
        <v/>
      </c>
      <c r="I1507" t="str">
        <f>IFERROR(VLOOKUP(B1507,PN!$A:$C,3,FALSE),"")</f>
        <v>Active</v>
      </c>
      <c r="J1507" s="3">
        <f>IFERROR(E1507*VLOOKUP(B1507,PLInter!$A:$D,3,FALSE),"")</f>
        <v>1267</v>
      </c>
      <c r="K1507" s="66"/>
      <c r="L1507" s="66"/>
      <c r="M1507" s="66"/>
      <c r="N1507" s="66"/>
      <c r="O1507" s="66"/>
      <c r="P1507" s="66"/>
      <c r="Q1507" s="66"/>
      <c r="R1507" s="66"/>
      <c r="S1507" s="66"/>
    </row>
    <row r="1508" spans="2:19" ht="18" customHeight="1">
      <c r="B1508" t="s">
        <v>914</v>
      </c>
      <c r="C1508" t="s">
        <v>915</v>
      </c>
      <c r="D1508" s="4"/>
      <c r="E1508" s="4">
        <v>3</v>
      </c>
      <c r="F1508" s="4"/>
      <c r="G1508" s="29" t="str">
        <f>IFERROR(HYPERLINK("#"&amp;ADDRESS(MATCH(B1508&amp;"ES",'LM7 Non-ENG'!$A$1:$A$5000,0),1,,,"LM7 Non-ENG"),IF(IFERROR(VLOOKUP(B1508&amp;"ES",'LM7 Non-ENG'!$A$1:$A$4999,1,FALSE),"ERROR")=B1508&amp;"ES","Y","")),"")</f>
        <v/>
      </c>
      <c r="H1508" s="29" t="str">
        <f>IFERROR(HYPERLINK("#"&amp;ADDRESS(MATCH(B1508&amp;"PT",'LM7 Non-ENG'!$A$1:$A$5000,0),1,,,"LM7 Non-ENG"),IF(IFERROR(VLOOKUP(B1508&amp;"PT",'LM7 Non-ENG'!$A$1:$A$5000,1,FALSE),"ERROR")=B1508&amp;"PT","Y","")),"")</f>
        <v/>
      </c>
      <c r="I1508" t="str">
        <f>IFERROR(VLOOKUP(B1508,PN!$A:$C,3,FALSE),"")</f>
        <v>Active</v>
      </c>
      <c r="J1508" s="3">
        <f>IFERROR(E1508*VLOOKUP(B1508,PLInter!$A:$D,3,FALSE),"")</f>
        <v>402</v>
      </c>
      <c r="K1508" s="66"/>
      <c r="L1508" s="66"/>
      <c r="M1508" s="66"/>
      <c r="N1508" s="66"/>
      <c r="O1508" s="66"/>
      <c r="P1508" s="66"/>
      <c r="Q1508" s="66"/>
      <c r="R1508" s="66"/>
      <c r="S1508" s="66"/>
    </row>
    <row r="1509" spans="2:19" ht="18" customHeight="1">
      <c r="B1509" t="s">
        <v>684</v>
      </c>
      <c r="C1509" t="s">
        <v>685</v>
      </c>
      <c r="D1509" s="4"/>
      <c r="E1509" s="4">
        <v>2</v>
      </c>
      <c r="F1509" s="4"/>
      <c r="G1509" s="29" t="str">
        <f>IFERROR(HYPERLINK("#"&amp;ADDRESS(MATCH(B1509&amp;"ES",'LM7 Non-ENG'!$A$1:$A$5000,0),1,,,"LM7 Non-ENG"),IF(IFERROR(VLOOKUP(B1509&amp;"ES",'LM7 Non-ENG'!$A$1:$A$4999,1,FALSE),"ERROR")=B1509&amp;"ES","Y","")),"")</f>
        <v/>
      </c>
      <c r="H1509" s="29" t="str">
        <f>IFERROR(HYPERLINK("#"&amp;ADDRESS(MATCH(B1509&amp;"PT",'LM7 Non-ENG'!$A$1:$A$5000,0),1,,,"LM7 Non-ENG"),IF(IFERROR(VLOOKUP(B1509&amp;"PT",'LM7 Non-ENG'!$A$1:$A$5000,1,FALSE),"ERROR")=B1509&amp;"PT","Y","")),"")</f>
        <v/>
      </c>
      <c r="I1509" t="str">
        <f>IFERROR(VLOOKUP(B1509,PN!$A:$C,3,FALSE),"")</f>
        <v>Active</v>
      </c>
      <c r="J1509" s="3">
        <f>IFERROR(E1509*VLOOKUP(B1509,PLInter!$A:$D,3,FALSE),"")</f>
        <v>1160</v>
      </c>
      <c r="K1509" s="66"/>
      <c r="L1509" s="66"/>
      <c r="M1509" s="66"/>
      <c r="N1509" s="66"/>
      <c r="O1509" s="66"/>
      <c r="P1509" s="66"/>
      <c r="Q1509" s="66"/>
      <c r="R1509" s="66"/>
      <c r="S1509" s="66"/>
    </row>
    <row r="1510" spans="2:19" ht="18" customHeight="1">
      <c r="B1510" t="str">
        <f>"021172"</f>
        <v>021172</v>
      </c>
      <c r="C1510" t="s">
        <v>916</v>
      </c>
      <c r="D1510" s="4"/>
      <c r="E1510" s="4">
        <v>2</v>
      </c>
      <c r="F1510" s="4"/>
      <c r="G1510" s="29" t="str">
        <f>IFERROR(HYPERLINK("#"&amp;ADDRESS(MATCH(B1510&amp;"ES",'LM7 Non-ENG'!$A$1:$A$5000,0),1,,,"LM7 Non-ENG"),IF(IFERROR(VLOOKUP(B1510&amp;"ES",'LM7 Non-ENG'!$A$1:$A$4999,1,FALSE),"ERROR")=B1510&amp;"ES","Y","")),"")</f>
        <v/>
      </c>
      <c r="H1510" s="29" t="str">
        <f>IFERROR(HYPERLINK("#"&amp;ADDRESS(MATCH(B1510&amp;"PT",'LM7 Non-ENG'!$A$1:$A$5000,0),1,,,"LM7 Non-ENG"),IF(IFERROR(VLOOKUP(B1510&amp;"PT",'LM7 Non-ENG'!$A$1:$A$5000,1,FALSE),"ERROR")=B1510&amp;"PT","Y","")),"")</f>
        <v/>
      </c>
      <c r="I1510" t="str">
        <f>IFERROR(VLOOKUP(B1510,PN!$A:$C,3,FALSE),"")</f>
        <v>Active</v>
      </c>
      <c r="J1510" s="3">
        <f>IFERROR(E1510*VLOOKUP(B1510,PLInter!$A:$D,3,FALSE),"")</f>
        <v>80</v>
      </c>
      <c r="K1510" s="66"/>
      <c r="L1510" s="66"/>
      <c r="M1510" s="66"/>
      <c r="N1510" s="66"/>
      <c r="O1510" s="66"/>
      <c r="P1510" s="66"/>
      <c r="Q1510" s="66"/>
      <c r="R1510" s="66"/>
      <c r="S1510" s="66"/>
    </row>
    <row r="1511" spans="2:19" ht="18" customHeight="1">
      <c r="B1511" t="s">
        <v>917</v>
      </c>
      <c r="C1511" t="s">
        <v>918</v>
      </c>
      <c r="D1511" s="4"/>
      <c r="E1511" s="4">
        <v>1</v>
      </c>
      <c r="F1511" s="4"/>
      <c r="G1511" s="29" t="str">
        <f>IFERROR(HYPERLINK("#"&amp;ADDRESS(MATCH(B1511&amp;"ES",'LM7 Non-ENG'!$A$1:$A$5000,0),1,,,"LM7 Non-ENG"),IF(IFERROR(VLOOKUP(B1511&amp;"ES",'LM7 Non-ENG'!$A$1:$A$4999,1,FALSE),"ERROR")=B1511&amp;"ES","Y","")),"")</f>
        <v/>
      </c>
      <c r="H1511" s="29" t="str">
        <f>IFERROR(HYPERLINK("#"&amp;ADDRESS(MATCH(B1511&amp;"PT",'LM7 Non-ENG'!$A$1:$A$5000,0),1,,,"LM7 Non-ENG"),IF(IFERROR(VLOOKUP(B1511&amp;"PT",'LM7 Non-ENG'!$A$1:$A$5000,1,FALSE),"ERROR")=B1511&amp;"PT","Y","")),"")</f>
        <v/>
      </c>
      <c r="I1511" t="str">
        <f>IFERROR(VLOOKUP(B1511,PN!$A:$C,3,FALSE),"")</f>
        <v>Phase Out</v>
      </c>
      <c r="J1511" s="3">
        <f>IFERROR(E1511*VLOOKUP(B1511,PLInter!$A:$D,3,FALSE),"")</f>
        <v>1735</v>
      </c>
      <c r="K1511" s="66"/>
      <c r="L1511" s="66"/>
      <c r="M1511" s="66"/>
      <c r="N1511" s="66"/>
      <c r="O1511" s="66"/>
      <c r="P1511" s="66"/>
      <c r="Q1511" s="66"/>
      <c r="R1511" s="66"/>
      <c r="S1511" s="66"/>
    </row>
    <row r="1512" spans="2:19" ht="18" customHeight="1">
      <c r="B1512" t="s">
        <v>919</v>
      </c>
      <c r="C1512" t="s">
        <v>920</v>
      </c>
      <c r="D1512" s="4"/>
      <c r="E1512" s="4">
        <v>1</v>
      </c>
      <c r="F1512" s="4"/>
      <c r="G1512" s="29" t="str">
        <f>IFERROR(HYPERLINK("#"&amp;ADDRESS(MATCH(B1512&amp;"ES",'LM7 Non-ENG'!$A$1:$A$5000,0),1,,,"LM7 Non-ENG"),IF(IFERROR(VLOOKUP(B1512&amp;"ES",'LM7 Non-ENG'!$A$1:$A$4999,1,FALSE),"ERROR")=B1512&amp;"ES","Y","")),"")</f>
        <v/>
      </c>
      <c r="H1512" s="29" t="str">
        <f>IFERROR(HYPERLINK("#"&amp;ADDRESS(MATCH(B1512&amp;"PT",'LM7 Non-ENG'!$A$1:$A$5000,0),1,,,"LM7 Non-ENG"),IF(IFERROR(VLOOKUP(B1512&amp;"PT",'LM7 Non-ENG'!$A$1:$A$5000,1,FALSE),"ERROR")=B1512&amp;"PT","Y","")),"")</f>
        <v/>
      </c>
      <c r="I1512" t="str">
        <f>IFERROR(VLOOKUP(B1512,PN!$A:$C,3,FALSE),"")</f>
        <v>Active</v>
      </c>
      <c r="J1512" s="3">
        <f>IFERROR(E1512*VLOOKUP(B1512,PLInter!$A:$D,3,FALSE),"")</f>
        <v>635</v>
      </c>
      <c r="K1512" s="66"/>
      <c r="L1512" s="66"/>
      <c r="M1512" s="66"/>
      <c r="N1512" s="66"/>
      <c r="O1512" s="66"/>
      <c r="P1512" s="66"/>
      <c r="Q1512" s="66"/>
      <c r="R1512" s="66"/>
      <c r="S1512" s="66"/>
    </row>
    <row r="1513" spans="2:19" ht="18" customHeight="1">
      <c r="B1513" t="s">
        <v>921</v>
      </c>
      <c r="C1513" t="s">
        <v>922</v>
      </c>
      <c r="D1513" s="4"/>
      <c r="E1513" s="4">
        <v>1</v>
      </c>
      <c r="F1513" s="4"/>
      <c r="G1513" s="29" t="str">
        <f>IFERROR(HYPERLINK("#"&amp;ADDRESS(MATCH(B1513&amp;"ES",'LM7 Non-ENG'!$A$1:$A$5000,0),1,,,"LM7 Non-ENG"),IF(IFERROR(VLOOKUP(B1513&amp;"ES",'LM7 Non-ENG'!$A$1:$A$4999,1,FALSE),"ERROR")=B1513&amp;"ES","Y","")),"")</f>
        <v/>
      </c>
      <c r="H1513" s="29" t="str">
        <f>IFERROR(HYPERLINK("#"&amp;ADDRESS(MATCH(B1513&amp;"PT",'LM7 Non-ENG'!$A$1:$A$5000,0),1,,,"LM7 Non-ENG"),IF(IFERROR(VLOOKUP(B1513&amp;"PT",'LM7 Non-ENG'!$A$1:$A$5000,1,FALSE),"ERROR")=B1513&amp;"PT","Y","")),"")</f>
        <v/>
      </c>
      <c r="I1513" t="str">
        <f>IFERROR(VLOOKUP(B1513,PN!$A:$C,3,FALSE),"")</f>
        <v>Active</v>
      </c>
      <c r="J1513" s="3">
        <f>IFERROR(E1513*VLOOKUP(B1513,PLInter!$A:$D,3,FALSE),"")</f>
        <v>2585</v>
      </c>
      <c r="K1513" s="66"/>
      <c r="L1513" s="66"/>
      <c r="M1513" s="66"/>
      <c r="N1513" s="66"/>
      <c r="O1513" s="66"/>
      <c r="P1513" s="66"/>
      <c r="Q1513" s="66"/>
      <c r="R1513" s="66"/>
      <c r="S1513" s="66"/>
    </row>
    <row r="1514" spans="2:19" ht="18" customHeight="1">
      <c r="B1514" t="s">
        <v>931</v>
      </c>
      <c r="C1514" t="s">
        <v>932</v>
      </c>
      <c r="D1514" s="4"/>
      <c r="E1514" s="4">
        <v>1</v>
      </c>
      <c r="F1514" s="4"/>
      <c r="G1514" s="29" t="str">
        <f>IFERROR(HYPERLINK("#"&amp;ADDRESS(MATCH(B1514&amp;"ES",'LM7 Non-ENG'!$A$1:$A$5000,0),1,,,"LM7 Non-ENG"),IF(IFERROR(VLOOKUP(B1514&amp;"ES",'LM7 Non-ENG'!$A$1:$A$4999,1,FALSE),"ERROR")=B1514&amp;"ES","Y","")),"")</f>
        <v/>
      </c>
      <c r="H1514" s="29" t="str">
        <f>IFERROR(HYPERLINK("#"&amp;ADDRESS(MATCH(B1514&amp;"PT",'LM7 Non-ENG'!$A$1:$A$5000,0),1,,,"LM7 Non-ENG"),IF(IFERROR(VLOOKUP(B1514&amp;"PT",'LM7 Non-ENG'!$A$1:$A$5000,1,FALSE),"ERROR")=B1514&amp;"PT","Y","")),"")</f>
        <v/>
      </c>
      <c r="I1514" t="str">
        <f>IFERROR(VLOOKUP(B1514,PN!$A:$C,3,FALSE),"")</f>
        <v>Active</v>
      </c>
      <c r="J1514" s="3">
        <f>IFERROR(E1514*VLOOKUP(B1514,PLInter!$A:$D,3,FALSE),"")</f>
        <v>6335</v>
      </c>
      <c r="K1514" s="66"/>
      <c r="L1514" s="66"/>
      <c r="M1514" s="66"/>
      <c r="N1514" s="66"/>
      <c r="O1514" s="66"/>
      <c r="P1514" s="66"/>
      <c r="Q1514" s="66"/>
      <c r="R1514" s="66"/>
      <c r="S1514" s="66"/>
    </row>
    <row r="1515" spans="2:19" ht="18" customHeight="1">
      <c r="B1515" t="s">
        <v>923</v>
      </c>
      <c r="C1515" t="s">
        <v>924</v>
      </c>
      <c r="D1515" s="4"/>
      <c r="E1515" s="4">
        <v>12</v>
      </c>
      <c r="F1515" s="4"/>
      <c r="G1515" s="29" t="str">
        <f>IFERROR(HYPERLINK("#"&amp;ADDRESS(MATCH(B1515&amp;"ES",'LM7 Non-ENG'!$A$1:$A$5000,0),1,,,"LM7 Non-ENG"),IF(IFERROR(VLOOKUP(B1515&amp;"ES",'LM7 Non-ENG'!$A$1:$A$4999,1,FALSE),"ERROR")=B1515&amp;"ES","Y","")),"")</f>
        <v/>
      </c>
      <c r="H1515" s="29" t="str">
        <f>IFERROR(HYPERLINK("#"&amp;ADDRESS(MATCH(B1515&amp;"PT",'LM7 Non-ENG'!$A$1:$A$5000,0),1,,,"LM7 Non-ENG"),IF(IFERROR(VLOOKUP(B1515&amp;"PT",'LM7 Non-ENG'!$A$1:$A$5000,1,FALSE),"ERROR")=B1515&amp;"PT","Y","")),"")</f>
        <v/>
      </c>
      <c r="I1515" t="str">
        <f>IFERROR(VLOOKUP(B1515,PN!$A:$C,3,FALSE),"")</f>
        <v>Active</v>
      </c>
      <c r="J1515" s="3">
        <f>IFERROR(E1515*VLOOKUP(B1515,PLInter!$A:$D,3,FALSE),"")</f>
        <v>1104</v>
      </c>
      <c r="K1515" s="66"/>
      <c r="L1515" s="66"/>
      <c r="M1515" s="66"/>
      <c r="N1515" s="66"/>
      <c r="O1515" s="66"/>
      <c r="P1515" s="66"/>
      <c r="Q1515" s="66"/>
      <c r="R1515" s="66"/>
      <c r="S1515" s="66"/>
    </row>
    <row r="1516" spans="2:19" ht="18" customHeight="1">
      <c r="B1516" t="s">
        <v>241</v>
      </c>
      <c r="C1516" t="s">
        <v>976</v>
      </c>
      <c r="D1516" s="4"/>
      <c r="E1516" s="4">
        <v>1</v>
      </c>
      <c r="F1516" s="4"/>
      <c r="G1516" s="29" t="str">
        <f>IFERROR(HYPERLINK("#"&amp;ADDRESS(MATCH(B1516&amp;"ES",'LM7 Non-ENG'!$A$1:$A$5000,0),1,,,"LM7 Non-ENG"),IF(IFERROR(VLOOKUP(B1516&amp;"ES",'LM7 Non-ENG'!$A$1:$A$4999,1,FALSE),"ERROR")=B1516&amp;"ES","Y","")),"")</f>
        <v/>
      </c>
      <c r="H1516" s="29" t="str">
        <f>IFERROR(HYPERLINK("#"&amp;ADDRESS(MATCH(B1516&amp;"PT",'LM7 Non-ENG'!$A$1:$A$5000,0),1,,,"LM7 Non-ENG"),IF(IFERROR(VLOOKUP(B1516&amp;"PT",'LM7 Non-ENG'!$A$1:$A$5000,1,FALSE),"ERROR")=B1516&amp;"PT","Y","")),"")</f>
        <v/>
      </c>
      <c r="I1516" t="str">
        <f>IFERROR(VLOOKUP(B1516,PN!$A:$C,3,FALSE),"")</f>
        <v>Active</v>
      </c>
      <c r="J1516" s="3">
        <f>IFERROR(E1516*VLOOKUP(B1516,PLInter!$A:$D,3,FALSE),"")</f>
        <v>2600</v>
      </c>
      <c r="K1516" s="66"/>
      <c r="L1516" s="66"/>
      <c r="M1516" s="66"/>
      <c r="N1516" s="66"/>
      <c r="O1516" s="66"/>
      <c r="P1516" s="66"/>
      <c r="Q1516" s="66"/>
      <c r="R1516" s="66"/>
      <c r="S1516" s="66"/>
    </row>
    <row r="1517" spans="2:19" ht="18" customHeight="1">
      <c r="B1517" t="s">
        <v>977</v>
      </c>
      <c r="C1517" t="s">
        <v>978</v>
      </c>
      <c r="D1517" s="4"/>
      <c r="E1517" s="4">
        <v>1</v>
      </c>
      <c r="F1517" s="4"/>
      <c r="G1517" s="29" t="str">
        <f>IFERROR(HYPERLINK("#"&amp;ADDRESS(MATCH(B1517&amp;"ES",'LM7 Non-ENG'!$A$1:$A$5000,0),1,,,"LM7 Non-ENG"),IF(IFERROR(VLOOKUP(B1517&amp;"ES",'LM7 Non-ENG'!$A$1:$A$4999,1,FALSE),"ERROR")=B1517&amp;"ES","Y","")),"")</f>
        <v/>
      </c>
      <c r="H1517" s="29" t="str">
        <f>IFERROR(HYPERLINK("#"&amp;ADDRESS(MATCH(B1517&amp;"PT",'LM7 Non-ENG'!$A$1:$A$5000,0),1,,,"LM7 Non-ENG"),IF(IFERROR(VLOOKUP(B1517&amp;"PT",'LM7 Non-ENG'!$A$1:$A$5000,1,FALSE),"ERROR")=B1517&amp;"PT","Y","")),"")</f>
        <v/>
      </c>
      <c r="I1517" t="str">
        <f>IFERROR(VLOOKUP(B1517,PN!$A:$C,3,FALSE),"")</f>
        <v>Active</v>
      </c>
      <c r="J1517" s="3">
        <f>IFERROR(E1517*VLOOKUP(B1517,PLInter!$A:$D,3,FALSE),"")</f>
        <v>3885</v>
      </c>
      <c r="K1517" s="66"/>
      <c r="L1517" s="66"/>
      <c r="M1517" s="66"/>
      <c r="N1517" s="66"/>
      <c r="O1517" s="66"/>
      <c r="P1517" s="66"/>
      <c r="Q1517" s="66"/>
      <c r="R1517" s="66"/>
      <c r="S1517" s="66"/>
    </row>
    <row r="1518" spans="2:19" ht="18" customHeight="1">
      <c r="B1518" t="str">
        <f>"113316"</f>
        <v>113316</v>
      </c>
      <c r="C1518" t="s">
        <v>979</v>
      </c>
      <c r="D1518" s="4"/>
      <c r="E1518" s="4">
        <v>1</v>
      </c>
      <c r="F1518" s="4"/>
      <c r="G1518" s="29" t="str">
        <f>IFERROR(HYPERLINK("#"&amp;ADDRESS(MATCH(B1518&amp;"ES",'LM7 Non-ENG'!$A$1:$A$5000,0),1,,,"LM7 Non-ENG"),IF(IFERROR(VLOOKUP(B1518&amp;"ES",'LM7 Non-ENG'!$A$1:$A$4999,1,FALSE),"ERROR")=B1518&amp;"ES","Y","")),"")</f>
        <v/>
      </c>
      <c r="H1518" s="29" t="str">
        <f>IFERROR(HYPERLINK("#"&amp;ADDRESS(MATCH(B1518&amp;"PT",'LM7 Non-ENG'!$A$1:$A$5000,0),1,,,"LM7 Non-ENG"),IF(IFERROR(VLOOKUP(B1518&amp;"PT",'LM7 Non-ENG'!$A$1:$A$5000,1,FALSE),"ERROR")=B1518&amp;"PT","Y","")),"")</f>
        <v/>
      </c>
      <c r="I1518" t="str">
        <f>IFERROR(VLOOKUP(B1518,PN!$A:$C,3,FALSE),"")</f>
        <v>Active</v>
      </c>
      <c r="J1518" s="3">
        <f>IFERROR(E1518*VLOOKUP(B1518,PLInter!$A:$D,3,FALSE),"")</f>
        <v>20</v>
      </c>
      <c r="K1518" s="66"/>
      <c r="L1518" s="66"/>
      <c r="M1518" s="66"/>
      <c r="N1518" s="66"/>
      <c r="O1518" s="66"/>
      <c r="P1518" s="66"/>
      <c r="Q1518" s="66"/>
      <c r="R1518" s="66"/>
      <c r="S1518" s="66"/>
    </row>
    <row r="1519" spans="2:19" ht="18" customHeight="1">
      <c r="B1519" t="str">
        <f>"112713"</f>
        <v>112713</v>
      </c>
      <c r="C1519" t="s">
        <v>944</v>
      </c>
      <c r="D1519" s="4"/>
      <c r="E1519" s="4">
        <v>3</v>
      </c>
      <c r="F1519" s="4"/>
      <c r="G1519" s="29" t="str">
        <f>IFERROR(HYPERLINK("#"&amp;ADDRESS(MATCH(B1519&amp;"ES",'LM7 Non-ENG'!$A$1:$A$5000,0),1,,,"LM7 Non-ENG"),IF(IFERROR(VLOOKUP(B1519&amp;"ES",'LM7 Non-ENG'!$A$1:$A$4999,1,FALSE),"ERROR")=B1519&amp;"ES","Y","")),"")</f>
        <v/>
      </c>
      <c r="H1519" s="29" t="str">
        <f>IFERROR(HYPERLINK("#"&amp;ADDRESS(MATCH(B1519&amp;"PT",'LM7 Non-ENG'!$A$1:$A$5000,0),1,,,"LM7 Non-ENG"),IF(IFERROR(VLOOKUP(B1519&amp;"PT",'LM7 Non-ENG'!$A$1:$A$5000,1,FALSE),"ERROR")=B1519&amp;"PT","Y","")),"")</f>
        <v/>
      </c>
      <c r="I1519" t="str">
        <f>IFERROR(VLOOKUP(B1519,PN!$A:$C,3,FALSE),"")</f>
        <v>Active</v>
      </c>
      <c r="J1519" s="3">
        <f>IFERROR(E1519*VLOOKUP(B1519,PLInter!$A:$D,3,FALSE),"")</f>
        <v>300</v>
      </c>
      <c r="K1519" s="66"/>
      <c r="L1519" s="66"/>
      <c r="M1519" s="66"/>
      <c r="N1519" s="66"/>
      <c r="O1519" s="66"/>
      <c r="P1519" s="66"/>
      <c r="Q1519" s="66"/>
      <c r="R1519" s="66"/>
      <c r="S1519" s="66"/>
    </row>
    <row r="1520" spans="2:19" ht="18" customHeight="1">
      <c r="B1520" t="str">
        <f>"113096"</f>
        <v>113096</v>
      </c>
      <c r="C1520" t="s">
        <v>943</v>
      </c>
      <c r="D1520" s="4"/>
      <c r="E1520" s="4">
        <v>3</v>
      </c>
      <c r="F1520" s="4"/>
      <c r="G1520" s="29" t="str">
        <f>IFERROR(HYPERLINK("#"&amp;ADDRESS(MATCH(B1520&amp;"ES",'LM7 Non-ENG'!$A$1:$A$5000,0),1,,,"LM7 Non-ENG"),IF(IFERROR(VLOOKUP(B1520&amp;"ES",'LM7 Non-ENG'!$A$1:$A$4999,1,FALSE),"ERROR")=B1520&amp;"ES","Y","")),"")</f>
        <v/>
      </c>
      <c r="H1520" s="29" t="str">
        <f>IFERROR(HYPERLINK("#"&amp;ADDRESS(MATCH(B1520&amp;"PT",'LM7 Non-ENG'!$A$1:$A$5000,0),1,,,"LM7 Non-ENG"),IF(IFERROR(VLOOKUP(B1520&amp;"PT",'LM7 Non-ENG'!$A$1:$A$5000,1,FALSE),"ERROR")=B1520&amp;"PT","Y","")),"")</f>
        <v/>
      </c>
      <c r="I1520" t="str">
        <f>IFERROR(VLOOKUP(B1520,PN!$A:$C,3,FALSE),"")</f>
        <v>Active</v>
      </c>
      <c r="J1520" s="3">
        <f>IFERROR(E1520*VLOOKUP(B1520,PLInter!$A:$D,3,FALSE),"")</f>
        <v>162</v>
      </c>
      <c r="K1520" s="66"/>
      <c r="L1520" s="66"/>
      <c r="M1520" s="66"/>
      <c r="N1520" s="66"/>
      <c r="O1520" s="66"/>
      <c r="P1520" s="66"/>
      <c r="Q1520" s="66"/>
      <c r="R1520" s="66"/>
      <c r="S1520" s="66"/>
    </row>
    <row r="1521" spans="1:19" ht="18" customHeight="1">
      <c r="B1521" t="s">
        <v>925</v>
      </c>
      <c r="C1521" t="s">
        <v>926</v>
      </c>
      <c r="D1521" s="4"/>
      <c r="E1521" s="4">
        <v>1</v>
      </c>
      <c r="F1521" s="4"/>
      <c r="G1521" s="29" t="str">
        <f>IFERROR(HYPERLINK("#"&amp;ADDRESS(MATCH(B1521&amp;"ES",'LM7 Non-ENG'!$A$1:$A$5000,0),1,,,"LM7 Non-ENG"),IF(IFERROR(VLOOKUP(B1521&amp;"ES",'LM7 Non-ENG'!$A$1:$A$4999,1,FALSE),"ERROR")=B1521&amp;"ES","Y","")),"")</f>
        <v/>
      </c>
      <c r="H1521" s="29" t="str">
        <f>IFERROR(HYPERLINK("#"&amp;ADDRESS(MATCH(B1521&amp;"PT",'LM7 Non-ENG'!$A$1:$A$5000,0),1,,,"LM7 Non-ENG"),IF(IFERROR(VLOOKUP(B1521&amp;"PT",'LM7 Non-ENG'!$A$1:$A$5000,1,FALSE),"ERROR")=B1521&amp;"PT","Y","")),"")</f>
        <v/>
      </c>
      <c r="I1521" t="str">
        <f>IFERROR(VLOOKUP(B1521,PN!$A:$C,3,FALSE),"")</f>
        <v>Active</v>
      </c>
      <c r="J1521" s="3">
        <f>IFERROR(E1521*VLOOKUP(B1521,PLInter!$A:$D,3,FALSE),"")</f>
        <v>2760</v>
      </c>
      <c r="K1521" s="66"/>
      <c r="L1521" s="66"/>
      <c r="M1521" s="66"/>
      <c r="N1521" s="66"/>
      <c r="O1521" s="66"/>
      <c r="P1521" s="66"/>
      <c r="Q1521" s="66"/>
      <c r="R1521" s="66"/>
      <c r="S1521" s="66"/>
    </row>
    <row r="1522" spans="1:19" ht="18" customHeight="1">
      <c r="B1522" t="s">
        <v>927</v>
      </c>
      <c r="C1522" t="s">
        <v>928</v>
      </c>
      <c r="D1522" s="4"/>
      <c r="E1522" s="4">
        <v>1</v>
      </c>
      <c r="F1522" s="4"/>
      <c r="G1522" s="29" t="str">
        <f>IFERROR(HYPERLINK("#"&amp;ADDRESS(MATCH(B1522&amp;"ES",'LM7 Non-ENG'!$A$1:$A$5000,0),1,,,"LM7 Non-ENG"),IF(IFERROR(VLOOKUP(B1522&amp;"ES",'LM7 Non-ENG'!$A$1:$A$4999,1,FALSE),"ERROR")=B1522&amp;"ES","Y","")),"")</f>
        <v/>
      </c>
      <c r="H1522" s="29" t="str">
        <f>IFERROR(HYPERLINK("#"&amp;ADDRESS(MATCH(B1522&amp;"PT",'LM7 Non-ENG'!$A$1:$A$5000,0),1,,,"LM7 Non-ENG"),IF(IFERROR(VLOOKUP(B1522&amp;"PT",'LM7 Non-ENG'!$A$1:$A$5000,1,FALSE),"ERROR")=B1522&amp;"PT","Y","")),"")</f>
        <v/>
      </c>
      <c r="I1522" t="str">
        <f>IFERROR(VLOOKUP(B1522,PN!$A:$C,3,FALSE),"")</f>
        <v>Active</v>
      </c>
      <c r="J1522" s="3">
        <f>IFERROR(E1522*VLOOKUP(B1522,PLInter!$A:$D,3,FALSE),"")</f>
        <v>467</v>
      </c>
      <c r="K1522" s="66"/>
      <c r="L1522" s="66"/>
      <c r="M1522" s="66"/>
      <c r="N1522" s="66"/>
      <c r="O1522" s="66"/>
      <c r="P1522" s="66"/>
      <c r="Q1522" s="66"/>
      <c r="R1522" s="66"/>
      <c r="S1522" s="66"/>
    </row>
    <row r="1523" spans="1:19" ht="18" customHeight="1">
      <c r="B1523" t="s">
        <v>668</v>
      </c>
      <c r="C1523" t="s">
        <v>669</v>
      </c>
      <c r="D1523" s="4"/>
      <c r="E1523" s="4">
        <v>1</v>
      </c>
      <c r="F1523" s="4"/>
      <c r="G1523" s="29" t="str">
        <f>IFERROR(HYPERLINK("#"&amp;ADDRESS(MATCH(B1523&amp;"ES",'LM7 Non-ENG'!$A$1:$A$5000,0),1,,,"LM7 Non-ENG"),IF(IFERROR(VLOOKUP(B1523&amp;"ES",'LM7 Non-ENG'!$A$1:$A$4999,1,FALSE),"ERROR")=B1523&amp;"ES","Y","")),"")</f>
        <v/>
      </c>
      <c r="H1523" s="29" t="str">
        <f>IFERROR(HYPERLINK("#"&amp;ADDRESS(MATCH(B1523&amp;"PT",'LM7 Non-ENG'!$A$1:$A$5000,0),1,,,"LM7 Non-ENG"),IF(IFERROR(VLOOKUP(B1523&amp;"PT",'LM7 Non-ENG'!$A$1:$A$5000,1,FALSE),"ERROR")=B1523&amp;"PT","Y","")),"")</f>
        <v/>
      </c>
      <c r="I1523" t="str">
        <f>IFERROR(VLOOKUP(B1523,PN!$A:$C,3,FALSE),"")</f>
        <v>Active</v>
      </c>
      <c r="J1523" s="3">
        <f>IFERROR(E1523*VLOOKUP(B1523,PLInter!$A:$D,3,FALSE),"")</f>
        <v>480</v>
      </c>
      <c r="K1523" s="66"/>
      <c r="L1523" s="66"/>
      <c r="M1523" s="66"/>
      <c r="N1523" s="66"/>
      <c r="O1523" s="66"/>
      <c r="P1523" s="66"/>
      <c r="Q1523" s="66"/>
      <c r="R1523" s="66"/>
      <c r="S1523" s="66"/>
    </row>
    <row r="1524" spans="1:19" ht="18" customHeight="1">
      <c r="B1524" t="s">
        <v>630</v>
      </c>
      <c r="C1524" t="s">
        <v>631</v>
      </c>
      <c r="D1524" s="4"/>
      <c r="E1524" s="4">
        <v>1</v>
      </c>
      <c r="F1524" s="4"/>
      <c r="G1524" s="29" t="str">
        <f>IFERROR(HYPERLINK("#"&amp;ADDRESS(MATCH(B1524&amp;"ES",'LM7 Non-ENG'!$A$1:$A$5000,0),1,,,"LM7 Non-ENG"),IF(IFERROR(VLOOKUP(B1524&amp;"ES",'LM7 Non-ENG'!$A$1:$A$4999,1,FALSE),"ERROR")=B1524&amp;"ES","Y","")),"")</f>
        <v/>
      </c>
      <c r="H1524" s="29" t="str">
        <f>IFERROR(HYPERLINK("#"&amp;ADDRESS(MATCH(B1524&amp;"PT",'LM7 Non-ENG'!$A$1:$A$5000,0),1,,,"LM7 Non-ENG"),IF(IFERROR(VLOOKUP(B1524&amp;"PT",'LM7 Non-ENG'!$A$1:$A$5000,1,FALSE),"ERROR")=B1524&amp;"PT","Y","")),"")</f>
        <v/>
      </c>
      <c r="I1524" t="str">
        <f>IFERROR(VLOOKUP(B1524,PN!$A:$C,3,FALSE),"")</f>
        <v>Active</v>
      </c>
      <c r="J1524" s="3">
        <f>IFERROR(E1524*VLOOKUP(B1524,PLInter!$A:$D,3,FALSE),"")</f>
        <v>1735</v>
      </c>
      <c r="K1524" s="66"/>
      <c r="L1524" s="66"/>
      <c r="M1524" s="66"/>
      <c r="N1524" s="66"/>
      <c r="O1524" s="66"/>
      <c r="P1524" s="66"/>
      <c r="Q1524" s="66"/>
      <c r="R1524" s="66"/>
      <c r="S1524" s="66"/>
    </row>
    <row r="1526" spans="1:19" s="7" customFormat="1" ht="18" customHeight="1">
      <c r="A1526" s="13" t="s">
        <v>988</v>
      </c>
      <c r="B1526" s="13"/>
      <c r="C1526" s="13" t="s">
        <v>989</v>
      </c>
      <c r="D1526" s="14"/>
      <c r="E1526" s="14"/>
      <c r="F1526" s="14"/>
      <c r="G1526" s="14"/>
      <c r="H1526" s="14"/>
      <c r="I1526" s="14"/>
      <c r="J1526" s="14">
        <f>SUMIFS(J1527:J1548,D1527:D1548,"&lt;&gt;Y",F1527:F1548,"&lt;&gt;Y",I1527:I1548,"&lt;&gt;Inactive",I1527:I1548,"&lt;&gt;ECO+NFS")</f>
        <v>94604</v>
      </c>
      <c r="K1526" s="14"/>
      <c r="L1526" s="14"/>
      <c r="M1526" s="14"/>
      <c r="N1526" s="14"/>
      <c r="O1526" s="14"/>
      <c r="P1526" s="14"/>
      <c r="Q1526" s="14"/>
      <c r="R1526" s="14"/>
      <c r="S1526" s="14"/>
    </row>
    <row r="1527" spans="1:19" ht="18" customHeight="1">
      <c r="A1527" s="17" t="str">
        <f>HYPERLINK("#"&amp;ADDRESS(MATCH(A1526,'CIM&amp;FMS'!$A$1:$A$4997,0),1,,,"CIM&amp;FMS"),"Back to Price List")</f>
        <v>Back to Price List</v>
      </c>
      <c r="B1527" t="s">
        <v>216</v>
      </c>
      <c r="C1527" t="s">
        <v>913</v>
      </c>
      <c r="D1527" s="4"/>
      <c r="E1527" s="4">
        <v>1</v>
      </c>
      <c r="F1527" s="4"/>
      <c r="G1527" s="29" t="str">
        <f>IFERROR(HYPERLINK("#"&amp;ADDRESS(MATCH(B1527&amp;"ES",'LM7 Non-ENG'!$A$1:$A$5000,0),1,,,"LM7 Non-ENG"),IF(IFERROR(VLOOKUP(B1527&amp;"ES",'LM7 Non-ENG'!$A$1:$A$4999,1,FALSE),"ERROR")=B1527&amp;"ES","Y","")),"")</f>
        <v/>
      </c>
      <c r="H1527" s="29" t="str">
        <f>IFERROR(HYPERLINK("#"&amp;ADDRESS(MATCH(B1527&amp;"PT",'LM7 Non-ENG'!$A$1:$A$5000,0),1,,,"LM7 Non-ENG"),IF(IFERROR(VLOOKUP(B1527&amp;"PT",'LM7 Non-ENG'!$A$1:$A$5000,1,FALSE),"ERROR")=B1527&amp;"PT","Y","")),"")</f>
        <v/>
      </c>
      <c r="I1527" t="str">
        <f>IFERROR(VLOOKUP(B1527,PN!$A:$C,3,FALSE),"")</f>
        <v>Active</v>
      </c>
      <c r="J1527" s="3">
        <f>IFERROR(E1527*VLOOKUP(B1527,PLInter!$A:$D,3,FALSE),"")</f>
        <v>26667</v>
      </c>
      <c r="K1527" s="66"/>
      <c r="L1527" s="66"/>
      <c r="M1527" s="66"/>
      <c r="N1527" s="66"/>
      <c r="O1527" s="66"/>
      <c r="P1527" s="66"/>
      <c r="Q1527" s="66"/>
      <c r="R1527" s="66"/>
      <c r="S1527" s="66"/>
    </row>
    <row r="1528" spans="1:19" ht="18" customHeight="1">
      <c r="B1528" t="s">
        <v>229</v>
      </c>
      <c r="C1528" t="s">
        <v>234</v>
      </c>
      <c r="D1528" s="4"/>
      <c r="E1528" s="4">
        <v>1</v>
      </c>
      <c r="F1528" s="4"/>
      <c r="G1528" s="29" t="str">
        <f>IFERROR(HYPERLINK("#"&amp;ADDRESS(MATCH(B1528&amp;"ES",'LM7 Non-ENG'!$A$1:$A$5000,0),1,,,"LM7 Non-ENG"),IF(IFERROR(VLOOKUP(B1528&amp;"ES",'LM7 Non-ENG'!$A$1:$A$4999,1,FALSE),"ERROR")=B1528&amp;"ES","Y","")),"")</f>
        <v/>
      </c>
      <c r="H1528" s="29" t="str">
        <f>IFERROR(HYPERLINK("#"&amp;ADDRESS(MATCH(B1528&amp;"PT",'LM7 Non-ENG'!$A$1:$A$5000,0),1,,,"LM7 Non-ENG"),IF(IFERROR(VLOOKUP(B1528&amp;"PT",'LM7 Non-ENG'!$A$1:$A$5000,1,FALSE),"ERROR")=B1528&amp;"PT","Y","")),"")</f>
        <v/>
      </c>
      <c r="I1528" t="str">
        <f>IFERROR(VLOOKUP(B1528,PN!$A:$C,3,FALSE),"")</f>
        <v>Active</v>
      </c>
      <c r="J1528" s="3">
        <f>IFERROR(E1528*VLOOKUP(B1528,PLInter!$A:$D,3,FALSE),"")</f>
        <v>3270</v>
      </c>
      <c r="K1528" s="66"/>
      <c r="L1528" s="66"/>
      <c r="M1528" s="66"/>
      <c r="N1528" s="66"/>
      <c r="O1528" s="66"/>
      <c r="P1528" s="66"/>
      <c r="Q1528" s="66"/>
      <c r="R1528" s="66"/>
      <c r="S1528" s="66"/>
    </row>
    <row r="1529" spans="1:19" ht="18" customHeight="1">
      <c r="B1529" s="2" t="s">
        <v>227</v>
      </c>
      <c r="C1529" s="2" t="s">
        <v>232</v>
      </c>
      <c r="D1529" s="5"/>
      <c r="E1529" s="5">
        <v>1</v>
      </c>
      <c r="F1529" s="5" t="s">
        <v>0</v>
      </c>
      <c r="G1529" s="29" t="str">
        <f>IFERROR(HYPERLINK("#"&amp;ADDRESS(MATCH(B1529&amp;"ES",'LM7 Non-ENG'!$A$1:$A$5000,0),1,,,"LM7 Non-ENG"),IF(IFERROR(VLOOKUP(B1529&amp;"ES",'LM7 Non-ENG'!$A$1:$A$4999,1,FALSE),"ERROR")=B1529&amp;"ES","Y","")),"")</f>
        <v/>
      </c>
      <c r="H1529" s="29" t="str">
        <f>IFERROR(HYPERLINK("#"&amp;ADDRESS(MATCH(B1529&amp;"PT",'LM7 Non-ENG'!$A$1:$A$5000,0),1,,,"LM7 Non-ENG"),IF(IFERROR(VLOOKUP(B1529&amp;"PT",'LM7 Non-ENG'!$A$1:$A$5000,1,FALSE),"ERROR")=B1529&amp;"PT","Y","")),"")</f>
        <v/>
      </c>
      <c r="I1529" t="str">
        <f>IFERROR(VLOOKUP(B1529,PN!$A:$C,3,FALSE),"")</f>
        <v>Active</v>
      </c>
      <c r="J1529" s="3">
        <f>IFERROR(E1529*VLOOKUP(B1529,PLInter!$A:$D,3,FALSE),"")</f>
        <v>1700</v>
      </c>
      <c r="K1529" s="66"/>
      <c r="L1529" s="66"/>
      <c r="M1529" s="66"/>
      <c r="N1529" s="66"/>
      <c r="O1529" s="66"/>
      <c r="P1529" s="66"/>
      <c r="Q1529" s="66"/>
      <c r="R1529" s="66"/>
      <c r="S1529" s="66"/>
    </row>
    <row r="1530" spans="1:19" ht="18" customHeight="1">
      <c r="B1530" t="s">
        <v>236</v>
      </c>
      <c r="C1530" t="s">
        <v>626</v>
      </c>
      <c r="D1530" s="4"/>
      <c r="E1530" s="4">
        <v>1</v>
      </c>
      <c r="F1530" s="4"/>
      <c r="G1530" s="29" t="str">
        <f>IFERROR(HYPERLINK("#"&amp;ADDRESS(MATCH(B1530&amp;"ES",'LM7 Non-ENG'!$A$1:$A$5000,0),1,,,"LM7 Non-ENG"),IF(IFERROR(VLOOKUP(B1530&amp;"ES",'LM7 Non-ENG'!$A$1:$A$4999,1,FALSE),"ERROR")=B1530&amp;"ES","Y","")),"")</f>
        <v/>
      </c>
      <c r="H1530" s="29" t="str">
        <f>IFERROR(HYPERLINK("#"&amp;ADDRESS(MATCH(B1530&amp;"PT",'LM7 Non-ENG'!$A$1:$A$5000,0),1,,,"LM7 Non-ENG"),IF(IFERROR(VLOOKUP(B1530&amp;"PT",'LM7 Non-ENG'!$A$1:$A$5000,1,FALSE),"ERROR")=B1530&amp;"PT","Y","")),"")</f>
        <v/>
      </c>
      <c r="I1530" t="str">
        <f>IFERROR(VLOOKUP(B1530,PN!$A:$C,3,FALSE),"")</f>
        <v>Active</v>
      </c>
      <c r="J1530" s="3">
        <f>IFERROR(E1530*VLOOKUP(B1530,PLInter!$A:$D,3,FALSE),"")</f>
        <v>1680</v>
      </c>
      <c r="K1530" s="66"/>
      <c r="L1530" s="66"/>
      <c r="M1530" s="66"/>
      <c r="N1530" s="66"/>
      <c r="O1530" s="66"/>
      <c r="P1530" s="66"/>
      <c r="Q1530" s="66"/>
      <c r="R1530" s="66"/>
      <c r="S1530" s="66"/>
    </row>
    <row r="1531" spans="1:19" ht="18" customHeight="1">
      <c r="B1531" t="str">
        <f>"034025"</f>
        <v>034025</v>
      </c>
      <c r="C1531" t="s">
        <v>777</v>
      </c>
      <c r="D1531" s="4"/>
      <c r="E1531" s="4">
        <v>1</v>
      </c>
      <c r="F1531" s="4"/>
      <c r="G1531" s="29" t="str">
        <f>IFERROR(HYPERLINK("#"&amp;ADDRESS(MATCH(B1531&amp;"ES",'LM7 Non-ENG'!$A$1:$A$5000,0),1,,,"LM7 Non-ENG"),IF(IFERROR(VLOOKUP(B1531&amp;"ES",'LM7 Non-ENG'!$A$1:$A$4999,1,FALSE),"ERROR")=B1531&amp;"ES","Y","")),"")</f>
        <v/>
      </c>
      <c r="H1531" s="29" t="str">
        <f>IFERROR(HYPERLINK("#"&amp;ADDRESS(MATCH(B1531&amp;"PT",'LM7 Non-ENG'!$A$1:$A$5000,0),1,,,"LM7 Non-ENG"),IF(IFERROR(VLOOKUP(B1531&amp;"PT",'LM7 Non-ENG'!$A$1:$A$5000,1,FALSE),"ERROR")=B1531&amp;"PT","Y","")),"")</f>
        <v/>
      </c>
      <c r="I1531" t="str">
        <f>IFERROR(VLOOKUP(B1531,PN!$A:$C,3,FALSE),"")</f>
        <v>Active</v>
      </c>
      <c r="J1531" s="3">
        <f>IFERROR(E1531*VLOOKUP(B1531,PLInter!$A:$D,3,FALSE),"")</f>
        <v>1267</v>
      </c>
      <c r="K1531" s="66"/>
      <c r="L1531" s="66"/>
      <c r="M1531" s="66"/>
      <c r="N1531" s="66"/>
      <c r="O1531" s="66"/>
      <c r="P1531" s="66"/>
      <c r="Q1531" s="66"/>
      <c r="R1531" s="66"/>
      <c r="S1531" s="66"/>
    </row>
    <row r="1532" spans="1:19" ht="18" customHeight="1">
      <c r="B1532" t="s">
        <v>914</v>
      </c>
      <c r="C1532" t="s">
        <v>915</v>
      </c>
      <c r="D1532" s="4"/>
      <c r="E1532" s="4">
        <v>3</v>
      </c>
      <c r="F1532" s="4"/>
      <c r="G1532" s="29" t="str">
        <f>IFERROR(HYPERLINK("#"&amp;ADDRESS(MATCH(B1532&amp;"ES",'LM7 Non-ENG'!$A$1:$A$5000,0),1,,,"LM7 Non-ENG"),IF(IFERROR(VLOOKUP(B1532&amp;"ES",'LM7 Non-ENG'!$A$1:$A$4999,1,FALSE),"ERROR")=B1532&amp;"ES","Y","")),"")</f>
        <v/>
      </c>
      <c r="H1532" s="29" t="str">
        <f>IFERROR(HYPERLINK("#"&amp;ADDRESS(MATCH(B1532&amp;"PT",'LM7 Non-ENG'!$A$1:$A$5000,0),1,,,"LM7 Non-ENG"),IF(IFERROR(VLOOKUP(B1532&amp;"PT",'LM7 Non-ENG'!$A$1:$A$5000,1,FALSE),"ERROR")=B1532&amp;"PT","Y","")),"")</f>
        <v/>
      </c>
      <c r="I1532" t="str">
        <f>IFERROR(VLOOKUP(B1532,PN!$A:$C,3,FALSE),"")</f>
        <v>Active</v>
      </c>
      <c r="J1532" s="3">
        <f>IFERROR(E1532*VLOOKUP(B1532,PLInter!$A:$D,3,FALSE),"")</f>
        <v>402</v>
      </c>
      <c r="K1532" s="66"/>
      <c r="L1532" s="66"/>
      <c r="M1532" s="66"/>
      <c r="N1532" s="66"/>
      <c r="O1532" s="66"/>
      <c r="P1532" s="66"/>
      <c r="Q1532" s="66"/>
      <c r="R1532" s="66"/>
      <c r="S1532" s="66"/>
    </row>
    <row r="1533" spans="1:19" ht="18" customHeight="1">
      <c r="B1533" t="s">
        <v>684</v>
      </c>
      <c r="C1533" t="s">
        <v>685</v>
      </c>
      <c r="D1533" s="4"/>
      <c r="E1533" s="4">
        <v>2</v>
      </c>
      <c r="F1533" s="4"/>
      <c r="G1533" s="29" t="str">
        <f>IFERROR(HYPERLINK("#"&amp;ADDRESS(MATCH(B1533&amp;"ES",'LM7 Non-ENG'!$A$1:$A$5000,0),1,,,"LM7 Non-ENG"),IF(IFERROR(VLOOKUP(B1533&amp;"ES",'LM7 Non-ENG'!$A$1:$A$4999,1,FALSE),"ERROR")=B1533&amp;"ES","Y","")),"")</f>
        <v/>
      </c>
      <c r="H1533" s="29" t="str">
        <f>IFERROR(HYPERLINK("#"&amp;ADDRESS(MATCH(B1533&amp;"PT",'LM7 Non-ENG'!$A$1:$A$5000,0),1,,,"LM7 Non-ENG"),IF(IFERROR(VLOOKUP(B1533&amp;"PT",'LM7 Non-ENG'!$A$1:$A$5000,1,FALSE),"ERROR")=B1533&amp;"PT","Y","")),"")</f>
        <v/>
      </c>
      <c r="I1533" t="str">
        <f>IFERROR(VLOOKUP(B1533,PN!$A:$C,3,FALSE),"")</f>
        <v>Active</v>
      </c>
      <c r="J1533" s="3">
        <f>IFERROR(E1533*VLOOKUP(B1533,PLInter!$A:$D,3,FALSE),"")</f>
        <v>1160</v>
      </c>
      <c r="K1533" s="66"/>
      <c r="L1533" s="66"/>
      <c r="M1533" s="66"/>
      <c r="N1533" s="66"/>
      <c r="O1533" s="66"/>
      <c r="P1533" s="66"/>
      <c r="Q1533" s="66"/>
      <c r="R1533" s="66"/>
      <c r="S1533" s="66"/>
    </row>
    <row r="1534" spans="1:19" ht="18" customHeight="1">
      <c r="B1534" t="str">
        <f>"021172"</f>
        <v>021172</v>
      </c>
      <c r="C1534" t="s">
        <v>916</v>
      </c>
      <c r="D1534" s="4"/>
      <c r="E1534" s="4">
        <v>2</v>
      </c>
      <c r="F1534" s="4"/>
      <c r="G1534" s="29" t="str">
        <f>IFERROR(HYPERLINK("#"&amp;ADDRESS(MATCH(B1534&amp;"ES",'LM7 Non-ENG'!$A$1:$A$5000,0),1,,,"LM7 Non-ENG"),IF(IFERROR(VLOOKUP(B1534&amp;"ES",'LM7 Non-ENG'!$A$1:$A$4999,1,FALSE),"ERROR")=B1534&amp;"ES","Y","")),"")</f>
        <v/>
      </c>
      <c r="H1534" s="29" t="str">
        <f>IFERROR(HYPERLINK("#"&amp;ADDRESS(MATCH(B1534&amp;"PT",'LM7 Non-ENG'!$A$1:$A$5000,0),1,,,"LM7 Non-ENG"),IF(IFERROR(VLOOKUP(B1534&amp;"PT",'LM7 Non-ENG'!$A$1:$A$5000,1,FALSE),"ERROR")=B1534&amp;"PT","Y","")),"")</f>
        <v/>
      </c>
      <c r="I1534" t="str">
        <f>IFERROR(VLOOKUP(B1534,PN!$A:$C,3,FALSE),"")</f>
        <v>Active</v>
      </c>
      <c r="J1534" s="3">
        <f>IFERROR(E1534*VLOOKUP(B1534,PLInter!$A:$D,3,FALSE),"")</f>
        <v>80</v>
      </c>
      <c r="K1534" s="66"/>
      <c r="L1534" s="66"/>
      <c r="M1534" s="66"/>
      <c r="N1534" s="66"/>
      <c r="O1534" s="66"/>
      <c r="P1534" s="66"/>
      <c r="Q1534" s="66"/>
      <c r="R1534" s="66"/>
      <c r="S1534" s="66"/>
    </row>
    <row r="1535" spans="1:19" ht="18" customHeight="1">
      <c r="B1535" t="s">
        <v>917</v>
      </c>
      <c r="C1535" t="s">
        <v>918</v>
      </c>
      <c r="D1535" s="4"/>
      <c r="E1535" s="4">
        <v>1</v>
      </c>
      <c r="F1535" s="4"/>
      <c r="G1535" s="29" t="str">
        <f>IFERROR(HYPERLINK("#"&amp;ADDRESS(MATCH(B1535&amp;"ES",'LM7 Non-ENG'!$A$1:$A$5000,0),1,,,"LM7 Non-ENG"),IF(IFERROR(VLOOKUP(B1535&amp;"ES",'LM7 Non-ENG'!$A$1:$A$4999,1,FALSE),"ERROR")=B1535&amp;"ES","Y","")),"")</f>
        <v/>
      </c>
      <c r="H1535" s="29" t="str">
        <f>IFERROR(HYPERLINK("#"&amp;ADDRESS(MATCH(B1535&amp;"PT",'LM7 Non-ENG'!$A$1:$A$5000,0),1,,,"LM7 Non-ENG"),IF(IFERROR(VLOOKUP(B1535&amp;"PT",'LM7 Non-ENG'!$A$1:$A$5000,1,FALSE),"ERROR")=B1535&amp;"PT","Y","")),"")</f>
        <v/>
      </c>
      <c r="I1535" t="str">
        <f>IFERROR(VLOOKUP(B1535,PN!$A:$C,3,FALSE),"")</f>
        <v>Phase Out</v>
      </c>
      <c r="J1535" s="3">
        <f>IFERROR(E1535*VLOOKUP(B1535,PLInter!$A:$D,3,FALSE),"")</f>
        <v>1735</v>
      </c>
      <c r="K1535" s="66"/>
      <c r="L1535" s="66"/>
      <c r="M1535" s="66"/>
      <c r="N1535" s="66"/>
      <c r="O1535" s="66"/>
      <c r="P1535" s="66"/>
      <c r="Q1535" s="66"/>
      <c r="R1535" s="66"/>
      <c r="S1535" s="66"/>
    </row>
    <row r="1536" spans="1:19" ht="18" customHeight="1">
      <c r="B1536" t="s">
        <v>919</v>
      </c>
      <c r="C1536" t="s">
        <v>920</v>
      </c>
      <c r="D1536" s="4"/>
      <c r="E1536" s="4">
        <v>1</v>
      </c>
      <c r="F1536" s="4"/>
      <c r="G1536" s="29" t="str">
        <f>IFERROR(HYPERLINK("#"&amp;ADDRESS(MATCH(B1536&amp;"ES",'LM7 Non-ENG'!$A$1:$A$5000,0),1,,,"LM7 Non-ENG"),IF(IFERROR(VLOOKUP(B1536&amp;"ES",'LM7 Non-ENG'!$A$1:$A$4999,1,FALSE),"ERROR")=B1536&amp;"ES","Y","")),"")</f>
        <v/>
      </c>
      <c r="H1536" s="29" t="str">
        <f>IFERROR(HYPERLINK("#"&amp;ADDRESS(MATCH(B1536&amp;"PT",'LM7 Non-ENG'!$A$1:$A$5000,0),1,,,"LM7 Non-ENG"),IF(IFERROR(VLOOKUP(B1536&amp;"PT",'LM7 Non-ENG'!$A$1:$A$5000,1,FALSE),"ERROR")=B1536&amp;"PT","Y","")),"")</f>
        <v/>
      </c>
      <c r="I1536" t="str">
        <f>IFERROR(VLOOKUP(B1536,PN!$A:$C,3,FALSE),"")</f>
        <v>Active</v>
      </c>
      <c r="J1536" s="3">
        <f>IFERROR(E1536*VLOOKUP(B1536,PLInter!$A:$D,3,FALSE),"")</f>
        <v>635</v>
      </c>
      <c r="K1536" s="66"/>
      <c r="L1536" s="66"/>
      <c r="M1536" s="66"/>
      <c r="N1536" s="66"/>
      <c r="O1536" s="66"/>
      <c r="P1536" s="66"/>
      <c r="Q1536" s="66"/>
      <c r="R1536" s="66"/>
      <c r="S1536" s="66"/>
    </row>
    <row r="1537" spans="1:19" ht="18" customHeight="1">
      <c r="B1537" t="s">
        <v>921</v>
      </c>
      <c r="C1537" t="s">
        <v>922</v>
      </c>
      <c r="D1537" s="4"/>
      <c r="E1537" s="4">
        <v>1</v>
      </c>
      <c r="F1537" s="4"/>
      <c r="G1537" s="29" t="str">
        <f>IFERROR(HYPERLINK("#"&amp;ADDRESS(MATCH(B1537&amp;"ES",'LM7 Non-ENG'!$A$1:$A$5000,0),1,,,"LM7 Non-ENG"),IF(IFERROR(VLOOKUP(B1537&amp;"ES",'LM7 Non-ENG'!$A$1:$A$4999,1,FALSE),"ERROR")=B1537&amp;"ES","Y","")),"")</f>
        <v/>
      </c>
      <c r="H1537" s="29" t="str">
        <f>IFERROR(HYPERLINK("#"&amp;ADDRESS(MATCH(B1537&amp;"PT",'LM7 Non-ENG'!$A$1:$A$5000,0),1,,,"LM7 Non-ENG"),IF(IFERROR(VLOOKUP(B1537&amp;"PT",'LM7 Non-ENG'!$A$1:$A$5000,1,FALSE),"ERROR")=B1537&amp;"PT","Y","")),"")</f>
        <v/>
      </c>
      <c r="I1537" t="str">
        <f>IFERROR(VLOOKUP(B1537,PN!$A:$C,3,FALSE),"")</f>
        <v>Active</v>
      </c>
      <c r="J1537" s="3">
        <f>IFERROR(E1537*VLOOKUP(B1537,PLInter!$A:$D,3,FALSE),"")</f>
        <v>2585</v>
      </c>
      <c r="K1537" s="66"/>
      <c r="L1537" s="66"/>
      <c r="M1537" s="66"/>
      <c r="N1537" s="66"/>
      <c r="O1537" s="66"/>
      <c r="P1537" s="66"/>
      <c r="Q1537" s="66"/>
      <c r="R1537" s="66"/>
      <c r="S1537" s="66"/>
    </row>
    <row r="1538" spans="1:19" ht="18" customHeight="1">
      <c r="B1538" t="s">
        <v>935</v>
      </c>
      <c r="C1538" t="s">
        <v>936</v>
      </c>
      <c r="D1538" s="4"/>
      <c r="E1538" s="4">
        <v>12</v>
      </c>
      <c r="F1538" s="4"/>
      <c r="G1538" s="29" t="str">
        <f>IFERROR(HYPERLINK("#"&amp;ADDRESS(MATCH(B1538&amp;"ES",'LM7 Non-ENG'!$A$1:$A$5000,0),1,,,"LM7 Non-ENG"),IF(IFERROR(VLOOKUP(B1538&amp;"ES",'LM7 Non-ENG'!$A$1:$A$4999,1,FALSE),"ERROR")=B1538&amp;"ES","Y","")),"")</f>
        <v/>
      </c>
      <c r="H1538" s="29" t="str">
        <f>IFERROR(HYPERLINK("#"&amp;ADDRESS(MATCH(B1538&amp;"PT",'LM7 Non-ENG'!$A$1:$A$5000,0),1,,,"LM7 Non-ENG"),IF(IFERROR(VLOOKUP(B1538&amp;"PT",'LM7 Non-ENG'!$A$1:$A$5000,1,FALSE),"ERROR")=B1538&amp;"PT","Y","")),"")</f>
        <v/>
      </c>
      <c r="I1538" t="str">
        <f>IFERROR(VLOOKUP(B1538,PN!$A:$C,3,FALSE),"")</f>
        <v>Phase Out</v>
      </c>
      <c r="J1538" s="3">
        <f>IFERROR(E1538*VLOOKUP(B1538,PLInter!$A:$D,3,FALSE),"")</f>
        <v>1020</v>
      </c>
      <c r="K1538" s="66"/>
      <c r="L1538" s="66"/>
      <c r="M1538" s="66"/>
      <c r="N1538" s="66"/>
      <c r="O1538" s="66"/>
      <c r="P1538" s="66"/>
      <c r="Q1538" s="66"/>
      <c r="R1538" s="66"/>
      <c r="S1538" s="66"/>
    </row>
    <row r="1539" spans="1:19" ht="18" customHeight="1">
      <c r="B1539" t="s">
        <v>242</v>
      </c>
      <c r="C1539" t="s">
        <v>246</v>
      </c>
      <c r="D1539" s="4"/>
      <c r="E1539" s="4">
        <v>1</v>
      </c>
      <c r="F1539" s="4"/>
      <c r="G1539" s="29" t="str">
        <f>IFERROR(HYPERLINK("#"&amp;ADDRESS(MATCH(B1539&amp;"ES",'LM7 Non-ENG'!$A$1:$A$5000,0),1,,,"LM7 Non-ENG"),IF(IFERROR(VLOOKUP(B1539&amp;"ES",'LM7 Non-ENG'!$A$1:$A$4999,1,FALSE),"ERROR")=B1539&amp;"ES","Y","")),"")</f>
        <v/>
      </c>
      <c r="H1539" s="29" t="str">
        <f>IFERROR(HYPERLINK("#"&amp;ADDRESS(MATCH(B1539&amp;"PT",'LM7 Non-ENG'!$A$1:$A$5000,0),1,,,"LM7 Non-ENG"),IF(IFERROR(VLOOKUP(B1539&amp;"PT",'LM7 Non-ENG'!$A$1:$A$5000,1,FALSE),"ERROR")=B1539&amp;"PT","Y","")),"")</f>
        <v/>
      </c>
      <c r="I1539" t="str">
        <f>IFERROR(VLOOKUP(B1539,PN!$A:$C,3,FALSE),"")</f>
        <v>Active</v>
      </c>
      <c r="J1539" s="3">
        <f>IFERROR(E1539*VLOOKUP(B1539,PLInter!$A:$D,3,FALSE),"")</f>
        <v>4934</v>
      </c>
      <c r="K1539" s="66"/>
      <c r="L1539" s="66"/>
      <c r="M1539" s="66"/>
      <c r="N1539" s="66"/>
      <c r="O1539" s="66"/>
      <c r="P1539" s="66"/>
      <c r="Q1539" s="66"/>
      <c r="R1539" s="66"/>
      <c r="S1539" s="66"/>
    </row>
    <row r="1540" spans="1:19" ht="18" customHeight="1">
      <c r="B1540" t="s">
        <v>937</v>
      </c>
      <c r="C1540" t="s">
        <v>938</v>
      </c>
      <c r="D1540" s="4"/>
      <c r="E1540" s="4">
        <v>1</v>
      </c>
      <c r="F1540" s="4"/>
      <c r="G1540" s="29" t="str">
        <f>IFERROR(HYPERLINK("#"&amp;ADDRESS(MATCH(B1540&amp;"ES",'LM7 Non-ENG'!$A$1:$A$5000,0),1,,,"LM7 Non-ENG"),IF(IFERROR(VLOOKUP(B1540&amp;"ES",'LM7 Non-ENG'!$A$1:$A$4999,1,FALSE),"ERROR")=B1540&amp;"ES","Y","")),"")</f>
        <v/>
      </c>
      <c r="H1540" s="29" t="str">
        <f>IFERROR(HYPERLINK("#"&amp;ADDRESS(MATCH(B1540&amp;"PT",'LM7 Non-ENG'!$A$1:$A$5000,0),1,,,"LM7 Non-ENG"),IF(IFERROR(VLOOKUP(B1540&amp;"PT",'LM7 Non-ENG'!$A$1:$A$5000,1,FALSE),"ERROR")=B1540&amp;"PT","Y","")),"")</f>
        <v/>
      </c>
      <c r="I1540" t="str">
        <f>IFERROR(VLOOKUP(B1540,PN!$A:$C,3,FALSE),"")</f>
        <v>Active</v>
      </c>
      <c r="J1540" s="3">
        <f>IFERROR(E1540*VLOOKUP(B1540,PLInter!$A:$D,3,FALSE),"")</f>
        <v>39360</v>
      </c>
      <c r="K1540" s="66"/>
      <c r="L1540" s="66"/>
      <c r="M1540" s="66"/>
      <c r="N1540" s="66"/>
      <c r="O1540" s="66"/>
      <c r="P1540" s="66"/>
      <c r="Q1540" s="66"/>
      <c r="R1540" s="66"/>
      <c r="S1540" s="66"/>
    </row>
    <row r="1541" spans="1:19" ht="18" customHeight="1">
      <c r="B1541" t="s">
        <v>977</v>
      </c>
      <c r="C1541" t="s">
        <v>978</v>
      </c>
      <c r="D1541" s="4"/>
      <c r="E1541" s="4">
        <v>1</v>
      </c>
      <c r="F1541" s="4"/>
      <c r="G1541" s="29" t="str">
        <f>IFERROR(HYPERLINK("#"&amp;ADDRESS(MATCH(B1541&amp;"ES",'LM7 Non-ENG'!$A$1:$A$5000,0),1,,,"LM7 Non-ENG"),IF(IFERROR(VLOOKUP(B1541&amp;"ES",'LM7 Non-ENG'!$A$1:$A$4999,1,FALSE),"ERROR")=B1541&amp;"ES","Y","")),"")</f>
        <v/>
      </c>
      <c r="H1541" s="29" t="str">
        <f>IFERROR(HYPERLINK("#"&amp;ADDRESS(MATCH(B1541&amp;"PT",'LM7 Non-ENG'!$A$1:$A$5000,0),1,,,"LM7 Non-ENG"),IF(IFERROR(VLOOKUP(B1541&amp;"PT",'LM7 Non-ENG'!$A$1:$A$5000,1,FALSE),"ERROR")=B1541&amp;"PT","Y","")),"")</f>
        <v/>
      </c>
      <c r="I1541" t="str">
        <f>IFERROR(VLOOKUP(B1541,PN!$A:$C,3,FALSE),"")</f>
        <v>Active</v>
      </c>
      <c r="J1541" s="3">
        <f>IFERROR(E1541*VLOOKUP(B1541,PLInter!$A:$D,3,FALSE),"")</f>
        <v>3885</v>
      </c>
      <c r="K1541" s="66"/>
      <c r="L1541" s="66"/>
      <c r="M1541" s="66"/>
      <c r="N1541" s="66"/>
      <c r="O1541" s="66"/>
      <c r="P1541" s="66"/>
      <c r="Q1541" s="66"/>
      <c r="R1541" s="66"/>
      <c r="S1541" s="66"/>
    </row>
    <row r="1542" spans="1:19" ht="18" customHeight="1">
      <c r="B1542" t="str">
        <f>"113096"</f>
        <v>113096</v>
      </c>
      <c r="C1542" t="s">
        <v>943</v>
      </c>
      <c r="D1542" s="4"/>
      <c r="E1542" s="4">
        <v>3</v>
      </c>
      <c r="F1542" s="4"/>
      <c r="G1542" s="29" t="str">
        <f>IFERROR(HYPERLINK("#"&amp;ADDRESS(MATCH(B1542&amp;"ES",'LM7 Non-ENG'!$A$1:$A$5000,0),1,,,"LM7 Non-ENG"),IF(IFERROR(VLOOKUP(B1542&amp;"ES",'LM7 Non-ENG'!$A$1:$A$4999,1,FALSE),"ERROR")=B1542&amp;"ES","Y","")),"")</f>
        <v/>
      </c>
      <c r="H1542" s="29" t="str">
        <f>IFERROR(HYPERLINK("#"&amp;ADDRESS(MATCH(B1542&amp;"PT",'LM7 Non-ENG'!$A$1:$A$5000,0),1,,,"LM7 Non-ENG"),IF(IFERROR(VLOOKUP(B1542&amp;"PT",'LM7 Non-ENG'!$A$1:$A$5000,1,FALSE),"ERROR")=B1542&amp;"PT","Y","")),"")</f>
        <v/>
      </c>
      <c r="I1542" t="str">
        <f>IFERROR(VLOOKUP(B1542,PN!$A:$C,3,FALSE),"")</f>
        <v>Active</v>
      </c>
      <c r="J1542" s="3">
        <f>IFERROR(E1542*VLOOKUP(B1542,PLInter!$A:$D,3,FALSE),"")</f>
        <v>162</v>
      </c>
      <c r="K1542" s="66"/>
      <c r="L1542" s="66"/>
      <c r="M1542" s="66"/>
      <c r="N1542" s="66"/>
      <c r="O1542" s="66"/>
      <c r="P1542" s="66"/>
      <c r="Q1542" s="66"/>
      <c r="R1542" s="66"/>
      <c r="S1542" s="66"/>
    </row>
    <row r="1543" spans="1:19" ht="18" customHeight="1">
      <c r="B1543" t="str">
        <f>"112713"</f>
        <v>112713</v>
      </c>
      <c r="C1543" t="s">
        <v>944</v>
      </c>
      <c r="D1543" s="4"/>
      <c r="E1543" s="4">
        <v>3</v>
      </c>
      <c r="F1543" s="4"/>
      <c r="G1543" s="29" t="str">
        <f>IFERROR(HYPERLINK("#"&amp;ADDRESS(MATCH(B1543&amp;"ES",'LM7 Non-ENG'!$A$1:$A$5000,0),1,,,"LM7 Non-ENG"),IF(IFERROR(VLOOKUP(B1543&amp;"ES",'LM7 Non-ENG'!$A$1:$A$4999,1,FALSE),"ERROR")=B1543&amp;"ES","Y","")),"")</f>
        <v/>
      </c>
      <c r="H1543" s="29" t="str">
        <f>IFERROR(HYPERLINK("#"&amp;ADDRESS(MATCH(B1543&amp;"PT",'LM7 Non-ENG'!$A$1:$A$5000,0),1,,,"LM7 Non-ENG"),IF(IFERROR(VLOOKUP(B1543&amp;"PT",'LM7 Non-ENG'!$A$1:$A$5000,1,FALSE),"ERROR")=B1543&amp;"PT","Y","")),"")</f>
        <v/>
      </c>
      <c r="I1543" t="str">
        <f>IFERROR(VLOOKUP(B1543,PN!$A:$C,3,FALSE),"")</f>
        <v>Active</v>
      </c>
      <c r="J1543" s="3">
        <f>IFERROR(E1543*VLOOKUP(B1543,PLInter!$A:$D,3,FALSE),"")</f>
        <v>300</v>
      </c>
      <c r="K1543" s="66"/>
      <c r="L1543" s="66"/>
      <c r="M1543" s="66"/>
      <c r="N1543" s="66"/>
      <c r="O1543" s="66"/>
      <c r="P1543" s="66"/>
      <c r="Q1543" s="66"/>
      <c r="R1543" s="66"/>
      <c r="S1543" s="66"/>
    </row>
    <row r="1544" spans="1:19" ht="18" customHeight="1">
      <c r="B1544" t="str">
        <f>"113316"</f>
        <v>113316</v>
      </c>
      <c r="C1544" t="s">
        <v>979</v>
      </c>
      <c r="D1544" s="4"/>
      <c r="E1544" s="4">
        <v>1</v>
      </c>
      <c r="F1544" s="4"/>
      <c r="G1544" s="29" t="str">
        <f>IFERROR(HYPERLINK("#"&amp;ADDRESS(MATCH(B1544&amp;"ES",'LM7 Non-ENG'!$A$1:$A$5000,0),1,,,"LM7 Non-ENG"),IF(IFERROR(VLOOKUP(B1544&amp;"ES",'LM7 Non-ENG'!$A$1:$A$4999,1,FALSE),"ERROR")=B1544&amp;"ES","Y","")),"")</f>
        <v/>
      </c>
      <c r="H1544" s="29" t="str">
        <f>IFERROR(HYPERLINK("#"&amp;ADDRESS(MATCH(B1544&amp;"PT",'LM7 Non-ENG'!$A$1:$A$5000,0),1,,,"LM7 Non-ENG"),IF(IFERROR(VLOOKUP(B1544&amp;"PT",'LM7 Non-ENG'!$A$1:$A$5000,1,FALSE),"ERROR")=B1544&amp;"PT","Y","")),"")</f>
        <v/>
      </c>
      <c r="I1544" t="str">
        <f>IFERROR(VLOOKUP(B1544,PN!$A:$C,3,FALSE),"")</f>
        <v>Active</v>
      </c>
      <c r="J1544" s="3">
        <f>IFERROR(E1544*VLOOKUP(B1544,PLInter!$A:$D,3,FALSE),"")</f>
        <v>20</v>
      </c>
      <c r="K1544" s="66"/>
      <c r="L1544" s="66"/>
      <c r="M1544" s="66"/>
      <c r="N1544" s="66"/>
      <c r="O1544" s="66"/>
      <c r="P1544" s="66"/>
      <c r="Q1544" s="66"/>
      <c r="R1544" s="66"/>
      <c r="S1544" s="66"/>
    </row>
    <row r="1545" spans="1:19" ht="18" customHeight="1">
      <c r="B1545" t="s">
        <v>925</v>
      </c>
      <c r="C1545" t="s">
        <v>926</v>
      </c>
      <c r="D1545" s="4"/>
      <c r="E1545" s="4">
        <v>1</v>
      </c>
      <c r="F1545" s="4"/>
      <c r="G1545" s="29" t="str">
        <f>IFERROR(HYPERLINK("#"&amp;ADDRESS(MATCH(B1545&amp;"ES",'LM7 Non-ENG'!$A$1:$A$5000,0),1,,,"LM7 Non-ENG"),IF(IFERROR(VLOOKUP(B1545&amp;"ES",'LM7 Non-ENG'!$A$1:$A$4999,1,FALSE),"ERROR")=B1545&amp;"ES","Y","")),"")</f>
        <v/>
      </c>
      <c r="H1545" s="29" t="str">
        <f>IFERROR(HYPERLINK("#"&amp;ADDRESS(MATCH(B1545&amp;"PT",'LM7 Non-ENG'!$A$1:$A$5000,0),1,,,"LM7 Non-ENG"),IF(IFERROR(VLOOKUP(B1545&amp;"PT",'LM7 Non-ENG'!$A$1:$A$5000,1,FALSE),"ERROR")=B1545&amp;"PT","Y","")),"")</f>
        <v/>
      </c>
      <c r="I1545" t="str">
        <f>IFERROR(VLOOKUP(B1545,PN!$A:$C,3,FALSE),"")</f>
        <v>Active</v>
      </c>
      <c r="J1545" s="3">
        <f>IFERROR(E1545*VLOOKUP(B1545,PLInter!$A:$D,3,FALSE),"")</f>
        <v>2760</v>
      </c>
      <c r="K1545" s="66"/>
      <c r="L1545" s="66"/>
      <c r="M1545" s="66"/>
      <c r="N1545" s="66"/>
      <c r="O1545" s="66"/>
      <c r="P1545" s="66"/>
      <c r="Q1545" s="66"/>
      <c r="R1545" s="66"/>
      <c r="S1545" s="66"/>
    </row>
    <row r="1546" spans="1:19" ht="18" customHeight="1">
      <c r="B1546" t="s">
        <v>927</v>
      </c>
      <c r="C1546" t="s">
        <v>928</v>
      </c>
      <c r="D1546" s="4"/>
      <c r="E1546" s="4">
        <v>1</v>
      </c>
      <c r="F1546" s="4"/>
      <c r="G1546" s="29" t="str">
        <f>IFERROR(HYPERLINK("#"&amp;ADDRESS(MATCH(B1546&amp;"ES",'LM7 Non-ENG'!$A$1:$A$5000,0),1,,,"LM7 Non-ENG"),IF(IFERROR(VLOOKUP(B1546&amp;"ES",'LM7 Non-ENG'!$A$1:$A$4999,1,FALSE),"ERROR")=B1546&amp;"ES","Y","")),"")</f>
        <v/>
      </c>
      <c r="H1546" s="29" t="str">
        <f>IFERROR(HYPERLINK("#"&amp;ADDRESS(MATCH(B1546&amp;"PT",'LM7 Non-ENG'!$A$1:$A$5000,0),1,,,"LM7 Non-ENG"),IF(IFERROR(VLOOKUP(B1546&amp;"PT",'LM7 Non-ENG'!$A$1:$A$5000,1,FALSE),"ERROR")=B1546&amp;"PT","Y","")),"")</f>
        <v/>
      </c>
      <c r="I1546" t="str">
        <f>IFERROR(VLOOKUP(B1546,PN!$A:$C,3,FALSE),"")</f>
        <v>Active</v>
      </c>
      <c r="J1546" s="3">
        <f>IFERROR(E1546*VLOOKUP(B1546,PLInter!$A:$D,3,FALSE),"")</f>
        <v>467</v>
      </c>
      <c r="K1546" s="66"/>
      <c r="L1546" s="66"/>
      <c r="M1546" s="66"/>
      <c r="N1546" s="66"/>
      <c r="O1546" s="66"/>
      <c r="P1546" s="66"/>
      <c r="Q1546" s="66"/>
      <c r="R1546" s="66"/>
      <c r="S1546" s="66"/>
    </row>
    <row r="1547" spans="1:19" ht="18" customHeight="1">
      <c r="B1547" t="s">
        <v>668</v>
      </c>
      <c r="C1547" t="s">
        <v>669</v>
      </c>
      <c r="D1547" s="4"/>
      <c r="E1547" s="4">
        <v>1</v>
      </c>
      <c r="F1547" s="4"/>
      <c r="G1547" s="29" t="str">
        <f>IFERROR(HYPERLINK("#"&amp;ADDRESS(MATCH(B1547&amp;"ES",'LM7 Non-ENG'!$A$1:$A$5000,0),1,,,"LM7 Non-ENG"),IF(IFERROR(VLOOKUP(B1547&amp;"ES",'LM7 Non-ENG'!$A$1:$A$4999,1,FALSE),"ERROR")=B1547&amp;"ES","Y","")),"")</f>
        <v/>
      </c>
      <c r="H1547" s="29" t="str">
        <f>IFERROR(HYPERLINK("#"&amp;ADDRESS(MATCH(B1547&amp;"PT",'LM7 Non-ENG'!$A$1:$A$5000,0),1,,,"LM7 Non-ENG"),IF(IFERROR(VLOOKUP(B1547&amp;"PT",'LM7 Non-ENG'!$A$1:$A$5000,1,FALSE),"ERROR")=B1547&amp;"PT","Y","")),"")</f>
        <v/>
      </c>
      <c r="I1547" t="str">
        <f>IFERROR(VLOOKUP(B1547,PN!$A:$C,3,FALSE),"")</f>
        <v>Active</v>
      </c>
      <c r="J1547" s="3">
        <f>IFERROR(E1547*VLOOKUP(B1547,PLInter!$A:$D,3,FALSE),"")</f>
        <v>480</v>
      </c>
      <c r="K1547" s="66"/>
      <c r="L1547" s="66"/>
      <c r="M1547" s="66"/>
      <c r="N1547" s="66"/>
      <c r="O1547" s="66"/>
      <c r="P1547" s="66"/>
      <c r="Q1547" s="66"/>
      <c r="R1547" s="66"/>
      <c r="S1547" s="66"/>
    </row>
    <row r="1548" spans="1:19" ht="18" customHeight="1">
      <c r="B1548" t="s">
        <v>630</v>
      </c>
      <c r="C1548" t="s">
        <v>631</v>
      </c>
      <c r="D1548" s="4"/>
      <c r="E1548" s="4">
        <v>1</v>
      </c>
      <c r="F1548" s="4"/>
      <c r="G1548" s="29" t="str">
        <f>IFERROR(HYPERLINK("#"&amp;ADDRESS(MATCH(B1548&amp;"ES",'LM7 Non-ENG'!$A$1:$A$5000,0),1,,,"LM7 Non-ENG"),IF(IFERROR(VLOOKUP(B1548&amp;"ES",'LM7 Non-ENG'!$A$1:$A$4999,1,FALSE),"ERROR")=B1548&amp;"ES","Y","")),"")</f>
        <v/>
      </c>
      <c r="H1548" s="29" t="str">
        <f>IFERROR(HYPERLINK("#"&amp;ADDRESS(MATCH(B1548&amp;"PT",'LM7 Non-ENG'!$A$1:$A$5000,0),1,,,"LM7 Non-ENG"),IF(IFERROR(VLOOKUP(B1548&amp;"PT",'LM7 Non-ENG'!$A$1:$A$5000,1,FALSE),"ERROR")=B1548&amp;"PT","Y","")),"")</f>
        <v/>
      </c>
      <c r="I1548" t="str">
        <f>IFERROR(VLOOKUP(B1548,PN!$A:$C,3,FALSE),"")</f>
        <v>Active</v>
      </c>
      <c r="J1548" s="3">
        <f>IFERROR(E1548*VLOOKUP(B1548,PLInter!$A:$D,3,FALSE),"")</f>
        <v>1735</v>
      </c>
      <c r="K1548" s="66"/>
      <c r="L1548" s="66"/>
      <c r="M1548" s="66"/>
      <c r="N1548" s="66"/>
      <c r="O1548" s="66"/>
      <c r="P1548" s="66"/>
      <c r="Q1548" s="66"/>
      <c r="R1548" s="66"/>
      <c r="S1548" s="66"/>
    </row>
    <row r="1550" spans="1:19" s="7" customFormat="1" ht="18" customHeight="1">
      <c r="A1550" s="13" t="s">
        <v>990</v>
      </c>
      <c r="B1550" s="13"/>
      <c r="C1550" s="13" t="s">
        <v>991</v>
      </c>
      <c r="D1550" s="14"/>
      <c r="E1550" s="14"/>
      <c r="F1550" s="14"/>
      <c r="G1550" s="14"/>
      <c r="H1550" s="14"/>
      <c r="I1550" s="14"/>
      <c r="J1550" s="14">
        <f>SUMIFS(J1551:J1573,D1551:D1573,"&lt;&gt;Y",F1551:F1573,"&lt;&gt;Y",I1551:I1573,"&lt;&gt;Inactive",I1551:I1573,"&lt;&gt;ECO+NFS")</f>
        <v>68854</v>
      </c>
      <c r="K1550" s="14"/>
      <c r="L1550" s="14"/>
      <c r="M1550" s="14"/>
      <c r="N1550" s="14"/>
      <c r="O1550" s="14"/>
      <c r="P1550" s="14"/>
      <c r="Q1550" s="14"/>
      <c r="R1550" s="14"/>
      <c r="S1550" s="14"/>
    </row>
    <row r="1551" spans="1:19" ht="18" customHeight="1">
      <c r="A1551" s="17" t="str">
        <f>HYPERLINK("#"&amp;ADDRESS(MATCH(A1550,'CIM&amp;FMS'!$A$1:$A$4997,0),1,,,"CIM&amp;FMS"),"Back to Price List")</f>
        <v>Back to Price List</v>
      </c>
      <c r="B1551" t="s">
        <v>216</v>
      </c>
      <c r="C1551" t="s">
        <v>913</v>
      </c>
      <c r="D1551" s="4"/>
      <c r="E1551" s="4">
        <v>1</v>
      </c>
      <c r="F1551" s="4"/>
      <c r="G1551" s="29" t="str">
        <f>IFERROR(HYPERLINK("#"&amp;ADDRESS(MATCH(B1551&amp;"ES",'LM7 Non-ENG'!$A$1:$A$5000,0),1,,,"LM7 Non-ENG"),IF(IFERROR(VLOOKUP(B1551&amp;"ES",'LM7 Non-ENG'!$A$1:$A$4999,1,FALSE),"ERROR")=B1551&amp;"ES","Y","")),"")</f>
        <v/>
      </c>
      <c r="H1551" s="29" t="str">
        <f>IFERROR(HYPERLINK("#"&amp;ADDRESS(MATCH(B1551&amp;"PT",'LM7 Non-ENG'!$A$1:$A$5000,0),1,,,"LM7 Non-ENG"),IF(IFERROR(VLOOKUP(B1551&amp;"PT",'LM7 Non-ENG'!$A$1:$A$5000,1,FALSE),"ERROR")=B1551&amp;"PT","Y","")),"")</f>
        <v/>
      </c>
      <c r="I1551" t="str">
        <f>IFERROR(VLOOKUP(B1551,PN!$A:$C,3,FALSE),"")</f>
        <v>Active</v>
      </c>
      <c r="J1551" s="3">
        <f>IFERROR(E1551*VLOOKUP(B1551,PLInter!$A:$D,3,FALSE),"")</f>
        <v>26667</v>
      </c>
      <c r="K1551" s="66"/>
      <c r="L1551" s="66"/>
      <c r="M1551" s="66"/>
      <c r="N1551" s="66"/>
      <c r="O1551" s="66"/>
      <c r="P1551" s="66"/>
      <c r="Q1551" s="66"/>
      <c r="R1551" s="66"/>
      <c r="S1551" s="66"/>
    </row>
    <row r="1552" spans="1:19" ht="18" customHeight="1">
      <c r="B1552" t="s">
        <v>992</v>
      </c>
      <c r="C1552" t="s">
        <v>993</v>
      </c>
      <c r="D1552" s="4"/>
      <c r="E1552" s="4">
        <v>1</v>
      </c>
      <c r="F1552" s="4"/>
      <c r="G1552" s="29" t="str">
        <f>IFERROR(HYPERLINK("#"&amp;ADDRESS(MATCH(B1552&amp;"ES",'LM7 Non-ENG'!$A$1:$A$5000,0),1,,,"LM7 Non-ENG"),IF(IFERROR(VLOOKUP(B1552&amp;"ES",'LM7 Non-ENG'!$A$1:$A$4999,1,FALSE),"ERROR")=B1552&amp;"ES","Y","")),"")</f>
        <v/>
      </c>
      <c r="H1552" s="29" t="str">
        <f>IFERROR(HYPERLINK("#"&amp;ADDRESS(MATCH(B1552&amp;"PT",'LM7 Non-ENG'!$A$1:$A$5000,0),1,,,"LM7 Non-ENG"),IF(IFERROR(VLOOKUP(B1552&amp;"PT",'LM7 Non-ENG'!$A$1:$A$5000,1,FALSE),"ERROR")=B1552&amp;"PT","Y","")),"")</f>
        <v/>
      </c>
      <c r="I1552" t="str">
        <f>IFERROR(VLOOKUP(B1552,PN!$A:$C,3,FALSE),"")</f>
        <v>Not for purc</v>
      </c>
      <c r="J1552" s="3">
        <f>IFERROR(E1552*VLOOKUP(B1552,PLInter!$A:$D,3,FALSE),"")</f>
        <v>9655</v>
      </c>
      <c r="K1552" s="66"/>
      <c r="L1552" s="66"/>
      <c r="M1552" s="66"/>
      <c r="N1552" s="66"/>
      <c r="O1552" s="66"/>
      <c r="P1552" s="66"/>
      <c r="Q1552" s="66"/>
      <c r="R1552" s="66"/>
      <c r="S1552" s="66"/>
    </row>
    <row r="1553" spans="2:19" ht="18" customHeight="1">
      <c r="B1553" t="s">
        <v>236</v>
      </c>
      <c r="C1553" t="s">
        <v>626</v>
      </c>
      <c r="D1553" s="4"/>
      <c r="E1553" s="4">
        <v>1</v>
      </c>
      <c r="F1553" s="4"/>
      <c r="G1553" s="29" t="str">
        <f>IFERROR(HYPERLINK("#"&amp;ADDRESS(MATCH(B1553&amp;"ES",'LM7 Non-ENG'!$A$1:$A$5000,0),1,,,"LM7 Non-ENG"),IF(IFERROR(VLOOKUP(B1553&amp;"ES",'LM7 Non-ENG'!$A$1:$A$4999,1,FALSE),"ERROR")=B1553&amp;"ES","Y","")),"")</f>
        <v/>
      </c>
      <c r="H1553" s="29" t="str">
        <f>IFERROR(HYPERLINK("#"&amp;ADDRESS(MATCH(B1553&amp;"PT",'LM7 Non-ENG'!$A$1:$A$5000,0),1,,,"LM7 Non-ENG"),IF(IFERROR(VLOOKUP(B1553&amp;"PT",'LM7 Non-ENG'!$A$1:$A$5000,1,FALSE),"ERROR")=B1553&amp;"PT","Y","")),"")</f>
        <v/>
      </c>
      <c r="I1553" t="str">
        <f>IFERROR(VLOOKUP(B1553,PN!$A:$C,3,FALSE),"")</f>
        <v>Active</v>
      </c>
      <c r="J1553" s="3">
        <f>IFERROR(E1553*VLOOKUP(B1553,PLInter!$A:$D,3,FALSE),"")</f>
        <v>1680</v>
      </c>
      <c r="K1553" s="66"/>
      <c r="L1553" s="66"/>
      <c r="M1553" s="66"/>
      <c r="N1553" s="66"/>
      <c r="O1553" s="66"/>
      <c r="P1553" s="66"/>
      <c r="Q1553" s="66"/>
      <c r="R1553" s="66"/>
      <c r="S1553" s="66"/>
    </row>
    <row r="1554" spans="2:19" ht="18" customHeight="1">
      <c r="B1554" t="str">
        <f>"034025"</f>
        <v>034025</v>
      </c>
      <c r="C1554" t="s">
        <v>777</v>
      </c>
      <c r="D1554" s="4"/>
      <c r="E1554" s="4">
        <v>1</v>
      </c>
      <c r="F1554" s="4"/>
      <c r="G1554" s="29" t="str">
        <f>IFERROR(HYPERLINK("#"&amp;ADDRESS(MATCH(B1554&amp;"ES",'LM7 Non-ENG'!$A$1:$A$5000,0),1,,,"LM7 Non-ENG"),IF(IFERROR(VLOOKUP(B1554&amp;"ES",'LM7 Non-ENG'!$A$1:$A$4999,1,FALSE),"ERROR")=B1554&amp;"ES","Y","")),"")</f>
        <v/>
      </c>
      <c r="H1554" s="29" t="str">
        <f>IFERROR(HYPERLINK("#"&amp;ADDRESS(MATCH(B1554&amp;"PT",'LM7 Non-ENG'!$A$1:$A$5000,0),1,,,"LM7 Non-ENG"),IF(IFERROR(VLOOKUP(B1554&amp;"PT",'LM7 Non-ENG'!$A$1:$A$5000,1,FALSE),"ERROR")=B1554&amp;"PT","Y","")),"")</f>
        <v/>
      </c>
      <c r="I1554" t="str">
        <f>IFERROR(VLOOKUP(B1554,PN!$A:$C,3,FALSE),"")</f>
        <v>Active</v>
      </c>
      <c r="J1554" s="3">
        <f>IFERROR(E1554*VLOOKUP(B1554,PLInter!$A:$D,3,FALSE),"")</f>
        <v>1267</v>
      </c>
      <c r="K1554" s="66"/>
      <c r="L1554" s="66"/>
      <c r="M1554" s="66"/>
      <c r="N1554" s="66"/>
      <c r="O1554" s="66"/>
      <c r="P1554" s="66"/>
      <c r="Q1554" s="66"/>
      <c r="R1554" s="66"/>
      <c r="S1554" s="66"/>
    </row>
    <row r="1555" spans="2:19" ht="18" customHeight="1">
      <c r="B1555" t="s">
        <v>914</v>
      </c>
      <c r="C1555" t="s">
        <v>915</v>
      </c>
      <c r="D1555" s="4"/>
      <c r="E1555" s="4">
        <v>3</v>
      </c>
      <c r="F1555" s="4"/>
      <c r="G1555" s="29" t="str">
        <f>IFERROR(HYPERLINK("#"&amp;ADDRESS(MATCH(B1555&amp;"ES",'LM7 Non-ENG'!$A$1:$A$5000,0),1,,,"LM7 Non-ENG"),IF(IFERROR(VLOOKUP(B1555&amp;"ES",'LM7 Non-ENG'!$A$1:$A$4999,1,FALSE),"ERROR")=B1555&amp;"ES","Y","")),"")</f>
        <v/>
      </c>
      <c r="H1555" s="29" t="str">
        <f>IFERROR(HYPERLINK("#"&amp;ADDRESS(MATCH(B1555&amp;"PT",'LM7 Non-ENG'!$A$1:$A$5000,0),1,,,"LM7 Non-ENG"),IF(IFERROR(VLOOKUP(B1555&amp;"PT",'LM7 Non-ENG'!$A$1:$A$5000,1,FALSE),"ERROR")=B1555&amp;"PT","Y","")),"")</f>
        <v/>
      </c>
      <c r="I1555" t="str">
        <f>IFERROR(VLOOKUP(B1555,PN!$A:$C,3,FALSE),"")</f>
        <v>Active</v>
      </c>
      <c r="J1555" s="3">
        <f>IFERROR(E1555*VLOOKUP(B1555,PLInter!$A:$D,3,FALSE),"")</f>
        <v>402</v>
      </c>
      <c r="K1555" s="66"/>
      <c r="L1555" s="66"/>
      <c r="M1555" s="66"/>
      <c r="N1555" s="66"/>
      <c r="O1555" s="66"/>
      <c r="P1555" s="66"/>
      <c r="Q1555" s="66"/>
      <c r="R1555" s="66"/>
      <c r="S1555" s="66"/>
    </row>
    <row r="1556" spans="2:19" ht="18" customHeight="1">
      <c r="B1556" t="s">
        <v>684</v>
      </c>
      <c r="C1556" t="s">
        <v>685</v>
      </c>
      <c r="D1556" s="4"/>
      <c r="E1556" s="4">
        <v>2</v>
      </c>
      <c r="F1556" s="4"/>
      <c r="G1556" s="29" t="str">
        <f>IFERROR(HYPERLINK("#"&amp;ADDRESS(MATCH(B1556&amp;"ES",'LM7 Non-ENG'!$A$1:$A$5000,0),1,,,"LM7 Non-ENG"),IF(IFERROR(VLOOKUP(B1556&amp;"ES",'LM7 Non-ENG'!$A$1:$A$4999,1,FALSE),"ERROR")=B1556&amp;"ES","Y","")),"")</f>
        <v/>
      </c>
      <c r="H1556" s="29" t="str">
        <f>IFERROR(HYPERLINK("#"&amp;ADDRESS(MATCH(B1556&amp;"PT",'LM7 Non-ENG'!$A$1:$A$5000,0),1,,,"LM7 Non-ENG"),IF(IFERROR(VLOOKUP(B1556&amp;"PT",'LM7 Non-ENG'!$A$1:$A$5000,1,FALSE),"ERROR")=B1556&amp;"PT","Y","")),"")</f>
        <v/>
      </c>
      <c r="I1556" t="str">
        <f>IFERROR(VLOOKUP(B1556,PN!$A:$C,3,FALSE),"")</f>
        <v>Active</v>
      </c>
      <c r="J1556" s="3">
        <f>IFERROR(E1556*VLOOKUP(B1556,PLInter!$A:$D,3,FALSE),"")</f>
        <v>1160</v>
      </c>
      <c r="K1556" s="66"/>
      <c r="L1556" s="66"/>
      <c r="M1556" s="66"/>
      <c r="N1556" s="66"/>
      <c r="O1556" s="66"/>
      <c r="P1556" s="66"/>
      <c r="Q1556" s="66"/>
      <c r="R1556" s="66"/>
      <c r="S1556" s="66"/>
    </row>
    <row r="1557" spans="2:19" ht="18" customHeight="1">
      <c r="B1557" t="str">
        <f>"021172"</f>
        <v>021172</v>
      </c>
      <c r="C1557" t="s">
        <v>916</v>
      </c>
      <c r="D1557" s="4"/>
      <c r="E1557" s="4">
        <v>2</v>
      </c>
      <c r="F1557" s="4"/>
      <c r="G1557" s="29" t="str">
        <f>IFERROR(HYPERLINK("#"&amp;ADDRESS(MATCH(B1557&amp;"ES",'LM7 Non-ENG'!$A$1:$A$5000,0),1,,,"LM7 Non-ENG"),IF(IFERROR(VLOOKUP(B1557&amp;"ES",'LM7 Non-ENG'!$A$1:$A$4999,1,FALSE),"ERROR")=B1557&amp;"ES","Y","")),"")</f>
        <v/>
      </c>
      <c r="H1557" s="29" t="str">
        <f>IFERROR(HYPERLINK("#"&amp;ADDRESS(MATCH(B1557&amp;"PT",'LM7 Non-ENG'!$A$1:$A$5000,0),1,,,"LM7 Non-ENG"),IF(IFERROR(VLOOKUP(B1557&amp;"PT",'LM7 Non-ENG'!$A$1:$A$5000,1,FALSE),"ERROR")=B1557&amp;"PT","Y","")),"")</f>
        <v/>
      </c>
      <c r="I1557" t="str">
        <f>IFERROR(VLOOKUP(B1557,PN!$A:$C,3,FALSE),"")</f>
        <v>Active</v>
      </c>
      <c r="J1557" s="3">
        <f>IFERROR(E1557*VLOOKUP(B1557,PLInter!$A:$D,3,FALSE),"")</f>
        <v>80</v>
      </c>
      <c r="K1557" s="66"/>
      <c r="L1557" s="66"/>
      <c r="M1557" s="66"/>
      <c r="N1557" s="66"/>
      <c r="O1557" s="66"/>
      <c r="P1557" s="66"/>
      <c r="Q1557" s="66"/>
      <c r="R1557" s="66"/>
      <c r="S1557" s="66"/>
    </row>
    <row r="1558" spans="2:19" ht="18" customHeight="1">
      <c r="B1558" t="s">
        <v>917</v>
      </c>
      <c r="C1558" t="s">
        <v>918</v>
      </c>
      <c r="D1558" s="4"/>
      <c r="E1558" s="4">
        <v>1</v>
      </c>
      <c r="F1558" s="4"/>
      <c r="G1558" s="29" t="str">
        <f>IFERROR(HYPERLINK("#"&amp;ADDRESS(MATCH(B1558&amp;"ES",'LM7 Non-ENG'!$A$1:$A$5000,0),1,,,"LM7 Non-ENG"),IF(IFERROR(VLOOKUP(B1558&amp;"ES",'LM7 Non-ENG'!$A$1:$A$4999,1,FALSE),"ERROR")=B1558&amp;"ES","Y","")),"")</f>
        <v/>
      </c>
      <c r="H1558" s="29" t="str">
        <f>IFERROR(HYPERLINK("#"&amp;ADDRESS(MATCH(B1558&amp;"PT",'LM7 Non-ENG'!$A$1:$A$5000,0),1,,,"LM7 Non-ENG"),IF(IFERROR(VLOOKUP(B1558&amp;"PT",'LM7 Non-ENG'!$A$1:$A$5000,1,FALSE),"ERROR")=B1558&amp;"PT","Y","")),"")</f>
        <v/>
      </c>
      <c r="I1558" t="str">
        <f>IFERROR(VLOOKUP(B1558,PN!$A:$C,3,FALSE),"")</f>
        <v>Phase Out</v>
      </c>
      <c r="J1558" s="3">
        <f>IFERROR(E1558*VLOOKUP(B1558,PLInter!$A:$D,3,FALSE),"")</f>
        <v>1735</v>
      </c>
      <c r="K1558" s="66"/>
      <c r="L1558" s="66"/>
      <c r="M1558" s="66"/>
      <c r="N1558" s="66"/>
      <c r="O1558" s="66"/>
      <c r="P1558" s="66"/>
      <c r="Q1558" s="66"/>
      <c r="R1558" s="66"/>
      <c r="S1558" s="66"/>
    </row>
    <row r="1559" spans="2:19" ht="18" customHeight="1">
      <c r="B1559" t="s">
        <v>919</v>
      </c>
      <c r="C1559" t="s">
        <v>920</v>
      </c>
      <c r="D1559" s="4"/>
      <c r="E1559" s="4">
        <v>1</v>
      </c>
      <c r="F1559" s="4"/>
      <c r="G1559" s="29" t="str">
        <f>IFERROR(HYPERLINK("#"&amp;ADDRESS(MATCH(B1559&amp;"ES",'LM7 Non-ENG'!$A$1:$A$5000,0),1,,,"LM7 Non-ENG"),IF(IFERROR(VLOOKUP(B1559&amp;"ES",'LM7 Non-ENG'!$A$1:$A$4999,1,FALSE),"ERROR")=B1559&amp;"ES","Y","")),"")</f>
        <v/>
      </c>
      <c r="H1559" s="29" t="str">
        <f>IFERROR(HYPERLINK("#"&amp;ADDRESS(MATCH(B1559&amp;"PT",'LM7 Non-ENG'!$A$1:$A$5000,0),1,,,"LM7 Non-ENG"),IF(IFERROR(VLOOKUP(B1559&amp;"PT",'LM7 Non-ENG'!$A$1:$A$5000,1,FALSE),"ERROR")=B1559&amp;"PT","Y","")),"")</f>
        <v/>
      </c>
      <c r="I1559" t="str">
        <f>IFERROR(VLOOKUP(B1559,PN!$A:$C,3,FALSE),"")</f>
        <v>Active</v>
      </c>
      <c r="J1559" s="3">
        <f>IFERROR(E1559*VLOOKUP(B1559,PLInter!$A:$D,3,FALSE),"")</f>
        <v>635</v>
      </c>
      <c r="K1559" s="66"/>
      <c r="L1559" s="66"/>
      <c r="M1559" s="66"/>
      <c r="N1559" s="66"/>
      <c r="O1559" s="66"/>
      <c r="P1559" s="66"/>
      <c r="Q1559" s="66"/>
      <c r="R1559" s="66"/>
      <c r="S1559" s="66"/>
    </row>
    <row r="1560" spans="2:19" ht="18" customHeight="1">
      <c r="B1560" t="s">
        <v>921</v>
      </c>
      <c r="C1560" t="s">
        <v>922</v>
      </c>
      <c r="D1560" s="4"/>
      <c r="E1560" s="4">
        <v>1</v>
      </c>
      <c r="F1560" s="4"/>
      <c r="G1560" s="29" t="str">
        <f>IFERROR(HYPERLINK("#"&amp;ADDRESS(MATCH(B1560&amp;"ES",'LM7 Non-ENG'!$A$1:$A$5000,0),1,,,"LM7 Non-ENG"),IF(IFERROR(VLOOKUP(B1560&amp;"ES",'LM7 Non-ENG'!$A$1:$A$4999,1,FALSE),"ERROR")=B1560&amp;"ES","Y","")),"")</f>
        <v/>
      </c>
      <c r="H1560" s="29" t="str">
        <f>IFERROR(HYPERLINK("#"&amp;ADDRESS(MATCH(B1560&amp;"PT",'LM7 Non-ENG'!$A$1:$A$5000,0),1,,,"LM7 Non-ENG"),IF(IFERROR(VLOOKUP(B1560&amp;"PT",'LM7 Non-ENG'!$A$1:$A$5000,1,FALSE),"ERROR")=B1560&amp;"PT","Y","")),"")</f>
        <v/>
      </c>
      <c r="I1560" t="str">
        <f>IFERROR(VLOOKUP(B1560,PN!$A:$C,3,FALSE),"")</f>
        <v>Active</v>
      </c>
      <c r="J1560" s="3">
        <f>IFERROR(E1560*VLOOKUP(B1560,PLInter!$A:$D,3,FALSE),"")</f>
        <v>2585</v>
      </c>
      <c r="K1560" s="66"/>
      <c r="L1560" s="66"/>
      <c r="M1560" s="66"/>
      <c r="N1560" s="66"/>
      <c r="O1560" s="66"/>
      <c r="P1560" s="66"/>
      <c r="Q1560" s="66"/>
      <c r="R1560" s="66"/>
      <c r="S1560" s="66"/>
    </row>
    <row r="1561" spans="2:19" ht="18" customHeight="1">
      <c r="B1561" t="s">
        <v>923</v>
      </c>
      <c r="C1561" t="s">
        <v>924</v>
      </c>
      <c r="D1561" s="4"/>
      <c r="E1561" s="4">
        <v>12</v>
      </c>
      <c r="F1561" s="4"/>
      <c r="G1561" s="29" t="str">
        <f>IFERROR(HYPERLINK("#"&amp;ADDRESS(MATCH(B1561&amp;"ES",'LM7 Non-ENG'!$A$1:$A$5000,0),1,,,"LM7 Non-ENG"),IF(IFERROR(VLOOKUP(B1561&amp;"ES",'LM7 Non-ENG'!$A$1:$A$4999,1,FALSE),"ERROR")=B1561&amp;"ES","Y","")),"")</f>
        <v/>
      </c>
      <c r="H1561" s="29" t="str">
        <f>IFERROR(HYPERLINK("#"&amp;ADDRESS(MATCH(B1561&amp;"PT",'LM7 Non-ENG'!$A$1:$A$5000,0),1,,,"LM7 Non-ENG"),IF(IFERROR(VLOOKUP(B1561&amp;"PT",'LM7 Non-ENG'!$A$1:$A$5000,1,FALSE),"ERROR")=B1561&amp;"PT","Y","")),"")</f>
        <v/>
      </c>
      <c r="I1561" t="str">
        <f>IFERROR(VLOOKUP(B1561,PN!$A:$C,3,FALSE),"")</f>
        <v>Active</v>
      </c>
      <c r="J1561" s="3">
        <f>IFERROR(E1561*VLOOKUP(B1561,PLInter!$A:$D,3,FALSE),"")</f>
        <v>1104</v>
      </c>
      <c r="K1561" s="66"/>
      <c r="L1561" s="66"/>
      <c r="M1561" s="66"/>
      <c r="N1561" s="66"/>
      <c r="O1561" s="66"/>
      <c r="P1561" s="66"/>
      <c r="Q1561" s="66"/>
      <c r="R1561" s="66"/>
      <c r="S1561" s="66"/>
    </row>
    <row r="1562" spans="2:19" ht="18" customHeight="1">
      <c r="B1562" t="s">
        <v>931</v>
      </c>
      <c r="C1562" t="s">
        <v>932</v>
      </c>
      <c r="D1562" s="4"/>
      <c r="E1562" s="4">
        <v>1</v>
      </c>
      <c r="F1562" s="4"/>
      <c r="G1562" s="29" t="str">
        <f>IFERROR(HYPERLINK("#"&amp;ADDRESS(MATCH(B1562&amp;"ES",'LM7 Non-ENG'!$A$1:$A$5000,0),1,,,"LM7 Non-ENG"),IF(IFERROR(VLOOKUP(B1562&amp;"ES",'LM7 Non-ENG'!$A$1:$A$4999,1,FALSE),"ERROR")=B1562&amp;"ES","Y","")),"")</f>
        <v/>
      </c>
      <c r="H1562" s="29" t="str">
        <f>IFERROR(HYPERLINK("#"&amp;ADDRESS(MATCH(B1562&amp;"PT",'LM7 Non-ENG'!$A$1:$A$5000,0),1,,,"LM7 Non-ENG"),IF(IFERROR(VLOOKUP(B1562&amp;"PT",'LM7 Non-ENG'!$A$1:$A$5000,1,FALSE),"ERROR")=B1562&amp;"PT","Y","")),"")</f>
        <v/>
      </c>
      <c r="I1562" t="str">
        <f>IFERROR(VLOOKUP(B1562,PN!$A:$C,3,FALSE),"")</f>
        <v>Active</v>
      </c>
      <c r="J1562" s="3">
        <f>IFERROR(E1562*VLOOKUP(B1562,PLInter!$A:$D,3,FALSE),"")</f>
        <v>6335</v>
      </c>
      <c r="K1562" s="66"/>
      <c r="L1562" s="66"/>
      <c r="M1562" s="66"/>
      <c r="N1562" s="66"/>
      <c r="O1562" s="66"/>
      <c r="P1562" s="66"/>
      <c r="Q1562" s="66"/>
      <c r="R1562" s="66"/>
      <c r="S1562" s="66"/>
    </row>
    <row r="1563" spans="2:19" ht="18" customHeight="1">
      <c r="B1563" t="s">
        <v>982</v>
      </c>
      <c r="C1563" t="s">
        <v>983</v>
      </c>
      <c r="D1563" s="4"/>
      <c r="E1563" s="4">
        <v>1</v>
      </c>
      <c r="F1563" s="4"/>
      <c r="G1563" s="29" t="str">
        <f>IFERROR(HYPERLINK("#"&amp;ADDRESS(MATCH(B1563&amp;"ES",'LM7 Non-ENG'!$A$1:$A$5000,0),1,,,"LM7 Non-ENG"),IF(IFERROR(VLOOKUP(B1563&amp;"ES",'LM7 Non-ENG'!$A$1:$A$4999,1,FALSE),"ERROR")=B1563&amp;"ES","Y","")),"")</f>
        <v/>
      </c>
      <c r="H1563" s="29" t="str">
        <f>IFERROR(HYPERLINK("#"&amp;ADDRESS(MATCH(B1563&amp;"PT",'LM7 Non-ENG'!$A$1:$A$5000,0),1,,,"LM7 Non-ENG"),IF(IFERROR(VLOOKUP(B1563&amp;"PT",'LM7 Non-ENG'!$A$1:$A$5000,1,FALSE),"ERROR")=B1563&amp;"PT","Y","")),"")</f>
        <v/>
      </c>
      <c r="I1563" t="str">
        <f>IFERROR(VLOOKUP(B1563,PN!$A:$C,3,FALSE),"")</f>
        <v>Active</v>
      </c>
      <c r="J1563" s="3">
        <f>IFERROR(E1563*VLOOKUP(B1563,PLInter!$A:$D,3,FALSE),"")</f>
        <v>3120</v>
      </c>
      <c r="K1563" s="66"/>
      <c r="L1563" s="66"/>
      <c r="M1563" s="66"/>
      <c r="N1563" s="66"/>
      <c r="O1563" s="66"/>
      <c r="P1563" s="66"/>
      <c r="Q1563" s="66"/>
      <c r="R1563" s="66"/>
      <c r="S1563" s="66"/>
    </row>
    <row r="1564" spans="2:19" ht="18" customHeight="1">
      <c r="B1564" t="str">
        <f>"113316"</f>
        <v>113316</v>
      </c>
      <c r="C1564" t="s">
        <v>979</v>
      </c>
      <c r="D1564" s="4"/>
      <c r="E1564" s="4">
        <v>1</v>
      </c>
      <c r="F1564" s="4"/>
      <c r="G1564" s="29" t="str">
        <f>IFERROR(HYPERLINK("#"&amp;ADDRESS(MATCH(B1564&amp;"ES",'LM7 Non-ENG'!$A$1:$A$5000,0),1,,,"LM7 Non-ENG"),IF(IFERROR(VLOOKUP(B1564&amp;"ES",'LM7 Non-ENG'!$A$1:$A$4999,1,FALSE),"ERROR")=B1564&amp;"ES","Y","")),"")</f>
        <v/>
      </c>
      <c r="H1564" s="29" t="str">
        <f>IFERROR(HYPERLINK("#"&amp;ADDRESS(MATCH(B1564&amp;"PT",'LM7 Non-ENG'!$A$1:$A$5000,0),1,,,"LM7 Non-ENG"),IF(IFERROR(VLOOKUP(B1564&amp;"PT",'LM7 Non-ENG'!$A$1:$A$5000,1,FALSE),"ERROR")=B1564&amp;"PT","Y","")),"")</f>
        <v/>
      </c>
      <c r="I1564" t="str">
        <f>IFERROR(VLOOKUP(B1564,PN!$A:$C,3,FALSE),"")</f>
        <v>Active</v>
      </c>
      <c r="J1564" s="3">
        <f>IFERROR(E1564*VLOOKUP(B1564,PLInter!$A:$D,3,FALSE),"")</f>
        <v>20</v>
      </c>
      <c r="K1564" s="66"/>
      <c r="L1564" s="66"/>
      <c r="M1564" s="66"/>
      <c r="N1564" s="66"/>
      <c r="O1564" s="66"/>
      <c r="P1564" s="66"/>
      <c r="Q1564" s="66"/>
      <c r="R1564" s="66"/>
      <c r="S1564" s="66"/>
    </row>
    <row r="1565" spans="2:19" ht="18" customHeight="1">
      <c r="B1565" t="s">
        <v>241</v>
      </c>
      <c r="C1565" t="s">
        <v>976</v>
      </c>
      <c r="D1565" s="4"/>
      <c r="E1565" s="4">
        <v>1</v>
      </c>
      <c r="F1565" s="4"/>
      <c r="G1565" s="29" t="str">
        <f>IFERROR(HYPERLINK("#"&amp;ADDRESS(MATCH(B1565&amp;"ES",'LM7 Non-ENG'!$A$1:$A$5000,0),1,,,"LM7 Non-ENG"),IF(IFERROR(VLOOKUP(B1565&amp;"ES",'LM7 Non-ENG'!$A$1:$A$4999,1,FALSE),"ERROR")=B1565&amp;"ES","Y","")),"")</f>
        <v/>
      </c>
      <c r="H1565" s="29" t="str">
        <f>IFERROR(HYPERLINK("#"&amp;ADDRESS(MATCH(B1565&amp;"PT",'LM7 Non-ENG'!$A$1:$A$5000,0),1,,,"LM7 Non-ENG"),IF(IFERROR(VLOOKUP(B1565&amp;"PT",'LM7 Non-ENG'!$A$1:$A$5000,1,FALSE),"ERROR")=B1565&amp;"PT","Y","")),"")</f>
        <v/>
      </c>
      <c r="I1565" t="str">
        <f>IFERROR(VLOOKUP(B1565,PN!$A:$C,3,FALSE),"")</f>
        <v>Active</v>
      </c>
      <c r="J1565" s="3">
        <f>IFERROR(E1565*VLOOKUP(B1565,PLInter!$A:$D,3,FALSE),"")</f>
        <v>2600</v>
      </c>
      <c r="K1565" s="66"/>
      <c r="L1565" s="66"/>
      <c r="M1565" s="66"/>
      <c r="N1565" s="66"/>
      <c r="O1565" s="66"/>
      <c r="P1565" s="66"/>
      <c r="Q1565" s="66"/>
      <c r="R1565" s="66"/>
      <c r="S1565" s="66"/>
    </row>
    <row r="1566" spans="2:19" ht="18" customHeight="1">
      <c r="B1566" t="s">
        <v>977</v>
      </c>
      <c r="C1566" t="s">
        <v>978</v>
      </c>
      <c r="D1566" s="4"/>
      <c r="E1566" s="4">
        <v>1</v>
      </c>
      <c r="F1566" s="4"/>
      <c r="G1566" s="29" t="str">
        <f>IFERROR(HYPERLINK("#"&amp;ADDRESS(MATCH(B1566&amp;"ES",'LM7 Non-ENG'!$A$1:$A$5000,0),1,,,"LM7 Non-ENG"),IF(IFERROR(VLOOKUP(B1566&amp;"ES",'LM7 Non-ENG'!$A$1:$A$4999,1,FALSE),"ERROR")=B1566&amp;"ES","Y","")),"")</f>
        <v/>
      </c>
      <c r="H1566" s="29" t="str">
        <f>IFERROR(HYPERLINK("#"&amp;ADDRESS(MATCH(B1566&amp;"PT",'LM7 Non-ENG'!$A$1:$A$5000,0),1,,,"LM7 Non-ENG"),IF(IFERROR(VLOOKUP(B1566&amp;"PT",'LM7 Non-ENG'!$A$1:$A$5000,1,FALSE),"ERROR")=B1566&amp;"PT","Y","")),"")</f>
        <v/>
      </c>
      <c r="I1566" t="str">
        <f>IFERROR(VLOOKUP(B1566,PN!$A:$C,3,FALSE),"")</f>
        <v>Active</v>
      </c>
      <c r="J1566" s="3">
        <f>IFERROR(E1566*VLOOKUP(B1566,PLInter!$A:$D,3,FALSE),"")</f>
        <v>3885</v>
      </c>
      <c r="K1566" s="66"/>
      <c r="L1566" s="66"/>
      <c r="M1566" s="66"/>
      <c r="N1566" s="66"/>
      <c r="O1566" s="66"/>
      <c r="P1566" s="66"/>
      <c r="Q1566" s="66"/>
      <c r="R1566" s="66"/>
      <c r="S1566" s="66"/>
    </row>
    <row r="1567" spans="2:19" ht="18" customHeight="1">
      <c r="B1567" t="str">
        <f>"113316"</f>
        <v>113316</v>
      </c>
      <c r="C1567" t="s">
        <v>979</v>
      </c>
      <c r="D1567" s="4"/>
      <c r="E1567" s="4">
        <v>1</v>
      </c>
      <c r="F1567" s="4"/>
      <c r="G1567" s="29" t="str">
        <f>IFERROR(HYPERLINK("#"&amp;ADDRESS(MATCH(B1567&amp;"ES",'LM7 Non-ENG'!$A$1:$A$5000,0),1,,,"LM7 Non-ENG"),IF(IFERROR(VLOOKUP(B1567&amp;"ES",'LM7 Non-ENG'!$A$1:$A$4999,1,FALSE),"ERROR")=B1567&amp;"ES","Y","")),"")</f>
        <v/>
      </c>
      <c r="H1567" s="29" t="str">
        <f>IFERROR(HYPERLINK("#"&amp;ADDRESS(MATCH(B1567&amp;"PT",'LM7 Non-ENG'!$A$1:$A$5000,0),1,,,"LM7 Non-ENG"),IF(IFERROR(VLOOKUP(B1567&amp;"PT",'LM7 Non-ENG'!$A$1:$A$5000,1,FALSE),"ERROR")=B1567&amp;"PT","Y","")),"")</f>
        <v/>
      </c>
      <c r="I1567" t="str">
        <f>IFERROR(VLOOKUP(B1567,PN!$A:$C,3,FALSE),"")</f>
        <v>Active</v>
      </c>
      <c r="J1567" s="3">
        <f>IFERROR(E1567*VLOOKUP(B1567,PLInter!$A:$D,3,FALSE),"")</f>
        <v>20</v>
      </c>
      <c r="K1567" s="66"/>
      <c r="L1567" s="66"/>
      <c r="M1567" s="66"/>
      <c r="N1567" s="66"/>
      <c r="O1567" s="66"/>
      <c r="P1567" s="66"/>
      <c r="Q1567" s="66"/>
      <c r="R1567" s="66"/>
      <c r="S1567" s="66"/>
    </row>
    <row r="1568" spans="2:19" ht="18" customHeight="1">
      <c r="B1568" t="str">
        <f>"112713"</f>
        <v>112713</v>
      </c>
      <c r="C1568" t="s">
        <v>944</v>
      </c>
      <c r="D1568" s="4"/>
      <c r="E1568" s="4">
        <v>3</v>
      </c>
      <c r="F1568" s="4"/>
      <c r="G1568" s="29" t="str">
        <f>IFERROR(HYPERLINK("#"&amp;ADDRESS(MATCH(B1568&amp;"ES",'LM7 Non-ENG'!$A$1:$A$5000,0),1,,,"LM7 Non-ENG"),IF(IFERROR(VLOOKUP(B1568&amp;"ES",'LM7 Non-ENG'!$A$1:$A$4999,1,FALSE),"ERROR")=B1568&amp;"ES","Y","")),"")</f>
        <v/>
      </c>
      <c r="H1568" s="29" t="str">
        <f>IFERROR(HYPERLINK("#"&amp;ADDRESS(MATCH(B1568&amp;"PT",'LM7 Non-ENG'!$A$1:$A$5000,0),1,,,"LM7 Non-ENG"),IF(IFERROR(VLOOKUP(B1568&amp;"PT",'LM7 Non-ENG'!$A$1:$A$5000,1,FALSE),"ERROR")=B1568&amp;"PT","Y","")),"")</f>
        <v/>
      </c>
      <c r="I1568" t="str">
        <f>IFERROR(VLOOKUP(B1568,PN!$A:$C,3,FALSE),"")</f>
        <v>Active</v>
      </c>
      <c r="J1568" s="3">
        <f>IFERROR(E1568*VLOOKUP(B1568,PLInter!$A:$D,3,FALSE),"")</f>
        <v>300</v>
      </c>
      <c r="K1568" s="66"/>
      <c r="L1568" s="66"/>
      <c r="M1568" s="66"/>
      <c r="N1568" s="66"/>
      <c r="O1568" s="66"/>
      <c r="P1568" s="66"/>
      <c r="Q1568" s="66"/>
      <c r="R1568" s="66"/>
      <c r="S1568" s="66"/>
    </row>
    <row r="1569" spans="1:19" ht="18" customHeight="1">
      <c r="B1569" t="str">
        <f>"113096"</f>
        <v>113096</v>
      </c>
      <c r="C1569" t="s">
        <v>943</v>
      </c>
      <c r="D1569" s="4"/>
      <c r="E1569" s="4">
        <v>3</v>
      </c>
      <c r="F1569" s="4"/>
      <c r="G1569" s="29" t="str">
        <f>IFERROR(HYPERLINK("#"&amp;ADDRESS(MATCH(B1569&amp;"ES",'LM7 Non-ENG'!$A$1:$A$5000,0),1,,,"LM7 Non-ENG"),IF(IFERROR(VLOOKUP(B1569&amp;"ES",'LM7 Non-ENG'!$A$1:$A$4999,1,FALSE),"ERROR")=B1569&amp;"ES","Y","")),"")</f>
        <v/>
      </c>
      <c r="H1569" s="29" t="str">
        <f>IFERROR(HYPERLINK("#"&amp;ADDRESS(MATCH(B1569&amp;"PT",'LM7 Non-ENG'!$A$1:$A$5000,0),1,,,"LM7 Non-ENG"),IF(IFERROR(VLOOKUP(B1569&amp;"PT",'LM7 Non-ENG'!$A$1:$A$5000,1,FALSE),"ERROR")=B1569&amp;"PT","Y","")),"")</f>
        <v/>
      </c>
      <c r="I1569" t="str">
        <f>IFERROR(VLOOKUP(B1569,PN!$A:$C,3,FALSE),"")</f>
        <v>Active</v>
      </c>
      <c r="J1569" s="3">
        <f>IFERROR(E1569*VLOOKUP(B1569,PLInter!$A:$D,3,FALSE),"")</f>
        <v>162</v>
      </c>
      <c r="K1569" s="66"/>
      <c r="L1569" s="66"/>
      <c r="M1569" s="66"/>
      <c r="N1569" s="66"/>
      <c r="O1569" s="66"/>
      <c r="P1569" s="66"/>
      <c r="Q1569" s="66"/>
      <c r="R1569" s="66"/>
      <c r="S1569" s="66"/>
    </row>
    <row r="1570" spans="1:19" ht="18" customHeight="1">
      <c r="B1570" t="s">
        <v>925</v>
      </c>
      <c r="C1570" t="s">
        <v>926</v>
      </c>
      <c r="D1570" s="4"/>
      <c r="E1570" s="4">
        <v>1</v>
      </c>
      <c r="F1570" s="4"/>
      <c r="G1570" s="29" t="str">
        <f>IFERROR(HYPERLINK("#"&amp;ADDRESS(MATCH(B1570&amp;"ES",'LM7 Non-ENG'!$A$1:$A$5000,0),1,,,"LM7 Non-ENG"),IF(IFERROR(VLOOKUP(B1570&amp;"ES",'LM7 Non-ENG'!$A$1:$A$4999,1,FALSE),"ERROR")=B1570&amp;"ES","Y","")),"")</f>
        <v/>
      </c>
      <c r="H1570" s="29" t="str">
        <f>IFERROR(HYPERLINK("#"&amp;ADDRESS(MATCH(B1570&amp;"PT",'LM7 Non-ENG'!$A$1:$A$5000,0),1,,,"LM7 Non-ENG"),IF(IFERROR(VLOOKUP(B1570&amp;"PT",'LM7 Non-ENG'!$A$1:$A$5000,1,FALSE),"ERROR")=B1570&amp;"PT","Y","")),"")</f>
        <v/>
      </c>
      <c r="I1570" t="str">
        <f>IFERROR(VLOOKUP(B1570,PN!$A:$C,3,FALSE),"")</f>
        <v>Active</v>
      </c>
      <c r="J1570" s="3">
        <f>IFERROR(E1570*VLOOKUP(B1570,PLInter!$A:$D,3,FALSE),"")</f>
        <v>2760</v>
      </c>
      <c r="K1570" s="66"/>
      <c r="L1570" s="66"/>
      <c r="M1570" s="66"/>
      <c r="N1570" s="66"/>
      <c r="O1570" s="66"/>
      <c r="P1570" s="66"/>
      <c r="Q1570" s="66"/>
      <c r="R1570" s="66"/>
      <c r="S1570" s="66"/>
    </row>
    <row r="1571" spans="1:19" ht="18" customHeight="1">
      <c r="B1571" t="s">
        <v>927</v>
      </c>
      <c r="C1571" t="s">
        <v>928</v>
      </c>
      <c r="D1571" s="4"/>
      <c r="E1571" s="4">
        <v>1</v>
      </c>
      <c r="F1571" s="4"/>
      <c r="G1571" s="29" t="str">
        <f>IFERROR(HYPERLINK("#"&amp;ADDRESS(MATCH(B1571&amp;"ES",'LM7 Non-ENG'!$A$1:$A$5000,0),1,,,"LM7 Non-ENG"),IF(IFERROR(VLOOKUP(B1571&amp;"ES",'LM7 Non-ENG'!$A$1:$A$4999,1,FALSE),"ERROR")=B1571&amp;"ES","Y","")),"")</f>
        <v/>
      </c>
      <c r="H1571" s="29" t="str">
        <f>IFERROR(HYPERLINK("#"&amp;ADDRESS(MATCH(B1571&amp;"PT",'LM7 Non-ENG'!$A$1:$A$5000,0),1,,,"LM7 Non-ENG"),IF(IFERROR(VLOOKUP(B1571&amp;"PT",'LM7 Non-ENG'!$A$1:$A$5000,1,FALSE),"ERROR")=B1571&amp;"PT","Y","")),"")</f>
        <v/>
      </c>
      <c r="I1571" t="str">
        <f>IFERROR(VLOOKUP(B1571,PN!$A:$C,3,FALSE),"")</f>
        <v>Active</v>
      </c>
      <c r="J1571" s="3">
        <f>IFERROR(E1571*VLOOKUP(B1571,PLInter!$A:$D,3,FALSE),"")</f>
        <v>467</v>
      </c>
      <c r="K1571" s="66"/>
      <c r="L1571" s="66"/>
      <c r="M1571" s="66"/>
      <c r="N1571" s="66"/>
      <c r="O1571" s="66"/>
      <c r="P1571" s="66"/>
      <c r="Q1571" s="66"/>
      <c r="R1571" s="66"/>
      <c r="S1571" s="66"/>
    </row>
    <row r="1572" spans="1:19" ht="18" customHeight="1">
      <c r="B1572" t="s">
        <v>668</v>
      </c>
      <c r="C1572" t="s">
        <v>669</v>
      </c>
      <c r="D1572" s="4"/>
      <c r="E1572" s="4">
        <v>1</v>
      </c>
      <c r="F1572" s="4"/>
      <c r="G1572" s="29" t="str">
        <f>IFERROR(HYPERLINK("#"&amp;ADDRESS(MATCH(B1572&amp;"ES",'LM7 Non-ENG'!$A$1:$A$5000,0),1,,,"LM7 Non-ENG"),IF(IFERROR(VLOOKUP(B1572&amp;"ES",'LM7 Non-ENG'!$A$1:$A$4999,1,FALSE),"ERROR")=B1572&amp;"ES","Y","")),"")</f>
        <v/>
      </c>
      <c r="H1572" s="29" t="str">
        <f>IFERROR(HYPERLINK("#"&amp;ADDRESS(MATCH(B1572&amp;"PT",'LM7 Non-ENG'!$A$1:$A$5000,0),1,,,"LM7 Non-ENG"),IF(IFERROR(VLOOKUP(B1572&amp;"PT",'LM7 Non-ENG'!$A$1:$A$5000,1,FALSE),"ERROR")=B1572&amp;"PT","Y","")),"")</f>
        <v/>
      </c>
      <c r="I1572" t="str">
        <f>IFERROR(VLOOKUP(B1572,PN!$A:$C,3,FALSE),"")</f>
        <v>Active</v>
      </c>
      <c r="J1572" s="3">
        <f>IFERROR(E1572*VLOOKUP(B1572,PLInter!$A:$D,3,FALSE),"")</f>
        <v>480</v>
      </c>
      <c r="K1572" s="66"/>
      <c r="L1572" s="66"/>
      <c r="M1572" s="66"/>
      <c r="N1572" s="66"/>
      <c r="O1572" s="66"/>
      <c r="P1572" s="66"/>
      <c r="Q1572" s="66"/>
      <c r="R1572" s="66"/>
      <c r="S1572" s="66"/>
    </row>
    <row r="1573" spans="1:19" ht="18" customHeight="1">
      <c r="B1573" t="s">
        <v>630</v>
      </c>
      <c r="C1573" t="s">
        <v>631</v>
      </c>
      <c r="D1573" s="4"/>
      <c r="E1573" s="4">
        <v>1</v>
      </c>
      <c r="F1573" s="4"/>
      <c r="G1573" s="29" t="str">
        <f>IFERROR(HYPERLINK("#"&amp;ADDRESS(MATCH(B1573&amp;"ES",'LM7 Non-ENG'!$A$1:$A$5000,0),1,,,"LM7 Non-ENG"),IF(IFERROR(VLOOKUP(B1573&amp;"ES",'LM7 Non-ENG'!$A$1:$A$4999,1,FALSE),"ERROR")=B1573&amp;"ES","Y","")),"")</f>
        <v/>
      </c>
      <c r="H1573" s="29" t="str">
        <f>IFERROR(HYPERLINK("#"&amp;ADDRESS(MATCH(B1573&amp;"PT",'LM7 Non-ENG'!$A$1:$A$5000,0),1,,,"LM7 Non-ENG"),IF(IFERROR(VLOOKUP(B1573&amp;"PT",'LM7 Non-ENG'!$A$1:$A$5000,1,FALSE),"ERROR")=B1573&amp;"PT","Y","")),"")</f>
        <v/>
      </c>
      <c r="I1573" t="str">
        <f>IFERROR(VLOOKUP(B1573,PN!$A:$C,3,FALSE),"")</f>
        <v>Active</v>
      </c>
      <c r="J1573" s="3">
        <f>IFERROR(E1573*VLOOKUP(B1573,PLInter!$A:$D,3,FALSE),"")</f>
        <v>1735</v>
      </c>
      <c r="K1573" s="66"/>
      <c r="L1573" s="66"/>
      <c r="M1573" s="66"/>
      <c r="N1573" s="66"/>
      <c r="O1573" s="66"/>
      <c r="P1573" s="66"/>
      <c r="Q1573" s="66"/>
      <c r="R1573" s="66"/>
      <c r="S1573" s="66"/>
    </row>
    <row r="1575" spans="1:19" s="7" customFormat="1" ht="18" customHeight="1">
      <c r="A1575" s="13" t="s">
        <v>994</v>
      </c>
      <c r="B1575" s="13"/>
      <c r="C1575" s="13" t="s">
        <v>995</v>
      </c>
      <c r="D1575" s="14"/>
      <c r="E1575" s="14"/>
      <c r="F1575" s="14"/>
      <c r="G1575" s="14"/>
      <c r="H1575" s="14"/>
      <c r="I1575" s="14"/>
      <c r="J1575" s="14">
        <f>SUMIFS(J1576:J1599,D1576:D1599,"&lt;&gt;Y",F1576:F1599,"&lt;&gt;Y",I1576:I1599,"&lt;&gt;Inactive",I1576:I1599,"&lt;&gt;ECO+NFS")</f>
        <v>61457</v>
      </c>
      <c r="K1575" s="14"/>
      <c r="L1575" s="14"/>
      <c r="M1575" s="14"/>
      <c r="N1575" s="14"/>
      <c r="O1575" s="14"/>
      <c r="P1575" s="14"/>
      <c r="Q1575" s="14"/>
      <c r="R1575" s="14"/>
      <c r="S1575" s="14"/>
    </row>
    <row r="1576" spans="1:19" ht="18" customHeight="1">
      <c r="A1576" s="17" t="str">
        <f>HYPERLINK("#"&amp;ADDRESS(MATCH(A1575,'CIM&amp;FMS'!$A$1:$A$4997,0),1,,,"CIM&amp;FMS"),"Back to Price List")</f>
        <v>Back to Price List</v>
      </c>
      <c r="B1576" t="s">
        <v>216</v>
      </c>
      <c r="C1576" t="s">
        <v>913</v>
      </c>
      <c r="D1576" s="4"/>
      <c r="E1576" s="4">
        <v>1</v>
      </c>
      <c r="F1576" s="4"/>
      <c r="G1576" s="29" t="str">
        <f>IFERROR(HYPERLINK("#"&amp;ADDRESS(MATCH(B1576&amp;"ES",'LM7 Non-ENG'!$A$1:$A$5000,0),1,,,"LM7 Non-ENG"),IF(IFERROR(VLOOKUP(B1576&amp;"ES",'LM7 Non-ENG'!$A$1:$A$4999,1,FALSE),"ERROR")=B1576&amp;"ES","Y","")),"")</f>
        <v/>
      </c>
      <c r="H1576" s="29" t="str">
        <f>IFERROR(HYPERLINK("#"&amp;ADDRESS(MATCH(B1576&amp;"PT",'LM7 Non-ENG'!$A$1:$A$5000,0),1,,,"LM7 Non-ENG"),IF(IFERROR(VLOOKUP(B1576&amp;"PT",'LM7 Non-ENG'!$A$1:$A$5000,1,FALSE),"ERROR")=B1576&amp;"PT","Y","")),"")</f>
        <v/>
      </c>
      <c r="I1576" t="str">
        <f>IFERROR(VLOOKUP(B1576,PN!$A:$C,3,FALSE),"")</f>
        <v>Active</v>
      </c>
      <c r="J1576" s="3">
        <f>IFERROR(E1576*VLOOKUP(B1576,PLInter!$A:$D,3,FALSE),"")</f>
        <v>26667</v>
      </c>
      <c r="K1576" s="66"/>
      <c r="L1576" s="66"/>
      <c r="M1576" s="66"/>
      <c r="N1576" s="66"/>
      <c r="O1576" s="66"/>
      <c r="P1576" s="66"/>
      <c r="Q1576" s="66"/>
      <c r="R1576" s="66"/>
      <c r="S1576" s="66"/>
    </row>
    <row r="1577" spans="1:19" ht="18" customHeight="1">
      <c r="B1577" t="s">
        <v>229</v>
      </c>
      <c r="C1577" t="s">
        <v>234</v>
      </c>
      <c r="D1577" s="4"/>
      <c r="E1577" s="4">
        <v>1</v>
      </c>
      <c r="F1577" s="4"/>
      <c r="G1577" s="29" t="str">
        <f>IFERROR(HYPERLINK("#"&amp;ADDRESS(MATCH(B1577&amp;"ES",'LM7 Non-ENG'!$A$1:$A$5000,0),1,,,"LM7 Non-ENG"),IF(IFERROR(VLOOKUP(B1577&amp;"ES",'LM7 Non-ENG'!$A$1:$A$4999,1,FALSE),"ERROR")=B1577&amp;"ES","Y","")),"")</f>
        <v/>
      </c>
      <c r="H1577" s="29" t="str">
        <f>IFERROR(HYPERLINK("#"&amp;ADDRESS(MATCH(B1577&amp;"PT",'LM7 Non-ENG'!$A$1:$A$5000,0),1,,,"LM7 Non-ENG"),IF(IFERROR(VLOOKUP(B1577&amp;"PT",'LM7 Non-ENG'!$A$1:$A$5000,1,FALSE),"ERROR")=B1577&amp;"PT","Y","")),"")</f>
        <v/>
      </c>
      <c r="I1577" t="str">
        <f>IFERROR(VLOOKUP(B1577,PN!$A:$C,3,FALSE),"")</f>
        <v>Active</v>
      </c>
      <c r="J1577" s="3">
        <f>IFERROR(E1577*VLOOKUP(B1577,PLInter!$A:$D,3,FALSE),"")</f>
        <v>3270</v>
      </c>
      <c r="K1577" s="66"/>
      <c r="L1577" s="66"/>
      <c r="M1577" s="66"/>
      <c r="N1577" s="66"/>
      <c r="O1577" s="66"/>
      <c r="P1577" s="66"/>
      <c r="Q1577" s="66"/>
      <c r="R1577" s="66"/>
      <c r="S1577" s="66"/>
    </row>
    <row r="1578" spans="1:19" ht="18" customHeight="1">
      <c r="B1578" s="2" t="s">
        <v>227</v>
      </c>
      <c r="C1578" s="2" t="s">
        <v>232</v>
      </c>
      <c r="D1578" s="5"/>
      <c r="E1578" s="5">
        <v>1</v>
      </c>
      <c r="F1578" s="5" t="s">
        <v>0</v>
      </c>
      <c r="G1578" s="29" t="str">
        <f>IFERROR(HYPERLINK("#"&amp;ADDRESS(MATCH(B1578&amp;"ES",'LM7 Non-ENG'!$A$1:$A$5000,0),1,,,"LM7 Non-ENG"),IF(IFERROR(VLOOKUP(B1578&amp;"ES",'LM7 Non-ENG'!$A$1:$A$4999,1,FALSE),"ERROR")=B1578&amp;"ES","Y","")),"")</f>
        <v/>
      </c>
      <c r="H1578" s="29" t="str">
        <f>IFERROR(HYPERLINK("#"&amp;ADDRESS(MATCH(B1578&amp;"PT",'LM7 Non-ENG'!$A$1:$A$5000,0),1,,,"LM7 Non-ENG"),IF(IFERROR(VLOOKUP(B1578&amp;"PT",'LM7 Non-ENG'!$A$1:$A$5000,1,FALSE),"ERROR")=B1578&amp;"PT","Y","")),"")</f>
        <v/>
      </c>
      <c r="I1578" t="str">
        <f>IFERROR(VLOOKUP(B1578,PN!$A:$C,3,FALSE),"")</f>
        <v>Active</v>
      </c>
      <c r="J1578" s="3">
        <f>IFERROR(E1578*VLOOKUP(B1578,PLInter!$A:$D,3,FALSE),"")</f>
        <v>1700</v>
      </c>
      <c r="K1578" s="66"/>
      <c r="L1578" s="66"/>
      <c r="M1578" s="66"/>
      <c r="N1578" s="66"/>
      <c r="O1578" s="66"/>
      <c r="P1578" s="66"/>
      <c r="Q1578" s="66"/>
      <c r="R1578" s="66"/>
      <c r="S1578" s="66"/>
    </row>
    <row r="1579" spans="1:19" ht="18" customHeight="1">
      <c r="B1579" t="s">
        <v>236</v>
      </c>
      <c r="C1579" t="s">
        <v>626</v>
      </c>
      <c r="D1579" s="4"/>
      <c r="E1579" s="4">
        <v>1</v>
      </c>
      <c r="F1579" s="4"/>
      <c r="G1579" s="29" t="str">
        <f>IFERROR(HYPERLINK("#"&amp;ADDRESS(MATCH(B1579&amp;"ES",'LM7 Non-ENG'!$A$1:$A$5000,0),1,,,"LM7 Non-ENG"),IF(IFERROR(VLOOKUP(B1579&amp;"ES",'LM7 Non-ENG'!$A$1:$A$4999,1,FALSE),"ERROR")=B1579&amp;"ES","Y","")),"")</f>
        <v/>
      </c>
      <c r="H1579" s="29" t="str">
        <f>IFERROR(HYPERLINK("#"&amp;ADDRESS(MATCH(B1579&amp;"PT",'LM7 Non-ENG'!$A$1:$A$5000,0),1,,,"LM7 Non-ENG"),IF(IFERROR(VLOOKUP(B1579&amp;"PT",'LM7 Non-ENG'!$A$1:$A$5000,1,FALSE),"ERROR")=B1579&amp;"PT","Y","")),"")</f>
        <v/>
      </c>
      <c r="I1579" t="str">
        <f>IFERROR(VLOOKUP(B1579,PN!$A:$C,3,FALSE),"")</f>
        <v>Active</v>
      </c>
      <c r="J1579" s="3">
        <f>IFERROR(E1579*VLOOKUP(B1579,PLInter!$A:$D,3,FALSE),"")</f>
        <v>1680</v>
      </c>
      <c r="K1579" s="66"/>
      <c r="L1579" s="66"/>
      <c r="M1579" s="66"/>
      <c r="N1579" s="66"/>
      <c r="O1579" s="66"/>
      <c r="P1579" s="66"/>
      <c r="Q1579" s="66"/>
      <c r="R1579" s="66"/>
      <c r="S1579" s="66"/>
    </row>
    <row r="1580" spans="1:19" ht="18" customHeight="1">
      <c r="B1580" t="str">
        <f>"034025"</f>
        <v>034025</v>
      </c>
      <c r="C1580" t="s">
        <v>777</v>
      </c>
      <c r="D1580" s="4"/>
      <c r="E1580" s="4">
        <v>1</v>
      </c>
      <c r="F1580" s="4"/>
      <c r="G1580" s="29" t="str">
        <f>IFERROR(HYPERLINK("#"&amp;ADDRESS(MATCH(B1580&amp;"ES",'LM7 Non-ENG'!$A$1:$A$5000,0),1,,,"LM7 Non-ENG"),IF(IFERROR(VLOOKUP(B1580&amp;"ES",'LM7 Non-ENG'!$A$1:$A$4999,1,FALSE),"ERROR")=B1580&amp;"ES","Y","")),"")</f>
        <v/>
      </c>
      <c r="H1580" s="29" t="str">
        <f>IFERROR(HYPERLINK("#"&amp;ADDRESS(MATCH(B1580&amp;"PT",'LM7 Non-ENG'!$A$1:$A$5000,0),1,,,"LM7 Non-ENG"),IF(IFERROR(VLOOKUP(B1580&amp;"PT",'LM7 Non-ENG'!$A$1:$A$5000,1,FALSE),"ERROR")=B1580&amp;"PT","Y","")),"")</f>
        <v/>
      </c>
      <c r="I1580" t="str">
        <f>IFERROR(VLOOKUP(B1580,PN!$A:$C,3,FALSE),"")</f>
        <v>Active</v>
      </c>
      <c r="J1580" s="3">
        <f>IFERROR(E1580*VLOOKUP(B1580,PLInter!$A:$D,3,FALSE),"")</f>
        <v>1267</v>
      </c>
      <c r="K1580" s="66"/>
      <c r="L1580" s="66"/>
      <c r="M1580" s="66"/>
      <c r="N1580" s="66"/>
      <c r="O1580" s="66"/>
      <c r="P1580" s="66"/>
      <c r="Q1580" s="66"/>
      <c r="R1580" s="66"/>
      <c r="S1580" s="66"/>
    </row>
    <row r="1581" spans="1:19" ht="18" customHeight="1">
      <c r="B1581" t="s">
        <v>914</v>
      </c>
      <c r="C1581" t="s">
        <v>915</v>
      </c>
      <c r="D1581" s="4"/>
      <c r="E1581" s="4">
        <v>3</v>
      </c>
      <c r="F1581" s="4"/>
      <c r="G1581" s="29" t="str">
        <f>IFERROR(HYPERLINK("#"&amp;ADDRESS(MATCH(B1581&amp;"ES",'LM7 Non-ENG'!$A$1:$A$5000,0),1,,,"LM7 Non-ENG"),IF(IFERROR(VLOOKUP(B1581&amp;"ES",'LM7 Non-ENG'!$A$1:$A$4999,1,FALSE),"ERROR")=B1581&amp;"ES","Y","")),"")</f>
        <v/>
      </c>
      <c r="H1581" s="29" t="str">
        <f>IFERROR(HYPERLINK("#"&amp;ADDRESS(MATCH(B1581&amp;"PT",'LM7 Non-ENG'!$A$1:$A$5000,0),1,,,"LM7 Non-ENG"),IF(IFERROR(VLOOKUP(B1581&amp;"PT",'LM7 Non-ENG'!$A$1:$A$5000,1,FALSE),"ERROR")=B1581&amp;"PT","Y","")),"")</f>
        <v/>
      </c>
      <c r="I1581" t="str">
        <f>IFERROR(VLOOKUP(B1581,PN!$A:$C,3,FALSE),"")</f>
        <v>Active</v>
      </c>
      <c r="J1581" s="3">
        <f>IFERROR(E1581*VLOOKUP(B1581,PLInter!$A:$D,3,FALSE),"")</f>
        <v>402</v>
      </c>
      <c r="K1581" s="66"/>
      <c r="L1581" s="66"/>
      <c r="M1581" s="66"/>
      <c r="N1581" s="66"/>
      <c r="O1581" s="66"/>
      <c r="P1581" s="66"/>
      <c r="Q1581" s="66"/>
      <c r="R1581" s="66"/>
      <c r="S1581" s="66"/>
    </row>
    <row r="1582" spans="1:19" ht="18" customHeight="1">
      <c r="B1582" t="s">
        <v>684</v>
      </c>
      <c r="C1582" t="s">
        <v>685</v>
      </c>
      <c r="D1582" s="4"/>
      <c r="E1582" s="4">
        <v>2</v>
      </c>
      <c r="F1582" s="4"/>
      <c r="G1582" s="29" t="str">
        <f>IFERROR(HYPERLINK("#"&amp;ADDRESS(MATCH(B1582&amp;"ES",'LM7 Non-ENG'!$A$1:$A$5000,0),1,,,"LM7 Non-ENG"),IF(IFERROR(VLOOKUP(B1582&amp;"ES",'LM7 Non-ENG'!$A$1:$A$4999,1,FALSE),"ERROR")=B1582&amp;"ES","Y","")),"")</f>
        <v/>
      </c>
      <c r="H1582" s="29" t="str">
        <f>IFERROR(HYPERLINK("#"&amp;ADDRESS(MATCH(B1582&amp;"PT",'LM7 Non-ENG'!$A$1:$A$5000,0),1,,,"LM7 Non-ENG"),IF(IFERROR(VLOOKUP(B1582&amp;"PT",'LM7 Non-ENG'!$A$1:$A$5000,1,FALSE),"ERROR")=B1582&amp;"PT","Y","")),"")</f>
        <v/>
      </c>
      <c r="I1582" t="str">
        <f>IFERROR(VLOOKUP(B1582,PN!$A:$C,3,FALSE),"")</f>
        <v>Active</v>
      </c>
      <c r="J1582" s="3">
        <f>IFERROR(E1582*VLOOKUP(B1582,PLInter!$A:$D,3,FALSE),"")</f>
        <v>1160</v>
      </c>
      <c r="K1582" s="66"/>
      <c r="L1582" s="66"/>
      <c r="M1582" s="66"/>
      <c r="N1582" s="66"/>
      <c r="O1582" s="66"/>
      <c r="P1582" s="66"/>
      <c r="Q1582" s="66"/>
      <c r="R1582" s="66"/>
      <c r="S1582" s="66"/>
    </row>
    <row r="1583" spans="1:19" ht="18" customHeight="1">
      <c r="B1583" t="str">
        <f>"021172"</f>
        <v>021172</v>
      </c>
      <c r="C1583" t="s">
        <v>916</v>
      </c>
      <c r="D1583" s="4"/>
      <c r="E1583" s="4">
        <v>2</v>
      </c>
      <c r="F1583" s="4"/>
      <c r="G1583" s="29" t="str">
        <f>IFERROR(HYPERLINK("#"&amp;ADDRESS(MATCH(B1583&amp;"ES",'LM7 Non-ENG'!$A$1:$A$5000,0),1,,,"LM7 Non-ENG"),IF(IFERROR(VLOOKUP(B1583&amp;"ES",'LM7 Non-ENG'!$A$1:$A$4999,1,FALSE),"ERROR")=B1583&amp;"ES","Y","")),"")</f>
        <v/>
      </c>
      <c r="H1583" s="29" t="str">
        <f>IFERROR(HYPERLINK("#"&amp;ADDRESS(MATCH(B1583&amp;"PT",'LM7 Non-ENG'!$A$1:$A$5000,0),1,,,"LM7 Non-ENG"),IF(IFERROR(VLOOKUP(B1583&amp;"PT",'LM7 Non-ENG'!$A$1:$A$5000,1,FALSE),"ERROR")=B1583&amp;"PT","Y","")),"")</f>
        <v/>
      </c>
      <c r="I1583" t="str">
        <f>IFERROR(VLOOKUP(B1583,PN!$A:$C,3,FALSE),"")</f>
        <v>Active</v>
      </c>
      <c r="J1583" s="3">
        <f>IFERROR(E1583*VLOOKUP(B1583,PLInter!$A:$D,3,FALSE),"")</f>
        <v>80</v>
      </c>
      <c r="K1583" s="66"/>
      <c r="L1583" s="66"/>
      <c r="M1583" s="66"/>
      <c r="N1583" s="66"/>
      <c r="O1583" s="66"/>
      <c r="P1583" s="66"/>
      <c r="Q1583" s="66"/>
      <c r="R1583" s="66"/>
      <c r="S1583" s="66"/>
    </row>
    <row r="1584" spans="1:19" ht="18" customHeight="1">
      <c r="B1584" t="s">
        <v>917</v>
      </c>
      <c r="C1584" t="s">
        <v>918</v>
      </c>
      <c r="D1584" s="4"/>
      <c r="E1584" s="4">
        <v>1</v>
      </c>
      <c r="F1584" s="4"/>
      <c r="G1584" s="29" t="str">
        <f>IFERROR(HYPERLINK("#"&amp;ADDRESS(MATCH(B1584&amp;"ES",'LM7 Non-ENG'!$A$1:$A$5000,0),1,,,"LM7 Non-ENG"),IF(IFERROR(VLOOKUP(B1584&amp;"ES",'LM7 Non-ENG'!$A$1:$A$4999,1,FALSE),"ERROR")=B1584&amp;"ES","Y","")),"")</f>
        <v/>
      </c>
      <c r="H1584" s="29" t="str">
        <f>IFERROR(HYPERLINK("#"&amp;ADDRESS(MATCH(B1584&amp;"PT",'LM7 Non-ENG'!$A$1:$A$5000,0),1,,,"LM7 Non-ENG"),IF(IFERROR(VLOOKUP(B1584&amp;"PT",'LM7 Non-ENG'!$A$1:$A$5000,1,FALSE),"ERROR")=B1584&amp;"PT","Y","")),"")</f>
        <v/>
      </c>
      <c r="I1584" t="str">
        <f>IFERROR(VLOOKUP(B1584,PN!$A:$C,3,FALSE),"")</f>
        <v>Phase Out</v>
      </c>
      <c r="J1584" s="3">
        <f>IFERROR(E1584*VLOOKUP(B1584,PLInter!$A:$D,3,FALSE),"")</f>
        <v>1735</v>
      </c>
      <c r="K1584" s="66"/>
      <c r="L1584" s="66"/>
      <c r="M1584" s="66"/>
      <c r="N1584" s="66"/>
      <c r="O1584" s="66"/>
      <c r="P1584" s="66"/>
      <c r="Q1584" s="66"/>
      <c r="R1584" s="66"/>
      <c r="S1584" s="66"/>
    </row>
    <row r="1585" spans="2:19" ht="18" customHeight="1">
      <c r="B1585" t="s">
        <v>919</v>
      </c>
      <c r="C1585" t="s">
        <v>920</v>
      </c>
      <c r="D1585" s="4"/>
      <c r="E1585" s="4">
        <v>1</v>
      </c>
      <c r="F1585" s="4"/>
      <c r="G1585" s="29" t="str">
        <f>IFERROR(HYPERLINK("#"&amp;ADDRESS(MATCH(B1585&amp;"ES",'LM7 Non-ENG'!$A$1:$A$5000,0),1,,,"LM7 Non-ENG"),IF(IFERROR(VLOOKUP(B1585&amp;"ES",'LM7 Non-ENG'!$A$1:$A$4999,1,FALSE),"ERROR")=B1585&amp;"ES","Y","")),"")</f>
        <v/>
      </c>
      <c r="H1585" s="29" t="str">
        <f>IFERROR(HYPERLINK("#"&amp;ADDRESS(MATCH(B1585&amp;"PT",'LM7 Non-ENG'!$A$1:$A$5000,0),1,,,"LM7 Non-ENG"),IF(IFERROR(VLOOKUP(B1585&amp;"PT",'LM7 Non-ENG'!$A$1:$A$5000,1,FALSE),"ERROR")=B1585&amp;"PT","Y","")),"")</f>
        <v/>
      </c>
      <c r="I1585" t="str">
        <f>IFERROR(VLOOKUP(B1585,PN!$A:$C,3,FALSE),"")</f>
        <v>Active</v>
      </c>
      <c r="J1585" s="3">
        <f>IFERROR(E1585*VLOOKUP(B1585,PLInter!$A:$D,3,FALSE),"")</f>
        <v>635</v>
      </c>
      <c r="K1585" s="66"/>
      <c r="L1585" s="66"/>
      <c r="M1585" s="66"/>
      <c r="N1585" s="66"/>
      <c r="O1585" s="66"/>
      <c r="P1585" s="66"/>
      <c r="Q1585" s="66"/>
      <c r="R1585" s="66"/>
      <c r="S1585" s="66"/>
    </row>
    <row r="1586" spans="2:19" ht="18" customHeight="1">
      <c r="B1586" t="s">
        <v>921</v>
      </c>
      <c r="C1586" t="s">
        <v>922</v>
      </c>
      <c r="D1586" s="4"/>
      <c r="E1586" s="4">
        <v>1</v>
      </c>
      <c r="F1586" s="4"/>
      <c r="G1586" s="29" t="str">
        <f>IFERROR(HYPERLINK("#"&amp;ADDRESS(MATCH(B1586&amp;"ES",'LM7 Non-ENG'!$A$1:$A$5000,0),1,,,"LM7 Non-ENG"),IF(IFERROR(VLOOKUP(B1586&amp;"ES",'LM7 Non-ENG'!$A$1:$A$4999,1,FALSE),"ERROR")=B1586&amp;"ES","Y","")),"")</f>
        <v/>
      </c>
      <c r="H1586" s="29" t="str">
        <f>IFERROR(HYPERLINK("#"&amp;ADDRESS(MATCH(B1586&amp;"PT",'LM7 Non-ENG'!$A$1:$A$5000,0),1,,,"LM7 Non-ENG"),IF(IFERROR(VLOOKUP(B1586&amp;"PT",'LM7 Non-ENG'!$A$1:$A$5000,1,FALSE),"ERROR")=B1586&amp;"PT","Y","")),"")</f>
        <v/>
      </c>
      <c r="I1586" t="str">
        <f>IFERROR(VLOOKUP(B1586,PN!$A:$C,3,FALSE),"")</f>
        <v>Active</v>
      </c>
      <c r="J1586" s="3">
        <f>IFERROR(E1586*VLOOKUP(B1586,PLInter!$A:$D,3,FALSE),"")</f>
        <v>2585</v>
      </c>
      <c r="K1586" s="66"/>
      <c r="L1586" s="66"/>
      <c r="M1586" s="66"/>
      <c r="N1586" s="66"/>
      <c r="O1586" s="66"/>
      <c r="P1586" s="66"/>
      <c r="Q1586" s="66"/>
      <c r="R1586" s="66"/>
      <c r="S1586" s="66"/>
    </row>
    <row r="1587" spans="2:19" ht="18" customHeight="1">
      <c r="B1587" t="s">
        <v>923</v>
      </c>
      <c r="C1587" t="s">
        <v>924</v>
      </c>
      <c r="D1587" s="4"/>
      <c r="E1587" s="4">
        <v>1</v>
      </c>
      <c r="F1587" s="4"/>
      <c r="G1587" s="29" t="str">
        <f>IFERROR(HYPERLINK("#"&amp;ADDRESS(MATCH(B1587&amp;"ES",'LM7 Non-ENG'!$A$1:$A$5000,0),1,,,"LM7 Non-ENG"),IF(IFERROR(VLOOKUP(B1587&amp;"ES",'LM7 Non-ENG'!$A$1:$A$4999,1,FALSE),"ERROR")=B1587&amp;"ES","Y","")),"")</f>
        <v/>
      </c>
      <c r="H1587" s="29" t="str">
        <f>IFERROR(HYPERLINK("#"&amp;ADDRESS(MATCH(B1587&amp;"PT",'LM7 Non-ENG'!$A$1:$A$5000,0),1,,,"LM7 Non-ENG"),IF(IFERROR(VLOOKUP(B1587&amp;"PT",'LM7 Non-ENG'!$A$1:$A$5000,1,FALSE),"ERROR")=B1587&amp;"PT","Y","")),"")</f>
        <v/>
      </c>
      <c r="I1587" t="str">
        <f>IFERROR(VLOOKUP(B1587,PN!$A:$C,3,FALSE),"")</f>
        <v>Active</v>
      </c>
      <c r="J1587" s="3">
        <f>IFERROR(E1587*VLOOKUP(B1587,PLInter!$A:$D,3,FALSE),"")</f>
        <v>92</v>
      </c>
      <c r="K1587" s="66"/>
      <c r="L1587" s="66"/>
      <c r="M1587" s="66"/>
      <c r="N1587" s="66"/>
      <c r="O1587" s="66"/>
      <c r="P1587" s="66"/>
      <c r="Q1587" s="66"/>
      <c r="R1587" s="66"/>
      <c r="S1587" s="66"/>
    </row>
    <row r="1588" spans="2:19" ht="18" customHeight="1">
      <c r="B1588" t="s">
        <v>931</v>
      </c>
      <c r="C1588" t="s">
        <v>932</v>
      </c>
      <c r="D1588" s="4"/>
      <c r="E1588" s="4">
        <v>1</v>
      </c>
      <c r="F1588" s="4"/>
      <c r="G1588" s="29" t="str">
        <f>IFERROR(HYPERLINK("#"&amp;ADDRESS(MATCH(B1588&amp;"ES",'LM7 Non-ENG'!$A$1:$A$5000,0),1,,,"LM7 Non-ENG"),IF(IFERROR(VLOOKUP(B1588&amp;"ES",'LM7 Non-ENG'!$A$1:$A$4999,1,FALSE),"ERROR")=B1588&amp;"ES","Y","")),"")</f>
        <v/>
      </c>
      <c r="H1588" s="29" t="str">
        <f>IFERROR(HYPERLINK("#"&amp;ADDRESS(MATCH(B1588&amp;"PT",'LM7 Non-ENG'!$A$1:$A$5000,0),1,,,"LM7 Non-ENG"),IF(IFERROR(VLOOKUP(B1588&amp;"PT",'LM7 Non-ENG'!$A$1:$A$5000,1,FALSE),"ERROR")=B1588&amp;"PT","Y","")),"")</f>
        <v/>
      </c>
      <c r="I1588" t="str">
        <f>IFERROR(VLOOKUP(B1588,PN!$A:$C,3,FALSE),"")</f>
        <v>Active</v>
      </c>
      <c r="J1588" s="3">
        <f>IFERROR(E1588*VLOOKUP(B1588,PLInter!$A:$D,3,FALSE),"")</f>
        <v>6335</v>
      </c>
      <c r="K1588" s="66"/>
      <c r="L1588" s="66"/>
      <c r="M1588" s="66"/>
      <c r="N1588" s="66"/>
      <c r="O1588" s="66"/>
      <c r="P1588" s="66"/>
      <c r="Q1588" s="66"/>
      <c r="R1588" s="66"/>
      <c r="S1588" s="66"/>
    </row>
    <row r="1589" spans="2:19" ht="18" customHeight="1">
      <c r="B1589" t="s">
        <v>982</v>
      </c>
      <c r="C1589" t="s">
        <v>983</v>
      </c>
      <c r="D1589" s="4"/>
      <c r="E1589" s="4">
        <v>1</v>
      </c>
      <c r="F1589" s="4"/>
      <c r="G1589" s="29" t="str">
        <f>IFERROR(HYPERLINK("#"&amp;ADDRESS(MATCH(B1589&amp;"ES",'LM7 Non-ENG'!$A$1:$A$5000,0),1,,,"LM7 Non-ENG"),IF(IFERROR(VLOOKUP(B1589&amp;"ES",'LM7 Non-ENG'!$A$1:$A$4999,1,FALSE),"ERROR")=B1589&amp;"ES","Y","")),"")</f>
        <v/>
      </c>
      <c r="H1589" s="29" t="str">
        <f>IFERROR(HYPERLINK("#"&amp;ADDRESS(MATCH(B1589&amp;"PT",'LM7 Non-ENG'!$A$1:$A$5000,0),1,,,"LM7 Non-ENG"),IF(IFERROR(VLOOKUP(B1589&amp;"PT",'LM7 Non-ENG'!$A$1:$A$5000,1,FALSE),"ERROR")=B1589&amp;"PT","Y","")),"")</f>
        <v/>
      </c>
      <c r="I1589" t="str">
        <f>IFERROR(VLOOKUP(B1589,PN!$A:$C,3,FALSE),"")</f>
        <v>Active</v>
      </c>
      <c r="J1589" s="3">
        <f>IFERROR(E1589*VLOOKUP(B1589,PLInter!$A:$D,3,FALSE),"")</f>
        <v>3120</v>
      </c>
      <c r="K1589" s="66"/>
      <c r="L1589" s="66"/>
      <c r="M1589" s="66"/>
      <c r="N1589" s="66"/>
      <c r="O1589" s="66"/>
      <c r="P1589" s="66"/>
      <c r="Q1589" s="66"/>
      <c r="R1589" s="66"/>
      <c r="S1589" s="66"/>
    </row>
    <row r="1590" spans="2:19" ht="18" customHeight="1">
      <c r="B1590" t="str">
        <f>"113316"</f>
        <v>113316</v>
      </c>
      <c r="C1590" t="s">
        <v>979</v>
      </c>
      <c r="D1590" s="4"/>
      <c r="E1590" s="4">
        <v>1</v>
      </c>
      <c r="F1590" s="4"/>
      <c r="G1590" s="29" t="str">
        <f>IFERROR(HYPERLINK("#"&amp;ADDRESS(MATCH(B1590&amp;"ES",'LM7 Non-ENG'!$A$1:$A$5000,0),1,,,"LM7 Non-ENG"),IF(IFERROR(VLOOKUP(B1590&amp;"ES",'LM7 Non-ENG'!$A$1:$A$4999,1,FALSE),"ERROR")=B1590&amp;"ES","Y","")),"")</f>
        <v/>
      </c>
      <c r="H1590" s="29" t="str">
        <f>IFERROR(HYPERLINK("#"&amp;ADDRESS(MATCH(B1590&amp;"PT",'LM7 Non-ENG'!$A$1:$A$5000,0),1,,,"LM7 Non-ENG"),IF(IFERROR(VLOOKUP(B1590&amp;"PT",'LM7 Non-ENG'!$A$1:$A$5000,1,FALSE),"ERROR")=B1590&amp;"PT","Y","")),"")</f>
        <v/>
      </c>
      <c r="I1590" t="str">
        <f>IFERROR(VLOOKUP(B1590,PN!$A:$C,3,FALSE),"")</f>
        <v>Active</v>
      </c>
      <c r="J1590" s="3">
        <f>IFERROR(E1590*VLOOKUP(B1590,PLInter!$A:$D,3,FALSE),"")</f>
        <v>20</v>
      </c>
      <c r="K1590" s="66"/>
      <c r="L1590" s="66"/>
      <c r="M1590" s="66"/>
      <c r="N1590" s="66"/>
      <c r="O1590" s="66"/>
      <c r="P1590" s="66"/>
      <c r="Q1590" s="66"/>
      <c r="R1590" s="66"/>
      <c r="S1590" s="66"/>
    </row>
    <row r="1591" spans="2:19" ht="18" customHeight="1">
      <c r="B1591" t="s">
        <v>241</v>
      </c>
      <c r="C1591" t="s">
        <v>976</v>
      </c>
      <c r="D1591" s="4"/>
      <c r="E1591" s="4">
        <v>1</v>
      </c>
      <c r="F1591" s="4"/>
      <c r="G1591" s="29" t="str">
        <f>IFERROR(HYPERLINK("#"&amp;ADDRESS(MATCH(B1591&amp;"ES",'LM7 Non-ENG'!$A$1:$A$5000,0),1,,,"LM7 Non-ENG"),IF(IFERROR(VLOOKUP(B1591&amp;"ES",'LM7 Non-ENG'!$A$1:$A$4999,1,FALSE),"ERROR")=B1591&amp;"ES","Y","")),"")</f>
        <v/>
      </c>
      <c r="H1591" s="29" t="str">
        <f>IFERROR(HYPERLINK("#"&amp;ADDRESS(MATCH(B1591&amp;"PT",'LM7 Non-ENG'!$A$1:$A$5000,0),1,,,"LM7 Non-ENG"),IF(IFERROR(VLOOKUP(B1591&amp;"PT",'LM7 Non-ENG'!$A$1:$A$5000,1,FALSE),"ERROR")=B1591&amp;"PT","Y","")),"")</f>
        <v/>
      </c>
      <c r="I1591" t="str">
        <f>IFERROR(VLOOKUP(B1591,PN!$A:$C,3,FALSE),"")</f>
        <v>Active</v>
      </c>
      <c r="J1591" s="3">
        <f>IFERROR(E1591*VLOOKUP(B1591,PLInter!$A:$D,3,FALSE),"")</f>
        <v>2600</v>
      </c>
      <c r="K1591" s="66"/>
      <c r="L1591" s="66"/>
      <c r="M1591" s="66"/>
      <c r="N1591" s="66"/>
      <c r="O1591" s="66"/>
      <c r="P1591" s="66"/>
      <c r="Q1591" s="66"/>
      <c r="R1591" s="66"/>
      <c r="S1591" s="66"/>
    </row>
    <row r="1592" spans="2:19" ht="18" customHeight="1">
      <c r="B1592" t="s">
        <v>977</v>
      </c>
      <c r="C1592" t="s">
        <v>978</v>
      </c>
      <c r="D1592" s="4"/>
      <c r="E1592" s="4">
        <v>1</v>
      </c>
      <c r="F1592" s="4"/>
      <c r="G1592" s="29" t="str">
        <f>IFERROR(HYPERLINK("#"&amp;ADDRESS(MATCH(B1592&amp;"ES",'LM7 Non-ENG'!$A$1:$A$5000,0),1,,,"LM7 Non-ENG"),IF(IFERROR(VLOOKUP(B1592&amp;"ES",'LM7 Non-ENG'!$A$1:$A$4999,1,FALSE),"ERROR")=B1592&amp;"ES","Y","")),"")</f>
        <v/>
      </c>
      <c r="H1592" s="29" t="str">
        <f>IFERROR(HYPERLINK("#"&amp;ADDRESS(MATCH(B1592&amp;"PT",'LM7 Non-ENG'!$A$1:$A$5000,0),1,,,"LM7 Non-ENG"),IF(IFERROR(VLOOKUP(B1592&amp;"PT",'LM7 Non-ENG'!$A$1:$A$5000,1,FALSE),"ERROR")=B1592&amp;"PT","Y","")),"")</f>
        <v/>
      </c>
      <c r="I1592" t="str">
        <f>IFERROR(VLOOKUP(B1592,PN!$A:$C,3,FALSE),"")</f>
        <v>Active</v>
      </c>
      <c r="J1592" s="3">
        <f>IFERROR(E1592*VLOOKUP(B1592,PLInter!$A:$D,3,FALSE),"")</f>
        <v>3885</v>
      </c>
      <c r="K1592" s="66"/>
      <c r="L1592" s="66"/>
      <c r="M1592" s="66"/>
      <c r="N1592" s="66"/>
      <c r="O1592" s="66"/>
      <c r="P1592" s="66"/>
      <c r="Q1592" s="66"/>
      <c r="R1592" s="66"/>
      <c r="S1592" s="66"/>
    </row>
    <row r="1593" spans="2:19" ht="18" customHeight="1">
      <c r="B1593" t="str">
        <f>"113316"</f>
        <v>113316</v>
      </c>
      <c r="C1593" t="s">
        <v>979</v>
      </c>
      <c r="D1593" s="4"/>
      <c r="E1593" s="4">
        <v>1</v>
      </c>
      <c r="F1593" s="4"/>
      <c r="G1593" s="29" t="str">
        <f>IFERROR(HYPERLINK("#"&amp;ADDRESS(MATCH(B1593&amp;"ES",'LM7 Non-ENG'!$A$1:$A$5000,0),1,,,"LM7 Non-ENG"),IF(IFERROR(VLOOKUP(B1593&amp;"ES",'LM7 Non-ENG'!$A$1:$A$4999,1,FALSE),"ERROR")=B1593&amp;"ES","Y","")),"")</f>
        <v/>
      </c>
      <c r="H1593" s="29" t="str">
        <f>IFERROR(HYPERLINK("#"&amp;ADDRESS(MATCH(B1593&amp;"PT",'LM7 Non-ENG'!$A$1:$A$5000,0),1,,,"LM7 Non-ENG"),IF(IFERROR(VLOOKUP(B1593&amp;"PT",'LM7 Non-ENG'!$A$1:$A$5000,1,FALSE),"ERROR")=B1593&amp;"PT","Y","")),"")</f>
        <v/>
      </c>
      <c r="I1593" t="str">
        <f>IFERROR(VLOOKUP(B1593,PN!$A:$C,3,FALSE),"")</f>
        <v>Active</v>
      </c>
      <c r="J1593" s="3">
        <f>IFERROR(E1593*VLOOKUP(B1593,PLInter!$A:$D,3,FALSE),"")</f>
        <v>20</v>
      </c>
      <c r="K1593" s="66"/>
      <c r="L1593" s="66"/>
      <c r="M1593" s="66"/>
      <c r="N1593" s="66"/>
      <c r="O1593" s="66"/>
      <c r="P1593" s="66"/>
      <c r="Q1593" s="66"/>
      <c r="R1593" s="66"/>
      <c r="S1593" s="66"/>
    </row>
    <row r="1594" spans="2:19" ht="18" customHeight="1">
      <c r="B1594" t="str">
        <f>"112713"</f>
        <v>112713</v>
      </c>
      <c r="C1594" t="s">
        <v>944</v>
      </c>
      <c r="D1594" s="4"/>
      <c r="E1594" s="4">
        <v>3</v>
      </c>
      <c r="F1594" s="4"/>
      <c r="G1594" s="29" t="str">
        <f>IFERROR(HYPERLINK("#"&amp;ADDRESS(MATCH(B1594&amp;"ES",'LM7 Non-ENG'!$A$1:$A$5000,0),1,,,"LM7 Non-ENG"),IF(IFERROR(VLOOKUP(B1594&amp;"ES",'LM7 Non-ENG'!$A$1:$A$4999,1,FALSE),"ERROR")=B1594&amp;"ES","Y","")),"")</f>
        <v/>
      </c>
      <c r="H1594" s="29" t="str">
        <f>IFERROR(HYPERLINK("#"&amp;ADDRESS(MATCH(B1594&amp;"PT",'LM7 Non-ENG'!$A$1:$A$5000,0),1,,,"LM7 Non-ENG"),IF(IFERROR(VLOOKUP(B1594&amp;"PT",'LM7 Non-ENG'!$A$1:$A$5000,1,FALSE),"ERROR")=B1594&amp;"PT","Y","")),"")</f>
        <v/>
      </c>
      <c r="I1594" t="str">
        <f>IFERROR(VLOOKUP(B1594,PN!$A:$C,3,FALSE),"")</f>
        <v>Active</v>
      </c>
      <c r="J1594" s="3">
        <f>IFERROR(E1594*VLOOKUP(B1594,PLInter!$A:$D,3,FALSE),"")</f>
        <v>300</v>
      </c>
      <c r="K1594" s="66"/>
      <c r="L1594" s="66"/>
      <c r="M1594" s="66"/>
      <c r="N1594" s="66"/>
      <c r="O1594" s="66"/>
      <c r="P1594" s="66"/>
      <c r="Q1594" s="66"/>
      <c r="R1594" s="66"/>
      <c r="S1594" s="66"/>
    </row>
    <row r="1595" spans="2:19" ht="18" customHeight="1">
      <c r="B1595" t="str">
        <f>"113096"</f>
        <v>113096</v>
      </c>
      <c r="C1595" t="s">
        <v>943</v>
      </c>
      <c r="D1595" s="4"/>
      <c r="E1595" s="4">
        <v>3</v>
      </c>
      <c r="F1595" s="4"/>
      <c r="G1595" s="29" t="str">
        <f>IFERROR(HYPERLINK("#"&amp;ADDRESS(MATCH(B1595&amp;"ES",'LM7 Non-ENG'!$A$1:$A$5000,0),1,,,"LM7 Non-ENG"),IF(IFERROR(VLOOKUP(B1595&amp;"ES",'LM7 Non-ENG'!$A$1:$A$4999,1,FALSE),"ERROR")=B1595&amp;"ES","Y","")),"")</f>
        <v/>
      </c>
      <c r="H1595" s="29" t="str">
        <f>IFERROR(HYPERLINK("#"&amp;ADDRESS(MATCH(B1595&amp;"PT",'LM7 Non-ENG'!$A$1:$A$5000,0),1,,,"LM7 Non-ENG"),IF(IFERROR(VLOOKUP(B1595&amp;"PT",'LM7 Non-ENG'!$A$1:$A$5000,1,FALSE),"ERROR")=B1595&amp;"PT","Y","")),"")</f>
        <v/>
      </c>
      <c r="I1595" t="str">
        <f>IFERROR(VLOOKUP(B1595,PN!$A:$C,3,FALSE),"")</f>
        <v>Active</v>
      </c>
      <c r="J1595" s="3">
        <f>IFERROR(E1595*VLOOKUP(B1595,PLInter!$A:$D,3,FALSE),"")</f>
        <v>162</v>
      </c>
      <c r="K1595" s="66"/>
      <c r="L1595" s="66"/>
      <c r="M1595" s="66"/>
      <c r="N1595" s="66"/>
      <c r="O1595" s="66"/>
      <c r="P1595" s="66"/>
      <c r="Q1595" s="66"/>
      <c r="R1595" s="66"/>
      <c r="S1595" s="66"/>
    </row>
    <row r="1596" spans="2:19" ht="18" customHeight="1">
      <c r="B1596" t="s">
        <v>925</v>
      </c>
      <c r="C1596" t="s">
        <v>926</v>
      </c>
      <c r="D1596" s="4"/>
      <c r="E1596" s="4">
        <v>1</v>
      </c>
      <c r="F1596" s="4"/>
      <c r="G1596" s="29" t="str">
        <f>IFERROR(HYPERLINK("#"&amp;ADDRESS(MATCH(B1596&amp;"ES",'LM7 Non-ENG'!$A$1:$A$5000,0),1,,,"LM7 Non-ENG"),IF(IFERROR(VLOOKUP(B1596&amp;"ES",'LM7 Non-ENG'!$A$1:$A$4999,1,FALSE),"ERROR")=B1596&amp;"ES","Y","")),"")</f>
        <v/>
      </c>
      <c r="H1596" s="29" t="str">
        <f>IFERROR(HYPERLINK("#"&amp;ADDRESS(MATCH(B1596&amp;"PT",'LM7 Non-ENG'!$A$1:$A$5000,0),1,,,"LM7 Non-ENG"),IF(IFERROR(VLOOKUP(B1596&amp;"PT",'LM7 Non-ENG'!$A$1:$A$5000,1,FALSE),"ERROR")=B1596&amp;"PT","Y","")),"")</f>
        <v/>
      </c>
      <c r="I1596" t="str">
        <f>IFERROR(VLOOKUP(B1596,PN!$A:$C,3,FALSE),"")</f>
        <v>Active</v>
      </c>
      <c r="J1596" s="3">
        <f>IFERROR(E1596*VLOOKUP(B1596,PLInter!$A:$D,3,FALSE),"")</f>
        <v>2760</v>
      </c>
      <c r="K1596" s="66"/>
      <c r="L1596" s="66"/>
      <c r="M1596" s="66"/>
      <c r="N1596" s="66"/>
      <c r="O1596" s="66"/>
      <c r="P1596" s="66"/>
      <c r="Q1596" s="66"/>
      <c r="R1596" s="66"/>
      <c r="S1596" s="66"/>
    </row>
    <row r="1597" spans="2:19" ht="18" customHeight="1">
      <c r="B1597" t="s">
        <v>927</v>
      </c>
      <c r="C1597" t="s">
        <v>928</v>
      </c>
      <c r="D1597" s="4"/>
      <c r="E1597" s="4">
        <v>1</v>
      </c>
      <c r="F1597" s="4"/>
      <c r="G1597" s="29" t="str">
        <f>IFERROR(HYPERLINK("#"&amp;ADDRESS(MATCH(B1597&amp;"ES",'LM7 Non-ENG'!$A$1:$A$5000,0),1,,,"LM7 Non-ENG"),IF(IFERROR(VLOOKUP(B1597&amp;"ES",'LM7 Non-ENG'!$A$1:$A$4999,1,FALSE),"ERROR")=B1597&amp;"ES","Y","")),"")</f>
        <v/>
      </c>
      <c r="H1597" s="29" t="str">
        <f>IFERROR(HYPERLINK("#"&amp;ADDRESS(MATCH(B1597&amp;"PT",'LM7 Non-ENG'!$A$1:$A$5000,0),1,,,"LM7 Non-ENG"),IF(IFERROR(VLOOKUP(B1597&amp;"PT",'LM7 Non-ENG'!$A$1:$A$5000,1,FALSE),"ERROR")=B1597&amp;"PT","Y","")),"")</f>
        <v/>
      </c>
      <c r="I1597" t="str">
        <f>IFERROR(VLOOKUP(B1597,PN!$A:$C,3,FALSE),"")</f>
        <v>Active</v>
      </c>
      <c r="J1597" s="3">
        <f>IFERROR(E1597*VLOOKUP(B1597,PLInter!$A:$D,3,FALSE),"")</f>
        <v>467</v>
      </c>
      <c r="K1597" s="66"/>
      <c r="L1597" s="66"/>
      <c r="M1597" s="66"/>
      <c r="N1597" s="66"/>
      <c r="O1597" s="66"/>
      <c r="P1597" s="66"/>
      <c r="Q1597" s="66"/>
      <c r="R1597" s="66"/>
      <c r="S1597" s="66"/>
    </row>
    <row r="1598" spans="2:19" ht="18" customHeight="1">
      <c r="B1598" t="s">
        <v>668</v>
      </c>
      <c r="C1598" t="s">
        <v>669</v>
      </c>
      <c r="D1598" s="4"/>
      <c r="E1598" s="4">
        <v>1</v>
      </c>
      <c r="F1598" s="4"/>
      <c r="G1598" s="29" t="str">
        <f>IFERROR(HYPERLINK("#"&amp;ADDRESS(MATCH(B1598&amp;"ES",'LM7 Non-ENG'!$A$1:$A$5000,0),1,,,"LM7 Non-ENG"),IF(IFERROR(VLOOKUP(B1598&amp;"ES",'LM7 Non-ENG'!$A$1:$A$4999,1,FALSE),"ERROR")=B1598&amp;"ES","Y","")),"")</f>
        <v/>
      </c>
      <c r="H1598" s="29" t="str">
        <f>IFERROR(HYPERLINK("#"&amp;ADDRESS(MATCH(B1598&amp;"PT",'LM7 Non-ENG'!$A$1:$A$5000,0),1,,,"LM7 Non-ENG"),IF(IFERROR(VLOOKUP(B1598&amp;"PT",'LM7 Non-ENG'!$A$1:$A$5000,1,FALSE),"ERROR")=B1598&amp;"PT","Y","")),"")</f>
        <v/>
      </c>
      <c r="I1598" t="str">
        <f>IFERROR(VLOOKUP(B1598,PN!$A:$C,3,FALSE),"")</f>
        <v>Active</v>
      </c>
      <c r="J1598" s="3">
        <f>IFERROR(E1598*VLOOKUP(B1598,PLInter!$A:$D,3,FALSE),"")</f>
        <v>480</v>
      </c>
      <c r="K1598" s="66"/>
      <c r="L1598" s="66"/>
      <c r="M1598" s="66"/>
      <c r="N1598" s="66"/>
      <c r="O1598" s="66"/>
      <c r="P1598" s="66"/>
      <c r="Q1598" s="66"/>
      <c r="R1598" s="66"/>
      <c r="S1598" s="66"/>
    </row>
    <row r="1599" spans="2:19" ht="18" customHeight="1">
      <c r="B1599" t="s">
        <v>630</v>
      </c>
      <c r="C1599" t="s">
        <v>631</v>
      </c>
      <c r="D1599" s="4"/>
      <c r="E1599" s="4">
        <v>1</v>
      </c>
      <c r="F1599" s="4"/>
      <c r="G1599" s="29" t="str">
        <f>IFERROR(HYPERLINK("#"&amp;ADDRESS(MATCH(B1599&amp;"ES",'LM7 Non-ENG'!$A$1:$A$5000,0),1,,,"LM7 Non-ENG"),IF(IFERROR(VLOOKUP(B1599&amp;"ES",'LM7 Non-ENG'!$A$1:$A$4999,1,FALSE),"ERROR")=B1599&amp;"ES","Y","")),"")</f>
        <v/>
      </c>
      <c r="H1599" s="29" t="str">
        <f>IFERROR(HYPERLINK("#"&amp;ADDRESS(MATCH(B1599&amp;"PT",'LM7 Non-ENG'!$A$1:$A$5000,0),1,,,"LM7 Non-ENG"),IF(IFERROR(VLOOKUP(B1599&amp;"PT",'LM7 Non-ENG'!$A$1:$A$5000,1,FALSE),"ERROR")=B1599&amp;"PT","Y","")),"")</f>
        <v/>
      </c>
      <c r="I1599" t="str">
        <f>IFERROR(VLOOKUP(B1599,PN!$A:$C,3,FALSE),"")</f>
        <v>Active</v>
      </c>
      <c r="J1599" s="3">
        <f>IFERROR(E1599*VLOOKUP(B1599,PLInter!$A:$D,3,FALSE),"")</f>
        <v>1735</v>
      </c>
      <c r="K1599" s="66"/>
      <c r="L1599" s="66"/>
      <c r="M1599" s="66"/>
      <c r="N1599" s="66"/>
      <c r="O1599" s="66"/>
      <c r="P1599" s="66"/>
      <c r="Q1599" s="66"/>
      <c r="R1599" s="66"/>
      <c r="S1599" s="66"/>
    </row>
    <row r="1601" spans="1:19" s="7" customFormat="1" ht="18" customHeight="1">
      <c r="A1601" s="13" t="s">
        <v>996</v>
      </c>
      <c r="B1601" s="13"/>
      <c r="C1601" s="13" t="s">
        <v>997</v>
      </c>
      <c r="D1601" s="14"/>
      <c r="E1601" s="14"/>
      <c r="F1601" s="14"/>
      <c r="G1601" s="14"/>
      <c r="H1601" s="14"/>
      <c r="I1601" s="14"/>
      <c r="J1601" s="14">
        <f>SUMIFS(J1602:J1615,D1602:D1615,"&lt;&gt;Y",F1602:F1615,"&lt;&gt;Y",I1602:I1615,"&lt;&gt;Inactive",I1602:I1615,"&lt;&gt;ECO+NFS")</f>
        <v>25252</v>
      </c>
      <c r="K1601" s="14"/>
      <c r="L1601" s="14"/>
      <c r="M1601" s="14"/>
      <c r="N1601" s="14"/>
      <c r="O1601" s="14"/>
      <c r="P1601" s="14"/>
      <c r="Q1601" s="14"/>
      <c r="R1601" s="14"/>
      <c r="S1601" s="14"/>
    </row>
    <row r="1602" spans="1:19" ht="18" customHeight="1">
      <c r="A1602" s="17" t="str">
        <f>HYPERLINK("#"&amp;ADDRESS(MATCH(A1601,'CIM&amp;FMS'!$A$1:$A$4997,0),1,,,"CIM&amp;FMS"),"Back to Price List")</f>
        <v>Back to Price List</v>
      </c>
      <c r="B1602" t="s">
        <v>213</v>
      </c>
      <c r="C1602" t="s">
        <v>640</v>
      </c>
      <c r="D1602" s="4"/>
      <c r="E1602" s="4">
        <v>1</v>
      </c>
      <c r="F1602" s="4"/>
      <c r="G1602" s="29" t="str">
        <f>IFERROR(HYPERLINK("#"&amp;ADDRESS(MATCH(B1602&amp;"ES",'LM7 Non-ENG'!$A$1:$A$5000,0),1,,,"LM7 Non-ENG"),IF(IFERROR(VLOOKUP(B1602&amp;"ES",'LM7 Non-ENG'!$A$1:$A$4999,1,FALSE),"ERROR")=B1602&amp;"ES","Y","")),"")</f>
        <v/>
      </c>
      <c r="H1602" s="29" t="str">
        <f>IFERROR(HYPERLINK("#"&amp;ADDRESS(MATCH(B1602&amp;"PT",'LM7 Non-ENG'!$A$1:$A$5000,0),1,,,"LM7 Non-ENG"),IF(IFERROR(VLOOKUP(B1602&amp;"PT",'LM7 Non-ENG'!$A$1:$A$5000,1,FALSE),"ERROR")=B1602&amp;"PT","Y","")),"")</f>
        <v/>
      </c>
      <c r="I1602" t="str">
        <f>IFERROR(VLOOKUP(B1602,PN!$A:$C,3,FALSE),"")</f>
        <v>Active</v>
      </c>
      <c r="J1602" s="3">
        <f>IFERROR(E1602*VLOOKUP(B1602,PLInter!$A:$D,3,FALSE),"")</f>
        <v>11726</v>
      </c>
      <c r="K1602" s="66"/>
      <c r="L1602" s="66"/>
      <c r="M1602" s="66"/>
      <c r="N1602" s="66"/>
      <c r="O1602" s="66"/>
      <c r="P1602" s="66"/>
      <c r="Q1602" s="66"/>
      <c r="R1602" s="66"/>
      <c r="S1602" s="66"/>
    </row>
    <row r="1603" spans="1:19" ht="18" customHeight="1">
      <c r="B1603" t="s">
        <v>226</v>
      </c>
      <c r="C1603" t="s">
        <v>641</v>
      </c>
      <c r="D1603" s="4"/>
      <c r="E1603" s="4">
        <v>1</v>
      </c>
      <c r="F1603" s="4"/>
      <c r="G1603" s="29" t="str">
        <f>IFERROR(HYPERLINK("#"&amp;ADDRESS(MATCH(B1603&amp;"ES",'LM7 Non-ENG'!$A$1:$A$5000,0),1,,,"LM7 Non-ENG"),IF(IFERROR(VLOOKUP(B1603&amp;"ES",'LM7 Non-ENG'!$A$1:$A$4999,1,FALSE),"ERROR")=B1603&amp;"ES","Y","")),"")</f>
        <v/>
      </c>
      <c r="H1603" s="29" t="str">
        <f>IFERROR(HYPERLINK("#"&amp;ADDRESS(MATCH(B1603&amp;"PT",'LM7 Non-ENG'!$A$1:$A$5000,0),1,,,"LM7 Non-ENG"),IF(IFERROR(VLOOKUP(B1603&amp;"PT",'LM7 Non-ENG'!$A$1:$A$5000,1,FALSE),"ERROR")=B1603&amp;"PT","Y","")),"")</f>
        <v/>
      </c>
      <c r="I1603" t="str">
        <f>IFERROR(VLOOKUP(B1603,PN!$A:$C,3,FALSE),"")</f>
        <v>Active</v>
      </c>
      <c r="J1603" s="3">
        <f>IFERROR(E1603*VLOOKUP(B1603,PLInter!$A:$D,3,FALSE),"")</f>
        <v>125</v>
      </c>
      <c r="K1603" s="66"/>
      <c r="L1603" s="66"/>
      <c r="M1603" s="66"/>
      <c r="N1603" s="66"/>
      <c r="O1603" s="66"/>
      <c r="P1603" s="66"/>
      <c r="Q1603" s="66"/>
      <c r="R1603" s="66"/>
      <c r="S1603" s="66"/>
    </row>
    <row r="1604" spans="1:19" ht="18" customHeight="1">
      <c r="B1604" t="s">
        <v>236</v>
      </c>
      <c r="C1604" t="s">
        <v>626</v>
      </c>
      <c r="D1604" s="4"/>
      <c r="E1604" s="4">
        <v>1</v>
      </c>
      <c r="F1604" s="4"/>
      <c r="G1604" s="29" t="str">
        <f>IFERROR(HYPERLINK("#"&amp;ADDRESS(MATCH(B1604&amp;"ES",'LM7 Non-ENG'!$A$1:$A$5000,0),1,,,"LM7 Non-ENG"),IF(IFERROR(VLOOKUP(B1604&amp;"ES",'LM7 Non-ENG'!$A$1:$A$4999,1,FALSE),"ERROR")=B1604&amp;"ES","Y","")),"")</f>
        <v/>
      </c>
      <c r="H1604" s="29" t="str">
        <f>IFERROR(HYPERLINK("#"&amp;ADDRESS(MATCH(B1604&amp;"PT",'LM7 Non-ENG'!$A$1:$A$5000,0),1,,,"LM7 Non-ENG"),IF(IFERROR(VLOOKUP(B1604&amp;"PT",'LM7 Non-ENG'!$A$1:$A$5000,1,FALSE),"ERROR")=B1604&amp;"PT","Y","")),"")</f>
        <v/>
      </c>
      <c r="I1604" t="str">
        <f>IFERROR(VLOOKUP(B1604,PN!$A:$C,3,FALSE),"")</f>
        <v>Active</v>
      </c>
      <c r="J1604" s="3">
        <f>IFERROR(E1604*VLOOKUP(B1604,PLInter!$A:$D,3,FALSE),"")</f>
        <v>1680</v>
      </c>
      <c r="K1604" s="66"/>
      <c r="L1604" s="66"/>
      <c r="M1604" s="66"/>
      <c r="N1604" s="66"/>
      <c r="O1604" s="66"/>
      <c r="P1604" s="66"/>
      <c r="Q1604" s="66"/>
      <c r="R1604" s="66"/>
      <c r="S1604" s="66"/>
    </row>
    <row r="1605" spans="1:19" ht="18" customHeight="1">
      <c r="B1605" t="s">
        <v>941</v>
      </c>
      <c r="C1605" t="s">
        <v>942</v>
      </c>
      <c r="D1605" s="4"/>
      <c r="E1605" s="4">
        <v>1</v>
      </c>
      <c r="F1605" s="4"/>
      <c r="G1605" s="29" t="str">
        <f>IFERROR(HYPERLINK("#"&amp;ADDRESS(MATCH(B1605&amp;"ES",'LM7 Non-ENG'!$A$1:$A$5000,0),1,,,"LM7 Non-ENG"),IF(IFERROR(VLOOKUP(B1605&amp;"ES",'LM7 Non-ENG'!$A$1:$A$4999,1,FALSE),"ERROR")=B1605&amp;"ES","Y","")),"")</f>
        <v/>
      </c>
      <c r="H1605" s="29" t="str">
        <f>IFERROR(HYPERLINK("#"&amp;ADDRESS(MATCH(B1605&amp;"PT",'LM7 Non-ENG'!$A$1:$A$5000,0),1,,,"LM7 Non-ENG"),IF(IFERROR(VLOOKUP(B1605&amp;"PT",'LM7 Non-ENG'!$A$1:$A$5000,1,FALSE),"ERROR")=B1605&amp;"PT","Y","")),"")</f>
        <v/>
      </c>
      <c r="I1605" t="str">
        <f>IFERROR(VLOOKUP(B1605,PN!$A:$C,3,FALSE),"")</f>
        <v>Active</v>
      </c>
      <c r="J1605" s="3">
        <f>IFERROR(E1605*VLOOKUP(B1605,PLInter!$A:$D,3,FALSE),"")</f>
        <v>427</v>
      </c>
      <c r="K1605" s="66"/>
      <c r="L1605" s="66"/>
      <c r="M1605" s="66"/>
      <c r="N1605" s="66"/>
      <c r="O1605" s="66"/>
      <c r="P1605" s="66"/>
      <c r="Q1605" s="66"/>
      <c r="R1605" s="66"/>
      <c r="S1605" s="66"/>
    </row>
    <row r="1606" spans="1:19" ht="18" customHeight="1">
      <c r="B1606" t="s">
        <v>914</v>
      </c>
      <c r="C1606" t="s">
        <v>915</v>
      </c>
      <c r="D1606" s="4"/>
      <c r="E1606" s="4">
        <v>3</v>
      </c>
      <c r="F1606" s="4"/>
      <c r="G1606" s="29" t="str">
        <f>IFERROR(HYPERLINK("#"&amp;ADDRESS(MATCH(B1606&amp;"ES",'LM7 Non-ENG'!$A$1:$A$5000,0),1,,,"LM7 Non-ENG"),IF(IFERROR(VLOOKUP(B1606&amp;"ES",'LM7 Non-ENG'!$A$1:$A$4999,1,FALSE),"ERROR")=B1606&amp;"ES","Y","")),"")</f>
        <v/>
      </c>
      <c r="H1606" s="29" t="str">
        <f>IFERROR(HYPERLINK("#"&amp;ADDRESS(MATCH(B1606&amp;"PT",'LM7 Non-ENG'!$A$1:$A$5000,0),1,,,"LM7 Non-ENG"),IF(IFERROR(VLOOKUP(B1606&amp;"PT",'LM7 Non-ENG'!$A$1:$A$5000,1,FALSE),"ERROR")=B1606&amp;"PT","Y","")),"")</f>
        <v/>
      </c>
      <c r="I1606" t="str">
        <f>IFERROR(VLOOKUP(B1606,PN!$A:$C,3,FALSE),"")</f>
        <v>Active</v>
      </c>
      <c r="J1606" s="3">
        <f>IFERROR(E1606*VLOOKUP(B1606,PLInter!$A:$D,3,FALSE),"")</f>
        <v>402</v>
      </c>
      <c r="K1606" s="66"/>
      <c r="L1606" s="66"/>
      <c r="M1606" s="66"/>
      <c r="N1606" s="66"/>
      <c r="O1606" s="66"/>
      <c r="P1606" s="66"/>
      <c r="Q1606" s="66"/>
      <c r="R1606" s="66"/>
      <c r="S1606" s="66"/>
    </row>
    <row r="1607" spans="1:19" ht="18" customHeight="1">
      <c r="B1607" t="s">
        <v>684</v>
      </c>
      <c r="C1607" t="s">
        <v>685</v>
      </c>
      <c r="D1607" s="4"/>
      <c r="E1607" s="4">
        <v>2</v>
      </c>
      <c r="F1607" s="4"/>
      <c r="G1607" s="29" t="str">
        <f>IFERROR(HYPERLINK("#"&amp;ADDRESS(MATCH(B1607&amp;"ES",'LM7 Non-ENG'!$A$1:$A$5000,0),1,,,"LM7 Non-ENG"),IF(IFERROR(VLOOKUP(B1607&amp;"ES",'LM7 Non-ENG'!$A$1:$A$4999,1,FALSE),"ERROR")=B1607&amp;"ES","Y","")),"")</f>
        <v/>
      </c>
      <c r="H1607" s="29" t="str">
        <f>IFERROR(HYPERLINK("#"&amp;ADDRESS(MATCH(B1607&amp;"PT",'LM7 Non-ENG'!$A$1:$A$5000,0),1,,,"LM7 Non-ENG"),IF(IFERROR(VLOOKUP(B1607&amp;"PT",'LM7 Non-ENG'!$A$1:$A$5000,1,FALSE),"ERROR")=B1607&amp;"PT","Y","")),"")</f>
        <v/>
      </c>
      <c r="I1607" t="str">
        <f>IFERROR(VLOOKUP(B1607,PN!$A:$C,3,FALSE),"")</f>
        <v>Active</v>
      </c>
      <c r="J1607" s="3">
        <f>IFERROR(E1607*VLOOKUP(B1607,PLInter!$A:$D,3,FALSE),"")</f>
        <v>1160</v>
      </c>
      <c r="K1607" s="66"/>
      <c r="L1607" s="66"/>
      <c r="M1607" s="66"/>
      <c r="N1607" s="66"/>
      <c r="O1607" s="66"/>
      <c r="P1607" s="66"/>
      <c r="Q1607" s="66"/>
      <c r="R1607" s="66"/>
      <c r="S1607" s="66"/>
    </row>
    <row r="1608" spans="1:19" ht="18" customHeight="1">
      <c r="B1608" t="str">
        <f>"021172"</f>
        <v>021172</v>
      </c>
      <c r="C1608" t="s">
        <v>916</v>
      </c>
      <c r="D1608" s="4"/>
      <c r="E1608" s="4">
        <v>2</v>
      </c>
      <c r="F1608" s="4"/>
      <c r="G1608" s="29" t="str">
        <f>IFERROR(HYPERLINK("#"&amp;ADDRESS(MATCH(B1608&amp;"ES",'LM7 Non-ENG'!$A$1:$A$5000,0),1,,,"LM7 Non-ENG"),IF(IFERROR(VLOOKUP(B1608&amp;"ES",'LM7 Non-ENG'!$A$1:$A$4999,1,FALSE),"ERROR")=B1608&amp;"ES","Y","")),"")</f>
        <v/>
      </c>
      <c r="H1608" s="29" t="str">
        <f>IFERROR(HYPERLINK("#"&amp;ADDRESS(MATCH(B1608&amp;"PT",'LM7 Non-ENG'!$A$1:$A$5000,0),1,,,"LM7 Non-ENG"),IF(IFERROR(VLOOKUP(B1608&amp;"PT",'LM7 Non-ENG'!$A$1:$A$5000,1,FALSE),"ERROR")=B1608&amp;"PT","Y","")),"")</f>
        <v/>
      </c>
      <c r="I1608" t="str">
        <f>IFERROR(VLOOKUP(B1608,PN!$A:$C,3,FALSE),"")</f>
        <v>Active</v>
      </c>
      <c r="J1608" s="3">
        <f>IFERROR(E1608*VLOOKUP(B1608,PLInter!$A:$D,3,FALSE),"")</f>
        <v>80</v>
      </c>
      <c r="K1608" s="66"/>
      <c r="L1608" s="66"/>
      <c r="M1608" s="66"/>
      <c r="N1608" s="66"/>
      <c r="O1608" s="66"/>
      <c r="P1608" s="66"/>
      <c r="Q1608" s="66"/>
      <c r="R1608" s="66"/>
      <c r="S1608" s="66"/>
    </row>
    <row r="1609" spans="1:19" ht="18" customHeight="1">
      <c r="B1609" t="s">
        <v>998</v>
      </c>
      <c r="C1609" t="s">
        <v>999</v>
      </c>
      <c r="D1609" s="4"/>
      <c r="E1609" s="4">
        <v>1</v>
      </c>
      <c r="F1609" s="4"/>
      <c r="G1609" s="29" t="str">
        <f>IFERROR(HYPERLINK("#"&amp;ADDRESS(MATCH(B1609&amp;"ES",'LM7 Non-ENG'!$A$1:$A$5000,0),1,,,"LM7 Non-ENG"),IF(IFERROR(VLOOKUP(B1609&amp;"ES",'LM7 Non-ENG'!$A$1:$A$4999,1,FALSE),"ERROR")=B1609&amp;"ES","Y","")),"")</f>
        <v/>
      </c>
      <c r="H1609" s="29" t="str">
        <f>IFERROR(HYPERLINK("#"&amp;ADDRESS(MATCH(B1609&amp;"PT",'LM7 Non-ENG'!$A$1:$A$5000,0),1,,,"LM7 Non-ENG"),IF(IFERROR(VLOOKUP(B1609&amp;"PT",'LM7 Non-ENG'!$A$1:$A$5000,1,FALSE),"ERROR")=B1609&amp;"PT","Y","")),"")</f>
        <v/>
      </c>
      <c r="I1609" t="str">
        <f>IFERROR(VLOOKUP(B1609,PN!$A:$C,3,FALSE),"")</f>
        <v>Active</v>
      </c>
      <c r="J1609" s="3">
        <f>IFERROR(E1609*VLOOKUP(B1609,PLInter!$A:$D,3,FALSE),"")</f>
        <v>4195</v>
      </c>
      <c r="K1609" s="66"/>
      <c r="L1609" s="66"/>
      <c r="M1609" s="66"/>
      <c r="N1609" s="66"/>
      <c r="O1609" s="66"/>
      <c r="P1609" s="66"/>
      <c r="Q1609" s="66"/>
      <c r="R1609" s="66"/>
      <c r="S1609" s="66"/>
    </row>
    <row r="1610" spans="1:19" ht="18" customHeight="1">
      <c r="B1610" t="str">
        <f>"113096"</f>
        <v>113096</v>
      </c>
      <c r="C1610" t="s">
        <v>943</v>
      </c>
      <c r="D1610" s="4"/>
      <c r="E1610" s="4">
        <v>3</v>
      </c>
      <c r="F1610" s="4"/>
      <c r="G1610" s="29" t="str">
        <f>IFERROR(HYPERLINK("#"&amp;ADDRESS(MATCH(B1610&amp;"ES",'LM7 Non-ENG'!$A$1:$A$5000,0),1,,,"LM7 Non-ENG"),IF(IFERROR(VLOOKUP(B1610&amp;"ES",'LM7 Non-ENG'!$A$1:$A$4999,1,FALSE),"ERROR")=B1610&amp;"ES","Y","")),"")</f>
        <v/>
      </c>
      <c r="H1610" s="29" t="str">
        <f>IFERROR(HYPERLINK("#"&amp;ADDRESS(MATCH(B1610&amp;"PT",'LM7 Non-ENG'!$A$1:$A$5000,0),1,,,"LM7 Non-ENG"),IF(IFERROR(VLOOKUP(B1610&amp;"PT",'LM7 Non-ENG'!$A$1:$A$5000,1,FALSE),"ERROR")=B1610&amp;"PT","Y","")),"")</f>
        <v/>
      </c>
      <c r="I1610" t="str">
        <f>IFERROR(VLOOKUP(B1610,PN!$A:$C,3,FALSE),"")</f>
        <v>Active</v>
      </c>
      <c r="J1610" s="3">
        <f>IFERROR(E1610*VLOOKUP(B1610,PLInter!$A:$D,3,FALSE),"")</f>
        <v>162</v>
      </c>
      <c r="K1610" s="66"/>
      <c r="L1610" s="66"/>
      <c r="M1610" s="66"/>
      <c r="N1610" s="66"/>
      <c r="O1610" s="66"/>
      <c r="P1610" s="66"/>
      <c r="Q1610" s="66"/>
      <c r="R1610" s="66"/>
      <c r="S1610" s="66"/>
    </row>
    <row r="1611" spans="1:19" ht="18" customHeight="1">
      <c r="B1611" t="str">
        <f>"112713"</f>
        <v>112713</v>
      </c>
      <c r="C1611" t="s">
        <v>944</v>
      </c>
      <c r="D1611" s="4"/>
      <c r="E1611" s="4">
        <v>3</v>
      </c>
      <c r="F1611" s="4"/>
      <c r="G1611" s="29" t="str">
        <f>IFERROR(HYPERLINK("#"&amp;ADDRESS(MATCH(B1611&amp;"ES",'LM7 Non-ENG'!$A$1:$A$5000,0),1,,,"LM7 Non-ENG"),IF(IFERROR(VLOOKUP(B1611&amp;"ES",'LM7 Non-ENG'!$A$1:$A$4999,1,FALSE),"ERROR")=B1611&amp;"ES","Y","")),"")</f>
        <v/>
      </c>
      <c r="H1611" s="29" t="str">
        <f>IFERROR(HYPERLINK("#"&amp;ADDRESS(MATCH(B1611&amp;"PT",'LM7 Non-ENG'!$A$1:$A$5000,0),1,,,"LM7 Non-ENG"),IF(IFERROR(VLOOKUP(B1611&amp;"PT",'LM7 Non-ENG'!$A$1:$A$5000,1,FALSE),"ERROR")=B1611&amp;"PT","Y","")),"")</f>
        <v/>
      </c>
      <c r="I1611" t="str">
        <f>IFERROR(VLOOKUP(B1611,PN!$A:$C,3,FALSE),"")</f>
        <v>Active</v>
      </c>
      <c r="J1611" s="3">
        <f>IFERROR(E1611*VLOOKUP(B1611,PLInter!$A:$D,3,FALSE),"")</f>
        <v>300</v>
      </c>
      <c r="K1611" s="66"/>
      <c r="L1611" s="66"/>
      <c r="M1611" s="66"/>
      <c r="N1611" s="66"/>
      <c r="O1611" s="66"/>
      <c r="P1611" s="66"/>
      <c r="Q1611" s="66"/>
      <c r="R1611" s="66"/>
      <c r="S1611" s="66"/>
    </row>
    <row r="1612" spans="1:19" ht="18" customHeight="1">
      <c r="B1612" t="str">
        <f>"113316"</f>
        <v>113316</v>
      </c>
      <c r="C1612" t="s">
        <v>979</v>
      </c>
      <c r="D1612" s="4"/>
      <c r="E1612" s="4">
        <v>1</v>
      </c>
      <c r="F1612" s="4"/>
      <c r="G1612" s="29" t="str">
        <f>IFERROR(HYPERLINK("#"&amp;ADDRESS(MATCH(B1612&amp;"ES",'LM7 Non-ENG'!$A$1:$A$5000,0),1,,,"LM7 Non-ENG"),IF(IFERROR(VLOOKUP(B1612&amp;"ES",'LM7 Non-ENG'!$A$1:$A$4999,1,FALSE),"ERROR")=B1612&amp;"ES","Y","")),"")</f>
        <v/>
      </c>
      <c r="H1612" s="29" t="str">
        <f>IFERROR(HYPERLINK("#"&amp;ADDRESS(MATCH(B1612&amp;"PT",'LM7 Non-ENG'!$A$1:$A$5000,0),1,,,"LM7 Non-ENG"),IF(IFERROR(VLOOKUP(B1612&amp;"PT",'LM7 Non-ENG'!$A$1:$A$5000,1,FALSE),"ERROR")=B1612&amp;"PT","Y","")),"")</f>
        <v/>
      </c>
      <c r="I1612" t="str">
        <f>IFERROR(VLOOKUP(B1612,PN!$A:$C,3,FALSE),"")</f>
        <v>Active</v>
      </c>
      <c r="J1612" s="3">
        <f>IFERROR(E1612*VLOOKUP(B1612,PLInter!$A:$D,3,FALSE),"")</f>
        <v>20</v>
      </c>
      <c r="K1612" s="66"/>
      <c r="L1612" s="66"/>
      <c r="M1612" s="66"/>
      <c r="N1612" s="66"/>
      <c r="O1612" s="66"/>
      <c r="P1612" s="66"/>
      <c r="Q1612" s="66"/>
      <c r="R1612" s="66"/>
      <c r="S1612" s="66"/>
    </row>
    <row r="1613" spans="1:19" ht="18" customHeight="1">
      <c r="B1613" t="s">
        <v>925</v>
      </c>
      <c r="C1613" t="s">
        <v>926</v>
      </c>
      <c r="D1613" s="4"/>
      <c r="E1613" s="4">
        <v>1</v>
      </c>
      <c r="F1613" s="4"/>
      <c r="G1613" s="29" t="str">
        <f>IFERROR(HYPERLINK("#"&amp;ADDRESS(MATCH(B1613&amp;"ES",'LM7 Non-ENG'!$A$1:$A$5000,0),1,,,"LM7 Non-ENG"),IF(IFERROR(VLOOKUP(B1613&amp;"ES",'LM7 Non-ENG'!$A$1:$A$4999,1,FALSE),"ERROR")=B1613&amp;"ES","Y","")),"")</f>
        <v/>
      </c>
      <c r="H1613" s="29" t="str">
        <f>IFERROR(HYPERLINK("#"&amp;ADDRESS(MATCH(B1613&amp;"PT",'LM7 Non-ENG'!$A$1:$A$5000,0),1,,,"LM7 Non-ENG"),IF(IFERROR(VLOOKUP(B1613&amp;"PT",'LM7 Non-ENG'!$A$1:$A$5000,1,FALSE),"ERROR")=B1613&amp;"PT","Y","")),"")</f>
        <v/>
      </c>
      <c r="I1613" t="str">
        <f>IFERROR(VLOOKUP(B1613,PN!$A:$C,3,FALSE),"")</f>
        <v>Active</v>
      </c>
      <c r="J1613" s="3">
        <f>IFERROR(E1613*VLOOKUP(B1613,PLInter!$A:$D,3,FALSE),"")</f>
        <v>2760</v>
      </c>
      <c r="K1613" s="66"/>
      <c r="L1613" s="66"/>
      <c r="M1613" s="66"/>
      <c r="N1613" s="66"/>
      <c r="O1613" s="66"/>
      <c r="P1613" s="66"/>
      <c r="Q1613" s="66"/>
      <c r="R1613" s="66"/>
      <c r="S1613" s="66"/>
    </row>
    <row r="1614" spans="1:19" ht="18" customHeight="1">
      <c r="B1614" t="s">
        <v>668</v>
      </c>
      <c r="C1614" t="s">
        <v>669</v>
      </c>
      <c r="D1614" s="4"/>
      <c r="E1614" s="4">
        <v>1</v>
      </c>
      <c r="F1614" s="4"/>
      <c r="G1614" s="29" t="str">
        <f>IFERROR(HYPERLINK("#"&amp;ADDRESS(MATCH(B1614&amp;"ES",'LM7 Non-ENG'!$A$1:$A$5000,0),1,,,"LM7 Non-ENG"),IF(IFERROR(VLOOKUP(B1614&amp;"ES",'LM7 Non-ENG'!$A$1:$A$4999,1,FALSE),"ERROR")=B1614&amp;"ES","Y","")),"")</f>
        <v/>
      </c>
      <c r="H1614" s="29" t="str">
        <f>IFERROR(HYPERLINK("#"&amp;ADDRESS(MATCH(B1614&amp;"PT",'LM7 Non-ENG'!$A$1:$A$5000,0),1,,,"LM7 Non-ENG"),IF(IFERROR(VLOOKUP(B1614&amp;"PT",'LM7 Non-ENG'!$A$1:$A$5000,1,FALSE),"ERROR")=B1614&amp;"PT","Y","")),"")</f>
        <v/>
      </c>
      <c r="I1614" t="str">
        <f>IFERROR(VLOOKUP(B1614,PN!$A:$C,3,FALSE),"")</f>
        <v>Active</v>
      </c>
      <c r="J1614" s="3">
        <f>IFERROR(E1614*VLOOKUP(B1614,PLInter!$A:$D,3,FALSE),"")</f>
        <v>480</v>
      </c>
      <c r="K1614" s="66"/>
      <c r="L1614" s="66"/>
      <c r="M1614" s="66"/>
      <c r="N1614" s="66"/>
      <c r="O1614" s="66"/>
      <c r="P1614" s="66"/>
      <c r="Q1614" s="66"/>
      <c r="R1614" s="66"/>
      <c r="S1614" s="66"/>
    </row>
    <row r="1615" spans="1:19" ht="18" customHeight="1">
      <c r="B1615" t="s">
        <v>630</v>
      </c>
      <c r="C1615" t="s">
        <v>631</v>
      </c>
      <c r="D1615" s="4"/>
      <c r="E1615" s="4">
        <v>1</v>
      </c>
      <c r="F1615" s="4"/>
      <c r="G1615" s="29" t="str">
        <f>IFERROR(HYPERLINK("#"&amp;ADDRESS(MATCH(B1615&amp;"ES",'LM7 Non-ENG'!$A$1:$A$5000,0),1,,,"LM7 Non-ENG"),IF(IFERROR(VLOOKUP(B1615&amp;"ES",'LM7 Non-ENG'!$A$1:$A$4999,1,FALSE),"ERROR")=B1615&amp;"ES","Y","")),"")</f>
        <v/>
      </c>
      <c r="H1615" s="29" t="str">
        <f>IFERROR(HYPERLINK("#"&amp;ADDRESS(MATCH(B1615&amp;"PT",'LM7 Non-ENG'!$A$1:$A$5000,0),1,,,"LM7 Non-ENG"),IF(IFERROR(VLOOKUP(B1615&amp;"PT",'LM7 Non-ENG'!$A$1:$A$5000,1,FALSE),"ERROR")=B1615&amp;"PT","Y","")),"")</f>
        <v/>
      </c>
      <c r="I1615" t="str">
        <f>IFERROR(VLOOKUP(B1615,PN!$A:$C,3,FALSE),"")</f>
        <v>Active</v>
      </c>
      <c r="J1615" s="3">
        <f>IFERROR(E1615*VLOOKUP(B1615,PLInter!$A:$D,3,FALSE),"")</f>
        <v>1735</v>
      </c>
      <c r="K1615" s="66"/>
      <c r="L1615" s="66"/>
      <c r="M1615" s="66"/>
      <c r="N1615" s="66"/>
      <c r="O1615" s="66"/>
      <c r="P1615" s="66"/>
      <c r="Q1615" s="66"/>
      <c r="R1615" s="66"/>
      <c r="S1615" s="66"/>
    </row>
    <row r="1617" spans="1:19" s="7" customFormat="1" ht="18" customHeight="1">
      <c r="A1617" s="13" t="s">
        <v>1000</v>
      </c>
      <c r="B1617" s="13"/>
      <c r="C1617" s="13" t="s">
        <v>1001</v>
      </c>
      <c r="D1617" s="14"/>
      <c r="E1617" s="14"/>
      <c r="F1617" s="14"/>
      <c r="G1617" s="14"/>
      <c r="H1617" s="14"/>
      <c r="I1617" s="14"/>
      <c r="J1617" s="14">
        <f>SUMIFS(J1618:J1638,D1618:D1638,"&lt;&gt;Y",F1618:F1638,"&lt;&gt;Y",I1618:I1638,"&lt;&gt;Inactive",I1618:I1638,"&lt;&gt;ECO+NFS")</f>
        <v>49191</v>
      </c>
      <c r="K1617" s="14"/>
      <c r="L1617" s="14"/>
      <c r="M1617" s="14"/>
      <c r="N1617" s="14"/>
      <c r="O1617" s="14"/>
      <c r="P1617" s="14"/>
      <c r="Q1617" s="14"/>
      <c r="R1617" s="14"/>
      <c r="S1617" s="14"/>
    </row>
    <row r="1618" spans="1:19" ht="18" customHeight="1">
      <c r="A1618" s="17" t="str">
        <f>HYPERLINK("#"&amp;ADDRESS(MATCH(A1617,'CIM&amp;FMS'!$A$1:$A$4997,0),1,,,"CIM&amp;FMS"),"Back to Price List")</f>
        <v>Back to Price List</v>
      </c>
      <c r="B1618" t="s">
        <v>214</v>
      </c>
      <c r="C1618" t="s">
        <v>654</v>
      </c>
      <c r="D1618" s="4"/>
      <c r="E1618" s="4">
        <v>1</v>
      </c>
      <c r="F1618" s="4"/>
      <c r="G1618" s="29" t="str">
        <f>IFERROR(HYPERLINK("#"&amp;ADDRESS(MATCH(B1618&amp;"ES",'LM7 Non-ENG'!$A$1:$A$5000,0),1,,,"LM7 Non-ENG"),IF(IFERROR(VLOOKUP(B1618&amp;"ES",'LM7 Non-ENG'!$A$1:$A$4999,1,FALSE),"ERROR")=B1618&amp;"ES","Y","")),"")</f>
        <v/>
      </c>
      <c r="H1618" s="29" t="str">
        <f>IFERROR(HYPERLINK("#"&amp;ADDRESS(MATCH(B1618&amp;"PT",'LM7 Non-ENG'!$A$1:$A$5000,0),1,,,"LM7 Non-ENG"),IF(IFERROR(VLOOKUP(B1618&amp;"PT",'LM7 Non-ENG'!$A$1:$A$5000,1,FALSE),"ERROR")=B1618&amp;"PT","Y","")),"")</f>
        <v/>
      </c>
      <c r="I1618" t="str">
        <f>IFERROR(VLOOKUP(B1618,PN!$A:$C,3,FALSE),"")</f>
        <v>Active</v>
      </c>
      <c r="J1618" s="3">
        <f>IFERROR(E1618*VLOOKUP(B1618,PLInter!$A:$D,3,FALSE),"")</f>
        <v>24000</v>
      </c>
      <c r="K1618" s="66"/>
      <c r="L1618" s="66"/>
      <c r="M1618" s="66"/>
      <c r="N1618" s="66"/>
      <c r="O1618" s="66"/>
      <c r="P1618" s="66"/>
      <c r="Q1618" s="66"/>
      <c r="R1618" s="66"/>
      <c r="S1618" s="66"/>
    </row>
    <row r="1619" spans="1:19" ht="18" customHeight="1">
      <c r="B1619" t="s">
        <v>228</v>
      </c>
      <c r="C1619" t="s">
        <v>655</v>
      </c>
      <c r="D1619" s="4"/>
      <c r="E1619" s="4">
        <v>1</v>
      </c>
      <c r="F1619" s="4"/>
      <c r="G1619" s="29" t="str">
        <f>IFERROR(HYPERLINK("#"&amp;ADDRESS(MATCH(B1619&amp;"ES",'LM7 Non-ENG'!$A$1:$A$5000,0),1,,,"LM7 Non-ENG"),IF(IFERROR(VLOOKUP(B1619&amp;"ES",'LM7 Non-ENG'!$A$1:$A$4999,1,FALSE),"ERROR")=B1619&amp;"ES","Y","")),"")</f>
        <v/>
      </c>
      <c r="H1619" s="29" t="str">
        <f>IFERROR(HYPERLINK("#"&amp;ADDRESS(MATCH(B1619&amp;"PT",'LM7 Non-ENG'!$A$1:$A$5000,0),1,,,"LM7 Non-ENG"),IF(IFERROR(VLOOKUP(B1619&amp;"PT",'LM7 Non-ENG'!$A$1:$A$5000,1,FALSE),"ERROR")=B1619&amp;"PT","Y","")),"")</f>
        <v/>
      </c>
      <c r="I1619" t="str">
        <f>IFERROR(VLOOKUP(B1619,PN!$A:$C,3,FALSE),"")</f>
        <v>Active</v>
      </c>
      <c r="J1619" s="3">
        <f>IFERROR(E1619*VLOOKUP(B1619,PLInter!$A:$D,3,FALSE),"")</f>
        <v>2134</v>
      </c>
      <c r="K1619" s="66"/>
      <c r="L1619" s="66"/>
      <c r="M1619" s="66"/>
      <c r="N1619" s="66"/>
      <c r="O1619" s="66"/>
      <c r="P1619" s="66"/>
      <c r="Q1619" s="66"/>
      <c r="R1619" s="66"/>
      <c r="S1619" s="66"/>
    </row>
    <row r="1620" spans="1:19" ht="18" customHeight="1">
      <c r="B1620" s="2" t="s">
        <v>227</v>
      </c>
      <c r="C1620" s="2" t="s">
        <v>232</v>
      </c>
      <c r="D1620" s="5"/>
      <c r="E1620" s="5">
        <v>1</v>
      </c>
      <c r="F1620" s="5" t="s">
        <v>0</v>
      </c>
      <c r="G1620" s="29" t="str">
        <f>IFERROR(HYPERLINK("#"&amp;ADDRESS(MATCH(B1620&amp;"ES",'LM7 Non-ENG'!$A$1:$A$5000,0),1,,,"LM7 Non-ENG"),IF(IFERROR(VLOOKUP(B1620&amp;"ES",'LM7 Non-ENG'!$A$1:$A$4999,1,FALSE),"ERROR")=B1620&amp;"ES","Y","")),"")</f>
        <v/>
      </c>
      <c r="H1620" s="29" t="str">
        <f>IFERROR(HYPERLINK("#"&amp;ADDRESS(MATCH(B1620&amp;"PT",'LM7 Non-ENG'!$A$1:$A$5000,0),1,,,"LM7 Non-ENG"),IF(IFERROR(VLOOKUP(B1620&amp;"PT",'LM7 Non-ENG'!$A$1:$A$5000,1,FALSE),"ERROR")=B1620&amp;"PT","Y","")),"")</f>
        <v/>
      </c>
      <c r="I1620" t="str">
        <f>IFERROR(VLOOKUP(B1620,PN!$A:$C,3,FALSE),"")</f>
        <v>Active</v>
      </c>
      <c r="J1620" s="3">
        <f>IFERROR(E1620*VLOOKUP(B1620,PLInter!$A:$D,3,FALSE),"")</f>
        <v>1700</v>
      </c>
      <c r="K1620" s="66"/>
      <c r="L1620" s="66"/>
      <c r="M1620" s="66"/>
      <c r="N1620" s="66"/>
      <c r="O1620" s="66"/>
      <c r="P1620" s="66"/>
      <c r="Q1620" s="66"/>
      <c r="R1620" s="66"/>
      <c r="S1620" s="66"/>
    </row>
    <row r="1621" spans="1:19" ht="18" customHeight="1">
      <c r="B1621" t="s">
        <v>236</v>
      </c>
      <c r="C1621" t="s">
        <v>626</v>
      </c>
      <c r="D1621" s="4"/>
      <c r="E1621" s="4">
        <v>1</v>
      </c>
      <c r="F1621" s="4"/>
      <c r="G1621" s="29" t="str">
        <f>IFERROR(HYPERLINK("#"&amp;ADDRESS(MATCH(B1621&amp;"ES",'LM7 Non-ENG'!$A$1:$A$5000,0),1,,,"LM7 Non-ENG"),IF(IFERROR(VLOOKUP(B1621&amp;"ES",'LM7 Non-ENG'!$A$1:$A$4999,1,FALSE),"ERROR")=B1621&amp;"ES","Y","")),"")</f>
        <v/>
      </c>
      <c r="H1621" s="29" t="str">
        <f>IFERROR(HYPERLINK("#"&amp;ADDRESS(MATCH(B1621&amp;"PT",'LM7 Non-ENG'!$A$1:$A$5000,0),1,,,"LM7 Non-ENG"),IF(IFERROR(VLOOKUP(B1621&amp;"PT",'LM7 Non-ENG'!$A$1:$A$5000,1,FALSE),"ERROR")=B1621&amp;"PT","Y","")),"")</f>
        <v/>
      </c>
      <c r="I1621" t="str">
        <f>IFERROR(VLOOKUP(B1621,PN!$A:$C,3,FALSE),"")</f>
        <v>Active</v>
      </c>
      <c r="J1621" s="3">
        <f>IFERROR(E1621*VLOOKUP(B1621,PLInter!$A:$D,3,FALSE),"")</f>
        <v>1680</v>
      </c>
      <c r="K1621" s="66"/>
      <c r="L1621" s="66"/>
      <c r="M1621" s="66"/>
      <c r="N1621" s="66"/>
      <c r="O1621" s="66"/>
      <c r="P1621" s="66"/>
      <c r="Q1621" s="66"/>
      <c r="R1621" s="66"/>
      <c r="S1621" s="66"/>
    </row>
    <row r="1622" spans="1:19" ht="18" customHeight="1">
      <c r="B1622" t="str">
        <f>"034025"</f>
        <v>034025</v>
      </c>
      <c r="C1622" t="s">
        <v>777</v>
      </c>
      <c r="D1622" s="4"/>
      <c r="E1622" s="4">
        <v>1</v>
      </c>
      <c r="F1622" s="4"/>
      <c r="G1622" s="29" t="str">
        <f>IFERROR(HYPERLINK("#"&amp;ADDRESS(MATCH(B1622&amp;"ES",'LM7 Non-ENG'!$A$1:$A$5000,0),1,,,"LM7 Non-ENG"),IF(IFERROR(VLOOKUP(B1622&amp;"ES",'LM7 Non-ENG'!$A$1:$A$4999,1,FALSE),"ERROR")=B1622&amp;"ES","Y","")),"")</f>
        <v/>
      </c>
      <c r="H1622" s="29" t="str">
        <f>IFERROR(HYPERLINK("#"&amp;ADDRESS(MATCH(B1622&amp;"PT",'LM7 Non-ENG'!$A$1:$A$5000,0),1,,,"LM7 Non-ENG"),IF(IFERROR(VLOOKUP(B1622&amp;"PT",'LM7 Non-ENG'!$A$1:$A$5000,1,FALSE),"ERROR")=B1622&amp;"PT","Y","")),"")</f>
        <v/>
      </c>
      <c r="I1622" t="str">
        <f>IFERROR(VLOOKUP(B1622,PN!$A:$C,3,FALSE),"")</f>
        <v>Active</v>
      </c>
      <c r="J1622" s="3">
        <f>IFERROR(E1622*VLOOKUP(B1622,PLInter!$A:$D,3,FALSE),"")</f>
        <v>1267</v>
      </c>
      <c r="K1622" s="66"/>
      <c r="L1622" s="66"/>
      <c r="M1622" s="66"/>
      <c r="N1622" s="66"/>
      <c r="O1622" s="66"/>
      <c r="P1622" s="66"/>
      <c r="Q1622" s="66"/>
      <c r="R1622" s="66"/>
      <c r="S1622" s="66"/>
    </row>
    <row r="1623" spans="1:19" ht="18" customHeight="1">
      <c r="B1623" t="s">
        <v>914</v>
      </c>
      <c r="C1623" t="s">
        <v>915</v>
      </c>
      <c r="D1623" s="4"/>
      <c r="E1623" s="4">
        <v>3</v>
      </c>
      <c r="F1623" s="4"/>
      <c r="G1623" s="29" t="str">
        <f>IFERROR(HYPERLINK("#"&amp;ADDRESS(MATCH(B1623&amp;"ES",'LM7 Non-ENG'!$A$1:$A$5000,0),1,,,"LM7 Non-ENG"),IF(IFERROR(VLOOKUP(B1623&amp;"ES",'LM7 Non-ENG'!$A$1:$A$4999,1,FALSE),"ERROR")=B1623&amp;"ES","Y","")),"")</f>
        <v/>
      </c>
      <c r="H1623" s="29" t="str">
        <f>IFERROR(HYPERLINK("#"&amp;ADDRESS(MATCH(B1623&amp;"PT",'LM7 Non-ENG'!$A$1:$A$5000,0),1,,,"LM7 Non-ENG"),IF(IFERROR(VLOOKUP(B1623&amp;"PT",'LM7 Non-ENG'!$A$1:$A$5000,1,FALSE),"ERROR")=B1623&amp;"PT","Y","")),"")</f>
        <v/>
      </c>
      <c r="I1623" t="str">
        <f>IFERROR(VLOOKUP(B1623,PN!$A:$C,3,FALSE),"")</f>
        <v>Active</v>
      </c>
      <c r="J1623" s="3">
        <f>IFERROR(E1623*VLOOKUP(B1623,PLInter!$A:$D,3,FALSE),"")</f>
        <v>402</v>
      </c>
      <c r="K1623" s="66"/>
      <c r="L1623" s="66"/>
      <c r="M1623" s="66"/>
      <c r="N1623" s="66"/>
      <c r="O1623" s="66"/>
      <c r="P1623" s="66"/>
      <c r="Q1623" s="66"/>
      <c r="R1623" s="66"/>
      <c r="S1623" s="66"/>
    </row>
    <row r="1624" spans="1:19" ht="18" customHeight="1">
      <c r="B1624" t="s">
        <v>684</v>
      </c>
      <c r="C1624" t="s">
        <v>685</v>
      </c>
      <c r="D1624" s="4"/>
      <c r="E1624" s="4">
        <v>2</v>
      </c>
      <c r="F1624" s="4"/>
      <c r="G1624" s="29" t="str">
        <f>IFERROR(HYPERLINK("#"&amp;ADDRESS(MATCH(B1624&amp;"ES",'LM7 Non-ENG'!$A$1:$A$5000,0),1,,,"LM7 Non-ENG"),IF(IFERROR(VLOOKUP(B1624&amp;"ES",'LM7 Non-ENG'!$A$1:$A$4999,1,FALSE),"ERROR")=B1624&amp;"ES","Y","")),"")</f>
        <v/>
      </c>
      <c r="H1624" s="29" t="str">
        <f>IFERROR(HYPERLINK("#"&amp;ADDRESS(MATCH(B1624&amp;"PT",'LM7 Non-ENG'!$A$1:$A$5000,0),1,,,"LM7 Non-ENG"),IF(IFERROR(VLOOKUP(B1624&amp;"PT",'LM7 Non-ENG'!$A$1:$A$5000,1,FALSE),"ERROR")=B1624&amp;"PT","Y","")),"")</f>
        <v/>
      </c>
      <c r="I1624" t="str">
        <f>IFERROR(VLOOKUP(B1624,PN!$A:$C,3,FALSE),"")</f>
        <v>Active</v>
      </c>
      <c r="J1624" s="3">
        <f>IFERROR(E1624*VLOOKUP(B1624,PLInter!$A:$D,3,FALSE),"")</f>
        <v>1160</v>
      </c>
      <c r="K1624" s="66"/>
      <c r="L1624" s="66"/>
      <c r="M1624" s="66"/>
      <c r="N1624" s="66"/>
      <c r="O1624" s="66"/>
      <c r="P1624" s="66"/>
      <c r="Q1624" s="66"/>
      <c r="R1624" s="66"/>
      <c r="S1624" s="66"/>
    </row>
    <row r="1625" spans="1:19" ht="18" customHeight="1">
      <c r="B1625" t="str">
        <f>"021172"</f>
        <v>021172</v>
      </c>
      <c r="C1625" t="s">
        <v>916</v>
      </c>
      <c r="D1625" s="4"/>
      <c r="E1625" s="4">
        <v>2</v>
      </c>
      <c r="F1625" s="4"/>
      <c r="G1625" s="29" t="str">
        <f>IFERROR(HYPERLINK("#"&amp;ADDRESS(MATCH(B1625&amp;"ES",'LM7 Non-ENG'!$A$1:$A$5000,0),1,,,"LM7 Non-ENG"),IF(IFERROR(VLOOKUP(B1625&amp;"ES",'LM7 Non-ENG'!$A$1:$A$4999,1,FALSE),"ERROR")=B1625&amp;"ES","Y","")),"")</f>
        <v/>
      </c>
      <c r="H1625" s="29" t="str">
        <f>IFERROR(HYPERLINK("#"&amp;ADDRESS(MATCH(B1625&amp;"PT",'LM7 Non-ENG'!$A$1:$A$5000,0),1,,,"LM7 Non-ENG"),IF(IFERROR(VLOOKUP(B1625&amp;"PT",'LM7 Non-ENG'!$A$1:$A$5000,1,FALSE),"ERROR")=B1625&amp;"PT","Y","")),"")</f>
        <v/>
      </c>
      <c r="I1625" t="str">
        <f>IFERROR(VLOOKUP(B1625,PN!$A:$C,3,FALSE),"")</f>
        <v>Active</v>
      </c>
      <c r="J1625" s="3">
        <f>IFERROR(E1625*VLOOKUP(B1625,PLInter!$A:$D,3,FALSE),"")</f>
        <v>80</v>
      </c>
      <c r="K1625" s="66"/>
      <c r="L1625" s="66"/>
      <c r="M1625" s="66"/>
      <c r="N1625" s="66"/>
      <c r="O1625" s="66"/>
      <c r="P1625" s="66"/>
      <c r="Q1625" s="66"/>
      <c r="R1625" s="66"/>
      <c r="S1625" s="66"/>
    </row>
    <row r="1626" spans="1:19" ht="18" customHeight="1">
      <c r="B1626" t="s">
        <v>917</v>
      </c>
      <c r="C1626" t="s">
        <v>918</v>
      </c>
      <c r="D1626" s="4"/>
      <c r="E1626" s="4">
        <v>1</v>
      </c>
      <c r="F1626" s="4"/>
      <c r="G1626" s="29" t="str">
        <f>IFERROR(HYPERLINK("#"&amp;ADDRESS(MATCH(B1626&amp;"ES",'LM7 Non-ENG'!$A$1:$A$5000,0),1,,,"LM7 Non-ENG"),IF(IFERROR(VLOOKUP(B1626&amp;"ES",'LM7 Non-ENG'!$A$1:$A$4999,1,FALSE),"ERROR")=B1626&amp;"ES","Y","")),"")</f>
        <v/>
      </c>
      <c r="H1626" s="29" t="str">
        <f>IFERROR(HYPERLINK("#"&amp;ADDRESS(MATCH(B1626&amp;"PT",'LM7 Non-ENG'!$A$1:$A$5000,0),1,,,"LM7 Non-ENG"),IF(IFERROR(VLOOKUP(B1626&amp;"PT",'LM7 Non-ENG'!$A$1:$A$5000,1,FALSE),"ERROR")=B1626&amp;"PT","Y","")),"")</f>
        <v/>
      </c>
      <c r="I1626" t="str">
        <f>IFERROR(VLOOKUP(B1626,PN!$A:$C,3,FALSE),"")</f>
        <v>Phase Out</v>
      </c>
      <c r="J1626" s="3">
        <f>IFERROR(E1626*VLOOKUP(B1626,PLInter!$A:$D,3,FALSE),"")</f>
        <v>1735</v>
      </c>
      <c r="K1626" s="66"/>
      <c r="L1626" s="66"/>
      <c r="M1626" s="66"/>
      <c r="N1626" s="66"/>
      <c r="O1626" s="66"/>
      <c r="P1626" s="66"/>
      <c r="Q1626" s="66"/>
      <c r="R1626" s="66"/>
      <c r="S1626" s="66"/>
    </row>
    <row r="1627" spans="1:19" ht="18" customHeight="1">
      <c r="B1627" t="s">
        <v>919</v>
      </c>
      <c r="C1627" t="s">
        <v>920</v>
      </c>
      <c r="D1627" s="4"/>
      <c r="E1627" s="4">
        <v>1</v>
      </c>
      <c r="F1627" s="4"/>
      <c r="G1627" s="29" t="str">
        <f>IFERROR(HYPERLINK("#"&amp;ADDRESS(MATCH(B1627&amp;"ES",'LM7 Non-ENG'!$A$1:$A$5000,0),1,,,"LM7 Non-ENG"),IF(IFERROR(VLOOKUP(B1627&amp;"ES",'LM7 Non-ENG'!$A$1:$A$4999,1,FALSE),"ERROR")=B1627&amp;"ES","Y","")),"")</f>
        <v/>
      </c>
      <c r="H1627" s="29" t="str">
        <f>IFERROR(HYPERLINK("#"&amp;ADDRESS(MATCH(B1627&amp;"PT",'LM7 Non-ENG'!$A$1:$A$5000,0),1,,,"LM7 Non-ENG"),IF(IFERROR(VLOOKUP(B1627&amp;"PT",'LM7 Non-ENG'!$A$1:$A$5000,1,FALSE),"ERROR")=B1627&amp;"PT","Y","")),"")</f>
        <v/>
      </c>
      <c r="I1627" t="str">
        <f>IFERROR(VLOOKUP(B1627,PN!$A:$C,3,FALSE),"")</f>
        <v>Active</v>
      </c>
      <c r="J1627" s="3">
        <f>IFERROR(E1627*VLOOKUP(B1627,PLInter!$A:$D,3,FALSE),"")</f>
        <v>635</v>
      </c>
      <c r="K1627" s="66"/>
      <c r="L1627" s="66"/>
      <c r="M1627" s="66"/>
      <c r="N1627" s="66"/>
      <c r="O1627" s="66"/>
      <c r="P1627" s="66"/>
      <c r="Q1627" s="66"/>
      <c r="R1627" s="66"/>
      <c r="S1627" s="66"/>
    </row>
    <row r="1628" spans="1:19" ht="18" customHeight="1">
      <c r="B1628" t="s">
        <v>921</v>
      </c>
      <c r="C1628" t="s">
        <v>922</v>
      </c>
      <c r="D1628" s="4"/>
      <c r="E1628" s="4">
        <v>1</v>
      </c>
      <c r="F1628" s="4"/>
      <c r="G1628" s="29" t="str">
        <f>IFERROR(HYPERLINK("#"&amp;ADDRESS(MATCH(B1628&amp;"ES",'LM7 Non-ENG'!$A$1:$A$5000,0),1,,,"LM7 Non-ENG"),IF(IFERROR(VLOOKUP(B1628&amp;"ES",'LM7 Non-ENG'!$A$1:$A$4999,1,FALSE),"ERROR")=B1628&amp;"ES","Y","")),"")</f>
        <v/>
      </c>
      <c r="H1628" s="29" t="str">
        <f>IFERROR(HYPERLINK("#"&amp;ADDRESS(MATCH(B1628&amp;"PT",'LM7 Non-ENG'!$A$1:$A$5000,0),1,,,"LM7 Non-ENG"),IF(IFERROR(VLOOKUP(B1628&amp;"PT",'LM7 Non-ENG'!$A$1:$A$5000,1,FALSE),"ERROR")=B1628&amp;"PT","Y","")),"")</f>
        <v/>
      </c>
      <c r="I1628" t="str">
        <f>IFERROR(VLOOKUP(B1628,PN!$A:$C,3,FALSE),"")</f>
        <v>Active</v>
      </c>
      <c r="J1628" s="3">
        <f>IFERROR(E1628*VLOOKUP(B1628,PLInter!$A:$D,3,FALSE),"")</f>
        <v>2585</v>
      </c>
      <c r="K1628" s="66"/>
      <c r="L1628" s="66"/>
      <c r="M1628" s="66"/>
      <c r="N1628" s="66"/>
      <c r="O1628" s="66"/>
      <c r="P1628" s="66"/>
      <c r="Q1628" s="66"/>
      <c r="R1628" s="66"/>
      <c r="S1628" s="66"/>
    </row>
    <row r="1629" spans="1:19" ht="18" customHeight="1">
      <c r="B1629" t="s">
        <v>923</v>
      </c>
      <c r="C1629" t="s">
        <v>924</v>
      </c>
      <c r="D1629" s="4"/>
      <c r="E1629" s="4">
        <v>12</v>
      </c>
      <c r="F1629" s="4"/>
      <c r="G1629" s="29" t="str">
        <f>IFERROR(HYPERLINK("#"&amp;ADDRESS(MATCH(B1629&amp;"ES",'LM7 Non-ENG'!$A$1:$A$5000,0),1,,,"LM7 Non-ENG"),IF(IFERROR(VLOOKUP(B1629&amp;"ES",'LM7 Non-ENG'!$A$1:$A$4999,1,FALSE),"ERROR")=B1629&amp;"ES","Y","")),"")</f>
        <v/>
      </c>
      <c r="H1629" s="29" t="str">
        <f>IFERROR(HYPERLINK("#"&amp;ADDRESS(MATCH(B1629&amp;"PT",'LM7 Non-ENG'!$A$1:$A$5000,0),1,,,"LM7 Non-ENG"),IF(IFERROR(VLOOKUP(B1629&amp;"PT",'LM7 Non-ENG'!$A$1:$A$5000,1,FALSE),"ERROR")=B1629&amp;"PT","Y","")),"")</f>
        <v/>
      </c>
      <c r="I1629" t="str">
        <f>IFERROR(VLOOKUP(B1629,PN!$A:$C,3,FALSE),"")</f>
        <v>Active</v>
      </c>
      <c r="J1629" s="3">
        <f>IFERROR(E1629*VLOOKUP(B1629,PLInter!$A:$D,3,FALSE),"")</f>
        <v>1104</v>
      </c>
      <c r="K1629" s="66"/>
      <c r="L1629" s="66"/>
      <c r="M1629" s="66"/>
      <c r="N1629" s="66"/>
      <c r="O1629" s="66"/>
      <c r="P1629" s="66"/>
      <c r="Q1629" s="66"/>
      <c r="R1629" s="66"/>
      <c r="S1629" s="66"/>
    </row>
    <row r="1630" spans="1:19" ht="18" customHeight="1">
      <c r="B1630" t="s">
        <v>241</v>
      </c>
      <c r="C1630" t="s">
        <v>976</v>
      </c>
      <c r="D1630" s="4"/>
      <c r="E1630" s="4">
        <v>1</v>
      </c>
      <c r="F1630" s="4"/>
      <c r="G1630" s="29" t="str">
        <f>IFERROR(HYPERLINK("#"&amp;ADDRESS(MATCH(B1630&amp;"ES",'LM7 Non-ENG'!$A$1:$A$5000,0),1,,,"LM7 Non-ENG"),IF(IFERROR(VLOOKUP(B1630&amp;"ES",'LM7 Non-ENG'!$A$1:$A$4999,1,FALSE),"ERROR")=B1630&amp;"ES","Y","")),"")</f>
        <v/>
      </c>
      <c r="H1630" s="29" t="str">
        <f>IFERROR(HYPERLINK("#"&amp;ADDRESS(MATCH(B1630&amp;"PT",'LM7 Non-ENG'!$A$1:$A$5000,0),1,,,"LM7 Non-ENG"),IF(IFERROR(VLOOKUP(B1630&amp;"PT",'LM7 Non-ENG'!$A$1:$A$5000,1,FALSE),"ERROR")=B1630&amp;"PT","Y","")),"")</f>
        <v/>
      </c>
      <c r="I1630" t="str">
        <f>IFERROR(VLOOKUP(B1630,PN!$A:$C,3,FALSE),"")</f>
        <v>Active</v>
      </c>
      <c r="J1630" s="3">
        <f>IFERROR(E1630*VLOOKUP(B1630,PLInter!$A:$D,3,FALSE),"")</f>
        <v>2600</v>
      </c>
      <c r="K1630" s="66"/>
      <c r="L1630" s="66"/>
      <c r="M1630" s="66"/>
      <c r="N1630" s="66"/>
      <c r="O1630" s="66"/>
      <c r="P1630" s="66"/>
      <c r="Q1630" s="66"/>
      <c r="R1630" s="66"/>
      <c r="S1630" s="66"/>
    </row>
    <row r="1631" spans="1:19" ht="18" customHeight="1">
      <c r="B1631" t="s">
        <v>977</v>
      </c>
      <c r="C1631" t="s">
        <v>978</v>
      </c>
      <c r="D1631" s="4"/>
      <c r="E1631" s="4">
        <v>1</v>
      </c>
      <c r="F1631" s="4"/>
      <c r="G1631" s="29" t="str">
        <f>IFERROR(HYPERLINK("#"&amp;ADDRESS(MATCH(B1631&amp;"ES",'LM7 Non-ENG'!$A$1:$A$5000,0),1,,,"LM7 Non-ENG"),IF(IFERROR(VLOOKUP(B1631&amp;"ES",'LM7 Non-ENG'!$A$1:$A$4999,1,FALSE),"ERROR")=B1631&amp;"ES","Y","")),"")</f>
        <v/>
      </c>
      <c r="H1631" s="29" t="str">
        <f>IFERROR(HYPERLINK("#"&amp;ADDRESS(MATCH(B1631&amp;"PT",'LM7 Non-ENG'!$A$1:$A$5000,0),1,,,"LM7 Non-ENG"),IF(IFERROR(VLOOKUP(B1631&amp;"PT",'LM7 Non-ENG'!$A$1:$A$5000,1,FALSE),"ERROR")=B1631&amp;"PT","Y","")),"")</f>
        <v/>
      </c>
      <c r="I1631" t="str">
        <f>IFERROR(VLOOKUP(B1631,PN!$A:$C,3,FALSE),"")</f>
        <v>Active</v>
      </c>
      <c r="J1631" s="3">
        <f>IFERROR(E1631*VLOOKUP(B1631,PLInter!$A:$D,3,FALSE),"")</f>
        <v>3885</v>
      </c>
      <c r="K1631" s="66"/>
      <c r="L1631" s="66"/>
      <c r="M1631" s="66"/>
      <c r="N1631" s="66"/>
      <c r="O1631" s="66"/>
      <c r="P1631" s="66"/>
      <c r="Q1631" s="66"/>
      <c r="R1631" s="66"/>
      <c r="S1631" s="66"/>
    </row>
    <row r="1632" spans="1:19" ht="18" customHeight="1">
      <c r="B1632" t="str">
        <f>"113096"</f>
        <v>113096</v>
      </c>
      <c r="C1632" t="s">
        <v>943</v>
      </c>
      <c r="D1632" s="4"/>
      <c r="E1632" s="4">
        <v>3</v>
      </c>
      <c r="F1632" s="4"/>
      <c r="G1632" s="29" t="str">
        <f>IFERROR(HYPERLINK("#"&amp;ADDRESS(MATCH(B1632&amp;"ES",'LM7 Non-ENG'!$A$1:$A$5000,0),1,,,"LM7 Non-ENG"),IF(IFERROR(VLOOKUP(B1632&amp;"ES",'LM7 Non-ENG'!$A$1:$A$4999,1,FALSE),"ERROR")=B1632&amp;"ES","Y","")),"")</f>
        <v/>
      </c>
      <c r="H1632" s="29" t="str">
        <f>IFERROR(HYPERLINK("#"&amp;ADDRESS(MATCH(B1632&amp;"PT",'LM7 Non-ENG'!$A$1:$A$5000,0),1,,,"LM7 Non-ENG"),IF(IFERROR(VLOOKUP(B1632&amp;"PT",'LM7 Non-ENG'!$A$1:$A$5000,1,FALSE),"ERROR")=B1632&amp;"PT","Y","")),"")</f>
        <v/>
      </c>
      <c r="I1632" t="str">
        <f>IFERROR(VLOOKUP(B1632,PN!$A:$C,3,FALSE),"")</f>
        <v>Active</v>
      </c>
      <c r="J1632" s="3">
        <f>IFERROR(E1632*VLOOKUP(B1632,PLInter!$A:$D,3,FALSE),"")</f>
        <v>162</v>
      </c>
      <c r="K1632" s="66"/>
      <c r="L1632" s="66"/>
      <c r="M1632" s="66"/>
      <c r="N1632" s="66"/>
      <c r="O1632" s="66"/>
      <c r="P1632" s="66"/>
      <c r="Q1632" s="66"/>
      <c r="R1632" s="66"/>
      <c r="S1632" s="66"/>
    </row>
    <row r="1633" spans="1:19" ht="18" customHeight="1">
      <c r="B1633" t="str">
        <f>"112713"</f>
        <v>112713</v>
      </c>
      <c r="C1633" t="s">
        <v>944</v>
      </c>
      <c r="D1633" s="4"/>
      <c r="E1633" s="4">
        <v>3</v>
      </c>
      <c r="F1633" s="4"/>
      <c r="G1633" s="29" t="str">
        <f>IFERROR(HYPERLINK("#"&amp;ADDRESS(MATCH(B1633&amp;"ES",'LM7 Non-ENG'!$A$1:$A$5000,0),1,,,"LM7 Non-ENG"),IF(IFERROR(VLOOKUP(B1633&amp;"ES",'LM7 Non-ENG'!$A$1:$A$4999,1,FALSE),"ERROR")=B1633&amp;"ES","Y","")),"")</f>
        <v/>
      </c>
      <c r="H1633" s="29" t="str">
        <f>IFERROR(HYPERLINK("#"&amp;ADDRESS(MATCH(B1633&amp;"PT",'LM7 Non-ENG'!$A$1:$A$5000,0),1,,,"LM7 Non-ENG"),IF(IFERROR(VLOOKUP(B1633&amp;"PT",'LM7 Non-ENG'!$A$1:$A$5000,1,FALSE),"ERROR")=B1633&amp;"PT","Y","")),"")</f>
        <v/>
      </c>
      <c r="I1633" t="str">
        <f>IFERROR(VLOOKUP(B1633,PN!$A:$C,3,FALSE),"")</f>
        <v>Active</v>
      </c>
      <c r="J1633" s="3">
        <f>IFERROR(E1633*VLOOKUP(B1633,PLInter!$A:$D,3,FALSE),"")</f>
        <v>300</v>
      </c>
      <c r="K1633" s="66"/>
      <c r="L1633" s="66"/>
      <c r="M1633" s="66"/>
      <c r="N1633" s="66"/>
      <c r="O1633" s="66"/>
      <c r="P1633" s="66"/>
      <c r="Q1633" s="66"/>
      <c r="R1633" s="66"/>
      <c r="S1633" s="66"/>
    </row>
    <row r="1634" spans="1:19" ht="18" customHeight="1">
      <c r="B1634" t="str">
        <f>"113316"</f>
        <v>113316</v>
      </c>
      <c r="C1634" t="s">
        <v>979</v>
      </c>
      <c r="D1634" s="4"/>
      <c r="E1634" s="4">
        <v>1</v>
      </c>
      <c r="F1634" s="4"/>
      <c r="G1634" s="29" t="str">
        <f>IFERROR(HYPERLINK("#"&amp;ADDRESS(MATCH(B1634&amp;"ES",'LM7 Non-ENG'!$A$1:$A$5000,0),1,,,"LM7 Non-ENG"),IF(IFERROR(VLOOKUP(B1634&amp;"ES",'LM7 Non-ENG'!$A$1:$A$4999,1,FALSE),"ERROR")=B1634&amp;"ES","Y","")),"")</f>
        <v/>
      </c>
      <c r="H1634" s="29" t="str">
        <f>IFERROR(HYPERLINK("#"&amp;ADDRESS(MATCH(B1634&amp;"PT",'LM7 Non-ENG'!$A$1:$A$5000,0),1,,,"LM7 Non-ENG"),IF(IFERROR(VLOOKUP(B1634&amp;"PT",'LM7 Non-ENG'!$A$1:$A$5000,1,FALSE),"ERROR")=B1634&amp;"PT","Y","")),"")</f>
        <v/>
      </c>
      <c r="I1634" t="str">
        <f>IFERROR(VLOOKUP(B1634,PN!$A:$C,3,FALSE),"")</f>
        <v>Active</v>
      </c>
      <c r="J1634" s="3">
        <f>IFERROR(E1634*VLOOKUP(B1634,PLInter!$A:$D,3,FALSE),"")</f>
        <v>20</v>
      </c>
      <c r="K1634" s="66"/>
      <c r="L1634" s="66"/>
      <c r="M1634" s="66"/>
      <c r="N1634" s="66"/>
      <c r="O1634" s="66"/>
      <c r="P1634" s="66"/>
      <c r="Q1634" s="66"/>
      <c r="R1634" s="66"/>
      <c r="S1634" s="66"/>
    </row>
    <row r="1635" spans="1:19" ht="18" customHeight="1">
      <c r="B1635" t="s">
        <v>925</v>
      </c>
      <c r="C1635" t="s">
        <v>926</v>
      </c>
      <c r="D1635" s="4"/>
      <c r="E1635" s="4">
        <v>1</v>
      </c>
      <c r="F1635" s="4"/>
      <c r="G1635" s="29" t="str">
        <f>IFERROR(HYPERLINK("#"&amp;ADDRESS(MATCH(B1635&amp;"ES",'LM7 Non-ENG'!$A$1:$A$5000,0),1,,,"LM7 Non-ENG"),IF(IFERROR(VLOOKUP(B1635&amp;"ES",'LM7 Non-ENG'!$A$1:$A$4999,1,FALSE),"ERROR")=B1635&amp;"ES","Y","")),"")</f>
        <v/>
      </c>
      <c r="H1635" s="29" t="str">
        <f>IFERROR(HYPERLINK("#"&amp;ADDRESS(MATCH(B1635&amp;"PT",'LM7 Non-ENG'!$A$1:$A$5000,0),1,,,"LM7 Non-ENG"),IF(IFERROR(VLOOKUP(B1635&amp;"PT",'LM7 Non-ENG'!$A$1:$A$5000,1,FALSE),"ERROR")=B1635&amp;"PT","Y","")),"")</f>
        <v/>
      </c>
      <c r="I1635" t="str">
        <f>IFERROR(VLOOKUP(B1635,PN!$A:$C,3,FALSE),"")</f>
        <v>Active</v>
      </c>
      <c r="J1635" s="3">
        <f>IFERROR(E1635*VLOOKUP(B1635,PLInter!$A:$D,3,FALSE),"")</f>
        <v>2760</v>
      </c>
      <c r="K1635" s="66"/>
      <c r="L1635" s="66"/>
      <c r="M1635" s="66"/>
      <c r="N1635" s="66"/>
      <c r="O1635" s="66"/>
      <c r="P1635" s="66"/>
      <c r="Q1635" s="66"/>
      <c r="R1635" s="66"/>
      <c r="S1635" s="66"/>
    </row>
    <row r="1636" spans="1:19" ht="18" customHeight="1">
      <c r="B1636" t="s">
        <v>927</v>
      </c>
      <c r="C1636" t="s">
        <v>928</v>
      </c>
      <c r="D1636" s="4"/>
      <c r="E1636" s="4">
        <v>1</v>
      </c>
      <c r="F1636" s="4"/>
      <c r="G1636" s="29" t="str">
        <f>IFERROR(HYPERLINK("#"&amp;ADDRESS(MATCH(B1636&amp;"ES",'LM7 Non-ENG'!$A$1:$A$5000,0),1,,,"LM7 Non-ENG"),IF(IFERROR(VLOOKUP(B1636&amp;"ES",'LM7 Non-ENG'!$A$1:$A$4999,1,FALSE),"ERROR")=B1636&amp;"ES","Y","")),"")</f>
        <v/>
      </c>
      <c r="H1636" s="29" t="str">
        <f>IFERROR(HYPERLINK("#"&amp;ADDRESS(MATCH(B1636&amp;"PT",'LM7 Non-ENG'!$A$1:$A$5000,0),1,,,"LM7 Non-ENG"),IF(IFERROR(VLOOKUP(B1636&amp;"PT",'LM7 Non-ENG'!$A$1:$A$5000,1,FALSE),"ERROR")=B1636&amp;"PT","Y","")),"")</f>
        <v/>
      </c>
      <c r="I1636" t="str">
        <f>IFERROR(VLOOKUP(B1636,PN!$A:$C,3,FALSE),"")</f>
        <v>Active</v>
      </c>
      <c r="J1636" s="3">
        <f>IFERROR(E1636*VLOOKUP(B1636,PLInter!$A:$D,3,FALSE),"")</f>
        <v>467</v>
      </c>
      <c r="K1636" s="66"/>
      <c r="L1636" s="66"/>
      <c r="M1636" s="66"/>
      <c r="N1636" s="66"/>
      <c r="O1636" s="66"/>
      <c r="P1636" s="66"/>
      <c r="Q1636" s="66"/>
      <c r="R1636" s="66"/>
      <c r="S1636" s="66"/>
    </row>
    <row r="1637" spans="1:19" ht="18" customHeight="1">
      <c r="B1637" t="s">
        <v>668</v>
      </c>
      <c r="C1637" t="s">
        <v>669</v>
      </c>
      <c r="D1637" s="4"/>
      <c r="E1637" s="4">
        <v>1</v>
      </c>
      <c r="F1637" s="4"/>
      <c r="G1637" s="29" t="str">
        <f>IFERROR(HYPERLINK("#"&amp;ADDRESS(MATCH(B1637&amp;"ES",'LM7 Non-ENG'!$A$1:$A$5000,0),1,,,"LM7 Non-ENG"),IF(IFERROR(VLOOKUP(B1637&amp;"ES",'LM7 Non-ENG'!$A$1:$A$4999,1,FALSE),"ERROR")=B1637&amp;"ES","Y","")),"")</f>
        <v/>
      </c>
      <c r="H1637" s="29" t="str">
        <f>IFERROR(HYPERLINK("#"&amp;ADDRESS(MATCH(B1637&amp;"PT",'LM7 Non-ENG'!$A$1:$A$5000,0),1,,,"LM7 Non-ENG"),IF(IFERROR(VLOOKUP(B1637&amp;"PT",'LM7 Non-ENG'!$A$1:$A$5000,1,FALSE),"ERROR")=B1637&amp;"PT","Y","")),"")</f>
        <v/>
      </c>
      <c r="I1637" t="str">
        <f>IFERROR(VLOOKUP(B1637,PN!$A:$C,3,FALSE),"")</f>
        <v>Active</v>
      </c>
      <c r="J1637" s="3">
        <f>IFERROR(E1637*VLOOKUP(B1637,PLInter!$A:$D,3,FALSE),"")</f>
        <v>480</v>
      </c>
      <c r="K1637" s="66"/>
      <c r="L1637" s="66"/>
      <c r="M1637" s="66"/>
      <c r="N1637" s="66"/>
      <c r="O1637" s="66"/>
      <c r="P1637" s="66"/>
      <c r="Q1637" s="66"/>
      <c r="R1637" s="66"/>
      <c r="S1637" s="66"/>
    </row>
    <row r="1638" spans="1:19" ht="18" customHeight="1">
      <c r="B1638" t="s">
        <v>630</v>
      </c>
      <c r="C1638" t="s">
        <v>631</v>
      </c>
      <c r="D1638" s="4"/>
      <c r="E1638" s="4">
        <v>1</v>
      </c>
      <c r="F1638" s="4"/>
      <c r="G1638" s="29" t="str">
        <f>IFERROR(HYPERLINK("#"&amp;ADDRESS(MATCH(B1638&amp;"ES",'LM7 Non-ENG'!$A$1:$A$5000,0),1,,,"LM7 Non-ENG"),IF(IFERROR(VLOOKUP(B1638&amp;"ES",'LM7 Non-ENG'!$A$1:$A$4999,1,FALSE),"ERROR")=B1638&amp;"ES","Y","")),"")</f>
        <v/>
      </c>
      <c r="H1638" s="29" t="str">
        <f>IFERROR(HYPERLINK("#"&amp;ADDRESS(MATCH(B1638&amp;"PT",'LM7 Non-ENG'!$A$1:$A$5000,0),1,,,"LM7 Non-ENG"),IF(IFERROR(VLOOKUP(B1638&amp;"PT",'LM7 Non-ENG'!$A$1:$A$5000,1,FALSE),"ERROR")=B1638&amp;"PT","Y","")),"")</f>
        <v/>
      </c>
      <c r="I1638" t="str">
        <f>IFERROR(VLOOKUP(B1638,PN!$A:$C,3,FALSE),"")</f>
        <v>Active</v>
      </c>
      <c r="J1638" s="3">
        <f>IFERROR(E1638*VLOOKUP(B1638,PLInter!$A:$D,3,FALSE),"")</f>
        <v>1735</v>
      </c>
      <c r="K1638" s="66"/>
      <c r="L1638" s="66"/>
      <c r="M1638" s="66"/>
      <c r="N1638" s="66"/>
      <c r="O1638" s="66"/>
      <c r="P1638" s="66"/>
      <c r="Q1638" s="66"/>
      <c r="R1638" s="66"/>
      <c r="S1638" s="66"/>
    </row>
    <row r="1640" spans="1:19" s="7" customFormat="1" ht="18" customHeight="1">
      <c r="A1640" s="13" t="s">
        <v>1002</v>
      </c>
      <c r="B1640" s="13"/>
      <c r="C1640" s="13" t="s">
        <v>1003</v>
      </c>
      <c r="D1640" s="14"/>
      <c r="E1640" s="14"/>
      <c r="F1640" s="14"/>
      <c r="G1640" s="14"/>
      <c r="H1640" s="14"/>
      <c r="I1640" s="14"/>
      <c r="J1640" s="14">
        <f>SUMIFS(J1641:J1658,D1641:D1658,"&lt;&gt;Y",F1641:F1658,"&lt;&gt;Y",I1641:I1658,"&lt;&gt;Inactive",I1641:I1658,"&lt;&gt;ECO+NFS")</f>
        <v>45364</v>
      </c>
      <c r="K1640" s="14"/>
      <c r="L1640" s="14"/>
      <c r="M1640" s="14"/>
      <c r="N1640" s="14"/>
      <c r="O1640" s="14"/>
      <c r="P1640" s="14"/>
      <c r="Q1640" s="14"/>
      <c r="R1640" s="14"/>
      <c r="S1640" s="14"/>
    </row>
    <row r="1641" spans="1:19" ht="18" customHeight="1">
      <c r="A1641" s="17" t="str">
        <f>HYPERLINK("#"&amp;ADDRESS(MATCH(A1640,'CIM&amp;FMS'!$A$1:$A$4997,0),1,,,"CIM&amp;FMS"),"Back to Price List")</f>
        <v>Back to Price List</v>
      </c>
      <c r="B1641" t="s">
        <v>214</v>
      </c>
      <c r="C1641" t="s">
        <v>654</v>
      </c>
      <c r="D1641" s="4"/>
      <c r="E1641" s="4">
        <v>1</v>
      </c>
      <c r="F1641" s="4"/>
      <c r="G1641" s="29" t="str">
        <f>IFERROR(HYPERLINK("#"&amp;ADDRESS(MATCH(B1641&amp;"ES",'LM7 Non-ENG'!$A$1:$A$5000,0),1,,,"LM7 Non-ENG"),IF(IFERROR(VLOOKUP(B1641&amp;"ES",'LM7 Non-ENG'!$A$1:$A$4999,1,FALSE),"ERROR")=B1641&amp;"ES","Y","")),"")</f>
        <v/>
      </c>
      <c r="H1641" s="29" t="str">
        <f>IFERROR(HYPERLINK("#"&amp;ADDRESS(MATCH(B1641&amp;"PT",'LM7 Non-ENG'!$A$1:$A$5000,0),1,,,"LM7 Non-ENG"),IF(IFERROR(VLOOKUP(B1641&amp;"PT",'LM7 Non-ENG'!$A$1:$A$5000,1,FALSE),"ERROR")=B1641&amp;"PT","Y","")),"")</f>
        <v/>
      </c>
      <c r="I1641" t="str">
        <f>IFERROR(VLOOKUP(B1641,PN!$A:$C,3,FALSE),"")</f>
        <v>Active</v>
      </c>
      <c r="J1641" s="3">
        <f>IFERROR(E1641*VLOOKUP(B1641,PLInter!$A:$D,3,FALSE),"")</f>
        <v>24000</v>
      </c>
      <c r="K1641" s="66"/>
      <c r="L1641" s="66"/>
      <c r="M1641" s="66"/>
      <c r="N1641" s="66"/>
      <c r="O1641" s="66"/>
      <c r="P1641" s="66"/>
      <c r="Q1641" s="66"/>
      <c r="R1641" s="66"/>
      <c r="S1641" s="66"/>
    </row>
    <row r="1642" spans="1:19" ht="18" customHeight="1">
      <c r="B1642" t="s">
        <v>228</v>
      </c>
      <c r="C1642" t="s">
        <v>655</v>
      </c>
      <c r="D1642" s="4"/>
      <c r="E1642" s="4">
        <v>1</v>
      </c>
      <c r="F1642" s="4"/>
      <c r="G1642" s="29" t="str">
        <f>IFERROR(HYPERLINK("#"&amp;ADDRESS(MATCH(B1642&amp;"ES",'LM7 Non-ENG'!$A$1:$A$5000,0),1,,,"LM7 Non-ENG"),IF(IFERROR(VLOOKUP(B1642&amp;"ES",'LM7 Non-ENG'!$A$1:$A$4999,1,FALSE),"ERROR")=B1642&amp;"ES","Y","")),"")</f>
        <v/>
      </c>
      <c r="H1642" s="29" t="str">
        <f>IFERROR(HYPERLINK("#"&amp;ADDRESS(MATCH(B1642&amp;"PT",'LM7 Non-ENG'!$A$1:$A$5000,0),1,,,"LM7 Non-ENG"),IF(IFERROR(VLOOKUP(B1642&amp;"PT",'LM7 Non-ENG'!$A$1:$A$5000,1,FALSE),"ERROR")=B1642&amp;"PT","Y","")),"")</f>
        <v/>
      </c>
      <c r="I1642" t="str">
        <f>IFERROR(VLOOKUP(B1642,PN!$A:$C,3,FALSE),"")</f>
        <v>Active</v>
      </c>
      <c r="J1642" s="3">
        <f>IFERROR(E1642*VLOOKUP(B1642,PLInter!$A:$D,3,FALSE),"")</f>
        <v>2134</v>
      </c>
      <c r="K1642" s="66"/>
      <c r="L1642" s="66"/>
      <c r="M1642" s="66"/>
      <c r="N1642" s="66"/>
      <c r="O1642" s="66"/>
      <c r="P1642" s="66"/>
      <c r="Q1642" s="66"/>
      <c r="R1642" s="66"/>
      <c r="S1642" s="66"/>
    </row>
    <row r="1643" spans="1:19" ht="18" customHeight="1">
      <c r="B1643" s="2" t="s">
        <v>227</v>
      </c>
      <c r="C1643" s="2" t="s">
        <v>232</v>
      </c>
      <c r="D1643" s="5"/>
      <c r="E1643" s="5">
        <v>1</v>
      </c>
      <c r="F1643" s="5" t="s">
        <v>0</v>
      </c>
      <c r="G1643" s="29" t="str">
        <f>IFERROR(HYPERLINK("#"&amp;ADDRESS(MATCH(B1643&amp;"ES",'LM7 Non-ENG'!$A$1:$A$5000,0),1,,,"LM7 Non-ENG"),IF(IFERROR(VLOOKUP(B1643&amp;"ES",'LM7 Non-ENG'!$A$1:$A$4999,1,FALSE),"ERROR")=B1643&amp;"ES","Y","")),"")</f>
        <v/>
      </c>
      <c r="H1643" s="29" t="str">
        <f>IFERROR(HYPERLINK("#"&amp;ADDRESS(MATCH(B1643&amp;"PT",'LM7 Non-ENG'!$A$1:$A$5000,0),1,,,"LM7 Non-ENG"),IF(IFERROR(VLOOKUP(B1643&amp;"PT",'LM7 Non-ENG'!$A$1:$A$5000,1,FALSE),"ERROR")=B1643&amp;"PT","Y","")),"")</f>
        <v/>
      </c>
      <c r="I1643" t="str">
        <f>IFERROR(VLOOKUP(B1643,PN!$A:$C,3,FALSE),"")</f>
        <v>Active</v>
      </c>
      <c r="J1643" s="3">
        <f>IFERROR(E1643*VLOOKUP(B1643,PLInter!$A:$D,3,FALSE),"")</f>
        <v>1700</v>
      </c>
      <c r="K1643" s="66"/>
      <c r="L1643" s="66"/>
      <c r="M1643" s="66"/>
      <c r="N1643" s="66"/>
      <c r="O1643" s="66"/>
      <c r="P1643" s="66"/>
      <c r="Q1643" s="66"/>
      <c r="R1643" s="66"/>
      <c r="S1643" s="66"/>
    </row>
    <row r="1644" spans="1:19" ht="18" customHeight="1">
      <c r="B1644" t="s">
        <v>236</v>
      </c>
      <c r="C1644" t="s">
        <v>626</v>
      </c>
      <c r="D1644" s="4"/>
      <c r="E1644" s="4">
        <v>1</v>
      </c>
      <c r="F1644" s="4"/>
      <c r="G1644" s="29" t="str">
        <f>IFERROR(HYPERLINK("#"&amp;ADDRESS(MATCH(B1644&amp;"ES",'LM7 Non-ENG'!$A$1:$A$5000,0),1,,,"LM7 Non-ENG"),IF(IFERROR(VLOOKUP(B1644&amp;"ES",'LM7 Non-ENG'!$A$1:$A$4999,1,FALSE),"ERROR")=B1644&amp;"ES","Y","")),"")</f>
        <v/>
      </c>
      <c r="H1644" s="29" t="str">
        <f>IFERROR(HYPERLINK("#"&amp;ADDRESS(MATCH(B1644&amp;"PT",'LM7 Non-ENG'!$A$1:$A$5000,0),1,,,"LM7 Non-ENG"),IF(IFERROR(VLOOKUP(B1644&amp;"PT",'LM7 Non-ENG'!$A$1:$A$5000,1,FALSE),"ERROR")=B1644&amp;"PT","Y","")),"")</f>
        <v/>
      </c>
      <c r="I1644" t="str">
        <f>IFERROR(VLOOKUP(B1644,PN!$A:$C,3,FALSE),"")</f>
        <v>Active</v>
      </c>
      <c r="J1644" s="3">
        <f>IFERROR(E1644*VLOOKUP(B1644,PLInter!$A:$D,3,FALSE),"")</f>
        <v>1680</v>
      </c>
      <c r="K1644" s="66"/>
      <c r="L1644" s="66"/>
      <c r="M1644" s="66"/>
      <c r="N1644" s="66"/>
      <c r="O1644" s="66"/>
      <c r="P1644" s="66"/>
      <c r="Q1644" s="66"/>
      <c r="R1644" s="66"/>
      <c r="S1644" s="66"/>
    </row>
    <row r="1645" spans="1:19" ht="18" customHeight="1">
      <c r="B1645" t="str">
        <f>"034025"</f>
        <v>034025</v>
      </c>
      <c r="C1645" t="s">
        <v>777</v>
      </c>
      <c r="D1645" s="4"/>
      <c r="E1645" s="4">
        <v>1</v>
      </c>
      <c r="F1645" s="4"/>
      <c r="G1645" s="29" t="str">
        <f>IFERROR(HYPERLINK("#"&amp;ADDRESS(MATCH(B1645&amp;"ES",'LM7 Non-ENG'!$A$1:$A$5000,0),1,,,"LM7 Non-ENG"),IF(IFERROR(VLOOKUP(B1645&amp;"ES",'LM7 Non-ENG'!$A$1:$A$4999,1,FALSE),"ERROR")=B1645&amp;"ES","Y","")),"")</f>
        <v/>
      </c>
      <c r="H1645" s="29" t="str">
        <f>IFERROR(HYPERLINK("#"&amp;ADDRESS(MATCH(B1645&amp;"PT",'LM7 Non-ENG'!$A$1:$A$5000,0),1,,,"LM7 Non-ENG"),IF(IFERROR(VLOOKUP(B1645&amp;"PT",'LM7 Non-ENG'!$A$1:$A$5000,1,FALSE),"ERROR")=B1645&amp;"PT","Y","")),"")</f>
        <v/>
      </c>
      <c r="I1645" t="str">
        <f>IFERROR(VLOOKUP(B1645,PN!$A:$C,3,FALSE),"")</f>
        <v>Active</v>
      </c>
      <c r="J1645" s="3">
        <f>IFERROR(E1645*VLOOKUP(B1645,PLInter!$A:$D,3,FALSE),"")</f>
        <v>1267</v>
      </c>
      <c r="K1645" s="66"/>
      <c r="L1645" s="66"/>
      <c r="M1645" s="66"/>
      <c r="N1645" s="66"/>
      <c r="O1645" s="66"/>
      <c r="P1645" s="66"/>
      <c r="Q1645" s="66"/>
      <c r="R1645" s="66"/>
      <c r="S1645" s="66"/>
    </row>
    <row r="1646" spans="1:19" ht="18" customHeight="1">
      <c r="B1646" t="s">
        <v>914</v>
      </c>
      <c r="C1646" t="s">
        <v>915</v>
      </c>
      <c r="D1646" s="4"/>
      <c r="E1646" s="4">
        <v>3</v>
      </c>
      <c r="F1646" s="4"/>
      <c r="G1646" s="29" t="str">
        <f>IFERROR(HYPERLINK("#"&amp;ADDRESS(MATCH(B1646&amp;"ES",'LM7 Non-ENG'!$A$1:$A$5000,0),1,,,"LM7 Non-ENG"),IF(IFERROR(VLOOKUP(B1646&amp;"ES",'LM7 Non-ENG'!$A$1:$A$4999,1,FALSE),"ERROR")=B1646&amp;"ES","Y","")),"")</f>
        <v/>
      </c>
      <c r="H1646" s="29" t="str">
        <f>IFERROR(HYPERLINK("#"&amp;ADDRESS(MATCH(B1646&amp;"PT",'LM7 Non-ENG'!$A$1:$A$5000,0),1,,,"LM7 Non-ENG"),IF(IFERROR(VLOOKUP(B1646&amp;"PT",'LM7 Non-ENG'!$A$1:$A$5000,1,FALSE),"ERROR")=B1646&amp;"PT","Y","")),"")</f>
        <v/>
      </c>
      <c r="I1646" t="str">
        <f>IFERROR(VLOOKUP(B1646,PN!$A:$C,3,FALSE),"")</f>
        <v>Active</v>
      </c>
      <c r="J1646" s="3">
        <f>IFERROR(E1646*VLOOKUP(B1646,PLInter!$A:$D,3,FALSE),"")</f>
        <v>402</v>
      </c>
      <c r="K1646" s="66"/>
      <c r="L1646" s="66"/>
      <c r="M1646" s="66"/>
      <c r="N1646" s="66"/>
      <c r="O1646" s="66"/>
      <c r="P1646" s="66"/>
      <c r="Q1646" s="66"/>
      <c r="R1646" s="66"/>
      <c r="S1646" s="66"/>
    </row>
    <row r="1647" spans="1:19" ht="18" customHeight="1">
      <c r="B1647" t="s">
        <v>684</v>
      </c>
      <c r="C1647" t="s">
        <v>685</v>
      </c>
      <c r="D1647" s="4"/>
      <c r="E1647" s="4">
        <v>2</v>
      </c>
      <c r="F1647" s="4"/>
      <c r="G1647" s="29" t="str">
        <f>IFERROR(HYPERLINK("#"&amp;ADDRESS(MATCH(B1647&amp;"ES",'LM7 Non-ENG'!$A$1:$A$5000,0),1,,,"LM7 Non-ENG"),IF(IFERROR(VLOOKUP(B1647&amp;"ES",'LM7 Non-ENG'!$A$1:$A$4999,1,FALSE),"ERROR")=B1647&amp;"ES","Y","")),"")</f>
        <v/>
      </c>
      <c r="H1647" s="29" t="str">
        <f>IFERROR(HYPERLINK("#"&amp;ADDRESS(MATCH(B1647&amp;"PT",'LM7 Non-ENG'!$A$1:$A$5000,0),1,,,"LM7 Non-ENG"),IF(IFERROR(VLOOKUP(B1647&amp;"PT",'LM7 Non-ENG'!$A$1:$A$5000,1,FALSE),"ERROR")=B1647&amp;"PT","Y","")),"")</f>
        <v/>
      </c>
      <c r="I1647" t="str">
        <f>IFERROR(VLOOKUP(B1647,PN!$A:$C,3,FALSE),"")</f>
        <v>Active</v>
      </c>
      <c r="J1647" s="3">
        <f>IFERROR(E1647*VLOOKUP(B1647,PLInter!$A:$D,3,FALSE),"")</f>
        <v>1160</v>
      </c>
      <c r="K1647" s="66"/>
      <c r="L1647" s="66"/>
      <c r="M1647" s="66"/>
      <c r="N1647" s="66"/>
      <c r="O1647" s="66"/>
      <c r="P1647" s="66"/>
      <c r="Q1647" s="66"/>
      <c r="R1647" s="66"/>
      <c r="S1647" s="66"/>
    </row>
    <row r="1648" spans="1:19" ht="18" customHeight="1">
      <c r="B1648" t="str">
        <f>"021172"</f>
        <v>021172</v>
      </c>
      <c r="C1648" t="s">
        <v>916</v>
      </c>
      <c r="D1648" s="4"/>
      <c r="E1648" s="4">
        <v>2</v>
      </c>
      <c r="F1648" s="4"/>
      <c r="G1648" s="29" t="str">
        <f>IFERROR(HYPERLINK("#"&amp;ADDRESS(MATCH(B1648&amp;"ES",'LM7 Non-ENG'!$A$1:$A$5000,0),1,,,"LM7 Non-ENG"),IF(IFERROR(VLOOKUP(B1648&amp;"ES",'LM7 Non-ENG'!$A$1:$A$4999,1,FALSE),"ERROR")=B1648&amp;"ES","Y","")),"")</f>
        <v/>
      </c>
      <c r="H1648" s="29" t="str">
        <f>IFERROR(HYPERLINK("#"&amp;ADDRESS(MATCH(B1648&amp;"PT",'LM7 Non-ENG'!$A$1:$A$5000,0),1,,,"LM7 Non-ENG"),IF(IFERROR(VLOOKUP(B1648&amp;"PT",'LM7 Non-ENG'!$A$1:$A$5000,1,FALSE),"ERROR")=B1648&amp;"PT","Y","")),"")</f>
        <v/>
      </c>
      <c r="I1648" t="str">
        <f>IFERROR(VLOOKUP(B1648,PN!$A:$C,3,FALSE),"")</f>
        <v>Active</v>
      </c>
      <c r="J1648" s="3">
        <f>IFERROR(E1648*VLOOKUP(B1648,PLInter!$A:$D,3,FALSE),"")</f>
        <v>80</v>
      </c>
      <c r="K1648" s="66"/>
      <c r="L1648" s="66"/>
      <c r="M1648" s="66"/>
      <c r="N1648" s="66"/>
      <c r="O1648" s="66"/>
      <c r="P1648" s="66"/>
      <c r="Q1648" s="66"/>
      <c r="R1648" s="66"/>
      <c r="S1648" s="66"/>
    </row>
    <row r="1649" spans="1:19" ht="18" customHeight="1">
      <c r="B1649" t="s">
        <v>917</v>
      </c>
      <c r="C1649" t="s">
        <v>918</v>
      </c>
      <c r="D1649" s="4"/>
      <c r="E1649" s="4">
        <v>1</v>
      </c>
      <c r="F1649" s="4"/>
      <c r="G1649" s="29" t="str">
        <f>IFERROR(HYPERLINK("#"&amp;ADDRESS(MATCH(B1649&amp;"ES",'LM7 Non-ENG'!$A$1:$A$5000,0),1,,,"LM7 Non-ENG"),IF(IFERROR(VLOOKUP(B1649&amp;"ES",'LM7 Non-ENG'!$A$1:$A$4999,1,FALSE),"ERROR")=B1649&amp;"ES","Y","")),"")</f>
        <v/>
      </c>
      <c r="H1649" s="29" t="str">
        <f>IFERROR(HYPERLINK("#"&amp;ADDRESS(MATCH(B1649&amp;"PT",'LM7 Non-ENG'!$A$1:$A$5000,0),1,,,"LM7 Non-ENG"),IF(IFERROR(VLOOKUP(B1649&amp;"PT",'LM7 Non-ENG'!$A$1:$A$5000,1,FALSE),"ERROR")=B1649&amp;"PT","Y","")),"")</f>
        <v/>
      </c>
      <c r="I1649" t="str">
        <f>IFERROR(VLOOKUP(B1649,PN!$A:$C,3,FALSE),"")</f>
        <v>Phase Out</v>
      </c>
      <c r="J1649" s="3">
        <f>IFERROR(E1649*VLOOKUP(B1649,PLInter!$A:$D,3,FALSE),"")</f>
        <v>1735</v>
      </c>
      <c r="K1649" s="66"/>
      <c r="L1649" s="66"/>
      <c r="M1649" s="66"/>
      <c r="N1649" s="66"/>
      <c r="O1649" s="66"/>
      <c r="P1649" s="66"/>
      <c r="Q1649" s="66"/>
      <c r="R1649" s="66"/>
      <c r="S1649" s="66"/>
    </row>
    <row r="1650" spans="1:19" ht="18" customHeight="1">
      <c r="B1650" t="s">
        <v>919</v>
      </c>
      <c r="C1650" t="s">
        <v>920</v>
      </c>
      <c r="D1650" s="4"/>
      <c r="E1650" s="4">
        <v>1</v>
      </c>
      <c r="F1650" s="4"/>
      <c r="G1650" s="29" t="str">
        <f>IFERROR(HYPERLINK("#"&amp;ADDRESS(MATCH(B1650&amp;"ES",'LM7 Non-ENG'!$A$1:$A$5000,0),1,,,"LM7 Non-ENG"),IF(IFERROR(VLOOKUP(B1650&amp;"ES",'LM7 Non-ENG'!$A$1:$A$4999,1,FALSE),"ERROR")=B1650&amp;"ES","Y","")),"")</f>
        <v/>
      </c>
      <c r="H1650" s="29" t="str">
        <f>IFERROR(HYPERLINK("#"&amp;ADDRESS(MATCH(B1650&amp;"PT",'LM7 Non-ENG'!$A$1:$A$5000,0),1,,,"LM7 Non-ENG"),IF(IFERROR(VLOOKUP(B1650&amp;"PT",'LM7 Non-ENG'!$A$1:$A$5000,1,FALSE),"ERROR")=B1650&amp;"PT","Y","")),"")</f>
        <v/>
      </c>
      <c r="I1650" t="str">
        <f>IFERROR(VLOOKUP(B1650,PN!$A:$C,3,FALSE),"")</f>
        <v>Active</v>
      </c>
      <c r="J1650" s="3">
        <f>IFERROR(E1650*VLOOKUP(B1650,PLInter!$A:$D,3,FALSE),"")</f>
        <v>635</v>
      </c>
      <c r="K1650" s="66"/>
      <c r="L1650" s="66"/>
      <c r="M1650" s="66"/>
      <c r="N1650" s="66"/>
      <c r="O1650" s="66"/>
      <c r="P1650" s="66"/>
      <c r="Q1650" s="66"/>
      <c r="R1650" s="66"/>
      <c r="S1650" s="66"/>
    </row>
    <row r="1651" spans="1:19" ht="18" customHeight="1">
      <c r="B1651" t="s">
        <v>921</v>
      </c>
      <c r="C1651" t="s">
        <v>922</v>
      </c>
      <c r="D1651" s="4"/>
      <c r="E1651" s="4">
        <v>1</v>
      </c>
      <c r="F1651" s="4"/>
      <c r="G1651" s="29" t="str">
        <f>IFERROR(HYPERLINK("#"&amp;ADDRESS(MATCH(B1651&amp;"ES",'LM7 Non-ENG'!$A$1:$A$5000,0),1,,,"LM7 Non-ENG"),IF(IFERROR(VLOOKUP(B1651&amp;"ES",'LM7 Non-ENG'!$A$1:$A$4999,1,FALSE),"ERROR")=B1651&amp;"ES","Y","")),"")</f>
        <v/>
      </c>
      <c r="H1651" s="29" t="str">
        <f>IFERROR(HYPERLINK("#"&amp;ADDRESS(MATCH(B1651&amp;"PT",'LM7 Non-ENG'!$A$1:$A$5000,0),1,,,"LM7 Non-ENG"),IF(IFERROR(VLOOKUP(B1651&amp;"PT",'LM7 Non-ENG'!$A$1:$A$5000,1,FALSE),"ERROR")=B1651&amp;"PT","Y","")),"")</f>
        <v/>
      </c>
      <c r="I1651" t="str">
        <f>IFERROR(VLOOKUP(B1651,PN!$A:$C,3,FALSE),"")</f>
        <v>Active</v>
      </c>
      <c r="J1651" s="3">
        <f>IFERROR(E1651*VLOOKUP(B1651,PLInter!$A:$D,3,FALSE),"")</f>
        <v>2585</v>
      </c>
      <c r="K1651" s="66"/>
      <c r="L1651" s="66"/>
      <c r="M1651" s="66"/>
      <c r="N1651" s="66"/>
      <c r="O1651" s="66"/>
      <c r="P1651" s="66"/>
      <c r="Q1651" s="66"/>
      <c r="R1651" s="66"/>
      <c r="S1651" s="66"/>
    </row>
    <row r="1652" spans="1:19" ht="18" customHeight="1">
      <c r="B1652" t="s">
        <v>923</v>
      </c>
      <c r="C1652" t="s">
        <v>924</v>
      </c>
      <c r="D1652" s="4"/>
      <c r="E1652" s="4">
        <v>12</v>
      </c>
      <c r="F1652" s="4"/>
      <c r="G1652" s="29" t="str">
        <f>IFERROR(HYPERLINK("#"&amp;ADDRESS(MATCH(B1652&amp;"ES",'LM7 Non-ENG'!$A$1:$A$5000,0),1,,,"LM7 Non-ENG"),IF(IFERROR(VLOOKUP(B1652&amp;"ES",'LM7 Non-ENG'!$A$1:$A$4999,1,FALSE),"ERROR")=B1652&amp;"ES","Y","")),"")</f>
        <v/>
      </c>
      <c r="H1652" s="29" t="str">
        <f>IFERROR(HYPERLINK("#"&amp;ADDRESS(MATCH(B1652&amp;"PT",'LM7 Non-ENG'!$A$1:$A$5000,0),1,,,"LM7 Non-ENG"),IF(IFERROR(VLOOKUP(B1652&amp;"PT",'LM7 Non-ENG'!$A$1:$A$5000,1,FALSE),"ERROR")=B1652&amp;"PT","Y","")),"")</f>
        <v/>
      </c>
      <c r="I1652" t="str">
        <f>IFERROR(VLOOKUP(B1652,PN!$A:$C,3,FALSE),"")</f>
        <v>Active</v>
      </c>
      <c r="J1652" s="3">
        <f>IFERROR(E1652*VLOOKUP(B1652,PLInter!$A:$D,3,FALSE),"")</f>
        <v>1104</v>
      </c>
      <c r="K1652" s="66"/>
      <c r="L1652" s="66"/>
      <c r="M1652" s="66"/>
      <c r="N1652" s="66"/>
      <c r="O1652" s="66"/>
      <c r="P1652" s="66"/>
      <c r="Q1652" s="66"/>
      <c r="R1652" s="66"/>
      <c r="S1652" s="66"/>
    </row>
    <row r="1653" spans="1:19" ht="18" customHeight="1">
      <c r="B1653" t="s">
        <v>982</v>
      </c>
      <c r="C1653" t="s">
        <v>983</v>
      </c>
      <c r="D1653" s="4"/>
      <c r="E1653" s="4">
        <v>1</v>
      </c>
      <c r="F1653" s="4"/>
      <c r="G1653" s="29" t="str">
        <f>IFERROR(HYPERLINK("#"&amp;ADDRESS(MATCH(B1653&amp;"ES",'LM7 Non-ENG'!$A$1:$A$5000,0),1,,,"LM7 Non-ENG"),IF(IFERROR(VLOOKUP(B1653&amp;"ES",'LM7 Non-ENG'!$A$1:$A$4999,1,FALSE),"ERROR")=B1653&amp;"ES","Y","")),"")</f>
        <v/>
      </c>
      <c r="H1653" s="29" t="str">
        <f>IFERROR(HYPERLINK("#"&amp;ADDRESS(MATCH(B1653&amp;"PT",'LM7 Non-ENG'!$A$1:$A$5000,0),1,,,"LM7 Non-ENG"),IF(IFERROR(VLOOKUP(B1653&amp;"PT",'LM7 Non-ENG'!$A$1:$A$5000,1,FALSE),"ERROR")=B1653&amp;"PT","Y","")),"")</f>
        <v/>
      </c>
      <c r="I1653" t="str">
        <f>IFERROR(VLOOKUP(B1653,PN!$A:$C,3,FALSE),"")</f>
        <v>Active</v>
      </c>
      <c r="J1653" s="3">
        <f>IFERROR(E1653*VLOOKUP(B1653,PLInter!$A:$D,3,FALSE),"")</f>
        <v>3120</v>
      </c>
      <c r="K1653" s="66"/>
      <c r="L1653" s="66"/>
      <c r="M1653" s="66"/>
      <c r="N1653" s="66"/>
      <c r="O1653" s="66"/>
      <c r="P1653" s="66"/>
      <c r="Q1653" s="66"/>
      <c r="R1653" s="66"/>
      <c r="S1653" s="66"/>
    </row>
    <row r="1654" spans="1:19" ht="18" customHeight="1">
      <c r="B1654" t="str">
        <f>"113316"</f>
        <v>113316</v>
      </c>
      <c r="C1654" t="s">
        <v>979</v>
      </c>
      <c r="D1654" s="4"/>
      <c r="E1654" s="4">
        <v>1</v>
      </c>
      <c r="F1654" s="4"/>
      <c r="G1654" s="29" t="str">
        <f>IFERROR(HYPERLINK("#"&amp;ADDRESS(MATCH(B1654&amp;"ES",'LM7 Non-ENG'!$A$1:$A$5000,0),1,,,"LM7 Non-ENG"),IF(IFERROR(VLOOKUP(B1654&amp;"ES",'LM7 Non-ENG'!$A$1:$A$4999,1,FALSE),"ERROR")=B1654&amp;"ES","Y","")),"")</f>
        <v/>
      </c>
      <c r="H1654" s="29" t="str">
        <f>IFERROR(HYPERLINK("#"&amp;ADDRESS(MATCH(B1654&amp;"PT",'LM7 Non-ENG'!$A$1:$A$5000,0),1,,,"LM7 Non-ENG"),IF(IFERROR(VLOOKUP(B1654&amp;"PT",'LM7 Non-ENG'!$A$1:$A$5000,1,FALSE),"ERROR")=B1654&amp;"PT","Y","")),"")</f>
        <v/>
      </c>
      <c r="I1654" t="str">
        <f>IFERROR(VLOOKUP(B1654,PN!$A:$C,3,FALSE),"")</f>
        <v>Active</v>
      </c>
      <c r="J1654" s="3">
        <f>IFERROR(E1654*VLOOKUP(B1654,PLInter!$A:$D,3,FALSE),"")</f>
        <v>20</v>
      </c>
      <c r="K1654" s="66"/>
      <c r="L1654" s="66"/>
      <c r="M1654" s="66"/>
      <c r="N1654" s="66"/>
      <c r="O1654" s="66"/>
      <c r="P1654" s="66"/>
      <c r="Q1654" s="66"/>
      <c r="R1654" s="66"/>
      <c r="S1654" s="66"/>
    </row>
    <row r="1655" spans="1:19" ht="18" customHeight="1">
      <c r="B1655" t="s">
        <v>925</v>
      </c>
      <c r="C1655" t="s">
        <v>926</v>
      </c>
      <c r="D1655" s="4"/>
      <c r="E1655" s="4">
        <v>1</v>
      </c>
      <c r="F1655" s="4"/>
      <c r="G1655" s="29" t="str">
        <f>IFERROR(HYPERLINK("#"&amp;ADDRESS(MATCH(B1655&amp;"ES",'LM7 Non-ENG'!$A$1:$A$5000,0),1,,,"LM7 Non-ENG"),IF(IFERROR(VLOOKUP(B1655&amp;"ES",'LM7 Non-ENG'!$A$1:$A$4999,1,FALSE),"ERROR")=B1655&amp;"ES","Y","")),"")</f>
        <v/>
      </c>
      <c r="H1655" s="29" t="str">
        <f>IFERROR(HYPERLINK("#"&amp;ADDRESS(MATCH(B1655&amp;"PT",'LM7 Non-ENG'!$A$1:$A$5000,0),1,,,"LM7 Non-ENG"),IF(IFERROR(VLOOKUP(B1655&amp;"PT",'LM7 Non-ENG'!$A$1:$A$5000,1,FALSE),"ERROR")=B1655&amp;"PT","Y","")),"")</f>
        <v/>
      </c>
      <c r="I1655" t="str">
        <f>IFERROR(VLOOKUP(B1655,PN!$A:$C,3,FALSE),"")</f>
        <v>Active</v>
      </c>
      <c r="J1655" s="3">
        <f>IFERROR(E1655*VLOOKUP(B1655,PLInter!$A:$D,3,FALSE),"")</f>
        <v>2760</v>
      </c>
      <c r="K1655" s="66"/>
      <c r="L1655" s="66"/>
      <c r="M1655" s="66"/>
      <c r="N1655" s="66"/>
      <c r="O1655" s="66"/>
      <c r="P1655" s="66"/>
      <c r="Q1655" s="66"/>
      <c r="R1655" s="66"/>
      <c r="S1655" s="66"/>
    </row>
    <row r="1656" spans="1:19" ht="18" customHeight="1">
      <c r="B1656" t="s">
        <v>927</v>
      </c>
      <c r="C1656" t="s">
        <v>928</v>
      </c>
      <c r="D1656" s="4"/>
      <c r="E1656" s="4">
        <v>1</v>
      </c>
      <c r="F1656" s="4"/>
      <c r="G1656" s="29" t="str">
        <f>IFERROR(HYPERLINK("#"&amp;ADDRESS(MATCH(B1656&amp;"ES",'LM7 Non-ENG'!$A$1:$A$5000,0),1,,,"LM7 Non-ENG"),IF(IFERROR(VLOOKUP(B1656&amp;"ES",'LM7 Non-ENG'!$A$1:$A$4999,1,FALSE),"ERROR")=B1656&amp;"ES","Y","")),"")</f>
        <v/>
      </c>
      <c r="H1656" s="29" t="str">
        <f>IFERROR(HYPERLINK("#"&amp;ADDRESS(MATCH(B1656&amp;"PT",'LM7 Non-ENG'!$A$1:$A$5000,0),1,,,"LM7 Non-ENG"),IF(IFERROR(VLOOKUP(B1656&amp;"PT",'LM7 Non-ENG'!$A$1:$A$5000,1,FALSE),"ERROR")=B1656&amp;"PT","Y","")),"")</f>
        <v/>
      </c>
      <c r="I1656" t="str">
        <f>IFERROR(VLOOKUP(B1656,PN!$A:$C,3,FALSE),"")</f>
        <v>Active</v>
      </c>
      <c r="J1656" s="3">
        <f>IFERROR(E1656*VLOOKUP(B1656,PLInter!$A:$D,3,FALSE),"")</f>
        <v>467</v>
      </c>
      <c r="K1656" s="66"/>
      <c r="L1656" s="66"/>
      <c r="M1656" s="66"/>
      <c r="N1656" s="66"/>
      <c r="O1656" s="66"/>
      <c r="P1656" s="66"/>
      <c r="Q1656" s="66"/>
      <c r="R1656" s="66"/>
      <c r="S1656" s="66"/>
    </row>
    <row r="1657" spans="1:19" ht="18" customHeight="1">
      <c r="B1657" t="s">
        <v>668</v>
      </c>
      <c r="C1657" t="s">
        <v>669</v>
      </c>
      <c r="D1657" s="4"/>
      <c r="E1657" s="4">
        <v>1</v>
      </c>
      <c r="F1657" s="4"/>
      <c r="G1657" s="29" t="str">
        <f>IFERROR(HYPERLINK("#"&amp;ADDRESS(MATCH(B1657&amp;"ES",'LM7 Non-ENG'!$A$1:$A$5000,0),1,,,"LM7 Non-ENG"),IF(IFERROR(VLOOKUP(B1657&amp;"ES",'LM7 Non-ENG'!$A$1:$A$4999,1,FALSE),"ERROR")=B1657&amp;"ES","Y","")),"")</f>
        <v/>
      </c>
      <c r="H1657" s="29" t="str">
        <f>IFERROR(HYPERLINK("#"&amp;ADDRESS(MATCH(B1657&amp;"PT",'LM7 Non-ENG'!$A$1:$A$5000,0),1,,,"LM7 Non-ENG"),IF(IFERROR(VLOOKUP(B1657&amp;"PT",'LM7 Non-ENG'!$A$1:$A$5000,1,FALSE),"ERROR")=B1657&amp;"PT","Y","")),"")</f>
        <v/>
      </c>
      <c r="I1657" t="str">
        <f>IFERROR(VLOOKUP(B1657,PN!$A:$C,3,FALSE),"")</f>
        <v>Active</v>
      </c>
      <c r="J1657" s="3">
        <f>IFERROR(E1657*VLOOKUP(B1657,PLInter!$A:$D,3,FALSE),"")</f>
        <v>480</v>
      </c>
      <c r="K1657" s="66"/>
      <c r="L1657" s="66"/>
      <c r="M1657" s="66"/>
      <c r="N1657" s="66"/>
      <c r="O1657" s="66"/>
      <c r="P1657" s="66"/>
      <c r="Q1657" s="66"/>
      <c r="R1657" s="66"/>
      <c r="S1657" s="66"/>
    </row>
    <row r="1658" spans="1:19" ht="18" customHeight="1">
      <c r="B1658" t="s">
        <v>630</v>
      </c>
      <c r="C1658" t="s">
        <v>631</v>
      </c>
      <c r="D1658" s="4"/>
      <c r="E1658" s="4">
        <v>1</v>
      </c>
      <c r="F1658" s="4"/>
      <c r="G1658" s="29" t="str">
        <f>IFERROR(HYPERLINK("#"&amp;ADDRESS(MATCH(B1658&amp;"ES",'LM7 Non-ENG'!$A$1:$A$5000,0),1,,,"LM7 Non-ENG"),IF(IFERROR(VLOOKUP(B1658&amp;"ES",'LM7 Non-ENG'!$A$1:$A$4999,1,FALSE),"ERROR")=B1658&amp;"ES","Y","")),"")</f>
        <v/>
      </c>
      <c r="H1658" s="29" t="str">
        <f>IFERROR(HYPERLINK("#"&amp;ADDRESS(MATCH(B1658&amp;"PT",'LM7 Non-ENG'!$A$1:$A$5000,0),1,,,"LM7 Non-ENG"),IF(IFERROR(VLOOKUP(B1658&amp;"PT",'LM7 Non-ENG'!$A$1:$A$5000,1,FALSE),"ERROR")=B1658&amp;"PT","Y","")),"")</f>
        <v/>
      </c>
      <c r="I1658" t="str">
        <f>IFERROR(VLOOKUP(B1658,PN!$A:$C,3,FALSE),"")</f>
        <v>Active</v>
      </c>
      <c r="J1658" s="3">
        <f>IFERROR(E1658*VLOOKUP(B1658,PLInter!$A:$D,3,FALSE),"")</f>
        <v>1735</v>
      </c>
      <c r="K1658" s="66"/>
      <c r="L1658" s="66"/>
      <c r="M1658" s="66"/>
      <c r="N1658" s="66"/>
      <c r="O1658" s="66"/>
      <c r="P1658" s="66"/>
      <c r="Q1658" s="66"/>
      <c r="R1658" s="66"/>
      <c r="S1658" s="66"/>
    </row>
    <row r="1660" spans="1:19" s="7" customFormat="1" ht="18" customHeight="1">
      <c r="A1660" s="13" t="s">
        <v>1004</v>
      </c>
      <c r="B1660" s="13"/>
      <c r="C1660" s="13" t="s">
        <v>1005</v>
      </c>
      <c r="D1660" s="14"/>
      <c r="E1660" s="14"/>
      <c r="F1660" s="14"/>
      <c r="G1660" s="14"/>
      <c r="H1660" s="14"/>
      <c r="I1660" s="14"/>
      <c r="J1660" s="14">
        <f>SUMIFS(J1661:J1683,D1661:D1683,"&lt;&gt;Y",F1661:F1683,"&lt;&gt;Y",I1661:I1683,"&lt;&gt;Inactive",I1661:I1683,"&lt;&gt;ECO+NFS")</f>
        <v>52331</v>
      </c>
      <c r="K1660" s="14"/>
      <c r="L1660" s="14"/>
      <c r="M1660" s="14"/>
      <c r="N1660" s="14"/>
      <c r="O1660" s="14"/>
      <c r="P1660" s="14"/>
      <c r="Q1660" s="14"/>
      <c r="R1660" s="14"/>
      <c r="S1660" s="14"/>
    </row>
    <row r="1661" spans="1:19" ht="18" customHeight="1">
      <c r="A1661" s="17" t="str">
        <f>HYPERLINK("#"&amp;ADDRESS(MATCH(A1660,'CIM&amp;FMS'!$A$1:$A$4997,0),1,,,"CIM&amp;FMS"),"Back to Price List")</f>
        <v>Back to Price List</v>
      </c>
      <c r="B1661" t="s">
        <v>214</v>
      </c>
      <c r="C1661" t="s">
        <v>654</v>
      </c>
      <c r="D1661" s="4"/>
      <c r="E1661" s="4">
        <v>1</v>
      </c>
      <c r="F1661" s="4"/>
      <c r="G1661" s="29" t="str">
        <f>IFERROR(HYPERLINK("#"&amp;ADDRESS(MATCH(B1661&amp;"ES",'LM7 Non-ENG'!$A$1:$A$5000,0),1,,,"LM7 Non-ENG"),IF(IFERROR(VLOOKUP(B1661&amp;"ES",'LM7 Non-ENG'!$A$1:$A$4999,1,FALSE),"ERROR")=B1661&amp;"ES","Y","")),"")</f>
        <v/>
      </c>
      <c r="H1661" s="29" t="str">
        <f>IFERROR(HYPERLINK("#"&amp;ADDRESS(MATCH(B1661&amp;"PT",'LM7 Non-ENG'!$A$1:$A$5000,0),1,,,"LM7 Non-ENG"),IF(IFERROR(VLOOKUP(B1661&amp;"PT",'LM7 Non-ENG'!$A$1:$A$5000,1,FALSE),"ERROR")=B1661&amp;"PT","Y","")),"")</f>
        <v/>
      </c>
      <c r="I1661" t="str">
        <f>IFERROR(VLOOKUP(B1661,PN!$A:$C,3,FALSE),"")</f>
        <v>Active</v>
      </c>
      <c r="J1661" s="3">
        <f>IFERROR(E1661*VLOOKUP(B1661,PLInter!$A:$D,3,FALSE),"")</f>
        <v>24000</v>
      </c>
      <c r="K1661" s="66"/>
      <c r="L1661" s="66"/>
      <c r="M1661" s="66"/>
      <c r="N1661" s="66"/>
      <c r="O1661" s="66"/>
      <c r="P1661" s="66"/>
      <c r="Q1661" s="66"/>
      <c r="R1661" s="66"/>
      <c r="S1661" s="66"/>
    </row>
    <row r="1662" spans="1:19" ht="18" customHeight="1">
      <c r="B1662" t="s">
        <v>228</v>
      </c>
      <c r="C1662" t="s">
        <v>655</v>
      </c>
      <c r="D1662" s="4"/>
      <c r="E1662" s="4">
        <v>1</v>
      </c>
      <c r="F1662" s="4"/>
      <c r="G1662" s="29" t="str">
        <f>IFERROR(HYPERLINK("#"&amp;ADDRESS(MATCH(B1662&amp;"ES",'LM7 Non-ENG'!$A$1:$A$5000,0),1,,,"LM7 Non-ENG"),IF(IFERROR(VLOOKUP(B1662&amp;"ES",'LM7 Non-ENG'!$A$1:$A$4999,1,FALSE),"ERROR")=B1662&amp;"ES","Y","")),"")</f>
        <v/>
      </c>
      <c r="H1662" s="29" t="str">
        <f>IFERROR(HYPERLINK("#"&amp;ADDRESS(MATCH(B1662&amp;"PT",'LM7 Non-ENG'!$A$1:$A$5000,0),1,,,"LM7 Non-ENG"),IF(IFERROR(VLOOKUP(B1662&amp;"PT",'LM7 Non-ENG'!$A$1:$A$5000,1,FALSE),"ERROR")=B1662&amp;"PT","Y","")),"")</f>
        <v/>
      </c>
      <c r="I1662" t="str">
        <f>IFERROR(VLOOKUP(B1662,PN!$A:$C,3,FALSE),"")</f>
        <v>Active</v>
      </c>
      <c r="J1662" s="3">
        <f>IFERROR(E1662*VLOOKUP(B1662,PLInter!$A:$D,3,FALSE),"")</f>
        <v>2134</v>
      </c>
      <c r="K1662" s="66"/>
      <c r="L1662" s="66"/>
      <c r="M1662" s="66"/>
      <c r="N1662" s="66"/>
      <c r="O1662" s="66"/>
      <c r="P1662" s="66"/>
      <c r="Q1662" s="66"/>
      <c r="R1662" s="66"/>
      <c r="S1662" s="66"/>
    </row>
    <row r="1663" spans="1:19" ht="18" customHeight="1">
      <c r="B1663" s="2" t="s">
        <v>227</v>
      </c>
      <c r="C1663" s="2" t="s">
        <v>232</v>
      </c>
      <c r="D1663" s="5"/>
      <c r="E1663" s="5">
        <v>1</v>
      </c>
      <c r="F1663" s="5" t="s">
        <v>0</v>
      </c>
      <c r="G1663" s="29" t="str">
        <f>IFERROR(HYPERLINK("#"&amp;ADDRESS(MATCH(B1663&amp;"ES",'LM7 Non-ENG'!$A$1:$A$5000,0),1,,,"LM7 Non-ENG"),IF(IFERROR(VLOOKUP(B1663&amp;"ES",'LM7 Non-ENG'!$A$1:$A$4999,1,FALSE),"ERROR")=B1663&amp;"ES","Y","")),"")</f>
        <v/>
      </c>
      <c r="H1663" s="29" t="str">
        <f>IFERROR(HYPERLINK("#"&amp;ADDRESS(MATCH(B1663&amp;"PT",'LM7 Non-ENG'!$A$1:$A$5000,0),1,,,"LM7 Non-ENG"),IF(IFERROR(VLOOKUP(B1663&amp;"PT",'LM7 Non-ENG'!$A$1:$A$5000,1,FALSE),"ERROR")=B1663&amp;"PT","Y","")),"")</f>
        <v/>
      </c>
      <c r="I1663" t="str">
        <f>IFERROR(VLOOKUP(B1663,PN!$A:$C,3,FALSE),"")</f>
        <v>Active</v>
      </c>
      <c r="J1663" s="3">
        <f>IFERROR(E1663*VLOOKUP(B1663,PLInter!$A:$D,3,FALSE),"")</f>
        <v>1700</v>
      </c>
      <c r="K1663" s="66"/>
      <c r="L1663" s="66"/>
      <c r="M1663" s="66"/>
      <c r="N1663" s="66"/>
      <c r="O1663" s="66"/>
      <c r="P1663" s="66"/>
      <c r="Q1663" s="66"/>
      <c r="R1663" s="66"/>
      <c r="S1663" s="66"/>
    </row>
    <row r="1664" spans="1:19" ht="18" customHeight="1">
      <c r="B1664" t="s">
        <v>236</v>
      </c>
      <c r="C1664" t="s">
        <v>626</v>
      </c>
      <c r="D1664" s="4"/>
      <c r="E1664" s="4">
        <v>1</v>
      </c>
      <c r="F1664" s="4"/>
      <c r="G1664" s="29" t="str">
        <f>IFERROR(HYPERLINK("#"&amp;ADDRESS(MATCH(B1664&amp;"ES",'LM7 Non-ENG'!$A$1:$A$5000,0),1,,,"LM7 Non-ENG"),IF(IFERROR(VLOOKUP(B1664&amp;"ES",'LM7 Non-ENG'!$A$1:$A$4999,1,FALSE),"ERROR")=B1664&amp;"ES","Y","")),"")</f>
        <v/>
      </c>
      <c r="H1664" s="29" t="str">
        <f>IFERROR(HYPERLINK("#"&amp;ADDRESS(MATCH(B1664&amp;"PT",'LM7 Non-ENG'!$A$1:$A$5000,0),1,,,"LM7 Non-ENG"),IF(IFERROR(VLOOKUP(B1664&amp;"PT",'LM7 Non-ENG'!$A$1:$A$5000,1,FALSE),"ERROR")=B1664&amp;"PT","Y","")),"")</f>
        <v/>
      </c>
      <c r="I1664" t="str">
        <f>IFERROR(VLOOKUP(B1664,PN!$A:$C,3,FALSE),"")</f>
        <v>Active</v>
      </c>
      <c r="J1664" s="3">
        <f>IFERROR(E1664*VLOOKUP(B1664,PLInter!$A:$D,3,FALSE),"")</f>
        <v>1680</v>
      </c>
      <c r="K1664" s="66"/>
      <c r="L1664" s="66"/>
      <c r="M1664" s="66"/>
      <c r="N1664" s="66"/>
      <c r="O1664" s="66"/>
      <c r="P1664" s="66"/>
      <c r="Q1664" s="66"/>
      <c r="R1664" s="66"/>
      <c r="S1664" s="66"/>
    </row>
    <row r="1665" spans="2:19" ht="18" customHeight="1">
      <c r="B1665" t="str">
        <f>"034025"</f>
        <v>034025</v>
      </c>
      <c r="C1665" t="s">
        <v>777</v>
      </c>
      <c r="D1665" s="4"/>
      <c r="E1665" s="4">
        <v>1</v>
      </c>
      <c r="F1665" s="4"/>
      <c r="G1665" s="29" t="str">
        <f>IFERROR(HYPERLINK("#"&amp;ADDRESS(MATCH(B1665&amp;"ES",'LM7 Non-ENG'!$A$1:$A$5000,0),1,,,"LM7 Non-ENG"),IF(IFERROR(VLOOKUP(B1665&amp;"ES",'LM7 Non-ENG'!$A$1:$A$4999,1,FALSE),"ERROR")=B1665&amp;"ES","Y","")),"")</f>
        <v/>
      </c>
      <c r="H1665" s="29" t="str">
        <f>IFERROR(HYPERLINK("#"&amp;ADDRESS(MATCH(B1665&amp;"PT",'LM7 Non-ENG'!$A$1:$A$5000,0),1,,,"LM7 Non-ENG"),IF(IFERROR(VLOOKUP(B1665&amp;"PT",'LM7 Non-ENG'!$A$1:$A$5000,1,FALSE),"ERROR")=B1665&amp;"PT","Y","")),"")</f>
        <v/>
      </c>
      <c r="I1665" t="str">
        <f>IFERROR(VLOOKUP(B1665,PN!$A:$C,3,FALSE),"")</f>
        <v>Active</v>
      </c>
      <c r="J1665" s="3">
        <f>IFERROR(E1665*VLOOKUP(B1665,PLInter!$A:$D,3,FALSE),"")</f>
        <v>1267</v>
      </c>
      <c r="K1665" s="66"/>
      <c r="L1665" s="66"/>
      <c r="M1665" s="66"/>
      <c r="N1665" s="66"/>
      <c r="O1665" s="66"/>
      <c r="P1665" s="66"/>
      <c r="Q1665" s="66"/>
      <c r="R1665" s="66"/>
      <c r="S1665" s="66"/>
    </row>
    <row r="1666" spans="2:19" ht="18" customHeight="1">
      <c r="B1666" t="s">
        <v>914</v>
      </c>
      <c r="C1666" t="s">
        <v>915</v>
      </c>
      <c r="D1666" s="4"/>
      <c r="E1666" s="4">
        <v>3</v>
      </c>
      <c r="F1666" s="4"/>
      <c r="G1666" s="29" t="str">
        <f>IFERROR(HYPERLINK("#"&amp;ADDRESS(MATCH(B1666&amp;"ES",'LM7 Non-ENG'!$A$1:$A$5000,0),1,,,"LM7 Non-ENG"),IF(IFERROR(VLOOKUP(B1666&amp;"ES",'LM7 Non-ENG'!$A$1:$A$4999,1,FALSE),"ERROR")=B1666&amp;"ES","Y","")),"")</f>
        <v/>
      </c>
      <c r="H1666" s="29" t="str">
        <f>IFERROR(HYPERLINK("#"&amp;ADDRESS(MATCH(B1666&amp;"PT",'LM7 Non-ENG'!$A$1:$A$5000,0),1,,,"LM7 Non-ENG"),IF(IFERROR(VLOOKUP(B1666&amp;"PT",'LM7 Non-ENG'!$A$1:$A$5000,1,FALSE),"ERROR")=B1666&amp;"PT","Y","")),"")</f>
        <v/>
      </c>
      <c r="I1666" t="str">
        <f>IFERROR(VLOOKUP(B1666,PN!$A:$C,3,FALSE),"")</f>
        <v>Active</v>
      </c>
      <c r="J1666" s="3">
        <f>IFERROR(E1666*VLOOKUP(B1666,PLInter!$A:$D,3,FALSE),"")</f>
        <v>402</v>
      </c>
      <c r="K1666" s="66"/>
      <c r="L1666" s="66"/>
      <c r="M1666" s="66"/>
      <c r="N1666" s="66"/>
      <c r="O1666" s="66"/>
      <c r="P1666" s="66"/>
      <c r="Q1666" s="66"/>
      <c r="R1666" s="66"/>
      <c r="S1666" s="66"/>
    </row>
    <row r="1667" spans="2:19" ht="18" customHeight="1">
      <c r="B1667" t="s">
        <v>684</v>
      </c>
      <c r="C1667" t="s">
        <v>685</v>
      </c>
      <c r="D1667" s="4"/>
      <c r="E1667" s="4">
        <v>2</v>
      </c>
      <c r="F1667" s="4"/>
      <c r="G1667" s="29" t="str">
        <f>IFERROR(HYPERLINK("#"&amp;ADDRESS(MATCH(B1667&amp;"ES",'LM7 Non-ENG'!$A$1:$A$5000,0),1,,,"LM7 Non-ENG"),IF(IFERROR(VLOOKUP(B1667&amp;"ES",'LM7 Non-ENG'!$A$1:$A$4999,1,FALSE),"ERROR")=B1667&amp;"ES","Y","")),"")</f>
        <v/>
      </c>
      <c r="H1667" s="29" t="str">
        <f>IFERROR(HYPERLINK("#"&amp;ADDRESS(MATCH(B1667&amp;"PT",'LM7 Non-ENG'!$A$1:$A$5000,0),1,,,"LM7 Non-ENG"),IF(IFERROR(VLOOKUP(B1667&amp;"PT",'LM7 Non-ENG'!$A$1:$A$5000,1,FALSE),"ERROR")=B1667&amp;"PT","Y","")),"")</f>
        <v/>
      </c>
      <c r="I1667" t="str">
        <f>IFERROR(VLOOKUP(B1667,PN!$A:$C,3,FALSE),"")</f>
        <v>Active</v>
      </c>
      <c r="J1667" s="3">
        <f>IFERROR(E1667*VLOOKUP(B1667,PLInter!$A:$D,3,FALSE),"")</f>
        <v>1160</v>
      </c>
      <c r="K1667" s="66"/>
      <c r="L1667" s="66"/>
      <c r="M1667" s="66"/>
      <c r="N1667" s="66"/>
      <c r="O1667" s="66"/>
      <c r="P1667" s="66"/>
      <c r="Q1667" s="66"/>
      <c r="R1667" s="66"/>
      <c r="S1667" s="66"/>
    </row>
    <row r="1668" spans="2:19" ht="18" customHeight="1">
      <c r="B1668" t="str">
        <f>"021172"</f>
        <v>021172</v>
      </c>
      <c r="C1668" t="s">
        <v>916</v>
      </c>
      <c r="D1668" s="4"/>
      <c r="E1668" s="4">
        <v>2</v>
      </c>
      <c r="F1668" s="4"/>
      <c r="G1668" s="29" t="str">
        <f>IFERROR(HYPERLINK("#"&amp;ADDRESS(MATCH(B1668&amp;"ES",'LM7 Non-ENG'!$A$1:$A$5000,0),1,,,"LM7 Non-ENG"),IF(IFERROR(VLOOKUP(B1668&amp;"ES",'LM7 Non-ENG'!$A$1:$A$4999,1,FALSE),"ERROR")=B1668&amp;"ES","Y","")),"")</f>
        <v/>
      </c>
      <c r="H1668" s="29" t="str">
        <f>IFERROR(HYPERLINK("#"&amp;ADDRESS(MATCH(B1668&amp;"PT",'LM7 Non-ENG'!$A$1:$A$5000,0),1,,,"LM7 Non-ENG"),IF(IFERROR(VLOOKUP(B1668&amp;"PT",'LM7 Non-ENG'!$A$1:$A$5000,1,FALSE),"ERROR")=B1668&amp;"PT","Y","")),"")</f>
        <v/>
      </c>
      <c r="I1668" t="str">
        <f>IFERROR(VLOOKUP(B1668,PN!$A:$C,3,FALSE),"")</f>
        <v>Active</v>
      </c>
      <c r="J1668" s="3">
        <f>IFERROR(E1668*VLOOKUP(B1668,PLInter!$A:$D,3,FALSE),"")</f>
        <v>80</v>
      </c>
      <c r="K1668" s="66"/>
      <c r="L1668" s="66"/>
      <c r="M1668" s="66"/>
      <c r="N1668" s="66"/>
      <c r="O1668" s="66"/>
      <c r="P1668" s="66"/>
      <c r="Q1668" s="66"/>
      <c r="R1668" s="66"/>
      <c r="S1668" s="66"/>
    </row>
    <row r="1669" spans="2:19" ht="18" customHeight="1">
      <c r="B1669" t="s">
        <v>917</v>
      </c>
      <c r="C1669" t="s">
        <v>918</v>
      </c>
      <c r="D1669" s="4"/>
      <c r="E1669" s="4">
        <v>1</v>
      </c>
      <c r="F1669" s="4"/>
      <c r="G1669" s="29" t="str">
        <f>IFERROR(HYPERLINK("#"&amp;ADDRESS(MATCH(B1669&amp;"ES",'LM7 Non-ENG'!$A$1:$A$5000,0),1,,,"LM7 Non-ENG"),IF(IFERROR(VLOOKUP(B1669&amp;"ES",'LM7 Non-ENG'!$A$1:$A$4999,1,FALSE),"ERROR")=B1669&amp;"ES","Y","")),"")</f>
        <v/>
      </c>
      <c r="H1669" s="29" t="str">
        <f>IFERROR(HYPERLINK("#"&amp;ADDRESS(MATCH(B1669&amp;"PT",'LM7 Non-ENG'!$A$1:$A$5000,0),1,,,"LM7 Non-ENG"),IF(IFERROR(VLOOKUP(B1669&amp;"PT",'LM7 Non-ENG'!$A$1:$A$5000,1,FALSE),"ERROR")=B1669&amp;"PT","Y","")),"")</f>
        <v/>
      </c>
      <c r="I1669" t="str">
        <f>IFERROR(VLOOKUP(B1669,PN!$A:$C,3,FALSE),"")</f>
        <v>Phase Out</v>
      </c>
      <c r="J1669" s="3">
        <f>IFERROR(E1669*VLOOKUP(B1669,PLInter!$A:$D,3,FALSE),"")</f>
        <v>1735</v>
      </c>
      <c r="K1669" s="66"/>
      <c r="L1669" s="66"/>
      <c r="M1669" s="66"/>
      <c r="N1669" s="66"/>
      <c r="O1669" s="66"/>
      <c r="P1669" s="66"/>
      <c r="Q1669" s="66"/>
      <c r="R1669" s="66"/>
      <c r="S1669" s="66"/>
    </row>
    <row r="1670" spans="2:19" ht="18" customHeight="1">
      <c r="B1670" t="s">
        <v>919</v>
      </c>
      <c r="C1670" t="s">
        <v>920</v>
      </c>
      <c r="D1670" s="4"/>
      <c r="E1670" s="4">
        <v>1</v>
      </c>
      <c r="F1670" s="4"/>
      <c r="G1670" s="29" t="str">
        <f>IFERROR(HYPERLINK("#"&amp;ADDRESS(MATCH(B1670&amp;"ES",'LM7 Non-ENG'!$A$1:$A$5000,0),1,,,"LM7 Non-ENG"),IF(IFERROR(VLOOKUP(B1670&amp;"ES",'LM7 Non-ENG'!$A$1:$A$4999,1,FALSE),"ERROR")=B1670&amp;"ES","Y","")),"")</f>
        <v/>
      </c>
      <c r="H1670" s="29" t="str">
        <f>IFERROR(HYPERLINK("#"&amp;ADDRESS(MATCH(B1670&amp;"PT",'LM7 Non-ENG'!$A$1:$A$5000,0),1,,,"LM7 Non-ENG"),IF(IFERROR(VLOOKUP(B1670&amp;"PT",'LM7 Non-ENG'!$A$1:$A$5000,1,FALSE),"ERROR")=B1670&amp;"PT","Y","")),"")</f>
        <v/>
      </c>
      <c r="I1670" t="str">
        <f>IFERROR(VLOOKUP(B1670,PN!$A:$C,3,FALSE),"")</f>
        <v>Active</v>
      </c>
      <c r="J1670" s="3">
        <f>IFERROR(E1670*VLOOKUP(B1670,PLInter!$A:$D,3,FALSE),"")</f>
        <v>635</v>
      </c>
      <c r="K1670" s="66"/>
      <c r="L1670" s="66"/>
      <c r="M1670" s="66"/>
      <c r="N1670" s="66"/>
      <c r="O1670" s="66"/>
      <c r="P1670" s="66"/>
      <c r="Q1670" s="66"/>
      <c r="R1670" s="66"/>
      <c r="S1670" s="66"/>
    </row>
    <row r="1671" spans="2:19" ht="18" customHeight="1">
      <c r="B1671" t="s">
        <v>921</v>
      </c>
      <c r="C1671" t="s">
        <v>922</v>
      </c>
      <c r="D1671" s="4"/>
      <c r="E1671" s="4">
        <v>1</v>
      </c>
      <c r="F1671" s="4"/>
      <c r="G1671" s="29" t="str">
        <f>IFERROR(HYPERLINK("#"&amp;ADDRESS(MATCH(B1671&amp;"ES",'LM7 Non-ENG'!$A$1:$A$5000,0),1,,,"LM7 Non-ENG"),IF(IFERROR(VLOOKUP(B1671&amp;"ES",'LM7 Non-ENG'!$A$1:$A$4999,1,FALSE),"ERROR")=B1671&amp;"ES","Y","")),"")</f>
        <v/>
      </c>
      <c r="H1671" s="29" t="str">
        <f>IFERROR(HYPERLINK("#"&amp;ADDRESS(MATCH(B1671&amp;"PT",'LM7 Non-ENG'!$A$1:$A$5000,0),1,,,"LM7 Non-ENG"),IF(IFERROR(VLOOKUP(B1671&amp;"PT",'LM7 Non-ENG'!$A$1:$A$5000,1,FALSE),"ERROR")=B1671&amp;"PT","Y","")),"")</f>
        <v/>
      </c>
      <c r="I1671" t="str">
        <f>IFERROR(VLOOKUP(B1671,PN!$A:$C,3,FALSE),"")</f>
        <v>Active</v>
      </c>
      <c r="J1671" s="3">
        <f>IFERROR(E1671*VLOOKUP(B1671,PLInter!$A:$D,3,FALSE),"")</f>
        <v>2585</v>
      </c>
      <c r="K1671" s="66"/>
      <c r="L1671" s="66"/>
      <c r="M1671" s="66"/>
      <c r="N1671" s="66"/>
      <c r="O1671" s="66"/>
      <c r="P1671" s="66"/>
      <c r="Q1671" s="66"/>
      <c r="R1671" s="66"/>
      <c r="S1671" s="66"/>
    </row>
    <row r="1672" spans="2:19" ht="18" customHeight="1">
      <c r="B1672" t="s">
        <v>923</v>
      </c>
      <c r="C1672" t="s">
        <v>924</v>
      </c>
      <c r="D1672" s="4"/>
      <c r="E1672" s="4">
        <v>12</v>
      </c>
      <c r="F1672" s="4"/>
      <c r="G1672" s="29" t="str">
        <f>IFERROR(HYPERLINK("#"&amp;ADDRESS(MATCH(B1672&amp;"ES",'LM7 Non-ENG'!$A$1:$A$5000,0),1,,,"LM7 Non-ENG"),IF(IFERROR(VLOOKUP(B1672&amp;"ES",'LM7 Non-ENG'!$A$1:$A$4999,1,FALSE),"ERROR")=B1672&amp;"ES","Y","")),"")</f>
        <v/>
      </c>
      <c r="H1672" s="29" t="str">
        <f>IFERROR(HYPERLINK("#"&amp;ADDRESS(MATCH(B1672&amp;"PT",'LM7 Non-ENG'!$A$1:$A$5000,0),1,,,"LM7 Non-ENG"),IF(IFERROR(VLOOKUP(B1672&amp;"PT",'LM7 Non-ENG'!$A$1:$A$5000,1,FALSE),"ERROR")=B1672&amp;"PT","Y","")),"")</f>
        <v/>
      </c>
      <c r="I1672" t="str">
        <f>IFERROR(VLOOKUP(B1672,PN!$A:$C,3,FALSE),"")</f>
        <v>Active</v>
      </c>
      <c r="J1672" s="3">
        <f>IFERROR(E1672*VLOOKUP(B1672,PLInter!$A:$D,3,FALSE),"")</f>
        <v>1104</v>
      </c>
      <c r="K1672" s="66"/>
      <c r="L1672" s="66"/>
      <c r="M1672" s="66"/>
      <c r="N1672" s="66"/>
      <c r="O1672" s="66"/>
      <c r="P1672" s="66"/>
      <c r="Q1672" s="66"/>
      <c r="R1672" s="66"/>
      <c r="S1672" s="66"/>
    </row>
    <row r="1673" spans="2:19" ht="18" customHeight="1">
      <c r="B1673" t="s">
        <v>241</v>
      </c>
      <c r="C1673" t="s">
        <v>976</v>
      </c>
      <c r="D1673" s="4"/>
      <c r="E1673" s="4">
        <v>1</v>
      </c>
      <c r="F1673" s="4"/>
      <c r="G1673" s="29" t="str">
        <f>IFERROR(HYPERLINK("#"&amp;ADDRESS(MATCH(B1673&amp;"ES",'LM7 Non-ENG'!$A$1:$A$5000,0),1,,,"LM7 Non-ENG"),IF(IFERROR(VLOOKUP(B1673&amp;"ES",'LM7 Non-ENG'!$A$1:$A$4999,1,FALSE),"ERROR")=B1673&amp;"ES","Y","")),"")</f>
        <v/>
      </c>
      <c r="H1673" s="29" t="str">
        <f>IFERROR(HYPERLINK("#"&amp;ADDRESS(MATCH(B1673&amp;"PT",'LM7 Non-ENG'!$A$1:$A$5000,0),1,,,"LM7 Non-ENG"),IF(IFERROR(VLOOKUP(B1673&amp;"PT",'LM7 Non-ENG'!$A$1:$A$5000,1,FALSE),"ERROR")=B1673&amp;"PT","Y","")),"")</f>
        <v/>
      </c>
      <c r="I1673" t="str">
        <f>IFERROR(VLOOKUP(B1673,PN!$A:$C,3,FALSE),"")</f>
        <v>Active</v>
      </c>
      <c r="J1673" s="3">
        <f>IFERROR(E1673*VLOOKUP(B1673,PLInter!$A:$D,3,FALSE),"")</f>
        <v>2600</v>
      </c>
      <c r="K1673" s="66"/>
      <c r="L1673" s="66"/>
      <c r="M1673" s="66"/>
      <c r="N1673" s="66"/>
      <c r="O1673" s="66"/>
      <c r="P1673" s="66"/>
      <c r="Q1673" s="66"/>
      <c r="R1673" s="66"/>
      <c r="S1673" s="66"/>
    </row>
    <row r="1674" spans="2:19" ht="18" customHeight="1">
      <c r="B1674" t="s">
        <v>977</v>
      </c>
      <c r="C1674" t="s">
        <v>978</v>
      </c>
      <c r="D1674" s="4"/>
      <c r="E1674" s="4">
        <v>1</v>
      </c>
      <c r="F1674" s="4"/>
      <c r="G1674" s="29" t="str">
        <f>IFERROR(HYPERLINK("#"&amp;ADDRESS(MATCH(B1674&amp;"ES",'LM7 Non-ENG'!$A$1:$A$5000,0),1,,,"LM7 Non-ENG"),IF(IFERROR(VLOOKUP(B1674&amp;"ES",'LM7 Non-ENG'!$A$1:$A$4999,1,FALSE),"ERROR")=B1674&amp;"ES","Y","")),"")</f>
        <v/>
      </c>
      <c r="H1674" s="29" t="str">
        <f>IFERROR(HYPERLINK("#"&amp;ADDRESS(MATCH(B1674&amp;"PT",'LM7 Non-ENG'!$A$1:$A$5000,0),1,,,"LM7 Non-ENG"),IF(IFERROR(VLOOKUP(B1674&amp;"PT",'LM7 Non-ENG'!$A$1:$A$5000,1,FALSE),"ERROR")=B1674&amp;"PT","Y","")),"")</f>
        <v/>
      </c>
      <c r="I1674" t="str">
        <f>IFERROR(VLOOKUP(B1674,PN!$A:$C,3,FALSE),"")</f>
        <v>Active</v>
      </c>
      <c r="J1674" s="3">
        <f>IFERROR(E1674*VLOOKUP(B1674,PLInter!$A:$D,3,FALSE),"")</f>
        <v>3885</v>
      </c>
      <c r="K1674" s="66"/>
      <c r="L1674" s="66"/>
      <c r="M1674" s="66"/>
      <c r="N1674" s="66"/>
      <c r="O1674" s="66"/>
      <c r="P1674" s="66"/>
      <c r="Q1674" s="66"/>
      <c r="R1674" s="66"/>
      <c r="S1674" s="66"/>
    </row>
    <row r="1675" spans="2:19" ht="18" customHeight="1">
      <c r="B1675" t="str">
        <f>"112713"</f>
        <v>112713</v>
      </c>
      <c r="C1675" t="s">
        <v>944</v>
      </c>
      <c r="D1675" s="4"/>
      <c r="E1675" s="4">
        <v>3</v>
      </c>
      <c r="F1675" s="4"/>
      <c r="G1675" s="29" t="str">
        <f>IFERROR(HYPERLINK("#"&amp;ADDRESS(MATCH(B1675&amp;"ES",'LM7 Non-ENG'!$A$1:$A$5000,0),1,,,"LM7 Non-ENG"),IF(IFERROR(VLOOKUP(B1675&amp;"ES",'LM7 Non-ENG'!$A$1:$A$4999,1,FALSE),"ERROR")=B1675&amp;"ES","Y","")),"")</f>
        <v/>
      </c>
      <c r="H1675" s="29" t="str">
        <f>IFERROR(HYPERLINK("#"&amp;ADDRESS(MATCH(B1675&amp;"PT",'LM7 Non-ENG'!$A$1:$A$5000,0),1,,,"LM7 Non-ENG"),IF(IFERROR(VLOOKUP(B1675&amp;"PT",'LM7 Non-ENG'!$A$1:$A$5000,1,FALSE),"ERROR")=B1675&amp;"PT","Y","")),"")</f>
        <v/>
      </c>
      <c r="I1675" t="str">
        <f>IFERROR(VLOOKUP(B1675,PN!$A:$C,3,FALSE),"")</f>
        <v>Active</v>
      </c>
      <c r="J1675" s="3">
        <f>IFERROR(E1675*VLOOKUP(B1675,PLInter!$A:$D,3,FALSE),"")</f>
        <v>300</v>
      </c>
      <c r="K1675" s="66"/>
      <c r="L1675" s="66"/>
      <c r="M1675" s="66"/>
      <c r="N1675" s="66"/>
      <c r="O1675" s="66"/>
      <c r="P1675" s="66"/>
      <c r="Q1675" s="66"/>
      <c r="R1675" s="66"/>
      <c r="S1675" s="66"/>
    </row>
    <row r="1676" spans="2:19" ht="18" customHeight="1">
      <c r="B1676" t="str">
        <f>"113096"</f>
        <v>113096</v>
      </c>
      <c r="C1676" t="s">
        <v>943</v>
      </c>
      <c r="D1676" s="4"/>
      <c r="E1676" s="4">
        <v>3</v>
      </c>
      <c r="F1676" s="4"/>
      <c r="G1676" s="29" t="str">
        <f>IFERROR(HYPERLINK("#"&amp;ADDRESS(MATCH(B1676&amp;"ES",'LM7 Non-ENG'!$A$1:$A$5000,0),1,,,"LM7 Non-ENG"),IF(IFERROR(VLOOKUP(B1676&amp;"ES",'LM7 Non-ENG'!$A$1:$A$4999,1,FALSE),"ERROR")=B1676&amp;"ES","Y","")),"")</f>
        <v/>
      </c>
      <c r="H1676" s="29" t="str">
        <f>IFERROR(HYPERLINK("#"&amp;ADDRESS(MATCH(B1676&amp;"PT",'LM7 Non-ENG'!$A$1:$A$5000,0),1,,,"LM7 Non-ENG"),IF(IFERROR(VLOOKUP(B1676&amp;"PT",'LM7 Non-ENG'!$A$1:$A$5000,1,FALSE),"ERROR")=B1676&amp;"PT","Y","")),"")</f>
        <v/>
      </c>
      <c r="I1676" t="str">
        <f>IFERROR(VLOOKUP(B1676,PN!$A:$C,3,FALSE),"")</f>
        <v>Active</v>
      </c>
      <c r="J1676" s="3">
        <f>IFERROR(E1676*VLOOKUP(B1676,PLInter!$A:$D,3,FALSE),"")</f>
        <v>162</v>
      </c>
      <c r="K1676" s="66"/>
      <c r="L1676" s="66"/>
      <c r="M1676" s="66"/>
      <c r="N1676" s="66"/>
      <c r="O1676" s="66"/>
      <c r="P1676" s="66"/>
      <c r="Q1676" s="66"/>
      <c r="R1676" s="66"/>
      <c r="S1676" s="66"/>
    </row>
    <row r="1677" spans="2:19" ht="18" customHeight="1">
      <c r="B1677" t="str">
        <f>"113316"</f>
        <v>113316</v>
      </c>
      <c r="C1677" t="s">
        <v>979</v>
      </c>
      <c r="D1677" s="4"/>
      <c r="E1677" s="4">
        <v>1</v>
      </c>
      <c r="F1677" s="4"/>
      <c r="G1677" s="29" t="str">
        <f>IFERROR(HYPERLINK("#"&amp;ADDRESS(MATCH(B1677&amp;"ES",'LM7 Non-ENG'!$A$1:$A$5000,0),1,,,"LM7 Non-ENG"),IF(IFERROR(VLOOKUP(B1677&amp;"ES",'LM7 Non-ENG'!$A$1:$A$4999,1,FALSE),"ERROR")=B1677&amp;"ES","Y","")),"")</f>
        <v/>
      </c>
      <c r="H1677" s="29" t="str">
        <f>IFERROR(HYPERLINK("#"&amp;ADDRESS(MATCH(B1677&amp;"PT",'LM7 Non-ENG'!$A$1:$A$5000,0),1,,,"LM7 Non-ENG"),IF(IFERROR(VLOOKUP(B1677&amp;"PT",'LM7 Non-ENG'!$A$1:$A$5000,1,FALSE),"ERROR")=B1677&amp;"PT","Y","")),"")</f>
        <v/>
      </c>
      <c r="I1677" t="str">
        <f>IFERROR(VLOOKUP(B1677,PN!$A:$C,3,FALSE),"")</f>
        <v>Active</v>
      </c>
      <c r="J1677" s="3">
        <f>IFERROR(E1677*VLOOKUP(B1677,PLInter!$A:$D,3,FALSE),"")</f>
        <v>20</v>
      </c>
      <c r="K1677" s="66"/>
      <c r="L1677" s="66"/>
      <c r="M1677" s="66"/>
      <c r="N1677" s="66"/>
      <c r="O1677" s="66"/>
      <c r="P1677" s="66"/>
      <c r="Q1677" s="66"/>
      <c r="R1677" s="66"/>
      <c r="S1677" s="66"/>
    </row>
    <row r="1678" spans="2:19" ht="18" customHeight="1">
      <c r="B1678" t="s">
        <v>982</v>
      </c>
      <c r="C1678" t="s">
        <v>983</v>
      </c>
      <c r="D1678" s="4"/>
      <c r="E1678" s="4">
        <v>1</v>
      </c>
      <c r="F1678" s="4"/>
      <c r="G1678" s="29" t="str">
        <f>IFERROR(HYPERLINK("#"&amp;ADDRESS(MATCH(B1678&amp;"ES",'LM7 Non-ENG'!$A$1:$A$5000,0),1,,,"LM7 Non-ENG"),IF(IFERROR(VLOOKUP(B1678&amp;"ES",'LM7 Non-ENG'!$A$1:$A$4999,1,FALSE),"ERROR")=B1678&amp;"ES","Y","")),"")</f>
        <v/>
      </c>
      <c r="H1678" s="29" t="str">
        <f>IFERROR(HYPERLINK("#"&amp;ADDRESS(MATCH(B1678&amp;"PT",'LM7 Non-ENG'!$A$1:$A$5000,0),1,,,"LM7 Non-ENG"),IF(IFERROR(VLOOKUP(B1678&amp;"PT",'LM7 Non-ENG'!$A$1:$A$5000,1,FALSE),"ERROR")=B1678&amp;"PT","Y","")),"")</f>
        <v/>
      </c>
      <c r="I1678" t="str">
        <f>IFERROR(VLOOKUP(B1678,PN!$A:$C,3,FALSE),"")</f>
        <v>Active</v>
      </c>
      <c r="J1678" s="3">
        <f>IFERROR(E1678*VLOOKUP(B1678,PLInter!$A:$D,3,FALSE),"")</f>
        <v>3120</v>
      </c>
      <c r="K1678" s="66"/>
      <c r="L1678" s="66"/>
      <c r="M1678" s="66"/>
      <c r="N1678" s="66"/>
      <c r="O1678" s="66"/>
      <c r="P1678" s="66"/>
      <c r="Q1678" s="66"/>
      <c r="R1678" s="66"/>
      <c r="S1678" s="66"/>
    </row>
    <row r="1679" spans="2:19" ht="18" customHeight="1">
      <c r="B1679" t="str">
        <f>"113316"</f>
        <v>113316</v>
      </c>
      <c r="C1679" t="s">
        <v>979</v>
      </c>
      <c r="D1679" s="4"/>
      <c r="E1679" s="4">
        <v>1</v>
      </c>
      <c r="F1679" s="4"/>
      <c r="G1679" s="29" t="str">
        <f>IFERROR(HYPERLINK("#"&amp;ADDRESS(MATCH(B1679&amp;"ES",'LM7 Non-ENG'!$A$1:$A$5000,0),1,,,"LM7 Non-ENG"),IF(IFERROR(VLOOKUP(B1679&amp;"ES",'LM7 Non-ENG'!$A$1:$A$4999,1,FALSE),"ERROR")=B1679&amp;"ES","Y","")),"")</f>
        <v/>
      </c>
      <c r="H1679" s="29" t="str">
        <f>IFERROR(HYPERLINK("#"&amp;ADDRESS(MATCH(B1679&amp;"PT",'LM7 Non-ENG'!$A$1:$A$5000,0),1,,,"LM7 Non-ENG"),IF(IFERROR(VLOOKUP(B1679&amp;"PT",'LM7 Non-ENG'!$A$1:$A$5000,1,FALSE),"ERROR")=B1679&amp;"PT","Y","")),"")</f>
        <v/>
      </c>
      <c r="I1679" t="str">
        <f>IFERROR(VLOOKUP(B1679,PN!$A:$C,3,FALSE),"")</f>
        <v>Active</v>
      </c>
      <c r="J1679" s="3">
        <f>IFERROR(E1679*VLOOKUP(B1679,PLInter!$A:$D,3,FALSE),"")</f>
        <v>20</v>
      </c>
      <c r="K1679" s="66"/>
      <c r="L1679" s="66"/>
      <c r="M1679" s="66"/>
      <c r="N1679" s="66"/>
      <c r="O1679" s="66"/>
      <c r="P1679" s="66"/>
      <c r="Q1679" s="66"/>
      <c r="R1679" s="66"/>
      <c r="S1679" s="66"/>
    </row>
    <row r="1680" spans="2:19" ht="18" customHeight="1">
      <c r="B1680" t="s">
        <v>925</v>
      </c>
      <c r="C1680" t="s">
        <v>926</v>
      </c>
      <c r="D1680" s="4"/>
      <c r="E1680" s="4">
        <v>1</v>
      </c>
      <c r="F1680" s="4"/>
      <c r="G1680" s="29" t="str">
        <f>IFERROR(HYPERLINK("#"&amp;ADDRESS(MATCH(B1680&amp;"ES",'LM7 Non-ENG'!$A$1:$A$5000,0),1,,,"LM7 Non-ENG"),IF(IFERROR(VLOOKUP(B1680&amp;"ES",'LM7 Non-ENG'!$A$1:$A$4999,1,FALSE),"ERROR")=B1680&amp;"ES","Y","")),"")</f>
        <v/>
      </c>
      <c r="H1680" s="29" t="str">
        <f>IFERROR(HYPERLINK("#"&amp;ADDRESS(MATCH(B1680&amp;"PT",'LM7 Non-ENG'!$A$1:$A$5000,0),1,,,"LM7 Non-ENG"),IF(IFERROR(VLOOKUP(B1680&amp;"PT",'LM7 Non-ENG'!$A$1:$A$5000,1,FALSE),"ERROR")=B1680&amp;"PT","Y","")),"")</f>
        <v/>
      </c>
      <c r="I1680" t="str">
        <f>IFERROR(VLOOKUP(B1680,PN!$A:$C,3,FALSE),"")</f>
        <v>Active</v>
      </c>
      <c r="J1680" s="3">
        <f>IFERROR(E1680*VLOOKUP(B1680,PLInter!$A:$D,3,FALSE),"")</f>
        <v>2760</v>
      </c>
      <c r="K1680" s="66"/>
      <c r="L1680" s="66"/>
      <c r="M1680" s="66"/>
      <c r="N1680" s="66"/>
      <c r="O1680" s="66"/>
      <c r="P1680" s="66"/>
      <c r="Q1680" s="66"/>
      <c r="R1680" s="66"/>
      <c r="S1680" s="66"/>
    </row>
    <row r="1681" spans="1:19" ht="18" customHeight="1">
      <c r="B1681" t="s">
        <v>927</v>
      </c>
      <c r="C1681" t="s">
        <v>928</v>
      </c>
      <c r="D1681" s="4"/>
      <c r="E1681" s="4">
        <v>1</v>
      </c>
      <c r="F1681" s="4"/>
      <c r="G1681" s="29" t="str">
        <f>IFERROR(HYPERLINK("#"&amp;ADDRESS(MATCH(B1681&amp;"ES",'LM7 Non-ENG'!$A$1:$A$5000,0),1,,,"LM7 Non-ENG"),IF(IFERROR(VLOOKUP(B1681&amp;"ES",'LM7 Non-ENG'!$A$1:$A$4999,1,FALSE),"ERROR")=B1681&amp;"ES","Y","")),"")</f>
        <v/>
      </c>
      <c r="H1681" s="29" t="str">
        <f>IFERROR(HYPERLINK("#"&amp;ADDRESS(MATCH(B1681&amp;"PT",'LM7 Non-ENG'!$A$1:$A$5000,0),1,,,"LM7 Non-ENG"),IF(IFERROR(VLOOKUP(B1681&amp;"PT",'LM7 Non-ENG'!$A$1:$A$5000,1,FALSE),"ERROR")=B1681&amp;"PT","Y","")),"")</f>
        <v/>
      </c>
      <c r="I1681" t="str">
        <f>IFERROR(VLOOKUP(B1681,PN!$A:$C,3,FALSE),"")</f>
        <v>Active</v>
      </c>
      <c r="J1681" s="3">
        <f>IFERROR(E1681*VLOOKUP(B1681,PLInter!$A:$D,3,FALSE),"")</f>
        <v>467</v>
      </c>
      <c r="K1681" s="66"/>
      <c r="L1681" s="66"/>
      <c r="M1681" s="66"/>
      <c r="N1681" s="66"/>
      <c r="O1681" s="66"/>
      <c r="P1681" s="66"/>
      <c r="Q1681" s="66"/>
      <c r="R1681" s="66"/>
      <c r="S1681" s="66"/>
    </row>
    <row r="1682" spans="1:19" ht="18" customHeight="1">
      <c r="B1682" t="s">
        <v>668</v>
      </c>
      <c r="C1682" t="s">
        <v>669</v>
      </c>
      <c r="D1682" s="4"/>
      <c r="E1682" s="4">
        <v>1</v>
      </c>
      <c r="F1682" s="4"/>
      <c r="G1682" s="29" t="str">
        <f>IFERROR(HYPERLINK("#"&amp;ADDRESS(MATCH(B1682&amp;"ES",'LM7 Non-ENG'!$A$1:$A$5000,0),1,,,"LM7 Non-ENG"),IF(IFERROR(VLOOKUP(B1682&amp;"ES",'LM7 Non-ENG'!$A$1:$A$4999,1,FALSE),"ERROR")=B1682&amp;"ES","Y","")),"")</f>
        <v/>
      </c>
      <c r="H1682" s="29" t="str">
        <f>IFERROR(HYPERLINK("#"&amp;ADDRESS(MATCH(B1682&amp;"PT",'LM7 Non-ENG'!$A$1:$A$5000,0),1,,,"LM7 Non-ENG"),IF(IFERROR(VLOOKUP(B1682&amp;"PT",'LM7 Non-ENG'!$A$1:$A$5000,1,FALSE),"ERROR")=B1682&amp;"PT","Y","")),"")</f>
        <v/>
      </c>
      <c r="I1682" t="str">
        <f>IFERROR(VLOOKUP(B1682,PN!$A:$C,3,FALSE),"")</f>
        <v>Active</v>
      </c>
      <c r="J1682" s="3">
        <f>IFERROR(E1682*VLOOKUP(B1682,PLInter!$A:$D,3,FALSE),"")</f>
        <v>480</v>
      </c>
      <c r="K1682" s="66"/>
      <c r="L1682" s="66"/>
      <c r="M1682" s="66"/>
      <c r="N1682" s="66"/>
      <c r="O1682" s="66"/>
      <c r="P1682" s="66"/>
      <c r="Q1682" s="66"/>
      <c r="R1682" s="66"/>
      <c r="S1682" s="66"/>
    </row>
    <row r="1683" spans="1:19" ht="18" customHeight="1">
      <c r="B1683" t="s">
        <v>630</v>
      </c>
      <c r="C1683" t="s">
        <v>631</v>
      </c>
      <c r="D1683" s="4"/>
      <c r="E1683" s="4">
        <v>1</v>
      </c>
      <c r="F1683" s="4"/>
      <c r="G1683" s="29" t="str">
        <f>IFERROR(HYPERLINK("#"&amp;ADDRESS(MATCH(B1683&amp;"ES",'LM7 Non-ENG'!$A$1:$A$5000,0),1,,,"LM7 Non-ENG"),IF(IFERROR(VLOOKUP(B1683&amp;"ES",'LM7 Non-ENG'!$A$1:$A$4999,1,FALSE),"ERROR")=B1683&amp;"ES","Y","")),"")</f>
        <v/>
      </c>
      <c r="H1683" s="29" t="str">
        <f>IFERROR(HYPERLINK("#"&amp;ADDRESS(MATCH(B1683&amp;"PT",'LM7 Non-ENG'!$A$1:$A$5000,0),1,,,"LM7 Non-ENG"),IF(IFERROR(VLOOKUP(B1683&amp;"PT",'LM7 Non-ENG'!$A$1:$A$5000,1,FALSE),"ERROR")=B1683&amp;"PT","Y","")),"")</f>
        <v/>
      </c>
      <c r="I1683" t="str">
        <f>IFERROR(VLOOKUP(B1683,PN!$A:$C,3,FALSE),"")</f>
        <v>Active</v>
      </c>
      <c r="J1683" s="3">
        <f>IFERROR(E1683*VLOOKUP(B1683,PLInter!$A:$D,3,FALSE),"")</f>
        <v>1735</v>
      </c>
      <c r="K1683" s="66"/>
      <c r="L1683" s="66"/>
      <c r="M1683" s="66"/>
      <c r="N1683" s="66"/>
      <c r="O1683" s="66"/>
      <c r="P1683" s="66"/>
      <c r="Q1683" s="66"/>
      <c r="R1683" s="66"/>
      <c r="S1683" s="66"/>
    </row>
    <row r="1685" spans="1:19" s="7" customFormat="1" ht="18" customHeight="1">
      <c r="A1685" s="13" t="s">
        <v>1006</v>
      </c>
      <c r="B1685" s="13"/>
      <c r="C1685" s="13" t="s">
        <v>1007</v>
      </c>
      <c r="D1685" s="14"/>
      <c r="E1685" s="14"/>
      <c r="F1685" s="14"/>
      <c r="G1685" s="14"/>
      <c r="H1685" s="14"/>
      <c r="I1685" s="14"/>
      <c r="J1685" s="14">
        <f>SUMIFS(J1686:J1703,D1686:D1703,"&lt;&gt;Y",F1686:F1703,"&lt;&gt;Y",I1686:I1703,"&lt;&gt;Inactive",I1686:I1703,"&lt;&gt;ECO+NFS")</f>
        <v>30651</v>
      </c>
      <c r="K1685" s="14"/>
      <c r="L1685" s="14"/>
      <c r="M1685" s="14"/>
      <c r="N1685" s="14"/>
      <c r="O1685" s="14"/>
      <c r="P1685" s="14"/>
      <c r="Q1685" s="14"/>
      <c r="R1685" s="14"/>
      <c r="S1685" s="14"/>
    </row>
    <row r="1686" spans="1:19" ht="18" customHeight="1">
      <c r="A1686" s="17" t="str">
        <f>HYPERLINK("#"&amp;ADDRESS(MATCH(A1685,'CIM&amp;FMS'!$A$1:$A$4997,0),1,,,"CIM&amp;FMS"),"Back to Price List")</f>
        <v>Back to Price List</v>
      </c>
      <c r="B1686" t="s">
        <v>855</v>
      </c>
      <c r="C1686" t="s">
        <v>856</v>
      </c>
      <c r="D1686" s="4"/>
      <c r="E1686" s="4">
        <v>1</v>
      </c>
      <c r="F1686" s="4"/>
      <c r="G1686" s="29" t="str">
        <f>IFERROR(HYPERLINK("#"&amp;ADDRESS(MATCH(B1686&amp;"ES",'LM7 Non-ENG'!$A$1:$A$5000,0),1,,,"LM7 Non-ENG"),IF(IFERROR(VLOOKUP(B1686&amp;"ES",'LM7 Non-ENG'!$A$1:$A$4999,1,FALSE),"ERROR")=B1686&amp;"ES","Y","")),"")</f>
        <v/>
      </c>
      <c r="H1686" s="29" t="str">
        <f>IFERROR(HYPERLINK("#"&amp;ADDRESS(MATCH(B1686&amp;"PT",'LM7 Non-ENG'!$A$1:$A$5000,0),1,,,"LM7 Non-ENG"),IF(IFERROR(VLOOKUP(B1686&amp;"PT",'LM7 Non-ENG'!$A$1:$A$5000,1,FALSE),"ERROR")=B1686&amp;"PT","Y","")),"")</f>
        <v/>
      </c>
      <c r="I1686" t="str">
        <f>IFERROR(VLOOKUP(B1686,PN!$A:$C,3,FALSE),"")</f>
        <v>Active</v>
      </c>
      <c r="J1686" s="3">
        <f>IFERROR(E1686*VLOOKUP(B1686,PLInter!$A:$D,3,FALSE),"")</f>
        <v>6720</v>
      </c>
      <c r="K1686" s="66"/>
      <c r="L1686" s="66"/>
      <c r="M1686" s="66"/>
      <c r="N1686" s="66"/>
      <c r="O1686" s="66"/>
      <c r="P1686" s="66"/>
      <c r="Q1686" s="66"/>
      <c r="R1686" s="66"/>
      <c r="S1686" s="66"/>
    </row>
    <row r="1687" spans="1:19" ht="18" customHeight="1">
      <c r="B1687" t="s">
        <v>231</v>
      </c>
      <c r="C1687" t="s">
        <v>857</v>
      </c>
      <c r="D1687" s="4"/>
      <c r="E1687" s="4">
        <v>1</v>
      </c>
      <c r="F1687" s="4"/>
      <c r="G1687" s="29" t="str">
        <f>IFERROR(HYPERLINK("#"&amp;ADDRESS(MATCH(B1687&amp;"ES",'LM7 Non-ENG'!$A$1:$A$5000,0),1,,,"LM7 Non-ENG"),IF(IFERROR(VLOOKUP(B1687&amp;"ES",'LM7 Non-ENG'!$A$1:$A$4999,1,FALSE),"ERROR")=B1687&amp;"ES","Y","")),"")</f>
        <v/>
      </c>
      <c r="H1687" s="29" t="str">
        <f>IFERROR(HYPERLINK("#"&amp;ADDRESS(MATCH(B1687&amp;"PT",'LM7 Non-ENG'!$A$1:$A$5000,0),1,,,"LM7 Non-ENG"),IF(IFERROR(VLOOKUP(B1687&amp;"PT",'LM7 Non-ENG'!$A$1:$A$5000,1,FALSE),"ERROR")=B1687&amp;"PT","Y","")),"")</f>
        <v/>
      </c>
      <c r="I1687" t="str">
        <f>IFERROR(VLOOKUP(B1687,PN!$A:$C,3,FALSE),"")</f>
        <v>ECO-N2Buy</v>
      </c>
      <c r="J1687" s="3">
        <f>IFERROR(E1687*VLOOKUP(B1687,PLInter!$A:$D,3,FALSE),"")</f>
        <v>3200</v>
      </c>
      <c r="K1687" s="66"/>
      <c r="L1687" s="66"/>
      <c r="M1687" s="66"/>
      <c r="N1687" s="66"/>
      <c r="O1687" s="66"/>
      <c r="P1687" s="66"/>
      <c r="Q1687" s="66"/>
      <c r="R1687" s="66"/>
      <c r="S1687" s="66"/>
    </row>
    <row r="1688" spans="1:19" ht="18" customHeight="1">
      <c r="B1688" t="str">
        <f>"021031"</f>
        <v>021031</v>
      </c>
      <c r="C1688" s="41" t="s">
        <v>1008</v>
      </c>
      <c r="D1688" s="4"/>
      <c r="E1688" s="4">
        <v>4</v>
      </c>
      <c r="F1688" s="4"/>
      <c r="G1688" s="29" t="str">
        <f>IFERROR(HYPERLINK("#"&amp;ADDRESS(MATCH(B1688&amp;"ES",'LM7 Non-ENG'!$A$1:$A$5000,0),1,,,"LM7 Non-ENG"),IF(IFERROR(VLOOKUP(B1688&amp;"ES",'LM7 Non-ENG'!$A$1:$A$4999,1,FALSE),"ERROR")=B1688&amp;"ES","Y","")),"")</f>
        <v/>
      </c>
      <c r="H1688" s="29" t="str">
        <f>IFERROR(HYPERLINK("#"&amp;ADDRESS(MATCH(B1688&amp;"PT",'LM7 Non-ENG'!$A$1:$A$5000,0),1,,,"LM7 Non-ENG"),IF(IFERROR(VLOOKUP(B1688&amp;"PT",'LM7 Non-ENG'!$A$1:$A$5000,1,FALSE),"ERROR")=B1688&amp;"PT","Y","")),"")</f>
        <v/>
      </c>
      <c r="I1688" t="str">
        <f>IFERROR(VLOOKUP(B1688,PN!$A:$C,3,FALSE),"")</f>
        <v>Active</v>
      </c>
      <c r="J1688" s="3">
        <f>IFERROR(E1688*VLOOKUP(B1688,PLInter!$A:$D,3,FALSE),"")</f>
        <v>216</v>
      </c>
      <c r="K1688" s="66"/>
      <c r="L1688" s="66"/>
      <c r="M1688" s="66"/>
      <c r="N1688" s="66"/>
      <c r="O1688" s="66"/>
      <c r="P1688" s="66"/>
      <c r="Q1688" s="66"/>
      <c r="R1688" s="66"/>
      <c r="S1688" s="66"/>
    </row>
    <row r="1689" spans="1:19" ht="18" customHeight="1">
      <c r="B1689" t="s">
        <v>684</v>
      </c>
      <c r="C1689" t="s">
        <v>685</v>
      </c>
      <c r="D1689" s="4"/>
      <c r="E1689" s="4">
        <v>2</v>
      </c>
      <c r="F1689" s="4"/>
      <c r="G1689" s="29" t="str">
        <f>IFERROR(HYPERLINK("#"&amp;ADDRESS(MATCH(B1689&amp;"ES",'LM7 Non-ENG'!$A$1:$A$5000,0),1,,,"LM7 Non-ENG"),IF(IFERROR(VLOOKUP(B1689&amp;"ES",'LM7 Non-ENG'!$A$1:$A$4999,1,FALSE),"ERROR")=B1689&amp;"ES","Y","")),"")</f>
        <v/>
      </c>
      <c r="H1689" s="29" t="str">
        <f>IFERROR(HYPERLINK("#"&amp;ADDRESS(MATCH(B1689&amp;"PT",'LM7 Non-ENG'!$A$1:$A$5000,0),1,,,"LM7 Non-ENG"),IF(IFERROR(VLOOKUP(B1689&amp;"PT",'LM7 Non-ENG'!$A$1:$A$5000,1,FALSE),"ERROR")=B1689&amp;"PT","Y","")),"")</f>
        <v/>
      </c>
      <c r="I1689" t="str">
        <f>IFERROR(VLOOKUP(B1689,PN!$A:$C,3,FALSE),"")</f>
        <v>Active</v>
      </c>
      <c r="J1689" s="3">
        <f>IFERROR(E1689*VLOOKUP(B1689,PLInter!$A:$D,3,FALSE),"")</f>
        <v>1160</v>
      </c>
      <c r="K1689" s="66"/>
      <c r="L1689" s="66"/>
      <c r="M1689" s="66"/>
      <c r="N1689" s="66"/>
      <c r="O1689" s="66"/>
      <c r="P1689" s="66"/>
      <c r="Q1689" s="66"/>
      <c r="R1689" s="66"/>
      <c r="S1689" s="66"/>
    </row>
    <row r="1690" spans="1:19" ht="18" customHeight="1">
      <c r="B1690" t="str">
        <f>"021177"</f>
        <v>021177</v>
      </c>
      <c r="C1690" t="s">
        <v>959</v>
      </c>
      <c r="D1690" s="4"/>
      <c r="E1690" s="4">
        <v>2</v>
      </c>
      <c r="F1690" s="4"/>
      <c r="G1690" s="29" t="str">
        <f>IFERROR(HYPERLINK("#"&amp;ADDRESS(MATCH(B1690&amp;"ES",'LM7 Non-ENG'!$A$1:$A$5000,0),1,,,"LM7 Non-ENG"),IF(IFERROR(VLOOKUP(B1690&amp;"ES",'LM7 Non-ENG'!$A$1:$A$4999,1,FALSE),"ERROR")=B1690&amp;"ES","Y","")),"")</f>
        <v/>
      </c>
      <c r="H1690" s="29" t="str">
        <f>IFERROR(HYPERLINK("#"&amp;ADDRESS(MATCH(B1690&amp;"PT",'LM7 Non-ENG'!$A$1:$A$5000,0),1,,,"LM7 Non-ENG"),IF(IFERROR(VLOOKUP(B1690&amp;"PT",'LM7 Non-ENG'!$A$1:$A$5000,1,FALSE),"ERROR")=B1690&amp;"PT","Y","")),"")</f>
        <v/>
      </c>
      <c r="I1690" t="str">
        <f>IFERROR(VLOOKUP(B1690,PN!$A:$C,3,FALSE),"")</f>
        <v>Active</v>
      </c>
      <c r="J1690" s="3">
        <f>IFERROR(E1690*VLOOKUP(B1690,PLInter!$A:$D,3,FALSE),"")</f>
        <v>60</v>
      </c>
      <c r="K1690" s="66"/>
      <c r="L1690" s="66"/>
      <c r="M1690" s="66"/>
      <c r="N1690" s="66"/>
      <c r="O1690" s="66"/>
      <c r="P1690" s="66"/>
      <c r="Q1690" s="66"/>
      <c r="R1690" s="66"/>
      <c r="S1690" s="66"/>
    </row>
    <row r="1691" spans="1:19" ht="18" customHeight="1">
      <c r="B1691" t="s">
        <v>917</v>
      </c>
      <c r="C1691" t="s">
        <v>951</v>
      </c>
      <c r="D1691" s="4"/>
      <c r="E1691" s="4">
        <v>1</v>
      </c>
      <c r="F1691" s="4"/>
      <c r="G1691" s="29" t="str">
        <f>IFERROR(HYPERLINK("#"&amp;ADDRESS(MATCH(B1691&amp;"ES",'LM7 Non-ENG'!$A$1:$A$5000,0),1,,,"LM7 Non-ENG"),IF(IFERROR(VLOOKUP(B1691&amp;"ES",'LM7 Non-ENG'!$A$1:$A$4999,1,FALSE),"ERROR")=B1691&amp;"ES","Y","")),"")</f>
        <v/>
      </c>
      <c r="H1691" s="29" t="str">
        <f>IFERROR(HYPERLINK("#"&amp;ADDRESS(MATCH(B1691&amp;"PT",'LM7 Non-ENG'!$A$1:$A$5000,0),1,,,"LM7 Non-ENG"),IF(IFERROR(VLOOKUP(B1691&amp;"PT",'LM7 Non-ENG'!$A$1:$A$5000,1,FALSE),"ERROR")=B1691&amp;"PT","Y","")),"")</f>
        <v/>
      </c>
      <c r="I1691" t="str">
        <f>IFERROR(VLOOKUP(B1691,PN!$A:$C,3,FALSE),"")</f>
        <v>Phase Out</v>
      </c>
      <c r="J1691" s="3">
        <f>IFERROR(E1691*VLOOKUP(B1691,PLInter!$A:$D,3,FALSE),"")</f>
        <v>1735</v>
      </c>
      <c r="K1691" s="66"/>
      <c r="L1691" s="66"/>
      <c r="M1691" s="66"/>
      <c r="N1691" s="66"/>
      <c r="O1691" s="66"/>
      <c r="P1691" s="66"/>
      <c r="Q1691" s="66"/>
      <c r="R1691" s="66"/>
      <c r="S1691" s="66"/>
    </row>
    <row r="1692" spans="1:19" ht="18" customHeight="1">
      <c r="B1692" t="s">
        <v>919</v>
      </c>
      <c r="C1692" t="s">
        <v>952</v>
      </c>
      <c r="D1692" s="4"/>
      <c r="E1692" s="4">
        <v>1</v>
      </c>
      <c r="F1692" s="4"/>
      <c r="G1692" s="29" t="str">
        <f>IFERROR(HYPERLINK("#"&amp;ADDRESS(MATCH(B1692&amp;"ES",'LM7 Non-ENG'!$A$1:$A$5000,0),1,,,"LM7 Non-ENG"),IF(IFERROR(VLOOKUP(B1692&amp;"ES",'LM7 Non-ENG'!$A$1:$A$4999,1,FALSE),"ERROR")=B1692&amp;"ES","Y","")),"")</f>
        <v/>
      </c>
      <c r="H1692" s="29" t="str">
        <f>IFERROR(HYPERLINK("#"&amp;ADDRESS(MATCH(B1692&amp;"PT",'LM7 Non-ENG'!$A$1:$A$5000,0),1,,,"LM7 Non-ENG"),IF(IFERROR(VLOOKUP(B1692&amp;"PT",'LM7 Non-ENG'!$A$1:$A$5000,1,FALSE),"ERROR")=B1692&amp;"PT","Y","")),"")</f>
        <v/>
      </c>
      <c r="I1692" t="str">
        <f>IFERROR(VLOOKUP(B1692,PN!$A:$C,3,FALSE),"")</f>
        <v>Active</v>
      </c>
      <c r="J1692" s="3">
        <f>IFERROR(E1692*VLOOKUP(B1692,PLInter!$A:$D,3,FALSE),"")</f>
        <v>635</v>
      </c>
      <c r="K1692" s="66"/>
      <c r="L1692" s="66"/>
      <c r="M1692" s="66"/>
      <c r="N1692" s="66"/>
      <c r="O1692" s="66"/>
      <c r="P1692" s="66"/>
      <c r="Q1692" s="66"/>
      <c r="R1692" s="66"/>
      <c r="S1692" s="66"/>
    </row>
    <row r="1693" spans="1:19" ht="18" customHeight="1">
      <c r="B1693" t="s">
        <v>921</v>
      </c>
      <c r="C1693" t="s">
        <v>922</v>
      </c>
      <c r="D1693" s="4"/>
      <c r="E1693" s="4">
        <v>1</v>
      </c>
      <c r="F1693" s="4"/>
      <c r="G1693" s="29" t="str">
        <f>IFERROR(HYPERLINK("#"&amp;ADDRESS(MATCH(B1693&amp;"ES",'LM7 Non-ENG'!$A$1:$A$5000,0),1,,,"LM7 Non-ENG"),IF(IFERROR(VLOOKUP(B1693&amp;"ES",'LM7 Non-ENG'!$A$1:$A$4999,1,FALSE),"ERROR")=B1693&amp;"ES","Y","")),"")</f>
        <v/>
      </c>
      <c r="H1693" s="29" t="str">
        <f>IFERROR(HYPERLINK("#"&amp;ADDRESS(MATCH(B1693&amp;"PT",'LM7 Non-ENG'!$A$1:$A$5000,0),1,,,"LM7 Non-ENG"),IF(IFERROR(VLOOKUP(B1693&amp;"PT",'LM7 Non-ENG'!$A$1:$A$5000,1,FALSE),"ERROR")=B1693&amp;"PT","Y","")),"")</f>
        <v/>
      </c>
      <c r="I1693" t="str">
        <f>IFERROR(VLOOKUP(B1693,PN!$A:$C,3,FALSE),"")</f>
        <v>Active</v>
      </c>
      <c r="J1693" s="3">
        <f>IFERROR(E1693*VLOOKUP(B1693,PLInter!$A:$D,3,FALSE),"")</f>
        <v>2585</v>
      </c>
      <c r="K1693" s="66"/>
      <c r="L1693" s="66"/>
      <c r="M1693" s="66"/>
      <c r="N1693" s="66"/>
      <c r="O1693" s="66"/>
      <c r="P1693" s="66"/>
      <c r="Q1693" s="66"/>
      <c r="R1693" s="66"/>
      <c r="S1693" s="66"/>
    </row>
    <row r="1694" spans="1:19" ht="18" customHeight="1">
      <c r="B1694" t="s">
        <v>923</v>
      </c>
      <c r="C1694" t="s">
        <v>924</v>
      </c>
      <c r="D1694" s="4"/>
      <c r="E1694" s="4">
        <v>12</v>
      </c>
      <c r="F1694" s="4"/>
      <c r="G1694" s="29" t="str">
        <f>IFERROR(HYPERLINK("#"&amp;ADDRESS(MATCH(B1694&amp;"ES",'LM7 Non-ENG'!$A$1:$A$5000,0),1,,,"LM7 Non-ENG"),IF(IFERROR(VLOOKUP(B1694&amp;"ES",'LM7 Non-ENG'!$A$1:$A$4999,1,FALSE),"ERROR")=B1694&amp;"ES","Y","")),"")</f>
        <v/>
      </c>
      <c r="H1694" s="29" t="str">
        <f>IFERROR(HYPERLINK("#"&amp;ADDRESS(MATCH(B1694&amp;"PT",'LM7 Non-ENG'!$A$1:$A$5000,0),1,,,"LM7 Non-ENG"),IF(IFERROR(VLOOKUP(B1694&amp;"PT",'LM7 Non-ENG'!$A$1:$A$5000,1,FALSE),"ERROR")=B1694&amp;"PT","Y","")),"")</f>
        <v/>
      </c>
      <c r="I1694" t="str">
        <f>IFERROR(VLOOKUP(B1694,PN!$A:$C,3,FALSE),"")</f>
        <v>Active</v>
      </c>
      <c r="J1694" s="3">
        <f>IFERROR(E1694*VLOOKUP(B1694,PLInter!$A:$D,3,FALSE),"")</f>
        <v>1104</v>
      </c>
      <c r="K1694" s="66"/>
      <c r="L1694" s="66"/>
      <c r="M1694" s="66"/>
      <c r="N1694" s="66"/>
      <c r="O1694" s="66"/>
      <c r="P1694" s="66"/>
      <c r="Q1694" s="66"/>
      <c r="R1694" s="66"/>
      <c r="S1694" s="66"/>
    </row>
    <row r="1695" spans="1:19" ht="18" customHeight="1">
      <c r="B1695" t="s">
        <v>1009</v>
      </c>
      <c r="C1695" t="s">
        <v>1010</v>
      </c>
      <c r="D1695" s="4"/>
      <c r="E1695" s="4">
        <v>1</v>
      </c>
      <c r="F1695" s="4"/>
      <c r="G1695" s="29" t="str">
        <f>IFERROR(HYPERLINK("#"&amp;ADDRESS(MATCH(B1695&amp;"ES",'LM7 Non-ENG'!$A$1:$A$5000,0),1,,,"LM7 Non-ENG"),IF(IFERROR(VLOOKUP(B1695&amp;"ES",'LM7 Non-ENG'!$A$1:$A$4999,1,FALSE),"ERROR")=B1695&amp;"ES","Y","")),"")</f>
        <v/>
      </c>
      <c r="H1695" s="29" t="str">
        <f>IFERROR(HYPERLINK("#"&amp;ADDRESS(MATCH(B1695&amp;"PT",'LM7 Non-ENG'!$A$1:$A$5000,0),1,,,"LM7 Non-ENG"),IF(IFERROR(VLOOKUP(B1695&amp;"PT",'LM7 Non-ENG'!$A$1:$A$5000,1,FALSE),"ERROR")=B1695&amp;"PT","Y","")),"")</f>
        <v/>
      </c>
      <c r="I1695" t="str">
        <f>IFERROR(VLOOKUP(B1695,PN!$A:$C,3,FALSE),"")</f>
        <v>Active</v>
      </c>
      <c r="J1695" s="3">
        <f>IFERROR(E1695*VLOOKUP(B1695,PLInter!$A:$D,3,FALSE),"")</f>
        <v>1800</v>
      </c>
      <c r="K1695" s="66"/>
      <c r="L1695" s="66"/>
      <c r="M1695" s="66"/>
      <c r="N1695" s="66"/>
      <c r="O1695" s="66"/>
      <c r="P1695" s="66"/>
      <c r="Q1695" s="66"/>
      <c r="R1695" s="66"/>
      <c r="S1695" s="66"/>
    </row>
    <row r="1696" spans="1:19" ht="18" customHeight="1">
      <c r="B1696" t="s">
        <v>977</v>
      </c>
      <c r="C1696" t="s">
        <v>978</v>
      </c>
      <c r="D1696" s="4"/>
      <c r="E1696" s="4">
        <v>1</v>
      </c>
      <c r="F1696" s="4"/>
      <c r="G1696" s="29" t="str">
        <f>IFERROR(HYPERLINK("#"&amp;ADDRESS(MATCH(B1696&amp;"ES",'LM7 Non-ENG'!$A$1:$A$5000,0),1,,,"LM7 Non-ENG"),IF(IFERROR(VLOOKUP(B1696&amp;"ES",'LM7 Non-ENG'!$A$1:$A$4999,1,FALSE),"ERROR")=B1696&amp;"ES","Y","")),"")</f>
        <v/>
      </c>
      <c r="H1696" s="29" t="str">
        <f>IFERROR(HYPERLINK("#"&amp;ADDRESS(MATCH(B1696&amp;"PT",'LM7 Non-ENG'!$A$1:$A$5000,0),1,,,"LM7 Non-ENG"),IF(IFERROR(VLOOKUP(B1696&amp;"PT",'LM7 Non-ENG'!$A$1:$A$5000,1,FALSE),"ERROR")=B1696&amp;"PT","Y","")),"")</f>
        <v/>
      </c>
      <c r="I1696" t="str">
        <f>IFERROR(VLOOKUP(B1696,PN!$A:$C,3,FALSE),"")</f>
        <v>Active</v>
      </c>
      <c r="J1696" s="3">
        <f>IFERROR(E1696*VLOOKUP(B1696,PLInter!$A:$D,3,FALSE),"")</f>
        <v>3885</v>
      </c>
      <c r="K1696" s="66"/>
      <c r="L1696" s="66"/>
      <c r="M1696" s="66"/>
      <c r="N1696" s="66"/>
      <c r="O1696" s="66"/>
      <c r="P1696" s="66"/>
      <c r="Q1696" s="66"/>
      <c r="R1696" s="66"/>
      <c r="S1696" s="66"/>
    </row>
    <row r="1697" spans="1:19" ht="18" customHeight="1">
      <c r="B1697" t="str">
        <f>"113096"</f>
        <v>113096</v>
      </c>
      <c r="C1697" t="s">
        <v>1011</v>
      </c>
      <c r="D1697" s="4"/>
      <c r="E1697" s="4">
        <v>3</v>
      </c>
      <c r="F1697" s="4"/>
      <c r="G1697" s="29" t="str">
        <f>IFERROR(HYPERLINK("#"&amp;ADDRESS(MATCH(B1697&amp;"ES",'LM7 Non-ENG'!$A$1:$A$5000,0),1,,,"LM7 Non-ENG"),IF(IFERROR(VLOOKUP(B1697&amp;"ES",'LM7 Non-ENG'!$A$1:$A$4999,1,FALSE),"ERROR")=B1697&amp;"ES","Y","")),"")</f>
        <v/>
      </c>
      <c r="H1697" s="29" t="str">
        <f>IFERROR(HYPERLINK("#"&amp;ADDRESS(MATCH(B1697&amp;"PT",'LM7 Non-ENG'!$A$1:$A$5000,0),1,,,"LM7 Non-ENG"),IF(IFERROR(VLOOKUP(B1697&amp;"PT",'LM7 Non-ENG'!$A$1:$A$5000,1,FALSE),"ERROR")=B1697&amp;"PT","Y","")),"")</f>
        <v/>
      </c>
      <c r="I1697" t="str">
        <f>IFERROR(VLOOKUP(B1697,PN!$A:$C,3,FALSE),"")</f>
        <v>Active</v>
      </c>
      <c r="J1697" s="3">
        <f>IFERROR(E1697*VLOOKUP(B1697,PLInter!$A:$D,3,FALSE),"")</f>
        <v>162</v>
      </c>
      <c r="K1697" s="66"/>
      <c r="L1697" s="66"/>
      <c r="M1697" s="66"/>
      <c r="N1697" s="66"/>
      <c r="O1697" s="66"/>
      <c r="P1697" s="66"/>
      <c r="Q1697" s="66"/>
      <c r="R1697" s="66"/>
      <c r="S1697" s="66"/>
    </row>
    <row r="1698" spans="1:19" ht="18" customHeight="1">
      <c r="B1698" t="str">
        <f>"112713"</f>
        <v>112713</v>
      </c>
      <c r="C1698" t="s">
        <v>1012</v>
      </c>
      <c r="D1698" s="4"/>
      <c r="E1698" s="4">
        <v>3</v>
      </c>
      <c r="F1698" s="4"/>
      <c r="G1698" s="29" t="str">
        <f>IFERROR(HYPERLINK("#"&amp;ADDRESS(MATCH(B1698&amp;"ES",'LM7 Non-ENG'!$A$1:$A$5000,0),1,,,"LM7 Non-ENG"),IF(IFERROR(VLOOKUP(B1698&amp;"ES",'LM7 Non-ENG'!$A$1:$A$4999,1,FALSE),"ERROR")=B1698&amp;"ES","Y","")),"")</f>
        <v/>
      </c>
      <c r="H1698" s="29" t="str">
        <f>IFERROR(HYPERLINK("#"&amp;ADDRESS(MATCH(B1698&amp;"PT",'LM7 Non-ENG'!$A$1:$A$5000,0),1,,,"LM7 Non-ENG"),IF(IFERROR(VLOOKUP(B1698&amp;"PT",'LM7 Non-ENG'!$A$1:$A$5000,1,FALSE),"ERROR")=B1698&amp;"PT","Y","")),"")</f>
        <v/>
      </c>
      <c r="I1698" t="str">
        <f>IFERROR(VLOOKUP(B1698,PN!$A:$C,3,FALSE),"")</f>
        <v>Active</v>
      </c>
      <c r="J1698" s="3">
        <f>IFERROR(E1698*VLOOKUP(B1698,PLInter!$A:$D,3,FALSE),"")</f>
        <v>300</v>
      </c>
      <c r="K1698" s="66"/>
      <c r="L1698" s="66"/>
      <c r="M1698" s="66"/>
      <c r="N1698" s="66"/>
      <c r="O1698" s="66"/>
      <c r="P1698" s="66"/>
      <c r="Q1698" s="66"/>
      <c r="R1698" s="66"/>
      <c r="S1698" s="66"/>
    </row>
    <row r="1699" spans="1:19" ht="18" customHeight="1">
      <c r="B1699" t="str">
        <f>"113316"</f>
        <v>113316</v>
      </c>
      <c r="C1699" t="s">
        <v>979</v>
      </c>
      <c r="D1699" s="4"/>
      <c r="E1699" s="4">
        <v>1</v>
      </c>
      <c r="F1699" s="4"/>
      <c r="G1699" s="29" t="str">
        <f>IFERROR(HYPERLINK("#"&amp;ADDRESS(MATCH(B1699&amp;"ES",'LM7 Non-ENG'!$A$1:$A$5000,0),1,,,"LM7 Non-ENG"),IF(IFERROR(VLOOKUP(B1699&amp;"ES",'LM7 Non-ENG'!$A$1:$A$4999,1,FALSE),"ERROR")=B1699&amp;"ES","Y","")),"")</f>
        <v/>
      </c>
      <c r="H1699" s="29" t="str">
        <f>IFERROR(HYPERLINK("#"&amp;ADDRESS(MATCH(B1699&amp;"PT",'LM7 Non-ENG'!$A$1:$A$5000,0),1,,,"LM7 Non-ENG"),IF(IFERROR(VLOOKUP(B1699&amp;"PT",'LM7 Non-ENG'!$A$1:$A$5000,1,FALSE),"ERROR")=B1699&amp;"PT","Y","")),"")</f>
        <v/>
      </c>
      <c r="I1699" t="str">
        <f>IFERROR(VLOOKUP(B1699,PN!$A:$C,3,FALSE),"")</f>
        <v>Active</v>
      </c>
      <c r="J1699" s="3">
        <f>IFERROR(E1699*VLOOKUP(B1699,PLInter!$A:$D,3,FALSE),"")</f>
        <v>20</v>
      </c>
      <c r="K1699" s="66"/>
      <c r="L1699" s="66"/>
      <c r="M1699" s="66"/>
      <c r="N1699" s="66"/>
      <c r="O1699" s="66"/>
      <c r="P1699" s="66"/>
      <c r="Q1699" s="66"/>
      <c r="R1699" s="66"/>
      <c r="S1699" s="66"/>
    </row>
    <row r="1700" spans="1:19" ht="18" customHeight="1">
      <c r="B1700" t="s">
        <v>902</v>
      </c>
      <c r="C1700" t="s">
        <v>903</v>
      </c>
      <c r="D1700" s="4"/>
      <c r="E1700" s="4">
        <v>1</v>
      </c>
      <c r="F1700" s="4"/>
      <c r="G1700" s="29" t="str">
        <f>IFERROR(HYPERLINK("#"&amp;ADDRESS(MATCH(B1700&amp;"ES",'LM7 Non-ENG'!$A$1:$A$5000,0),1,,,"LM7 Non-ENG"),IF(IFERROR(VLOOKUP(B1700&amp;"ES",'LM7 Non-ENG'!$A$1:$A$4999,1,FALSE),"ERROR")=B1700&amp;"ES","Y","")),"")</f>
        <v/>
      </c>
      <c r="H1700" s="29" t="str">
        <f>IFERROR(HYPERLINK("#"&amp;ADDRESS(MATCH(B1700&amp;"PT",'LM7 Non-ENG'!$A$1:$A$5000,0),1,,,"LM7 Non-ENG"),IF(IFERROR(VLOOKUP(B1700&amp;"PT",'LM7 Non-ENG'!$A$1:$A$5000,1,FALSE),"ERROR")=B1700&amp;"PT","Y","")),"")</f>
        <v/>
      </c>
      <c r="I1700" t="str">
        <f>IFERROR(VLOOKUP(B1700,PN!$A:$C,3,FALSE),"")</f>
        <v>Active</v>
      </c>
      <c r="J1700" s="3">
        <f>IFERROR(E1700*VLOOKUP(B1700,PLInter!$A:$D,3,FALSE),"")</f>
        <v>2000</v>
      </c>
      <c r="K1700" s="66"/>
      <c r="L1700" s="66"/>
      <c r="M1700" s="66"/>
      <c r="N1700" s="66"/>
      <c r="O1700" s="66"/>
      <c r="P1700" s="66"/>
      <c r="Q1700" s="66"/>
      <c r="R1700" s="66"/>
      <c r="S1700" s="66"/>
    </row>
    <row r="1701" spans="1:19" ht="18" customHeight="1">
      <c r="B1701" t="s">
        <v>244</v>
      </c>
      <c r="C1701" t="s">
        <v>247</v>
      </c>
      <c r="D1701" s="4"/>
      <c r="E1701" s="4">
        <v>1</v>
      </c>
      <c r="F1701" s="4"/>
      <c r="G1701" s="29" t="str">
        <f>IFERROR(HYPERLINK("#"&amp;ADDRESS(MATCH(B1701&amp;"ES",'LM7 Non-ENG'!$A$1:$A$5000,0),1,,,"LM7 Non-ENG"),IF(IFERROR(VLOOKUP(B1701&amp;"ES",'LM7 Non-ENG'!$A$1:$A$4999,1,FALSE),"ERROR")=B1701&amp;"ES","Y","")),"")</f>
        <v/>
      </c>
      <c r="H1701" s="29" t="str">
        <f>IFERROR(HYPERLINK("#"&amp;ADDRESS(MATCH(B1701&amp;"PT",'LM7 Non-ENG'!$A$1:$A$5000,0),1,,,"LM7 Non-ENG"),IF(IFERROR(VLOOKUP(B1701&amp;"PT",'LM7 Non-ENG'!$A$1:$A$5000,1,FALSE),"ERROR")=B1701&amp;"PT","Y","")),"")</f>
        <v/>
      </c>
      <c r="I1701" t="str">
        <f>IFERROR(VLOOKUP(B1701,PN!$A:$C,3,FALSE),"")</f>
        <v>Active</v>
      </c>
      <c r="J1701" s="3">
        <f>IFERROR(E1701*VLOOKUP(B1701,PLInter!$A:$D,3,FALSE),"")</f>
        <v>2400</v>
      </c>
      <c r="K1701" s="66"/>
      <c r="L1701" s="66"/>
      <c r="M1701" s="66"/>
      <c r="N1701" s="66"/>
      <c r="O1701" s="66"/>
      <c r="P1701" s="66"/>
      <c r="Q1701" s="66"/>
      <c r="R1701" s="66"/>
      <c r="S1701" s="66"/>
    </row>
    <row r="1702" spans="1:19" ht="18" customHeight="1">
      <c r="B1702" t="s">
        <v>697</v>
      </c>
      <c r="C1702" t="s">
        <v>698</v>
      </c>
      <c r="D1702" s="4"/>
      <c r="E1702" s="4">
        <v>1</v>
      </c>
      <c r="F1702" s="4"/>
      <c r="G1702" s="29" t="str">
        <f>IFERROR(HYPERLINK("#"&amp;ADDRESS(MATCH(B1702&amp;"ES",'LM7 Non-ENG'!$A$1:$A$5000,0),1,,,"LM7 Non-ENG"),IF(IFERROR(VLOOKUP(B1702&amp;"ES",'LM7 Non-ENG'!$A$1:$A$4999,1,FALSE),"ERROR")=B1702&amp;"ES","Y","")),"")</f>
        <v/>
      </c>
      <c r="H1702" s="29" t="str">
        <f>IFERROR(HYPERLINK("#"&amp;ADDRESS(MATCH(B1702&amp;"PT",'LM7 Non-ENG'!$A$1:$A$5000,0),1,,,"LM7 Non-ENG"),IF(IFERROR(VLOOKUP(B1702&amp;"PT",'LM7 Non-ENG'!$A$1:$A$5000,1,FALSE),"ERROR")=B1702&amp;"PT","Y","")),"")</f>
        <v/>
      </c>
      <c r="I1702" t="str">
        <f>IFERROR(VLOOKUP(B1702,PN!$A:$C,3,FALSE),"")</f>
        <v>Active</v>
      </c>
      <c r="J1702" s="3">
        <f>IFERROR(E1702*VLOOKUP(B1702,PLInter!$A:$D,3,FALSE),"")</f>
        <v>934</v>
      </c>
      <c r="K1702" s="66"/>
      <c r="L1702" s="66"/>
      <c r="M1702" s="66"/>
      <c r="N1702" s="66"/>
      <c r="O1702" s="66"/>
      <c r="P1702" s="66"/>
      <c r="Q1702" s="66"/>
      <c r="R1702" s="66"/>
      <c r="S1702" s="66"/>
    </row>
    <row r="1703" spans="1:19" ht="18" customHeight="1">
      <c r="B1703" t="s">
        <v>630</v>
      </c>
      <c r="C1703" t="s">
        <v>631</v>
      </c>
      <c r="D1703" s="4"/>
      <c r="E1703" s="4">
        <v>1</v>
      </c>
      <c r="F1703" s="4"/>
      <c r="G1703" s="29" t="str">
        <f>IFERROR(HYPERLINK("#"&amp;ADDRESS(MATCH(B1703&amp;"ES",'LM7 Non-ENG'!$A$1:$A$5000,0),1,,,"LM7 Non-ENG"),IF(IFERROR(VLOOKUP(B1703&amp;"ES",'LM7 Non-ENG'!$A$1:$A$4999,1,FALSE),"ERROR")=B1703&amp;"ES","Y","")),"")</f>
        <v/>
      </c>
      <c r="H1703" s="29" t="str">
        <f>IFERROR(HYPERLINK("#"&amp;ADDRESS(MATCH(B1703&amp;"PT",'LM7 Non-ENG'!$A$1:$A$5000,0),1,,,"LM7 Non-ENG"),IF(IFERROR(VLOOKUP(B1703&amp;"PT",'LM7 Non-ENG'!$A$1:$A$5000,1,FALSE),"ERROR")=B1703&amp;"PT","Y","")),"")</f>
        <v/>
      </c>
      <c r="I1703" t="str">
        <f>IFERROR(VLOOKUP(B1703,PN!$A:$C,3,FALSE),"")</f>
        <v>Active</v>
      </c>
      <c r="J1703" s="3">
        <f>IFERROR(E1703*VLOOKUP(B1703,PLInter!$A:$D,3,FALSE),"")</f>
        <v>1735</v>
      </c>
      <c r="K1703" s="66"/>
      <c r="L1703" s="66"/>
      <c r="M1703" s="66"/>
      <c r="N1703" s="66"/>
      <c r="O1703" s="66"/>
      <c r="P1703" s="66"/>
      <c r="Q1703" s="66"/>
      <c r="R1703" s="66"/>
      <c r="S1703" s="66"/>
    </row>
    <row r="1705" spans="1:19" s="7" customFormat="1" ht="18" customHeight="1">
      <c r="A1705" s="13" t="s">
        <v>1013</v>
      </c>
      <c r="B1705" s="13"/>
      <c r="C1705" s="13" t="s">
        <v>1014</v>
      </c>
      <c r="D1705" s="14"/>
      <c r="E1705" s="14"/>
      <c r="F1705" s="14"/>
      <c r="G1705" s="14"/>
      <c r="H1705" s="14"/>
      <c r="I1705" s="14"/>
      <c r="J1705" s="14">
        <f>SUMIFS(J1706:J1724,D1706:D1724,"&lt;&gt;Y",F1706:F1724,"&lt;&gt;Y",I1706:I1724,"&lt;&gt;Inactive",I1706:I1724,"&lt;&gt;ECO+NFS")</f>
        <v>36986</v>
      </c>
      <c r="K1705" s="14"/>
      <c r="L1705" s="14"/>
      <c r="M1705" s="14"/>
      <c r="N1705" s="14"/>
      <c r="O1705" s="14"/>
      <c r="P1705" s="14"/>
      <c r="Q1705" s="14"/>
      <c r="R1705" s="14"/>
      <c r="S1705" s="14"/>
    </row>
    <row r="1706" spans="1:19" ht="18" customHeight="1">
      <c r="A1706" s="17" t="str">
        <f>HYPERLINK("#"&amp;ADDRESS(MATCH(A1705,'CIM&amp;FMS'!$A$1:$A$4997,0),1,,,"CIM&amp;FMS"),"Back to Price List")</f>
        <v>Back to Price List</v>
      </c>
      <c r="B1706" t="s">
        <v>855</v>
      </c>
      <c r="C1706" t="s">
        <v>856</v>
      </c>
      <c r="D1706" s="4"/>
      <c r="E1706" s="4">
        <v>1</v>
      </c>
      <c r="F1706" s="4"/>
      <c r="G1706" s="29" t="str">
        <f>IFERROR(HYPERLINK("#"&amp;ADDRESS(MATCH(B1706&amp;"ES",'LM7 Non-ENG'!$A$1:$A$5000,0),1,,,"LM7 Non-ENG"),IF(IFERROR(VLOOKUP(B1706&amp;"ES",'LM7 Non-ENG'!$A$1:$A$4999,1,FALSE),"ERROR")=B1706&amp;"ES","Y","")),"")</f>
        <v/>
      </c>
      <c r="H1706" s="29" t="str">
        <f>IFERROR(HYPERLINK("#"&amp;ADDRESS(MATCH(B1706&amp;"PT",'LM7 Non-ENG'!$A$1:$A$5000,0),1,,,"LM7 Non-ENG"),IF(IFERROR(VLOOKUP(B1706&amp;"PT",'LM7 Non-ENG'!$A$1:$A$5000,1,FALSE),"ERROR")=B1706&amp;"PT","Y","")),"")</f>
        <v/>
      </c>
      <c r="I1706" t="str">
        <f>IFERROR(VLOOKUP(B1706,PN!$A:$C,3,FALSE),"")</f>
        <v>Active</v>
      </c>
      <c r="J1706" s="3">
        <f>IFERROR(E1706*VLOOKUP(B1706,PLInter!$A:$D,3,FALSE),"")</f>
        <v>6720</v>
      </c>
      <c r="K1706" s="66"/>
      <c r="L1706" s="66"/>
      <c r="M1706" s="66"/>
      <c r="N1706" s="66"/>
      <c r="O1706" s="66"/>
      <c r="P1706" s="66"/>
      <c r="Q1706" s="66"/>
      <c r="R1706" s="66"/>
      <c r="S1706" s="66"/>
    </row>
    <row r="1707" spans="1:19" ht="18" customHeight="1">
      <c r="B1707" t="s">
        <v>231</v>
      </c>
      <c r="C1707" t="s">
        <v>857</v>
      </c>
      <c r="D1707" s="4"/>
      <c r="E1707" s="4">
        <v>1</v>
      </c>
      <c r="F1707" s="4"/>
      <c r="G1707" s="29" t="str">
        <f>IFERROR(HYPERLINK("#"&amp;ADDRESS(MATCH(B1707&amp;"ES",'LM7 Non-ENG'!$A$1:$A$5000,0),1,,,"LM7 Non-ENG"),IF(IFERROR(VLOOKUP(B1707&amp;"ES",'LM7 Non-ENG'!$A$1:$A$4999,1,FALSE),"ERROR")=B1707&amp;"ES","Y","")),"")</f>
        <v/>
      </c>
      <c r="H1707" s="29" t="str">
        <f>IFERROR(HYPERLINK("#"&amp;ADDRESS(MATCH(B1707&amp;"PT",'LM7 Non-ENG'!$A$1:$A$5000,0),1,,,"LM7 Non-ENG"),IF(IFERROR(VLOOKUP(B1707&amp;"PT",'LM7 Non-ENG'!$A$1:$A$5000,1,FALSE),"ERROR")=B1707&amp;"PT","Y","")),"")</f>
        <v/>
      </c>
      <c r="I1707" t="str">
        <f>IFERROR(VLOOKUP(B1707,PN!$A:$C,3,FALSE),"")</f>
        <v>ECO-N2Buy</v>
      </c>
      <c r="J1707" s="3">
        <f>IFERROR(E1707*VLOOKUP(B1707,PLInter!$A:$D,3,FALSE),"")</f>
        <v>3200</v>
      </c>
      <c r="K1707" s="66"/>
      <c r="L1707" s="66"/>
      <c r="M1707" s="66"/>
      <c r="N1707" s="66"/>
      <c r="O1707" s="66"/>
      <c r="P1707" s="66"/>
      <c r="Q1707" s="66"/>
      <c r="R1707" s="66"/>
      <c r="S1707" s="66"/>
    </row>
    <row r="1708" spans="1:19" ht="18" customHeight="1">
      <c r="B1708" t="str">
        <f>"021031"</f>
        <v>021031</v>
      </c>
      <c r="C1708" s="41" t="s">
        <v>1008</v>
      </c>
      <c r="D1708" s="4"/>
      <c r="E1708" s="4">
        <v>4</v>
      </c>
      <c r="F1708" s="4"/>
      <c r="G1708" s="29" t="str">
        <f>IFERROR(HYPERLINK("#"&amp;ADDRESS(MATCH(B1708&amp;"ES",'LM7 Non-ENG'!$A$1:$A$5000,0),1,,,"LM7 Non-ENG"),IF(IFERROR(VLOOKUP(B1708&amp;"ES",'LM7 Non-ENG'!$A$1:$A$4999,1,FALSE),"ERROR")=B1708&amp;"ES","Y","")),"")</f>
        <v/>
      </c>
      <c r="H1708" s="29" t="str">
        <f>IFERROR(HYPERLINK("#"&amp;ADDRESS(MATCH(B1708&amp;"PT",'LM7 Non-ENG'!$A$1:$A$5000,0),1,,,"LM7 Non-ENG"),IF(IFERROR(VLOOKUP(B1708&amp;"PT",'LM7 Non-ENG'!$A$1:$A$5000,1,FALSE),"ERROR")=B1708&amp;"PT","Y","")),"")</f>
        <v/>
      </c>
      <c r="I1708" t="str">
        <f>IFERROR(VLOOKUP(B1708,PN!$A:$C,3,FALSE),"")</f>
        <v>Active</v>
      </c>
      <c r="J1708" s="3">
        <f>IFERROR(E1708*VLOOKUP(B1708,PLInter!$A:$D,3,FALSE),"")</f>
        <v>216</v>
      </c>
      <c r="K1708" s="66"/>
      <c r="L1708" s="66"/>
      <c r="M1708" s="66"/>
      <c r="N1708" s="66"/>
      <c r="O1708" s="66"/>
      <c r="P1708" s="66"/>
      <c r="Q1708" s="66"/>
      <c r="R1708" s="66"/>
      <c r="S1708" s="66"/>
    </row>
    <row r="1709" spans="1:19" ht="18" customHeight="1">
      <c r="B1709" t="s">
        <v>684</v>
      </c>
      <c r="C1709" t="s">
        <v>685</v>
      </c>
      <c r="D1709" s="4"/>
      <c r="E1709" s="4">
        <v>2</v>
      </c>
      <c r="F1709" s="4"/>
      <c r="G1709" s="29" t="str">
        <f>IFERROR(HYPERLINK("#"&amp;ADDRESS(MATCH(B1709&amp;"ES",'LM7 Non-ENG'!$A$1:$A$5000,0),1,,,"LM7 Non-ENG"),IF(IFERROR(VLOOKUP(B1709&amp;"ES",'LM7 Non-ENG'!$A$1:$A$4999,1,FALSE),"ERROR")=B1709&amp;"ES","Y","")),"")</f>
        <v/>
      </c>
      <c r="H1709" s="29" t="str">
        <f>IFERROR(HYPERLINK("#"&amp;ADDRESS(MATCH(B1709&amp;"PT",'LM7 Non-ENG'!$A$1:$A$5000,0),1,,,"LM7 Non-ENG"),IF(IFERROR(VLOOKUP(B1709&amp;"PT",'LM7 Non-ENG'!$A$1:$A$5000,1,FALSE),"ERROR")=B1709&amp;"PT","Y","")),"")</f>
        <v/>
      </c>
      <c r="I1709" t="str">
        <f>IFERROR(VLOOKUP(B1709,PN!$A:$C,3,FALSE),"")</f>
        <v>Active</v>
      </c>
      <c r="J1709" s="3">
        <f>IFERROR(E1709*VLOOKUP(B1709,PLInter!$A:$D,3,FALSE),"")</f>
        <v>1160</v>
      </c>
      <c r="K1709" s="66"/>
      <c r="L1709" s="66"/>
      <c r="M1709" s="66"/>
      <c r="N1709" s="66"/>
      <c r="O1709" s="66"/>
      <c r="P1709" s="66"/>
      <c r="Q1709" s="66"/>
      <c r="R1709" s="66"/>
      <c r="S1709" s="66"/>
    </row>
    <row r="1710" spans="1:19" ht="18" customHeight="1">
      <c r="B1710" t="str">
        <f>"021177"</f>
        <v>021177</v>
      </c>
      <c r="C1710" t="s">
        <v>959</v>
      </c>
      <c r="D1710" s="4"/>
      <c r="E1710" s="4">
        <v>2</v>
      </c>
      <c r="F1710" s="4"/>
      <c r="G1710" s="29" t="str">
        <f>IFERROR(HYPERLINK("#"&amp;ADDRESS(MATCH(B1710&amp;"ES",'LM7 Non-ENG'!$A$1:$A$5000,0),1,,,"LM7 Non-ENG"),IF(IFERROR(VLOOKUP(B1710&amp;"ES",'LM7 Non-ENG'!$A$1:$A$4999,1,FALSE),"ERROR")=B1710&amp;"ES","Y","")),"")</f>
        <v/>
      </c>
      <c r="H1710" s="29" t="str">
        <f>IFERROR(HYPERLINK("#"&amp;ADDRESS(MATCH(B1710&amp;"PT",'LM7 Non-ENG'!$A$1:$A$5000,0),1,,,"LM7 Non-ENG"),IF(IFERROR(VLOOKUP(B1710&amp;"PT",'LM7 Non-ENG'!$A$1:$A$5000,1,FALSE),"ERROR")=B1710&amp;"PT","Y","")),"")</f>
        <v/>
      </c>
      <c r="I1710" t="str">
        <f>IFERROR(VLOOKUP(B1710,PN!$A:$C,3,FALSE),"")</f>
        <v>Active</v>
      </c>
      <c r="J1710" s="3">
        <f>IFERROR(E1710*VLOOKUP(B1710,PLInter!$A:$D,3,FALSE),"")</f>
        <v>60</v>
      </c>
      <c r="K1710" s="66"/>
      <c r="L1710" s="66"/>
      <c r="M1710" s="66"/>
      <c r="N1710" s="66"/>
      <c r="O1710" s="66"/>
      <c r="P1710" s="66"/>
      <c r="Q1710" s="66"/>
      <c r="R1710" s="66"/>
      <c r="S1710" s="66"/>
    </row>
    <row r="1711" spans="1:19" ht="18" customHeight="1">
      <c r="B1711" t="s">
        <v>917</v>
      </c>
      <c r="C1711" t="s">
        <v>951</v>
      </c>
      <c r="D1711" s="4"/>
      <c r="E1711" s="4">
        <v>1</v>
      </c>
      <c r="F1711" s="4"/>
      <c r="G1711" s="29" t="str">
        <f>IFERROR(HYPERLINK("#"&amp;ADDRESS(MATCH(B1711&amp;"ES",'LM7 Non-ENG'!$A$1:$A$5000,0),1,,,"LM7 Non-ENG"),IF(IFERROR(VLOOKUP(B1711&amp;"ES",'LM7 Non-ENG'!$A$1:$A$4999,1,FALSE),"ERROR")=B1711&amp;"ES","Y","")),"")</f>
        <v/>
      </c>
      <c r="H1711" s="29" t="str">
        <f>IFERROR(HYPERLINK("#"&amp;ADDRESS(MATCH(B1711&amp;"PT",'LM7 Non-ENG'!$A$1:$A$5000,0),1,,,"LM7 Non-ENG"),IF(IFERROR(VLOOKUP(B1711&amp;"PT",'LM7 Non-ENG'!$A$1:$A$5000,1,FALSE),"ERROR")=B1711&amp;"PT","Y","")),"")</f>
        <v/>
      </c>
      <c r="I1711" t="str">
        <f>IFERROR(VLOOKUP(B1711,PN!$A:$C,3,FALSE),"")</f>
        <v>Phase Out</v>
      </c>
      <c r="J1711" s="3">
        <f>IFERROR(E1711*VLOOKUP(B1711,PLInter!$A:$D,3,FALSE),"")</f>
        <v>1735</v>
      </c>
      <c r="K1711" s="66"/>
      <c r="L1711" s="66"/>
      <c r="M1711" s="66"/>
      <c r="N1711" s="66"/>
      <c r="O1711" s="66"/>
      <c r="P1711" s="66"/>
      <c r="Q1711" s="66"/>
      <c r="R1711" s="66"/>
      <c r="S1711" s="66"/>
    </row>
    <row r="1712" spans="1:19" ht="18" customHeight="1">
      <c r="B1712" t="s">
        <v>919</v>
      </c>
      <c r="C1712" t="s">
        <v>952</v>
      </c>
      <c r="D1712" s="4"/>
      <c r="E1712" s="4">
        <v>1</v>
      </c>
      <c r="F1712" s="4"/>
      <c r="G1712" s="29" t="str">
        <f>IFERROR(HYPERLINK("#"&amp;ADDRESS(MATCH(B1712&amp;"ES",'LM7 Non-ENG'!$A$1:$A$5000,0),1,,,"LM7 Non-ENG"),IF(IFERROR(VLOOKUP(B1712&amp;"ES",'LM7 Non-ENG'!$A$1:$A$4999,1,FALSE),"ERROR")=B1712&amp;"ES","Y","")),"")</f>
        <v/>
      </c>
      <c r="H1712" s="29" t="str">
        <f>IFERROR(HYPERLINK("#"&amp;ADDRESS(MATCH(B1712&amp;"PT",'LM7 Non-ENG'!$A$1:$A$5000,0),1,,,"LM7 Non-ENG"),IF(IFERROR(VLOOKUP(B1712&amp;"PT",'LM7 Non-ENG'!$A$1:$A$5000,1,FALSE),"ERROR")=B1712&amp;"PT","Y","")),"")</f>
        <v/>
      </c>
      <c r="I1712" t="str">
        <f>IFERROR(VLOOKUP(B1712,PN!$A:$C,3,FALSE),"")</f>
        <v>Active</v>
      </c>
      <c r="J1712" s="3">
        <f>IFERROR(E1712*VLOOKUP(B1712,PLInter!$A:$D,3,FALSE),"")</f>
        <v>635</v>
      </c>
      <c r="K1712" s="66"/>
      <c r="L1712" s="66"/>
      <c r="M1712" s="66"/>
      <c r="N1712" s="66"/>
      <c r="O1712" s="66"/>
      <c r="P1712" s="66"/>
      <c r="Q1712" s="66"/>
      <c r="R1712" s="66"/>
      <c r="S1712" s="66"/>
    </row>
    <row r="1713" spans="1:19" ht="18" customHeight="1">
      <c r="B1713" t="s">
        <v>921</v>
      </c>
      <c r="C1713" t="s">
        <v>922</v>
      </c>
      <c r="D1713" s="4"/>
      <c r="E1713" s="4">
        <v>1</v>
      </c>
      <c r="F1713" s="4"/>
      <c r="G1713" s="29" t="str">
        <f>IFERROR(HYPERLINK("#"&amp;ADDRESS(MATCH(B1713&amp;"ES",'LM7 Non-ENG'!$A$1:$A$5000,0),1,,,"LM7 Non-ENG"),IF(IFERROR(VLOOKUP(B1713&amp;"ES",'LM7 Non-ENG'!$A$1:$A$4999,1,FALSE),"ERROR")=B1713&amp;"ES","Y","")),"")</f>
        <v/>
      </c>
      <c r="H1713" s="29" t="str">
        <f>IFERROR(HYPERLINK("#"&amp;ADDRESS(MATCH(B1713&amp;"PT",'LM7 Non-ENG'!$A$1:$A$5000,0),1,,,"LM7 Non-ENG"),IF(IFERROR(VLOOKUP(B1713&amp;"PT",'LM7 Non-ENG'!$A$1:$A$5000,1,FALSE),"ERROR")=B1713&amp;"PT","Y","")),"")</f>
        <v/>
      </c>
      <c r="I1713" t="str">
        <f>IFERROR(VLOOKUP(B1713,PN!$A:$C,3,FALSE),"")</f>
        <v>Active</v>
      </c>
      <c r="J1713" s="3">
        <f>IFERROR(E1713*VLOOKUP(B1713,PLInter!$A:$D,3,FALSE),"")</f>
        <v>2585</v>
      </c>
      <c r="K1713" s="66"/>
      <c r="L1713" s="66"/>
      <c r="M1713" s="66"/>
      <c r="N1713" s="66"/>
      <c r="O1713" s="66"/>
      <c r="P1713" s="66"/>
      <c r="Q1713" s="66"/>
      <c r="R1713" s="66"/>
      <c r="S1713" s="66"/>
    </row>
    <row r="1714" spans="1:19" ht="18" customHeight="1">
      <c r="B1714" t="s">
        <v>923</v>
      </c>
      <c r="C1714" t="s">
        <v>924</v>
      </c>
      <c r="D1714" s="4"/>
      <c r="E1714" s="4">
        <v>12</v>
      </c>
      <c r="F1714" s="4"/>
      <c r="G1714" s="29" t="str">
        <f>IFERROR(HYPERLINK("#"&amp;ADDRESS(MATCH(B1714&amp;"ES",'LM7 Non-ENG'!$A$1:$A$5000,0),1,,,"LM7 Non-ENG"),IF(IFERROR(VLOOKUP(B1714&amp;"ES",'LM7 Non-ENG'!$A$1:$A$4999,1,FALSE),"ERROR")=B1714&amp;"ES","Y","")),"")</f>
        <v/>
      </c>
      <c r="H1714" s="29" t="str">
        <f>IFERROR(HYPERLINK("#"&amp;ADDRESS(MATCH(B1714&amp;"PT",'LM7 Non-ENG'!$A$1:$A$5000,0),1,,,"LM7 Non-ENG"),IF(IFERROR(VLOOKUP(B1714&amp;"PT",'LM7 Non-ENG'!$A$1:$A$5000,1,FALSE),"ERROR")=B1714&amp;"PT","Y","")),"")</f>
        <v/>
      </c>
      <c r="I1714" t="str">
        <f>IFERROR(VLOOKUP(B1714,PN!$A:$C,3,FALSE),"")</f>
        <v>Active</v>
      </c>
      <c r="J1714" s="3">
        <f>IFERROR(E1714*VLOOKUP(B1714,PLInter!$A:$D,3,FALSE),"")</f>
        <v>1104</v>
      </c>
      <c r="K1714" s="66"/>
      <c r="L1714" s="66"/>
      <c r="M1714" s="66"/>
      <c r="N1714" s="66"/>
      <c r="O1714" s="66"/>
      <c r="P1714" s="66"/>
      <c r="Q1714" s="66"/>
      <c r="R1714" s="66"/>
      <c r="S1714" s="66"/>
    </row>
    <row r="1715" spans="1:19" ht="18" customHeight="1">
      <c r="B1715" t="s">
        <v>931</v>
      </c>
      <c r="C1715" t="s">
        <v>932</v>
      </c>
      <c r="D1715" s="4"/>
      <c r="E1715" s="4">
        <v>1</v>
      </c>
      <c r="F1715" s="4"/>
      <c r="G1715" s="29" t="str">
        <f>IFERROR(HYPERLINK("#"&amp;ADDRESS(MATCH(B1715&amp;"ES",'LM7 Non-ENG'!$A$1:$A$5000,0),1,,,"LM7 Non-ENG"),IF(IFERROR(VLOOKUP(B1715&amp;"ES",'LM7 Non-ENG'!$A$1:$A$4999,1,FALSE),"ERROR")=B1715&amp;"ES","Y","")),"")</f>
        <v/>
      </c>
      <c r="H1715" s="29" t="str">
        <f>IFERROR(HYPERLINK("#"&amp;ADDRESS(MATCH(B1715&amp;"PT",'LM7 Non-ENG'!$A$1:$A$5000,0),1,,,"LM7 Non-ENG"),IF(IFERROR(VLOOKUP(B1715&amp;"PT",'LM7 Non-ENG'!$A$1:$A$5000,1,FALSE),"ERROR")=B1715&amp;"PT","Y","")),"")</f>
        <v/>
      </c>
      <c r="I1715" t="str">
        <f>IFERROR(VLOOKUP(B1715,PN!$A:$C,3,FALSE),"")</f>
        <v>Active</v>
      </c>
      <c r="J1715" s="3">
        <f>IFERROR(E1715*VLOOKUP(B1715,PLInter!$A:$D,3,FALSE),"")</f>
        <v>6335</v>
      </c>
      <c r="K1715" s="66"/>
      <c r="L1715" s="66"/>
      <c r="M1715" s="66"/>
      <c r="N1715" s="66"/>
      <c r="O1715" s="66"/>
      <c r="P1715" s="66"/>
      <c r="Q1715" s="66"/>
      <c r="R1715" s="66"/>
      <c r="S1715" s="66"/>
    </row>
    <row r="1716" spans="1:19" ht="18" customHeight="1">
      <c r="B1716" t="s">
        <v>1009</v>
      </c>
      <c r="C1716" t="s">
        <v>1010</v>
      </c>
      <c r="D1716" s="4"/>
      <c r="E1716" s="4">
        <v>1</v>
      </c>
      <c r="F1716" s="4"/>
      <c r="G1716" s="29" t="str">
        <f>IFERROR(HYPERLINK("#"&amp;ADDRESS(MATCH(B1716&amp;"ES",'LM7 Non-ENG'!$A$1:$A$5000,0),1,,,"LM7 Non-ENG"),IF(IFERROR(VLOOKUP(B1716&amp;"ES",'LM7 Non-ENG'!$A$1:$A$4999,1,FALSE),"ERROR")=B1716&amp;"ES","Y","")),"")</f>
        <v/>
      </c>
      <c r="H1716" s="29" t="str">
        <f>IFERROR(HYPERLINK("#"&amp;ADDRESS(MATCH(B1716&amp;"PT",'LM7 Non-ENG'!$A$1:$A$5000,0),1,,,"LM7 Non-ENG"),IF(IFERROR(VLOOKUP(B1716&amp;"PT",'LM7 Non-ENG'!$A$1:$A$5000,1,FALSE),"ERROR")=B1716&amp;"PT","Y","")),"")</f>
        <v/>
      </c>
      <c r="I1716" t="str">
        <f>IFERROR(VLOOKUP(B1716,PN!$A:$C,3,FALSE),"")</f>
        <v>Active</v>
      </c>
      <c r="J1716" s="3">
        <f>IFERROR(E1716*VLOOKUP(B1716,PLInter!$A:$D,3,FALSE),"")</f>
        <v>1800</v>
      </c>
      <c r="K1716" s="66"/>
      <c r="L1716" s="66"/>
      <c r="M1716" s="66"/>
      <c r="N1716" s="66"/>
      <c r="O1716" s="66"/>
      <c r="P1716" s="66"/>
      <c r="Q1716" s="66"/>
      <c r="R1716" s="66"/>
      <c r="S1716" s="66"/>
    </row>
    <row r="1717" spans="1:19" ht="18" customHeight="1">
      <c r="B1717" t="s">
        <v>977</v>
      </c>
      <c r="C1717" t="s">
        <v>978</v>
      </c>
      <c r="D1717" s="4"/>
      <c r="E1717" s="4">
        <v>1</v>
      </c>
      <c r="F1717" s="4"/>
      <c r="G1717" s="29" t="str">
        <f>IFERROR(HYPERLINK("#"&amp;ADDRESS(MATCH(B1717&amp;"ES",'LM7 Non-ENG'!$A$1:$A$5000,0),1,,,"LM7 Non-ENG"),IF(IFERROR(VLOOKUP(B1717&amp;"ES",'LM7 Non-ENG'!$A$1:$A$4999,1,FALSE),"ERROR")=B1717&amp;"ES","Y","")),"")</f>
        <v/>
      </c>
      <c r="H1717" s="29" t="str">
        <f>IFERROR(HYPERLINK("#"&amp;ADDRESS(MATCH(B1717&amp;"PT",'LM7 Non-ENG'!$A$1:$A$5000,0),1,,,"LM7 Non-ENG"),IF(IFERROR(VLOOKUP(B1717&amp;"PT",'LM7 Non-ENG'!$A$1:$A$5000,1,FALSE),"ERROR")=B1717&amp;"PT","Y","")),"")</f>
        <v/>
      </c>
      <c r="I1717" t="str">
        <f>IFERROR(VLOOKUP(B1717,PN!$A:$C,3,FALSE),"")</f>
        <v>Active</v>
      </c>
      <c r="J1717" s="3">
        <f>IFERROR(E1717*VLOOKUP(B1717,PLInter!$A:$D,3,FALSE),"")</f>
        <v>3885</v>
      </c>
      <c r="K1717" s="66"/>
      <c r="L1717" s="66"/>
      <c r="M1717" s="66"/>
      <c r="N1717" s="66"/>
      <c r="O1717" s="66"/>
      <c r="P1717" s="66"/>
      <c r="Q1717" s="66"/>
      <c r="R1717" s="66"/>
      <c r="S1717" s="66"/>
    </row>
    <row r="1718" spans="1:19" ht="18" customHeight="1">
      <c r="B1718" t="str">
        <f>"113096"</f>
        <v>113096</v>
      </c>
      <c r="C1718" t="s">
        <v>943</v>
      </c>
      <c r="D1718" s="4"/>
      <c r="E1718" s="4">
        <v>3</v>
      </c>
      <c r="F1718" s="4"/>
      <c r="G1718" s="29" t="str">
        <f>IFERROR(HYPERLINK("#"&amp;ADDRESS(MATCH(B1718&amp;"ES",'LM7 Non-ENG'!$A$1:$A$5000,0),1,,,"LM7 Non-ENG"),IF(IFERROR(VLOOKUP(B1718&amp;"ES",'LM7 Non-ENG'!$A$1:$A$4999,1,FALSE),"ERROR")=B1718&amp;"ES","Y","")),"")</f>
        <v/>
      </c>
      <c r="H1718" s="29" t="str">
        <f>IFERROR(HYPERLINK("#"&amp;ADDRESS(MATCH(B1718&amp;"PT",'LM7 Non-ENG'!$A$1:$A$5000,0),1,,,"LM7 Non-ENG"),IF(IFERROR(VLOOKUP(B1718&amp;"PT",'LM7 Non-ENG'!$A$1:$A$5000,1,FALSE),"ERROR")=B1718&amp;"PT","Y","")),"")</f>
        <v/>
      </c>
      <c r="I1718" t="str">
        <f>IFERROR(VLOOKUP(B1718,PN!$A:$C,3,FALSE),"")</f>
        <v>Active</v>
      </c>
      <c r="J1718" s="3">
        <f>IFERROR(E1718*VLOOKUP(B1718,PLInter!$A:$D,3,FALSE),"")</f>
        <v>162</v>
      </c>
      <c r="K1718" s="66"/>
      <c r="L1718" s="66"/>
      <c r="M1718" s="66"/>
      <c r="N1718" s="66"/>
      <c r="O1718" s="66"/>
      <c r="P1718" s="66"/>
      <c r="Q1718" s="66"/>
      <c r="R1718" s="66"/>
      <c r="S1718" s="66"/>
    </row>
    <row r="1719" spans="1:19" ht="18" customHeight="1">
      <c r="B1719" t="str">
        <f>"112713"</f>
        <v>112713</v>
      </c>
      <c r="C1719" t="s">
        <v>944</v>
      </c>
      <c r="D1719" s="4"/>
      <c r="E1719" s="4">
        <v>3</v>
      </c>
      <c r="F1719" s="4"/>
      <c r="G1719" s="29" t="str">
        <f>IFERROR(HYPERLINK("#"&amp;ADDRESS(MATCH(B1719&amp;"ES",'LM7 Non-ENG'!$A$1:$A$5000,0),1,,,"LM7 Non-ENG"),IF(IFERROR(VLOOKUP(B1719&amp;"ES",'LM7 Non-ENG'!$A$1:$A$4999,1,FALSE),"ERROR")=B1719&amp;"ES","Y","")),"")</f>
        <v/>
      </c>
      <c r="H1719" s="29" t="str">
        <f>IFERROR(HYPERLINK("#"&amp;ADDRESS(MATCH(B1719&amp;"PT",'LM7 Non-ENG'!$A$1:$A$5000,0),1,,,"LM7 Non-ENG"),IF(IFERROR(VLOOKUP(B1719&amp;"PT",'LM7 Non-ENG'!$A$1:$A$5000,1,FALSE),"ERROR")=B1719&amp;"PT","Y","")),"")</f>
        <v/>
      </c>
      <c r="I1719" t="str">
        <f>IFERROR(VLOOKUP(B1719,PN!$A:$C,3,FALSE),"")</f>
        <v>Active</v>
      </c>
      <c r="J1719" s="3">
        <f>IFERROR(E1719*VLOOKUP(B1719,PLInter!$A:$D,3,FALSE),"")</f>
        <v>300</v>
      </c>
      <c r="K1719" s="66"/>
      <c r="L1719" s="66"/>
      <c r="M1719" s="66"/>
      <c r="N1719" s="66"/>
      <c r="O1719" s="66"/>
      <c r="P1719" s="66"/>
      <c r="Q1719" s="66"/>
      <c r="R1719" s="66"/>
      <c r="S1719" s="66"/>
    </row>
    <row r="1720" spans="1:19" ht="18" customHeight="1">
      <c r="B1720" t="str">
        <f>"113316"</f>
        <v>113316</v>
      </c>
      <c r="C1720" t="s">
        <v>979</v>
      </c>
      <c r="D1720" s="4"/>
      <c r="E1720" s="4">
        <v>1</v>
      </c>
      <c r="F1720" s="4"/>
      <c r="G1720" s="29" t="str">
        <f>IFERROR(HYPERLINK("#"&amp;ADDRESS(MATCH(B1720&amp;"ES",'LM7 Non-ENG'!$A$1:$A$5000,0),1,,,"LM7 Non-ENG"),IF(IFERROR(VLOOKUP(B1720&amp;"ES",'LM7 Non-ENG'!$A$1:$A$4999,1,FALSE),"ERROR")=B1720&amp;"ES","Y","")),"")</f>
        <v/>
      </c>
      <c r="H1720" s="29" t="str">
        <f>IFERROR(HYPERLINK("#"&amp;ADDRESS(MATCH(B1720&amp;"PT",'LM7 Non-ENG'!$A$1:$A$5000,0),1,,,"LM7 Non-ENG"),IF(IFERROR(VLOOKUP(B1720&amp;"PT",'LM7 Non-ENG'!$A$1:$A$5000,1,FALSE),"ERROR")=B1720&amp;"PT","Y","")),"")</f>
        <v/>
      </c>
      <c r="I1720" t="str">
        <f>IFERROR(VLOOKUP(B1720,PN!$A:$C,3,FALSE),"")</f>
        <v>Active</v>
      </c>
      <c r="J1720" s="3">
        <f>IFERROR(E1720*VLOOKUP(B1720,PLInter!$A:$D,3,FALSE),"")</f>
        <v>20</v>
      </c>
      <c r="K1720" s="66"/>
      <c r="L1720" s="66"/>
      <c r="M1720" s="66"/>
      <c r="N1720" s="66"/>
      <c r="O1720" s="66"/>
      <c r="P1720" s="66"/>
      <c r="Q1720" s="66"/>
      <c r="R1720" s="66"/>
      <c r="S1720" s="66"/>
    </row>
    <row r="1721" spans="1:19" ht="18" customHeight="1">
      <c r="B1721" t="s">
        <v>902</v>
      </c>
      <c r="C1721" t="s">
        <v>903</v>
      </c>
      <c r="D1721" s="4"/>
      <c r="E1721" s="4">
        <v>1</v>
      </c>
      <c r="F1721" s="4"/>
      <c r="G1721" s="29" t="str">
        <f>IFERROR(HYPERLINK("#"&amp;ADDRESS(MATCH(B1721&amp;"ES",'LM7 Non-ENG'!$A$1:$A$5000,0),1,,,"LM7 Non-ENG"),IF(IFERROR(VLOOKUP(B1721&amp;"ES",'LM7 Non-ENG'!$A$1:$A$4999,1,FALSE),"ERROR")=B1721&amp;"ES","Y","")),"")</f>
        <v/>
      </c>
      <c r="H1721" s="29" t="str">
        <f>IFERROR(HYPERLINK("#"&amp;ADDRESS(MATCH(B1721&amp;"PT",'LM7 Non-ENG'!$A$1:$A$5000,0),1,,,"LM7 Non-ENG"),IF(IFERROR(VLOOKUP(B1721&amp;"PT",'LM7 Non-ENG'!$A$1:$A$5000,1,FALSE),"ERROR")=B1721&amp;"PT","Y","")),"")</f>
        <v/>
      </c>
      <c r="I1721" t="str">
        <f>IFERROR(VLOOKUP(B1721,PN!$A:$C,3,FALSE),"")</f>
        <v>Active</v>
      </c>
      <c r="J1721" s="3">
        <f>IFERROR(E1721*VLOOKUP(B1721,PLInter!$A:$D,3,FALSE),"")</f>
        <v>2000</v>
      </c>
      <c r="K1721" s="66"/>
      <c r="L1721" s="66"/>
      <c r="M1721" s="66"/>
      <c r="N1721" s="66"/>
      <c r="O1721" s="66"/>
      <c r="P1721" s="66"/>
      <c r="Q1721" s="66"/>
      <c r="R1721" s="66"/>
      <c r="S1721" s="66"/>
    </row>
    <row r="1722" spans="1:19" ht="18" customHeight="1">
      <c r="B1722" t="s">
        <v>244</v>
      </c>
      <c r="C1722" t="s">
        <v>247</v>
      </c>
      <c r="D1722" s="4"/>
      <c r="E1722" s="4">
        <v>1</v>
      </c>
      <c r="F1722" s="4"/>
      <c r="G1722" s="29" t="str">
        <f>IFERROR(HYPERLINK("#"&amp;ADDRESS(MATCH(B1722&amp;"ES",'LM7 Non-ENG'!$A$1:$A$5000,0),1,,,"LM7 Non-ENG"),IF(IFERROR(VLOOKUP(B1722&amp;"ES",'LM7 Non-ENG'!$A$1:$A$4999,1,FALSE),"ERROR")=B1722&amp;"ES","Y","")),"")</f>
        <v/>
      </c>
      <c r="H1722" s="29" t="str">
        <f>IFERROR(HYPERLINK("#"&amp;ADDRESS(MATCH(B1722&amp;"PT",'LM7 Non-ENG'!$A$1:$A$5000,0),1,,,"LM7 Non-ENG"),IF(IFERROR(VLOOKUP(B1722&amp;"PT",'LM7 Non-ENG'!$A$1:$A$5000,1,FALSE),"ERROR")=B1722&amp;"PT","Y","")),"")</f>
        <v/>
      </c>
      <c r="I1722" t="str">
        <f>IFERROR(VLOOKUP(B1722,PN!$A:$C,3,FALSE),"")</f>
        <v>Active</v>
      </c>
      <c r="J1722" s="3">
        <f>IFERROR(E1722*VLOOKUP(B1722,PLInter!$A:$D,3,FALSE),"")</f>
        <v>2400</v>
      </c>
      <c r="K1722" s="66"/>
      <c r="L1722" s="66"/>
      <c r="M1722" s="66"/>
      <c r="N1722" s="66"/>
      <c r="O1722" s="66"/>
      <c r="P1722" s="66"/>
      <c r="Q1722" s="66"/>
      <c r="R1722" s="66"/>
      <c r="S1722" s="66"/>
    </row>
    <row r="1723" spans="1:19" ht="18" customHeight="1">
      <c r="B1723" t="s">
        <v>697</v>
      </c>
      <c r="C1723" t="s">
        <v>698</v>
      </c>
      <c r="D1723" s="4"/>
      <c r="E1723" s="4">
        <v>1</v>
      </c>
      <c r="F1723" s="4"/>
      <c r="G1723" s="29" t="str">
        <f>IFERROR(HYPERLINK("#"&amp;ADDRESS(MATCH(B1723&amp;"ES",'LM7 Non-ENG'!$A$1:$A$5000,0),1,,,"LM7 Non-ENG"),IF(IFERROR(VLOOKUP(B1723&amp;"ES",'LM7 Non-ENG'!$A$1:$A$4999,1,FALSE),"ERROR")=B1723&amp;"ES","Y","")),"")</f>
        <v/>
      </c>
      <c r="H1723" s="29" t="str">
        <f>IFERROR(HYPERLINK("#"&amp;ADDRESS(MATCH(B1723&amp;"PT",'LM7 Non-ENG'!$A$1:$A$5000,0),1,,,"LM7 Non-ENG"),IF(IFERROR(VLOOKUP(B1723&amp;"PT",'LM7 Non-ENG'!$A$1:$A$5000,1,FALSE),"ERROR")=B1723&amp;"PT","Y","")),"")</f>
        <v/>
      </c>
      <c r="I1723" t="str">
        <f>IFERROR(VLOOKUP(B1723,PN!$A:$C,3,FALSE),"")</f>
        <v>Active</v>
      </c>
      <c r="J1723" s="3">
        <f>IFERROR(E1723*VLOOKUP(B1723,PLInter!$A:$D,3,FALSE),"")</f>
        <v>934</v>
      </c>
      <c r="K1723" s="66"/>
      <c r="L1723" s="66"/>
      <c r="M1723" s="66"/>
      <c r="N1723" s="66"/>
      <c r="O1723" s="66"/>
      <c r="P1723" s="66"/>
      <c r="Q1723" s="66"/>
      <c r="R1723" s="66"/>
      <c r="S1723" s="66"/>
    </row>
    <row r="1724" spans="1:19" ht="18" customHeight="1">
      <c r="B1724" t="s">
        <v>630</v>
      </c>
      <c r="C1724" t="s">
        <v>631</v>
      </c>
      <c r="D1724" s="4"/>
      <c r="E1724" s="4">
        <v>1</v>
      </c>
      <c r="F1724" s="4"/>
      <c r="G1724" s="29" t="str">
        <f>IFERROR(HYPERLINK("#"&amp;ADDRESS(MATCH(B1724&amp;"ES",'LM7 Non-ENG'!$A$1:$A$5000,0),1,,,"LM7 Non-ENG"),IF(IFERROR(VLOOKUP(B1724&amp;"ES",'LM7 Non-ENG'!$A$1:$A$4999,1,FALSE),"ERROR")=B1724&amp;"ES","Y","")),"")</f>
        <v/>
      </c>
      <c r="H1724" s="29" t="str">
        <f>IFERROR(HYPERLINK("#"&amp;ADDRESS(MATCH(B1724&amp;"PT",'LM7 Non-ENG'!$A$1:$A$5000,0),1,,,"LM7 Non-ENG"),IF(IFERROR(VLOOKUP(B1724&amp;"PT",'LM7 Non-ENG'!$A$1:$A$5000,1,FALSE),"ERROR")=B1724&amp;"PT","Y","")),"")</f>
        <v/>
      </c>
      <c r="I1724" t="str">
        <f>IFERROR(VLOOKUP(B1724,PN!$A:$C,3,FALSE),"")</f>
        <v>Active</v>
      </c>
      <c r="J1724" s="3">
        <f>IFERROR(E1724*VLOOKUP(B1724,PLInter!$A:$D,3,FALSE),"")</f>
        <v>1735</v>
      </c>
      <c r="K1724" s="66"/>
      <c r="L1724" s="66"/>
      <c r="M1724" s="66"/>
      <c r="N1724" s="66"/>
      <c r="O1724" s="66"/>
      <c r="P1724" s="66"/>
      <c r="Q1724" s="66"/>
      <c r="R1724" s="66"/>
      <c r="S1724" s="66"/>
    </row>
    <row r="1726" spans="1:19" s="7" customFormat="1" ht="18" customHeight="1">
      <c r="A1726" s="13" t="s">
        <v>1015</v>
      </c>
      <c r="B1726" s="13"/>
      <c r="C1726" s="13" t="s">
        <v>1016</v>
      </c>
      <c r="D1726" s="14"/>
      <c r="E1726" s="14"/>
      <c r="F1726" s="14"/>
      <c r="G1726" s="14"/>
      <c r="H1726" s="14"/>
      <c r="I1726" s="14"/>
      <c r="J1726" s="14">
        <f>SUMIFS(J1727:J1744,D1727:D1744,"&lt;&gt;Y",F1727:F1744,"&lt;&gt;Y",I1727:I1744,"&lt;&gt;Inactive",I1727:I1744,"&lt;&gt;ECO+NFS")</f>
        <v>58863</v>
      </c>
      <c r="K1726" s="14"/>
      <c r="L1726" s="14"/>
      <c r="M1726" s="14"/>
      <c r="N1726" s="14"/>
      <c r="O1726" s="14"/>
      <c r="P1726" s="14"/>
      <c r="Q1726" s="14"/>
      <c r="R1726" s="14"/>
      <c r="S1726" s="14"/>
    </row>
    <row r="1727" spans="1:19" ht="18" customHeight="1">
      <c r="A1727" s="17" t="str">
        <f>HYPERLINK("#"&amp;ADDRESS(MATCH(A1726,'CIM&amp;FMS'!$A$1:$A$4997,0),1,,,"CIM&amp;FMS"),"Back to Price List")</f>
        <v>Back to Price List</v>
      </c>
      <c r="B1727" t="s">
        <v>215</v>
      </c>
      <c r="C1727" t="s">
        <v>217</v>
      </c>
      <c r="D1727" s="4"/>
      <c r="E1727" s="4">
        <v>1</v>
      </c>
      <c r="F1727" s="4"/>
      <c r="G1727" s="29" t="str">
        <f>IFERROR(HYPERLINK("#"&amp;ADDRESS(MATCH(B1727&amp;"ES",'LM7 Non-ENG'!$A$1:$A$5000,0),1,,,"LM7 Non-ENG"),IF(IFERROR(VLOOKUP(B1727&amp;"ES",'LM7 Non-ENG'!$A$1:$A$4999,1,FALSE),"ERROR")=B1727&amp;"ES","Y","")),"")</f>
        <v/>
      </c>
      <c r="H1727" s="29" t="str">
        <f>IFERROR(HYPERLINK("#"&amp;ADDRESS(MATCH(B1727&amp;"PT",'LM7 Non-ENG'!$A$1:$A$5000,0),1,,,"LM7 Non-ENG"),IF(IFERROR(VLOOKUP(B1727&amp;"PT",'LM7 Non-ENG'!$A$1:$A$5000,1,FALSE),"ERROR")=B1727&amp;"PT","Y","")),"")</f>
        <v/>
      </c>
      <c r="I1727" t="str">
        <f>IFERROR(VLOOKUP(B1727,PN!$A:$C,3,FALSE),"")</f>
        <v>Active</v>
      </c>
      <c r="J1727" s="3">
        <f>IFERROR(E1727*VLOOKUP(B1727,PLInter!$A:$D,3,FALSE),"")</f>
        <v>35000</v>
      </c>
      <c r="K1727" s="66"/>
      <c r="L1727" s="66"/>
      <c r="M1727" s="66"/>
      <c r="N1727" s="66"/>
      <c r="O1727" s="66"/>
      <c r="P1727" s="66"/>
      <c r="Q1727" s="66"/>
      <c r="R1727" s="66"/>
      <c r="S1727" s="66"/>
    </row>
    <row r="1728" spans="1:19" ht="18" customHeight="1">
      <c r="B1728" t="s">
        <v>230</v>
      </c>
      <c r="C1728" t="s">
        <v>235</v>
      </c>
      <c r="D1728" s="4"/>
      <c r="E1728" s="4">
        <v>1</v>
      </c>
      <c r="F1728" s="4"/>
      <c r="G1728" s="29" t="str">
        <f>IFERROR(HYPERLINK("#"&amp;ADDRESS(MATCH(B1728&amp;"ES",'LM7 Non-ENG'!$A$1:$A$5000,0),1,,,"LM7 Non-ENG"),IF(IFERROR(VLOOKUP(B1728&amp;"ES",'LM7 Non-ENG'!$A$1:$A$4999,1,FALSE),"ERROR")=B1728&amp;"ES","Y","")),"")</f>
        <v/>
      </c>
      <c r="H1728" s="29" t="str">
        <f>IFERROR(HYPERLINK("#"&amp;ADDRESS(MATCH(B1728&amp;"PT",'LM7 Non-ENG'!$A$1:$A$5000,0),1,,,"LM7 Non-ENG"),IF(IFERROR(VLOOKUP(B1728&amp;"PT",'LM7 Non-ENG'!$A$1:$A$5000,1,FALSE),"ERROR")=B1728&amp;"PT","Y","")),"")</f>
        <v/>
      </c>
      <c r="I1728" t="str">
        <f>IFERROR(VLOOKUP(B1728,PN!$A:$C,3,FALSE),"")</f>
        <v>Active</v>
      </c>
      <c r="J1728" s="3">
        <f>IFERROR(E1728*VLOOKUP(B1728,PLInter!$A:$D,3,FALSE),"")</f>
        <v>3200</v>
      </c>
      <c r="K1728" s="66"/>
      <c r="L1728" s="66"/>
      <c r="M1728" s="66"/>
      <c r="N1728" s="66"/>
      <c r="O1728" s="66"/>
      <c r="P1728" s="66"/>
      <c r="Q1728" s="66"/>
      <c r="R1728" s="66"/>
      <c r="S1728" s="66"/>
    </row>
    <row r="1729" spans="2:19" ht="18" customHeight="1">
      <c r="B1729" t="str">
        <f>"021031"</f>
        <v>021031</v>
      </c>
      <c r="C1729" s="41" t="s">
        <v>1008</v>
      </c>
      <c r="D1729" s="4"/>
      <c r="E1729" s="4">
        <v>4</v>
      </c>
      <c r="F1729" s="4"/>
      <c r="G1729" s="29" t="str">
        <f>IFERROR(HYPERLINK("#"&amp;ADDRESS(MATCH(B1729&amp;"ES",'LM7 Non-ENG'!$A$1:$A$5000,0),1,,,"LM7 Non-ENG"),IF(IFERROR(VLOOKUP(B1729&amp;"ES",'LM7 Non-ENG'!$A$1:$A$4999,1,FALSE),"ERROR")=B1729&amp;"ES","Y","")),"")</f>
        <v/>
      </c>
      <c r="H1729" s="29" t="str">
        <f>IFERROR(HYPERLINK("#"&amp;ADDRESS(MATCH(B1729&amp;"PT",'LM7 Non-ENG'!$A$1:$A$5000,0),1,,,"LM7 Non-ENG"),IF(IFERROR(VLOOKUP(B1729&amp;"PT",'LM7 Non-ENG'!$A$1:$A$5000,1,FALSE),"ERROR")=B1729&amp;"PT","Y","")),"")</f>
        <v/>
      </c>
      <c r="I1729" t="str">
        <f>IFERROR(VLOOKUP(B1729,PN!$A:$C,3,FALSE),"")</f>
        <v>Active</v>
      </c>
      <c r="J1729" s="3">
        <f>IFERROR(E1729*VLOOKUP(B1729,PLInter!$A:$D,3,FALSE),"")</f>
        <v>216</v>
      </c>
      <c r="K1729" s="66"/>
      <c r="L1729" s="66"/>
      <c r="M1729" s="66"/>
      <c r="N1729" s="66"/>
      <c r="O1729" s="66"/>
      <c r="P1729" s="66"/>
      <c r="Q1729" s="66"/>
      <c r="R1729" s="66"/>
      <c r="S1729" s="66"/>
    </row>
    <row r="1730" spans="2:19" ht="18" customHeight="1">
      <c r="B1730" t="s">
        <v>684</v>
      </c>
      <c r="C1730" t="s">
        <v>685</v>
      </c>
      <c r="D1730" s="4"/>
      <c r="E1730" s="4">
        <v>2</v>
      </c>
      <c r="F1730" s="4"/>
      <c r="G1730" s="29" t="str">
        <f>IFERROR(HYPERLINK("#"&amp;ADDRESS(MATCH(B1730&amp;"ES",'LM7 Non-ENG'!$A$1:$A$5000,0),1,,,"LM7 Non-ENG"),IF(IFERROR(VLOOKUP(B1730&amp;"ES",'LM7 Non-ENG'!$A$1:$A$4999,1,FALSE),"ERROR")=B1730&amp;"ES","Y","")),"")</f>
        <v/>
      </c>
      <c r="H1730" s="29" t="str">
        <f>IFERROR(HYPERLINK("#"&amp;ADDRESS(MATCH(B1730&amp;"PT",'LM7 Non-ENG'!$A$1:$A$5000,0),1,,,"LM7 Non-ENG"),IF(IFERROR(VLOOKUP(B1730&amp;"PT",'LM7 Non-ENG'!$A$1:$A$5000,1,FALSE),"ERROR")=B1730&amp;"PT","Y","")),"")</f>
        <v/>
      </c>
      <c r="I1730" t="str">
        <f>IFERROR(VLOOKUP(B1730,PN!$A:$C,3,FALSE),"")</f>
        <v>Active</v>
      </c>
      <c r="J1730" s="3">
        <f>IFERROR(E1730*VLOOKUP(B1730,PLInter!$A:$D,3,FALSE),"")</f>
        <v>1160</v>
      </c>
      <c r="K1730" s="66"/>
      <c r="L1730" s="66"/>
      <c r="M1730" s="66"/>
      <c r="N1730" s="66"/>
      <c r="O1730" s="66"/>
      <c r="P1730" s="66"/>
      <c r="Q1730" s="66"/>
      <c r="R1730" s="66"/>
      <c r="S1730" s="66"/>
    </row>
    <row r="1731" spans="2:19" ht="18" customHeight="1">
      <c r="B1731" t="str">
        <f>"021177"</f>
        <v>021177</v>
      </c>
      <c r="C1731" t="s">
        <v>959</v>
      </c>
      <c r="D1731" s="4"/>
      <c r="E1731" s="4">
        <v>2</v>
      </c>
      <c r="F1731" s="4"/>
      <c r="G1731" s="29" t="str">
        <f>IFERROR(HYPERLINK("#"&amp;ADDRESS(MATCH(B1731&amp;"ES",'LM7 Non-ENG'!$A$1:$A$5000,0),1,,,"LM7 Non-ENG"),IF(IFERROR(VLOOKUP(B1731&amp;"ES",'LM7 Non-ENG'!$A$1:$A$4999,1,FALSE),"ERROR")=B1731&amp;"ES","Y","")),"")</f>
        <v/>
      </c>
      <c r="H1731" s="29" t="str">
        <f>IFERROR(HYPERLINK("#"&amp;ADDRESS(MATCH(B1731&amp;"PT",'LM7 Non-ENG'!$A$1:$A$5000,0),1,,,"LM7 Non-ENG"),IF(IFERROR(VLOOKUP(B1731&amp;"PT",'LM7 Non-ENG'!$A$1:$A$5000,1,FALSE),"ERROR")=B1731&amp;"PT","Y","")),"")</f>
        <v/>
      </c>
      <c r="I1731" t="str">
        <f>IFERROR(VLOOKUP(B1731,PN!$A:$C,3,FALSE),"")</f>
        <v>Active</v>
      </c>
      <c r="J1731" s="3">
        <f>IFERROR(E1731*VLOOKUP(B1731,PLInter!$A:$D,3,FALSE),"")</f>
        <v>60</v>
      </c>
      <c r="K1731" s="66"/>
      <c r="L1731" s="66"/>
      <c r="M1731" s="66"/>
      <c r="N1731" s="66"/>
      <c r="O1731" s="66"/>
      <c r="P1731" s="66"/>
      <c r="Q1731" s="66"/>
      <c r="R1731" s="66"/>
      <c r="S1731" s="66"/>
    </row>
    <row r="1732" spans="2:19" ht="18" customHeight="1">
      <c r="B1732" t="s">
        <v>917</v>
      </c>
      <c r="C1732" t="s">
        <v>951</v>
      </c>
      <c r="D1732" s="4"/>
      <c r="E1732" s="4">
        <v>1</v>
      </c>
      <c r="F1732" s="4"/>
      <c r="G1732" s="29" t="str">
        <f>IFERROR(HYPERLINK("#"&amp;ADDRESS(MATCH(B1732&amp;"ES",'LM7 Non-ENG'!$A$1:$A$5000,0),1,,,"LM7 Non-ENG"),IF(IFERROR(VLOOKUP(B1732&amp;"ES",'LM7 Non-ENG'!$A$1:$A$4999,1,FALSE),"ERROR")=B1732&amp;"ES","Y","")),"")</f>
        <v/>
      </c>
      <c r="H1732" s="29" t="str">
        <f>IFERROR(HYPERLINK("#"&amp;ADDRESS(MATCH(B1732&amp;"PT",'LM7 Non-ENG'!$A$1:$A$5000,0),1,,,"LM7 Non-ENG"),IF(IFERROR(VLOOKUP(B1732&amp;"PT",'LM7 Non-ENG'!$A$1:$A$5000,1,FALSE),"ERROR")=B1732&amp;"PT","Y","")),"")</f>
        <v/>
      </c>
      <c r="I1732" t="str">
        <f>IFERROR(VLOOKUP(B1732,PN!$A:$C,3,FALSE),"")</f>
        <v>Phase Out</v>
      </c>
      <c r="J1732" s="3">
        <f>IFERROR(E1732*VLOOKUP(B1732,PLInter!$A:$D,3,FALSE),"")</f>
        <v>1735</v>
      </c>
      <c r="K1732" s="66"/>
      <c r="L1732" s="66"/>
      <c r="M1732" s="66"/>
      <c r="N1732" s="66"/>
      <c r="O1732" s="66"/>
      <c r="P1732" s="66"/>
      <c r="Q1732" s="66"/>
      <c r="R1732" s="66"/>
      <c r="S1732" s="66"/>
    </row>
    <row r="1733" spans="2:19" ht="18" customHeight="1">
      <c r="B1733" t="s">
        <v>919</v>
      </c>
      <c r="C1733" t="s">
        <v>952</v>
      </c>
      <c r="D1733" s="4"/>
      <c r="E1733" s="4">
        <v>1</v>
      </c>
      <c r="F1733" s="4"/>
      <c r="G1733" s="29" t="str">
        <f>IFERROR(HYPERLINK("#"&amp;ADDRESS(MATCH(B1733&amp;"ES",'LM7 Non-ENG'!$A$1:$A$5000,0),1,,,"LM7 Non-ENG"),IF(IFERROR(VLOOKUP(B1733&amp;"ES",'LM7 Non-ENG'!$A$1:$A$4999,1,FALSE),"ERROR")=B1733&amp;"ES","Y","")),"")</f>
        <v/>
      </c>
      <c r="H1733" s="29" t="str">
        <f>IFERROR(HYPERLINK("#"&amp;ADDRESS(MATCH(B1733&amp;"PT",'LM7 Non-ENG'!$A$1:$A$5000,0),1,,,"LM7 Non-ENG"),IF(IFERROR(VLOOKUP(B1733&amp;"PT",'LM7 Non-ENG'!$A$1:$A$5000,1,FALSE),"ERROR")=B1733&amp;"PT","Y","")),"")</f>
        <v/>
      </c>
      <c r="I1733" t="str">
        <f>IFERROR(VLOOKUP(B1733,PN!$A:$C,3,FALSE),"")</f>
        <v>Active</v>
      </c>
      <c r="J1733" s="3">
        <f>IFERROR(E1733*VLOOKUP(B1733,PLInter!$A:$D,3,FALSE),"")</f>
        <v>635</v>
      </c>
      <c r="K1733" s="66"/>
      <c r="L1733" s="66"/>
      <c r="M1733" s="66"/>
      <c r="N1733" s="66"/>
      <c r="O1733" s="66"/>
      <c r="P1733" s="66"/>
      <c r="Q1733" s="66"/>
      <c r="R1733" s="66"/>
      <c r="S1733" s="66"/>
    </row>
    <row r="1734" spans="2:19" ht="18" customHeight="1">
      <c r="B1734" t="s">
        <v>921</v>
      </c>
      <c r="C1734" t="s">
        <v>922</v>
      </c>
      <c r="D1734" s="4"/>
      <c r="E1734" s="4">
        <v>1</v>
      </c>
      <c r="F1734" s="4"/>
      <c r="G1734" s="29" t="str">
        <f>IFERROR(HYPERLINK("#"&amp;ADDRESS(MATCH(B1734&amp;"ES",'LM7 Non-ENG'!$A$1:$A$5000,0),1,,,"LM7 Non-ENG"),IF(IFERROR(VLOOKUP(B1734&amp;"ES",'LM7 Non-ENG'!$A$1:$A$4999,1,FALSE),"ERROR")=B1734&amp;"ES","Y","")),"")</f>
        <v/>
      </c>
      <c r="H1734" s="29" t="str">
        <f>IFERROR(HYPERLINK("#"&amp;ADDRESS(MATCH(B1734&amp;"PT",'LM7 Non-ENG'!$A$1:$A$5000,0),1,,,"LM7 Non-ENG"),IF(IFERROR(VLOOKUP(B1734&amp;"PT",'LM7 Non-ENG'!$A$1:$A$5000,1,FALSE),"ERROR")=B1734&amp;"PT","Y","")),"")</f>
        <v/>
      </c>
      <c r="I1734" t="str">
        <f>IFERROR(VLOOKUP(B1734,PN!$A:$C,3,FALSE),"")</f>
        <v>Active</v>
      </c>
      <c r="J1734" s="3">
        <f>IFERROR(E1734*VLOOKUP(B1734,PLInter!$A:$D,3,FALSE),"")</f>
        <v>2585</v>
      </c>
      <c r="K1734" s="66"/>
      <c r="L1734" s="66"/>
      <c r="M1734" s="66"/>
      <c r="N1734" s="66"/>
      <c r="O1734" s="66"/>
      <c r="P1734" s="66"/>
      <c r="Q1734" s="66"/>
      <c r="R1734" s="66"/>
      <c r="S1734" s="66"/>
    </row>
    <row r="1735" spans="2:19" ht="18" customHeight="1">
      <c r="B1735" t="s">
        <v>923</v>
      </c>
      <c r="C1735" t="s">
        <v>924</v>
      </c>
      <c r="D1735" s="4"/>
      <c r="E1735" s="4">
        <v>12</v>
      </c>
      <c r="F1735" s="4"/>
      <c r="G1735" s="29" t="str">
        <f>IFERROR(HYPERLINK("#"&amp;ADDRESS(MATCH(B1735&amp;"ES",'LM7 Non-ENG'!$A$1:$A$5000,0),1,,,"LM7 Non-ENG"),IF(IFERROR(VLOOKUP(B1735&amp;"ES",'LM7 Non-ENG'!$A$1:$A$4999,1,FALSE),"ERROR")=B1735&amp;"ES","Y","")),"")</f>
        <v/>
      </c>
      <c r="H1735" s="29" t="str">
        <f>IFERROR(HYPERLINK("#"&amp;ADDRESS(MATCH(B1735&amp;"PT",'LM7 Non-ENG'!$A$1:$A$5000,0),1,,,"LM7 Non-ENG"),IF(IFERROR(VLOOKUP(B1735&amp;"PT",'LM7 Non-ENG'!$A$1:$A$5000,1,FALSE),"ERROR")=B1735&amp;"PT","Y","")),"")</f>
        <v/>
      </c>
      <c r="I1735" t="str">
        <f>IFERROR(VLOOKUP(B1735,PN!$A:$C,3,FALSE),"")</f>
        <v>Active</v>
      </c>
      <c r="J1735" s="3">
        <f>IFERROR(E1735*VLOOKUP(B1735,PLInter!$A:$D,3,FALSE),"")</f>
        <v>1104</v>
      </c>
      <c r="K1735" s="66"/>
      <c r="L1735" s="66"/>
      <c r="M1735" s="66"/>
      <c r="N1735" s="66"/>
      <c r="O1735" s="66"/>
      <c r="P1735" s="66"/>
      <c r="Q1735" s="66"/>
      <c r="R1735" s="66"/>
      <c r="S1735" s="66"/>
    </row>
    <row r="1736" spans="2:19" ht="18" customHeight="1">
      <c r="B1736" t="s">
        <v>1009</v>
      </c>
      <c r="C1736" t="s">
        <v>1010</v>
      </c>
      <c r="D1736" s="4"/>
      <c r="E1736" s="4">
        <v>1</v>
      </c>
      <c r="F1736" s="4"/>
      <c r="G1736" s="29" t="str">
        <f>IFERROR(HYPERLINK("#"&amp;ADDRESS(MATCH(B1736&amp;"ES",'LM7 Non-ENG'!$A$1:$A$5000,0),1,,,"LM7 Non-ENG"),IF(IFERROR(VLOOKUP(B1736&amp;"ES",'LM7 Non-ENG'!$A$1:$A$4999,1,FALSE),"ERROR")=B1736&amp;"ES","Y","")),"")</f>
        <v/>
      </c>
      <c r="H1736" s="29" t="str">
        <f>IFERROR(HYPERLINK("#"&amp;ADDRESS(MATCH(B1736&amp;"PT",'LM7 Non-ENG'!$A$1:$A$5000,0),1,,,"LM7 Non-ENG"),IF(IFERROR(VLOOKUP(B1736&amp;"PT",'LM7 Non-ENG'!$A$1:$A$5000,1,FALSE),"ERROR")=B1736&amp;"PT","Y","")),"")</f>
        <v/>
      </c>
      <c r="I1736" t="str">
        <f>IFERROR(VLOOKUP(B1736,PN!$A:$C,3,FALSE),"")</f>
        <v>Active</v>
      </c>
      <c r="J1736" s="3">
        <f>IFERROR(E1736*VLOOKUP(B1736,PLInter!$A:$D,3,FALSE),"")</f>
        <v>1800</v>
      </c>
      <c r="K1736" s="66"/>
      <c r="L1736" s="66"/>
      <c r="M1736" s="66"/>
      <c r="N1736" s="66"/>
      <c r="O1736" s="66"/>
      <c r="P1736" s="66"/>
      <c r="Q1736" s="66"/>
      <c r="R1736" s="66"/>
      <c r="S1736" s="66"/>
    </row>
    <row r="1737" spans="2:19" ht="18" customHeight="1">
      <c r="B1737" t="s">
        <v>977</v>
      </c>
      <c r="C1737" t="s">
        <v>978</v>
      </c>
      <c r="D1737" s="4"/>
      <c r="E1737" s="4">
        <v>1</v>
      </c>
      <c r="F1737" s="4"/>
      <c r="G1737" s="29" t="str">
        <f>IFERROR(HYPERLINK("#"&amp;ADDRESS(MATCH(B1737&amp;"ES",'LM7 Non-ENG'!$A$1:$A$5000,0),1,,,"LM7 Non-ENG"),IF(IFERROR(VLOOKUP(B1737&amp;"ES",'LM7 Non-ENG'!$A$1:$A$4999,1,FALSE),"ERROR")=B1737&amp;"ES","Y","")),"")</f>
        <v/>
      </c>
      <c r="H1737" s="29" t="str">
        <f>IFERROR(HYPERLINK("#"&amp;ADDRESS(MATCH(B1737&amp;"PT",'LM7 Non-ENG'!$A$1:$A$5000,0),1,,,"LM7 Non-ENG"),IF(IFERROR(VLOOKUP(B1737&amp;"PT",'LM7 Non-ENG'!$A$1:$A$5000,1,FALSE),"ERROR")=B1737&amp;"PT","Y","")),"")</f>
        <v/>
      </c>
      <c r="I1737" t="str">
        <f>IFERROR(VLOOKUP(B1737,PN!$A:$C,3,FALSE),"")</f>
        <v>Active</v>
      </c>
      <c r="J1737" s="3">
        <f>IFERROR(E1737*VLOOKUP(B1737,PLInter!$A:$D,3,FALSE),"")</f>
        <v>3885</v>
      </c>
      <c r="K1737" s="66"/>
      <c r="L1737" s="66"/>
      <c r="M1737" s="66"/>
      <c r="N1737" s="66"/>
      <c r="O1737" s="66"/>
      <c r="P1737" s="66"/>
      <c r="Q1737" s="66"/>
      <c r="R1737" s="66"/>
      <c r="S1737" s="66"/>
    </row>
    <row r="1738" spans="2:19" ht="18" customHeight="1">
      <c r="B1738" t="str">
        <f>"113096"</f>
        <v>113096</v>
      </c>
      <c r="C1738" t="s">
        <v>943</v>
      </c>
      <c r="D1738" s="4"/>
      <c r="E1738" s="4">
        <v>1</v>
      </c>
      <c r="F1738" s="4"/>
      <c r="G1738" s="29" t="str">
        <f>IFERROR(HYPERLINK("#"&amp;ADDRESS(MATCH(B1738&amp;"ES",'LM7 Non-ENG'!$A$1:$A$5000,0),1,,,"LM7 Non-ENG"),IF(IFERROR(VLOOKUP(B1738&amp;"ES",'LM7 Non-ENG'!$A$1:$A$4999,1,FALSE),"ERROR")=B1738&amp;"ES","Y","")),"")</f>
        <v/>
      </c>
      <c r="H1738" s="29" t="str">
        <f>IFERROR(HYPERLINK("#"&amp;ADDRESS(MATCH(B1738&amp;"PT",'LM7 Non-ENG'!$A$1:$A$5000,0),1,,,"LM7 Non-ENG"),IF(IFERROR(VLOOKUP(B1738&amp;"PT",'LM7 Non-ENG'!$A$1:$A$5000,1,FALSE),"ERROR")=B1738&amp;"PT","Y","")),"")</f>
        <v/>
      </c>
      <c r="I1738" t="str">
        <f>IFERROR(VLOOKUP(B1738,PN!$A:$C,3,FALSE),"")</f>
        <v>Active</v>
      </c>
      <c r="J1738" s="3">
        <f>IFERROR(E1738*VLOOKUP(B1738,PLInter!$A:$D,3,FALSE),"")</f>
        <v>54</v>
      </c>
      <c r="K1738" s="66"/>
      <c r="L1738" s="66"/>
      <c r="M1738" s="66"/>
      <c r="N1738" s="66"/>
      <c r="O1738" s="66"/>
      <c r="P1738" s="66"/>
      <c r="Q1738" s="66"/>
      <c r="R1738" s="66"/>
      <c r="S1738" s="66"/>
    </row>
    <row r="1739" spans="2:19" ht="18" customHeight="1">
      <c r="B1739" t="str">
        <f>"112713"</f>
        <v>112713</v>
      </c>
      <c r="C1739" t="s">
        <v>944</v>
      </c>
      <c r="D1739" s="4"/>
      <c r="E1739" s="4">
        <v>3</v>
      </c>
      <c r="F1739" s="4"/>
      <c r="G1739" s="29" t="str">
        <f>IFERROR(HYPERLINK("#"&amp;ADDRESS(MATCH(B1739&amp;"ES",'LM7 Non-ENG'!$A$1:$A$5000,0),1,,,"LM7 Non-ENG"),IF(IFERROR(VLOOKUP(B1739&amp;"ES",'LM7 Non-ENG'!$A$1:$A$4999,1,FALSE),"ERROR")=B1739&amp;"ES","Y","")),"")</f>
        <v/>
      </c>
      <c r="H1739" s="29" t="str">
        <f>IFERROR(HYPERLINK("#"&amp;ADDRESS(MATCH(B1739&amp;"PT",'LM7 Non-ENG'!$A$1:$A$5000,0),1,,,"LM7 Non-ENG"),IF(IFERROR(VLOOKUP(B1739&amp;"PT",'LM7 Non-ENG'!$A$1:$A$5000,1,FALSE),"ERROR")=B1739&amp;"PT","Y","")),"")</f>
        <v/>
      </c>
      <c r="I1739" t="str">
        <f>IFERROR(VLOOKUP(B1739,PN!$A:$C,3,FALSE),"")</f>
        <v>Active</v>
      </c>
      <c r="J1739" s="3">
        <f>IFERROR(E1739*VLOOKUP(B1739,PLInter!$A:$D,3,FALSE),"")</f>
        <v>300</v>
      </c>
      <c r="K1739" s="66"/>
      <c r="L1739" s="66"/>
      <c r="M1739" s="66"/>
      <c r="N1739" s="66"/>
      <c r="O1739" s="66"/>
      <c r="P1739" s="66"/>
      <c r="Q1739" s="66"/>
      <c r="R1739" s="66"/>
      <c r="S1739" s="66"/>
    </row>
    <row r="1740" spans="2:19" ht="18" customHeight="1">
      <c r="B1740" t="str">
        <f>"113316"</f>
        <v>113316</v>
      </c>
      <c r="C1740" t="s">
        <v>979</v>
      </c>
      <c r="D1740" s="4"/>
      <c r="E1740" s="4">
        <v>3</v>
      </c>
      <c r="F1740" s="4"/>
      <c r="G1740" s="29" t="str">
        <f>IFERROR(HYPERLINK("#"&amp;ADDRESS(MATCH(B1740&amp;"ES",'LM7 Non-ENG'!$A$1:$A$5000,0),1,,,"LM7 Non-ENG"),IF(IFERROR(VLOOKUP(B1740&amp;"ES",'LM7 Non-ENG'!$A$1:$A$4999,1,FALSE),"ERROR")=B1740&amp;"ES","Y","")),"")</f>
        <v/>
      </c>
      <c r="H1740" s="29" t="str">
        <f>IFERROR(HYPERLINK("#"&amp;ADDRESS(MATCH(B1740&amp;"PT",'LM7 Non-ENG'!$A$1:$A$5000,0),1,,,"LM7 Non-ENG"),IF(IFERROR(VLOOKUP(B1740&amp;"PT",'LM7 Non-ENG'!$A$1:$A$5000,1,FALSE),"ERROR")=B1740&amp;"PT","Y","")),"")</f>
        <v/>
      </c>
      <c r="I1740" t="str">
        <f>IFERROR(VLOOKUP(B1740,PN!$A:$C,3,FALSE),"")</f>
        <v>Active</v>
      </c>
      <c r="J1740" s="3">
        <f>IFERROR(E1740*VLOOKUP(B1740,PLInter!$A:$D,3,FALSE),"")</f>
        <v>60</v>
      </c>
      <c r="K1740" s="66"/>
      <c r="L1740" s="66"/>
      <c r="M1740" s="66"/>
      <c r="N1740" s="66"/>
      <c r="O1740" s="66"/>
      <c r="P1740" s="66"/>
      <c r="Q1740" s="66"/>
      <c r="R1740" s="66"/>
      <c r="S1740" s="66"/>
    </row>
    <row r="1741" spans="2:19" ht="18" customHeight="1">
      <c r="B1741" t="s">
        <v>902</v>
      </c>
      <c r="C1741" t="s">
        <v>903</v>
      </c>
      <c r="D1741" s="4"/>
      <c r="E1741" s="4">
        <v>1</v>
      </c>
      <c r="F1741" s="4"/>
      <c r="G1741" s="29" t="str">
        <f>IFERROR(HYPERLINK("#"&amp;ADDRESS(MATCH(B1741&amp;"ES",'LM7 Non-ENG'!$A$1:$A$5000,0),1,,,"LM7 Non-ENG"),IF(IFERROR(VLOOKUP(B1741&amp;"ES",'LM7 Non-ENG'!$A$1:$A$4999,1,FALSE),"ERROR")=B1741&amp;"ES","Y","")),"")</f>
        <v/>
      </c>
      <c r="H1741" s="29" t="str">
        <f>IFERROR(HYPERLINK("#"&amp;ADDRESS(MATCH(B1741&amp;"PT",'LM7 Non-ENG'!$A$1:$A$5000,0),1,,,"LM7 Non-ENG"),IF(IFERROR(VLOOKUP(B1741&amp;"PT",'LM7 Non-ENG'!$A$1:$A$5000,1,FALSE),"ERROR")=B1741&amp;"PT","Y","")),"")</f>
        <v/>
      </c>
      <c r="I1741" t="str">
        <f>IFERROR(VLOOKUP(B1741,PN!$A:$C,3,FALSE),"")</f>
        <v>Active</v>
      </c>
      <c r="J1741" s="3">
        <f>IFERROR(E1741*VLOOKUP(B1741,PLInter!$A:$D,3,FALSE),"")</f>
        <v>2000</v>
      </c>
      <c r="K1741" s="66"/>
      <c r="L1741" s="66"/>
      <c r="M1741" s="66"/>
      <c r="N1741" s="66"/>
      <c r="O1741" s="66"/>
      <c r="P1741" s="66"/>
      <c r="Q1741" s="66"/>
      <c r="R1741" s="66"/>
      <c r="S1741" s="66"/>
    </row>
    <row r="1742" spans="2:19" ht="18" customHeight="1">
      <c r="B1742" t="s">
        <v>244</v>
      </c>
      <c r="C1742" t="s">
        <v>247</v>
      </c>
      <c r="D1742" s="4"/>
      <c r="E1742" s="4">
        <v>1</v>
      </c>
      <c r="F1742" s="4"/>
      <c r="G1742" s="29" t="str">
        <f>IFERROR(HYPERLINK("#"&amp;ADDRESS(MATCH(B1742&amp;"ES",'LM7 Non-ENG'!$A$1:$A$5000,0),1,,,"LM7 Non-ENG"),IF(IFERROR(VLOOKUP(B1742&amp;"ES",'LM7 Non-ENG'!$A$1:$A$4999,1,FALSE),"ERROR")=B1742&amp;"ES","Y","")),"")</f>
        <v/>
      </c>
      <c r="H1742" s="29" t="str">
        <f>IFERROR(HYPERLINK("#"&amp;ADDRESS(MATCH(B1742&amp;"PT",'LM7 Non-ENG'!$A$1:$A$5000,0),1,,,"LM7 Non-ENG"),IF(IFERROR(VLOOKUP(B1742&amp;"PT",'LM7 Non-ENG'!$A$1:$A$5000,1,FALSE),"ERROR")=B1742&amp;"PT","Y","")),"")</f>
        <v/>
      </c>
      <c r="I1742" t="str">
        <f>IFERROR(VLOOKUP(B1742,PN!$A:$C,3,FALSE),"")</f>
        <v>Active</v>
      </c>
      <c r="J1742" s="3">
        <f>IFERROR(E1742*VLOOKUP(B1742,PLInter!$A:$D,3,FALSE),"")</f>
        <v>2400</v>
      </c>
      <c r="K1742" s="66"/>
      <c r="L1742" s="66"/>
      <c r="M1742" s="66"/>
      <c r="N1742" s="66"/>
      <c r="O1742" s="66"/>
      <c r="P1742" s="66"/>
      <c r="Q1742" s="66"/>
      <c r="R1742" s="66"/>
      <c r="S1742" s="66"/>
    </row>
    <row r="1743" spans="2:19" ht="18" customHeight="1">
      <c r="B1743" t="s">
        <v>697</v>
      </c>
      <c r="C1743" t="s">
        <v>698</v>
      </c>
      <c r="D1743" s="4"/>
      <c r="E1743" s="4">
        <v>1</v>
      </c>
      <c r="F1743" s="4"/>
      <c r="G1743" s="29" t="str">
        <f>IFERROR(HYPERLINK("#"&amp;ADDRESS(MATCH(B1743&amp;"ES",'LM7 Non-ENG'!$A$1:$A$5000,0),1,,,"LM7 Non-ENG"),IF(IFERROR(VLOOKUP(B1743&amp;"ES",'LM7 Non-ENG'!$A$1:$A$4999,1,FALSE),"ERROR")=B1743&amp;"ES","Y","")),"")</f>
        <v/>
      </c>
      <c r="H1743" s="29" t="str">
        <f>IFERROR(HYPERLINK("#"&amp;ADDRESS(MATCH(B1743&amp;"PT",'LM7 Non-ENG'!$A$1:$A$5000,0),1,,,"LM7 Non-ENG"),IF(IFERROR(VLOOKUP(B1743&amp;"PT",'LM7 Non-ENG'!$A$1:$A$5000,1,FALSE),"ERROR")=B1743&amp;"PT","Y","")),"")</f>
        <v/>
      </c>
      <c r="I1743" t="str">
        <f>IFERROR(VLOOKUP(B1743,PN!$A:$C,3,FALSE),"")</f>
        <v>Active</v>
      </c>
      <c r="J1743" s="3">
        <f>IFERROR(E1743*VLOOKUP(B1743,PLInter!$A:$D,3,FALSE),"")</f>
        <v>934</v>
      </c>
      <c r="K1743" s="66"/>
      <c r="L1743" s="66"/>
      <c r="M1743" s="66"/>
      <c r="N1743" s="66"/>
      <c r="O1743" s="66"/>
      <c r="P1743" s="66"/>
      <c r="Q1743" s="66"/>
      <c r="R1743" s="66"/>
      <c r="S1743" s="66"/>
    </row>
    <row r="1744" spans="2:19" ht="18" customHeight="1">
      <c r="B1744" t="s">
        <v>630</v>
      </c>
      <c r="C1744" t="s">
        <v>631</v>
      </c>
      <c r="D1744" s="4"/>
      <c r="E1744" s="4">
        <v>1</v>
      </c>
      <c r="F1744" s="4"/>
      <c r="G1744" s="29" t="str">
        <f>IFERROR(HYPERLINK("#"&amp;ADDRESS(MATCH(B1744&amp;"ES",'LM7 Non-ENG'!$A$1:$A$5000,0),1,,,"LM7 Non-ENG"),IF(IFERROR(VLOOKUP(B1744&amp;"ES",'LM7 Non-ENG'!$A$1:$A$4999,1,FALSE),"ERROR")=B1744&amp;"ES","Y","")),"")</f>
        <v/>
      </c>
      <c r="H1744" s="29" t="str">
        <f>IFERROR(HYPERLINK("#"&amp;ADDRESS(MATCH(B1744&amp;"PT",'LM7 Non-ENG'!$A$1:$A$5000,0),1,,,"LM7 Non-ENG"),IF(IFERROR(VLOOKUP(B1744&amp;"PT",'LM7 Non-ENG'!$A$1:$A$5000,1,FALSE),"ERROR")=B1744&amp;"PT","Y","")),"")</f>
        <v/>
      </c>
      <c r="I1744" t="str">
        <f>IFERROR(VLOOKUP(B1744,PN!$A:$C,3,FALSE),"")</f>
        <v>Active</v>
      </c>
      <c r="J1744" s="3">
        <f>IFERROR(E1744*VLOOKUP(B1744,PLInter!$A:$D,3,FALSE),"")</f>
        <v>1735</v>
      </c>
      <c r="K1744" s="66"/>
      <c r="L1744" s="66"/>
      <c r="M1744" s="66"/>
      <c r="N1744" s="66"/>
      <c r="O1744" s="66"/>
      <c r="P1744" s="66"/>
      <c r="Q1744" s="66"/>
      <c r="R1744" s="66"/>
      <c r="S1744" s="66"/>
    </row>
    <row r="1746" spans="1:19" s="7" customFormat="1" ht="18" customHeight="1">
      <c r="A1746" s="13" t="s">
        <v>1017</v>
      </c>
      <c r="B1746" s="13"/>
      <c r="C1746" s="13" t="s">
        <v>1018</v>
      </c>
      <c r="D1746" s="14"/>
      <c r="E1746" s="14"/>
      <c r="F1746" s="14"/>
      <c r="G1746" s="14"/>
      <c r="H1746" s="14"/>
      <c r="I1746" s="14"/>
      <c r="J1746" s="14">
        <f>SUMIFS(J1747:J1765,D1747:D1765,"&lt;&gt;Y",F1747:F1765,"&lt;&gt;Y",I1747:I1765,"&lt;&gt;Inactive",I1747:I1765,"&lt;&gt;ECO+NFS")</f>
        <v>65266</v>
      </c>
      <c r="K1746" s="14"/>
      <c r="L1746" s="14"/>
      <c r="M1746" s="14"/>
      <c r="N1746" s="14"/>
      <c r="O1746" s="14"/>
      <c r="P1746" s="14"/>
      <c r="Q1746" s="14"/>
      <c r="R1746" s="14"/>
      <c r="S1746" s="14"/>
    </row>
    <row r="1747" spans="1:19" ht="18" customHeight="1">
      <c r="A1747" s="17" t="str">
        <f>HYPERLINK("#"&amp;ADDRESS(MATCH(A1746,'CIM&amp;FMS'!$A$1:$A$4997,0),1,,,"CIM&amp;FMS"),"Back to Price List")</f>
        <v>Back to Price List</v>
      </c>
      <c r="B1747" t="s">
        <v>215</v>
      </c>
      <c r="C1747" t="s">
        <v>217</v>
      </c>
      <c r="D1747" s="4"/>
      <c r="E1747" s="4">
        <v>1</v>
      </c>
      <c r="F1747" s="4"/>
      <c r="G1747" s="29" t="str">
        <f>IFERROR(HYPERLINK("#"&amp;ADDRESS(MATCH(B1747&amp;"ES",'LM7 Non-ENG'!$A$1:$A$5000,0),1,,,"LM7 Non-ENG"),IF(IFERROR(VLOOKUP(B1747&amp;"ES",'LM7 Non-ENG'!$A$1:$A$4999,1,FALSE),"ERROR")=B1747&amp;"ES","Y","")),"")</f>
        <v/>
      </c>
      <c r="H1747" s="29" t="str">
        <f>IFERROR(HYPERLINK("#"&amp;ADDRESS(MATCH(B1747&amp;"PT",'LM7 Non-ENG'!$A$1:$A$5000,0),1,,,"LM7 Non-ENG"),IF(IFERROR(VLOOKUP(B1747&amp;"PT",'LM7 Non-ENG'!$A$1:$A$5000,1,FALSE),"ERROR")=B1747&amp;"PT","Y","")),"")</f>
        <v/>
      </c>
      <c r="I1747" t="str">
        <f>IFERROR(VLOOKUP(B1747,PN!$A:$C,3,FALSE),"")</f>
        <v>Active</v>
      </c>
      <c r="J1747" s="3">
        <f>IFERROR(E1747*VLOOKUP(B1747,PLInter!$A:$D,3,FALSE),"")</f>
        <v>35000</v>
      </c>
      <c r="K1747" s="66"/>
      <c r="L1747" s="66"/>
      <c r="M1747" s="66"/>
      <c r="N1747" s="66"/>
      <c r="O1747" s="66"/>
      <c r="P1747" s="66"/>
      <c r="Q1747" s="66"/>
      <c r="R1747" s="66"/>
      <c r="S1747" s="66"/>
    </row>
    <row r="1748" spans="1:19" ht="18" customHeight="1">
      <c r="B1748" t="s">
        <v>230</v>
      </c>
      <c r="C1748" t="s">
        <v>235</v>
      </c>
      <c r="D1748" s="4"/>
      <c r="E1748" s="4">
        <v>1</v>
      </c>
      <c r="F1748" s="4"/>
      <c r="G1748" s="29" t="str">
        <f>IFERROR(HYPERLINK("#"&amp;ADDRESS(MATCH(B1748&amp;"ES",'LM7 Non-ENG'!$A$1:$A$5000,0),1,,,"LM7 Non-ENG"),IF(IFERROR(VLOOKUP(B1748&amp;"ES",'LM7 Non-ENG'!$A$1:$A$4999,1,FALSE),"ERROR")=B1748&amp;"ES","Y","")),"")</f>
        <v/>
      </c>
      <c r="H1748" s="29" t="str">
        <f>IFERROR(HYPERLINK("#"&amp;ADDRESS(MATCH(B1748&amp;"PT",'LM7 Non-ENG'!$A$1:$A$5000,0),1,,,"LM7 Non-ENG"),IF(IFERROR(VLOOKUP(B1748&amp;"PT",'LM7 Non-ENG'!$A$1:$A$5000,1,FALSE),"ERROR")=B1748&amp;"PT","Y","")),"")</f>
        <v/>
      </c>
      <c r="I1748" t="str">
        <f>IFERROR(VLOOKUP(B1748,PN!$A:$C,3,FALSE),"")</f>
        <v>Active</v>
      </c>
      <c r="J1748" s="3">
        <f>IFERROR(E1748*VLOOKUP(B1748,PLInter!$A:$D,3,FALSE),"")</f>
        <v>3200</v>
      </c>
      <c r="K1748" s="66"/>
      <c r="L1748" s="66"/>
      <c r="M1748" s="66"/>
      <c r="N1748" s="66"/>
      <c r="O1748" s="66"/>
      <c r="P1748" s="66"/>
      <c r="Q1748" s="66"/>
      <c r="R1748" s="66"/>
      <c r="S1748" s="66"/>
    </row>
    <row r="1749" spans="1:19" ht="18" customHeight="1">
      <c r="B1749" t="str">
        <f>"021031"</f>
        <v>021031</v>
      </c>
      <c r="C1749" s="41" t="s">
        <v>1008</v>
      </c>
      <c r="D1749" s="4"/>
      <c r="E1749" s="4">
        <v>4</v>
      </c>
      <c r="F1749" s="4"/>
      <c r="G1749" s="29" t="str">
        <f>IFERROR(HYPERLINK("#"&amp;ADDRESS(MATCH(B1749&amp;"ES",'LM7 Non-ENG'!$A$1:$A$5000,0),1,,,"LM7 Non-ENG"),IF(IFERROR(VLOOKUP(B1749&amp;"ES",'LM7 Non-ENG'!$A$1:$A$4999,1,FALSE),"ERROR")=B1749&amp;"ES","Y","")),"")</f>
        <v/>
      </c>
      <c r="H1749" s="29" t="str">
        <f>IFERROR(HYPERLINK("#"&amp;ADDRESS(MATCH(B1749&amp;"PT",'LM7 Non-ENG'!$A$1:$A$5000,0),1,,,"LM7 Non-ENG"),IF(IFERROR(VLOOKUP(B1749&amp;"PT",'LM7 Non-ENG'!$A$1:$A$5000,1,FALSE),"ERROR")=B1749&amp;"PT","Y","")),"")</f>
        <v/>
      </c>
      <c r="I1749" t="str">
        <f>IFERROR(VLOOKUP(B1749,PN!$A:$C,3,FALSE),"")</f>
        <v>Active</v>
      </c>
      <c r="J1749" s="3">
        <f>IFERROR(E1749*VLOOKUP(B1749,PLInter!$A:$D,3,FALSE),"")</f>
        <v>216</v>
      </c>
      <c r="K1749" s="66"/>
      <c r="L1749" s="66"/>
      <c r="M1749" s="66"/>
      <c r="N1749" s="66"/>
      <c r="O1749" s="66"/>
      <c r="P1749" s="66"/>
      <c r="Q1749" s="66"/>
      <c r="R1749" s="66"/>
      <c r="S1749" s="66"/>
    </row>
    <row r="1750" spans="1:19" ht="18" customHeight="1">
      <c r="B1750" t="s">
        <v>684</v>
      </c>
      <c r="C1750" t="s">
        <v>685</v>
      </c>
      <c r="D1750" s="4"/>
      <c r="E1750" s="4">
        <v>2</v>
      </c>
      <c r="F1750" s="4"/>
      <c r="G1750" s="29" t="str">
        <f>IFERROR(HYPERLINK("#"&amp;ADDRESS(MATCH(B1750&amp;"ES",'LM7 Non-ENG'!$A$1:$A$5000,0),1,,,"LM7 Non-ENG"),IF(IFERROR(VLOOKUP(B1750&amp;"ES",'LM7 Non-ENG'!$A$1:$A$4999,1,FALSE),"ERROR")=B1750&amp;"ES","Y","")),"")</f>
        <v/>
      </c>
      <c r="H1750" s="29" t="str">
        <f>IFERROR(HYPERLINK("#"&amp;ADDRESS(MATCH(B1750&amp;"PT",'LM7 Non-ENG'!$A$1:$A$5000,0),1,,,"LM7 Non-ENG"),IF(IFERROR(VLOOKUP(B1750&amp;"PT",'LM7 Non-ENG'!$A$1:$A$5000,1,FALSE),"ERROR")=B1750&amp;"PT","Y","")),"")</f>
        <v/>
      </c>
      <c r="I1750" t="str">
        <f>IFERROR(VLOOKUP(B1750,PN!$A:$C,3,FALSE),"")</f>
        <v>Active</v>
      </c>
      <c r="J1750" s="3">
        <f>IFERROR(E1750*VLOOKUP(B1750,PLInter!$A:$D,3,FALSE),"")</f>
        <v>1160</v>
      </c>
      <c r="K1750" s="66"/>
      <c r="L1750" s="66"/>
      <c r="M1750" s="66"/>
      <c r="N1750" s="66"/>
      <c r="O1750" s="66"/>
      <c r="P1750" s="66"/>
      <c r="Q1750" s="66"/>
      <c r="R1750" s="66"/>
      <c r="S1750" s="66"/>
    </row>
    <row r="1751" spans="1:19" ht="18" customHeight="1">
      <c r="B1751" t="str">
        <f>"021177"</f>
        <v>021177</v>
      </c>
      <c r="C1751" t="s">
        <v>959</v>
      </c>
      <c r="D1751" s="4"/>
      <c r="E1751" s="4">
        <v>2</v>
      </c>
      <c r="F1751" s="4"/>
      <c r="G1751" s="29" t="str">
        <f>IFERROR(HYPERLINK("#"&amp;ADDRESS(MATCH(B1751&amp;"ES",'LM7 Non-ENG'!$A$1:$A$5000,0),1,,,"LM7 Non-ENG"),IF(IFERROR(VLOOKUP(B1751&amp;"ES",'LM7 Non-ENG'!$A$1:$A$4999,1,FALSE),"ERROR")=B1751&amp;"ES","Y","")),"")</f>
        <v/>
      </c>
      <c r="H1751" s="29" t="str">
        <f>IFERROR(HYPERLINK("#"&amp;ADDRESS(MATCH(B1751&amp;"PT",'LM7 Non-ENG'!$A$1:$A$5000,0),1,,,"LM7 Non-ENG"),IF(IFERROR(VLOOKUP(B1751&amp;"PT",'LM7 Non-ENG'!$A$1:$A$5000,1,FALSE),"ERROR")=B1751&amp;"PT","Y","")),"")</f>
        <v/>
      </c>
      <c r="I1751" t="str">
        <f>IFERROR(VLOOKUP(B1751,PN!$A:$C,3,FALSE),"")</f>
        <v>Active</v>
      </c>
      <c r="J1751" s="3">
        <f>IFERROR(E1751*VLOOKUP(B1751,PLInter!$A:$D,3,FALSE),"")</f>
        <v>60</v>
      </c>
      <c r="K1751" s="66"/>
      <c r="L1751" s="66"/>
      <c r="M1751" s="66"/>
      <c r="N1751" s="66"/>
      <c r="O1751" s="66"/>
      <c r="P1751" s="66"/>
      <c r="Q1751" s="66"/>
      <c r="R1751" s="66"/>
      <c r="S1751" s="66"/>
    </row>
    <row r="1752" spans="1:19" ht="18" customHeight="1">
      <c r="B1752" t="s">
        <v>917</v>
      </c>
      <c r="C1752" t="s">
        <v>951</v>
      </c>
      <c r="D1752" s="4"/>
      <c r="E1752" s="4">
        <v>1</v>
      </c>
      <c r="F1752" s="4"/>
      <c r="G1752" s="29" t="str">
        <f>IFERROR(HYPERLINK("#"&amp;ADDRESS(MATCH(B1752&amp;"ES",'LM7 Non-ENG'!$A$1:$A$5000,0),1,,,"LM7 Non-ENG"),IF(IFERROR(VLOOKUP(B1752&amp;"ES",'LM7 Non-ENG'!$A$1:$A$4999,1,FALSE),"ERROR")=B1752&amp;"ES","Y","")),"")</f>
        <v/>
      </c>
      <c r="H1752" s="29" t="str">
        <f>IFERROR(HYPERLINK("#"&amp;ADDRESS(MATCH(B1752&amp;"PT",'LM7 Non-ENG'!$A$1:$A$5000,0),1,,,"LM7 Non-ENG"),IF(IFERROR(VLOOKUP(B1752&amp;"PT",'LM7 Non-ENG'!$A$1:$A$5000,1,FALSE),"ERROR")=B1752&amp;"PT","Y","")),"")</f>
        <v/>
      </c>
      <c r="I1752" t="str">
        <f>IFERROR(VLOOKUP(B1752,PN!$A:$C,3,FALSE),"")</f>
        <v>Phase Out</v>
      </c>
      <c r="J1752" s="3">
        <f>IFERROR(E1752*VLOOKUP(B1752,PLInter!$A:$D,3,FALSE),"")</f>
        <v>1735</v>
      </c>
      <c r="K1752" s="66"/>
      <c r="L1752" s="66"/>
      <c r="M1752" s="66"/>
      <c r="N1752" s="66"/>
      <c r="O1752" s="66"/>
      <c r="P1752" s="66"/>
      <c r="Q1752" s="66"/>
      <c r="R1752" s="66"/>
      <c r="S1752" s="66"/>
    </row>
    <row r="1753" spans="1:19" ht="18" customHeight="1">
      <c r="B1753" t="s">
        <v>919</v>
      </c>
      <c r="C1753" t="s">
        <v>952</v>
      </c>
      <c r="D1753" s="4"/>
      <c r="E1753" s="4">
        <v>1</v>
      </c>
      <c r="F1753" s="4"/>
      <c r="G1753" s="29" t="str">
        <f>IFERROR(HYPERLINK("#"&amp;ADDRESS(MATCH(B1753&amp;"ES",'LM7 Non-ENG'!$A$1:$A$5000,0),1,,,"LM7 Non-ENG"),IF(IFERROR(VLOOKUP(B1753&amp;"ES",'LM7 Non-ENG'!$A$1:$A$4999,1,FALSE),"ERROR")=B1753&amp;"ES","Y","")),"")</f>
        <v/>
      </c>
      <c r="H1753" s="29" t="str">
        <f>IFERROR(HYPERLINK("#"&amp;ADDRESS(MATCH(B1753&amp;"PT",'LM7 Non-ENG'!$A$1:$A$5000,0),1,,,"LM7 Non-ENG"),IF(IFERROR(VLOOKUP(B1753&amp;"PT",'LM7 Non-ENG'!$A$1:$A$5000,1,FALSE),"ERROR")=B1753&amp;"PT","Y","")),"")</f>
        <v/>
      </c>
      <c r="I1753" t="str">
        <f>IFERROR(VLOOKUP(B1753,PN!$A:$C,3,FALSE),"")</f>
        <v>Active</v>
      </c>
      <c r="J1753" s="3">
        <f>IFERROR(E1753*VLOOKUP(B1753,PLInter!$A:$D,3,FALSE),"")</f>
        <v>635</v>
      </c>
      <c r="K1753" s="66"/>
      <c r="L1753" s="66"/>
      <c r="M1753" s="66"/>
      <c r="N1753" s="66"/>
      <c r="O1753" s="66"/>
      <c r="P1753" s="66"/>
      <c r="Q1753" s="66"/>
      <c r="R1753" s="66"/>
      <c r="S1753" s="66"/>
    </row>
    <row r="1754" spans="1:19" ht="18" customHeight="1">
      <c r="B1754" t="s">
        <v>921</v>
      </c>
      <c r="C1754" t="s">
        <v>922</v>
      </c>
      <c r="D1754" s="4"/>
      <c r="E1754" s="4">
        <v>1</v>
      </c>
      <c r="F1754" s="4"/>
      <c r="G1754" s="29" t="str">
        <f>IFERROR(HYPERLINK("#"&amp;ADDRESS(MATCH(B1754&amp;"ES",'LM7 Non-ENG'!$A$1:$A$5000,0),1,,,"LM7 Non-ENG"),IF(IFERROR(VLOOKUP(B1754&amp;"ES",'LM7 Non-ENG'!$A$1:$A$4999,1,FALSE),"ERROR")=B1754&amp;"ES","Y","")),"")</f>
        <v/>
      </c>
      <c r="H1754" s="29" t="str">
        <f>IFERROR(HYPERLINK("#"&amp;ADDRESS(MATCH(B1754&amp;"PT",'LM7 Non-ENG'!$A$1:$A$5000,0),1,,,"LM7 Non-ENG"),IF(IFERROR(VLOOKUP(B1754&amp;"PT",'LM7 Non-ENG'!$A$1:$A$5000,1,FALSE),"ERROR")=B1754&amp;"PT","Y","")),"")</f>
        <v/>
      </c>
      <c r="I1754" t="str">
        <f>IFERROR(VLOOKUP(B1754,PN!$A:$C,3,FALSE),"")</f>
        <v>Active</v>
      </c>
      <c r="J1754" s="3">
        <f>IFERROR(E1754*VLOOKUP(B1754,PLInter!$A:$D,3,FALSE),"")</f>
        <v>2585</v>
      </c>
      <c r="K1754" s="66"/>
      <c r="L1754" s="66"/>
      <c r="M1754" s="66"/>
      <c r="N1754" s="66"/>
      <c r="O1754" s="66"/>
      <c r="P1754" s="66"/>
      <c r="Q1754" s="66"/>
      <c r="R1754" s="66"/>
      <c r="S1754" s="66"/>
    </row>
    <row r="1755" spans="1:19" ht="18" customHeight="1">
      <c r="B1755" t="s">
        <v>923</v>
      </c>
      <c r="C1755" t="s">
        <v>924</v>
      </c>
      <c r="D1755" s="4"/>
      <c r="E1755" s="4">
        <v>12</v>
      </c>
      <c r="F1755" s="4"/>
      <c r="G1755" s="29" t="str">
        <f>IFERROR(HYPERLINK("#"&amp;ADDRESS(MATCH(B1755&amp;"ES",'LM7 Non-ENG'!$A$1:$A$5000,0),1,,,"LM7 Non-ENG"),IF(IFERROR(VLOOKUP(B1755&amp;"ES",'LM7 Non-ENG'!$A$1:$A$4999,1,FALSE),"ERROR")=B1755&amp;"ES","Y","")),"")</f>
        <v/>
      </c>
      <c r="H1755" s="29" t="str">
        <f>IFERROR(HYPERLINK("#"&amp;ADDRESS(MATCH(B1755&amp;"PT",'LM7 Non-ENG'!$A$1:$A$5000,0),1,,,"LM7 Non-ENG"),IF(IFERROR(VLOOKUP(B1755&amp;"PT",'LM7 Non-ENG'!$A$1:$A$5000,1,FALSE),"ERROR")=B1755&amp;"PT","Y","")),"")</f>
        <v/>
      </c>
      <c r="I1755" t="str">
        <f>IFERROR(VLOOKUP(B1755,PN!$A:$C,3,FALSE),"")</f>
        <v>Active</v>
      </c>
      <c r="J1755" s="3">
        <f>IFERROR(E1755*VLOOKUP(B1755,PLInter!$A:$D,3,FALSE),"")</f>
        <v>1104</v>
      </c>
      <c r="K1755" s="66"/>
      <c r="L1755" s="66"/>
      <c r="M1755" s="66"/>
      <c r="N1755" s="66"/>
      <c r="O1755" s="66"/>
      <c r="P1755" s="66"/>
      <c r="Q1755" s="66"/>
      <c r="R1755" s="66"/>
      <c r="S1755" s="66"/>
    </row>
    <row r="1756" spans="1:19" ht="18" customHeight="1">
      <c r="B1756" t="s">
        <v>931</v>
      </c>
      <c r="C1756" t="s">
        <v>932</v>
      </c>
      <c r="D1756" s="4"/>
      <c r="E1756" s="4">
        <v>1</v>
      </c>
      <c r="F1756" s="4"/>
      <c r="G1756" s="29" t="str">
        <f>IFERROR(HYPERLINK("#"&amp;ADDRESS(MATCH(B1756&amp;"ES",'LM7 Non-ENG'!$A$1:$A$5000,0),1,,,"LM7 Non-ENG"),IF(IFERROR(VLOOKUP(B1756&amp;"ES",'LM7 Non-ENG'!$A$1:$A$4999,1,FALSE),"ERROR")=B1756&amp;"ES","Y","")),"")</f>
        <v/>
      </c>
      <c r="H1756" s="29" t="str">
        <f>IFERROR(HYPERLINK("#"&amp;ADDRESS(MATCH(B1756&amp;"PT",'LM7 Non-ENG'!$A$1:$A$5000,0),1,,,"LM7 Non-ENG"),IF(IFERROR(VLOOKUP(B1756&amp;"PT",'LM7 Non-ENG'!$A$1:$A$5000,1,FALSE),"ERROR")=B1756&amp;"PT","Y","")),"")</f>
        <v/>
      </c>
      <c r="I1756" t="str">
        <f>IFERROR(VLOOKUP(B1756,PN!$A:$C,3,FALSE),"")</f>
        <v>Active</v>
      </c>
      <c r="J1756" s="3">
        <f>IFERROR(E1756*VLOOKUP(B1756,PLInter!$A:$D,3,FALSE),"")</f>
        <v>6335</v>
      </c>
      <c r="K1756" s="66"/>
      <c r="L1756" s="66"/>
      <c r="M1756" s="66"/>
      <c r="N1756" s="66"/>
      <c r="O1756" s="66"/>
      <c r="P1756" s="66"/>
      <c r="Q1756" s="66"/>
      <c r="R1756" s="66"/>
      <c r="S1756" s="66"/>
    </row>
    <row r="1757" spans="1:19" ht="18" customHeight="1">
      <c r="B1757" t="s">
        <v>1009</v>
      </c>
      <c r="C1757" t="s">
        <v>1010</v>
      </c>
      <c r="D1757" s="4"/>
      <c r="E1757" s="4">
        <v>1</v>
      </c>
      <c r="F1757" s="4"/>
      <c r="G1757" s="29" t="str">
        <f>IFERROR(HYPERLINK("#"&amp;ADDRESS(MATCH(B1757&amp;"ES",'LM7 Non-ENG'!$A$1:$A$5000,0),1,,,"LM7 Non-ENG"),IF(IFERROR(VLOOKUP(B1757&amp;"ES",'LM7 Non-ENG'!$A$1:$A$4999,1,FALSE),"ERROR")=B1757&amp;"ES","Y","")),"")</f>
        <v/>
      </c>
      <c r="H1757" s="29" t="str">
        <f>IFERROR(HYPERLINK("#"&amp;ADDRESS(MATCH(B1757&amp;"PT",'LM7 Non-ENG'!$A$1:$A$5000,0),1,,,"LM7 Non-ENG"),IF(IFERROR(VLOOKUP(B1757&amp;"PT",'LM7 Non-ENG'!$A$1:$A$5000,1,FALSE),"ERROR")=B1757&amp;"PT","Y","")),"")</f>
        <v/>
      </c>
      <c r="I1757" t="str">
        <f>IFERROR(VLOOKUP(B1757,PN!$A:$C,3,FALSE),"")</f>
        <v>Active</v>
      </c>
      <c r="J1757" s="3">
        <f>IFERROR(E1757*VLOOKUP(B1757,PLInter!$A:$D,3,FALSE),"")</f>
        <v>1800</v>
      </c>
      <c r="K1757" s="66"/>
      <c r="L1757" s="66"/>
      <c r="M1757" s="66"/>
      <c r="N1757" s="66"/>
      <c r="O1757" s="66"/>
      <c r="P1757" s="66"/>
      <c r="Q1757" s="66"/>
      <c r="R1757" s="66"/>
      <c r="S1757" s="66"/>
    </row>
    <row r="1758" spans="1:19" ht="18" customHeight="1">
      <c r="B1758" t="s">
        <v>977</v>
      </c>
      <c r="C1758" t="s">
        <v>978</v>
      </c>
      <c r="D1758" s="4"/>
      <c r="E1758" s="4">
        <v>1</v>
      </c>
      <c r="F1758" s="4"/>
      <c r="G1758" s="29" t="str">
        <f>IFERROR(HYPERLINK("#"&amp;ADDRESS(MATCH(B1758&amp;"ES",'LM7 Non-ENG'!$A$1:$A$5000,0),1,,,"LM7 Non-ENG"),IF(IFERROR(VLOOKUP(B1758&amp;"ES",'LM7 Non-ENG'!$A$1:$A$4999,1,FALSE),"ERROR")=B1758&amp;"ES","Y","")),"")</f>
        <v/>
      </c>
      <c r="H1758" s="29" t="str">
        <f>IFERROR(HYPERLINK("#"&amp;ADDRESS(MATCH(B1758&amp;"PT",'LM7 Non-ENG'!$A$1:$A$5000,0),1,,,"LM7 Non-ENG"),IF(IFERROR(VLOOKUP(B1758&amp;"PT",'LM7 Non-ENG'!$A$1:$A$5000,1,FALSE),"ERROR")=B1758&amp;"PT","Y","")),"")</f>
        <v/>
      </c>
      <c r="I1758" t="str">
        <f>IFERROR(VLOOKUP(B1758,PN!$A:$C,3,FALSE),"")</f>
        <v>Active</v>
      </c>
      <c r="J1758" s="3">
        <f>IFERROR(E1758*VLOOKUP(B1758,PLInter!$A:$D,3,FALSE),"")</f>
        <v>3885</v>
      </c>
      <c r="K1758" s="66"/>
      <c r="L1758" s="66"/>
      <c r="M1758" s="66"/>
      <c r="N1758" s="66"/>
      <c r="O1758" s="66"/>
      <c r="P1758" s="66"/>
      <c r="Q1758" s="66"/>
      <c r="R1758" s="66"/>
      <c r="S1758" s="66"/>
    </row>
    <row r="1759" spans="1:19" ht="18" customHeight="1">
      <c r="B1759" t="str">
        <f>"113096"</f>
        <v>113096</v>
      </c>
      <c r="C1759" t="s">
        <v>943</v>
      </c>
      <c r="D1759" s="4"/>
      <c r="E1759" s="4">
        <v>3</v>
      </c>
      <c r="F1759" s="4"/>
      <c r="G1759" s="29" t="str">
        <f>IFERROR(HYPERLINK("#"&amp;ADDRESS(MATCH(B1759&amp;"ES",'LM7 Non-ENG'!$A$1:$A$5000,0),1,,,"LM7 Non-ENG"),IF(IFERROR(VLOOKUP(B1759&amp;"ES",'LM7 Non-ENG'!$A$1:$A$4999,1,FALSE),"ERROR")=B1759&amp;"ES","Y","")),"")</f>
        <v/>
      </c>
      <c r="H1759" s="29" t="str">
        <f>IFERROR(HYPERLINK("#"&amp;ADDRESS(MATCH(B1759&amp;"PT",'LM7 Non-ENG'!$A$1:$A$5000,0),1,,,"LM7 Non-ENG"),IF(IFERROR(VLOOKUP(B1759&amp;"PT",'LM7 Non-ENG'!$A$1:$A$5000,1,FALSE),"ERROR")=B1759&amp;"PT","Y","")),"")</f>
        <v/>
      </c>
      <c r="I1759" t="str">
        <f>IFERROR(VLOOKUP(B1759,PN!$A:$C,3,FALSE),"")</f>
        <v>Active</v>
      </c>
      <c r="J1759" s="3">
        <f>IFERROR(E1759*VLOOKUP(B1759,PLInter!$A:$D,3,FALSE),"")</f>
        <v>162</v>
      </c>
      <c r="K1759" s="66"/>
      <c r="L1759" s="66"/>
      <c r="M1759" s="66"/>
      <c r="N1759" s="66"/>
      <c r="O1759" s="66"/>
      <c r="P1759" s="66"/>
      <c r="Q1759" s="66"/>
      <c r="R1759" s="66"/>
      <c r="S1759" s="66"/>
    </row>
    <row r="1760" spans="1:19" ht="18" customHeight="1">
      <c r="B1760" t="str">
        <f>"112713"</f>
        <v>112713</v>
      </c>
      <c r="C1760" t="s">
        <v>944</v>
      </c>
      <c r="D1760" s="4"/>
      <c r="E1760" s="4">
        <v>3</v>
      </c>
      <c r="F1760" s="4"/>
      <c r="G1760" s="29" t="str">
        <f>IFERROR(HYPERLINK("#"&amp;ADDRESS(MATCH(B1760&amp;"ES",'LM7 Non-ENG'!$A$1:$A$5000,0),1,,,"LM7 Non-ENG"),IF(IFERROR(VLOOKUP(B1760&amp;"ES",'LM7 Non-ENG'!$A$1:$A$4999,1,FALSE),"ERROR")=B1760&amp;"ES","Y","")),"")</f>
        <v/>
      </c>
      <c r="H1760" s="29" t="str">
        <f>IFERROR(HYPERLINK("#"&amp;ADDRESS(MATCH(B1760&amp;"PT",'LM7 Non-ENG'!$A$1:$A$5000,0),1,,,"LM7 Non-ENG"),IF(IFERROR(VLOOKUP(B1760&amp;"PT",'LM7 Non-ENG'!$A$1:$A$5000,1,FALSE),"ERROR")=B1760&amp;"PT","Y","")),"")</f>
        <v/>
      </c>
      <c r="I1760" t="str">
        <f>IFERROR(VLOOKUP(B1760,PN!$A:$C,3,FALSE),"")</f>
        <v>Active</v>
      </c>
      <c r="J1760" s="3">
        <f>IFERROR(E1760*VLOOKUP(B1760,PLInter!$A:$D,3,FALSE),"")</f>
        <v>300</v>
      </c>
      <c r="K1760" s="66"/>
      <c r="L1760" s="66"/>
      <c r="M1760" s="66"/>
      <c r="N1760" s="66"/>
      <c r="O1760" s="66"/>
      <c r="P1760" s="66"/>
      <c r="Q1760" s="66"/>
      <c r="R1760" s="66"/>
      <c r="S1760" s="66"/>
    </row>
    <row r="1761" spans="1:19" ht="18" customHeight="1">
      <c r="B1761" t="str">
        <f>"113316"</f>
        <v>113316</v>
      </c>
      <c r="C1761" t="s">
        <v>979</v>
      </c>
      <c r="D1761" s="4"/>
      <c r="E1761" s="4">
        <v>1</v>
      </c>
      <c r="F1761" s="4"/>
      <c r="G1761" s="29" t="str">
        <f>IFERROR(HYPERLINK("#"&amp;ADDRESS(MATCH(B1761&amp;"ES",'LM7 Non-ENG'!$A$1:$A$5000,0),1,,,"LM7 Non-ENG"),IF(IFERROR(VLOOKUP(B1761&amp;"ES",'LM7 Non-ENG'!$A$1:$A$4999,1,FALSE),"ERROR")=B1761&amp;"ES","Y","")),"")</f>
        <v/>
      </c>
      <c r="H1761" s="29" t="str">
        <f>IFERROR(HYPERLINK("#"&amp;ADDRESS(MATCH(B1761&amp;"PT",'LM7 Non-ENG'!$A$1:$A$5000,0),1,,,"LM7 Non-ENG"),IF(IFERROR(VLOOKUP(B1761&amp;"PT",'LM7 Non-ENG'!$A$1:$A$5000,1,FALSE),"ERROR")=B1761&amp;"PT","Y","")),"")</f>
        <v/>
      </c>
      <c r="I1761" t="str">
        <f>IFERROR(VLOOKUP(B1761,PN!$A:$C,3,FALSE),"")</f>
        <v>Active</v>
      </c>
      <c r="J1761" s="3">
        <f>IFERROR(E1761*VLOOKUP(B1761,PLInter!$A:$D,3,FALSE),"")</f>
        <v>20</v>
      </c>
      <c r="K1761" s="66"/>
      <c r="L1761" s="66"/>
      <c r="M1761" s="66"/>
      <c r="N1761" s="66"/>
      <c r="O1761" s="66"/>
      <c r="P1761" s="66"/>
      <c r="Q1761" s="66"/>
      <c r="R1761" s="66"/>
      <c r="S1761" s="66"/>
    </row>
    <row r="1762" spans="1:19" ht="18" customHeight="1">
      <c r="B1762" t="s">
        <v>902</v>
      </c>
      <c r="C1762" t="s">
        <v>903</v>
      </c>
      <c r="D1762" s="4"/>
      <c r="E1762" s="4">
        <v>1</v>
      </c>
      <c r="F1762" s="4"/>
      <c r="G1762" s="29" t="str">
        <f>IFERROR(HYPERLINK("#"&amp;ADDRESS(MATCH(B1762&amp;"ES",'LM7 Non-ENG'!$A$1:$A$5000,0),1,,,"LM7 Non-ENG"),IF(IFERROR(VLOOKUP(B1762&amp;"ES",'LM7 Non-ENG'!$A$1:$A$4999,1,FALSE),"ERROR")=B1762&amp;"ES","Y","")),"")</f>
        <v/>
      </c>
      <c r="H1762" s="29" t="str">
        <f>IFERROR(HYPERLINK("#"&amp;ADDRESS(MATCH(B1762&amp;"PT",'LM7 Non-ENG'!$A$1:$A$5000,0),1,,,"LM7 Non-ENG"),IF(IFERROR(VLOOKUP(B1762&amp;"PT",'LM7 Non-ENG'!$A$1:$A$5000,1,FALSE),"ERROR")=B1762&amp;"PT","Y","")),"")</f>
        <v/>
      </c>
      <c r="I1762" t="str">
        <f>IFERROR(VLOOKUP(B1762,PN!$A:$C,3,FALSE),"")</f>
        <v>Active</v>
      </c>
      <c r="J1762" s="3">
        <f>IFERROR(E1762*VLOOKUP(B1762,PLInter!$A:$D,3,FALSE),"")</f>
        <v>2000</v>
      </c>
      <c r="K1762" s="66"/>
      <c r="L1762" s="66"/>
      <c r="M1762" s="66"/>
      <c r="N1762" s="66"/>
      <c r="O1762" s="66"/>
      <c r="P1762" s="66"/>
      <c r="Q1762" s="66"/>
      <c r="R1762" s="66"/>
      <c r="S1762" s="66"/>
    </row>
    <row r="1763" spans="1:19" ht="18" customHeight="1">
      <c r="B1763" t="s">
        <v>244</v>
      </c>
      <c r="C1763" t="s">
        <v>247</v>
      </c>
      <c r="D1763" s="4"/>
      <c r="E1763" s="4">
        <v>1</v>
      </c>
      <c r="F1763" s="4"/>
      <c r="G1763" s="29" t="str">
        <f>IFERROR(HYPERLINK("#"&amp;ADDRESS(MATCH(B1763&amp;"ES",'LM7 Non-ENG'!$A$1:$A$5000,0),1,,,"LM7 Non-ENG"),IF(IFERROR(VLOOKUP(B1763&amp;"ES",'LM7 Non-ENG'!$A$1:$A$4999,1,FALSE),"ERROR")=B1763&amp;"ES","Y","")),"")</f>
        <v/>
      </c>
      <c r="H1763" s="29" t="str">
        <f>IFERROR(HYPERLINK("#"&amp;ADDRESS(MATCH(B1763&amp;"PT",'LM7 Non-ENG'!$A$1:$A$5000,0),1,,,"LM7 Non-ENG"),IF(IFERROR(VLOOKUP(B1763&amp;"PT",'LM7 Non-ENG'!$A$1:$A$5000,1,FALSE),"ERROR")=B1763&amp;"PT","Y","")),"")</f>
        <v/>
      </c>
      <c r="I1763" t="str">
        <f>IFERROR(VLOOKUP(B1763,PN!$A:$C,3,FALSE),"")</f>
        <v>Active</v>
      </c>
      <c r="J1763" s="3">
        <f>IFERROR(E1763*VLOOKUP(B1763,PLInter!$A:$D,3,FALSE),"")</f>
        <v>2400</v>
      </c>
      <c r="K1763" s="66"/>
      <c r="L1763" s="66"/>
      <c r="M1763" s="66"/>
      <c r="N1763" s="66"/>
      <c r="O1763" s="66"/>
      <c r="P1763" s="66"/>
      <c r="Q1763" s="66"/>
      <c r="R1763" s="66"/>
      <c r="S1763" s="66"/>
    </row>
    <row r="1764" spans="1:19" ht="18" customHeight="1">
      <c r="B1764" t="s">
        <v>697</v>
      </c>
      <c r="C1764" t="s">
        <v>698</v>
      </c>
      <c r="D1764" s="4"/>
      <c r="E1764" s="4">
        <v>1</v>
      </c>
      <c r="F1764" s="4"/>
      <c r="G1764" s="29" t="str">
        <f>IFERROR(HYPERLINK("#"&amp;ADDRESS(MATCH(B1764&amp;"ES",'LM7 Non-ENG'!$A$1:$A$5000,0),1,,,"LM7 Non-ENG"),IF(IFERROR(VLOOKUP(B1764&amp;"ES",'LM7 Non-ENG'!$A$1:$A$4999,1,FALSE),"ERROR")=B1764&amp;"ES","Y","")),"")</f>
        <v/>
      </c>
      <c r="H1764" s="29" t="str">
        <f>IFERROR(HYPERLINK("#"&amp;ADDRESS(MATCH(B1764&amp;"PT",'LM7 Non-ENG'!$A$1:$A$5000,0),1,,,"LM7 Non-ENG"),IF(IFERROR(VLOOKUP(B1764&amp;"PT",'LM7 Non-ENG'!$A$1:$A$5000,1,FALSE),"ERROR")=B1764&amp;"PT","Y","")),"")</f>
        <v/>
      </c>
      <c r="I1764" t="str">
        <f>IFERROR(VLOOKUP(B1764,PN!$A:$C,3,FALSE),"")</f>
        <v>Active</v>
      </c>
      <c r="J1764" s="3">
        <f>IFERROR(E1764*VLOOKUP(B1764,PLInter!$A:$D,3,FALSE),"")</f>
        <v>934</v>
      </c>
      <c r="K1764" s="66"/>
      <c r="L1764" s="66"/>
      <c r="M1764" s="66"/>
      <c r="N1764" s="66"/>
      <c r="O1764" s="66"/>
      <c r="P1764" s="66"/>
      <c r="Q1764" s="66"/>
      <c r="R1764" s="66"/>
      <c r="S1764" s="66"/>
    </row>
    <row r="1765" spans="1:19" ht="18" customHeight="1">
      <c r="B1765" t="s">
        <v>630</v>
      </c>
      <c r="C1765" t="s">
        <v>631</v>
      </c>
      <c r="D1765" s="4"/>
      <c r="E1765" s="4">
        <v>1</v>
      </c>
      <c r="F1765" s="4"/>
      <c r="G1765" s="29" t="str">
        <f>IFERROR(HYPERLINK("#"&amp;ADDRESS(MATCH(B1765&amp;"ES",'LM7 Non-ENG'!$A$1:$A$5000,0),1,,,"LM7 Non-ENG"),IF(IFERROR(VLOOKUP(B1765&amp;"ES",'LM7 Non-ENG'!$A$1:$A$4999,1,FALSE),"ERROR")=B1765&amp;"ES","Y","")),"")</f>
        <v/>
      </c>
      <c r="H1765" s="29" t="str">
        <f>IFERROR(HYPERLINK("#"&amp;ADDRESS(MATCH(B1765&amp;"PT",'LM7 Non-ENG'!$A$1:$A$5000,0),1,,,"LM7 Non-ENG"),IF(IFERROR(VLOOKUP(B1765&amp;"PT",'LM7 Non-ENG'!$A$1:$A$5000,1,FALSE),"ERROR")=B1765&amp;"PT","Y","")),"")</f>
        <v/>
      </c>
      <c r="I1765" t="str">
        <f>IFERROR(VLOOKUP(B1765,PN!$A:$C,3,FALSE),"")</f>
        <v>Active</v>
      </c>
      <c r="J1765" s="3">
        <f>IFERROR(E1765*VLOOKUP(B1765,PLInter!$A:$D,3,FALSE),"")</f>
        <v>1735</v>
      </c>
      <c r="K1765" s="66"/>
      <c r="L1765" s="66"/>
      <c r="M1765" s="66"/>
      <c r="N1765" s="66"/>
      <c r="O1765" s="66"/>
      <c r="P1765" s="66"/>
      <c r="Q1765" s="66"/>
      <c r="R1765" s="66"/>
      <c r="S1765" s="66"/>
    </row>
    <row r="1767" spans="1:19" s="7" customFormat="1" ht="18" customHeight="1">
      <c r="A1767" s="13" t="s">
        <v>1019</v>
      </c>
      <c r="B1767" s="13"/>
      <c r="C1767" s="13" t="s">
        <v>1020</v>
      </c>
      <c r="D1767" s="14"/>
      <c r="E1767" s="14"/>
      <c r="F1767" s="14"/>
      <c r="G1767" s="14"/>
      <c r="H1767" s="14"/>
      <c r="I1767" s="14"/>
      <c r="J1767" s="14">
        <f>SUMIFS(J1768:J1787,D1768:D1787,"&lt;&gt;Y",F1768:F1787,"&lt;&gt;Y",I1768:I1787,"&lt;&gt;Inactive",I1768:I1787,"&lt;&gt;ECO+NFS")</f>
        <v>62071</v>
      </c>
      <c r="K1767" s="14"/>
      <c r="L1767" s="14"/>
      <c r="M1767" s="14"/>
      <c r="N1767" s="14"/>
      <c r="O1767" s="14"/>
      <c r="P1767" s="14"/>
      <c r="Q1767" s="14"/>
      <c r="R1767" s="14"/>
      <c r="S1767" s="14"/>
    </row>
    <row r="1768" spans="1:19" ht="18" customHeight="1">
      <c r="A1768" s="17" t="str">
        <f>HYPERLINK("#"&amp;ADDRESS(MATCH(A1767,'CIM&amp;FMS'!$A$1:$A$4997,0),1,,,"CIM&amp;FMS"),"Back to Price List")</f>
        <v>Back to Price List</v>
      </c>
      <c r="B1768" t="s">
        <v>215</v>
      </c>
      <c r="C1768" t="s">
        <v>217</v>
      </c>
      <c r="D1768" s="4"/>
      <c r="E1768" s="4">
        <v>1</v>
      </c>
      <c r="F1768" s="4"/>
      <c r="G1768" s="29" t="str">
        <f>IFERROR(HYPERLINK("#"&amp;ADDRESS(MATCH(B1768&amp;"ES",'LM7 Non-ENG'!$A$1:$A$5000,0),1,,,"LM7 Non-ENG"),IF(IFERROR(VLOOKUP(B1768&amp;"ES",'LM7 Non-ENG'!$A$1:$A$4999,1,FALSE),"ERROR")=B1768&amp;"ES","Y","")),"")</f>
        <v/>
      </c>
      <c r="H1768" s="29" t="str">
        <f>IFERROR(HYPERLINK("#"&amp;ADDRESS(MATCH(B1768&amp;"PT",'LM7 Non-ENG'!$A$1:$A$5000,0),1,,,"LM7 Non-ENG"),IF(IFERROR(VLOOKUP(B1768&amp;"PT",'LM7 Non-ENG'!$A$1:$A$5000,1,FALSE),"ERROR")=B1768&amp;"PT","Y","")),"")</f>
        <v/>
      </c>
      <c r="I1768" t="str">
        <f>IFERROR(VLOOKUP(B1768,PN!$A:$C,3,FALSE),"")</f>
        <v>Active</v>
      </c>
      <c r="J1768" s="3">
        <f>IFERROR(E1768*VLOOKUP(B1768,PLInter!$A:$D,3,FALSE),"")</f>
        <v>35000</v>
      </c>
      <c r="K1768" s="66"/>
      <c r="L1768" s="66"/>
      <c r="M1768" s="66"/>
      <c r="N1768" s="66"/>
      <c r="O1768" s="66"/>
      <c r="P1768" s="66"/>
      <c r="Q1768" s="66"/>
      <c r="R1768" s="66"/>
      <c r="S1768" s="66"/>
    </row>
    <row r="1769" spans="1:19" ht="18" customHeight="1">
      <c r="B1769" t="s">
        <v>230</v>
      </c>
      <c r="C1769" t="s">
        <v>235</v>
      </c>
      <c r="D1769" s="4"/>
      <c r="E1769" s="4">
        <v>1</v>
      </c>
      <c r="F1769" s="4"/>
      <c r="G1769" s="29" t="str">
        <f>IFERROR(HYPERLINK("#"&amp;ADDRESS(MATCH(B1769&amp;"ES",'LM7 Non-ENG'!$A$1:$A$5000,0),1,,,"LM7 Non-ENG"),IF(IFERROR(VLOOKUP(B1769&amp;"ES",'LM7 Non-ENG'!$A$1:$A$4999,1,FALSE),"ERROR")=B1769&amp;"ES","Y","")),"")</f>
        <v/>
      </c>
      <c r="H1769" s="29" t="str">
        <f>IFERROR(HYPERLINK("#"&amp;ADDRESS(MATCH(B1769&amp;"PT",'LM7 Non-ENG'!$A$1:$A$5000,0),1,,,"LM7 Non-ENG"),IF(IFERROR(VLOOKUP(B1769&amp;"PT",'LM7 Non-ENG'!$A$1:$A$5000,1,FALSE),"ERROR")=B1769&amp;"PT","Y","")),"")</f>
        <v/>
      </c>
      <c r="I1769" t="str">
        <f>IFERROR(VLOOKUP(B1769,PN!$A:$C,3,FALSE),"")</f>
        <v>Active</v>
      </c>
      <c r="J1769" s="3">
        <f>IFERROR(E1769*VLOOKUP(B1769,PLInter!$A:$D,3,FALSE),"")</f>
        <v>3200</v>
      </c>
      <c r="K1769" s="66"/>
      <c r="L1769" s="66"/>
      <c r="M1769" s="66"/>
      <c r="N1769" s="66"/>
      <c r="O1769" s="66"/>
      <c r="P1769" s="66"/>
      <c r="Q1769" s="66"/>
      <c r="R1769" s="66"/>
      <c r="S1769" s="66"/>
    </row>
    <row r="1770" spans="1:19" ht="18" customHeight="1">
      <c r="B1770" t="str">
        <f>"021031"</f>
        <v>021031</v>
      </c>
      <c r="C1770" s="41" t="s">
        <v>1008</v>
      </c>
      <c r="D1770" s="4"/>
      <c r="E1770" s="4">
        <v>4</v>
      </c>
      <c r="F1770" s="4"/>
      <c r="G1770" s="29" t="str">
        <f>IFERROR(HYPERLINK("#"&amp;ADDRESS(MATCH(B1770&amp;"ES",'LM7 Non-ENG'!$A$1:$A$5000,0),1,,,"LM7 Non-ENG"),IF(IFERROR(VLOOKUP(B1770&amp;"ES",'LM7 Non-ENG'!$A$1:$A$4999,1,FALSE),"ERROR")=B1770&amp;"ES","Y","")),"")</f>
        <v/>
      </c>
      <c r="H1770" s="29" t="str">
        <f>IFERROR(HYPERLINK("#"&amp;ADDRESS(MATCH(B1770&amp;"PT",'LM7 Non-ENG'!$A$1:$A$5000,0),1,,,"LM7 Non-ENG"),IF(IFERROR(VLOOKUP(B1770&amp;"PT",'LM7 Non-ENG'!$A$1:$A$5000,1,FALSE),"ERROR")=B1770&amp;"PT","Y","")),"")</f>
        <v/>
      </c>
      <c r="I1770" t="str">
        <f>IFERROR(VLOOKUP(B1770,PN!$A:$C,3,FALSE),"")</f>
        <v>Active</v>
      </c>
      <c r="J1770" s="3">
        <f>IFERROR(E1770*VLOOKUP(B1770,PLInter!$A:$D,3,FALSE),"")</f>
        <v>216</v>
      </c>
      <c r="K1770" s="66"/>
      <c r="L1770" s="66"/>
      <c r="M1770" s="66"/>
      <c r="N1770" s="66"/>
      <c r="O1770" s="66"/>
      <c r="P1770" s="66"/>
      <c r="Q1770" s="66"/>
      <c r="R1770" s="66"/>
      <c r="S1770" s="66"/>
    </row>
    <row r="1771" spans="1:19" ht="18" customHeight="1">
      <c r="B1771" t="s">
        <v>684</v>
      </c>
      <c r="C1771" t="s">
        <v>685</v>
      </c>
      <c r="D1771" s="4"/>
      <c r="E1771" s="4">
        <v>2</v>
      </c>
      <c r="F1771" s="4"/>
      <c r="G1771" s="29" t="str">
        <f>IFERROR(HYPERLINK("#"&amp;ADDRESS(MATCH(B1771&amp;"ES",'LM7 Non-ENG'!$A$1:$A$5000,0),1,,,"LM7 Non-ENG"),IF(IFERROR(VLOOKUP(B1771&amp;"ES",'LM7 Non-ENG'!$A$1:$A$4999,1,FALSE),"ERROR")=B1771&amp;"ES","Y","")),"")</f>
        <v/>
      </c>
      <c r="H1771" s="29" t="str">
        <f>IFERROR(HYPERLINK("#"&amp;ADDRESS(MATCH(B1771&amp;"PT",'LM7 Non-ENG'!$A$1:$A$5000,0),1,,,"LM7 Non-ENG"),IF(IFERROR(VLOOKUP(B1771&amp;"PT",'LM7 Non-ENG'!$A$1:$A$5000,1,FALSE),"ERROR")=B1771&amp;"PT","Y","")),"")</f>
        <v/>
      </c>
      <c r="I1771" t="str">
        <f>IFERROR(VLOOKUP(B1771,PN!$A:$C,3,FALSE),"")</f>
        <v>Active</v>
      </c>
      <c r="J1771" s="3">
        <f>IFERROR(E1771*VLOOKUP(B1771,PLInter!$A:$D,3,FALSE),"")</f>
        <v>1160</v>
      </c>
      <c r="K1771" s="66"/>
      <c r="L1771" s="66"/>
      <c r="M1771" s="66"/>
      <c r="N1771" s="66"/>
      <c r="O1771" s="66"/>
      <c r="P1771" s="66"/>
      <c r="Q1771" s="66"/>
      <c r="R1771" s="66"/>
      <c r="S1771" s="66"/>
    </row>
    <row r="1772" spans="1:19" ht="18" customHeight="1">
      <c r="B1772" t="str">
        <f>"021177"</f>
        <v>021177</v>
      </c>
      <c r="C1772" t="s">
        <v>959</v>
      </c>
      <c r="D1772" s="4"/>
      <c r="E1772" s="4">
        <v>2</v>
      </c>
      <c r="F1772" s="4"/>
      <c r="G1772" s="29" t="str">
        <f>IFERROR(HYPERLINK("#"&amp;ADDRESS(MATCH(B1772&amp;"ES",'LM7 Non-ENG'!$A$1:$A$5000,0),1,,,"LM7 Non-ENG"),IF(IFERROR(VLOOKUP(B1772&amp;"ES",'LM7 Non-ENG'!$A$1:$A$4999,1,FALSE),"ERROR")=B1772&amp;"ES","Y","")),"")</f>
        <v/>
      </c>
      <c r="H1772" s="29" t="str">
        <f>IFERROR(HYPERLINK("#"&amp;ADDRESS(MATCH(B1772&amp;"PT",'LM7 Non-ENG'!$A$1:$A$5000,0),1,,,"LM7 Non-ENG"),IF(IFERROR(VLOOKUP(B1772&amp;"PT",'LM7 Non-ENG'!$A$1:$A$5000,1,FALSE),"ERROR")=B1772&amp;"PT","Y","")),"")</f>
        <v/>
      </c>
      <c r="I1772" t="str">
        <f>IFERROR(VLOOKUP(B1772,PN!$A:$C,3,FALSE),"")</f>
        <v>Active</v>
      </c>
      <c r="J1772" s="3">
        <f>IFERROR(E1772*VLOOKUP(B1772,PLInter!$A:$D,3,FALSE),"")</f>
        <v>60</v>
      </c>
      <c r="K1772" s="66"/>
      <c r="L1772" s="66"/>
      <c r="M1772" s="66"/>
      <c r="N1772" s="66"/>
      <c r="O1772" s="66"/>
      <c r="P1772" s="66"/>
      <c r="Q1772" s="66"/>
      <c r="R1772" s="66"/>
      <c r="S1772" s="66"/>
    </row>
    <row r="1773" spans="1:19" ht="18" customHeight="1">
      <c r="B1773" t="s">
        <v>917</v>
      </c>
      <c r="C1773" t="s">
        <v>951</v>
      </c>
      <c r="D1773" s="4"/>
      <c r="E1773" s="4">
        <v>1</v>
      </c>
      <c r="F1773" s="4"/>
      <c r="G1773" s="29" t="str">
        <f>IFERROR(HYPERLINK("#"&amp;ADDRESS(MATCH(B1773&amp;"ES",'LM7 Non-ENG'!$A$1:$A$5000,0),1,,,"LM7 Non-ENG"),IF(IFERROR(VLOOKUP(B1773&amp;"ES",'LM7 Non-ENG'!$A$1:$A$4999,1,FALSE),"ERROR")=B1773&amp;"ES","Y","")),"")</f>
        <v/>
      </c>
      <c r="H1773" s="29" t="str">
        <f>IFERROR(HYPERLINK("#"&amp;ADDRESS(MATCH(B1773&amp;"PT",'LM7 Non-ENG'!$A$1:$A$5000,0),1,,,"LM7 Non-ENG"),IF(IFERROR(VLOOKUP(B1773&amp;"PT",'LM7 Non-ENG'!$A$1:$A$5000,1,FALSE),"ERROR")=B1773&amp;"PT","Y","")),"")</f>
        <v/>
      </c>
      <c r="I1773" t="str">
        <f>IFERROR(VLOOKUP(B1773,PN!$A:$C,3,FALSE),"")</f>
        <v>Phase Out</v>
      </c>
      <c r="J1773" s="3">
        <f>IFERROR(E1773*VLOOKUP(B1773,PLInter!$A:$D,3,FALSE),"")</f>
        <v>1735</v>
      </c>
      <c r="K1773" s="66"/>
      <c r="L1773" s="66"/>
      <c r="M1773" s="66"/>
      <c r="N1773" s="66"/>
      <c r="O1773" s="66"/>
      <c r="P1773" s="66"/>
      <c r="Q1773" s="66"/>
      <c r="R1773" s="66"/>
      <c r="S1773" s="66"/>
    </row>
    <row r="1774" spans="1:19" ht="18" customHeight="1">
      <c r="B1774" t="s">
        <v>919</v>
      </c>
      <c r="C1774" t="s">
        <v>952</v>
      </c>
      <c r="D1774" s="4"/>
      <c r="E1774" s="4">
        <v>1</v>
      </c>
      <c r="F1774" s="4"/>
      <c r="G1774" s="29" t="str">
        <f>IFERROR(HYPERLINK("#"&amp;ADDRESS(MATCH(B1774&amp;"ES",'LM7 Non-ENG'!$A$1:$A$5000,0),1,,,"LM7 Non-ENG"),IF(IFERROR(VLOOKUP(B1774&amp;"ES",'LM7 Non-ENG'!$A$1:$A$4999,1,FALSE),"ERROR")=B1774&amp;"ES","Y","")),"")</f>
        <v/>
      </c>
      <c r="H1774" s="29" t="str">
        <f>IFERROR(HYPERLINK("#"&amp;ADDRESS(MATCH(B1774&amp;"PT",'LM7 Non-ENG'!$A$1:$A$5000,0),1,,,"LM7 Non-ENG"),IF(IFERROR(VLOOKUP(B1774&amp;"PT",'LM7 Non-ENG'!$A$1:$A$5000,1,FALSE),"ERROR")=B1774&amp;"PT","Y","")),"")</f>
        <v/>
      </c>
      <c r="I1774" t="str">
        <f>IFERROR(VLOOKUP(B1774,PN!$A:$C,3,FALSE),"")</f>
        <v>Active</v>
      </c>
      <c r="J1774" s="3">
        <f>IFERROR(E1774*VLOOKUP(B1774,PLInter!$A:$D,3,FALSE),"")</f>
        <v>635</v>
      </c>
      <c r="K1774" s="66"/>
      <c r="L1774" s="66"/>
      <c r="M1774" s="66"/>
      <c r="N1774" s="66"/>
      <c r="O1774" s="66"/>
      <c r="P1774" s="66"/>
      <c r="Q1774" s="66"/>
      <c r="R1774" s="66"/>
      <c r="S1774" s="66"/>
    </row>
    <row r="1775" spans="1:19" ht="18" customHeight="1">
      <c r="B1775" t="s">
        <v>921</v>
      </c>
      <c r="C1775" t="s">
        <v>922</v>
      </c>
      <c r="D1775" s="4"/>
      <c r="E1775" s="4">
        <v>1</v>
      </c>
      <c r="F1775" s="4"/>
      <c r="G1775" s="29" t="str">
        <f>IFERROR(HYPERLINK("#"&amp;ADDRESS(MATCH(B1775&amp;"ES",'LM7 Non-ENG'!$A$1:$A$5000,0),1,,,"LM7 Non-ENG"),IF(IFERROR(VLOOKUP(B1775&amp;"ES",'LM7 Non-ENG'!$A$1:$A$4999,1,FALSE),"ERROR")=B1775&amp;"ES","Y","")),"")</f>
        <v/>
      </c>
      <c r="H1775" s="29" t="str">
        <f>IFERROR(HYPERLINK("#"&amp;ADDRESS(MATCH(B1775&amp;"PT",'LM7 Non-ENG'!$A$1:$A$5000,0),1,,,"LM7 Non-ENG"),IF(IFERROR(VLOOKUP(B1775&amp;"PT",'LM7 Non-ENG'!$A$1:$A$5000,1,FALSE),"ERROR")=B1775&amp;"PT","Y","")),"")</f>
        <v/>
      </c>
      <c r="I1775" t="str">
        <f>IFERROR(VLOOKUP(B1775,PN!$A:$C,3,FALSE),"")</f>
        <v>Active</v>
      </c>
      <c r="J1775" s="3">
        <f>IFERROR(E1775*VLOOKUP(B1775,PLInter!$A:$D,3,FALSE),"")</f>
        <v>2585</v>
      </c>
      <c r="K1775" s="66"/>
      <c r="L1775" s="66"/>
      <c r="M1775" s="66"/>
      <c r="N1775" s="66"/>
      <c r="O1775" s="66"/>
      <c r="P1775" s="66"/>
      <c r="Q1775" s="66"/>
      <c r="R1775" s="66"/>
      <c r="S1775" s="66"/>
    </row>
    <row r="1776" spans="1:19" ht="18" customHeight="1">
      <c r="B1776" t="s">
        <v>923</v>
      </c>
      <c r="C1776" t="s">
        <v>924</v>
      </c>
      <c r="D1776" s="4"/>
      <c r="E1776" s="4">
        <v>12</v>
      </c>
      <c r="F1776" s="4"/>
      <c r="G1776" s="29" t="str">
        <f>IFERROR(HYPERLINK("#"&amp;ADDRESS(MATCH(B1776&amp;"ES",'LM7 Non-ENG'!$A$1:$A$5000,0),1,,,"LM7 Non-ENG"),IF(IFERROR(VLOOKUP(B1776&amp;"ES",'LM7 Non-ENG'!$A$1:$A$4999,1,FALSE),"ERROR")=B1776&amp;"ES","Y","")),"")</f>
        <v/>
      </c>
      <c r="H1776" s="29" t="str">
        <f>IFERROR(HYPERLINK("#"&amp;ADDRESS(MATCH(B1776&amp;"PT",'LM7 Non-ENG'!$A$1:$A$5000,0),1,,,"LM7 Non-ENG"),IF(IFERROR(VLOOKUP(B1776&amp;"PT",'LM7 Non-ENG'!$A$1:$A$5000,1,FALSE),"ERROR")=B1776&amp;"PT","Y","")),"")</f>
        <v/>
      </c>
      <c r="I1776" t="str">
        <f>IFERROR(VLOOKUP(B1776,PN!$A:$C,3,FALSE),"")</f>
        <v>Active</v>
      </c>
      <c r="J1776" s="3">
        <f>IFERROR(E1776*VLOOKUP(B1776,PLInter!$A:$D,3,FALSE),"")</f>
        <v>1104</v>
      </c>
      <c r="K1776" s="66"/>
      <c r="L1776" s="66"/>
      <c r="M1776" s="66"/>
      <c r="N1776" s="66"/>
      <c r="O1776" s="66"/>
      <c r="P1776" s="66"/>
      <c r="Q1776" s="66"/>
      <c r="R1776" s="66"/>
      <c r="S1776" s="66"/>
    </row>
    <row r="1777" spans="1:19" ht="18" customHeight="1">
      <c r="B1777" t="s">
        <v>1009</v>
      </c>
      <c r="C1777" t="s">
        <v>1010</v>
      </c>
      <c r="D1777" s="4"/>
      <c r="E1777" s="4">
        <v>1</v>
      </c>
      <c r="F1777" s="4"/>
      <c r="G1777" s="29" t="str">
        <f>IFERROR(HYPERLINK("#"&amp;ADDRESS(MATCH(B1777&amp;"ES",'LM7 Non-ENG'!$A$1:$A$5000,0),1,,,"LM7 Non-ENG"),IF(IFERROR(VLOOKUP(B1777&amp;"ES",'LM7 Non-ENG'!$A$1:$A$4999,1,FALSE),"ERROR")=B1777&amp;"ES","Y","")),"")</f>
        <v/>
      </c>
      <c r="H1777" s="29" t="str">
        <f>IFERROR(HYPERLINK("#"&amp;ADDRESS(MATCH(B1777&amp;"PT",'LM7 Non-ENG'!$A$1:$A$5000,0),1,,,"LM7 Non-ENG"),IF(IFERROR(VLOOKUP(B1777&amp;"PT",'LM7 Non-ENG'!$A$1:$A$5000,1,FALSE),"ERROR")=B1777&amp;"PT","Y","")),"")</f>
        <v/>
      </c>
      <c r="I1777" t="str">
        <f>IFERROR(VLOOKUP(B1777,PN!$A:$C,3,FALSE),"")</f>
        <v>Active</v>
      </c>
      <c r="J1777" s="3">
        <f>IFERROR(E1777*VLOOKUP(B1777,PLInter!$A:$D,3,FALSE),"")</f>
        <v>1800</v>
      </c>
      <c r="K1777" s="66"/>
      <c r="L1777" s="66"/>
      <c r="M1777" s="66"/>
      <c r="N1777" s="66"/>
      <c r="O1777" s="66"/>
      <c r="P1777" s="66"/>
      <c r="Q1777" s="66"/>
      <c r="R1777" s="66"/>
      <c r="S1777" s="66"/>
    </row>
    <row r="1778" spans="1:19" ht="18" customHeight="1">
      <c r="B1778" t="s">
        <v>977</v>
      </c>
      <c r="C1778" t="s">
        <v>978</v>
      </c>
      <c r="D1778" s="4"/>
      <c r="E1778" s="4">
        <v>1</v>
      </c>
      <c r="F1778" s="4"/>
      <c r="G1778" s="29" t="str">
        <f>IFERROR(HYPERLINK("#"&amp;ADDRESS(MATCH(B1778&amp;"ES",'LM7 Non-ENG'!$A$1:$A$5000,0),1,,,"LM7 Non-ENG"),IF(IFERROR(VLOOKUP(B1778&amp;"ES",'LM7 Non-ENG'!$A$1:$A$4999,1,FALSE),"ERROR")=B1778&amp;"ES","Y","")),"")</f>
        <v/>
      </c>
      <c r="H1778" s="29" t="str">
        <f>IFERROR(HYPERLINK("#"&amp;ADDRESS(MATCH(B1778&amp;"PT",'LM7 Non-ENG'!$A$1:$A$5000,0),1,,,"LM7 Non-ENG"),IF(IFERROR(VLOOKUP(B1778&amp;"PT",'LM7 Non-ENG'!$A$1:$A$5000,1,FALSE),"ERROR")=B1778&amp;"PT","Y","")),"")</f>
        <v/>
      </c>
      <c r="I1778" t="str">
        <f>IFERROR(VLOOKUP(B1778,PN!$A:$C,3,FALSE),"")</f>
        <v>Active</v>
      </c>
      <c r="J1778" s="3">
        <f>IFERROR(E1778*VLOOKUP(B1778,PLInter!$A:$D,3,FALSE),"")</f>
        <v>3885</v>
      </c>
      <c r="K1778" s="66"/>
      <c r="L1778" s="66"/>
      <c r="M1778" s="66"/>
      <c r="N1778" s="66"/>
      <c r="O1778" s="66"/>
      <c r="P1778" s="66"/>
      <c r="Q1778" s="66"/>
      <c r="R1778" s="66"/>
      <c r="S1778" s="66"/>
    </row>
    <row r="1779" spans="1:19" ht="18" customHeight="1">
      <c r="B1779" t="str">
        <f>"113096"</f>
        <v>113096</v>
      </c>
      <c r="C1779" t="s">
        <v>1011</v>
      </c>
      <c r="D1779" s="4"/>
      <c r="E1779" s="4">
        <v>3</v>
      </c>
      <c r="F1779" s="4"/>
      <c r="G1779" s="29" t="str">
        <f>IFERROR(HYPERLINK("#"&amp;ADDRESS(MATCH(B1779&amp;"ES",'LM7 Non-ENG'!$A$1:$A$5000,0),1,,,"LM7 Non-ENG"),IF(IFERROR(VLOOKUP(B1779&amp;"ES",'LM7 Non-ENG'!$A$1:$A$4999,1,FALSE),"ERROR")=B1779&amp;"ES","Y","")),"")</f>
        <v/>
      </c>
      <c r="H1779" s="29" t="str">
        <f>IFERROR(HYPERLINK("#"&amp;ADDRESS(MATCH(B1779&amp;"PT",'LM7 Non-ENG'!$A$1:$A$5000,0),1,,,"LM7 Non-ENG"),IF(IFERROR(VLOOKUP(B1779&amp;"PT",'LM7 Non-ENG'!$A$1:$A$5000,1,FALSE),"ERROR")=B1779&amp;"PT","Y","")),"")</f>
        <v/>
      </c>
      <c r="I1779" t="str">
        <f>IFERROR(VLOOKUP(B1779,PN!$A:$C,3,FALSE),"")</f>
        <v>Active</v>
      </c>
      <c r="J1779" s="3">
        <f>IFERROR(E1779*VLOOKUP(B1779,PLInter!$A:$D,3,FALSE),"")</f>
        <v>162</v>
      </c>
      <c r="K1779" s="66"/>
      <c r="L1779" s="66"/>
      <c r="M1779" s="66"/>
      <c r="N1779" s="66"/>
      <c r="O1779" s="66"/>
      <c r="P1779" s="66"/>
      <c r="Q1779" s="66"/>
      <c r="R1779" s="66"/>
      <c r="S1779" s="66"/>
    </row>
    <row r="1780" spans="1:19" ht="18" customHeight="1">
      <c r="B1780" t="str">
        <f>"112713"</f>
        <v>112713</v>
      </c>
      <c r="C1780" t="s">
        <v>1012</v>
      </c>
      <c r="D1780" s="4"/>
      <c r="E1780" s="4">
        <v>3</v>
      </c>
      <c r="F1780" s="4"/>
      <c r="G1780" s="29" t="str">
        <f>IFERROR(HYPERLINK("#"&amp;ADDRESS(MATCH(B1780&amp;"ES",'LM7 Non-ENG'!$A$1:$A$5000,0),1,,,"LM7 Non-ENG"),IF(IFERROR(VLOOKUP(B1780&amp;"ES",'LM7 Non-ENG'!$A$1:$A$4999,1,FALSE),"ERROR")=B1780&amp;"ES","Y","")),"")</f>
        <v/>
      </c>
      <c r="H1780" s="29" t="str">
        <f>IFERROR(HYPERLINK("#"&amp;ADDRESS(MATCH(B1780&amp;"PT",'LM7 Non-ENG'!$A$1:$A$5000,0),1,,,"LM7 Non-ENG"),IF(IFERROR(VLOOKUP(B1780&amp;"PT",'LM7 Non-ENG'!$A$1:$A$5000,1,FALSE),"ERROR")=B1780&amp;"PT","Y","")),"")</f>
        <v/>
      </c>
      <c r="I1780" t="str">
        <f>IFERROR(VLOOKUP(B1780,PN!$A:$C,3,FALSE),"")</f>
        <v>Active</v>
      </c>
      <c r="J1780" s="3">
        <f>IFERROR(E1780*VLOOKUP(B1780,PLInter!$A:$D,3,FALSE),"")</f>
        <v>300</v>
      </c>
      <c r="K1780" s="66"/>
      <c r="L1780" s="66"/>
      <c r="M1780" s="66"/>
      <c r="N1780" s="66"/>
      <c r="O1780" s="66"/>
      <c r="P1780" s="66"/>
      <c r="Q1780" s="66"/>
      <c r="R1780" s="66"/>
      <c r="S1780" s="66"/>
    </row>
    <row r="1781" spans="1:19" ht="18" customHeight="1">
      <c r="B1781" t="str">
        <f>"113316"</f>
        <v>113316</v>
      </c>
      <c r="C1781" t="s">
        <v>979</v>
      </c>
      <c r="D1781" s="4"/>
      <c r="E1781" s="4">
        <v>1</v>
      </c>
      <c r="F1781" s="4"/>
      <c r="G1781" s="29" t="str">
        <f>IFERROR(HYPERLINK("#"&amp;ADDRESS(MATCH(B1781&amp;"ES",'LM7 Non-ENG'!$A$1:$A$5000,0),1,,,"LM7 Non-ENG"),IF(IFERROR(VLOOKUP(B1781&amp;"ES",'LM7 Non-ENG'!$A$1:$A$4999,1,FALSE),"ERROR")=B1781&amp;"ES","Y","")),"")</f>
        <v/>
      </c>
      <c r="H1781" s="29" t="str">
        <f>IFERROR(HYPERLINK("#"&amp;ADDRESS(MATCH(B1781&amp;"PT",'LM7 Non-ENG'!$A$1:$A$5000,0),1,,,"LM7 Non-ENG"),IF(IFERROR(VLOOKUP(B1781&amp;"PT",'LM7 Non-ENG'!$A$1:$A$5000,1,FALSE),"ERROR")=B1781&amp;"PT","Y","")),"")</f>
        <v/>
      </c>
      <c r="I1781" t="str">
        <f>IFERROR(VLOOKUP(B1781,PN!$A:$C,3,FALSE),"")</f>
        <v>Active</v>
      </c>
      <c r="J1781" s="3">
        <f>IFERROR(E1781*VLOOKUP(B1781,PLInter!$A:$D,3,FALSE),"")</f>
        <v>20</v>
      </c>
      <c r="K1781" s="66"/>
      <c r="L1781" s="66"/>
      <c r="M1781" s="66"/>
      <c r="N1781" s="66"/>
      <c r="O1781" s="66"/>
      <c r="P1781" s="66"/>
      <c r="Q1781" s="66"/>
      <c r="R1781" s="66"/>
      <c r="S1781" s="66"/>
    </row>
    <row r="1782" spans="1:19" ht="18" customHeight="1">
      <c r="B1782" t="s">
        <v>982</v>
      </c>
      <c r="C1782" t="s">
        <v>983</v>
      </c>
      <c r="D1782" s="4"/>
      <c r="E1782" s="4">
        <v>1</v>
      </c>
      <c r="F1782" s="4"/>
      <c r="G1782" s="29" t="str">
        <f>IFERROR(HYPERLINK("#"&amp;ADDRESS(MATCH(B1782&amp;"ES",'LM7 Non-ENG'!$A$1:$A$5000,0),1,,,"LM7 Non-ENG"),IF(IFERROR(VLOOKUP(B1782&amp;"ES",'LM7 Non-ENG'!$A$1:$A$4999,1,FALSE),"ERROR")=B1782&amp;"ES","Y","")),"")</f>
        <v/>
      </c>
      <c r="H1782" s="29" t="str">
        <f>IFERROR(HYPERLINK("#"&amp;ADDRESS(MATCH(B1782&amp;"PT",'LM7 Non-ENG'!$A$1:$A$5000,0),1,,,"LM7 Non-ENG"),IF(IFERROR(VLOOKUP(B1782&amp;"PT",'LM7 Non-ENG'!$A$1:$A$5000,1,FALSE),"ERROR")=B1782&amp;"PT","Y","")),"")</f>
        <v/>
      </c>
      <c r="I1782" t="str">
        <f>IFERROR(VLOOKUP(B1782,PN!$A:$C,3,FALSE),"")</f>
        <v>Active</v>
      </c>
      <c r="J1782" s="3">
        <f>IFERROR(E1782*VLOOKUP(B1782,PLInter!$A:$D,3,FALSE),"")</f>
        <v>3120</v>
      </c>
      <c r="K1782" s="66"/>
      <c r="L1782" s="66"/>
      <c r="M1782" s="66"/>
      <c r="N1782" s="66"/>
      <c r="O1782" s="66"/>
      <c r="P1782" s="66"/>
      <c r="Q1782" s="66"/>
      <c r="R1782" s="66"/>
      <c r="S1782" s="66"/>
    </row>
    <row r="1783" spans="1:19" ht="18" customHeight="1">
      <c r="B1783" t="str">
        <f>"113316"</f>
        <v>113316</v>
      </c>
      <c r="C1783" t="s">
        <v>979</v>
      </c>
      <c r="D1783" s="4"/>
      <c r="E1783" s="4">
        <v>1</v>
      </c>
      <c r="F1783" s="4"/>
      <c r="G1783" s="29" t="str">
        <f>IFERROR(HYPERLINK("#"&amp;ADDRESS(MATCH(B1783&amp;"ES",'LM7 Non-ENG'!$A$1:$A$5000,0),1,,,"LM7 Non-ENG"),IF(IFERROR(VLOOKUP(B1783&amp;"ES",'LM7 Non-ENG'!$A$1:$A$4999,1,FALSE),"ERROR")=B1783&amp;"ES","Y","")),"")</f>
        <v/>
      </c>
      <c r="H1783" s="29" t="str">
        <f>IFERROR(HYPERLINK("#"&amp;ADDRESS(MATCH(B1783&amp;"PT",'LM7 Non-ENG'!$A$1:$A$5000,0),1,,,"LM7 Non-ENG"),IF(IFERROR(VLOOKUP(B1783&amp;"PT",'LM7 Non-ENG'!$A$1:$A$5000,1,FALSE),"ERROR")=B1783&amp;"PT","Y","")),"")</f>
        <v/>
      </c>
      <c r="I1783" t="str">
        <f>IFERROR(VLOOKUP(B1783,PN!$A:$C,3,FALSE),"")</f>
        <v>Active</v>
      </c>
      <c r="J1783" s="3">
        <f>IFERROR(E1783*VLOOKUP(B1783,PLInter!$A:$D,3,FALSE),"")</f>
        <v>20</v>
      </c>
      <c r="K1783" s="66"/>
      <c r="L1783" s="66"/>
      <c r="M1783" s="66"/>
      <c r="N1783" s="66"/>
      <c r="O1783" s="66"/>
      <c r="P1783" s="66"/>
      <c r="Q1783" s="66"/>
      <c r="R1783" s="66"/>
      <c r="S1783" s="66"/>
    </row>
    <row r="1784" spans="1:19" ht="18" customHeight="1">
      <c r="B1784" t="s">
        <v>902</v>
      </c>
      <c r="C1784" t="s">
        <v>903</v>
      </c>
      <c r="D1784" s="4"/>
      <c r="E1784" s="4">
        <v>1</v>
      </c>
      <c r="F1784" s="4"/>
      <c r="G1784" s="29" t="str">
        <f>IFERROR(HYPERLINK("#"&amp;ADDRESS(MATCH(B1784&amp;"ES",'LM7 Non-ENG'!$A$1:$A$5000,0),1,,,"LM7 Non-ENG"),IF(IFERROR(VLOOKUP(B1784&amp;"ES",'LM7 Non-ENG'!$A$1:$A$4999,1,FALSE),"ERROR")=B1784&amp;"ES","Y","")),"")</f>
        <v/>
      </c>
      <c r="H1784" s="29" t="str">
        <f>IFERROR(HYPERLINK("#"&amp;ADDRESS(MATCH(B1784&amp;"PT",'LM7 Non-ENG'!$A$1:$A$5000,0),1,,,"LM7 Non-ENG"),IF(IFERROR(VLOOKUP(B1784&amp;"PT",'LM7 Non-ENG'!$A$1:$A$5000,1,FALSE),"ERROR")=B1784&amp;"PT","Y","")),"")</f>
        <v/>
      </c>
      <c r="I1784" t="str">
        <f>IFERROR(VLOOKUP(B1784,PN!$A:$C,3,FALSE),"")</f>
        <v>Active</v>
      </c>
      <c r="J1784" s="3">
        <f>IFERROR(E1784*VLOOKUP(B1784,PLInter!$A:$D,3,FALSE),"")</f>
        <v>2000</v>
      </c>
      <c r="K1784" s="66"/>
      <c r="L1784" s="66"/>
      <c r="M1784" s="66"/>
      <c r="N1784" s="66"/>
      <c r="O1784" s="66"/>
      <c r="P1784" s="66"/>
      <c r="Q1784" s="66"/>
      <c r="R1784" s="66"/>
      <c r="S1784" s="66"/>
    </row>
    <row r="1785" spans="1:19" ht="18" customHeight="1">
      <c r="B1785" t="s">
        <v>244</v>
      </c>
      <c r="C1785" t="s">
        <v>247</v>
      </c>
      <c r="D1785" s="4"/>
      <c r="E1785" s="4">
        <v>1</v>
      </c>
      <c r="F1785" s="4"/>
      <c r="G1785" s="29" t="str">
        <f>IFERROR(HYPERLINK("#"&amp;ADDRESS(MATCH(B1785&amp;"ES",'LM7 Non-ENG'!$A$1:$A$5000,0),1,,,"LM7 Non-ENG"),IF(IFERROR(VLOOKUP(B1785&amp;"ES",'LM7 Non-ENG'!$A$1:$A$4999,1,FALSE),"ERROR")=B1785&amp;"ES","Y","")),"")</f>
        <v/>
      </c>
      <c r="H1785" s="29" t="str">
        <f>IFERROR(HYPERLINK("#"&amp;ADDRESS(MATCH(B1785&amp;"PT",'LM7 Non-ENG'!$A$1:$A$5000,0),1,,,"LM7 Non-ENG"),IF(IFERROR(VLOOKUP(B1785&amp;"PT",'LM7 Non-ENG'!$A$1:$A$5000,1,FALSE),"ERROR")=B1785&amp;"PT","Y","")),"")</f>
        <v/>
      </c>
      <c r="I1785" t="str">
        <f>IFERROR(VLOOKUP(B1785,PN!$A:$C,3,FALSE),"")</f>
        <v>Active</v>
      </c>
      <c r="J1785" s="3">
        <f>IFERROR(E1785*VLOOKUP(B1785,PLInter!$A:$D,3,FALSE),"")</f>
        <v>2400</v>
      </c>
      <c r="K1785" s="66"/>
      <c r="L1785" s="66"/>
      <c r="M1785" s="66"/>
      <c r="N1785" s="66"/>
      <c r="O1785" s="66"/>
      <c r="P1785" s="66"/>
      <c r="Q1785" s="66"/>
      <c r="R1785" s="66"/>
      <c r="S1785" s="66"/>
    </row>
    <row r="1786" spans="1:19" ht="18" customHeight="1">
      <c r="B1786" t="s">
        <v>697</v>
      </c>
      <c r="C1786" t="s">
        <v>698</v>
      </c>
      <c r="D1786" s="4"/>
      <c r="E1786" s="4">
        <v>1</v>
      </c>
      <c r="F1786" s="4"/>
      <c r="G1786" s="29" t="str">
        <f>IFERROR(HYPERLINK("#"&amp;ADDRESS(MATCH(B1786&amp;"ES",'LM7 Non-ENG'!$A$1:$A$5000,0),1,,,"LM7 Non-ENG"),IF(IFERROR(VLOOKUP(B1786&amp;"ES",'LM7 Non-ENG'!$A$1:$A$4999,1,FALSE),"ERROR")=B1786&amp;"ES","Y","")),"")</f>
        <v/>
      </c>
      <c r="H1786" s="29" t="str">
        <f>IFERROR(HYPERLINK("#"&amp;ADDRESS(MATCH(B1786&amp;"PT",'LM7 Non-ENG'!$A$1:$A$5000,0),1,,,"LM7 Non-ENG"),IF(IFERROR(VLOOKUP(B1786&amp;"PT",'LM7 Non-ENG'!$A$1:$A$5000,1,FALSE),"ERROR")=B1786&amp;"PT","Y","")),"")</f>
        <v/>
      </c>
      <c r="I1786" t="str">
        <f>IFERROR(VLOOKUP(B1786,PN!$A:$C,3,FALSE),"")</f>
        <v>Active</v>
      </c>
      <c r="J1786" s="3">
        <f>IFERROR(E1786*VLOOKUP(B1786,PLInter!$A:$D,3,FALSE),"")</f>
        <v>934</v>
      </c>
      <c r="K1786" s="66"/>
      <c r="L1786" s="66"/>
      <c r="M1786" s="66"/>
      <c r="N1786" s="66"/>
      <c r="O1786" s="66"/>
      <c r="P1786" s="66"/>
      <c r="Q1786" s="66"/>
      <c r="R1786" s="66"/>
      <c r="S1786" s="66"/>
    </row>
    <row r="1787" spans="1:19" ht="18" customHeight="1">
      <c r="B1787" t="s">
        <v>630</v>
      </c>
      <c r="C1787" t="s">
        <v>631</v>
      </c>
      <c r="D1787" s="4"/>
      <c r="E1787" s="4">
        <v>1</v>
      </c>
      <c r="F1787" s="4"/>
      <c r="G1787" s="29" t="str">
        <f>IFERROR(HYPERLINK("#"&amp;ADDRESS(MATCH(B1787&amp;"ES",'LM7 Non-ENG'!$A$1:$A$5000,0),1,,,"LM7 Non-ENG"),IF(IFERROR(VLOOKUP(B1787&amp;"ES",'LM7 Non-ENG'!$A$1:$A$4999,1,FALSE),"ERROR")=B1787&amp;"ES","Y","")),"")</f>
        <v/>
      </c>
      <c r="H1787" s="29" t="str">
        <f>IFERROR(HYPERLINK("#"&amp;ADDRESS(MATCH(B1787&amp;"PT",'LM7 Non-ENG'!$A$1:$A$5000,0),1,,,"LM7 Non-ENG"),IF(IFERROR(VLOOKUP(B1787&amp;"PT",'LM7 Non-ENG'!$A$1:$A$5000,1,FALSE),"ERROR")=B1787&amp;"PT","Y","")),"")</f>
        <v/>
      </c>
      <c r="I1787" t="str">
        <f>IFERROR(VLOOKUP(B1787,PN!$A:$C,3,FALSE),"")</f>
        <v>Active</v>
      </c>
      <c r="J1787" s="3">
        <f>IFERROR(E1787*VLOOKUP(B1787,PLInter!$A:$D,3,FALSE),"")</f>
        <v>1735</v>
      </c>
      <c r="K1787" s="66"/>
      <c r="L1787" s="66"/>
      <c r="M1787" s="66"/>
      <c r="N1787" s="66"/>
      <c r="O1787" s="66"/>
      <c r="P1787" s="66"/>
      <c r="Q1787" s="66"/>
      <c r="R1787" s="66"/>
      <c r="S1787" s="66"/>
    </row>
    <row r="1789" spans="1:19" s="7" customFormat="1" ht="18" customHeight="1">
      <c r="A1789" s="13" t="s">
        <v>1022</v>
      </c>
      <c r="B1789" s="13"/>
      <c r="C1789" s="13" t="s">
        <v>1023</v>
      </c>
      <c r="D1789" s="14"/>
      <c r="E1789" s="14"/>
      <c r="F1789" s="14"/>
      <c r="G1789" s="14"/>
      <c r="H1789" s="14"/>
      <c r="I1789" s="14"/>
      <c r="J1789" s="14">
        <f>SUMIFS(J1790:J1794,D1790:D1794,"&lt;&gt;Y",F1790:F1794,"&lt;&gt;Y",I1790:I1794,"&lt;&gt;Inactive",I1790:I1794,"&lt;&gt;ECO+NFS")</f>
        <v>4217</v>
      </c>
      <c r="K1789" s="14"/>
      <c r="L1789" s="14"/>
      <c r="M1789" s="14"/>
      <c r="N1789" s="14"/>
      <c r="O1789" s="14"/>
      <c r="P1789" s="14"/>
      <c r="Q1789" s="14"/>
      <c r="R1789" s="14"/>
      <c r="S1789" s="14"/>
    </row>
    <row r="1790" spans="1:19" ht="18" customHeight="1">
      <c r="A1790" s="17" t="str">
        <f>HYPERLINK("#"&amp;ADDRESS(MATCH(A1789,'CIM&amp;FMS'!$A$1:$A$4997,0),1,,,"CIM&amp;FMS"),"Back to Price List")</f>
        <v>Back to Price List</v>
      </c>
      <c r="B1790" t="str">
        <f>"00-1425-0000"</f>
        <v>00-1425-0000</v>
      </c>
      <c r="C1790" t="str">
        <f>"Viewflex for QC on Conveyor (Stand 400mm)"</f>
        <v>Viewflex for QC on Conveyor (Stand 400mm)</v>
      </c>
      <c r="D1790" s="4"/>
      <c r="E1790" s="4">
        <v>1</v>
      </c>
      <c r="F1790" s="4"/>
      <c r="G1790" s="29" t="str">
        <f>IFERROR(HYPERLINK("#"&amp;ADDRESS(MATCH(B1790&amp;"ES",'LM7 Non-ENG'!$A$1:$A$5000,0),1,,,"LM7 Non-ENG"),IF(IFERROR(VLOOKUP(B1790&amp;"ES",'LM7 Non-ENG'!$A$1:$A$4999,1,FALSE),"ERROR")=B1790&amp;"ES","Y","")),"")</f>
        <v/>
      </c>
      <c r="H1790" s="29" t="str">
        <f>IFERROR(HYPERLINK("#"&amp;ADDRESS(MATCH(B1790&amp;"PT",'LM7 Non-ENG'!$A$1:$A$5000,0),1,,,"LM7 Non-ENG"),IF(IFERROR(VLOOKUP(B1790&amp;"PT",'LM7 Non-ENG'!$A$1:$A$5000,1,FALSE),"ERROR")=B1790&amp;"PT","Y","")),"")</f>
        <v/>
      </c>
      <c r="I1790" t="str">
        <f>IFERROR(VLOOKUP(B1790,PN!$A:$C,3,FALSE),"")</f>
        <v>ECO-N2Buy</v>
      </c>
      <c r="J1790" s="3">
        <f>IFERROR(E1790*VLOOKUP(B1790,PLInter!$A:$D,3,FALSE),"")</f>
        <v>2000</v>
      </c>
      <c r="K1790" s="66"/>
      <c r="L1790" s="66"/>
      <c r="M1790" s="66"/>
      <c r="N1790" s="66"/>
      <c r="O1790" s="66"/>
      <c r="P1790" s="66"/>
      <c r="Q1790" s="66"/>
      <c r="R1790" s="66"/>
      <c r="S1790" s="66"/>
    </row>
    <row r="1791" spans="1:19" ht="18" customHeight="1">
      <c r="B1791" t="str">
        <f>"113316"</f>
        <v>113316</v>
      </c>
      <c r="C1791" t="str">
        <f>"Parts Bin; Plastic Box"</f>
        <v>Parts Bin; Plastic Box</v>
      </c>
      <c r="D1791" s="4"/>
      <c r="E1791" s="4">
        <v>1</v>
      </c>
      <c r="F1791" s="4"/>
      <c r="G1791" s="29" t="str">
        <f>IFERROR(HYPERLINK("#"&amp;ADDRESS(MATCH(B1791&amp;"ES",'LM7 Non-ENG'!$A$1:$A$5000,0),1,,,"LM7 Non-ENG"),IF(IFERROR(VLOOKUP(B1791&amp;"ES",'LM7 Non-ENG'!$A$1:$A$4999,1,FALSE),"ERROR")=B1791&amp;"ES","Y","")),"")</f>
        <v/>
      </c>
      <c r="H1791" s="29" t="str">
        <f>IFERROR(HYPERLINK("#"&amp;ADDRESS(MATCH(B1791&amp;"PT",'LM7 Non-ENG'!$A$1:$A$5000,0),1,,,"LM7 Non-ENG"),IF(IFERROR(VLOOKUP(B1791&amp;"PT",'LM7 Non-ENG'!$A$1:$A$5000,1,FALSE),"ERROR")=B1791&amp;"PT","Y","")),"")</f>
        <v/>
      </c>
      <c r="I1791" t="str">
        <f>IFERROR(VLOOKUP(B1791,PN!$A:$C,3,FALSE),"")</f>
        <v>Active</v>
      </c>
      <c r="J1791" s="3">
        <f>IFERROR(E1791*VLOOKUP(B1791,PLInter!$A:$D,3,FALSE),"")</f>
        <v>20</v>
      </c>
      <c r="K1791" s="66"/>
      <c r="L1791" s="66"/>
      <c r="M1791" s="66"/>
      <c r="N1791" s="66"/>
      <c r="O1791" s="66"/>
      <c r="P1791" s="66"/>
      <c r="Q1791" s="66"/>
      <c r="R1791" s="66"/>
      <c r="S1791" s="66"/>
    </row>
    <row r="1792" spans="1:19" ht="18" customHeight="1">
      <c r="B1792" t="str">
        <f>"112713"</f>
        <v>112713</v>
      </c>
      <c r="C1792" t="str">
        <f>"Mark Al. Cylinder Diam. 35x28 MicroCIM"</f>
        <v>Mark Al. Cylinder Diam. 35x28 MicroCIM</v>
      </c>
      <c r="D1792" s="4"/>
      <c r="E1792" s="4">
        <v>3</v>
      </c>
      <c r="F1792" s="4"/>
      <c r="G1792" s="29" t="str">
        <f>IFERROR(HYPERLINK("#"&amp;ADDRESS(MATCH(B1792&amp;"ES",'LM7 Non-ENG'!$A$1:$A$5000,0),1,,,"LM7 Non-ENG"),IF(IFERROR(VLOOKUP(B1792&amp;"ES",'LM7 Non-ENG'!$A$1:$A$4999,1,FALSE),"ERROR")=B1792&amp;"ES","Y","")),"")</f>
        <v/>
      </c>
      <c r="H1792" s="29" t="str">
        <f>IFERROR(HYPERLINK("#"&amp;ADDRESS(MATCH(B1792&amp;"PT",'LM7 Non-ENG'!$A$1:$A$5000,0),1,,,"LM7 Non-ENG"),IF(IFERROR(VLOOKUP(B1792&amp;"PT",'LM7 Non-ENG'!$A$1:$A$5000,1,FALSE),"ERROR")=B1792&amp;"PT","Y","")),"")</f>
        <v/>
      </c>
      <c r="I1792" t="str">
        <f>IFERROR(VLOOKUP(B1792,PN!$A:$C,3,FALSE),"")</f>
        <v>Active</v>
      </c>
      <c r="J1792" s="3">
        <f>IFERROR(E1792*VLOOKUP(B1792,PLInter!$A:$D,3,FALSE),"")</f>
        <v>300</v>
      </c>
      <c r="K1792" s="66"/>
      <c r="L1792" s="66"/>
      <c r="M1792" s="66"/>
      <c r="N1792" s="66"/>
      <c r="O1792" s="66"/>
      <c r="P1792" s="66"/>
      <c r="Q1792" s="66"/>
      <c r="R1792" s="66"/>
      <c r="S1792" s="66"/>
    </row>
    <row r="1793" spans="1:19" ht="18" customHeight="1">
      <c r="B1793" t="str">
        <f>"113096"</f>
        <v>113096</v>
      </c>
      <c r="C1793" t="str">
        <f>"Plexiglass Cylinders Base MicroCIM"</f>
        <v>Plexiglass Cylinders Base MicroCIM</v>
      </c>
      <c r="D1793" s="4"/>
      <c r="E1793" s="4">
        <v>3</v>
      </c>
      <c r="F1793" s="4"/>
      <c r="G1793" s="29" t="str">
        <f>IFERROR(HYPERLINK("#"&amp;ADDRESS(MATCH(B1793&amp;"ES",'LM7 Non-ENG'!$A$1:$A$5000,0),1,,,"LM7 Non-ENG"),IF(IFERROR(VLOOKUP(B1793&amp;"ES",'LM7 Non-ENG'!$A$1:$A$4999,1,FALSE),"ERROR")=B1793&amp;"ES","Y","")),"")</f>
        <v/>
      </c>
      <c r="H1793" s="29" t="str">
        <f>IFERROR(HYPERLINK("#"&amp;ADDRESS(MATCH(B1793&amp;"PT",'LM7 Non-ENG'!$A$1:$A$5000,0),1,,,"LM7 Non-ENG"),IF(IFERROR(VLOOKUP(B1793&amp;"PT",'LM7 Non-ENG'!$A$1:$A$5000,1,FALSE),"ERROR")=B1793&amp;"PT","Y","")),"")</f>
        <v/>
      </c>
      <c r="I1793" t="str">
        <f>IFERROR(VLOOKUP(B1793,PN!$A:$C,3,FALSE),"")</f>
        <v>Active</v>
      </c>
      <c r="J1793" s="3">
        <f>IFERROR(E1793*VLOOKUP(B1793,PLInter!$A:$D,3,FALSE),"")</f>
        <v>162</v>
      </c>
      <c r="K1793" s="66"/>
      <c r="L1793" s="66"/>
      <c r="M1793" s="66"/>
      <c r="N1793" s="66"/>
      <c r="O1793" s="66"/>
      <c r="P1793" s="66"/>
      <c r="Q1793" s="66"/>
      <c r="R1793" s="66"/>
      <c r="S1793" s="66"/>
    </row>
    <row r="1794" spans="1:19" ht="18" customHeight="1">
      <c r="B1794" t="str">
        <f>"50-0094-0000"</f>
        <v>50-0094-0000</v>
      </c>
      <c r="C1794" t="str">
        <f>"Pre-Engineering, Design and Testing"</f>
        <v>Pre-Engineering, Design and Testing</v>
      </c>
      <c r="D1794" s="4"/>
      <c r="E1794" s="4">
        <v>1</v>
      </c>
      <c r="F1794" s="4"/>
      <c r="G1794" s="29" t="str">
        <f>IFERROR(HYPERLINK("#"&amp;ADDRESS(MATCH(B1794&amp;"ES",'LM7 Non-ENG'!$A$1:$A$5000,0),1,,,"LM7 Non-ENG"),IF(IFERROR(VLOOKUP(B1794&amp;"ES",'LM7 Non-ENG'!$A$1:$A$4999,1,FALSE),"ERROR")=B1794&amp;"ES","Y","")),"")</f>
        <v/>
      </c>
      <c r="H1794" s="29" t="str">
        <f>IFERROR(HYPERLINK("#"&amp;ADDRESS(MATCH(B1794&amp;"PT",'LM7 Non-ENG'!$A$1:$A$5000,0),1,,,"LM7 Non-ENG"),IF(IFERROR(VLOOKUP(B1794&amp;"PT",'LM7 Non-ENG'!$A$1:$A$5000,1,FALSE),"ERROR")=B1794&amp;"PT","Y","")),"")</f>
        <v/>
      </c>
      <c r="I1794" t="str">
        <f>IFERROR(VLOOKUP(B1794,PN!$A:$C,3,FALSE),"")</f>
        <v>Active</v>
      </c>
      <c r="J1794" s="3">
        <f>IFERROR(E1794*VLOOKUP(B1794,PLInter!$A:$D,3,FALSE),"")</f>
        <v>1735</v>
      </c>
      <c r="K1794" s="66"/>
      <c r="L1794" s="66"/>
      <c r="M1794" s="66"/>
      <c r="N1794" s="66"/>
      <c r="O1794" s="66"/>
      <c r="P1794" s="66"/>
      <c r="Q1794" s="66"/>
      <c r="R1794" s="66"/>
      <c r="S1794" s="66"/>
    </row>
    <row r="1796" spans="1:19" s="7" customFormat="1" ht="18" customHeight="1">
      <c r="A1796" s="13" t="s">
        <v>1024</v>
      </c>
      <c r="B1796" s="13"/>
      <c r="C1796" s="13" t="s">
        <v>1025</v>
      </c>
      <c r="D1796" s="14"/>
      <c r="E1796" s="14"/>
      <c r="F1796" s="14"/>
      <c r="G1796" s="14"/>
      <c r="H1796" s="14"/>
      <c r="I1796" s="14"/>
      <c r="J1796" s="14">
        <f>SUMIFS(J1797:J1813,D1797:D1813,"&lt;&gt;Y",F1797:F1813,"&lt;&gt;Y",I1797:I1813,"&lt;&gt;Inactive",I1797:I1813,"&lt;&gt;ECO+NFS")</f>
        <v>46935</v>
      </c>
      <c r="K1796" s="14"/>
      <c r="L1796" s="14"/>
      <c r="M1796" s="14"/>
      <c r="N1796" s="14"/>
      <c r="O1796" s="14"/>
      <c r="P1796" s="14"/>
      <c r="Q1796" s="14"/>
      <c r="R1796" s="14"/>
      <c r="S1796" s="14"/>
    </row>
    <row r="1797" spans="1:19" ht="18" customHeight="1">
      <c r="A1797" s="17" t="str">
        <f>HYPERLINK("#"&amp;ADDRESS(MATCH(A1796,'CIM&amp;FMS'!$A$1:$A$4997,0),1,,,"CIM&amp;FMS"),"Back to Price List")</f>
        <v>Back to Price List</v>
      </c>
      <c r="B1797" t="s">
        <v>216</v>
      </c>
      <c r="C1797" t="s">
        <v>913</v>
      </c>
      <c r="D1797" s="4"/>
      <c r="E1797" s="4">
        <v>1</v>
      </c>
      <c r="F1797" s="4"/>
      <c r="G1797" s="29" t="str">
        <f>IFERROR(HYPERLINK("#"&amp;ADDRESS(MATCH(B1797&amp;"ES",'LM7 Non-ENG'!$A$1:$A$5000,0),1,,,"LM7 Non-ENG"),IF(IFERROR(VLOOKUP(B1797&amp;"ES",'LM7 Non-ENG'!$A$1:$A$4999,1,FALSE),"ERROR")=B1797&amp;"ES","Y","")),"")</f>
        <v/>
      </c>
      <c r="H1797" s="29" t="str">
        <f>IFERROR(HYPERLINK("#"&amp;ADDRESS(MATCH(B1797&amp;"PT",'LM7 Non-ENG'!$A$1:$A$5000,0),1,,,"LM7 Non-ENG"),IF(IFERROR(VLOOKUP(B1797&amp;"PT",'LM7 Non-ENG'!$A$1:$A$5000,1,FALSE),"ERROR")=B1797&amp;"PT","Y","")),"")</f>
        <v/>
      </c>
      <c r="I1797" t="str">
        <f>IFERROR(VLOOKUP(B1797,PN!$A:$C,3,FALSE),"")</f>
        <v>Active</v>
      </c>
      <c r="J1797" s="3">
        <f>IFERROR(E1797*VLOOKUP(B1797,PLInter!$A:$D,3,FALSE),"")</f>
        <v>26667</v>
      </c>
      <c r="K1797" s="66"/>
      <c r="L1797" s="66"/>
      <c r="M1797" s="66"/>
      <c r="N1797" s="66"/>
      <c r="O1797" s="66"/>
      <c r="P1797" s="66"/>
      <c r="Q1797" s="66"/>
      <c r="R1797" s="66"/>
      <c r="S1797" s="66"/>
    </row>
    <row r="1798" spans="1:19" ht="18" customHeight="1">
      <c r="B1798" t="s">
        <v>229</v>
      </c>
      <c r="C1798" t="s">
        <v>234</v>
      </c>
      <c r="D1798" s="4"/>
      <c r="E1798" s="4">
        <v>1</v>
      </c>
      <c r="F1798" s="4"/>
      <c r="G1798" s="29" t="str">
        <f>IFERROR(HYPERLINK("#"&amp;ADDRESS(MATCH(B1798&amp;"ES",'LM7 Non-ENG'!$A$1:$A$5000,0),1,,,"LM7 Non-ENG"),IF(IFERROR(VLOOKUP(B1798&amp;"ES",'LM7 Non-ENG'!$A$1:$A$4999,1,FALSE),"ERROR")=B1798&amp;"ES","Y","")),"")</f>
        <v/>
      </c>
      <c r="H1798" s="29" t="str">
        <f>IFERROR(HYPERLINK("#"&amp;ADDRESS(MATCH(B1798&amp;"PT",'LM7 Non-ENG'!$A$1:$A$5000,0),1,,,"LM7 Non-ENG"),IF(IFERROR(VLOOKUP(B1798&amp;"PT",'LM7 Non-ENG'!$A$1:$A$5000,1,FALSE),"ERROR")=B1798&amp;"PT","Y","")),"")</f>
        <v/>
      </c>
      <c r="I1798" t="str">
        <f>IFERROR(VLOOKUP(B1798,PN!$A:$C,3,FALSE),"")</f>
        <v>Active</v>
      </c>
      <c r="J1798" s="3">
        <f>IFERROR(E1798*VLOOKUP(B1798,PLInter!$A:$D,3,FALSE),"")</f>
        <v>3270</v>
      </c>
      <c r="K1798" s="66"/>
      <c r="L1798" s="66"/>
      <c r="M1798" s="66"/>
      <c r="N1798" s="66"/>
      <c r="O1798" s="66"/>
      <c r="P1798" s="66"/>
      <c r="Q1798" s="66"/>
      <c r="R1798" s="66"/>
      <c r="S1798" s="66"/>
    </row>
    <row r="1799" spans="1:19" ht="18" customHeight="1">
      <c r="B1799" s="2" t="s">
        <v>227</v>
      </c>
      <c r="C1799" s="2" t="s">
        <v>232</v>
      </c>
      <c r="D1799" s="5"/>
      <c r="E1799" s="5">
        <v>1</v>
      </c>
      <c r="F1799" s="5" t="s">
        <v>0</v>
      </c>
      <c r="G1799" s="29" t="str">
        <f>IFERROR(HYPERLINK("#"&amp;ADDRESS(MATCH(B1799&amp;"ES",'LM7 Non-ENG'!$A$1:$A$5000,0),1,,,"LM7 Non-ENG"),IF(IFERROR(VLOOKUP(B1799&amp;"ES",'LM7 Non-ENG'!$A$1:$A$4999,1,FALSE),"ERROR")=B1799&amp;"ES","Y","")),"")</f>
        <v/>
      </c>
      <c r="H1799" s="29" t="str">
        <f>IFERROR(HYPERLINK("#"&amp;ADDRESS(MATCH(B1799&amp;"PT",'LM7 Non-ENG'!$A$1:$A$5000,0),1,,,"LM7 Non-ENG"),IF(IFERROR(VLOOKUP(B1799&amp;"PT",'LM7 Non-ENG'!$A$1:$A$5000,1,FALSE),"ERROR")=B1799&amp;"PT","Y","")),"")</f>
        <v/>
      </c>
      <c r="I1799" t="str">
        <f>IFERROR(VLOOKUP(B1799,PN!$A:$C,3,FALSE),"")</f>
        <v>Active</v>
      </c>
      <c r="J1799" s="3">
        <f>IFERROR(E1799*VLOOKUP(B1799,PLInter!$A:$D,3,FALSE),"")</f>
        <v>1700</v>
      </c>
      <c r="K1799" s="66"/>
      <c r="L1799" s="66"/>
      <c r="M1799" s="66"/>
      <c r="N1799" s="66"/>
      <c r="O1799" s="66"/>
      <c r="P1799" s="66"/>
      <c r="Q1799" s="66"/>
      <c r="R1799" s="66"/>
      <c r="S1799" s="66"/>
    </row>
    <row r="1800" spans="1:19" ht="18" customHeight="1">
      <c r="B1800" t="s">
        <v>236</v>
      </c>
      <c r="C1800" t="s">
        <v>626</v>
      </c>
      <c r="D1800" s="4"/>
      <c r="E1800" s="4">
        <v>1</v>
      </c>
      <c r="F1800" s="4"/>
      <c r="G1800" s="29" t="str">
        <f>IFERROR(HYPERLINK("#"&amp;ADDRESS(MATCH(B1800&amp;"ES",'LM7 Non-ENG'!$A$1:$A$5000,0),1,,,"LM7 Non-ENG"),IF(IFERROR(VLOOKUP(B1800&amp;"ES",'LM7 Non-ENG'!$A$1:$A$4999,1,FALSE),"ERROR")=B1800&amp;"ES","Y","")),"")</f>
        <v/>
      </c>
      <c r="H1800" s="29" t="str">
        <f>IFERROR(HYPERLINK("#"&amp;ADDRESS(MATCH(B1800&amp;"PT",'LM7 Non-ENG'!$A$1:$A$5000,0),1,,,"LM7 Non-ENG"),IF(IFERROR(VLOOKUP(B1800&amp;"PT",'LM7 Non-ENG'!$A$1:$A$5000,1,FALSE),"ERROR")=B1800&amp;"PT","Y","")),"")</f>
        <v/>
      </c>
      <c r="I1800" t="str">
        <f>IFERROR(VLOOKUP(B1800,PN!$A:$C,3,FALSE),"")</f>
        <v>Active</v>
      </c>
      <c r="J1800" s="3">
        <f>IFERROR(E1800*VLOOKUP(B1800,PLInter!$A:$D,3,FALSE),"")</f>
        <v>1680</v>
      </c>
      <c r="K1800" s="66"/>
      <c r="L1800" s="66"/>
      <c r="M1800" s="66"/>
      <c r="N1800" s="66"/>
      <c r="O1800" s="66"/>
      <c r="P1800" s="66"/>
      <c r="Q1800" s="66"/>
      <c r="R1800" s="66"/>
      <c r="S1800" s="66"/>
    </row>
    <row r="1801" spans="1:19" ht="18" customHeight="1">
      <c r="B1801" t="str">
        <f>"034025"</f>
        <v>034025</v>
      </c>
      <c r="C1801" t="s">
        <v>777</v>
      </c>
      <c r="D1801" s="4"/>
      <c r="E1801" s="4">
        <v>1</v>
      </c>
      <c r="F1801" s="4"/>
      <c r="G1801" s="29" t="str">
        <f>IFERROR(HYPERLINK("#"&amp;ADDRESS(MATCH(B1801&amp;"ES",'LM7 Non-ENG'!$A$1:$A$5000,0),1,,,"LM7 Non-ENG"),IF(IFERROR(VLOOKUP(B1801&amp;"ES",'LM7 Non-ENG'!$A$1:$A$4999,1,FALSE),"ERROR")=B1801&amp;"ES","Y","")),"")</f>
        <v/>
      </c>
      <c r="H1801" s="29" t="str">
        <f>IFERROR(HYPERLINK("#"&amp;ADDRESS(MATCH(B1801&amp;"PT",'LM7 Non-ENG'!$A$1:$A$5000,0),1,,,"LM7 Non-ENG"),IF(IFERROR(VLOOKUP(B1801&amp;"PT",'LM7 Non-ENG'!$A$1:$A$5000,1,FALSE),"ERROR")=B1801&amp;"PT","Y","")),"")</f>
        <v/>
      </c>
      <c r="I1801" t="str">
        <f>IFERROR(VLOOKUP(B1801,PN!$A:$C,3,FALSE),"")</f>
        <v>Active</v>
      </c>
      <c r="J1801" s="3">
        <f>IFERROR(E1801*VLOOKUP(B1801,PLInter!$A:$D,3,FALSE),"")</f>
        <v>1267</v>
      </c>
      <c r="K1801" s="66"/>
      <c r="L1801" s="66"/>
      <c r="M1801" s="66"/>
      <c r="N1801" s="66"/>
      <c r="O1801" s="66"/>
      <c r="P1801" s="66"/>
      <c r="Q1801" s="66"/>
      <c r="R1801" s="66"/>
      <c r="S1801" s="66"/>
    </row>
    <row r="1802" spans="1:19" ht="18" customHeight="1">
      <c r="B1802" t="s">
        <v>914</v>
      </c>
      <c r="C1802" t="s">
        <v>915</v>
      </c>
      <c r="D1802" s="4"/>
      <c r="E1802" s="4">
        <v>3</v>
      </c>
      <c r="F1802" s="4"/>
      <c r="G1802" s="29" t="str">
        <f>IFERROR(HYPERLINK("#"&amp;ADDRESS(MATCH(B1802&amp;"ES",'LM7 Non-ENG'!$A$1:$A$5000,0),1,,,"LM7 Non-ENG"),IF(IFERROR(VLOOKUP(B1802&amp;"ES",'LM7 Non-ENG'!$A$1:$A$4999,1,FALSE),"ERROR")=B1802&amp;"ES","Y","")),"")</f>
        <v/>
      </c>
      <c r="H1802" s="29" t="str">
        <f>IFERROR(HYPERLINK("#"&amp;ADDRESS(MATCH(B1802&amp;"PT",'LM7 Non-ENG'!$A$1:$A$5000,0),1,,,"LM7 Non-ENG"),IF(IFERROR(VLOOKUP(B1802&amp;"PT",'LM7 Non-ENG'!$A$1:$A$5000,1,FALSE),"ERROR")=B1802&amp;"PT","Y","")),"")</f>
        <v/>
      </c>
      <c r="I1802" t="str">
        <f>IFERROR(VLOOKUP(B1802,PN!$A:$C,3,FALSE),"")</f>
        <v>Active</v>
      </c>
      <c r="J1802" s="3">
        <f>IFERROR(E1802*VLOOKUP(B1802,PLInter!$A:$D,3,FALSE),"")</f>
        <v>402</v>
      </c>
      <c r="K1802" s="66"/>
      <c r="L1802" s="66"/>
      <c r="M1802" s="66"/>
      <c r="N1802" s="66"/>
      <c r="O1802" s="66"/>
      <c r="P1802" s="66"/>
      <c r="Q1802" s="66"/>
      <c r="R1802" s="66"/>
      <c r="S1802" s="66"/>
    </row>
    <row r="1803" spans="1:19" ht="18" customHeight="1">
      <c r="B1803" t="s">
        <v>684</v>
      </c>
      <c r="C1803" t="s">
        <v>685</v>
      </c>
      <c r="D1803" s="4"/>
      <c r="E1803" s="4">
        <v>2</v>
      </c>
      <c r="F1803" s="4"/>
      <c r="G1803" s="29" t="str">
        <f>IFERROR(HYPERLINK("#"&amp;ADDRESS(MATCH(B1803&amp;"ES",'LM7 Non-ENG'!$A$1:$A$5000,0),1,,,"LM7 Non-ENG"),IF(IFERROR(VLOOKUP(B1803&amp;"ES",'LM7 Non-ENG'!$A$1:$A$4999,1,FALSE),"ERROR")=B1803&amp;"ES","Y","")),"")</f>
        <v/>
      </c>
      <c r="H1803" s="29" t="str">
        <f>IFERROR(HYPERLINK("#"&amp;ADDRESS(MATCH(B1803&amp;"PT",'LM7 Non-ENG'!$A$1:$A$5000,0),1,,,"LM7 Non-ENG"),IF(IFERROR(VLOOKUP(B1803&amp;"PT",'LM7 Non-ENG'!$A$1:$A$5000,1,FALSE),"ERROR")=B1803&amp;"PT","Y","")),"")</f>
        <v/>
      </c>
      <c r="I1803" t="str">
        <f>IFERROR(VLOOKUP(B1803,PN!$A:$C,3,FALSE),"")</f>
        <v>Active</v>
      </c>
      <c r="J1803" s="3">
        <f>IFERROR(E1803*VLOOKUP(B1803,PLInter!$A:$D,3,FALSE),"")</f>
        <v>1160</v>
      </c>
      <c r="K1803" s="66"/>
      <c r="L1803" s="66"/>
      <c r="M1803" s="66"/>
      <c r="N1803" s="66"/>
      <c r="O1803" s="66"/>
      <c r="P1803" s="66"/>
      <c r="Q1803" s="66"/>
      <c r="R1803" s="66"/>
      <c r="S1803" s="66"/>
    </row>
    <row r="1804" spans="1:19" ht="18" customHeight="1">
      <c r="B1804" t="str">
        <f>"021172"</f>
        <v>021172</v>
      </c>
      <c r="C1804" t="s">
        <v>916</v>
      </c>
      <c r="D1804" s="4"/>
      <c r="E1804" s="4">
        <v>2</v>
      </c>
      <c r="F1804" s="4"/>
      <c r="G1804" s="29" t="str">
        <f>IFERROR(HYPERLINK("#"&amp;ADDRESS(MATCH(B1804&amp;"ES",'LM7 Non-ENG'!$A$1:$A$5000,0),1,,,"LM7 Non-ENG"),IF(IFERROR(VLOOKUP(B1804&amp;"ES",'LM7 Non-ENG'!$A$1:$A$4999,1,FALSE),"ERROR")=B1804&amp;"ES","Y","")),"")</f>
        <v/>
      </c>
      <c r="H1804" s="29" t="str">
        <f>IFERROR(HYPERLINK("#"&amp;ADDRESS(MATCH(B1804&amp;"PT",'LM7 Non-ENG'!$A$1:$A$5000,0),1,,,"LM7 Non-ENG"),IF(IFERROR(VLOOKUP(B1804&amp;"PT",'LM7 Non-ENG'!$A$1:$A$5000,1,FALSE),"ERROR")=B1804&amp;"PT","Y","")),"")</f>
        <v/>
      </c>
      <c r="I1804" t="str">
        <f>IFERROR(VLOOKUP(B1804,PN!$A:$C,3,FALSE),"")</f>
        <v>Active</v>
      </c>
      <c r="J1804" s="3">
        <f>IFERROR(E1804*VLOOKUP(B1804,PLInter!$A:$D,3,FALSE),"")</f>
        <v>80</v>
      </c>
      <c r="K1804" s="66"/>
      <c r="L1804" s="66"/>
      <c r="M1804" s="66"/>
      <c r="N1804" s="66"/>
      <c r="O1804" s="66"/>
      <c r="P1804" s="66"/>
      <c r="Q1804" s="66"/>
      <c r="R1804" s="66"/>
      <c r="S1804" s="66"/>
    </row>
    <row r="1805" spans="1:19" ht="18" customHeight="1">
      <c r="B1805" t="s">
        <v>241</v>
      </c>
      <c r="C1805" t="s">
        <v>976</v>
      </c>
      <c r="D1805" s="4"/>
      <c r="E1805" s="4">
        <v>1</v>
      </c>
      <c r="F1805" s="4"/>
      <c r="G1805" s="29" t="str">
        <f>IFERROR(HYPERLINK("#"&amp;ADDRESS(MATCH(B1805&amp;"ES",'LM7 Non-ENG'!$A$1:$A$5000,0),1,,,"LM7 Non-ENG"),IF(IFERROR(VLOOKUP(B1805&amp;"ES",'LM7 Non-ENG'!$A$1:$A$4999,1,FALSE),"ERROR")=B1805&amp;"ES","Y","")),"")</f>
        <v/>
      </c>
      <c r="H1805" s="29" t="str">
        <f>IFERROR(HYPERLINK("#"&amp;ADDRESS(MATCH(B1805&amp;"PT",'LM7 Non-ENG'!$A$1:$A$5000,0),1,,,"LM7 Non-ENG"),IF(IFERROR(VLOOKUP(B1805&amp;"PT",'LM7 Non-ENG'!$A$1:$A$5000,1,FALSE),"ERROR")=B1805&amp;"PT","Y","")),"")</f>
        <v/>
      </c>
      <c r="I1805" t="str">
        <f>IFERROR(VLOOKUP(B1805,PN!$A:$C,3,FALSE),"")</f>
        <v>Active</v>
      </c>
      <c r="J1805" s="3">
        <f>IFERROR(E1805*VLOOKUP(B1805,PLInter!$A:$D,3,FALSE),"")</f>
        <v>2600</v>
      </c>
      <c r="K1805" s="66"/>
      <c r="L1805" s="66"/>
      <c r="M1805" s="66"/>
      <c r="N1805" s="66"/>
      <c r="O1805" s="66"/>
      <c r="P1805" s="66"/>
      <c r="Q1805" s="66"/>
      <c r="R1805" s="66"/>
      <c r="S1805" s="66"/>
    </row>
    <row r="1806" spans="1:19" ht="18" customHeight="1">
      <c r="B1806" t="s">
        <v>977</v>
      </c>
      <c r="C1806" t="s">
        <v>978</v>
      </c>
      <c r="D1806" s="4"/>
      <c r="E1806" s="4">
        <v>1</v>
      </c>
      <c r="F1806" s="4"/>
      <c r="G1806" s="29" t="str">
        <f>IFERROR(HYPERLINK("#"&amp;ADDRESS(MATCH(B1806&amp;"ES",'LM7 Non-ENG'!$A$1:$A$5000,0),1,,,"LM7 Non-ENG"),IF(IFERROR(VLOOKUP(B1806&amp;"ES",'LM7 Non-ENG'!$A$1:$A$4999,1,FALSE),"ERROR")=B1806&amp;"ES","Y","")),"")</f>
        <v/>
      </c>
      <c r="H1806" s="29" t="str">
        <f>IFERROR(HYPERLINK("#"&amp;ADDRESS(MATCH(B1806&amp;"PT",'LM7 Non-ENG'!$A$1:$A$5000,0),1,,,"LM7 Non-ENG"),IF(IFERROR(VLOOKUP(B1806&amp;"PT",'LM7 Non-ENG'!$A$1:$A$5000,1,FALSE),"ERROR")=B1806&amp;"PT","Y","")),"")</f>
        <v/>
      </c>
      <c r="I1806" t="str">
        <f>IFERROR(VLOOKUP(B1806,PN!$A:$C,3,FALSE),"")</f>
        <v>Active</v>
      </c>
      <c r="J1806" s="3">
        <f>IFERROR(E1806*VLOOKUP(B1806,PLInter!$A:$D,3,FALSE),"")</f>
        <v>3885</v>
      </c>
      <c r="K1806" s="66"/>
      <c r="L1806" s="66"/>
      <c r="M1806" s="66"/>
      <c r="N1806" s="66"/>
      <c r="O1806" s="66"/>
      <c r="P1806" s="66"/>
      <c r="Q1806" s="66"/>
      <c r="R1806" s="66"/>
      <c r="S1806" s="66"/>
    </row>
    <row r="1807" spans="1:19" ht="18" customHeight="1">
      <c r="B1807" t="str">
        <f>"113096"</f>
        <v>113096</v>
      </c>
      <c r="C1807" t="s">
        <v>943</v>
      </c>
      <c r="D1807" s="4"/>
      <c r="E1807" s="4">
        <v>3</v>
      </c>
      <c r="F1807" s="4"/>
      <c r="G1807" s="29" t="str">
        <f>IFERROR(HYPERLINK("#"&amp;ADDRESS(MATCH(B1807&amp;"ES",'LM7 Non-ENG'!$A$1:$A$5000,0),1,,,"LM7 Non-ENG"),IF(IFERROR(VLOOKUP(B1807&amp;"ES",'LM7 Non-ENG'!$A$1:$A$4999,1,FALSE),"ERROR")=B1807&amp;"ES","Y","")),"")</f>
        <v/>
      </c>
      <c r="H1807" s="29" t="str">
        <f>IFERROR(HYPERLINK("#"&amp;ADDRESS(MATCH(B1807&amp;"PT",'LM7 Non-ENG'!$A$1:$A$5000,0),1,,,"LM7 Non-ENG"),IF(IFERROR(VLOOKUP(B1807&amp;"PT",'LM7 Non-ENG'!$A$1:$A$5000,1,FALSE),"ERROR")=B1807&amp;"PT","Y","")),"")</f>
        <v/>
      </c>
      <c r="I1807" t="str">
        <f>IFERROR(VLOOKUP(B1807,PN!$A:$C,3,FALSE),"")</f>
        <v>Active</v>
      </c>
      <c r="J1807" s="3">
        <f>IFERROR(E1807*VLOOKUP(B1807,PLInter!$A:$D,3,FALSE),"")</f>
        <v>162</v>
      </c>
      <c r="K1807" s="66"/>
      <c r="L1807" s="66"/>
      <c r="M1807" s="66"/>
      <c r="N1807" s="66"/>
      <c r="O1807" s="66"/>
      <c r="P1807" s="66"/>
      <c r="Q1807" s="66"/>
      <c r="R1807" s="66"/>
      <c r="S1807" s="66"/>
    </row>
    <row r="1808" spans="1:19" ht="18" customHeight="1">
      <c r="B1808" t="str">
        <f>"112713"</f>
        <v>112713</v>
      </c>
      <c r="C1808" t="s">
        <v>944</v>
      </c>
      <c r="D1808" s="4"/>
      <c r="E1808" s="4">
        <v>3</v>
      </c>
      <c r="F1808" s="4"/>
      <c r="G1808" s="29" t="str">
        <f>IFERROR(HYPERLINK("#"&amp;ADDRESS(MATCH(B1808&amp;"ES",'LM7 Non-ENG'!$A$1:$A$5000,0),1,,,"LM7 Non-ENG"),IF(IFERROR(VLOOKUP(B1808&amp;"ES",'LM7 Non-ENG'!$A$1:$A$4999,1,FALSE),"ERROR")=B1808&amp;"ES","Y","")),"")</f>
        <v/>
      </c>
      <c r="H1808" s="29" t="str">
        <f>IFERROR(HYPERLINK("#"&amp;ADDRESS(MATCH(B1808&amp;"PT",'LM7 Non-ENG'!$A$1:$A$5000,0),1,,,"LM7 Non-ENG"),IF(IFERROR(VLOOKUP(B1808&amp;"PT",'LM7 Non-ENG'!$A$1:$A$5000,1,FALSE),"ERROR")=B1808&amp;"PT","Y","")),"")</f>
        <v/>
      </c>
      <c r="I1808" t="str">
        <f>IFERROR(VLOOKUP(B1808,PN!$A:$C,3,FALSE),"")</f>
        <v>Active</v>
      </c>
      <c r="J1808" s="3">
        <f>IFERROR(E1808*VLOOKUP(B1808,PLInter!$A:$D,3,FALSE),"")</f>
        <v>300</v>
      </c>
      <c r="K1808" s="66"/>
      <c r="L1808" s="66"/>
      <c r="M1808" s="66"/>
      <c r="N1808" s="66"/>
      <c r="O1808" s="66"/>
      <c r="P1808" s="66"/>
      <c r="Q1808" s="66"/>
      <c r="R1808" s="66"/>
      <c r="S1808" s="66"/>
    </row>
    <row r="1809" spans="1:19" ht="18" customHeight="1">
      <c r="B1809" t="str">
        <f>"113316"</f>
        <v>113316</v>
      </c>
      <c r="C1809" t="s">
        <v>979</v>
      </c>
      <c r="D1809" s="4"/>
      <c r="E1809" s="4">
        <v>1</v>
      </c>
      <c r="F1809" s="4"/>
      <c r="G1809" s="29" t="str">
        <f>IFERROR(HYPERLINK("#"&amp;ADDRESS(MATCH(B1809&amp;"ES",'LM7 Non-ENG'!$A$1:$A$5000,0),1,,,"LM7 Non-ENG"),IF(IFERROR(VLOOKUP(B1809&amp;"ES",'LM7 Non-ENG'!$A$1:$A$4999,1,FALSE),"ERROR")=B1809&amp;"ES","Y","")),"")</f>
        <v/>
      </c>
      <c r="H1809" s="29" t="str">
        <f>IFERROR(HYPERLINK("#"&amp;ADDRESS(MATCH(B1809&amp;"PT",'LM7 Non-ENG'!$A$1:$A$5000,0),1,,,"LM7 Non-ENG"),IF(IFERROR(VLOOKUP(B1809&amp;"PT",'LM7 Non-ENG'!$A$1:$A$5000,1,FALSE),"ERROR")=B1809&amp;"PT","Y","")),"")</f>
        <v/>
      </c>
      <c r="I1809" t="str">
        <f>IFERROR(VLOOKUP(B1809,PN!$A:$C,3,FALSE),"")</f>
        <v>Active</v>
      </c>
      <c r="J1809" s="3">
        <f>IFERROR(E1809*VLOOKUP(B1809,PLInter!$A:$D,3,FALSE),"")</f>
        <v>20</v>
      </c>
      <c r="K1809" s="66"/>
      <c r="L1809" s="66"/>
      <c r="M1809" s="66"/>
      <c r="N1809" s="66"/>
      <c r="O1809" s="66"/>
      <c r="P1809" s="66"/>
      <c r="Q1809" s="66"/>
      <c r="R1809" s="66"/>
      <c r="S1809" s="66"/>
    </row>
    <row r="1810" spans="1:19" ht="18" customHeight="1">
      <c r="B1810" t="s">
        <v>925</v>
      </c>
      <c r="C1810" t="s">
        <v>926</v>
      </c>
      <c r="D1810" s="4"/>
      <c r="E1810" s="4">
        <v>1</v>
      </c>
      <c r="F1810" s="4"/>
      <c r="G1810" s="29" t="str">
        <f>IFERROR(HYPERLINK("#"&amp;ADDRESS(MATCH(B1810&amp;"ES",'LM7 Non-ENG'!$A$1:$A$5000,0),1,,,"LM7 Non-ENG"),IF(IFERROR(VLOOKUP(B1810&amp;"ES",'LM7 Non-ENG'!$A$1:$A$4999,1,FALSE),"ERROR")=B1810&amp;"ES","Y","")),"")</f>
        <v/>
      </c>
      <c r="H1810" s="29" t="str">
        <f>IFERROR(HYPERLINK("#"&amp;ADDRESS(MATCH(B1810&amp;"PT",'LM7 Non-ENG'!$A$1:$A$5000,0),1,,,"LM7 Non-ENG"),IF(IFERROR(VLOOKUP(B1810&amp;"PT",'LM7 Non-ENG'!$A$1:$A$5000,1,FALSE),"ERROR")=B1810&amp;"PT","Y","")),"")</f>
        <v/>
      </c>
      <c r="I1810" t="str">
        <f>IFERROR(VLOOKUP(B1810,PN!$A:$C,3,FALSE),"")</f>
        <v>Active</v>
      </c>
      <c r="J1810" s="3">
        <f>IFERROR(E1810*VLOOKUP(B1810,PLInter!$A:$D,3,FALSE),"")</f>
        <v>2760</v>
      </c>
      <c r="K1810" s="66"/>
      <c r="L1810" s="66"/>
      <c r="M1810" s="66"/>
      <c r="N1810" s="66"/>
      <c r="O1810" s="66"/>
      <c r="P1810" s="66"/>
      <c r="Q1810" s="66"/>
      <c r="R1810" s="66"/>
      <c r="S1810" s="66"/>
    </row>
    <row r="1811" spans="1:19" ht="18" customHeight="1">
      <c r="B1811" t="s">
        <v>927</v>
      </c>
      <c r="C1811" t="s">
        <v>928</v>
      </c>
      <c r="D1811" s="4"/>
      <c r="E1811" s="4">
        <v>1</v>
      </c>
      <c r="F1811" s="4"/>
      <c r="G1811" s="29" t="str">
        <f>IFERROR(HYPERLINK("#"&amp;ADDRESS(MATCH(B1811&amp;"ES",'LM7 Non-ENG'!$A$1:$A$5000,0),1,,,"LM7 Non-ENG"),IF(IFERROR(VLOOKUP(B1811&amp;"ES",'LM7 Non-ENG'!$A$1:$A$4999,1,FALSE),"ERROR")=B1811&amp;"ES","Y","")),"")</f>
        <v/>
      </c>
      <c r="H1811" s="29" t="str">
        <f>IFERROR(HYPERLINK("#"&amp;ADDRESS(MATCH(B1811&amp;"PT",'LM7 Non-ENG'!$A$1:$A$5000,0),1,,,"LM7 Non-ENG"),IF(IFERROR(VLOOKUP(B1811&amp;"PT",'LM7 Non-ENG'!$A$1:$A$5000,1,FALSE),"ERROR")=B1811&amp;"PT","Y","")),"")</f>
        <v/>
      </c>
      <c r="I1811" t="str">
        <f>IFERROR(VLOOKUP(B1811,PN!$A:$C,3,FALSE),"")</f>
        <v>Active</v>
      </c>
      <c r="J1811" s="3">
        <f>IFERROR(E1811*VLOOKUP(B1811,PLInter!$A:$D,3,FALSE),"")</f>
        <v>467</v>
      </c>
      <c r="K1811" s="66"/>
      <c r="L1811" s="66"/>
      <c r="M1811" s="66"/>
      <c r="N1811" s="66"/>
      <c r="O1811" s="66"/>
      <c r="P1811" s="66"/>
      <c r="Q1811" s="66"/>
      <c r="R1811" s="66"/>
      <c r="S1811" s="66"/>
    </row>
    <row r="1812" spans="1:19" ht="18" customHeight="1">
      <c r="B1812" t="s">
        <v>668</v>
      </c>
      <c r="C1812" t="s">
        <v>669</v>
      </c>
      <c r="D1812" s="4"/>
      <c r="E1812" s="4">
        <v>1</v>
      </c>
      <c r="F1812" s="4"/>
      <c r="G1812" s="29" t="str">
        <f>IFERROR(HYPERLINK("#"&amp;ADDRESS(MATCH(B1812&amp;"ES",'LM7 Non-ENG'!$A$1:$A$5000,0),1,,,"LM7 Non-ENG"),IF(IFERROR(VLOOKUP(B1812&amp;"ES",'LM7 Non-ENG'!$A$1:$A$4999,1,FALSE),"ERROR")=B1812&amp;"ES","Y","")),"")</f>
        <v/>
      </c>
      <c r="H1812" s="29" t="str">
        <f>IFERROR(HYPERLINK("#"&amp;ADDRESS(MATCH(B1812&amp;"PT",'LM7 Non-ENG'!$A$1:$A$5000,0),1,,,"LM7 Non-ENG"),IF(IFERROR(VLOOKUP(B1812&amp;"PT",'LM7 Non-ENG'!$A$1:$A$5000,1,FALSE),"ERROR")=B1812&amp;"PT","Y","")),"")</f>
        <v/>
      </c>
      <c r="I1812" t="str">
        <f>IFERROR(VLOOKUP(B1812,PN!$A:$C,3,FALSE),"")</f>
        <v>Active</v>
      </c>
      <c r="J1812" s="3">
        <f>IFERROR(E1812*VLOOKUP(B1812,PLInter!$A:$D,3,FALSE),"")</f>
        <v>480</v>
      </c>
      <c r="K1812" s="66"/>
      <c r="L1812" s="66"/>
      <c r="M1812" s="66"/>
      <c r="N1812" s="66"/>
      <c r="O1812" s="66"/>
      <c r="P1812" s="66"/>
      <c r="Q1812" s="66"/>
      <c r="R1812" s="66"/>
      <c r="S1812" s="66"/>
    </row>
    <row r="1813" spans="1:19" ht="18" customHeight="1">
      <c r="B1813" t="s">
        <v>630</v>
      </c>
      <c r="C1813" t="s">
        <v>631</v>
      </c>
      <c r="D1813" s="4"/>
      <c r="E1813" s="4">
        <v>1</v>
      </c>
      <c r="F1813" s="4"/>
      <c r="G1813" s="29" t="str">
        <f>IFERROR(HYPERLINK("#"&amp;ADDRESS(MATCH(B1813&amp;"ES",'LM7 Non-ENG'!$A$1:$A$5000,0),1,,,"LM7 Non-ENG"),IF(IFERROR(VLOOKUP(B1813&amp;"ES",'LM7 Non-ENG'!$A$1:$A$4999,1,FALSE),"ERROR")=B1813&amp;"ES","Y","")),"")</f>
        <v/>
      </c>
      <c r="H1813" s="29" t="str">
        <f>IFERROR(HYPERLINK("#"&amp;ADDRESS(MATCH(B1813&amp;"PT",'LM7 Non-ENG'!$A$1:$A$5000,0),1,,,"LM7 Non-ENG"),IF(IFERROR(VLOOKUP(B1813&amp;"PT",'LM7 Non-ENG'!$A$1:$A$5000,1,FALSE),"ERROR")=B1813&amp;"PT","Y","")),"")</f>
        <v/>
      </c>
      <c r="I1813" t="str">
        <f>IFERROR(VLOOKUP(B1813,PN!$A:$C,3,FALSE),"")</f>
        <v>Active</v>
      </c>
      <c r="J1813" s="3">
        <f>IFERROR(E1813*VLOOKUP(B1813,PLInter!$A:$D,3,FALSE),"")</f>
        <v>1735</v>
      </c>
      <c r="K1813" s="66"/>
      <c r="L1813" s="66"/>
      <c r="M1813" s="66"/>
      <c r="N1813" s="66"/>
      <c r="O1813" s="66"/>
      <c r="P1813" s="66"/>
      <c r="Q1813" s="66"/>
      <c r="R1813" s="66"/>
      <c r="S1813" s="66"/>
    </row>
    <row r="1815" spans="1:19" s="7" customFormat="1" ht="18" customHeight="1">
      <c r="A1815" s="13" t="s">
        <v>1026</v>
      </c>
      <c r="B1815" s="13"/>
      <c r="C1815" s="13" t="s">
        <v>1027</v>
      </c>
      <c r="D1815" s="14"/>
      <c r="E1815" s="14"/>
      <c r="F1815" s="14"/>
      <c r="G1815" s="14"/>
      <c r="H1815" s="14"/>
      <c r="I1815" s="14"/>
      <c r="J1815" s="14">
        <f>SUMIFS(J1816:J1834,D1816:D1834,"&lt;&gt;Y",F1816:F1834,"&lt;&gt;Y",I1816:I1834,"&lt;&gt;Inactive",I1816:I1834,"&lt;&gt;ECO+NFS")</f>
        <v>50075</v>
      </c>
      <c r="K1815" s="14"/>
      <c r="L1815" s="14"/>
      <c r="M1815" s="14"/>
      <c r="N1815" s="14"/>
      <c r="O1815" s="14"/>
      <c r="P1815" s="14"/>
      <c r="Q1815" s="14"/>
      <c r="R1815" s="14"/>
      <c r="S1815" s="14"/>
    </row>
    <row r="1816" spans="1:19" ht="18" customHeight="1">
      <c r="A1816" s="17" t="str">
        <f>HYPERLINK("#"&amp;ADDRESS(MATCH(A1815,'CIM&amp;FMS'!$A$1:$A$4997,0),1,,,"CIM&amp;FMS"),"Back to Price List")</f>
        <v>Back to Price List</v>
      </c>
      <c r="B1816" t="s">
        <v>216</v>
      </c>
      <c r="C1816" t="s">
        <v>913</v>
      </c>
      <c r="D1816" s="4"/>
      <c r="E1816" s="4">
        <v>1</v>
      </c>
      <c r="F1816" s="4"/>
      <c r="G1816" s="29" t="str">
        <f>IFERROR(HYPERLINK("#"&amp;ADDRESS(MATCH(B1816&amp;"ES",'LM7 Non-ENG'!$A$1:$A$5000,0),1,,,"LM7 Non-ENG"),IF(IFERROR(VLOOKUP(B1816&amp;"ES",'LM7 Non-ENG'!$A$1:$A$4999,1,FALSE),"ERROR")=B1816&amp;"ES","Y","")),"")</f>
        <v/>
      </c>
      <c r="H1816" s="29" t="str">
        <f>IFERROR(HYPERLINK("#"&amp;ADDRESS(MATCH(B1816&amp;"PT",'LM7 Non-ENG'!$A$1:$A$5000,0),1,,,"LM7 Non-ENG"),IF(IFERROR(VLOOKUP(B1816&amp;"PT",'LM7 Non-ENG'!$A$1:$A$5000,1,FALSE),"ERROR")=B1816&amp;"PT","Y","")),"")</f>
        <v/>
      </c>
      <c r="I1816" t="str">
        <f>IFERROR(VLOOKUP(B1816,PN!$A:$C,3,FALSE),"")</f>
        <v>Active</v>
      </c>
      <c r="J1816" s="3">
        <f>IFERROR(E1816*VLOOKUP(B1816,PLInter!$A:$D,3,FALSE),"")</f>
        <v>26667</v>
      </c>
      <c r="K1816" s="66"/>
      <c r="L1816" s="66"/>
      <c r="M1816" s="66"/>
      <c r="N1816" s="66"/>
      <c r="O1816" s="66"/>
      <c r="P1816" s="66"/>
      <c r="Q1816" s="66"/>
      <c r="R1816" s="66"/>
      <c r="S1816" s="66"/>
    </row>
    <row r="1817" spans="1:19" ht="18" customHeight="1">
      <c r="B1817" t="s">
        <v>229</v>
      </c>
      <c r="C1817" t="s">
        <v>234</v>
      </c>
      <c r="D1817" s="4"/>
      <c r="E1817" s="4">
        <v>1</v>
      </c>
      <c r="F1817" s="4"/>
      <c r="G1817" s="29" t="str">
        <f>IFERROR(HYPERLINK("#"&amp;ADDRESS(MATCH(B1817&amp;"ES",'LM7 Non-ENG'!$A$1:$A$5000,0),1,,,"LM7 Non-ENG"),IF(IFERROR(VLOOKUP(B1817&amp;"ES",'LM7 Non-ENG'!$A$1:$A$4999,1,FALSE),"ERROR")=B1817&amp;"ES","Y","")),"")</f>
        <v/>
      </c>
      <c r="H1817" s="29" t="str">
        <f>IFERROR(HYPERLINK("#"&amp;ADDRESS(MATCH(B1817&amp;"PT",'LM7 Non-ENG'!$A$1:$A$5000,0),1,,,"LM7 Non-ENG"),IF(IFERROR(VLOOKUP(B1817&amp;"PT",'LM7 Non-ENG'!$A$1:$A$5000,1,FALSE),"ERROR")=B1817&amp;"PT","Y","")),"")</f>
        <v/>
      </c>
      <c r="I1817" t="str">
        <f>IFERROR(VLOOKUP(B1817,PN!$A:$C,3,FALSE),"")</f>
        <v>Active</v>
      </c>
      <c r="J1817" s="3">
        <f>IFERROR(E1817*VLOOKUP(B1817,PLInter!$A:$D,3,FALSE),"")</f>
        <v>3270</v>
      </c>
      <c r="K1817" s="66"/>
      <c r="L1817" s="66"/>
      <c r="M1817" s="66"/>
      <c r="N1817" s="66"/>
      <c r="O1817" s="66"/>
      <c r="P1817" s="66"/>
      <c r="Q1817" s="66"/>
      <c r="R1817" s="66"/>
      <c r="S1817" s="66"/>
    </row>
    <row r="1818" spans="1:19" ht="18" customHeight="1">
      <c r="B1818" s="2" t="s">
        <v>227</v>
      </c>
      <c r="C1818" s="2" t="s">
        <v>232</v>
      </c>
      <c r="D1818" s="5"/>
      <c r="E1818" s="5">
        <v>1</v>
      </c>
      <c r="F1818" s="5" t="s">
        <v>0</v>
      </c>
      <c r="G1818" s="29" t="str">
        <f>IFERROR(HYPERLINK("#"&amp;ADDRESS(MATCH(B1818&amp;"ES",'LM7 Non-ENG'!$A$1:$A$5000,0),1,,,"LM7 Non-ENG"),IF(IFERROR(VLOOKUP(B1818&amp;"ES",'LM7 Non-ENG'!$A$1:$A$4999,1,FALSE),"ERROR")=B1818&amp;"ES","Y","")),"")</f>
        <v/>
      </c>
      <c r="H1818" s="29" t="str">
        <f>IFERROR(HYPERLINK("#"&amp;ADDRESS(MATCH(B1818&amp;"PT",'LM7 Non-ENG'!$A$1:$A$5000,0),1,,,"LM7 Non-ENG"),IF(IFERROR(VLOOKUP(B1818&amp;"PT",'LM7 Non-ENG'!$A$1:$A$5000,1,FALSE),"ERROR")=B1818&amp;"PT","Y","")),"")</f>
        <v/>
      </c>
      <c r="I1818" t="str">
        <f>IFERROR(VLOOKUP(B1818,PN!$A:$C,3,FALSE),"")</f>
        <v>Active</v>
      </c>
      <c r="J1818" s="3">
        <f>IFERROR(E1818*VLOOKUP(B1818,PLInter!$A:$D,3,FALSE),"")</f>
        <v>1700</v>
      </c>
      <c r="K1818" s="66"/>
      <c r="L1818" s="66"/>
      <c r="M1818" s="66"/>
      <c r="N1818" s="66"/>
      <c r="O1818" s="66"/>
      <c r="P1818" s="66"/>
      <c r="Q1818" s="66"/>
      <c r="R1818" s="66"/>
      <c r="S1818" s="66"/>
    </row>
    <row r="1819" spans="1:19" ht="18" customHeight="1">
      <c r="B1819" t="s">
        <v>236</v>
      </c>
      <c r="C1819" t="s">
        <v>626</v>
      </c>
      <c r="D1819" s="4"/>
      <c r="E1819" s="4">
        <v>1</v>
      </c>
      <c r="F1819" s="4"/>
      <c r="G1819" s="29" t="str">
        <f>IFERROR(HYPERLINK("#"&amp;ADDRESS(MATCH(B1819&amp;"ES",'LM7 Non-ENG'!$A$1:$A$5000,0),1,,,"LM7 Non-ENG"),IF(IFERROR(VLOOKUP(B1819&amp;"ES",'LM7 Non-ENG'!$A$1:$A$4999,1,FALSE),"ERROR")=B1819&amp;"ES","Y","")),"")</f>
        <v/>
      </c>
      <c r="H1819" s="29" t="str">
        <f>IFERROR(HYPERLINK("#"&amp;ADDRESS(MATCH(B1819&amp;"PT",'LM7 Non-ENG'!$A$1:$A$5000,0),1,,,"LM7 Non-ENG"),IF(IFERROR(VLOOKUP(B1819&amp;"PT",'LM7 Non-ENG'!$A$1:$A$5000,1,FALSE),"ERROR")=B1819&amp;"PT","Y","")),"")</f>
        <v/>
      </c>
      <c r="I1819" t="str">
        <f>IFERROR(VLOOKUP(B1819,PN!$A:$C,3,FALSE),"")</f>
        <v>Active</v>
      </c>
      <c r="J1819" s="3">
        <f>IFERROR(E1819*VLOOKUP(B1819,PLInter!$A:$D,3,FALSE),"")</f>
        <v>1680</v>
      </c>
      <c r="K1819" s="66"/>
      <c r="L1819" s="66"/>
      <c r="M1819" s="66"/>
      <c r="N1819" s="66"/>
      <c r="O1819" s="66"/>
      <c r="P1819" s="66"/>
      <c r="Q1819" s="66"/>
      <c r="R1819" s="66"/>
      <c r="S1819" s="66"/>
    </row>
    <row r="1820" spans="1:19" ht="18" customHeight="1">
      <c r="B1820" t="str">
        <f>"034025"</f>
        <v>034025</v>
      </c>
      <c r="C1820" t="s">
        <v>777</v>
      </c>
      <c r="D1820" s="4"/>
      <c r="E1820" s="4">
        <v>1</v>
      </c>
      <c r="F1820" s="4"/>
      <c r="G1820" s="29" t="str">
        <f>IFERROR(HYPERLINK("#"&amp;ADDRESS(MATCH(B1820&amp;"ES",'LM7 Non-ENG'!$A$1:$A$5000,0),1,,,"LM7 Non-ENG"),IF(IFERROR(VLOOKUP(B1820&amp;"ES",'LM7 Non-ENG'!$A$1:$A$4999,1,FALSE),"ERROR")=B1820&amp;"ES","Y","")),"")</f>
        <v/>
      </c>
      <c r="H1820" s="29" t="str">
        <f>IFERROR(HYPERLINK("#"&amp;ADDRESS(MATCH(B1820&amp;"PT",'LM7 Non-ENG'!$A$1:$A$5000,0),1,,,"LM7 Non-ENG"),IF(IFERROR(VLOOKUP(B1820&amp;"PT",'LM7 Non-ENG'!$A$1:$A$5000,1,FALSE),"ERROR")=B1820&amp;"PT","Y","")),"")</f>
        <v/>
      </c>
      <c r="I1820" t="str">
        <f>IFERROR(VLOOKUP(B1820,PN!$A:$C,3,FALSE),"")</f>
        <v>Active</v>
      </c>
      <c r="J1820" s="3">
        <f>IFERROR(E1820*VLOOKUP(B1820,PLInter!$A:$D,3,FALSE),"")</f>
        <v>1267</v>
      </c>
      <c r="K1820" s="66"/>
      <c r="L1820" s="66"/>
      <c r="M1820" s="66"/>
      <c r="N1820" s="66"/>
      <c r="O1820" s="66"/>
      <c r="P1820" s="66"/>
      <c r="Q1820" s="66"/>
      <c r="R1820" s="66"/>
      <c r="S1820" s="66"/>
    </row>
    <row r="1821" spans="1:19" ht="18" customHeight="1">
      <c r="B1821" t="s">
        <v>914</v>
      </c>
      <c r="C1821" t="s">
        <v>915</v>
      </c>
      <c r="D1821" s="4"/>
      <c r="E1821" s="4">
        <v>3</v>
      </c>
      <c r="F1821" s="4"/>
      <c r="G1821" s="29" t="str">
        <f>IFERROR(HYPERLINK("#"&amp;ADDRESS(MATCH(B1821&amp;"ES",'LM7 Non-ENG'!$A$1:$A$5000,0),1,,,"LM7 Non-ENG"),IF(IFERROR(VLOOKUP(B1821&amp;"ES",'LM7 Non-ENG'!$A$1:$A$4999,1,FALSE),"ERROR")=B1821&amp;"ES","Y","")),"")</f>
        <v/>
      </c>
      <c r="H1821" s="29" t="str">
        <f>IFERROR(HYPERLINK("#"&amp;ADDRESS(MATCH(B1821&amp;"PT",'LM7 Non-ENG'!$A$1:$A$5000,0),1,,,"LM7 Non-ENG"),IF(IFERROR(VLOOKUP(B1821&amp;"PT",'LM7 Non-ENG'!$A$1:$A$5000,1,FALSE),"ERROR")=B1821&amp;"PT","Y","")),"")</f>
        <v/>
      </c>
      <c r="I1821" t="str">
        <f>IFERROR(VLOOKUP(B1821,PN!$A:$C,3,FALSE),"")</f>
        <v>Active</v>
      </c>
      <c r="J1821" s="3">
        <f>IFERROR(E1821*VLOOKUP(B1821,PLInter!$A:$D,3,FALSE),"")</f>
        <v>402</v>
      </c>
      <c r="K1821" s="66"/>
      <c r="L1821" s="66"/>
      <c r="M1821" s="66"/>
      <c r="N1821" s="66"/>
      <c r="O1821" s="66"/>
      <c r="P1821" s="66"/>
      <c r="Q1821" s="66"/>
      <c r="R1821" s="66"/>
      <c r="S1821" s="66"/>
    </row>
    <row r="1822" spans="1:19" ht="18" customHeight="1">
      <c r="B1822" t="s">
        <v>684</v>
      </c>
      <c r="C1822" t="s">
        <v>685</v>
      </c>
      <c r="D1822" s="4"/>
      <c r="E1822" s="4">
        <v>2</v>
      </c>
      <c r="F1822" s="4"/>
      <c r="G1822" s="29" t="str">
        <f>IFERROR(HYPERLINK("#"&amp;ADDRESS(MATCH(B1822&amp;"ES",'LM7 Non-ENG'!$A$1:$A$5000,0),1,,,"LM7 Non-ENG"),IF(IFERROR(VLOOKUP(B1822&amp;"ES",'LM7 Non-ENG'!$A$1:$A$4999,1,FALSE),"ERROR")=B1822&amp;"ES","Y","")),"")</f>
        <v/>
      </c>
      <c r="H1822" s="29" t="str">
        <f>IFERROR(HYPERLINK("#"&amp;ADDRESS(MATCH(B1822&amp;"PT",'LM7 Non-ENG'!$A$1:$A$5000,0),1,,,"LM7 Non-ENG"),IF(IFERROR(VLOOKUP(B1822&amp;"PT",'LM7 Non-ENG'!$A$1:$A$5000,1,FALSE),"ERROR")=B1822&amp;"PT","Y","")),"")</f>
        <v/>
      </c>
      <c r="I1822" t="str">
        <f>IFERROR(VLOOKUP(B1822,PN!$A:$C,3,FALSE),"")</f>
        <v>Active</v>
      </c>
      <c r="J1822" s="3">
        <f>IFERROR(E1822*VLOOKUP(B1822,PLInter!$A:$D,3,FALSE),"")</f>
        <v>1160</v>
      </c>
      <c r="K1822" s="66"/>
      <c r="L1822" s="66"/>
      <c r="M1822" s="66"/>
      <c r="N1822" s="66"/>
      <c r="O1822" s="66"/>
      <c r="P1822" s="66"/>
      <c r="Q1822" s="66"/>
      <c r="R1822" s="66"/>
      <c r="S1822" s="66"/>
    </row>
    <row r="1823" spans="1:19" ht="18" customHeight="1">
      <c r="B1823" t="str">
        <f>"021172"</f>
        <v>021172</v>
      </c>
      <c r="C1823" t="s">
        <v>916</v>
      </c>
      <c r="D1823" s="4"/>
      <c r="E1823" s="4">
        <v>2</v>
      </c>
      <c r="F1823" s="4"/>
      <c r="G1823" s="29" t="str">
        <f>IFERROR(HYPERLINK("#"&amp;ADDRESS(MATCH(B1823&amp;"ES",'LM7 Non-ENG'!$A$1:$A$5000,0),1,,,"LM7 Non-ENG"),IF(IFERROR(VLOOKUP(B1823&amp;"ES",'LM7 Non-ENG'!$A$1:$A$4999,1,FALSE),"ERROR")=B1823&amp;"ES","Y","")),"")</f>
        <v/>
      </c>
      <c r="H1823" s="29" t="str">
        <f>IFERROR(HYPERLINK("#"&amp;ADDRESS(MATCH(B1823&amp;"PT",'LM7 Non-ENG'!$A$1:$A$5000,0),1,,,"LM7 Non-ENG"),IF(IFERROR(VLOOKUP(B1823&amp;"PT",'LM7 Non-ENG'!$A$1:$A$5000,1,FALSE),"ERROR")=B1823&amp;"PT","Y","")),"")</f>
        <v/>
      </c>
      <c r="I1823" t="str">
        <f>IFERROR(VLOOKUP(B1823,PN!$A:$C,3,FALSE),"")</f>
        <v>Active</v>
      </c>
      <c r="J1823" s="3">
        <f>IFERROR(E1823*VLOOKUP(B1823,PLInter!$A:$D,3,FALSE),"")</f>
        <v>80</v>
      </c>
      <c r="K1823" s="66"/>
      <c r="L1823" s="66"/>
      <c r="M1823" s="66"/>
      <c r="N1823" s="66"/>
      <c r="O1823" s="66"/>
      <c r="P1823" s="66"/>
      <c r="Q1823" s="66"/>
      <c r="R1823" s="66"/>
      <c r="S1823" s="66"/>
    </row>
    <row r="1824" spans="1:19" ht="18" customHeight="1">
      <c r="B1824" t="s">
        <v>241</v>
      </c>
      <c r="C1824" t="s">
        <v>976</v>
      </c>
      <c r="D1824" s="4"/>
      <c r="E1824" s="4">
        <v>1</v>
      </c>
      <c r="F1824" s="4"/>
      <c r="G1824" s="29" t="str">
        <f>IFERROR(HYPERLINK("#"&amp;ADDRESS(MATCH(B1824&amp;"ES",'LM7 Non-ENG'!$A$1:$A$5000,0),1,,,"LM7 Non-ENG"),IF(IFERROR(VLOOKUP(B1824&amp;"ES",'LM7 Non-ENG'!$A$1:$A$4999,1,FALSE),"ERROR")=B1824&amp;"ES","Y","")),"")</f>
        <v/>
      </c>
      <c r="H1824" s="29" t="str">
        <f>IFERROR(HYPERLINK("#"&amp;ADDRESS(MATCH(B1824&amp;"PT",'LM7 Non-ENG'!$A$1:$A$5000,0),1,,,"LM7 Non-ENG"),IF(IFERROR(VLOOKUP(B1824&amp;"PT",'LM7 Non-ENG'!$A$1:$A$5000,1,FALSE),"ERROR")=B1824&amp;"PT","Y","")),"")</f>
        <v/>
      </c>
      <c r="I1824" t="str">
        <f>IFERROR(VLOOKUP(B1824,PN!$A:$C,3,FALSE),"")</f>
        <v>Active</v>
      </c>
      <c r="J1824" s="3">
        <f>IFERROR(E1824*VLOOKUP(B1824,PLInter!$A:$D,3,FALSE),"")</f>
        <v>2600</v>
      </c>
      <c r="K1824" s="66"/>
      <c r="L1824" s="66"/>
      <c r="M1824" s="66"/>
      <c r="N1824" s="66"/>
      <c r="O1824" s="66"/>
      <c r="P1824" s="66"/>
      <c r="Q1824" s="66"/>
      <c r="R1824" s="66"/>
      <c r="S1824" s="66"/>
    </row>
    <row r="1825" spans="1:19" ht="18" customHeight="1">
      <c r="B1825" t="s">
        <v>977</v>
      </c>
      <c r="C1825" t="s">
        <v>978</v>
      </c>
      <c r="D1825" s="4"/>
      <c r="E1825" s="4">
        <v>1</v>
      </c>
      <c r="F1825" s="4"/>
      <c r="G1825" s="29" t="str">
        <f>IFERROR(HYPERLINK("#"&amp;ADDRESS(MATCH(B1825&amp;"ES",'LM7 Non-ENG'!$A$1:$A$5000,0),1,,,"LM7 Non-ENG"),IF(IFERROR(VLOOKUP(B1825&amp;"ES",'LM7 Non-ENG'!$A$1:$A$4999,1,FALSE),"ERROR")=B1825&amp;"ES","Y","")),"")</f>
        <v/>
      </c>
      <c r="H1825" s="29" t="str">
        <f>IFERROR(HYPERLINK("#"&amp;ADDRESS(MATCH(B1825&amp;"PT",'LM7 Non-ENG'!$A$1:$A$5000,0),1,,,"LM7 Non-ENG"),IF(IFERROR(VLOOKUP(B1825&amp;"PT",'LM7 Non-ENG'!$A$1:$A$5000,1,FALSE),"ERROR")=B1825&amp;"PT","Y","")),"")</f>
        <v/>
      </c>
      <c r="I1825" t="str">
        <f>IFERROR(VLOOKUP(B1825,PN!$A:$C,3,FALSE),"")</f>
        <v>Active</v>
      </c>
      <c r="J1825" s="3">
        <f>IFERROR(E1825*VLOOKUP(B1825,PLInter!$A:$D,3,FALSE),"")</f>
        <v>3885</v>
      </c>
      <c r="K1825" s="66"/>
      <c r="L1825" s="66"/>
      <c r="M1825" s="66"/>
      <c r="N1825" s="66"/>
      <c r="O1825" s="66"/>
      <c r="P1825" s="66"/>
      <c r="Q1825" s="66"/>
      <c r="R1825" s="66"/>
      <c r="S1825" s="66"/>
    </row>
    <row r="1826" spans="1:19" ht="18" customHeight="1">
      <c r="B1826" t="str">
        <f>"113096"</f>
        <v>113096</v>
      </c>
      <c r="C1826" t="s">
        <v>943</v>
      </c>
      <c r="D1826" s="4"/>
      <c r="E1826" s="4">
        <v>3</v>
      </c>
      <c r="F1826" s="4"/>
      <c r="G1826" s="29" t="str">
        <f>IFERROR(HYPERLINK("#"&amp;ADDRESS(MATCH(B1826&amp;"ES",'LM7 Non-ENG'!$A$1:$A$5000,0),1,,,"LM7 Non-ENG"),IF(IFERROR(VLOOKUP(B1826&amp;"ES",'LM7 Non-ENG'!$A$1:$A$4999,1,FALSE),"ERROR")=B1826&amp;"ES","Y","")),"")</f>
        <v/>
      </c>
      <c r="H1826" s="29" t="str">
        <f>IFERROR(HYPERLINK("#"&amp;ADDRESS(MATCH(B1826&amp;"PT",'LM7 Non-ENG'!$A$1:$A$5000,0),1,,,"LM7 Non-ENG"),IF(IFERROR(VLOOKUP(B1826&amp;"PT",'LM7 Non-ENG'!$A$1:$A$5000,1,FALSE),"ERROR")=B1826&amp;"PT","Y","")),"")</f>
        <v/>
      </c>
      <c r="I1826" t="str">
        <f>IFERROR(VLOOKUP(B1826,PN!$A:$C,3,FALSE),"")</f>
        <v>Active</v>
      </c>
      <c r="J1826" s="3">
        <f>IFERROR(E1826*VLOOKUP(B1826,PLInter!$A:$D,3,FALSE),"")</f>
        <v>162</v>
      </c>
      <c r="K1826" s="66"/>
      <c r="L1826" s="66"/>
      <c r="M1826" s="66"/>
      <c r="N1826" s="66"/>
      <c r="O1826" s="66"/>
      <c r="P1826" s="66"/>
      <c r="Q1826" s="66"/>
      <c r="R1826" s="66"/>
      <c r="S1826" s="66"/>
    </row>
    <row r="1827" spans="1:19" ht="18" customHeight="1">
      <c r="B1827" t="str">
        <f>"112713"</f>
        <v>112713</v>
      </c>
      <c r="C1827" t="s">
        <v>944</v>
      </c>
      <c r="D1827" s="4"/>
      <c r="E1827" s="4">
        <v>3</v>
      </c>
      <c r="F1827" s="4"/>
      <c r="G1827" s="29" t="str">
        <f>IFERROR(HYPERLINK("#"&amp;ADDRESS(MATCH(B1827&amp;"ES",'LM7 Non-ENG'!$A$1:$A$5000,0),1,,,"LM7 Non-ENG"),IF(IFERROR(VLOOKUP(B1827&amp;"ES",'LM7 Non-ENG'!$A$1:$A$4999,1,FALSE),"ERROR")=B1827&amp;"ES","Y","")),"")</f>
        <v/>
      </c>
      <c r="H1827" s="29" t="str">
        <f>IFERROR(HYPERLINK("#"&amp;ADDRESS(MATCH(B1827&amp;"PT",'LM7 Non-ENG'!$A$1:$A$5000,0),1,,,"LM7 Non-ENG"),IF(IFERROR(VLOOKUP(B1827&amp;"PT",'LM7 Non-ENG'!$A$1:$A$5000,1,FALSE),"ERROR")=B1827&amp;"PT","Y","")),"")</f>
        <v/>
      </c>
      <c r="I1827" t="str">
        <f>IFERROR(VLOOKUP(B1827,PN!$A:$C,3,FALSE),"")</f>
        <v>Active</v>
      </c>
      <c r="J1827" s="3">
        <f>IFERROR(E1827*VLOOKUP(B1827,PLInter!$A:$D,3,FALSE),"")</f>
        <v>300</v>
      </c>
      <c r="K1827" s="66"/>
      <c r="L1827" s="66"/>
      <c r="M1827" s="66"/>
      <c r="N1827" s="66"/>
      <c r="O1827" s="66"/>
      <c r="P1827" s="66"/>
      <c r="Q1827" s="66"/>
      <c r="R1827" s="66"/>
      <c r="S1827" s="66"/>
    </row>
    <row r="1828" spans="1:19" ht="18" customHeight="1">
      <c r="B1828" t="str">
        <f>"113316"</f>
        <v>113316</v>
      </c>
      <c r="C1828" t="s">
        <v>979</v>
      </c>
      <c r="D1828" s="4"/>
      <c r="E1828" s="4">
        <v>1</v>
      </c>
      <c r="F1828" s="4"/>
      <c r="G1828" s="29" t="str">
        <f>IFERROR(HYPERLINK("#"&amp;ADDRESS(MATCH(B1828&amp;"ES",'LM7 Non-ENG'!$A$1:$A$5000,0),1,,,"LM7 Non-ENG"),IF(IFERROR(VLOOKUP(B1828&amp;"ES",'LM7 Non-ENG'!$A$1:$A$4999,1,FALSE),"ERROR")=B1828&amp;"ES","Y","")),"")</f>
        <v/>
      </c>
      <c r="H1828" s="29" t="str">
        <f>IFERROR(HYPERLINK("#"&amp;ADDRESS(MATCH(B1828&amp;"PT",'LM7 Non-ENG'!$A$1:$A$5000,0),1,,,"LM7 Non-ENG"),IF(IFERROR(VLOOKUP(B1828&amp;"PT",'LM7 Non-ENG'!$A$1:$A$5000,1,FALSE),"ERROR")=B1828&amp;"PT","Y","")),"")</f>
        <v/>
      </c>
      <c r="I1828" t="str">
        <f>IFERROR(VLOOKUP(B1828,PN!$A:$C,3,FALSE),"")</f>
        <v>Active</v>
      </c>
      <c r="J1828" s="3">
        <f>IFERROR(E1828*VLOOKUP(B1828,PLInter!$A:$D,3,FALSE),"")</f>
        <v>20</v>
      </c>
      <c r="K1828" s="66"/>
      <c r="L1828" s="66"/>
      <c r="M1828" s="66"/>
      <c r="N1828" s="66"/>
      <c r="O1828" s="66"/>
      <c r="P1828" s="66"/>
      <c r="Q1828" s="66"/>
      <c r="R1828" s="66"/>
      <c r="S1828" s="66"/>
    </row>
    <row r="1829" spans="1:19" ht="18" customHeight="1">
      <c r="B1829" t="s">
        <v>982</v>
      </c>
      <c r="C1829" t="s">
        <v>983</v>
      </c>
      <c r="D1829" s="4"/>
      <c r="E1829" s="4">
        <v>1</v>
      </c>
      <c r="F1829" s="4"/>
      <c r="G1829" s="29" t="str">
        <f>IFERROR(HYPERLINK("#"&amp;ADDRESS(MATCH(B1829&amp;"ES",'LM7 Non-ENG'!$A$1:$A$5000,0),1,,,"LM7 Non-ENG"),IF(IFERROR(VLOOKUP(B1829&amp;"ES",'LM7 Non-ENG'!$A$1:$A$4999,1,FALSE),"ERROR")=B1829&amp;"ES","Y","")),"")</f>
        <v/>
      </c>
      <c r="H1829" s="29" t="str">
        <f>IFERROR(HYPERLINK("#"&amp;ADDRESS(MATCH(B1829&amp;"PT",'LM7 Non-ENG'!$A$1:$A$5000,0),1,,,"LM7 Non-ENG"),IF(IFERROR(VLOOKUP(B1829&amp;"PT",'LM7 Non-ENG'!$A$1:$A$5000,1,FALSE),"ERROR")=B1829&amp;"PT","Y","")),"")</f>
        <v/>
      </c>
      <c r="I1829" t="str">
        <f>IFERROR(VLOOKUP(B1829,PN!$A:$C,3,FALSE),"")</f>
        <v>Active</v>
      </c>
      <c r="J1829" s="3">
        <f>IFERROR(E1829*VLOOKUP(B1829,PLInter!$A:$D,3,FALSE),"")</f>
        <v>3120</v>
      </c>
      <c r="K1829" s="66"/>
      <c r="L1829" s="66"/>
      <c r="M1829" s="66"/>
      <c r="N1829" s="66"/>
      <c r="O1829" s="66"/>
      <c r="P1829" s="66"/>
      <c r="Q1829" s="66"/>
      <c r="R1829" s="66"/>
      <c r="S1829" s="66"/>
    </row>
    <row r="1830" spans="1:19" ht="18" customHeight="1">
      <c r="B1830" t="str">
        <f>"113316"</f>
        <v>113316</v>
      </c>
      <c r="C1830" t="s">
        <v>979</v>
      </c>
      <c r="D1830" s="4"/>
      <c r="E1830" s="4">
        <v>1</v>
      </c>
      <c r="F1830" s="4"/>
      <c r="G1830" s="29" t="str">
        <f>IFERROR(HYPERLINK("#"&amp;ADDRESS(MATCH(B1830&amp;"ES",'LM7 Non-ENG'!$A$1:$A$5000,0),1,,,"LM7 Non-ENG"),IF(IFERROR(VLOOKUP(B1830&amp;"ES",'LM7 Non-ENG'!$A$1:$A$4999,1,FALSE),"ERROR")=B1830&amp;"ES","Y","")),"")</f>
        <v/>
      </c>
      <c r="H1830" s="29" t="str">
        <f>IFERROR(HYPERLINK("#"&amp;ADDRESS(MATCH(B1830&amp;"PT",'LM7 Non-ENG'!$A$1:$A$5000,0),1,,,"LM7 Non-ENG"),IF(IFERROR(VLOOKUP(B1830&amp;"PT",'LM7 Non-ENG'!$A$1:$A$5000,1,FALSE),"ERROR")=B1830&amp;"PT","Y","")),"")</f>
        <v/>
      </c>
      <c r="I1830" t="str">
        <f>IFERROR(VLOOKUP(B1830,PN!$A:$C,3,FALSE),"")</f>
        <v>Active</v>
      </c>
      <c r="J1830" s="3">
        <f>IFERROR(E1830*VLOOKUP(B1830,PLInter!$A:$D,3,FALSE),"")</f>
        <v>20</v>
      </c>
      <c r="K1830" s="66"/>
      <c r="L1830" s="66"/>
      <c r="M1830" s="66"/>
      <c r="N1830" s="66"/>
      <c r="O1830" s="66"/>
      <c r="P1830" s="66"/>
      <c r="Q1830" s="66"/>
      <c r="R1830" s="66"/>
      <c r="S1830" s="66"/>
    </row>
    <row r="1831" spans="1:19" ht="18" customHeight="1">
      <c r="B1831" t="s">
        <v>925</v>
      </c>
      <c r="C1831" t="s">
        <v>926</v>
      </c>
      <c r="D1831" s="4"/>
      <c r="E1831" s="4">
        <v>1</v>
      </c>
      <c r="F1831" s="4"/>
      <c r="G1831" s="29" t="str">
        <f>IFERROR(HYPERLINK("#"&amp;ADDRESS(MATCH(B1831&amp;"ES",'LM7 Non-ENG'!$A$1:$A$5000,0),1,,,"LM7 Non-ENG"),IF(IFERROR(VLOOKUP(B1831&amp;"ES",'LM7 Non-ENG'!$A$1:$A$4999,1,FALSE),"ERROR")=B1831&amp;"ES","Y","")),"")</f>
        <v/>
      </c>
      <c r="H1831" s="29" t="str">
        <f>IFERROR(HYPERLINK("#"&amp;ADDRESS(MATCH(B1831&amp;"PT",'LM7 Non-ENG'!$A$1:$A$5000,0),1,,,"LM7 Non-ENG"),IF(IFERROR(VLOOKUP(B1831&amp;"PT",'LM7 Non-ENG'!$A$1:$A$5000,1,FALSE),"ERROR")=B1831&amp;"PT","Y","")),"")</f>
        <v/>
      </c>
      <c r="I1831" t="str">
        <f>IFERROR(VLOOKUP(B1831,PN!$A:$C,3,FALSE),"")</f>
        <v>Active</v>
      </c>
      <c r="J1831" s="3">
        <f>IFERROR(E1831*VLOOKUP(B1831,PLInter!$A:$D,3,FALSE),"")</f>
        <v>2760</v>
      </c>
      <c r="K1831" s="66"/>
      <c r="L1831" s="66"/>
      <c r="M1831" s="66"/>
      <c r="N1831" s="66"/>
      <c r="O1831" s="66"/>
      <c r="P1831" s="66"/>
      <c r="Q1831" s="66"/>
      <c r="R1831" s="66"/>
      <c r="S1831" s="66"/>
    </row>
    <row r="1832" spans="1:19" ht="18" customHeight="1">
      <c r="B1832" t="s">
        <v>927</v>
      </c>
      <c r="C1832" t="s">
        <v>928</v>
      </c>
      <c r="D1832" s="4"/>
      <c r="E1832" s="4">
        <v>1</v>
      </c>
      <c r="F1832" s="4"/>
      <c r="G1832" s="29" t="str">
        <f>IFERROR(HYPERLINK("#"&amp;ADDRESS(MATCH(B1832&amp;"ES",'LM7 Non-ENG'!$A$1:$A$5000,0),1,,,"LM7 Non-ENG"),IF(IFERROR(VLOOKUP(B1832&amp;"ES",'LM7 Non-ENG'!$A$1:$A$4999,1,FALSE),"ERROR")=B1832&amp;"ES","Y","")),"")</f>
        <v/>
      </c>
      <c r="H1832" s="29" t="str">
        <f>IFERROR(HYPERLINK("#"&amp;ADDRESS(MATCH(B1832&amp;"PT",'LM7 Non-ENG'!$A$1:$A$5000,0),1,,,"LM7 Non-ENG"),IF(IFERROR(VLOOKUP(B1832&amp;"PT",'LM7 Non-ENG'!$A$1:$A$5000,1,FALSE),"ERROR")=B1832&amp;"PT","Y","")),"")</f>
        <v/>
      </c>
      <c r="I1832" t="str">
        <f>IFERROR(VLOOKUP(B1832,PN!$A:$C,3,FALSE),"")</f>
        <v>Active</v>
      </c>
      <c r="J1832" s="3">
        <f>IFERROR(E1832*VLOOKUP(B1832,PLInter!$A:$D,3,FALSE),"")</f>
        <v>467</v>
      </c>
      <c r="K1832" s="66"/>
      <c r="L1832" s="66"/>
      <c r="M1832" s="66"/>
      <c r="N1832" s="66"/>
      <c r="O1832" s="66"/>
      <c r="P1832" s="66"/>
      <c r="Q1832" s="66"/>
      <c r="R1832" s="66"/>
      <c r="S1832" s="66"/>
    </row>
    <row r="1833" spans="1:19" ht="18" customHeight="1">
      <c r="B1833" t="s">
        <v>668</v>
      </c>
      <c r="C1833" t="s">
        <v>669</v>
      </c>
      <c r="D1833" s="4"/>
      <c r="E1833" s="4">
        <v>1</v>
      </c>
      <c r="F1833" s="4"/>
      <c r="G1833" s="29" t="str">
        <f>IFERROR(HYPERLINK("#"&amp;ADDRESS(MATCH(B1833&amp;"ES",'LM7 Non-ENG'!$A$1:$A$5000,0),1,,,"LM7 Non-ENG"),IF(IFERROR(VLOOKUP(B1833&amp;"ES",'LM7 Non-ENG'!$A$1:$A$4999,1,FALSE),"ERROR")=B1833&amp;"ES","Y","")),"")</f>
        <v/>
      </c>
      <c r="H1833" s="29" t="str">
        <f>IFERROR(HYPERLINK("#"&amp;ADDRESS(MATCH(B1833&amp;"PT",'LM7 Non-ENG'!$A$1:$A$5000,0),1,,,"LM7 Non-ENG"),IF(IFERROR(VLOOKUP(B1833&amp;"PT",'LM7 Non-ENG'!$A$1:$A$5000,1,FALSE),"ERROR")=B1833&amp;"PT","Y","")),"")</f>
        <v/>
      </c>
      <c r="I1833" t="str">
        <f>IFERROR(VLOOKUP(B1833,PN!$A:$C,3,FALSE),"")</f>
        <v>Active</v>
      </c>
      <c r="J1833" s="3">
        <f>IFERROR(E1833*VLOOKUP(B1833,PLInter!$A:$D,3,FALSE),"")</f>
        <v>480</v>
      </c>
      <c r="K1833" s="66"/>
      <c r="L1833" s="66"/>
      <c r="M1833" s="66"/>
      <c r="N1833" s="66"/>
      <c r="O1833" s="66"/>
      <c r="P1833" s="66"/>
      <c r="Q1833" s="66"/>
      <c r="R1833" s="66"/>
      <c r="S1833" s="66"/>
    </row>
    <row r="1834" spans="1:19" ht="18" customHeight="1">
      <c r="B1834" t="s">
        <v>630</v>
      </c>
      <c r="C1834" t="s">
        <v>631</v>
      </c>
      <c r="D1834" s="4"/>
      <c r="E1834" s="4">
        <v>1</v>
      </c>
      <c r="F1834" s="4"/>
      <c r="G1834" s="29" t="str">
        <f>IFERROR(HYPERLINK("#"&amp;ADDRESS(MATCH(B1834&amp;"ES",'LM7 Non-ENG'!$A$1:$A$5000,0),1,,,"LM7 Non-ENG"),IF(IFERROR(VLOOKUP(B1834&amp;"ES",'LM7 Non-ENG'!$A$1:$A$4999,1,FALSE),"ERROR")=B1834&amp;"ES","Y","")),"")</f>
        <v/>
      </c>
      <c r="H1834" s="29" t="str">
        <f>IFERROR(HYPERLINK("#"&amp;ADDRESS(MATCH(B1834&amp;"PT",'LM7 Non-ENG'!$A$1:$A$5000,0),1,,,"LM7 Non-ENG"),IF(IFERROR(VLOOKUP(B1834&amp;"PT",'LM7 Non-ENG'!$A$1:$A$5000,1,FALSE),"ERROR")=B1834&amp;"PT","Y","")),"")</f>
        <v/>
      </c>
      <c r="I1834" t="str">
        <f>IFERROR(VLOOKUP(B1834,PN!$A:$C,3,FALSE),"")</f>
        <v>Active</v>
      </c>
      <c r="J1834" s="3">
        <f>IFERROR(E1834*VLOOKUP(B1834,PLInter!$A:$D,3,FALSE),"")</f>
        <v>1735</v>
      </c>
      <c r="K1834" s="66"/>
      <c r="L1834" s="66"/>
      <c r="M1834" s="66"/>
      <c r="N1834" s="66"/>
      <c r="O1834" s="66"/>
      <c r="P1834" s="66"/>
      <c r="Q1834" s="66"/>
      <c r="R1834" s="66"/>
      <c r="S1834" s="66"/>
    </row>
    <row r="1836" spans="1:19" s="7" customFormat="1" ht="18" customHeight="1">
      <c r="A1836" s="13" t="s">
        <v>1028</v>
      </c>
      <c r="B1836" s="13"/>
      <c r="C1836" s="13" t="s">
        <v>1029</v>
      </c>
      <c r="D1836" s="14"/>
      <c r="E1836" s="14"/>
      <c r="F1836" s="14"/>
      <c r="G1836" s="14"/>
      <c r="H1836" s="14"/>
      <c r="I1836" s="14"/>
      <c r="J1836" s="14">
        <f>SUMIFS(J1837:J1857,D1837:D1857,"&lt;&gt;Y",F1837:F1857,"&lt;&gt;Y",I1837:I1857,"&lt;&gt;Inactive",I1837:I1857,"&lt;&gt;ECO+NFS")</f>
        <v>72905</v>
      </c>
      <c r="K1836" s="14"/>
      <c r="L1836" s="14"/>
      <c r="M1836" s="14"/>
      <c r="N1836" s="14"/>
      <c r="O1836" s="14"/>
      <c r="P1836" s="14"/>
      <c r="Q1836" s="14"/>
      <c r="R1836" s="14"/>
      <c r="S1836" s="14"/>
    </row>
    <row r="1837" spans="1:19" ht="18" customHeight="1">
      <c r="A1837" s="17" t="str">
        <f>HYPERLINK("#"&amp;ADDRESS(MATCH(A1836,'CIM&amp;FMS'!$A$1:$A$4997,0),1,,,"CIM&amp;FMS"),"Back to Price List")</f>
        <v>Back to Price List</v>
      </c>
      <c r="B1837" t="s">
        <v>216</v>
      </c>
      <c r="C1837" t="s">
        <v>913</v>
      </c>
      <c r="D1837" s="4"/>
      <c r="E1837" s="4">
        <v>1</v>
      </c>
      <c r="F1837" s="4"/>
      <c r="G1837" s="29" t="str">
        <f>IFERROR(HYPERLINK("#"&amp;ADDRESS(MATCH(B1837&amp;"ES",'LM7 Non-ENG'!$A$1:$A$5000,0),1,,,"LM7 Non-ENG"),IF(IFERROR(VLOOKUP(B1837&amp;"ES",'LM7 Non-ENG'!$A$1:$A$4999,1,FALSE),"ERROR")=B1837&amp;"ES","Y","")),"")</f>
        <v/>
      </c>
      <c r="H1837" s="29" t="str">
        <f>IFERROR(HYPERLINK("#"&amp;ADDRESS(MATCH(B1837&amp;"PT",'LM7 Non-ENG'!$A$1:$A$5000,0),1,,,"LM7 Non-ENG"),IF(IFERROR(VLOOKUP(B1837&amp;"PT",'LM7 Non-ENG'!$A$1:$A$5000,1,FALSE),"ERROR")=B1837&amp;"PT","Y","")),"")</f>
        <v/>
      </c>
      <c r="I1837" t="str">
        <f>IFERROR(VLOOKUP(B1837,PN!$A:$C,3,FALSE),"")</f>
        <v>Active</v>
      </c>
      <c r="J1837" s="3">
        <f>IFERROR(E1837*VLOOKUP(B1837,PLInter!$A:$D,3,FALSE),"")</f>
        <v>26667</v>
      </c>
      <c r="K1837" s="66"/>
      <c r="L1837" s="66"/>
      <c r="M1837" s="66"/>
      <c r="N1837" s="66"/>
      <c r="O1837" s="66"/>
      <c r="P1837" s="66"/>
      <c r="Q1837" s="66"/>
      <c r="R1837" s="66"/>
      <c r="S1837" s="66"/>
    </row>
    <row r="1838" spans="1:19" ht="18" customHeight="1">
      <c r="B1838" t="s">
        <v>229</v>
      </c>
      <c r="C1838" t="s">
        <v>234</v>
      </c>
      <c r="D1838" s="4"/>
      <c r="E1838" s="4">
        <v>1</v>
      </c>
      <c r="F1838" s="4"/>
      <c r="G1838" s="29" t="str">
        <f>IFERROR(HYPERLINK("#"&amp;ADDRESS(MATCH(B1838&amp;"ES",'LM7 Non-ENG'!$A$1:$A$5000,0),1,,,"LM7 Non-ENG"),IF(IFERROR(VLOOKUP(B1838&amp;"ES",'LM7 Non-ENG'!$A$1:$A$4999,1,FALSE),"ERROR")=B1838&amp;"ES","Y","")),"")</f>
        <v/>
      </c>
      <c r="H1838" s="29" t="str">
        <f>IFERROR(HYPERLINK("#"&amp;ADDRESS(MATCH(B1838&amp;"PT",'LM7 Non-ENG'!$A$1:$A$5000,0),1,,,"LM7 Non-ENG"),IF(IFERROR(VLOOKUP(B1838&amp;"PT",'LM7 Non-ENG'!$A$1:$A$5000,1,FALSE),"ERROR")=B1838&amp;"PT","Y","")),"")</f>
        <v/>
      </c>
      <c r="I1838" t="str">
        <f>IFERROR(VLOOKUP(B1838,PN!$A:$C,3,FALSE),"")</f>
        <v>Active</v>
      </c>
      <c r="J1838" s="3">
        <f>IFERROR(E1838*VLOOKUP(B1838,PLInter!$A:$D,3,FALSE),"")</f>
        <v>3270</v>
      </c>
      <c r="K1838" s="66"/>
      <c r="L1838" s="66"/>
      <c r="M1838" s="66"/>
      <c r="N1838" s="66"/>
      <c r="O1838" s="66"/>
      <c r="P1838" s="66"/>
      <c r="Q1838" s="66"/>
      <c r="R1838" s="66"/>
      <c r="S1838" s="66"/>
    </row>
    <row r="1839" spans="1:19" ht="18" customHeight="1">
      <c r="B1839" s="2" t="s">
        <v>227</v>
      </c>
      <c r="C1839" s="2" t="s">
        <v>232</v>
      </c>
      <c r="D1839" s="5"/>
      <c r="E1839" s="5">
        <v>1</v>
      </c>
      <c r="F1839" s="5" t="s">
        <v>0</v>
      </c>
      <c r="G1839" s="29" t="str">
        <f>IFERROR(HYPERLINK("#"&amp;ADDRESS(MATCH(B1839&amp;"ES",'LM7 Non-ENG'!$A$1:$A$5000,0),1,,,"LM7 Non-ENG"),IF(IFERROR(VLOOKUP(B1839&amp;"ES",'LM7 Non-ENG'!$A$1:$A$4999,1,FALSE),"ERROR")=B1839&amp;"ES","Y","")),"")</f>
        <v/>
      </c>
      <c r="H1839" s="29" t="str">
        <f>IFERROR(HYPERLINK("#"&amp;ADDRESS(MATCH(B1839&amp;"PT",'LM7 Non-ENG'!$A$1:$A$5000,0),1,,,"LM7 Non-ENG"),IF(IFERROR(VLOOKUP(B1839&amp;"PT",'LM7 Non-ENG'!$A$1:$A$5000,1,FALSE),"ERROR")=B1839&amp;"PT","Y","")),"")</f>
        <v/>
      </c>
      <c r="I1839" t="str">
        <f>IFERROR(VLOOKUP(B1839,PN!$A:$C,3,FALSE),"")</f>
        <v>Active</v>
      </c>
      <c r="J1839" s="3">
        <f>IFERROR(E1839*VLOOKUP(B1839,PLInter!$A:$D,3,FALSE),"")</f>
        <v>1700</v>
      </c>
      <c r="K1839" s="66"/>
      <c r="L1839" s="66"/>
      <c r="M1839" s="66"/>
      <c r="N1839" s="66"/>
      <c r="O1839" s="66"/>
      <c r="P1839" s="66"/>
      <c r="Q1839" s="66"/>
      <c r="R1839" s="66"/>
      <c r="S1839" s="66"/>
    </row>
    <row r="1840" spans="1:19" ht="18" customHeight="1">
      <c r="B1840" t="s">
        <v>236</v>
      </c>
      <c r="C1840" t="s">
        <v>626</v>
      </c>
      <c r="D1840" s="4"/>
      <c r="E1840" s="4">
        <v>1</v>
      </c>
      <c r="F1840" s="4"/>
      <c r="G1840" s="29" t="str">
        <f>IFERROR(HYPERLINK("#"&amp;ADDRESS(MATCH(B1840&amp;"ES",'LM7 Non-ENG'!$A$1:$A$5000,0),1,,,"LM7 Non-ENG"),IF(IFERROR(VLOOKUP(B1840&amp;"ES",'LM7 Non-ENG'!$A$1:$A$4999,1,FALSE),"ERROR")=B1840&amp;"ES","Y","")),"")</f>
        <v/>
      </c>
      <c r="H1840" s="29" t="str">
        <f>IFERROR(HYPERLINK("#"&amp;ADDRESS(MATCH(B1840&amp;"PT",'LM7 Non-ENG'!$A$1:$A$5000,0),1,,,"LM7 Non-ENG"),IF(IFERROR(VLOOKUP(B1840&amp;"PT",'LM7 Non-ENG'!$A$1:$A$5000,1,FALSE),"ERROR")=B1840&amp;"PT","Y","")),"")</f>
        <v/>
      </c>
      <c r="I1840" t="str">
        <f>IFERROR(VLOOKUP(B1840,PN!$A:$C,3,FALSE),"")</f>
        <v>Active</v>
      </c>
      <c r="J1840" s="3">
        <f>IFERROR(E1840*VLOOKUP(B1840,PLInter!$A:$D,3,FALSE),"")</f>
        <v>1680</v>
      </c>
      <c r="K1840" s="66"/>
      <c r="L1840" s="66"/>
      <c r="M1840" s="66"/>
      <c r="N1840" s="66"/>
      <c r="O1840" s="66"/>
      <c r="P1840" s="66"/>
      <c r="Q1840" s="66"/>
      <c r="R1840" s="66"/>
      <c r="S1840" s="66"/>
    </row>
    <row r="1841" spans="2:19" ht="18" customHeight="1">
      <c r="B1841" t="str">
        <f>"034025"</f>
        <v>034025</v>
      </c>
      <c r="C1841" t="s">
        <v>777</v>
      </c>
      <c r="D1841" s="4"/>
      <c r="E1841" s="4">
        <v>1</v>
      </c>
      <c r="F1841" s="4"/>
      <c r="G1841" s="29" t="str">
        <f>IFERROR(HYPERLINK("#"&amp;ADDRESS(MATCH(B1841&amp;"ES",'LM7 Non-ENG'!$A$1:$A$5000,0),1,,,"LM7 Non-ENG"),IF(IFERROR(VLOOKUP(B1841&amp;"ES",'LM7 Non-ENG'!$A$1:$A$4999,1,FALSE),"ERROR")=B1841&amp;"ES","Y","")),"")</f>
        <v/>
      </c>
      <c r="H1841" s="29" t="str">
        <f>IFERROR(HYPERLINK("#"&amp;ADDRESS(MATCH(B1841&amp;"PT",'LM7 Non-ENG'!$A$1:$A$5000,0),1,,,"LM7 Non-ENG"),IF(IFERROR(VLOOKUP(B1841&amp;"PT",'LM7 Non-ENG'!$A$1:$A$5000,1,FALSE),"ERROR")=B1841&amp;"PT","Y","")),"")</f>
        <v/>
      </c>
      <c r="I1841" t="str">
        <f>IFERROR(VLOOKUP(B1841,PN!$A:$C,3,FALSE),"")</f>
        <v>Active</v>
      </c>
      <c r="J1841" s="3">
        <f>IFERROR(E1841*VLOOKUP(B1841,PLInter!$A:$D,3,FALSE),"")</f>
        <v>1267</v>
      </c>
      <c r="K1841" s="66"/>
      <c r="L1841" s="66"/>
      <c r="M1841" s="66"/>
      <c r="N1841" s="66"/>
      <c r="O1841" s="66"/>
      <c r="P1841" s="66"/>
      <c r="Q1841" s="66"/>
      <c r="R1841" s="66"/>
      <c r="S1841" s="66"/>
    </row>
    <row r="1842" spans="2:19" ht="18" customHeight="1">
      <c r="B1842" t="s">
        <v>914</v>
      </c>
      <c r="C1842" t="s">
        <v>915</v>
      </c>
      <c r="D1842" s="4"/>
      <c r="E1842" s="4">
        <v>3</v>
      </c>
      <c r="F1842" s="4"/>
      <c r="G1842" s="29" t="str">
        <f>IFERROR(HYPERLINK("#"&amp;ADDRESS(MATCH(B1842&amp;"ES",'LM7 Non-ENG'!$A$1:$A$5000,0),1,,,"LM7 Non-ENG"),IF(IFERROR(VLOOKUP(B1842&amp;"ES",'LM7 Non-ENG'!$A$1:$A$4999,1,FALSE),"ERROR")=B1842&amp;"ES","Y","")),"")</f>
        <v/>
      </c>
      <c r="H1842" s="29" t="str">
        <f>IFERROR(HYPERLINK("#"&amp;ADDRESS(MATCH(B1842&amp;"PT",'LM7 Non-ENG'!$A$1:$A$5000,0),1,,,"LM7 Non-ENG"),IF(IFERROR(VLOOKUP(B1842&amp;"PT",'LM7 Non-ENG'!$A$1:$A$5000,1,FALSE),"ERROR")=B1842&amp;"PT","Y","")),"")</f>
        <v/>
      </c>
      <c r="I1842" t="str">
        <f>IFERROR(VLOOKUP(B1842,PN!$A:$C,3,FALSE),"")</f>
        <v>Active</v>
      </c>
      <c r="J1842" s="3">
        <f>IFERROR(E1842*VLOOKUP(B1842,PLInter!$A:$D,3,FALSE),"")</f>
        <v>402</v>
      </c>
      <c r="K1842" s="66"/>
      <c r="L1842" s="66"/>
      <c r="M1842" s="66"/>
      <c r="N1842" s="66"/>
      <c r="O1842" s="66"/>
      <c r="P1842" s="66"/>
      <c r="Q1842" s="66"/>
      <c r="R1842" s="66"/>
      <c r="S1842" s="66"/>
    </row>
    <row r="1843" spans="2:19" ht="18" customHeight="1">
      <c r="B1843" t="s">
        <v>684</v>
      </c>
      <c r="C1843" t="s">
        <v>685</v>
      </c>
      <c r="D1843" s="4"/>
      <c r="E1843" s="4">
        <v>2</v>
      </c>
      <c r="F1843" s="4"/>
      <c r="G1843" s="29" t="str">
        <f>IFERROR(HYPERLINK("#"&amp;ADDRESS(MATCH(B1843&amp;"ES",'LM7 Non-ENG'!$A$1:$A$5000,0),1,,,"LM7 Non-ENG"),IF(IFERROR(VLOOKUP(B1843&amp;"ES",'LM7 Non-ENG'!$A$1:$A$4999,1,FALSE),"ERROR")=B1843&amp;"ES","Y","")),"")</f>
        <v/>
      </c>
      <c r="H1843" s="29" t="str">
        <f>IFERROR(HYPERLINK("#"&amp;ADDRESS(MATCH(B1843&amp;"PT",'LM7 Non-ENG'!$A$1:$A$5000,0),1,,,"LM7 Non-ENG"),IF(IFERROR(VLOOKUP(B1843&amp;"PT",'LM7 Non-ENG'!$A$1:$A$5000,1,FALSE),"ERROR")=B1843&amp;"PT","Y","")),"")</f>
        <v/>
      </c>
      <c r="I1843" t="str">
        <f>IFERROR(VLOOKUP(B1843,PN!$A:$C,3,FALSE),"")</f>
        <v>Active</v>
      </c>
      <c r="J1843" s="3">
        <f>IFERROR(E1843*VLOOKUP(B1843,PLInter!$A:$D,3,FALSE),"")</f>
        <v>1160</v>
      </c>
      <c r="K1843" s="66"/>
      <c r="L1843" s="66"/>
      <c r="M1843" s="66"/>
      <c r="N1843" s="66"/>
      <c r="O1843" s="66"/>
      <c r="P1843" s="66"/>
      <c r="Q1843" s="66"/>
      <c r="R1843" s="66"/>
      <c r="S1843" s="66"/>
    </row>
    <row r="1844" spans="2:19" ht="18" customHeight="1">
      <c r="B1844" t="str">
        <f>"021172"</f>
        <v>021172</v>
      </c>
      <c r="C1844" t="s">
        <v>916</v>
      </c>
      <c r="D1844" s="4"/>
      <c r="E1844" s="4">
        <v>2</v>
      </c>
      <c r="F1844" s="4"/>
      <c r="G1844" s="29" t="str">
        <f>IFERROR(HYPERLINK("#"&amp;ADDRESS(MATCH(B1844&amp;"ES",'LM7 Non-ENG'!$A$1:$A$5000,0),1,,,"LM7 Non-ENG"),IF(IFERROR(VLOOKUP(B1844&amp;"ES",'LM7 Non-ENG'!$A$1:$A$4999,1,FALSE),"ERROR")=B1844&amp;"ES","Y","")),"")</f>
        <v/>
      </c>
      <c r="H1844" s="29" t="str">
        <f>IFERROR(HYPERLINK("#"&amp;ADDRESS(MATCH(B1844&amp;"PT",'LM7 Non-ENG'!$A$1:$A$5000,0),1,,,"LM7 Non-ENG"),IF(IFERROR(VLOOKUP(B1844&amp;"PT",'LM7 Non-ENG'!$A$1:$A$5000,1,FALSE),"ERROR")=B1844&amp;"PT","Y","")),"")</f>
        <v/>
      </c>
      <c r="I1844" t="str">
        <f>IFERROR(VLOOKUP(B1844,PN!$A:$C,3,FALSE),"")</f>
        <v>Active</v>
      </c>
      <c r="J1844" s="3">
        <f>IFERROR(E1844*VLOOKUP(B1844,PLInter!$A:$D,3,FALSE),"")</f>
        <v>80</v>
      </c>
      <c r="K1844" s="66"/>
      <c r="L1844" s="66"/>
      <c r="M1844" s="66"/>
      <c r="N1844" s="66"/>
      <c r="O1844" s="66"/>
      <c r="P1844" s="66"/>
      <c r="Q1844" s="66"/>
      <c r="R1844" s="66"/>
      <c r="S1844" s="66"/>
    </row>
    <row r="1845" spans="2:19" ht="18" customHeight="1">
      <c r="B1845" t="s">
        <v>241</v>
      </c>
      <c r="C1845" t="s">
        <v>976</v>
      </c>
      <c r="D1845" s="4"/>
      <c r="E1845" s="4">
        <v>1</v>
      </c>
      <c r="F1845" s="4"/>
      <c r="G1845" s="29" t="str">
        <f>IFERROR(HYPERLINK("#"&amp;ADDRESS(MATCH(B1845&amp;"ES",'LM7 Non-ENG'!$A$1:$A$5000,0),1,,,"LM7 Non-ENG"),IF(IFERROR(VLOOKUP(B1845&amp;"ES",'LM7 Non-ENG'!$A$1:$A$4999,1,FALSE),"ERROR")=B1845&amp;"ES","Y","")),"")</f>
        <v/>
      </c>
      <c r="H1845" s="29" t="str">
        <f>IFERROR(HYPERLINK("#"&amp;ADDRESS(MATCH(B1845&amp;"PT",'LM7 Non-ENG'!$A$1:$A$5000,0),1,,,"LM7 Non-ENG"),IF(IFERROR(VLOOKUP(B1845&amp;"PT",'LM7 Non-ENG'!$A$1:$A$5000,1,FALSE),"ERROR")=B1845&amp;"PT","Y","")),"")</f>
        <v/>
      </c>
      <c r="I1845" t="str">
        <f>IFERROR(VLOOKUP(B1845,PN!$A:$C,3,FALSE),"")</f>
        <v>Active</v>
      </c>
      <c r="J1845" s="3">
        <f>IFERROR(E1845*VLOOKUP(B1845,PLInter!$A:$D,3,FALSE),"")</f>
        <v>2600</v>
      </c>
      <c r="K1845" s="66"/>
      <c r="L1845" s="66"/>
      <c r="M1845" s="66"/>
      <c r="N1845" s="66"/>
      <c r="O1845" s="66"/>
      <c r="P1845" s="66"/>
      <c r="Q1845" s="66"/>
      <c r="R1845" s="66"/>
      <c r="S1845" s="66"/>
    </row>
    <row r="1846" spans="2:19" ht="18" customHeight="1">
      <c r="B1846" t="s">
        <v>977</v>
      </c>
      <c r="C1846" t="s">
        <v>978</v>
      </c>
      <c r="D1846" s="4"/>
      <c r="E1846" s="4">
        <v>1</v>
      </c>
      <c r="F1846" s="4"/>
      <c r="G1846" s="29" t="str">
        <f>IFERROR(HYPERLINK("#"&amp;ADDRESS(MATCH(B1846&amp;"ES",'LM7 Non-ENG'!$A$1:$A$5000,0),1,,,"LM7 Non-ENG"),IF(IFERROR(VLOOKUP(B1846&amp;"ES",'LM7 Non-ENG'!$A$1:$A$4999,1,FALSE),"ERROR")=B1846&amp;"ES","Y","")),"")</f>
        <v/>
      </c>
      <c r="H1846" s="29" t="str">
        <f>IFERROR(HYPERLINK("#"&amp;ADDRESS(MATCH(B1846&amp;"PT",'LM7 Non-ENG'!$A$1:$A$5000,0),1,,,"LM7 Non-ENG"),IF(IFERROR(VLOOKUP(B1846&amp;"PT",'LM7 Non-ENG'!$A$1:$A$5000,1,FALSE),"ERROR")=B1846&amp;"PT","Y","")),"")</f>
        <v/>
      </c>
      <c r="I1846" t="str">
        <f>IFERROR(VLOOKUP(B1846,PN!$A:$C,3,FALSE),"")</f>
        <v>Active</v>
      </c>
      <c r="J1846" s="3">
        <f>IFERROR(E1846*VLOOKUP(B1846,PLInter!$A:$D,3,FALSE),"")</f>
        <v>3885</v>
      </c>
      <c r="K1846" s="66"/>
      <c r="L1846" s="66"/>
      <c r="M1846" s="66"/>
      <c r="N1846" s="66"/>
      <c r="O1846" s="66"/>
      <c r="P1846" s="66"/>
      <c r="Q1846" s="66"/>
      <c r="R1846" s="66"/>
      <c r="S1846" s="66"/>
    </row>
    <row r="1847" spans="2:19" ht="18" customHeight="1">
      <c r="B1847" t="str">
        <f>"113096"</f>
        <v>113096</v>
      </c>
      <c r="C1847" t="s">
        <v>943</v>
      </c>
      <c r="D1847" s="4"/>
      <c r="E1847" s="4">
        <v>3</v>
      </c>
      <c r="F1847" s="4"/>
      <c r="G1847" s="29" t="str">
        <f>IFERROR(HYPERLINK("#"&amp;ADDRESS(MATCH(B1847&amp;"ES",'LM7 Non-ENG'!$A$1:$A$5000,0),1,,,"LM7 Non-ENG"),IF(IFERROR(VLOOKUP(B1847&amp;"ES",'LM7 Non-ENG'!$A$1:$A$4999,1,FALSE),"ERROR")=B1847&amp;"ES","Y","")),"")</f>
        <v/>
      </c>
      <c r="H1847" s="29" t="str">
        <f>IFERROR(HYPERLINK("#"&amp;ADDRESS(MATCH(B1847&amp;"PT",'LM7 Non-ENG'!$A$1:$A$5000,0),1,,,"LM7 Non-ENG"),IF(IFERROR(VLOOKUP(B1847&amp;"PT",'LM7 Non-ENG'!$A$1:$A$5000,1,FALSE),"ERROR")=B1847&amp;"PT","Y","")),"")</f>
        <v/>
      </c>
      <c r="I1847" t="str">
        <f>IFERROR(VLOOKUP(B1847,PN!$A:$C,3,FALSE),"")</f>
        <v>Active</v>
      </c>
      <c r="J1847" s="3">
        <f>IFERROR(E1847*VLOOKUP(B1847,PLInter!$A:$D,3,FALSE),"")</f>
        <v>162</v>
      </c>
      <c r="K1847" s="66"/>
      <c r="L1847" s="66"/>
      <c r="M1847" s="66"/>
      <c r="N1847" s="66"/>
      <c r="O1847" s="66"/>
      <c r="P1847" s="66"/>
      <c r="Q1847" s="66"/>
      <c r="R1847" s="66"/>
      <c r="S1847" s="66"/>
    </row>
    <row r="1848" spans="2:19" ht="18" customHeight="1">
      <c r="B1848" t="str">
        <f>"112713"</f>
        <v>112713</v>
      </c>
      <c r="C1848" t="s">
        <v>944</v>
      </c>
      <c r="D1848" s="4"/>
      <c r="E1848" s="4">
        <v>3</v>
      </c>
      <c r="F1848" s="4"/>
      <c r="G1848" s="29" t="str">
        <f>IFERROR(HYPERLINK("#"&amp;ADDRESS(MATCH(B1848&amp;"ES",'LM7 Non-ENG'!$A$1:$A$5000,0),1,,,"LM7 Non-ENG"),IF(IFERROR(VLOOKUP(B1848&amp;"ES",'LM7 Non-ENG'!$A$1:$A$4999,1,FALSE),"ERROR")=B1848&amp;"ES","Y","")),"")</f>
        <v/>
      </c>
      <c r="H1848" s="29" t="str">
        <f>IFERROR(HYPERLINK("#"&amp;ADDRESS(MATCH(B1848&amp;"PT",'LM7 Non-ENG'!$A$1:$A$5000,0),1,,,"LM7 Non-ENG"),IF(IFERROR(VLOOKUP(B1848&amp;"PT",'LM7 Non-ENG'!$A$1:$A$5000,1,FALSE),"ERROR")=B1848&amp;"PT","Y","")),"")</f>
        <v/>
      </c>
      <c r="I1848" t="str">
        <f>IFERROR(VLOOKUP(B1848,PN!$A:$C,3,FALSE),"")</f>
        <v>Active</v>
      </c>
      <c r="J1848" s="3">
        <f>IFERROR(E1848*VLOOKUP(B1848,PLInter!$A:$D,3,FALSE),"")</f>
        <v>300</v>
      </c>
      <c r="K1848" s="66"/>
      <c r="L1848" s="66"/>
      <c r="M1848" s="66"/>
      <c r="N1848" s="66"/>
      <c r="O1848" s="66"/>
      <c r="P1848" s="66"/>
      <c r="Q1848" s="66"/>
      <c r="R1848" s="66"/>
      <c r="S1848" s="66"/>
    </row>
    <row r="1849" spans="2:19" ht="18" customHeight="1">
      <c r="B1849" t="str">
        <f>"113316"</f>
        <v>113316</v>
      </c>
      <c r="C1849" t="s">
        <v>979</v>
      </c>
      <c r="D1849" s="4"/>
      <c r="E1849" s="4">
        <v>1</v>
      </c>
      <c r="F1849" s="4"/>
      <c r="G1849" s="29" t="str">
        <f>IFERROR(HYPERLINK("#"&amp;ADDRESS(MATCH(B1849&amp;"ES",'LM7 Non-ENG'!$A$1:$A$5000,0),1,,,"LM7 Non-ENG"),IF(IFERROR(VLOOKUP(B1849&amp;"ES",'LM7 Non-ENG'!$A$1:$A$4999,1,FALSE),"ERROR")=B1849&amp;"ES","Y","")),"")</f>
        <v/>
      </c>
      <c r="H1849" s="29" t="str">
        <f>IFERROR(HYPERLINK("#"&amp;ADDRESS(MATCH(B1849&amp;"PT",'LM7 Non-ENG'!$A$1:$A$5000,0),1,,,"LM7 Non-ENG"),IF(IFERROR(VLOOKUP(B1849&amp;"PT",'LM7 Non-ENG'!$A$1:$A$5000,1,FALSE),"ERROR")=B1849&amp;"PT","Y","")),"")</f>
        <v/>
      </c>
      <c r="I1849" t="str">
        <f>IFERROR(VLOOKUP(B1849,PN!$A:$C,3,FALSE),"")</f>
        <v>Active</v>
      </c>
      <c r="J1849" s="3">
        <f>IFERROR(E1849*VLOOKUP(B1849,PLInter!$A:$D,3,FALSE),"")</f>
        <v>20</v>
      </c>
      <c r="K1849" s="66"/>
      <c r="L1849" s="66"/>
      <c r="M1849" s="66"/>
      <c r="N1849" s="66"/>
      <c r="O1849" s="66"/>
      <c r="P1849" s="66"/>
      <c r="Q1849" s="66"/>
      <c r="R1849" s="66"/>
      <c r="S1849" s="66"/>
    </row>
    <row r="1850" spans="2:19" ht="18" customHeight="1">
      <c r="B1850" t="s">
        <v>982</v>
      </c>
      <c r="C1850" t="s">
        <v>983</v>
      </c>
      <c r="D1850" s="4"/>
      <c r="E1850" s="4">
        <v>1</v>
      </c>
      <c r="F1850" s="4"/>
      <c r="G1850" s="29" t="str">
        <f>IFERROR(HYPERLINK("#"&amp;ADDRESS(MATCH(B1850&amp;"ES",'LM7 Non-ENG'!$A$1:$A$5000,0),1,,,"LM7 Non-ENG"),IF(IFERROR(VLOOKUP(B1850&amp;"ES",'LM7 Non-ENG'!$A$1:$A$4999,1,FALSE),"ERROR")=B1850&amp;"ES","Y","")),"")</f>
        <v/>
      </c>
      <c r="H1850" s="29" t="str">
        <f>IFERROR(HYPERLINK("#"&amp;ADDRESS(MATCH(B1850&amp;"PT",'LM7 Non-ENG'!$A$1:$A$5000,0),1,,,"LM7 Non-ENG"),IF(IFERROR(VLOOKUP(B1850&amp;"PT",'LM7 Non-ENG'!$A$1:$A$5000,1,FALSE),"ERROR")=B1850&amp;"PT","Y","")),"")</f>
        <v/>
      </c>
      <c r="I1850" t="str">
        <f>IFERROR(VLOOKUP(B1850,PN!$A:$C,3,FALSE),"")</f>
        <v>Active</v>
      </c>
      <c r="J1850" s="3">
        <f>IFERROR(E1850*VLOOKUP(B1850,PLInter!$A:$D,3,FALSE),"")</f>
        <v>3120</v>
      </c>
      <c r="K1850" s="66"/>
      <c r="L1850" s="66"/>
      <c r="M1850" s="66"/>
      <c r="N1850" s="66"/>
      <c r="O1850" s="66"/>
      <c r="P1850" s="66"/>
      <c r="Q1850" s="66"/>
      <c r="R1850" s="66"/>
      <c r="S1850" s="66"/>
    </row>
    <row r="1851" spans="2:19" ht="18" customHeight="1">
      <c r="B1851" t="str">
        <f>"113316"</f>
        <v>113316</v>
      </c>
      <c r="C1851" t="s">
        <v>979</v>
      </c>
      <c r="D1851" s="4"/>
      <c r="E1851" s="4">
        <v>1</v>
      </c>
      <c r="F1851" s="4"/>
      <c r="G1851" s="29" t="str">
        <f>IFERROR(HYPERLINK("#"&amp;ADDRESS(MATCH(B1851&amp;"ES",'LM7 Non-ENG'!$A$1:$A$5000,0),1,,,"LM7 Non-ENG"),IF(IFERROR(VLOOKUP(B1851&amp;"ES",'LM7 Non-ENG'!$A$1:$A$4999,1,FALSE),"ERROR")=B1851&amp;"ES","Y","")),"")</f>
        <v/>
      </c>
      <c r="H1851" s="29" t="str">
        <f>IFERROR(HYPERLINK("#"&amp;ADDRESS(MATCH(B1851&amp;"PT",'LM7 Non-ENG'!$A$1:$A$5000,0),1,,,"LM7 Non-ENG"),IF(IFERROR(VLOOKUP(B1851&amp;"PT",'LM7 Non-ENG'!$A$1:$A$5000,1,FALSE),"ERROR")=B1851&amp;"PT","Y","")),"")</f>
        <v/>
      </c>
      <c r="I1851" t="str">
        <f>IFERROR(VLOOKUP(B1851,PN!$A:$C,3,FALSE),"")</f>
        <v>Active</v>
      </c>
      <c r="J1851" s="3">
        <f>IFERROR(E1851*VLOOKUP(B1851,PLInter!$A:$D,3,FALSE),"")</f>
        <v>20</v>
      </c>
      <c r="K1851" s="66"/>
      <c r="L1851" s="66"/>
      <c r="M1851" s="66"/>
      <c r="N1851" s="66"/>
      <c r="O1851" s="66"/>
      <c r="P1851" s="66"/>
      <c r="Q1851" s="66"/>
      <c r="R1851" s="66"/>
      <c r="S1851" s="66"/>
    </row>
    <row r="1852" spans="2:19" ht="18" customHeight="1">
      <c r="B1852" t="s">
        <v>1030</v>
      </c>
      <c r="C1852" t="s">
        <v>1031</v>
      </c>
      <c r="D1852" s="4"/>
      <c r="E1852" s="4">
        <v>1</v>
      </c>
      <c r="F1852" s="4"/>
      <c r="G1852" s="29" t="str">
        <f>IFERROR(HYPERLINK("#"&amp;ADDRESS(MATCH(B1852&amp;"ES",'LM7 Non-ENG'!$A$1:$A$5000,0),1,,,"LM7 Non-ENG"),IF(IFERROR(VLOOKUP(B1852&amp;"ES",'LM7 Non-ENG'!$A$1:$A$4999,1,FALSE),"ERROR")=B1852&amp;"ES","Y","")),"")</f>
        <v/>
      </c>
      <c r="H1852" s="29" t="str">
        <f>IFERROR(HYPERLINK("#"&amp;ADDRESS(MATCH(B1852&amp;"PT",'LM7 Non-ENG'!$A$1:$A$5000,0),1,,,"LM7 Non-ENG"),IF(IFERROR(VLOOKUP(B1852&amp;"PT",'LM7 Non-ENG'!$A$1:$A$5000,1,FALSE),"ERROR")=B1852&amp;"PT","Y","")),"")</f>
        <v/>
      </c>
      <c r="I1852" t="str">
        <f>IFERROR(VLOOKUP(B1852,PN!$A:$C,3,FALSE),"")</f>
        <v>Active</v>
      </c>
      <c r="J1852" s="3">
        <f>IFERROR(E1852*VLOOKUP(B1852,PLInter!$A:$D,3,FALSE),"")</f>
        <v>22810</v>
      </c>
      <c r="K1852" s="66"/>
      <c r="L1852" s="66"/>
      <c r="M1852" s="66"/>
      <c r="N1852" s="66"/>
      <c r="O1852" s="66"/>
      <c r="P1852" s="66"/>
      <c r="Q1852" s="66"/>
      <c r="R1852" s="66"/>
      <c r="S1852" s="66"/>
    </row>
    <row r="1853" spans="2:19" ht="18" customHeight="1">
      <c r="B1853" t="str">
        <f>"113316"</f>
        <v>113316</v>
      </c>
      <c r="C1853" t="s">
        <v>979</v>
      </c>
      <c r="D1853" s="4"/>
      <c r="E1853" s="4">
        <v>1</v>
      </c>
      <c r="F1853" s="4"/>
      <c r="G1853" s="29" t="str">
        <f>IFERROR(HYPERLINK("#"&amp;ADDRESS(MATCH(B1853&amp;"ES",'LM7 Non-ENG'!$A$1:$A$5000,0),1,,,"LM7 Non-ENG"),IF(IFERROR(VLOOKUP(B1853&amp;"ES",'LM7 Non-ENG'!$A$1:$A$4999,1,FALSE),"ERROR")=B1853&amp;"ES","Y","")),"")</f>
        <v/>
      </c>
      <c r="H1853" s="29" t="str">
        <f>IFERROR(HYPERLINK("#"&amp;ADDRESS(MATCH(B1853&amp;"PT",'LM7 Non-ENG'!$A$1:$A$5000,0),1,,,"LM7 Non-ENG"),IF(IFERROR(VLOOKUP(B1853&amp;"PT",'LM7 Non-ENG'!$A$1:$A$5000,1,FALSE),"ERROR")=B1853&amp;"PT","Y","")),"")</f>
        <v/>
      </c>
      <c r="I1853" t="str">
        <f>IFERROR(VLOOKUP(B1853,PN!$A:$C,3,FALSE),"")</f>
        <v>Active</v>
      </c>
      <c r="J1853" s="3">
        <f>IFERROR(E1853*VLOOKUP(B1853,PLInter!$A:$D,3,FALSE),"")</f>
        <v>20</v>
      </c>
      <c r="K1853" s="66"/>
      <c r="L1853" s="66"/>
      <c r="M1853" s="66"/>
      <c r="N1853" s="66"/>
      <c r="O1853" s="66"/>
      <c r="P1853" s="66"/>
      <c r="Q1853" s="66"/>
      <c r="R1853" s="66"/>
      <c r="S1853" s="66"/>
    </row>
    <row r="1854" spans="2:19" ht="18" customHeight="1">
      <c r="B1854" t="s">
        <v>925</v>
      </c>
      <c r="C1854" t="s">
        <v>926</v>
      </c>
      <c r="D1854" s="4"/>
      <c r="E1854" s="4">
        <v>1</v>
      </c>
      <c r="F1854" s="4"/>
      <c r="G1854" s="29" t="str">
        <f>IFERROR(HYPERLINK("#"&amp;ADDRESS(MATCH(B1854&amp;"ES",'LM7 Non-ENG'!$A$1:$A$5000,0),1,,,"LM7 Non-ENG"),IF(IFERROR(VLOOKUP(B1854&amp;"ES",'LM7 Non-ENG'!$A$1:$A$4999,1,FALSE),"ERROR")=B1854&amp;"ES","Y","")),"")</f>
        <v/>
      </c>
      <c r="H1854" s="29" t="str">
        <f>IFERROR(HYPERLINK("#"&amp;ADDRESS(MATCH(B1854&amp;"PT",'LM7 Non-ENG'!$A$1:$A$5000,0),1,,,"LM7 Non-ENG"),IF(IFERROR(VLOOKUP(B1854&amp;"PT",'LM7 Non-ENG'!$A$1:$A$5000,1,FALSE),"ERROR")=B1854&amp;"PT","Y","")),"")</f>
        <v/>
      </c>
      <c r="I1854" t="str">
        <f>IFERROR(VLOOKUP(B1854,PN!$A:$C,3,FALSE),"")</f>
        <v>Active</v>
      </c>
      <c r="J1854" s="3">
        <f>IFERROR(E1854*VLOOKUP(B1854,PLInter!$A:$D,3,FALSE),"")</f>
        <v>2760</v>
      </c>
      <c r="K1854" s="66"/>
      <c r="L1854" s="66"/>
      <c r="M1854" s="66"/>
      <c r="N1854" s="66"/>
      <c r="O1854" s="66"/>
      <c r="P1854" s="66"/>
      <c r="Q1854" s="66"/>
      <c r="R1854" s="66"/>
      <c r="S1854" s="66"/>
    </row>
    <row r="1855" spans="2:19" ht="18" customHeight="1">
      <c r="B1855" t="s">
        <v>927</v>
      </c>
      <c r="C1855" t="s">
        <v>928</v>
      </c>
      <c r="D1855" s="4"/>
      <c r="E1855" s="4">
        <v>1</v>
      </c>
      <c r="F1855" s="4"/>
      <c r="G1855" s="29" t="str">
        <f>IFERROR(HYPERLINK("#"&amp;ADDRESS(MATCH(B1855&amp;"ES",'LM7 Non-ENG'!$A$1:$A$5000,0),1,,,"LM7 Non-ENG"),IF(IFERROR(VLOOKUP(B1855&amp;"ES",'LM7 Non-ENG'!$A$1:$A$4999,1,FALSE),"ERROR")=B1855&amp;"ES","Y","")),"")</f>
        <v/>
      </c>
      <c r="H1855" s="29" t="str">
        <f>IFERROR(HYPERLINK("#"&amp;ADDRESS(MATCH(B1855&amp;"PT",'LM7 Non-ENG'!$A$1:$A$5000,0),1,,,"LM7 Non-ENG"),IF(IFERROR(VLOOKUP(B1855&amp;"PT",'LM7 Non-ENG'!$A$1:$A$5000,1,FALSE),"ERROR")=B1855&amp;"PT","Y","")),"")</f>
        <v/>
      </c>
      <c r="I1855" t="str">
        <f>IFERROR(VLOOKUP(B1855,PN!$A:$C,3,FALSE),"")</f>
        <v>Active</v>
      </c>
      <c r="J1855" s="3">
        <f>IFERROR(E1855*VLOOKUP(B1855,PLInter!$A:$D,3,FALSE),"")</f>
        <v>467</v>
      </c>
      <c r="K1855" s="66"/>
      <c r="L1855" s="66"/>
      <c r="M1855" s="66"/>
      <c r="N1855" s="66"/>
      <c r="O1855" s="66"/>
      <c r="P1855" s="66"/>
      <c r="Q1855" s="66"/>
      <c r="R1855" s="66"/>
      <c r="S1855" s="66"/>
    </row>
    <row r="1856" spans="2:19" ht="18" customHeight="1">
      <c r="B1856" t="s">
        <v>668</v>
      </c>
      <c r="C1856" t="s">
        <v>669</v>
      </c>
      <c r="D1856" s="4"/>
      <c r="E1856" s="4">
        <v>1</v>
      </c>
      <c r="F1856" s="4"/>
      <c r="G1856" s="29" t="str">
        <f>IFERROR(HYPERLINK("#"&amp;ADDRESS(MATCH(B1856&amp;"ES",'LM7 Non-ENG'!$A$1:$A$5000,0),1,,,"LM7 Non-ENG"),IF(IFERROR(VLOOKUP(B1856&amp;"ES",'LM7 Non-ENG'!$A$1:$A$4999,1,FALSE),"ERROR")=B1856&amp;"ES","Y","")),"")</f>
        <v/>
      </c>
      <c r="H1856" s="29" t="str">
        <f>IFERROR(HYPERLINK("#"&amp;ADDRESS(MATCH(B1856&amp;"PT",'LM7 Non-ENG'!$A$1:$A$5000,0),1,,,"LM7 Non-ENG"),IF(IFERROR(VLOOKUP(B1856&amp;"PT",'LM7 Non-ENG'!$A$1:$A$5000,1,FALSE),"ERROR")=B1856&amp;"PT","Y","")),"")</f>
        <v/>
      </c>
      <c r="I1856" t="str">
        <f>IFERROR(VLOOKUP(B1856,PN!$A:$C,3,FALSE),"")</f>
        <v>Active</v>
      </c>
      <c r="J1856" s="3">
        <f>IFERROR(E1856*VLOOKUP(B1856,PLInter!$A:$D,3,FALSE),"")</f>
        <v>480</v>
      </c>
      <c r="K1856" s="66"/>
      <c r="L1856" s="66"/>
      <c r="M1856" s="66"/>
      <c r="N1856" s="66"/>
      <c r="O1856" s="66"/>
      <c r="P1856" s="66"/>
      <c r="Q1856" s="66"/>
      <c r="R1856" s="66"/>
      <c r="S1856" s="66"/>
    </row>
    <row r="1857" spans="1:19" ht="18" customHeight="1">
      <c r="B1857" t="s">
        <v>630</v>
      </c>
      <c r="C1857" t="s">
        <v>631</v>
      </c>
      <c r="D1857" s="4"/>
      <c r="E1857" s="4">
        <v>1</v>
      </c>
      <c r="F1857" s="4"/>
      <c r="G1857" s="29" t="str">
        <f>IFERROR(HYPERLINK("#"&amp;ADDRESS(MATCH(B1857&amp;"ES",'LM7 Non-ENG'!$A$1:$A$5000,0),1,,,"LM7 Non-ENG"),IF(IFERROR(VLOOKUP(B1857&amp;"ES",'LM7 Non-ENG'!$A$1:$A$4999,1,FALSE),"ERROR")=B1857&amp;"ES","Y","")),"")</f>
        <v/>
      </c>
      <c r="H1857" s="29" t="str">
        <f>IFERROR(HYPERLINK("#"&amp;ADDRESS(MATCH(B1857&amp;"PT",'LM7 Non-ENG'!$A$1:$A$5000,0),1,,,"LM7 Non-ENG"),IF(IFERROR(VLOOKUP(B1857&amp;"PT",'LM7 Non-ENG'!$A$1:$A$5000,1,FALSE),"ERROR")=B1857&amp;"PT","Y","")),"")</f>
        <v/>
      </c>
      <c r="I1857" t="str">
        <f>IFERROR(VLOOKUP(B1857,PN!$A:$C,3,FALSE),"")</f>
        <v>Active</v>
      </c>
      <c r="J1857" s="3">
        <f>IFERROR(E1857*VLOOKUP(B1857,PLInter!$A:$D,3,FALSE),"")</f>
        <v>1735</v>
      </c>
      <c r="K1857" s="66"/>
      <c r="L1857" s="66"/>
      <c r="M1857" s="66"/>
      <c r="N1857" s="66"/>
      <c r="O1857" s="66"/>
      <c r="P1857" s="66"/>
      <c r="Q1857" s="66"/>
      <c r="R1857" s="66"/>
      <c r="S1857" s="66"/>
    </row>
    <row r="1859" spans="1:19" s="7" customFormat="1" ht="18" customHeight="1">
      <c r="A1859" s="13" t="s">
        <v>1032</v>
      </c>
      <c r="B1859" s="13"/>
      <c r="C1859" s="13" t="s">
        <v>1033</v>
      </c>
      <c r="D1859" s="14"/>
      <c r="E1859" s="14"/>
      <c r="F1859" s="14"/>
      <c r="G1859" s="14"/>
      <c r="H1859" s="14"/>
      <c r="I1859" s="14"/>
      <c r="J1859" s="14">
        <f>SUMIFS(J1860:J1871,D1860:D1871,"&lt;&gt;Y",F1860:F1871,"&lt;&gt;Y",I1860:I1871,"&lt;&gt;Inactive",I1860:I1871,"&lt;&gt;ECO+NFS")</f>
        <v>22961</v>
      </c>
      <c r="K1859" s="14"/>
      <c r="L1859" s="14"/>
      <c r="M1859" s="14"/>
      <c r="N1859" s="14"/>
      <c r="O1859" s="14"/>
      <c r="P1859" s="14"/>
      <c r="Q1859" s="14"/>
      <c r="R1859" s="14"/>
      <c r="S1859" s="14"/>
    </row>
    <row r="1860" spans="1:19" ht="18" customHeight="1">
      <c r="A1860" s="17" t="str">
        <f>HYPERLINK("#"&amp;ADDRESS(MATCH(A1859,'CIM&amp;FMS'!$A$1:$A$4997,0),1,,,"CIM&amp;FMS"),"Back to Price List")</f>
        <v>Back to Price List</v>
      </c>
      <c r="B1860" t="s">
        <v>213</v>
      </c>
      <c r="C1860" t="s">
        <v>640</v>
      </c>
      <c r="D1860" s="4"/>
      <c r="E1860" s="4">
        <v>1</v>
      </c>
      <c r="F1860" s="4"/>
      <c r="G1860" s="29" t="str">
        <f>IFERROR(HYPERLINK("#"&amp;ADDRESS(MATCH(B1860&amp;"ES",'LM7 Non-ENG'!$A$1:$A$5000,0),1,,,"LM7 Non-ENG"),IF(IFERROR(VLOOKUP(B1860&amp;"ES",'LM7 Non-ENG'!$A$1:$A$4999,1,FALSE),"ERROR")=B1860&amp;"ES","Y","")),"")</f>
        <v/>
      </c>
      <c r="H1860" s="29" t="str">
        <f>IFERROR(HYPERLINK("#"&amp;ADDRESS(MATCH(B1860&amp;"PT",'LM7 Non-ENG'!$A$1:$A$5000,0),1,,,"LM7 Non-ENG"),IF(IFERROR(VLOOKUP(B1860&amp;"PT",'LM7 Non-ENG'!$A$1:$A$5000,1,FALSE),"ERROR")=B1860&amp;"PT","Y","")),"")</f>
        <v/>
      </c>
      <c r="I1860" t="str">
        <f>IFERROR(VLOOKUP(B1860,PN!$A:$C,3,FALSE),"")</f>
        <v>Active</v>
      </c>
      <c r="J1860" s="3">
        <f>IFERROR(E1860*VLOOKUP(B1860,PLInter!$A:$D,3,FALSE),"")</f>
        <v>11726</v>
      </c>
      <c r="K1860" s="66"/>
      <c r="L1860" s="66"/>
      <c r="M1860" s="66"/>
      <c r="N1860" s="66"/>
      <c r="O1860" s="66"/>
      <c r="P1860" s="66"/>
      <c r="Q1860" s="66"/>
      <c r="R1860" s="66"/>
      <c r="S1860" s="66"/>
    </row>
    <row r="1861" spans="1:19" ht="18" customHeight="1">
      <c r="B1861" t="s">
        <v>226</v>
      </c>
      <c r="C1861" t="s">
        <v>641</v>
      </c>
      <c r="D1861" s="4"/>
      <c r="E1861" s="4">
        <v>1</v>
      </c>
      <c r="F1861" s="4"/>
      <c r="G1861" s="29" t="str">
        <f>IFERROR(HYPERLINK("#"&amp;ADDRESS(MATCH(B1861&amp;"ES",'LM7 Non-ENG'!$A$1:$A$5000,0),1,,,"LM7 Non-ENG"),IF(IFERROR(VLOOKUP(B1861&amp;"ES",'LM7 Non-ENG'!$A$1:$A$4999,1,FALSE),"ERROR")=B1861&amp;"ES","Y","")),"")</f>
        <v/>
      </c>
      <c r="H1861" s="29" t="str">
        <f>IFERROR(HYPERLINK("#"&amp;ADDRESS(MATCH(B1861&amp;"PT",'LM7 Non-ENG'!$A$1:$A$5000,0),1,,,"LM7 Non-ENG"),IF(IFERROR(VLOOKUP(B1861&amp;"PT",'LM7 Non-ENG'!$A$1:$A$5000,1,FALSE),"ERROR")=B1861&amp;"PT","Y","")),"")</f>
        <v/>
      </c>
      <c r="I1861" t="str">
        <f>IFERROR(VLOOKUP(B1861,PN!$A:$C,3,FALSE),"")</f>
        <v>Active</v>
      </c>
      <c r="J1861" s="3">
        <f>IFERROR(E1861*VLOOKUP(B1861,PLInter!$A:$D,3,FALSE),"")</f>
        <v>125</v>
      </c>
      <c r="K1861" s="66"/>
      <c r="L1861" s="66"/>
      <c r="M1861" s="66"/>
      <c r="N1861" s="66"/>
      <c r="O1861" s="66"/>
      <c r="P1861" s="66"/>
      <c r="Q1861" s="66"/>
      <c r="R1861" s="66"/>
      <c r="S1861" s="66"/>
    </row>
    <row r="1862" spans="1:19" ht="18" customHeight="1">
      <c r="B1862" t="s">
        <v>236</v>
      </c>
      <c r="C1862" t="s">
        <v>626</v>
      </c>
      <c r="D1862" s="4"/>
      <c r="E1862" s="4">
        <v>1</v>
      </c>
      <c r="F1862" s="4"/>
      <c r="G1862" s="29" t="str">
        <f>IFERROR(HYPERLINK("#"&amp;ADDRESS(MATCH(B1862&amp;"ES",'LM7 Non-ENG'!$A$1:$A$5000,0),1,,,"LM7 Non-ENG"),IF(IFERROR(VLOOKUP(B1862&amp;"ES",'LM7 Non-ENG'!$A$1:$A$4999,1,FALSE),"ERROR")=B1862&amp;"ES","Y","")),"")</f>
        <v/>
      </c>
      <c r="H1862" s="29" t="str">
        <f>IFERROR(HYPERLINK("#"&amp;ADDRESS(MATCH(B1862&amp;"PT",'LM7 Non-ENG'!$A$1:$A$5000,0),1,,,"LM7 Non-ENG"),IF(IFERROR(VLOOKUP(B1862&amp;"PT",'LM7 Non-ENG'!$A$1:$A$5000,1,FALSE),"ERROR")=B1862&amp;"PT","Y","")),"")</f>
        <v/>
      </c>
      <c r="I1862" t="str">
        <f>IFERROR(VLOOKUP(B1862,PN!$A:$C,3,FALSE),"")</f>
        <v>Active</v>
      </c>
      <c r="J1862" s="3">
        <f>IFERROR(E1862*VLOOKUP(B1862,PLInter!$A:$D,3,FALSE),"")</f>
        <v>1680</v>
      </c>
      <c r="K1862" s="66"/>
      <c r="L1862" s="66"/>
      <c r="M1862" s="66"/>
      <c r="N1862" s="66"/>
      <c r="O1862" s="66"/>
      <c r="P1862" s="66"/>
      <c r="Q1862" s="66"/>
      <c r="R1862" s="66"/>
      <c r="S1862" s="66"/>
    </row>
    <row r="1863" spans="1:19" ht="18" customHeight="1">
      <c r="B1863" t="s">
        <v>941</v>
      </c>
      <c r="C1863" t="s">
        <v>942</v>
      </c>
      <c r="D1863" s="4"/>
      <c r="E1863" s="4">
        <v>1</v>
      </c>
      <c r="F1863" s="4"/>
      <c r="G1863" s="29" t="str">
        <f>IFERROR(HYPERLINK("#"&amp;ADDRESS(MATCH(B1863&amp;"ES",'LM7 Non-ENG'!$A$1:$A$5000,0),1,,,"LM7 Non-ENG"),IF(IFERROR(VLOOKUP(B1863&amp;"ES",'LM7 Non-ENG'!$A$1:$A$4999,1,FALSE),"ERROR")=B1863&amp;"ES","Y","")),"")</f>
        <v/>
      </c>
      <c r="H1863" s="29" t="str">
        <f>IFERROR(HYPERLINK("#"&amp;ADDRESS(MATCH(B1863&amp;"PT",'LM7 Non-ENG'!$A$1:$A$5000,0),1,,,"LM7 Non-ENG"),IF(IFERROR(VLOOKUP(B1863&amp;"PT",'LM7 Non-ENG'!$A$1:$A$5000,1,FALSE),"ERROR")=B1863&amp;"PT","Y","")),"")</f>
        <v/>
      </c>
      <c r="I1863" t="str">
        <f>IFERROR(VLOOKUP(B1863,PN!$A:$C,3,FALSE),"")</f>
        <v>Active</v>
      </c>
      <c r="J1863" s="3">
        <f>IFERROR(E1863*VLOOKUP(B1863,PLInter!$A:$D,3,FALSE),"")</f>
        <v>427</v>
      </c>
      <c r="K1863" s="66"/>
      <c r="L1863" s="66"/>
      <c r="M1863" s="66"/>
      <c r="N1863" s="66"/>
      <c r="O1863" s="66"/>
      <c r="P1863" s="66"/>
      <c r="Q1863" s="66"/>
      <c r="R1863" s="66"/>
      <c r="S1863" s="66"/>
    </row>
    <row r="1864" spans="1:19" ht="18" customHeight="1">
      <c r="B1864" t="s">
        <v>914</v>
      </c>
      <c r="C1864" t="s">
        <v>915</v>
      </c>
      <c r="D1864" s="4"/>
      <c r="E1864" s="4">
        <v>2</v>
      </c>
      <c r="F1864" s="4"/>
      <c r="G1864" s="29" t="str">
        <f>IFERROR(HYPERLINK("#"&amp;ADDRESS(MATCH(B1864&amp;"ES",'LM7 Non-ENG'!$A$1:$A$5000,0),1,,,"LM7 Non-ENG"),IF(IFERROR(VLOOKUP(B1864&amp;"ES",'LM7 Non-ENG'!$A$1:$A$4999,1,FALSE),"ERROR")=B1864&amp;"ES","Y","")),"")</f>
        <v/>
      </c>
      <c r="H1864" s="29" t="str">
        <f>IFERROR(HYPERLINK("#"&amp;ADDRESS(MATCH(B1864&amp;"PT",'LM7 Non-ENG'!$A$1:$A$5000,0),1,,,"LM7 Non-ENG"),IF(IFERROR(VLOOKUP(B1864&amp;"PT",'LM7 Non-ENG'!$A$1:$A$5000,1,FALSE),"ERROR")=B1864&amp;"PT","Y","")),"")</f>
        <v/>
      </c>
      <c r="I1864" t="str">
        <f>IFERROR(VLOOKUP(B1864,PN!$A:$C,3,FALSE),"")</f>
        <v>Active</v>
      </c>
      <c r="J1864" s="3">
        <f>IFERROR(E1864*VLOOKUP(B1864,PLInter!$A:$D,3,FALSE),"")</f>
        <v>268</v>
      </c>
      <c r="K1864" s="66"/>
      <c r="L1864" s="66"/>
      <c r="M1864" s="66"/>
      <c r="N1864" s="66"/>
      <c r="O1864" s="66"/>
      <c r="P1864" s="66"/>
      <c r="Q1864" s="66"/>
      <c r="R1864" s="66"/>
      <c r="S1864" s="66"/>
    </row>
    <row r="1865" spans="1:19" ht="18" customHeight="1">
      <c r="B1865" t="s">
        <v>684</v>
      </c>
      <c r="C1865" t="s">
        <v>685</v>
      </c>
      <c r="D1865" s="4"/>
      <c r="E1865" s="4">
        <v>1</v>
      </c>
      <c r="F1865" s="4"/>
      <c r="G1865" s="29" t="str">
        <f>IFERROR(HYPERLINK("#"&amp;ADDRESS(MATCH(B1865&amp;"ES",'LM7 Non-ENG'!$A$1:$A$5000,0),1,,,"LM7 Non-ENG"),IF(IFERROR(VLOOKUP(B1865&amp;"ES",'LM7 Non-ENG'!$A$1:$A$4999,1,FALSE),"ERROR")=B1865&amp;"ES","Y","")),"")</f>
        <v/>
      </c>
      <c r="H1865" s="29" t="str">
        <f>IFERROR(HYPERLINK("#"&amp;ADDRESS(MATCH(B1865&amp;"PT",'LM7 Non-ENG'!$A$1:$A$5000,0),1,,,"LM7 Non-ENG"),IF(IFERROR(VLOOKUP(B1865&amp;"PT",'LM7 Non-ENG'!$A$1:$A$5000,1,FALSE),"ERROR")=B1865&amp;"PT","Y","")),"")</f>
        <v/>
      </c>
      <c r="I1865" t="str">
        <f>IFERROR(VLOOKUP(B1865,PN!$A:$C,3,FALSE),"")</f>
        <v>Active</v>
      </c>
      <c r="J1865" s="3">
        <f>IFERROR(E1865*VLOOKUP(B1865,PLInter!$A:$D,3,FALSE),"")</f>
        <v>580</v>
      </c>
      <c r="K1865" s="66"/>
      <c r="L1865" s="66"/>
      <c r="M1865" s="66"/>
      <c r="N1865" s="66"/>
      <c r="O1865" s="66"/>
      <c r="P1865" s="66"/>
      <c r="Q1865" s="66"/>
      <c r="R1865" s="66"/>
      <c r="S1865" s="66"/>
    </row>
    <row r="1866" spans="1:19" ht="18" customHeight="1">
      <c r="B1866" t="str">
        <f>"021172"</f>
        <v>021172</v>
      </c>
      <c r="C1866" t="s">
        <v>916</v>
      </c>
      <c r="D1866" s="4"/>
      <c r="E1866" s="4">
        <v>1</v>
      </c>
      <c r="F1866" s="4"/>
      <c r="G1866" s="29" t="str">
        <f>IFERROR(HYPERLINK("#"&amp;ADDRESS(MATCH(B1866&amp;"ES",'LM7 Non-ENG'!$A$1:$A$5000,0),1,,,"LM7 Non-ENG"),IF(IFERROR(VLOOKUP(B1866&amp;"ES",'LM7 Non-ENG'!$A$1:$A$4999,1,FALSE),"ERROR")=B1866&amp;"ES","Y","")),"")</f>
        <v/>
      </c>
      <c r="H1866" s="29" t="str">
        <f>IFERROR(HYPERLINK("#"&amp;ADDRESS(MATCH(B1866&amp;"PT",'LM7 Non-ENG'!$A$1:$A$5000,0),1,,,"LM7 Non-ENG"),IF(IFERROR(VLOOKUP(B1866&amp;"PT",'LM7 Non-ENG'!$A$1:$A$5000,1,FALSE),"ERROR")=B1866&amp;"PT","Y","")),"")</f>
        <v/>
      </c>
      <c r="I1866" t="str">
        <f>IFERROR(VLOOKUP(B1866,PN!$A:$C,3,FALSE),"")</f>
        <v>Active</v>
      </c>
      <c r="J1866" s="3">
        <f>IFERROR(E1866*VLOOKUP(B1866,PLInter!$A:$D,3,FALSE),"")</f>
        <v>40</v>
      </c>
      <c r="K1866" s="66"/>
      <c r="L1866" s="66"/>
      <c r="M1866" s="66"/>
      <c r="N1866" s="66"/>
      <c r="O1866" s="66"/>
      <c r="P1866" s="66"/>
      <c r="Q1866" s="66"/>
      <c r="R1866" s="66"/>
      <c r="S1866" s="66"/>
    </row>
    <row r="1867" spans="1:19" ht="18" customHeight="1">
      <c r="B1867" t="s">
        <v>982</v>
      </c>
      <c r="C1867" t="s">
        <v>983</v>
      </c>
      <c r="D1867" s="4"/>
      <c r="E1867" s="4">
        <v>1</v>
      </c>
      <c r="F1867" s="4"/>
      <c r="G1867" s="29" t="str">
        <f>IFERROR(HYPERLINK("#"&amp;ADDRESS(MATCH(B1867&amp;"ES",'LM7 Non-ENG'!$A$1:$A$5000,0),1,,,"LM7 Non-ENG"),IF(IFERROR(VLOOKUP(B1867&amp;"ES",'LM7 Non-ENG'!$A$1:$A$4999,1,FALSE),"ERROR")=B1867&amp;"ES","Y","")),"")</f>
        <v/>
      </c>
      <c r="H1867" s="29" t="str">
        <f>IFERROR(HYPERLINK("#"&amp;ADDRESS(MATCH(B1867&amp;"PT",'LM7 Non-ENG'!$A$1:$A$5000,0),1,,,"LM7 Non-ENG"),IF(IFERROR(VLOOKUP(B1867&amp;"PT",'LM7 Non-ENG'!$A$1:$A$5000,1,FALSE),"ERROR")=B1867&amp;"PT","Y","")),"")</f>
        <v/>
      </c>
      <c r="I1867" t="str">
        <f>IFERROR(VLOOKUP(B1867,PN!$A:$C,3,FALSE),"")</f>
        <v>Active</v>
      </c>
      <c r="J1867" s="3">
        <f>IFERROR(E1867*VLOOKUP(B1867,PLInter!$A:$D,3,FALSE),"")</f>
        <v>3120</v>
      </c>
      <c r="K1867" s="66"/>
      <c r="L1867" s="66"/>
      <c r="M1867" s="66"/>
      <c r="N1867" s="66"/>
      <c r="O1867" s="66"/>
      <c r="P1867" s="66"/>
      <c r="Q1867" s="66"/>
      <c r="R1867" s="66"/>
      <c r="S1867" s="66"/>
    </row>
    <row r="1868" spans="1:19" ht="18" customHeight="1">
      <c r="B1868" t="str">
        <f>"113316"</f>
        <v>113316</v>
      </c>
      <c r="C1868" t="s">
        <v>979</v>
      </c>
      <c r="D1868" s="4"/>
      <c r="E1868" s="4">
        <v>1</v>
      </c>
      <c r="F1868" s="4"/>
      <c r="G1868" s="29" t="str">
        <f>IFERROR(HYPERLINK("#"&amp;ADDRESS(MATCH(B1868&amp;"ES",'LM7 Non-ENG'!$A$1:$A$5000,0),1,,,"LM7 Non-ENG"),IF(IFERROR(VLOOKUP(B1868&amp;"ES",'LM7 Non-ENG'!$A$1:$A$4999,1,FALSE),"ERROR")=B1868&amp;"ES","Y","")),"")</f>
        <v/>
      </c>
      <c r="H1868" s="29" t="str">
        <f>IFERROR(HYPERLINK("#"&amp;ADDRESS(MATCH(B1868&amp;"PT",'LM7 Non-ENG'!$A$1:$A$5000,0),1,,,"LM7 Non-ENG"),IF(IFERROR(VLOOKUP(B1868&amp;"PT",'LM7 Non-ENG'!$A$1:$A$5000,1,FALSE),"ERROR")=B1868&amp;"PT","Y","")),"")</f>
        <v/>
      </c>
      <c r="I1868" t="str">
        <f>IFERROR(VLOOKUP(B1868,PN!$A:$C,3,FALSE),"")</f>
        <v>Active</v>
      </c>
      <c r="J1868" s="3">
        <f>IFERROR(E1868*VLOOKUP(B1868,PLInter!$A:$D,3,FALSE),"")</f>
        <v>20</v>
      </c>
      <c r="K1868" s="66"/>
      <c r="L1868" s="66"/>
      <c r="M1868" s="66"/>
      <c r="N1868" s="66"/>
      <c r="O1868" s="66"/>
      <c r="P1868" s="66"/>
      <c r="Q1868" s="66"/>
      <c r="R1868" s="66"/>
      <c r="S1868" s="66"/>
    </row>
    <row r="1869" spans="1:19" ht="18" customHeight="1">
      <c r="B1869" t="s">
        <v>925</v>
      </c>
      <c r="C1869" t="s">
        <v>926</v>
      </c>
      <c r="D1869" s="4"/>
      <c r="E1869" s="4">
        <v>1</v>
      </c>
      <c r="F1869" s="4"/>
      <c r="G1869" s="29" t="str">
        <f>IFERROR(HYPERLINK("#"&amp;ADDRESS(MATCH(B1869&amp;"ES",'LM7 Non-ENG'!$A$1:$A$5000,0),1,,,"LM7 Non-ENG"),IF(IFERROR(VLOOKUP(B1869&amp;"ES",'LM7 Non-ENG'!$A$1:$A$4999,1,FALSE),"ERROR")=B1869&amp;"ES","Y","")),"")</f>
        <v/>
      </c>
      <c r="H1869" s="29" t="str">
        <f>IFERROR(HYPERLINK("#"&amp;ADDRESS(MATCH(B1869&amp;"PT",'LM7 Non-ENG'!$A$1:$A$5000,0),1,,,"LM7 Non-ENG"),IF(IFERROR(VLOOKUP(B1869&amp;"PT",'LM7 Non-ENG'!$A$1:$A$5000,1,FALSE),"ERROR")=B1869&amp;"PT","Y","")),"")</f>
        <v/>
      </c>
      <c r="I1869" t="str">
        <f>IFERROR(VLOOKUP(B1869,PN!$A:$C,3,FALSE),"")</f>
        <v>Active</v>
      </c>
      <c r="J1869" s="3">
        <f>IFERROR(E1869*VLOOKUP(B1869,PLInter!$A:$D,3,FALSE),"")</f>
        <v>2760</v>
      </c>
      <c r="K1869" s="66"/>
      <c r="L1869" s="66"/>
      <c r="M1869" s="66"/>
      <c r="N1869" s="66"/>
      <c r="O1869" s="66"/>
      <c r="P1869" s="66"/>
      <c r="Q1869" s="66"/>
      <c r="R1869" s="66"/>
      <c r="S1869" s="66"/>
    </row>
    <row r="1870" spans="1:19" ht="18" customHeight="1">
      <c r="B1870" t="s">
        <v>668</v>
      </c>
      <c r="C1870" t="s">
        <v>669</v>
      </c>
      <c r="D1870" s="4"/>
      <c r="E1870" s="4">
        <v>1</v>
      </c>
      <c r="F1870" s="4"/>
      <c r="G1870" s="29" t="str">
        <f>IFERROR(HYPERLINK("#"&amp;ADDRESS(MATCH(B1870&amp;"ES",'LM7 Non-ENG'!$A$1:$A$5000,0),1,,,"LM7 Non-ENG"),IF(IFERROR(VLOOKUP(B1870&amp;"ES",'LM7 Non-ENG'!$A$1:$A$4999,1,FALSE),"ERROR")=B1870&amp;"ES","Y","")),"")</f>
        <v/>
      </c>
      <c r="H1870" s="29" t="str">
        <f>IFERROR(HYPERLINK("#"&amp;ADDRESS(MATCH(B1870&amp;"PT",'LM7 Non-ENG'!$A$1:$A$5000,0),1,,,"LM7 Non-ENG"),IF(IFERROR(VLOOKUP(B1870&amp;"PT",'LM7 Non-ENG'!$A$1:$A$5000,1,FALSE),"ERROR")=B1870&amp;"PT","Y","")),"")</f>
        <v/>
      </c>
      <c r="I1870" t="str">
        <f>IFERROR(VLOOKUP(B1870,PN!$A:$C,3,FALSE),"")</f>
        <v>Active</v>
      </c>
      <c r="J1870" s="3">
        <f>IFERROR(E1870*VLOOKUP(B1870,PLInter!$A:$D,3,FALSE),"")</f>
        <v>480</v>
      </c>
      <c r="K1870" s="66"/>
      <c r="L1870" s="66"/>
      <c r="M1870" s="66"/>
      <c r="N1870" s="66"/>
      <c r="O1870" s="66"/>
      <c r="P1870" s="66"/>
      <c r="Q1870" s="66"/>
      <c r="R1870" s="66"/>
      <c r="S1870" s="66"/>
    </row>
    <row r="1871" spans="1:19" ht="18" customHeight="1">
      <c r="B1871" t="s">
        <v>630</v>
      </c>
      <c r="C1871" t="s">
        <v>631</v>
      </c>
      <c r="D1871" s="4"/>
      <c r="E1871" s="4">
        <v>1</v>
      </c>
      <c r="F1871" s="4"/>
      <c r="G1871" s="29" t="str">
        <f>IFERROR(HYPERLINK("#"&amp;ADDRESS(MATCH(B1871&amp;"ES",'LM7 Non-ENG'!$A$1:$A$5000,0),1,,,"LM7 Non-ENG"),IF(IFERROR(VLOOKUP(B1871&amp;"ES",'LM7 Non-ENG'!$A$1:$A$4999,1,FALSE),"ERROR")=B1871&amp;"ES","Y","")),"")</f>
        <v/>
      </c>
      <c r="H1871" s="29" t="str">
        <f>IFERROR(HYPERLINK("#"&amp;ADDRESS(MATCH(B1871&amp;"PT",'LM7 Non-ENG'!$A$1:$A$5000,0),1,,,"LM7 Non-ENG"),IF(IFERROR(VLOOKUP(B1871&amp;"PT",'LM7 Non-ENG'!$A$1:$A$5000,1,FALSE),"ERROR")=B1871&amp;"PT","Y","")),"")</f>
        <v/>
      </c>
      <c r="I1871" t="str">
        <f>IFERROR(VLOOKUP(B1871,PN!$A:$C,3,FALSE),"")</f>
        <v>Active</v>
      </c>
      <c r="J1871" s="3">
        <f>IFERROR(E1871*VLOOKUP(B1871,PLInter!$A:$D,3,FALSE),"")</f>
        <v>1735</v>
      </c>
      <c r="K1871" s="66"/>
      <c r="L1871" s="66"/>
      <c r="M1871" s="66"/>
      <c r="N1871" s="66"/>
      <c r="O1871" s="66"/>
      <c r="P1871" s="66"/>
      <c r="Q1871" s="66"/>
      <c r="R1871" s="66"/>
      <c r="S1871" s="66"/>
    </row>
    <row r="1873" spans="1:19" s="7" customFormat="1" ht="18" customHeight="1">
      <c r="A1873" s="13" t="s">
        <v>1034</v>
      </c>
      <c r="B1873" s="13"/>
      <c r="C1873" s="13" t="s">
        <v>1035</v>
      </c>
      <c r="D1873" s="14"/>
      <c r="E1873" s="14"/>
      <c r="F1873" s="14"/>
      <c r="G1873" s="14"/>
      <c r="H1873" s="14"/>
      <c r="I1873" s="14"/>
      <c r="J1873" s="14">
        <f>SUMIFS(J1874:J1887,D1874:D1887,"&lt;&gt;Y",F1874:F1887,"&lt;&gt;Y",I1874:I1887,"&lt;&gt;Inactive",I1874:I1887,"&lt;&gt;ECO+NFS")</f>
        <v>24056</v>
      </c>
      <c r="K1873" s="14"/>
      <c r="L1873" s="14"/>
      <c r="M1873" s="14"/>
      <c r="N1873" s="14"/>
      <c r="O1873" s="14"/>
      <c r="P1873" s="14"/>
      <c r="Q1873" s="14"/>
      <c r="R1873" s="14"/>
      <c r="S1873" s="14"/>
    </row>
    <row r="1874" spans="1:19" ht="18" customHeight="1">
      <c r="A1874" s="17" t="str">
        <f>HYPERLINK("#"&amp;ADDRESS(MATCH(A1873,'CIM&amp;FMS'!$A$1:$A$4997,0),1,,,"CIM&amp;FMS"),"Back to Price List")</f>
        <v>Back to Price List</v>
      </c>
      <c r="B1874" t="s">
        <v>213</v>
      </c>
      <c r="C1874" t="s">
        <v>640</v>
      </c>
      <c r="D1874" s="4"/>
      <c r="E1874" s="4">
        <v>1</v>
      </c>
      <c r="F1874" s="4"/>
      <c r="G1874" s="29" t="str">
        <f>IFERROR(HYPERLINK("#"&amp;ADDRESS(MATCH(B1874&amp;"ES",'LM7 Non-ENG'!$A$1:$A$5000,0),1,,,"LM7 Non-ENG"),IF(IFERROR(VLOOKUP(B1874&amp;"ES",'LM7 Non-ENG'!$A$1:$A$4999,1,FALSE),"ERROR")=B1874&amp;"ES","Y","")),"")</f>
        <v/>
      </c>
      <c r="H1874" s="29" t="str">
        <f>IFERROR(HYPERLINK("#"&amp;ADDRESS(MATCH(B1874&amp;"PT",'LM7 Non-ENG'!$A$1:$A$5000,0),1,,,"LM7 Non-ENG"),IF(IFERROR(VLOOKUP(B1874&amp;"PT",'LM7 Non-ENG'!$A$1:$A$5000,1,FALSE),"ERROR")=B1874&amp;"PT","Y","")),"")</f>
        <v/>
      </c>
      <c r="I1874" t="str">
        <f>IFERROR(VLOOKUP(B1874,PN!$A:$C,3,FALSE),"")</f>
        <v>Active</v>
      </c>
      <c r="J1874" s="3">
        <f>IFERROR(E1874*VLOOKUP(B1874,PLInter!$A:$D,3,FALSE),"")</f>
        <v>11726</v>
      </c>
      <c r="K1874" s="66"/>
      <c r="L1874" s="66"/>
      <c r="M1874" s="66"/>
      <c r="N1874" s="66"/>
      <c r="O1874" s="66"/>
      <c r="P1874" s="66"/>
      <c r="Q1874" s="66"/>
      <c r="R1874" s="66"/>
      <c r="S1874" s="66"/>
    </row>
    <row r="1875" spans="1:19" ht="18" customHeight="1">
      <c r="B1875" t="s">
        <v>226</v>
      </c>
      <c r="C1875" t="s">
        <v>641</v>
      </c>
      <c r="D1875" s="4"/>
      <c r="E1875" s="4">
        <v>1</v>
      </c>
      <c r="F1875" s="4"/>
      <c r="G1875" s="29" t="str">
        <f>IFERROR(HYPERLINK("#"&amp;ADDRESS(MATCH(B1875&amp;"ES",'LM7 Non-ENG'!$A$1:$A$5000,0),1,,,"LM7 Non-ENG"),IF(IFERROR(VLOOKUP(B1875&amp;"ES",'LM7 Non-ENG'!$A$1:$A$4999,1,FALSE),"ERROR")=B1875&amp;"ES","Y","")),"")</f>
        <v/>
      </c>
      <c r="H1875" s="29" t="str">
        <f>IFERROR(HYPERLINK("#"&amp;ADDRESS(MATCH(B1875&amp;"PT",'LM7 Non-ENG'!$A$1:$A$5000,0),1,,,"LM7 Non-ENG"),IF(IFERROR(VLOOKUP(B1875&amp;"PT",'LM7 Non-ENG'!$A$1:$A$5000,1,FALSE),"ERROR")=B1875&amp;"PT","Y","")),"")</f>
        <v/>
      </c>
      <c r="I1875" t="str">
        <f>IFERROR(VLOOKUP(B1875,PN!$A:$C,3,FALSE),"")</f>
        <v>Active</v>
      </c>
      <c r="J1875" s="3">
        <f>IFERROR(E1875*VLOOKUP(B1875,PLInter!$A:$D,3,FALSE),"")</f>
        <v>125</v>
      </c>
      <c r="K1875" s="66"/>
      <c r="L1875" s="66"/>
      <c r="M1875" s="66"/>
      <c r="N1875" s="66"/>
      <c r="O1875" s="66"/>
      <c r="P1875" s="66"/>
      <c r="Q1875" s="66"/>
      <c r="R1875" s="66"/>
      <c r="S1875" s="66"/>
    </row>
    <row r="1876" spans="1:19" ht="18" customHeight="1">
      <c r="B1876" t="s">
        <v>236</v>
      </c>
      <c r="C1876" t="s">
        <v>626</v>
      </c>
      <c r="D1876" s="4"/>
      <c r="E1876" s="4">
        <v>1</v>
      </c>
      <c r="F1876" s="4"/>
      <c r="G1876" s="29" t="str">
        <f>IFERROR(HYPERLINK("#"&amp;ADDRESS(MATCH(B1876&amp;"ES",'LM7 Non-ENG'!$A$1:$A$5000,0),1,,,"LM7 Non-ENG"),IF(IFERROR(VLOOKUP(B1876&amp;"ES",'LM7 Non-ENG'!$A$1:$A$4999,1,FALSE),"ERROR")=B1876&amp;"ES","Y","")),"")</f>
        <v/>
      </c>
      <c r="H1876" s="29" t="str">
        <f>IFERROR(HYPERLINK("#"&amp;ADDRESS(MATCH(B1876&amp;"PT",'LM7 Non-ENG'!$A$1:$A$5000,0),1,,,"LM7 Non-ENG"),IF(IFERROR(VLOOKUP(B1876&amp;"PT",'LM7 Non-ENG'!$A$1:$A$5000,1,FALSE),"ERROR")=B1876&amp;"PT","Y","")),"")</f>
        <v/>
      </c>
      <c r="I1876" t="str">
        <f>IFERROR(VLOOKUP(B1876,PN!$A:$C,3,FALSE),"")</f>
        <v>Active</v>
      </c>
      <c r="J1876" s="3">
        <f>IFERROR(E1876*VLOOKUP(B1876,PLInter!$A:$D,3,FALSE),"")</f>
        <v>1680</v>
      </c>
      <c r="K1876" s="66"/>
      <c r="L1876" s="66"/>
      <c r="M1876" s="66"/>
      <c r="N1876" s="66"/>
      <c r="O1876" s="66"/>
      <c r="P1876" s="66"/>
      <c r="Q1876" s="66"/>
      <c r="R1876" s="66"/>
      <c r="S1876" s="66"/>
    </row>
    <row r="1877" spans="1:19" ht="18" customHeight="1">
      <c r="B1877" t="s">
        <v>941</v>
      </c>
      <c r="C1877" t="s">
        <v>942</v>
      </c>
      <c r="D1877" s="4"/>
      <c r="E1877" s="4">
        <v>1</v>
      </c>
      <c r="F1877" s="4"/>
      <c r="G1877" s="29" t="str">
        <f>IFERROR(HYPERLINK("#"&amp;ADDRESS(MATCH(B1877&amp;"ES",'LM7 Non-ENG'!$A$1:$A$5000,0),1,,,"LM7 Non-ENG"),IF(IFERROR(VLOOKUP(B1877&amp;"ES",'LM7 Non-ENG'!$A$1:$A$4999,1,FALSE),"ERROR")=B1877&amp;"ES","Y","")),"")</f>
        <v/>
      </c>
      <c r="H1877" s="29" t="str">
        <f>IFERROR(HYPERLINK("#"&amp;ADDRESS(MATCH(B1877&amp;"PT",'LM7 Non-ENG'!$A$1:$A$5000,0),1,,,"LM7 Non-ENG"),IF(IFERROR(VLOOKUP(B1877&amp;"PT",'LM7 Non-ENG'!$A$1:$A$5000,1,FALSE),"ERROR")=B1877&amp;"PT","Y","")),"")</f>
        <v/>
      </c>
      <c r="I1877" t="str">
        <f>IFERROR(VLOOKUP(B1877,PN!$A:$C,3,FALSE),"")</f>
        <v>Active</v>
      </c>
      <c r="J1877" s="3">
        <f>IFERROR(E1877*VLOOKUP(B1877,PLInter!$A:$D,3,FALSE),"")</f>
        <v>427</v>
      </c>
      <c r="K1877" s="66"/>
      <c r="L1877" s="66"/>
      <c r="M1877" s="66"/>
      <c r="N1877" s="66"/>
      <c r="O1877" s="66"/>
      <c r="P1877" s="66"/>
      <c r="Q1877" s="66"/>
      <c r="R1877" s="66"/>
      <c r="S1877" s="66"/>
    </row>
    <row r="1878" spans="1:19" ht="18" customHeight="1">
      <c r="B1878" t="s">
        <v>914</v>
      </c>
      <c r="C1878" t="s">
        <v>915</v>
      </c>
      <c r="D1878" s="4"/>
      <c r="E1878" s="4">
        <v>1</v>
      </c>
      <c r="F1878" s="4"/>
      <c r="G1878" s="29" t="str">
        <f>IFERROR(HYPERLINK("#"&amp;ADDRESS(MATCH(B1878&amp;"ES",'LM7 Non-ENG'!$A$1:$A$5000,0),1,,,"LM7 Non-ENG"),IF(IFERROR(VLOOKUP(B1878&amp;"ES",'LM7 Non-ENG'!$A$1:$A$4999,1,FALSE),"ERROR")=B1878&amp;"ES","Y","")),"")</f>
        <v/>
      </c>
      <c r="H1878" s="29" t="str">
        <f>IFERROR(HYPERLINK("#"&amp;ADDRESS(MATCH(B1878&amp;"PT",'LM7 Non-ENG'!$A$1:$A$5000,0),1,,,"LM7 Non-ENG"),IF(IFERROR(VLOOKUP(B1878&amp;"PT",'LM7 Non-ENG'!$A$1:$A$5000,1,FALSE),"ERROR")=B1878&amp;"PT","Y","")),"")</f>
        <v/>
      </c>
      <c r="I1878" t="str">
        <f>IFERROR(VLOOKUP(B1878,PN!$A:$C,3,FALSE),"")</f>
        <v>Active</v>
      </c>
      <c r="J1878" s="3">
        <f>IFERROR(E1878*VLOOKUP(B1878,PLInter!$A:$D,3,FALSE),"")</f>
        <v>134</v>
      </c>
      <c r="K1878" s="66"/>
      <c r="L1878" s="66"/>
      <c r="M1878" s="66"/>
      <c r="N1878" s="66"/>
      <c r="O1878" s="66"/>
      <c r="P1878" s="66"/>
      <c r="Q1878" s="66"/>
      <c r="R1878" s="66"/>
      <c r="S1878" s="66"/>
    </row>
    <row r="1879" spans="1:19" ht="18" customHeight="1">
      <c r="B1879" t="s">
        <v>684</v>
      </c>
      <c r="C1879" t="s">
        <v>685</v>
      </c>
      <c r="D1879" s="4"/>
      <c r="E1879" s="4">
        <v>1</v>
      </c>
      <c r="F1879" s="4"/>
      <c r="G1879" s="29" t="str">
        <f>IFERROR(HYPERLINK("#"&amp;ADDRESS(MATCH(B1879&amp;"ES",'LM7 Non-ENG'!$A$1:$A$5000,0),1,,,"LM7 Non-ENG"),IF(IFERROR(VLOOKUP(B1879&amp;"ES",'LM7 Non-ENG'!$A$1:$A$4999,1,FALSE),"ERROR")=B1879&amp;"ES","Y","")),"")</f>
        <v/>
      </c>
      <c r="H1879" s="29" t="str">
        <f>IFERROR(HYPERLINK("#"&amp;ADDRESS(MATCH(B1879&amp;"PT",'LM7 Non-ENG'!$A$1:$A$5000,0),1,,,"LM7 Non-ENG"),IF(IFERROR(VLOOKUP(B1879&amp;"PT",'LM7 Non-ENG'!$A$1:$A$5000,1,FALSE),"ERROR")=B1879&amp;"PT","Y","")),"")</f>
        <v/>
      </c>
      <c r="I1879" t="str">
        <f>IFERROR(VLOOKUP(B1879,PN!$A:$C,3,FALSE),"")</f>
        <v>Active</v>
      </c>
      <c r="J1879" s="3">
        <f>IFERROR(E1879*VLOOKUP(B1879,PLInter!$A:$D,3,FALSE),"")</f>
        <v>580</v>
      </c>
      <c r="K1879" s="66"/>
      <c r="L1879" s="66"/>
      <c r="M1879" s="66"/>
      <c r="N1879" s="66"/>
      <c r="O1879" s="66"/>
      <c r="P1879" s="66"/>
      <c r="Q1879" s="66"/>
      <c r="R1879" s="66"/>
      <c r="S1879" s="66"/>
    </row>
    <row r="1880" spans="1:19" ht="18" customHeight="1">
      <c r="B1880" t="str">
        <f>"021172"</f>
        <v>021172</v>
      </c>
      <c r="C1880" t="s">
        <v>916</v>
      </c>
      <c r="D1880" s="4"/>
      <c r="E1880" s="4">
        <v>1</v>
      </c>
      <c r="F1880" s="4"/>
      <c r="G1880" s="29" t="str">
        <f>IFERROR(HYPERLINK("#"&amp;ADDRESS(MATCH(B1880&amp;"ES",'LM7 Non-ENG'!$A$1:$A$5000,0),1,,,"LM7 Non-ENG"),IF(IFERROR(VLOOKUP(B1880&amp;"ES",'LM7 Non-ENG'!$A$1:$A$4999,1,FALSE),"ERROR")=B1880&amp;"ES","Y","")),"")</f>
        <v/>
      </c>
      <c r="H1880" s="29" t="str">
        <f>IFERROR(HYPERLINK("#"&amp;ADDRESS(MATCH(B1880&amp;"PT",'LM7 Non-ENG'!$A$1:$A$5000,0),1,,,"LM7 Non-ENG"),IF(IFERROR(VLOOKUP(B1880&amp;"PT",'LM7 Non-ENG'!$A$1:$A$5000,1,FALSE),"ERROR")=B1880&amp;"PT","Y","")),"")</f>
        <v/>
      </c>
      <c r="I1880" t="str">
        <f>IFERROR(VLOOKUP(B1880,PN!$A:$C,3,FALSE),"")</f>
        <v>Active</v>
      </c>
      <c r="J1880" s="3">
        <f>IFERROR(E1880*VLOOKUP(B1880,PLInter!$A:$D,3,FALSE),"")</f>
        <v>40</v>
      </c>
      <c r="K1880" s="66"/>
      <c r="L1880" s="66"/>
      <c r="M1880" s="66"/>
      <c r="N1880" s="66"/>
      <c r="O1880" s="66"/>
      <c r="P1880" s="66"/>
      <c r="Q1880" s="66"/>
      <c r="R1880" s="66"/>
      <c r="S1880" s="66"/>
    </row>
    <row r="1881" spans="1:19" ht="18" customHeight="1">
      <c r="B1881" t="s">
        <v>998</v>
      </c>
      <c r="C1881" t="s">
        <v>999</v>
      </c>
      <c r="D1881" s="4"/>
      <c r="E1881" s="4">
        <v>1</v>
      </c>
      <c r="F1881" s="4"/>
      <c r="G1881" s="29" t="str">
        <f>IFERROR(HYPERLINK("#"&amp;ADDRESS(MATCH(B1881&amp;"ES",'LM7 Non-ENG'!$A$1:$A$5000,0),1,,,"LM7 Non-ENG"),IF(IFERROR(VLOOKUP(B1881&amp;"ES",'LM7 Non-ENG'!$A$1:$A$4999,1,FALSE),"ERROR")=B1881&amp;"ES","Y","")),"")</f>
        <v/>
      </c>
      <c r="H1881" s="29" t="str">
        <f>IFERROR(HYPERLINK("#"&amp;ADDRESS(MATCH(B1881&amp;"PT",'LM7 Non-ENG'!$A$1:$A$5000,0),1,,,"LM7 Non-ENG"),IF(IFERROR(VLOOKUP(B1881&amp;"PT",'LM7 Non-ENG'!$A$1:$A$5000,1,FALSE),"ERROR")=B1881&amp;"PT","Y","")),"")</f>
        <v/>
      </c>
      <c r="I1881" t="str">
        <f>IFERROR(VLOOKUP(B1881,PN!$A:$C,3,FALSE),"")</f>
        <v>Active</v>
      </c>
      <c r="J1881" s="3">
        <f>IFERROR(E1881*VLOOKUP(B1881,PLInter!$A:$D,3,FALSE),"")</f>
        <v>4195</v>
      </c>
      <c r="K1881" s="66"/>
      <c r="L1881" s="66"/>
      <c r="M1881" s="66"/>
      <c r="N1881" s="66"/>
      <c r="O1881" s="66"/>
      <c r="P1881" s="66"/>
      <c r="Q1881" s="66"/>
      <c r="R1881" s="66"/>
      <c r="S1881" s="66"/>
    </row>
    <row r="1882" spans="1:19" ht="18" customHeight="1">
      <c r="B1882" t="str">
        <f>"113316"</f>
        <v>113316</v>
      </c>
      <c r="C1882" t="s">
        <v>979</v>
      </c>
      <c r="D1882" s="4"/>
      <c r="E1882" s="4">
        <v>1</v>
      </c>
      <c r="F1882" s="4"/>
      <c r="G1882" s="29" t="str">
        <f>IFERROR(HYPERLINK("#"&amp;ADDRESS(MATCH(B1882&amp;"ES",'LM7 Non-ENG'!$A$1:$A$5000,0),1,,,"LM7 Non-ENG"),IF(IFERROR(VLOOKUP(B1882&amp;"ES",'LM7 Non-ENG'!$A$1:$A$4999,1,FALSE),"ERROR")=B1882&amp;"ES","Y","")),"")</f>
        <v/>
      </c>
      <c r="H1882" s="29" t="str">
        <f>IFERROR(HYPERLINK("#"&amp;ADDRESS(MATCH(B1882&amp;"PT",'LM7 Non-ENG'!$A$1:$A$5000,0),1,,,"LM7 Non-ENG"),IF(IFERROR(VLOOKUP(B1882&amp;"PT",'LM7 Non-ENG'!$A$1:$A$5000,1,FALSE),"ERROR")=B1882&amp;"PT","Y","")),"")</f>
        <v/>
      </c>
      <c r="I1882" t="str">
        <f>IFERROR(VLOOKUP(B1882,PN!$A:$C,3,FALSE),"")</f>
        <v>Active</v>
      </c>
      <c r="J1882" s="3">
        <f>IFERROR(E1882*VLOOKUP(B1882,PLInter!$A:$D,3,FALSE),"")</f>
        <v>20</v>
      </c>
      <c r="K1882" s="66"/>
      <c r="L1882" s="66"/>
      <c r="M1882" s="66"/>
      <c r="N1882" s="66"/>
      <c r="O1882" s="66"/>
      <c r="P1882" s="66"/>
      <c r="Q1882" s="66"/>
      <c r="R1882" s="66"/>
      <c r="S1882" s="66"/>
    </row>
    <row r="1883" spans="1:19" ht="18" customHeight="1">
      <c r="B1883" t="str">
        <f>"112713"</f>
        <v>112713</v>
      </c>
      <c r="C1883" t="s">
        <v>944</v>
      </c>
      <c r="D1883" s="4"/>
      <c r="E1883" s="4">
        <v>1</v>
      </c>
      <c r="F1883" s="4"/>
      <c r="G1883" s="29" t="str">
        <f>IFERROR(HYPERLINK("#"&amp;ADDRESS(MATCH(B1883&amp;"ES",'LM7 Non-ENG'!$A$1:$A$5000,0),1,,,"LM7 Non-ENG"),IF(IFERROR(VLOOKUP(B1883&amp;"ES",'LM7 Non-ENG'!$A$1:$A$4999,1,FALSE),"ERROR")=B1883&amp;"ES","Y","")),"")</f>
        <v/>
      </c>
      <c r="H1883" s="29" t="str">
        <f>IFERROR(HYPERLINK("#"&amp;ADDRESS(MATCH(B1883&amp;"PT",'LM7 Non-ENG'!$A$1:$A$5000,0),1,,,"LM7 Non-ENG"),IF(IFERROR(VLOOKUP(B1883&amp;"PT",'LM7 Non-ENG'!$A$1:$A$5000,1,FALSE),"ERROR")=B1883&amp;"PT","Y","")),"")</f>
        <v/>
      </c>
      <c r="I1883" t="str">
        <f>IFERROR(VLOOKUP(B1883,PN!$A:$C,3,FALSE),"")</f>
        <v>Active</v>
      </c>
      <c r="J1883" s="3">
        <f>IFERROR(E1883*VLOOKUP(B1883,PLInter!$A:$D,3,FALSE),"")</f>
        <v>100</v>
      </c>
      <c r="K1883" s="66"/>
      <c r="L1883" s="66"/>
      <c r="M1883" s="66"/>
      <c r="N1883" s="66"/>
      <c r="O1883" s="66"/>
      <c r="P1883" s="66"/>
      <c r="Q1883" s="66"/>
      <c r="R1883" s="66"/>
      <c r="S1883" s="66"/>
    </row>
    <row r="1884" spans="1:19" ht="18" customHeight="1">
      <c r="B1884" t="str">
        <f>"113096"</f>
        <v>113096</v>
      </c>
      <c r="C1884" t="s">
        <v>943</v>
      </c>
      <c r="D1884" s="4"/>
      <c r="E1884" s="4">
        <v>1</v>
      </c>
      <c r="F1884" s="4"/>
      <c r="G1884" s="29" t="str">
        <f>IFERROR(HYPERLINK("#"&amp;ADDRESS(MATCH(B1884&amp;"ES",'LM7 Non-ENG'!$A$1:$A$5000,0),1,,,"LM7 Non-ENG"),IF(IFERROR(VLOOKUP(B1884&amp;"ES",'LM7 Non-ENG'!$A$1:$A$4999,1,FALSE),"ERROR")=B1884&amp;"ES","Y","")),"")</f>
        <v/>
      </c>
      <c r="H1884" s="29" t="str">
        <f>IFERROR(HYPERLINK("#"&amp;ADDRESS(MATCH(B1884&amp;"PT",'LM7 Non-ENG'!$A$1:$A$5000,0),1,,,"LM7 Non-ENG"),IF(IFERROR(VLOOKUP(B1884&amp;"PT",'LM7 Non-ENG'!$A$1:$A$5000,1,FALSE),"ERROR")=B1884&amp;"PT","Y","")),"")</f>
        <v/>
      </c>
      <c r="I1884" t="str">
        <f>IFERROR(VLOOKUP(B1884,PN!$A:$C,3,FALSE),"")</f>
        <v>Active</v>
      </c>
      <c r="J1884" s="3">
        <f>IFERROR(E1884*VLOOKUP(B1884,PLInter!$A:$D,3,FALSE),"")</f>
        <v>54</v>
      </c>
      <c r="K1884" s="66"/>
      <c r="L1884" s="66"/>
      <c r="M1884" s="66"/>
      <c r="N1884" s="66"/>
      <c r="O1884" s="66"/>
      <c r="P1884" s="66"/>
      <c r="Q1884" s="66"/>
      <c r="R1884" s="66"/>
      <c r="S1884" s="66"/>
    </row>
    <row r="1885" spans="1:19" ht="18" customHeight="1">
      <c r="B1885" t="s">
        <v>925</v>
      </c>
      <c r="C1885" t="s">
        <v>926</v>
      </c>
      <c r="D1885" s="4"/>
      <c r="E1885" s="4">
        <v>1</v>
      </c>
      <c r="F1885" s="4"/>
      <c r="G1885" s="29" t="str">
        <f>IFERROR(HYPERLINK("#"&amp;ADDRESS(MATCH(B1885&amp;"ES",'LM7 Non-ENG'!$A$1:$A$5000,0),1,,,"LM7 Non-ENG"),IF(IFERROR(VLOOKUP(B1885&amp;"ES",'LM7 Non-ENG'!$A$1:$A$4999,1,FALSE),"ERROR")=B1885&amp;"ES","Y","")),"")</f>
        <v/>
      </c>
      <c r="H1885" s="29" t="str">
        <f>IFERROR(HYPERLINK("#"&amp;ADDRESS(MATCH(B1885&amp;"PT",'LM7 Non-ENG'!$A$1:$A$5000,0),1,,,"LM7 Non-ENG"),IF(IFERROR(VLOOKUP(B1885&amp;"PT",'LM7 Non-ENG'!$A$1:$A$5000,1,FALSE),"ERROR")=B1885&amp;"PT","Y","")),"")</f>
        <v/>
      </c>
      <c r="I1885" t="str">
        <f>IFERROR(VLOOKUP(B1885,PN!$A:$C,3,FALSE),"")</f>
        <v>Active</v>
      </c>
      <c r="J1885" s="3">
        <f>IFERROR(E1885*VLOOKUP(B1885,PLInter!$A:$D,3,FALSE),"")</f>
        <v>2760</v>
      </c>
      <c r="K1885" s="66"/>
      <c r="L1885" s="66"/>
      <c r="M1885" s="66"/>
      <c r="N1885" s="66"/>
      <c r="O1885" s="66"/>
      <c r="P1885" s="66"/>
      <c r="Q1885" s="66"/>
      <c r="R1885" s="66"/>
      <c r="S1885" s="66"/>
    </row>
    <row r="1886" spans="1:19" ht="18" customHeight="1">
      <c r="B1886" t="s">
        <v>668</v>
      </c>
      <c r="C1886" t="s">
        <v>669</v>
      </c>
      <c r="D1886" s="4"/>
      <c r="E1886" s="4">
        <v>1</v>
      </c>
      <c r="F1886" s="4"/>
      <c r="G1886" s="29" t="str">
        <f>IFERROR(HYPERLINK("#"&amp;ADDRESS(MATCH(B1886&amp;"ES",'LM7 Non-ENG'!$A$1:$A$5000,0),1,,,"LM7 Non-ENG"),IF(IFERROR(VLOOKUP(B1886&amp;"ES",'LM7 Non-ENG'!$A$1:$A$4999,1,FALSE),"ERROR")=B1886&amp;"ES","Y","")),"")</f>
        <v/>
      </c>
      <c r="H1886" s="29" t="str">
        <f>IFERROR(HYPERLINK("#"&amp;ADDRESS(MATCH(B1886&amp;"PT",'LM7 Non-ENG'!$A$1:$A$5000,0),1,,,"LM7 Non-ENG"),IF(IFERROR(VLOOKUP(B1886&amp;"PT",'LM7 Non-ENG'!$A$1:$A$5000,1,FALSE),"ERROR")=B1886&amp;"PT","Y","")),"")</f>
        <v/>
      </c>
      <c r="I1886" t="str">
        <f>IFERROR(VLOOKUP(B1886,PN!$A:$C,3,FALSE),"")</f>
        <v>Active</v>
      </c>
      <c r="J1886" s="3">
        <f>IFERROR(E1886*VLOOKUP(B1886,PLInter!$A:$D,3,FALSE),"")</f>
        <v>480</v>
      </c>
      <c r="K1886" s="66"/>
      <c r="L1886" s="66"/>
      <c r="M1886" s="66"/>
      <c r="N1886" s="66"/>
      <c r="O1886" s="66"/>
      <c r="P1886" s="66"/>
      <c r="Q1886" s="66"/>
      <c r="R1886" s="66"/>
      <c r="S1886" s="66"/>
    </row>
    <row r="1887" spans="1:19" ht="18" customHeight="1">
      <c r="B1887" t="s">
        <v>630</v>
      </c>
      <c r="C1887" t="s">
        <v>631</v>
      </c>
      <c r="D1887" s="4"/>
      <c r="E1887" s="4">
        <v>1</v>
      </c>
      <c r="F1887" s="4"/>
      <c r="G1887" s="29" t="str">
        <f>IFERROR(HYPERLINK("#"&amp;ADDRESS(MATCH(B1887&amp;"ES",'LM7 Non-ENG'!$A$1:$A$5000,0),1,,,"LM7 Non-ENG"),IF(IFERROR(VLOOKUP(B1887&amp;"ES",'LM7 Non-ENG'!$A$1:$A$4999,1,FALSE),"ERROR")=B1887&amp;"ES","Y","")),"")</f>
        <v/>
      </c>
      <c r="H1887" s="29" t="str">
        <f>IFERROR(HYPERLINK("#"&amp;ADDRESS(MATCH(B1887&amp;"PT",'LM7 Non-ENG'!$A$1:$A$5000,0),1,,,"LM7 Non-ENG"),IF(IFERROR(VLOOKUP(B1887&amp;"PT",'LM7 Non-ENG'!$A$1:$A$5000,1,FALSE),"ERROR")=B1887&amp;"PT","Y","")),"")</f>
        <v/>
      </c>
      <c r="I1887" t="str">
        <f>IFERROR(VLOOKUP(B1887,PN!$A:$C,3,FALSE),"")</f>
        <v>Active</v>
      </c>
      <c r="J1887" s="3">
        <f>IFERROR(E1887*VLOOKUP(B1887,PLInter!$A:$D,3,FALSE),"")</f>
        <v>1735</v>
      </c>
      <c r="K1887" s="66"/>
      <c r="L1887" s="66"/>
      <c r="M1887" s="66"/>
      <c r="N1887" s="66"/>
      <c r="O1887" s="66"/>
      <c r="P1887" s="66"/>
      <c r="Q1887" s="66"/>
      <c r="R1887" s="66"/>
      <c r="S1887" s="66"/>
    </row>
    <row r="1889" spans="1:19" s="7" customFormat="1" ht="18" customHeight="1">
      <c r="A1889" s="13" t="s">
        <v>1036</v>
      </c>
      <c r="B1889" s="13"/>
      <c r="C1889" s="13" t="s">
        <v>1037</v>
      </c>
      <c r="D1889" s="14"/>
      <c r="E1889" s="14"/>
      <c r="F1889" s="14"/>
      <c r="G1889" s="14"/>
      <c r="H1889" s="14"/>
      <c r="I1889" s="14"/>
      <c r="J1889" s="14">
        <f>SUMIFS(J1890:J1905,D1890:D1905,"&lt;&gt;Y",F1890:F1905,"&lt;&gt;Y",I1890:I1905,"&lt;&gt;Inactive",I1890:I1905,"&lt;&gt;ECO+NFS")</f>
        <v>27330</v>
      </c>
      <c r="K1889" s="14"/>
      <c r="L1889" s="14"/>
      <c r="M1889" s="14"/>
      <c r="N1889" s="14"/>
      <c r="O1889" s="14"/>
      <c r="P1889" s="14"/>
      <c r="Q1889" s="14"/>
      <c r="R1889" s="14"/>
      <c r="S1889" s="14"/>
    </row>
    <row r="1890" spans="1:19" ht="18" customHeight="1">
      <c r="A1890" s="17" t="str">
        <f>HYPERLINK("#"&amp;ADDRESS(MATCH(A1889,'CIM&amp;FMS'!$A$1:$A$4997,0),1,,,"CIM&amp;FMS"),"Back to Price List")</f>
        <v>Back to Price List</v>
      </c>
      <c r="B1890" t="s">
        <v>213</v>
      </c>
      <c r="C1890" t="s">
        <v>640</v>
      </c>
      <c r="D1890" s="4"/>
      <c r="E1890" s="4">
        <v>1</v>
      </c>
      <c r="F1890" s="4"/>
      <c r="G1890" s="29" t="str">
        <f>IFERROR(HYPERLINK("#"&amp;ADDRESS(MATCH(B1890&amp;"ES",'LM7 Non-ENG'!$A$1:$A$5000,0),1,,,"LM7 Non-ENG"),IF(IFERROR(VLOOKUP(B1890&amp;"ES",'LM7 Non-ENG'!$A$1:$A$4999,1,FALSE),"ERROR")=B1890&amp;"ES","Y","")),"")</f>
        <v/>
      </c>
      <c r="H1890" s="29" t="str">
        <f>IFERROR(HYPERLINK("#"&amp;ADDRESS(MATCH(B1890&amp;"PT",'LM7 Non-ENG'!$A$1:$A$5000,0),1,,,"LM7 Non-ENG"),IF(IFERROR(VLOOKUP(B1890&amp;"PT",'LM7 Non-ENG'!$A$1:$A$5000,1,FALSE),"ERROR")=B1890&amp;"PT","Y","")),"")</f>
        <v/>
      </c>
      <c r="I1890" t="str">
        <f>IFERROR(VLOOKUP(B1890,PN!$A:$C,3,FALSE),"")</f>
        <v>Active</v>
      </c>
      <c r="J1890" s="3">
        <f>IFERROR(E1890*VLOOKUP(B1890,PLInter!$A:$D,3,FALSE),"")</f>
        <v>11726</v>
      </c>
      <c r="K1890" s="66"/>
      <c r="L1890" s="66"/>
      <c r="M1890" s="66"/>
      <c r="N1890" s="66"/>
      <c r="O1890" s="66"/>
      <c r="P1890" s="66"/>
      <c r="Q1890" s="66"/>
      <c r="R1890" s="66"/>
      <c r="S1890" s="66"/>
    </row>
    <row r="1891" spans="1:19" ht="18" customHeight="1">
      <c r="B1891" t="s">
        <v>226</v>
      </c>
      <c r="C1891" t="s">
        <v>641</v>
      </c>
      <c r="D1891" s="4"/>
      <c r="E1891" s="4">
        <v>1</v>
      </c>
      <c r="F1891" s="4"/>
      <c r="G1891" s="29" t="str">
        <f>IFERROR(HYPERLINK("#"&amp;ADDRESS(MATCH(B1891&amp;"ES",'LM7 Non-ENG'!$A$1:$A$5000,0),1,,,"LM7 Non-ENG"),IF(IFERROR(VLOOKUP(B1891&amp;"ES",'LM7 Non-ENG'!$A$1:$A$4999,1,FALSE),"ERROR")=B1891&amp;"ES","Y","")),"")</f>
        <v/>
      </c>
      <c r="H1891" s="29" t="str">
        <f>IFERROR(HYPERLINK("#"&amp;ADDRESS(MATCH(B1891&amp;"PT",'LM7 Non-ENG'!$A$1:$A$5000,0),1,,,"LM7 Non-ENG"),IF(IFERROR(VLOOKUP(B1891&amp;"PT",'LM7 Non-ENG'!$A$1:$A$5000,1,FALSE),"ERROR")=B1891&amp;"PT","Y","")),"")</f>
        <v/>
      </c>
      <c r="I1891" t="str">
        <f>IFERROR(VLOOKUP(B1891,PN!$A:$C,3,FALSE),"")</f>
        <v>Active</v>
      </c>
      <c r="J1891" s="3">
        <f>IFERROR(E1891*VLOOKUP(B1891,PLInter!$A:$D,3,FALSE),"")</f>
        <v>125</v>
      </c>
      <c r="K1891" s="66"/>
      <c r="L1891" s="66"/>
      <c r="M1891" s="66"/>
      <c r="N1891" s="66"/>
      <c r="O1891" s="66"/>
      <c r="P1891" s="66"/>
      <c r="Q1891" s="66"/>
      <c r="R1891" s="66"/>
      <c r="S1891" s="66"/>
    </row>
    <row r="1892" spans="1:19" ht="18" customHeight="1">
      <c r="B1892" t="s">
        <v>236</v>
      </c>
      <c r="C1892" t="s">
        <v>626</v>
      </c>
      <c r="D1892" s="4"/>
      <c r="E1892" s="4">
        <v>1</v>
      </c>
      <c r="F1892" s="4"/>
      <c r="G1892" s="29" t="str">
        <f>IFERROR(HYPERLINK("#"&amp;ADDRESS(MATCH(B1892&amp;"ES",'LM7 Non-ENG'!$A$1:$A$5000,0),1,,,"LM7 Non-ENG"),IF(IFERROR(VLOOKUP(B1892&amp;"ES",'LM7 Non-ENG'!$A$1:$A$4999,1,FALSE),"ERROR")=B1892&amp;"ES","Y","")),"")</f>
        <v/>
      </c>
      <c r="H1892" s="29" t="str">
        <f>IFERROR(HYPERLINK("#"&amp;ADDRESS(MATCH(B1892&amp;"PT",'LM7 Non-ENG'!$A$1:$A$5000,0),1,,,"LM7 Non-ENG"),IF(IFERROR(VLOOKUP(B1892&amp;"PT",'LM7 Non-ENG'!$A$1:$A$5000,1,FALSE),"ERROR")=B1892&amp;"PT","Y","")),"")</f>
        <v/>
      </c>
      <c r="I1892" t="str">
        <f>IFERROR(VLOOKUP(B1892,PN!$A:$C,3,FALSE),"")</f>
        <v>Active</v>
      </c>
      <c r="J1892" s="3">
        <f>IFERROR(E1892*VLOOKUP(B1892,PLInter!$A:$D,3,FALSE),"")</f>
        <v>1680</v>
      </c>
      <c r="K1892" s="66"/>
      <c r="L1892" s="66"/>
      <c r="M1892" s="66"/>
      <c r="N1892" s="66"/>
      <c r="O1892" s="66"/>
      <c r="P1892" s="66"/>
      <c r="Q1892" s="66"/>
      <c r="R1892" s="66"/>
      <c r="S1892" s="66"/>
    </row>
    <row r="1893" spans="1:19" ht="18" customHeight="1">
      <c r="B1893" t="s">
        <v>941</v>
      </c>
      <c r="C1893" t="s">
        <v>942</v>
      </c>
      <c r="D1893" s="4"/>
      <c r="E1893" s="4">
        <v>1</v>
      </c>
      <c r="F1893" s="4"/>
      <c r="G1893" s="29" t="str">
        <f>IFERROR(HYPERLINK("#"&amp;ADDRESS(MATCH(B1893&amp;"ES",'LM7 Non-ENG'!$A$1:$A$5000,0),1,,,"LM7 Non-ENG"),IF(IFERROR(VLOOKUP(B1893&amp;"ES",'LM7 Non-ENG'!$A$1:$A$4999,1,FALSE),"ERROR")=B1893&amp;"ES","Y","")),"")</f>
        <v/>
      </c>
      <c r="H1893" s="29" t="str">
        <f>IFERROR(HYPERLINK("#"&amp;ADDRESS(MATCH(B1893&amp;"PT",'LM7 Non-ENG'!$A$1:$A$5000,0),1,,,"LM7 Non-ENG"),IF(IFERROR(VLOOKUP(B1893&amp;"PT",'LM7 Non-ENG'!$A$1:$A$5000,1,FALSE),"ERROR")=B1893&amp;"PT","Y","")),"")</f>
        <v/>
      </c>
      <c r="I1893" t="str">
        <f>IFERROR(VLOOKUP(B1893,PN!$A:$C,3,FALSE),"")</f>
        <v>Active</v>
      </c>
      <c r="J1893" s="3">
        <f>IFERROR(E1893*VLOOKUP(B1893,PLInter!$A:$D,3,FALSE),"")</f>
        <v>427</v>
      </c>
      <c r="K1893" s="66"/>
      <c r="L1893" s="66"/>
      <c r="M1893" s="66"/>
      <c r="N1893" s="66"/>
      <c r="O1893" s="66"/>
      <c r="P1893" s="66"/>
      <c r="Q1893" s="66"/>
      <c r="R1893" s="66"/>
      <c r="S1893" s="66"/>
    </row>
    <row r="1894" spans="1:19" ht="18" customHeight="1">
      <c r="B1894" t="s">
        <v>914</v>
      </c>
      <c r="C1894" t="s">
        <v>915</v>
      </c>
      <c r="D1894" s="4"/>
      <c r="E1894" s="4">
        <v>2</v>
      </c>
      <c r="F1894" s="4"/>
      <c r="G1894" s="29" t="str">
        <f>IFERROR(HYPERLINK("#"&amp;ADDRESS(MATCH(B1894&amp;"ES",'LM7 Non-ENG'!$A$1:$A$5000,0),1,,,"LM7 Non-ENG"),IF(IFERROR(VLOOKUP(B1894&amp;"ES",'LM7 Non-ENG'!$A$1:$A$4999,1,FALSE),"ERROR")=B1894&amp;"ES","Y","")),"")</f>
        <v/>
      </c>
      <c r="H1894" s="29" t="str">
        <f>IFERROR(HYPERLINK("#"&amp;ADDRESS(MATCH(B1894&amp;"PT",'LM7 Non-ENG'!$A$1:$A$5000,0),1,,,"LM7 Non-ENG"),IF(IFERROR(VLOOKUP(B1894&amp;"PT",'LM7 Non-ENG'!$A$1:$A$5000,1,FALSE),"ERROR")=B1894&amp;"PT","Y","")),"")</f>
        <v/>
      </c>
      <c r="I1894" t="str">
        <f>IFERROR(VLOOKUP(B1894,PN!$A:$C,3,FALSE),"")</f>
        <v>Active</v>
      </c>
      <c r="J1894" s="3">
        <f>IFERROR(E1894*VLOOKUP(B1894,PLInter!$A:$D,3,FALSE),"")</f>
        <v>268</v>
      </c>
      <c r="K1894" s="66"/>
      <c r="L1894" s="66"/>
      <c r="M1894" s="66"/>
      <c r="N1894" s="66"/>
      <c r="O1894" s="66"/>
      <c r="P1894" s="66"/>
      <c r="Q1894" s="66"/>
      <c r="R1894" s="66"/>
      <c r="S1894" s="66"/>
    </row>
    <row r="1895" spans="1:19" ht="18" customHeight="1">
      <c r="B1895" t="s">
        <v>684</v>
      </c>
      <c r="C1895" t="s">
        <v>685</v>
      </c>
      <c r="D1895" s="4"/>
      <c r="E1895" s="4">
        <v>1</v>
      </c>
      <c r="F1895" s="4"/>
      <c r="G1895" s="29" t="str">
        <f>IFERROR(HYPERLINK("#"&amp;ADDRESS(MATCH(B1895&amp;"ES",'LM7 Non-ENG'!$A$1:$A$5000,0),1,,,"LM7 Non-ENG"),IF(IFERROR(VLOOKUP(B1895&amp;"ES",'LM7 Non-ENG'!$A$1:$A$4999,1,FALSE),"ERROR")=B1895&amp;"ES","Y","")),"")</f>
        <v/>
      </c>
      <c r="H1895" s="29" t="str">
        <f>IFERROR(HYPERLINK("#"&amp;ADDRESS(MATCH(B1895&amp;"PT",'LM7 Non-ENG'!$A$1:$A$5000,0),1,,,"LM7 Non-ENG"),IF(IFERROR(VLOOKUP(B1895&amp;"PT",'LM7 Non-ENG'!$A$1:$A$5000,1,FALSE),"ERROR")=B1895&amp;"PT","Y","")),"")</f>
        <v/>
      </c>
      <c r="I1895" t="str">
        <f>IFERROR(VLOOKUP(B1895,PN!$A:$C,3,FALSE),"")</f>
        <v>Active</v>
      </c>
      <c r="J1895" s="3">
        <f>IFERROR(E1895*VLOOKUP(B1895,PLInter!$A:$D,3,FALSE),"")</f>
        <v>580</v>
      </c>
      <c r="K1895" s="66"/>
      <c r="L1895" s="66"/>
      <c r="M1895" s="66"/>
      <c r="N1895" s="66"/>
      <c r="O1895" s="66"/>
      <c r="P1895" s="66"/>
      <c r="Q1895" s="66"/>
      <c r="R1895" s="66"/>
      <c r="S1895" s="66"/>
    </row>
    <row r="1896" spans="1:19" ht="18" customHeight="1">
      <c r="B1896" t="str">
        <f>"021172"</f>
        <v>021172</v>
      </c>
      <c r="C1896" t="s">
        <v>916</v>
      </c>
      <c r="D1896" s="4"/>
      <c r="E1896" s="4">
        <v>1</v>
      </c>
      <c r="F1896" s="4"/>
      <c r="G1896" s="29" t="str">
        <f>IFERROR(HYPERLINK("#"&amp;ADDRESS(MATCH(B1896&amp;"ES",'LM7 Non-ENG'!$A$1:$A$5000,0),1,,,"LM7 Non-ENG"),IF(IFERROR(VLOOKUP(B1896&amp;"ES",'LM7 Non-ENG'!$A$1:$A$4999,1,FALSE),"ERROR")=B1896&amp;"ES","Y","")),"")</f>
        <v/>
      </c>
      <c r="H1896" s="29" t="str">
        <f>IFERROR(HYPERLINK("#"&amp;ADDRESS(MATCH(B1896&amp;"PT",'LM7 Non-ENG'!$A$1:$A$5000,0),1,,,"LM7 Non-ENG"),IF(IFERROR(VLOOKUP(B1896&amp;"PT",'LM7 Non-ENG'!$A$1:$A$5000,1,FALSE),"ERROR")=B1896&amp;"PT","Y","")),"")</f>
        <v/>
      </c>
      <c r="I1896" t="str">
        <f>IFERROR(VLOOKUP(B1896,PN!$A:$C,3,FALSE),"")</f>
        <v>Active</v>
      </c>
      <c r="J1896" s="3">
        <f>IFERROR(E1896*VLOOKUP(B1896,PLInter!$A:$D,3,FALSE),"")</f>
        <v>40</v>
      </c>
      <c r="K1896" s="66"/>
      <c r="L1896" s="66"/>
      <c r="M1896" s="66"/>
      <c r="N1896" s="66"/>
      <c r="O1896" s="66"/>
      <c r="P1896" s="66"/>
      <c r="Q1896" s="66"/>
      <c r="R1896" s="66"/>
      <c r="S1896" s="66"/>
    </row>
    <row r="1897" spans="1:19" ht="18" customHeight="1">
      <c r="B1897" t="s">
        <v>998</v>
      </c>
      <c r="C1897" t="s">
        <v>999</v>
      </c>
      <c r="D1897" s="4"/>
      <c r="E1897" s="4">
        <v>1</v>
      </c>
      <c r="F1897" s="4"/>
      <c r="G1897" s="29" t="str">
        <f>IFERROR(HYPERLINK("#"&amp;ADDRESS(MATCH(B1897&amp;"ES",'LM7 Non-ENG'!$A$1:$A$5000,0),1,,,"LM7 Non-ENG"),IF(IFERROR(VLOOKUP(B1897&amp;"ES",'LM7 Non-ENG'!$A$1:$A$4999,1,FALSE),"ERROR")=B1897&amp;"ES","Y","")),"")</f>
        <v/>
      </c>
      <c r="H1897" s="29" t="str">
        <f>IFERROR(HYPERLINK("#"&amp;ADDRESS(MATCH(B1897&amp;"PT",'LM7 Non-ENG'!$A$1:$A$5000,0),1,,,"LM7 Non-ENG"),IF(IFERROR(VLOOKUP(B1897&amp;"PT",'LM7 Non-ENG'!$A$1:$A$5000,1,FALSE),"ERROR")=B1897&amp;"PT","Y","")),"")</f>
        <v/>
      </c>
      <c r="I1897" t="str">
        <f>IFERROR(VLOOKUP(B1897,PN!$A:$C,3,FALSE),"")</f>
        <v>Active</v>
      </c>
      <c r="J1897" s="3">
        <f>IFERROR(E1897*VLOOKUP(B1897,PLInter!$A:$D,3,FALSE),"")</f>
        <v>4195</v>
      </c>
      <c r="K1897" s="66"/>
      <c r="L1897" s="66"/>
      <c r="M1897" s="66"/>
      <c r="N1897" s="66"/>
      <c r="O1897" s="66"/>
      <c r="P1897" s="66"/>
      <c r="Q1897" s="66"/>
      <c r="R1897" s="66"/>
      <c r="S1897" s="66"/>
    </row>
    <row r="1898" spans="1:19" ht="18" customHeight="1">
      <c r="B1898" t="str">
        <f>"113316"</f>
        <v>113316</v>
      </c>
      <c r="C1898" t="s">
        <v>979</v>
      </c>
      <c r="D1898" s="4"/>
      <c r="E1898" s="4">
        <v>1</v>
      </c>
      <c r="F1898" s="4"/>
      <c r="G1898" s="29" t="str">
        <f>IFERROR(HYPERLINK("#"&amp;ADDRESS(MATCH(B1898&amp;"ES",'LM7 Non-ENG'!$A$1:$A$5000,0),1,,,"LM7 Non-ENG"),IF(IFERROR(VLOOKUP(B1898&amp;"ES",'LM7 Non-ENG'!$A$1:$A$4999,1,FALSE),"ERROR")=B1898&amp;"ES","Y","")),"")</f>
        <v/>
      </c>
      <c r="H1898" s="29" t="str">
        <f>IFERROR(HYPERLINK("#"&amp;ADDRESS(MATCH(B1898&amp;"PT",'LM7 Non-ENG'!$A$1:$A$5000,0),1,,,"LM7 Non-ENG"),IF(IFERROR(VLOOKUP(B1898&amp;"PT",'LM7 Non-ENG'!$A$1:$A$5000,1,FALSE),"ERROR")=B1898&amp;"PT","Y","")),"")</f>
        <v/>
      </c>
      <c r="I1898" t="str">
        <f>IFERROR(VLOOKUP(B1898,PN!$A:$C,3,FALSE),"")</f>
        <v>Active</v>
      </c>
      <c r="J1898" s="3">
        <f>IFERROR(E1898*VLOOKUP(B1898,PLInter!$A:$D,3,FALSE),"")</f>
        <v>20</v>
      </c>
      <c r="K1898" s="66"/>
      <c r="L1898" s="66"/>
      <c r="M1898" s="66"/>
      <c r="N1898" s="66"/>
      <c r="O1898" s="66"/>
      <c r="P1898" s="66"/>
      <c r="Q1898" s="66"/>
      <c r="R1898" s="66"/>
      <c r="S1898" s="66"/>
    </row>
    <row r="1899" spans="1:19" ht="18" customHeight="1">
      <c r="B1899" t="str">
        <f>"112713"</f>
        <v>112713</v>
      </c>
      <c r="C1899" t="s">
        <v>944</v>
      </c>
      <c r="D1899" s="4"/>
      <c r="E1899" s="4">
        <v>1</v>
      </c>
      <c r="F1899" s="4"/>
      <c r="G1899" s="29" t="str">
        <f>IFERROR(HYPERLINK("#"&amp;ADDRESS(MATCH(B1899&amp;"ES",'LM7 Non-ENG'!$A$1:$A$5000,0),1,,,"LM7 Non-ENG"),IF(IFERROR(VLOOKUP(B1899&amp;"ES",'LM7 Non-ENG'!$A$1:$A$4999,1,FALSE),"ERROR")=B1899&amp;"ES","Y","")),"")</f>
        <v/>
      </c>
      <c r="H1899" s="29" t="str">
        <f>IFERROR(HYPERLINK("#"&amp;ADDRESS(MATCH(B1899&amp;"PT",'LM7 Non-ENG'!$A$1:$A$5000,0),1,,,"LM7 Non-ENG"),IF(IFERROR(VLOOKUP(B1899&amp;"PT",'LM7 Non-ENG'!$A$1:$A$5000,1,FALSE),"ERROR")=B1899&amp;"PT","Y","")),"")</f>
        <v/>
      </c>
      <c r="I1899" t="str">
        <f>IFERROR(VLOOKUP(B1899,PN!$A:$C,3,FALSE),"")</f>
        <v>Active</v>
      </c>
      <c r="J1899" s="3">
        <f>IFERROR(E1899*VLOOKUP(B1899,PLInter!$A:$D,3,FALSE),"")</f>
        <v>100</v>
      </c>
      <c r="K1899" s="66"/>
      <c r="L1899" s="66"/>
      <c r="M1899" s="66"/>
      <c r="N1899" s="66"/>
      <c r="O1899" s="66"/>
      <c r="P1899" s="66"/>
      <c r="Q1899" s="66"/>
      <c r="R1899" s="66"/>
      <c r="S1899" s="66"/>
    </row>
    <row r="1900" spans="1:19" ht="18" customHeight="1">
      <c r="B1900" t="str">
        <f>"113096"</f>
        <v>113096</v>
      </c>
      <c r="C1900" t="s">
        <v>943</v>
      </c>
      <c r="D1900" s="4"/>
      <c r="E1900" s="4">
        <v>1</v>
      </c>
      <c r="F1900" s="4"/>
      <c r="G1900" s="29" t="str">
        <f>IFERROR(HYPERLINK("#"&amp;ADDRESS(MATCH(B1900&amp;"ES",'LM7 Non-ENG'!$A$1:$A$5000,0),1,,,"LM7 Non-ENG"),IF(IFERROR(VLOOKUP(B1900&amp;"ES",'LM7 Non-ENG'!$A$1:$A$4999,1,FALSE),"ERROR")=B1900&amp;"ES","Y","")),"")</f>
        <v/>
      </c>
      <c r="H1900" s="29" t="str">
        <f>IFERROR(HYPERLINK("#"&amp;ADDRESS(MATCH(B1900&amp;"PT",'LM7 Non-ENG'!$A$1:$A$5000,0),1,,,"LM7 Non-ENG"),IF(IFERROR(VLOOKUP(B1900&amp;"PT",'LM7 Non-ENG'!$A$1:$A$5000,1,FALSE),"ERROR")=B1900&amp;"PT","Y","")),"")</f>
        <v/>
      </c>
      <c r="I1900" t="str">
        <f>IFERROR(VLOOKUP(B1900,PN!$A:$C,3,FALSE),"")</f>
        <v>Active</v>
      </c>
      <c r="J1900" s="3">
        <f>IFERROR(E1900*VLOOKUP(B1900,PLInter!$A:$D,3,FALSE),"")</f>
        <v>54</v>
      </c>
      <c r="K1900" s="66"/>
      <c r="L1900" s="66"/>
      <c r="M1900" s="66"/>
      <c r="N1900" s="66"/>
      <c r="O1900" s="66"/>
      <c r="P1900" s="66"/>
      <c r="Q1900" s="66"/>
      <c r="R1900" s="66"/>
      <c r="S1900" s="66"/>
    </row>
    <row r="1901" spans="1:19" ht="18" customHeight="1">
      <c r="B1901" t="s">
        <v>982</v>
      </c>
      <c r="C1901" t="s">
        <v>983</v>
      </c>
      <c r="D1901" s="4"/>
      <c r="E1901" s="4">
        <v>1</v>
      </c>
      <c r="F1901" s="4"/>
      <c r="G1901" s="29" t="str">
        <f>IFERROR(HYPERLINK("#"&amp;ADDRESS(MATCH(B1901&amp;"ES",'LM7 Non-ENG'!$A$1:$A$5000,0),1,,,"LM7 Non-ENG"),IF(IFERROR(VLOOKUP(B1901&amp;"ES",'LM7 Non-ENG'!$A$1:$A$4999,1,FALSE),"ERROR")=B1901&amp;"ES","Y","")),"")</f>
        <v/>
      </c>
      <c r="H1901" s="29" t="str">
        <f>IFERROR(HYPERLINK("#"&amp;ADDRESS(MATCH(B1901&amp;"PT",'LM7 Non-ENG'!$A$1:$A$5000,0),1,,,"LM7 Non-ENG"),IF(IFERROR(VLOOKUP(B1901&amp;"PT",'LM7 Non-ENG'!$A$1:$A$5000,1,FALSE),"ERROR")=B1901&amp;"PT","Y","")),"")</f>
        <v/>
      </c>
      <c r="I1901" t="str">
        <f>IFERROR(VLOOKUP(B1901,PN!$A:$C,3,FALSE),"")</f>
        <v>Active</v>
      </c>
      <c r="J1901" s="3">
        <f>IFERROR(E1901*VLOOKUP(B1901,PLInter!$A:$D,3,FALSE),"")</f>
        <v>3120</v>
      </c>
      <c r="K1901" s="66"/>
      <c r="L1901" s="66"/>
      <c r="M1901" s="66"/>
      <c r="N1901" s="66"/>
      <c r="O1901" s="66"/>
      <c r="P1901" s="66"/>
      <c r="Q1901" s="66"/>
      <c r="R1901" s="66"/>
      <c r="S1901" s="66"/>
    </row>
    <row r="1902" spans="1:19" ht="18" customHeight="1">
      <c r="B1902" t="str">
        <f>"113316"</f>
        <v>113316</v>
      </c>
      <c r="C1902" t="s">
        <v>979</v>
      </c>
      <c r="D1902" s="4"/>
      <c r="E1902" s="4">
        <v>1</v>
      </c>
      <c r="F1902" s="4"/>
      <c r="G1902" s="29" t="str">
        <f>IFERROR(HYPERLINK("#"&amp;ADDRESS(MATCH(B1902&amp;"ES",'LM7 Non-ENG'!$A$1:$A$5000,0),1,,,"LM7 Non-ENG"),IF(IFERROR(VLOOKUP(B1902&amp;"ES",'LM7 Non-ENG'!$A$1:$A$4999,1,FALSE),"ERROR")=B1902&amp;"ES","Y","")),"")</f>
        <v/>
      </c>
      <c r="H1902" s="29" t="str">
        <f>IFERROR(HYPERLINK("#"&amp;ADDRESS(MATCH(B1902&amp;"PT",'LM7 Non-ENG'!$A$1:$A$5000,0),1,,,"LM7 Non-ENG"),IF(IFERROR(VLOOKUP(B1902&amp;"PT",'LM7 Non-ENG'!$A$1:$A$5000,1,FALSE),"ERROR")=B1902&amp;"PT","Y","")),"")</f>
        <v/>
      </c>
      <c r="I1902" t="str">
        <f>IFERROR(VLOOKUP(B1902,PN!$A:$C,3,FALSE),"")</f>
        <v>Active</v>
      </c>
      <c r="J1902" s="3">
        <f>IFERROR(E1902*VLOOKUP(B1902,PLInter!$A:$D,3,FALSE),"")</f>
        <v>20</v>
      </c>
      <c r="K1902" s="66"/>
      <c r="L1902" s="66"/>
      <c r="M1902" s="66"/>
      <c r="N1902" s="66"/>
      <c r="O1902" s="66"/>
      <c r="P1902" s="66"/>
      <c r="Q1902" s="66"/>
      <c r="R1902" s="66"/>
      <c r="S1902" s="66"/>
    </row>
    <row r="1903" spans="1:19" ht="18" customHeight="1">
      <c r="B1903" t="s">
        <v>925</v>
      </c>
      <c r="C1903" t="s">
        <v>926</v>
      </c>
      <c r="D1903" s="4"/>
      <c r="E1903" s="4">
        <v>1</v>
      </c>
      <c r="F1903" s="4"/>
      <c r="G1903" s="29" t="str">
        <f>IFERROR(HYPERLINK("#"&amp;ADDRESS(MATCH(B1903&amp;"ES",'LM7 Non-ENG'!$A$1:$A$5000,0),1,,,"LM7 Non-ENG"),IF(IFERROR(VLOOKUP(B1903&amp;"ES",'LM7 Non-ENG'!$A$1:$A$4999,1,FALSE),"ERROR")=B1903&amp;"ES","Y","")),"")</f>
        <v/>
      </c>
      <c r="H1903" s="29" t="str">
        <f>IFERROR(HYPERLINK("#"&amp;ADDRESS(MATCH(B1903&amp;"PT",'LM7 Non-ENG'!$A$1:$A$5000,0),1,,,"LM7 Non-ENG"),IF(IFERROR(VLOOKUP(B1903&amp;"PT",'LM7 Non-ENG'!$A$1:$A$5000,1,FALSE),"ERROR")=B1903&amp;"PT","Y","")),"")</f>
        <v/>
      </c>
      <c r="I1903" t="str">
        <f>IFERROR(VLOOKUP(B1903,PN!$A:$C,3,FALSE),"")</f>
        <v>Active</v>
      </c>
      <c r="J1903" s="3">
        <f>IFERROR(E1903*VLOOKUP(B1903,PLInter!$A:$D,3,FALSE),"")</f>
        <v>2760</v>
      </c>
      <c r="K1903" s="66"/>
      <c r="L1903" s="66"/>
      <c r="M1903" s="66"/>
      <c r="N1903" s="66"/>
      <c r="O1903" s="66"/>
      <c r="P1903" s="66"/>
      <c r="Q1903" s="66"/>
      <c r="R1903" s="66"/>
      <c r="S1903" s="66"/>
    </row>
    <row r="1904" spans="1:19" ht="18" customHeight="1">
      <c r="B1904" t="s">
        <v>668</v>
      </c>
      <c r="C1904" t="s">
        <v>669</v>
      </c>
      <c r="D1904" s="4"/>
      <c r="E1904" s="4">
        <v>1</v>
      </c>
      <c r="F1904" s="4"/>
      <c r="G1904" s="29" t="str">
        <f>IFERROR(HYPERLINK("#"&amp;ADDRESS(MATCH(B1904&amp;"ES",'LM7 Non-ENG'!$A$1:$A$5000,0),1,,,"LM7 Non-ENG"),IF(IFERROR(VLOOKUP(B1904&amp;"ES",'LM7 Non-ENG'!$A$1:$A$4999,1,FALSE),"ERROR")=B1904&amp;"ES","Y","")),"")</f>
        <v/>
      </c>
      <c r="H1904" s="29" t="str">
        <f>IFERROR(HYPERLINK("#"&amp;ADDRESS(MATCH(B1904&amp;"PT",'LM7 Non-ENG'!$A$1:$A$5000,0),1,,,"LM7 Non-ENG"),IF(IFERROR(VLOOKUP(B1904&amp;"PT",'LM7 Non-ENG'!$A$1:$A$5000,1,FALSE),"ERROR")=B1904&amp;"PT","Y","")),"")</f>
        <v/>
      </c>
      <c r="I1904" t="str">
        <f>IFERROR(VLOOKUP(B1904,PN!$A:$C,3,FALSE),"")</f>
        <v>Active</v>
      </c>
      <c r="J1904" s="3">
        <f>IFERROR(E1904*VLOOKUP(B1904,PLInter!$A:$D,3,FALSE),"")</f>
        <v>480</v>
      </c>
      <c r="K1904" s="66"/>
      <c r="L1904" s="66"/>
      <c r="M1904" s="66"/>
      <c r="N1904" s="66"/>
      <c r="O1904" s="66"/>
      <c r="P1904" s="66"/>
      <c r="Q1904" s="66"/>
      <c r="R1904" s="66"/>
      <c r="S1904" s="66"/>
    </row>
    <row r="1905" spans="1:19" ht="18" customHeight="1">
      <c r="B1905" t="s">
        <v>630</v>
      </c>
      <c r="C1905" t="s">
        <v>631</v>
      </c>
      <c r="D1905" s="4"/>
      <c r="E1905" s="4">
        <v>1</v>
      </c>
      <c r="F1905" s="4"/>
      <c r="G1905" s="29" t="str">
        <f>IFERROR(HYPERLINK("#"&amp;ADDRESS(MATCH(B1905&amp;"ES",'LM7 Non-ENG'!$A$1:$A$5000,0),1,,,"LM7 Non-ENG"),IF(IFERROR(VLOOKUP(B1905&amp;"ES",'LM7 Non-ENG'!$A$1:$A$4999,1,FALSE),"ERROR")=B1905&amp;"ES","Y","")),"")</f>
        <v/>
      </c>
      <c r="H1905" s="29" t="str">
        <f>IFERROR(HYPERLINK("#"&amp;ADDRESS(MATCH(B1905&amp;"PT",'LM7 Non-ENG'!$A$1:$A$5000,0),1,,,"LM7 Non-ENG"),IF(IFERROR(VLOOKUP(B1905&amp;"PT",'LM7 Non-ENG'!$A$1:$A$5000,1,FALSE),"ERROR")=B1905&amp;"PT","Y","")),"")</f>
        <v/>
      </c>
      <c r="I1905" t="str">
        <f>IFERROR(VLOOKUP(B1905,PN!$A:$C,3,FALSE),"")</f>
        <v>Active</v>
      </c>
      <c r="J1905" s="3">
        <f>IFERROR(E1905*VLOOKUP(B1905,PLInter!$A:$D,3,FALSE),"")</f>
        <v>1735</v>
      </c>
      <c r="K1905" s="66"/>
      <c r="L1905" s="66"/>
      <c r="M1905" s="66"/>
      <c r="N1905" s="66"/>
      <c r="O1905" s="66"/>
      <c r="P1905" s="66"/>
      <c r="Q1905" s="66"/>
      <c r="R1905" s="66"/>
      <c r="S1905" s="66"/>
    </row>
    <row r="1907" spans="1:19" s="7" customFormat="1" ht="18" customHeight="1">
      <c r="A1907" s="13" t="s">
        <v>1038</v>
      </c>
      <c r="B1907" s="13"/>
      <c r="C1907" s="13" t="s">
        <v>1039</v>
      </c>
      <c r="D1907" s="14"/>
      <c r="E1907" s="14"/>
      <c r="F1907" s="14"/>
      <c r="G1907" s="14"/>
      <c r="H1907" s="14"/>
      <c r="I1907" s="14"/>
      <c r="J1907" s="14">
        <f>SUMIFS(J1908:J1926,D1908:D1926,"&lt;&gt;Y",F1908:F1926,"&lt;&gt;Y",I1908:I1926,"&lt;&gt;Inactive",I1908:I1926,"&lt;&gt;ECO+NFS")</f>
        <v>46272</v>
      </c>
      <c r="K1907" s="14"/>
      <c r="L1907" s="14"/>
      <c r="M1907" s="14"/>
      <c r="N1907" s="14"/>
      <c r="O1907" s="14"/>
      <c r="P1907" s="14"/>
      <c r="Q1907" s="14"/>
      <c r="R1907" s="14"/>
      <c r="S1907" s="14"/>
    </row>
    <row r="1908" spans="1:19" ht="18" customHeight="1">
      <c r="A1908" s="17" t="str">
        <f>HYPERLINK("#"&amp;ADDRESS(MATCH(A1907,'CIM&amp;FMS'!$A$1:$A$4997,0),1,,,"CIM&amp;FMS"),"Back to Price List")</f>
        <v>Back to Price List</v>
      </c>
      <c r="B1908" t="s">
        <v>214</v>
      </c>
      <c r="C1908" t="s">
        <v>654</v>
      </c>
      <c r="D1908" s="4"/>
      <c r="E1908" s="4">
        <v>1</v>
      </c>
      <c r="F1908" s="4"/>
      <c r="G1908" s="29" t="str">
        <f>IFERROR(HYPERLINK("#"&amp;ADDRESS(MATCH(B1908&amp;"ES",'LM7 Non-ENG'!$A$1:$A$5000,0),1,,,"LM7 Non-ENG"),IF(IFERROR(VLOOKUP(B1908&amp;"ES",'LM7 Non-ENG'!$A$1:$A$4999,1,FALSE),"ERROR")=B1908&amp;"ES","Y","")),"")</f>
        <v/>
      </c>
      <c r="H1908" s="29" t="str">
        <f>IFERROR(HYPERLINK("#"&amp;ADDRESS(MATCH(B1908&amp;"PT",'LM7 Non-ENG'!$A$1:$A$5000,0),1,,,"LM7 Non-ENG"),IF(IFERROR(VLOOKUP(B1908&amp;"PT",'LM7 Non-ENG'!$A$1:$A$5000,1,FALSE),"ERROR")=B1908&amp;"PT","Y","")),"")</f>
        <v/>
      </c>
      <c r="I1908" t="str">
        <f>IFERROR(VLOOKUP(B1908,PN!$A:$C,3,FALSE),"")</f>
        <v>Active</v>
      </c>
      <c r="J1908" s="3">
        <f>IFERROR(E1908*VLOOKUP(B1908,PLInter!$A:$D,3,FALSE),"")</f>
        <v>24000</v>
      </c>
      <c r="K1908" s="66"/>
      <c r="L1908" s="66"/>
      <c r="M1908" s="66"/>
      <c r="N1908" s="66"/>
      <c r="O1908" s="66"/>
      <c r="P1908" s="66"/>
      <c r="Q1908" s="66"/>
      <c r="R1908" s="66"/>
      <c r="S1908" s="66"/>
    </row>
    <row r="1909" spans="1:19" ht="18" customHeight="1">
      <c r="B1909" t="s">
        <v>228</v>
      </c>
      <c r="C1909" t="s">
        <v>655</v>
      </c>
      <c r="D1909" s="4"/>
      <c r="E1909" s="4">
        <v>1</v>
      </c>
      <c r="F1909" s="4"/>
      <c r="G1909" s="29" t="str">
        <f>IFERROR(HYPERLINK("#"&amp;ADDRESS(MATCH(B1909&amp;"ES",'LM7 Non-ENG'!$A$1:$A$5000,0),1,,,"LM7 Non-ENG"),IF(IFERROR(VLOOKUP(B1909&amp;"ES",'LM7 Non-ENG'!$A$1:$A$4999,1,FALSE),"ERROR")=B1909&amp;"ES","Y","")),"")</f>
        <v/>
      </c>
      <c r="H1909" s="29" t="str">
        <f>IFERROR(HYPERLINK("#"&amp;ADDRESS(MATCH(B1909&amp;"PT",'LM7 Non-ENG'!$A$1:$A$5000,0),1,,,"LM7 Non-ENG"),IF(IFERROR(VLOOKUP(B1909&amp;"PT",'LM7 Non-ENG'!$A$1:$A$5000,1,FALSE),"ERROR")=B1909&amp;"PT","Y","")),"")</f>
        <v/>
      </c>
      <c r="I1909" t="str">
        <f>IFERROR(VLOOKUP(B1909,PN!$A:$C,3,FALSE),"")</f>
        <v>Active</v>
      </c>
      <c r="J1909" s="3">
        <f>IFERROR(E1909*VLOOKUP(B1909,PLInter!$A:$D,3,FALSE),"")</f>
        <v>2134</v>
      </c>
      <c r="K1909" s="66"/>
      <c r="L1909" s="66"/>
      <c r="M1909" s="66"/>
      <c r="N1909" s="66"/>
      <c r="O1909" s="66"/>
      <c r="P1909" s="66"/>
      <c r="Q1909" s="66"/>
      <c r="R1909" s="66"/>
      <c r="S1909" s="66"/>
    </row>
    <row r="1910" spans="1:19" ht="18" customHeight="1">
      <c r="B1910" s="2" t="s">
        <v>227</v>
      </c>
      <c r="C1910" s="2" t="s">
        <v>232</v>
      </c>
      <c r="D1910" s="5"/>
      <c r="E1910" s="5">
        <v>1</v>
      </c>
      <c r="F1910" s="5" t="s">
        <v>0</v>
      </c>
      <c r="G1910" s="29" t="str">
        <f>IFERROR(HYPERLINK("#"&amp;ADDRESS(MATCH(B1910&amp;"ES",'LM7 Non-ENG'!$A$1:$A$5000,0),1,,,"LM7 Non-ENG"),IF(IFERROR(VLOOKUP(B1910&amp;"ES",'LM7 Non-ENG'!$A$1:$A$4999,1,FALSE),"ERROR")=B1910&amp;"ES","Y","")),"")</f>
        <v/>
      </c>
      <c r="H1910" s="29" t="str">
        <f>IFERROR(HYPERLINK("#"&amp;ADDRESS(MATCH(B1910&amp;"PT",'LM7 Non-ENG'!$A$1:$A$5000,0),1,,,"LM7 Non-ENG"),IF(IFERROR(VLOOKUP(B1910&amp;"PT",'LM7 Non-ENG'!$A$1:$A$5000,1,FALSE),"ERROR")=B1910&amp;"PT","Y","")),"")</f>
        <v/>
      </c>
      <c r="I1910" t="str">
        <f>IFERROR(VLOOKUP(B1910,PN!$A:$C,3,FALSE),"")</f>
        <v>Active</v>
      </c>
      <c r="J1910" s="3">
        <f>IFERROR(E1910*VLOOKUP(B1910,PLInter!$A:$D,3,FALSE),"")</f>
        <v>1700</v>
      </c>
      <c r="K1910" s="66"/>
      <c r="L1910" s="66"/>
      <c r="M1910" s="66"/>
      <c r="N1910" s="66"/>
      <c r="O1910" s="66"/>
      <c r="P1910" s="66"/>
      <c r="Q1910" s="66"/>
      <c r="R1910" s="66"/>
      <c r="S1910" s="66"/>
    </row>
    <row r="1911" spans="1:19" ht="18" customHeight="1">
      <c r="B1911" t="s">
        <v>236</v>
      </c>
      <c r="C1911" t="s">
        <v>626</v>
      </c>
      <c r="D1911" s="4"/>
      <c r="E1911" s="4">
        <v>1</v>
      </c>
      <c r="F1911" s="4"/>
      <c r="G1911" s="29" t="str">
        <f>IFERROR(HYPERLINK("#"&amp;ADDRESS(MATCH(B1911&amp;"ES",'LM7 Non-ENG'!$A$1:$A$5000,0),1,,,"LM7 Non-ENG"),IF(IFERROR(VLOOKUP(B1911&amp;"ES",'LM7 Non-ENG'!$A$1:$A$4999,1,FALSE),"ERROR")=B1911&amp;"ES","Y","")),"")</f>
        <v/>
      </c>
      <c r="H1911" s="29" t="str">
        <f>IFERROR(HYPERLINK("#"&amp;ADDRESS(MATCH(B1911&amp;"PT",'LM7 Non-ENG'!$A$1:$A$5000,0),1,,,"LM7 Non-ENG"),IF(IFERROR(VLOOKUP(B1911&amp;"PT",'LM7 Non-ENG'!$A$1:$A$5000,1,FALSE),"ERROR")=B1911&amp;"PT","Y","")),"")</f>
        <v/>
      </c>
      <c r="I1911" t="str">
        <f>IFERROR(VLOOKUP(B1911,PN!$A:$C,3,FALSE),"")</f>
        <v>Active</v>
      </c>
      <c r="J1911" s="3">
        <f>IFERROR(E1911*VLOOKUP(B1911,PLInter!$A:$D,3,FALSE),"")</f>
        <v>1680</v>
      </c>
      <c r="K1911" s="66"/>
      <c r="L1911" s="66"/>
      <c r="M1911" s="66"/>
      <c r="N1911" s="66"/>
      <c r="O1911" s="66"/>
      <c r="P1911" s="66"/>
      <c r="Q1911" s="66"/>
      <c r="R1911" s="66"/>
      <c r="S1911" s="66"/>
    </row>
    <row r="1912" spans="1:19" ht="18" customHeight="1">
      <c r="B1912" t="str">
        <f>"034025"</f>
        <v>034025</v>
      </c>
      <c r="C1912" t="s">
        <v>777</v>
      </c>
      <c r="D1912" s="4"/>
      <c r="E1912" s="4">
        <v>1</v>
      </c>
      <c r="F1912" s="4"/>
      <c r="G1912" s="29" t="str">
        <f>IFERROR(HYPERLINK("#"&amp;ADDRESS(MATCH(B1912&amp;"ES",'LM7 Non-ENG'!$A$1:$A$5000,0),1,,,"LM7 Non-ENG"),IF(IFERROR(VLOOKUP(B1912&amp;"ES",'LM7 Non-ENG'!$A$1:$A$4999,1,FALSE),"ERROR")=B1912&amp;"ES","Y","")),"")</f>
        <v/>
      </c>
      <c r="H1912" s="29" t="str">
        <f>IFERROR(HYPERLINK("#"&amp;ADDRESS(MATCH(B1912&amp;"PT",'LM7 Non-ENG'!$A$1:$A$5000,0),1,,,"LM7 Non-ENG"),IF(IFERROR(VLOOKUP(B1912&amp;"PT",'LM7 Non-ENG'!$A$1:$A$5000,1,FALSE),"ERROR")=B1912&amp;"PT","Y","")),"")</f>
        <v/>
      </c>
      <c r="I1912" t="str">
        <f>IFERROR(VLOOKUP(B1912,PN!$A:$C,3,FALSE),"")</f>
        <v>Active</v>
      </c>
      <c r="J1912" s="3">
        <f>IFERROR(E1912*VLOOKUP(B1912,PLInter!$A:$D,3,FALSE),"")</f>
        <v>1267</v>
      </c>
      <c r="K1912" s="66"/>
      <c r="L1912" s="66"/>
      <c r="M1912" s="66"/>
      <c r="N1912" s="66"/>
      <c r="O1912" s="66"/>
      <c r="P1912" s="66"/>
      <c r="Q1912" s="66"/>
      <c r="R1912" s="66"/>
      <c r="S1912" s="66"/>
    </row>
    <row r="1913" spans="1:19" ht="18" customHeight="1">
      <c r="B1913" t="s">
        <v>914</v>
      </c>
      <c r="C1913" t="s">
        <v>915</v>
      </c>
      <c r="D1913" s="4"/>
      <c r="E1913" s="4">
        <v>3</v>
      </c>
      <c r="F1913" s="4"/>
      <c r="G1913" s="29" t="str">
        <f>IFERROR(HYPERLINK("#"&amp;ADDRESS(MATCH(B1913&amp;"ES",'LM7 Non-ENG'!$A$1:$A$5000,0),1,,,"LM7 Non-ENG"),IF(IFERROR(VLOOKUP(B1913&amp;"ES",'LM7 Non-ENG'!$A$1:$A$4999,1,FALSE),"ERROR")=B1913&amp;"ES","Y","")),"")</f>
        <v/>
      </c>
      <c r="H1913" s="29" t="str">
        <f>IFERROR(HYPERLINK("#"&amp;ADDRESS(MATCH(B1913&amp;"PT",'LM7 Non-ENG'!$A$1:$A$5000,0),1,,,"LM7 Non-ENG"),IF(IFERROR(VLOOKUP(B1913&amp;"PT",'LM7 Non-ENG'!$A$1:$A$5000,1,FALSE),"ERROR")=B1913&amp;"PT","Y","")),"")</f>
        <v/>
      </c>
      <c r="I1913" t="str">
        <f>IFERROR(VLOOKUP(B1913,PN!$A:$C,3,FALSE),"")</f>
        <v>Active</v>
      </c>
      <c r="J1913" s="3">
        <f>IFERROR(E1913*VLOOKUP(B1913,PLInter!$A:$D,3,FALSE),"")</f>
        <v>402</v>
      </c>
      <c r="K1913" s="66"/>
      <c r="L1913" s="66"/>
      <c r="M1913" s="66"/>
      <c r="N1913" s="66"/>
      <c r="O1913" s="66"/>
      <c r="P1913" s="66"/>
      <c r="Q1913" s="66"/>
      <c r="R1913" s="66"/>
      <c r="S1913" s="66"/>
    </row>
    <row r="1914" spans="1:19" ht="18" customHeight="1">
      <c r="B1914" t="s">
        <v>684</v>
      </c>
      <c r="C1914" t="s">
        <v>685</v>
      </c>
      <c r="D1914" s="4"/>
      <c r="E1914" s="4">
        <v>2</v>
      </c>
      <c r="F1914" s="4"/>
      <c r="G1914" s="29" t="str">
        <f>IFERROR(HYPERLINK("#"&amp;ADDRESS(MATCH(B1914&amp;"ES",'LM7 Non-ENG'!$A$1:$A$5000,0),1,,,"LM7 Non-ENG"),IF(IFERROR(VLOOKUP(B1914&amp;"ES",'LM7 Non-ENG'!$A$1:$A$4999,1,FALSE),"ERROR")=B1914&amp;"ES","Y","")),"")</f>
        <v/>
      </c>
      <c r="H1914" s="29" t="str">
        <f>IFERROR(HYPERLINK("#"&amp;ADDRESS(MATCH(B1914&amp;"PT",'LM7 Non-ENG'!$A$1:$A$5000,0),1,,,"LM7 Non-ENG"),IF(IFERROR(VLOOKUP(B1914&amp;"PT",'LM7 Non-ENG'!$A$1:$A$5000,1,FALSE),"ERROR")=B1914&amp;"PT","Y","")),"")</f>
        <v/>
      </c>
      <c r="I1914" t="str">
        <f>IFERROR(VLOOKUP(B1914,PN!$A:$C,3,FALSE),"")</f>
        <v>Active</v>
      </c>
      <c r="J1914" s="3">
        <f>IFERROR(E1914*VLOOKUP(B1914,PLInter!$A:$D,3,FALSE),"")</f>
        <v>1160</v>
      </c>
      <c r="K1914" s="66"/>
      <c r="L1914" s="66"/>
      <c r="M1914" s="66"/>
      <c r="N1914" s="66"/>
      <c r="O1914" s="66"/>
      <c r="P1914" s="66"/>
      <c r="Q1914" s="66"/>
      <c r="R1914" s="66"/>
      <c r="S1914" s="66"/>
    </row>
    <row r="1915" spans="1:19" ht="18" customHeight="1">
      <c r="B1915" t="str">
        <f>"021172"</f>
        <v>021172</v>
      </c>
      <c r="C1915" t="s">
        <v>916</v>
      </c>
      <c r="D1915" s="4"/>
      <c r="E1915" s="4">
        <v>2</v>
      </c>
      <c r="F1915" s="4"/>
      <c r="G1915" s="29" t="str">
        <f>IFERROR(HYPERLINK("#"&amp;ADDRESS(MATCH(B1915&amp;"ES",'LM7 Non-ENG'!$A$1:$A$5000,0),1,,,"LM7 Non-ENG"),IF(IFERROR(VLOOKUP(B1915&amp;"ES",'LM7 Non-ENG'!$A$1:$A$4999,1,FALSE),"ERROR")=B1915&amp;"ES","Y","")),"")</f>
        <v/>
      </c>
      <c r="H1915" s="29" t="str">
        <f>IFERROR(HYPERLINK("#"&amp;ADDRESS(MATCH(B1915&amp;"PT",'LM7 Non-ENG'!$A$1:$A$5000,0),1,,,"LM7 Non-ENG"),IF(IFERROR(VLOOKUP(B1915&amp;"PT",'LM7 Non-ENG'!$A$1:$A$5000,1,FALSE),"ERROR")=B1915&amp;"PT","Y","")),"")</f>
        <v/>
      </c>
      <c r="I1915" t="str">
        <f>IFERROR(VLOOKUP(B1915,PN!$A:$C,3,FALSE),"")</f>
        <v>Active</v>
      </c>
      <c r="J1915" s="3">
        <f>IFERROR(E1915*VLOOKUP(B1915,PLInter!$A:$D,3,FALSE),"")</f>
        <v>80</v>
      </c>
      <c r="K1915" s="66"/>
      <c r="L1915" s="66"/>
      <c r="M1915" s="66"/>
      <c r="N1915" s="66"/>
      <c r="O1915" s="66"/>
      <c r="P1915" s="66"/>
      <c r="Q1915" s="66"/>
      <c r="R1915" s="66"/>
      <c r="S1915" s="66"/>
    </row>
    <row r="1916" spans="1:19" ht="18" customHeight="1">
      <c r="B1916" t="s">
        <v>241</v>
      </c>
      <c r="C1916" t="s">
        <v>976</v>
      </c>
      <c r="D1916" s="4"/>
      <c r="E1916" s="4">
        <v>1</v>
      </c>
      <c r="F1916" s="4"/>
      <c r="G1916" s="29" t="str">
        <f>IFERROR(HYPERLINK("#"&amp;ADDRESS(MATCH(B1916&amp;"ES",'LM7 Non-ENG'!$A$1:$A$5000,0),1,,,"LM7 Non-ENG"),IF(IFERROR(VLOOKUP(B1916&amp;"ES",'LM7 Non-ENG'!$A$1:$A$4999,1,FALSE),"ERROR")=B1916&amp;"ES","Y","")),"")</f>
        <v/>
      </c>
      <c r="H1916" s="29" t="str">
        <f>IFERROR(HYPERLINK("#"&amp;ADDRESS(MATCH(B1916&amp;"PT",'LM7 Non-ENG'!$A$1:$A$5000,0),1,,,"LM7 Non-ENG"),IF(IFERROR(VLOOKUP(B1916&amp;"PT",'LM7 Non-ENG'!$A$1:$A$5000,1,FALSE),"ERROR")=B1916&amp;"PT","Y","")),"")</f>
        <v/>
      </c>
      <c r="I1916" t="str">
        <f>IFERROR(VLOOKUP(B1916,PN!$A:$C,3,FALSE),"")</f>
        <v>Active</v>
      </c>
      <c r="J1916" s="3">
        <f>IFERROR(E1916*VLOOKUP(B1916,PLInter!$A:$D,3,FALSE),"")</f>
        <v>2600</v>
      </c>
      <c r="K1916" s="66"/>
      <c r="L1916" s="66"/>
      <c r="M1916" s="66"/>
      <c r="N1916" s="66"/>
      <c r="O1916" s="66"/>
      <c r="P1916" s="66"/>
      <c r="Q1916" s="66"/>
      <c r="R1916" s="66"/>
      <c r="S1916" s="66"/>
    </row>
    <row r="1917" spans="1:19" ht="18" customHeight="1">
      <c r="B1917" t="s">
        <v>977</v>
      </c>
      <c r="C1917" t="s">
        <v>978</v>
      </c>
      <c r="D1917" s="4"/>
      <c r="E1917" s="4">
        <v>1</v>
      </c>
      <c r="F1917" s="4"/>
      <c r="G1917" s="29" t="str">
        <f>IFERROR(HYPERLINK("#"&amp;ADDRESS(MATCH(B1917&amp;"ES",'LM7 Non-ENG'!$A$1:$A$5000,0),1,,,"LM7 Non-ENG"),IF(IFERROR(VLOOKUP(B1917&amp;"ES",'LM7 Non-ENG'!$A$1:$A$4999,1,FALSE),"ERROR")=B1917&amp;"ES","Y","")),"")</f>
        <v/>
      </c>
      <c r="H1917" s="29" t="str">
        <f>IFERROR(HYPERLINK("#"&amp;ADDRESS(MATCH(B1917&amp;"PT",'LM7 Non-ENG'!$A$1:$A$5000,0),1,,,"LM7 Non-ENG"),IF(IFERROR(VLOOKUP(B1917&amp;"PT",'LM7 Non-ENG'!$A$1:$A$5000,1,FALSE),"ERROR")=B1917&amp;"PT","Y","")),"")</f>
        <v/>
      </c>
      <c r="I1917" t="str">
        <f>IFERROR(VLOOKUP(B1917,PN!$A:$C,3,FALSE),"")</f>
        <v>Active</v>
      </c>
      <c r="J1917" s="3">
        <f>IFERROR(E1917*VLOOKUP(B1917,PLInter!$A:$D,3,FALSE),"")</f>
        <v>3885</v>
      </c>
      <c r="K1917" s="66"/>
      <c r="L1917" s="66"/>
      <c r="M1917" s="66"/>
      <c r="N1917" s="66"/>
      <c r="O1917" s="66"/>
      <c r="P1917" s="66"/>
      <c r="Q1917" s="66"/>
      <c r="R1917" s="66"/>
      <c r="S1917" s="66"/>
    </row>
    <row r="1918" spans="1:19" ht="18" customHeight="1">
      <c r="B1918" t="str">
        <f>"113096"</f>
        <v>113096</v>
      </c>
      <c r="C1918" t="s">
        <v>943</v>
      </c>
      <c r="D1918" s="4"/>
      <c r="E1918" s="4">
        <v>3</v>
      </c>
      <c r="F1918" s="4"/>
      <c r="G1918" s="29" t="str">
        <f>IFERROR(HYPERLINK("#"&amp;ADDRESS(MATCH(B1918&amp;"ES",'LM7 Non-ENG'!$A$1:$A$5000,0),1,,,"LM7 Non-ENG"),IF(IFERROR(VLOOKUP(B1918&amp;"ES",'LM7 Non-ENG'!$A$1:$A$4999,1,FALSE),"ERROR")=B1918&amp;"ES","Y","")),"")</f>
        <v/>
      </c>
      <c r="H1918" s="29" t="str">
        <f>IFERROR(HYPERLINK("#"&amp;ADDRESS(MATCH(B1918&amp;"PT",'LM7 Non-ENG'!$A$1:$A$5000,0),1,,,"LM7 Non-ENG"),IF(IFERROR(VLOOKUP(B1918&amp;"PT",'LM7 Non-ENG'!$A$1:$A$5000,1,FALSE),"ERROR")=B1918&amp;"PT","Y","")),"")</f>
        <v/>
      </c>
      <c r="I1918" t="str">
        <f>IFERROR(VLOOKUP(B1918,PN!$A:$C,3,FALSE),"")</f>
        <v>Active</v>
      </c>
      <c r="J1918" s="3">
        <f>IFERROR(E1918*VLOOKUP(B1918,PLInter!$A:$D,3,FALSE),"")</f>
        <v>162</v>
      </c>
      <c r="K1918" s="66"/>
      <c r="L1918" s="66"/>
      <c r="M1918" s="66"/>
      <c r="N1918" s="66"/>
      <c r="O1918" s="66"/>
      <c r="P1918" s="66"/>
      <c r="Q1918" s="66"/>
      <c r="R1918" s="66"/>
      <c r="S1918" s="66"/>
    </row>
    <row r="1919" spans="1:19" ht="18" customHeight="1">
      <c r="B1919" t="str">
        <f>"112713"</f>
        <v>112713</v>
      </c>
      <c r="C1919" t="s">
        <v>944</v>
      </c>
      <c r="D1919" s="4"/>
      <c r="E1919" s="4">
        <v>3</v>
      </c>
      <c r="F1919" s="4"/>
      <c r="G1919" s="29" t="str">
        <f>IFERROR(HYPERLINK("#"&amp;ADDRESS(MATCH(B1919&amp;"ES",'LM7 Non-ENG'!$A$1:$A$5000,0),1,,,"LM7 Non-ENG"),IF(IFERROR(VLOOKUP(B1919&amp;"ES",'LM7 Non-ENG'!$A$1:$A$4999,1,FALSE),"ERROR")=B1919&amp;"ES","Y","")),"")</f>
        <v/>
      </c>
      <c r="H1919" s="29" t="str">
        <f>IFERROR(HYPERLINK("#"&amp;ADDRESS(MATCH(B1919&amp;"PT",'LM7 Non-ENG'!$A$1:$A$5000,0),1,,,"LM7 Non-ENG"),IF(IFERROR(VLOOKUP(B1919&amp;"PT",'LM7 Non-ENG'!$A$1:$A$5000,1,FALSE),"ERROR")=B1919&amp;"PT","Y","")),"")</f>
        <v/>
      </c>
      <c r="I1919" t="str">
        <f>IFERROR(VLOOKUP(B1919,PN!$A:$C,3,FALSE),"")</f>
        <v>Active</v>
      </c>
      <c r="J1919" s="3">
        <f>IFERROR(E1919*VLOOKUP(B1919,PLInter!$A:$D,3,FALSE),"")</f>
        <v>300</v>
      </c>
      <c r="K1919" s="66"/>
      <c r="L1919" s="66"/>
      <c r="M1919" s="66"/>
      <c r="N1919" s="66"/>
      <c r="O1919" s="66"/>
      <c r="P1919" s="66"/>
      <c r="Q1919" s="66"/>
      <c r="R1919" s="66"/>
      <c r="S1919" s="66"/>
    </row>
    <row r="1920" spans="1:19" ht="18" customHeight="1">
      <c r="B1920" t="str">
        <f>"113316"</f>
        <v>113316</v>
      </c>
      <c r="C1920" t="s">
        <v>979</v>
      </c>
      <c r="D1920" s="4"/>
      <c r="E1920" s="4">
        <v>1</v>
      </c>
      <c r="F1920" s="4"/>
      <c r="G1920" s="29" t="str">
        <f>IFERROR(HYPERLINK("#"&amp;ADDRESS(MATCH(B1920&amp;"ES",'LM7 Non-ENG'!$A$1:$A$5000,0),1,,,"LM7 Non-ENG"),IF(IFERROR(VLOOKUP(B1920&amp;"ES",'LM7 Non-ENG'!$A$1:$A$4999,1,FALSE),"ERROR")=B1920&amp;"ES","Y","")),"")</f>
        <v/>
      </c>
      <c r="H1920" s="29" t="str">
        <f>IFERROR(HYPERLINK("#"&amp;ADDRESS(MATCH(B1920&amp;"PT",'LM7 Non-ENG'!$A$1:$A$5000,0),1,,,"LM7 Non-ENG"),IF(IFERROR(VLOOKUP(B1920&amp;"PT",'LM7 Non-ENG'!$A$1:$A$5000,1,FALSE),"ERROR")=B1920&amp;"PT","Y","")),"")</f>
        <v/>
      </c>
      <c r="I1920" t="str">
        <f>IFERROR(VLOOKUP(B1920,PN!$A:$C,3,FALSE),"")</f>
        <v>Active</v>
      </c>
      <c r="J1920" s="3">
        <f>IFERROR(E1920*VLOOKUP(B1920,PLInter!$A:$D,3,FALSE),"")</f>
        <v>20</v>
      </c>
      <c r="K1920" s="66"/>
      <c r="L1920" s="66"/>
      <c r="M1920" s="66"/>
      <c r="N1920" s="66"/>
      <c r="O1920" s="66"/>
      <c r="P1920" s="66"/>
      <c r="Q1920" s="66"/>
      <c r="R1920" s="66"/>
      <c r="S1920" s="66"/>
    </row>
    <row r="1921" spans="1:19" ht="18" customHeight="1">
      <c r="B1921" t="s">
        <v>982</v>
      </c>
      <c r="C1921" t="s">
        <v>983</v>
      </c>
      <c r="D1921" s="4"/>
      <c r="E1921" s="4">
        <v>1</v>
      </c>
      <c r="F1921" s="4"/>
      <c r="G1921" s="29" t="str">
        <f>IFERROR(HYPERLINK("#"&amp;ADDRESS(MATCH(B1921&amp;"ES",'LM7 Non-ENG'!$A$1:$A$5000,0),1,,,"LM7 Non-ENG"),IF(IFERROR(VLOOKUP(B1921&amp;"ES",'LM7 Non-ENG'!$A$1:$A$4999,1,FALSE),"ERROR")=B1921&amp;"ES","Y","")),"")</f>
        <v/>
      </c>
      <c r="H1921" s="29" t="str">
        <f>IFERROR(HYPERLINK("#"&amp;ADDRESS(MATCH(B1921&amp;"PT",'LM7 Non-ENG'!$A$1:$A$5000,0),1,,,"LM7 Non-ENG"),IF(IFERROR(VLOOKUP(B1921&amp;"PT",'LM7 Non-ENG'!$A$1:$A$5000,1,FALSE),"ERROR")=B1921&amp;"PT","Y","")),"")</f>
        <v/>
      </c>
      <c r="I1921" t="str">
        <f>IFERROR(VLOOKUP(B1921,PN!$A:$C,3,FALSE),"")</f>
        <v>Active</v>
      </c>
      <c r="J1921" s="3">
        <f>IFERROR(E1921*VLOOKUP(B1921,PLInter!$A:$D,3,FALSE),"")</f>
        <v>3120</v>
      </c>
      <c r="K1921" s="66"/>
      <c r="L1921" s="66"/>
      <c r="M1921" s="66"/>
      <c r="N1921" s="66"/>
      <c r="O1921" s="66"/>
      <c r="P1921" s="66"/>
      <c r="Q1921" s="66"/>
      <c r="R1921" s="66"/>
      <c r="S1921" s="66"/>
    </row>
    <row r="1922" spans="1:19" ht="18" customHeight="1">
      <c r="B1922" t="str">
        <f>"113316"</f>
        <v>113316</v>
      </c>
      <c r="C1922" t="s">
        <v>979</v>
      </c>
      <c r="D1922" s="4"/>
      <c r="E1922" s="4">
        <v>1</v>
      </c>
      <c r="F1922" s="4"/>
      <c r="G1922" s="29" t="str">
        <f>IFERROR(HYPERLINK("#"&amp;ADDRESS(MATCH(B1922&amp;"ES",'LM7 Non-ENG'!$A$1:$A$5000,0),1,,,"LM7 Non-ENG"),IF(IFERROR(VLOOKUP(B1922&amp;"ES",'LM7 Non-ENG'!$A$1:$A$4999,1,FALSE),"ERROR")=B1922&amp;"ES","Y","")),"")</f>
        <v/>
      </c>
      <c r="H1922" s="29" t="str">
        <f>IFERROR(HYPERLINK("#"&amp;ADDRESS(MATCH(B1922&amp;"PT",'LM7 Non-ENG'!$A$1:$A$5000,0),1,,,"LM7 Non-ENG"),IF(IFERROR(VLOOKUP(B1922&amp;"PT",'LM7 Non-ENG'!$A$1:$A$5000,1,FALSE),"ERROR")=B1922&amp;"PT","Y","")),"")</f>
        <v/>
      </c>
      <c r="I1922" t="str">
        <f>IFERROR(VLOOKUP(B1922,PN!$A:$C,3,FALSE),"")</f>
        <v>Active</v>
      </c>
      <c r="J1922" s="3">
        <f>IFERROR(E1922*VLOOKUP(B1922,PLInter!$A:$D,3,FALSE),"")</f>
        <v>20</v>
      </c>
      <c r="K1922" s="66"/>
      <c r="L1922" s="66"/>
      <c r="M1922" s="66"/>
      <c r="N1922" s="66"/>
      <c r="O1922" s="66"/>
      <c r="P1922" s="66"/>
      <c r="Q1922" s="66"/>
      <c r="R1922" s="66"/>
      <c r="S1922" s="66"/>
    </row>
    <row r="1923" spans="1:19" ht="18" customHeight="1">
      <c r="B1923" t="s">
        <v>925</v>
      </c>
      <c r="C1923" t="s">
        <v>926</v>
      </c>
      <c r="D1923" s="4"/>
      <c r="E1923" s="4">
        <v>1</v>
      </c>
      <c r="F1923" s="4"/>
      <c r="G1923" s="29" t="str">
        <f>IFERROR(HYPERLINK("#"&amp;ADDRESS(MATCH(B1923&amp;"ES",'LM7 Non-ENG'!$A$1:$A$5000,0),1,,,"LM7 Non-ENG"),IF(IFERROR(VLOOKUP(B1923&amp;"ES",'LM7 Non-ENG'!$A$1:$A$4999,1,FALSE),"ERROR")=B1923&amp;"ES","Y","")),"")</f>
        <v/>
      </c>
      <c r="H1923" s="29" t="str">
        <f>IFERROR(HYPERLINK("#"&amp;ADDRESS(MATCH(B1923&amp;"PT",'LM7 Non-ENG'!$A$1:$A$5000,0),1,,,"LM7 Non-ENG"),IF(IFERROR(VLOOKUP(B1923&amp;"PT",'LM7 Non-ENG'!$A$1:$A$5000,1,FALSE),"ERROR")=B1923&amp;"PT","Y","")),"")</f>
        <v/>
      </c>
      <c r="I1923" t="str">
        <f>IFERROR(VLOOKUP(B1923,PN!$A:$C,3,FALSE),"")</f>
        <v>Active</v>
      </c>
      <c r="J1923" s="3">
        <f>IFERROR(E1923*VLOOKUP(B1923,PLInter!$A:$D,3,FALSE),"")</f>
        <v>2760</v>
      </c>
      <c r="K1923" s="66"/>
      <c r="L1923" s="66"/>
      <c r="M1923" s="66"/>
      <c r="N1923" s="66"/>
      <c r="O1923" s="66"/>
      <c r="P1923" s="66"/>
      <c r="Q1923" s="66"/>
      <c r="R1923" s="66"/>
      <c r="S1923" s="66"/>
    </row>
    <row r="1924" spans="1:19" ht="18" customHeight="1">
      <c r="B1924" t="s">
        <v>927</v>
      </c>
      <c r="C1924" t="s">
        <v>928</v>
      </c>
      <c r="D1924" s="4"/>
      <c r="E1924" s="4">
        <v>1</v>
      </c>
      <c r="F1924" s="4"/>
      <c r="G1924" s="29" t="str">
        <f>IFERROR(HYPERLINK("#"&amp;ADDRESS(MATCH(B1924&amp;"ES",'LM7 Non-ENG'!$A$1:$A$5000,0),1,,,"LM7 Non-ENG"),IF(IFERROR(VLOOKUP(B1924&amp;"ES",'LM7 Non-ENG'!$A$1:$A$4999,1,FALSE),"ERROR")=B1924&amp;"ES","Y","")),"")</f>
        <v/>
      </c>
      <c r="H1924" s="29" t="str">
        <f>IFERROR(HYPERLINK("#"&amp;ADDRESS(MATCH(B1924&amp;"PT",'LM7 Non-ENG'!$A$1:$A$5000,0),1,,,"LM7 Non-ENG"),IF(IFERROR(VLOOKUP(B1924&amp;"PT",'LM7 Non-ENG'!$A$1:$A$5000,1,FALSE),"ERROR")=B1924&amp;"PT","Y","")),"")</f>
        <v/>
      </c>
      <c r="I1924" t="str">
        <f>IFERROR(VLOOKUP(B1924,PN!$A:$C,3,FALSE),"")</f>
        <v>Active</v>
      </c>
      <c r="J1924" s="3">
        <f>IFERROR(E1924*VLOOKUP(B1924,PLInter!$A:$D,3,FALSE),"")</f>
        <v>467</v>
      </c>
      <c r="K1924" s="66"/>
      <c r="L1924" s="66"/>
      <c r="M1924" s="66"/>
      <c r="N1924" s="66"/>
      <c r="O1924" s="66"/>
      <c r="P1924" s="66"/>
      <c r="Q1924" s="66"/>
      <c r="R1924" s="66"/>
      <c r="S1924" s="66"/>
    </row>
    <row r="1925" spans="1:19" ht="18" customHeight="1">
      <c r="B1925" t="s">
        <v>668</v>
      </c>
      <c r="C1925" t="s">
        <v>669</v>
      </c>
      <c r="D1925" s="4"/>
      <c r="E1925" s="4">
        <v>1</v>
      </c>
      <c r="F1925" s="4"/>
      <c r="G1925" s="29" t="str">
        <f>IFERROR(HYPERLINK("#"&amp;ADDRESS(MATCH(B1925&amp;"ES",'LM7 Non-ENG'!$A$1:$A$5000,0),1,,,"LM7 Non-ENG"),IF(IFERROR(VLOOKUP(B1925&amp;"ES",'LM7 Non-ENG'!$A$1:$A$4999,1,FALSE),"ERROR")=B1925&amp;"ES","Y","")),"")</f>
        <v/>
      </c>
      <c r="H1925" s="29" t="str">
        <f>IFERROR(HYPERLINK("#"&amp;ADDRESS(MATCH(B1925&amp;"PT",'LM7 Non-ENG'!$A$1:$A$5000,0),1,,,"LM7 Non-ENG"),IF(IFERROR(VLOOKUP(B1925&amp;"PT",'LM7 Non-ENG'!$A$1:$A$5000,1,FALSE),"ERROR")=B1925&amp;"PT","Y","")),"")</f>
        <v/>
      </c>
      <c r="I1925" t="str">
        <f>IFERROR(VLOOKUP(B1925,PN!$A:$C,3,FALSE),"")</f>
        <v>Active</v>
      </c>
      <c r="J1925" s="3">
        <f>IFERROR(E1925*VLOOKUP(B1925,PLInter!$A:$D,3,FALSE),"")</f>
        <v>480</v>
      </c>
      <c r="K1925" s="66"/>
      <c r="L1925" s="66"/>
      <c r="M1925" s="66"/>
      <c r="N1925" s="66"/>
      <c r="O1925" s="66"/>
      <c r="P1925" s="66"/>
      <c r="Q1925" s="66"/>
      <c r="R1925" s="66"/>
      <c r="S1925" s="66"/>
    </row>
    <row r="1926" spans="1:19" ht="18" customHeight="1">
      <c r="B1926" t="s">
        <v>630</v>
      </c>
      <c r="C1926" t="s">
        <v>631</v>
      </c>
      <c r="D1926" s="4"/>
      <c r="E1926" s="4">
        <v>1</v>
      </c>
      <c r="F1926" s="4"/>
      <c r="G1926" s="29" t="str">
        <f>IFERROR(HYPERLINK("#"&amp;ADDRESS(MATCH(B1926&amp;"ES",'LM7 Non-ENG'!$A$1:$A$5000,0),1,,,"LM7 Non-ENG"),IF(IFERROR(VLOOKUP(B1926&amp;"ES",'LM7 Non-ENG'!$A$1:$A$4999,1,FALSE),"ERROR")=B1926&amp;"ES","Y","")),"")</f>
        <v/>
      </c>
      <c r="H1926" s="29" t="str">
        <f>IFERROR(HYPERLINK("#"&amp;ADDRESS(MATCH(B1926&amp;"PT",'LM7 Non-ENG'!$A$1:$A$5000,0),1,,,"LM7 Non-ENG"),IF(IFERROR(VLOOKUP(B1926&amp;"PT",'LM7 Non-ENG'!$A$1:$A$5000,1,FALSE),"ERROR")=B1926&amp;"PT","Y","")),"")</f>
        <v/>
      </c>
      <c r="I1926" t="str">
        <f>IFERROR(VLOOKUP(B1926,PN!$A:$C,3,FALSE),"")</f>
        <v>Active</v>
      </c>
      <c r="J1926" s="3">
        <f>IFERROR(E1926*VLOOKUP(B1926,PLInter!$A:$D,3,FALSE),"")</f>
        <v>1735</v>
      </c>
      <c r="K1926" s="66"/>
      <c r="L1926" s="66"/>
      <c r="M1926" s="66"/>
      <c r="N1926" s="66"/>
      <c r="O1926" s="66"/>
      <c r="P1926" s="66"/>
      <c r="Q1926" s="66"/>
      <c r="R1926" s="66"/>
      <c r="S1926" s="66"/>
    </row>
    <row r="1928" spans="1:19" s="7" customFormat="1" ht="18" customHeight="1">
      <c r="A1928" s="13" t="s">
        <v>1040</v>
      </c>
      <c r="B1928" s="13"/>
      <c r="C1928" s="13" t="s">
        <v>1041</v>
      </c>
      <c r="D1928" s="14"/>
      <c r="E1928" s="14"/>
      <c r="F1928" s="14"/>
      <c r="G1928" s="14"/>
      <c r="H1928" s="14"/>
      <c r="I1928" s="14"/>
      <c r="J1928" s="14">
        <f>SUMIFS(J1929:J1943,D1929:D1943,"&lt;&gt;Y",F1929:F1943,"&lt;&gt;Y",I1929:I1943,"&lt;&gt;Inactive",I1929:I1943,"&lt;&gt;ECO+NFS")</f>
        <v>46679</v>
      </c>
      <c r="K1928" s="14"/>
      <c r="L1928" s="14"/>
      <c r="M1928" s="14"/>
      <c r="N1928" s="14"/>
      <c r="O1928" s="14"/>
      <c r="P1928" s="14"/>
      <c r="Q1928" s="14"/>
      <c r="R1928" s="14"/>
      <c r="S1928" s="14"/>
    </row>
    <row r="1929" spans="1:19" ht="18" customHeight="1">
      <c r="A1929" s="17" t="str">
        <f>HYPERLINK("#"&amp;ADDRESS(MATCH(A1928,'CIM&amp;FMS'!$A$1:$A$4997,0),1,,,"CIM&amp;FMS"),"Back to Price List")</f>
        <v>Back to Price List</v>
      </c>
      <c r="B1929" t="s">
        <v>214</v>
      </c>
      <c r="C1929" t="s">
        <v>654</v>
      </c>
      <c r="D1929" s="4"/>
      <c r="E1929" s="4">
        <v>1</v>
      </c>
      <c r="F1929" s="4"/>
      <c r="G1929" s="29" t="str">
        <f>IFERROR(HYPERLINK("#"&amp;ADDRESS(MATCH(B1929&amp;"ES",'LM7 Non-ENG'!$A$1:$A$5000,0),1,,,"LM7 Non-ENG"),IF(IFERROR(VLOOKUP(B1929&amp;"ES",'LM7 Non-ENG'!$A$1:$A$4999,1,FALSE),"ERROR")=B1929&amp;"ES","Y","")),"")</f>
        <v/>
      </c>
      <c r="H1929" s="29" t="str">
        <f>IFERROR(HYPERLINK("#"&amp;ADDRESS(MATCH(B1929&amp;"PT",'LM7 Non-ENG'!$A$1:$A$5000,0),1,,,"LM7 Non-ENG"),IF(IFERROR(VLOOKUP(B1929&amp;"PT",'LM7 Non-ENG'!$A$1:$A$5000,1,FALSE),"ERROR")=B1929&amp;"PT","Y","")),"")</f>
        <v/>
      </c>
      <c r="I1929" t="str">
        <f>IFERROR(VLOOKUP(B1929,PN!$A:$C,3,FALSE),"")</f>
        <v>Active</v>
      </c>
      <c r="J1929" s="3">
        <f>IFERROR(E1929*VLOOKUP(B1929,PLInter!$A:$D,3,FALSE),"")</f>
        <v>24000</v>
      </c>
      <c r="K1929" s="66"/>
      <c r="L1929" s="66"/>
      <c r="M1929" s="66"/>
      <c r="N1929" s="66"/>
      <c r="O1929" s="66"/>
      <c r="P1929" s="66"/>
      <c r="Q1929" s="66"/>
      <c r="R1929" s="66"/>
      <c r="S1929" s="66"/>
    </row>
    <row r="1930" spans="1:19" ht="18" customHeight="1">
      <c r="B1930" t="s">
        <v>228</v>
      </c>
      <c r="C1930" t="s">
        <v>655</v>
      </c>
      <c r="D1930" s="4"/>
      <c r="E1930" s="4">
        <v>1</v>
      </c>
      <c r="F1930" s="4"/>
      <c r="G1930" s="29" t="str">
        <f>IFERROR(HYPERLINK("#"&amp;ADDRESS(MATCH(B1930&amp;"ES",'LM7 Non-ENG'!$A$1:$A$5000,0),1,,,"LM7 Non-ENG"),IF(IFERROR(VLOOKUP(B1930&amp;"ES",'LM7 Non-ENG'!$A$1:$A$4999,1,FALSE),"ERROR")=B1930&amp;"ES","Y","")),"")</f>
        <v/>
      </c>
      <c r="H1930" s="29" t="str">
        <f>IFERROR(HYPERLINK("#"&amp;ADDRESS(MATCH(B1930&amp;"PT",'LM7 Non-ENG'!$A$1:$A$5000,0),1,,,"LM7 Non-ENG"),IF(IFERROR(VLOOKUP(B1930&amp;"PT",'LM7 Non-ENG'!$A$1:$A$5000,1,FALSE),"ERROR")=B1930&amp;"PT","Y","")),"")</f>
        <v/>
      </c>
      <c r="I1930" t="str">
        <f>IFERROR(VLOOKUP(B1930,PN!$A:$C,3,FALSE),"")</f>
        <v>Active</v>
      </c>
      <c r="J1930" s="3">
        <f>IFERROR(E1930*VLOOKUP(B1930,PLInter!$A:$D,3,FALSE),"")</f>
        <v>2134</v>
      </c>
      <c r="K1930" s="66"/>
      <c r="L1930" s="66"/>
      <c r="M1930" s="66"/>
      <c r="N1930" s="66"/>
      <c r="O1930" s="66"/>
      <c r="P1930" s="66"/>
      <c r="Q1930" s="66"/>
      <c r="R1930" s="66"/>
      <c r="S1930" s="66"/>
    </row>
    <row r="1931" spans="1:19" ht="18" customHeight="1">
      <c r="B1931" s="2" t="s">
        <v>227</v>
      </c>
      <c r="C1931" s="2" t="s">
        <v>232</v>
      </c>
      <c r="D1931" s="5"/>
      <c r="E1931" s="5">
        <v>1</v>
      </c>
      <c r="F1931" s="5" t="s">
        <v>0</v>
      </c>
      <c r="G1931" s="29" t="str">
        <f>IFERROR(HYPERLINK("#"&amp;ADDRESS(MATCH(B1931&amp;"ES",'LM7 Non-ENG'!$A$1:$A$5000,0),1,,,"LM7 Non-ENG"),IF(IFERROR(VLOOKUP(B1931&amp;"ES",'LM7 Non-ENG'!$A$1:$A$4999,1,FALSE),"ERROR")=B1931&amp;"ES","Y","")),"")</f>
        <v/>
      </c>
      <c r="H1931" s="29" t="str">
        <f>IFERROR(HYPERLINK("#"&amp;ADDRESS(MATCH(B1931&amp;"PT",'LM7 Non-ENG'!$A$1:$A$5000,0),1,,,"LM7 Non-ENG"),IF(IFERROR(VLOOKUP(B1931&amp;"PT",'LM7 Non-ENG'!$A$1:$A$5000,1,FALSE),"ERROR")=B1931&amp;"PT","Y","")),"")</f>
        <v/>
      </c>
      <c r="I1931" t="str">
        <f>IFERROR(VLOOKUP(B1931,PN!$A:$C,3,FALSE),"")</f>
        <v>Active</v>
      </c>
      <c r="J1931" s="3">
        <f>IFERROR(E1931*VLOOKUP(B1931,PLInter!$A:$D,3,FALSE),"")</f>
        <v>1700</v>
      </c>
      <c r="K1931" s="66"/>
      <c r="L1931" s="66"/>
      <c r="M1931" s="66"/>
      <c r="N1931" s="66"/>
      <c r="O1931" s="66"/>
      <c r="P1931" s="66"/>
      <c r="Q1931" s="66"/>
      <c r="R1931" s="66"/>
      <c r="S1931" s="66"/>
    </row>
    <row r="1932" spans="1:19" ht="18" customHeight="1">
      <c r="B1932" t="s">
        <v>236</v>
      </c>
      <c r="C1932" t="s">
        <v>626</v>
      </c>
      <c r="D1932" s="4"/>
      <c r="E1932" s="4">
        <v>1</v>
      </c>
      <c r="F1932" s="4"/>
      <c r="G1932" s="29" t="str">
        <f>IFERROR(HYPERLINK("#"&amp;ADDRESS(MATCH(B1932&amp;"ES",'LM7 Non-ENG'!$A$1:$A$5000,0),1,,,"LM7 Non-ENG"),IF(IFERROR(VLOOKUP(B1932&amp;"ES",'LM7 Non-ENG'!$A$1:$A$4999,1,FALSE),"ERROR")=B1932&amp;"ES","Y","")),"")</f>
        <v/>
      </c>
      <c r="H1932" s="29" t="str">
        <f>IFERROR(HYPERLINK("#"&amp;ADDRESS(MATCH(B1932&amp;"PT",'LM7 Non-ENG'!$A$1:$A$5000,0),1,,,"LM7 Non-ENG"),IF(IFERROR(VLOOKUP(B1932&amp;"PT",'LM7 Non-ENG'!$A$1:$A$5000,1,FALSE),"ERROR")=B1932&amp;"PT","Y","")),"")</f>
        <v/>
      </c>
      <c r="I1932" t="str">
        <f>IFERROR(VLOOKUP(B1932,PN!$A:$C,3,FALSE),"")</f>
        <v>Active</v>
      </c>
      <c r="J1932" s="3">
        <f>IFERROR(E1932*VLOOKUP(B1932,PLInter!$A:$D,3,FALSE),"")</f>
        <v>1680</v>
      </c>
      <c r="K1932" s="66"/>
      <c r="L1932" s="66"/>
      <c r="M1932" s="66"/>
      <c r="N1932" s="66"/>
      <c r="O1932" s="66"/>
      <c r="P1932" s="66"/>
      <c r="Q1932" s="66"/>
      <c r="R1932" s="66"/>
      <c r="S1932" s="66"/>
    </row>
    <row r="1933" spans="1:19" ht="18" customHeight="1">
      <c r="B1933" t="s">
        <v>684</v>
      </c>
      <c r="C1933" t="s">
        <v>685</v>
      </c>
      <c r="D1933" s="4"/>
      <c r="E1933" s="4">
        <v>1</v>
      </c>
      <c r="F1933" s="4"/>
      <c r="G1933" s="29" t="str">
        <f>IFERROR(HYPERLINK("#"&amp;ADDRESS(MATCH(B1933&amp;"ES",'LM7 Non-ENG'!$A$1:$A$5000,0),1,,,"LM7 Non-ENG"),IF(IFERROR(VLOOKUP(B1933&amp;"ES",'LM7 Non-ENG'!$A$1:$A$4999,1,FALSE),"ERROR")=B1933&amp;"ES","Y","")),"")</f>
        <v/>
      </c>
      <c r="H1933" s="29" t="str">
        <f>IFERROR(HYPERLINK("#"&amp;ADDRESS(MATCH(B1933&amp;"PT",'LM7 Non-ENG'!$A$1:$A$5000,0),1,,,"LM7 Non-ENG"),IF(IFERROR(VLOOKUP(B1933&amp;"PT",'LM7 Non-ENG'!$A$1:$A$5000,1,FALSE),"ERROR")=B1933&amp;"PT","Y","")),"")</f>
        <v/>
      </c>
      <c r="I1933" t="str">
        <f>IFERROR(VLOOKUP(B1933,PN!$A:$C,3,FALSE),"")</f>
        <v>Active</v>
      </c>
      <c r="J1933" s="3">
        <f>IFERROR(E1933*VLOOKUP(B1933,PLInter!$A:$D,3,FALSE),"")</f>
        <v>580</v>
      </c>
      <c r="K1933" s="66"/>
      <c r="L1933" s="66"/>
      <c r="M1933" s="66"/>
      <c r="N1933" s="66"/>
      <c r="O1933" s="66"/>
      <c r="P1933" s="66"/>
      <c r="Q1933" s="66"/>
      <c r="R1933" s="66"/>
      <c r="S1933" s="66"/>
    </row>
    <row r="1934" spans="1:19" ht="18" customHeight="1">
      <c r="B1934" t="s">
        <v>680</v>
      </c>
      <c r="C1934" t="s">
        <v>681</v>
      </c>
      <c r="D1934" s="4"/>
      <c r="E1934" s="4">
        <v>1</v>
      </c>
      <c r="F1934" s="4"/>
      <c r="G1934" s="29" t="str">
        <f>IFERROR(HYPERLINK("#"&amp;ADDRESS(MATCH(B1934&amp;"ES",'LM7 Non-ENG'!$A$1:$A$5000,0),1,,,"LM7 Non-ENG"),IF(IFERROR(VLOOKUP(B1934&amp;"ES",'LM7 Non-ENG'!$A$1:$A$4999,1,FALSE),"ERROR")=B1934&amp;"ES","Y","")),"")</f>
        <v/>
      </c>
      <c r="H1934" s="29" t="str">
        <f>IFERROR(HYPERLINK("#"&amp;ADDRESS(MATCH(B1934&amp;"PT",'LM7 Non-ENG'!$A$1:$A$5000,0),1,,,"LM7 Non-ENG"),IF(IFERROR(VLOOKUP(B1934&amp;"PT",'LM7 Non-ENG'!$A$1:$A$5000,1,FALSE),"ERROR")=B1934&amp;"PT","Y","")),"")</f>
        <v/>
      </c>
      <c r="I1934" t="str">
        <f>IFERROR(VLOOKUP(B1934,PN!$A:$C,3,FALSE),"")</f>
        <v>Active</v>
      </c>
      <c r="J1934" s="3">
        <f>IFERROR(E1934*VLOOKUP(B1934,PLInter!$A:$D,3,FALSE),"")</f>
        <v>1440</v>
      </c>
      <c r="K1934" s="66"/>
      <c r="L1934" s="66"/>
      <c r="M1934" s="66"/>
      <c r="N1934" s="66"/>
      <c r="O1934" s="66"/>
      <c r="P1934" s="66"/>
      <c r="Q1934" s="66"/>
      <c r="R1934" s="66"/>
      <c r="S1934" s="66"/>
    </row>
    <row r="1935" spans="1:19" ht="18" customHeight="1">
      <c r="B1935" t="s">
        <v>243</v>
      </c>
      <c r="C1935" t="s">
        <v>790</v>
      </c>
      <c r="D1935" s="4"/>
      <c r="E1935" s="4">
        <v>1</v>
      </c>
      <c r="F1935" s="4"/>
      <c r="G1935" s="29" t="str">
        <f>IFERROR(HYPERLINK("#"&amp;ADDRESS(MATCH(B1935&amp;"ES",'LM7 Non-ENG'!$A$1:$A$5000,0),1,,,"LM7 Non-ENG"),IF(IFERROR(VLOOKUP(B1935&amp;"ES",'LM7 Non-ENG'!$A$1:$A$4999,1,FALSE),"ERROR")=B1935&amp;"ES","Y","")),"")</f>
        <v/>
      </c>
      <c r="H1935" s="29" t="str">
        <f>IFERROR(HYPERLINK("#"&amp;ADDRESS(MATCH(B1935&amp;"PT",'LM7 Non-ENG'!$A$1:$A$5000,0),1,,,"LM7 Non-ENG"),IF(IFERROR(VLOOKUP(B1935&amp;"PT",'LM7 Non-ENG'!$A$1:$A$5000,1,FALSE),"ERROR")=B1935&amp;"PT","Y","")),"")</f>
        <v/>
      </c>
      <c r="I1935" t="str">
        <f>IFERROR(VLOOKUP(B1935,PN!$A:$C,3,FALSE),"")</f>
        <v>Active</v>
      </c>
      <c r="J1935" s="3">
        <f>IFERROR(E1935*VLOOKUP(B1935,PLInter!$A:$D,3,FALSE),"")</f>
        <v>7366</v>
      </c>
      <c r="K1935" s="66"/>
      <c r="L1935" s="66"/>
      <c r="M1935" s="66"/>
      <c r="N1935" s="66"/>
      <c r="O1935" s="66"/>
      <c r="P1935" s="66"/>
      <c r="Q1935" s="66"/>
      <c r="R1935" s="66"/>
      <c r="S1935" s="66"/>
    </row>
    <row r="1936" spans="1:19" ht="18" customHeight="1">
      <c r="B1936" s="49" t="s">
        <v>1043</v>
      </c>
      <c r="C1936" s="1" t="s">
        <v>1042</v>
      </c>
      <c r="D1936" s="6" t="s">
        <v>0</v>
      </c>
      <c r="E1936" s="6">
        <v>1</v>
      </c>
      <c r="F1936" s="6"/>
      <c r="G1936" s="29" t="str">
        <f>IFERROR(HYPERLINK("#"&amp;ADDRESS(MATCH(B1936&amp;"ES",'LM7 Non-ENG'!$A$1:$A$5000,0),1,,,"LM7 Non-ENG"),IF(IFERROR(VLOOKUP(B1936&amp;"ES",'LM7 Non-ENG'!$A$1:$A$4999,1,FALSE),"ERROR")=B1936&amp;"ES","Y","")),"")</f>
        <v/>
      </c>
      <c r="H1936" s="29" t="str">
        <f>IFERROR(HYPERLINK("#"&amp;ADDRESS(MATCH(B1936&amp;"PT",'LM7 Non-ENG'!$A$1:$A$5000,0),1,,,"LM7 Non-ENG"),IF(IFERROR(VLOOKUP(B1936&amp;"PT",'LM7 Non-ENG'!$A$1:$A$5000,1,FALSE),"ERROR")=B1936&amp;"PT","Y","")),"")</f>
        <v/>
      </c>
      <c r="I1936" t="str">
        <f>IFERROR(VLOOKUP(B1936,PN!$A:$C,3,FALSE),"")</f>
        <v>Active</v>
      </c>
      <c r="J1936" s="3" t="str">
        <f>IFERROR(E1936*VLOOKUP(B1936,PLInter!$A:$D,3,FALSE),"")</f>
        <v/>
      </c>
      <c r="K1936" s="66"/>
      <c r="L1936" s="66"/>
      <c r="M1936" s="66"/>
      <c r="N1936" s="66"/>
      <c r="O1936" s="66"/>
      <c r="P1936" s="66"/>
      <c r="Q1936" s="66"/>
      <c r="R1936" s="66"/>
      <c r="S1936" s="66"/>
    </row>
    <row r="1937" spans="1:19" ht="18" customHeight="1">
      <c r="B1937" t="s">
        <v>917</v>
      </c>
      <c r="C1937" t="s">
        <v>918</v>
      </c>
      <c r="D1937" s="4"/>
      <c r="E1937" s="4">
        <v>1</v>
      </c>
      <c r="F1937" s="4"/>
      <c r="G1937" s="29" t="str">
        <f>IFERROR(HYPERLINK("#"&amp;ADDRESS(MATCH(B1937&amp;"ES",'LM7 Non-ENG'!$A$1:$A$5000,0),1,,,"LM7 Non-ENG"),IF(IFERROR(VLOOKUP(B1937&amp;"ES",'LM7 Non-ENG'!$A$1:$A$4999,1,FALSE),"ERROR")=B1937&amp;"ES","Y","")),"")</f>
        <v/>
      </c>
      <c r="H1937" s="29" t="str">
        <f>IFERROR(HYPERLINK("#"&amp;ADDRESS(MATCH(B1937&amp;"PT",'LM7 Non-ENG'!$A$1:$A$5000,0),1,,,"LM7 Non-ENG"),IF(IFERROR(VLOOKUP(B1937&amp;"PT",'LM7 Non-ENG'!$A$1:$A$5000,1,FALSE),"ERROR")=B1937&amp;"PT","Y","")),"")</f>
        <v/>
      </c>
      <c r="I1937" t="str">
        <f>IFERROR(VLOOKUP(B1937,PN!$A:$C,3,FALSE),"")</f>
        <v>Phase Out</v>
      </c>
      <c r="J1937" s="3">
        <f>IFERROR(E1937*VLOOKUP(B1937,PLInter!$A:$D,3,FALSE),"")</f>
        <v>1735</v>
      </c>
      <c r="K1937" s="66"/>
      <c r="L1937" s="66"/>
      <c r="M1937" s="66"/>
      <c r="N1937" s="66"/>
      <c r="O1937" s="66"/>
      <c r="P1937" s="66"/>
      <c r="Q1937" s="66"/>
      <c r="R1937" s="66"/>
      <c r="S1937" s="66"/>
    </row>
    <row r="1938" spans="1:19" ht="18" customHeight="1">
      <c r="B1938" t="s">
        <v>919</v>
      </c>
      <c r="C1938" t="s">
        <v>920</v>
      </c>
      <c r="D1938" s="4"/>
      <c r="E1938" s="4">
        <v>1</v>
      </c>
      <c r="F1938" s="4"/>
      <c r="G1938" s="29" t="str">
        <f>IFERROR(HYPERLINK("#"&amp;ADDRESS(MATCH(B1938&amp;"ES",'LM7 Non-ENG'!$A$1:$A$5000,0),1,,,"LM7 Non-ENG"),IF(IFERROR(VLOOKUP(B1938&amp;"ES",'LM7 Non-ENG'!$A$1:$A$4999,1,FALSE),"ERROR")=B1938&amp;"ES","Y","")),"")</f>
        <v/>
      </c>
      <c r="H1938" s="29" t="str">
        <f>IFERROR(HYPERLINK("#"&amp;ADDRESS(MATCH(B1938&amp;"PT",'LM7 Non-ENG'!$A$1:$A$5000,0),1,,,"LM7 Non-ENG"),IF(IFERROR(VLOOKUP(B1938&amp;"PT",'LM7 Non-ENG'!$A$1:$A$5000,1,FALSE),"ERROR")=B1938&amp;"PT","Y","")),"")</f>
        <v/>
      </c>
      <c r="I1938" t="str">
        <f>IFERROR(VLOOKUP(B1938,PN!$A:$C,3,FALSE),"")</f>
        <v>Active</v>
      </c>
      <c r="J1938" s="3">
        <f>IFERROR(E1938*VLOOKUP(B1938,PLInter!$A:$D,3,FALSE),"")</f>
        <v>635</v>
      </c>
      <c r="K1938" s="66"/>
      <c r="L1938" s="66"/>
      <c r="M1938" s="66"/>
      <c r="N1938" s="66"/>
      <c r="O1938" s="66"/>
      <c r="P1938" s="66"/>
      <c r="Q1938" s="66"/>
      <c r="R1938" s="66"/>
      <c r="S1938" s="66"/>
    </row>
    <row r="1939" spans="1:19" ht="18" customHeight="1">
      <c r="B1939" t="s">
        <v>704</v>
      </c>
      <c r="C1939" t="s">
        <v>705</v>
      </c>
      <c r="D1939" s="4"/>
      <c r="E1939" s="4">
        <v>1</v>
      </c>
      <c r="F1939" s="4"/>
      <c r="G1939" s="29" t="str">
        <f>IFERROR(HYPERLINK("#"&amp;ADDRESS(MATCH(B1939&amp;"ES",'LM7 Non-ENG'!$A$1:$A$5000,0),1,,,"LM7 Non-ENG"),IF(IFERROR(VLOOKUP(B1939&amp;"ES",'LM7 Non-ENG'!$A$1:$A$4999,1,FALSE),"ERROR")=B1939&amp;"ES","Y","")),"")</f>
        <v/>
      </c>
      <c r="H1939" s="29" t="str">
        <f>IFERROR(HYPERLINK("#"&amp;ADDRESS(MATCH(B1939&amp;"PT",'LM7 Non-ENG'!$A$1:$A$5000,0),1,,,"LM7 Non-ENG"),IF(IFERROR(VLOOKUP(B1939&amp;"PT",'LM7 Non-ENG'!$A$1:$A$5000,1,FALSE),"ERROR")=B1939&amp;"PT","Y","")),"")</f>
        <v/>
      </c>
      <c r="I1939" t="str">
        <f>IFERROR(VLOOKUP(B1939,PN!$A:$C,3,FALSE),"")</f>
        <v>Active</v>
      </c>
      <c r="J1939" s="3">
        <f>IFERROR(E1939*VLOOKUP(B1939,PLInter!$A:$D,3,FALSE),"")</f>
        <v>2640</v>
      </c>
      <c r="K1939" s="66"/>
      <c r="L1939" s="66"/>
      <c r="M1939" s="66"/>
      <c r="N1939" s="66"/>
      <c r="O1939" s="66"/>
      <c r="P1939" s="66"/>
      <c r="Q1939" s="66"/>
      <c r="R1939" s="66"/>
      <c r="S1939" s="66"/>
    </row>
    <row r="1940" spans="1:19" ht="18" customHeight="1">
      <c r="B1940" t="s">
        <v>644</v>
      </c>
      <c r="C1940" t="s">
        <v>645</v>
      </c>
      <c r="D1940" s="4"/>
      <c r="E1940" s="4">
        <v>1</v>
      </c>
      <c r="F1940" s="4"/>
      <c r="G1940" s="29" t="str">
        <f>IFERROR(HYPERLINK("#"&amp;ADDRESS(MATCH(B1940&amp;"ES",'LM7 Non-ENG'!$A$1:$A$5000,0),1,,,"LM7 Non-ENG"),IF(IFERROR(VLOOKUP(B1940&amp;"ES",'LM7 Non-ENG'!$A$1:$A$4999,1,FALSE),"ERROR")=B1940&amp;"ES","Y","")),"")</f>
        <v/>
      </c>
      <c r="H1940" s="29" t="str">
        <f>IFERROR(HYPERLINK("#"&amp;ADDRESS(MATCH(B1940&amp;"PT",'LM7 Non-ENG'!$A$1:$A$5000,0),1,,,"LM7 Non-ENG"),IF(IFERROR(VLOOKUP(B1940&amp;"PT",'LM7 Non-ENG'!$A$1:$A$5000,1,FALSE),"ERROR")=B1940&amp;"PT","Y","")),"")</f>
        <v/>
      </c>
      <c r="I1940" t="str">
        <f>IFERROR(VLOOKUP(B1940,PN!$A:$C,3,FALSE),"")</f>
        <v>Active</v>
      </c>
      <c r="J1940" s="3">
        <f>IFERROR(E1940*VLOOKUP(B1940,PLInter!$A:$D,3,FALSE),"")</f>
        <v>1800</v>
      </c>
      <c r="K1940" s="66"/>
      <c r="L1940" s="66"/>
      <c r="M1940" s="66"/>
      <c r="N1940" s="66"/>
      <c r="O1940" s="66"/>
      <c r="P1940" s="66"/>
      <c r="Q1940" s="66"/>
      <c r="R1940" s="66"/>
      <c r="S1940" s="66"/>
    </row>
    <row r="1941" spans="1:19" ht="18" customHeight="1">
      <c r="B1941" t="s">
        <v>697</v>
      </c>
      <c r="C1941" t="s">
        <v>698</v>
      </c>
      <c r="D1941" s="4"/>
      <c r="E1941" s="4">
        <v>1</v>
      </c>
      <c r="F1941" s="4"/>
      <c r="G1941" s="29" t="str">
        <f>IFERROR(HYPERLINK("#"&amp;ADDRESS(MATCH(B1941&amp;"ES",'LM7 Non-ENG'!$A$1:$A$5000,0),1,,,"LM7 Non-ENG"),IF(IFERROR(VLOOKUP(B1941&amp;"ES",'LM7 Non-ENG'!$A$1:$A$4999,1,FALSE),"ERROR")=B1941&amp;"ES","Y","")),"")</f>
        <v/>
      </c>
      <c r="H1941" s="29" t="str">
        <f>IFERROR(HYPERLINK("#"&amp;ADDRESS(MATCH(B1941&amp;"PT",'LM7 Non-ENG'!$A$1:$A$5000,0),1,,,"LM7 Non-ENG"),IF(IFERROR(VLOOKUP(B1941&amp;"PT",'LM7 Non-ENG'!$A$1:$A$5000,1,FALSE),"ERROR")=B1941&amp;"PT","Y","")),"")</f>
        <v/>
      </c>
      <c r="I1941" t="str">
        <f>IFERROR(VLOOKUP(B1941,PN!$A:$C,3,FALSE),"")</f>
        <v>Active</v>
      </c>
      <c r="J1941" s="3">
        <f>IFERROR(E1941*VLOOKUP(B1941,PLInter!$A:$D,3,FALSE),"")</f>
        <v>934</v>
      </c>
      <c r="K1941" s="66"/>
      <c r="L1941" s="66"/>
      <c r="M1941" s="66"/>
      <c r="N1941" s="66"/>
      <c r="O1941" s="66"/>
      <c r="P1941" s="66"/>
      <c r="Q1941" s="66"/>
      <c r="R1941" s="66"/>
      <c r="S1941" s="66"/>
    </row>
    <row r="1942" spans="1:19" ht="18" customHeight="1">
      <c r="B1942" t="s">
        <v>630</v>
      </c>
      <c r="C1942" t="s">
        <v>631</v>
      </c>
      <c r="D1942" s="4"/>
      <c r="E1942" s="4">
        <v>1</v>
      </c>
      <c r="F1942" s="4"/>
      <c r="G1942" s="29" t="str">
        <f>IFERROR(HYPERLINK("#"&amp;ADDRESS(MATCH(B1942&amp;"ES",'LM7 Non-ENG'!$A$1:$A$5000,0),1,,,"LM7 Non-ENG"),IF(IFERROR(VLOOKUP(B1942&amp;"ES",'LM7 Non-ENG'!$A$1:$A$4999,1,FALSE),"ERROR")=B1942&amp;"ES","Y","")),"")</f>
        <v/>
      </c>
      <c r="H1942" s="29" t="str">
        <f>IFERROR(HYPERLINK("#"&amp;ADDRESS(MATCH(B1942&amp;"PT",'LM7 Non-ENG'!$A$1:$A$5000,0),1,,,"LM7 Non-ENG"),IF(IFERROR(VLOOKUP(B1942&amp;"PT",'LM7 Non-ENG'!$A$1:$A$5000,1,FALSE),"ERROR")=B1942&amp;"PT","Y","")),"")</f>
        <v/>
      </c>
      <c r="I1942" t="str">
        <f>IFERROR(VLOOKUP(B1942,PN!$A:$C,3,FALSE),"")</f>
        <v>Active</v>
      </c>
      <c r="J1942" s="3">
        <f>IFERROR(E1942*VLOOKUP(B1942,PLInter!$A:$D,3,FALSE),"")</f>
        <v>1735</v>
      </c>
      <c r="K1942" s="66"/>
      <c r="L1942" s="66"/>
      <c r="M1942" s="66"/>
      <c r="N1942" s="66"/>
      <c r="O1942" s="66"/>
      <c r="P1942" s="66"/>
      <c r="Q1942" s="66"/>
      <c r="R1942" s="66"/>
      <c r="S1942" s="66"/>
    </row>
    <row r="1943" spans="1:19" ht="18" customHeight="1">
      <c r="B1943" s="49" t="s">
        <v>1044</v>
      </c>
      <c r="C1943" s="1" t="s">
        <v>1042</v>
      </c>
      <c r="D1943" s="6" t="s">
        <v>0</v>
      </c>
      <c r="E1943" s="6">
        <v>1</v>
      </c>
      <c r="F1943" s="6"/>
      <c r="G1943" s="29" t="str">
        <f>IFERROR(HYPERLINK("#"&amp;ADDRESS(MATCH(B1943&amp;"ES",'LM7 Non-ENG'!$A$1:$A$5000,0),1,,,"LM7 Non-ENG"),IF(IFERROR(VLOOKUP(B1943&amp;"ES",'LM7 Non-ENG'!$A$1:$A$4999,1,FALSE),"ERROR")=B1943&amp;"ES","Y","")),"")</f>
        <v/>
      </c>
      <c r="H1943" s="29" t="str">
        <f>IFERROR(HYPERLINK("#"&amp;ADDRESS(MATCH(B1943&amp;"PT",'LM7 Non-ENG'!$A$1:$A$5000,0),1,,,"LM7 Non-ENG"),IF(IFERROR(VLOOKUP(B1943&amp;"PT",'LM7 Non-ENG'!$A$1:$A$5000,1,FALSE),"ERROR")=B1943&amp;"PT","Y","")),"")</f>
        <v/>
      </c>
      <c r="I1943" t="str">
        <f>IFERROR(VLOOKUP(B1943,PN!$A:$C,3,FALSE),"")</f>
        <v>Inactive</v>
      </c>
      <c r="J1943" s="3" t="str">
        <f>IFERROR(E1943*VLOOKUP(B1943,PLInter!$A:$D,3,FALSE),"")</f>
        <v/>
      </c>
      <c r="K1943" s="66"/>
      <c r="L1943" s="66"/>
      <c r="M1943" s="66"/>
      <c r="N1943" s="66"/>
      <c r="O1943" s="66"/>
      <c r="P1943" s="66"/>
      <c r="Q1943" s="66"/>
      <c r="R1943" s="66"/>
      <c r="S1943" s="66"/>
    </row>
    <row r="1945" spans="1:19" s="7" customFormat="1" ht="18" customHeight="1">
      <c r="A1945" s="13" t="s">
        <v>1045</v>
      </c>
      <c r="B1945" s="13"/>
      <c r="C1945" s="13" t="s">
        <v>1046</v>
      </c>
      <c r="D1945" s="14"/>
      <c r="E1945" s="14"/>
      <c r="F1945" s="14"/>
      <c r="G1945" s="14"/>
      <c r="H1945" s="14"/>
      <c r="I1945" s="14"/>
      <c r="J1945" s="14">
        <f>SUMIFS(J1946:J1958,D1946:D1958,"&lt;&gt;Y",F1946:F1958,"&lt;&gt;Y",I1946:I1958,"&lt;&gt;Inactive",I1946:I1958,"&lt;&gt;ECO+NFS")</f>
        <v>46679</v>
      </c>
      <c r="K1945" s="14"/>
      <c r="L1945" s="14"/>
      <c r="M1945" s="14"/>
      <c r="N1945" s="14"/>
      <c r="O1945" s="14"/>
      <c r="P1945" s="14"/>
      <c r="Q1945" s="14"/>
      <c r="R1945" s="14"/>
      <c r="S1945" s="14"/>
    </row>
    <row r="1946" spans="1:19" ht="18" customHeight="1">
      <c r="A1946" s="17" t="str">
        <f>HYPERLINK("#"&amp;ADDRESS(MATCH(A1945,'CIM&amp;FMS'!$A$1:$A$4997,0),1,,,"CIM&amp;FMS"),"Back to Price List")</f>
        <v>Back to Price List</v>
      </c>
      <c r="B1946" t="s">
        <v>214</v>
      </c>
      <c r="C1946" t="s">
        <v>654</v>
      </c>
      <c r="D1946" s="4"/>
      <c r="E1946" s="4">
        <v>1</v>
      </c>
      <c r="F1946" s="4"/>
      <c r="G1946" s="29" t="str">
        <f>IFERROR(HYPERLINK("#"&amp;ADDRESS(MATCH(B1946&amp;"ES",'LM7 Non-ENG'!$A$1:$A$5000,0),1,,,"LM7 Non-ENG"),IF(IFERROR(VLOOKUP(B1946&amp;"ES",'LM7 Non-ENG'!$A$1:$A$4999,1,FALSE),"ERROR")=B1946&amp;"ES","Y","")),"")</f>
        <v/>
      </c>
      <c r="H1946" s="29" t="str">
        <f>IFERROR(HYPERLINK("#"&amp;ADDRESS(MATCH(B1946&amp;"PT",'LM7 Non-ENG'!$A$1:$A$5000,0),1,,,"LM7 Non-ENG"),IF(IFERROR(VLOOKUP(B1946&amp;"PT",'LM7 Non-ENG'!$A$1:$A$5000,1,FALSE),"ERROR")=B1946&amp;"PT","Y","")),"")</f>
        <v/>
      </c>
      <c r="I1946" t="str">
        <f>IFERROR(VLOOKUP(B1946,PN!$A:$C,3,FALSE),"")</f>
        <v>Active</v>
      </c>
      <c r="J1946" s="3">
        <f>IFERROR(E1946*VLOOKUP(B1946,PLInter!$A:$D,3,FALSE),"")</f>
        <v>24000</v>
      </c>
      <c r="K1946" s="66"/>
      <c r="L1946" s="66"/>
      <c r="M1946" s="66"/>
      <c r="N1946" s="66"/>
      <c r="O1946" s="66"/>
      <c r="P1946" s="66"/>
      <c r="Q1946" s="66"/>
      <c r="R1946" s="66"/>
      <c r="S1946" s="66"/>
    </row>
    <row r="1947" spans="1:19" ht="18" customHeight="1">
      <c r="B1947" t="s">
        <v>228</v>
      </c>
      <c r="C1947" t="s">
        <v>655</v>
      </c>
      <c r="D1947" s="4"/>
      <c r="E1947" s="4">
        <v>1</v>
      </c>
      <c r="F1947" s="4"/>
      <c r="G1947" s="29" t="str">
        <f>IFERROR(HYPERLINK("#"&amp;ADDRESS(MATCH(B1947&amp;"ES",'LM7 Non-ENG'!$A$1:$A$5000,0),1,,,"LM7 Non-ENG"),IF(IFERROR(VLOOKUP(B1947&amp;"ES",'LM7 Non-ENG'!$A$1:$A$4999,1,FALSE),"ERROR")=B1947&amp;"ES","Y","")),"")</f>
        <v/>
      </c>
      <c r="H1947" s="29" t="str">
        <f>IFERROR(HYPERLINK("#"&amp;ADDRESS(MATCH(B1947&amp;"PT",'LM7 Non-ENG'!$A$1:$A$5000,0),1,,,"LM7 Non-ENG"),IF(IFERROR(VLOOKUP(B1947&amp;"PT",'LM7 Non-ENG'!$A$1:$A$5000,1,FALSE),"ERROR")=B1947&amp;"PT","Y","")),"")</f>
        <v/>
      </c>
      <c r="I1947" t="str">
        <f>IFERROR(VLOOKUP(B1947,PN!$A:$C,3,FALSE),"")</f>
        <v>Active</v>
      </c>
      <c r="J1947" s="3">
        <f>IFERROR(E1947*VLOOKUP(B1947,PLInter!$A:$D,3,FALSE),"")</f>
        <v>2134</v>
      </c>
      <c r="K1947" s="66"/>
      <c r="L1947" s="66"/>
      <c r="M1947" s="66"/>
      <c r="N1947" s="66"/>
      <c r="O1947" s="66"/>
      <c r="P1947" s="66"/>
      <c r="Q1947" s="66"/>
      <c r="R1947" s="66"/>
      <c r="S1947" s="66"/>
    </row>
    <row r="1948" spans="1:19" ht="18" customHeight="1">
      <c r="B1948" s="2" t="s">
        <v>227</v>
      </c>
      <c r="C1948" s="2" t="s">
        <v>232</v>
      </c>
      <c r="D1948" s="5"/>
      <c r="E1948" s="5">
        <v>1</v>
      </c>
      <c r="F1948" s="5" t="s">
        <v>0</v>
      </c>
      <c r="G1948" s="29" t="str">
        <f>IFERROR(HYPERLINK("#"&amp;ADDRESS(MATCH(B1948&amp;"ES",'LM7 Non-ENG'!$A$1:$A$5000,0),1,,,"LM7 Non-ENG"),IF(IFERROR(VLOOKUP(B1948&amp;"ES",'LM7 Non-ENG'!$A$1:$A$4999,1,FALSE),"ERROR")=B1948&amp;"ES","Y","")),"")</f>
        <v/>
      </c>
      <c r="H1948" s="29" t="str">
        <f>IFERROR(HYPERLINK("#"&amp;ADDRESS(MATCH(B1948&amp;"PT",'LM7 Non-ENG'!$A$1:$A$5000,0),1,,,"LM7 Non-ENG"),IF(IFERROR(VLOOKUP(B1948&amp;"PT",'LM7 Non-ENG'!$A$1:$A$5000,1,FALSE),"ERROR")=B1948&amp;"PT","Y","")),"")</f>
        <v/>
      </c>
      <c r="I1948" t="str">
        <f>IFERROR(VLOOKUP(B1948,PN!$A:$C,3,FALSE),"")</f>
        <v>Active</v>
      </c>
      <c r="J1948" s="3">
        <f>IFERROR(E1948*VLOOKUP(B1948,PLInter!$A:$D,3,FALSE),"")</f>
        <v>1700</v>
      </c>
      <c r="K1948" s="66"/>
      <c r="L1948" s="66"/>
      <c r="M1948" s="66"/>
      <c r="N1948" s="66"/>
      <c r="O1948" s="66"/>
      <c r="P1948" s="66"/>
      <c r="Q1948" s="66"/>
      <c r="R1948" s="66"/>
      <c r="S1948" s="66"/>
    </row>
    <row r="1949" spans="1:19" ht="18" customHeight="1">
      <c r="B1949" t="s">
        <v>236</v>
      </c>
      <c r="C1949" t="s">
        <v>626</v>
      </c>
      <c r="D1949" s="4"/>
      <c r="E1949" s="4">
        <v>1</v>
      </c>
      <c r="F1949" s="4"/>
      <c r="G1949" s="29" t="str">
        <f>IFERROR(HYPERLINK("#"&amp;ADDRESS(MATCH(B1949&amp;"ES",'LM7 Non-ENG'!$A$1:$A$5000,0),1,,,"LM7 Non-ENG"),IF(IFERROR(VLOOKUP(B1949&amp;"ES",'LM7 Non-ENG'!$A$1:$A$4999,1,FALSE),"ERROR")=B1949&amp;"ES","Y","")),"")</f>
        <v/>
      </c>
      <c r="H1949" s="29" t="str">
        <f>IFERROR(HYPERLINK("#"&amp;ADDRESS(MATCH(B1949&amp;"PT",'LM7 Non-ENG'!$A$1:$A$5000,0),1,,,"LM7 Non-ENG"),IF(IFERROR(VLOOKUP(B1949&amp;"PT",'LM7 Non-ENG'!$A$1:$A$5000,1,FALSE),"ERROR")=B1949&amp;"PT","Y","")),"")</f>
        <v/>
      </c>
      <c r="I1949" t="str">
        <f>IFERROR(VLOOKUP(B1949,PN!$A:$C,3,FALSE),"")</f>
        <v>Active</v>
      </c>
      <c r="J1949" s="3">
        <f>IFERROR(E1949*VLOOKUP(B1949,PLInter!$A:$D,3,FALSE),"")</f>
        <v>1680</v>
      </c>
      <c r="K1949" s="66"/>
      <c r="L1949" s="66"/>
      <c r="M1949" s="66"/>
      <c r="N1949" s="66"/>
      <c r="O1949" s="66"/>
      <c r="P1949" s="66"/>
      <c r="Q1949" s="66"/>
      <c r="R1949" s="66"/>
      <c r="S1949" s="66"/>
    </row>
    <row r="1950" spans="1:19" ht="18" customHeight="1">
      <c r="B1950" t="s">
        <v>684</v>
      </c>
      <c r="C1950" t="s">
        <v>685</v>
      </c>
      <c r="D1950" s="4"/>
      <c r="E1950" s="4">
        <v>1</v>
      </c>
      <c r="F1950" s="4"/>
      <c r="G1950" s="29" t="str">
        <f>IFERROR(HYPERLINK("#"&amp;ADDRESS(MATCH(B1950&amp;"ES",'LM7 Non-ENG'!$A$1:$A$5000,0),1,,,"LM7 Non-ENG"),IF(IFERROR(VLOOKUP(B1950&amp;"ES",'LM7 Non-ENG'!$A$1:$A$4999,1,FALSE),"ERROR")=B1950&amp;"ES","Y","")),"")</f>
        <v/>
      </c>
      <c r="H1950" s="29" t="str">
        <f>IFERROR(HYPERLINK("#"&amp;ADDRESS(MATCH(B1950&amp;"PT",'LM7 Non-ENG'!$A$1:$A$5000,0),1,,,"LM7 Non-ENG"),IF(IFERROR(VLOOKUP(B1950&amp;"PT",'LM7 Non-ENG'!$A$1:$A$5000,1,FALSE),"ERROR")=B1950&amp;"PT","Y","")),"")</f>
        <v/>
      </c>
      <c r="I1950" t="str">
        <f>IFERROR(VLOOKUP(B1950,PN!$A:$C,3,FALSE),"")</f>
        <v>Active</v>
      </c>
      <c r="J1950" s="3">
        <f>IFERROR(E1950*VLOOKUP(B1950,PLInter!$A:$D,3,FALSE),"")</f>
        <v>580</v>
      </c>
      <c r="K1950" s="66"/>
      <c r="L1950" s="66"/>
      <c r="M1950" s="66"/>
      <c r="N1950" s="66"/>
      <c r="O1950" s="66"/>
      <c r="P1950" s="66"/>
      <c r="Q1950" s="66"/>
      <c r="R1950" s="66"/>
      <c r="S1950" s="66"/>
    </row>
    <row r="1951" spans="1:19" ht="18" customHeight="1">
      <c r="B1951" t="s">
        <v>680</v>
      </c>
      <c r="C1951" t="s">
        <v>681</v>
      </c>
      <c r="D1951" s="4"/>
      <c r="E1951" s="4">
        <v>1</v>
      </c>
      <c r="F1951" s="4"/>
      <c r="G1951" s="29" t="str">
        <f>IFERROR(HYPERLINK("#"&amp;ADDRESS(MATCH(B1951&amp;"ES",'LM7 Non-ENG'!$A$1:$A$5000,0),1,,,"LM7 Non-ENG"),IF(IFERROR(VLOOKUP(B1951&amp;"ES",'LM7 Non-ENG'!$A$1:$A$4999,1,FALSE),"ERROR")=B1951&amp;"ES","Y","")),"")</f>
        <v/>
      </c>
      <c r="H1951" s="29" t="str">
        <f>IFERROR(HYPERLINK("#"&amp;ADDRESS(MATCH(B1951&amp;"PT",'LM7 Non-ENG'!$A$1:$A$5000,0),1,,,"LM7 Non-ENG"),IF(IFERROR(VLOOKUP(B1951&amp;"PT",'LM7 Non-ENG'!$A$1:$A$5000,1,FALSE),"ERROR")=B1951&amp;"PT","Y","")),"")</f>
        <v/>
      </c>
      <c r="I1951" t="str">
        <f>IFERROR(VLOOKUP(B1951,PN!$A:$C,3,FALSE),"")</f>
        <v>Active</v>
      </c>
      <c r="J1951" s="3">
        <f>IFERROR(E1951*VLOOKUP(B1951,PLInter!$A:$D,3,FALSE),"")</f>
        <v>1440</v>
      </c>
      <c r="K1951" s="66"/>
      <c r="L1951" s="66"/>
      <c r="M1951" s="66"/>
      <c r="N1951" s="66"/>
      <c r="O1951" s="66"/>
      <c r="P1951" s="66"/>
      <c r="Q1951" s="66"/>
      <c r="R1951" s="66"/>
      <c r="S1951" s="66"/>
    </row>
    <row r="1952" spans="1:19" ht="18" customHeight="1">
      <c r="B1952" t="s">
        <v>243</v>
      </c>
      <c r="C1952" t="s">
        <v>790</v>
      </c>
      <c r="D1952" s="4"/>
      <c r="E1952" s="4">
        <v>1</v>
      </c>
      <c r="F1952" s="4"/>
      <c r="G1952" s="29" t="str">
        <f>IFERROR(HYPERLINK("#"&amp;ADDRESS(MATCH(B1952&amp;"ES",'LM7 Non-ENG'!$A$1:$A$5000,0),1,,,"LM7 Non-ENG"),IF(IFERROR(VLOOKUP(B1952&amp;"ES",'LM7 Non-ENG'!$A$1:$A$4999,1,FALSE),"ERROR")=B1952&amp;"ES","Y","")),"")</f>
        <v/>
      </c>
      <c r="H1952" s="29" t="str">
        <f>IFERROR(HYPERLINK("#"&amp;ADDRESS(MATCH(B1952&amp;"PT",'LM7 Non-ENG'!$A$1:$A$5000,0),1,,,"LM7 Non-ENG"),IF(IFERROR(VLOOKUP(B1952&amp;"PT",'LM7 Non-ENG'!$A$1:$A$5000,1,FALSE),"ERROR")=B1952&amp;"PT","Y","")),"")</f>
        <v/>
      </c>
      <c r="I1952" t="str">
        <f>IFERROR(VLOOKUP(B1952,PN!$A:$C,3,FALSE),"")</f>
        <v>Active</v>
      </c>
      <c r="J1952" s="3">
        <f>IFERROR(E1952*VLOOKUP(B1952,PLInter!$A:$D,3,FALSE),"")</f>
        <v>7366</v>
      </c>
      <c r="K1952" s="66"/>
      <c r="L1952" s="66"/>
      <c r="M1952" s="66"/>
      <c r="N1952" s="66"/>
      <c r="O1952" s="66"/>
      <c r="P1952" s="66"/>
      <c r="Q1952" s="66"/>
      <c r="R1952" s="66"/>
      <c r="S1952" s="66"/>
    </row>
    <row r="1953" spans="1:19" ht="18" customHeight="1">
      <c r="B1953" t="s">
        <v>917</v>
      </c>
      <c r="C1953" t="s">
        <v>918</v>
      </c>
      <c r="D1953" s="4"/>
      <c r="E1953" s="4">
        <v>1</v>
      </c>
      <c r="F1953" s="4"/>
      <c r="G1953" s="29" t="str">
        <f>IFERROR(HYPERLINK("#"&amp;ADDRESS(MATCH(B1953&amp;"ES",'LM7 Non-ENG'!$A$1:$A$5000,0),1,,,"LM7 Non-ENG"),IF(IFERROR(VLOOKUP(B1953&amp;"ES",'LM7 Non-ENG'!$A$1:$A$4999,1,FALSE),"ERROR")=B1953&amp;"ES","Y","")),"")</f>
        <v/>
      </c>
      <c r="H1953" s="29" t="str">
        <f>IFERROR(HYPERLINK("#"&amp;ADDRESS(MATCH(B1953&amp;"PT",'LM7 Non-ENG'!$A$1:$A$5000,0),1,,,"LM7 Non-ENG"),IF(IFERROR(VLOOKUP(B1953&amp;"PT",'LM7 Non-ENG'!$A$1:$A$5000,1,FALSE),"ERROR")=B1953&amp;"PT","Y","")),"")</f>
        <v/>
      </c>
      <c r="I1953" t="str">
        <f>IFERROR(VLOOKUP(B1953,PN!$A:$C,3,FALSE),"")</f>
        <v>Phase Out</v>
      </c>
      <c r="J1953" s="3">
        <f>IFERROR(E1953*VLOOKUP(B1953,PLInter!$A:$D,3,FALSE),"")</f>
        <v>1735</v>
      </c>
      <c r="K1953" s="66"/>
      <c r="L1953" s="66"/>
      <c r="M1953" s="66"/>
      <c r="N1953" s="66"/>
      <c r="O1953" s="66"/>
      <c r="P1953" s="66"/>
      <c r="Q1953" s="66"/>
      <c r="R1953" s="66"/>
      <c r="S1953" s="66"/>
    </row>
    <row r="1954" spans="1:19" ht="18" customHeight="1">
      <c r="B1954" t="s">
        <v>919</v>
      </c>
      <c r="C1954" t="s">
        <v>920</v>
      </c>
      <c r="D1954" s="4"/>
      <c r="E1954" s="4">
        <v>1</v>
      </c>
      <c r="F1954" s="4"/>
      <c r="G1954" s="29" t="str">
        <f>IFERROR(HYPERLINK("#"&amp;ADDRESS(MATCH(B1954&amp;"ES",'LM7 Non-ENG'!$A$1:$A$5000,0),1,,,"LM7 Non-ENG"),IF(IFERROR(VLOOKUP(B1954&amp;"ES",'LM7 Non-ENG'!$A$1:$A$4999,1,FALSE),"ERROR")=B1954&amp;"ES","Y","")),"")</f>
        <v/>
      </c>
      <c r="H1954" s="29" t="str">
        <f>IFERROR(HYPERLINK("#"&amp;ADDRESS(MATCH(B1954&amp;"PT",'LM7 Non-ENG'!$A$1:$A$5000,0),1,,,"LM7 Non-ENG"),IF(IFERROR(VLOOKUP(B1954&amp;"PT",'LM7 Non-ENG'!$A$1:$A$5000,1,FALSE),"ERROR")=B1954&amp;"PT","Y","")),"")</f>
        <v/>
      </c>
      <c r="I1954" t="str">
        <f>IFERROR(VLOOKUP(B1954,PN!$A:$C,3,FALSE),"")</f>
        <v>Active</v>
      </c>
      <c r="J1954" s="3">
        <f>IFERROR(E1954*VLOOKUP(B1954,PLInter!$A:$D,3,FALSE),"")</f>
        <v>635</v>
      </c>
      <c r="K1954" s="66"/>
      <c r="L1954" s="66"/>
      <c r="M1954" s="66"/>
      <c r="N1954" s="66"/>
      <c r="O1954" s="66"/>
      <c r="P1954" s="66"/>
      <c r="Q1954" s="66"/>
      <c r="R1954" s="66"/>
      <c r="S1954" s="66"/>
    </row>
    <row r="1955" spans="1:19" ht="18" customHeight="1">
      <c r="B1955" t="s">
        <v>704</v>
      </c>
      <c r="C1955" t="s">
        <v>705</v>
      </c>
      <c r="D1955" s="4"/>
      <c r="E1955" s="4">
        <v>1</v>
      </c>
      <c r="F1955" s="4"/>
      <c r="G1955" s="29" t="str">
        <f>IFERROR(HYPERLINK("#"&amp;ADDRESS(MATCH(B1955&amp;"ES",'LM7 Non-ENG'!$A$1:$A$5000,0),1,,,"LM7 Non-ENG"),IF(IFERROR(VLOOKUP(B1955&amp;"ES",'LM7 Non-ENG'!$A$1:$A$4999,1,FALSE),"ERROR")=B1955&amp;"ES","Y","")),"")</f>
        <v/>
      </c>
      <c r="H1955" s="29" t="str">
        <f>IFERROR(HYPERLINK("#"&amp;ADDRESS(MATCH(B1955&amp;"PT",'LM7 Non-ENG'!$A$1:$A$5000,0),1,,,"LM7 Non-ENG"),IF(IFERROR(VLOOKUP(B1955&amp;"PT",'LM7 Non-ENG'!$A$1:$A$5000,1,FALSE),"ERROR")=B1955&amp;"PT","Y","")),"")</f>
        <v/>
      </c>
      <c r="I1955" t="str">
        <f>IFERROR(VLOOKUP(B1955,PN!$A:$C,3,FALSE),"")</f>
        <v>Active</v>
      </c>
      <c r="J1955" s="3">
        <f>IFERROR(E1955*VLOOKUP(B1955,PLInter!$A:$D,3,FALSE),"")</f>
        <v>2640</v>
      </c>
      <c r="K1955" s="66"/>
      <c r="L1955" s="66"/>
      <c r="M1955" s="66"/>
      <c r="N1955" s="66"/>
      <c r="O1955" s="66"/>
      <c r="P1955" s="66"/>
      <c r="Q1955" s="66"/>
      <c r="R1955" s="66"/>
      <c r="S1955" s="66"/>
    </row>
    <row r="1956" spans="1:19" ht="18" customHeight="1">
      <c r="B1956" t="s">
        <v>644</v>
      </c>
      <c r="C1956" t="s">
        <v>645</v>
      </c>
      <c r="D1956" s="4"/>
      <c r="E1956" s="4">
        <v>1</v>
      </c>
      <c r="F1956" s="4"/>
      <c r="G1956" s="29" t="str">
        <f>IFERROR(HYPERLINK("#"&amp;ADDRESS(MATCH(B1956&amp;"ES",'LM7 Non-ENG'!$A$1:$A$5000,0),1,,,"LM7 Non-ENG"),IF(IFERROR(VLOOKUP(B1956&amp;"ES",'LM7 Non-ENG'!$A$1:$A$4999,1,FALSE),"ERROR")=B1956&amp;"ES","Y","")),"")</f>
        <v/>
      </c>
      <c r="H1956" s="29" t="str">
        <f>IFERROR(HYPERLINK("#"&amp;ADDRESS(MATCH(B1956&amp;"PT",'LM7 Non-ENG'!$A$1:$A$5000,0),1,,,"LM7 Non-ENG"),IF(IFERROR(VLOOKUP(B1956&amp;"PT",'LM7 Non-ENG'!$A$1:$A$5000,1,FALSE),"ERROR")=B1956&amp;"PT","Y","")),"")</f>
        <v/>
      </c>
      <c r="I1956" t="str">
        <f>IFERROR(VLOOKUP(B1956,PN!$A:$C,3,FALSE),"")</f>
        <v>Active</v>
      </c>
      <c r="J1956" s="3">
        <f>IFERROR(E1956*VLOOKUP(B1956,PLInter!$A:$D,3,FALSE),"")</f>
        <v>1800</v>
      </c>
      <c r="K1956" s="66"/>
      <c r="L1956" s="66"/>
      <c r="M1956" s="66"/>
      <c r="N1956" s="66"/>
      <c r="O1956" s="66"/>
      <c r="P1956" s="66"/>
      <c r="Q1956" s="66"/>
      <c r="R1956" s="66"/>
      <c r="S1956" s="66"/>
    </row>
    <row r="1957" spans="1:19" ht="18" customHeight="1">
      <c r="B1957" t="s">
        <v>697</v>
      </c>
      <c r="C1957" t="s">
        <v>698</v>
      </c>
      <c r="D1957" s="4"/>
      <c r="E1957" s="4">
        <v>1</v>
      </c>
      <c r="F1957" s="4"/>
      <c r="G1957" s="29" t="str">
        <f>IFERROR(HYPERLINK("#"&amp;ADDRESS(MATCH(B1957&amp;"ES",'LM7 Non-ENG'!$A$1:$A$5000,0),1,,,"LM7 Non-ENG"),IF(IFERROR(VLOOKUP(B1957&amp;"ES",'LM7 Non-ENG'!$A$1:$A$4999,1,FALSE),"ERROR")=B1957&amp;"ES","Y","")),"")</f>
        <v/>
      </c>
      <c r="H1957" s="29" t="str">
        <f>IFERROR(HYPERLINK("#"&amp;ADDRESS(MATCH(B1957&amp;"PT",'LM7 Non-ENG'!$A$1:$A$5000,0),1,,,"LM7 Non-ENG"),IF(IFERROR(VLOOKUP(B1957&amp;"PT",'LM7 Non-ENG'!$A$1:$A$5000,1,FALSE),"ERROR")=B1957&amp;"PT","Y","")),"")</f>
        <v/>
      </c>
      <c r="I1957" t="str">
        <f>IFERROR(VLOOKUP(B1957,PN!$A:$C,3,FALSE),"")</f>
        <v>Active</v>
      </c>
      <c r="J1957" s="3">
        <f>IFERROR(E1957*VLOOKUP(B1957,PLInter!$A:$D,3,FALSE),"")</f>
        <v>934</v>
      </c>
      <c r="K1957" s="66"/>
      <c r="L1957" s="66"/>
      <c r="M1957" s="66"/>
      <c r="N1957" s="66"/>
      <c r="O1957" s="66"/>
      <c r="P1957" s="66"/>
      <c r="Q1957" s="66"/>
      <c r="R1957" s="66"/>
      <c r="S1957" s="66"/>
    </row>
    <row r="1958" spans="1:19" ht="18" customHeight="1">
      <c r="B1958" t="s">
        <v>630</v>
      </c>
      <c r="C1958" t="s">
        <v>631</v>
      </c>
      <c r="D1958" s="4"/>
      <c r="E1958" s="4">
        <v>1</v>
      </c>
      <c r="F1958" s="4"/>
      <c r="G1958" s="29" t="str">
        <f>IFERROR(HYPERLINK("#"&amp;ADDRESS(MATCH(B1958&amp;"ES",'LM7 Non-ENG'!$A$1:$A$5000,0),1,,,"LM7 Non-ENG"),IF(IFERROR(VLOOKUP(B1958&amp;"ES",'LM7 Non-ENG'!$A$1:$A$4999,1,FALSE),"ERROR")=B1958&amp;"ES","Y","")),"")</f>
        <v/>
      </c>
      <c r="H1958" s="29" t="str">
        <f>IFERROR(HYPERLINK("#"&amp;ADDRESS(MATCH(B1958&amp;"PT",'LM7 Non-ENG'!$A$1:$A$5000,0),1,,,"LM7 Non-ENG"),IF(IFERROR(VLOOKUP(B1958&amp;"PT",'LM7 Non-ENG'!$A$1:$A$5000,1,FALSE),"ERROR")=B1958&amp;"PT","Y","")),"")</f>
        <v/>
      </c>
      <c r="I1958" t="str">
        <f>IFERROR(VLOOKUP(B1958,PN!$A:$C,3,FALSE),"")</f>
        <v>Active</v>
      </c>
      <c r="J1958" s="3">
        <f>IFERROR(E1958*VLOOKUP(B1958,PLInter!$A:$D,3,FALSE),"")</f>
        <v>1735</v>
      </c>
      <c r="K1958" s="66"/>
      <c r="L1958" s="66"/>
      <c r="M1958" s="66"/>
      <c r="N1958" s="66"/>
      <c r="O1958" s="66"/>
      <c r="P1958" s="66"/>
      <c r="Q1958" s="66"/>
      <c r="R1958" s="66"/>
      <c r="S1958" s="66"/>
    </row>
    <row r="1960" spans="1:19" s="7" customFormat="1" ht="18" customHeight="1">
      <c r="A1960" s="13" t="s">
        <v>1047</v>
      </c>
      <c r="B1960" s="13"/>
      <c r="C1960" s="13" t="s">
        <v>1048</v>
      </c>
      <c r="D1960" s="14"/>
      <c r="E1960" s="14"/>
      <c r="F1960" s="14"/>
      <c r="G1960" s="14"/>
      <c r="H1960" s="14"/>
      <c r="I1960" s="14"/>
      <c r="J1960" s="14">
        <f>SUMIFS(J1961:J1969,D1961:D1969,"&lt;&gt;Y",F1961:F1969,"&lt;&gt;Y",I1961:I1969,"&lt;&gt;Inactive",I1961:I1969,"&lt;&gt;ECO+NFS")</f>
        <v>21045</v>
      </c>
      <c r="K1960" s="14"/>
      <c r="L1960" s="14"/>
      <c r="M1960" s="14"/>
      <c r="N1960" s="14"/>
      <c r="O1960" s="14"/>
      <c r="P1960" s="14"/>
      <c r="Q1960" s="14"/>
      <c r="R1960" s="14"/>
      <c r="S1960" s="14"/>
    </row>
    <row r="1961" spans="1:19" ht="18" customHeight="1">
      <c r="A1961" s="17" t="str">
        <f>HYPERLINK("#"&amp;ADDRESS(MATCH(A1960,'CIM&amp;FMS'!$A$1:$A$4997,0),1,,,"CIM&amp;FMS"),"Back to Price List")</f>
        <v>Back to Price List</v>
      </c>
      <c r="B1961" t="s">
        <v>855</v>
      </c>
      <c r="C1961" t="s">
        <v>856</v>
      </c>
      <c r="D1961" s="4"/>
      <c r="E1961" s="4">
        <v>1</v>
      </c>
      <c r="F1961" s="4"/>
      <c r="G1961" s="29" t="str">
        <f>IFERROR(HYPERLINK("#"&amp;ADDRESS(MATCH(B1961&amp;"ES",'LM7 Non-ENG'!$A$1:$A$5000,0),1,,,"LM7 Non-ENG"),IF(IFERROR(VLOOKUP(B1961&amp;"ES",'LM7 Non-ENG'!$A$1:$A$4999,1,FALSE),"ERROR")=B1961&amp;"ES","Y","")),"")</f>
        <v/>
      </c>
      <c r="H1961" s="29" t="str">
        <f>IFERROR(HYPERLINK("#"&amp;ADDRESS(MATCH(B1961&amp;"PT",'LM7 Non-ENG'!$A$1:$A$5000,0),1,,,"LM7 Non-ENG"),IF(IFERROR(VLOOKUP(B1961&amp;"PT",'LM7 Non-ENG'!$A$1:$A$5000,1,FALSE),"ERROR")=B1961&amp;"PT","Y","")),"")</f>
        <v/>
      </c>
      <c r="I1961" t="str">
        <f>IFERROR(VLOOKUP(B1961,PN!$A:$C,3,FALSE),"")</f>
        <v>Active</v>
      </c>
      <c r="J1961" s="3">
        <f>IFERROR(E1961*VLOOKUP(B1961,PLInter!$A:$D,3,FALSE),"")</f>
        <v>6720</v>
      </c>
      <c r="K1961" s="66"/>
      <c r="L1961" s="66"/>
      <c r="M1961" s="66"/>
      <c r="N1961" s="66"/>
      <c r="O1961" s="66"/>
      <c r="P1961" s="66"/>
      <c r="Q1961" s="66"/>
      <c r="R1961" s="66"/>
      <c r="S1961" s="66"/>
    </row>
    <row r="1962" spans="1:19" ht="18" customHeight="1">
      <c r="B1962" t="s">
        <v>231</v>
      </c>
      <c r="C1962" t="s">
        <v>874</v>
      </c>
      <c r="D1962" s="4"/>
      <c r="E1962" s="4">
        <v>1</v>
      </c>
      <c r="F1962" s="4"/>
      <c r="G1962" s="29" t="str">
        <f>IFERROR(HYPERLINK("#"&amp;ADDRESS(MATCH(B1962&amp;"ES",'LM7 Non-ENG'!$A$1:$A$5000,0),1,,,"LM7 Non-ENG"),IF(IFERROR(VLOOKUP(B1962&amp;"ES",'LM7 Non-ENG'!$A$1:$A$4999,1,FALSE),"ERROR")=B1962&amp;"ES","Y","")),"")</f>
        <v/>
      </c>
      <c r="H1962" s="29" t="str">
        <f>IFERROR(HYPERLINK("#"&amp;ADDRESS(MATCH(B1962&amp;"PT",'LM7 Non-ENG'!$A$1:$A$5000,0),1,,,"LM7 Non-ENG"),IF(IFERROR(VLOOKUP(B1962&amp;"PT",'LM7 Non-ENG'!$A$1:$A$5000,1,FALSE),"ERROR")=B1962&amp;"PT","Y","")),"")</f>
        <v/>
      </c>
      <c r="I1962" t="str">
        <f>IFERROR(VLOOKUP(B1962,PN!$A:$C,3,FALSE),"")</f>
        <v>ECO-N2Buy</v>
      </c>
      <c r="J1962" s="3">
        <f>IFERROR(E1962*VLOOKUP(B1962,PLInter!$A:$D,3,FALSE),"")</f>
        <v>3200</v>
      </c>
      <c r="K1962" s="66"/>
      <c r="L1962" s="66"/>
      <c r="M1962" s="66"/>
      <c r="N1962" s="66"/>
      <c r="O1962" s="66"/>
      <c r="P1962" s="66"/>
      <c r="Q1962" s="66"/>
      <c r="R1962" s="66"/>
      <c r="S1962" s="66"/>
    </row>
    <row r="1963" spans="1:19" ht="18" customHeight="1">
      <c r="B1963" t="s">
        <v>684</v>
      </c>
      <c r="C1963" t="s">
        <v>685</v>
      </c>
      <c r="D1963" s="4"/>
      <c r="E1963" s="4">
        <v>1</v>
      </c>
      <c r="F1963" s="4"/>
      <c r="G1963" s="29" t="str">
        <f>IFERROR(HYPERLINK("#"&amp;ADDRESS(MATCH(B1963&amp;"ES",'LM7 Non-ENG'!$A$1:$A$5000,0),1,,,"LM7 Non-ENG"),IF(IFERROR(VLOOKUP(B1963&amp;"ES",'LM7 Non-ENG'!$A$1:$A$4999,1,FALSE),"ERROR")=B1963&amp;"ES","Y","")),"")</f>
        <v/>
      </c>
      <c r="H1963" s="29" t="str">
        <f>IFERROR(HYPERLINK("#"&amp;ADDRESS(MATCH(B1963&amp;"PT",'LM7 Non-ENG'!$A$1:$A$5000,0),1,,,"LM7 Non-ENG"),IF(IFERROR(VLOOKUP(B1963&amp;"PT",'LM7 Non-ENG'!$A$1:$A$5000,1,FALSE),"ERROR")=B1963&amp;"PT","Y","")),"")</f>
        <v/>
      </c>
      <c r="I1963" t="str">
        <f>IFERROR(VLOOKUP(B1963,PN!$A:$C,3,FALSE),"")</f>
        <v>Active</v>
      </c>
      <c r="J1963" s="3">
        <f>IFERROR(E1963*VLOOKUP(B1963,PLInter!$A:$D,3,FALSE),"")</f>
        <v>580</v>
      </c>
      <c r="K1963" s="66"/>
      <c r="L1963" s="66"/>
      <c r="M1963" s="66"/>
      <c r="N1963" s="66"/>
      <c r="O1963" s="66"/>
      <c r="P1963" s="66"/>
      <c r="Q1963" s="66"/>
      <c r="R1963" s="66"/>
      <c r="S1963" s="66"/>
    </row>
    <row r="1964" spans="1:19" ht="18" customHeight="1">
      <c r="B1964" t="s">
        <v>917</v>
      </c>
      <c r="C1964" t="s">
        <v>918</v>
      </c>
      <c r="D1964" s="4"/>
      <c r="E1964" s="4">
        <v>1</v>
      </c>
      <c r="F1964" s="4"/>
      <c r="G1964" s="29" t="str">
        <f>IFERROR(HYPERLINK("#"&amp;ADDRESS(MATCH(B1964&amp;"ES",'LM7 Non-ENG'!$A$1:$A$5000,0),1,,,"LM7 Non-ENG"),IF(IFERROR(VLOOKUP(B1964&amp;"ES",'LM7 Non-ENG'!$A$1:$A$4999,1,FALSE),"ERROR")=B1964&amp;"ES","Y","")),"")</f>
        <v/>
      </c>
      <c r="H1964" s="29" t="str">
        <f>IFERROR(HYPERLINK("#"&amp;ADDRESS(MATCH(B1964&amp;"PT",'LM7 Non-ENG'!$A$1:$A$5000,0),1,,,"LM7 Non-ENG"),IF(IFERROR(VLOOKUP(B1964&amp;"PT",'LM7 Non-ENG'!$A$1:$A$5000,1,FALSE),"ERROR")=B1964&amp;"PT","Y","")),"")</f>
        <v/>
      </c>
      <c r="I1964" t="str">
        <f>IFERROR(VLOOKUP(B1964,PN!$A:$C,3,FALSE),"")</f>
        <v>Phase Out</v>
      </c>
      <c r="J1964" s="3">
        <f>IFERROR(E1964*VLOOKUP(B1964,PLInter!$A:$D,3,FALSE),"")</f>
        <v>1735</v>
      </c>
      <c r="K1964" s="66"/>
      <c r="L1964" s="66"/>
      <c r="M1964" s="66"/>
      <c r="N1964" s="66"/>
      <c r="O1964" s="66"/>
      <c r="P1964" s="66"/>
      <c r="Q1964" s="66"/>
      <c r="R1964" s="66"/>
      <c r="S1964" s="66"/>
    </row>
    <row r="1965" spans="1:19" ht="18" customHeight="1">
      <c r="B1965" t="s">
        <v>919</v>
      </c>
      <c r="C1965" t="s">
        <v>920</v>
      </c>
      <c r="D1965" s="4"/>
      <c r="E1965" s="4">
        <v>1</v>
      </c>
      <c r="F1965" s="4"/>
      <c r="G1965" s="29" t="str">
        <f>IFERROR(HYPERLINK("#"&amp;ADDRESS(MATCH(B1965&amp;"ES",'LM7 Non-ENG'!$A$1:$A$5000,0),1,,,"LM7 Non-ENG"),IF(IFERROR(VLOOKUP(B1965&amp;"ES",'LM7 Non-ENG'!$A$1:$A$4999,1,FALSE),"ERROR")=B1965&amp;"ES","Y","")),"")</f>
        <v/>
      </c>
      <c r="H1965" s="29" t="str">
        <f>IFERROR(HYPERLINK("#"&amp;ADDRESS(MATCH(B1965&amp;"PT",'LM7 Non-ENG'!$A$1:$A$5000,0),1,,,"LM7 Non-ENG"),IF(IFERROR(VLOOKUP(B1965&amp;"PT",'LM7 Non-ENG'!$A$1:$A$5000,1,FALSE),"ERROR")=B1965&amp;"PT","Y","")),"")</f>
        <v/>
      </c>
      <c r="I1965" t="str">
        <f>IFERROR(VLOOKUP(B1965,PN!$A:$C,3,FALSE),"")</f>
        <v>Active</v>
      </c>
      <c r="J1965" s="3">
        <f>IFERROR(E1965*VLOOKUP(B1965,PLInter!$A:$D,3,FALSE),"")</f>
        <v>635</v>
      </c>
      <c r="K1965" s="66"/>
      <c r="L1965" s="66"/>
      <c r="M1965" s="66"/>
      <c r="N1965" s="66"/>
      <c r="O1965" s="66"/>
      <c r="P1965" s="66"/>
      <c r="Q1965" s="66"/>
      <c r="R1965" s="66"/>
      <c r="S1965" s="66"/>
    </row>
    <row r="1966" spans="1:19" ht="18" customHeight="1">
      <c r="B1966" t="s">
        <v>704</v>
      </c>
      <c r="C1966" t="s">
        <v>705</v>
      </c>
      <c r="D1966" s="4"/>
      <c r="E1966" s="4">
        <v>1</v>
      </c>
      <c r="F1966" s="4"/>
      <c r="G1966" s="29" t="str">
        <f>IFERROR(HYPERLINK("#"&amp;ADDRESS(MATCH(B1966&amp;"ES",'LM7 Non-ENG'!$A$1:$A$5000,0),1,,,"LM7 Non-ENG"),IF(IFERROR(VLOOKUP(B1966&amp;"ES",'LM7 Non-ENG'!$A$1:$A$4999,1,FALSE),"ERROR")=B1966&amp;"ES","Y","")),"")</f>
        <v/>
      </c>
      <c r="H1966" s="29" t="str">
        <f>IFERROR(HYPERLINK("#"&amp;ADDRESS(MATCH(B1966&amp;"PT",'LM7 Non-ENG'!$A$1:$A$5000,0),1,,,"LM7 Non-ENG"),IF(IFERROR(VLOOKUP(B1966&amp;"PT",'LM7 Non-ENG'!$A$1:$A$5000,1,FALSE),"ERROR")=B1966&amp;"PT","Y","")),"")</f>
        <v/>
      </c>
      <c r="I1966" t="str">
        <f>IFERROR(VLOOKUP(B1966,PN!$A:$C,3,FALSE),"")</f>
        <v>Active</v>
      </c>
      <c r="J1966" s="3">
        <f>IFERROR(E1966*VLOOKUP(B1966,PLInter!$A:$D,3,FALSE),"")</f>
        <v>2640</v>
      </c>
      <c r="K1966" s="66"/>
      <c r="L1966" s="66"/>
      <c r="M1966" s="66"/>
      <c r="N1966" s="66"/>
      <c r="O1966" s="66"/>
      <c r="P1966" s="66"/>
      <c r="Q1966" s="66"/>
      <c r="R1966" s="66"/>
      <c r="S1966" s="66"/>
    </row>
    <row r="1967" spans="1:19" ht="18" customHeight="1">
      <c r="B1967" t="s">
        <v>902</v>
      </c>
      <c r="C1967" t="s">
        <v>962</v>
      </c>
      <c r="D1967" s="4"/>
      <c r="E1967" s="4">
        <v>1</v>
      </c>
      <c r="F1967" s="4"/>
      <c r="G1967" s="29" t="str">
        <f>IFERROR(HYPERLINK("#"&amp;ADDRESS(MATCH(B1967&amp;"ES",'LM7 Non-ENG'!$A$1:$A$5000,0),1,,,"LM7 Non-ENG"),IF(IFERROR(VLOOKUP(B1967&amp;"ES",'LM7 Non-ENG'!$A$1:$A$4999,1,FALSE),"ERROR")=B1967&amp;"ES","Y","")),"")</f>
        <v/>
      </c>
      <c r="H1967" s="29" t="str">
        <f>IFERROR(HYPERLINK("#"&amp;ADDRESS(MATCH(B1967&amp;"PT",'LM7 Non-ENG'!$A$1:$A$5000,0),1,,,"LM7 Non-ENG"),IF(IFERROR(VLOOKUP(B1967&amp;"PT",'LM7 Non-ENG'!$A$1:$A$5000,1,FALSE),"ERROR")=B1967&amp;"PT","Y","")),"")</f>
        <v/>
      </c>
      <c r="I1967" t="str">
        <f>IFERROR(VLOOKUP(B1967,PN!$A:$C,3,FALSE),"")</f>
        <v>Active</v>
      </c>
      <c r="J1967" s="3">
        <f>IFERROR(E1967*VLOOKUP(B1967,PLInter!$A:$D,3,FALSE),"")</f>
        <v>2000</v>
      </c>
      <c r="K1967" s="66"/>
      <c r="L1967" s="66"/>
      <c r="M1967" s="66"/>
      <c r="N1967" s="66"/>
      <c r="O1967" s="66"/>
      <c r="P1967" s="66"/>
      <c r="Q1967" s="66"/>
      <c r="R1967" s="66"/>
      <c r="S1967" s="66"/>
    </row>
    <row r="1968" spans="1:19" ht="18" customHeight="1">
      <c r="B1968" t="s">
        <v>644</v>
      </c>
      <c r="C1968" t="s">
        <v>645</v>
      </c>
      <c r="D1968" s="4"/>
      <c r="E1968" s="4">
        <v>1</v>
      </c>
      <c r="F1968" s="4"/>
      <c r="G1968" s="29" t="str">
        <f>IFERROR(HYPERLINK("#"&amp;ADDRESS(MATCH(B1968&amp;"ES",'LM7 Non-ENG'!$A$1:$A$5000,0),1,,,"LM7 Non-ENG"),IF(IFERROR(VLOOKUP(B1968&amp;"ES",'LM7 Non-ENG'!$A$1:$A$4999,1,FALSE),"ERROR")=B1968&amp;"ES","Y","")),"")</f>
        <v/>
      </c>
      <c r="H1968" s="29" t="str">
        <f>IFERROR(HYPERLINK("#"&amp;ADDRESS(MATCH(B1968&amp;"PT",'LM7 Non-ENG'!$A$1:$A$5000,0),1,,,"LM7 Non-ENG"),IF(IFERROR(VLOOKUP(B1968&amp;"PT",'LM7 Non-ENG'!$A$1:$A$5000,1,FALSE),"ERROR")=B1968&amp;"PT","Y","")),"")</f>
        <v/>
      </c>
      <c r="I1968" t="str">
        <f>IFERROR(VLOOKUP(B1968,PN!$A:$C,3,FALSE),"")</f>
        <v>Active</v>
      </c>
      <c r="J1968" s="3">
        <f>IFERROR(E1968*VLOOKUP(B1968,PLInter!$A:$D,3,FALSE),"")</f>
        <v>1800</v>
      </c>
      <c r="K1968" s="66"/>
      <c r="L1968" s="66"/>
      <c r="M1968" s="66"/>
      <c r="N1968" s="66"/>
      <c r="O1968" s="66"/>
      <c r="P1968" s="66"/>
      <c r="Q1968" s="66"/>
      <c r="R1968" s="66"/>
      <c r="S1968" s="66"/>
    </row>
    <row r="1969" spans="1:19" ht="18" customHeight="1">
      <c r="B1969" t="s">
        <v>630</v>
      </c>
      <c r="C1969" t="s">
        <v>631</v>
      </c>
      <c r="D1969" s="4"/>
      <c r="E1969" s="4">
        <v>1</v>
      </c>
      <c r="F1969" s="4"/>
      <c r="G1969" s="29" t="str">
        <f>IFERROR(HYPERLINK("#"&amp;ADDRESS(MATCH(B1969&amp;"ES",'LM7 Non-ENG'!$A$1:$A$5000,0),1,,,"LM7 Non-ENG"),IF(IFERROR(VLOOKUP(B1969&amp;"ES",'LM7 Non-ENG'!$A$1:$A$4999,1,FALSE),"ERROR")=B1969&amp;"ES","Y","")),"")</f>
        <v/>
      </c>
      <c r="H1969" s="29" t="str">
        <f>IFERROR(HYPERLINK("#"&amp;ADDRESS(MATCH(B1969&amp;"PT",'LM7 Non-ENG'!$A$1:$A$5000,0),1,,,"LM7 Non-ENG"),IF(IFERROR(VLOOKUP(B1969&amp;"PT",'LM7 Non-ENG'!$A$1:$A$5000,1,FALSE),"ERROR")=B1969&amp;"PT","Y","")),"")</f>
        <v/>
      </c>
      <c r="I1969" t="str">
        <f>IFERROR(VLOOKUP(B1969,PN!$A:$C,3,FALSE),"")</f>
        <v>Active</v>
      </c>
      <c r="J1969" s="3">
        <f>IFERROR(E1969*VLOOKUP(B1969,PLInter!$A:$D,3,FALSE),"")</f>
        <v>1735</v>
      </c>
      <c r="K1969" s="66"/>
      <c r="L1969" s="66"/>
      <c r="M1969" s="66"/>
      <c r="N1969" s="66"/>
      <c r="O1969" s="66"/>
      <c r="P1969" s="66"/>
      <c r="Q1969" s="66"/>
      <c r="R1969" s="66"/>
      <c r="S1969" s="66"/>
    </row>
    <row r="1971" spans="1:19" s="7" customFormat="1" ht="18" customHeight="1">
      <c r="A1971" s="13" t="s">
        <v>1049</v>
      </c>
      <c r="B1971" s="13"/>
      <c r="C1971" s="13" t="s">
        <v>1050</v>
      </c>
      <c r="D1971" s="14"/>
      <c r="E1971" s="14"/>
      <c r="F1971" s="14"/>
      <c r="G1971" s="14"/>
      <c r="H1971" s="14"/>
      <c r="I1971" s="14"/>
      <c r="J1971" s="14">
        <f>SUMIFS(J1972:J1981,D1972:D1981,"&lt;&gt;Y",F1972:F1981,"&lt;&gt;Y",I1972:I1981,"&lt;&gt;Inactive",I1972:I1981,"&lt;&gt;ECO+NFS")</f>
        <v>35279</v>
      </c>
      <c r="K1971" s="14"/>
      <c r="L1971" s="14"/>
      <c r="M1971" s="14"/>
      <c r="N1971" s="14"/>
      <c r="O1971" s="14"/>
      <c r="P1971" s="14"/>
      <c r="Q1971" s="14"/>
      <c r="R1971" s="14"/>
      <c r="S1971" s="14"/>
    </row>
    <row r="1972" spans="1:19" ht="18" customHeight="1">
      <c r="A1972" s="17" t="str">
        <f>HYPERLINK("#"&amp;ADDRESS(MATCH(A1971,'CIM&amp;FMS'!$A$1:$A$4997,0),1,,,"CIM&amp;FMS"),"Back to Price List")</f>
        <v>Back to Price List</v>
      </c>
      <c r="B1972" t="s">
        <v>855</v>
      </c>
      <c r="C1972" t="s">
        <v>856</v>
      </c>
      <c r="D1972" s="4"/>
      <c r="E1972" s="4">
        <v>1</v>
      </c>
      <c r="F1972" s="4"/>
      <c r="G1972" s="29" t="str">
        <f>IFERROR(HYPERLINK("#"&amp;ADDRESS(MATCH(B1972&amp;"ES",'LM7 Non-ENG'!$A$1:$A$5000,0),1,,,"LM7 Non-ENG"),IF(IFERROR(VLOOKUP(B1972&amp;"ES",'LM7 Non-ENG'!$A$1:$A$4999,1,FALSE),"ERROR")=B1972&amp;"ES","Y","")),"")</f>
        <v/>
      </c>
      <c r="H1972" s="29" t="str">
        <f>IFERROR(HYPERLINK("#"&amp;ADDRESS(MATCH(B1972&amp;"PT",'LM7 Non-ENG'!$A$1:$A$5000,0),1,,,"LM7 Non-ENG"),IF(IFERROR(VLOOKUP(B1972&amp;"PT",'LM7 Non-ENG'!$A$1:$A$5000,1,FALSE),"ERROR")=B1972&amp;"PT","Y","")),"")</f>
        <v/>
      </c>
      <c r="I1972" t="str">
        <f>IFERROR(VLOOKUP(B1972,PN!$A:$C,3,FALSE),"")</f>
        <v>Active</v>
      </c>
      <c r="J1972" s="3">
        <f>IFERROR(E1972*VLOOKUP(B1972,PLInter!$A:$D,3,FALSE),"")</f>
        <v>6720</v>
      </c>
      <c r="K1972" s="66"/>
      <c r="L1972" s="66"/>
      <c r="M1972" s="66"/>
      <c r="N1972" s="66"/>
      <c r="O1972" s="66"/>
      <c r="P1972" s="66"/>
      <c r="Q1972" s="66"/>
      <c r="R1972" s="66"/>
      <c r="S1972" s="66"/>
    </row>
    <row r="1973" spans="1:19" ht="18" customHeight="1">
      <c r="B1973" t="s">
        <v>231</v>
      </c>
      <c r="C1973" t="s">
        <v>874</v>
      </c>
      <c r="D1973" s="4"/>
      <c r="E1973" s="4">
        <v>1</v>
      </c>
      <c r="F1973" s="4"/>
      <c r="G1973" s="29" t="str">
        <f>IFERROR(HYPERLINK("#"&amp;ADDRESS(MATCH(B1973&amp;"ES",'LM7 Non-ENG'!$A$1:$A$5000,0),1,,,"LM7 Non-ENG"),IF(IFERROR(VLOOKUP(B1973&amp;"ES",'LM7 Non-ENG'!$A$1:$A$4999,1,FALSE),"ERROR")=B1973&amp;"ES","Y","")),"")</f>
        <v/>
      </c>
      <c r="H1973" s="29" t="str">
        <f>IFERROR(HYPERLINK("#"&amp;ADDRESS(MATCH(B1973&amp;"PT",'LM7 Non-ENG'!$A$1:$A$5000,0),1,,,"LM7 Non-ENG"),IF(IFERROR(VLOOKUP(B1973&amp;"PT",'LM7 Non-ENG'!$A$1:$A$5000,1,FALSE),"ERROR")=B1973&amp;"PT","Y","")),"")</f>
        <v/>
      </c>
      <c r="I1973" t="str">
        <f>IFERROR(VLOOKUP(B1973,PN!$A:$C,3,FALSE),"")</f>
        <v>ECO-N2Buy</v>
      </c>
      <c r="J1973" s="3">
        <f>IFERROR(E1973*VLOOKUP(B1973,PLInter!$A:$D,3,FALSE),"")</f>
        <v>3200</v>
      </c>
      <c r="K1973" s="66"/>
      <c r="L1973" s="66"/>
      <c r="M1973" s="66"/>
      <c r="N1973" s="66"/>
      <c r="O1973" s="66"/>
      <c r="P1973" s="66"/>
      <c r="Q1973" s="66"/>
      <c r="R1973" s="66"/>
      <c r="S1973" s="66"/>
    </row>
    <row r="1974" spans="1:19" ht="18" customHeight="1">
      <c r="B1974" t="s">
        <v>858</v>
      </c>
      <c r="C1974" t="s">
        <v>859</v>
      </c>
      <c r="D1974" s="4"/>
      <c r="E1974" s="4">
        <v>1</v>
      </c>
      <c r="F1974" s="4"/>
      <c r="G1974" s="29" t="str">
        <f>IFERROR(HYPERLINK("#"&amp;ADDRESS(MATCH(B1974&amp;"ES",'LM7 Non-ENG'!$A$1:$A$5000,0),1,,,"LM7 Non-ENG"),IF(IFERROR(VLOOKUP(B1974&amp;"ES",'LM7 Non-ENG'!$A$1:$A$4999,1,FALSE),"ERROR")=B1974&amp;"ES","Y","")),"")</f>
        <v/>
      </c>
      <c r="H1974" s="29" t="str">
        <f>IFERROR(HYPERLINK("#"&amp;ADDRESS(MATCH(B1974&amp;"PT",'LM7 Non-ENG'!$A$1:$A$5000,0),1,,,"LM7 Non-ENG"),IF(IFERROR(VLOOKUP(B1974&amp;"PT",'LM7 Non-ENG'!$A$1:$A$5000,1,FALSE),"ERROR")=B1974&amp;"PT","Y","")),"")</f>
        <v/>
      </c>
      <c r="I1974" t="str">
        <f>IFERROR(VLOOKUP(B1974,PN!$A:$C,3,FALSE),"")</f>
        <v>Active</v>
      </c>
      <c r="J1974" s="3">
        <f>IFERROR(E1974*VLOOKUP(B1974,PLInter!$A:$D,3,FALSE),"")</f>
        <v>15300</v>
      </c>
      <c r="K1974" s="66"/>
      <c r="L1974" s="66"/>
      <c r="M1974" s="66"/>
      <c r="N1974" s="66"/>
      <c r="O1974" s="66"/>
      <c r="P1974" s="66"/>
      <c r="Q1974" s="66"/>
      <c r="R1974" s="66"/>
      <c r="S1974" s="66"/>
    </row>
    <row r="1975" spans="1:19" ht="18" customHeight="1">
      <c r="B1975" t="s">
        <v>684</v>
      </c>
      <c r="C1975" t="s">
        <v>685</v>
      </c>
      <c r="D1975" s="4"/>
      <c r="E1975" s="4">
        <v>1</v>
      </c>
      <c r="F1975" s="4"/>
      <c r="G1975" s="29" t="str">
        <f>IFERROR(HYPERLINK("#"&amp;ADDRESS(MATCH(B1975&amp;"ES",'LM7 Non-ENG'!$A$1:$A$5000,0),1,,,"LM7 Non-ENG"),IF(IFERROR(VLOOKUP(B1975&amp;"ES",'LM7 Non-ENG'!$A$1:$A$4999,1,FALSE),"ERROR")=B1975&amp;"ES","Y","")),"")</f>
        <v/>
      </c>
      <c r="H1975" s="29" t="str">
        <f>IFERROR(HYPERLINK("#"&amp;ADDRESS(MATCH(B1975&amp;"PT",'LM7 Non-ENG'!$A$1:$A$5000,0),1,,,"LM7 Non-ENG"),IF(IFERROR(VLOOKUP(B1975&amp;"PT",'LM7 Non-ENG'!$A$1:$A$5000,1,FALSE),"ERROR")=B1975&amp;"PT","Y","")),"")</f>
        <v/>
      </c>
      <c r="I1975" t="str">
        <f>IFERROR(VLOOKUP(B1975,PN!$A:$C,3,FALSE),"")</f>
        <v>Active</v>
      </c>
      <c r="J1975" s="3">
        <f>IFERROR(E1975*VLOOKUP(B1975,PLInter!$A:$D,3,FALSE),"")</f>
        <v>580</v>
      </c>
      <c r="K1975" s="66"/>
      <c r="L1975" s="66"/>
      <c r="M1975" s="66"/>
      <c r="N1975" s="66"/>
      <c r="O1975" s="66"/>
      <c r="P1975" s="66"/>
      <c r="Q1975" s="66"/>
      <c r="R1975" s="66"/>
      <c r="S1975" s="66"/>
    </row>
    <row r="1976" spans="1:19" ht="18" customHeight="1">
      <c r="B1976" t="s">
        <v>917</v>
      </c>
      <c r="C1976" t="s">
        <v>918</v>
      </c>
      <c r="D1976" s="4"/>
      <c r="E1976" s="4">
        <v>1</v>
      </c>
      <c r="F1976" s="4"/>
      <c r="G1976" s="29" t="str">
        <f>IFERROR(HYPERLINK("#"&amp;ADDRESS(MATCH(B1976&amp;"ES",'LM7 Non-ENG'!$A$1:$A$5000,0),1,,,"LM7 Non-ENG"),IF(IFERROR(VLOOKUP(B1976&amp;"ES",'LM7 Non-ENG'!$A$1:$A$4999,1,FALSE),"ERROR")=B1976&amp;"ES","Y","")),"")</f>
        <v/>
      </c>
      <c r="H1976" s="29" t="str">
        <f>IFERROR(HYPERLINK("#"&amp;ADDRESS(MATCH(B1976&amp;"PT",'LM7 Non-ENG'!$A$1:$A$5000,0),1,,,"LM7 Non-ENG"),IF(IFERROR(VLOOKUP(B1976&amp;"PT",'LM7 Non-ENG'!$A$1:$A$5000,1,FALSE),"ERROR")=B1976&amp;"PT","Y","")),"")</f>
        <v/>
      </c>
      <c r="I1976" t="str">
        <f>IFERROR(VLOOKUP(B1976,PN!$A:$C,3,FALSE),"")</f>
        <v>Phase Out</v>
      </c>
      <c r="J1976" s="3">
        <f>IFERROR(E1976*VLOOKUP(B1976,PLInter!$A:$D,3,FALSE),"")</f>
        <v>1735</v>
      </c>
      <c r="K1976" s="66"/>
      <c r="L1976" s="66"/>
      <c r="M1976" s="66"/>
      <c r="N1976" s="66"/>
      <c r="O1976" s="66"/>
      <c r="P1976" s="66"/>
      <c r="Q1976" s="66"/>
      <c r="R1976" s="66"/>
      <c r="S1976" s="66"/>
    </row>
    <row r="1977" spans="1:19" ht="18" customHeight="1">
      <c r="B1977" t="s">
        <v>919</v>
      </c>
      <c r="C1977" t="s">
        <v>920</v>
      </c>
      <c r="D1977" s="4"/>
      <c r="E1977" s="4">
        <v>1</v>
      </c>
      <c r="F1977" s="4"/>
      <c r="G1977" s="29" t="str">
        <f>IFERROR(HYPERLINK("#"&amp;ADDRESS(MATCH(B1977&amp;"ES",'LM7 Non-ENG'!$A$1:$A$5000,0),1,,,"LM7 Non-ENG"),IF(IFERROR(VLOOKUP(B1977&amp;"ES",'LM7 Non-ENG'!$A$1:$A$4999,1,FALSE),"ERROR")=B1977&amp;"ES","Y","")),"")</f>
        <v/>
      </c>
      <c r="H1977" s="29" t="str">
        <f>IFERROR(HYPERLINK("#"&amp;ADDRESS(MATCH(B1977&amp;"PT",'LM7 Non-ENG'!$A$1:$A$5000,0),1,,,"LM7 Non-ENG"),IF(IFERROR(VLOOKUP(B1977&amp;"PT",'LM7 Non-ENG'!$A$1:$A$5000,1,FALSE),"ERROR")=B1977&amp;"PT","Y","")),"")</f>
        <v/>
      </c>
      <c r="I1977" t="str">
        <f>IFERROR(VLOOKUP(B1977,PN!$A:$C,3,FALSE),"")</f>
        <v>Active</v>
      </c>
      <c r="J1977" s="3">
        <f>IFERROR(E1977*VLOOKUP(B1977,PLInter!$A:$D,3,FALSE),"")</f>
        <v>635</v>
      </c>
      <c r="K1977" s="66"/>
      <c r="L1977" s="66"/>
      <c r="M1977" s="66"/>
      <c r="N1977" s="66"/>
      <c r="O1977" s="66"/>
      <c r="P1977" s="66"/>
      <c r="Q1977" s="66"/>
      <c r="R1977" s="66"/>
      <c r="S1977" s="66"/>
    </row>
    <row r="1978" spans="1:19" ht="18" customHeight="1">
      <c r="B1978" t="s">
        <v>704</v>
      </c>
      <c r="C1978" t="s">
        <v>705</v>
      </c>
      <c r="D1978" s="4"/>
      <c r="E1978" s="4">
        <v>1</v>
      </c>
      <c r="F1978" s="4"/>
      <c r="G1978" s="29" t="str">
        <f>IFERROR(HYPERLINK("#"&amp;ADDRESS(MATCH(B1978&amp;"ES",'LM7 Non-ENG'!$A$1:$A$5000,0),1,,,"LM7 Non-ENG"),IF(IFERROR(VLOOKUP(B1978&amp;"ES",'LM7 Non-ENG'!$A$1:$A$4999,1,FALSE),"ERROR")=B1978&amp;"ES","Y","")),"")</f>
        <v/>
      </c>
      <c r="H1978" s="29" t="str">
        <f>IFERROR(HYPERLINK("#"&amp;ADDRESS(MATCH(B1978&amp;"PT",'LM7 Non-ENG'!$A$1:$A$5000,0),1,,,"LM7 Non-ENG"),IF(IFERROR(VLOOKUP(B1978&amp;"PT",'LM7 Non-ENG'!$A$1:$A$5000,1,FALSE),"ERROR")=B1978&amp;"PT","Y","")),"")</f>
        <v/>
      </c>
      <c r="I1978" t="str">
        <f>IFERROR(VLOOKUP(B1978,PN!$A:$C,3,FALSE),"")</f>
        <v>Active</v>
      </c>
      <c r="J1978" s="3">
        <f>IFERROR(E1978*VLOOKUP(B1978,PLInter!$A:$D,3,FALSE),"")</f>
        <v>2640</v>
      </c>
      <c r="K1978" s="66"/>
      <c r="L1978" s="66"/>
      <c r="M1978" s="66"/>
      <c r="N1978" s="66"/>
      <c r="O1978" s="66"/>
      <c r="P1978" s="66"/>
      <c r="Q1978" s="66"/>
      <c r="R1978" s="66"/>
      <c r="S1978" s="66"/>
    </row>
    <row r="1979" spans="1:19" ht="18" customHeight="1">
      <c r="B1979" t="s">
        <v>644</v>
      </c>
      <c r="C1979" t="s">
        <v>645</v>
      </c>
      <c r="D1979" s="4"/>
      <c r="E1979" s="4">
        <v>1</v>
      </c>
      <c r="F1979" s="4"/>
      <c r="G1979" s="29" t="str">
        <f>IFERROR(HYPERLINK("#"&amp;ADDRESS(MATCH(B1979&amp;"ES",'LM7 Non-ENG'!$A$1:$A$5000,0),1,,,"LM7 Non-ENG"),IF(IFERROR(VLOOKUP(B1979&amp;"ES",'LM7 Non-ENG'!$A$1:$A$4999,1,FALSE),"ERROR")=B1979&amp;"ES","Y","")),"")</f>
        <v/>
      </c>
      <c r="H1979" s="29" t="str">
        <f>IFERROR(HYPERLINK("#"&amp;ADDRESS(MATCH(B1979&amp;"PT",'LM7 Non-ENG'!$A$1:$A$5000,0),1,,,"LM7 Non-ENG"),IF(IFERROR(VLOOKUP(B1979&amp;"PT",'LM7 Non-ENG'!$A$1:$A$5000,1,FALSE),"ERROR")=B1979&amp;"PT","Y","")),"")</f>
        <v/>
      </c>
      <c r="I1979" t="str">
        <f>IFERROR(VLOOKUP(B1979,PN!$A:$C,3,FALSE),"")</f>
        <v>Active</v>
      </c>
      <c r="J1979" s="3">
        <f>IFERROR(E1979*VLOOKUP(B1979,PLInter!$A:$D,3,FALSE),"")</f>
        <v>1800</v>
      </c>
      <c r="K1979" s="66"/>
      <c r="L1979" s="66"/>
      <c r="M1979" s="66"/>
      <c r="N1979" s="66"/>
      <c r="O1979" s="66"/>
      <c r="P1979" s="66"/>
      <c r="Q1979" s="66"/>
      <c r="R1979" s="66"/>
      <c r="S1979" s="66"/>
    </row>
    <row r="1980" spans="1:19" ht="18" customHeight="1">
      <c r="B1980" t="s">
        <v>697</v>
      </c>
      <c r="C1980" t="s">
        <v>698</v>
      </c>
      <c r="D1980" s="4"/>
      <c r="E1980" s="4">
        <v>1</v>
      </c>
      <c r="F1980" s="4"/>
      <c r="G1980" s="29" t="str">
        <f>IFERROR(HYPERLINK("#"&amp;ADDRESS(MATCH(B1980&amp;"ES",'LM7 Non-ENG'!$A$1:$A$5000,0),1,,,"LM7 Non-ENG"),IF(IFERROR(VLOOKUP(B1980&amp;"ES",'LM7 Non-ENG'!$A$1:$A$4999,1,FALSE),"ERROR")=B1980&amp;"ES","Y","")),"")</f>
        <v/>
      </c>
      <c r="H1980" s="29" t="str">
        <f>IFERROR(HYPERLINK("#"&amp;ADDRESS(MATCH(B1980&amp;"PT",'LM7 Non-ENG'!$A$1:$A$5000,0),1,,,"LM7 Non-ENG"),IF(IFERROR(VLOOKUP(B1980&amp;"PT",'LM7 Non-ENG'!$A$1:$A$5000,1,FALSE),"ERROR")=B1980&amp;"PT","Y","")),"")</f>
        <v/>
      </c>
      <c r="I1980" t="str">
        <f>IFERROR(VLOOKUP(B1980,PN!$A:$C,3,FALSE),"")</f>
        <v>Active</v>
      </c>
      <c r="J1980" s="3">
        <f>IFERROR(E1980*VLOOKUP(B1980,PLInter!$A:$D,3,FALSE),"")</f>
        <v>934</v>
      </c>
      <c r="K1980" s="66"/>
      <c r="L1980" s="66"/>
      <c r="M1980" s="66"/>
      <c r="N1980" s="66"/>
      <c r="O1980" s="66"/>
      <c r="P1980" s="66"/>
      <c r="Q1980" s="66"/>
      <c r="R1980" s="66"/>
      <c r="S1980" s="66"/>
    </row>
    <row r="1981" spans="1:19" ht="18" customHeight="1">
      <c r="B1981" t="s">
        <v>630</v>
      </c>
      <c r="C1981" t="s">
        <v>631</v>
      </c>
      <c r="D1981" s="4"/>
      <c r="E1981" s="4">
        <v>1</v>
      </c>
      <c r="F1981" s="4"/>
      <c r="G1981" s="29" t="str">
        <f>IFERROR(HYPERLINK("#"&amp;ADDRESS(MATCH(B1981&amp;"ES",'LM7 Non-ENG'!$A$1:$A$5000,0),1,,,"LM7 Non-ENG"),IF(IFERROR(VLOOKUP(B1981&amp;"ES",'LM7 Non-ENG'!$A$1:$A$4999,1,FALSE),"ERROR")=B1981&amp;"ES","Y","")),"")</f>
        <v/>
      </c>
      <c r="H1981" s="29" t="str">
        <f>IFERROR(HYPERLINK("#"&amp;ADDRESS(MATCH(B1981&amp;"PT",'LM7 Non-ENG'!$A$1:$A$5000,0),1,,,"LM7 Non-ENG"),IF(IFERROR(VLOOKUP(B1981&amp;"PT",'LM7 Non-ENG'!$A$1:$A$5000,1,FALSE),"ERROR")=B1981&amp;"PT","Y","")),"")</f>
        <v/>
      </c>
      <c r="I1981" t="str">
        <f>IFERROR(VLOOKUP(B1981,PN!$A:$C,3,FALSE),"")</f>
        <v>Active</v>
      </c>
      <c r="J1981" s="3">
        <f>IFERROR(E1981*VLOOKUP(B1981,PLInter!$A:$D,3,FALSE),"")</f>
        <v>1735</v>
      </c>
      <c r="K1981" s="66"/>
      <c r="L1981" s="66"/>
      <c r="M1981" s="66"/>
      <c r="N1981" s="66"/>
      <c r="O1981" s="66"/>
      <c r="P1981" s="66"/>
      <c r="Q1981" s="66"/>
      <c r="R1981" s="66"/>
      <c r="S1981" s="66"/>
    </row>
    <row r="1983" spans="1:19" s="7" customFormat="1" ht="18" customHeight="1">
      <c r="A1983" s="13" t="s">
        <v>1051</v>
      </c>
      <c r="B1983" s="13"/>
      <c r="C1983" s="13" t="s">
        <v>1052</v>
      </c>
      <c r="D1983" s="14"/>
      <c r="E1983" s="14"/>
      <c r="F1983" s="14"/>
      <c r="G1983" s="14"/>
      <c r="H1983" s="14"/>
      <c r="I1983" s="14"/>
      <c r="J1983" s="14">
        <f>SUMIFS(J1984:J1997,D1984:D1997,"&lt;&gt;Y",F1984:F1997,"&lt;&gt;Y",I1984:I1997,"&lt;&gt;Inactive",I1984:I1997,"&lt;&gt;ECO+NFS")</f>
        <v>52672</v>
      </c>
      <c r="K1983" s="14"/>
      <c r="L1983" s="14"/>
      <c r="M1983" s="14"/>
      <c r="N1983" s="14"/>
      <c r="O1983" s="14"/>
      <c r="P1983" s="14"/>
      <c r="Q1983" s="14"/>
      <c r="R1983" s="14"/>
      <c r="S1983" s="14"/>
    </row>
    <row r="1984" spans="1:19" ht="18" customHeight="1">
      <c r="A1984" s="17" t="str">
        <f>HYPERLINK("#"&amp;ADDRESS(MATCH(A1983,'CIM&amp;FMS'!$A$1:$A$4997,0),1,,,"CIM&amp;FMS"),"Back to Price List")</f>
        <v>Back to Price List</v>
      </c>
      <c r="B1984" t="s">
        <v>215</v>
      </c>
      <c r="C1984" t="s">
        <v>967</v>
      </c>
      <c r="D1984" s="4"/>
      <c r="E1984" s="4">
        <v>1</v>
      </c>
      <c r="F1984" s="4"/>
      <c r="G1984" s="29" t="str">
        <f>IFERROR(HYPERLINK("#"&amp;ADDRESS(MATCH(B1984&amp;"ES",'LM7 Non-ENG'!$A$1:$A$5000,0),1,,,"LM7 Non-ENG"),IF(IFERROR(VLOOKUP(B1984&amp;"ES",'LM7 Non-ENG'!$A$1:$A$4999,1,FALSE),"ERROR")=B1984&amp;"ES","Y","")),"")</f>
        <v/>
      </c>
      <c r="H1984" s="29" t="str">
        <f>IFERROR(HYPERLINK("#"&amp;ADDRESS(MATCH(B1984&amp;"PT",'LM7 Non-ENG'!$A$1:$A$5000,0),1,,,"LM7 Non-ENG"),IF(IFERROR(VLOOKUP(B1984&amp;"PT",'LM7 Non-ENG'!$A$1:$A$5000,1,FALSE),"ERROR")=B1984&amp;"PT","Y","")),"")</f>
        <v/>
      </c>
      <c r="I1984" t="str">
        <f>IFERROR(VLOOKUP(B1984,PN!$A:$C,3,FALSE),"")</f>
        <v>Active</v>
      </c>
      <c r="J1984" s="3">
        <f>IFERROR(E1984*VLOOKUP(B1984,PLInter!$A:$D,3,FALSE),"")</f>
        <v>35000</v>
      </c>
      <c r="K1984" s="66"/>
      <c r="L1984" s="66"/>
      <c r="M1984" s="66"/>
      <c r="N1984" s="66"/>
      <c r="O1984" s="66"/>
      <c r="P1984" s="66"/>
      <c r="Q1984" s="66"/>
      <c r="R1984" s="66"/>
      <c r="S1984" s="66"/>
    </row>
    <row r="1985" spans="1:19" ht="18" customHeight="1">
      <c r="B1985" t="s">
        <v>230</v>
      </c>
      <c r="C1985" t="s">
        <v>235</v>
      </c>
      <c r="D1985" s="4"/>
      <c r="E1985" s="4">
        <v>1</v>
      </c>
      <c r="F1985" s="4"/>
      <c r="G1985" s="29" t="str">
        <f>IFERROR(HYPERLINK("#"&amp;ADDRESS(MATCH(B1985&amp;"ES",'LM7 Non-ENG'!$A$1:$A$5000,0),1,,,"LM7 Non-ENG"),IF(IFERROR(VLOOKUP(B1985&amp;"ES",'LM7 Non-ENG'!$A$1:$A$4999,1,FALSE),"ERROR")=B1985&amp;"ES","Y","")),"")</f>
        <v/>
      </c>
      <c r="H1985" s="29" t="str">
        <f>IFERROR(HYPERLINK("#"&amp;ADDRESS(MATCH(B1985&amp;"PT",'LM7 Non-ENG'!$A$1:$A$5000,0),1,,,"LM7 Non-ENG"),IF(IFERROR(VLOOKUP(B1985&amp;"PT",'LM7 Non-ENG'!$A$1:$A$5000,1,FALSE),"ERROR")=B1985&amp;"PT","Y","")),"")</f>
        <v/>
      </c>
      <c r="I1985" t="str">
        <f>IFERROR(VLOOKUP(B1985,PN!$A:$C,3,FALSE),"")</f>
        <v>Active</v>
      </c>
      <c r="J1985" s="3">
        <f>IFERROR(E1985*VLOOKUP(B1985,PLInter!$A:$D,3,FALSE),"")</f>
        <v>3200</v>
      </c>
      <c r="K1985" s="66"/>
      <c r="L1985" s="66"/>
      <c r="M1985" s="66"/>
      <c r="N1985" s="66"/>
      <c r="O1985" s="66"/>
      <c r="P1985" s="66"/>
      <c r="Q1985" s="66"/>
      <c r="R1985" s="66"/>
      <c r="S1985" s="66"/>
    </row>
    <row r="1986" spans="1:19" ht="18" customHeight="1">
      <c r="B1986" t="str">
        <f>"021031"</f>
        <v>021031</v>
      </c>
      <c r="C1986" s="41" t="s">
        <v>1008</v>
      </c>
      <c r="D1986" s="4"/>
      <c r="E1986" s="4">
        <v>4</v>
      </c>
      <c r="F1986" s="4"/>
      <c r="G1986" s="29" t="str">
        <f>IFERROR(HYPERLINK("#"&amp;ADDRESS(MATCH(B1986&amp;"ES",'LM7 Non-ENG'!$A$1:$A$5000,0),1,,,"LM7 Non-ENG"),IF(IFERROR(VLOOKUP(B1986&amp;"ES",'LM7 Non-ENG'!$A$1:$A$4999,1,FALSE),"ERROR")=B1986&amp;"ES","Y","")),"")</f>
        <v/>
      </c>
      <c r="H1986" s="29" t="str">
        <f>IFERROR(HYPERLINK("#"&amp;ADDRESS(MATCH(B1986&amp;"PT",'LM7 Non-ENG'!$A$1:$A$5000,0),1,,,"LM7 Non-ENG"),IF(IFERROR(VLOOKUP(B1986&amp;"PT",'LM7 Non-ENG'!$A$1:$A$5000,1,FALSE),"ERROR")=B1986&amp;"PT","Y","")),"")</f>
        <v/>
      </c>
      <c r="I1986" t="str">
        <f>IFERROR(VLOOKUP(B1986,PN!$A:$C,3,FALSE),"")</f>
        <v>Active</v>
      </c>
      <c r="J1986" s="3">
        <f>IFERROR(E1986*VLOOKUP(B1986,PLInter!$A:$D,3,FALSE),"")</f>
        <v>216</v>
      </c>
      <c r="K1986" s="66"/>
      <c r="L1986" s="66"/>
      <c r="M1986" s="66"/>
      <c r="N1986" s="66"/>
      <c r="O1986" s="66"/>
      <c r="P1986" s="66"/>
      <c r="Q1986" s="66"/>
      <c r="R1986" s="66"/>
      <c r="S1986" s="66"/>
    </row>
    <row r="1987" spans="1:19" ht="18" customHeight="1">
      <c r="B1987" t="s">
        <v>684</v>
      </c>
      <c r="C1987" t="s">
        <v>685</v>
      </c>
      <c r="D1987" s="4"/>
      <c r="E1987" s="4">
        <v>2</v>
      </c>
      <c r="F1987" s="4"/>
      <c r="G1987" s="29" t="str">
        <f>IFERROR(HYPERLINK("#"&amp;ADDRESS(MATCH(B1987&amp;"ES",'LM7 Non-ENG'!$A$1:$A$5000,0),1,,,"LM7 Non-ENG"),IF(IFERROR(VLOOKUP(B1987&amp;"ES",'LM7 Non-ENG'!$A$1:$A$4999,1,FALSE),"ERROR")=B1987&amp;"ES","Y","")),"")</f>
        <v/>
      </c>
      <c r="H1987" s="29" t="str">
        <f>IFERROR(HYPERLINK("#"&amp;ADDRESS(MATCH(B1987&amp;"PT",'LM7 Non-ENG'!$A$1:$A$5000,0),1,,,"LM7 Non-ENG"),IF(IFERROR(VLOOKUP(B1987&amp;"PT",'LM7 Non-ENG'!$A$1:$A$5000,1,FALSE),"ERROR")=B1987&amp;"PT","Y","")),"")</f>
        <v/>
      </c>
      <c r="I1987" t="str">
        <f>IFERROR(VLOOKUP(B1987,PN!$A:$C,3,FALSE),"")</f>
        <v>Active</v>
      </c>
      <c r="J1987" s="3">
        <f>IFERROR(E1987*VLOOKUP(B1987,PLInter!$A:$D,3,FALSE),"")</f>
        <v>1160</v>
      </c>
      <c r="K1987" s="66"/>
      <c r="L1987" s="66"/>
      <c r="M1987" s="66"/>
      <c r="N1987" s="66"/>
      <c r="O1987" s="66"/>
      <c r="P1987" s="66"/>
      <c r="Q1987" s="66"/>
      <c r="R1987" s="66"/>
      <c r="S1987" s="66"/>
    </row>
    <row r="1988" spans="1:19" ht="18" customHeight="1">
      <c r="B1988" t="str">
        <f>"021177"</f>
        <v>021177</v>
      </c>
      <c r="C1988" t="s">
        <v>959</v>
      </c>
      <c r="D1988" s="4"/>
      <c r="E1988" s="4">
        <v>2</v>
      </c>
      <c r="F1988" s="4"/>
      <c r="G1988" s="29" t="str">
        <f>IFERROR(HYPERLINK("#"&amp;ADDRESS(MATCH(B1988&amp;"ES",'LM7 Non-ENG'!$A$1:$A$5000,0),1,,,"LM7 Non-ENG"),IF(IFERROR(VLOOKUP(B1988&amp;"ES",'LM7 Non-ENG'!$A$1:$A$4999,1,FALSE),"ERROR")=B1988&amp;"ES","Y","")),"")</f>
        <v/>
      </c>
      <c r="H1988" s="29" t="str">
        <f>IFERROR(HYPERLINK("#"&amp;ADDRESS(MATCH(B1988&amp;"PT",'LM7 Non-ENG'!$A$1:$A$5000,0),1,,,"LM7 Non-ENG"),IF(IFERROR(VLOOKUP(B1988&amp;"PT",'LM7 Non-ENG'!$A$1:$A$5000,1,FALSE),"ERROR")=B1988&amp;"PT","Y","")),"")</f>
        <v/>
      </c>
      <c r="I1988" t="str">
        <f>IFERROR(VLOOKUP(B1988,PN!$A:$C,3,FALSE),"")</f>
        <v>Active</v>
      </c>
      <c r="J1988" s="3">
        <f>IFERROR(E1988*VLOOKUP(B1988,PLInter!$A:$D,3,FALSE),"")</f>
        <v>60</v>
      </c>
      <c r="K1988" s="66"/>
      <c r="L1988" s="66"/>
      <c r="M1988" s="66"/>
      <c r="N1988" s="66"/>
      <c r="O1988" s="66"/>
      <c r="P1988" s="66"/>
      <c r="Q1988" s="66"/>
      <c r="R1988" s="66"/>
      <c r="S1988" s="66"/>
    </row>
    <row r="1989" spans="1:19" ht="18" customHeight="1">
      <c r="B1989" t="s">
        <v>1009</v>
      </c>
      <c r="C1989" t="s">
        <v>1010</v>
      </c>
      <c r="D1989" s="4"/>
      <c r="E1989" s="4">
        <v>1</v>
      </c>
      <c r="F1989" s="4"/>
      <c r="G1989" s="29" t="str">
        <f>IFERROR(HYPERLINK("#"&amp;ADDRESS(MATCH(B1989&amp;"ES",'LM7 Non-ENG'!$A$1:$A$5000,0),1,,,"LM7 Non-ENG"),IF(IFERROR(VLOOKUP(B1989&amp;"ES",'LM7 Non-ENG'!$A$1:$A$4999,1,FALSE),"ERROR")=B1989&amp;"ES","Y","")),"")</f>
        <v/>
      </c>
      <c r="H1989" s="29" t="str">
        <f>IFERROR(HYPERLINK("#"&amp;ADDRESS(MATCH(B1989&amp;"PT",'LM7 Non-ENG'!$A$1:$A$5000,0),1,,,"LM7 Non-ENG"),IF(IFERROR(VLOOKUP(B1989&amp;"PT",'LM7 Non-ENG'!$A$1:$A$5000,1,FALSE),"ERROR")=B1989&amp;"PT","Y","")),"")</f>
        <v/>
      </c>
      <c r="I1989" t="str">
        <f>IFERROR(VLOOKUP(B1989,PN!$A:$C,3,FALSE),"")</f>
        <v>Active</v>
      </c>
      <c r="J1989" s="3">
        <f>IFERROR(E1989*VLOOKUP(B1989,PLInter!$A:$D,3,FALSE),"")</f>
        <v>1800</v>
      </c>
      <c r="K1989" s="66"/>
      <c r="L1989" s="66"/>
      <c r="M1989" s="66"/>
      <c r="N1989" s="66"/>
      <c r="O1989" s="66"/>
      <c r="P1989" s="66"/>
      <c r="Q1989" s="66"/>
      <c r="R1989" s="66"/>
      <c r="S1989" s="66"/>
    </row>
    <row r="1990" spans="1:19" ht="18" customHeight="1">
      <c r="B1990" t="s">
        <v>977</v>
      </c>
      <c r="C1990" t="s">
        <v>978</v>
      </c>
      <c r="D1990" s="4"/>
      <c r="E1990" s="4">
        <v>1</v>
      </c>
      <c r="F1990" s="4"/>
      <c r="G1990" s="29" t="str">
        <f>IFERROR(HYPERLINK("#"&amp;ADDRESS(MATCH(B1990&amp;"ES",'LM7 Non-ENG'!$A$1:$A$5000,0),1,,,"LM7 Non-ENG"),IF(IFERROR(VLOOKUP(B1990&amp;"ES",'LM7 Non-ENG'!$A$1:$A$4999,1,FALSE),"ERROR")=B1990&amp;"ES","Y","")),"")</f>
        <v/>
      </c>
      <c r="H1990" s="29" t="str">
        <f>IFERROR(HYPERLINK("#"&amp;ADDRESS(MATCH(B1990&amp;"PT",'LM7 Non-ENG'!$A$1:$A$5000,0),1,,,"LM7 Non-ENG"),IF(IFERROR(VLOOKUP(B1990&amp;"PT",'LM7 Non-ENG'!$A$1:$A$5000,1,FALSE),"ERROR")=B1990&amp;"PT","Y","")),"")</f>
        <v/>
      </c>
      <c r="I1990" t="str">
        <f>IFERROR(VLOOKUP(B1990,PN!$A:$C,3,FALSE),"")</f>
        <v>Active</v>
      </c>
      <c r="J1990" s="3">
        <f>IFERROR(E1990*VLOOKUP(B1990,PLInter!$A:$D,3,FALSE),"")</f>
        <v>3885</v>
      </c>
      <c r="K1990" s="66"/>
      <c r="L1990" s="66"/>
      <c r="M1990" s="66"/>
      <c r="N1990" s="66"/>
      <c r="O1990" s="66"/>
      <c r="P1990" s="66"/>
      <c r="Q1990" s="66"/>
      <c r="R1990" s="66"/>
      <c r="S1990" s="66"/>
    </row>
    <row r="1991" spans="1:19" ht="18" customHeight="1">
      <c r="B1991" t="str">
        <f>"113096"</f>
        <v>113096</v>
      </c>
      <c r="C1991" t="s">
        <v>943</v>
      </c>
      <c r="D1991" s="4"/>
      <c r="E1991" s="4">
        <v>3</v>
      </c>
      <c r="F1991" s="4"/>
      <c r="G1991" s="29" t="str">
        <f>IFERROR(HYPERLINK("#"&amp;ADDRESS(MATCH(B1991&amp;"ES",'LM7 Non-ENG'!$A$1:$A$5000,0),1,,,"LM7 Non-ENG"),IF(IFERROR(VLOOKUP(B1991&amp;"ES",'LM7 Non-ENG'!$A$1:$A$4999,1,FALSE),"ERROR")=B1991&amp;"ES","Y","")),"")</f>
        <v/>
      </c>
      <c r="H1991" s="29" t="str">
        <f>IFERROR(HYPERLINK("#"&amp;ADDRESS(MATCH(B1991&amp;"PT",'LM7 Non-ENG'!$A$1:$A$5000,0),1,,,"LM7 Non-ENG"),IF(IFERROR(VLOOKUP(B1991&amp;"PT",'LM7 Non-ENG'!$A$1:$A$5000,1,FALSE),"ERROR")=B1991&amp;"PT","Y","")),"")</f>
        <v/>
      </c>
      <c r="I1991" t="str">
        <f>IFERROR(VLOOKUP(B1991,PN!$A:$C,3,FALSE),"")</f>
        <v>Active</v>
      </c>
      <c r="J1991" s="3">
        <f>IFERROR(E1991*VLOOKUP(B1991,PLInter!$A:$D,3,FALSE),"")</f>
        <v>162</v>
      </c>
      <c r="K1991" s="66"/>
      <c r="L1991" s="66"/>
      <c r="M1991" s="66"/>
      <c r="N1991" s="66"/>
      <c r="O1991" s="66"/>
      <c r="P1991" s="66"/>
      <c r="Q1991" s="66"/>
      <c r="R1991" s="66"/>
      <c r="S1991" s="66"/>
    </row>
    <row r="1992" spans="1:19" ht="18" customHeight="1">
      <c r="B1992" t="str">
        <f>"112713"</f>
        <v>112713</v>
      </c>
      <c r="C1992" t="s">
        <v>944</v>
      </c>
      <c r="D1992" s="4"/>
      <c r="E1992" s="4">
        <v>1</v>
      </c>
      <c r="F1992" s="4"/>
      <c r="G1992" s="29" t="str">
        <f>IFERROR(HYPERLINK("#"&amp;ADDRESS(MATCH(B1992&amp;"ES",'LM7 Non-ENG'!$A$1:$A$5000,0),1,,,"LM7 Non-ENG"),IF(IFERROR(VLOOKUP(B1992&amp;"ES",'LM7 Non-ENG'!$A$1:$A$4999,1,FALSE),"ERROR")=B1992&amp;"ES","Y","")),"")</f>
        <v/>
      </c>
      <c r="H1992" s="29" t="str">
        <f>IFERROR(HYPERLINK("#"&amp;ADDRESS(MATCH(B1992&amp;"PT",'LM7 Non-ENG'!$A$1:$A$5000,0),1,,,"LM7 Non-ENG"),IF(IFERROR(VLOOKUP(B1992&amp;"PT",'LM7 Non-ENG'!$A$1:$A$5000,1,FALSE),"ERROR")=B1992&amp;"PT","Y","")),"")</f>
        <v/>
      </c>
      <c r="I1992" t="str">
        <f>IFERROR(VLOOKUP(B1992,PN!$A:$C,3,FALSE),"")</f>
        <v>Active</v>
      </c>
      <c r="J1992" s="3">
        <f>IFERROR(E1992*VLOOKUP(B1992,PLInter!$A:$D,3,FALSE),"")</f>
        <v>100</v>
      </c>
      <c r="K1992" s="66"/>
      <c r="L1992" s="66"/>
      <c r="M1992" s="66"/>
      <c r="N1992" s="66"/>
      <c r="O1992" s="66"/>
      <c r="P1992" s="66"/>
      <c r="Q1992" s="66"/>
      <c r="R1992" s="66"/>
      <c r="S1992" s="66"/>
    </row>
    <row r="1993" spans="1:19" ht="18" customHeight="1">
      <c r="B1993" t="str">
        <f>"113316"</f>
        <v>113316</v>
      </c>
      <c r="C1993" t="s">
        <v>979</v>
      </c>
      <c r="D1993" s="4"/>
      <c r="E1993" s="4">
        <v>1</v>
      </c>
      <c r="F1993" s="4"/>
      <c r="G1993" s="29" t="str">
        <f>IFERROR(HYPERLINK("#"&amp;ADDRESS(MATCH(B1993&amp;"ES",'LM7 Non-ENG'!$A$1:$A$5000,0),1,,,"LM7 Non-ENG"),IF(IFERROR(VLOOKUP(B1993&amp;"ES",'LM7 Non-ENG'!$A$1:$A$4999,1,FALSE),"ERROR")=B1993&amp;"ES","Y","")),"")</f>
        <v/>
      </c>
      <c r="H1993" s="29" t="str">
        <f>IFERROR(HYPERLINK("#"&amp;ADDRESS(MATCH(B1993&amp;"PT",'LM7 Non-ENG'!$A$1:$A$5000,0),1,,,"LM7 Non-ENG"),IF(IFERROR(VLOOKUP(B1993&amp;"PT",'LM7 Non-ENG'!$A$1:$A$5000,1,FALSE),"ERROR")=B1993&amp;"PT","Y","")),"")</f>
        <v/>
      </c>
      <c r="I1993" t="str">
        <f>IFERROR(VLOOKUP(B1993,PN!$A:$C,3,FALSE),"")</f>
        <v>Active</v>
      </c>
      <c r="J1993" s="3">
        <f>IFERROR(E1993*VLOOKUP(B1993,PLInter!$A:$D,3,FALSE),"")</f>
        <v>20</v>
      </c>
      <c r="K1993" s="66"/>
      <c r="L1993" s="66"/>
      <c r="M1993" s="66"/>
      <c r="N1993" s="66"/>
      <c r="O1993" s="66"/>
      <c r="P1993" s="66"/>
      <c r="Q1993" s="66"/>
      <c r="R1993" s="66"/>
      <c r="S1993" s="66"/>
    </row>
    <row r="1994" spans="1:19" ht="18" customHeight="1">
      <c r="B1994" t="s">
        <v>902</v>
      </c>
      <c r="C1994" t="s">
        <v>962</v>
      </c>
      <c r="D1994" s="4"/>
      <c r="E1994" s="4">
        <v>1</v>
      </c>
      <c r="F1994" s="4"/>
      <c r="G1994" s="29" t="str">
        <f>IFERROR(HYPERLINK("#"&amp;ADDRESS(MATCH(B1994&amp;"ES",'LM7 Non-ENG'!$A$1:$A$5000,0),1,,,"LM7 Non-ENG"),IF(IFERROR(VLOOKUP(B1994&amp;"ES",'LM7 Non-ENG'!$A$1:$A$4999,1,FALSE),"ERROR")=B1994&amp;"ES","Y","")),"")</f>
        <v/>
      </c>
      <c r="H1994" s="29" t="str">
        <f>IFERROR(HYPERLINK("#"&amp;ADDRESS(MATCH(B1994&amp;"PT",'LM7 Non-ENG'!$A$1:$A$5000,0),1,,,"LM7 Non-ENG"),IF(IFERROR(VLOOKUP(B1994&amp;"PT",'LM7 Non-ENG'!$A$1:$A$5000,1,FALSE),"ERROR")=B1994&amp;"PT","Y","")),"")</f>
        <v/>
      </c>
      <c r="I1994" t="str">
        <f>IFERROR(VLOOKUP(B1994,PN!$A:$C,3,FALSE),"")</f>
        <v>Active</v>
      </c>
      <c r="J1994" s="3">
        <f>IFERROR(E1994*VLOOKUP(B1994,PLInter!$A:$D,3,FALSE),"")</f>
        <v>2000</v>
      </c>
      <c r="K1994" s="66"/>
      <c r="L1994" s="66"/>
      <c r="M1994" s="66"/>
      <c r="N1994" s="66"/>
      <c r="O1994" s="66"/>
      <c r="P1994" s="66"/>
      <c r="Q1994" s="66"/>
      <c r="R1994" s="66"/>
      <c r="S1994" s="66"/>
    </row>
    <row r="1995" spans="1:19" ht="18" customHeight="1">
      <c r="B1995" t="s">
        <v>244</v>
      </c>
      <c r="C1995" t="s">
        <v>247</v>
      </c>
      <c r="D1995" s="4"/>
      <c r="E1995" s="4">
        <v>1</v>
      </c>
      <c r="F1995" s="4"/>
      <c r="G1995" s="29" t="str">
        <f>IFERROR(HYPERLINK("#"&amp;ADDRESS(MATCH(B1995&amp;"ES",'LM7 Non-ENG'!$A$1:$A$5000,0),1,,,"LM7 Non-ENG"),IF(IFERROR(VLOOKUP(B1995&amp;"ES",'LM7 Non-ENG'!$A$1:$A$4999,1,FALSE),"ERROR")=B1995&amp;"ES","Y","")),"")</f>
        <v/>
      </c>
      <c r="H1995" s="29" t="str">
        <f>IFERROR(HYPERLINK("#"&amp;ADDRESS(MATCH(B1995&amp;"PT",'LM7 Non-ENG'!$A$1:$A$5000,0),1,,,"LM7 Non-ENG"),IF(IFERROR(VLOOKUP(B1995&amp;"PT",'LM7 Non-ENG'!$A$1:$A$5000,1,FALSE),"ERROR")=B1995&amp;"PT","Y","")),"")</f>
        <v/>
      </c>
      <c r="I1995" t="str">
        <f>IFERROR(VLOOKUP(B1995,PN!$A:$C,3,FALSE),"")</f>
        <v>Active</v>
      </c>
      <c r="J1995" s="3">
        <f>IFERROR(E1995*VLOOKUP(B1995,PLInter!$A:$D,3,FALSE),"")</f>
        <v>2400</v>
      </c>
      <c r="K1995" s="66"/>
      <c r="L1995" s="66"/>
      <c r="M1995" s="66"/>
      <c r="N1995" s="66"/>
      <c r="O1995" s="66"/>
      <c r="P1995" s="66"/>
      <c r="Q1995" s="66"/>
      <c r="R1995" s="66"/>
      <c r="S1995" s="66"/>
    </row>
    <row r="1996" spans="1:19" ht="18" customHeight="1">
      <c r="B1996" t="s">
        <v>697</v>
      </c>
      <c r="C1996" t="s">
        <v>698</v>
      </c>
      <c r="D1996" s="4"/>
      <c r="E1996" s="4">
        <v>1</v>
      </c>
      <c r="F1996" s="4"/>
      <c r="G1996" s="29" t="str">
        <f>IFERROR(HYPERLINK("#"&amp;ADDRESS(MATCH(B1996&amp;"ES",'LM7 Non-ENG'!$A$1:$A$5000,0),1,,,"LM7 Non-ENG"),IF(IFERROR(VLOOKUP(B1996&amp;"ES",'LM7 Non-ENG'!$A$1:$A$4999,1,FALSE),"ERROR")=B1996&amp;"ES","Y","")),"")</f>
        <v/>
      </c>
      <c r="H1996" s="29" t="str">
        <f>IFERROR(HYPERLINK("#"&amp;ADDRESS(MATCH(B1996&amp;"PT",'LM7 Non-ENG'!$A$1:$A$5000,0),1,,,"LM7 Non-ENG"),IF(IFERROR(VLOOKUP(B1996&amp;"PT",'LM7 Non-ENG'!$A$1:$A$5000,1,FALSE),"ERROR")=B1996&amp;"PT","Y","")),"")</f>
        <v/>
      </c>
      <c r="I1996" t="str">
        <f>IFERROR(VLOOKUP(B1996,PN!$A:$C,3,FALSE),"")</f>
        <v>Active</v>
      </c>
      <c r="J1996" s="3">
        <f>IFERROR(E1996*VLOOKUP(B1996,PLInter!$A:$D,3,FALSE),"")</f>
        <v>934</v>
      </c>
      <c r="K1996" s="66"/>
      <c r="L1996" s="66"/>
      <c r="M1996" s="66"/>
      <c r="N1996" s="66"/>
      <c r="O1996" s="66"/>
      <c r="P1996" s="66"/>
      <c r="Q1996" s="66"/>
      <c r="R1996" s="66"/>
      <c r="S1996" s="66"/>
    </row>
    <row r="1997" spans="1:19" ht="18" customHeight="1">
      <c r="B1997" t="s">
        <v>630</v>
      </c>
      <c r="C1997" t="s">
        <v>631</v>
      </c>
      <c r="D1997" s="4"/>
      <c r="E1997" s="4">
        <v>1</v>
      </c>
      <c r="F1997" s="4"/>
      <c r="G1997" s="29" t="str">
        <f>IFERROR(HYPERLINK("#"&amp;ADDRESS(MATCH(B1997&amp;"ES",'LM7 Non-ENG'!$A$1:$A$5000,0),1,,,"LM7 Non-ENG"),IF(IFERROR(VLOOKUP(B1997&amp;"ES",'LM7 Non-ENG'!$A$1:$A$4999,1,FALSE),"ERROR")=B1997&amp;"ES","Y","")),"")</f>
        <v/>
      </c>
      <c r="H1997" s="29" t="str">
        <f>IFERROR(HYPERLINK("#"&amp;ADDRESS(MATCH(B1997&amp;"PT",'LM7 Non-ENG'!$A$1:$A$5000,0),1,,,"LM7 Non-ENG"),IF(IFERROR(VLOOKUP(B1997&amp;"PT",'LM7 Non-ENG'!$A$1:$A$5000,1,FALSE),"ERROR")=B1997&amp;"PT","Y","")),"")</f>
        <v/>
      </c>
      <c r="I1997" t="str">
        <f>IFERROR(VLOOKUP(B1997,PN!$A:$C,3,FALSE),"")</f>
        <v>Active</v>
      </c>
      <c r="J1997" s="3">
        <f>IFERROR(E1997*VLOOKUP(B1997,PLInter!$A:$D,3,FALSE),"")</f>
        <v>1735</v>
      </c>
      <c r="K1997" s="66"/>
      <c r="L1997" s="66"/>
      <c r="M1997" s="66"/>
      <c r="N1997" s="66"/>
      <c r="O1997" s="66"/>
      <c r="P1997" s="66"/>
      <c r="Q1997" s="66"/>
      <c r="R1997" s="66"/>
      <c r="S1997" s="66"/>
    </row>
    <row r="1999" spans="1:19" s="7" customFormat="1" ht="18" customHeight="1">
      <c r="A1999" s="13" t="s">
        <v>1053</v>
      </c>
      <c r="B1999" s="13"/>
      <c r="C1999" s="13" t="s">
        <v>1054</v>
      </c>
      <c r="D1999" s="14"/>
      <c r="E1999" s="14"/>
      <c r="F1999" s="14"/>
      <c r="G1999" s="14"/>
      <c r="H1999" s="14"/>
      <c r="I1999" s="14"/>
      <c r="J1999" s="14">
        <f>SUMIFS(J2000:J2015,D2000:D2015,"&lt;&gt;Y",F2000:F2015,"&lt;&gt;Y",I2000:I2015,"&lt;&gt;Inactive",I2000:I2015,"&lt;&gt;ECO+NFS")</f>
        <v>54932</v>
      </c>
      <c r="K1999" s="14"/>
      <c r="L1999" s="14"/>
      <c r="M1999" s="14"/>
      <c r="N1999" s="14"/>
      <c r="O1999" s="14"/>
      <c r="P1999" s="14"/>
      <c r="Q1999" s="14"/>
      <c r="R1999" s="14"/>
      <c r="S1999" s="14"/>
    </row>
    <row r="2000" spans="1:19" ht="18" customHeight="1">
      <c r="A2000" s="17" t="str">
        <f>HYPERLINK("#"&amp;ADDRESS(MATCH(A1999,'CIM&amp;FMS'!$A$1:$A$4997,0),1,,,"CIM&amp;FMS"),"Back to Price List")</f>
        <v>Back to Price List</v>
      </c>
      <c r="B2000" t="s">
        <v>215</v>
      </c>
      <c r="C2000" t="s">
        <v>217</v>
      </c>
      <c r="D2000" s="4"/>
      <c r="E2000" s="4">
        <v>1</v>
      </c>
      <c r="F2000" s="4"/>
      <c r="G2000" s="29" t="str">
        <f>IFERROR(HYPERLINK("#"&amp;ADDRESS(MATCH(B2000&amp;"ES",'LM7 Non-ENG'!$A$1:$A$5000,0),1,,,"LM7 Non-ENG"),IF(IFERROR(VLOOKUP(B2000&amp;"ES",'LM7 Non-ENG'!$A$1:$A$4999,1,FALSE),"ERROR")=B2000&amp;"ES","Y","")),"")</f>
        <v/>
      </c>
      <c r="H2000" s="29" t="str">
        <f>IFERROR(HYPERLINK("#"&amp;ADDRESS(MATCH(B2000&amp;"PT",'LM7 Non-ENG'!$A$1:$A$5000,0),1,,,"LM7 Non-ENG"),IF(IFERROR(VLOOKUP(B2000&amp;"PT",'LM7 Non-ENG'!$A$1:$A$5000,1,FALSE),"ERROR")=B2000&amp;"PT","Y","")),"")</f>
        <v/>
      </c>
      <c r="I2000" t="str">
        <f>IFERROR(VLOOKUP(B2000,PN!$A:$C,3,FALSE),"")</f>
        <v>Active</v>
      </c>
      <c r="J2000" s="3">
        <f>IFERROR(E2000*VLOOKUP(B2000,PLInter!$A:$D,3,FALSE),"")</f>
        <v>35000</v>
      </c>
      <c r="K2000" s="66"/>
      <c r="L2000" s="66"/>
      <c r="M2000" s="66"/>
      <c r="N2000" s="66"/>
      <c r="O2000" s="66"/>
      <c r="P2000" s="66"/>
      <c r="Q2000" s="66"/>
      <c r="R2000" s="66"/>
      <c r="S2000" s="66"/>
    </row>
    <row r="2001" spans="2:19" ht="18" customHeight="1">
      <c r="B2001" t="s">
        <v>230</v>
      </c>
      <c r="C2001" t="s">
        <v>235</v>
      </c>
      <c r="D2001" s="4"/>
      <c r="E2001" s="4">
        <v>1</v>
      </c>
      <c r="F2001" s="4"/>
      <c r="G2001" s="29" t="str">
        <f>IFERROR(HYPERLINK("#"&amp;ADDRESS(MATCH(B2001&amp;"ES",'LM7 Non-ENG'!$A$1:$A$5000,0),1,,,"LM7 Non-ENG"),IF(IFERROR(VLOOKUP(B2001&amp;"ES",'LM7 Non-ENG'!$A$1:$A$4999,1,FALSE),"ERROR")=B2001&amp;"ES","Y","")),"")</f>
        <v/>
      </c>
      <c r="H2001" s="29" t="str">
        <f>IFERROR(HYPERLINK("#"&amp;ADDRESS(MATCH(B2001&amp;"PT",'LM7 Non-ENG'!$A$1:$A$5000,0),1,,,"LM7 Non-ENG"),IF(IFERROR(VLOOKUP(B2001&amp;"PT",'LM7 Non-ENG'!$A$1:$A$5000,1,FALSE),"ERROR")=B2001&amp;"PT","Y","")),"")</f>
        <v/>
      </c>
      <c r="I2001" t="str">
        <f>IFERROR(VLOOKUP(B2001,PN!$A:$C,3,FALSE),"")</f>
        <v>Active</v>
      </c>
      <c r="J2001" s="3">
        <f>IFERROR(E2001*VLOOKUP(B2001,PLInter!$A:$D,3,FALSE),"")</f>
        <v>3200</v>
      </c>
      <c r="K2001" s="66"/>
      <c r="L2001" s="66"/>
      <c r="M2001" s="66"/>
      <c r="N2001" s="66"/>
      <c r="O2001" s="66"/>
      <c r="P2001" s="66"/>
      <c r="Q2001" s="66"/>
      <c r="R2001" s="66"/>
      <c r="S2001" s="66"/>
    </row>
    <row r="2002" spans="2:19" ht="18" customHeight="1">
      <c r="B2002" t="str">
        <f>"021031"</f>
        <v>021031</v>
      </c>
      <c r="C2002" s="41" t="s">
        <v>1008</v>
      </c>
      <c r="D2002" s="4"/>
      <c r="E2002" s="4">
        <v>1</v>
      </c>
      <c r="F2002" s="4"/>
      <c r="G2002" s="29" t="str">
        <f>IFERROR(HYPERLINK("#"&amp;ADDRESS(MATCH(B2002&amp;"ES",'LM7 Non-ENG'!$A$1:$A$5000,0),1,,,"LM7 Non-ENG"),IF(IFERROR(VLOOKUP(B2002&amp;"ES",'LM7 Non-ENG'!$A$1:$A$4999,1,FALSE),"ERROR")=B2002&amp;"ES","Y","")),"")</f>
        <v/>
      </c>
      <c r="H2002" s="29" t="str">
        <f>IFERROR(HYPERLINK("#"&amp;ADDRESS(MATCH(B2002&amp;"PT",'LM7 Non-ENG'!$A$1:$A$5000,0),1,,,"LM7 Non-ENG"),IF(IFERROR(VLOOKUP(B2002&amp;"PT",'LM7 Non-ENG'!$A$1:$A$5000,1,FALSE),"ERROR")=B2002&amp;"PT","Y","")),"")</f>
        <v/>
      </c>
      <c r="I2002" t="str">
        <f>IFERROR(VLOOKUP(B2002,PN!$A:$C,3,FALSE),"")</f>
        <v>Active</v>
      </c>
      <c r="J2002" s="3">
        <f>IFERROR(E2002*VLOOKUP(B2002,PLInter!$A:$D,3,FALSE),"")</f>
        <v>54</v>
      </c>
      <c r="K2002" s="66"/>
      <c r="L2002" s="66"/>
      <c r="M2002" s="66"/>
      <c r="N2002" s="66"/>
      <c r="O2002" s="66"/>
      <c r="P2002" s="66"/>
      <c r="Q2002" s="66"/>
      <c r="R2002" s="66"/>
      <c r="S2002" s="66"/>
    </row>
    <row r="2003" spans="2:19" ht="18" customHeight="1">
      <c r="B2003" t="s">
        <v>684</v>
      </c>
      <c r="C2003" t="s">
        <v>685</v>
      </c>
      <c r="D2003" s="4"/>
      <c r="E2003" s="4">
        <v>1</v>
      </c>
      <c r="F2003" s="4"/>
      <c r="G2003" s="29" t="str">
        <f>IFERROR(HYPERLINK("#"&amp;ADDRESS(MATCH(B2003&amp;"ES",'LM7 Non-ENG'!$A$1:$A$5000,0),1,,,"LM7 Non-ENG"),IF(IFERROR(VLOOKUP(B2003&amp;"ES",'LM7 Non-ENG'!$A$1:$A$4999,1,FALSE),"ERROR")=B2003&amp;"ES","Y","")),"")</f>
        <v/>
      </c>
      <c r="H2003" s="29" t="str">
        <f>IFERROR(HYPERLINK("#"&amp;ADDRESS(MATCH(B2003&amp;"PT",'LM7 Non-ENG'!$A$1:$A$5000,0),1,,,"LM7 Non-ENG"),IF(IFERROR(VLOOKUP(B2003&amp;"PT",'LM7 Non-ENG'!$A$1:$A$5000,1,FALSE),"ERROR")=B2003&amp;"PT","Y","")),"")</f>
        <v/>
      </c>
      <c r="I2003" t="str">
        <f>IFERROR(VLOOKUP(B2003,PN!$A:$C,3,FALSE),"")</f>
        <v>Active</v>
      </c>
      <c r="J2003" s="3">
        <f>IFERROR(E2003*VLOOKUP(B2003,PLInter!$A:$D,3,FALSE),"")</f>
        <v>580</v>
      </c>
      <c r="K2003" s="66"/>
      <c r="L2003" s="66"/>
      <c r="M2003" s="66"/>
      <c r="N2003" s="66"/>
      <c r="O2003" s="66"/>
      <c r="P2003" s="66"/>
      <c r="Q2003" s="66"/>
      <c r="R2003" s="66"/>
      <c r="S2003" s="66"/>
    </row>
    <row r="2004" spans="2:19" ht="18" customHeight="1">
      <c r="B2004" t="str">
        <f>"021177"</f>
        <v>021177</v>
      </c>
      <c r="C2004" t="s">
        <v>959</v>
      </c>
      <c r="D2004" s="4"/>
      <c r="E2004" s="4">
        <v>1</v>
      </c>
      <c r="F2004" s="4"/>
      <c r="G2004" s="29" t="str">
        <f>IFERROR(HYPERLINK("#"&amp;ADDRESS(MATCH(B2004&amp;"ES",'LM7 Non-ENG'!$A$1:$A$5000,0),1,,,"LM7 Non-ENG"),IF(IFERROR(VLOOKUP(B2004&amp;"ES",'LM7 Non-ENG'!$A$1:$A$4999,1,FALSE),"ERROR")=B2004&amp;"ES","Y","")),"")</f>
        <v/>
      </c>
      <c r="H2004" s="29" t="str">
        <f>IFERROR(HYPERLINK("#"&amp;ADDRESS(MATCH(B2004&amp;"PT",'LM7 Non-ENG'!$A$1:$A$5000,0),1,,,"LM7 Non-ENG"),IF(IFERROR(VLOOKUP(B2004&amp;"PT",'LM7 Non-ENG'!$A$1:$A$5000,1,FALSE),"ERROR")=B2004&amp;"PT","Y","")),"")</f>
        <v/>
      </c>
      <c r="I2004" t="str">
        <f>IFERROR(VLOOKUP(B2004,PN!$A:$C,3,FALSE),"")</f>
        <v>Active</v>
      </c>
      <c r="J2004" s="3">
        <f>IFERROR(E2004*VLOOKUP(B2004,PLInter!$A:$D,3,FALSE),"")</f>
        <v>30</v>
      </c>
      <c r="K2004" s="66"/>
      <c r="L2004" s="66"/>
      <c r="M2004" s="66"/>
      <c r="N2004" s="66"/>
      <c r="O2004" s="66"/>
      <c r="P2004" s="66"/>
      <c r="Q2004" s="66"/>
      <c r="R2004" s="66"/>
      <c r="S2004" s="66"/>
    </row>
    <row r="2005" spans="2:19" ht="18" customHeight="1">
      <c r="B2005" t="s">
        <v>1009</v>
      </c>
      <c r="C2005" t="s">
        <v>1010</v>
      </c>
      <c r="D2005" s="4"/>
      <c r="E2005" s="4">
        <v>1</v>
      </c>
      <c r="F2005" s="4"/>
      <c r="G2005" s="29" t="str">
        <f>IFERROR(HYPERLINK("#"&amp;ADDRESS(MATCH(B2005&amp;"ES",'LM7 Non-ENG'!$A$1:$A$5000,0),1,,,"LM7 Non-ENG"),IF(IFERROR(VLOOKUP(B2005&amp;"ES",'LM7 Non-ENG'!$A$1:$A$4999,1,FALSE),"ERROR")=B2005&amp;"ES","Y","")),"")</f>
        <v/>
      </c>
      <c r="H2005" s="29" t="str">
        <f>IFERROR(HYPERLINK("#"&amp;ADDRESS(MATCH(B2005&amp;"PT",'LM7 Non-ENG'!$A$1:$A$5000,0),1,,,"LM7 Non-ENG"),IF(IFERROR(VLOOKUP(B2005&amp;"PT",'LM7 Non-ENG'!$A$1:$A$5000,1,FALSE),"ERROR")=B2005&amp;"PT","Y","")),"")</f>
        <v/>
      </c>
      <c r="I2005" t="str">
        <f>IFERROR(VLOOKUP(B2005,PN!$A:$C,3,FALSE),"")</f>
        <v>Active</v>
      </c>
      <c r="J2005" s="3">
        <f>IFERROR(E2005*VLOOKUP(B2005,PLInter!$A:$D,3,FALSE),"")</f>
        <v>1800</v>
      </c>
      <c r="K2005" s="66"/>
      <c r="L2005" s="66"/>
      <c r="M2005" s="66"/>
      <c r="N2005" s="66"/>
      <c r="O2005" s="66"/>
      <c r="P2005" s="66"/>
      <c r="Q2005" s="66"/>
      <c r="R2005" s="66"/>
      <c r="S2005" s="66"/>
    </row>
    <row r="2006" spans="2:19" ht="18" customHeight="1">
      <c r="B2006" t="s">
        <v>977</v>
      </c>
      <c r="C2006" t="s">
        <v>978</v>
      </c>
      <c r="D2006" s="4"/>
      <c r="E2006" s="4">
        <v>1</v>
      </c>
      <c r="F2006" s="4"/>
      <c r="G2006" s="29" t="str">
        <f>IFERROR(HYPERLINK("#"&amp;ADDRESS(MATCH(B2006&amp;"ES",'LM7 Non-ENG'!$A$1:$A$5000,0),1,,,"LM7 Non-ENG"),IF(IFERROR(VLOOKUP(B2006&amp;"ES",'LM7 Non-ENG'!$A$1:$A$4999,1,FALSE),"ERROR")=B2006&amp;"ES","Y","")),"")</f>
        <v/>
      </c>
      <c r="H2006" s="29" t="str">
        <f>IFERROR(HYPERLINK("#"&amp;ADDRESS(MATCH(B2006&amp;"PT",'LM7 Non-ENG'!$A$1:$A$5000,0),1,,,"LM7 Non-ENG"),IF(IFERROR(VLOOKUP(B2006&amp;"PT",'LM7 Non-ENG'!$A$1:$A$5000,1,FALSE),"ERROR")=B2006&amp;"PT","Y","")),"")</f>
        <v/>
      </c>
      <c r="I2006" t="str">
        <f>IFERROR(VLOOKUP(B2006,PN!$A:$C,3,FALSE),"")</f>
        <v>Active</v>
      </c>
      <c r="J2006" s="3">
        <f>IFERROR(E2006*VLOOKUP(B2006,PLInter!$A:$D,3,FALSE),"")</f>
        <v>3885</v>
      </c>
      <c r="K2006" s="66"/>
      <c r="L2006" s="66"/>
      <c r="M2006" s="66"/>
      <c r="N2006" s="66"/>
      <c r="O2006" s="66"/>
      <c r="P2006" s="66"/>
      <c r="Q2006" s="66"/>
      <c r="R2006" s="66"/>
      <c r="S2006" s="66"/>
    </row>
    <row r="2007" spans="2:19" ht="18" customHeight="1">
      <c r="B2007" t="str">
        <f>"113096"</f>
        <v>113096</v>
      </c>
      <c r="C2007" t="s">
        <v>943</v>
      </c>
      <c r="D2007" s="4"/>
      <c r="E2007" s="4">
        <v>1</v>
      </c>
      <c r="F2007" s="4"/>
      <c r="G2007" s="29" t="str">
        <f>IFERROR(HYPERLINK("#"&amp;ADDRESS(MATCH(B2007&amp;"ES",'LM7 Non-ENG'!$A$1:$A$5000,0),1,,,"LM7 Non-ENG"),IF(IFERROR(VLOOKUP(B2007&amp;"ES",'LM7 Non-ENG'!$A$1:$A$4999,1,FALSE),"ERROR")=B2007&amp;"ES","Y","")),"")</f>
        <v/>
      </c>
      <c r="H2007" s="29" t="str">
        <f>IFERROR(HYPERLINK("#"&amp;ADDRESS(MATCH(B2007&amp;"PT",'LM7 Non-ENG'!$A$1:$A$5000,0),1,,,"LM7 Non-ENG"),IF(IFERROR(VLOOKUP(B2007&amp;"PT",'LM7 Non-ENG'!$A$1:$A$5000,1,FALSE),"ERROR")=B2007&amp;"PT","Y","")),"")</f>
        <v/>
      </c>
      <c r="I2007" t="str">
        <f>IFERROR(VLOOKUP(B2007,PN!$A:$C,3,FALSE),"")</f>
        <v>Active</v>
      </c>
      <c r="J2007" s="3">
        <f>IFERROR(E2007*VLOOKUP(B2007,PLInter!$A:$D,3,FALSE),"")</f>
        <v>54</v>
      </c>
      <c r="K2007" s="66"/>
      <c r="L2007" s="66"/>
      <c r="M2007" s="66"/>
      <c r="N2007" s="66"/>
      <c r="O2007" s="66"/>
      <c r="P2007" s="66"/>
      <c r="Q2007" s="66"/>
      <c r="R2007" s="66"/>
      <c r="S2007" s="66"/>
    </row>
    <row r="2008" spans="2:19" ht="18" customHeight="1">
      <c r="B2008" t="str">
        <f>"112713"</f>
        <v>112713</v>
      </c>
      <c r="C2008" t="s">
        <v>944</v>
      </c>
      <c r="D2008" s="4"/>
      <c r="E2008" s="4">
        <v>1</v>
      </c>
      <c r="F2008" s="4"/>
      <c r="G2008" s="29" t="str">
        <f>IFERROR(HYPERLINK("#"&amp;ADDRESS(MATCH(B2008&amp;"ES",'LM7 Non-ENG'!$A$1:$A$5000,0),1,,,"LM7 Non-ENG"),IF(IFERROR(VLOOKUP(B2008&amp;"ES",'LM7 Non-ENG'!$A$1:$A$4999,1,FALSE),"ERROR")=B2008&amp;"ES","Y","")),"")</f>
        <v/>
      </c>
      <c r="H2008" s="29" t="str">
        <f>IFERROR(HYPERLINK("#"&amp;ADDRESS(MATCH(B2008&amp;"PT",'LM7 Non-ENG'!$A$1:$A$5000,0),1,,,"LM7 Non-ENG"),IF(IFERROR(VLOOKUP(B2008&amp;"PT",'LM7 Non-ENG'!$A$1:$A$5000,1,FALSE),"ERROR")=B2008&amp;"PT","Y","")),"")</f>
        <v/>
      </c>
      <c r="I2008" t="str">
        <f>IFERROR(VLOOKUP(B2008,PN!$A:$C,3,FALSE),"")</f>
        <v>Active</v>
      </c>
      <c r="J2008" s="3">
        <f>IFERROR(E2008*VLOOKUP(B2008,PLInter!$A:$D,3,FALSE),"")</f>
        <v>100</v>
      </c>
      <c r="K2008" s="66"/>
      <c r="L2008" s="66"/>
      <c r="M2008" s="66"/>
      <c r="N2008" s="66"/>
      <c r="O2008" s="66"/>
      <c r="P2008" s="66"/>
      <c r="Q2008" s="66"/>
      <c r="R2008" s="66"/>
      <c r="S2008" s="66"/>
    </row>
    <row r="2009" spans="2:19" ht="18" customHeight="1">
      <c r="B2009" t="str">
        <f>"113316"</f>
        <v>113316</v>
      </c>
      <c r="C2009" t="s">
        <v>979</v>
      </c>
      <c r="D2009" s="4"/>
      <c r="E2009" s="4">
        <v>1</v>
      </c>
      <c r="F2009" s="4"/>
      <c r="G2009" s="29" t="str">
        <f>IFERROR(HYPERLINK("#"&amp;ADDRESS(MATCH(B2009&amp;"ES",'LM7 Non-ENG'!$A$1:$A$5000,0),1,,,"LM7 Non-ENG"),IF(IFERROR(VLOOKUP(B2009&amp;"ES",'LM7 Non-ENG'!$A$1:$A$4999,1,FALSE),"ERROR")=B2009&amp;"ES","Y","")),"")</f>
        <v/>
      </c>
      <c r="H2009" s="29" t="str">
        <f>IFERROR(HYPERLINK("#"&amp;ADDRESS(MATCH(B2009&amp;"PT",'LM7 Non-ENG'!$A$1:$A$5000,0),1,,,"LM7 Non-ENG"),IF(IFERROR(VLOOKUP(B2009&amp;"PT",'LM7 Non-ENG'!$A$1:$A$5000,1,FALSE),"ERROR")=B2009&amp;"PT","Y","")),"")</f>
        <v/>
      </c>
      <c r="I2009" t="str">
        <f>IFERROR(VLOOKUP(B2009,PN!$A:$C,3,FALSE),"")</f>
        <v>Active</v>
      </c>
      <c r="J2009" s="3">
        <f>IFERROR(E2009*VLOOKUP(B2009,PLInter!$A:$D,3,FALSE),"")</f>
        <v>20</v>
      </c>
      <c r="K2009" s="66"/>
      <c r="L2009" s="66"/>
      <c r="M2009" s="66"/>
      <c r="N2009" s="66"/>
      <c r="O2009" s="66"/>
      <c r="P2009" s="66"/>
      <c r="Q2009" s="66"/>
      <c r="R2009" s="66"/>
      <c r="S2009" s="66"/>
    </row>
    <row r="2010" spans="2:19" ht="18" customHeight="1">
      <c r="B2010" t="s">
        <v>982</v>
      </c>
      <c r="C2010" t="s">
        <v>983</v>
      </c>
      <c r="D2010" s="4"/>
      <c r="E2010" s="4">
        <v>1</v>
      </c>
      <c r="F2010" s="4"/>
      <c r="G2010" s="29" t="str">
        <f>IFERROR(HYPERLINK("#"&amp;ADDRESS(MATCH(B2010&amp;"ES",'LM7 Non-ENG'!$A$1:$A$5000,0),1,,,"LM7 Non-ENG"),IF(IFERROR(VLOOKUP(B2010&amp;"ES",'LM7 Non-ENG'!$A$1:$A$4999,1,FALSE),"ERROR")=B2010&amp;"ES","Y","")),"")</f>
        <v/>
      </c>
      <c r="H2010" s="29" t="str">
        <f>IFERROR(HYPERLINK("#"&amp;ADDRESS(MATCH(B2010&amp;"PT",'LM7 Non-ENG'!$A$1:$A$5000,0),1,,,"LM7 Non-ENG"),IF(IFERROR(VLOOKUP(B2010&amp;"PT",'LM7 Non-ENG'!$A$1:$A$5000,1,FALSE),"ERROR")=B2010&amp;"PT","Y","")),"")</f>
        <v/>
      </c>
      <c r="I2010" t="str">
        <f>IFERROR(VLOOKUP(B2010,PN!$A:$C,3,FALSE),"")</f>
        <v>Active</v>
      </c>
      <c r="J2010" s="3">
        <f>IFERROR(E2010*VLOOKUP(B2010,PLInter!$A:$D,3,FALSE),"")</f>
        <v>3120</v>
      </c>
      <c r="K2010" s="66"/>
      <c r="L2010" s="66"/>
      <c r="M2010" s="66"/>
      <c r="N2010" s="66"/>
      <c r="O2010" s="66"/>
      <c r="P2010" s="66"/>
      <c r="Q2010" s="66"/>
      <c r="R2010" s="66"/>
      <c r="S2010" s="66"/>
    </row>
    <row r="2011" spans="2:19" ht="18" customHeight="1">
      <c r="B2011" t="str">
        <f>"113316"</f>
        <v>113316</v>
      </c>
      <c r="C2011" t="s">
        <v>979</v>
      </c>
      <c r="D2011" s="4"/>
      <c r="E2011" s="4">
        <v>1</v>
      </c>
      <c r="F2011" s="4"/>
      <c r="G2011" s="29" t="str">
        <f>IFERROR(HYPERLINK("#"&amp;ADDRESS(MATCH(B2011&amp;"ES",'LM7 Non-ENG'!$A$1:$A$5000,0),1,,,"LM7 Non-ENG"),IF(IFERROR(VLOOKUP(B2011&amp;"ES",'LM7 Non-ENG'!$A$1:$A$4999,1,FALSE),"ERROR")=B2011&amp;"ES","Y","")),"")</f>
        <v/>
      </c>
      <c r="H2011" s="29" t="str">
        <f>IFERROR(HYPERLINK("#"&amp;ADDRESS(MATCH(B2011&amp;"PT",'LM7 Non-ENG'!$A$1:$A$5000,0),1,,,"LM7 Non-ENG"),IF(IFERROR(VLOOKUP(B2011&amp;"PT",'LM7 Non-ENG'!$A$1:$A$5000,1,FALSE),"ERROR")=B2011&amp;"PT","Y","")),"")</f>
        <v/>
      </c>
      <c r="I2011" t="str">
        <f>IFERROR(VLOOKUP(B2011,PN!$A:$C,3,FALSE),"")</f>
        <v>Active</v>
      </c>
      <c r="J2011" s="3">
        <f>IFERROR(E2011*VLOOKUP(B2011,PLInter!$A:$D,3,FALSE),"")</f>
        <v>20</v>
      </c>
      <c r="K2011" s="66"/>
      <c r="L2011" s="66"/>
      <c r="M2011" s="66"/>
      <c r="N2011" s="66"/>
      <c r="O2011" s="66"/>
      <c r="P2011" s="66"/>
      <c r="Q2011" s="66"/>
      <c r="R2011" s="66"/>
      <c r="S2011" s="66"/>
    </row>
    <row r="2012" spans="2:19" ht="18" customHeight="1">
      <c r="B2012" t="s">
        <v>902</v>
      </c>
      <c r="C2012" t="s">
        <v>903</v>
      </c>
      <c r="D2012" s="4"/>
      <c r="E2012" s="4">
        <v>1</v>
      </c>
      <c r="F2012" s="4"/>
      <c r="G2012" s="29" t="str">
        <f>IFERROR(HYPERLINK("#"&amp;ADDRESS(MATCH(B2012&amp;"ES",'LM7 Non-ENG'!$A$1:$A$5000,0),1,,,"LM7 Non-ENG"),IF(IFERROR(VLOOKUP(B2012&amp;"ES",'LM7 Non-ENG'!$A$1:$A$4999,1,FALSE),"ERROR")=B2012&amp;"ES","Y","")),"")</f>
        <v/>
      </c>
      <c r="H2012" s="29" t="str">
        <f>IFERROR(HYPERLINK("#"&amp;ADDRESS(MATCH(B2012&amp;"PT",'LM7 Non-ENG'!$A$1:$A$5000,0),1,,,"LM7 Non-ENG"),IF(IFERROR(VLOOKUP(B2012&amp;"PT",'LM7 Non-ENG'!$A$1:$A$5000,1,FALSE),"ERROR")=B2012&amp;"PT","Y","")),"")</f>
        <v/>
      </c>
      <c r="I2012" t="str">
        <f>IFERROR(VLOOKUP(B2012,PN!$A:$C,3,FALSE),"")</f>
        <v>Active</v>
      </c>
      <c r="J2012" s="3">
        <f>IFERROR(E2012*VLOOKUP(B2012,PLInter!$A:$D,3,FALSE),"")</f>
        <v>2000</v>
      </c>
      <c r="K2012" s="66"/>
      <c r="L2012" s="66"/>
      <c r="M2012" s="66"/>
      <c r="N2012" s="66"/>
      <c r="O2012" s="66"/>
      <c r="P2012" s="66"/>
      <c r="Q2012" s="66"/>
      <c r="R2012" s="66"/>
      <c r="S2012" s="66"/>
    </row>
    <row r="2013" spans="2:19" ht="18" customHeight="1">
      <c r="B2013" t="s">
        <v>244</v>
      </c>
      <c r="C2013" t="s">
        <v>247</v>
      </c>
      <c r="D2013" s="4"/>
      <c r="E2013" s="4">
        <v>1</v>
      </c>
      <c r="F2013" s="4"/>
      <c r="G2013" s="29" t="str">
        <f>IFERROR(HYPERLINK("#"&amp;ADDRESS(MATCH(B2013&amp;"ES",'LM7 Non-ENG'!$A$1:$A$5000,0),1,,,"LM7 Non-ENG"),IF(IFERROR(VLOOKUP(B2013&amp;"ES",'LM7 Non-ENG'!$A$1:$A$4999,1,FALSE),"ERROR")=B2013&amp;"ES","Y","")),"")</f>
        <v/>
      </c>
      <c r="H2013" s="29" t="str">
        <f>IFERROR(HYPERLINK("#"&amp;ADDRESS(MATCH(B2013&amp;"PT",'LM7 Non-ENG'!$A$1:$A$5000,0),1,,,"LM7 Non-ENG"),IF(IFERROR(VLOOKUP(B2013&amp;"PT",'LM7 Non-ENG'!$A$1:$A$5000,1,FALSE),"ERROR")=B2013&amp;"PT","Y","")),"")</f>
        <v/>
      </c>
      <c r="I2013" t="str">
        <f>IFERROR(VLOOKUP(B2013,PN!$A:$C,3,FALSE),"")</f>
        <v>Active</v>
      </c>
      <c r="J2013" s="3">
        <f>IFERROR(E2013*VLOOKUP(B2013,PLInter!$A:$D,3,FALSE),"")</f>
        <v>2400</v>
      </c>
      <c r="K2013" s="66"/>
      <c r="L2013" s="66"/>
      <c r="M2013" s="66"/>
      <c r="N2013" s="66"/>
      <c r="O2013" s="66"/>
      <c r="P2013" s="66"/>
      <c r="Q2013" s="66"/>
      <c r="R2013" s="66"/>
      <c r="S2013" s="66"/>
    </row>
    <row r="2014" spans="2:19" ht="18" customHeight="1">
      <c r="B2014" t="s">
        <v>697</v>
      </c>
      <c r="C2014" t="s">
        <v>698</v>
      </c>
      <c r="D2014" s="4"/>
      <c r="E2014" s="4">
        <v>1</v>
      </c>
      <c r="F2014" s="4"/>
      <c r="G2014" s="29" t="str">
        <f>IFERROR(HYPERLINK("#"&amp;ADDRESS(MATCH(B2014&amp;"ES",'LM7 Non-ENG'!$A$1:$A$5000,0),1,,,"LM7 Non-ENG"),IF(IFERROR(VLOOKUP(B2014&amp;"ES",'LM7 Non-ENG'!$A$1:$A$4999,1,FALSE),"ERROR")=B2014&amp;"ES","Y","")),"")</f>
        <v/>
      </c>
      <c r="H2014" s="29" t="str">
        <f>IFERROR(HYPERLINK("#"&amp;ADDRESS(MATCH(B2014&amp;"PT",'LM7 Non-ENG'!$A$1:$A$5000,0),1,,,"LM7 Non-ENG"),IF(IFERROR(VLOOKUP(B2014&amp;"PT",'LM7 Non-ENG'!$A$1:$A$5000,1,FALSE),"ERROR")=B2014&amp;"PT","Y","")),"")</f>
        <v/>
      </c>
      <c r="I2014" t="str">
        <f>IFERROR(VLOOKUP(B2014,PN!$A:$C,3,FALSE),"")</f>
        <v>Active</v>
      </c>
      <c r="J2014" s="3">
        <f>IFERROR(E2014*VLOOKUP(B2014,PLInter!$A:$D,3,FALSE),"")</f>
        <v>934</v>
      </c>
      <c r="K2014" s="66"/>
      <c r="L2014" s="66"/>
      <c r="M2014" s="66"/>
      <c r="N2014" s="66"/>
      <c r="O2014" s="66"/>
      <c r="P2014" s="66"/>
      <c r="Q2014" s="66"/>
      <c r="R2014" s="66"/>
      <c r="S2014" s="66"/>
    </row>
    <row r="2015" spans="2:19" ht="18" customHeight="1">
      <c r="B2015" t="s">
        <v>630</v>
      </c>
      <c r="C2015" t="s">
        <v>631</v>
      </c>
      <c r="D2015" s="4"/>
      <c r="E2015" s="4">
        <v>1</v>
      </c>
      <c r="F2015" s="4"/>
      <c r="G2015" s="29" t="str">
        <f>IFERROR(HYPERLINK("#"&amp;ADDRESS(MATCH(B2015&amp;"ES",'LM7 Non-ENG'!$A$1:$A$5000,0),1,,,"LM7 Non-ENG"),IF(IFERROR(VLOOKUP(B2015&amp;"ES",'LM7 Non-ENG'!$A$1:$A$4999,1,FALSE),"ERROR")=B2015&amp;"ES","Y","")),"")</f>
        <v/>
      </c>
      <c r="H2015" s="29" t="str">
        <f>IFERROR(HYPERLINK("#"&amp;ADDRESS(MATCH(B2015&amp;"PT",'LM7 Non-ENG'!$A$1:$A$5000,0),1,,,"LM7 Non-ENG"),IF(IFERROR(VLOOKUP(B2015&amp;"PT",'LM7 Non-ENG'!$A$1:$A$5000,1,FALSE),"ERROR")=B2015&amp;"PT","Y","")),"")</f>
        <v/>
      </c>
      <c r="I2015" t="str">
        <f>IFERROR(VLOOKUP(B2015,PN!$A:$C,3,FALSE),"")</f>
        <v>Active</v>
      </c>
      <c r="J2015" s="3">
        <f>IFERROR(E2015*VLOOKUP(B2015,PLInter!$A:$D,3,FALSE),"")</f>
        <v>1735</v>
      </c>
      <c r="K2015" s="66"/>
      <c r="L2015" s="66"/>
      <c r="M2015" s="66"/>
      <c r="N2015" s="66"/>
      <c r="O2015" s="66"/>
      <c r="P2015" s="66"/>
      <c r="Q2015" s="66"/>
      <c r="R2015" s="66"/>
      <c r="S2015" s="66"/>
    </row>
    <row r="2017" spans="1:19" s="7" customFormat="1" ht="18" customHeight="1">
      <c r="A2017" s="13" t="s">
        <v>1055</v>
      </c>
      <c r="B2017" s="13"/>
      <c r="C2017" s="13" t="s">
        <v>1056</v>
      </c>
      <c r="D2017" s="14"/>
      <c r="E2017" s="14"/>
      <c r="F2017" s="14"/>
      <c r="G2017" s="14"/>
      <c r="H2017" s="14"/>
      <c r="I2017" s="14"/>
      <c r="J2017" s="14">
        <f>SUMIFS(J2018:J2038,D2018:D2038,"&lt;&gt;Y",F2018:F2038,"&lt;&gt;Y",I2018:I2038,"&lt;&gt;Inactive",I2018:I2038,"&lt;&gt;ECO+NFS")</f>
        <v>70988</v>
      </c>
      <c r="K2017" s="14"/>
      <c r="L2017" s="14"/>
      <c r="M2017" s="14"/>
      <c r="N2017" s="14"/>
      <c r="O2017" s="14"/>
      <c r="P2017" s="14"/>
      <c r="Q2017" s="14"/>
      <c r="R2017" s="14"/>
      <c r="S2017" s="14"/>
    </row>
    <row r="2018" spans="1:19" ht="18" customHeight="1">
      <c r="A2018" s="17" t="str">
        <f>HYPERLINK("#"&amp;ADDRESS(MATCH(A2017,'CIM&amp;FMS'!$A$1:$A$4997,0),1,,,"CIM&amp;FMS"),"Back to Price List")</f>
        <v>Back to Price List</v>
      </c>
      <c r="B2018" t="s">
        <v>215</v>
      </c>
      <c r="C2018" t="s">
        <v>217</v>
      </c>
      <c r="D2018" s="4"/>
      <c r="E2018" s="4">
        <v>1</v>
      </c>
      <c r="F2018" s="4"/>
      <c r="G2018" s="29" t="str">
        <f>IFERROR(HYPERLINK("#"&amp;ADDRESS(MATCH(B2018&amp;"ES",'LM7 Non-ENG'!$A$1:$A$5000,0),1,,,"LM7 Non-ENG"),IF(IFERROR(VLOOKUP(B2018&amp;"ES",'LM7 Non-ENG'!$A$1:$A$4999,1,FALSE),"ERROR")=B2018&amp;"ES","Y","")),"")</f>
        <v/>
      </c>
      <c r="H2018" s="29" t="str">
        <f>IFERROR(HYPERLINK("#"&amp;ADDRESS(MATCH(B2018&amp;"PT",'LM7 Non-ENG'!$A$1:$A$5000,0),1,,,"LM7 Non-ENG"),IF(IFERROR(VLOOKUP(B2018&amp;"PT",'LM7 Non-ENG'!$A$1:$A$5000,1,FALSE),"ERROR")=B2018&amp;"PT","Y","")),"")</f>
        <v/>
      </c>
      <c r="I2018" t="str">
        <f>IFERROR(VLOOKUP(B2018,PN!$A:$C,3,FALSE),"")</f>
        <v>Active</v>
      </c>
      <c r="J2018" s="3">
        <f>IFERROR(E2018*VLOOKUP(B2018,PLInter!$A:$D,3,FALSE),"")</f>
        <v>35000</v>
      </c>
      <c r="K2018" s="66"/>
      <c r="L2018" s="66"/>
      <c r="M2018" s="66"/>
      <c r="N2018" s="66"/>
      <c r="O2018" s="66"/>
      <c r="P2018" s="66"/>
      <c r="Q2018" s="66"/>
      <c r="R2018" s="66"/>
      <c r="S2018" s="66"/>
    </row>
    <row r="2019" spans="1:19" ht="18" customHeight="1">
      <c r="B2019" t="s">
        <v>230</v>
      </c>
      <c r="C2019" t="s">
        <v>235</v>
      </c>
      <c r="D2019" s="4"/>
      <c r="E2019" s="4">
        <v>1</v>
      </c>
      <c r="F2019" s="4"/>
      <c r="G2019" s="29" t="str">
        <f>IFERROR(HYPERLINK("#"&amp;ADDRESS(MATCH(B2019&amp;"ES",'LM7 Non-ENG'!$A$1:$A$5000,0),1,,,"LM7 Non-ENG"),IF(IFERROR(VLOOKUP(B2019&amp;"ES",'LM7 Non-ENG'!$A$1:$A$4999,1,FALSE),"ERROR")=B2019&amp;"ES","Y","")),"")</f>
        <v/>
      </c>
      <c r="H2019" s="29" t="str">
        <f>IFERROR(HYPERLINK("#"&amp;ADDRESS(MATCH(B2019&amp;"PT",'LM7 Non-ENG'!$A$1:$A$5000,0),1,,,"LM7 Non-ENG"),IF(IFERROR(VLOOKUP(B2019&amp;"PT",'LM7 Non-ENG'!$A$1:$A$5000,1,FALSE),"ERROR")=B2019&amp;"PT","Y","")),"")</f>
        <v/>
      </c>
      <c r="I2019" t="str">
        <f>IFERROR(VLOOKUP(B2019,PN!$A:$C,3,FALSE),"")</f>
        <v>Active</v>
      </c>
      <c r="J2019" s="3">
        <f>IFERROR(E2019*VLOOKUP(B2019,PLInter!$A:$D,3,FALSE),"")</f>
        <v>3200</v>
      </c>
      <c r="K2019" s="66"/>
      <c r="L2019" s="66"/>
      <c r="M2019" s="66"/>
      <c r="N2019" s="66"/>
      <c r="O2019" s="66"/>
      <c r="P2019" s="66"/>
      <c r="Q2019" s="66"/>
      <c r="R2019" s="66"/>
      <c r="S2019" s="66"/>
    </row>
    <row r="2020" spans="1:19" ht="18" customHeight="1">
      <c r="B2020" t="s">
        <v>858</v>
      </c>
      <c r="C2020" t="s">
        <v>879</v>
      </c>
      <c r="D2020" s="4"/>
      <c r="E2020" s="4">
        <v>1</v>
      </c>
      <c r="F2020" s="4"/>
      <c r="G2020" s="29" t="str">
        <f>IFERROR(HYPERLINK("#"&amp;ADDRESS(MATCH(B2020&amp;"ES",'LM7 Non-ENG'!$A$1:$A$5000,0),1,,,"LM7 Non-ENG"),IF(IFERROR(VLOOKUP(B2020&amp;"ES",'LM7 Non-ENG'!$A$1:$A$4999,1,FALSE),"ERROR")=B2020&amp;"ES","Y","")),"")</f>
        <v/>
      </c>
      <c r="H2020" s="29" t="str">
        <f>IFERROR(HYPERLINK("#"&amp;ADDRESS(MATCH(B2020&amp;"PT",'LM7 Non-ENG'!$A$1:$A$5000,0),1,,,"LM7 Non-ENG"),IF(IFERROR(VLOOKUP(B2020&amp;"PT",'LM7 Non-ENG'!$A$1:$A$5000,1,FALSE),"ERROR")=B2020&amp;"PT","Y","")),"")</f>
        <v/>
      </c>
      <c r="I2020" t="str">
        <f>IFERROR(VLOOKUP(B2020,PN!$A:$C,3,FALSE),"")</f>
        <v>Active</v>
      </c>
      <c r="J2020" s="3">
        <f>IFERROR(E2020*VLOOKUP(B2020,PLInter!$A:$D,3,FALSE),"")</f>
        <v>15300</v>
      </c>
      <c r="K2020" s="66"/>
      <c r="L2020" s="66"/>
      <c r="M2020" s="66"/>
      <c r="N2020" s="66"/>
      <c r="O2020" s="66"/>
      <c r="P2020" s="66"/>
      <c r="Q2020" s="66"/>
      <c r="R2020" s="66"/>
      <c r="S2020" s="66"/>
    </row>
    <row r="2021" spans="1:19" ht="18" customHeight="1">
      <c r="B2021" s="2" t="s">
        <v>882</v>
      </c>
      <c r="C2021" s="2" t="s">
        <v>883</v>
      </c>
      <c r="D2021" s="5"/>
      <c r="E2021" s="5">
        <v>1</v>
      </c>
      <c r="F2021" s="5" t="s">
        <v>0</v>
      </c>
      <c r="G2021" s="29" t="str">
        <f>IFERROR(HYPERLINK("#"&amp;ADDRESS(MATCH(B2021&amp;"ES",'LM7 Non-ENG'!$A$1:$A$5000,0),1,,,"LM7 Non-ENG"),IF(IFERROR(VLOOKUP(B2021&amp;"ES",'LM7 Non-ENG'!$A$1:$A$4999,1,FALSE),"ERROR")=B2021&amp;"ES","Y","")),"")</f>
        <v/>
      </c>
      <c r="H2021" s="29" t="str">
        <f>IFERROR(HYPERLINK("#"&amp;ADDRESS(MATCH(B2021&amp;"PT",'LM7 Non-ENG'!$A$1:$A$5000,0),1,,,"LM7 Non-ENG"),IF(IFERROR(VLOOKUP(B2021&amp;"PT",'LM7 Non-ENG'!$A$1:$A$5000,1,FALSE),"ERROR")=B2021&amp;"PT","Y","")),"")</f>
        <v/>
      </c>
      <c r="I2021" t="str">
        <f>IFERROR(VLOOKUP(B2021,PN!$A:$C,3,FALSE),"")</f>
        <v>Phase Out</v>
      </c>
      <c r="J2021" s="3">
        <f>IFERROR(E2021*VLOOKUP(B2021,PLInter!$A:$D,3,FALSE),"")</f>
        <v>13500</v>
      </c>
      <c r="K2021" s="66"/>
      <c r="L2021" s="66"/>
      <c r="M2021" s="66"/>
      <c r="N2021" s="66"/>
      <c r="O2021" s="66"/>
      <c r="P2021" s="66"/>
      <c r="Q2021" s="66"/>
      <c r="R2021" s="66"/>
      <c r="S2021" s="66"/>
    </row>
    <row r="2022" spans="1:19" ht="18" customHeight="1">
      <c r="B2022" s="2" t="s">
        <v>884</v>
      </c>
      <c r="C2022" s="2" t="s">
        <v>885</v>
      </c>
      <c r="D2022" s="5"/>
      <c r="E2022" s="5">
        <v>1</v>
      </c>
      <c r="F2022" s="5" t="s">
        <v>0</v>
      </c>
      <c r="G2022" s="29" t="str">
        <f>IFERROR(HYPERLINK("#"&amp;ADDRESS(MATCH(B2022&amp;"ES",'LM7 Non-ENG'!$A$1:$A$5000,0),1,,,"LM7 Non-ENG"),IF(IFERROR(VLOOKUP(B2022&amp;"ES",'LM7 Non-ENG'!$A$1:$A$4999,1,FALSE),"ERROR")=B2022&amp;"ES","Y","")),"")</f>
        <v/>
      </c>
      <c r="H2022" s="29" t="str">
        <f>IFERROR(HYPERLINK("#"&amp;ADDRESS(MATCH(B2022&amp;"PT",'LM7 Non-ENG'!$A$1:$A$5000,0),1,,,"LM7 Non-ENG"),IF(IFERROR(VLOOKUP(B2022&amp;"PT",'LM7 Non-ENG'!$A$1:$A$5000,1,FALSE),"ERROR")=B2022&amp;"PT","Y","")),"")</f>
        <v/>
      </c>
      <c r="I2022" t="str">
        <f>IFERROR(VLOOKUP(B2022,PN!$A:$C,3,FALSE),"")</f>
        <v>ECO-N2Buy</v>
      </c>
      <c r="J2022" s="3">
        <f>IFERROR(E2022*VLOOKUP(B2022,PLInter!$A:$D,3,FALSE),"")</f>
        <v>18880</v>
      </c>
      <c r="K2022" s="66"/>
      <c r="L2022" s="66"/>
      <c r="M2022" s="66"/>
      <c r="N2022" s="66"/>
      <c r="O2022" s="66"/>
      <c r="P2022" s="66"/>
      <c r="Q2022" s="66"/>
      <c r="R2022" s="66"/>
      <c r="S2022" s="66"/>
    </row>
    <row r="2023" spans="1:19" ht="18" customHeight="1">
      <c r="B2023" s="2" t="s">
        <v>886</v>
      </c>
      <c r="C2023" s="2" t="s">
        <v>887</v>
      </c>
      <c r="D2023" s="5"/>
      <c r="E2023" s="5">
        <v>1</v>
      </c>
      <c r="F2023" s="5" t="s">
        <v>0</v>
      </c>
      <c r="G2023" s="29" t="str">
        <f>IFERROR(HYPERLINK("#"&amp;ADDRESS(MATCH(B2023&amp;"ES",'LM7 Non-ENG'!$A$1:$A$5000,0),1,,,"LM7 Non-ENG"),IF(IFERROR(VLOOKUP(B2023&amp;"ES",'LM7 Non-ENG'!$A$1:$A$4999,1,FALSE),"ERROR")=B2023&amp;"ES","Y","")),"")</f>
        <v/>
      </c>
      <c r="H2023" s="29" t="str">
        <f>IFERROR(HYPERLINK("#"&amp;ADDRESS(MATCH(B2023&amp;"PT",'LM7 Non-ENG'!$A$1:$A$5000,0),1,,,"LM7 Non-ENG"),IF(IFERROR(VLOOKUP(B2023&amp;"PT",'LM7 Non-ENG'!$A$1:$A$5000,1,FALSE),"ERROR")=B2023&amp;"PT","Y","")),"")</f>
        <v/>
      </c>
      <c r="I2023" t="str">
        <f>IFERROR(VLOOKUP(B2023,PN!$A:$C,3,FALSE),"")</f>
        <v>ECO-N2Buy</v>
      </c>
      <c r="J2023" s="3">
        <f>IFERROR(E2023*VLOOKUP(B2023,PLInter!$A:$D,3,FALSE),"")</f>
        <v>20000</v>
      </c>
      <c r="K2023" s="66"/>
      <c r="L2023" s="66"/>
      <c r="M2023" s="66"/>
      <c r="N2023" s="66"/>
      <c r="O2023" s="66"/>
      <c r="P2023" s="66"/>
      <c r="Q2023" s="66"/>
      <c r="R2023" s="66"/>
      <c r="S2023" s="66"/>
    </row>
    <row r="2024" spans="1:19" ht="18" customHeight="1">
      <c r="B2024" s="2" t="s">
        <v>870</v>
      </c>
      <c r="C2024" s="2" t="s">
        <v>871</v>
      </c>
      <c r="D2024" s="5"/>
      <c r="E2024" s="5">
        <v>1</v>
      </c>
      <c r="F2024" s="5" t="s">
        <v>0</v>
      </c>
      <c r="G2024" s="29" t="str">
        <f>IFERROR(HYPERLINK("#"&amp;ADDRESS(MATCH(B2024&amp;"ES",'LM7 Non-ENG'!$A$1:$A$5000,0),1,,,"LM7 Non-ENG"),IF(IFERROR(VLOOKUP(B2024&amp;"ES",'LM7 Non-ENG'!$A$1:$A$4999,1,FALSE),"ERROR")=B2024&amp;"ES","Y","")),"")</f>
        <v/>
      </c>
      <c r="H2024" s="29" t="str">
        <f>IFERROR(HYPERLINK("#"&amp;ADDRESS(MATCH(B2024&amp;"PT",'LM7 Non-ENG'!$A$1:$A$5000,0),1,,,"LM7 Non-ENG"),IF(IFERROR(VLOOKUP(B2024&amp;"PT",'LM7 Non-ENG'!$A$1:$A$5000,1,FALSE),"ERROR")=B2024&amp;"PT","Y","")),"")</f>
        <v/>
      </c>
      <c r="I2024" t="str">
        <f>IFERROR(VLOOKUP(B2024,PN!$A:$C,3,FALSE),"")</f>
        <v>ECO-N2Buy</v>
      </c>
      <c r="J2024" s="3">
        <f>IFERROR(E2024*VLOOKUP(B2024,PLInter!$A:$D,3,FALSE),"")</f>
        <v>45000</v>
      </c>
      <c r="K2024" s="66"/>
      <c r="L2024" s="66"/>
      <c r="M2024" s="66"/>
      <c r="N2024" s="66"/>
      <c r="O2024" s="66"/>
      <c r="P2024" s="66"/>
      <c r="Q2024" s="66"/>
      <c r="R2024" s="66"/>
      <c r="S2024" s="66"/>
    </row>
    <row r="2025" spans="1:19" ht="18" customHeight="1">
      <c r="B2025" t="s">
        <v>684</v>
      </c>
      <c r="C2025" t="s">
        <v>685</v>
      </c>
      <c r="D2025" s="4"/>
      <c r="E2025" s="4">
        <v>2</v>
      </c>
      <c r="F2025" s="4"/>
      <c r="G2025" s="29" t="str">
        <f>IFERROR(HYPERLINK("#"&amp;ADDRESS(MATCH(B2025&amp;"ES",'LM7 Non-ENG'!$A$1:$A$5000,0),1,,,"LM7 Non-ENG"),IF(IFERROR(VLOOKUP(B2025&amp;"ES",'LM7 Non-ENG'!$A$1:$A$4999,1,FALSE),"ERROR")=B2025&amp;"ES","Y","")),"")</f>
        <v/>
      </c>
      <c r="H2025" s="29" t="str">
        <f>IFERROR(HYPERLINK("#"&amp;ADDRESS(MATCH(B2025&amp;"PT",'LM7 Non-ENG'!$A$1:$A$5000,0),1,,,"LM7 Non-ENG"),IF(IFERROR(VLOOKUP(B2025&amp;"PT",'LM7 Non-ENG'!$A$1:$A$5000,1,FALSE),"ERROR")=B2025&amp;"PT","Y","")),"")</f>
        <v/>
      </c>
      <c r="I2025" t="str">
        <f>IFERROR(VLOOKUP(B2025,PN!$A:$C,3,FALSE),"")</f>
        <v>Active</v>
      </c>
      <c r="J2025" s="3">
        <f>IFERROR(E2025*VLOOKUP(B2025,PLInter!$A:$D,3,FALSE),"")</f>
        <v>1160</v>
      </c>
      <c r="K2025" s="66"/>
      <c r="L2025" s="66"/>
      <c r="M2025" s="66"/>
      <c r="N2025" s="66"/>
      <c r="O2025" s="66"/>
      <c r="P2025" s="66"/>
      <c r="Q2025" s="66"/>
      <c r="R2025" s="66"/>
      <c r="S2025" s="66"/>
    </row>
    <row r="2026" spans="1:19" ht="18" customHeight="1">
      <c r="B2026" t="s">
        <v>682</v>
      </c>
      <c r="C2026" t="s">
        <v>683</v>
      </c>
      <c r="D2026" s="4"/>
      <c r="E2026" s="4">
        <v>1</v>
      </c>
      <c r="F2026" s="4"/>
      <c r="G2026" s="29" t="str">
        <f>IFERROR(HYPERLINK("#"&amp;ADDRESS(MATCH(B2026&amp;"ES",'LM7 Non-ENG'!$A$1:$A$5000,0),1,,,"LM7 Non-ENG"),IF(IFERROR(VLOOKUP(B2026&amp;"ES",'LM7 Non-ENG'!$A$1:$A$4999,1,FALSE),"ERROR")=B2026&amp;"ES","Y","")),"")</f>
        <v/>
      </c>
      <c r="H2026" s="29" t="str">
        <f>IFERROR(HYPERLINK("#"&amp;ADDRESS(MATCH(B2026&amp;"PT",'LM7 Non-ENG'!$A$1:$A$5000,0),1,,,"LM7 Non-ENG"),IF(IFERROR(VLOOKUP(B2026&amp;"PT",'LM7 Non-ENG'!$A$1:$A$5000,1,FALSE),"ERROR")=B2026&amp;"PT","Y","")),"")</f>
        <v/>
      </c>
      <c r="I2026" t="str">
        <f>IFERROR(VLOOKUP(B2026,PN!$A:$C,3,FALSE),"")</f>
        <v>Active</v>
      </c>
      <c r="J2026" s="3">
        <f>IFERROR(E2026*VLOOKUP(B2026,PLInter!$A:$D,3,FALSE),"")</f>
        <v>494</v>
      </c>
      <c r="K2026" s="66"/>
      <c r="L2026" s="66"/>
      <c r="M2026" s="66"/>
      <c r="N2026" s="66"/>
      <c r="O2026" s="66"/>
      <c r="P2026" s="66"/>
      <c r="Q2026" s="66"/>
      <c r="R2026" s="66"/>
      <c r="S2026" s="66"/>
    </row>
    <row r="2027" spans="1:19" ht="18" customHeight="1">
      <c r="B2027" t="s">
        <v>680</v>
      </c>
      <c r="C2027" t="s">
        <v>681</v>
      </c>
      <c r="D2027" s="4"/>
      <c r="E2027" s="4">
        <v>1</v>
      </c>
      <c r="F2027" s="4"/>
      <c r="G2027" s="29" t="str">
        <f>IFERROR(HYPERLINK("#"&amp;ADDRESS(MATCH(B2027&amp;"ES",'LM7 Non-ENG'!$A$1:$A$5000,0),1,,,"LM7 Non-ENG"),IF(IFERROR(VLOOKUP(B2027&amp;"ES",'LM7 Non-ENG'!$A$1:$A$4999,1,FALSE),"ERROR")=B2027&amp;"ES","Y","")),"")</f>
        <v/>
      </c>
      <c r="H2027" s="29" t="str">
        <f>IFERROR(HYPERLINK("#"&amp;ADDRESS(MATCH(B2027&amp;"PT",'LM7 Non-ENG'!$A$1:$A$5000,0),1,,,"LM7 Non-ENG"),IF(IFERROR(VLOOKUP(B2027&amp;"PT",'LM7 Non-ENG'!$A$1:$A$5000,1,FALSE),"ERROR")=B2027&amp;"PT","Y","")),"")</f>
        <v/>
      </c>
      <c r="I2027" t="str">
        <f>IFERROR(VLOOKUP(B2027,PN!$A:$C,3,FALSE),"")</f>
        <v>Active</v>
      </c>
      <c r="J2027" s="3">
        <f>IFERROR(E2027*VLOOKUP(B2027,PLInter!$A:$D,3,FALSE),"")</f>
        <v>1440</v>
      </c>
      <c r="K2027" s="66"/>
      <c r="L2027" s="66"/>
      <c r="M2027" s="66"/>
      <c r="N2027" s="66"/>
      <c r="O2027" s="66"/>
      <c r="P2027" s="66"/>
      <c r="Q2027" s="66"/>
      <c r="R2027" s="66"/>
      <c r="S2027" s="66"/>
    </row>
    <row r="2028" spans="1:19" ht="18" customHeight="1">
      <c r="B2028" t="s">
        <v>917</v>
      </c>
      <c r="C2028" t="s">
        <v>951</v>
      </c>
      <c r="D2028" s="4"/>
      <c r="E2028" s="4">
        <v>1</v>
      </c>
      <c r="F2028" s="4"/>
      <c r="G2028" s="29" t="str">
        <f>IFERROR(HYPERLINK("#"&amp;ADDRESS(MATCH(B2028&amp;"ES",'LM7 Non-ENG'!$A$1:$A$5000,0),1,,,"LM7 Non-ENG"),IF(IFERROR(VLOOKUP(B2028&amp;"ES",'LM7 Non-ENG'!$A$1:$A$4999,1,FALSE),"ERROR")=B2028&amp;"ES","Y","")),"")</f>
        <v/>
      </c>
      <c r="H2028" s="29" t="str">
        <f>IFERROR(HYPERLINK("#"&amp;ADDRESS(MATCH(B2028&amp;"PT",'LM7 Non-ENG'!$A$1:$A$5000,0),1,,,"LM7 Non-ENG"),IF(IFERROR(VLOOKUP(B2028&amp;"PT",'LM7 Non-ENG'!$A$1:$A$5000,1,FALSE),"ERROR")=B2028&amp;"PT","Y","")),"")</f>
        <v/>
      </c>
      <c r="I2028" t="str">
        <f>IFERROR(VLOOKUP(B2028,PN!$A:$C,3,FALSE),"")</f>
        <v>Phase Out</v>
      </c>
      <c r="J2028" s="3">
        <f>IFERROR(E2028*VLOOKUP(B2028,PLInter!$A:$D,3,FALSE),"")</f>
        <v>1735</v>
      </c>
      <c r="K2028" s="66"/>
      <c r="L2028" s="66"/>
      <c r="M2028" s="66"/>
      <c r="N2028" s="66"/>
      <c r="O2028" s="66"/>
      <c r="P2028" s="66"/>
      <c r="Q2028" s="66"/>
      <c r="R2028" s="66"/>
      <c r="S2028" s="66"/>
    </row>
    <row r="2029" spans="1:19" ht="18" customHeight="1">
      <c r="B2029" t="s">
        <v>919</v>
      </c>
      <c r="C2029" t="s">
        <v>952</v>
      </c>
      <c r="D2029" s="4"/>
      <c r="E2029" s="4">
        <v>1</v>
      </c>
      <c r="F2029" s="4"/>
      <c r="G2029" s="29" t="str">
        <f>IFERROR(HYPERLINK("#"&amp;ADDRESS(MATCH(B2029&amp;"ES",'LM7 Non-ENG'!$A$1:$A$5000,0),1,,,"LM7 Non-ENG"),IF(IFERROR(VLOOKUP(B2029&amp;"ES",'LM7 Non-ENG'!$A$1:$A$4999,1,FALSE),"ERROR")=B2029&amp;"ES","Y","")),"")</f>
        <v/>
      </c>
      <c r="H2029" s="29" t="str">
        <f>IFERROR(HYPERLINK("#"&amp;ADDRESS(MATCH(B2029&amp;"PT",'LM7 Non-ENG'!$A$1:$A$5000,0),1,,,"LM7 Non-ENG"),IF(IFERROR(VLOOKUP(B2029&amp;"PT",'LM7 Non-ENG'!$A$1:$A$5000,1,FALSE),"ERROR")=B2029&amp;"PT","Y","")),"")</f>
        <v/>
      </c>
      <c r="I2029" t="str">
        <f>IFERROR(VLOOKUP(B2029,PN!$A:$C,3,FALSE),"")</f>
        <v>Active</v>
      </c>
      <c r="J2029" s="3">
        <f>IFERROR(E2029*VLOOKUP(B2029,PLInter!$A:$D,3,FALSE),"")</f>
        <v>635</v>
      </c>
      <c r="K2029" s="66"/>
      <c r="L2029" s="66"/>
      <c r="M2029" s="66"/>
      <c r="N2029" s="66"/>
      <c r="O2029" s="66"/>
      <c r="P2029" s="66"/>
      <c r="Q2029" s="66"/>
      <c r="R2029" s="66"/>
      <c r="S2029" s="66"/>
    </row>
    <row r="2030" spans="1:19" ht="18" customHeight="1">
      <c r="B2030" t="str">
        <f>"021152"</f>
        <v>021152</v>
      </c>
      <c r="C2030" s="41" t="s">
        <v>679</v>
      </c>
      <c r="D2030" s="4"/>
      <c r="E2030" s="4">
        <v>1</v>
      </c>
      <c r="F2030" s="4"/>
      <c r="G2030" s="29" t="str">
        <f>IFERROR(HYPERLINK("#"&amp;ADDRESS(MATCH(B2030&amp;"ES",'LM7 Non-ENG'!$A$1:$A$5000,0),1,,,"LM7 Non-ENG"),IF(IFERROR(VLOOKUP(B2030&amp;"ES",'LM7 Non-ENG'!$A$1:$A$4999,1,FALSE),"ERROR")=B2030&amp;"ES","Y","")),"")</f>
        <v/>
      </c>
      <c r="H2030" s="29" t="str">
        <f>IFERROR(HYPERLINK("#"&amp;ADDRESS(MATCH(B2030&amp;"PT",'LM7 Non-ENG'!$A$1:$A$5000,0),1,,,"LM7 Non-ENG"),IF(IFERROR(VLOOKUP(B2030&amp;"PT",'LM7 Non-ENG'!$A$1:$A$5000,1,FALSE),"ERROR")=B2030&amp;"PT","Y","")),"")</f>
        <v/>
      </c>
      <c r="I2030" t="str">
        <f>IFERROR(VLOOKUP(B2030,PN!$A:$C,3,FALSE),"")</f>
        <v>Active</v>
      </c>
      <c r="J2030" s="3">
        <f>IFERROR(E2030*VLOOKUP(B2030,PLInter!$A:$D,3,FALSE),"")</f>
        <v>240</v>
      </c>
      <c r="K2030" s="66"/>
      <c r="L2030" s="66"/>
      <c r="M2030" s="66"/>
      <c r="N2030" s="66"/>
      <c r="O2030" s="66"/>
      <c r="P2030" s="66"/>
      <c r="Q2030" s="66"/>
      <c r="R2030" s="66"/>
      <c r="S2030" s="66"/>
    </row>
    <row r="2031" spans="1:19" ht="18" customHeight="1">
      <c r="B2031" t="s">
        <v>704</v>
      </c>
      <c r="C2031" t="s">
        <v>705</v>
      </c>
      <c r="D2031" s="4"/>
      <c r="E2031" s="4">
        <v>1</v>
      </c>
      <c r="F2031" s="4"/>
      <c r="G2031" s="29" t="str">
        <f>IFERROR(HYPERLINK("#"&amp;ADDRESS(MATCH(B2031&amp;"ES",'LM7 Non-ENG'!$A$1:$A$5000,0),1,,,"LM7 Non-ENG"),IF(IFERROR(VLOOKUP(B2031&amp;"ES",'LM7 Non-ENG'!$A$1:$A$4999,1,FALSE),"ERROR")=B2031&amp;"ES","Y","")),"")</f>
        <v/>
      </c>
      <c r="H2031" s="29" t="str">
        <f>IFERROR(HYPERLINK("#"&amp;ADDRESS(MATCH(B2031&amp;"PT",'LM7 Non-ENG'!$A$1:$A$5000,0),1,,,"LM7 Non-ENG"),IF(IFERROR(VLOOKUP(B2031&amp;"PT",'LM7 Non-ENG'!$A$1:$A$5000,1,FALSE),"ERROR")=B2031&amp;"PT","Y","")),"")</f>
        <v/>
      </c>
      <c r="I2031" t="str">
        <f>IFERROR(VLOOKUP(B2031,PN!$A:$C,3,FALSE),"")</f>
        <v>Active</v>
      </c>
      <c r="J2031" s="3">
        <f>IFERROR(E2031*VLOOKUP(B2031,PLInter!$A:$D,3,FALSE),"")</f>
        <v>2640</v>
      </c>
      <c r="K2031" s="66"/>
      <c r="L2031" s="66"/>
      <c r="M2031" s="66"/>
      <c r="N2031" s="66"/>
      <c r="O2031" s="66"/>
      <c r="P2031" s="66"/>
      <c r="Q2031" s="66"/>
      <c r="R2031" s="66"/>
      <c r="S2031" s="66"/>
    </row>
    <row r="2032" spans="1:19" ht="18" customHeight="1">
      <c r="B2032" t="s">
        <v>977</v>
      </c>
      <c r="C2032" t="s">
        <v>978</v>
      </c>
      <c r="D2032" s="4"/>
      <c r="E2032" s="4">
        <v>1</v>
      </c>
      <c r="F2032" s="4"/>
      <c r="G2032" s="29" t="str">
        <f>IFERROR(HYPERLINK("#"&amp;ADDRESS(MATCH(B2032&amp;"ES",'LM7 Non-ENG'!$A$1:$A$5000,0),1,,,"LM7 Non-ENG"),IF(IFERROR(VLOOKUP(B2032&amp;"ES",'LM7 Non-ENG'!$A$1:$A$4999,1,FALSE),"ERROR")=B2032&amp;"ES","Y","")),"")</f>
        <v/>
      </c>
      <c r="H2032" s="29" t="str">
        <f>IFERROR(HYPERLINK("#"&amp;ADDRESS(MATCH(B2032&amp;"PT",'LM7 Non-ENG'!$A$1:$A$5000,0),1,,,"LM7 Non-ENG"),IF(IFERROR(VLOOKUP(B2032&amp;"PT",'LM7 Non-ENG'!$A$1:$A$5000,1,FALSE),"ERROR")=B2032&amp;"PT","Y","")),"")</f>
        <v/>
      </c>
      <c r="I2032" t="str">
        <f>IFERROR(VLOOKUP(B2032,PN!$A:$C,3,FALSE),"")</f>
        <v>Active</v>
      </c>
      <c r="J2032" s="3">
        <f>IFERROR(E2032*VLOOKUP(B2032,PLInter!$A:$D,3,FALSE),"")</f>
        <v>3885</v>
      </c>
      <c r="K2032" s="66"/>
      <c r="L2032" s="66"/>
      <c r="M2032" s="66"/>
      <c r="N2032" s="66"/>
      <c r="O2032" s="66"/>
      <c r="P2032" s="66"/>
      <c r="Q2032" s="66"/>
      <c r="R2032" s="66"/>
      <c r="S2032" s="66"/>
    </row>
    <row r="2033" spans="1:19" ht="18" customHeight="1">
      <c r="B2033" t="str">
        <f>"113096"</f>
        <v>113096</v>
      </c>
      <c r="C2033" t="s">
        <v>943</v>
      </c>
      <c r="D2033" s="4"/>
      <c r="E2033" s="4">
        <v>5</v>
      </c>
      <c r="F2033" s="4"/>
      <c r="G2033" s="29" t="str">
        <f>IFERROR(HYPERLINK("#"&amp;ADDRESS(MATCH(B2033&amp;"ES",'LM7 Non-ENG'!$A$1:$A$5000,0),1,,,"LM7 Non-ENG"),IF(IFERROR(VLOOKUP(B2033&amp;"ES",'LM7 Non-ENG'!$A$1:$A$4999,1,FALSE),"ERROR")=B2033&amp;"ES","Y","")),"")</f>
        <v/>
      </c>
      <c r="H2033" s="29" t="str">
        <f>IFERROR(HYPERLINK("#"&amp;ADDRESS(MATCH(B2033&amp;"PT",'LM7 Non-ENG'!$A$1:$A$5000,0),1,,,"LM7 Non-ENG"),IF(IFERROR(VLOOKUP(B2033&amp;"PT",'LM7 Non-ENG'!$A$1:$A$5000,1,FALSE),"ERROR")=B2033&amp;"PT","Y","")),"")</f>
        <v/>
      </c>
      <c r="I2033" t="str">
        <f>IFERROR(VLOOKUP(B2033,PN!$A:$C,3,FALSE),"")</f>
        <v>Active</v>
      </c>
      <c r="J2033" s="3">
        <f>IFERROR(E2033*VLOOKUP(B2033,PLInter!$A:$D,3,FALSE),"")</f>
        <v>270</v>
      </c>
      <c r="K2033" s="66"/>
      <c r="L2033" s="66"/>
      <c r="M2033" s="66"/>
      <c r="N2033" s="66"/>
      <c r="O2033" s="66"/>
      <c r="P2033" s="66"/>
      <c r="Q2033" s="66"/>
      <c r="R2033" s="66"/>
      <c r="S2033" s="66"/>
    </row>
    <row r="2034" spans="1:19" ht="18" customHeight="1">
      <c r="B2034" t="str">
        <f>"112713"</f>
        <v>112713</v>
      </c>
      <c r="C2034" t="s">
        <v>944</v>
      </c>
      <c r="D2034" s="4"/>
      <c r="E2034" s="4">
        <v>5</v>
      </c>
      <c r="F2034" s="4"/>
      <c r="G2034" s="29" t="str">
        <f>IFERROR(HYPERLINK("#"&amp;ADDRESS(MATCH(B2034&amp;"ES",'LM7 Non-ENG'!$A$1:$A$5000,0),1,,,"LM7 Non-ENG"),IF(IFERROR(VLOOKUP(B2034&amp;"ES",'LM7 Non-ENG'!$A$1:$A$4999,1,FALSE),"ERROR")=B2034&amp;"ES","Y","")),"")</f>
        <v/>
      </c>
      <c r="H2034" s="29" t="str">
        <f>IFERROR(HYPERLINK("#"&amp;ADDRESS(MATCH(B2034&amp;"PT",'LM7 Non-ENG'!$A$1:$A$5000,0),1,,,"LM7 Non-ENG"),IF(IFERROR(VLOOKUP(B2034&amp;"PT",'LM7 Non-ENG'!$A$1:$A$5000,1,FALSE),"ERROR")=B2034&amp;"PT","Y","")),"")</f>
        <v/>
      </c>
      <c r="I2034" t="str">
        <f>IFERROR(VLOOKUP(B2034,PN!$A:$C,3,FALSE),"")</f>
        <v>Active</v>
      </c>
      <c r="J2034" s="3">
        <f>IFERROR(E2034*VLOOKUP(B2034,PLInter!$A:$D,3,FALSE),"")</f>
        <v>500</v>
      </c>
      <c r="K2034" s="66"/>
      <c r="L2034" s="66"/>
      <c r="M2034" s="66"/>
      <c r="N2034" s="66"/>
      <c r="O2034" s="66"/>
      <c r="P2034" s="66"/>
      <c r="Q2034" s="66"/>
      <c r="R2034" s="66"/>
      <c r="S2034" s="66"/>
    </row>
    <row r="2035" spans="1:19" ht="18" customHeight="1">
      <c r="B2035" t="str">
        <f>"113316"</f>
        <v>113316</v>
      </c>
      <c r="C2035" t="s">
        <v>979</v>
      </c>
      <c r="D2035" s="4"/>
      <c r="E2035" s="4">
        <v>1</v>
      </c>
      <c r="F2035" s="4"/>
      <c r="G2035" s="29" t="str">
        <f>IFERROR(HYPERLINK("#"&amp;ADDRESS(MATCH(B2035&amp;"ES",'LM7 Non-ENG'!$A$1:$A$5000,0),1,,,"LM7 Non-ENG"),IF(IFERROR(VLOOKUP(B2035&amp;"ES",'LM7 Non-ENG'!$A$1:$A$4999,1,FALSE),"ERROR")=B2035&amp;"ES","Y","")),"")</f>
        <v/>
      </c>
      <c r="H2035" s="29" t="str">
        <f>IFERROR(HYPERLINK("#"&amp;ADDRESS(MATCH(B2035&amp;"PT",'LM7 Non-ENG'!$A$1:$A$5000,0),1,,,"LM7 Non-ENG"),IF(IFERROR(VLOOKUP(B2035&amp;"PT",'LM7 Non-ENG'!$A$1:$A$5000,1,FALSE),"ERROR")=B2035&amp;"PT","Y","")),"")</f>
        <v/>
      </c>
      <c r="I2035" t="str">
        <f>IFERROR(VLOOKUP(B2035,PN!$A:$C,3,FALSE),"")</f>
        <v>Active</v>
      </c>
      <c r="J2035" s="3">
        <f>IFERROR(E2035*VLOOKUP(B2035,PLInter!$A:$D,3,FALSE),"")</f>
        <v>20</v>
      </c>
      <c r="K2035" s="66"/>
      <c r="L2035" s="66"/>
      <c r="M2035" s="66"/>
      <c r="N2035" s="66"/>
      <c r="O2035" s="66"/>
      <c r="P2035" s="66"/>
      <c r="Q2035" s="66"/>
      <c r="R2035" s="66"/>
      <c r="S2035" s="66"/>
    </row>
    <row r="2036" spans="1:19" ht="18" customHeight="1">
      <c r="B2036" t="s">
        <v>644</v>
      </c>
      <c r="C2036" t="s">
        <v>645</v>
      </c>
      <c r="D2036" s="4"/>
      <c r="E2036" s="4">
        <v>1</v>
      </c>
      <c r="F2036" s="4"/>
      <c r="G2036" s="29" t="str">
        <f>IFERROR(HYPERLINK("#"&amp;ADDRESS(MATCH(B2036&amp;"ES",'LM7 Non-ENG'!$A$1:$A$5000,0),1,,,"LM7 Non-ENG"),IF(IFERROR(VLOOKUP(B2036&amp;"ES",'LM7 Non-ENG'!$A$1:$A$4999,1,FALSE),"ERROR")=B2036&amp;"ES","Y","")),"")</f>
        <v/>
      </c>
      <c r="H2036" s="29" t="str">
        <f>IFERROR(HYPERLINK("#"&amp;ADDRESS(MATCH(B2036&amp;"PT",'LM7 Non-ENG'!$A$1:$A$5000,0),1,,,"LM7 Non-ENG"),IF(IFERROR(VLOOKUP(B2036&amp;"PT",'LM7 Non-ENG'!$A$1:$A$5000,1,FALSE),"ERROR")=B2036&amp;"PT","Y","")),"")</f>
        <v/>
      </c>
      <c r="I2036" t="str">
        <f>IFERROR(VLOOKUP(B2036,PN!$A:$C,3,FALSE),"")</f>
        <v>Active</v>
      </c>
      <c r="J2036" s="3">
        <f>IFERROR(E2036*VLOOKUP(B2036,PLInter!$A:$D,3,FALSE),"")</f>
        <v>1800</v>
      </c>
      <c r="K2036" s="66"/>
      <c r="L2036" s="66"/>
      <c r="M2036" s="66"/>
      <c r="N2036" s="66"/>
      <c r="O2036" s="66"/>
      <c r="P2036" s="66"/>
      <c r="Q2036" s="66"/>
      <c r="R2036" s="66"/>
      <c r="S2036" s="66"/>
    </row>
    <row r="2037" spans="1:19" ht="18" customHeight="1">
      <c r="B2037" t="s">
        <v>697</v>
      </c>
      <c r="C2037" t="s">
        <v>698</v>
      </c>
      <c r="D2037" s="4"/>
      <c r="E2037" s="4">
        <v>1</v>
      </c>
      <c r="F2037" s="4"/>
      <c r="G2037" s="29" t="str">
        <f>IFERROR(HYPERLINK("#"&amp;ADDRESS(MATCH(B2037&amp;"ES",'LM7 Non-ENG'!$A$1:$A$5000,0),1,,,"LM7 Non-ENG"),IF(IFERROR(VLOOKUP(B2037&amp;"ES",'LM7 Non-ENG'!$A$1:$A$4999,1,FALSE),"ERROR")=B2037&amp;"ES","Y","")),"")</f>
        <v/>
      </c>
      <c r="H2037" s="29" t="str">
        <f>IFERROR(HYPERLINK("#"&amp;ADDRESS(MATCH(B2037&amp;"PT",'LM7 Non-ENG'!$A$1:$A$5000,0),1,,,"LM7 Non-ENG"),IF(IFERROR(VLOOKUP(B2037&amp;"PT",'LM7 Non-ENG'!$A$1:$A$5000,1,FALSE),"ERROR")=B2037&amp;"PT","Y","")),"")</f>
        <v/>
      </c>
      <c r="I2037" t="str">
        <f>IFERROR(VLOOKUP(B2037,PN!$A:$C,3,FALSE),"")</f>
        <v>Active</v>
      </c>
      <c r="J2037" s="3">
        <f>IFERROR(E2037*VLOOKUP(B2037,PLInter!$A:$D,3,FALSE),"")</f>
        <v>934</v>
      </c>
      <c r="K2037" s="66"/>
      <c r="L2037" s="66"/>
      <c r="M2037" s="66"/>
      <c r="N2037" s="66"/>
      <c r="O2037" s="66"/>
      <c r="P2037" s="66"/>
      <c r="Q2037" s="66"/>
      <c r="R2037" s="66"/>
      <c r="S2037" s="66"/>
    </row>
    <row r="2038" spans="1:19" ht="18" customHeight="1">
      <c r="B2038" t="s">
        <v>630</v>
      </c>
      <c r="C2038" t="s">
        <v>631</v>
      </c>
      <c r="D2038" s="4"/>
      <c r="E2038" s="4">
        <v>1</v>
      </c>
      <c r="F2038" s="4"/>
      <c r="G2038" s="29" t="str">
        <f>IFERROR(HYPERLINK("#"&amp;ADDRESS(MATCH(B2038&amp;"ES",'LM7 Non-ENG'!$A$1:$A$5000,0),1,,,"LM7 Non-ENG"),IF(IFERROR(VLOOKUP(B2038&amp;"ES",'LM7 Non-ENG'!$A$1:$A$4999,1,FALSE),"ERROR")=B2038&amp;"ES","Y","")),"")</f>
        <v/>
      </c>
      <c r="H2038" s="29" t="str">
        <f>IFERROR(HYPERLINK("#"&amp;ADDRESS(MATCH(B2038&amp;"PT",'LM7 Non-ENG'!$A$1:$A$5000,0),1,,,"LM7 Non-ENG"),IF(IFERROR(VLOOKUP(B2038&amp;"PT",'LM7 Non-ENG'!$A$1:$A$5000,1,FALSE),"ERROR")=B2038&amp;"PT","Y","")),"")</f>
        <v/>
      </c>
      <c r="I2038" t="str">
        <f>IFERROR(VLOOKUP(B2038,PN!$A:$C,3,FALSE),"")</f>
        <v>Active</v>
      </c>
      <c r="J2038" s="3">
        <f>IFERROR(E2038*VLOOKUP(B2038,PLInter!$A:$D,3,FALSE),"")</f>
        <v>1735</v>
      </c>
      <c r="K2038" s="66"/>
      <c r="L2038" s="66"/>
      <c r="M2038" s="66"/>
      <c r="N2038" s="66"/>
      <c r="O2038" s="66"/>
      <c r="P2038" s="66"/>
      <c r="Q2038" s="66"/>
      <c r="R2038" s="66"/>
      <c r="S2038" s="66"/>
    </row>
    <row r="2040" spans="1:19" s="7" customFormat="1" ht="18" customHeight="1">
      <c r="A2040" s="13" t="s">
        <v>1057</v>
      </c>
      <c r="B2040" s="13"/>
      <c r="C2040" s="13" t="s">
        <v>1058</v>
      </c>
      <c r="D2040" s="14"/>
      <c r="E2040" s="14"/>
      <c r="F2040" s="14"/>
      <c r="G2040" s="14"/>
      <c r="H2040" s="14"/>
      <c r="I2040" s="14"/>
      <c r="J2040" s="14">
        <f>SUMIFS(J2041:J2057,D2041:D2057,"&lt;&gt;Y",F2041:F2057,"&lt;&gt;Y",I2041:I2057,"&lt;&gt;Inactive",I2041:I2057,"&lt;&gt;ECO+NFS")</f>
        <v>74568</v>
      </c>
      <c r="K2040" s="14"/>
      <c r="L2040" s="14"/>
      <c r="M2040" s="14"/>
      <c r="N2040" s="14"/>
      <c r="O2040" s="14"/>
      <c r="P2040" s="14"/>
      <c r="Q2040" s="14"/>
      <c r="R2040" s="14"/>
      <c r="S2040" s="14"/>
    </row>
    <row r="2041" spans="1:19" ht="18" customHeight="1">
      <c r="A2041" s="17" t="str">
        <f>HYPERLINK("#"&amp;ADDRESS(MATCH(A2040,'CIM&amp;FMS'!$A$1:$A$4997,0),1,,,"CIM&amp;FMS"),"Back to Price List")</f>
        <v>Back to Price List</v>
      </c>
      <c r="B2041" t="s">
        <v>215</v>
      </c>
      <c r="C2041" t="s">
        <v>217</v>
      </c>
      <c r="D2041" s="4"/>
      <c r="E2041" s="4">
        <v>1</v>
      </c>
      <c r="F2041" s="4"/>
      <c r="G2041" s="29" t="str">
        <f>IFERROR(HYPERLINK("#"&amp;ADDRESS(MATCH(B2041&amp;"ES",'LM7 Non-ENG'!$A$1:$A$5000,0),1,,,"LM7 Non-ENG"),IF(IFERROR(VLOOKUP(B2041&amp;"ES",'LM7 Non-ENG'!$A$1:$A$4999,1,FALSE),"ERROR")=B2041&amp;"ES","Y","")),"")</f>
        <v/>
      </c>
      <c r="H2041" s="29" t="str">
        <f>IFERROR(HYPERLINK("#"&amp;ADDRESS(MATCH(B2041&amp;"PT",'LM7 Non-ENG'!$A$1:$A$5000,0),1,,,"LM7 Non-ENG"),IF(IFERROR(VLOOKUP(B2041&amp;"PT",'LM7 Non-ENG'!$A$1:$A$5000,1,FALSE),"ERROR")=B2041&amp;"PT","Y","")),"")</f>
        <v/>
      </c>
      <c r="I2041" t="str">
        <f>IFERROR(VLOOKUP(B2041,PN!$A:$C,3,FALSE),"")</f>
        <v>Active</v>
      </c>
      <c r="J2041" s="3">
        <f>IFERROR(E2041*VLOOKUP(B2041,PLInter!$A:$D,3,FALSE),"")</f>
        <v>35000</v>
      </c>
      <c r="K2041" s="66"/>
      <c r="L2041" s="66"/>
      <c r="M2041" s="66"/>
      <c r="N2041" s="66"/>
      <c r="O2041" s="66"/>
      <c r="P2041" s="66"/>
      <c r="Q2041" s="66"/>
      <c r="R2041" s="66"/>
      <c r="S2041" s="66"/>
    </row>
    <row r="2042" spans="1:19" ht="18" customHeight="1">
      <c r="B2042" t="s">
        <v>230</v>
      </c>
      <c r="C2042" t="s">
        <v>235</v>
      </c>
      <c r="D2042" s="4"/>
      <c r="E2042" s="4">
        <v>1</v>
      </c>
      <c r="F2042" s="4"/>
      <c r="G2042" s="29" t="str">
        <f>IFERROR(HYPERLINK("#"&amp;ADDRESS(MATCH(B2042&amp;"ES",'LM7 Non-ENG'!$A$1:$A$5000,0),1,,,"LM7 Non-ENG"),IF(IFERROR(VLOOKUP(B2042&amp;"ES",'LM7 Non-ENG'!$A$1:$A$4999,1,FALSE),"ERROR")=B2042&amp;"ES","Y","")),"")</f>
        <v/>
      </c>
      <c r="H2042" s="29" t="str">
        <f>IFERROR(HYPERLINK("#"&amp;ADDRESS(MATCH(B2042&amp;"PT",'LM7 Non-ENG'!$A$1:$A$5000,0),1,,,"LM7 Non-ENG"),IF(IFERROR(VLOOKUP(B2042&amp;"PT",'LM7 Non-ENG'!$A$1:$A$5000,1,FALSE),"ERROR")=B2042&amp;"PT","Y","")),"")</f>
        <v/>
      </c>
      <c r="I2042" t="str">
        <f>IFERROR(VLOOKUP(B2042,PN!$A:$C,3,FALSE),"")</f>
        <v>Active</v>
      </c>
      <c r="J2042" s="3">
        <f>IFERROR(E2042*VLOOKUP(B2042,PLInter!$A:$D,3,FALSE),"")</f>
        <v>3200</v>
      </c>
      <c r="K2042" s="66"/>
      <c r="L2042" s="66"/>
      <c r="M2042" s="66"/>
      <c r="N2042" s="66"/>
      <c r="O2042" s="66"/>
      <c r="P2042" s="66"/>
      <c r="Q2042" s="66"/>
      <c r="R2042" s="66"/>
      <c r="S2042" s="66"/>
    </row>
    <row r="2043" spans="1:19" ht="18" customHeight="1">
      <c r="B2043" t="s">
        <v>884</v>
      </c>
      <c r="C2043" t="s">
        <v>885</v>
      </c>
      <c r="D2043" s="4"/>
      <c r="E2043" s="4">
        <v>1</v>
      </c>
      <c r="F2043" s="4"/>
      <c r="G2043" s="29" t="str">
        <f>IFERROR(HYPERLINK("#"&amp;ADDRESS(MATCH(B2043&amp;"ES",'LM7 Non-ENG'!$A$1:$A$5000,0),1,,,"LM7 Non-ENG"),IF(IFERROR(VLOOKUP(B2043&amp;"ES",'LM7 Non-ENG'!$A$1:$A$4999,1,FALSE),"ERROR")=B2043&amp;"ES","Y","")),"")</f>
        <v/>
      </c>
      <c r="H2043" s="29" t="str">
        <f>IFERROR(HYPERLINK("#"&amp;ADDRESS(MATCH(B2043&amp;"PT",'LM7 Non-ENG'!$A$1:$A$5000,0),1,,,"LM7 Non-ENG"),IF(IFERROR(VLOOKUP(B2043&amp;"PT",'LM7 Non-ENG'!$A$1:$A$5000,1,FALSE),"ERROR")=B2043&amp;"PT","Y","")),"")</f>
        <v/>
      </c>
      <c r="I2043" t="str">
        <f>IFERROR(VLOOKUP(B2043,PN!$A:$C,3,FALSE),"")</f>
        <v>ECO-N2Buy</v>
      </c>
      <c r="J2043" s="3">
        <f>IFERROR(E2043*VLOOKUP(B2043,PLInter!$A:$D,3,FALSE),"")</f>
        <v>18880</v>
      </c>
      <c r="K2043" s="66"/>
      <c r="L2043" s="66"/>
      <c r="M2043" s="66"/>
      <c r="N2043" s="66"/>
      <c r="O2043" s="66"/>
      <c r="P2043" s="66"/>
      <c r="Q2043" s="66"/>
      <c r="R2043" s="66"/>
      <c r="S2043" s="66"/>
    </row>
    <row r="2044" spans="1:19" ht="18" customHeight="1">
      <c r="B2044" t="s">
        <v>684</v>
      </c>
      <c r="C2044" t="s">
        <v>685</v>
      </c>
      <c r="D2044" s="4"/>
      <c r="E2044" s="4">
        <v>2</v>
      </c>
      <c r="F2044" s="4"/>
      <c r="G2044" s="29" t="str">
        <f>IFERROR(HYPERLINK("#"&amp;ADDRESS(MATCH(B2044&amp;"ES",'LM7 Non-ENG'!$A$1:$A$5000,0),1,,,"LM7 Non-ENG"),IF(IFERROR(VLOOKUP(B2044&amp;"ES",'LM7 Non-ENG'!$A$1:$A$4999,1,FALSE),"ERROR")=B2044&amp;"ES","Y","")),"")</f>
        <v/>
      </c>
      <c r="H2044" s="29" t="str">
        <f>IFERROR(HYPERLINK("#"&amp;ADDRESS(MATCH(B2044&amp;"PT",'LM7 Non-ENG'!$A$1:$A$5000,0),1,,,"LM7 Non-ENG"),IF(IFERROR(VLOOKUP(B2044&amp;"PT",'LM7 Non-ENG'!$A$1:$A$5000,1,FALSE),"ERROR")=B2044&amp;"PT","Y","")),"")</f>
        <v/>
      </c>
      <c r="I2044" t="str">
        <f>IFERROR(VLOOKUP(B2044,PN!$A:$C,3,FALSE),"")</f>
        <v>Active</v>
      </c>
      <c r="J2044" s="3">
        <f>IFERROR(E2044*VLOOKUP(B2044,PLInter!$A:$D,3,FALSE),"")</f>
        <v>1160</v>
      </c>
      <c r="K2044" s="66"/>
      <c r="L2044" s="66"/>
      <c r="M2044" s="66"/>
      <c r="N2044" s="66"/>
      <c r="O2044" s="66"/>
      <c r="P2044" s="66"/>
      <c r="Q2044" s="66"/>
      <c r="R2044" s="66"/>
      <c r="S2044" s="66"/>
    </row>
    <row r="2045" spans="1:19" ht="18" customHeight="1">
      <c r="B2045" t="s">
        <v>682</v>
      </c>
      <c r="C2045" t="s">
        <v>683</v>
      </c>
      <c r="D2045" s="4"/>
      <c r="E2045" s="4">
        <v>1</v>
      </c>
      <c r="F2045" s="4"/>
      <c r="G2045" s="29" t="str">
        <f>IFERROR(HYPERLINK("#"&amp;ADDRESS(MATCH(B2045&amp;"ES",'LM7 Non-ENG'!$A$1:$A$5000,0),1,,,"LM7 Non-ENG"),IF(IFERROR(VLOOKUP(B2045&amp;"ES",'LM7 Non-ENG'!$A$1:$A$4999,1,FALSE),"ERROR")=B2045&amp;"ES","Y","")),"")</f>
        <v/>
      </c>
      <c r="H2045" s="29" t="str">
        <f>IFERROR(HYPERLINK("#"&amp;ADDRESS(MATCH(B2045&amp;"PT",'LM7 Non-ENG'!$A$1:$A$5000,0),1,,,"LM7 Non-ENG"),IF(IFERROR(VLOOKUP(B2045&amp;"PT",'LM7 Non-ENG'!$A$1:$A$5000,1,FALSE),"ERROR")=B2045&amp;"PT","Y","")),"")</f>
        <v/>
      </c>
      <c r="I2045" t="str">
        <f>IFERROR(VLOOKUP(B2045,PN!$A:$C,3,FALSE),"")</f>
        <v>Active</v>
      </c>
      <c r="J2045" s="3">
        <f>IFERROR(E2045*VLOOKUP(B2045,PLInter!$A:$D,3,FALSE),"")</f>
        <v>494</v>
      </c>
      <c r="K2045" s="66"/>
      <c r="L2045" s="66"/>
      <c r="M2045" s="66"/>
      <c r="N2045" s="66"/>
      <c r="O2045" s="66"/>
      <c r="P2045" s="66"/>
      <c r="Q2045" s="66"/>
      <c r="R2045" s="66"/>
      <c r="S2045" s="66"/>
    </row>
    <row r="2046" spans="1:19" ht="18" customHeight="1">
      <c r="B2046" t="s">
        <v>680</v>
      </c>
      <c r="C2046" t="s">
        <v>681</v>
      </c>
      <c r="D2046" s="4"/>
      <c r="E2046" s="4">
        <v>1</v>
      </c>
      <c r="F2046" s="4"/>
      <c r="G2046" s="29" t="str">
        <f>IFERROR(HYPERLINK("#"&amp;ADDRESS(MATCH(B2046&amp;"ES",'LM7 Non-ENG'!$A$1:$A$5000,0),1,,,"LM7 Non-ENG"),IF(IFERROR(VLOOKUP(B2046&amp;"ES",'LM7 Non-ENG'!$A$1:$A$4999,1,FALSE),"ERROR")=B2046&amp;"ES","Y","")),"")</f>
        <v/>
      </c>
      <c r="H2046" s="29" t="str">
        <f>IFERROR(HYPERLINK("#"&amp;ADDRESS(MATCH(B2046&amp;"PT",'LM7 Non-ENG'!$A$1:$A$5000,0),1,,,"LM7 Non-ENG"),IF(IFERROR(VLOOKUP(B2046&amp;"PT",'LM7 Non-ENG'!$A$1:$A$5000,1,FALSE),"ERROR")=B2046&amp;"PT","Y","")),"")</f>
        <v/>
      </c>
      <c r="I2046" t="str">
        <f>IFERROR(VLOOKUP(B2046,PN!$A:$C,3,FALSE),"")</f>
        <v>Active</v>
      </c>
      <c r="J2046" s="3">
        <f>IFERROR(E2046*VLOOKUP(B2046,PLInter!$A:$D,3,FALSE),"")</f>
        <v>1440</v>
      </c>
      <c r="K2046" s="66"/>
      <c r="L2046" s="66"/>
      <c r="M2046" s="66"/>
      <c r="N2046" s="66"/>
      <c r="O2046" s="66"/>
      <c r="P2046" s="66"/>
      <c r="Q2046" s="66"/>
      <c r="R2046" s="66"/>
      <c r="S2046" s="66"/>
    </row>
    <row r="2047" spans="1:19" ht="18" customHeight="1">
      <c r="B2047" t="s">
        <v>917</v>
      </c>
      <c r="C2047" t="s">
        <v>951</v>
      </c>
      <c r="D2047" s="4"/>
      <c r="E2047" s="4">
        <v>1</v>
      </c>
      <c r="F2047" s="4"/>
      <c r="G2047" s="29" t="str">
        <f>IFERROR(HYPERLINK("#"&amp;ADDRESS(MATCH(B2047&amp;"ES",'LM7 Non-ENG'!$A$1:$A$5000,0),1,,,"LM7 Non-ENG"),IF(IFERROR(VLOOKUP(B2047&amp;"ES",'LM7 Non-ENG'!$A$1:$A$4999,1,FALSE),"ERROR")=B2047&amp;"ES","Y","")),"")</f>
        <v/>
      </c>
      <c r="H2047" s="29" t="str">
        <f>IFERROR(HYPERLINK("#"&amp;ADDRESS(MATCH(B2047&amp;"PT",'LM7 Non-ENG'!$A$1:$A$5000,0),1,,,"LM7 Non-ENG"),IF(IFERROR(VLOOKUP(B2047&amp;"PT",'LM7 Non-ENG'!$A$1:$A$5000,1,FALSE),"ERROR")=B2047&amp;"PT","Y","")),"")</f>
        <v/>
      </c>
      <c r="I2047" t="str">
        <f>IFERROR(VLOOKUP(B2047,PN!$A:$C,3,FALSE),"")</f>
        <v>Phase Out</v>
      </c>
      <c r="J2047" s="3">
        <f>IFERROR(E2047*VLOOKUP(B2047,PLInter!$A:$D,3,FALSE),"")</f>
        <v>1735</v>
      </c>
      <c r="K2047" s="66"/>
      <c r="L2047" s="66"/>
      <c r="M2047" s="66"/>
      <c r="N2047" s="66"/>
      <c r="O2047" s="66"/>
      <c r="P2047" s="66"/>
      <c r="Q2047" s="66"/>
      <c r="R2047" s="66"/>
      <c r="S2047" s="66"/>
    </row>
    <row r="2048" spans="1:19" ht="18" customHeight="1">
      <c r="B2048" t="s">
        <v>919</v>
      </c>
      <c r="C2048" t="s">
        <v>952</v>
      </c>
      <c r="D2048" s="4"/>
      <c r="E2048" s="4">
        <v>1</v>
      </c>
      <c r="F2048" s="4"/>
      <c r="G2048" s="29" t="str">
        <f>IFERROR(HYPERLINK("#"&amp;ADDRESS(MATCH(B2048&amp;"ES",'LM7 Non-ENG'!$A$1:$A$5000,0),1,,,"LM7 Non-ENG"),IF(IFERROR(VLOOKUP(B2048&amp;"ES",'LM7 Non-ENG'!$A$1:$A$4999,1,FALSE),"ERROR")=B2048&amp;"ES","Y","")),"")</f>
        <v/>
      </c>
      <c r="H2048" s="29" t="str">
        <f>IFERROR(HYPERLINK("#"&amp;ADDRESS(MATCH(B2048&amp;"PT",'LM7 Non-ENG'!$A$1:$A$5000,0),1,,,"LM7 Non-ENG"),IF(IFERROR(VLOOKUP(B2048&amp;"PT",'LM7 Non-ENG'!$A$1:$A$5000,1,FALSE),"ERROR")=B2048&amp;"PT","Y","")),"")</f>
        <v/>
      </c>
      <c r="I2048" t="str">
        <f>IFERROR(VLOOKUP(B2048,PN!$A:$C,3,FALSE),"")</f>
        <v>Active</v>
      </c>
      <c r="J2048" s="3">
        <f>IFERROR(E2048*VLOOKUP(B2048,PLInter!$A:$D,3,FALSE),"")</f>
        <v>635</v>
      </c>
      <c r="K2048" s="66"/>
      <c r="L2048" s="66"/>
      <c r="M2048" s="66"/>
      <c r="N2048" s="66"/>
      <c r="O2048" s="66"/>
      <c r="P2048" s="66"/>
      <c r="Q2048" s="66"/>
      <c r="R2048" s="66"/>
      <c r="S2048" s="66"/>
    </row>
    <row r="2049" spans="1:19" ht="18" customHeight="1">
      <c r="B2049" t="str">
        <f>"021152"</f>
        <v>021152</v>
      </c>
      <c r="C2049" s="41" t="s">
        <v>679</v>
      </c>
      <c r="D2049" s="4"/>
      <c r="E2049" s="4">
        <v>1</v>
      </c>
      <c r="F2049" s="4"/>
      <c r="G2049" s="29" t="str">
        <f>IFERROR(HYPERLINK("#"&amp;ADDRESS(MATCH(B2049&amp;"ES",'LM7 Non-ENG'!$A$1:$A$5000,0),1,,,"LM7 Non-ENG"),IF(IFERROR(VLOOKUP(B2049&amp;"ES",'LM7 Non-ENG'!$A$1:$A$4999,1,FALSE),"ERROR")=B2049&amp;"ES","Y","")),"")</f>
        <v/>
      </c>
      <c r="H2049" s="29" t="str">
        <f>IFERROR(HYPERLINK("#"&amp;ADDRESS(MATCH(B2049&amp;"PT",'LM7 Non-ENG'!$A$1:$A$5000,0),1,,,"LM7 Non-ENG"),IF(IFERROR(VLOOKUP(B2049&amp;"PT",'LM7 Non-ENG'!$A$1:$A$5000,1,FALSE),"ERROR")=B2049&amp;"PT","Y","")),"")</f>
        <v/>
      </c>
      <c r="I2049" t="str">
        <f>IFERROR(VLOOKUP(B2049,PN!$A:$C,3,FALSE),"")</f>
        <v>Active</v>
      </c>
      <c r="J2049" s="3">
        <f>IFERROR(E2049*VLOOKUP(B2049,PLInter!$A:$D,3,FALSE),"")</f>
        <v>240</v>
      </c>
      <c r="K2049" s="66"/>
      <c r="L2049" s="66"/>
      <c r="M2049" s="66"/>
      <c r="N2049" s="66"/>
      <c r="O2049" s="66"/>
      <c r="P2049" s="66"/>
      <c r="Q2049" s="66"/>
      <c r="R2049" s="66"/>
      <c r="S2049" s="66"/>
    </row>
    <row r="2050" spans="1:19" ht="18" customHeight="1">
      <c r="B2050" t="s">
        <v>704</v>
      </c>
      <c r="C2050" t="s">
        <v>705</v>
      </c>
      <c r="D2050" s="4"/>
      <c r="E2050" s="4">
        <v>1</v>
      </c>
      <c r="F2050" s="4"/>
      <c r="G2050" s="29" t="str">
        <f>IFERROR(HYPERLINK("#"&amp;ADDRESS(MATCH(B2050&amp;"ES",'LM7 Non-ENG'!$A$1:$A$5000,0),1,,,"LM7 Non-ENG"),IF(IFERROR(VLOOKUP(B2050&amp;"ES",'LM7 Non-ENG'!$A$1:$A$4999,1,FALSE),"ERROR")=B2050&amp;"ES","Y","")),"")</f>
        <v/>
      </c>
      <c r="H2050" s="29" t="str">
        <f>IFERROR(HYPERLINK("#"&amp;ADDRESS(MATCH(B2050&amp;"PT",'LM7 Non-ENG'!$A$1:$A$5000,0),1,,,"LM7 Non-ENG"),IF(IFERROR(VLOOKUP(B2050&amp;"PT",'LM7 Non-ENG'!$A$1:$A$5000,1,FALSE),"ERROR")=B2050&amp;"PT","Y","")),"")</f>
        <v/>
      </c>
      <c r="I2050" t="str">
        <f>IFERROR(VLOOKUP(B2050,PN!$A:$C,3,FALSE),"")</f>
        <v>Active</v>
      </c>
      <c r="J2050" s="3">
        <f>IFERROR(E2050*VLOOKUP(B2050,PLInter!$A:$D,3,FALSE),"")</f>
        <v>2640</v>
      </c>
      <c r="K2050" s="66"/>
      <c r="L2050" s="66"/>
      <c r="M2050" s="66"/>
      <c r="N2050" s="66"/>
      <c r="O2050" s="66"/>
      <c r="P2050" s="66"/>
      <c r="Q2050" s="66"/>
      <c r="R2050" s="66"/>
      <c r="S2050" s="66"/>
    </row>
    <row r="2051" spans="1:19" ht="18" customHeight="1">
      <c r="B2051" t="s">
        <v>977</v>
      </c>
      <c r="C2051" t="s">
        <v>978</v>
      </c>
      <c r="D2051" s="4"/>
      <c r="E2051" s="4">
        <v>1</v>
      </c>
      <c r="F2051" s="4"/>
      <c r="G2051" s="29" t="str">
        <f>IFERROR(HYPERLINK("#"&amp;ADDRESS(MATCH(B2051&amp;"ES",'LM7 Non-ENG'!$A$1:$A$5000,0),1,,,"LM7 Non-ENG"),IF(IFERROR(VLOOKUP(B2051&amp;"ES",'LM7 Non-ENG'!$A$1:$A$4999,1,FALSE),"ERROR")=B2051&amp;"ES","Y","")),"")</f>
        <v/>
      </c>
      <c r="H2051" s="29" t="str">
        <f>IFERROR(HYPERLINK("#"&amp;ADDRESS(MATCH(B2051&amp;"PT",'LM7 Non-ENG'!$A$1:$A$5000,0),1,,,"LM7 Non-ENG"),IF(IFERROR(VLOOKUP(B2051&amp;"PT",'LM7 Non-ENG'!$A$1:$A$5000,1,FALSE),"ERROR")=B2051&amp;"PT","Y","")),"")</f>
        <v/>
      </c>
      <c r="I2051" t="str">
        <f>IFERROR(VLOOKUP(B2051,PN!$A:$C,3,FALSE),"")</f>
        <v>Active</v>
      </c>
      <c r="J2051" s="3">
        <f>IFERROR(E2051*VLOOKUP(B2051,PLInter!$A:$D,3,FALSE),"")</f>
        <v>3885</v>
      </c>
      <c r="K2051" s="66"/>
      <c r="L2051" s="66"/>
      <c r="M2051" s="66"/>
      <c r="N2051" s="66"/>
      <c r="O2051" s="66"/>
      <c r="P2051" s="66"/>
      <c r="Q2051" s="66"/>
      <c r="R2051" s="66"/>
      <c r="S2051" s="66"/>
    </row>
    <row r="2052" spans="1:19" ht="18" customHeight="1">
      <c r="B2052" t="str">
        <f>"113096"</f>
        <v>113096</v>
      </c>
      <c r="C2052" t="s">
        <v>1011</v>
      </c>
      <c r="D2052" s="4"/>
      <c r="E2052" s="4">
        <v>5</v>
      </c>
      <c r="F2052" s="4"/>
      <c r="G2052" s="29" t="str">
        <f>IFERROR(HYPERLINK("#"&amp;ADDRESS(MATCH(B2052&amp;"ES",'LM7 Non-ENG'!$A$1:$A$5000,0),1,,,"LM7 Non-ENG"),IF(IFERROR(VLOOKUP(B2052&amp;"ES",'LM7 Non-ENG'!$A$1:$A$4999,1,FALSE),"ERROR")=B2052&amp;"ES","Y","")),"")</f>
        <v/>
      </c>
      <c r="H2052" s="29" t="str">
        <f>IFERROR(HYPERLINK("#"&amp;ADDRESS(MATCH(B2052&amp;"PT",'LM7 Non-ENG'!$A$1:$A$5000,0),1,,,"LM7 Non-ENG"),IF(IFERROR(VLOOKUP(B2052&amp;"PT",'LM7 Non-ENG'!$A$1:$A$5000,1,FALSE),"ERROR")=B2052&amp;"PT","Y","")),"")</f>
        <v/>
      </c>
      <c r="I2052" t="str">
        <f>IFERROR(VLOOKUP(B2052,PN!$A:$C,3,FALSE),"")</f>
        <v>Active</v>
      </c>
      <c r="J2052" s="3">
        <f>IFERROR(E2052*VLOOKUP(B2052,PLInter!$A:$D,3,FALSE),"")</f>
        <v>270</v>
      </c>
      <c r="K2052" s="66"/>
      <c r="L2052" s="66"/>
      <c r="M2052" s="66"/>
      <c r="N2052" s="66"/>
      <c r="O2052" s="66"/>
      <c r="P2052" s="66"/>
      <c r="Q2052" s="66"/>
      <c r="R2052" s="66"/>
      <c r="S2052" s="66"/>
    </row>
    <row r="2053" spans="1:19" ht="18" customHeight="1">
      <c r="B2053" t="str">
        <f>"112713"</f>
        <v>112713</v>
      </c>
      <c r="C2053" t="s">
        <v>1012</v>
      </c>
      <c r="D2053" s="4"/>
      <c r="E2053" s="4">
        <v>5</v>
      </c>
      <c r="F2053" s="4"/>
      <c r="G2053" s="29" t="str">
        <f>IFERROR(HYPERLINK("#"&amp;ADDRESS(MATCH(B2053&amp;"ES",'LM7 Non-ENG'!$A$1:$A$5000,0),1,,,"LM7 Non-ENG"),IF(IFERROR(VLOOKUP(B2053&amp;"ES",'LM7 Non-ENG'!$A$1:$A$4999,1,FALSE),"ERROR")=B2053&amp;"ES","Y","")),"")</f>
        <v/>
      </c>
      <c r="H2053" s="29" t="str">
        <f>IFERROR(HYPERLINK("#"&amp;ADDRESS(MATCH(B2053&amp;"PT",'LM7 Non-ENG'!$A$1:$A$5000,0),1,,,"LM7 Non-ENG"),IF(IFERROR(VLOOKUP(B2053&amp;"PT",'LM7 Non-ENG'!$A$1:$A$5000,1,FALSE),"ERROR")=B2053&amp;"PT","Y","")),"")</f>
        <v/>
      </c>
      <c r="I2053" t="str">
        <f>IFERROR(VLOOKUP(B2053,PN!$A:$C,3,FALSE),"")</f>
        <v>Active</v>
      </c>
      <c r="J2053" s="3">
        <f>IFERROR(E2053*VLOOKUP(B2053,PLInter!$A:$D,3,FALSE),"")</f>
        <v>500</v>
      </c>
      <c r="K2053" s="66"/>
      <c r="L2053" s="66"/>
      <c r="M2053" s="66"/>
      <c r="N2053" s="66"/>
      <c r="O2053" s="66"/>
      <c r="P2053" s="66"/>
      <c r="Q2053" s="66"/>
      <c r="R2053" s="66"/>
      <c r="S2053" s="66"/>
    </row>
    <row r="2054" spans="1:19" ht="18" customHeight="1">
      <c r="B2054" t="str">
        <f>"113316"</f>
        <v>113316</v>
      </c>
      <c r="C2054" t="s">
        <v>979</v>
      </c>
      <c r="D2054" s="4"/>
      <c r="E2054" s="4">
        <v>1</v>
      </c>
      <c r="F2054" s="4"/>
      <c r="G2054" s="29" t="str">
        <f>IFERROR(HYPERLINK("#"&amp;ADDRESS(MATCH(B2054&amp;"ES",'LM7 Non-ENG'!$A$1:$A$5000,0),1,,,"LM7 Non-ENG"),IF(IFERROR(VLOOKUP(B2054&amp;"ES",'LM7 Non-ENG'!$A$1:$A$4999,1,FALSE),"ERROR")=B2054&amp;"ES","Y","")),"")</f>
        <v/>
      </c>
      <c r="H2054" s="29" t="str">
        <f>IFERROR(HYPERLINK("#"&amp;ADDRESS(MATCH(B2054&amp;"PT",'LM7 Non-ENG'!$A$1:$A$5000,0),1,,,"LM7 Non-ENG"),IF(IFERROR(VLOOKUP(B2054&amp;"PT",'LM7 Non-ENG'!$A$1:$A$5000,1,FALSE),"ERROR")=B2054&amp;"PT","Y","")),"")</f>
        <v/>
      </c>
      <c r="I2054" t="str">
        <f>IFERROR(VLOOKUP(B2054,PN!$A:$C,3,FALSE),"")</f>
        <v>Active</v>
      </c>
      <c r="J2054" s="3">
        <f>IFERROR(E2054*VLOOKUP(B2054,PLInter!$A:$D,3,FALSE),"")</f>
        <v>20</v>
      </c>
      <c r="K2054" s="66"/>
      <c r="L2054" s="66"/>
      <c r="M2054" s="66"/>
      <c r="N2054" s="66"/>
      <c r="O2054" s="66"/>
      <c r="P2054" s="66"/>
      <c r="Q2054" s="66"/>
      <c r="R2054" s="66"/>
      <c r="S2054" s="66"/>
    </row>
    <row r="2055" spans="1:19" ht="18" customHeight="1">
      <c r="B2055" t="s">
        <v>644</v>
      </c>
      <c r="C2055" t="s">
        <v>645</v>
      </c>
      <c r="D2055" s="4"/>
      <c r="E2055" s="4">
        <v>1</v>
      </c>
      <c r="F2055" s="4"/>
      <c r="G2055" s="29" t="str">
        <f>IFERROR(HYPERLINK("#"&amp;ADDRESS(MATCH(B2055&amp;"ES",'LM7 Non-ENG'!$A$1:$A$5000,0),1,,,"LM7 Non-ENG"),IF(IFERROR(VLOOKUP(B2055&amp;"ES",'LM7 Non-ENG'!$A$1:$A$4999,1,FALSE),"ERROR")=B2055&amp;"ES","Y","")),"")</f>
        <v/>
      </c>
      <c r="H2055" s="29" t="str">
        <f>IFERROR(HYPERLINK("#"&amp;ADDRESS(MATCH(B2055&amp;"PT",'LM7 Non-ENG'!$A$1:$A$5000,0),1,,,"LM7 Non-ENG"),IF(IFERROR(VLOOKUP(B2055&amp;"PT",'LM7 Non-ENG'!$A$1:$A$5000,1,FALSE),"ERROR")=B2055&amp;"PT","Y","")),"")</f>
        <v/>
      </c>
      <c r="I2055" t="str">
        <f>IFERROR(VLOOKUP(B2055,PN!$A:$C,3,FALSE),"")</f>
        <v>Active</v>
      </c>
      <c r="J2055" s="3">
        <f>IFERROR(E2055*VLOOKUP(B2055,PLInter!$A:$D,3,FALSE),"")</f>
        <v>1800</v>
      </c>
      <c r="K2055" s="66"/>
      <c r="L2055" s="66"/>
      <c r="M2055" s="66"/>
      <c r="N2055" s="66"/>
      <c r="O2055" s="66"/>
      <c r="P2055" s="66"/>
      <c r="Q2055" s="66"/>
      <c r="R2055" s="66"/>
      <c r="S2055" s="66"/>
    </row>
    <row r="2056" spans="1:19" ht="18" customHeight="1">
      <c r="B2056" t="s">
        <v>697</v>
      </c>
      <c r="C2056" t="s">
        <v>698</v>
      </c>
      <c r="D2056" s="4"/>
      <c r="E2056" s="4">
        <v>1</v>
      </c>
      <c r="F2056" s="4"/>
      <c r="G2056" s="29" t="str">
        <f>IFERROR(HYPERLINK("#"&amp;ADDRESS(MATCH(B2056&amp;"ES",'LM7 Non-ENG'!$A$1:$A$5000,0),1,,,"LM7 Non-ENG"),IF(IFERROR(VLOOKUP(B2056&amp;"ES",'LM7 Non-ENG'!$A$1:$A$4999,1,FALSE),"ERROR")=B2056&amp;"ES","Y","")),"")</f>
        <v/>
      </c>
      <c r="H2056" s="29" t="str">
        <f>IFERROR(HYPERLINK("#"&amp;ADDRESS(MATCH(B2056&amp;"PT",'LM7 Non-ENG'!$A$1:$A$5000,0),1,,,"LM7 Non-ENG"),IF(IFERROR(VLOOKUP(B2056&amp;"PT",'LM7 Non-ENG'!$A$1:$A$5000,1,FALSE),"ERROR")=B2056&amp;"PT","Y","")),"")</f>
        <v/>
      </c>
      <c r="I2056" t="str">
        <f>IFERROR(VLOOKUP(B2056,PN!$A:$C,3,FALSE),"")</f>
        <v>Active</v>
      </c>
      <c r="J2056" s="3">
        <f>IFERROR(E2056*VLOOKUP(B2056,PLInter!$A:$D,3,FALSE),"")</f>
        <v>934</v>
      </c>
      <c r="K2056" s="66"/>
      <c r="L2056" s="66"/>
      <c r="M2056" s="66"/>
      <c r="N2056" s="66"/>
      <c r="O2056" s="66"/>
      <c r="P2056" s="66"/>
      <c r="Q2056" s="66"/>
      <c r="R2056" s="66"/>
      <c r="S2056" s="66"/>
    </row>
    <row r="2057" spans="1:19" ht="18" customHeight="1">
      <c r="B2057" t="s">
        <v>630</v>
      </c>
      <c r="C2057" t="s">
        <v>631</v>
      </c>
      <c r="D2057" s="4"/>
      <c r="E2057" s="4">
        <v>1</v>
      </c>
      <c r="F2057" s="4"/>
      <c r="G2057" s="29" t="str">
        <f>IFERROR(HYPERLINK("#"&amp;ADDRESS(MATCH(B2057&amp;"ES",'LM7 Non-ENG'!$A$1:$A$5000,0),1,,,"LM7 Non-ENG"),IF(IFERROR(VLOOKUP(B2057&amp;"ES",'LM7 Non-ENG'!$A$1:$A$4999,1,FALSE),"ERROR")=B2057&amp;"ES","Y","")),"")</f>
        <v/>
      </c>
      <c r="H2057" s="29" t="str">
        <f>IFERROR(HYPERLINK("#"&amp;ADDRESS(MATCH(B2057&amp;"PT",'LM7 Non-ENG'!$A$1:$A$5000,0),1,,,"LM7 Non-ENG"),IF(IFERROR(VLOOKUP(B2057&amp;"PT",'LM7 Non-ENG'!$A$1:$A$5000,1,FALSE),"ERROR")=B2057&amp;"PT","Y","")),"")</f>
        <v/>
      </c>
      <c r="I2057" t="str">
        <f>IFERROR(VLOOKUP(B2057,PN!$A:$C,3,FALSE),"")</f>
        <v>Active</v>
      </c>
      <c r="J2057" s="3">
        <f>IFERROR(E2057*VLOOKUP(B2057,PLInter!$A:$D,3,FALSE),"")</f>
        <v>1735</v>
      </c>
      <c r="K2057" s="66"/>
      <c r="L2057" s="66"/>
      <c r="M2057" s="66"/>
      <c r="N2057" s="66"/>
      <c r="O2057" s="66"/>
      <c r="P2057" s="66"/>
      <c r="Q2057" s="66"/>
      <c r="R2057" s="66"/>
      <c r="S2057" s="66"/>
    </row>
    <row r="2059" spans="1:19" s="7" customFormat="1" ht="18" customHeight="1">
      <c r="A2059" s="13" t="s">
        <v>1059</v>
      </c>
      <c r="B2059" s="13"/>
      <c r="C2059" s="13" t="s">
        <v>1060</v>
      </c>
      <c r="D2059" s="14"/>
      <c r="E2059" s="14"/>
      <c r="F2059" s="14"/>
      <c r="G2059" s="14"/>
      <c r="H2059" s="14"/>
      <c r="I2059" s="14"/>
      <c r="J2059" s="14">
        <f>SUMIFS(J2060:J2064,D2060:D2064,"&lt;&gt;Y",F2060:F2064,"&lt;&gt;Y",I2060:I2064,"&lt;&gt;Inactive",I2060:I2064,"&lt;&gt;ECO+NFS")</f>
        <v>4774</v>
      </c>
      <c r="K2059" s="14"/>
      <c r="L2059" s="14"/>
      <c r="M2059" s="14"/>
      <c r="N2059" s="14"/>
      <c r="O2059" s="14"/>
      <c r="P2059" s="14"/>
      <c r="Q2059" s="14"/>
      <c r="R2059" s="14"/>
      <c r="S2059" s="14"/>
    </row>
    <row r="2060" spans="1:19" ht="18" customHeight="1">
      <c r="A2060" s="17" t="str">
        <f>HYPERLINK("#"&amp;ADDRESS(MATCH(A2059,'CIM&amp;FMS'!$A$1:$A$4997,0),1,,,"CIM&amp;FMS"),"Back to Price List")</f>
        <v>Back to Price List</v>
      </c>
      <c r="B2060" t="s">
        <v>1061</v>
      </c>
      <c r="C2060" t="s">
        <v>1062</v>
      </c>
      <c r="D2060" s="4"/>
      <c r="E2060" s="4">
        <v>1</v>
      </c>
      <c r="F2060" s="4"/>
      <c r="G2060" s="29" t="str">
        <f>IFERROR(HYPERLINK("#"&amp;ADDRESS(MATCH(B2060&amp;"ES",'LM7 Non-ENG'!$A$1:$A$5000,0),1,,,"LM7 Non-ENG"),IF(IFERROR(VLOOKUP(B2060&amp;"ES",'LM7 Non-ENG'!$A$1:$A$4999,1,FALSE),"ERROR")=B2060&amp;"ES","Y","")),"")</f>
        <v/>
      </c>
      <c r="H2060" s="29" t="str">
        <f>IFERROR(HYPERLINK("#"&amp;ADDRESS(MATCH(B2060&amp;"PT",'LM7 Non-ENG'!$A$1:$A$5000,0),1,,,"LM7 Non-ENG"),IF(IFERROR(VLOOKUP(B2060&amp;"PT",'LM7 Non-ENG'!$A$1:$A$5000,1,FALSE),"ERROR")=B2060&amp;"PT","Y","")),"")</f>
        <v/>
      </c>
      <c r="I2060" t="str">
        <f>IFERROR(VLOOKUP(B2060,PN!$A:$C,3,FALSE),"")</f>
        <v>ECO-N2Buy</v>
      </c>
      <c r="J2060" s="3">
        <f>IFERROR(E2060*VLOOKUP(B2060,PLInter!$A:$D,3,FALSE),"")</f>
        <v>2000</v>
      </c>
      <c r="K2060" s="66"/>
      <c r="L2060" s="66"/>
      <c r="M2060" s="66"/>
      <c r="N2060" s="66"/>
      <c r="O2060" s="66"/>
      <c r="P2060" s="66"/>
      <c r="Q2060" s="66"/>
      <c r="R2060" s="66"/>
      <c r="S2060" s="66"/>
    </row>
    <row r="2061" spans="1:19" ht="18" customHeight="1">
      <c r="B2061" t="str">
        <f>"113316"</f>
        <v>113316</v>
      </c>
      <c r="C2061" t="s">
        <v>979</v>
      </c>
      <c r="D2061" s="4"/>
      <c r="E2061" s="4">
        <v>1</v>
      </c>
      <c r="F2061" s="4"/>
      <c r="G2061" s="29" t="str">
        <f>IFERROR(HYPERLINK("#"&amp;ADDRESS(MATCH(B2061&amp;"ES",'LM7 Non-ENG'!$A$1:$A$5000,0),1,,,"LM7 Non-ENG"),IF(IFERROR(VLOOKUP(B2061&amp;"ES",'LM7 Non-ENG'!$A$1:$A$4999,1,FALSE),"ERROR")=B2061&amp;"ES","Y","")),"")</f>
        <v/>
      </c>
      <c r="H2061" s="29" t="str">
        <f>IFERROR(HYPERLINK("#"&amp;ADDRESS(MATCH(B2061&amp;"PT",'LM7 Non-ENG'!$A$1:$A$5000,0),1,,,"LM7 Non-ENG"),IF(IFERROR(VLOOKUP(B2061&amp;"PT",'LM7 Non-ENG'!$A$1:$A$5000,1,FALSE),"ERROR")=B2061&amp;"PT","Y","")),"")</f>
        <v/>
      </c>
      <c r="I2061" t="str">
        <f>IFERROR(VLOOKUP(B2061,PN!$A:$C,3,FALSE),"")</f>
        <v>Active</v>
      </c>
      <c r="J2061" s="3">
        <f>IFERROR(E2061*VLOOKUP(B2061,PLInter!$A:$D,3,FALSE),"")</f>
        <v>20</v>
      </c>
      <c r="K2061" s="66"/>
      <c r="L2061" s="66"/>
      <c r="M2061" s="66"/>
      <c r="N2061" s="66"/>
      <c r="O2061" s="66"/>
      <c r="P2061" s="66"/>
      <c r="Q2061" s="66"/>
      <c r="R2061" s="66"/>
      <c r="S2061" s="66"/>
    </row>
    <row r="2062" spans="1:19" ht="18" customHeight="1">
      <c r="B2062" t="str">
        <f>"112713"</f>
        <v>112713</v>
      </c>
      <c r="C2062" t="s">
        <v>944</v>
      </c>
      <c r="D2062" s="4"/>
      <c r="E2062" s="4">
        <v>1</v>
      </c>
      <c r="F2062" s="4"/>
      <c r="G2062" s="29" t="str">
        <f>IFERROR(HYPERLINK("#"&amp;ADDRESS(MATCH(B2062&amp;"ES",'LM7 Non-ENG'!$A$1:$A$5000,0),1,,,"LM7 Non-ENG"),IF(IFERROR(VLOOKUP(B2062&amp;"ES",'LM7 Non-ENG'!$A$1:$A$4999,1,FALSE),"ERROR")=B2062&amp;"ES","Y","")),"")</f>
        <v/>
      </c>
      <c r="H2062" s="29" t="str">
        <f>IFERROR(HYPERLINK("#"&amp;ADDRESS(MATCH(B2062&amp;"PT",'LM7 Non-ENG'!$A$1:$A$5000,0),1,,,"LM7 Non-ENG"),IF(IFERROR(VLOOKUP(B2062&amp;"PT",'LM7 Non-ENG'!$A$1:$A$5000,1,FALSE),"ERROR")=B2062&amp;"PT","Y","")),"")</f>
        <v/>
      </c>
      <c r="I2062" t="str">
        <f>IFERROR(VLOOKUP(B2062,PN!$A:$C,3,FALSE),"")</f>
        <v>Active</v>
      </c>
      <c r="J2062" s="3">
        <f>IFERROR(E2062*VLOOKUP(B2062,PLInter!$A:$D,3,FALSE),"")</f>
        <v>100</v>
      </c>
      <c r="K2062" s="66"/>
      <c r="L2062" s="66"/>
      <c r="M2062" s="66"/>
      <c r="N2062" s="66"/>
      <c r="O2062" s="66"/>
      <c r="P2062" s="66"/>
      <c r="Q2062" s="66"/>
      <c r="R2062" s="66"/>
      <c r="S2062" s="66"/>
    </row>
    <row r="2063" spans="1:19" ht="18" customHeight="1">
      <c r="B2063" t="str">
        <f>"113096"</f>
        <v>113096</v>
      </c>
      <c r="C2063" t="s">
        <v>943</v>
      </c>
      <c r="D2063" s="4"/>
      <c r="E2063" s="4">
        <v>1</v>
      </c>
      <c r="F2063" s="4"/>
      <c r="G2063" s="29" t="str">
        <f>IFERROR(HYPERLINK("#"&amp;ADDRESS(MATCH(B2063&amp;"ES",'LM7 Non-ENG'!$A$1:$A$5000,0),1,,,"LM7 Non-ENG"),IF(IFERROR(VLOOKUP(B2063&amp;"ES",'LM7 Non-ENG'!$A$1:$A$4999,1,FALSE),"ERROR")=B2063&amp;"ES","Y","")),"")</f>
        <v/>
      </c>
      <c r="H2063" s="29" t="str">
        <f>IFERROR(HYPERLINK("#"&amp;ADDRESS(MATCH(B2063&amp;"PT",'LM7 Non-ENG'!$A$1:$A$5000,0),1,,,"LM7 Non-ENG"),IF(IFERROR(VLOOKUP(B2063&amp;"PT",'LM7 Non-ENG'!$A$1:$A$5000,1,FALSE),"ERROR")=B2063&amp;"PT","Y","")),"")</f>
        <v/>
      </c>
      <c r="I2063" t="str">
        <f>IFERROR(VLOOKUP(B2063,PN!$A:$C,3,FALSE),"")</f>
        <v>Active</v>
      </c>
      <c r="J2063" s="3">
        <f>IFERROR(E2063*VLOOKUP(B2063,PLInter!$A:$D,3,FALSE),"")</f>
        <v>54</v>
      </c>
      <c r="K2063" s="66"/>
      <c r="L2063" s="66"/>
      <c r="M2063" s="66"/>
      <c r="N2063" s="66"/>
      <c r="O2063" s="66"/>
      <c r="P2063" s="66"/>
      <c r="Q2063" s="66"/>
      <c r="R2063" s="66"/>
      <c r="S2063" s="66"/>
    </row>
    <row r="2064" spans="1:19" ht="18" customHeight="1">
      <c r="B2064" t="s">
        <v>241</v>
      </c>
      <c r="C2064" t="s">
        <v>976</v>
      </c>
      <c r="D2064" s="4"/>
      <c r="E2064" s="4">
        <v>1</v>
      </c>
      <c r="F2064" s="4"/>
      <c r="G2064" s="29" t="str">
        <f>IFERROR(HYPERLINK("#"&amp;ADDRESS(MATCH(B2064&amp;"ES",'LM7 Non-ENG'!$A$1:$A$5000,0),1,,,"LM7 Non-ENG"),IF(IFERROR(VLOOKUP(B2064&amp;"ES",'LM7 Non-ENG'!$A$1:$A$4999,1,FALSE),"ERROR")=B2064&amp;"ES","Y","")),"")</f>
        <v/>
      </c>
      <c r="H2064" s="29" t="str">
        <f>IFERROR(HYPERLINK("#"&amp;ADDRESS(MATCH(B2064&amp;"PT",'LM7 Non-ENG'!$A$1:$A$5000,0),1,,,"LM7 Non-ENG"),IF(IFERROR(VLOOKUP(B2064&amp;"PT",'LM7 Non-ENG'!$A$1:$A$5000,1,FALSE),"ERROR")=B2064&amp;"PT","Y","")),"")</f>
        <v/>
      </c>
      <c r="I2064" t="str">
        <f>IFERROR(VLOOKUP(B2064,PN!$A:$C,3,FALSE),"")</f>
        <v>Active</v>
      </c>
      <c r="J2064" s="3">
        <f>IFERROR(E2064*VLOOKUP(B2064,PLInter!$A:$D,3,FALSE),"")</f>
        <v>2600</v>
      </c>
      <c r="K2064" s="66"/>
      <c r="L2064" s="66"/>
      <c r="M2064" s="66"/>
      <c r="N2064" s="66"/>
      <c r="O2064" s="66"/>
      <c r="P2064" s="66"/>
      <c r="Q2064" s="66"/>
      <c r="R2064" s="66"/>
      <c r="S2064" s="66"/>
    </row>
    <row r="2066" spans="1:19" s="7" customFormat="1" ht="18" customHeight="1">
      <c r="A2066" s="13" t="s">
        <v>1063</v>
      </c>
      <c r="B2066" s="13"/>
      <c r="C2066" s="13" t="s">
        <v>1064</v>
      </c>
      <c r="D2066" s="14"/>
      <c r="E2066" s="14"/>
      <c r="F2066" s="14"/>
      <c r="G2066" s="14"/>
      <c r="H2066" s="14"/>
      <c r="I2066" s="14"/>
      <c r="J2066" s="14">
        <f>SUMIFS(J2067:J2070,D2067:D2070,"&lt;&gt;Y",F2067:F2070,"&lt;&gt;Y",I2067:I2070,"&lt;&gt;Inactive",I2067:I2070,"&lt;&gt;ECO+NFS")</f>
        <v>4369</v>
      </c>
      <c r="K2066" s="14"/>
      <c r="L2066" s="14"/>
      <c r="M2066" s="14"/>
      <c r="N2066" s="14"/>
      <c r="O2066" s="14"/>
      <c r="P2066" s="14"/>
      <c r="Q2066" s="14"/>
      <c r="R2066" s="14"/>
      <c r="S2066" s="14"/>
    </row>
    <row r="2067" spans="1:19" ht="18" customHeight="1">
      <c r="A2067" s="17" t="str">
        <f>HYPERLINK("#"&amp;ADDRESS(MATCH(A2066,'CIM&amp;FMS'!$A$1:$A$4997,0),1,,,"CIM&amp;FMS"),"Back to Price List")</f>
        <v>Back to Price List</v>
      </c>
      <c r="B2067" t="s">
        <v>998</v>
      </c>
      <c r="C2067" t="s">
        <v>999</v>
      </c>
      <c r="D2067" s="4"/>
      <c r="E2067" s="4">
        <v>1</v>
      </c>
      <c r="F2067" s="4"/>
      <c r="G2067" s="29" t="str">
        <f>IFERROR(HYPERLINK("#"&amp;ADDRESS(MATCH(B2067&amp;"ES",'LM7 Non-ENG'!$A$1:$A$5000,0),1,,,"LM7 Non-ENG"),IF(IFERROR(VLOOKUP(B2067&amp;"ES",'LM7 Non-ENG'!$A$1:$A$4999,1,FALSE),"ERROR")=B2067&amp;"ES","Y","")),"")</f>
        <v/>
      </c>
      <c r="H2067" s="29" t="str">
        <f>IFERROR(HYPERLINK("#"&amp;ADDRESS(MATCH(B2067&amp;"PT",'LM7 Non-ENG'!$A$1:$A$5000,0),1,,,"LM7 Non-ENG"),IF(IFERROR(VLOOKUP(B2067&amp;"PT",'LM7 Non-ENG'!$A$1:$A$5000,1,FALSE),"ERROR")=B2067&amp;"PT","Y","")),"")</f>
        <v/>
      </c>
      <c r="I2067" t="str">
        <f>IFERROR(VLOOKUP(B2067,PN!$A:$C,3,FALSE),"")</f>
        <v>Active</v>
      </c>
      <c r="J2067" s="3">
        <f>IFERROR(E2067*VLOOKUP(B2067,PLInter!$A:$D,3,FALSE),"")</f>
        <v>4195</v>
      </c>
      <c r="K2067" s="66"/>
      <c r="L2067" s="66"/>
      <c r="M2067" s="66"/>
      <c r="N2067" s="66"/>
      <c r="O2067" s="66"/>
      <c r="P2067" s="66"/>
      <c r="Q2067" s="66"/>
      <c r="R2067" s="66"/>
      <c r="S2067" s="66"/>
    </row>
    <row r="2068" spans="1:19" ht="18" customHeight="1">
      <c r="B2068" t="str">
        <f>"113316"</f>
        <v>113316</v>
      </c>
      <c r="C2068" t="s">
        <v>979</v>
      </c>
      <c r="D2068" s="4"/>
      <c r="E2068" s="4">
        <v>1</v>
      </c>
      <c r="F2068" s="4"/>
      <c r="G2068" s="29" t="str">
        <f>IFERROR(HYPERLINK("#"&amp;ADDRESS(MATCH(B2068&amp;"ES",'LM7 Non-ENG'!$A$1:$A$5000,0),1,,,"LM7 Non-ENG"),IF(IFERROR(VLOOKUP(B2068&amp;"ES",'LM7 Non-ENG'!$A$1:$A$4999,1,FALSE),"ERROR")=B2068&amp;"ES","Y","")),"")</f>
        <v/>
      </c>
      <c r="H2068" s="29" t="str">
        <f>IFERROR(HYPERLINK("#"&amp;ADDRESS(MATCH(B2068&amp;"PT",'LM7 Non-ENG'!$A$1:$A$5000,0),1,,,"LM7 Non-ENG"),IF(IFERROR(VLOOKUP(B2068&amp;"PT",'LM7 Non-ENG'!$A$1:$A$5000,1,FALSE),"ERROR")=B2068&amp;"PT","Y","")),"")</f>
        <v/>
      </c>
      <c r="I2068" t="str">
        <f>IFERROR(VLOOKUP(B2068,PN!$A:$C,3,FALSE),"")</f>
        <v>Active</v>
      </c>
      <c r="J2068" s="3">
        <f>IFERROR(E2068*VLOOKUP(B2068,PLInter!$A:$D,3,FALSE),"")</f>
        <v>20</v>
      </c>
      <c r="K2068" s="66"/>
      <c r="L2068" s="66"/>
      <c r="M2068" s="66"/>
      <c r="N2068" s="66"/>
      <c r="O2068" s="66"/>
      <c r="P2068" s="66"/>
      <c r="Q2068" s="66"/>
      <c r="R2068" s="66"/>
      <c r="S2068" s="66"/>
    </row>
    <row r="2069" spans="1:19" ht="18" customHeight="1">
      <c r="B2069" t="str">
        <f>"112713"</f>
        <v>112713</v>
      </c>
      <c r="C2069" t="s">
        <v>944</v>
      </c>
      <c r="D2069" s="4"/>
      <c r="E2069" s="4">
        <v>1</v>
      </c>
      <c r="F2069" s="4"/>
      <c r="G2069" s="29" t="str">
        <f>IFERROR(HYPERLINK("#"&amp;ADDRESS(MATCH(B2069&amp;"ES",'LM7 Non-ENG'!$A$1:$A$5000,0),1,,,"LM7 Non-ENG"),IF(IFERROR(VLOOKUP(B2069&amp;"ES",'LM7 Non-ENG'!$A$1:$A$4999,1,FALSE),"ERROR")=B2069&amp;"ES","Y","")),"")</f>
        <v/>
      </c>
      <c r="H2069" s="29" t="str">
        <f>IFERROR(HYPERLINK("#"&amp;ADDRESS(MATCH(B2069&amp;"PT",'LM7 Non-ENG'!$A$1:$A$5000,0),1,,,"LM7 Non-ENG"),IF(IFERROR(VLOOKUP(B2069&amp;"PT",'LM7 Non-ENG'!$A$1:$A$5000,1,FALSE),"ERROR")=B2069&amp;"PT","Y","")),"")</f>
        <v/>
      </c>
      <c r="I2069" t="str">
        <f>IFERROR(VLOOKUP(B2069,PN!$A:$C,3,FALSE),"")</f>
        <v>Active</v>
      </c>
      <c r="J2069" s="3">
        <f>IFERROR(E2069*VLOOKUP(B2069,PLInter!$A:$D,3,FALSE),"")</f>
        <v>100</v>
      </c>
      <c r="K2069" s="66"/>
      <c r="L2069" s="66"/>
      <c r="M2069" s="66"/>
      <c r="N2069" s="66"/>
      <c r="O2069" s="66"/>
      <c r="P2069" s="66"/>
      <c r="Q2069" s="66"/>
      <c r="R2069" s="66"/>
      <c r="S2069" s="66"/>
    </row>
    <row r="2070" spans="1:19" ht="18" customHeight="1">
      <c r="B2070" t="str">
        <f>"113096"</f>
        <v>113096</v>
      </c>
      <c r="C2070" t="s">
        <v>943</v>
      </c>
      <c r="D2070" s="4"/>
      <c r="E2070" s="4">
        <v>1</v>
      </c>
      <c r="F2070" s="4"/>
      <c r="G2070" s="29" t="str">
        <f>IFERROR(HYPERLINK("#"&amp;ADDRESS(MATCH(B2070&amp;"ES",'LM7 Non-ENG'!$A$1:$A$5000,0),1,,,"LM7 Non-ENG"),IF(IFERROR(VLOOKUP(B2070&amp;"ES",'LM7 Non-ENG'!$A$1:$A$4999,1,FALSE),"ERROR")=B2070&amp;"ES","Y","")),"")</f>
        <v/>
      </c>
      <c r="H2070" s="29" t="str">
        <f>IFERROR(HYPERLINK("#"&amp;ADDRESS(MATCH(B2070&amp;"PT",'LM7 Non-ENG'!$A$1:$A$5000,0),1,,,"LM7 Non-ENG"),IF(IFERROR(VLOOKUP(B2070&amp;"PT",'LM7 Non-ENG'!$A$1:$A$5000,1,FALSE),"ERROR")=B2070&amp;"PT","Y","")),"")</f>
        <v/>
      </c>
      <c r="I2070" t="str">
        <f>IFERROR(VLOOKUP(B2070,PN!$A:$C,3,FALSE),"")</f>
        <v>Active</v>
      </c>
      <c r="J2070" s="3">
        <f>IFERROR(E2070*VLOOKUP(B2070,PLInter!$A:$D,3,FALSE),"")</f>
        <v>54</v>
      </c>
      <c r="K2070" s="66"/>
      <c r="L2070" s="66"/>
      <c r="M2070" s="66"/>
      <c r="N2070" s="66"/>
      <c r="O2070" s="66"/>
      <c r="P2070" s="66"/>
      <c r="Q2070" s="66"/>
      <c r="R2070" s="66"/>
      <c r="S2070" s="66"/>
    </row>
    <row r="2072" spans="1:19" s="7" customFormat="1" ht="18" customHeight="1">
      <c r="A2072" s="13" t="s">
        <v>1065</v>
      </c>
      <c r="B2072" s="13"/>
      <c r="C2072" s="13" t="s">
        <v>1066</v>
      </c>
      <c r="D2072" s="14"/>
      <c r="E2072" s="14"/>
      <c r="F2072" s="14"/>
      <c r="G2072" s="14"/>
      <c r="H2072" s="14"/>
      <c r="I2072" s="14"/>
      <c r="J2072" s="14">
        <f>SUMIFS(J2073:J2081,D2073:D2081,"&lt;&gt;Y",F2073:F2081,"&lt;&gt;Y",I2073:I2081,"&lt;&gt;Inactive",I2073:I2081,"&lt;&gt;ECO+NFS")</f>
        <v>50470</v>
      </c>
      <c r="K2072" s="14"/>
      <c r="L2072" s="14"/>
      <c r="M2072" s="14"/>
      <c r="N2072" s="14"/>
      <c r="O2072" s="14"/>
      <c r="P2072" s="14"/>
      <c r="Q2072" s="14"/>
      <c r="R2072" s="14"/>
      <c r="S2072" s="14"/>
    </row>
    <row r="2073" spans="1:19" ht="18" customHeight="1">
      <c r="A2073" s="17" t="str">
        <f>HYPERLINK("#"&amp;ADDRESS(MATCH(A2072,'CIM&amp;FMS'!$A$1:$A$4997,0),1,,,"CIM&amp;FMS"),"Back to Price List")</f>
        <v>Back to Price List</v>
      </c>
      <c r="B2073" t="s">
        <v>214</v>
      </c>
      <c r="C2073" t="s">
        <v>654</v>
      </c>
      <c r="D2073" s="4"/>
      <c r="E2073" s="4">
        <v>1</v>
      </c>
      <c r="F2073" s="4"/>
      <c r="G2073" s="29" t="str">
        <f>IFERROR(HYPERLINK("#"&amp;ADDRESS(MATCH(B2073&amp;"ES",'LM7 Non-ENG'!$A$1:$A$5000,0),1,,,"LM7 Non-ENG"),IF(IFERROR(VLOOKUP(B2073&amp;"ES",'LM7 Non-ENG'!$A$1:$A$4999,1,FALSE),"ERROR")=B2073&amp;"ES","Y","")),"")</f>
        <v/>
      </c>
      <c r="H2073" s="29" t="str">
        <f>IFERROR(HYPERLINK("#"&amp;ADDRESS(MATCH(B2073&amp;"PT",'LM7 Non-ENG'!$A$1:$A$5000,0),1,,,"LM7 Non-ENG"),IF(IFERROR(VLOOKUP(B2073&amp;"PT",'LM7 Non-ENG'!$A$1:$A$5000,1,FALSE),"ERROR")=B2073&amp;"PT","Y","")),"")</f>
        <v/>
      </c>
      <c r="I2073" t="str">
        <f>IFERROR(VLOOKUP(B2073,PN!$A:$C,3,FALSE),"")</f>
        <v>Active</v>
      </c>
      <c r="J2073" s="3">
        <f>IFERROR(E2073*VLOOKUP(B2073,PLInter!$A:$D,3,FALSE),"")</f>
        <v>24000</v>
      </c>
      <c r="K2073" s="66"/>
      <c r="L2073" s="66"/>
      <c r="M2073" s="66"/>
      <c r="N2073" s="66"/>
      <c r="O2073" s="66"/>
      <c r="P2073" s="66"/>
      <c r="Q2073" s="66"/>
      <c r="R2073" s="66"/>
      <c r="S2073" s="66"/>
    </row>
    <row r="2074" spans="1:19" ht="18" customHeight="1">
      <c r="B2074" t="s">
        <v>228</v>
      </c>
      <c r="C2074" t="s">
        <v>655</v>
      </c>
      <c r="D2074" s="4"/>
      <c r="E2074" s="4">
        <v>1</v>
      </c>
      <c r="F2074" s="4"/>
      <c r="G2074" s="29" t="str">
        <f>IFERROR(HYPERLINK("#"&amp;ADDRESS(MATCH(B2074&amp;"ES",'LM7 Non-ENG'!$A$1:$A$5000,0),1,,,"LM7 Non-ENG"),IF(IFERROR(VLOOKUP(B2074&amp;"ES",'LM7 Non-ENG'!$A$1:$A$4999,1,FALSE),"ERROR")=B2074&amp;"ES","Y","")),"")</f>
        <v/>
      </c>
      <c r="H2074" s="29" t="str">
        <f>IFERROR(HYPERLINK("#"&amp;ADDRESS(MATCH(B2074&amp;"PT",'LM7 Non-ENG'!$A$1:$A$5000,0),1,,,"LM7 Non-ENG"),IF(IFERROR(VLOOKUP(B2074&amp;"PT",'LM7 Non-ENG'!$A$1:$A$5000,1,FALSE),"ERROR")=B2074&amp;"PT","Y","")),"")</f>
        <v/>
      </c>
      <c r="I2074" t="str">
        <f>IFERROR(VLOOKUP(B2074,PN!$A:$C,3,FALSE),"")</f>
        <v>Active</v>
      </c>
      <c r="J2074" s="3">
        <f>IFERROR(E2074*VLOOKUP(B2074,PLInter!$A:$D,3,FALSE),"")</f>
        <v>2134</v>
      </c>
      <c r="K2074" s="66"/>
      <c r="L2074" s="66"/>
      <c r="M2074" s="66"/>
      <c r="N2074" s="66"/>
      <c r="O2074" s="66"/>
      <c r="P2074" s="66"/>
      <c r="Q2074" s="66"/>
      <c r="R2074" s="66"/>
      <c r="S2074" s="66"/>
    </row>
    <row r="2075" spans="1:19" ht="18" customHeight="1">
      <c r="B2075" t="s">
        <v>236</v>
      </c>
      <c r="C2075" t="s">
        <v>626</v>
      </c>
      <c r="D2075" s="4"/>
      <c r="E2075" s="4">
        <v>1</v>
      </c>
      <c r="F2075" s="4"/>
      <c r="G2075" s="29" t="str">
        <f>IFERROR(HYPERLINK("#"&amp;ADDRESS(MATCH(B2075&amp;"ES",'LM7 Non-ENG'!$A$1:$A$5000,0),1,,,"LM7 Non-ENG"),IF(IFERROR(VLOOKUP(B2075&amp;"ES",'LM7 Non-ENG'!$A$1:$A$4999,1,FALSE),"ERROR")=B2075&amp;"ES","Y","")),"")</f>
        <v/>
      </c>
      <c r="H2075" s="29" t="str">
        <f>IFERROR(HYPERLINK("#"&amp;ADDRESS(MATCH(B2075&amp;"PT",'LM7 Non-ENG'!$A$1:$A$5000,0),1,,,"LM7 Non-ENG"),IF(IFERROR(VLOOKUP(B2075&amp;"PT",'LM7 Non-ENG'!$A$1:$A$5000,1,FALSE),"ERROR")=B2075&amp;"PT","Y","")),"")</f>
        <v/>
      </c>
      <c r="I2075" t="str">
        <f>IFERROR(VLOOKUP(B2075,PN!$A:$C,3,FALSE),"")</f>
        <v>Active</v>
      </c>
      <c r="J2075" s="3">
        <f>IFERROR(E2075*VLOOKUP(B2075,PLInter!$A:$D,3,FALSE),"")</f>
        <v>1680</v>
      </c>
      <c r="K2075" s="66"/>
      <c r="L2075" s="66"/>
      <c r="M2075" s="66"/>
      <c r="N2075" s="66"/>
      <c r="O2075" s="66"/>
      <c r="P2075" s="66"/>
      <c r="Q2075" s="66"/>
      <c r="R2075" s="66"/>
      <c r="S2075" s="66"/>
    </row>
    <row r="2076" spans="1:19" ht="18" customHeight="1">
      <c r="B2076" t="str">
        <f>"034025"</f>
        <v>034025</v>
      </c>
      <c r="C2076" t="s">
        <v>777</v>
      </c>
      <c r="D2076" s="4"/>
      <c r="E2076" s="4">
        <v>1</v>
      </c>
      <c r="F2076" s="4"/>
      <c r="G2076" s="29" t="str">
        <f>IFERROR(HYPERLINK("#"&amp;ADDRESS(MATCH(B2076&amp;"ES",'LM7 Non-ENG'!$A$1:$A$5000,0),1,,,"LM7 Non-ENG"),IF(IFERROR(VLOOKUP(B2076&amp;"ES",'LM7 Non-ENG'!$A$1:$A$4999,1,FALSE),"ERROR")=B2076&amp;"ES","Y","")),"")</f>
        <v/>
      </c>
      <c r="H2076" s="29" t="str">
        <f>IFERROR(HYPERLINK("#"&amp;ADDRESS(MATCH(B2076&amp;"PT",'LM7 Non-ENG'!$A$1:$A$5000,0),1,,,"LM7 Non-ENG"),IF(IFERROR(VLOOKUP(B2076&amp;"PT",'LM7 Non-ENG'!$A$1:$A$5000,1,FALSE),"ERROR")=B2076&amp;"PT","Y","")),"")</f>
        <v/>
      </c>
      <c r="I2076" t="str">
        <f>IFERROR(VLOOKUP(B2076,PN!$A:$C,3,FALSE),"")</f>
        <v>Active</v>
      </c>
      <c r="J2076" s="3">
        <f>IFERROR(E2076*VLOOKUP(B2076,PLInter!$A:$D,3,FALSE),"")</f>
        <v>1267</v>
      </c>
      <c r="K2076" s="66"/>
      <c r="L2076" s="66"/>
      <c r="M2076" s="66"/>
      <c r="N2076" s="66"/>
      <c r="O2076" s="66"/>
      <c r="P2076" s="66"/>
      <c r="Q2076" s="66"/>
      <c r="R2076" s="66"/>
      <c r="S2076" s="66"/>
    </row>
    <row r="2077" spans="1:19" ht="18" customHeight="1">
      <c r="B2077" t="s">
        <v>1067</v>
      </c>
      <c r="C2077" t="s">
        <v>1068</v>
      </c>
      <c r="D2077" s="4"/>
      <c r="E2077" s="4">
        <v>1</v>
      </c>
      <c r="F2077" s="4"/>
      <c r="G2077" s="29" t="str">
        <f>IFERROR(HYPERLINK("#"&amp;ADDRESS(MATCH(B2077&amp;"ES",'LM7 Non-ENG'!$A$1:$A$5000,0),1,,,"LM7 Non-ENG"),IF(IFERROR(VLOOKUP(B2077&amp;"ES",'LM7 Non-ENG'!$A$1:$A$4999,1,FALSE),"ERROR")=B2077&amp;"ES","Y","")),"")</f>
        <v/>
      </c>
      <c r="H2077" s="29" t="str">
        <f>IFERROR(HYPERLINK("#"&amp;ADDRESS(MATCH(B2077&amp;"PT",'LM7 Non-ENG'!$A$1:$A$5000,0),1,,,"LM7 Non-ENG"),IF(IFERROR(VLOOKUP(B2077&amp;"PT",'LM7 Non-ENG'!$A$1:$A$5000,1,FALSE),"ERROR")=B2077&amp;"PT","Y","")),"")</f>
        <v/>
      </c>
      <c r="I2077" t="str">
        <f>IFERROR(VLOOKUP(B2077,PN!$A:$C,3,FALSE),"")</f>
        <v>Active</v>
      </c>
      <c r="J2077" s="3">
        <f>IFERROR(E2077*VLOOKUP(B2077,PLInter!$A:$D,3,FALSE),"")</f>
        <v>15120</v>
      </c>
      <c r="K2077" s="66"/>
      <c r="L2077" s="66"/>
      <c r="M2077" s="66"/>
      <c r="N2077" s="66"/>
      <c r="O2077" s="66"/>
      <c r="P2077" s="66"/>
      <c r="Q2077" s="66"/>
      <c r="R2077" s="66"/>
      <c r="S2077" s="66"/>
    </row>
    <row r="2078" spans="1:19" ht="18" customHeight="1">
      <c r="B2078" t="str">
        <f>"434004"</f>
        <v>434004</v>
      </c>
      <c r="C2078" t="s">
        <v>1069</v>
      </c>
      <c r="D2078" s="4"/>
      <c r="E2078" s="4">
        <v>1</v>
      </c>
      <c r="F2078" s="4"/>
      <c r="G2078" s="29" t="str">
        <f>IFERROR(HYPERLINK("#"&amp;ADDRESS(MATCH(B2078&amp;"ES",'LM7 Non-ENG'!$A$1:$A$5000,0),1,,,"LM7 Non-ENG"),IF(IFERROR(VLOOKUP(B2078&amp;"ES",'LM7 Non-ENG'!$A$1:$A$4999,1,FALSE),"ERROR")=B2078&amp;"ES","Y","")),"")</f>
        <v/>
      </c>
      <c r="H2078" s="29" t="str">
        <f>IFERROR(HYPERLINK("#"&amp;ADDRESS(MATCH(B2078&amp;"PT",'LM7 Non-ENG'!$A$1:$A$5000,0),1,,,"LM7 Non-ENG"),IF(IFERROR(VLOOKUP(B2078&amp;"PT",'LM7 Non-ENG'!$A$1:$A$5000,1,FALSE),"ERROR")=B2078&amp;"PT","Y","")),"")</f>
        <v/>
      </c>
      <c r="I2078" t="str">
        <f>IFERROR(VLOOKUP(B2078,PN!$A:$C,3,FALSE),"")</f>
        <v>Active</v>
      </c>
      <c r="J2078" s="3">
        <f>IFERROR(E2078*VLOOKUP(B2078,PLInter!$A:$D,3,FALSE),"")</f>
        <v>3600</v>
      </c>
      <c r="K2078" s="66"/>
      <c r="L2078" s="66"/>
      <c r="M2078" s="66"/>
      <c r="N2078" s="66"/>
      <c r="O2078" s="66"/>
      <c r="P2078" s="66"/>
      <c r="Q2078" s="66"/>
      <c r="R2078" s="66"/>
      <c r="S2078" s="66"/>
    </row>
    <row r="2079" spans="1:19" ht="18" customHeight="1">
      <c r="B2079" s="2" t="str">
        <f>"434007"</f>
        <v>434007</v>
      </c>
      <c r="C2079" s="2" t="s">
        <v>1070</v>
      </c>
      <c r="D2079" s="5"/>
      <c r="E2079" s="5">
        <v>1</v>
      </c>
      <c r="F2079" s="5" t="s">
        <v>0</v>
      </c>
      <c r="G2079" s="29" t="str">
        <f>IFERROR(HYPERLINK("#"&amp;ADDRESS(MATCH(B2079&amp;"ES",'LM7 Non-ENG'!$A$1:$A$5000,0),1,,,"LM7 Non-ENG"),IF(IFERROR(VLOOKUP(B2079&amp;"ES",'LM7 Non-ENG'!$A$1:$A$4999,1,FALSE),"ERROR")=B2079&amp;"ES","Y","")),"")</f>
        <v/>
      </c>
      <c r="H2079" s="29" t="str">
        <f>IFERROR(HYPERLINK("#"&amp;ADDRESS(MATCH(B2079&amp;"PT",'LM7 Non-ENG'!$A$1:$A$5000,0),1,,,"LM7 Non-ENG"),IF(IFERROR(VLOOKUP(B2079&amp;"PT",'LM7 Non-ENG'!$A$1:$A$5000,1,FALSE),"ERROR")=B2079&amp;"PT","Y","")),"")</f>
        <v/>
      </c>
      <c r="I2079" t="str">
        <f>IFERROR(VLOOKUP(B2079,PN!$A:$C,3,FALSE),"")</f>
        <v>Active</v>
      </c>
      <c r="J2079" s="3">
        <f>IFERROR(E2079*VLOOKUP(B2079,PLInter!$A:$D,3,FALSE),"")</f>
        <v>2800</v>
      </c>
      <c r="K2079" s="66"/>
      <c r="L2079" s="66"/>
      <c r="M2079" s="66"/>
      <c r="N2079" s="66"/>
      <c r="O2079" s="66"/>
      <c r="P2079" s="66"/>
      <c r="Q2079" s="66"/>
      <c r="R2079" s="66"/>
      <c r="S2079" s="66"/>
    </row>
    <row r="2080" spans="1:19" ht="18" customHeight="1">
      <c r="B2080" t="s">
        <v>697</v>
      </c>
      <c r="C2080" t="s">
        <v>698</v>
      </c>
      <c r="D2080" s="4"/>
      <c r="E2080" s="4">
        <v>1</v>
      </c>
      <c r="F2080" s="4"/>
      <c r="G2080" s="29" t="str">
        <f>IFERROR(HYPERLINK("#"&amp;ADDRESS(MATCH(B2080&amp;"ES",'LM7 Non-ENG'!$A$1:$A$5000,0),1,,,"LM7 Non-ENG"),IF(IFERROR(VLOOKUP(B2080&amp;"ES",'LM7 Non-ENG'!$A$1:$A$4999,1,FALSE),"ERROR")=B2080&amp;"ES","Y","")),"")</f>
        <v/>
      </c>
      <c r="H2080" s="29" t="str">
        <f>IFERROR(HYPERLINK("#"&amp;ADDRESS(MATCH(B2080&amp;"PT",'LM7 Non-ENG'!$A$1:$A$5000,0),1,,,"LM7 Non-ENG"),IF(IFERROR(VLOOKUP(B2080&amp;"PT",'LM7 Non-ENG'!$A$1:$A$5000,1,FALSE),"ERROR")=B2080&amp;"PT","Y","")),"")</f>
        <v/>
      </c>
      <c r="I2080" t="str">
        <f>IFERROR(VLOOKUP(B2080,PN!$A:$C,3,FALSE),"")</f>
        <v>Active</v>
      </c>
      <c r="J2080" s="3">
        <f>IFERROR(E2080*VLOOKUP(B2080,PLInter!$A:$D,3,FALSE),"")</f>
        <v>934</v>
      </c>
      <c r="K2080" s="66"/>
      <c r="L2080" s="66"/>
      <c r="M2080" s="66"/>
      <c r="N2080" s="66"/>
      <c r="O2080" s="66"/>
      <c r="P2080" s="66"/>
      <c r="Q2080" s="66"/>
      <c r="R2080" s="66"/>
      <c r="S2080" s="66"/>
    </row>
    <row r="2081" spans="1:19" ht="18" customHeight="1">
      <c r="B2081" t="s">
        <v>630</v>
      </c>
      <c r="C2081" t="s">
        <v>631</v>
      </c>
      <c r="D2081" s="4"/>
      <c r="E2081" s="4">
        <v>1</v>
      </c>
      <c r="F2081" s="4"/>
      <c r="G2081" s="29" t="str">
        <f>IFERROR(HYPERLINK("#"&amp;ADDRESS(MATCH(B2081&amp;"ES",'LM7 Non-ENG'!$A$1:$A$5000,0),1,,,"LM7 Non-ENG"),IF(IFERROR(VLOOKUP(B2081&amp;"ES",'LM7 Non-ENG'!$A$1:$A$4999,1,FALSE),"ERROR")=B2081&amp;"ES","Y","")),"")</f>
        <v/>
      </c>
      <c r="H2081" s="29" t="str">
        <f>IFERROR(HYPERLINK("#"&amp;ADDRESS(MATCH(B2081&amp;"PT",'LM7 Non-ENG'!$A$1:$A$5000,0),1,,,"LM7 Non-ENG"),IF(IFERROR(VLOOKUP(B2081&amp;"PT",'LM7 Non-ENG'!$A$1:$A$5000,1,FALSE),"ERROR")=B2081&amp;"PT","Y","")),"")</f>
        <v/>
      </c>
      <c r="I2081" t="str">
        <f>IFERROR(VLOOKUP(B2081,PN!$A:$C,3,FALSE),"")</f>
        <v>Active</v>
      </c>
      <c r="J2081" s="3">
        <f>IFERROR(E2081*VLOOKUP(B2081,PLInter!$A:$D,3,FALSE),"")</f>
        <v>1735</v>
      </c>
      <c r="K2081" s="66"/>
      <c r="L2081" s="66"/>
      <c r="M2081" s="66"/>
      <c r="N2081" s="66"/>
      <c r="O2081" s="66"/>
      <c r="P2081" s="66"/>
      <c r="Q2081" s="66"/>
      <c r="R2081" s="66"/>
      <c r="S2081" s="66"/>
    </row>
    <row r="2083" spans="1:19" s="7" customFormat="1" ht="18" customHeight="1">
      <c r="A2083" s="13" t="s">
        <v>1071</v>
      </c>
      <c r="B2083" s="13"/>
      <c r="C2083" s="13" t="s">
        <v>1072</v>
      </c>
      <c r="D2083" s="14"/>
      <c r="E2083" s="14"/>
      <c r="F2083" s="14"/>
      <c r="G2083" s="14"/>
      <c r="H2083" s="14"/>
      <c r="I2083" s="14"/>
      <c r="J2083" s="14">
        <f>SUMIFS(J2084:J2089,D2084:D2089,"&lt;&gt;Y",F2084:F2089,"&lt;&gt;Y",I2084:I2089,"&lt;&gt;Inactive",I2084:I2089,"&lt;&gt;ECO+NFS")</f>
        <v>9389</v>
      </c>
      <c r="K2083" s="14"/>
      <c r="L2083" s="14"/>
      <c r="M2083" s="14"/>
      <c r="N2083" s="14"/>
      <c r="O2083" s="14"/>
      <c r="P2083" s="14"/>
      <c r="Q2083" s="14"/>
      <c r="R2083" s="14"/>
      <c r="S2083" s="14"/>
    </row>
    <row r="2084" spans="1:19" ht="18" customHeight="1">
      <c r="A2084" s="17" t="str">
        <f>HYPERLINK("#"&amp;ADDRESS(MATCH(A2083,'CIM&amp;FMS'!$A$1:$A$4997,0),1,,,"CIM&amp;FMS"),"Back to Price List")</f>
        <v>Back to Price List</v>
      </c>
      <c r="B2084" t="s">
        <v>855</v>
      </c>
      <c r="C2084" t="s">
        <v>856</v>
      </c>
      <c r="D2084" s="4"/>
      <c r="E2084" s="4">
        <v>1</v>
      </c>
      <c r="F2084" s="4"/>
      <c r="G2084" s="29" t="str">
        <f>IFERROR(HYPERLINK("#"&amp;ADDRESS(MATCH(B2084&amp;"ES",'LM7 Non-ENG'!$A$1:$A$5000,0),1,,,"LM7 Non-ENG"),IF(IFERROR(VLOOKUP(B2084&amp;"ES",'LM7 Non-ENG'!$A$1:$A$4999,1,FALSE),"ERROR")=B2084&amp;"ES","Y","")),"")</f>
        <v/>
      </c>
      <c r="H2084" s="29" t="str">
        <f>IFERROR(HYPERLINK("#"&amp;ADDRESS(MATCH(B2084&amp;"PT",'LM7 Non-ENG'!$A$1:$A$5000,0),1,,,"LM7 Non-ENG"),IF(IFERROR(VLOOKUP(B2084&amp;"PT",'LM7 Non-ENG'!$A$1:$A$5000,1,FALSE),"ERROR")=B2084&amp;"PT","Y","")),"")</f>
        <v/>
      </c>
      <c r="I2084" t="str">
        <f>IFERROR(VLOOKUP(B2084,PN!$A:$C,3,FALSE),"")</f>
        <v>Active</v>
      </c>
      <c r="J2084" s="3">
        <f>IFERROR(E2084*VLOOKUP(B2084,PLInter!$A:$D,3,FALSE),"")</f>
        <v>6720</v>
      </c>
      <c r="K2084" s="66"/>
      <c r="L2084" s="66"/>
      <c r="M2084" s="66"/>
      <c r="N2084" s="66"/>
      <c r="O2084" s="66"/>
      <c r="P2084" s="66"/>
      <c r="Q2084" s="66"/>
      <c r="R2084" s="66"/>
      <c r="S2084" s="66"/>
    </row>
    <row r="2085" spans="1:19" ht="18" customHeight="1">
      <c r="B2085" t="s">
        <v>1043</v>
      </c>
      <c r="C2085" s="41" t="s">
        <v>1073</v>
      </c>
      <c r="D2085" s="4"/>
      <c r="E2085" s="4">
        <v>1</v>
      </c>
      <c r="F2085" s="4"/>
      <c r="G2085" s="29" t="str">
        <f>IFERROR(HYPERLINK("#"&amp;ADDRESS(MATCH(B2085&amp;"ES",'LM7 Non-ENG'!$A$1:$A$5000,0),1,,,"LM7 Non-ENG"),IF(IFERROR(VLOOKUP(B2085&amp;"ES",'LM7 Non-ENG'!$A$1:$A$4999,1,FALSE),"ERROR")=B2085&amp;"ES","Y","")),"")</f>
        <v/>
      </c>
      <c r="H2085" s="29" t="str">
        <f>IFERROR(HYPERLINK("#"&amp;ADDRESS(MATCH(B2085&amp;"PT",'LM7 Non-ENG'!$A$1:$A$5000,0),1,,,"LM7 Non-ENG"),IF(IFERROR(VLOOKUP(B2085&amp;"PT",'LM7 Non-ENG'!$A$1:$A$5000,1,FALSE),"ERROR")=B2085&amp;"PT","Y","")),"")</f>
        <v/>
      </c>
      <c r="I2085" t="str">
        <f>IFERROR(VLOOKUP(B2085,PN!$A:$C,3,FALSE),"")</f>
        <v>Active</v>
      </c>
      <c r="J2085" s="3" t="str">
        <f>IFERROR(E2085*VLOOKUP(B2085,PLInter!$A:$D,3,FALSE),"")</f>
        <v/>
      </c>
      <c r="K2085" s="66"/>
      <c r="L2085" s="66"/>
      <c r="M2085" s="66"/>
      <c r="N2085" s="66"/>
      <c r="O2085" s="66"/>
      <c r="P2085" s="66"/>
      <c r="Q2085" s="66"/>
      <c r="R2085" s="66"/>
      <c r="S2085" s="66"/>
    </row>
    <row r="2086" spans="1:19" ht="18" customHeight="1">
      <c r="B2086" t="s">
        <v>1043</v>
      </c>
      <c r="C2086" s="41" t="s">
        <v>1073</v>
      </c>
      <c r="D2086" s="4"/>
      <c r="E2086" s="4">
        <v>1</v>
      </c>
      <c r="F2086" s="4"/>
      <c r="G2086" s="29" t="str">
        <f>IFERROR(HYPERLINK("#"&amp;ADDRESS(MATCH(B2086&amp;"ES",'LM7 Non-ENG'!$A$1:$A$5000,0),1,,,"LM7 Non-ENG"),IF(IFERROR(VLOOKUP(B2086&amp;"ES",'LM7 Non-ENG'!$A$1:$A$4999,1,FALSE),"ERROR")=B2086&amp;"ES","Y","")),"")</f>
        <v/>
      </c>
      <c r="H2086" s="29" t="str">
        <f>IFERROR(HYPERLINK("#"&amp;ADDRESS(MATCH(B2086&amp;"PT",'LM7 Non-ENG'!$A$1:$A$5000,0),1,,,"LM7 Non-ENG"),IF(IFERROR(VLOOKUP(B2086&amp;"PT",'LM7 Non-ENG'!$A$1:$A$5000,1,FALSE),"ERROR")=B2086&amp;"PT","Y","")),"")</f>
        <v/>
      </c>
      <c r="I2086" t="str">
        <f>IFERROR(VLOOKUP(B2086,PN!$A:$C,3,FALSE),"")</f>
        <v>Active</v>
      </c>
      <c r="J2086" s="3" t="str">
        <f>IFERROR(E2086*VLOOKUP(B2086,PLInter!$A:$D,3,FALSE),"")</f>
        <v/>
      </c>
      <c r="K2086" s="66"/>
      <c r="L2086" s="66"/>
      <c r="M2086" s="66"/>
      <c r="N2086" s="66"/>
      <c r="O2086" s="66"/>
      <c r="P2086" s="66"/>
      <c r="Q2086" s="66"/>
      <c r="R2086" s="66"/>
      <c r="S2086" s="66"/>
    </row>
    <row r="2087" spans="1:19" ht="18" customHeight="1">
      <c r="B2087" t="s">
        <v>1043</v>
      </c>
      <c r="C2087" s="41" t="s">
        <v>1073</v>
      </c>
      <c r="D2087" s="4"/>
      <c r="E2087" s="4">
        <v>1</v>
      </c>
      <c r="F2087" s="4"/>
      <c r="G2087" s="29" t="str">
        <f>IFERROR(HYPERLINK("#"&amp;ADDRESS(MATCH(B2087&amp;"ES",'LM7 Non-ENG'!$A$1:$A$5000,0),1,,,"LM7 Non-ENG"),IF(IFERROR(VLOOKUP(B2087&amp;"ES",'LM7 Non-ENG'!$A$1:$A$4999,1,FALSE),"ERROR")=B2087&amp;"ES","Y","")),"")</f>
        <v/>
      </c>
      <c r="H2087" s="29" t="str">
        <f>IFERROR(HYPERLINK("#"&amp;ADDRESS(MATCH(B2087&amp;"PT",'LM7 Non-ENG'!$A$1:$A$5000,0),1,,,"LM7 Non-ENG"),IF(IFERROR(VLOOKUP(B2087&amp;"PT",'LM7 Non-ENG'!$A$1:$A$5000,1,FALSE),"ERROR")=B2087&amp;"PT","Y","")),"")</f>
        <v/>
      </c>
      <c r="I2087" t="str">
        <f>IFERROR(VLOOKUP(B2087,PN!$A:$C,3,FALSE),"")</f>
        <v>Active</v>
      </c>
      <c r="J2087" s="3" t="str">
        <f>IFERROR(E2087*VLOOKUP(B2087,PLInter!$A:$D,3,FALSE),"")</f>
        <v/>
      </c>
      <c r="K2087" s="66"/>
      <c r="L2087" s="66"/>
      <c r="M2087" s="66"/>
      <c r="N2087" s="66"/>
      <c r="O2087" s="66"/>
      <c r="P2087" s="66"/>
      <c r="Q2087" s="66"/>
      <c r="R2087" s="66"/>
      <c r="S2087" s="66"/>
    </row>
    <row r="2088" spans="1:19" ht="18" customHeight="1">
      <c r="B2088" t="s">
        <v>697</v>
      </c>
      <c r="C2088" t="s">
        <v>698</v>
      </c>
      <c r="D2088" s="4"/>
      <c r="E2088" s="4">
        <v>1</v>
      </c>
      <c r="F2088" s="4"/>
      <c r="G2088" s="29" t="str">
        <f>IFERROR(HYPERLINK("#"&amp;ADDRESS(MATCH(B2088&amp;"ES",'LM7 Non-ENG'!$A$1:$A$5000,0),1,,,"LM7 Non-ENG"),IF(IFERROR(VLOOKUP(B2088&amp;"ES",'LM7 Non-ENG'!$A$1:$A$4999,1,FALSE),"ERROR")=B2088&amp;"ES","Y","")),"")</f>
        <v/>
      </c>
      <c r="H2088" s="29" t="str">
        <f>IFERROR(HYPERLINK("#"&amp;ADDRESS(MATCH(B2088&amp;"PT",'LM7 Non-ENG'!$A$1:$A$5000,0),1,,,"LM7 Non-ENG"),IF(IFERROR(VLOOKUP(B2088&amp;"PT",'LM7 Non-ENG'!$A$1:$A$5000,1,FALSE),"ERROR")=B2088&amp;"PT","Y","")),"")</f>
        <v/>
      </c>
      <c r="I2088" t="str">
        <f>IFERROR(VLOOKUP(B2088,PN!$A:$C,3,FALSE),"")</f>
        <v>Active</v>
      </c>
      <c r="J2088" s="3">
        <f>IFERROR(E2088*VLOOKUP(B2088,PLInter!$A:$D,3,FALSE),"")</f>
        <v>934</v>
      </c>
      <c r="K2088" s="66"/>
      <c r="L2088" s="66"/>
      <c r="M2088" s="66"/>
      <c r="N2088" s="66"/>
      <c r="O2088" s="66"/>
      <c r="P2088" s="66"/>
      <c r="Q2088" s="66"/>
      <c r="R2088" s="66"/>
      <c r="S2088" s="66"/>
    </row>
    <row r="2089" spans="1:19" ht="18" customHeight="1">
      <c r="B2089" t="s">
        <v>630</v>
      </c>
      <c r="C2089" t="s">
        <v>631</v>
      </c>
      <c r="D2089" s="4"/>
      <c r="E2089" s="4">
        <v>1</v>
      </c>
      <c r="F2089" s="4"/>
      <c r="G2089" s="29" t="str">
        <f>IFERROR(HYPERLINK("#"&amp;ADDRESS(MATCH(B2089&amp;"ES",'LM7 Non-ENG'!$A$1:$A$5000,0),1,,,"LM7 Non-ENG"),IF(IFERROR(VLOOKUP(B2089&amp;"ES",'LM7 Non-ENG'!$A$1:$A$4999,1,FALSE),"ERROR")=B2089&amp;"ES","Y","")),"")</f>
        <v/>
      </c>
      <c r="H2089" s="29" t="str">
        <f>IFERROR(HYPERLINK("#"&amp;ADDRESS(MATCH(B2089&amp;"PT",'LM7 Non-ENG'!$A$1:$A$5000,0),1,,,"LM7 Non-ENG"),IF(IFERROR(VLOOKUP(B2089&amp;"PT",'LM7 Non-ENG'!$A$1:$A$5000,1,FALSE),"ERROR")=B2089&amp;"PT","Y","")),"")</f>
        <v/>
      </c>
      <c r="I2089" t="str">
        <f>IFERROR(VLOOKUP(B2089,PN!$A:$C,3,FALSE),"")</f>
        <v>Active</v>
      </c>
      <c r="J2089" s="3">
        <f>IFERROR(E2089*VLOOKUP(B2089,PLInter!$A:$D,3,FALSE),"")</f>
        <v>1735</v>
      </c>
      <c r="K2089" s="66"/>
      <c r="L2089" s="66"/>
      <c r="M2089" s="66"/>
      <c r="N2089" s="66"/>
      <c r="O2089" s="66"/>
      <c r="P2089" s="66"/>
      <c r="Q2089" s="66"/>
      <c r="R2089" s="66"/>
      <c r="S2089" s="66"/>
    </row>
    <row r="2091" spans="1:19" s="7" customFormat="1" ht="18" customHeight="1">
      <c r="A2091" s="13" t="s">
        <v>1074</v>
      </c>
      <c r="B2091" s="13"/>
      <c r="C2091" s="13" t="s">
        <v>1075</v>
      </c>
      <c r="D2091" s="14"/>
      <c r="E2091" s="14"/>
      <c r="F2091" s="14"/>
      <c r="G2091" s="14"/>
      <c r="H2091" s="14"/>
      <c r="I2091" s="14"/>
      <c r="J2091" s="14">
        <f>SUMIFS(J2092:J2098,D2092:D2098,"&lt;&gt;Y",F2092:F2098,"&lt;&gt;Y",I2092:I2098,"&lt;&gt;Inactive",I2092:I2098,"&lt;&gt;ECO+NFS")</f>
        <v>59589</v>
      </c>
      <c r="K2091" s="14"/>
      <c r="L2091" s="14"/>
      <c r="M2091" s="14"/>
      <c r="N2091" s="14"/>
      <c r="O2091" s="14"/>
      <c r="P2091" s="14"/>
      <c r="Q2091" s="14"/>
      <c r="R2091" s="14"/>
      <c r="S2091" s="14"/>
    </row>
    <row r="2092" spans="1:19" ht="18" customHeight="1">
      <c r="A2092" s="17" t="str">
        <f>HYPERLINK("#"&amp;ADDRESS(MATCH(A2091,'CIM&amp;FMS'!$A$1:$A$4997,0),1,,,"CIM&amp;FMS"),"Back to Price List")</f>
        <v>Back to Price List</v>
      </c>
      <c r="B2092" t="s">
        <v>215</v>
      </c>
      <c r="C2092" t="s">
        <v>967</v>
      </c>
      <c r="D2092" s="4"/>
      <c r="E2092" s="4">
        <v>1</v>
      </c>
      <c r="F2092" s="4"/>
      <c r="G2092" s="29" t="str">
        <f>IFERROR(HYPERLINK("#"&amp;ADDRESS(MATCH(B2092&amp;"ES",'LM7 Non-ENG'!$A$1:$A$5000,0),1,,,"LM7 Non-ENG"),IF(IFERROR(VLOOKUP(B2092&amp;"ES",'LM7 Non-ENG'!$A$1:$A$4999,1,FALSE),"ERROR")=B2092&amp;"ES","Y","")),"")</f>
        <v/>
      </c>
      <c r="H2092" s="29" t="str">
        <f>IFERROR(HYPERLINK("#"&amp;ADDRESS(MATCH(B2092&amp;"PT",'LM7 Non-ENG'!$A$1:$A$5000,0),1,,,"LM7 Non-ENG"),IF(IFERROR(VLOOKUP(B2092&amp;"PT",'LM7 Non-ENG'!$A$1:$A$5000,1,FALSE),"ERROR")=B2092&amp;"PT","Y","")),"")</f>
        <v/>
      </c>
      <c r="I2092" t="str">
        <f>IFERROR(VLOOKUP(B2092,PN!$A:$C,3,FALSE),"")</f>
        <v>Active</v>
      </c>
      <c r="J2092" s="3">
        <f>IFERROR(E2092*VLOOKUP(B2092,PLInter!$A:$D,3,FALSE),"")</f>
        <v>35000</v>
      </c>
      <c r="K2092" s="66"/>
      <c r="L2092" s="66"/>
      <c r="M2092" s="66"/>
      <c r="N2092" s="66"/>
      <c r="O2092" s="66"/>
      <c r="P2092" s="66"/>
      <c r="Q2092" s="66"/>
      <c r="R2092" s="66"/>
      <c r="S2092" s="66"/>
    </row>
    <row r="2093" spans="1:19" ht="18" customHeight="1">
      <c r="B2093" t="s">
        <v>230</v>
      </c>
      <c r="C2093" t="s">
        <v>235</v>
      </c>
      <c r="D2093" s="4"/>
      <c r="E2093" s="4">
        <v>1</v>
      </c>
      <c r="F2093" s="4"/>
      <c r="G2093" s="29" t="str">
        <f>IFERROR(HYPERLINK("#"&amp;ADDRESS(MATCH(B2093&amp;"ES",'LM7 Non-ENG'!$A$1:$A$5000,0),1,,,"LM7 Non-ENG"),IF(IFERROR(VLOOKUP(B2093&amp;"ES",'LM7 Non-ENG'!$A$1:$A$4999,1,FALSE),"ERROR")=B2093&amp;"ES","Y","")),"")</f>
        <v/>
      </c>
      <c r="H2093" s="29" t="str">
        <f>IFERROR(HYPERLINK("#"&amp;ADDRESS(MATCH(B2093&amp;"PT",'LM7 Non-ENG'!$A$1:$A$5000,0),1,,,"LM7 Non-ENG"),IF(IFERROR(VLOOKUP(B2093&amp;"PT",'LM7 Non-ENG'!$A$1:$A$5000,1,FALSE),"ERROR")=B2093&amp;"PT","Y","")),"")</f>
        <v/>
      </c>
      <c r="I2093" t="str">
        <f>IFERROR(VLOOKUP(B2093,PN!$A:$C,3,FALSE),"")</f>
        <v>Active</v>
      </c>
      <c r="J2093" s="3">
        <f>IFERROR(E2093*VLOOKUP(B2093,PLInter!$A:$D,3,FALSE),"")</f>
        <v>3200</v>
      </c>
      <c r="K2093" s="66"/>
      <c r="L2093" s="66"/>
      <c r="M2093" s="66"/>
      <c r="N2093" s="66"/>
      <c r="O2093" s="66"/>
      <c r="P2093" s="66"/>
      <c r="Q2093" s="66"/>
      <c r="R2093" s="66"/>
      <c r="S2093" s="66"/>
    </row>
    <row r="2094" spans="1:19" ht="18" customHeight="1">
      <c r="B2094" t="s">
        <v>1067</v>
      </c>
      <c r="C2094" t="s">
        <v>1068</v>
      </c>
      <c r="D2094" s="4"/>
      <c r="E2094" s="4">
        <v>1</v>
      </c>
      <c r="F2094" s="4"/>
      <c r="G2094" s="29" t="str">
        <f>IFERROR(HYPERLINK("#"&amp;ADDRESS(MATCH(B2094&amp;"ES",'LM7 Non-ENG'!$A$1:$A$5000,0),1,,,"LM7 Non-ENG"),IF(IFERROR(VLOOKUP(B2094&amp;"ES",'LM7 Non-ENG'!$A$1:$A$4999,1,FALSE),"ERROR")=B2094&amp;"ES","Y","")),"")</f>
        <v/>
      </c>
      <c r="H2094" s="29" t="str">
        <f>IFERROR(HYPERLINK("#"&amp;ADDRESS(MATCH(B2094&amp;"PT",'LM7 Non-ENG'!$A$1:$A$5000,0),1,,,"LM7 Non-ENG"),IF(IFERROR(VLOOKUP(B2094&amp;"PT",'LM7 Non-ENG'!$A$1:$A$5000,1,FALSE),"ERROR")=B2094&amp;"PT","Y","")),"")</f>
        <v/>
      </c>
      <c r="I2094" t="str">
        <f>IFERROR(VLOOKUP(B2094,PN!$A:$C,3,FALSE),"")</f>
        <v>Active</v>
      </c>
      <c r="J2094" s="3">
        <f>IFERROR(E2094*VLOOKUP(B2094,PLInter!$A:$D,3,FALSE),"")</f>
        <v>15120</v>
      </c>
      <c r="K2094" s="66"/>
      <c r="L2094" s="66"/>
      <c r="M2094" s="66"/>
      <c r="N2094" s="66"/>
      <c r="O2094" s="66"/>
      <c r="P2094" s="66"/>
      <c r="Q2094" s="66"/>
      <c r="R2094" s="66"/>
      <c r="S2094" s="66"/>
    </row>
    <row r="2095" spans="1:19" ht="18" customHeight="1">
      <c r="B2095" t="str">
        <f>"434004"</f>
        <v>434004</v>
      </c>
      <c r="C2095" t="s">
        <v>1069</v>
      </c>
      <c r="D2095" s="4"/>
      <c r="E2095" s="4">
        <v>1</v>
      </c>
      <c r="F2095" s="4"/>
      <c r="G2095" s="29" t="str">
        <f>IFERROR(HYPERLINK("#"&amp;ADDRESS(MATCH(B2095&amp;"ES",'LM7 Non-ENG'!$A$1:$A$5000,0),1,,,"LM7 Non-ENG"),IF(IFERROR(VLOOKUP(B2095&amp;"ES",'LM7 Non-ENG'!$A$1:$A$4999,1,FALSE),"ERROR")=B2095&amp;"ES","Y","")),"")</f>
        <v/>
      </c>
      <c r="H2095" s="29" t="str">
        <f>IFERROR(HYPERLINK("#"&amp;ADDRESS(MATCH(B2095&amp;"PT",'LM7 Non-ENG'!$A$1:$A$5000,0),1,,,"LM7 Non-ENG"),IF(IFERROR(VLOOKUP(B2095&amp;"PT",'LM7 Non-ENG'!$A$1:$A$5000,1,FALSE),"ERROR")=B2095&amp;"PT","Y","")),"")</f>
        <v/>
      </c>
      <c r="I2095" t="str">
        <f>IFERROR(VLOOKUP(B2095,PN!$A:$C,3,FALSE),"")</f>
        <v>Active</v>
      </c>
      <c r="J2095" s="3">
        <f>IFERROR(E2095*VLOOKUP(B2095,PLInter!$A:$D,3,FALSE),"")</f>
        <v>3600</v>
      </c>
      <c r="K2095" s="66"/>
      <c r="L2095" s="66"/>
      <c r="M2095" s="66"/>
      <c r="N2095" s="66"/>
      <c r="O2095" s="66"/>
      <c r="P2095" s="66"/>
      <c r="Q2095" s="66"/>
      <c r="R2095" s="66"/>
      <c r="S2095" s="66"/>
    </row>
    <row r="2096" spans="1:19" ht="18" customHeight="1">
      <c r="B2096" s="2" t="str">
        <f>"434007"</f>
        <v>434007</v>
      </c>
      <c r="C2096" s="2" t="s">
        <v>1070</v>
      </c>
      <c r="D2096" s="5"/>
      <c r="E2096" s="5">
        <v>1</v>
      </c>
      <c r="F2096" s="5" t="s">
        <v>0</v>
      </c>
      <c r="G2096" s="29" t="str">
        <f>IFERROR(HYPERLINK("#"&amp;ADDRESS(MATCH(B2096&amp;"ES",'LM7 Non-ENG'!$A$1:$A$5000,0),1,,,"LM7 Non-ENG"),IF(IFERROR(VLOOKUP(B2096&amp;"ES",'LM7 Non-ENG'!$A$1:$A$4999,1,FALSE),"ERROR")=B2096&amp;"ES","Y","")),"")</f>
        <v/>
      </c>
      <c r="H2096" s="29" t="str">
        <f>IFERROR(HYPERLINK("#"&amp;ADDRESS(MATCH(B2096&amp;"PT",'LM7 Non-ENG'!$A$1:$A$5000,0),1,,,"LM7 Non-ENG"),IF(IFERROR(VLOOKUP(B2096&amp;"PT",'LM7 Non-ENG'!$A$1:$A$5000,1,FALSE),"ERROR")=B2096&amp;"PT","Y","")),"")</f>
        <v/>
      </c>
      <c r="I2096" t="str">
        <f>IFERROR(VLOOKUP(B2096,PN!$A:$C,3,FALSE),"")</f>
        <v>Active</v>
      </c>
      <c r="J2096" s="3">
        <f>IFERROR(E2096*VLOOKUP(B2096,PLInter!$A:$D,3,FALSE),"")</f>
        <v>2800</v>
      </c>
      <c r="K2096" s="66"/>
      <c r="L2096" s="66"/>
      <c r="M2096" s="66"/>
      <c r="N2096" s="66"/>
      <c r="O2096" s="66"/>
      <c r="P2096" s="66"/>
      <c r="Q2096" s="66"/>
      <c r="R2096" s="66"/>
      <c r="S2096" s="66"/>
    </row>
    <row r="2097" spans="1:19" ht="18" customHeight="1">
      <c r="B2097" t="s">
        <v>697</v>
      </c>
      <c r="C2097" t="s">
        <v>698</v>
      </c>
      <c r="D2097" s="4"/>
      <c r="E2097" s="4">
        <v>1</v>
      </c>
      <c r="F2097" s="4"/>
      <c r="G2097" s="29" t="str">
        <f>IFERROR(HYPERLINK("#"&amp;ADDRESS(MATCH(B2097&amp;"ES",'LM7 Non-ENG'!$A$1:$A$5000,0),1,,,"LM7 Non-ENG"),IF(IFERROR(VLOOKUP(B2097&amp;"ES",'LM7 Non-ENG'!$A$1:$A$4999,1,FALSE),"ERROR")=B2097&amp;"ES","Y","")),"")</f>
        <v/>
      </c>
      <c r="H2097" s="29" t="str">
        <f>IFERROR(HYPERLINK("#"&amp;ADDRESS(MATCH(B2097&amp;"PT",'LM7 Non-ENG'!$A$1:$A$5000,0),1,,,"LM7 Non-ENG"),IF(IFERROR(VLOOKUP(B2097&amp;"PT",'LM7 Non-ENG'!$A$1:$A$5000,1,FALSE),"ERROR")=B2097&amp;"PT","Y","")),"")</f>
        <v/>
      </c>
      <c r="I2097" t="str">
        <f>IFERROR(VLOOKUP(B2097,PN!$A:$C,3,FALSE),"")</f>
        <v>Active</v>
      </c>
      <c r="J2097" s="3">
        <f>IFERROR(E2097*VLOOKUP(B2097,PLInter!$A:$D,3,FALSE),"")</f>
        <v>934</v>
      </c>
      <c r="K2097" s="66"/>
      <c r="L2097" s="66"/>
      <c r="M2097" s="66"/>
      <c r="N2097" s="66"/>
      <c r="O2097" s="66"/>
      <c r="P2097" s="66"/>
      <c r="Q2097" s="66"/>
      <c r="R2097" s="66"/>
      <c r="S2097" s="66"/>
    </row>
    <row r="2098" spans="1:19" ht="18" customHeight="1">
      <c r="B2098" t="s">
        <v>630</v>
      </c>
      <c r="C2098" t="s">
        <v>631</v>
      </c>
      <c r="D2098" s="4"/>
      <c r="E2098" s="4">
        <v>1</v>
      </c>
      <c r="F2098" s="4"/>
      <c r="G2098" s="29" t="str">
        <f>IFERROR(HYPERLINK("#"&amp;ADDRESS(MATCH(B2098&amp;"ES",'LM7 Non-ENG'!$A$1:$A$5000,0),1,,,"LM7 Non-ENG"),IF(IFERROR(VLOOKUP(B2098&amp;"ES",'LM7 Non-ENG'!$A$1:$A$4999,1,FALSE),"ERROR")=B2098&amp;"ES","Y","")),"")</f>
        <v/>
      </c>
      <c r="H2098" s="29" t="str">
        <f>IFERROR(HYPERLINK("#"&amp;ADDRESS(MATCH(B2098&amp;"PT",'LM7 Non-ENG'!$A$1:$A$5000,0),1,,,"LM7 Non-ENG"),IF(IFERROR(VLOOKUP(B2098&amp;"PT",'LM7 Non-ENG'!$A$1:$A$5000,1,FALSE),"ERROR")=B2098&amp;"PT","Y","")),"")</f>
        <v/>
      </c>
      <c r="I2098" t="str">
        <f>IFERROR(VLOOKUP(B2098,PN!$A:$C,3,FALSE),"")</f>
        <v>Active</v>
      </c>
      <c r="J2098" s="3">
        <f>IFERROR(E2098*VLOOKUP(B2098,PLInter!$A:$D,3,FALSE),"")</f>
        <v>1735</v>
      </c>
      <c r="K2098" s="66"/>
      <c r="L2098" s="66"/>
      <c r="M2098" s="66"/>
      <c r="N2098" s="66"/>
      <c r="O2098" s="66"/>
      <c r="P2098" s="66"/>
      <c r="Q2098" s="66"/>
      <c r="R2098" s="66"/>
      <c r="S2098" s="66"/>
    </row>
    <row r="2100" spans="1:19" s="7" customFormat="1" ht="18" customHeight="1">
      <c r="A2100" s="13" t="s">
        <v>1078</v>
      </c>
      <c r="B2100" s="13"/>
      <c r="C2100" s="13" t="s">
        <v>1079</v>
      </c>
      <c r="D2100" s="14"/>
      <c r="E2100" s="14"/>
      <c r="F2100" s="14"/>
      <c r="G2100" s="14"/>
      <c r="H2100" s="14"/>
      <c r="I2100" s="14"/>
      <c r="J2100" s="14">
        <f>SUMIFS(J2101:J2127,D2101:D2127,"&lt;&gt;Y",F2101:F2127,"&lt;&gt;Y",I2101:I2127,"&lt;&gt;Inactive",I2101:I2127,"&lt;&gt;ECO+NFS")</f>
        <v>132510</v>
      </c>
      <c r="K2100" s="14"/>
      <c r="L2100" s="14"/>
      <c r="M2100" s="14"/>
      <c r="N2100" s="14"/>
      <c r="O2100" s="14"/>
      <c r="P2100" s="14"/>
      <c r="Q2100" s="14"/>
      <c r="R2100" s="14"/>
      <c r="S2100" s="14"/>
    </row>
    <row r="2101" spans="1:19" ht="18" customHeight="1">
      <c r="A2101" s="17" t="str">
        <f>HYPERLINK("#"&amp;ADDRESS(MATCH(A2100,'CIM&amp;FMS'!$A$1:$A$4997,0),1,,,"CIM&amp;FMS"),"Back to Price List")</f>
        <v>Back to Price List</v>
      </c>
      <c r="B2101" t="s">
        <v>214</v>
      </c>
      <c r="C2101" t="s">
        <v>654</v>
      </c>
      <c r="D2101" s="4"/>
      <c r="E2101" s="4">
        <v>1</v>
      </c>
      <c r="F2101" s="4"/>
      <c r="G2101" s="29" t="str">
        <f>IFERROR(HYPERLINK("#"&amp;ADDRESS(MATCH(B2101&amp;"ES",'LM7 Non-ENG'!$A$1:$A$5000,0),1,,,"LM7 Non-ENG"),IF(IFERROR(VLOOKUP(B2101&amp;"ES",'LM7 Non-ENG'!$A$1:$A$4999,1,FALSE),"ERROR")=B2101&amp;"ES","Y","")),"")</f>
        <v/>
      </c>
      <c r="H2101" s="29" t="str">
        <f>IFERROR(HYPERLINK("#"&amp;ADDRESS(MATCH(B2101&amp;"PT",'LM7 Non-ENG'!$A$1:$A$5000,0),1,,,"LM7 Non-ENG"),IF(IFERROR(VLOOKUP(B2101&amp;"PT",'LM7 Non-ENG'!$A$1:$A$5000,1,FALSE),"ERROR")=B2101&amp;"PT","Y","")),"")</f>
        <v/>
      </c>
      <c r="I2101" t="str">
        <f>IFERROR(VLOOKUP(B2101,PN!$A:$C,3,FALSE),"")</f>
        <v>Active</v>
      </c>
      <c r="J2101" s="3">
        <f>IFERROR(E2101*VLOOKUP(B2101,PLInter!$A:$D,3,FALSE),"")</f>
        <v>24000</v>
      </c>
      <c r="K2101" s="66"/>
      <c r="L2101" s="66"/>
      <c r="M2101" s="66"/>
      <c r="N2101" s="66"/>
      <c r="O2101" s="66"/>
      <c r="P2101" s="66"/>
      <c r="Q2101" s="66"/>
      <c r="R2101" s="66"/>
      <c r="S2101" s="66"/>
    </row>
    <row r="2102" spans="1:19" ht="18" customHeight="1">
      <c r="B2102" s="2" t="s">
        <v>213</v>
      </c>
      <c r="C2102" s="2" t="s">
        <v>640</v>
      </c>
      <c r="D2102" s="5"/>
      <c r="E2102" s="5">
        <v>1</v>
      </c>
      <c r="F2102" s="5" t="s">
        <v>0</v>
      </c>
      <c r="G2102" s="29" t="str">
        <f>IFERROR(HYPERLINK("#"&amp;ADDRESS(MATCH(B2102&amp;"ES",'LM7 Non-ENG'!$A$1:$A$5000,0),1,,,"LM7 Non-ENG"),IF(IFERROR(VLOOKUP(B2102&amp;"ES",'LM7 Non-ENG'!$A$1:$A$4999,1,FALSE),"ERROR")=B2102&amp;"ES","Y","")),"")</f>
        <v/>
      </c>
      <c r="H2102" s="29" t="str">
        <f>IFERROR(HYPERLINK("#"&amp;ADDRESS(MATCH(B2102&amp;"PT",'LM7 Non-ENG'!$A$1:$A$5000,0),1,,,"LM7 Non-ENG"),IF(IFERROR(VLOOKUP(B2102&amp;"PT",'LM7 Non-ENG'!$A$1:$A$5000,1,FALSE),"ERROR")=B2102&amp;"PT","Y","")),"")</f>
        <v/>
      </c>
      <c r="I2102" t="str">
        <f>IFERROR(VLOOKUP(B2102,PN!$A:$C,3,FALSE),"")</f>
        <v>Active</v>
      </c>
      <c r="J2102" s="3">
        <f>IFERROR(E2102*VLOOKUP(B2102,PLInter!$A:$D,3,FALSE),"")</f>
        <v>11726</v>
      </c>
      <c r="K2102" s="66"/>
      <c r="L2102" s="66"/>
      <c r="M2102" s="66"/>
      <c r="N2102" s="66"/>
      <c r="O2102" s="66"/>
      <c r="P2102" s="66"/>
      <c r="Q2102" s="66"/>
      <c r="R2102" s="66"/>
      <c r="S2102" s="66"/>
    </row>
    <row r="2103" spans="1:19" ht="18" customHeight="1">
      <c r="B2103" s="2" t="s">
        <v>215</v>
      </c>
      <c r="C2103" s="2" t="s">
        <v>217</v>
      </c>
      <c r="D2103" s="5"/>
      <c r="E2103" s="5">
        <v>1</v>
      </c>
      <c r="F2103" s="5" t="s">
        <v>0</v>
      </c>
      <c r="G2103" s="29" t="str">
        <f>IFERROR(HYPERLINK("#"&amp;ADDRESS(MATCH(B2103&amp;"ES",'LM7 Non-ENG'!$A$1:$A$5000,0),1,,,"LM7 Non-ENG"),IF(IFERROR(VLOOKUP(B2103&amp;"ES",'LM7 Non-ENG'!$A$1:$A$4999,1,FALSE),"ERROR")=B2103&amp;"ES","Y","")),"")</f>
        <v/>
      </c>
      <c r="H2103" s="29" t="str">
        <f>IFERROR(HYPERLINK("#"&amp;ADDRESS(MATCH(B2103&amp;"PT",'LM7 Non-ENG'!$A$1:$A$5000,0),1,,,"LM7 Non-ENG"),IF(IFERROR(VLOOKUP(B2103&amp;"PT",'LM7 Non-ENG'!$A$1:$A$5000,1,FALSE),"ERROR")=B2103&amp;"PT","Y","")),"")</f>
        <v/>
      </c>
      <c r="I2103" t="str">
        <f>IFERROR(VLOOKUP(B2103,PN!$A:$C,3,FALSE),"")</f>
        <v>Active</v>
      </c>
      <c r="J2103" s="3">
        <f>IFERROR(E2103*VLOOKUP(B2103,PLInter!$A:$D,3,FALSE),"")</f>
        <v>35000</v>
      </c>
      <c r="K2103" s="66"/>
      <c r="L2103" s="66"/>
      <c r="M2103" s="66"/>
      <c r="N2103" s="66"/>
      <c r="O2103" s="66"/>
      <c r="P2103" s="66"/>
      <c r="Q2103" s="66"/>
      <c r="R2103" s="66"/>
      <c r="S2103" s="66"/>
    </row>
    <row r="2104" spans="1:19" ht="18" customHeight="1">
      <c r="B2104" t="s">
        <v>228</v>
      </c>
      <c r="C2104" t="s">
        <v>233</v>
      </c>
      <c r="D2104" s="4"/>
      <c r="E2104" s="4">
        <v>1</v>
      </c>
      <c r="F2104" s="4"/>
      <c r="G2104" s="29" t="str">
        <f>IFERROR(HYPERLINK("#"&amp;ADDRESS(MATCH(B2104&amp;"ES",'LM7 Non-ENG'!$A$1:$A$5000,0),1,,,"LM7 Non-ENG"),IF(IFERROR(VLOOKUP(B2104&amp;"ES",'LM7 Non-ENG'!$A$1:$A$4999,1,FALSE),"ERROR")=B2104&amp;"ES","Y","")),"")</f>
        <v/>
      </c>
      <c r="H2104" s="29" t="str">
        <f>IFERROR(HYPERLINK("#"&amp;ADDRESS(MATCH(B2104&amp;"PT",'LM7 Non-ENG'!$A$1:$A$5000,0),1,,,"LM7 Non-ENG"),IF(IFERROR(VLOOKUP(B2104&amp;"PT",'LM7 Non-ENG'!$A$1:$A$5000,1,FALSE),"ERROR")=B2104&amp;"PT","Y","")),"")</f>
        <v/>
      </c>
      <c r="I2104" t="str">
        <f>IFERROR(VLOOKUP(B2104,PN!$A:$C,3,FALSE),"")</f>
        <v>Active</v>
      </c>
      <c r="J2104" s="3">
        <f>IFERROR(E2104*VLOOKUP(B2104,PLInter!$A:$D,3,FALSE),"")</f>
        <v>2134</v>
      </c>
      <c r="K2104" s="66"/>
      <c r="L2104" s="66"/>
      <c r="M2104" s="66"/>
      <c r="N2104" s="66"/>
      <c r="O2104" s="66"/>
      <c r="P2104" s="66"/>
      <c r="Q2104" s="66"/>
      <c r="R2104" s="66"/>
      <c r="S2104" s="66"/>
    </row>
    <row r="2105" spans="1:19" ht="18" customHeight="1">
      <c r="B2105" s="2" t="s">
        <v>230</v>
      </c>
      <c r="C2105" s="2" t="s">
        <v>235</v>
      </c>
      <c r="D2105" s="5"/>
      <c r="E2105" s="5">
        <v>1</v>
      </c>
      <c r="F2105" s="5" t="s">
        <v>0</v>
      </c>
      <c r="G2105" s="29" t="str">
        <f>IFERROR(HYPERLINK("#"&amp;ADDRESS(MATCH(B2105&amp;"ES",'LM7 Non-ENG'!$A$1:$A$5000,0),1,,,"LM7 Non-ENG"),IF(IFERROR(VLOOKUP(B2105&amp;"ES",'LM7 Non-ENG'!$A$1:$A$4999,1,FALSE),"ERROR")=B2105&amp;"ES","Y","")),"")</f>
        <v/>
      </c>
      <c r="H2105" s="29" t="str">
        <f>IFERROR(HYPERLINK("#"&amp;ADDRESS(MATCH(B2105&amp;"PT",'LM7 Non-ENG'!$A$1:$A$5000,0),1,,,"LM7 Non-ENG"),IF(IFERROR(VLOOKUP(B2105&amp;"PT",'LM7 Non-ENG'!$A$1:$A$5000,1,FALSE),"ERROR")=B2105&amp;"PT","Y","")),"")</f>
        <v/>
      </c>
      <c r="I2105" t="str">
        <f>IFERROR(VLOOKUP(B2105,PN!$A:$C,3,FALSE),"")</f>
        <v>Active</v>
      </c>
      <c r="J2105" s="3">
        <f>IFERROR(E2105*VLOOKUP(B2105,PLInter!$A:$D,3,FALSE),"")</f>
        <v>3200</v>
      </c>
      <c r="K2105" s="66"/>
      <c r="L2105" s="66"/>
      <c r="M2105" s="66"/>
      <c r="N2105" s="66"/>
      <c r="O2105" s="66"/>
      <c r="P2105" s="66"/>
      <c r="Q2105" s="66"/>
      <c r="R2105" s="66"/>
      <c r="S2105" s="66"/>
    </row>
    <row r="2106" spans="1:19" ht="18" customHeight="1">
      <c r="B2106" t="s">
        <v>236</v>
      </c>
      <c r="C2106" t="s">
        <v>626</v>
      </c>
      <c r="D2106" s="4"/>
      <c r="E2106" s="4">
        <v>1</v>
      </c>
      <c r="F2106" s="4"/>
      <c r="G2106" s="29" t="str">
        <f>IFERROR(HYPERLINK("#"&amp;ADDRESS(MATCH(B2106&amp;"ES",'LM7 Non-ENG'!$A$1:$A$5000,0),1,,,"LM7 Non-ENG"),IF(IFERROR(VLOOKUP(B2106&amp;"ES",'LM7 Non-ENG'!$A$1:$A$4999,1,FALSE),"ERROR")=B2106&amp;"ES","Y","")),"")</f>
        <v/>
      </c>
      <c r="H2106" s="29" t="str">
        <f>IFERROR(HYPERLINK("#"&amp;ADDRESS(MATCH(B2106&amp;"PT",'LM7 Non-ENG'!$A$1:$A$5000,0),1,,,"LM7 Non-ENG"),IF(IFERROR(VLOOKUP(B2106&amp;"PT",'LM7 Non-ENG'!$A$1:$A$5000,1,FALSE),"ERROR")=B2106&amp;"PT","Y","")),"")</f>
        <v/>
      </c>
      <c r="I2106" t="str">
        <f>IFERROR(VLOOKUP(B2106,PN!$A:$C,3,FALSE),"")</f>
        <v>Active</v>
      </c>
      <c r="J2106" s="3">
        <f>IFERROR(E2106*VLOOKUP(B2106,PLInter!$A:$D,3,FALSE),"")</f>
        <v>1680</v>
      </c>
      <c r="K2106" s="66"/>
      <c r="L2106" s="66"/>
      <c r="M2106" s="66"/>
      <c r="N2106" s="66"/>
      <c r="O2106" s="66"/>
      <c r="P2106" s="66"/>
      <c r="Q2106" s="66"/>
      <c r="R2106" s="66"/>
      <c r="S2106" s="66"/>
    </row>
    <row r="2107" spans="1:19" ht="18" customHeight="1">
      <c r="B2107" t="str">
        <f>"034025"</f>
        <v>034025</v>
      </c>
      <c r="C2107" s="41" t="s">
        <v>799</v>
      </c>
      <c r="D2107" s="4"/>
      <c r="E2107" s="4">
        <v>1</v>
      </c>
      <c r="F2107" s="4"/>
      <c r="G2107" s="29" t="str">
        <f>IFERROR(HYPERLINK("#"&amp;ADDRESS(MATCH(B2107&amp;"ES",'LM7 Non-ENG'!$A$1:$A$5000,0),1,,,"LM7 Non-ENG"),IF(IFERROR(VLOOKUP(B2107&amp;"ES",'LM7 Non-ENG'!$A$1:$A$4999,1,FALSE),"ERROR")=B2107&amp;"ES","Y","")),"")</f>
        <v/>
      </c>
      <c r="H2107" s="29" t="str">
        <f>IFERROR(HYPERLINK("#"&amp;ADDRESS(MATCH(B2107&amp;"PT",'LM7 Non-ENG'!$A$1:$A$5000,0),1,,,"LM7 Non-ENG"),IF(IFERROR(VLOOKUP(B2107&amp;"PT",'LM7 Non-ENG'!$A$1:$A$5000,1,FALSE),"ERROR")=B2107&amp;"PT","Y","")),"")</f>
        <v/>
      </c>
      <c r="I2107" t="str">
        <f>IFERROR(VLOOKUP(B2107,PN!$A:$C,3,FALSE),"")</f>
        <v>Active</v>
      </c>
      <c r="J2107" s="3">
        <f>IFERROR(E2107*VLOOKUP(B2107,PLInter!$A:$D,3,FALSE),"")</f>
        <v>1267</v>
      </c>
      <c r="K2107" s="66"/>
      <c r="L2107" s="66"/>
      <c r="M2107" s="66"/>
      <c r="N2107" s="66"/>
      <c r="O2107" s="66"/>
      <c r="P2107" s="66"/>
      <c r="Q2107" s="66"/>
      <c r="R2107" s="66"/>
      <c r="S2107" s="66"/>
    </row>
    <row r="2108" spans="1:19" ht="18" customHeight="1">
      <c r="B2108" t="str">
        <f>"021152"</f>
        <v>021152</v>
      </c>
      <c r="C2108" s="41" t="s">
        <v>679</v>
      </c>
      <c r="D2108" s="4"/>
      <c r="E2108" s="4">
        <v>1</v>
      </c>
      <c r="F2108" s="4"/>
      <c r="G2108" s="29" t="str">
        <f>IFERROR(HYPERLINK("#"&amp;ADDRESS(MATCH(B2108&amp;"ES",'LM7 Non-ENG'!$A$1:$A$5000,0),1,,,"LM7 Non-ENG"),IF(IFERROR(VLOOKUP(B2108&amp;"ES",'LM7 Non-ENG'!$A$1:$A$4999,1,FALSE),"ERROR")=B2108&amp;"ES","Y","")),"")</f>
        <v/>
      </c>
      <c r="H2108" s="29" t="str">
        <f>IFERROR(HYPERLINK("#"&amp;ADDRESS(MATCH(B2108&amp;"PT",'LM7 Non-ENG'!$A$1:$A$5000,0),1,,,"LM7 Non-ENG"),IF(IFERROR(VLOOKUP(B2108&amp;"PT",'LM7 Non-ENG'!$A$1:$A$5000,1,FALSE),"ERROR")=B2108&amp;"PT","Y","")),"")</f>
        <v/>
      </c>
      <c r="I2108" t="str">
        <f>IFERROR(VLOOKUP(B2108,PN!$A:$C,3,FALSE),"")</f>
        <v>Active</v>
      </c>
      <c r="J2108" s="3">
        <f>IFERROR(E2108*VLOOKUP(B2108,PLInter!$A:$D,3,FALSE),"")</f>
        <v>240</v>
      </c>
      <c r="K2108" s="66"/>
      <c r="L2108" s="66"/>
      <c r="M2108" s="66"/>
      <c r="N2108" s="66"/>
      <c r="O2108" s="66"/>
      <c r="P2108" s="66"/>
      <c r="Q2108" s="66"/>
      <c r="R2108" s="66"/>
      <c r="S2108" s="66"/>
    </row>
    <row r="2109" spans="1:19" ht="18" customHeight="1">
      <c r="B2109" t="s">
        <v>684</v>
      </c>
      <c r="C2109" t="s">
        <v>685</v>
      </c>
      <c r="D2109" s="4"/>
      <c r="E2109" s="4">
        <v>2</v>
      </c>
      <c r="F2109" s="4"/>
      <c r="G2109" s="29" t="str">
        <f>IFERROR(HYPERLINK("#"&amp;ADDRESS(MATCH(B2109&amp;"ES",'LM7 Non-ENG'!$A$1:$A$5000,0),1,,,"LM7 Non-ENG"),IF(IFERROR(VLOOKUP(B2109&amp;"ES",'LM7 Non-ENG'!$A$1:$A$4999,1,FALSE),"ERROR")=B2109&amp;"ES","Y","")),"")</f>
        <v/>
      </c>
      <c r="H2109" s="29" t="str">
        <f>IFERROR(HYPERLINK("#"&amp;ADDRESS(MATCH(B2109&amp;"PT",'LM7 Non-ENG'!$A$1:$A$5000,0),1,,,"LM7 Non-ENG"),IF(IFERROR(VLOOKUP(B2109&amp;"PT",'LM7 Non-ENG'!$A$1:$A$5000,1,FALSE),"ERROR")=B2109&amp;"PT","Y","")),"")</f>
        <v/>
      </c>
      <c r="I2109" t="str">
        <f>IFERROR(VLOOKUP(B2109,PN!$A:$C,3,FALSE),"")</f>
        <v>Active</v>
      </c>
      <c r="J2109" s="3">
        <f>IFERROR(E2109*VLOOKUP(B2109,PLInter!$A:$D,3,FALSE),"")</f>
        <v>1160</v>
      </c>
      <c r="K2109" s="66"/>
      <c r="L2109" s="66"/>
      <c r="M2109" s="66"/>
      <c r="N2109" s="66"/>
      <c r="O2109" s="66"/>
      <c r="P2109" s="66"/>
      <c r="Q2109" s="66"/>
      <c r="R2109" s="66"/>
      <c r="S2109" s="66"/>
    </row>
    <row r="2110" spans="1:19" ht="18" customHeight="1">
      <c r="B2110" t="str">
        <f>"021177"</f>
        <v>021177</v>
      </c>
      <c r="C2110" t="s">
        <v>959</v>
      </c>
      <c r="D2110" s="4"/>
      <c r="E2110" s="4">
        <v>2</v>
      </c>
      <c r="F2110" s="4"/>
      <c r="G2110" s="29" t="str">
        <f>IFERROR(HYPERLINK("#"&amp;ADDRESS(MATCH(B2110&amp;"ES",'LM7 Non-ENG'!$A$1:$A$5000,0),1,,,"LM7 Non-ENG"),IF(IFERROR(VLOOKUP(B2110&amp;"ES",'LM7 Non-ENG'!$A$1:$A$4999,1,FALSE),"ERROR")=B2110&amp;"ES","Y","")),"")</f>
        <v/>
      </c>
      <c r="H2110" s="29" t="str">
        <f>IFERROR(HYPERLINK("#"&amp;ADDRESS(MATCH(B2110&amp;"PT",'LM7 Non-ENG'!$A$1:$A$5000,0),1,,,"LM7 Non-ENG"),IF(IFERROR(VLOOKUP(B2110&amp;"PT",'LM7 Non-ENG'!$A$1:$A$5000,1,FALSE),"ERROR")=B2110&amp;"PT","Y","")),"")</f>
        <v/>
      </c>
      <c r="I2110" t="str">
        <f>IFERROR(VLOOKUP(B2110,PN!$A:$C,3,FALSE),"")</f>
        <v>Active</v>
      </c>
      <c r="J2110" s="3">
        <f>IFERROR(E2110*VLOOKUP(B2110,PLInter!$A:$D,3,FALSE),"")</f>
        <v>60</v>
      </c>
      <c r="K2110" s="66"/>
      <c r="L2110" s="66"/>
      <c r="M2110" s="66"/>
      <c r="N2110" s="66"/>
      <c r="O2110" s="66"/>
      <c r="P2110" s="66"/>
      <c r="Q2110" s="66"/>
      <c r="R2110" s="66"/>
      <c r="S2110" s="66"/>
    </row>
    <row r="2111" spans="1:19" ht="18" customHeight="1">
      <c r="B2111" t="s">
        <v>977</v>
      </c>
      <c r="C2111" t="s">
        <v>978</v>
      </c>
      <c r="D2111" s="4"/>
      <c r="E2111" s="4">
        <v>1</v>
      </c>
      <c r="F2111" s="4"/>
      <c r="G2111" s="29" t="str">
        <f>IFERROR(HYPERLINK("#"&amp;ADDRESS(MATCH(B2111&amp;"ES",'LM7 Non-ENG'!$A$1:$A$5000,0),1,,,"LM7 Non-ENG"),IF(IFERROR(VLOOKUP(B2111&amp;"ES",'LM7 Non-ENG'!$A$1:$A$4999,1,FALSE),"ERROR")=B2111&amp;"ES","Y","")),"")</f>
        <v/>
      </c>
      <c r="H2111" s="29" t="str">
        <f>IFERROR(HYPERLINK("#"&amp;ADDRESS(MATCH(B2111&amp;"PT",'LM7 Non-ENG'!$A$1:$A$5000,0),1,,,"LM7 Non-ENG"),IF(IFERROR(VLOOKUP(B2111&amp;"PT",'LM7 Non-ENG'!$A$1:$A$5000,1,FALSE),"ERROR")=B2111&amp;"PT","Y","")),"")</f>
        <v/>
      </c>
      <c r="I2111" t="str">
        <f>IFERROR(VLOOKUP(B2111,PN!$A:$C,3,FALSE),"")</f>
        <v>Active</v>
      </c>
      <c r="J2111" s="3">
        <f>IFERROR(E2111*VLOOKUP(B2111,PLInter!$A:$D,3,FALSE),"")</f>
        <v>3885</v>
      </c>
      <c r="K2111" s="66"/>
      <c r="L2111" s="66"/>
      <c r="M2111" s="66"/>
      <c r="N2111" s="66"/>
      <c r="O2111" s="66"/>
      <c r="P2111" s="66"/>
      <c r="Q2111" s="66"/>
      <c r="R2111" s="66"/>
      <c r="S2111" s="66"/>
    </row>
    <row r="2112" spans="1:19" ht="18" customHeight="1">
      <c r="B2112" t="str">
        <f>"113096"</f>
        <v>113096</v>
      </c>
      <c r="C2112" t="s">
        <v>1011</v>
      </c>
      <c r="D2112" s="4"/>
      <c r="E2112" s="4">
        <v>3</v>
      </c>
      <c r="F2112" s="4"/>
      <c r="G2112" s="29" t="str">
        <f>IFERROR(HYPERLINK("#"&amp;ADDRESS(MATCH(B2112&amp;"ES",'LM7 Non-ENG'!$A$1:$A$5000,0),1,,,"LM7 Non-ENG"),IF(IFERROR(VLOOKUP(B2112&amp;"ES",'LM7 Non-ENG'!$A$1:$A$4999,1,FALSE),"ERROR")=B2112&amp;"ES","Y","")),"")</f>
        <v/>
      </c>
      <c r="H2112" s="29" t="str">
        <f>IFERROR(HYPERLINK("#"&amp;ADDRESS(MATCH(B2112&amp;"PT",'LM7 Non-ENG'!$A$1:$A$5000,0),1,,,"LM7 Non-ENG"),IF(IFERROR(VLOOKUP(B2112&amp;"PT",'LM7 Non-ENG'!$A$1:$A$5000,1,FALSE),"ERROR")=B2112&amp;"PT","Y","")),"")</f>
        <v/>
      </c>
      <c r="I2112" t="str">
        <f>IFERROR(VLOOKUP(B2112,PN!$A:$C,3,FALSE),"")</f>
        <v>Active</v>
      </c>
      <c r="J2112" s="3">
        <f>IFERROR(E2112*VLOOKUP(B2112,PLInter!$A:$D,3,FALSE),"")</f>
        <v>162</v>
      </c>
      <c r="K2112" s="66"/>
      <c r="L2112" s="66"/>
      <c r="M2112" s="66"/>
      <c r="N2112" s="66"/>
      <c r="O2112" s="66"/>
      <c r="P2112" s="66"/>
      <c r="Q2112" s="66"/>
      <c r="R2112" s="66"/>
      <c r="S2112" s="66"/>
    </row>
    <row r="2113" spans="2:19" ht="18" customHeight="1">
      <c r="B2113" t="str">
        <f>"112713"</f>
        <v>112713</v>
      </c>
      <c r="C2113" t="s">
        <v>1012</v>
      </c>
      <c r="D2113" s="4"/>
      <c r="E2113" s="4">
        <v>3</v>
      </c>
      <c r="F2113" s="4"/>
      <c r="G2113" s="29" t="str">
        <f>IFERROR(HYPERLINK("#"&amp;ADDRESS(MATCH(B2113&amp;"ES",'LM7 Non-ENG'!$A$1:$A$5000,0),1,,,"LM7 Non-ENG"),IF(IFERROR(VLOOKUP(B2113&amp;"ES",'LM7 Non-ENG'!$A$1:$A$4999,1,FALSE),"ERROR")=B2113&amp;"ES","Y","")),"")</f>
        <v/>
      </c>
      <c r="H2113" s="29" t="str">
        <f>IFERROR(HYPERLINK("#"&amp;ADDRESS(MATCH(B2113&amp;"PT",'LM7 Non-ENG'!$A$1:$A$5000,0),1,,,"LM7 Non-ENG"),IF(IFERROR(VLOOKUP(B2113&amp;"PT",'LM7 Non-ENG'!$A$1:$A$5000,1,FALSE),"ERROR")=B2113&amp;"PT","Y","")),"")</f>
        <v/>
      </c>
      <c r="I2113" t="str">
        <f>IFERROR(VLOOKUP(B2113,PN!$A:$C,3,FALSE),"")</f>
        <v>Active</v>
      </c>
      <c r="J2113" s="3">
        <f>IFERROR(E2113*VLOOKUP(B2113,PLInter!$A:$D,3,FALSE),"")</f>
        <v>300</v>
      </c>
      <c r="K2113" s="66"/>
      <c r="L2113" s="66"/>
      <c r="M2113" s="66"/>
      <c r="N2113" s="66"/>
      <c r="O2113" s="66"/>
      <c r="P2113" s="66"/>
      <c r="Q2113" s="66"/>
      <c r="R2113" s="66"/>
      <c r="S2113" s="66"/>
    </row>
    <row r="2114" spans="2:19" ht="18" customHeight="1">
      <c r="B2114" t="str">
        <f>"113316"</f>
        <v>113316</v>
      </c>
      <c r="C2114" t="s">
        <v>979</v>
      </c>
      <c r="D2114" s="4"/>
      <c r="E2114" s="4">
        <v>1</v>
      </c>
      <c r="F2114" s="4"/>
      <c r="G2114" s="29" t="str">
        <f>IFERROR(HYPERLINK("#"&amp;ADDRESS(MATCH(B2114&amp;"ES",'LM7 Non-ENG'!$A$1:$A$5000,0),1,,,"LM7 Non-ENG"),IF(IFERROR(VLOOKUP(B2114&amp;"ES",'LM7 Non-ENG'!$A$1:$A$4999,1,FALSE),"ERROR")=B2114&amp;"ES","Y","")),"")</f>
        <v/>
      </c>
      <c r="H2114" s="29" t="str">
        <f>IFERROR(HYPERLINK("#"&amp;ADDRESS(MATCH(B2114&amp;"PT",'LM7 Non-ENG'!$A$1:$A$5000,0),1,,,"LM7 Non-ENG"),IF(IFERROR(VLOOKUP(B2114&amp;"PT",'LM7 Non-ENG'!$A$1:$A$5000,1,FALSE),"ERROR")=B2114&amp;"PT","Y","")),"")</f>
        <v/>
      </c>
      <c r="I2114" t="str">
        <f>IFERROR(VLOOKUP(B2114,PN!$A:$C,3,FALSE),"")</f>
        <v>Active</v>
      </c>
      <c r="J2114" s="3">
        <f>IFERROR(E2114*VLOOKUP(B2114,PLInter!$A:$D,3,FALSE),"")</f>
        <v>20</v>
      </c>
      <c r="K2114" s="66"/>
      <c r="L2114" s="66"/>
      <c r="M2114" s="66"/>
      <c r="N2114" s="66"/>
      <c r="O2114" s="66"/>
      <c r="P2114" s="66"/>
      <c r="Q2114" s="66"/>
      <c r="R2114" s="66"/>
      <c r="S2114" s="66"/>
    </row>
    <row r="2115" spans="2:19" ht="18" customHeight="1">
      <c r="B2115" t="s">
        <v>902</v>
      </c>
      <c r="C2115" t="s">
        <v>903</v>
      </c>
      <c r="D2115" s="4"/>
      <c r="E2115" s="4">
        <v>1</v>
      </c>
      <c r="F2115" s="4"/>
      <c r="G2115" s="29" t="str">
        <f>IFERROR(HYPERLINK("#"&amp;ADDRESS(MATCH(B2115&amp;"ES",'LM7 Non-ENG'!$A$1:$A$5000,0),1,,,"LM7 Non-ENG"),IF(IFERROR(VLOOKUP(B2115&amp;"ES",'LM7 Non-ENG'!$A$1:$A$4999,1,FALSE),"ERROR")=B2115&amp;"ES","Y","")),"")</f>
        <v/>
      </c>
      <c r="H2115" s="29" t="str">
        <f>IFERROR(HYPERLINK("#"&amp;ADDRESS(MATCH(B2115&amp;"PT",'LM7 Non-ENG'!$A$1:$A$5000,0),1,,,"LM7 Non-ENG"),IF(IFERROR(VLOOKUP(B2115&amp;"PT",'LM7 Non-ENG'!$A$1:$A$5000,1,FALSE),"ERROR")=B2115&amp;"PT","Y","")),"")</f>
        <v/>
      </c>
      <c r="I2115" t="str">
        <f>IFERROR(VLOOKUP(B2115,PN!$A:$C,3,FALSE),"")</f>
        <v>Active</v>
      </c>
      <c r="J2115" s="3">
        <f>IFERROR(E2115*VLOOKUP(B2115,PLInter!$A:$D,3,FALSE),"")</f>
        <v>2000</v>
      </c>
      <c r="K2115" s="66"/>
      <c r="L2115" s="66"/>
      <c r="M2115" s="66"/>
      <c r="N2115" s="66"/>
      <c r="O2115" s="66"/>
      <c r="P2115" s="66"/>
      <c r="Q2115" s="66"/>
      <c r="R2115" s="66"/>
      <c r="S2115" s="66"/>
    </row>
    <row r="2116" spans="2:19" ht="18" customHeight="1">
      <c r="B2116" t="s">
        <v>644</v>
      </c>
      <c r="C2116" t="s">
        <v>645</v>
      </c>
      <c r="D2116" s="4"/>
      <c r="E2116" s="4">
        <v>1</v>
      </c>
      <c r="F2116" s="4"/>
      <c r="G2116" s="29" t="str">
        <f>IFERROR(HYPERLINK("#"&amp;ADDRESS(MATCH(B2116&amp;"ES",'LM7 Non-ENG'!$A$1:$A$5000,0),1,,,"LM7 Non-ENG"),IF(IFERROR(VLOOKUP(B2116&amp;"ES",'LM7 Non-ENG'!$A$1:$A$4999,1,FALSE),"ERROR")=B2116&amp;"ES","Y","")),"")</f>
        <v/>
      </c>
      <c r="H2116" s="29" t="str">
        <f>IFERROR(HYPERLINK("#"&amp;ADDRESS(MATCH(B2116&amp;"PT",'LM7 Non-ENG'!$A$1:$A$5000,0),1,,,"LM7 Non-ENG"),IF(IFERROR(VLOOKUP(B2116&amp;"PT",'LM7 Non-ENG'!$A$1:$A$5000,1,FALSE),"ERROR")=B2116&amp;"PT","Y","")),"")</f>
        <v/>
      </c>
      <c r="I2116" t="str">
        <f>IFERROR(VLOOKUP(B2116,PN!$A:$C,3,FALSE),"")</f>
        <v>Active</v>
      </c>
      <c r="J2116" s="3">
        <f>IFERROR(E2116*VLOOKUP(B2116,PLInter!$A:$D,3,FALSE),"")</f>
        <v>1800</v>
      </c>
      <c r="K2116" s="66"/>
      <c r="L2116" s="66"/>
      <c r="M2116" s="66"/>
      <c r="N2116" s="66"/>
      <c r="O2116" s="66"/>
      <c r="P2116" s="66"/>
      <c r="Q2116" s="66"/>
      <c r="R2116" s="66"/>
      <c r="S2116" s="66"/>
    </row>
    <row r="2117" spans="2:19" ht="18" customHeight="1">
      <c r="B2117" t="s">
        <v>1080</v>
      </c>
      <c r="C2117" t="s">
        <v>1081</v>
      </c>
      <c r="D2117" s="4"/>
      <c r="E2117" s="4">
        <v>1</v>
      </c>
      <c r="F2117" s="4"/>
      <c r="G2117" s="29" t="str">
        <f>IFERROR(HYPERLINK("#"&amp;ADDRESS(MATCH(B2117&amp;"ES",'LM7 Non-ENG'!$A$1:$A$5000,0),1,,,"LM7 Non-ENG"),IF(IFERROR(VLOOKUP(B2117&amp;"ES",'LM7 Non-ENG'!$A$1:$A$4999,1,FALSE),"ERROR")=B2117&amp;"ES","Y","")),"")</f>
        <v/>
      </c>
      <c r="H2117" s="29" t="str">
        <f>IFERROR(HYPERLINK("#"&amp;ADDRESS(MATCH(B2117&amp;"PT",'LM7 Non-ENG'!$A$1:$A$5000,0),1,,,"LM7 Non-ENG"),IF(IFERROR(VLOOKUP(B2117&amp;"PT",'LM7 Non-ENG'!$A$1:$A$5000,1,FALSE),"ERROR")=B2117&amp;"PT","Y","")),"")</f>
        <v/>
      </c>
      <c r="I2117" t="str">
        <f>IFERROR(VLOOKUP(B2117,PN!$A:$C,3,FALSE),"")</f>
        <v>Active</v>
      </c>
      <c r="J2117" s="3">
        <f>IFERROR(E2117*VLOOKUP(B2117,PLInter!$A:$D,3,FALSE),"")</f>
        <v>70667</v>
      </c>
      <c r="K2117" s="66"/>
      <c r="L2117" s="66"/>
      <c r="M2117" s="66"/>
      <c r="N2117" s="66"/>
      <c r="O2117" s="66"/>
      <c r="P2117" s="66"/>
      <c r="Q2117" s="66"/>
      <c r="R2117" s="66"/>
      <c r="S2117" s="66"/>
    </row>
    <row r="2118" spans="2:19" ht="18" customHeight="1">
      <c r="B2118" t="s">
        <v>1082</v>
      </c>
      <c r="C2118" t="s">
        <v>1083</v>
      </c>
      <c r="D2118" s="4"/>
      <c r="E2118" s="4">
        <v>1</v>
      </c>
      <c r="F2118" s="4"/>
      <c r="G2118" s="29" t="str">
        <f>IFERROR(HYPERLINK("#"&amp;ADDRESS(MATCH(B2118&amp;"ES",'LM7 Non-ENG'!$A$1:$A$5000,0),1,,,"LM7 Non-ENG"),IF(IFERROR(VLOOKUP(B2118&amp;"ES",'LM7 Non-ENG'!$A$1:$A$4999,1,FALSE),"ERROR")=B2118&amp;"ES","Y","")),"")</f>
        <v/>
      </c>
      <c r="H2118" s="29" t="str">
        <f>IFERROR(HYPERLINK("#"&amp;ADDRESS(MATCH(B2118&amp;"PT",'LM7 Non-ENG'!$A$1:$A$5000,0),1,,,"LM7 Non-ENG"),IF(IFERROR(VLOOKUP(B2118&amp;"PT",'LM7 Non-ENG'!$A$1:$A$5000,1,FALSE),"ERROR")=B2118&amp;"PT","Y","")),"")</f>
        <v/>
      </c>
      <c r="I2118" t="str">
        <f>IFERROR(VLOOKUP(B2118,PN!$A:$C,3,FALSE),"")</f>
        <v>Active</v>
      </c>
      <c r="J2118" s="3">
        <f>IFERROR(E2118*VLOOKUP(B2118,PLInter!$A:$D,3,FALSE),"")</f>
        <v>700</v>
      </c>
      <c r="K2118" s="66"/>
      <c r="L2118" s="66"/>
      <c r="M2118" s="66"/>
      <c r="N2118" s="66"/>
      <c r="O2118" s="66"/>
      <c r="P2118" s="66"/>
      <c r="Q2118" s="66"/>
      <c r="R2118" s="66"/>
      <c r="S2118" s="66"/>
    </row>
    <row r="2119" spans="2:19" ht="18" customHeight="1">
      <c r="B2119" t="s">
        <v>1084</v>
      </c>
      <c r="C2119" t="s">
        <v>1085</v>
      </c>
      <c r="D2119" s="4"/>
      <c r="E2119" s="4">
        <v>1</v>
      </c>
      <c r="F2119" s="4"/>
      <c r="G2119" s="29" t="str">
        <f>IFERROR(HYPERLINK("#"&amp;ADDRESS(MATCH(B2119&amp;"ES",'LM7 Non-ENG'!$A$1:$A$5000,0),1,,,"LM7 Non-ENG"),IF(IFERROR(VLOOKUP(B2119&amp;"ES",'LM7 Non-ENG'!$A$1:$A$4999,1,FALSE),"ERROR")=B2119&amp;"ES","Y","")),"")</f>
        <v/>
      </c>
      <c r="H2119" s="29" t="str">
        <f>IFERROR(HYPERLINK("#"&amp;ADDRESS(MATCH(B2119&amp;"PT",'LM7 Non-ENG'!$A$1:$A$5000,0),1,,,"LM7 Non-ENG"),IF(IFERROR(VLOOKUP(B2119&amp;"PT",'LM7 Non-ENG'!$A$1:$A$5000,1,FALSE),"ERROR")=B2119&amp;"PT","Y","")),"")</f>
        <v/>
      </c>
      <c r="I2119" t="str">
        <f>IFERROR(VLOOKUP(B2119,PN!$A:$C,3,FALSE),"")</f>
        <v>Active</v>
      </c>
      <c r="J2119" s="3">
        <f>IFERROR(E2119*VLOOKUP(B2119,PLInter!$A:$D,3,FALSE),"")</f>
        <v>700</v>
      </c>
      <c r="K2119" s="66"/>
      <c r="L2119" s="66"/>
      <c r="M2119" s="66"/>
      <c r="N2119" s="66"/>
      <c r="O2119" s="66"/>
      <c r="P2119" s="66"/>
      <c r="Q2119" s="66"/>
      <c r="R2119" s="66"/>
      <c r="S2119" s="66"/>
    </row>
    <row r="2120" spans="2:19" ht="18" customHeight="1">
      <c r="B2120" t="s">
        <v>1086</v>
      </c>
      <c r="C2120" t="s">
        <v>1087</v>
      </c>
      <c r="D2120" s="4"/>
      <c r="E2120" s="4">
        <v>1</v>
      </c>
      <c r="F2120" s="4"/>
      <c r="G2120" s="29" t="str">
        <f>IFERROR(HYPERLINK("#"&amp;ADDRESS(MATCH(B2120&amp;"ES",'LM7 Non-ENG'!$A$1:$A$5000,0),1,,,"LM7 Non-ENG"),IF(IFERROR(VLOOKUP(B2120&amp;"ES",'LM7 Non-ENG'!$A$1:$A$4999,1,FALSE),"ERROR")=B2120&amp;"ES","Y","")),"")</f>
        <v/>
      </c>
      <c r="H2120" s="29" t="str">
        <f>IFERROR(HYPERLINK("#"&amp;ADDRESS(MATCH(B2120&amp;"PT",'LM7 Non-ENG'!$A$1:$A$5000,0),1,,,"LM7 Non-ENG"),IF(IFERROR(VLOOKUP(B2120&amp;"PT",'LM7 Non-ENG'!$A$1:$A$5000,1,FALSE),"ERROR")=B2120&amp;"PT","Y","")),"")</f>
        <v/>
      </c>
      <c r="I2120" t="str">
        <f>IFERROR(VLOOKUP(B2120,PN!$A:$C,3,FALSE),"")</f>
        <v>Active</v>
      </c>
      <c r="J2120" s="3">
        <f>IFERROR(E2120*VLOOKUP(B2120,PLInter!$A:$D,3,FALSE),"")</f>
        <v>700</v>
      </c>
      <c r="K2120" s="66"/>
      <c r="L2120" s="66"/>
      <c r="M2120" s="66"/>
      <c r="N2120" s="66"/>
      <c r="O2120" s="66"/>
      <c r="P2120" s="66"/>
      <c r="Q2120" s="66"/>
      <c r="R2120" s="66"/>
      <c r="S2120" s="66"/>
    </row>
    <row r="2121" spans="2:19" ht="18" customHeight="1">
      <c r="B2121" t="s">
        <v>1088</v>
      </c>
      <c r="C2121" t="s">
        <v>1089</v>
      </c>
      <c r="D2121" s="4"/>
      <c r="E2121" s="4">
        <v>1</v>
      </c>
      <c r="F2121" s="4"/>
      <c r="G2121" s="29" t="str">
        <f>IFERROR(HYPERLINK("#"&amp;ADDRESS(MATCH(B2121&amp;"ES",'LM7 Non-ENG'!$A$1:$A$5000,0),1,,,"LM7 Non-ENG"),IF(IFERROR(VLOOKUP(B2121&amp;"ES",'LM7 Non-ENG'!$A$1:$A$4999,1,FALSE),"ERROR")=B2121&amp;"ES","Y","")),"")</f>
        <v/>
      </c>
      <c r="H2121" s="29" t="str">
        <f>IFERROR(HYPERLINK("#"&amp;ADDRESS(MATCH(B2121&amp;"PT",'LM7 Non-ENG'!$A$1:$A$5000,0),1,,,"LM7 Non-ENG"),IF(IFERROR(VLOOKUP(B2121&amp;"PT",'LM7 Non-ENG'!$A$1:$A$5000,1,FALSE),"ERROR")=B2121&amp;"PT","Y","")),"")</f>
        <v/>
      </c>
      <c r="I2121" t="str">
        <f>IFERROR(VLOOKUP(B2121,PN!$A:$C,3,FALSE),"")</f>
        <v>Active</v>
      </c>
      <c r="J2121" s="3">
        <f>IFERROR(E2121*VLOOKUP(B2121,PLInter!$A:$D,3,FALSE),"")</f>
        <v>700</v>
      </c>
      <c r="K2121" s="66"/>
      <c r="L2121" s="66"/>
      <c r="M2121" s="66"/>
      <c r="N2121" s="66"/>
      <c r="O2121" s="66"/>
      <c r="P2121" s="66"/>
      <c r="Q2121" s="66"/>
      <c r="R2121" s="66"/>
      <c r="S2121" s="66"/>
    </row>
    <row r="2122" spans="2:19" ht="18" customHeight="1">
      <c r="B2122" t="s">
        <v>1090</v>
      </c>
      <c r="C2122" t="s">
        <v>1091</v>
      </c>
      <c r="D2122" s="4"/>
      <c r="E2122" s="4">
        <v>1</v>
      </c>
      <c r="F2122" s="4"/>
      <c r="G2122" s="29" t="str">
        <f>IFERROR(HYPERLINK("#"&amp;ADDRESS(MATCH(B2122&amp;"ES",'LM7 Non-ENG'!$A$1:$A$5000,0),1,,,"LM7 Non-ENG"),IF(IFERROR(VLOOKUP(B2122&amp;"ES",'LM7 Non-ENG'!$A$1:$A$4999,1,FALSE),"ERROR")=B2122&amp;"ES","Y","")),"")</f>
        <v/>
      </c>
      <c r="H2122" s="29" t="str">
        <f>IFERROR(HYPERLINK("#"&amp;ADDRESS(MATCH(B2122&amp;"PT",'LM7 Non-ENG'!$A$1:$A$5000,0),1,,,"LM7 Non-ENG"),IF(IFERROR(VLOOKUP(B2122&amp;"PT",'LM7 Non-ENG'!$A$1:$A$5000,1,FALSE),"ERROR")=B2122&amp;"PT","Y","")),"")</f>
        <v/>
      </c>
      <c r="I2122" t="str">
        <f>IFERROR(VLOOKUP(B2122,PN!$A:$C,3,FALSE),"")</f>
        <v>Active</v>
      </c>
      <c r="J2122" s="3">
        <f>IFERROR(E2122*VLOOKUP(B2122,PLInter!$A:$D,3,FALSE),"")</f>
        <v>700</v>
      </c>
      <c r="K2122" s="66"/>
      <c r="L2122" s="66"/>
      <c r="M2122" s="66"/>
      <c r="N2122" s="66"/>
      <c r="O2122" s="66"/>
      <c r="P2122" s="66"/>
      <c r="Q2122" s="66"/>
      <c r="R2122" s="66"/>
      <c r="S2122" s="66"/>
    </row>
    <row r="2123" spans="2:19" ht="18" customHeight="1">
      <c r="B2123" t="s">
        <v>1092</v>
      </c>
      <c r="C2123" t="s">
        <v>1093</v>
      </c>
      <c r="D2123" s="4"/>
      <c r="E2123" s="4">
        <v>1</v>
      </c>
      <c r="F2123" s="4"/>
      <c r="G2123" s="29" t="str">
        <f>IFERROR(HYPERLINK("#"&amp;ADDRESS(MATCH(B2123&amp;"ES",'LM7 Non-ENG'!$A$1:$A$5000,0),1,,,"LM7 Non-ENG"),IF(IFERROR(VLOOKUP(B2123&amp;"ES",'LM7 Non-ENG'!$A$1:$A$4999,1,FALSE),"ERROR")=B2123&amp;"ES","Y","")),"")</f>
        <v/>
      </c>
      <c r="H2123" s="29" t="str">
        <f>IFERROR(HYPERLINK("#"&amp;ADDRESS(MATCH(B2123&amp;"PT",'LM7 Non-ENG'!$A$1:$A$5000,0),1,,,"LM7 Non-ENG"),IF(IFERROR(VLOOKUP(B2123&amp;"PT",'LM7 Non-ENG'!$A$1:$A$5000,1,FALSE),"ERROR")=B2123&amp;"PT","Y","")),"")</f>
        <v/>
      </c>
      <c r="I2123" t="str">
        <f>IFERROR(VLOOKUP(B2123,PN!$A:$C,3,FALSE),"")</f>
        <v>Active</v>
      </c>
      <c r="J2123" s="3">
        <f>IFERROR(E2123*VLOOKUP(B2123,PLInter!$A:$D,3,FALSE),"")</f>
        <v>700</v>
      </c>
      <c r="K2123" s="66"/>
      <c r="L2123" s="66"/>
      <c r="M2123" s="66"/>
      <c r="N2123" s="66"/>
      <c r="O2123" s="66"/>
      <c r="P2123" s="66"/>
      <c r="Q2123" s="66"/>
      <c r="R2123" s="66"/>
      <c r="S2123" s="66"/>
    </row>
    <row r="2124" spans="2:19" ht="18" customHeight="1">
      <c r="B2124" t="s">
        <v>1094</v>
      </c>
      <c r="C2124" t="s">
        <v>1095</v>
      </c>
      <c r="D2124" s="4"/>
      <c r="E2124" s="4">
        <v>1</v>
      </c>
      <c r="F2124" s="4"/>
      <c r="G2124" s="29" t="str">
        <f>IFERROR(HYPERLINK("#"&amp;ADDRESS(MATCH(B2124&amp;"ES",'LM7 Non-ENG'!$A$1:$A$5000,0),1,,,"LM7 Non-ENG"),IF(IFERROR(VLOOKUP(B2124&amp;"ES",'LM7 Non-ENG'!$A$1:$A$4999,1,FALSE),"ERROR")=B2124&amp;"ES","Y","")),"")</f>
        <v/>
      </c>
      <c r="H2124" s="29" t="str">
        <f>IFERROR(HYPERLINK("#"&amp;ADDRESS(MATCH(B2124&amp;"PT",'LM7 Non-ENG'!$A$1:$A$5000,0),1,,,"LM7 Non-ENG"),IF(IFERROR(VLOOKUP(B2124&amp;"PT",'LM7 Non-ENG'!$A$1:$A$5000,1,FALSE),"ERROR")=B2124&amp;"PT","Y","")),"")</f>
        <v/>
      </c>
      <c r="I2124" t="str">
        <f>IFERROR(VLOOKUP(B2124,PN!$A:$C,3,FALSE),"")</f>
        <v>Active</v>
      </c>
      <c r="J2124" s="3">
        <f>IFERROR(E2124*VLOOKUP(B2124,PLInter!$A:$D,3,FALSE),"")</f>
        <v>700</v>
      </c>
      <c r="K2124" s="66"/>
      <c r="L2124" s="66"/>
      <c r="M2124" s="66"/>
      <c r="N2124" s="66"/>
      <c r="O2124" s="66"/>
      <c r="P2124" s="66"/>
      <c r="Q2124" s="66"/>
      <c r="R2124" s="66"/>
      <c r="S2124" s="66"/>
    </row>
    <row r="2125" spans="2:19" ht="18" customHeight="1">
      <c r="B2125" t="s">
        <v>1096</v>
      </c>
      <c r="C2125" t="s">
        <v>1097</v>
      </c>
      <c r="D2125" s="4"/>
      <c r="E2125" s="4">
        <v>1</v>
      </c>
      <c r="F2125" s="4"/>
      <c r="G2125" s="29" t="str">
        <f>IFERROR(HYPERLINK("#"&amp;ADDRESS(MATCH(B2125&amp;"ES",'LM7 Non-ENG'!$A$1:$A$5000,0),1,,,"LM7 Non-ENG"),IF(IFERROR(VLOOKUP(B2125&amp;"ES",'LM7 Non-ENG'!$A$1:$A$4999,1,FALSE),"ERROR")=B2125&amp;"ES","Y","")),"")</f>
        <v/>
      </c>
      <c r="H2125" s="29" t="str">
        <f>IFERROR(HYPERLINK("#"&amp;ADDRESS(MATCH(B2125&amp;"PT",'LM7 Non-ENG'!$A$1:$A$5000,0),1,,,"LM7 Non-ENG"),IF(IFERROR(VLOOKUP(B2125&amp;"PT",'LM7 Non-ENG'!$A$1:$A$5000,1,FALSE),"ERROR")=B2125&amp;"PT","Y","")),"")</f>
        <v/>
      </c>
      <c r="I2125" t="str">
        <f>IFERROR(VLOOKUP(B2125,PN!$A:$C,3,FALSE),"")</f>
        <v>Active</v>
      </c>
      <c r="J2125" s="3">
        <f>IFERROR(E2125*VLOOKUP(B2125,PLInter!$A:$D,3,FALSE),"")</f>
        <v>0</v>
      </c>
      <c r="K2125" s="66"/>
      <c r="L2125" s="66"/>
      <c r="M2125" s="66"/>
      <c r="N2125" s="66"/>
      <c r="O2125" s="66"/>
      <c r="P2125" s="66"/>
      <c r="Q2125" s="66"/>
      <c r="R2125" s="66"/>
      <c r="S2125" s="66"/>
    </row>
    <row r="2126" spans="2:19" ht="18" customHeight="1">
      <c r="B2126" t="s">
        <v>630</v>
      </c>
      <c r="C2126" t="s">
        <v>631</v>
      </c>
      <c r="D2126" s="4"/>
      <c r="E2126" s="4">
        <v>1</v>
      </c>
      <c r="F2126" s="4"/>
      <c r="G2126" s="29" t="str">
        <f>IFERROR(HYPERLINK("#"&amp;ADDRESS(MATCH(B2126&amp;"ES",'LM7 Non-ENG'!$A$1:$A$5000,0),1,,,"LM7 Non-ENG"),IF(IFERROR(VLOOKUP(B2126&amp;"ES",'LM7 Non-ENG'!$A$1:$A$4999,1,FALSE),"ERROR")=B2126&amp;"ES","Y","")),"")</f>
        <v/>
      </c>
      <c r="H2126" s="29" t="str">
        <f>IFERROR(HYPERLINK("#"&amp;ADDRESS(MATCH(B2126&amp;"PT",'LM7 Non-ENG'!$A$1:$A$5000,0),1,,,"LM7 Non-ENG"),IF(IFERROR(VLOOKUP(B2126&amp;"PT",'LM7 Non-ENG'!$A$1:$A$5000,1,FALSE),"ERROR")=B2126&amp;"PT","Y","")),"")</f>
        <v/>
      </c>
      <c r="I2126" t="str">
        <f>IFERROR(VLOOKUP(B2126,PN!$A:$C,3,FALSE),"")</f>
        <v>Active</v>
      </c>
      <c r="J2126" s="3">
        <f>IFERROR(E2126*VLOOKUP(B2126,PLInter!$A:$D,3,FALSE),"")</f>
        <v>1735</v>
      </c>
      <c r="K2126" s="66"/>
      <c r="L2126" s="66"/>
      <c r="M2126" s="66"/>
      <c r="N2126" s="66"/>
      <c r="O2126" s="66"/>
      <c r="P2126" s="66"/>
      <c r="Q2126" s="66"/>
      <c r="R2126" s="66"/>
      <c r="S2126" s="66"/>
    </row>
    <row r="2127" spans="2:19" ht="18" customHeight="1">
      <c r="B2127" t="s">
        <v>1098</v>
      </c>
      <c r="C2127" t="s">
        <v>1099</v>
      </c>
      <c r="D2127" s="4"/>
      <c r="E2127" s="4">
        <v>10</v>
      </c>
      <c r="F2127" s="4"/>
      <c r="G2127" s="29" t="str">
        <f>IFERROR(HYPERLINK("#"&amp;ADDRESS(MATCH(B2127&amp;"ES",'LM7 Non-ENG'!$A$1:$A$5000,0),1,,,"LM7 Non-ENG"),IF(IFERROR(VLOOKUP(B2127&amp;"ES",'LM7 Non-ENG'!$A$1:$A$4999,1,FALSE),"ERROR")=B2127&amp;"ES","Y","")),"")</f>
        <v/>
      </c>
      <c r="H2127" s="29" t="str">
        <f>IFERROR(HYPERLINK("#"&amp;ADDRESS(MATCH(B2127&amp;"PT",'LM7 Non-ENG'!$A$1:$A$5000,0),1,,,"LM7 Non-ENG"),IF(IFERROR(VLOOKUP(B2127&amp;"PT",'LM7 Non-ENG'!$A$1:$A$5000,1,FALSE),"ERROR")=B2127&amp;"PT","Y","")),"")</f>
        <v/>
      </c>
      <c r="I2127" t="str">
        <f>IFERROR(VLOOKUP(B2127,PN!$A:$C,3,FALSE),"")</f>
        <v>Active</v>
      </c>
      <c r="J2127" s="3">
        <f>IFERROR(E2127*VLOOKUP(B2127,PLInter!$A:$D,3,FALSE),"")</f>
        <v>16500</v>
      </c>
      <c r="K2127" s="66"/>
      <c r="L2127" s="66"/>
      <c r="M2127" s="66"/>
      <c r="N2127" s="66"/>
      <c r="O2127" s="66"/>
      <c r="P2127" s="66"/>
      <c r="Q2127" s="66"/>
      <c r="R2127" s="66"/>
      <c r="S2127" s="66"/>
    </row>
    <row r="2129" spans="1:19" s="7" customFormat="1" ht="18" customHeight="1">
      <c r="A2129" s="13" t="s">
        <v>1100</v>
      </c>
      <c r="B2129" s="13"/>
      <c r="C2129" s="13" t="s">
        <v>1101</v>
      </c>
      <c r="D2129" s="14"/>
      <c r="E2129" s="14"/>
      <c r="F2129" s="14"/>
      <c r="G2129" s="14"/>
      <c r="H2129" s="14"/>
      <c r="I2129" s="14"/>
      <c r="J2129" s="14">
        <f>SUMIFS(J2130:J2141,D2130:D2141,"&lt;&gt;Y",F2130:F2141,"&lt;&gt;Y",I2130:I2141,"&lt;&gt;Inactive",I2130:I2141,"&lt;&gt;ECO+NFS")</f>
        <v>39968</v>
      </c>
      <c r="K2129" s="14"/>
      <c r="L2129" s="14"/>
      <c r="M2129" s="14"/>
      <c r="N2129" s="14"/>
      <c r="O2129" s="14"/>
      <c r="P2129" s="14"/>
      <c r="Q2129" s="14"/>
      <c r="R2129" s="14"/>
      <c r="S2129" s="14"/>
    </row>
    <row r="2130" spans="1:19" ht="18" customHeight="1">
      <c r="A2130" s="17" t="str">
        <f>HYPERLINK("#"&amp;ADDRESS(MATCH(A2129,'CIM&amp;FMS'!$A$1:$A$4997,0),1,,,"CIM&amp;FMS"),"Back to Price List")</f>
        <v>Back to Price List</v>
      </c>
      <c r="B2130" t="s">
        <v>216</v>
      </c>
      <c r="C2130" t="s">
        <v>913</v>
      </c>
      <c r="D2130" s="4"/>
      <c r="E2130" s="4">
        <v>1</v>
      </c>
      <c r="F2130" s="4"/>
      <c r="G2130" s="29" t="str">
        <f>IFERROR(HYPERLINK("#"&amp;ADDRESS(MATCH(B2130&amp;"ES",'LM7 Non-ENG'!$A$1:$A$5000,0),1,,,"LM7 Non-ENG"),IF(IFERROR(VLOOKUP(B2130&amp;"ES",'LM7 Non-ENG'!$A$1:$A$4999,1,FALSE),"ERROR")=B2130&amp;"ES","Y","")),"")</f>
        <v/>
      </c>
      <c r="H2130" s="29" t="str">
        <f>IFERROR(HYPERLINK("#"&amp;ADDRESS(MATCH(B2130&amp;"PT",'LM7 Non-ENG'!$A$1:$A$5000,0),1,,,"LM7 Non-ENG"),IF(IFERROR(VLOOKUP(B2130&amp;"PT",'LM7 Non-ENG'!$A$1:$A$5000,1,FALSE),"ERROR")=B2130&amp;"PT","Y","")),"")</f>
        <v/>
      </c>
      <c r="I2130" t="str">
        <f>IFERROR(VLOOKUP(B2130,PN!$A:$C,3,FALSE),"")</f>
        <v>Active</v>
      </c>
      <c r="J2130" s="3">
        <f>IFERROR(E2130*VLOOKUP(B2130,PLInter!$A:$D,3,FALSE),"")</f>
        <v>26667</v>
      </c>
      <c r="K2130" s="66"/>
      <c r="L2130" s="66"/>
      <c r="M2130" s="66"/>
      <c r="N2130" s="66"/>
      <c r="O2130" s="66"/>
      <c r="P2130" s="66"/>
      <c r="Q2130" s="66"/>
      <c r="R2130" s="66"/>
      <c r="S2130" s="66"/>
    </row>
    <row r="2131" spans="1:19" ht="18" customHeight="1">
      <c r="B2131" t="s">
        <v>229</v>
      </c>
      <c r="C2131" t="s">
        <v>234</v>
      </c>
      <c r="D2131" s="4"/>
      <c r="E2131" s="4">
        <v>1</v>
      </c>
      <c r="F2131" s="4"/>
      <c r="G2131" s="29" t="str">
        <f>IFERROR(HYPERLINK("#"&amp;ADDRESS(MATCH(B2131&amp;"ES",'LM7 Non-ENG'!$A$1:$A$5000,0),1,,,"LM7 Non-ENG"),IF(IFERROR(VLOOKUP(B2131&amp;"ES",'LM7 Non-ENG'!$A$1:$A$4999,1,FALSE),"ERROR")=B2131&amp;"ES","Y","")),"")</f>
        <v/>
      </c>
      <c r="H2131" s="29" t="str">
        <f>IFERROR(HYPERLINK("#"&amp;ADDRESS(MATCH(B2131&amp;"PT",'LM7 Non-ENG'!$A$1:$A$5000,0),1,,,"LM7 Non-ENG"),IF(IFERROR(VLOOKUP(B2131&amp;"PT",'LM7 Non-ENG'!$A$1:$A$5000,1,FALSE),"ERROR")=B2131&amp;"PT","Y","")),"")</f>
        <v/>
      </c>
      <c r="I2131" t="str">
        <f>IFERROR(VLOOKUP(B2131,PN!$A:$C,3,FALSE),"")</f>
        <v>Active</v>
      </c>
      <c r="J2131" s="3">
        <f>IFERROR(E2131*VLOOKUP(B2131,PLInter!$A:$D,3,FALSE),"")</f>
        <v>3270</v>
      </c>
      <c r="K2131" s="66"/>
      <c r="L2131" s="66"/>
      <c r="M2131" s="66"/>
      <c r="N2131" s="66"/>
      <c r="O2131" s="66"/>
      <c r="P2131" s="66"/>
      <c r="Q2131" s="66"/>
      <c r="R2131" s="66"/>
      <c r="S2131" s="66"/>
    </row>
    <row r="2132" spans="1:19" ht="18" customHeight="1">
      <c r="B2132" s="2" t="s">
        <v>227</v>
      </c>
      <c r="C2132" s="2" t="s">
        <v>232</v>
      </c>
      <c r="D2132" s="5"/>
      <c r="E2132" s="5">
        <v>1</v>
      </c>
      <c r="F2132" s="5" t="s">
        <v>0</v>
      </c>
      <c r="G2132" s="29" t="str">
        <f>IFERROR(HYPERLINK("#"&amp;ADDRESS(MATCH(B2132&amp;"ES",'LM7 Non-ENG'!$A$1:$A$5000,0),1,,,"LM7 Non-ENG"),IF(IFERROR(VLOOKUP(B2132&amp;"ES",'LM7 Non-ENG'!$A$1:$A$4999,1,FALSE),"ERROR")=B2132&amp;"ES","Y","")),"")</f>
        <v/>
      </c>
      <c r="H2132" s="29" t="str">
        <f>IFERROR(HYPERLINK("#"&amp;ADDRESS(MATCH(B2132&amp;"PT",'LM7 Non-ENG'!$A$1:$A$5000,0),1,,,"LM7 Non-ENG"),IF(IFERROR(VLOOKUP(B2132&amp;"PT",'LM7 Non-ENG'!$A$1:$A$5000,1,FALSE),"ERROR")=B2132&amp;"PT","Y","")),"")</f>
        <v/>
      </c>
      <c r="I2132" t="str">
        <f>IFERROR(VLOOKUP(B2132,PN!$A:$C,3,FALSE),"")</f>
        <v>Active</v>
      </c>
      <c r="J2132" s="3">
        <f>IFERROR(E2132*VLOOKUP(B2132,PLInter!$A:$D,3,FALSE),"")</f>
        <v>1700</v>
      </c>
      <c r="K2132" s="66"/>
      <c r="L2132" s="66"/>
      <c r="M2132" s="66"/>
      <c r="N2132" s="66"/>
      <c r="O2132" s="66"/>
      <c r="P2132" s="66"/>
      <c r="Q2132" s="66"/>
      <c r="R2132" s="66"/>
      <c r="S2132" s="66"/>
    </row>
    <row r="2133" spans="1:19" ht="18" customHeight="1">
      <c r="B2133" t="s">
        <v>236</v>
      </c>
      <c r="C2133" t="s">
        <v>626</v>
      </c>
      <c r="D2133" s="4"/>
      <c r="E2133" s="4">
        <v>1</v>
      </c>
      <c r="F2133" s="4"/>
      <c r="G2133" s="29" t="str">
        <f>IFERROR(HYPERLINK("#"&amp;ADDRESS(MATCH(B2133&amp;"ES",'LM7 Non-ENG'!$A$1:$A$5000,0),1,,,"LM7 Non-ENG"),IF(IFERROR(VLOOKUP(B2133&amp;"ES",'LM7 Non-ENG'!$A$1:$A$4999,1,FALSE),"ERROR")=B2133&amp;"ES","Y","")),"")</f>
        <v/>
      </c>
      <c r="H2133" s="29" t="str">
        <f>IFERROR(HYPERLINK("#"&amp;ADDRESS(MATCH(B2133&amp;"PT",'LM7 Non-ENG'!$A$1:$A$5000,0),1,,,"LM7 Non-ENG"),IF(IFERROR(VLOOKUP(B2133&amp;"PT",'LM7 Non-ENG'!$A$1:$A$5000,1,FALSE),"ERROR")=B2133&amp;"PT","Y","")),"")</f>
        <v/>
      </c>
      <c r="I2133" t="str">
        <f>IFERROR(VLOOKUP(B2133,PN!$A:$C,3,FALSE),"")</f>
        <v>Active</v>
      </c>
      <c r="J2133" s="3">
        <f>IFERROR(E2133*VLOOKUP(B2133,PLInter!$A:$D,3,FALSE),"")</f>
        <v>1680</v>
      </c>
      <c r="K2133" s="66"/>
      <c r="L2133" s="66"/>
      <c r="M2133" s="66"/>
      <c r="N2133" s="66"/>
      <c r="O2133" s="66"/>
      <c r="P2133" s="66"/>
      <c r="Q2133" s="66"/>
      <c r="R2133" s="66"/>
      <c r="S2133" s="66"/>
    </row>
    <row r="2134" spans="1:19" ht="18" customHeight="1">
      <c r="B2134" t="str">
        <f>"034025"</f>
        <v>034025</v>
      </c>
      <c r="C2134" t="s">
        <v>777</v>
      </c>
      <c r="D2134" s="4"/>
      <c r="E2134" s="4">
        <v>1</v>
      </c>
      <c r="F2134" s="4"/>
      <c r="G2134" s="29" t="str">
        <f>IFERROR(HYPERLINK("#"&amp;ADDRESS(MATCH(B2134&amp;"ES",'LM7 Non-ENG'!$A$1:$A$5000,0),1,,,"LM7 Non-ENG"),IF(IFERROR(VLOOKUP(B2134&amp;"ES",'LM7 Non-ENG'!$A$1:$A$4999,1,FALSE),"ERROR")=B2134&amp;"ES","Y","")),"")</f>
        <v/>
      </c>
      <c r="H2134" s="29" t="str">
        <f>IFERROR(HYPERLINK("#"&amp;ADDRESS(MATCH(B2134&amp;"PT",'LM7 Non-ENG'!$A$1:$A$5000,0),1,,,"LM7 Non-ENG"),IF(IFERROR(VLOOKUP(B2134&amp;"PT",'LM7 Non-ENG'!$A$1:$A$5000,1,FALSE),"ERROR")=B2134&amp;"PT","Y","")),"")</f>
        <v/>
      </c>
      <c r="I2134" t="str">
        <f>IFERROR(VLOOKUP(B2134,PN!$A:$C,3,FALSE),"")</f>
        <v>Active</v>
      </c>
      <c r="J2134" s="3">
        <f>IFERROR(E2134*VLOOKUP(B2134,PLInter!$A:$D,3,FALSE),"")</f>
        <v>1267</v>
      </c>
      <c r="K2134" s="66"/>
      <c r="L2134" s="66"/>
      <c r="M2134" s="66"/>
      <c r="N2134" s="66"/>
      <c r="O2134" s="66"/>
      <c r="P2134" s="66"/>
      <c r="Q2134" s="66"/>
      <c r="R2134" s="66"/>
      <c r="S2134" s="66"/>
    </row>
    <row r="2135" spans="1:19" ht="18" customHeight="1">
      <c r="B2135" t="s">
        <v>914</v>
      </c>
      <c r="C2135" t="s">
        <v>915</v>
      </c>
      <c r="D2135" s="4"/>
      <c r="E2135" s="4">
        <v>3</v>
      </c>
      <c r="F2135" s="4"/>
      <c r="G2135" s="29" t="str">
        <f>IFERROR(HYPERLINK("#"&amp;ADDRESS(MATCH(B2135&amp;"ES",'LM7 Non-ENG'!$A$1:$A$5000,0),1,,,"LM7 Non-ENG"),IF(IFERROR(VLOOKUP(B2135&amp;"ES",'LM7 Non-ENG'!$A$1:$A$4999,1,FALSE),"ERROR")=B2135&amp;"ES","Y","")),"")</f>
        <v/>
      </c>
      <c r="H2135" s="29" t="str">
        <f>IFERROR(HYPERLINK("#"&amp;ADDRESS(MATCH(B2135&amp;"PT",'LM7 Non-ENG'!$A$1:$A$5000,0),1,,,"LM7 Non-ENG"),IF(IFERROR(VLOOKUP(B2135&amp;"PT",'LM7 Non-ENG'!$A$1:$A$5000,1,FALSE),"ERROR")=B2135&amp;"PT","Y","")),"")</f>
        <v/>
      </c>
      <c r="I2135" t="str">
        <f>IFERROR(VLOOKUP(B2135,PN!$A:$C,3,FALSE),"")</f>
        <v>Active</v>
      </c>
      <c r="J2135" s="3">
        <f>IFERROR(E2135*VLOOKUP(B2135,PLInter!$A:$D,3,FALSE),"")</f>
        <v>402</v>
      </c>
      <c r="K2135" s="66"/>
      <c r="L2135" s="66"/>
      <c r="M2135" s="66"/>
      <c r="N2135" s="66"/>
      <c r="O2135" s="66"/>
      <c r="P2135" s="66"/>
      <c r="Q2135" s="66"/>
      <c r="R2135" s="66"/>
      <c r="S2135" s="66"/>
    </row>
    <row r="2136" spans="1:19" ht="18" customHeight="1">
      <c r="B2136" t="s">
        <v>684</v>
      </c>
      <c r="C2136" t="s">
        <v>685</v>
      </c>
      <c r="D2136" s="4"/>
      <c r="E2136" s="4">
        <v>2</v>
      </c>
      <c r="F2136" s="4"/>
      <c r="G2136" s="29" t="str">
        <f>IFERROR(HYPERLINK("#"&amp;ADDRESS(MATCH(B2136&amp;"ES",'LM7 Non-ENG'!$A$1:$A$5000,0),1,,,"LM7 Non-ENG"),IF(IFERROR(VLOOKUP(B2136&amp;"ES",'LM7 Non-ENG'!$A$1:$A$4999,1,FALSE),"ERROR")=B2136&amp;"ES","Y","")),"")</f>
        <v/>
      </c>
      <c r="H2136" s="29" t="str">
        <f>IFERROR(HYPERLINK("#"&amp;ADDRESS(MATCH(B2136&amp;"PT",'LM7 Non-ENG'!$A$1:$A$5000,0),1,,,"LM7 Non-ENG"),IF(IFERROR(VLOOKUP(B2136&amp;"PT",'LM7 Non-ENG'!$A$1:$A$5000,1,FALSE),"ERROR")=B2136&amp;"PT","Y","")),"")</f>
        <v/>
      </c>
      <c r="I2136" t="str">
        <f>IFERROR(VLOOKUP(B2136,PN!$A:$C,3,FALSE),"")</f>
        <v>Active</v>
      </c>
      <c r="J2136" s="3">
        <f>IFERROR(E2136*VLOOKUP(B2136,PLInter!$A:$D,3,FALSE),"")</f>
        <v>1160</v>
      </c>
      <c r="K2136" s="66"/>
      <c r="L2136" s="66"/>
      <c r="M2136" s="66"/>
      <c r="N2136" s="66"/>
      <c r="O2136" s="66"/>
      <c r="P2136" s="66"/>
      <c r="Q2136" s="66"/>
      <c r="R2136" s="66"/>
      <c r="S2136" s="66"/>
    </row>
    <row r="2137" spans="1:19" ht="18" customHeight="1">
      <c r="B2137" t="str">
        <f>"021172"</f>
        <v>021172</v>
      </c>
      <c r="C2137" t="s">
        <v>916</v>
      </c>
      <c r="D2137" s="4"/>
      <c r="E2137" s="4">
        <v>2</v>
      </c>
      <c r="F2137" s="4"/>
      <c r="G2137" s="29" t="str">
        <f>IFERROR(HYPERLINK("#"&amp;ADDRESS(MATCH(B2137&amp;"ES",'LM7 Non-ENG'!$A$1:$A$5000,0),1,,,"LM7 Non-ENG"),IF(IFERROR(VLOOKUP(B2137&amp;"ES",'LM7 Non-ENG'!$A$1:$A$4999,1,FALSE),"ERROR")=B2137&amp;"ES","Y","")),"")</f>
        <v/>
      </c>
      <c r="H2137" s="29" t="str">
        <f>IFERROR(HYPERLINK("#"&amp;ADDRESS(MATCH(B2137&amp;"PT",'LM7 Non-ENG'!$A$1:$A$5000,0),1,,,"LM7 Non-ENG"),IF(IFERROR(VLOOKUP(B2137&amp;"PT",'LM7 Non-ENG'!$A$1:$A$5000,1,FALSE),"ERROR")=B2137&amp;"PT","Y","")),"")</f>
        <v/>
      </c>
      <c r="I2137" t="str">
        <f>IFERROR(VLOOKUP(B2137,PN!$A:$C,3,FALSE),"")</f>
        <v>Active</v>
      </c>
      <c r="J2137" s="3">
        <f>IFERROR(E2137*VLOOKUP(B2137,PLInter!$A:$D,3,FALSE),"")</f>
        <v>80</v>
      </c>
      <c r="K2137" s="66"/>
      <c r="L2137" s="66"/>
      <c r="M2137" s="66"/>
      <c r="N2137" s="66"/>
      <c r="O2137" s="66"/>
      <c r="P2137" s="66"/>
      <c r="Q2137" s="66"/>
      <c r="R2137" s="66"/>
      <c r="S2137" s="66"/>
    </row>
    <row r="2138" spans="1:19" ht="18" customHeight="1">
      <c r="B2138" t="s">
        <v>925</v>
      </c>
      <c r="C2138" t="s">
        <v>926</v>
      </c>
      <c r="D2138" s="4"/>
      <c r="E2138" s="4">
        <v>1</v>
      </c>
      <c r="F2138" s="4"/>
      <c r="G2138" s="29" t="str">
        <f>IFERROR(HYPERLINK("#"&amp;ADDRESS(MATCH(B2138&amp;"ES",'LM7 Non-ENG'!$A$1:$A$5000,0),1,,,"LM7 Non-ENG"),IF(IFERROR(VLOOKUP(B2138&amp;"ES",'LM7 Non-ENG'!$A$1:$A$4999,1,FALSE),"ERROR")=B2138&amp;"ES","Y","")),"")</f>
        <v/>
      </c>
      <c r="H2138" s="29" t="str">
        <f>IFERROR(HYPERLINK("#"&amp;ADDRESS(MATCH(B2138&amp;"PT",'LM7 Non-ENG'!$A$1:$A$5000,0),1,,,"LM7 Non-ENG"),IF(IFERROR(VLOOKUP(B2138&amp;"PT",'LM7 Non-ENG'!$A$1:$A$5000,1,FALSE),"ERROR")=B2138&amp;"PT","Y","")),"")</f>
        <v/>
      </c>
      <c r="I2138" t="str">
        <f>IFERROR(VLOOKUP(B2138,PN!$A:$C,3,FALSE),"")</f>
        <v>Active</v>
      </c>
      <c r="J2138" s="3">
        <f>IFERROR(E2138*VLOOKUP(B2138,PLInter!$A:$D,3,FALSE),"")</f>
        <v>2760</v>
      </c>
      <c r="K2138" s="66"/>
      <c r="L2138" s="66"/>
      <c r="M2138" s="66"/>
      <c r="N2138" s="66"/>
      <c r="O2138" s="66"/>
      <c r="P2138" s="66"/>
      <c r="Q2138" s="66"/>
      <c r="R2138" s="66"/>
      <c r="S2138" s="66"/>
    </row>
    <row r="2139" spans="1:19" ht="18" customHeight="1">
      <c r="B2139" t="s">
        <v>927</v>
      </c>
      <c r="C2139" t="s">
        <v>928</v>
      </c>
      <c r="D2139" s="4"/>
      <c r="E2139" s="4">
        <v>1</v>
      </c>
      <c r="F2139" s="4"/>
      <c r="G2139" s="29" t="str">
        <f>IFERROR(HYPERLINK("#"&amp;ADDRESS(MATCH(B2139&amp;"ES",'LM7 Non-ENG'!$A$1:$A$5000,0),1,,,"LM7 Non-ENG"),IF(IFERROR(VLOOKUP(B2139&amp;"ES",'LM7 Non-ENG'!$A$1:$A$4999,1,FALSE),"ERROR")=B2139&amp;"ES","Y","")),"")</f>
        <v/>
      </c>
      <c r="H2139" s="29" t="str">
        <f>IFERROR(HYPERLINK("#"&amp;ADDRESS(MATCH(B2139&amp;"PT",'LM7 Non-ENG'!$A$1:$A$5000,0),1,,,"LM7 Non-ENG"),IF(IFERROR(VLOOKUP(B2139&amp;"PT",'LM7 Non-ENG'!$A$1:$A$5000,1,FALSE),"ERROR")=B2139&amp;"PT","Y","")),"")</f>
        <v/>
      </c>
      <c r="I2139" t="str">
        <f>IFERROR(VLOOKUP(B2139,PN!$A:$C,3,FALSE),"")</f>
        <v>Active</v>
      </c>
      <c r="J2139" s="3">
        <f>IFERROR(E2139*VLOOKUP(B2139,PLInter!$A:$D,3,FALSE),"")</f>
        <v>467</v>
      </c>
      <c r="K2139" s="66"/>
      <c r="L2139" s="66"/>
      <c r="M2139" s="66"/>
      <c r="N2139" s="66"/>
      <c r="O2139" s="66"/>
      <c r="P2139" s="66"/>
      <c r="Q2139" s="66"/>
      <c r="R2139" s="66"/>
      <c r="S2139" s="66"/>
    </row>
    <row r="2140" spans="1:19" ht="18" customHeight="1">
      <c r="B2140" t="s">
        <v>668</v>
      </c>
      <c r="C2140" t="s">
        <v>669</v>
      </c>
      <c r="D2140" s="4"/>
      <c r="E2140" s="4">
        <v>1</v>
      </c>
      <c r="F2140" s="4"/>
      <c r="G2140" s="29" t="str">
        <f>IFERROR(HYPERLINK("#"&amp;ADDRESS(MATCH(B2140&amp;"ES",'LM7 Non-ENG'!$A$1:$A$5000,0),1,,,"LM7 Non-ENG"),IF(IFERROR(VLOOKUP(B2140&amp;"ES",'LM7 Non-ENG'!$A$1:$A$4999,1,FALSE),"ERROR")=B2140&amp;"ES","Y","")),"")</f>
        <v/>
      </c>
      <c r="H2140" s="29" t="str">
        <f>IFERROR(HYPERLINK("#"&amp;ADDRESS(MATCH(B2140&amp;"PT",'LM7 Non-ENG'!$A$1:$A$5000,0),1,,,"LM7 Non-ENG"),IF(IFERROR(VLOOKUP(B2140&amp;"PT",'LM7 Non-ENG'!$A$1:$A$5000,1,FALSE),"ERROR")=B2140&amp;"PT","Y","")),"")</f>
        <v/>
      </c>
      <c r="I2140" t="str">
        <f>IFERROR(VLOOKUP(B2140,PN!$A:$C,3,FALSE),"")</f>
        <v>Active</v>
      </c>
      <c r="J2140" s="3">
        <f>IFERROR(E2140*VLOOKUP(B2140,PLInter!$A:$D,3,FALSE),"")</f>
        <v>480</v>
      </c>
      <c r="K2140" s="66"/>
      <c r="L2140" s="66"/>
      <c r="M2140" s="66"/>
      <c r="N2140" s="66"/>
      <c r="O2140" s="66"/>
      <c r="P2140" s="66"/>
      <c r="Q2140" s="66"/>
      <c r="R2140" s="66"/>
      <c r="S2140" s="66"/>
    </row>
    <row r="2141" spans="1:19" ht="18" customHeight="1">
      <c r="B2141" t="s">
        <v>630</v>
      </c>
      <c r="C2141" t="s">
        <v>631</v>
      </c>
      <c r="D2141" s="4"/>
      <c r="E2141" s="4">
        <v>1</v>
      </c>
      <c r="F2141" s="4"/>
      <c r="G2141" s="29" t="str">
        <f>IFERROR(HYPERLINK("#"&amp;ADDRESS(MATCH(B2141&amp;"ES",'LM7 Non-ENG'!$A$1:$A$5000,0),1,,,"LM7 Non-ENG"),IF(IFERROR(VLOOKUP(B2141&amp;"ES",'LM7 Non-ENG'!$A$1:$A$4999,1,FALSE),"ERROR")=B2141&amp;"ES","Y","")),"")</f>
        <v/>
      </c>
      <c r="H2141" s="29" t="str">
        <f>IFERROR(HYPERLINK("#"&amp;ADDRESS(MATCH(B2141&amp;"PT",'LM7 Non-ENG'!$A$1:$A$5000,0),1,,,"LM7 Non-ENG"),IF(IFERROR(VLOOKUP(B2141&amp;"PT",'LM7 Non-ENG'!$A$1:$A$5000,1,FALSE),"ERROR")=B2141&amp;"PT","Y","")),"")</f>
        <v/>
      </c>
      <c r="I2141" t="str">
        <f>IFERROR(VLOOKUP(B2141,PN!$A:$C,3,FALSE),"")</f>
        <v>Active</v>
      </c>
      <c r="J2141" s="3">
        <f>IFERROR(E2141*VLOOKUP(B2141,PLInter!$A:$D,3,FALSE),"")</f>
        <v>1735</v>
      </c>
      <c r="K2141" s="66"/>
      <c r="L2141" s="66"/>
      <c r="M2141" s="66"/>
      <c r="N2141" s="66"/>
      <c r="O2141" s="66"/>
      <c r="P2141" s="66"/>
      <c r="Q2141" s="66"/>
      <c r="R2141" s="66"/>
      <c r="S2141" s="66"/>
    </row>
    <row r="2143" spans="1:19" s="7" customFormat="1" ht="18" customHeight="1">
      <c r="A2143" s="13" t="s">
        <v>1102</v>
      </c>
      <c r="B2143" s="13"/>
      <c r="C2143" s="13" t="s">
        <v>1103</v>
      </c>
      <c r="D2143" s="14"/>
      <c r="E2143" s="14"/>
      <c r="F2143" s="14"/>
      <c r="G2143" s="14"/>
      <c r="H2143" s="14"/>
      <c r="I2143" s="14"/>
      <c r="J2143" s="14">
        <f>SUMIFS(J2144:J2156,D2144:D2156,"&lt;&gt;Y",F2144:F2156,"&lt;&gt;Y",I2144:I2156,"&lt;&gt;Inactive",I2144:I2156,"&lt;&gt;ECO+NFS")</f>
        <v>37900</v>
      </c>
      <c r="K2143" s="14"/>
      <c r="L2143" s="14"/>
      <c r="M2143" s="14"/>
      <c r="N2143" s="14"/>
      <c r="O2143" s="14"/>
      <c r="P2143" s="14"/>
      <c r="Q2143" s="14"/>
      <c r="R2143" s="14"/>
      <c r="S2143" s="14"/>
    </row>
    <row r="2144" spans="1:19" ht="18" customHeight="1">
      <c r="A2144" s="17" t="str">
        <f>HYPERLINK("#"&amp;ADDRESS(MATCH(A2143,'CIM&amp;FMS'!$A$1:$A$4997,0),1,,,"CIM&amp;FMS"),"Back to Price List")</f>
        <v>Back to Price List</v>
      </c>
      <c r="B2144" t="s">
        <v>214</v>
      </c>
      <c r="C2144" t="s">
        <v>654</v>
      </c>
      <c r="D2144" s="4"/>
      <c r="E2144" s="4">
        <v>1</v>
      </c>
      <c r="F2144" s="4"/>
      <c r="G2144" s="29" t="str">
        <f>IFERROR(HYPERLINK("#"&amp;ADDRESS(MATCH(B2144&amp;"ES",'LM7 Non-ENG'!$A$1:$A$5000,0),1,,,"LM7 Non-ENG"),IF(IFERROR(VLOOKUP(B2144&amp;"ES",'LM7 Non-ENG'!$A$1:$A$4999,1,FALSE),"ERROR")=B2144&amp;"ES","Y","")),"")</f>
        <v/>
      </c>
      <c r="H2144" s="29" t="str">
        <f>IFERROR(HYPERLINK("#"&amp;ADDRESS(MATCH(B2144&amp;"PT",'LM7 Non-ENG'!$A$1:$A$5000,0),1,,,"LM7 Non-ENG"),IF(IFERROR(VLOOKUP(B2144&amp;"PT",'LM7 Non-ENG'!$A$1:$A$5000,1,FALSE),"ERROR")=B2144&amp;"PT","Y","")),"")</f>
        <v/>
      </c>
      <c r="I2144" t="str">
        <f>IFERROR(VLOOKUP(B2144,PN!$A:$C,3,FALSE),"")</f>
        <v>Active</v>
      </c>
      <c r="J2144" s="3">
        <f>IFERROR(E2144*VLOOKUP(B2144,PLInter!$A:$D,3,FALSE),"")</f>
        <v>24000</v>
      </c>
      <c r="K2144" s="66"/>
      <c r="L2144" s="66"/>
      <c r="M2144" s="66"/>
      <c r="N2144" s="66"/>
      <c r="O2144" s="66"/>
      <c r="P2144" s="66"/>
      <c r="Q2144" s="66"/>
      <c r="R2144" s="66"/>
      <c r="S2144" s="66"/>
    </row>
    <row r="2145" spans="1:19" ht="18" customHeight="1">
      <c r="B2145" t="s">
        <v>228</v>
      </c>
      <c r="C2145" t="s">
        <v>655</v>
      </c>
      <c r="D2145" s="4"/>
      <c r="E2145" s="4">
        <v>1</v>
      </c>
      <c r="F2145" s="4"/>
      <c r="G2145" s="29" t="str">
        <f>IFERROR(HYPERLINK("#"&amp;ADDRESS(MATCH(B2145&amp;"ES",'LM7 Non-ENG'!$A$1:$A$5000,0),1,,,"LM7 Non-ENG"),IF(IFERROR(VLOOKUP(B2145&amp;"ES",'LM7 Non-ENG'!$A$1:$A$4999,1,FALSE),"ERROR")=B2145&amp;"ES","Y","")),"")</f>
        <v/>
      </c>
      <c r="H2145" s="29" t="str">
        <f>IFERROR(HYPERLINK("#"&amp;ADDRESS(MATCH(B2145&amp;"PT",'LM7 Non-ENG'!$A$1:$A$5000,0),1,,,"LM7 Non-ENG"),IF(IFERROR(VLOOKUP(B2145&amp;"PT",'LM7 Non-ENG'!$A$1:$A$5000,1,FALSE),"ERROR")=B2145&amp;"PT","Y","")),"")</f>
        <v/>
      </c>
      <c r="I2145" t="str">
        <f>IFERROR(VLOOKUP(B2145,PN!$A:$C,3,FALSE),"")</f>
        <v>Active</v>
      </c>
      <c r="J2145" s="3">
        <f>IFERROR(E2145*VLOOKUP(B2145,PLInter!$A:$D,3,FALSE),"")</f>
        <v>2134</v>
      </c>
      <c r="K2145" s="66"/>
      <c r="L2145" s="66"/>
      <c r="M2145" s="66"/>
      <c r="N2145" s="66"/>
      <c r="O2145" s="66"/>
      <c r="P2145" s="66"/>
      <c r="Q2145" s="66"/>
      <c r="R2145" s="66"/>
      <c r="S2145" s="66"/>
    </row>
    <row r="2146" spans="1:19" ht="18" customHeight="1">
      <c r="B2146" s="2" t="s">
        <v>227</v>
      </c>
      <c r="C2146" s="2" t="s">
        <v>232</v>
      </c>
      <c r="D2146" s="5"/>
      <c r="E2146" s="5">
        <v>1</v>
      </c>
      <c r="F2146" s="5" t="s">
        <v>0</v>
      </c>
      <c r="G2146" s="29" t="str">
        <f>IFERROR(HYPERLINK("#"&amp;ADDRESS(MATCH(B2146&amp;"ES",'LM7 Non-ENG'!$A$1:$A$5000,0),1,,,"LM7 Non-ENG"),IF(IFERROR(VLOOKUP(B2146&amp;"ES",'LM7 Non-ENG'!$A$1:$A$4999,1,FALSE),"ERROR")=B2146&amp;"ES","Y","")),"")</f>
        <v/>
      </c>
      <c r="H2146" s="29" t="str">
        <f>IFERROR(HYPERLINK("#"&amp;ADDRESS(MATCH(B2146&amp;"PT",'LM7 Non-ENG'!$A$1:$A$5000,0),1,,,"LM7 Non-ENG"),IF(IFERROR(VLOOKUP(B2146&amp;"PT",'LM7 Non-ENG'!$A$1:$A$5000,1,FALSE),"ERROR")=B2146&amp;"PT","Y","")),"")</f>
        <v/>
      </c>
      <c r="I2146" t="str">
        <f>IFERROR(VLOOKUP(B2146,PN!$A:$C,3,FALSE),"")</f>
        <v>Active</v>
      </c>
      <c r="J2146" s="3">
        <f>IFERROR(E2146*VLOOKUP(B2146,PLInter!$A:$D,3,FALSE),"")</f>
        <v>1700</v>
      </c>
      <c r="K2146" s="66"/>
      <c r="L2146" s="66"/>
      <c r="M2146" s="66"/>
      <c r="N2146" s="66"/>
      <c r="O2146" s="66"/>
      <c r="P2146" s="66"/>
      <c r="Q2146" s="66"/>
      <c r="R2146" s="66"/>
      <c r="S2146" s="66"/>
    </row>
    <row r="2147" spans="1:19" ht="18" customHeight="1">
      <c r="B2147" t="s">
        <v>236</v>
      </c>
      <c r="C2147" t="s">
        <v>626</v>
      </c>
      <c r="D2147" s="4"/>
      <c r="E2147" s="4">
        <v>1</v>
      </c>
      <c r="F2147" s="4"/>
      <c r="G2147" s="29" t="str">
        <f>IFERROR(HYPERLINK("#"&amp;ADDRESS(MATCH(B2147&amp;"ES",'LM7 Non-ENG'!$A$1:$A$5000,0),1,,,"LM7 Non-ENG"),IF(IFERROR(VLOOKUP(B2147&amp;"ES",'LM7 Non-ENG'!$A$1:$A$4999,1,FALSE),"ERROR")=B2147&amp;"ES","Y","")),"")</f>
        <v/>
      </c>
      <c r="H2147" s="29" t="str">
        <f>IFERROR(HYPERLINK("#"&amp;ADDRESS(MATCH(B2147&amp;"PT",'LM7 Non-ENG'!$A$1:$A$5000,0),1,,,"LM7 Non-ENG"),IF(IFERROR(VLOOKUP(B2147&amp;"PT",'LM7 Non-ENG'!$A$1:$A$5000,1,FALSE),"ERROR")=B2147&amp;"PT","Y","")),"")</f>
        <v/>
      </c>
      <c r="I2147" t="str">
        <f>IFERROR(VLOOKUP(B2147,PN!$A:$C,3,FALSE),"")</f>
        <v>Active</v>
      </c>
      <c r="J2147" s="3">
        <f>IFERROR(E2147*VLOOKUP(B2147,PLInter!$A:$D,3,FALSE),"")</f>
        <v>1680</v>
      </c>
      <c r="K2147" s="66"/>
      <c r="L2147" s="66"/>
      <c r="M2147" s="66"/>
      <c r="N2147" s="66"/>
      <c r="O2147" s="66"/>
      <c r="P2147" s="66"/>
      <c r="Q2147" s="66"/>
      <c r="R2147" s="66"/>
      <c r="S2147" s="66"/>
    </row>
    <row r="2148" spans="1:19" ht="18" customHeight="1">
      <c r="B2148" t="str">
        <f>"034025"</f>
        <v>034025</v>
      </c>
      <c r="C2148" t="s">
        <v>777</v>
      </c>
      <c r="D2148" s="4"/>
      <c r="E2148" s="4">
        <v>1</v>
      </c>
      <c r="F2148" s="4"/>
      <c r="G2148" s="29" t="str">
        <f>IFERROR(HYPERLINK("#"&amp;ADDRESS(MATCH(B2148&amp;"ES",'LM7 Non-ENG'!$A$1:$A$5000,0),1,,,"LM7 Non-ENG"),IF(IFERROR(VLOOKUP(B2148&amp;"ES",'LM7 Non-ENG'!$A$1:$A$4999,1,FALSE),"ERROR")=B2148&amp;"ES","Y","")),"")</f>
        <v/>
      </c>
      <c r="H2148" s="29" t="str">
        <f>IFERROR(HYPERLINK("#"&amp;ADDRESS(MATCH(B2148&amp;"PT",'LM7 Non-ENG'!$A$1:$A$5000,0),1,,,"LM7 Non-ENG"),IF(IFERROR(VLOOKUP(B2148&amp;"PT",'LM7 Non-ENG'!$A$1:$A$5000,1,FALSE),"ERROR")=B2148&amp;"PT","Y","")),"")</f>
        <v/>
      </c>
      <c r="I2148" t="str">
        <f>IFERROR(VLOOKUP(B2148,PN!$A:$C,3,FALSE),"")</f>
        <v>Active</v>
      </c>
      <c r="J2148" s="3">
        <f>IFERROR(E2148*VLOOKUP(B2148,PLInter!$A:$D,3,FALSE),"")</f>
        <v>1267</v>
      </c>
      <c r="K2148" s="66"/>
      <c r="L2148" s="66"/>
      <c r="M2148" s="66"/>
      <c r="N2148" s="66"/>
      <c r="O2148" s="66"/>
      <c r="P2148" s="66"/>
      <c r="Q2148" s="66"/>
      <c r="R2148" s="66"/>
      <c r="S2148" s="66"/>
    </row>
    <row r="2149" spans="1:19" ht="18" customHeight="1">
      <c r="B2149" t="s">
        <v>914</v>
      </c>
      <c r="C2149" t="s">
        <v>915</v>
      </c>
      <c r="D2149" s="4"/>
      <c r="E2149" s="4">
        <v>3</v>
      </c>
      <c r="F2149" s="4"/>
      <c r="G2149" s="29" t="str">
        <f>IFERROR(HYPERLINK("#"&amp;ADDRESS(MATCH(B2149&amp;"ES",'LM7 Non-ENG'!$A$1:$A$5000,0),1,,,"LM7 Non-ENG"),IF(IFERROR(VLOOKUP(B2149&amp;"ES",'LM7 Non-ENG'!$A$1:$A$4999,1,FALSE),"ERROR")=B2149&amp;"ES","Y","")),"")</f>
        <v/>
      </c>
      <c r="H2149" s="29" t="str">
        <f>IFERROR(HYPERLINK("#"&amp;ADDRESS(MATCH(B2149&amp;"PT",'LM7 Non-ENG'!$A$1:$A$5000,0),1,,,"LM7 Non-ENG"),IF(IFERROR(VLOOKUP(B2149&amp;"PT",'LM7 Non-ENG'!$A$1:$A$5000,1,FALSE),"ERROR")=B2149&amp;"PT","Y","")),"")</f>
        <v/>
      </c>
      <c r="I2149" t="str">
        <f>IFERROR(VLOOKUP(B2149,PN!$A:$C,3,FALSE),"")</f>
        <v>Active</v>
      </c>
      <c r="J2149" s="3">
        <f>IFERROR(E2149*VLOOKUP(B2149,PLInter!$A:$D,3,FALSE),"")</f>
        <v>402</v>
      </c>
      <c r="K2149" s="66"/>
      <c r="L2149" s="66"/>
      <c r="M2149" s="66"/>
      <c r="N2149" s="66"/>
      <c r="O2149" s="66"/>
      <c r="P2149" s="66"/>
      <c r="Q2149" s="66"/>
      <c r="R2149" s="66"/>
      <c r="S2149" s="66"/>
    </row>
    <row r="2150" spans="1:19" ht="18" customHeight="1">
      <c r="B2150" t="s">
        <v>684</v>
      </c>
      <c r="C2150" t="s">
        <v>685</v>
      </c>
      <c r="D2150" s="4"/>
      <c r="E2150" s="4">
        <v>2</v>
      </c>
      <c r="F2150" s="4"/>
      <c r="G2150" s="29" t="str">
        <f>IFERROR(HYPERLINK("#"&amp;ADDRESS(MATCH(B2150&amp;"ES",'LM7 Non-ENG'!$A$1:$A$5000,0),1,,,"LM7 Non-ENG"),IF(IFERROR(VLOOKUP(B2150&amp;"ES",'LM7 Non-ENG'!$A$1:$A$4999,1,FALSE),"ERROR")=B2150&amp;"ES","Y","")),"")</f>
        <v/>
      </c>
      <c r="H2150" s="29" t="str">
        <f>IFERROR(HYPERLINK("#"&amp;ADDRESS(MATCH(B2150&amp;"PT",'LM7 Non-ENG'!$A$1:$A$5000,0),1,,,"LM7 Non-ENG"),IF(IFERROR(VLOOKUP(B2150&amp;"PT",'LM7 Non-ENG'!$A$1:$A$5000,1,FALSE),"ERROR")=B2150&amp;"PT","Y","")),"")</f>
        <v/>
      </c>
      <c r="I2150" t="str">
        <f>IFERROR(VLOOKUP(B2150,PN!$A:$C,3,FALSE),"")</f>
        <v>Active</v>
      </c>
      <c r="J2150" s="3">
        <f>IFERROR(E2150*VLOOKUP(B2150,PLInter!$A:$D,3,FALSE),"")</f>
        <v>1160</v>
      </c>
      <c r="K2150" s="66"/>
      <c r="L2150" s="66"/>
      <c r="M2150" s="66"/>
      <c r="N2150" s="66"/>
      <c r="O2150" s="66"/>
      <c r="P2150" s="66"/>
      <c r="Q2150" s="66"/>
      <c r="R2150" s="66"/>
      <c r="S2150" s="66"/>
    </row>
    <row r="2151" spans="1:19" ht="18" customHeight="1">
      <c r="B2151" t="str">
        <f>"021172"</f>
        <v>021172</v>
      </c>
      <c r="C2151" t="s">
        <v>916</v>
      </c>
      <c r="D2151" s="4"/>
      <c r="E2151" s="4">
        <v>2</v>
      </c>
      <c r="F2151" s="4"/>
      <c r="G2151" s="29" t="str">
        <f>IFERROR(HYPERLINK("#"&amp;ADDRESS(MATCH(B2151&amp;"ES",'LM7 Non-ENG'!$A$1:$A$5000,0),1,,,"LM7 Non-ENG"),IF(IFERROR(VLOOKUP(B2151&amp;"ES",'LM7 Non-ENG'!$A$1:$A$4999,1,FALSE),"ERROR")=B2151&amp;"ES","Y","")),"")</f>
        <v/>
      </c>
      <c r="H2151" s="29" t="str">
        <f>IFERROR(HYPERLINK("#"&amp;ADDRESS(MATCH(B2151&amp;"PT",'LM7 Non-ENG'!$A$1:$A$5000,0),1,,,"LM7 Non-ENG"),IF(IFERROR(VLOOKUP(B2151&amp;"PT",'LM7 Non-ENG'!$A$1:$A$5000,1,FALSE),"ERROR")=B2151&amp;"PT","Y","")),"")</f>
        <v/>
      </c>
      <c r="I2151" t="str">
        <f>IFERROR(VLOOKUP(B2151,PN!$A:$C,3,FALSE),"")</f>
        <v>Active</v>
      </c>
      <c r="J2151" s="3">
        <f>IFERROR(E2151*VLOOKUP(B2151,PLInter!$A:$D,3,FALSE),"")</f>
        <v>80</v>
      </c>
      <c r="K2151" s="66"/>
      <c r="L2151" s="66"/>
      <c r="M2151" s="66"/>
      <c r="N2151" s="66"/>
      <c r="O2151" s="66"/>
      <c r="P2151" s="66"/>
      <c r="Q2151" s="66"/>
      <c r="R2151" s="66"/>
      <c r="S2151" s="66"/>
    </row>
    <row r="2152" spans="1:19" ht="18" customHeight="1">
      <c r="B2152" t="s">
        <v>917</v>
      </c>
      <c r="C2152" t="s">
        <v>918</v>
      </c>
      <c r="D2152" s="4"/>
      <c r="E2152" s="4">
        <v>1</v>
      </c>
      <c r="F2152" s="4"/>
      <c r="G2152" s="29" t="str">
        <f>IFERROR(HYPERLINK("#"&amp;ADDRESS(MATCH(B2152&amp;"ES",'LM7 Non-ENG'!$A$1:$A$5000,0),1,,,"LM7 Non-ENG"),IF(IFERROR(VLOOKUP(B2152&amp;"ES",'LM7 Non-ENG'!$A$1:$A$4999,1,FALSE),"ERROR")=B2152&amp;"ES","Y","")),"")</f>
        <v/>
      </c>
      <c r="H2152" s="29" t="str">
        <f>IFERROR(HYPERLINK("#"&amp;ADDRESS(MATCH(B2152&amp;"PT",'LM7 Non-ENG'!$A$1:$A$5000,0),1,,,"LM7 Non-ENG"),IF(IFERROR(VLOOKUP(B2152&amp;"PT",'LM7 Non-ENG'!$A$1:$A$5000,1,FALSE),"ERROR")=B2152&amp;"PT","Y","")),"")</f>
        <v/>
      </c>
      <c r="I2152" t="str">
        <f>IFERROR(VLOOKUP(B2152,PN!$A:$C,3,FALSE),"")</f>
        <v>Phase Out</v>
      </c>
      <c r="J2152" s="3">
        <f>IFERROR(E2152*VLOOKUP(B2152,PLInter!$A:$D,3,FALSE),"")</f>
        <v>1735</v>
      </c>
      <c r="K2152" s="66"/>
      <c r="L2152" s="66"/>
      <c r="M2152" s="66"/>
      <c r="N2152" s="66"/>
      <c r="O2152" s="66"/>
      <c r="P2152" s="66"/>
      <c r="Q2152" s="66"/>
      <c r="R2152" s="66"/>
      <c r="S2152" s="66"/>
    </row>
    <row r="2153" spans="1:19" ht="18" customHeight="1">
      <c r="B2153" t="s">
        <v>925</v>
      </c>
      <c r="C2153" t="s">
        <v>926</v>
      </c>
      <c r="D2153" s="4"/>
      <c r="E2153" s="4">
        <v>1</v>
      </c>
      <c r="F2153" s="4"/>
      <c r="G2153" s="29" t="str">
        <f>IFERROR(HYPERLINK("#"&amp;ADDRESS(MATCH(B2153&amp;"ES",'LM7 Non-ENG'!$A$1:$A$5000,0),1,,,"LM7 Non-ENG"),IF(IFERROR(VLOOKUP(B2153&amp;"ES",'LM7 Non-ENG'!$A$1:$A$4999,1,FALSE),"ERROR")=B2153&amp;"ES","Y","")),"")</f>
        <v/>
      </c>
      <c r="H2153" s="29" t="str">
        <f>IFERROR(HYPERLINK("#"&amp;ADDRESS(MATCH(B2153&amp;"PT",'LM7 Non-ENG'!$A$1:$A$5000,0),1,,,"LM7 Non-ENG"),IF(IFERROR(VLOOKUP(B2153&amp;"PT",'LM7 Non-ENG'!$A$1:$A$5000,1,FALSE),"ERROR")=B2153&amp;"PT","Y","")),"")</f>
        <v/>
      </c>
      <c r="I2153" t="str">
        <f>IFERROR(VLOOKUP(B2153,PN!$A:$C,3,FALSE),"")</f>
        <v>Active</v>
      </c>
      <c r="J2153" s="3">
        <f>IFERROR(E2153*VLOOKUP(B2153,PLInter!$A:$D,3,FALSE),"")</f>
        <v>2760</v>
      </c>
      <c r="K2153" s="66"/>
      <c r="L2153" s="66"/>
      <c r="M2153" s="66"/>
      <c r="N2153" s="66"/>
      <c r="O2153" s="66"/>
      <c r="P2153" s="66"/>
      <c r="Q2153" s="66"/>
      <c r="R2153" s="66"/>
      <c r="S2153" s="66"/>
    </row>
    <row r="2154" spans="1:19" ht="18" customHeight="1">
      <c r="B2154" t="s">
        <v>927</v>
      </c>
      <c r="C2154" t="s">
        <v>928</v>
      </c>
      <c r="D2154" s="4"/>
      <c r="E2154" s="4">
        <v>1</v>
      </c>
      <c r="F2154" s="4"/>
      <c r="G2154" s="29" t="str">
        <f>IFERROR(HYPERLINK("#"&amp;ADDRESS(MATCH(B2154&amp;"ES",'LM7 Non-ENG'!$A$1:$A$5000,0),1,,,"LM7 Non-ENG"),IF(IFERROR(VLOOKUP(B2154&amp;"ES",'LM7 Non-ENG'!$A$1:$A$4999,1,FALSE),"ERROR")=B2154&amp;"ES","Y","")),"")</f>
        <v/>
      </c>
      <c r="H2154" s="29" t="str">
        <f>IFERROR(HYPERLINK("#"&amp;ADDRESS(MATCH(B2154&amp;"PT",'LM7 Non-ENG'!$A$1:$A$5000,0),1,,,"LM7 Non-ENG"),IF(IFERROR(VLOOKUP(B2154&amp;"PT",'LM7 Non-ENG'!$A$1:$A$5000,1,FALSE),"ERROR")=B2154&amp;"PT","Y","")),"")</f>
        <v/>
      </c>
      <c r="I2154" t="str">
        <f>IFERROR(VLOOKUP(B2154,PN!$A:$C,3,FALSE),"")</f>
        <v>Active</v>
      </c>
      <c r="J2154" s="3">
        <f>IFERROR(E2154*VLOOKUP(B2154,PLInter!$A:$D,3,FALSE),"")</f>
        <v>467</v>
      </c>
      <c r="K2154" s="66"/>
      <c r="L2154" s="66"/>
      <c r="M2154" s="66"/>
      <c r="N2154" s="66"/>
      <c r="O2154" s="66"/>
      <c r="P2154" s="66"/>
      <c r="Q2154" s="66"/>
      <c r="R2154" s="66"/>
      <c r="S2154" s="66"/>
    </row>
    <row r="2155" spans="1:19" ht="18" customHeight="1">
      <c r="B2155" t="s">
        <v>668</v>
      </c>
      <c r="C2155" t="s">
        <v>669</v>
      </c>
      <c r="D2155" s="4"/>
      <c r="E2155" s="4">
        <v>1</v>
      </c>
      <c r="F2155" s="4"/>
      <c r="G2155" s="29" t="str">
        <f>IFERROR(HYPERLINK("#"&amp;ADDRESS(MATCH(B2155&amp;"ES",'LM7 Non-ENG'!$A$1:$A$5000,0),1,,,"LM7 Non-ENG"),IF(IFERROR(VLOOKUP(B2155&amp;"ES",'LM7 Non-ENG'!$A$1:$A$4999,1,FALSE),"ERROR")=B2155&amp;"ES","Y","")),"")</f>
        <v/>
      </c>
      <c r="H2155" s="29" t="str">
        <f>IFERROR(HYPERLINK("#"&amp;ADDRESS(MATCH(B2155&amp;"PT",'LM7 Non-ENG'!$A$1:$A$5000,0),1,,,"LM7 Non-ENG"),IF(IFERROR(VLOOKUP(B2155&amp;"PT",'LM7 Non-ENG'!$A$1:$A$5000,1,FALSE),"ERROR")=B2155&amp;"PT","Y","")),"")</f>
        <v/>
      </c>
      <c r="I2155" t="str">
        <f>IFERROR(VLOOKUP(B2155,PN!$A:$C,3,FALSE),"")</f>
        <v>Active</v>
      </c>
      <c r="J2155" s="3">
        <f>IFERROR(E2155*VLOOKUP(B2155,PLInter!$A:$D,3,FALSE),"")</f>
        <v>480</v>
      </c>
      <c r="K2155" s="66"/>
      <c r="L2155" s="66"/>
      <c r="M2155" s="66"/>
      <c r="N2155" s="66"/>
      <c r="O2155" s="66"/>
      <c r="P2155" s="66"/>
      <c r="Q2155" s="66"/>
      <c r="R2155" s="66"/>
      <c r="S2155" s="66"/>
    </row>
    <row r="2156" spans="1:19" ht="18" customHeight="1">
      <c r="B2156" t="s">
        <v>630</v>
      </c>
      <c r="C2156" t="s">
        <v>631</v>
      </c>
      <c r="D2156" s="4"/>
      <c r="E2156" s="4">
        <v>1</v>
      </c>
      <c r="F2156" s="4"/>
      <c r="G2156" s="29" t="str">
        <f>IFERROR(HYPERLINK("#"&amp;ADDRESS(MATCH(B2156&amp;"ES",'LM7 Non-ENG'!$A$1:$A$5000,0),1,,,"LM7 Non-ENG"),IF(IFERROR(VLOOKUP(B2156&amp;"ES",'LM7 Non-ENG'!$A$1:$A$4999,1,FALSE),"ERROR")=B2156&amp;"ES","Y","")),"")</f>
        <v/>
      </c>
      <c r="H2156" s="29" t="str">
        <f>IFERROR(HYPERLINK("#"&amp;ADDRESS(MATCH(B2156&amp;"PT",'LM7 Non-ENG'!$A$1:$A$5000,0),1,,,"LM7 Non-ENG"),IF(IFERROR(VLOOKUP(B2156&amp;"PT",'LM7 Non-ENG'!$A$1:$A$5000,1,FALSE),"ERROR")=B2156&amp;"PT","Y","")),"")</f>
        <v/>
      </c>
      <c r="I2156" t="str">
        <f>IFERROR(VLOOKUP(B2156,PN!$A:$C,3,FALSE),"")</f>
        <v>Active</v>
      </c>
      <c r="J2156" s="3">
        <f>IFERROR(E2156*VLOOKUP(B2156,PLInter!$A:$D,3,FALSE),"")</f>
        <v>1735</v>
      </c>
      <c r="K2156" s="66"/>
      <c r="L2156" s="66"/>
      <c r="M2156" s="66"/>
      <c r="N2156" s="66"/>
      <c r="O2156" s="66"/>
      <c r="P2156" s="66"/>
      <c r="Q2156" s="66"/>
      <c r="R2156" s="66"/>
      <c r="S2156" s="66"/>
    </row>
    <row r="2158" spans="1:19" s="7" customFormat="1" ht="18" customHeight="1">
      <c r="A2158" s="13" t="s">
        <v>1104</v>
      </c>
      <c r="B2158" s="13"/>
      <c r="C2158" s="13" t="s">
        <v>1105</v>
      </c>
      <c r="D2158" s="14"/>
      <c r="E2158" s="14"/>
      <c r="F2158" s="14"/>
      <c r="G2158" s="14"/>
      <c r="H2158" s="14"/>
      <c r="I2158" s="14"/>
      <c r="J2158" s="14">
        <f>SUMIFS(J2159:J2178,D2159:D2178,"&lt;&gt;Y",F2159:F2178,"&lt;&gt;Y",I2159:I2178,"&lt;&gt;Inactive",I2159:I2178,"&lt;&gt;ECO+NFS")</f>
        <v>30674</v>
      </c>
      <c r="K2158" s="14"/>
      <c r="L2158" s="14"/>
      <c r="M2158" s="14"/>
      <c r="N2158" s="14"/>
      <c r="O2158" s="14"/>
      <c r="P2158" s="14"/>
      <c r="Q2158" s="14"/>
      <c r="R2158" s="14"/>
      <c r="S2158" s="14"/>
    </row>
    <row r="2159" spans="1:19" ht="18" customHeight="1">
      <c r="A2159" s="17" t="str">
        <f>HYPERLINK("#"&amp;ADDRESS(MATCH(A2158,'CIM&amp;FMS'!$A$1:$A$4997,0),1,,,"CIM&amp;FMS"),"Back to Price List")</f>
        <v>Back to Price List</v>
      </c>
      <c r="B2159" t="s">
        <v>855</v>
      </c>
      <c r="C2159" t="s">
        <v>856</v>
      </c>
      <c r="D2159" s="4"/>
      <c r="E2159" s="4">
        <v>1</v>
      </c>
      <c r="F2159" s="4"/>
      <c r="G2159" s="29" t="str">
        <f>IFERROR(HYPERLINK("#"&amp;ADDRESS(MATCH(B2159&amp;"ES",'LM7 Non-ENG'!$A$1:$A$5000,0),1,,,"LM7 Non-ENG"),IF(IFERROR(VLOOKUP(B2159&amp;"ES",'LM7 Non-ENG'!$A$1:$A$4999,1,FALSE),"ERROR")=B2159&amp;"ES","Y","")),"")</f>
        <v/>
      </c>
      <c r="H2159" s="29" t="str">
        <f>IFERROR(HYPERLINK("#"&amp;ADDRESS(MATCH(B2159&amp;"PT",'LM7 Non-ENG'!$A$1:$A$5000,0),1,,,"LM7 Non-ENG"),IF(IFERROR(VLOOKUP(B2159&amp;"PT",'LM7 Non-ENG'!$A$1:$A$5000,1,FALSE),"ERROR")=B2159&amp;"PT","Y","")),"")</f>
        <v/>
      </c>
      <c r="I2159" t="str">
        <f>IFERROR(VLOOKUP(B2159,PN!$A:$C,3,FALSE),"")</f>
        <v>Active</v>
      </c>
      <c r="J2159" s="3">
        <f>IFERROR(E2159*VLOOKUP(B2159,PLInter!$A:$D,3,FALSE),"")</f>
        <v>6720</v>
      </c>
      <c r="K2159" s="66"/>
      <c r="L2159" s="66"/>
      <c r="M2159" s="66"/>
      <c r="N2159" s="66"/>
      <c r="O2159" s="66"/>
      <c r="P2159" s="66"/>
      <c r="Q2159" s="66"/>
      <c r="R2159" s="66"/>
      <c r="S2159" s="66"/>
    </row>
    <row r="2160" spans="1:19" ht="18" customHeight="1">
      <c r="B2160" t="s">
        <v>231</v>
      </c>
      <c r="C2160" t="s">
        <v>857</v>
      </c>
      <c r="D2160" s="4"/>
      <c r="E2160" s="4">
        <v>1</v>
      </c>
      <c r="F2160" s="4"/>
      <c r="G2160" s="29" t="str">
        <f>IFERROR(HYPERLINK("#"&amp;ADDRESS(MATCH(B2160&amp;"ES",'LM7 Non-ENG'!$A$1:$A$5000,0),1,,,"LM7 Non-ENG"),IF(IFERROR(VLOOKUP(B2160&amp;"ES",'LM7 Non-ENG'!$A$1:$A$4999,1,FALSE),"ERROR")=B2160&amp;"ES","Y","")),"")</f>
        <v/>
      </c>
      <c r="H2160" s="29" t="str">
        <f>IFERROR(HYPERLINK("#"&amp;ADDRESS(MATCH(B2160&amp;"PT",'LM7 Non-ENG'!$A$1:$A$5000,0),1,,,"LM7 Non-ENG"),IF(IFERROR(VLOOKUP(B2160&amp;"PT",'LM7 Non-ENG'!$A$1:$A$5000,1,FALSE),"ERROR")=B2160&amp;"PT","Y","")),"")</f>
        <v/>
      </c>
      <c r="I2160" t="str">
        <f>IFERROR(VLOOKUP(B2160,PN!$A:$C,3,FALSE),"")</f>
        <v>ECO-N2Buy</v>
      </c>
      <c r="J2160" s="3">
        <f>IFERROR(E2160*VLOOKUP(B2160,PLInter!$A:$D,3,FALSE),"")</f>
        <v>3200</v>
      </c>
      <c r="K2160" s="66"/>
      <c r="L2160" s="66"/>
      <c r="M2160" s="66"/>
      <c r="N2160" s="66"/>
      <c r="O2160" s="66"/>
      <c r="P2160" s="66"/>
      <c r="Q2160" s="66"/>
      <c r="R2160" s="66"/>
      <c r="S2160" s="66"/>
    </row>
    <row r="2161" spans="2:19" ht="18" customHeight="1">
      <c r="B2161" t="str">
        <f>"021031"</f>
        <v>021031</v>
      </c>
      <c r="C2161" s="41" t="s">
        <v>1008</v>
      </c>
      <c r="D2161" s="4"/>
      <c r="E2161" s="4">
        <v>4</v>
      </c>
      <c r="F2161" s="4"/>
      <c r="G2161" s="29" t="str">
        <f>IFERROR(HYPERLINK("#"&amp;ADDRESS(MATCH(B2161&amp;"ES",'LM7 Non-ENG'!$A$1:$A$5000,0),1,,,"LM7 Non-ENG"),IF(IFERROR(VLOOKUP(B2161&amp;"ES",'LM7 Non-ENG'!$A$1:$A$4999,1,FALSE),"ERROR")=B2161&amp;"ES","Y","")),"")</f>
        <v/>
      </c>
      <c r="H2161" s="29" t="str">
        <f>IFERROR(HYPERLINK("#"&amp;ADDRESS(MATCH(B2161&amp;"PT",'LM7 Non-ENG'!$A$1:$A$5000,0),1,,,"LM7 Non-ENG"),IF(IFERROR(VLOOKUP(B2161&amp;"PT",'LM7 Non-ENG'!$A$1:$A$5000,1,FALSE),"ERROR")=B2161&amp;"PT","Y","")),"")</f>
        <v/>
      </c>
      <c r="I2161" t="str">
        <f>IFERROR(VLOOKUP(B2161,PN!$A:$C,3,FALSE),"")</f>
        <v>Active</v>
      </c>
      <c r="J2161" s="3">
        <f>IFERROR(E2161*VLOOKUP(B2161,PLInter!$A:$D,3,FALSE),"")</f>
        <v>216</v>
      </c>
      <c r="K2161" s="66"/>
      <c r="L2161" s="66"/>
      <c r="M2161" s="66"/>
      <c r="N2161" s="66"/>
      <c r="O2161" s="66"/>
      <c r="P2161" s="66"/>
      <c r="Q2161" s="66"/>
      <c r="R2161" s="66"/>
      <c r="S2161" s="66"/>
    </row>
    <row r="2162" spans="2:19" ht="18" customHeight="1">
      <c r="B2162" t="s">
        <v>684</v>
      </c>
      <c r="C2162" t="s">
        <v>685</v>
      </c>
      <c r="D2162" s="4"/>
      <c r="E2162" s="4">
        <v>2</v>
      </c>
      <c r="F2162" s="4"/>
      <c r="G2162" s="29" t="str">
        <f>IFERROR(HYPERLINK("#"&amp;ADDRESS(MATCH(B2162&amp;"ES",'LM7 Non-ENG'!$A$1:$A$5000,0),1,,,"LM7 Non-ENG"),IF(IFERROR(VLOOKUP(B2162&amp;"ES",'LM7 Non-ENG'!$A$1:$A$4999,1,FALSE),"ERROR")=B2162&amp;"ES","Y","")),"")</f>
        <v/>
      </c>
      <c r="H2162" s="29" t="str">
        <f>IFERROR(HYPERLINK("#"&amp;ADDRESS(MATCH(B2162&amp;"PT",'LM7 Non-ENG'!$A$1:$A$5000,0),1,,,"LM7 Non-ENG"),IF(IFERROR(VLOOKUP(B2162&amp;"PT",'LM7 Non-ENG'!$A$1:$A$5000,1,FALSE),"ERROR")=B2162&amp;"PT","Y","")),"")</f>
        <v/>
      </c>
      <c r="I2162" t="str">
        <f>IFERROR(VLOOKUP(B2162,PN!$A:$C,3,FALSE),"")</f>
        <v>Active</v>
      </c>
      <c r="J2162" s="3">
        <f>IFERROR(E2162*VLOOKUP(B2162,PLInter!$A:$D,3,FALSE),"")</f>
        <v>1160</v>
      </c>
      <c r="K2162" s="66"/>
      <c r="L2162" s="66"/>
      <c r="M2162" s="66"/>
      <c r="N2162" s="66"/>
      <c r="O2162" s="66"/>
      <c r="P2162" s="66"/>
      <c r="Q2162" s="66"/>
      <c r="R2162" s="66"/>
      <c r="S2162" s="66"/>
    </row>
    <row r="2163" spans="2:19" ht="18" customHeight="1">
      <c r="B2163" t="str">
        <f>"021177"</f>
        <v>021177</v>
      </c>
      <c r="C2163" t="s">
        <v>959</v>
      </c>
      <c r="D2163" s="4"/>
      <c r="E2163" s="4">
        <v>2</v>
      </c>
      <c r="F2163" s="4"/>
      <c r="G2163" s="29" t="str">
        <f>IFERROR(HYPERLINK("#"&amp;ADDRESS(MATCH(B2163&amp;"ES",'LM7 Non-ENG'!$A$1:$A$5000,0),1,,,"LM7 Non-ENG"),IF(IFERROR(VLOOKUP(B2163&amp;"ES",'LM7 Non-ENG'!$A$1:$A$4999,1,FALSE),"ERROR")=B2163&amp;"ES","Y","")),"")</f>
        <v/>
      </c>
      <c r="H2163" s="29" t="str">
        <f>IFERROR(HYPERLINK("#"&amp;ADDRESS(MATCH(B2163&amp;"PT",'LM7 Non-ENG'!$A$1:$A$5000,0),1,,,"LM7 Non-ENG"),IF(IFERROR(VLOOKUP(B2163&amp;"PT",'LM7 Non-ENG'!$A$1:$A$5000,1,FALSE),"ERROR")=B2163&amp;"PT","Y","")),"")</f>
        <v/>
      </c>
      <c r="I2163" t="str">
        <f>IFERROR(VLOOKUP(B2163,PN!$A:$C,3,FALSE),"")</f>
        <v>Active</v>
      </c>
      <c r="J2163" s="3">
        <f>IFERROR(E2163*VLOOKUP(B2163,PLInter!$A:$D,3,FALSE),"")</f>
        <v>60</v>
      </c>
      <c r="K2163" s="66"/>
      <c r="L2163" s="66"/>
      <c r="M2163" s="66"/>
      <c r="N2163" s="66"/>
      <c r="O2163" s="66"/>
      <c r="P2163" s="66"/>
      <c r="Q2163" s="66"/>
      <c r="R2163" s="66"/>
      <c r="S2163" s="66"/>
    </row>
    <row r="2164" spans="2:19" ht="18" customHeight="1">
      <c r="B2164" t="s">
        <v>917</v>
      </c>
      <c r="C2164" t="s">
        <v>951</v>
      </c>
      <c r="D2164" s="4"/>
      <c r="E2164" s="4">
        <v>1</v>
      </c>
      <c r="F2164" s="4"/>
      <c r="G2164" s="29" t="str">
        <f>IFERROR(HYPERLINK("#"&amp;ADDRESS(MATCH(B2164&amp;"ES",'LM7 Non-ENG'!$A$1:$A$5000,0),1,,,"LM7 Non-ENG"),IF(IFERROR(VLOOKUP(B2164&amp;"ES",'LM7 Non-ENG'!$A$1:$A$4999,1,FALSE),"ERROR")=B2164&amp;"ES","Y","")),"")</f>
        <v/>
      </c>
      <c r="H2164" s="29" t="str">
        <f>IFERROR(HYPERLINK("#"&amp;ADDRESS(MATCH(B2164&amp;"PT",'LM7 Non-ENG'!$A$1:$A$5000,0),1,,,"LM7 Non-ENG"),IF(IFERROR(VLOOKUP(B2164&amp;"PT",'LM7 Non-ENG'!$A$1:$A$5000,1,FALSE),"ERROR")=B2164&amp;"PT","Y","")),"")</f>
        <v/>
      </c>
      <c r="I2164" t="str">
        <f>IFERROR(VLOOKUP(B2164,PN!$A:$C,3,FALSE),"")</f>
        <v>Phase Out</v>
      </c>
      <c r="J2164" s="3">
        <f>IFERROR(E2164*VLOOKUP(B2164,PLInter!$A:$D,3,FALSE),"")</f>
        <v>1735</v>
      </c>
      <c r="K2164" s="66"/>
      <c r="L2164" s="66"/>
      <c r="M2164" s="66"/>
      <c r="N2164" s="66"/>
      <c r="O2164" s="66"/>
      <c r="P2164" s="66"/>
      <c r="Q2164" s="66"/>
      <c r="R2164" s="66"/>
      <c r="S2164" s="66"/>
    </row>
    <row r="2165" spans="2:19" ht="18" customHeight="1">
      <c r="B2165" t="s">
        <v>919</v>
      </c>
      <c r="C2165" t="s">
        <v>952</v>
      </c>
      <c r="D2165" s="4"/>
      <c r="E2165" s="4">
        <v>1</v>
      </c>
      <c r="F2165" s="4"/>
      <c r="G2165" s="29" t="str">
        <f>IFERROR(HYPERLINK("#"&amp;ADDRESS(MATCH(B2165&amp;"ES",'LM7 Non-ENG'!$A$1:$A$5000,0),1,,,"LM7 Non-ENG"),IF(IFERROR(VLOOKUP(B2165&amp;"ES",'LM7 Non-ENG'!$A$1:$A$4999,1,FALSE),"ERROR")=B2165&amp;"ES","Y","")),"")</f>
        <v/>
      </c>
      <c r="H2165" s="29" t="str">
        <f>IFERROR(HYPERLINK("#"&amp;ADDRESS(MATCH(B2165&amp;"PT",'LM7 Non-ENG'!$A$1:$A$5000,0),1,,,"LM7 Non-ENG"),IF(IFERROR(VLOOKUP(B2165&amp;"PT",'LM7 Non-ENG'!$A$1:$A$5000,1,FALSE),"ERROR")=B2165&amp;"PT","Y","")),"")</f>
        <v/>
      </c>
      <c r="I2165" t="str">
        <f>IFERROR(VLOOKUP(B2165,PN!$A:$C,3,FALSE),"")</f>
        <v>Active</v>
      </c>
      <c r="J2165" s="3">
        <f>IFERROR(E2165*VLOOKUP(B2165,PLInter!$A:$D,3,FALSE),"")</f>
        <v>635</v>
      </c>
      <c r="K2165" s="66"/>
      <c r="L2165" s="66"/>
      <c r="M2165" s="66"/>
      <c r="N2165" s="66"/>
      <c r="O2165" s="66"/>
      <c r="P2165" s="66"/>
      <c r="Q2165" s="66"/>
      <c r="R2165" s="66"/>
      <c r="S2165" s="66"/>
    </row>
    <row r="2166" spans="2:19" ht="18" customHeight="1">
      <c r="B2166" t="s">
        <v>902</v>
      </c>
      <c r="C2166" t="s">
        <v>903</v>
      </c>
      <c r="D2166" s="4"/>
      <c r="E2166" s="4">
        <v>1</v>
      </c>
      <c r="F2166" s="4"/>
      <c r="G2166" s="29" t="str">
        <f>IFERROR(HYPERLINK("#"&amp;ADDRESS(MATCH(B2166&amp;"ES",'LM7 Non-ENG'!$A$1:$A$5000,0),1,,,"LM7 Non-ENG"),IF(IFERROR(VLOOKUP(B2166&amp;"ES",'LM7 Non-ENG'!$A$1:$A$4999,1,FALSE),"ERROR")=B2166&amp;"ES","Y","")),"")</f>
        <v/>
      </c>
      <c r="H2166" s="29" t="str">
        <f>IFERROR(HYPERLINK("#"&amp;ADDRESS(MATCH(B2166&amp;"PT",'LM7 Non-ENG'!$A$1:$A$5000,0),1,,,"LM7 Non-ENG"),IF(IFERROR(VLOOKUP(B2166&amp;"PT",'LM7 Non-ENG'!$A$1:$A$5000,1,FALSE),"ERROR")=B2166&amp;"PT","Y","")),"")</f>
        <v/>
      </c>
      <c r="I2166" t="str">
        <f>IFERROR(VLOOKUP(B2166,PN!$A:$C,3,FALSE),"")</f>
        <v>Active</v>
      </c>
      <c r="J2166" s="3">
        <f>IFERROR(E2166*VLOOKUP(B2166,PLInter!$A:$D,3,FALSE),"")</f>
        <v>2000</v>
      </c>
      <c r="K2166" s="66"/>
      <c r="L2166" s="66"/>
      <c r="M2166" s="66"/>
      <c r="N2166" s="66"/>
      <c r="O2166" s="66"/>
      <c r="P2166" s="66"/>
      <c r="Q2166" s="66"/>
      <c r="R2166" s="66"/>
      <c r="S2166" s="66"/>
    </row>
    <row r="2167" spans="2:19" ht="18" customHeight="1">
      <c r="B2167" t="s">
        <v>244</v>
      </c>
      <c r="C2167" t="s">
        <v>247</v>
      </c>
      <c r="D2167" s="4"/>
      <c r="E2167" s="4">
        <v>1</v>
      </c>
      <c r="F2167" s="4"/>
      <c r="G2167" s="29" t="str">
        <f>IFERROR(HYPERLINK("#"&amp;ADDRESS(MATCH(B2167&amp;"ES",'LM7 Non-ENG'!$A$1:$A$5000,0),1,,,"LM7 Non-ENG"),IF(IFERROR(VLOOKUP(B2167&amp;"ES",'LM7 Non-ENG'!$A$1:$A$4999,1,FALSE),"ERROR")=B2167&amp;"ES","Y","")),"")</f>
        <v/>
      </c>
      <c r="H2167" s="29" t="str">
        <f>IFERROR(HYPERLINK("#"&amp;ADDRESS(MATCH(B2167&amp;"PT",'LM7 Non-ENG'!$A$1:$A$5000,0),1,,,"LM7 Non-ENG"),IF(IFERROR(VLOOKUP(B2167&amp;"PT",'LM7 Non-ENG'!$A$1:$A$5000,1,FALSE),"ERROR")=B2167&amp;"PT","Y","")),"")</f>
        <v/>
      </c>
      <c r="I2167" t="str">
        <f>IFERROR(VLOOKUP(B2167,PN!$A:$C,3,FALSE),"")</f>
        <v>Active</v>
      </c>
      <c r="J2167" s="3">
        <f>IFERROR(E2167*VLOOKUP(B2167,PLInter!$A:$D,3,FALSE),"")</f>
        <v>2400</v>
      </c>
      <c r="K2167" s="66"/>
      <c r="L2167" s="66"/>
      <c r="M2167" s="66"/>
      <c r="N2167" s="66"/>
      <c r="O2167" s="66"/>
      <c r="P2167" s="66"/>
      <c r="Q2167" s="66"/>
      <c r="R2167" s="66"/>
      <c r="S2167" s="66"/>
    </row>
    <row r="2168" spans="2:19" ht="18" customHeight="1">
      <c r="B2168" t="s">
        <v>697</v>
      </c>
      <c r="C2168" t="s">
        <v>698</v>
      </c>
      <c r="D2168" s="4"/>
      <c r="E2168" s="4">
        <v>1</v>
      </c>
      <c r="F2168" s="4"/>
      <c r="G2168" s="29" t="str">
        <f>IFERROR(HYPERLINK("#"&amp;ADDRESS(MATCH(B2168&amp;"ES",'LM7 Non-ENG'!$A$1:$A$5000,0),1,,,"LM7 Non-ENG"),IF(IFERROR(VLOOKUP(B2168&amp;"ES",'LM7 Non-ENG'!$A$1:$A$4999,1,FALSE),"ERROR")=B2168&amp;"ES","Y","")),"")</f>
        <v/>
      </c>
      <c r="H2168" s="29" t="str">
        <f>IFERROR(HYPERLINK("#"&amp;ADDRESS(MATCH(B2168&amp;"PT",'LM7 Non-ENG'!$A$1:$A$5000,0),1,,,"LM7 Non-ENG"),IF(IFERROR(VLOOKUP(B2168&amp;"PT",'LM7 Non-ENG'!$A$1:$A$5000,1,FALSE),"ERROR")=B2168&amp;"PT","Y","")),"")</f>
        <v/>
      </c>
      <c r="I2168" t="str">
        <f>IFERROR(VLOOKUP(B2168,PN!$A:$C,3,FALSE),"")</f>
        <v>Active</v>
      </c>
      <c r="J2168" s="3">
        <f>IFERROR(E2168*VLOOKUP(B2168,PLInter!$A:$D,3,FALSE),"")</f>
        <v>934</v>
      </c>
      <c r="K2168" s="66"/>
      <c r="L2168" s="66"/>
      <c r="M2168" s="66"/>
      <c r="N2168" s="66"/>
      <c r="O2168" s="66"/>
      <c r="P2168" s="66"/>
      <c r="Q2168" s="66"/>
      <c r="R2168" s="66"/>
      <c r="S2168" s="66"/>
    </row>
    <row r="2169" spans="2:19" ht="18" customHeight="1">
      <c r="B2169" t="s">
        <v>237</v>
      </c>
      <c r="C2169" t="s">
        <v>1106</v>
      </c>
      <c r="D2169" s="4"/>
      <c r="E2169" s="4">
        <v>1</v>
      </c>
      <c r="F2169" s="4"/>
      <c r="G2169" s="29" t="str">
        <f>IFERROR(HYPERLINK("#"&amp;ADDRESS(MATCH(B2169&amp;"ES",'LM7 Non-ENG'!$A$1:$A$5000,0),1,,,"LM7 Non-ENG"),IF(IFERROR(VLOOKUP(B2169&amp;"ES",'LM7 Non-ENG'!$A$1:$A$4999,1,FALSE),"ERROR")=B2169&amp;"ES","Y","")),"")</f>
        <v/>
      </c>
      <c r="H2169" s="29" t="str">
        <f>IFERROR(HYPERLINK("#"&amp;ADDRESS(MATCH(B2169&amp;"PT",'LM7 Non-ENG'!$A$1:$A$5000,0),1,,,"LM7 Non-ENG"),IF(IFERROR(VLOOKUP(B2169&amp;"PT",'LM7 Non-ENG'!$A$1:$A$5000,1,FALSE),"ERROR")=B2169&amp;"PT","Y","")),"")</f>
        <v/>
      </c>
      <c r="I2169" t="str">
        <f>IFERROR(VLOOKUP(B2169,PN!$A:$C,3,FALSE),"")</f>
        <v>Active</v>
      </c>
      <c r="J2169" s="3">
        <f>IFERROR(E2169*VLOOKUP(B2169,PLInter!$A:$D,3,FALSE),"")</f>
        <v>1986</v>
      </c>
      <c r="K2169" s="66"/>
      <c r="L2169" s="66"/>
      <c r="M2169" s="66"/>
      <c r="N2169" s="66"/>
      <c r="O2169" s="66"/>
      <c r="P2169" s="66"/>
      <c r="Q2169" s="66"/>
      <c r="R2169" s="66"/>
      <c r="S2169" s="66"/>
    </row>
    <row r="2170" spans="2:19" ht="18" customHeight="1">
      <c r="B2170" t="s">
        <v>1107</v>
      </c>
      <c r="C2170" t="s">
        <v>1108</v>
      </c>
      <c r="D2170" s="4"/>
      <c r="E2170" s="4">
        <v>1</v>
      </c>
      <c r="F2170" s="4"/>
      <c r="G2170" s="29" t="str">
        <f>IFERROR(HYPERLINK("#"&amp;ADDRESS(MATCH(B2170&amp;"ES",'LM7 Non-ENG'!$A$1:$A$5000,0),1,,,"LM7 Non-ENG"),IF(IFERROR(VLOOKUP(B2170&amp;"ES",'LM7 Non-ENG'!$A$1:$A$4999,1,FALSE),"ERROR")=B2170&amp;"ES","Y","")),"")</f>
        <v/>
      </c>
      <c r="H2170" s="29" t="str">
        <f>IFERROR(HYPERLINK("#"&amp;ADDRESS(MATCH(B2170&amp;"PT",'LM7 Non-ENG'!$A$1:$A$5000,0),1,,,"LM7 Non-ENG"),IF(IFERROR(VLOOKUP(B2170&amp;"PT",'LM7 Non-ENG'!$A$1:$A$5000,1,FALSE),"ERROR")=B2170&amp;"PT","Y","")),"")</f>
        <v/>
      </c>
      <c r="I2170" t="str">
        <f>IFERROR(VLOOKUP(B2170,PN!$A:$C,3,FALSE),"")</f>
        <v>Active</v>
      </c>
      <c r="J2170" s="3">
        <f>IFERROR(E2170*VLOOKUP(B2170,PLInter!$A:$D,3,FALSE),"")</f>
        <v>295</v>
      </c>
      <c r="K2170" s="66"/>
      <c r="L2170" s="66"/>
      <c r="M2170" s="66"/>
      <c r="N2170" s="66"/>
      <c r="O2170" s="66"/>
      <c r="P2170" s="66"/>
      <c r="Q2170" s="66"/>
      <c r="R2170" s="66"/>
      <c r="S2170" s="66"/>
    </row>
    <row r="2171" spans="2:19" ht="18" customHeight="1">
      <c r="B2171" t="s">
        <v>238</v>
      </c>
      <c r="C2171" t="s">
        <v>245</v>
      </c>
      <c r="D2171" s="4"/>
      <c r="E2171" s="4">
        <v>1</v>
      </c>
      <c r="F2171" s="4"/>
      <c r="G2171" s="29" t="str">
        <f>IFERROR(HYPERLINK("#"&amp;ADDRESS(MATCH(B2171&amp;"ES",'LM7 Non-ENG'!$A$1:$A$5000,0),1,,,"LM7 Non-ENG"),IF(IFERROR(VLOOKUP(B2171&amp;"ES",'LM7 Non-ENG'!$A$1:$A$4999,1,FALSE),"ERROR")=B2171&amp;"ES","Y","")),"")</f>
        <v/>
      </c>
      <c r="H2171" s="29" t="str">
        <f>IFERROR(HYPERLINK("#"&amp;ADDRESS(MATCH(B2171&amp;"PT",'LM7 Non-ENG'!$A$1:$A$5000,0),1,,,"LM7 Non-ENG"),IF(IFERROR(VLOOKUP(B2171&amp;"PT",'LM7 Non-ENG'!$A$1:$A$5000,1,FALSE),"ERROR")=B2171&amp;"PT","Y","")),"")</f>
        <v/>
      </c>
      <c r="I2171" t="str">
        <f>IFERROR(VLOOKUP(B2171,PN!$A:$C,3,FALSE),"")</f>
        <v>Active</v>
      </c>
      <c r="J2171" s="3">
        <f>IFERROR(E2171*VLOOKUP(B2171,PLInter!$A:$D,3,FALSE),"")</f>
        <v>1425</v>
      </c>
      <c r="K2171" s="66"/>
      <c r="L2171" s="66"/>
      <c r="M2171" s="66"/>
      <c r="N2171" s="66"/>
      <c r="O2171" s="66"/>
      <c r="P2171" s="66"/>
      <c r="Q2171" s="66"/>
      <c r="R2171" s="66"/>
      <c r="S2171" s="66"/>
    </row>
    <row r="2172" spans="2:19" ht="18" customHeight="1">
      <c r="B2172" t="s">
        <v>1109</v>
      </c>
      <c r="C2172" t="s">
        <v>1110</v>
      </c>
      <c r="D2172" s="4"/>
      <c r="E2172" s="4">
        <v>1</v>
      </c>
      <c r="F2172" s="4"/>
      <c r="G2172" s="29" t="str">
        <f>IFERROR(HYPERLINK("#"&amp;ADDRESS(MATCH(B2172&amp;"ES",'LM7 Non-ENG'!$A$1:$A$5000,0),1,,,"LM7 Non-ENG"),IF(IFERROR(VLOOKUP(B2172&amp;"ES",'LM7 Non-ENG'!$A$1:$A$4999,1,FALSE),"ERROR")=B2172&amp;"ES","Y","")),"")</f>
        <v/>
      </c>
      <c r="H2172" s="29" t="str">
        <f>IFERROR(HYPERLINK("#"&amp;ADDRESS(MATCH(B2172&amp;"PT",'LM7 Non-ENG'!$A$1:$A$5000,0),1,,,"LM7 Non-ENG"),IF(IFERROR(VLOOKUP(B2172&amp;"PT",'LM7 Non-ENG'!$A$1:$A$5000,1,FALSE),"ERROR")=B2172&amp;"PT","Y","")),"")</f>
        <v/>
      </c>
      <c r="I2172" t="str">
        <f>IFERROR(VLOOKUP(B2172,PN!$A:$C,3,FALSE),"")</f>
        <v>Active</v>
      </c>
      <c r="J2172" s="3">
        <f>IFERROR(E2172*VLOOKUP(B2172,PLInter!$A:$D,3,FALSE),"")</f>
        <v>506</v>
      </c>
      <c r="K2172" s="66"/>
      <c r="L2172" s="66"/>
      <c r="M2172" s="66"/>
      <c r="N2172" s="66"/>
      <c r="O2172" s="66"/>
      <c r="P2172" s="66"/>
      <c r="Q2172" s="66"/>
      <c r="R2172" s="66"/>
      <c r="S2172" s="66"/>
    </row>
    <row r="2173" spans="2:19" ht="18" customHeight="1">
      <c r="B2173" t="str">
        <f>"034020"</f>
        <v>034020</v>
      </c>
      <c r="C2173" t="s">
        <v>1111</v>
      </c>
      <c r="D2173" s="4"/>
      <c r="E2173" s="4">
        <v>1</v>
      </c>
      <c r="F2173" s="4"/>
      <c r="G2173" s="29" t="str">
        <f>IFERROR(HYPERLINK("#"&amp;ADDRESS(MATCH(B2173&amp;"ES",'LM7 Non-ENG'!$A$1:$A$5000,0),1,,,"LM7 Non-ENG"),IF(IFERROR(VLOOKUP(B2173&amp;"ES",'LM7 Non-ENG'!$A$1:$A$4999,1,FALSE),"ERROR")=B2173&amp;"ES","Y","")),"")</f>
        <v/>
      </c>
      <c r="H2173" s="29" t="str">
        <f>IFERROR(HYPERLINK("#"&amp;ADDRESS(MATCH(B2173&amp;"PT",'LM7 Non-ENG'!$A$1:$A$5000,0),1,,,"LM7 Non-ENG"),IF(IFERROR(VLOOKUP(B2173&amp;"PT",'LM7 Non-ENG'!$A$1:$A$5000,1,FALSE),"ERROR")=B2173&amp;"PT","Y","")),"")</f>
        <v/>
      </c>
      <c r="I2173" t="str">
        <f>IFERROR(VLOOKUP(B2173,PN!$A:$C,3,FALSE),"")</f>
        <v>ECO-N2Buy</v>
      </c>
      <c r="J2173" s="3">
        <f>IFERROR(E2173*VLOOKUP(B2173,PLInter!$A:$D,3,FALSE),"")</f>
        <v>5067</v>
      </c>
      <c r="K2173" s="66"/>
      <c r="L2173" s="66"/>
      <c r="M2173" s="66"/>
      <c r="N2173" s="66"/>
      <c r="O2173" s="66"/>
      <c r="P2173" s="66"/>
      <c r="Q2173" s="66"/>
      <c r="R2173" s="66"/>
      <c r="S2173" s="66"/>
    </row>
    <row r="2174" spans="2:19" ht="18" customHeight="1">
      <c r="B2174" t="s">
        <v>1112</v>
      </c>
      <c r="C2174" t="s">
        <v>1113</v>
      </c>
      <c r="D2174" s="4"/>
      <c r="E2174" s="4">
        <v>1</v>
      </c>
      <c r="F2174" s="4"/>
      <c r="G2174" s="29" t="str">
        <f>IFERROR(HYPERLINK("#"&amp;ADDRESS(MATCH(B2174&amp;"ES",'LM7 Non-ENG'!$A$1:$A$5000,0),1,,,"LM7 Non-ENG"),IF(IFERROR(VLOOKUP(B2174&amp;"ES",'LM7 Non-ENG'!$A$1:$A$4999,1,FALSE),"ERROR")=B2174&amp;"ES","Y","")),"")</f>
        <v/>
      </c>
      <c r="H2174" s="29" t="str">
        <f>IFERROR(HYPERLINK("#"&amp;ADDRESS(MATCH(B2174&amp;"PT",'LM7 Non-ENG'!$A$1:$A$5000,0),1,,,"LM7 Non-ENG"),IF(IFERROR(VLOOKUP(B2174&amp;"PT",'LM7 Non-ENG'!$A$1:$A$5000,1,FALSE),"ERROR")=B2174&amp;"PT","Y","")),"")</f>
        <v/>
      </c>
      <c r="I2174" t="str">
        <f>IFERROR(VLOOKUP(B2174,PN!$A:$C,3,FALSE),"")</f>
        <v>Active</v>
      </c>
      <c r="J2174" s="3">
        <f>IFERROR(E2174*VLOOKUP(B2174,PLInter!$A:$D,3,FALSE),"")</f>
        <v>600</v>
      </c>
      <c r="K2174" s="66"/>
      <c r="L2174" s="66"/>
      <c r="M2174" s="66"/>
      <c r="N2174" s="66"/>
      <c r="O2174" s="66"/>
      <c r="P2174" s="66"/>
      <c r="Q2174" s="66"/>
      <c r="R2174" s="66"/>
      <c r="S2174" s="66"/>
    </row>
    <row r="2175" spans="2:19" ht="18" customHeight="1">
      <c r="B2175" t="str">
        <f>"040495"</f>
        <v>040495</v>
      </c>
      <c r="C2175" t="s">
        <v>1114</v>
      </c>
      <c r="D2175" s="4"/>
      <c r="E2175" s="4">
        <v>1</v>
      </c>
      <c r="F2175" s="4"/>
      <c r="G2175" s="29" t="str">
        <f>IFERROR(HYPERLINK("#"&amp;ADDRESS(MATCH(B2175&amp;"ES",'LM7 Non-ENG'!$A$1:$A$5000,0),1,,,"LM7 Non-ENG"),IF(IFERROR(VLOOKUP(B2175&amp;"ES",'LM7 Non-ENG'!$A$1:$A$4999,1,FALSE),"ERROR")=B2175&amp;"ES","Y","")),"")</f>
        <v/>
      </c>
      <c r="H2175" s="29" t="str">
        <f>IFERROR(HYPERLINK("#"&amp;ADDRESS(MATCH(B2175&amp;"PT",'LM7 Non-ENG'!$A$1:$A$5000,0),1,,,"LM7 Non-ENG"),IF(IFERROR(VLOOKUP(B2175&amp;"PT",'LM7 Non-ENG'!$A$1:$A$5000,1,FALSE),"ERROR")=B2175&amp;"PT","Y","")),"")</f>
        <v/>
      </c>
      <c r="I2175" t="str">
        <f>IFERROR(VLOOKUP(B2175,PN!$A:$C,3,FALSE),"")</f>
        <v>Active</v>
      </c>
      <c r="J2175" s="3" t="str">
        <f>IFERROR(E2175*VLOOKUP(B2175,PLInter!$A:$D,3,FALSE),"")</f>
        <v/>
      </c>
      <c r="K2175" s="66"/>
      <c r="L2175" s="66"/>
      <c r="M2175" s="66"/>
      <c r="N2175" s="66"/>
      <c r="O2175" s="66"/>
      <c r="P2175" s="66"/>
      <c r="Q2175" s="66"/>
      <c r="R2175" s="66"/>
      <c r="S2175" s="66"/>
    </row>
    <row r="2176" spans="2:19" ht="18" customHeight="1">
      <c r="B2176" t="str">
        <f>"200029"</f>
        <v>200029</v>
      </c>
      <c r="C2176" s="41" t="s">
        <v>1115</v>
      </c>
      <c r="D2176" s="4"/>
      <c r="E2176" s="4">
        <v>1</v>
      </c>
      <c r="F2176" s="4"/>
      <c r="G2176" s="29" t="str">
        <f>IFERROR(HYPERLINK("#"&amp;ADDRESS(MATCH(B2176&amp;"ES",'LM7 Non-ENG'!$A$1:$A$5000,0),1,,,"LM7 Non-ENG"),IF(IFERROR(VLOOKUP(B2176&amp;"ES",'LM7 Non-ENG'!$A$1:$A$4999,1,FALSE),"ERROR")=B2176&amp;"ES","Y","")),"")</f>
        <v/>
      </c>
      <c r="H2176" s="29" t="str">
        <f>IFERROR(HYPERLINK("#"&amp;ADDRESS(MATCH(B2176&amp;"PT",'LM7 Non-ENG'!$A$1:$A$5000,0),1,,,"LM7 Non-ENG"),IF(IFERROR(VLOOKUP(B2176&amp;"PT",'LM7 Non-ENG'!$A$1:$A$5000,1,FALSE),"ERROR")=B2176&amp;"PT","Y","")),"")</f>
        <v/>
      </c>
      <c r="I2176" t="str">
        <f>IFERROR(VLOOKUP(B2176,PN!$A:$C,3,FALSE),"")</f>
        <v>Active</v>
      </c>
      <c r="J2176" s="3" t="str">
        <f>IFERROR(E2176*VLOOKUP(B2176,PLInter!$A:$D,3,FALSE),"")</f>
        <v/>
      </c>
      <c r="K2176" s="66"/>
      <c r="L2176" s="66"/>
      <c r="M2176" s="66"/>
      <c r="N2176" s="66"/>
      <c r="O2176" s="66"/>
      <c r="P2176" s="66"/>
      <c r="Q2176" s="66"/>
      <c r="R2176" s="66"/>
      <c r="S2176" s="66"/>
    </row>
    <row r="2177" spans="1:19" ht="18" customHeight="1">
      <c r="B2177" t="str">
        <f>"411905"</f>
        <v>411905</v>
      </c>
      <c r="C2177" s="41" t="s">
        <v>1116</v>
      </c>
      <c r="D2177" s="4"/>
      <c r="E2177" s="4">
        <v>1</v>
      </c>
      <c r="F2177" s="4"/>
      <c r="G2177" s="29" t="str">
        <f>IFERROR(HYPERLINK("#"&amp;ADDRESS(MATCH(B2177&amp;"ES",'LM7 Non-ENG'!$A$1:$A$5000,0),1,,,"LM7 Non-ENG"),IF(IFERROR(VLOOKUP(B2177&amp;"ES",'LM7 Non-ENG'!$A$1:$A$4999,1,FALSE),"ERROR")=B2177&amp;"ES","Y","")),"")</f>
        <v/>
      </c>
      <c r="H2177" s="29" t="str">
        <f>IFERROR(HYPERLINK("#"&amp;ADDRESS(MATCH(B2177&amp;"PT",'LM7 Non-ENG'!$A$1:$A$5000,0),1,,,"LM7 Non-ENG"),IF(IFERROR(VLOOKUP(B2177&amp;"PT",'LM7 Non-ENG'!$A$1:$A$5000,1,FALSE),"ERROR")=B2177&amp;"PT","Y","")),"")</f>
        <v/>
      </c>
      <c r="I2177" t="str">
        <f>IFERROR(VLOOKUP(B2177,PN!$A:$C,3,FALSE),"")</f>
        <v>Active</v>
      </c>
      <c r="J2177" s="3" t="str">
        <f>IFERROR(E2177*VLOOKUP(B2177,PLInter!$A:$D,3,FALSE),"")</f>
        <v/>
      </c>
      <c r="K2177" s="66"/>
      <c r="L2177" s="66"/>
      <c r="M2177" s="66"/>
      <c r="N2177" s="66"/>
      <c r="O2177" s="66"/>
      <c r="P2177" s="66"/>
      <c r="Q2177" s="66"/>
      <c r="R2177" s="66"/>
      <c r="S2177" s="66"/>
    </row>
    <row r="2178" spans="1:19" ht="18" customHeight="1">
      <c r="B2178" t="s">
        <v>630</v>
      </c>
      <c r="C2178" t="s">
        <v>631</v>
      </c>
      <c r="D2178" s="4"/>
      <c r="E2178" s="4">
        <v>1</v>
      </c>
      <c r="F2178" s="4"/>
      <c r="G2178" s="29" t="str">
        <f>IFERROR(HYPERLINK("#"&amp;ADDRESS(MATCH(B2178&amp;"ES",'LM7 Non-ENG'!$A$1:$A$5000,0),1,,,"LM7 Non-ENG"),IF(IFERROR(VLOOKUP(B2178&amp;"ES",'LM7 Non-ENG'!$A$1:$A$4999,1,FALSE),"ERROR")=B2178&amp;"ES","Y","")),"")</f>
        <v/>
      </c>
      <c r="H2178" s="29" t="str">
        <f>IFERROR(HYPERLINK("#"&amp;ADDRESS(MATCH(B2178&amp;"PT",'LM7 Non-ENG'!$A$1:$A$5000,0),1,,,"LM7 Non-ENG"),IF(IFERROR(VLOOKUP(B2178&amp;"PT",'LM7 Non-ENG'!$A$1:$A$5000,1,FALSE),"ERROR")=B2178&amp;"PT","Y","")),"")</f>
        <v/>
      </c>
      <c r="I2178" t="str">
        <f>IFERROR(VLOOKUP(B2178,PN!$A:$C,3,FALSE),"")</f>
        <v>Active</v>
      </c>
      <c r="J2178" s="3">
        <f>IFERROR(E2178*VLOOKUP(B2178,PLInter!$A:$D,3,FALSE),"")</f>
        <v>1735</v>
      </c>
      <c r="K2178" s="66"/>
      <c r="L2178" s="66"/>
      <c r="M2178" s="66"/>
      <c r="N2178" s="66"/>
      <c r="O2178" s="66"/>
      <c r="P2178" s="66"/>
      <c r="Q2178" s="66"/>
      <c r="R2178" s="66"/>
      <c r="S2178" s="66"/>
    </row>
    <row r="2180" spans="1:19" s="7" customFormat="1" ht="18" customHeight="1">
      <c r="A2180" s="13" t="s">
        <v>1117</v>
      </c>
      <c r="B2180" s="13"/>
      <c r="C2180" s="13" t="s">
        <v>1118</v>
      </c>
      <c r="D2180" s="14"/>
      <c r="E2180" s="14"/>
      <c r="F2180" s="14"/>
      <c r="G2180" s="14"/>
      <c r="H2180" s="14"/>
      <c r="I2180" s="14"/>
      <c r="J2180" s="14">
        <f>SUMIFS(J2181:J2191,D2181:D2191,"&lt;&gt;Y",F2181:F2191,"&lt;&gt;Y",I2181:I2191,"&lt;&gt;Inactive",I2181:I2191,"&lt;&gt;ECO+NFS")</f>
        <v>48913</v>
      </c>
      <c r="K2180" s="14"/>
      <c r="L2180" s="14"/>
      <c r="M2180" s="14"/>
      <c r="N2180" s="14"/>
      <c r="O2180" s="14"/>
      <c r="P2180" s="14"/>
      <c r="Q2180" s="14"/>
      <c r="R2180" s="14"/>
      <c r="S2180" s="14"/>
    </row>
    <row r="2181" spans="1:19" ht="18" customHeight="1">
      <c r="A2181" s="17" t="str">
        <f>HYPERLINK("#"&amp;ADDRESS(MATCH(A2180,'CIM&amp;FMS'!$A$1:$A$4997,0),1,,,"CIM&amp;FMS"),"Back to Price List")</f>
        <v>Back to Price List</v>
      </c>
      <c r="B2181" t="s">
        <v>215</v>
      </c>
      <c r="C2181" t="s">
        <v>217</v>
      </c>
      <c r="D2181" s="4"/>
      <c r="E2181" s="4">
        <v>1</v>
      </c>
      <c r="F2181" s="4"/>
      <c r="G2181" s="29" t="str">
        <f>IFERROR(HYPERLINK("#"&amp;ADDRESS(MATCH(B2181&amp;"ES",'LM7 Non-ENG'!$A$1:$A$5000,0),1,,,"LM7 Non-ENG"),IF(IFERROR(VLOOKUP(B2181&amp;"ES",'LM7 Non-ENG'!$A$1:$A$4999,1,FALSE),"ERROR")=B2181&amp;"ES","Y","")),"")</f>
        <v/>
      </c>
      <c r="H2181" s="29" t="str">
        <f>IFERROR(HYPERLINK("#"&amp;ADDRESS(MATCH(B2181&amp;"PT",'LM7 Non-ENG'!$A$1:$A$5000,0),1,,,"LM7 Non-ENG"),IF(IFERROR(VLOOKUP(B2181&amp;"PT",'LM7 Non-ENG'!$A$1:$A$5000,1,FALSE),"ERROR")=B2181&amp;"PT","Y","")),"")</f>
        <v/>
      </c>
      <c r="I2181" t="str">
        <f>IFERROR(VLOOKUP(B2181,PN!$A:$C,3,FALSE),"")</f>
        <v>Active</v>
      </c>
      <c r="J2181" s="3">
        <f>IFERROR(E2181*VLOOKUP(B2181,PLInter!$A:$D,3,FALSE),"")</f>
        <v>35000</v>
      </c>
      <c r="K2181" s="66"/>
      <c r="L2181" s="66"/>
      <c r="M2181" s="66"/>
      <c r="N2181" s="66"/>
      <c r="O2181" s="66"/>
      <c r="P2181" s="66"/>
      <c r="Q2181" s="66"/>
      <c r="R2181" s="66"/>
      <c r="S2181" s="66"/>
    </row>
    <row r="2182" spans="1:19" ht="18" customHeight="1">
      <c r="B2182" t="s">
        <v>230</v>
      </c>
      <c r="C2182" t="s">
        <v>235</v>
      </c>
      <c r="D2182" s="4"/>
      <c r="E2182" s="4">
        <v>1</v>
      </c>
      <c r="F2182" s="4"/>
      <c r="G2182" s="29" t="str">
        <f>IFERROR(HYPERLINK("#"&amp;ADDRESS(MATCH(B2182&amp;"ES",'LM7 Non-ENG'!$A$1:$A$5000,0),1,,,"LM7 Non-ENG"),IF(IFERROR(VLOOKUP(B2182&amp;"ES",'LM7 Non-ENG'!$A$1:$A$4999,1,FALSE),"ERROR")=B2182&amp;"ES","Y","")),"")</f>
        <v/>
      </c>
      <c r="H2182" s="29" t="str">
        <f>IFERROR(HYPERLINK("#"&amp;ADDRESS(MATCH(B2182&amp;"PT",'LM7 Non-ENG'!$A$1:$A$5000,0),1,,,"LM7 Non-ENG"),IF(IFERROR(VLOOKUP(B2182&amp;"PT",'LM7 Non-ENG'!$A$1:$A$5000,1,FALSE),"ERROR")=B2182&amp;"PT","Y","")),"")</f>
        <v/>
      </c>
      <c r="I2182" t="str">
        <f>IFERROR(VLOOKUP(B2182,PN!$A:$C,3,FALSE),"")</f>
        <v>Active</v>
      </c>
      <c r="J2182" s="3">
        <f>IFERROR(E2182*VLOOKUP(B2182,PLInter!$A:$D,3,FALSE),"")</f>
        <v>3200</v>
      </c>
      <c r="K2182" s="66"/>
      <c r="L2182" s="66"/>
      <c r="M2182" s="66"/>
      <c r="N2182" s="66"/>
      <c r="O2182" s="66"/>
      <c r="P2182" s="66"/>
      <c r="Q2182" s="66"/>
      <c r="R2182" s="66"/>
      <c r="S2182" s="66"/>
    </row>
    <row r="2183" spans="1:19" ht="18" customHeight="1">
      <c r="B2183" t="str">
        <f>"021031"</f>
        <v>021031</v>
      </c>
      <c r="C2183" s="41" t="s">
        <v>1008</v>
      </c>
      <c r="D2183" s="4"/>
      <c r="E2183" s="4">
        <v>1</v>
      </c>
      <c r="F2183" s="4"/>
      <c r="G2183" s="29" t="str">
        <f>IFERROR(HYPERLINK("#"&amp;ADDRESS(MATCH(B2183&amp;"ES",'LM7 Non-ENG'!$A$1:$A$5000,0),1,,,"LM7 Non-ENG"),IF(IFERROR(VLOOKUP(B2183&amp;"ES",'LM7 Non-ENG'!$A$1:$A$4999,1,FALSE),"ERROR")=B2183&amp;"ES","Y","")),"")</f>
        <v/>
      </c>
      <c r="H2183" s="29" t="str">
        <f>IFERROR(HYPERLINK("#"&amp;ADDRESS(MATCH(B2183&amp;"PT",'LM7 Non-ENG'!$A$1:$A$5000,0),1,,,"LM7 Non-ENG"),IF(IFERROR(VLOOKUP(B2183&amp;"PT",'LM7 Non-ENG'!$A$1:$A$5000,1,FALSE),"ERROR")=B2183&amp;"PT","Y","")),"")</f>
        <v/>
      </c>
      <c r="I2183" t="str">
        <f>IFERROR(VLOOKUP(B2183,PN!$A:$C,3,FALSE),"")</f>
        <v>Active</v>
      </c>
      <c r="J2183" s="3">
        <f>IFERROR(E2183*VLOOKUP(B2183,PLInter!$A:$D,3,FALSE),"")</f>
        <v>54</v>
      </c>
      <c r="K2183" s="66"/>
      <c r="L2183" s="66"/>
      <c r="M2183" s="66"/>
      <c r="N2183" s="66"/>
      <c r="O2183" s="66"/>
      <c r="P2183" s="66"/>
      <c r="Q2183" s="66"/>
      <c r="R2183" s="66"/>
      <c r="S2183" s="66"/>
    </row>
    <row r="2184" spans="1:19" ht="18" customHeight="1">
      <c r="B2184" t="s">
        <v>684</v>
      </c>
      <c r="C2184" t="s">
        <v>685</v>
      </c>
      <c r="D2184" s="4"/>
      <c r="E2184" s="4">
        <v>2</v>
      </c>
      <c r="F2184" s="4"/>
      <c r="G2184" s="29" t="str">
        <f>IFERROR(HYPERLINK("#"&amp;ADDRESS(MATCH(B2184&amp;"ES",'LM7 Non-ENG'!$A$1:$A$5000,0),1,,,"LM7 Non-ENG"),IF(IFERROR(VLOOKUP(B2184&amp;"ES",'LM7 Non-ENG'!$A$1:$A$4999,1,FALSE),"ERROR")=B2184&amp;"ES","Y","")),"")</f>
        <v/>
      </c>
      <c r="H2184" s="29" t="str">
        <f>IFERROR(HYPERLINK("#"&amp;ADDRESS(MATCH(B2184&amp;"PT",'LM7 Non-ENG'!$A$1:$A$5000,0),1,,,"LM7 Non-ENG"),IF(IFERROR(VLOOKUP(B2184&amp;"PT",'LM7 Non-ENG'!$A$1:$A$5000,1,FALSE),"ERROR")=B2184&amp;"PT","Y","")),"")</f>
        <v/>
      </c>
      <c r="I2184" t="str">
        <f>IFERROR(VLOOKUP(B2184,PN!$A:$C,3,FALSE),"")</f>
        <v>Active</v>
      </c>
      <c r="J2184" s="3">
        <f>IFERROR(E2184*VLOOKUP(B2184,PLInter!$A:$D,3,FALSE),"")</f>
        <v>1160</v>
      </c>
      <c r="K2184" s="66"/>
      <c r="L2184" s="66"/>
      <c r="M2184" s="66"/>
      <c r="N2184" s="66"/>
      <c r="O2184" s="66"/>
      <c r="P2184" s="66"/>
      <c r="Q2184" s="66"/>
      <c r="R2184" s="66"/>
      <c r="S2184" s="66"/>
    </row>
    <row r="2185" spans="1:19" ht="18" customHeight="1">
      <c r="B2185" t="str">
        <f>"021177"</f>
        <v>021177</v>
      </c>
      <c r="C2185" t="s">
        <v>959</v>
      </c>
      <c r="D2185" s="4"/>
      <c r="E2185" s="4">
        <v>2</v>
      </c>
      <c r="F2185" s="4"/>
      <c r="G2185" s="29" t="str">
        <f>IFERROR(HYPERLINK("#"&amp;ADDRESS(MATCH(B2185&amp;"ES",'LM7 Non-ENG'!$A$1:$A$5000,0),1,,,"LM7 Non-ENG"),IF(IFERROR(VLOOKUP(B2185&amp;"ES",'LM7 Non-ENG'!$A$1:$A$4999,1,FALSE),"ERROR")=B2185&amp;"ES","Y","")),"")</f>
        <v/>
      </c>
      <c r="H2185" s="29" t="str">
        <f>IFERROR(HYPERLINK("#"&amp;ADDRESS(MATCH(B2185&amp;"PT",'LM7 Non-ENG'!$A$1:$A$5000,0),1,,,"LM7 Non-ENG"),IF(IFERROR(VLOOKUP(B2185&amp;"PT",'LM7 Non-ENG'!$A$1:$A$5000,1,FALSE),"ERROR")=B2185&amp;"PT","Y","")),"")</f>
        <v/>
      </c>
      <c r="I2185" t="str">
        <f>IFERROR(VLOOKUP(B2185,PN!$A:$C,3,FALSE),"")</f>
        <v>Active</v>
      </c>
      <c r="J2185" s="3">
        <f>IFERROR(E2185*VLOOKUP(B2185,PLInter!$A:$D,3,FALSE),"")</f>
        <v>60</v>
      </c>
      <c r="K2185" s="66"/>
      <c r="L2185" s="66"/>
      <c r="M2185" s="66"/>
      <c r="N2185" s="66"/>
      <c r="O2185" s="66"/>
      <c r="P2185" s="66"/>
      <c r="Q2185" s="66"/>
      <c r="R2185" s="66"/>
      <c r="S2185" s="66"/>
    </row>
    <row r="2186" spans="1:19" ht="18" customHeight="1">
      <c r="B2186" t="s">
        <v>917</v>
      </c>
      <c r="C2186" t="s">
        <v>951</v>
      </c>
      <c r="D2186" s="4"/>
      <c r="E2186" s="4">
        <v>1</v>
      </c>
      <c r="F2186" s="4"/>
      <c r="G2186" s="29" t="str">
        <f>IFERROR(HYPERLINK("#"&amp;ADDRESS(MATCH(B2186&amp;"ES",'LM7 Non-ENG'!$A$1:$A$5000,0),1,,,"LM7 Non-ENG"),IF(IFERROR(VLOOKUP(B2186&amp;"ES",'LM7 Non-ENG'!$A$1:$A$4999,1,FALSE),"ERROR")=B2186&amp;"ES","Y","")),"")</f>
        <v/>
      </c>
      <c r="H2186" s="29" t="str">
        <f>IFERROR(HYPERLINK("#"&amp;ADDRESS(MATCH(B2186&amp;"PT",'LM7 Non-ENG'!$A$1:$A$5000,0),1,,,"LM7 Non-ENG"),IF(IFERROR(VLOOKUP(B2186&amp;"PT",'LM7 Non-ENG'!$A$1:$A$5000,1,FALSE),"ERROR")=B2186&amp;"PT","Y","")),"")</f>
        <v/>
      </c>
      <c r="I2186" t="str">
        <f>IFERROR(VLOOKUP(B2186,PN!$A:$C,3,FALSE),"")</f>
        <v>Phase Out</v>
      </c>
      <c r="J2186" s="3">
        <f>IFERROR(E2186*VLOOKUP(B2186,PLInter!$A:$D,3,FALSE),"")</f>
        <v>1735</v>
      </c>
      <c r="K2186" s="66"/>
      <c r="L2186" s="66"/>
      <c r="M2186" s="66"/>
      <c r="N2186" s="66"/>
      <c r="O2186" s="66"/>
      <c r="P2186" s="66"/>
      <c r="Q2186" s="66"/>
      <c r="R2186" s="66"/>
      <c r="S2186" s="66"/>
    </row>
    <row r="2187" spans="1:19" ht="18" customHeight="1">
      <c r="B2187" t="s">
        <v>919</v>
      </c>
      <c r="C2187" t="s">
        <v>952</v>
      </c>
      <c r="D2187" s="4"/>
      <c r="E2187" s="4">
        <v>1</v>
      </c>
      <c r="F2187" s="4"/>
      <c r="G2187" s="29" t="str">
        <f>IFERROR(HYPERLINK("#"&amp;ADDRESS(MATCH(B2187&amp;"ES",'LM7 Non-ENG'!$A$1:$A$5000,0),1,,,"LM7 Non-ENG"),IF(IFERROR(VLOOKUP(B2187&amp;"ES",'LM7 Non-ENG'!$A$1:$A$4999,1,FALSE),"ERROR")=B2187&amp;"ES","Y","")),"")</f>
        <v/>
      </c>
      <c r="H2187" s="29" t="str">
        <f>IFERROR(HYPERLINK("#"&amp;ADDRESS(MATCH(B2187&amp;"PT",'LM7 Non-ENG'!$A$1:$A$5000,0),1,,,"LM7 Non-ENG"),IF(IFERROR(VLOOKUP(B2187&amp;"PT",'LM7 Non-ENG'!$A$1:$A$5000,1,FALSE),"ERROR")=B2187&amp;"PT","Y","")),"")</f>
        <v/>
      </c>
      <c r="I2187" t="str">
        <f>IFERROR(VLOOKUP(B2187,PN!$A:$C,3,FALSE),"")</f>
        <v>Active</v>
      </c>
      <c r="J2187" s="3">
        <f>IFERROR(E2187*VLOOKUP(B2187,PLInter!$A:$D,3,FALSE),"")</f>
        <v>635</v>
      </c>
      <c r="K2187" s="66"/>
      <c r="L2187" s="66"/>
      <c r="M2187" s="66"/>
      <c r="N2187" s="66"/>
      <c r="O2187" s="66"/>
      <c r="P2187" s="66"/>
      <c r="Q2187" s="66"/>
      <c r="R2187" s="66"/>
      <c r="S2187" s="66"/>
    </row>
    <row r="2188" spans="1:19" ht="18" customHeight="1">
      <c r="B2188" t="s">
        <v>902</v>
      </c>
      <c r="C2188" t="s">
        <v>903</v>
      </c>
      <c r="D2188" s="4"/>
      <c r="E2188" s="4">
        <v>1</v>
      </c>
      <c r="F2188" s="4"/>
      <c r="G2188" s="29" t="str">
        <f>IFERROR(HYPERLINK("#"&amp;ADDRESS(MATCH(B2188&amp;"ES",'LM7 Non-ENG'!$A$1:$A$5000,0),1,,,"LM7 Non-ENG"),IF(IFERROR(VLOOKUP(B2188&amp;"ES",'LM7 Non-ENG'!$A$1:$A$4999,1,FALSE),"ERROR")=B2188&amp;"ES","Y","")),"")</f>
        <v/>
      </c>
      <c r="H2188" s="29" t="str">
        <f>IFERROR(HYPERLINK("#"&amp;ADDRESS(MATCH(B2188&amp;"PT",'LM7 Non-ENG'!$A$1:$A$5000,0),1,,,"LM7 Non-ENG"),IF(IFERROR(VLOOKUP(B2188&amp;"PT",'LM7 Non-ENG'!$A$1:$A$5000,1,FALSE),"ERROR")=B2188&amp;"PT","Y","")),"")</f>
        <v/>
      </c>
      <c r="I2188" t="str">
        <f>IFERROR(VLOOKUP(B2188,PN!$A:$C,3,FALSE),"")</f>
        <v>Active</v>
      </c>
      <c r="J2188" s="3">
        <f>IFERROR(E2188*VLOOKUP(B2188,PLInter!$A:$D,3,FALSE),"")</f>
        <v>2000</v>
      </c>
      <c r="K2188" s="66"/>
      <c r="L2188" s="66"/>
      <c r="M2188" s="66"/>
      <c r="N2188" s="66"/>
      <c r="O2188" s="66"/>
      <c r="P2188" s="66"/>
      <c r="Q2188" s="66"/>
      <c r="R2188" s="66"/>
      <c r="S2188" s="66"/>
    </row>
    <row r="2189" spans="1:19" ht="18" customHeight="1">
      <c r="B2189" t="s">
        <v>244</v>
      </c>
      <c r="C2189" t="s">
        <v>247</v>
      </c>
      <c r="D2189" s="4"/>
      <c r="E2189" s="4">
        <v>1</v>
      </c>
      <c r="F2189" s="4"/>
      <c r="G2189" s="29" t="str">
        <f>IFERROR(HYPERLINK("#"&amp;ADDRESS(MATCH(B2189&amp;"ES",'LM7 Non-ENG'!$A$1:$A$5000,0),1,,,"LM7 Non-ENG"),IF(IFERROR(VLOOKUP(B2189&amp;"ES",'LM7 Non-ENG'!$A$1:$A$4999,1,FALSE),"ERROR")=B2189&amp;"ES","Y","")),"")</f>
        <v/>
      </c>
      <c r="H2189" s="29" t="str">
        <f>IFERROR(HYPERLINK("#"&amp;ADDRESS(MATCH(B2189&amp;"PT",'LM7 Non-ENG'!$A$1:$A$5000,0),1,,,"LM7 Non-ENG"),IF(IFERROR(VLOOKUP(B2189&amp;"PT",'LM7 Non-ENG'!$A$1:$A$5000,1,FALSE),"ERROR")=B2189&amp;"PT","Y","")),"")</f>
        <v/>
      </c>
      <c r="I2189" t="str">
        <f>IFERROR(VLOOKUP(B2189,PN!$A:$C,3,FALSE),"")</f>
        <v>Active</v>
      </c>
      <c r="J2189" s="3">
        <f>IFERROR(E2189*VLOOKUP(B2189,PLInter!$A:$D,3,FALSE),"")</f>
        <v>2400</v>
      </c>
      <c r="K2189" s="66"/>
      <c r="L2189" s="66"/>
      <c r="M2189" s="66"/>
      <c r="N2189" s="66"/>
      <c r="O2189" s="66"/>
      <c r="P2189" s="66"/>
      <c r="Q2189" s="66"/>
      <c r="R2189" s="66"/>
      <c r="S2189" s="66"/>
    </row>
    <row r="2190" spans="1:19" ht="18" customHeight="1">
      <c r="B2190" t="s">
        <v>697</v>
      </c>
      <c r="C2190" t="s">
        <v>698</v>
      </c>
      <c r="D2190" s="4"/>
      <c r="E2190" s="4">
        <v>1</v>
      </c>
      <c r="F2190" s="4"/>
      <c r="G2190" s="29" t="str">
        <f>IFERROR(HYPERLINK("#"&amp;ADDRESS(MATCH(B2190&amp;"ES",'LM7 Non-ENG'!$A$1:$A$5000,0),1,,,"LM7 Non-ENG"),IF(IFERROR(VLOOKUP(B2190&amp;"ES",'LM7 Non-ENG'!$A$1:$A$4999,1,FALSE),"ERROR")=B2190&amp;"ES","Y","")),"")</f>
        <v/>
      </c>
      <c r="H2190" s="29" t="str">
        <f>IFERROR(HYPERLINK("#"&amp;ADDRESS(MATCH(B2190&amp;"PT",'LM7 Non-ENG'!$A$1:$A$5000,0),1,,,"LM7 Non-ENG"),IF(IFERROR(VLOOKUP(B2190&amp;"PT",'LM7 Non-ENG'!$A$1:$A$5000,1,FALSE),"ERROR")=B2190&amp;"PT","Y","")),"")</f>
        <v/>
      </c>
      <c r="I2190" t="str">
        <f>IFERROR(VLOOKUP(B2190,PN!$A:$C,3,FALSE),"")</f>
        <v>Active</v>
      </c>
      <c r="J2190" s="3">
        <f>IFERROR(E2190*VLOOKUP(B2190,PLInter!$A:$D,3,FALSE),"")</f>
        <v>934</v>
      </c>
      <c r="K2190" s="66"/>
      <c r="L2190" s="66"/>
      <c r="M2190" s="66"/>
      <c r="N2190" s="66"/>
      <c r="O2190" s="66"/>
      <c r="P2190" s="66"/>
      <c r="Q2190" s="66"/>
      <c r="R2190" s="66"/>
      <c r="S2190" s="66"/>
    </row>
    <row r="2191" spans="1:19" ht="18" customHeight="1">
      <c r="B2191" t="s">
        <v>630</v>
      </c>
      <c r="C2191" t="s">
        <v>631</v>
      </c>
      <c r="D2191" s="4"/>
      <c r="E2191" s="4">
        <v>1</v>
      </c>
      <c r="F2191" s="4"/>
      <c r="G2191" s="29" t="str">
        <f>IFERROR(HYPERLINK("#"&amp;ADDRESS(MATCH(B2191&amp;"ES",'LM7 Non-ENG'!$A$1:$A$5000,0),1,,,"LM7 Non-ENG"),IF(IFERROR(VLOOKUP(B2191&amp;"ES",'LM7 Non-ENG'!$A$1:$A$4999,1,FALSE),"ERROR")=B2191&amp;"ES","Y","")),"")</f>
        <v/>
      </c>
      <c r="H2191" s="29" t="str">
        <f>IFERROR(HYPERLINK("#"&amp;ADDRESS(MATCH(B2191&amp;"PT",'LM7 Non-ENG'!$A$1:$A$5000,0),1,,,"LM7 Non-ENG"),IF(IFERROR(VLOOKUP(B2191&amp;"PT",'LM7 Non-ENG'!$A$1:$A$5000,1,FALSE),"ERROR")=B2191&amp;"PT","Y","")),"")</f>
        <v/>
      </c>
      <c r="I2191" t="str">
        <f>IFERROR(VLOOKUP(B2191,PN!$A:$C,3,FALSE),"")</f>
        <v>Active</v>
      </c>
      <c r="J2191" s="3">
        <f>IFERROR(E2191*VLOOKUP(B2191,PLInter!$A:$D,3,FALSE),"")</f>
        <v>1735</v>
      </c>
      <c r="K2191" s="66"/>
      <c r="L2191" s="66"/>
      <c r="M2191" s="66"/>
      <c r="N2191" s="66"/>
      <c r="O2191" s="66"/>
      <c r="P2191" s="66"/>
      <c r="Q2191" s="66"/>
      <c r="R2191" s="66"/>
      <c r="S2191" s="66"/>
    </row>
    <row r="2193" spans="1:19" s="7" customFormat="1" ht="18" customHeight="1">
      <c r="A2193" s="13" t="s">
        <v>1120</v>
      </c>
      <c r="B2193" s="13"/>
      <c r="C2193" s="13" t="s">
        <v>1121</v>
      </c>
      <c r="D2193" s="14"/>
      <c r="E2193" s="14"/>
      <c r="F2193" s="14"/>
      <c r="G2193" s="14"/>
      <c r="H2193" s="14"/>
      <c r="I2193" s="14"/>
      <c r="J2193" s="14">
        <f>SUMIFS(J2194:J2198,D2194:D2198,"&lt;&gt;Y",F2194:F2198,"&lt;&gt;Y",I2194:I2198,"&lt;&gt;Inactive",I2194:I2198,"&lt;&gt;ECO+NFS")</f>
        <v>67105</v>
      </c>
      <c r="K2193" s="14"/>
      <c r="L2193" s="14"/>
      <c r="M2193" s="14"/>
      <c r="N2193" s="14"/>
      <c r="O2193" s="14"/>
      <c r="P2193" s="14"/>
      <c r="Q2193" s="14"/>
      <c r="R2193" s="14"/>
      <c r="S2193" s="14"/>
    </row>
    <row r="2194" spans="1:19" ht="18" customHeight="1">
      <c r="A2194" s="17" t="str">
        <f>HYPERLINK("#"&amp;ADDRESS(MATCH(A2193,'CIM&amp;FMS'!$A$1:$A$4997,0),1,,,"CIM&amp;FMS"),"Back to Price List")</f>
        <v>Back to Price List</v>
      </c>
      <c r="B2194" t="s">
        <v>1122</v>
      </c>
      <c r="C2194" t="s">
        <v>1123</v>
      </c>
      <c r="D2194" s="4"/>
      <c r="E2194" s="4">
        <v>1</v>
      </c>
      <c r="F2194" s="4"/>
      <c r="G2194" s="29" t="str">
        <f>IFERROR(HYPERLINK("#"&amp;ADDRESS(MATCH(B2194&amp;"ES",'LM7 Non-ENG'!$A$1:$A$5000,0),1,,,"LM7 Non-ENG"),IF(IFERROR(VLOOKUP(B2194&amp;"ES",'LM7 Non-ENG'!$A$1:$A$4999,1,FALSE),"ERROR")=B2194&amp;"ES","Y","")),"")</f>
        <v/>
      </c>
      <c r="H2194" s="29" t="str">
        <f>IFERROR(HYPERLINK("#"&amp;ADDRESS(MATCH(B2194&amp;"PT",'LM7 Non-ENG'!$A$1:$A$5000,0),1,,,"LM7 Non-ENG"),IF(IFERROR(VLOOKUP(B2194&amp;"PT",'LM7 Non-ENG'!$A$1:$A$5000,1,FALSE),"ERROR")=B2194&amp;"PT","Y","")),"")</f>
        <v/>
      </c>
      <c r="I2194" t="str">
        <f>IFERROR(VLOOKUP(B2194,PN!$A:$C,3,FALSE),"")</f>
        <v>Active</v>
      </c>
      <c r="J2194" s="3">
        <f>IFERROR(E2194*VLOOKUP(B2194,PLInter!$A:$D,3,FALSE),"")</f>
        <v>15750</v>
      </c>
      <c r="K2194" s="66"/>
      <c r="L2194" s="66"/>
      <c r="M2194" s="66"/>
      <c r="N2194" s="66"/>
      <c r="O2194" s="66"/>
      <c r="P2194" s="66"/>
      <c r="Q2194" s="66"/>
      <c r="R2194" s="66"/>
      <c r="S2194" s="66"/>
    </row>
    <row r="2195" spans="1:19" ht="18" customHeight="1">
      <c r="B2195" t="s">
        <v>1124</v>
      </c>
      <c r="C2195" t="s">
        <v>1125</v>
      </c>
      <c r="D2195" s="4"/>
      <c r="E2195" s="4">
        <v>4</v>
      </c>
      <c r="F2195" s="4"/>
      <c r="G2195" s="29" t="str">
        <f>IFERROR(HYPERLINK("#"&amp;ADDRESS(MATCH(B2195&amp;"ES",'LM7 Non-ENG'!$A$1:$A$5000,0),1,,,"LM7 Non-ENG"),IF(IFERROR(VLOOKUP(B2195&amp;"ES",'LM7 Non-ENG'!$A$1:$A$4999,1,FALSE),"ERROR")=B2195&amp;"ES","Y","")),"")</f>
        <v/>
      </c>
      <c r="H2195" s="29" t="str">
        <f>IFERROR(HYPERLINK("#"&amp;ADDRESS(MATCH(B2195&amp;"PT",'LM7 Non-ENG'!$A$1:$A$5000,0),1,,,"LM7 Non-ENG"),IF(IFERROR(VLOOKUP(B2195&amp;"PT",'LM7 Non-ENG'!$A$1:$A$5000,1,FALSE),"ERROR")=B2195&amp;"PT","Y","")),"")</f>
        <v/>
      </c>
      <c r="I2195" t="str">
        <f>IFERROR(VLOOKUP(B2195,PN!$A:$C,3,FALSE),"")</f>
        <v>Active</v>
      </c>
      <c r="J2195" s="3">
        <f>IFERROR(E2195*VLOOKUP(B2195,PLInter!$A:$D,3,FALSE),"")</f>
        <v>5880</v>
      </c>
      <c r="K2195" s="66"/>
      <c r="L2195" s="66"/>
      <c r="M2195" s="66"/>
      <c r="N2195" s="66"/>
      <c r="O2195" s="66"/>
      <c r="P2195" s="66"/>
      <c r="Q2195" s="66"/>
      <c r="R2195" s="66"/>
      <c r="S2195" s="66"/>
    </row>
    <row r="2196" spans="1:19" ht="18" customHeight="1">
      <c r="B2196" t="s">
        <v>1126</v>
      </c>
      <c r="C2196" t="s">
        <v>1127</v>
      </c>
      <c r="D2196" s="4"/>
      <c r="E2196" s="4">
        <v>12</v>
      </c>
      <c r="F2196" s="4"/>
      <c r="G2196" s="29" t="str">
        <f>IFERROR(HYPERLINK("#"&amp;ADDRESS(MATCH(B2196&amp;"ES",'LM7 Non-ENG'!$A$1:$A$5000,0),1,,,"LM7 Non-ENG"),IF(IFERROR(VLOOKUP(B2196&amp;"ES",'LM7 Non-ENG'!$A$1:$A$4999,1,FALSE),"ERROR")=B2196&amp;"ES","Y","")),"")</f>
        <v/>
      </c>
      <c r="H2196" s="29" t="str">
        <f>IFERROR(HYPERLINK("#"&amp;ADDRESS(MATCH(B2196&amp;"PT",'LM7 Non-ENG'!$A$1:$A$5000,0),1,,,"LM7 Non-ENG"),IF(IFERROR(VLOOKUP(B2196&amp;"PT",'LM7 Non-ENG'!$A$1:$A$5000,1,FALSE),"ERROR")=B2196&amp;"PT","Y","")),"")</f>
        <v/>
      </c>
      <c r="I2196" t="str">
        <f>IFERROR(VLOOKUP(B2196,PN!$A:$C,3,FALSE),"")</f>
        <v>Active</v>
      </c>
      <c r="J2196" s="3">
        <f>IFERROR(E2196*VLOOKUP(B2196,PLInter!$A:$D,3,FALSE),"")</f>
        <v>10800</v>
      </c>
      <c r="K2196" s="66"/>
      <c r="L2196" s="66"/>
      <c r="M2196" s="66"/>
      <c r="N2196" s="66"/>
      <c r="O2196" s="66"/>
      <c r="P2196" s="66"/>
      <c r="Q2196" s="66"/>
      <c r="R2196" s="66"/>
      <c r="S2196" s="66"/>
    </row>
    <row r="2197" spans="1:19" ht="18" customHeight="1">
      <c r="B2197" t="s">
        <v>1128</v>
      </c>
      <c r="C2197" t="s">
        <v>1129</v>
      </c>
      <c r="D2197" s="4"/>
      <c r="E2197" s="4">
        <v>15</v>
      </c>
      <c r="F2197" s="4"/>
      <c r="G2197" s="29" t="str">
        <f>IFERROR(HYPERLINK("#"&amp;ADDRESS(MATCH(B2197&amp;"ES",'LM7 Non-ENG'!$A$1:$A$5000,0),1,,,"LM7 Non-ENG"),IF(IFERROR(VLOOKUP(B2197&amp;"ES",'LM7 Non-ENG'!$A$1:$A$4999,1,FALSE),"ERROR")=B2197&amp;"ES","Y","")),"")</f>
        <v/>
      </c>
      <c r="H2197" s="29" t="str">
        <f>IFERROR(HYPERLINK("#"&amp;ADDRESS(MATCH(B2197&amp;"PT",'LM7 Non-ENG'!$A$1:$A$5000,0),1,,,"LM7 Non-ENG"),IF(IFERROR(VLOOKUP(B2197&amp;"PT",'LM7 Non-ENG'!$A$1:$A$5000,1,FALSE),"ERROR")=B2197&amp;"PT","Y","")),"")</f>
        <v/>
      </c>
      <c r="I2197" t="str">
        <f>IFERROR(VLOOKUP(B2197,PN!$A:$C,3,FALSE),"")</f>
        <v>Active</v>
      </c>
      <c r="J2197" s="3">
        <f>IFERROR(E2197*VLOOKUP(B2197,PLInter!$A:$D,3,FALSE),"")</f>
        <v>33675</v>
      </c>
      <c r="K2197" s="66"/>
      <c r="L2197" s="66"/>
      <c r="M2197" s="66"/>
      <c r="N2197" s="66"/>
      <c r="O2197" s="66"/>
      <c r="P2197" s="66"/>
      <c r="Q2197" s="66"/>
      <c r="R2197" s="66"/>
      <c r="S2197" s="66"/>
    </row>
    <row r="2198" spans="1:19" ht="18" customHeight="1">
      <c r="B2198" t="str">
        <f>"021041"</f>
        <v>021041</v>
      </c>
      <c r="C2198" s="41" t="s">
        <v>1130</v>
      </c>
      <c r="D2198" s="4"/>
      <c r="E2198" s="4">
        <v>1</v>
      </c>
      <c r="F2198" s="4"/>
      <c r="G2198" s="29" t="str">
        <f>IFERROR(HYPERLINK("#"&amp;ADDRESS(MATCH(B2198&amp;"ES",'LM7 Non-ENG'!$A$1:$A$5000,0),1,,,"LM7 Non-ENG"),IF(IFERROR(VLOOKUP(B2198&amp;"ES",'LM7 Non-ENG'!$A$1:$A$4999,1,FALSE),"ERROR")=B2198&amp;"ES","Y","")),"")</f>
        <v/>
      </c>
      <c r="H2198" s="29" t="str">
        <f>IFERROR(HYPERLINK("#"&amp;ADDRESS(MATCH(B2198&amp;"PT",'LM7 Non-ENG'!$A$1:$A$5000,0),1,,,"LM7 Non-ENG"),IF(IFERROR(VLOOKUP(B2198&amp;"PT",'LM7 Non-ENG'!$A$1:$A$5000,1,FALSE),"ERROR")=B2198&amp;"PT","Y","")),"")</f>
        <v/>
      </c>
      <c r="I2198" t="str">
        <f>IFERROR(VLOOKUP(B2198,PN!$A:$C,3,FALSE),"")</f>
        <v>Active</v>
      </c>
      <c r="J2198" s="3">
        <f>IFERROR(E2198*VLOOKUP(B2198,PLInter!$A:$D,3,FALSE),"")</f>
        <v>1000</v>
      </c>
      <c r="K2198" s="66"/>
      <c r="L2198" s="66"/>
      <c r="M2198" s="66"/>
      <c r="N2198" s="66"/>
      <c r="O2198" s="66"/>
      <c r="P2198" s="66"/>
      <c r="Q2198" s="66"/>
      <c r="R2198" s="66"/>
      <c r="S2198" s="66"/>
    </row>
    <row r="2200" spans="1:19" s="7" customFormat="1" ht="18" customHeight="1">
      <c r="A2200" s="13" t="s">
        <v>1131</v>
      </c>
      <c r="B2200" s="13"/>
      <c r="C2200" s="13" t="s">
        <v>1132</v>
      </c>
      <c r="D2200" s="14"/>
      <c r="E2200" s="14"/>
      <c r="F2200" s="14"/>
      <c r="G2200" s="14"/>
      <c r="H2200" s="14"/>
      <c r="I2200" s="14"/>
      <c r="J2200" s="14">
        <f>SUMIFS(J2201:J2205,D2201:D2205,"&lt;&gt;Y",F2201:F2205,"&lt;&gt;Y",I2201:I2205,"&lt;&gt;Inactive",I2201:I2205,"&lt;&gt;ECO+NFS")</f>
        <v>27715</v>
      </c>
      <c r="K2200" s="14"/>
      <c r="L2200" s="14"/>
      <c r="M2200" s="14"/>
      <c r="N2200" s="14"/>
      <c r="O2200" s="14"/>
      <c r="P2200" s="14"/>
      <c r="Q2200" s="14"/>
      <c r="R2200" s="14"/>
      <c r="S2200" s="14"/>
    </row>
    <row r="2201" spans="1:19" ht="18" customHeight="1">
      <c r="A2201" s="17" t="str">
        <f>HYPERLINK("#"&amp;ADDRESS(MATCH(A2200,'CIM&amp;FMS'!$A$1:$A$4997,0),1,,,"CIM&amp;FMS"),"Back to Price List")</f>
        <v>Back to Price List</v>
      </c>
      <c r="B2201" t="s">
        <v>1122</v>
      </c>
      <c r="C2201" t="s">
        <v>1123</v>
      </c>
      <c r="D2201" s="4"/>
      <c r="E2201" s="4">
        <v>1</v>
      </c>
      <c r="F2201" s="4"/>
      <c r="G2201" s="29" t="str">
        <f>IFERROR(HYPERLINK("#"&amp;ADDRESS(MATCH(B2201&amp;"ES",'LM7 Non-ENG'!$A$1:$A$5000,0),1,,,"LM7 Non-ENG"),IF(IFERROR(VLOOKUP(B2201&amp;"ES",'LM7 Non-ENG'!$A$1:$A$4999,1,FALSE),"ERROR")=B2201&amp;"ES","Y","")),"")</f>
        <v/>
      </c>
      <c r="H2201" s="29" t="str">
        <f>IFERROR(HYPERLINK("#"&amp;ADDRESS(MATCH(B2201&amp;"PT",'LM7 Non-ENG'!$A$1:$A$5000,0),1,,,"LM7 Non-ENG"),IF(IFERROR(VLOOKUP(B2201&amp;"PT",'LM7 Non-ENG'!$A$1:$A$5000,1,FALSE),"ERROR")=B2201&amp;"PT","Y","")),"")</f>
        <v/>
      </c>
      <c r="I2201" t="str">
        <f>IFERROR(VLOOKUP(B2201,PN!$A:$C,3,FALSE),"")</f>
        <v>Active</v>
      </c>
      <c r="J2201" s="3">
        <f>IFERROR(E2201*VLOOKUP(B2201,PLInter!$A:$D,3,FALSE),"")</f>
        <v>15750</v>
      </c>
      <c r="K2201" s="66"/>
      <c r="L2201" s="66"/>
      <c r="M2201" s="66"/>
      <c r="N2201" s="66"/>
      <c r="O2201" s="66"/>
      <c r="P2201" s="66"/>
      <c r="Q2201" s="66"/>
      <c r="R2201" s="66"/>
      <c r="S2201" s="66"/>
    </row>
    <row r="2202" spans="1:19" ht="18" customHeight="1">
      <c r="B2202" t="s">
        <v>1124</v>
      </c>
      <c r="C2202" t="s">
        <v>1125</v>
      </c>
      <c r="D2202" s="4"/>
      <c r="E2202" s="4">
        <v>4</v>
      </c>
      <c r="F2202" s="4"/>
      <c r="G2202" s="29" t="str">
        <f>IFERROR(HYPERLINK("#"&amp;ADDRESS(MATCH(B2202&amp;"ES",'LM7 Non-ENG'!$A$1:$A$5000,0),1,,,"LM7 Non-ENG"),IF(IFERROR(VLOOKUP(B2202&amp;"ES",'LM7 Non-ENG'!$A$1:$A$4999,1,FALSE),"ERROR")=B2202&amp;"ES","Y","")),"")</f>
        <v/>
      </c>
      <c r="H2202" s="29" t="str">
        <f>IFERROR(HYPERLINK("#"&amp;ADDRESS(MATCH(B2202&amp;"PT",'LM7 Non-ENG'!$A$1:$A$5000,0),1,,,"LM7 Non-ENG"),IF(IFERROR(VLOOKUP(B2202&amp;"PT",'LM7 Non-ENG'!$A$1:$A$5000,1,FALSE),"ERROR")=B2202&amp;"PT","Y","")),"")</f>
        <v/>
      </c>
      <c r="I2202" t="str">
        <f>IFERROR(VLOOKUP(B2202,PN!$A:$C,3,FALSE),"")</f>
        <v>Active</v>
      </c>
      <c r="J2202" s="3">
        <f>IFERROR(E2202*VLOOKUP(B2202,PLInter!$A:$D,3,FALSE),"")</f>
        <v>5880</v>
      </c>
      <c r="K2202" s="66"/>
      <c r="L2202" s="66"/>
      <c r="M2202" s="66"/>
      <c r="N2202" s="66"/>
      <c r="O2202" s="66"/>
      <c r="P2202" s="66"/>
      <c r="Q2202" s="66"/>
      <c r="R2202" s="66"/>
      <c r="S2202" s="66"/>
    </row>
    <row r="2203" spans="1:19" ht="18" customHeight="1">
      <c r="B2203" t="s">
        <v>1128</v>
      </c>
      <c r="C2203" t="s">
        <v>1129</v>
      </c>
      <c r="D2203" s="4"/>
      <c r="E2203" s="4">
        <v>1</v>
      </c>
      <c r="F2203" s="4"/>
      <c r="G2203" s="29" t="str">
        <f>IFERROR(HYPERLINK("#"&amp;ADDRESS(MATCH(B2203&amp;"ES",'LM7 Non-ENG'!$A$1:$A$5000,0),1,,,"LM7 Non-ENG"),IF(IFERROR(VLOOKUP(B2203&amp;"ES",'LM7 Non-ENG'!$A$1:$A$4999,1,FALSE),"ERROR")=B2203&amp;"ES","Y","")),"")</f>
        <v/>
      </c>
      <c r="H2203" s="29" t="str">
        <f>IFERROR(HYPERLINK("#"&amp;ADDRESS(MATCH(B2203&amp;"PT",'LM7 Non-ENG'!$A$1:$A$5000,0),1,,,"LM7 Non-ENG"),IF(IFERROR(VLOOKUP(B2203&amp;"PT",'LM7 Non-ENG'!$A$1:$A$5000,1,FALSE),"ERROR")=B2203&amp;"PT","Y","")),"")</f>
        <v/>
      </c>
      <c r="I2203" t="str">
        <f>IFERROR(VLOOKUP(B2203,PN!$A:$C,3,FALSE),"")</f>
        <v>Active</v>
      </c>
      <c r="J2203" s="3">
        <f>IFERROR(E2203*VLOOKUP(B2203,PLInter!$A:$D,3,FALSE),"")</f>
        <v>2245</v>
      </c>
      <c r="K2203" s="66"/>
      <c r="L2203" s="66"/>
      <c r="M2203" s="66"/>
      <c r="N2203" s="66"/>
      <c r="O2203" s="66"/>
      <c r="P2203" s="66"/>
      <c r="Q2203" s="66"/>
      <c r="R2203" s="66"/>
      <c r="S2203" s="66"/>
    </row>
    <row r="2204" spans="1:19" ht="18" customHeight="1">
      <c r="B2204" t="s">
        <v>1133</v>
      </c>
      <c r="C2204" t="s">
        <v>1134</v>
      </c>
      <c r="D2204" s="4"/>
      <c r="E2204" s="4">
        <v>2</v>
      </c>
      <c r="F2204" s="4"/>
      <c r="G2204" s="29" t="str">
        <f>IFERROR(HYPERLINK("#"&amp;ADDRESS(MATCH(B2204&amp;"ES",'LM7 Non-ENG'!$A$1:$A$5000,0),1,,,"LM7 Non-ENG"),IF(IFERROR(VLOOKUP(B2204&amp;"ES",'LM7 Non-ENG'!$A$1:$A$4999,1,FALSE),"ERROR")=B2204&amp;"ES","Y","")),"")</f>
        <v/>
      </c>
      <c r="H2204" s="29" t="str">
        <f>IFERROR(HYPERLINK("#"&amp;ADDRESS(MATCH(B2204&amp;"PT",'LM7 Non-ENG'!$A$1:$A$5000,0),1,,,"LM7 Non-ENG"),IF(IFERROR(VLOOKUP(B2204&amp;"PT",'LM7 Non-ENG'!$A$1:$A$5000,1,FALSE),"ERROR")=B2204&amp;"PT","Y","")),"")</f>
        <v/>
      </c>
      <c r="I2204" t="str">
        <f>IFERROR(VLOOKUP(B2204,PN!$A:$C,3,FALSE),"")</f>
        <v>Active</v>
      </c>
      <c r="J2204" s="3">
        <f>IFERROR(E2204*VLOOKUP(B2204,PLInter!$A:$D,3,FALSE),"")</f>
        <v>2840</v>
      </c>
      <c r="K2204" s="66"/>
      <c r="L2204" s="66"/>
      <c r="M2204" s="66"/>
      <c r="N2204" s="66"/>
      <c r="O2204" s="66"/>
      <c r="P2204" s="66"/>
      <c r="Q2204" s="66"/>
      <c r="R2204" s="66"/>
      <c r="S2204" s="66"/>
    </row>
    <row r="2205" spans="1:19" ht="18" customHeight="1">
      <c r="B2205" t="str">
        <f>"021041"</f>
        <v>021041</v>
      </c>
      <c r="C2205" s="41" t="s">
        <v>1130</v>
      </c>
      <c r="D2205" s="4"/>
      <c r="E2205" s="4">
        <v>1</v>
      </c>
      <c r="F2205" s="4"/>
      <c r="G2205" s="29" t="str">
        <f>IFERROR(HYPERLINK("#"&amp;ADDRESS(MATCH(B2205&amp;"ES",'LM7 Non-ENG'!$A$1:$A$5000,0),1,,,"LM7 Non-ENG"),IF(IFERROR(VLOOKUP(B2205&amp;"ES",'LM7 Non-ENG'!$A$1:$A$4999,1,FALSE),"ERROR")=B2205&amp;"ES","Y","")),"")</f>
        <v/>
      </c>
      <c r="H2205" s="29" t="str">
        <f>IFERROR(HYPERLINK("#"&amp;ADDRESS(MATCH(B2205&amp;"PT",'LM7 Non-ENG'!$A$1:$A$5000,0),1,,,"LM7 Non-ENG"),IF(IFERROR(VLOOKUP(B2205&amp;"PT",'LM7 Non-ENG'!$A$1:$A$5000,1,FALSE),"ERROR")=B2205&amp;"PT","Y","")),"")</f>
        <v/>
      </c>
      <c r="I2205" t="str">
        <f>IFERROR(VLOOKUP(B2205,PN!$A:$C,3,FALSE),"")</f>
        <v>Active</v>
      </c>
      <c r="J2205" s="3">
        <f>IFERROR(E2205*VLOOKUP(B2205,PLInter!$A:$D,3,FALSE),"")</f>
        <v>1000</v>
      </c>
      <c r="K2205" s="66"/>
      <c r="L2205" s="66"/>
      <c r="M2205" s="66"/>
      <c r="N2205" s="66"/>
      <c r="O2205" s="66"/>
      <c r="P2205" s="66"/>
      <c r="Q2205" s="66"/>
      <c r="R2205" s="66"/>
      <c r="S2205" s="66"/>
    </row>
    <row r="2207" spans="1:19" s="7" customFormat="1" ht="18" customHeight="1">
      <c r="A2207" s="13" t="s">
        <v>1135</v>
      </c>
      <c r="B2207" s="13"/>
      <c r="C2207" s="13" t="s">
        <v>1136</v>
      </c>
      <c r="D2207" s="14"/>
      <c r="E2207" s="14"/>
      <c r="F2207" s="14"/>
      <c r="G2207" s="14"/>
      <c r="H2207" s="14"/>
      <c r="I2207" s="14"/>
      <c r="J2207" s="14">
        <f>SUMIFS(J2208:J2211,D2208:D2211,"&lt;&gt;Y",F2208:F2211,"&lt;&gt;Y",I2208:I2211,"&lt;&gt;Inactive",I2208:I2211,"&lt;&gt;ECO+NFS")</f>
        <v>25295</v>
      </c>
      <c r="K2207" s="14"/>
      <c r="L2207" s="14"/>
      <c r="M2207" s="14"/>
      <c r="N2207" s="14"/>
      <c r="O2207" s="14"/>
      <c r="P2207" s="14"/>
      <c r="Q2207" s="14"/>
      <c r="R2207" s="14"/>
      <c r="S2207" s="14"/>
    </row>
    <row r="2208" spans="1:19" ht="18" customHeight="1">
      <c r="A2208" s="17" t="str">
        <f>HYPERLINK("#"&amp;ADDRESS(MATCH(A2207,'CIM&amp;FMS'!$A$1:$A$4997,0),1,,,"CIM&amp;FMS"),"Back to Price List")</f>
        <v>Back to Price List</v>
      </c>
      <c r="B2208" t="s">
        <v>1122</v>
      </c>
      <c r="C2208" t="s">
        <v>1123</v>
      </c>
      <c r="D2208" s="4"/>
      <c r="E2208" s="4">
        <v>1</v>
      </c>
      <c r="F2208" s="4"/>
      <c r="G2208" s="29" t="str">
        <f>IFERROR(HYPERLINK("#"&amp;ADDRESS(MATCH(B2208&amp;"ES",'LM7 Non-ENG'!$A$1:$A$5000,0),1,,,"LM7 Non-ENG"),IF(IFERROR(VLOOKUP(B2208&amp;"ES",'LM7 Non-ENG'!$A$1:$A$4999,1,FALSE),"ERROR")=B2208&amp;"ES","Y","")),"")</f>
        <v/>
      </c>
      <c r="H2208" s="29" t="str">
        <f>IFERROR(HYPERLINK("#"&amp;ADDRESS(MATCH(B2208&amp;"PT",'LM7 Non-ENG'!$A$1:$A$5000,0),1,,,"LM7 Non-ENG"),IF(IFERROR(VLOOKUP(B2208&amp;"PT",'LM7 Non-ENG'!$A$1:$A$5000,1,FALSE),"ERROR")=B2208&amp;"PT","Y","")),"")</f>
        <v/>
      </c>
      <c r="I2208" t="str">
        <f>IFERROR(VLOOKUP(B2208,PN!$A:$C,3,FALSE),"")</f>
        <v>Active</v>
      </c>
      <c r="J2208" s="3">
        <f>IFERROR(E2208*VLOOKUP(B2208,PLInter!$A:$D,3,FALSE),"")</f>
        <v>15750</v>
      </c>
      <c r="K2208" s="66"/>
      <c r="L2208" s="66"/>
      <c r="M2208" s="66"/>
      <c r="N2208" s="66"/>
      <c r="O2208" s="66"/>
      <c r="P2208" s="66"/>
      <c r="Q2208" s="66"/>
      <c r="R2208" s="66"/>
      <c r="S2208" s="66"/>
    </row>
    <row r="2209" spans="1:19" ht="18" customHeight="1">
      <c r="B2209" t="s">
        <v>1137</v>
      </c>
      <c r="C2209" t="s">
        <v>1138</v>
      </c>
      <c r="D2209" s="4"/>
      <c r="E2209" s="4">
        <v>2</v>
      </c>
      <c r="F2209" s="4"/>
      <c r="G2209" s="29" t="str">
        <f>IFERROR(HYPERLINK("#"&amp;ADDRESS(MATCH(B2209&amp;"ES",'LM7 Non-ENG'!$A$1:$A$5000,0),1,,,"LM7 Non-ENG"),IF(IFERROR(VLOOKUP(B2209&amp;"ES",'LM7 Non-ENG'!$A$1:$A$4999,1,FALSE),"ERROR")=B2209&amp;"ES","Y","")),"")</f>
        <v/>
      </c>
      <c r="H2209" s="29" t="str">
        <f>IFERROR(HYPERLINK("#"&amp;ADDRESS(MATCH(B2209&amp;"PT",'LM7 Non-ENG'!$A$1:$A$5000,0),1,,,"LM7 Non-ENG"),IF(IFERROR(VLOOKUP(B2209&amp;"PT",'LM7 Non-ENG'!$A$1:$A$5000,1,FALSE),"ERROR")=B2209&amp;"PT","Y","")),"")</f>
        <v/>
      </c>
      <c r="I2209" t="str">
        <f>IFERROR(VLOOKUP(B2209,PN!$A:$C,3,FALSE),"")</f>
        <v>Active</v>
      </c>
      <c r="J2209" s="3">
        <f>IFERROR(E2209*VLOOKUP(B2209,PLInter!$A:$D,3,FALSE),"")</f>
        <v>6300</v>
      </c>
      <c r="K2209" s="66"/>
      <c r="L2209" s="66"/>
      <c r="M2209" s="66"/>
      <c r="N2209" s="66"/>
      <c r="O2209" s="66"/>
      <c r="P2209" s="66"/>
      <c r="Q2209" s="66"/>
      <c r="R2209" s="66"/>
      <c r="S2209" s="66"/>
    </row>
    <row r="2210" spans="1:19" ht="18" customHeight="1">
      <c r="B2210" t="s">
        <v>1128</v>
      </c>
      <c r="C2210" t="s">
        <v>1129</v>
      </c>
      <c r="D2210" s="4"/>
      <c r="E2210" s="4">
        <v>1</v>
      </c>
      <c r="F2210" s="4"/>
      <c r="G2210" s="29" t="str">
        <f>IFERROR(HYPERLINK("#"&amp;ADDRESS(MATCH(B2210&amp;"ES",'LM7 Non-ENG'!$A$1:$A$5000,0),1,,,"LM7 Non-ENG"),IF(IFERROR(VLOOKUP(B2210&amp;"ES",'LM7 Non-ENG'!$A$1:$A$4999,1,FALSE),"ERROR")=B2210&amp;"ES","Y","")),"")</f>
        <v/>
      </c>
      <c r="H2210" s="29" t="str">
        <f>IFERROR(HYPERLINK("#"&amp;ADDRESS(MATCH(B2210&amp;"PT",'LM7 Non-ENG'!$A$1:$A$5000,0),1,,,"LM7 Non-ENG"),IF(IFERROR(VLOOKUP(B2210&amp;"PT",'LM7 Non-ENG'!$A$1:$A$5000,1,FALSE),"ERROR")=B2210&amp;"PT","Y","")),"")</f>
        <v/>
      </c>
      <c r="I2210" t="str">
        <f>IFERROR(VLOOKUP(B2210,PN!$A:$C,3,FALSE),"")</f>
        <v>Active</v>
      </c>
      <c r="J2210" s="3">
        <f>IFERROR(E2210*VLOOKUP(B2210,PLInter!$A:$D,3,FALSE),"")</f>
        <v>2245</v>
      </c>
      <c r="K2210" s="66"/>
      <c r="L2210" s="66"/>
      <c r="M2210" s="66"/>
      <c r="N2210" s="66"/>
      <c r="O2210" s="66"/>
      <c r="P2210" s="66"/>
      <c r="Q2210" s="66"/>
      <c r="R2210" s="66"/>
      <c r="S2210" s="66"/>
    </row>
    <row r="2211" spans="1:19" ht="18" customHeight="1">
      <c r="B2211" t="str">
        <f>"021041"</f>
        <v>021041</v>
      </c>
      <c r="C2211" s="41" t="s">
        <v>1130</v>
      </c>
      <c r="D2211" s="4"/>
      <c r="E2211" s="4">
        <v>1</v>
      </c>
      <c r="F2211" s="4"/>
      <c r="G2211" s="29" t="str">
        <f>IFERROR(HYPERLINK("#"&amp;ADDRESS(MATCH(B2211&amp;"ES",'LM7 Non-ENG'!$A$1:$A$5000,0),1,,,"LM7 Non-ENG"),IF(IFERROR(VLOOKUP(B2211&amp;"ES",'LM7 Non-ENG'!$A$1:$A$4999,1,FALSE),"ERROR")=B2211&amp;"ES","Y","")),"")</f>
        <v/>
      </c>
      <c r="H2211" s="29" t="str">
        <f>IFERROR(HYPERLINK("#"&amp;ADDRESS(MATCH(B2211&amp;"PT",'LM7 Non-ENG'!$A$1:$A$5000,0),1,,,"LM7 Non-ENG"),IF(IFERROR(VLOOKUP(B2211&amp;"PT",'LM7 Non-ENG'!$A$1:$A$5000,1,FALSE),"ERROR")=B2211&amp;"PT","Y","")),"")</f>
        <v/>
      </c>
      <c r="I2211" t="str">
        <f>IFERROR(VLOOKUP(B2211,PN!$A:$C,3,FALSE),"")</f>
        <v>Active</v>
      </c>
      <c r="J2211" s="3">
        <f>IFERROR(E2211*VLOOKUP(B2211,PLInter!$A:$D,3,FALSE),"")</f>
        <v>1000</v>
      </c>
      <c r="K2211" s="66"/>
      <c r="L2211" s="66"/>
      <c r="M2211" s="66"/>
      <c r="N2211" s="66"/>
      <c r="O2211" s="66"/>
      <c r="P2211" s="66"/>
      <c r="Q2211" s="66"/>
      <c r="R2211" s="66"/>
      <c r="S2211" s="66"/>
    </row>
    <row r="2213" spans="1:19" s="7" customFormat="1" ht="18" customHeight="1">
      <c r="A2213" s="13" t="s">
        <v>1139</v>
      </c>
      <c r="B2213" s="13"/>
      <c r="C2213" s="13" t="s">
        <v>1140</v>
      </c>
      <c r="D2213" s="14"/>
      <c r="E2213" s="14"/>
      <c r="F2213" s="14"/>
      <c r="G2213" s="14"/>
      <c r="H2213" s="14"/>
      <c r="I2213" s="14"/>
      <c r="J2213" s="14">
        <f>SUMIFS(J2214:J2219,D2214:D2219,"&lt;&gt;Y",F2214:F2219,"&lt;&gt;Y",I2214:I2219,"&lt;&gt;Inactive",I2214:I2219,"&lt;&gt;ECO+NFS")</f>
        <v>34005</v>
      </c>
      <c r="K2213" s="14"/>
      <c r="L2213" s="14"/>
      <c r="M2213" s="14"/>
      <c r="N2213" s="14"/>
      <c r="O2213" s="14"/>
      <c r="P2213" s="14"/>
      <c r="Q2213" s="14"/>
      <c r="R2213" s="14"/>
      <c r="S2213" s="14"/>
    </row>
    <row r="2214" spans="1:19" ht="18" customHeight="1">
      <c r="A2214" s="17" t="str">
        <f>HYPERLINK("#"&amp;ADDRESS(MATCH(A2213,'CIM&amp;FMS'!$A$1:$A$4997,0),1,,,"CIM&amp;FMS"),"Back to Price List")</f>
        <v>Back to Price List</v>
      </c>
      <c r="B2214" t="s">
        <v>1122</v>
      </c>
      <c r="C2214" t="s">
        <v>1123</v>
      </c>
      <c r="D2214" s="4"/>
      <c r="E2214" s="4">
        <v>1</v>
      </c>
      <c r="F2214" s="4"/>
      <c r="G2214" s="29" t="str">
        <f>IFERROR(HYPERLINK("#"&amp;ADDRESS(MATCH(B2214&amp;"ES",'LM7 Non-ENG'!$A$1:$A$5000,0),1,,,"LM7 Non-ENG"),IF(IFERROR(VLOOKUP(B2214&amp;"ES",'LM7 Non-ENG'!$A$1:$A$4999,1,FALSE),"ERROR")=B2214&amp;"ES","Y","")),"")</f>
        <v/>
      </c>
      <c r="H2214" s="29" t="str">
        <f>IFERROR(HYPERLINK("#"&amp;ADDRESS(MATCH(B2214&amp;"PT",'LM7 Non-ENG'!$A$1:$A$5000,0),1,,,"LM7 Non-ENG"),IF(IFERROR(VLOOKUP(B2214&amp;"PT",'LM7 Non-ENG'!$A$1:$A$5000,1,FALSE),"ERROR")=B2214&amp;"PT","Y","")),"")</f>
        <v/>
      </c>
      <c r="I2214" t="str">
        <f>IFERROR(VLOOKUP(B2214,PN!$A:$C,3,FALSE),"")</f>
        <v>Active</v>
      </c>
      <c r="J2214" s="3">
        <f>IFERROR(E2214*VLOOKUP(B2214,PLInter!$A:$D,3,FALSE),"")</f>
        <v>15750</v>
      </c>
      <c r="K2214" s="66"/>
      <c r="L2214" s="66"/>
      <c r="M2214" s="66"/>
      <c r="N2214" s="66"/>
      <c r="O2214" s="66"/>
      <c r="P2214" s="66"/>
      <c r="Q2214" s="66"/>
      <c r="R2214" s="66"/>
      <c r="S2214" s="66"/>
    </row>
    <row r="2215" spans="1:19" ht="18" customHeight="1">
      <c r="B2215" t="s">
        <v>1124</v>
      </c>
      <c r="C2215" t="s">
        <v>1125</v>
      </c>
      <c r="D2215" s="4"/>
      <c r="E2215" s="4">
        <v>4</v>
      </c>
      <c r="F2215" s="4"/>
      <c r="G2215" s="29" t="str">
        <f>IFERROR(HYPERLINK("#"&amp;ADDRESS(MATCH(B2215&amp;"ES",'LM7 Non-ENG'!$A$1:$A$5000,0),1,,,"LM7 Non-ENG"),IF(IFERROR(VLOOKUP(B2215&amp;"ES",'LM7 Non-ENG'!$A$1:$A$4999,1,FALSE),"ERROR")=B2215&amp;"ES","Y","")),"")</f>
        <v/>
      </c>
      <c r="H2215" s="29" t="str">
        <f>IFERROR(HYPERLINK("#"&amp;ADDRESS(MATCH(B2215&amp;"PT",'LM7 Non-ENG'!$A$1:$A$5000,0),1,,,"LM7 Non-ENG"),IF(IFERROR(VLOOKUP(B2215&amp;"PT",'LM7 Non-ENG'!$A$1:$A$5000,1,FALSE),"ERROR")=B2215&amp;"PT","Y","")),"")</f>
        <v/>
      </c>
      <c r="I2215" t="str">
        <f>IFERROR(VLOOKUP(B2215,PN!$A:$C,3,FALSE),"")</f>
        <v>Active</v>
      </c>
      <c r="J2215" s="3">
        <f>IFERROR(E2215*VLOOKUP(B2215,PLInter!$A:$D,3,FALSE),"")</f>
        <v>5880</v>
      </c>
      <c r="K2215" s="66"/>
      <c r="L2215" s="66"/>
      <c r="M2215" s="66"/>
      <c r="N2215" s="66"/>
      <c r="O2215" s="66"/>
      <c r="P2215" s="66"/>
      <c r="Q2215" s="66"/>
      <c r="R2215" s="66"/>
      <c r="S2215" s="66"/>
    </row>
    <row r="2216" spans="1:19" ht="18" customHeight="1">
      <c r="B2216" t="s">
        <v>1126</v>
      </c>
      <c r="C2216" t="s">
        <v>1127</v>
      </c>
      <c r="D2216" s="4"/>
      <c r="E2216" s="4">
        <v>2</v>
      </c>
      <c r="F2216" s="4"/>
      <c r="G2216" s="29" t="str">
        <f>IFERROR(HYPERLINK("#"&amp;ADDRESS(MATCH(B2216&amp;"ES",'LM7 Non-ENG'!$A$1:$A$5000,0),1,,,"LM7 Non-ENG"),IF(IFERROR(VLOOKUP(B2216&amp;"ES",'LM7 Non-ENG'!$A$1:$A$4999,1,FALSE),"ERROR")=B2216&amp;"ES","Y","")),"")</f>
        <v/>
      </c>
      <c r="H2216" s="29" t="str">
        <f>IFERROR(HYPERLINK("#"&amp;ADDRESS(MATCH(B2216&amp;"PT",'LM7 Non-ENG'!$A$1:$A$5000,0),1,,,"LM7 Non-ENG"),IF(IFERROR(VLOOKUP(B2216&amp;"PT",'LM7 Non-ENG'!$A$1:$A$5000,1,FALSE),"ERROR")=B2216&amp;"PT","Y","")),"")</f>
        <v/>
      </c>
      <c r="I2216" t="str">
        <f>IFERROR(VLOOKUP(B2216,PN!$A:$C,3,FALSE),"")</f>
        <v>Active</v>
      </c>
      <c r="J2216" s="3">
        <f>IFERROR(E2216*VLOOKUP(B2216,PLInter!$A:$D,3,FALSE),"")</f>
        <v>1800</v>
      </c>
      <c r="K2216" s="66"/>
      <c r="L2216" s="66"/>
      <c r="M2216" s="66"/>
      <c r="N2216" s="66"/>
      <c r="O2216" s="66"/>
      <c r="P2216" s="66"/>
      <c r="Q2216" s="66"/>
      <c r="R2216" s="66"/>
      <c r="S2216" s="66"/>
    </row>
    <row r="2217" spans="1:19" ht="18" customHeight="1">
      <c r="B2217" t="s">
        <v>1128</v>
      </c>
      <c r="C2217" t="s">
        <v>1129</v>
      </c>
      <c r="D2217" s="4"/>
      <c r="E2217" s="4">
        <v>3</v>
      </c>
      <c r="F2217" s="4"/>
      <c r="G2217" s="29" t="str">
        <f>IFERROR(HYPERLINK("#"&amp;ADDRESS(MATCH(B2217&amp;"ES",'LM7 Non-ENG'!$A$1:$A$5000,0),1,,,"LM7 Non-ENG"),IF(IFERROR(VLOOKUP(B2217&amp;"ES",'LM7 Non-ENG'!$A$1:$A$4999,1,FALSE),"ERROR")=B2217&amp;"ES","Y","")),"")</f>
        <v/>
      </c>
      <c r="H2217" s="29" t="str">
        <f>IFERROR(HYPERLINK("#"&amp;ADDRESS(MATCH(B2217&amp;"PT",'LM7 Non-ENG'!$A$1:$A$5000,0),1,,,"LM7 Non-ENG"),IF(IFERROR(VLOOKUP(B2217&amp;"PT",'LM7 Non-ENG'!$A$1:$A$5000,1,FALSE),"ERROR")=B2217&amp;"PT","Y","")),"")</f>
        <v/>
      </c>
      <c r="I2217" t="str">
        <f>IFERROR(VLOOKUP(B2217,PN!$A:$C,3,FALSE),"")</f>
        <v>Active</v>
      </c>
      <c r="J2217" s="3">
        <f>IFERROR(E2217*VLOOKUP(B2217,PLInter!$A:$D,3,FALSE),"")</f>
        <v>6735</v>
      </c>
      <c r="K2217" s="66"/>
      <c r="L2217" s="66"/>
      <c r="M2217" s="66"/>
      <c r="N2217" s="66"/>
      <c r="O2217" s="66"/>
      <c r="P2217" s="66"/>
      <c r="Q2217" s="66"/>
      <c r="R2217" s="66"/>
      <c r="S2217" s="66"/>
    </row>
    <row r="2218" spans="1:19" ht="18" customHeight="1">
      <c r="B2218" t="s">
        <v>1133</v>
      </c>
      <c r="C2218" t="s">
        <v>1134</v>
      </c>
      <c r="D2218" s="4"/>
      <c r="E2218" s="4">
        <v>2</v>
      </c>
      <c r="F2218" s="4"/>
      <c r="G2218" s="29" t="str">
        <f>IFERROR(HYPERLINK("#"&amp;ADDRESS(MATCH(B2218&amp;"ES",'LM7 Non-ENG'!$A$1:$A$5000,0),1,,,"LM7 Non-ENG"),IF(IFERROR(VLOOKUP(B2218&amp;"ES",'LM7 Non-ENG'!$A$1:$A$4999,1,FALSE),"ERROR")=B2218&amp;"ES","Y","")),"")</f>
        <v/>
      </c>
      <c r="H2218" s="29" t="str">
        <f>IFERROR(HYPERLINK("#"&amp;ADDRESS(MATCH(B2218&amp;"PT",'LM7 Non-ENG'!$A$1:$A$5000,0),1,,,"LM7 Non-ENG"),IF(IFERROR(VLOOKUP(B2218&amp;"PT",'LM7 Non-ENG'!$A$1:$A$5000,1,FALSE),"ERROR")=B2218&amp;"PT","Y","")),"")</f>
        <v/>
      </c>
      <c r="I2218" t="str">
        <f>IFERROR(VLOOKUP(B2218,PN!$A:$C,3,FALSE),"")</f>
        <v>Active</v>
      </c>
      <c r="J2218" s="3">
        <f>IFERROR(E2218*VLOOKUP(B2218,PLInter!$A:$D,3,FALSE),"")</f>
        <v>2840</v>
      </c>
      <c r="K2218" s="66"/>
      <c r="L2218" s="66"/>
      <c r="M2218" s="66"/>
      <c r="N2218" s="66"/>
      <c r="O2218" s="66"/>
      <c r="P2218" s="66"/>
      <c r="Q2218" s="66"/>
      <c r="R2218" s="66"/>
      <c r="S2218" s="66"/>
    </row>
    <row r="2219" spans="1:19" ht="18" customHeight="1">
      <c r="B2219" t="str">
        <f>"021041"</f>
        <v>021041</v>
      </c>
      <c r="C2219" s="41" t="s">
        <v>1130</v>
      </c>
      <c r="D2219" s="4"/>
      <c r="E2219" s="4">
        <v>1</v>
      </c>
      <c r="F2219" s="4"/>
      <c r="G2219" s="29" t="str">
        <f>IFERROR(HYPERLINK("#"&amp;ADDRESS(MATCH(B2219&amp;"ES",'LM7 Non-ENG'!$A$1:$A$5000,0),1,,,"LM7 Non-ENG"),IF(IFERROR(VLOOKUP(B2219&amp;"ES",'LM7 Non-ENG'!$A$1:$A$4999,1,FALSE),"ERROR")=B2219&amp;"ES","Y","")),"")</f>
        <v/>
      </c>
      <c r="H2219" s="29" t="str">
        <f>IFERROR(HYPERLINK("#"&amp;ADDRESS(MATCH(B2219&amp;"PT",'LM7 Non-ENG'!$A$1:$A$5000,0),1,,,"LM7 Non-ENG"),IF(IFERROR(VLOOKUP(B2219&amp;"PT",'LM7 Non-ENG'!$A$1:$A$5000,1,FALSE),"ERROR")=B2219&amp;"PT","Y","")),"")</f>
        <v/>
      </c>
      <c r="I2219" t="str">
        <f>IFERROR(VLOOKUP(B2219,PN!$A:$C,3,FALSE),"")</f>
        <v>Active</v>
      </c>
      <c r="J2219" s="3">
        <f>IFERROR(E2219*VLOOKUP(B2219,PLInter!$A:$D,3,FALSE),"")</f>
        <v>1000</v>
      </c>
      <c r="K2219" s="66"/>
      <c r="L2219" s="66"/>
      <c r="M2219" s="66"/>
      <c r="N2219" s="66"/>
      <c r="O2219" s="66"/>
      <c r="P2219" s="66"/>
      <c r="Q2219" s="66"/>
      <c r="R2219" s="66"/>
      <c r="S2219" s="66"/>
    </row>
    <row r="2221" spans="1:19" s="7" customFormat="1" ht="18" customHeight="1">
      <c r="A2221" s="13" t="s">
        <v>1141</v>
      </c>
      <c r="B2221" s="13"/>
      <c r="C2221" s="13" t="s">
        <v>1142</v>
      </c>
      <c r="D2221" s="14"/>
      <c r="E2221" s="14"/>
      <c r="F2221" s="14"/>
      <c r="G2221" s="14"/>
      <c r="H2221" s="14"/>
      <c r="I2221" s="14"/>
      <c r="J2221" s="14">
        <f>SUMIFS(J2222:J2226,D2222:D2226,"&lt;&gt;Y",F2222:F2226,"&lt;&gt;Y",I2222:I2226,"&lt;&gt;Inactive",I2222:I2226,"&lt;&gt;ECO+NFS")</f>
        <v>31585</v>
      </c>
      <c r="K2221" s="14"/>
      <c r="L2221" s="14"/>
      <c r="M2221" s="14"/>
      <c r="N2221" s="14"/>
      <c r="O2221" s="14"/>
      <c r="P2221" s="14"/>
      <c r="Q2221" s="14"/>
      <c r="R2221" s="14"/>
      <c r="S2221" s="14"/>
    </row>
    <row r="2222" spans="1:19" ht="18" customHeight="1">
      <c r="A2222" s="17" t="str">
        <f>HYPERLINK("#"&amp;ADDRESS(MATCH(A2221,'CIM&amp;FMS'!$A$1:$A$4997,0),1,,,"CIM&amp;FMS"),"Back to Price List")</f>
        <v>Back to Price List</v>
      </c>
      <c r="B2222" t="s">
        <v>1122</v>
      </c>
      <c r="C2222" t="s">
        <v>1123</v>
      </c>
      <c r="D2222" s="4"/>
      <c r="E2222" s="4">
        <v>1</v>
      </c>
      <c r="F2222" s="4"/>
      <c r="G2222" s="29" t="str">
        <f>IFERROR(HYPERLINK("#"&amp;ADDRESS(MATCH(B2222&amp;"ES",'LM7 Non-ENG'!$A$1:$A$5000,0),1,,,"LM7 Non-ENG"),IF(IFERROR(VLOOKUP(B2222&amp;"ES",'LM7 Non-ENG'!$A$1:$A$4999,1,FALSE),"ERROR")=B2222&amp;"ES","Y","")),"")</f>
        <v/>
      </c>
      <c r="H2222" s="29" t="str">
        <f>IFERROR(HYPERLINK("#"&amp;ADDRESS(MATCH(B2222&amp;"PT",'LM7 Non-ENG'!$A$1:$A$5000,0),1,,,"LM7 Non-ENG"),IF(IFERROR(VLOOKUP(B2222&amp;"PT",'LM7 Non-ENG'!$A$1:$A$5000,1,FALSE),"ERROR")=B2222&amp;"PT","Y","")),"")</f>
        <v/>
      </c>
      <c r="I2222" t="str">
        <f>IFERROR(VLOOKUP(B2222,PN!$A:$C,3,FALSE),"")</f>
        <v>Active</v>
      </c>
      <c r="J2222" s="3">
        <f>IFERROR(E2222*VLOOKUP(B2222,PLInter!$A:$D,3,FALSE),"")</f>
        <v>15750</v>
      </c>
      <c r="K2222" s="66"/>
      <c r="L2222" s="66"/>
      <c r="M2222" s="66"/>
      <c r="N2222" s="66"/>
      <c r="O2222" s="66"/>
      <c r="P2222" s="66"/>
      <c r="Q2222" s="66"/>
      <c r="R2222" s="66"/>
      <c r="S2222" s="66"/>
    </row>
    <row r="2223" spans="1:19" ht="18" customHeight="1">
      <c r="B2223" t="s">
        <v>1137</v>
      </c>
      <c r="C2223" t="s">
        <v>1138</v>
      </c>
      <c r="D2223" s="4"/>
      <c r="E2223" s="4">
        <v>2</v>
      </c>
      <c r="F2223" s="4"/>
      <c r="G2223" s="29" t="str">
        <f>IFERROR(HYPERLINK("#"&amp;ADDRESS(MATCH(B2223&amp;"ES",'LM7 Non-ENG'!$A$1:$A$5000,0),1,,,"LM7 Non-ENG"),IF(IFERROR(VLOOKUP(B2223&amp;"ES",'LM7 Non-ENG'!$A$1:$A$4999,1,FALSE),"ERROR")=B2223&amp;"ES","Y","")),"")</f>
        <v/>
      </c>
      <c r="H2223" s="29" t="str">
        <f>IFERROR(HYPERLINK("#"&amp;ADDRESS(MATCH(B2223&amp;"PT",'LM7 Non-ENG'!$A$1:$A$5000,0),1,,,"LM7 Non-ENG"),IF(IFERROR(VLOOKUP(B2223&amp;"PT",'LM7 Non-ENG'!$A$1:$A$5000,1,FALSE),"ERROR")=B2223&amp;"PT","Y","")),"")</f>
        <v/>
      </c>
      <c r="I2223" t="str">
        <f>IFERROR(VLOOKUP(B2223,PN!$A:$C,3,FALSE),"")</f>
        <v>Active</v>
      </c>
      <c r="J2223" s="3">
        <f>IFERROR(E2223*VLOOKUP(B2223,PLInter!$A:$D,3,FALSE),"")</f>
        <v>6300</v>
      </c>
      <c r="K2223" s="66"/>
      <c r="L2223" s="66"/>
      <c r="M2223" s="66"/>
      <c r="N2223" s="66"/>
      <c r="O2223" s="66"/>
      <c r="P2223" s="66"/>
      <c r="Q2223" s="66"/>
      <c r="R2223" s="66"/>
      <c r="S2223" s="66"/>
    </row>
    <row r="2224" spans="1:19" ht="18" customHeight="1">
      <c r="B2224" t="s">
        <v>1126</v>
      </c>
      <c r="C2224" t="s">
        <v>1127</v>
      </c>
      <c r="D2224" s="4"/>
      <c r="E2224" s="4">
        <v>2</v>
      </c>
      <c r="F2224" s="4"/>
      <c r="G2224" s="29" t="str">
        <f>IFERROR(HYPERLINK("#"&amp;ADDRESS(MATCH(B2224&amp;"ES",'LM7 Non-ENG'!$A$1:$A$5000,0),1,,,"LM7 Non-ENG"),IF(IFERROR(VLOOKUP(B2224&amp;"ES",'LM7 Non-ENG'!$A$1:$A$4999,1,FALSE),"ERROR")=B2224&amp;"ES","Y","")),"")</f>
        <v/>
      </c>
      <c r="H2224" s="29" t="str">
        <f>IFERROR(HYPERLINK("#"&amp;ADDRESS(MATCH(B2224&amp;"PT",'LM7 Non-ENG'!$A$1:$A$5000,0),1,,,"LM7 Non-ENG"),IF(IFERROR(VLOOKUP(B2224&amp;"PT",'LM7 Non-ENG'!$A$1:$A$5000,1,FALSE),"ERROR")=B2224&amp;"PT","Y","")),"")</f>
        <v/>
      </c>
      <c r="I2224" t="str">
        <f>IFERROR(VLOOKUP(B2224,PN!$A:$C,3,FALSE),"")</f>
        <v>Active</v>
      </c>
      <c r="J2224" s="3">
        <f>IFERROR(E2224*VLOOKUP(B2224,PLInter!$A:$D,3,FALSE),"")</f>
        <v>1800</v>
      </c>
      <c r="K2224" s="66"/>
      <c r="L2224" s="66"/>
      <c r="M2224" s="66"/>
      <c r="N2224" s="66"/>
      <c r="O2224" s="66"/>
      <c r="P2224" s="66"/>
      <c r="Q2224" s="66"/>
      <c r="R2224" s="66"/>
      <c r="S2224" s="66"/>
    </row>
    <row r="2225" spans="1:19" ht="18" customHeight="1">
      <c r="B2225" t="s">
        <v>1128</v>
      </c>
      <c r="C2225" t="s">
        <v>1129</v>
      </c>
      <c r="D2225" s="4"/>
      <c r="E2225" s="4">
        <v>3</v>
      </c>
      <c r="F2225" s="4"/>
      <c r="G2225" s="29" t="str">
        <f>IFERROR(HYPERLINK("#"&amp;ADDRESS(MATCH(B2225&amp;"ES",'LM7 Non-ENG'!$A$1:$A$5000,0),1,,,"LM7 Non-ENG"),IF(IFERROR(VLOOKUP(B2225&amp;"ES",'LM7 Non-ENG'!$A$1:$A$4999,1,FALSE),"ERROR")=B2225&amp;"ES","Y","")),"")</f>
        <v/>
      </c>
      <c r="H2225" s="29" t="str">
        <f>IFERROR(HYPERLINK("#"&amp;ADDRESS(MATCH(B2225&amp;"PT",'LM7 Non-ENG'!$A$1:$A$5000,0),1,,,"LM7 Non-ENG"),IF(IFERROR(VLOOKUP(B2225&amp;"PT",'LM7 Non-ENG'!$A$1:$A$5000,1,FALSE),"ERROR")=B2225&amp;"PT","Y","")),"")</f>
        <v/>
      </c>
      <c r="I2225" t="str">
        <f>IFERROR(VLOOKUP(B2225,PN!$A:$C,3,FALSE),"")</f>
        <v>Active</v>
      </c>
      <c r="J2225" s="3">
        <f>IFERROR(E2225*VLOOKUP(B2225,PLInter!$A:$D,3,FALSE),"")</f>
        <v>6735</v>
      </c>
      <c r="K2225" s="66"/>
      <c r="L2225" s="66"/>
      <c r="M2225" s="66"/>
      <c r="N2225" s="66"/>
      <c r="O2225" s="66"/>
      <c r="P2225" s="66"/>
      <c r="Q2225" s="66"/>
      <c r="R2225" s="66"/>
      <c r="S2225" s="66"/>
    </row>
    <row r="2226" spans="1:19" ht="18" customHeight="1">
      <c r="B2226" t="str">
        <f>"021041"</f>
        <v>021041</v>
      </c>
      <c r="C2226" s="41" t="s">
        <v>1130</v>
      </c>
      <c r="D2226" s="4"/>
      <c r="E2226" s="4">
        <v>1</v>
      </c>
      <c r="F2226" s="4"/>
      <c r="G2226" s="29" t="str">
        <f>IFERROR(HYPERLINK("#"&amp;ADDRESS(MATCH(B2226&amp;"ES",'LM7 Non-ENG'!$A$1:$A$5000,0),1,,,"LM7 Non-ENG"),IF(IFERROR(VLOOKUP(B2226&amp;"ES",'LM7 Non-ENG'!$A$1:$A$4999,1,FALSE),"ERROR")=B2226&amp;"ES","Y","")),"")</f>
        <v/>
      </c>
      <c r="H2226" s="29" t="str">
        <f>IFERROR(HYPERLINK("#"&amp;ADDRESS(MATCH(B2226&amp;"PT",'LM7 Non-ENG'!$A$1:$A$5000,0),1,,,"LM7 Non-ENG"),IF(IFERROR(VLOOKUP(B2226&amp;"PT",'LM7 Non-ENG'!$A$1:$A$5000,1,FALSE),"ERROR")=B2226&amp;"PT","Y","")),"")</f>
        <v/>
      </c>
      <c r="I2226" t="str">
        <f>IFERROR(VLOOKUP(B2226,PN!$A:$C,3,FALSE),"")</f>
        <v>Active</v>
      </c>
      <c r="J2226" s="3">
        <f>IFERROR(E2226*VLOOKUP(B2226,PLInter!$A:$D,3,FALSE),"")</f>
        <v>1000</v>
      </c>
      <c r="K2226" s="66"/>
      <c r="L2226" s="66"/>
      <c r="M2226" s="66"/>
      <c r="N2226" s="66"/>
      <c r="O2226" s="66"/>
      <c r="P2226" s="66"/>
      <c r="Q2226" s="66"/>
      <c r="R2226" s="66"/>
      <c r="S2226" s="66"/>
    </row>
    <row r="2228" spans="1:19" s="7" customFormat="1" ht="18" customHeight="1">
      <c r="A2228" s="13" t="s">
        <v>1143</v>
      </c>
      <c r="B2228" s="13"/>
      <c r="C2228" s="13" t="s">
        <v>1144</v>
      </c>
      <c r="D2228" s="14"/>
      <c r="E2228" s="14"/>
      <c r="F2228" s="14"/>
      <c r="G2228" s="14"/>
      <c r="H2228" s="14"/>
      <c r="I2228" s="14"/>
      <c r="J2228" s="14">
        <f>SUMIFS(J2229:J2234,D2229:D2234,"&lt;&gt;Y",F2229:F2234,"&lt;&gt;Y",I2229:I2234,"&lt;&gt;Inactive",I2229:I2234,"&lt;&gt;ECO+NFS")</f>
        <v>40295</v>
      </c>
      <c r="K2228" s="14"/>
      <c r="L2228" s="14"/>
      <c r="M2228" s="14"/>
      <c r="N2228" s="14"/>
      <c r="O2228" s="14"/>
      <c r="P2228" s="14"/>
      <c r="Q2228" s="14"/>
      <c r="R2228" s="14"/>
      <c r="S2228" s="14"/>
    </row>
    <row r="2229" spans="1:19" ht="18" customHeight="1">
      <c r="A2229" s="17" t="str">
        <f>HYPERLINK("#"&amp;ADDRESS(MATCH(A2228,'CIM&amp;FMS'!$A$1:$A$4997,0),1,,,"CIM&amp;FMS"),"Back to Price List")</f>
        <v>Back to Price List</v>
      </c>
      <c r="B2229" t="s">
        <v>1122</v>
      </c>
      <c r="C2229" t="s">
        <v>1123</v>
      </c>
      <c r="D2229" s="4"/>
      <c r="E2229" s="4">
        <v>1</v>
      </c>
      <c r="F2229" s="4"/>
      <c r="G2229" s="29" t="str">
        <f>IFERROR(HYPERLINK("#"&amp;ADDRESS(MATCH(B2229&amp;"ES",'LM7 Non-ENG'!$A$1:$A$5000,0),1,,,"LM7 Non-ENG"),IF(IFERROR(VLOOKUP(B2229&amp;"ES",'LM7 Non-ENG'!$A$1:$A$4999,1,FALSE),"ERROR")=B2229&amp;"ES","Y","")),"")</f>
        <v/>
      </c>
      <c r="H2229" s="29" t="str">
        <f>IFERROR(HYPERLINK("#"&amp;ADDRESS(MATCH(B2229&amp;"PT",'LM7 Non-ENG'!$A$1:$A$5000,0),1,,,"LM7 Non-ENG"),IF(IFERROR(VLOOKUP(B2229&amp;"PT",'LM7 Non-ENG'!$A$1:$A$5000,1,FALSE),"ERROR")=B2229&amp;"PT","Y","")),"")</f>
        <v/>
      </c>
      <c r="I2229" t="str">
        <f>IFERROR(VLOOKUP(B2229,PN!$A:$C,3,FALSE),"")</f>
        <v>Active</v>
      </c>
      <c r="J2229" s="3">
        <f>IFERROR(E2229*VLOOKUP(B2229,PLInter!$A:$D,3,FALSE),"")</f>
        <v>15750</v>
      </c>
      <c r="K2229" s="66"/>
      <c r="L2229" s="66"/>
      <c r="M2229" s="66"/>
      <c r="N2229" s="66"/>
      <c r="O2229" s="66"/>
      <c r="P2229" s="66"/>
      <c r="Q2229" s="66"/>
      <c r="R2229" s="66"/>
      <c r="S2229" s="66"/>
    </row>
    <row r="2230" spans="1:19" ht="18" customHeight="1">
      <c r="B2230" t="s">
        <v>1124</v>
      </c>
      <c r="C2230" t="s">
        <v>1125</v>
      </c>
      <c r="D2230" s="4"/>
      <c r="E2230" s="4">
        <v>4</v>
      </c>
      <c r="F2230" s="4"/>
      <c r="G2230" s="29" t="str">
        <f>IFERROR(HYPERLINK("#"&amp;ADDRESS(MATCH(B2230&amp;"ES",'LM7 Non-ENG'!$A$1:$A$5000,0),1,,,"LM7 Non-ENG"),IF(IFERROR(VLOOKUP(B2230&amp;"ES",'LM7 Non-ENG'!$A$1:$A$4999,1,FALSE),"ERROR")=B2230&amp;"ES","Y","")),"")</f>
        <v/>
      </c>
      <c r="H2230" s="29" t="str">
        <f>IFERROR(HYPERLINK("#"&amp;ADDRESS(MATCH(B2230&amp;"PT",'LM7 Non-ENG'!$A$1:$A$5000,0),1,,,"LM7 Non-ENG"),IF(IFERROR(VLOOKUP(B2230&amp;"PT",'LM7 Non-ENG'!$A$1:$A$5000,1,FALSE),"ERROR")=B2230&amp;"PT","Y","")),"")</f>
        <v/>
      </c>
      <c r="I2230" t="str">
        <f>IFERROR(VLOOKUP(B2230,PN!$A:$C,3,FALSE),"")</f>
        <v>Active</v>
      </c>
      <c r="J2230" s="3">
        <f>IFERROR(E2230*VLOOKUP(B2230,PLInter!$A:$D,3,FALSE),"")</f>
        <v>5880</v>
      </c>
      <c r="K2230" s="66"/>
      <c r="L2230" s="66"/>
      <c r="M2230" s="66"/>
      <c r="N2230" s="66"/>
      <c r="O2230" s="66"/>
      <c r="P2230" s="66"/>
      <c r="Q2230" s="66"/>
      <c r="R2230" s="66"/>
      <c r="S2230" s="66"/>
    </row>
    <row r="2231" spans="1:19" ht="18" customHeight="1">
      <c r="B2231" t="s">
        <v>1126</v>
      </c>
      <c r="C2231" t="s">
        <v>1127</v>
      </c>
      <c r="D2231" s="4"/>
      <c r="E2231" s="4">
        <v>4</v>
      </c>
      <c r="F2231" s="4"/>
      <c r="G2231" s="29" t="str">
        <f>IFERROR(HYPERLINK("#"&amp;ADDRESS(MATCH(B2231&amp;"ES",'LM7 Non-ENG'!$A$1:$A$5000,0),1,,,"LM7 Non-ENG"),IF(IFERROR(VLOOKUP(B2231&amp;"ES",'LM7 Non-ENG'!$A$1:$A$4999,1,FALSE),"ERROR")=B2231&amp;"ES","Y","")),"")</f>
        <v/>
      </c>
      <c r="H2231" s="29" t="str">
        <f>IFERROR(HYPERLINK("#"&amp;ADDRESS(MATCH(B2231&amp;"PT",'LM7 Non-ENG'!$A$1:$A$5000,0),1,,,"LM7 Non-ENG"),IF(IFERROR(VLOOKUP(B2231&amp;"PT",'LM7 Non-ENG'!$A$1:$A$5000,1,FALSE),"ERROR")=B2231&amp;"PT","Y","")),"")</f>
        <v/>
      </c>
      <c r="I2231" t="str">
        <f>IFERROR(VLOOKUP(B2231,PN!$A:$C,3,FALSE),"")</f>
        <v>Active</v>
      </c>
      <c r="J2231" s="3">
        <f>IFERROR(E2231*VLOOKUP(B2231,PLInter!$A:$D,3,FALSE),"")</f>
        <v>3600</v>
      </c>
      <c r="K2231" s="66"/>
      <c r="L2231" s="66"/>
      <c r="M2231" s="66"/>
      <c r="N2231" s="66"/>
      <c r="O2231" s="66"/>
      <c r="P2231" s="66"/>
      <c r="Q2231" s="66"/>
      <c r="R2231" s="66"/>
      <c r="S2231" s="66"/>
    </row>
    <row r="2232" spans="1:19" ht="18" customHeight="1">
      <c r="B2232" t="s">
        <v>1128</v>
      </c>
      <c r="C2232" t="s">
        <v>1129</v>
      </c>
      <c r="D2232" s="4"/>
      <c r="E2232" s="4">
        <v>5</v>
      </c>
      <c r="F2232" s="4"/>
      <c r="G2232" s="29" t="str">
        <f>IFERROR(HYPERLINK("#"&amp;ADDRESS(MATCH(B2232&amp;"ES",'LM7 Non-ENG'!$A$1:$A$5000,0),1,,,"LM7 Non-ENG"),IF(IFERROR(VLOOKUP(B2232&amp;"ES",'LM7 Non-ENG'!$A$1:$A$4999,1,FALSE),"ERROR")=B2232&amp;"ES","Y","")),"")</f>
        <v/>
      </c>
      <c r="H2232" s="29" t="str">
        <f>IFERROR(HYPERLINK("#"&amp;ADDRESS(MATCH(B2232&amp;"PT",'LM7 Non-ENG'!$A$1:$A$5000,0),1,,,"LM7 Non-ENG"),IF(IFERROR(VLOOKUP(B2232&amp;"PT",'LM7 Non-ENG'!$A$1:$A$5000,1,FALSE),"ERROR")=B2232&amp;"PT","Y","")),"")</f>
        <v/>
      </c>
      <c r="I2232" t="str">
        <f>IFERROR(VLOOKUP(B2232,PN!$A:$C,3,FALSE),"")</f>
        <v>Active</v>
      </c>
      <c r="J2232" s="3">
        <f>IFERROR(E2232*VLOOKUP(B2232,PLInter!$A:$D,3,FALSE),"")</f>
        <v>11225</v>
      </c>
      <c r="K2232" s="66"/>
      <c r="L2232" s="66"/>
      <c r="M2232" s="66"/>
      <c r="N2232" s="66"/>
      <c r="O2232" s="66"/>
      <c r="P2232" s="66"/>
      <c r="Q2232" s="66"/>
      <c r="R2232" s="66"/>
      <c r="S2232" s="66"/>
    </row>
    <row r="2233" spans="1:19" ht="18" customHeight="1">
      <c r="B2233" t="s">
        <v>1133</v>
      </c>
      <c r="C2233" t="s">
        <v>1134</v>
      </c>
      <c r="D2233" s="4"/>
      <c r="E2233" s="4">
        <v>2</v>
      </c>
      <c r="F2233" s="4"/>
      <c r="G2233" s="29" t="str">
        <f>IFERROR(HYPERLINK("#"&amp;ADDRESS(MATCH(B2233&amp;"ES",'LM7 Non-ENG'!$A$1:$A$5000,0),1,,,"LM7 Non-ENG"),IF(IFERROR(VLOOKUP(B2233&amp;"ES",'LM7 Non-ENG'!$A$1:$A$4999,1,FALSE),"ERROR")=B2233&amp;"ES","Y","")),"")</f>
        <v/>
      </c>
      <c r="H2233" s="29" t="str">
        <f>IFERROR(HYPERLINK("#"&amp;ADDRESS(MATCH(B2233&amp;"PT",'LM7 Non-ENG'!$A$1:$A$5000,0),1,,,"LM7 Non-ENG"),IF(IFERROR(VLOOKUP(B2233&amp;"PT",'LM7 Non-ENG'!$A$1:$A$5000,1,FALSE),"ERROR")=B2233&amp;"PT","Y","")),"")</f>
        <v/>
      </c>
      <c r="I2233" t="str">
        <f>IFERROR(VLOOKUP(B2233,PN!$A:$C,3,FALSE),"")</f>
        <v>Active</v>
      </c>
      <c r="J2233" s="3">
        <f>IFERROR(E2233*VLOOKUP(B2233,PLInter!$A:$D,3,FALSE),"")</f>
        <v>2840</v>
      </c>
      <c r="K2233" s="66"/>
      <c r="L2233" s="66"/>
      <c r="M2233" s="66"/>
      <c r="N2233" s="66"/>
      <c r="O2233" s="66"/>
      <c r="P2233" s="66"/>
      <c r="Q2233" s="66"/>
      <c r="R2233" s="66"/>
      <c r="S2233" s="66"/>
    </row>
    <row r="2234" spans="1:19" ht="18" customHeight="1">
      <c r="B2234" t="str">
        <f>"021041"</f>
        <v>021041</v>
      </c>
      <c r="C2234" s="41" t="s">
        <v>1130</v>
      </c>
      <c r="D2234" s="4"/>
      <c r="E2234" s="4">
        <v>1</v>
      </c>
      <c r="F2234" s="4"/>
      <c r="G2234" s="29" t="str">
        <f>IFERROR(HYPERLINK("#"&amp;ADDRESS(MATCH(B2234&amp;"ES",'LM7 Non-ENG'!$A$1:$A$5000,0),1,,,"LM7 Non-ENG"),IF(IFERROR(VLOOKUP(B2234&amp;"ES",'LM7 Non-ENG'!$A$1:$A$4999,1,FALSE),"ERROR")=B2234&amp;"ES","Y","")),"")</f>
        <v/>
      </c>
      <c r="H2234" s="29" t="str">
        <f>IFERROR(HYPERLINK("#"&amp;ADDRESS(MATCH(B2234&amp;"PT",'LM7 Non-ENG'!$A$1:$A$5000,0),1,,,"LM7 Non-ENG"),IF(IFERROR(VLOOKUP(B2234&amp;"PT",'LM7 Non-ENG'!$A$1:$A$5000,1,FALSE),"ERROR")=B2234&amp;"PT","Y","")),"")</f>
        <v/>
      </c>
      <c r="I2234" t="str">
        <f>IFERROR(VLOOKUP(B2234,PN!$A:$C,3,FALSE),"")</f>
        <v>Active</v>
      </c>
      <c r="J2234" s="3">
        <f>IFERROR(E2234*VLOOKUP(B2234,PLInter!$A:$D,3,FALSE),"")</f>
        <v>1000</v>
      </c>
      <c r="K2234" s="66"/>
      <c r="L2234" s="66"/>
      <c r="M2234" s="66"/>
      <c r="N2234" s="66"/>
      <c r="O2234" s="66"/>
      <c r="P2234" s="66"/>
      <c r="Q2234" s="66"/>
      <c r="R2234" s="66"/>
      <c r="S2234" s="66"/>
    </row>
    <row r="2236" spans="1:19" s="7" customFormat="1" ht="18" customHeight="1">
      <c r="A2236" s="13" t="s">
        <v>1145</v>
      </c>
      <c r="B2236" s="13"/>
      <c r="C2236" s="13" t="s">
        <v>1146</v>
      </c>
      <c r="D2236" s="14"/>
      <c r="E2236" s="14"/>
      <c r="F2236" s="14"/>
      <c r="G2236" s="14"/>
      <c r="H2236" s="14"/>
      <c r="I2236" s="14"/>
      <c r="J2236" s="14">
        <f>SUMIFS(J2237:J2241,D2237:D2241,"&lt;&gt;Y",F2237:F2241,"&lt;&gt;Y",I2237:I2241,"&lt;&gt;Inactive",I2237:I2241,"&lt;&gt;ECO+NFS")</f>
        <v>37875</v>
      </c>
      <c r="K2236" s="14"/>
      <c r="L2236" s="14"/>
      <c r="M2236" s="14"/>
      <c r="N2236" s="14"/>
      <c r="O2236" s="14"/>
      <c r="P2236" s="14"/>
      <c r="Q2236" s="14"/>
      <c r="R2236" s="14"/>
      <c r="S2236" s="14"/>
    </row>
    <row r="2237" spans="1:19" ht="18" customHeight="1">
      <c r="A2237" s="17" t="str">
        <f>HYPERLINK("#"&amp;ADDRESS(MATCH(A2236,'CIM&amp;FMS'!$A$1:$A$4997,0),1,,,"CIM&amp;FMS"),"Back to Price List")</f>
        <v>Back to Price List</v>
      </c>
      <c r="B2237" t="s">
        <v>1122</v>
      </c>
      <c r="C2237" t="s">
        <v>1123</v>
      </c>
      <c r="D2237" s="4"/>
      <c r="E2237" s="4">
        <v>1</v>
      </c>
      <c r="F2237" s="4"/>
      <c r="G2237" s="29" t="str">
        <f>IFERROR(HYPERLINK("#"&amp;ADDRESS(MATCH(B2237&amp;"ES",'LM7 Non-ENG'!$A$1:$A$5000,0),1,,,"LM7 Non-ENG"),IF(IFERROR(VLOOKUP(B2237&amp;"ES",'LM7 Non-ENG'!$A$1:$A$4999,1,FALSE),"ERROR")=B2237&amp;"ES","Y","")),"")</f>
        <v/>
      </c>
      <c r="H2237" s="29" t="str">
        <f>IFERROR(HYPERLINK("#"&amp;ADDRESS(MATCH(B2237&amp;"PT",'LM7 Non-ENG'!$A$1:$A$5000,0),1,,,"LM7 Non-ENG"),IF(IFERROR(VLOOKUP(B2237&amp;"PT",'LM7 Non-ENG'!$A$1:$A$5000,1,FALSE),"ERROR")=B2237&amp;"PT","Y","")),"")</f>
        <v/>
      </c>
      <c r="I2237" t="str">
        <f>IFERROR(VLOOKUP(B2237,PN!$A:$C,3,FALSE),"")</f>
        <v>Active</v>
      </c>
      <c r="J2237" s="3">
        <f>IFERROR(E2237*VLOOKUP(B2237,PLInter!$A:$D,3,FALSE),"")</f>
        <v>15750</v>
      </c>
      <c r="K2237" s="66"/>
      <c r="L2237" s="66"/>
      <c r="M2237" s="66"/>
      <c r="N2237" s="66"/>
      <c r="O2237" s="66"/>
      <c r="P2237" s="66"/>
      <c r="Q2237" s="66"/>
      <c r="R2237" s="66"/>
      <c r="S2237" s="66"/>
    </row>
    <row r="2238" spans="1:19" ht="18" customHeight="1">
      <c r="B2238" t="s">
        <v>1137</v>
      </c>
      <c r="C2238" t="s">
        <v>1138</v>
      </c>
      <c r="D2238" s="4"/>
      <c r="E2238" s="4">
        <v>2</v>
      </c>
      <c r="F2238" s="4"/>
      <c r="G2238" s="29" t="str">
        <f>IFERROR(HYPERLINK("#"&amp;ADDRESS(MATCH(B2238&amp;"ES",'LM7 Non-ENG'!$A$1:$A$5000,0),1,,,"LM7 Non-ENG"),IF(IFERROR(VLOOKUP(B2238&amp;"ES",'LM7 Non-ENG'!$A$1:$A$4999,1,FALSE),"ERROR")=B2238&amp;"ES","Y","")),"")</f>
        <v/>
      </c>
      <c r="H2238" s="29" t="str">
        <f>IFERROR(HYPERLINK("#"&amp;ADDRESS(MATCH(B2238&amp;"PT",'LM7 Non-ENG'!$A$1:$A$5000,0),1,,,"LM7 Non-ENG"),IF(IFERROR(VLOOKUP(B2238&amp;"PT",'LM7 Non-ENG'!$A$1:$A$5000,1,FALSE),"ERROR")=B2238&amp;"PT","Y","")),"")</f>
        <v/>
      </c>
      <c r="I2238" t="str">
        <f>IFERROR(VLOOKUP(B2238,PN!$A:$C,3,FALSE),"")</f>
        <v>Active</v>
      </c>
      <c r="J2238" s="3">
        <f>IFERROR(E2238*VLOOKUP(B2238,PLInter!$A:$D,3,FALSE),"")</f>
        <v>6300</v>
      </c>
      <c r="K2238" s="66"/>
      <c r="L2238" s="66"/>
      <c r="M2238" s="66"/>
      <c r="N2238" s="66"/>
      <c r="O2238" s="66"/>
      <c r="P2238" s="66"/>
      <c r="Q2238" s="66"/>
      <c r="R2238" s="66"/>
      <c r="S2238" s="66"/>
    </row>
    <row r="2239" spans="1:19" ht="18" customHeight="1">
      <c r="B2239" t="s">
        <v>1126</v>
      </c>
      <c r="C2239" t="s">
        <v>1127</v>
      </c>
      <c r="D2239" s="4"/>
      <c r="E2239" s="4">
        <v>4</v>
      </c>
      <c r="F2239" s="4"/>
      <c r="G2239" s="29" t="str">
        <f>IFERROR(HYPERLINK("#"&amp;ADDRESS(MATCH(B2239&amp;"ES",'LM7 Non-ENG'!$A$1:$A$5000,0),1,,,"LM7 Non-ENG"),IF(IFERROR(VLOOKUP(B2239&amp;"ES",'LM7 Non-ENG'!$A$1:$A$4999,1,FALSE),"ERROR")=B2239&amp;"ES","Y","")),"")</f>
        <v/>
      </c>
      <c r="H2239" s="29" t="str">
        <f>IFERROR(HYPERLINK("#"&amp;ADDRESS(MATCH(B2239&amp;"PT",'LM7 Non-ENG'!$A$1:$A$5000,0),1,,,"LM7 Non-ENG"),IF(IFERROR(VLOOKUP(B2239&amp;"PT",'LM7 Non-ENG'!$A$1:$A$5000,1,FALSE),"ERROR")=B2239&amp;"PT","Y","")),"")</f>
        <v/>
      </c>
      <c r="I2239" t="str">
        <f>IFERROR(VLOOKUP(B2239,PN!$A:$C,3,FALSE),"")</f>
        <v>Active</v>
      </c>
      <c r="J2239" s="3">
        <f>IFERROR(E2239*VLOOKUP(B2239,PLInter!$A:$D,3,FALSE),"")</f>
        <v>3600</v>
      </c>
      <c r="K2239" s="66"/>
      <c r="L2239" s="66"/>
      <c r="M2239" s="66"/>
      <c r="N2239" s="66"/>
      <c r="O2239" s="66"/>
      <c r="P2239" s="66"/>
      <c r="Q2239" s="66"/>
      <c r="R2239" s="66"/>
      <c r="S2239" s="66"/>
    </row>
    <row r="2240" spans="1:19" ht="18" customHeight="1">
      <c r="B2240" t="s">
        <v>1128</v>
      </c>
      <c r="C2240" t="s">
        <v>1129</v>
      </c>
      <c r="D2240" s="4"/>
      <c r="E2240" s="4">
        <v>5</v>
      </c>
      <c r="F2240" s="4"/>
      <c r="G2240" s="29" t="str">
        <f>IFERROR(HYPERLINK("#"&amp;ADDRESS(MATCH(B2240&amp;"ES",'LM7 Non-ENG'!$A$1:$A$5000,0),1,,,"LM7 Non-ENG"),IF(IFERROR(VLOOKUP(B2240&amp;"ES",'LM7 Non-ENG'!$A$1:$A$4999,1,FALSE),"ERROR")=B2240&amp;"ES","Y","")),"")</f>
        <v/>
      </c>
      <c r="H2240" s="29" t="str">
        <f>IFERROR(HYPERLINK("#"&amp;ADDRESS(MATCH(B2240&amp;"PT",'LM7 Non-ENG'!$A$1:$A$5000,0),1,,,"LM7 Non-ENG"),IF(IFERROR(VLOOKUP(B2240&amp;"PT",'LM7 Non-ENG'!$A$1:$A$5000,1,FALSE),"ERROR")=B2240&amp;"PT","Y","")),"")</f>
        <v/>
      </c>
      <c r="I2240" t="str">
        <f>IFERROR(VLOOKUP(B2240,PN!$A:$C,3,FALSE),"")</f>
        <v>Active</v>
      </c>
      <c r="J2240" s="3">
        <f>IFERROR(E2240*VLOOKUP(B2240,PLInter!$A:$D,3,FALSE),"")</f>
        <v>11225</v>
      </c>
      <c r="K2240" s="66"/>
      <c r="L2240" s="66"/>
      <c r="M2240" s="66"/>
      <c r="N2240" s="66"/>
      <c r="O2240" s="66"/>
      <c r="P2240" s="66"/>
      <c r="Q2240" s="66"/>
      <c r="R2240" s="66"/>
      <c r="S2240" s="66"/>
    </row>
    <row r="2241" spans="1:19" ht="18" customHeight="1">
      <c r="B2241" t="str">
        <f>"021041"</f>
        <v>021041</v>
      </c>
      <c r="C2241" s="41" t="s">
        <v>1130</v>
      </c>
      <c r="D2241" s="4"/>
      <c r="E2241" s="4">
        <v>1</v>
      </c>
      <c r="F2241" s="4"/>
      <c r="G2241" s="29" t="str">
        <f>IFERROR(HYPERLINK("#"&amp;ADDRESS(MATCH(B2241&amp;"ES",'LM7 Non-ENG'!$A$1:$A$5000,0),1,,,"LM7 Non-ENG"),IF(IFERROR(VLOOKUP(B2241&amp;"ES",'LM7 Non-ENG'!$A$1:$A$4999,1,FALSE),"ERROR")=B2241&amp;"ES","Y","")),"")</f>
        <v/>
      </c>
      <c r="H2241" s="29" t="str">
        <f>IFERROR(HYPERLINK("#"&amp;ADDRESS(MATCH(B2241&amp;"PT",'LM7 Non-ENG'!$A$1:$A$5000,0),1,,,"LM7 Non-ENG"),IF(IFERROR(VLOOKUP(B2241&amp;"PT",'LM7 Non-ENG'!$A$1:$A$5000,1,FALSE),"ERROR")=B2241&amp;"PT","Y","")),"")</f>
        <v/>
      </c>
      <c r="I2241" t="str">
        <f>IFERROR(VLOOKUP(B2241,PN!$A:$C,3,FALSE),"")</f>
        <v>Active</v>
      </c>
      <c r="J2241" s="3">
        <f>IFERROR(E2241*VLOOKUP(B2241,PLInter!$A:$D,3,FALSE),"")</f>
        <v>1000</v>
      </c>
      <c r="K2241" s="66"/>
      <c r="L2241" s="66"/>
      <c r="M2241" s="66"/>
      <c r="N2241" s="66"/>
      <c r="O2241" s="66"/>
      <c r="P2241" s="66"/>
      <c r="Q2241" s="66"/>
      <c r="R2241" s="66"/>
      <c r="S2241" s="66"/>
    </row>
    <row r="2243" spans="1:19" s="7" customFormat="1" ht="18" customHeight="1">
      <c r="A2243" s="13" t="s">
        <v>1147</v>
      </c>
      <c r="B2243" s="13"/>
      <c r="C2243" s="13" t="s">
        <v>1148</v>
      </c>
      <c r="D2243" s="14"/>
      <c r="E2243" s="14"/>
      <c r="F2243" s="14"/>
      <c r="G2243" s="14"/>
      <c r="H2243" s="14"/>
      <c r="I2243" s="14"/>
      <c r="J2243" s="14">
        <f>SUMIFS(J2244:J2249,D2244:D2249,"&lt;&gt;Y",F2244:F2249,"&lt;&gt;Y",I2244:I2249,"&lt;&gt;Inactive",I2244:I2249,"&lt;&gt;ECO+NFS")</f>
        <v>46585</v>
      </c>
      <c r="K2243" s="14"/>
      <c r="L2243" s="14"/>
      <c r="M2243" s="14"/>
      <c r="N2243" s="14"/>
      <c r="O2243" s="14"/>
      <c r="P2243" s="14"/>
      <c r="Q2243" s="14"/>
      <c r="R2243" s="14"/>
      <c r="S2243" s="14"/>
    </row>
    <row r="2244" spans="1:19" ht="18" customHeight="1">
      <c r="A2244" s="17" t="str">
        <f>HYPERLINK("#"&amp;ADDRESS(MATCH(A2243,'CIM&amp;FMS'!$A$1:$A$4997,0),1,,,"CIM&amp;FMS"),"Back to Price List")</f>
        <v>Back to Price List</v>
      </c>
      <c r="B2244" t="s">
        <v>1122</v>
      </c>
      <c r="C2244" t="s">
        <v>1123</v>
      </c>
      <c r="D2244" s="4"/>
      <c r="E2244" s="4">
        <v>1</v>
      </c>
      <c r="F2244" s="4"/>
      <c r="G2244" s="29" t="str">
        <f>IFERROR(HYPERLINK("#"&amp;ADDRESS(MATCH(B2244&amp;"ES",'LM7 Non-ENG'!$A$1:$A$5000,0),1,,,"LM7 Non-ENG"),IF(IFERROR(VLOOKUP(B2244&amp;"ES",'LM7 Non-ENG'!$A$1:$A$4999,1,FALSE),"ERROR")=B2244&amp;"ES","Y","")),"")</f>
        <v/>
      </c>
      <c r="H2244" s="29" t="str">
        <f>IFERROR(HYPERLINK("#"&amp;ADDRESS(MATCH(B2244&amp;"PT",'LM7 Non-ENG'!$A$1:$A$5000,0),1,,,"LM7 Non-ENG"),IF(IFERROR(VLOOKUP(B2244&amp;"PT",'LM7 Non-ENG'!$A$1:$A$5000,1,FALSE),"ERROR")=B2244&amp;"PT","Y","")),"")</f>
        <v/>
      </c>
      <c r="I2244" t="str">
        <f>IFERROR(VLOOKUP(B2244,PN!$A:$C,3,FALSE),"")</f>
        <v>Active</v>
      </c>
      <c r="J2244" s="3">
        <f>IFERROR(E2244*VLOOKUP(B2244,PLInter!$A:$D,3,FALSE),"")</f>
        <v>15750</v>
      </c>
      <c r="K2244" s="66"/>
      <c r="L2244" s="66"/>
      <c r="M2244" s="66"/>
      <c r="N2244" s="66"/>
      <c r="O2244" s="66"/>
      <c r="P2244" s="66"/>
      <c r="Q2244" s="66"/>
      <c r="R2244" s="66"/>
      <c r="S2244" s="66"/>
    </row>
    <row r="2245" spans="1:19" ht="18" customHeight="1">
      <c r="B2245" t="s">
        <v>1124</v>
      </c>
      <c r="C2245" t="s">
        <v>1125</v>
      </c>
      <c r="D2245" s="4"/>
      <c r="E2245" s="4">
        <v>4</v>
      </c>
      <c r="F2245" s="4"/>
      <c r="G2245" s="29" t="str">
        <f>IFERROR(HYPERLINK("#"&amp;ADDRESS(MATCH(B2245&amp;"ES",'LM7 Non-ENG'!$A$1:$A$5000,0),1,,,"LM7 Non-ENG"),IF(IFERROR(VLOOKUP(B2245&amp;"ES",'LM7 Non-ENG'!$A$1:$A$4999,1,FALSE),"ERROR")=B2245&amp;"ES","Y","")),"")</f>
        <v/>
      </c>
      <c r="H2245" s="29" t="str">
        <f>IFERROR(HYPERLINK("#"&amp;ADDRESS(MATCH(B2245&amp;"PT",'LM7 Non-ENG'!$A$1:$A$5000,0),1,,,"LM7 Non-ENG"),IF(IFERROR(VLOOKUP(B2245&amp;"PT",'LM7 Non-ENG'!$A$1:$A$5000,1,FALSE),"ERROR")=B2245&amp;"PT","Y","")),"")</f>
        <v/>
      </c>
      <c r="I2245" t="str">
        <f>IFERROR(VLOOKUP(B2245,PN!$A:$C,3,FALSE),"")</f>
        <v>Active</v>
      </c>
      <c r="J2245" s="3">
        <f>IFERROR(E2245*VLOOKUP(B2245,PLInter!$A:$D,3,FALSE),"")</f>
        <v>5880</v>
      </c>
      <c r="K2245" s="66"/>
      <c r="L2245" s="66"/>
      <c r="M2245" s="66"/>
      <c r="N2245" s="66"/>
      <c r="O2245" s="66"/>
      <c r="P2245" s="66"/>
      <c r="Q2245" s="66"/>
      <c r="R2245" s="66"/>
      <c r="S2245" s="66"/>
    </row>
    <row r="2246" spans="1:19" ht="18" customHeight="1">
      <c r="B2246" t="s">
        <v>1126</v>
      </c>
      <c r="C2246" t="s">
        <v>1127</v>
      </c>
      <c r="D2246" s="4"/>
      <c r="E2246" s="4">
        <v>6</v>
      </c>
      <c r="F2246" s="4"/>
      <c r="G2246" s="29" t="str">
        <f>IFERROR(HYPERLINK("#"&amp;ADDRESS(MATCH(B2246&amp;"ES",'LM7 Non-ENG'!$A$1:$A$5000,0),1,,,"LM7 Non-ENG"),IF(IFERROR(VLOOKUP(B2246&amp;"ES",'LM7 Non-ENG'!$A$1:$A$4999,1,FALSE),"ERROR")=B2246&amp;"ES","Y","")),"")</f>
        <v/>
      </c>
      <c r="H2246" s="29" t="str">
        <f>IFERROR(HYPERLINK("#"&amp;ADDRESS(MATCH(B2246&amp;"PT",'LM7 Non-ENG'!$A$1:$A$5000,0),1,,,"LM7 Non-ENG"),IF(IFERROR(VLOOKUP(B2246&amp;"PT",'LM7 Non-ENG'!$A$1:$A$5000,1,FALSE),"ERROR")=B2246&amp;"PT","Y","")),"")</f>
        <v/>
      </c>
      <c r="I2246" t="str">
        <f>IFERROR(VLOOKUP(B2246,PN!$A:$C,3,FALSE),"")</f>
        <v>Active</v>
      </c>
      <c r="J2246" s="3">
        <f>IFERROR(E2246*VLOOKUP(B2246,PLInter!$A:$D,3,FALSE),"")</f>
        <v>5400</v>
      </c>
      <c r="K2246" s="66"/>
      <c r="L2246" s="66"/>
      <c r="M2246" s="66"/>
      <c r="N2246" s="66"/>
      <c r="O2246" s="66"/>
      <c r="P2246" s="66"/>
      <c r="Q2246" s="66"/>
      <c r="R2246" s="66"/>
      <c r="S2246" s="66"/>
    </row>
    <row r="2247" spans="1:19" ht="18" customHeight="1">
      <c r="B2247" t="s">
        <v>1128</v>
      </c>
      <c r="C2247" t="s">
        <v>1129</v>
      </c>
      <c r="D2247" s="4"/>
      <c r="E2247" s="4">
        <v>7</v>
      </c>
      <c r="F2247" s="4"/>
      <c r="G2247" s="29" t="str">
        <f>IFERROR(HYPERLINK("#"&amp;ADDRESS(MATCH(B2247&amp;"ES",'LM7 Non-ENG'!$A$1:$A$5000,0),1,,,"LM7 Non-ENG"),IF(IFERROR(VLOOKUP(B2247&amp;"ES",'LM7 Non-ENG'!$A$1:$A$4999,1,FALSE),"ERROR")=B2247&amp;"ES","Y","")),"")</f>
        <v/>
      </c>
      <c r="H2247" s="29" t="str">
        <f>IFERROR(HYPERLINK("#"&amp;ADDRESS(MATCH(B2247&amp;"PT",'LM7 Non-ENG'!$A$1:$A$5000,0),1,,,"LM7 Non-ENG"),IF(IFERROR(VLOOKUP(B2247&amp;"PT",'LM7 Non-ENG'!$A$1:$A$5000,1,FALSE),"ERROR")=B2247&amp;"PT","Y","")),"")</f>
        <v/>
      </c>
      <c r="I2247" t="str">
        <f>IFERROR(VLOOKUP(B2247,PN!$A:$C,3,FALSE),"")</f>
        <v>Active</v>
      </c>
      <c r="J2247" s="3">
        <f>IFERROR(E2247*VLOOKUP(B2247,PLInter!$A:$D,3,FALSE),"")</f>
        <v>15715</v>
      </c>
      <c r="K2247" s="66"/>
      <c r="L2247" s="66"/>
      <c r="M2247" s="66"/>
      <c r="N2247" s="66"/>
      <c r="O2247" s="66"/>
      <c r="P2247" s="66"/>
      <c r="Q2247" s="66"/>
      <c r="R2247" s="66"/>
      <c r="S2247" s="66"/>
    </row>
    <row r="2248" spans="1:19" ht="18" customHeight="1">
      <c r="B2248" t="s">
        <v>1133</v>
      </c>
      <c r="C2248" t="s">
        <v>1134</v>
      </c>
      <c r="D2248" s="4"/>
      <c r="E2248" s="4">
        <v>2</v>
      </c>
      <c r="F2248" s="4"/>
      <c r="G2248" s="29" t="str">
        <f>IFERROR(HYPERLINK("#"&amp;ADDRESS(MATCH(B2248&amp;"ES",'LM7 Non-ENG'!$A$1:$A$5000,0),1,,,"LM7 Non-ENG"),IF(IFERROR(VLOOKUP(B2248&amp;"ES",'LM7 Non-ENG'!$A$1:$A$4999,1,FALSE),"ERROR")=B2248&amp;"ES","Y","")),"")</f>
        <v/>
      </c>
      <c r="H2248" s="29" t="str">
        <f>IFERROR(HYPERLINK("#"&amp;ADDRESS(MATCH(B2248&amp;"PT",'LM7 Non-ENG'!$A$1:$A$5000,0),1,,,"LM7 Non-ENG"),IF(IFERROR(VLOOKUP(B2248&amp;"PT",'LM7 Non-ENG'!$A$1:$A$5000,1,FALSE),"ERROR")=B2248&amp;"PT","Y","")),"")</f>
        <v/>
      </c>
      <c r="I2248" t="str">
        <f>IFERROR(VLOOKUP(B2248,PN!$A:$C,3,FALSE),"")</f>
        <v>Active</v>
      </c>
      <c r="J2248" s="3">
        <f>IFERROR(E2248*VLOOKUP(B2248,PLInter!$A:$D,3,FALSE),"")</f>
        <v>2840</v>
      </c>
      <c r="K2248" s="66"/>
      <c r="L2248" s="66"/>
      <c r="M2248" s="66"/>
      <c r="N2248" s="66"/>
      <c r="O2248" s="66"/>
      <c r="P2248" s="66"/>
      <c r="Q2248" s="66"/>
      <c r="R2248" s="66"/>
      <c r="S2248" s="66"/>
    </row>
    <row r="2249" spans="1:19" ht="18" customHeight="1">
      <c r="B2249" t="str">
        <f>"021041"</f>
        <v>021041</v>
      </c>
      <c r="C2249" s="41" t="s">
        <v>1130</v>
      </c>
      <c r="D2249" s="4"/>
      <c r="E2249" s="4">
        <v>1</v>
      </c>
      <c r="F2249" s="4"/>
      <c r="G2249" s="29" t="str">
        <f>IFERROR(HYPERLINK("#"&amp;ADDRESS(MATCH(B2249&amp;"ES",'LM7 Non-ENG'!$A$1:$A$5000,0),1,,,"LM7 Non-ENG"),IF(IFERROR(VLOOKUP(B2249&amp;"ES",'LM7 Non-ENG'!$A$1:$A$4999,1,FALSE),"ERROR")=B2249&amp;"ES","Y","")),"")</f>
        <v/>
      </c>
      <c r="H2249" s="29" t="str">
        <f>IFERROR(HYPERLINK("#"&amp;ADDRESS(MATCH(B2249&amp;"PT",'LM7 Non-ENG'!$A$1:$A$5000,0),1,,,"LM7 Non-ENG"),IF(IFERROR(VLOOKUP(B2249&amp;"PT",'LM7 Non-ENG'!$A$1:$A$5000,1,FALSE),"ERROR")=B2249&amp;"PT","Y","")),"")</f>
        <v/>
      </c>
      <c r="I2249" t="str">
        <f>IFERROR(VLOOKUP(B2249,PN!$A:$C,3,FALSE),"")</f>
        <v>Active</v>
      </c>
      <c r="J2249" s="3">
        <f>IFERROR(E2249*VLOOKUP(B2249,PLInter!$A:$D,3,FALSE),"")</f>
        <v>1000</v>
      </c>
      <c r="K2249" s="66"/>
      <c r="L2249" s="66"/>
      <c r="M2249" s="66"/>
      <c r="N2249" s="66"/>
      <c r="O2249" s="66"/>
      <c r="P2249" s="66"/>
      <c r="Q2249" s="66"/>
      <c r="R2249" s="66"/>
      <c r="S2249" s="66"/>
    </row>
    <row r="2251" spans="1:19" s="7" customFormat="1" ht="18" customHeight="1">
      <c r="A2251" s="13" t="s">
        <v>1149</v>
      </c>
      <c r="B2251" s="13"/>
      <c r="C2251" s="13" t="s">
        <v>1150</v>
      </c>
      <c r="D2251" s="14"/>
      <c r="E2251" s="14"/>
      <c r="F2251" s="14"/>
      <c r="G2251" s="14"/>
      <c r="H2251" s="14"/>
      <c r="I2251" s="14"/>
      <c r="J2251" s="14">
        <f>SUMIFS(J2252:J2256,D2252:D2256,"&lt;&gt;Y",F2252:F2256,"&lt;&gt;Y",I2252:I2256,"&lt;&gt;Inactive",I2252:I2256,"&lt;&gt;ECO+NFS")</f>
        <v>44165</v>
      </c>
      <c r="K2251" s="14"/>
      <c r="L2251" s="14"/>
      <c r="M2251" s="14"/>
      <c r="N2251" s="14"/>
      <c r="O2251" s="14"/>
      <c r="P2251" s="14"/>
      <c r="Q2251" s="14"/>
      <c r="R2251" s="14"/>
      <c r="S2251" s="14"/>
    </row>
    <row r="2252" spans="1:19" ht="18" customHeight="1">
      <c r="A2252" s="17" t="str">
        <f>HYPERLINK("#"&amp;ADDRESS(MATCH(A2251,'CIM&amp;FMS'!$A$1:$A$4997,0),1,,,"CIM&amp;FMS"),"Back to Price List")</f>
        <v>Back to Price List</v>
      </c>
      <c r="B2252" t="str">
        <f>"10-2110-9000"</f>
        <v>10-2110-9000</v>
      </c>
      <c r="C2252" t="str">
        <f>"Pallet Conveyor Drive Assembly"</f>
        <v>Pallet Conveyor Drive Assembly</v>
      </c>
      <c r="D2252" s="4"/>
      <c r="E2252" s="4">
        <v>1</v>
      </c>
      <c r="F2252" s="4"/>
      <c r="G2252" s="29" t="str">
        <f>IFERROR(HYPERLINK("#"&amp;ADDRESS(MATCH(B2252&amp;"ES",'LM7 Non-ENG'!$A$1:$A$5000,0),1,,,"LM7 Non-ENG"),IF(IFERROR(VLOOKUP(B2252&amp;"ES",'LM7 Non-ENG'!$A$1:$A$4999,1,FALSE),"ERROR")=B2252&amp;"ES","Y","")),"")</f>
        <v/>
      </c>
      <c r="H2252" s="29" t="str">
        <f>IFERROR(HYPERLINK("#"&amp;ADDRESS(MATCH(B2252&amp;"PT",'LM7 Non-ENG'!$A$1:$A$5000,0),1,,,"LM7 Non-ENG"),IF(IFERROR(VLOOKUP(B2252&amp;"PT",'LM7 Non-ENG'!$A$1:$A$5000,1,FALSE),"ERROR")=B2252&amp;"PT","Y","")),"")</f>
        <v/>
      </c>
      <c r="I2252" t="str">
        <f>IFERROR(VLOOKUP(B2252,PN!$A:$C,3,FALSE),"")</f>
        <v>Active</v>
      </c>
      <c r="J2252" s="3">
        <f>IFERROR(E2252*VLOOKUP(B2252,PLInter!$A:$D,3,FALSE),"")</f>
        <v>15750</v>
      </c>
      <c r="K2252" s="66"/>
      <c r="L2252" s="66"/>
      <c r="M2252" s="66"/>
      <c r="N2252" s="66"/>
      <c r="O2252" s="66"/>
      <c r="P2252" s="66"/>
      <c r="Q2252" s="66"/>
      <c r="R2252" s="66"/>
      <c r="S2252" s="66"/>
    </row>
    <row r="2253" spans="1:19" ht="18" customHeight="1">
      <c r="B2253" t="str">
        <f>"10-2110-5000"</f>
        <v>10-2110-5000</v>
      </c>
      <c r="C2253" t="str">
        <f>"Pallet Conveyor Corner Section 180°"</f>
        <v>Pallet Conveyor Corner Section 180°</v>
      </c>
      <c r="D2253" s="4"/>
      <c r="E2253" s="4">
        <v>2</v>
      </c>
      <c r="F2253" s="4"/>
      <c r="G2253" s="29" t="str">
        <f>IFERROR(HYPERLINK("#"&amp;ADDRESS(MATCH(B2253&amp;"ES",'LM7 Non-ENG'!$A$1:$A$5000,0),1,,,"LM7 Non-ENG"),IF(IFERROR(VLOOKUP(B2253&amp;"ES",'LM7 Non-ENG'!$A$1:$A$4999,1,FALSE),"ERROR")=B2253&amp;"ES","Y","")),"")</f>
        <v/>
      </c>
      <c r="H2253" s="29" t="str">
        <f>IFERROR(HYPERLINK("#"&amp;ADDRESS(MATCH(B2253&amp;"PT",'LM7 Non-ENG'!$A$1:$A$5000,0),1,,,"LM7 Non-ENG"),IF(IFERROR(VLOOKUP(B2253&amp;"PT",'LM7 Non-ENG'!$A$1:$A$5000,1,FALSE),"ERROR")=B2253&amp;"PT","Y","")),"")</f>
        <v/>
      </c>
      <c r="I2253" t="str">
        <f>IFERROR(VLOOKUP(B2253,PN!$A:$C,3,FALSE),"")</f>
        <v>Active</v>
      </c>
      <c r="J2253" s="3">
        <f>IFERROR(E2253*VLOOKUP(B2253,PLInter!$A:$D,3,FALSE),"")</f>
        <v>6300</v>
      </c>
      <c r="K2253" s="66"/>
      <c r="L2253" s="66"/>
      <c r="M2253" s="66"/>
      <c r="N2253" s="66"/>
      <c r="O2253" s="66"/>
      <c r="P2253" s="66"/>
      <c r="Q2253" s="66"/>
      <c r="R2253" s="66"/>
      <c r="S2253" s="66"/>
    </row>
    <row r="2254" spans="1:19" ht="18" customHeight="1">
      <c r="B2254" t="str">
        <f>"10-2111-0000"</f>
        <v>10-2111-0000</v>
      </c>
      <c r="C2254" t="str">
        <f>"Pallet Conveyor Middle Leg Assembly"</f>
        <v>Pallet Conveyor Middle Leg Assembly</v>
      </c>
      <c r="D2254" s="4"/>
      <c r="E2254" s="4">
        <v>6</v>
      </c>
      <c r="F2254" s="4"/>
      <c r="G2254" s="29" t="str">
        <f>IFERROR(HYPERLINK("#"&amp;ADDRESS(MATCH(B2254&amp;"ES",'LM7 Non-ENG'!$A$1:$A$5000,0),1,,,"LM7 Non-ENG"),IF(IFERROR(VLOOKUP(B2254&amp;"ES",'LM7 Non-ENG'!$A$1:$A$4999,1,FALSE),"ERROR")=B2254&amp;"ES","Y","")),"")</f>
        <v/>
      </c>
      <c r="H2254" s="29" t="str">
        <f>IFERROR(HYPERLINK("#"&amp;ADDRESS(MATCH(B2254&amp;"PT",'LM7 Non-ENG'!$A$1:$A$5000,0),1,,,"LM7 Non-ENG"),IF(IFERROR(VLOOKUP(B2254&amp;"PT",'LM7 Non-ENG'!$A$1:$A$5000,1,FALSE),"ERROR")=B2254&amp;"PT","Y","")),"")</f>
        <v/>
      </c>
      <c r="I2254" t="str">
        <f>IFERROR(VLOOKUP(B2254,PN!$A:$C,3,FALSE),"")</f>
        <v>Active</v>
      </c>
      <c r="J2254" s="3">
        <f>IFERROR(E2254*VLOOKUP(B2254,PLInter!$A:$D,3,FALSE),"")</f>
        <v>5400</v>
      </c>
      <c r="K2254" s="66"/>
      <c r="L2254" s="66"/>
      <c r="M2254" s="66"/>
      <c r="N2254" s="66"/>
      <c r="O2254" s="66"/>
      <c r="P2254" s="66"/>
      <c r="Q2254" s="66"/>
      <c r="R2254" s="66"/>
      <c r="S2254" s="66"/>
    </row>
    <row r="2255" spans="1:19" ht="18" customHeight="1">
      <c r="B2255" t="str">
        <f>"10-2110-1000"</f>
        <v>10-2110-1000</v>
      </c>
      <c r="C2255" t="str">
        <f>"Pallet Conveyor Straight Section 1400mm"</f>
        <v>Pallet Conveyor Straight Section 1400mm</v>
      </c>
      <c r="D2255" s="4"/>
      <c r="E2255" s="4">
        <v>7</v>
      </c>
      <c r="F2255" s="4"/>
      <c r="G2255" s="29" t="str">
        <f>IFERROR(HYPERLINK("#"&amp;ADDRESS(MATCH(B2255&amp;"ES",'LM7 Non-ENG'!$A$1:$A$5000,0),1,,,"LM7 Non-ENG"),IF(IFERROR(VLOOKUP(B2255&amp;"ES",'LM7 Non-ENG'!$A$1:$A$4999,1,FALSE),"ERROR")=B2255&amp;"ES","Y","")),"")</f>
        <v/>
      </c>
      <c r="H2255" s="29" t="str">
        <f>IFERROR(HYPERLINK("#"&amp;ADDRESS(MATCH(B2255&amp;"PT",'LM7 Non-ENG'!$A$1:$A$5000,0),1,,,"LM7 Non-ENG"),IF(IFERROR(VLOOKUP(B2255&amp;"PT",'LM7 Non-ENG'!$A$1:$A$5000,1,FALSE),"ERROR")=B2255&amp;"PT","Y","")),"")</f>
        <v/>
      </c>
      <c r="I2255" t="str">
        <f>IFERROR(VLOOKUP(B2255,PN!$A:$C,3,FALSE),"")</f>
        <v>Active</v>
      </c>
      <c r="J2255" s="3">
        <f>IFERROR(E2255*VLOOKUP(B2255,PLInter!$A:$D,3,FALSE),"")</f>
        <v>15715</v>
      </c>
      <c r="K2255" s="66"/>
      <c r="L2255" s="66"/>
      <c r="M2255" s="66"/>
      <c r="N2255" s="66"/>
      <c r="O2255" s="66"/>
      <c r="P2255" s="66"/>
      <c r="Q2255" s="66"/>
      <c r="R2255" s="66"/>
      <c r="S2255" s="66"/>
    </row>
    <row r="2256" spans="1:19" ht="18" customHeight="1">
      <c r="B2256" t="str">
        <f>"021041"</f>
        <v>021041</v>
      </c>
      <c r="C2256" s="41" t="s">
        <v>1130</v>
      </c>
      <c r="D2256" s="4"/>
      <c r="E2256" s="4">
        <v>1</v>
      </c>
      <c r="F2256" s="4"/>
      <c r="G2256" s="29" t="str">
        <f>IFERROR(HYPERLINK("#"&amp;ADDRESS(MATCH(B2256&amp;"ES",'LM7 Non-ENG'!$A$1:$A$5000,0),1,,,"LM7 Non-ENG"),IF(IFERROR(VLOOKUP(B2256&amp;"ES",'LM7 Non-ENG'!$A$1:$A$4999,1,FALSE),"ERROR")=B2256&amp;"ES","Y","")),"")</f>
        <v/>
      </c>
      <c r="H2256" s="29" t="str">
        <f>IFERROR(HYPERLINK("#"&amp;ADDRESS(MATCH(B2256&amp;"PT",'LM7 Non-ENG'!$A$1:$A$5000,0),1,,,"LM7 Non-ENG"),IF(IFERROR(VLOOKUP(B2256&amp;"PT",'LM7 Non-ENG'!$A$1:$A$5000,1,FALSE),"ERROR")=B2256&amp;"PT","Y","")),"")</f>
        <v/>
      </c>
      <c r="I2256" t="str">
        <f>IFERROR(VLOOKUP(B2256,PN!$A:$C,3,FALSE),"")</f>
        <v>Active</v>
      </c>
      <c r="J2256" s="3">
        <f>IFERROR(E2256*VLOOKUP(B2256,PLInter!$A:$D,3,FALSE),"")</f>
        <v>1000</v>
      </c>
      <c r="K2256" s="66"/>
      <c r="L2256" s="66"/>
      <c r="M2256" s="66"/>
      <c r="N2256" s="66"/>
      <c r="O2256" s="66"/>
      <c r="P2256" s="66"/>
      <c r="Q2256" s="66"/>
      <c r="R2256" s="66"/>
      <c r="S2256" s="66"/>
    </row>
    <row r="2258" spans="1:19" s="7" customFormat="1" ht="18" customHeight="1">
      <c r="A2258" s="13" t="s">
        <v>1151</v>
      </c>
      <c r="B2258" s="13"/>
      <c r="C2258" s="13" t="s">
        <v>1152</v>
      </c>
      <c r="D2258" s="14"/>
      <c r="E2258" s="14"/>
      <c r="F2258" s="14"/>
      <c r="G2258" s="14"/>
      <c r="H2258" s="14"/>
      <c r="I2258" s="14"/>
      <c r="J2258" s="14">
        <f>SUMIFS(J2259:J2264,D2259:D2264,"&lt;&gt;Y",F2259:F2264,"&lt;&gt;Y",I2259:I2264,"&lt;&gt;Inactive",I2259:I2264,"&lt;&gt;ECO+NFS")</f>
        <v>52875</v>
      </c>
      <c r="K2258" s="14"/>
      <c r="L2258" s="14"/>
      <c r="M2258" s="14"/>
      <c r="N2258" s="14"/>
      <c r="O2258" s="14"/>
      <c r="P2258" s="14"/>
      <c r="Q2258" s="14"/>
      <c r="R2258" s="14"/>
      <c r="S2258" s="14"/>
    </row>
    <row r="2259" spans="1:19" ht="18" customHeight="1">
      <c r="A2259" s="17" t="str">
        <f>HYPERLINK("#"&amp;ADDRESS(MATCH(A2258,'CIM&amp;FMS'!$A$1:$A$4997,0),1,,,"CIM&amp;FMS"),"Back to Price List")</f>
        <v>Back to Price List</v>
      </c>
      <c r="B2259" t="s">
        <v>1122</v>
      </c>
      <c r="C2259" t="s">
        <v>1123</v>
      </c>
      <c r="D2259" s="4"/>
      <c r="E2259" s="4">
        <v>1</v>
      </c>
      <c r="F2259" s="4"/>
      <c r="G2259" s="29" t="str">
        <f>IFERROR(HYPERLINK("#"&amp;ADDRESS(MATCH(B2259&amp;"ES",'LM7 Non-ENG'!$A$1:$A$5000,0),1,,,"LM7 Non-ENG"),IF(IFERROR(VLOOKUP(B2259&amp;"ES",'LM7 Non-ENG'!$A$1:$A$4999,1,FALSE),"ERROR")=B2259&amp;"ES","Y","")),"")</f>
        <v/>
      </c>
      <c r="H2259" s="29" t="str">
        <f>IFERROR(HYPERLINK("#"&amp;ADDRESS(MATCH(B2259&amp;"PT",'LM7 Non-ENG'!$A$1:$A$5000,0),1,,,"LM7 Non-ENG"),IF(IFERROR(VLOOKUP(B2259&amp;"PT",'LM7 Non-ENG'!$A$1:$A$5000,1,FALSE),"ERROR")=B2259&amp;"PT","Y","")),"")</f>
        <v/>
      </c>
      <c r="I2259" t="str">
        <f>IFERROR(VLOOKUP(B2259,PN!$A:$C,3,FALSE),"")</f>
        <v>Active</v>
      </c>
      <c r="J2259" s="3">
        <f>IFERROR(E2259*VLOOKUP(B2259,PLInter!$A:$D,3,FALSE),"")</f>
        <v>15750</v>
      </c>
      <c r="K2259" s="66"/>
      <c r="L2259" s="66"/>
      <c r="M2259" s="66"/>
      <c r="N2259" s="66"/>
      <c r="O2259" s="66"/>
      <c r="P2259" s="66"/>
      <c r="Q2259" s="66"/>
      <c r="R2259" s="66"/>
      <c r="S2259" s="66"/>
    </row>
    <row r="2260" spans="1:19" ht="18" customHeight="1">
      <c r="B2260" t="s">
        <v>1124</v>
      </c>
      <c r="C2260" t="s">
        <v>1125</v>
      </c>
      <c r="D2260" s="4"/>
      <c r="E2260" s="4">
        <v>4</v>
      </c>
      <c r="F2260" s="4"/>
      <c r="G2260" s="29" t="str">
        <f>IFERROR(HYPERLINK("#"&amp;ADDRESS(MATCH(B2260&amp;"ES",'LM7 Non-ENG'!$A$1:$A$5000,0),1,,,"LM7 Non-ENG"),IF(IFERROR(VLOOKUP(B2260&amp;"ES",'LM7 Non-ENG'!$A$1:$A$4999,1,FALSE),"ERROR")=B2260&amp;"ES","Y","")),"")</f>
        <v/>
      </c>
      <c r="H2260" s="29" t="str">
        <f>IFERROR(HYPERLINK("#"&amp;ADDRESS(MATCH(B2260&amp;"PT",'LM7 Non-ENG'!$A$1:$A$5000,0),1,,,"LM7 Non-ENG"),IF(IFERROR(VLOOKUP(B2260&amp;"PT",'LM7 Non-ENG'!$A$1:$A$5000,1,FALSE),"ERROR")=B2260&amp;"PT","Y","")),"")</f>
        <v/>
      </c>
      <c r="I2260" t="str">
        <f>IFERROR(VLOOKUP(B2260,PN!$A:$C,3,FALSE),"")</f>
        <v>Active</v>
      </c>
      <c r="J2260" s="3">
        <f>IFERROR(E2260*VLOOKUP(B2260,PLInter!$A:$D,3,FALSE),"")</f>
        <v>5880</v>
      </c>
      <c r="K2260" s="66"/>
      <c r="L2260" s="66"/>
      <c r="M2260" s="66"/>
      <c r="N2260" s="66"/>
      <c r="O2260" s="66"/>
      <c r="P2260" s="66"/>
      <c r="Q2260" s="66"/>
      <c r="R2260" s="66"/>
      <c r="S2260" s="66"/>
    </row>
    <row r="2261" spans="1:19" ht="18" customHeight="1">
      <c r="B2261" t="s">
        <v>1126</v>
      </c>
      <c r="C2261" t="s">
        <v>1127</v>
      </c>
      <c r="D2261" s="4"/>
      <c r="E2261" s="4">
        <v>8</v>
      </c>
      <c r="F2261" s="4"/>
      <c r="G2261" s="29" t="str">
        <f>IFERROR(HYPERLINK("#"&amp;ADDRESS(MATCH(B2261&amp;"ES",'LM7 Non-ENG'!$A$1:$A$5000,0),1,,,"LM7 Non-ENG"),IF(IFERROR(VLOOKUP(B2261&amp;"ES",'LM7 Non-ENG'!$A$1:$A$4999,1,FALSE),"ERROR")=B2261&amp;"ES","Y","")),"")</f>
        <v/>
      </c>
      <c r="H2261" s="29" t="str">
        <f>IFERROR(HYPERLINK("#"&amp;ADDRESS(MATCH(B2261&amp;"PT",'LM7 Non-ENG'!$A$1:$A$5000,0),1,,,"LM7 Non-ENG"),IF(IFERROR(VLOOKUP(B2261&amp;"PT",'LM7 Non-ENG'!$A$1:$A$5000,1,FALSE),"ERROR")=B2261&amp;"PT","Y","")),"")</f>
        <v/>
      </c>
      <c r="I2261" t="str">
        <f>IFERROR(VLOOKUP(B2261,PN!$A:$C,3,FALSE),"")</f>
        <v>Active</v>
      </c>
      <c r="J2261" s="3">
        <f>IFERROR(E2261*VLOOKUP(B2261,PLInter!$A:$D,3,FALSE),"")</f>
        <v>7200</v>
      </c>
      <c r="K2261" s="66"/>
      <c r="L2261" s="66"/>
      <c r="M2261" s="66"/>
      <c r="N2261" s="66"/>
      <c r="O2261" s="66"/>
      <c r="P2261" s="66"/>
      <c r="Q2261" s="66"/>
      <c r="R2261" s="66"/>
      <c r="S2261" s="66"/>
    </row>
    <row r="2262" spans="1:19" ht="18" customHeight="1">
      <c r="B2262" t="s">
        <v>1128</v>
      </c>
      <c r="C2262" t="s">
        <v>1129</v>
      </c>
      <c r="D2262" s="4"/>
      <c r="E2262" s="4">
        <v>9</v>
      </c>
      <c r="F2262" s="4"/>
      <c r="G2262" s="29" t="str">
        <f>IFERROR(HYPERLINK("#"&amp;ADDRESS(MATCH(B2262&amp;"ES",'LM7 Non-ENG'!$A$1:$A$5000,0),1,,,"LM7 Non-ENG"),IF(IFERROR(VLOOKUP(B2262&amp;"ES",'LM7 Non-ENG'!$A$1:$A$4999,1,FALSE),"ERROR")=B2262&amp;"ES","Y","")),"")</f>
        <v/>
      </c>
      <c r="H2262" s="29" t="str">
        <f>IFERROR(HYPERLINK("#"&amp;ADDRESS(MATCH(B2262&amp;"PT",'LM7 Non-ENG'!$A$1:$A$5000,0),1,,,"LM7 Non-ENG"),IF(IFERROR(VLOOKUP(B2262&amp;"PT",'LM7 Non-ENG'!$A$1:$A$5000,1,FALSE),"ERROR")=B2262&amp;"PT","Y","")),"")</f>
        <v/>
      </c>
      <c r="I2262" t="str">
        <f>IFERROR(VLOOKUP(B2262,PN!$A:$C,3,FALSE),"")</f>
        <v>Active</v>
      </c>
      <c r="J2262" s="3">
        <f>IFERROR(E2262*VLOOKUP(B2262,PLInter!$A:$D,3,FALSE),"")</f>
        <v>20205</v>
      </c>
      <c r="K2262" s="66"/>
      <c r="L2262" s="66"/>
      <c r="M2262" s="66"/>
      <c r="N2262" s="66"/>
      <c r="O2262" s="66"/>
      <c r="P2262" s="66"/>
      <c r="Q2262" s="66"/>
      <c r="R2262" s="66"/>
      <c r="S2262" s="66"/>
    </row>
    <row r="2263" spans="1:19" ht="18" customHeight="1">
      <c r="B2263" t="s">
        <v>1133</v>
      </c>
      <c r="C2263" t="s">
        <v>1134</v>
      </c>
      <c r="D2263" s="4"/>
      <c r="E2263" s="4">
        <v>2</v>
      </c>
      <c r="F2263" s="4"/>
      <c r="G2263" s="29" t="str">
        <f>IFERROR(HYPERLINK("#"&amp;ADDRESS(MATCH(B2263&amp;"ES",'LM7 Non-ENG'!$A$1:$A$5000,0),1,,,"LM7 Non-ENG"),IF(IFERROR(VLOOKUP(B2263&amp;"ES",'LM7 Non-ENG'!$A$1:$A$4999,1,FALSE),"ERROR")=B2263&amp;"ES","Y","")),"")</f>
        <v/>
      </c>
      <c r="H2263" s="29" t="str">
        <f>IFERROR(HYPERLINK("#"&amp;ADDRESS(MATCH(B2263&amp;"PT",'LM7 Non-ENG'!$A$1:$A$5000,0),1,,,"LM7 Non-ENG"),IF(IFERROR(VLOOKUP(B2263&amp;"PT",'LM7 Non-ENG'!$A$1:$A$5000,1,FALSE),"ERROR")=B2263&amp;"PT","Y","")),"")</f>
        <v/>
      </c>
      <c r="I2263" t="str">
        <f>IFERROR(VLOOKUP(B2263,PN!$A:$C,3,FALSE),"")</f>
        <v>Active</v>
      </c>
      <c r="J2263" s="3">
        <f>IFERROR(E2263*VLOOKUP(B2263,PLInter!$A:$D,3,FALSE),"")</f>
        <v>2840</v>
      </c>
      <c r="K2263" s="66"/>
      <c r="L2263" s="66"/>
      <c r="M2263" s="66"/>
      <c r="N2263" s="66"/>
      <c r="O2263" s="66"/>
      <c r="P2263" s="66"/>
      <c r="Q2263" s="66"/>
      <c r="R2263" s="66"/>
      <c r="S2263" s="66"/>
    </row>
    <row r="2264" spans="1:19" ht="18" customHeight="1">
      <c r="B2264" t="str">
        <f>"021041"</f>
        <v>021041</v>
      </c>
      <c r="C2264" s="41" t="s">
        <v>1130</v>
      </c>
      <c r="D2264" s="4"/>
      <c r="E2264" s="4">
        <v>1</v>
      </c>
      <c r="F2264" s="4"/>
      <c r="G2264" s="29" t="str">
        <f>IFERROR(HYPERLINK("#"&amp;ADDRESS(MATCH(B2264&amp;"ES",'LM7 Non-ENG'!$A$1:$A$5000,0),1,,,"LM7 Non-ENG"),IF(IFERROR(VLOOKUP(B2264&amp;"ES",'LM7 Non-ENG'!$A$1:$A$4999,1,FALSE),"ERROR")=B2264&amp;"ES","Y","")),"")</f>
        <v/>
      </c>
      <c r="H2264" s="29" t="str">
        <f>IFERROR(HYPERLINK("#"&amp;ADDRESS(MATCH(B2264&amp;"PT",'LM7 Non-ENG'!$A$1:$A$5000,0),1,,,"LM7 Non-ENG"),IF(IFERROR(VLOOKUP(B2264&amp;"PT",'LM7 Non-ENG'!$A$1:$A$5000,1,FALSE),"ERROR")=B2264&amp;"PT","Y","")),"")</f>
        <v/>
      </c>
      <c r="I2264" t="str">
        <f>IFERROR(VLOOKUP(B2264,PN!$A:$C,3,FALSE),"")</f>
        <v>Active</v>
      </c>
      <c r="J2264" s="3">
        <f>IFERROR(E2264*VLOOKUP(B2264,PLInter!$A:$D,3,FALSE),"")</f>
        <v>1000</v>
      </c>
      <c r="K2264" s="66"/>
      <c r="L2264" s="66"/>
      <c r="M2264" s="66"/>
      <c r="N2264" s="66"/>
      <c r="O2264" s="66"/>
      <c r="P2264" s="66"/>
      <c r="Q2264" s="66"/>
      <c r="R2264" s="66"/>
      <c r="S2264" s="66"/>
    </row>
    <row r="2266" spans="1:19" s="7" customFormat="1" ht="18" customHeight="1">
      <c r="A2266" s="13" t="s">
        <v>1153</v>
      </c>
      <c r="B2266" s="13"/>
      <c r="C2266" s="13" t="s">
        <v>1154</v>
      </c>
      <c r="D2266" s="14"/>
      <c r="E2266" s="14"/>
      <c r="F2266" s="14"/>
      <c r="G2266" s="14"/>
      <c r="H2266" s="14"/>
      <c r="I2266" s="14"/>
      <c r="J2266" s="14">
        <f>SUMIFS(J2267:J2271,D2267:D2271,"&lt;&gt;Y",F2267:F2271,"&lt;&gt;Y",I2267:I2271,"&lt;&gt;Inactive",I2267:I2271,"&lt;&gt;ECO+NFS")</f>
        <v>50455</v>
      </c>
      <c r="K2266" s="14"/>
      <c r="L2266" s="14"/>
      <c r="M2266" s="14"/>
      <c r="N2266" s="14"/>
      <c r="O2266" s="14"/>
      <c r="P2266" s="14"/>
      <c r="Q2266" s="14"/>
      <c r="R2266" s="14"/>
      <c r="S2266" s="14"/>
    </row>
    <row r="2267" spans="1:19" ht="18" customHeight="1">
      <c r="A2267" s="17" t="str">
        <f>HYPERLINK("#"&amp;ADDRESS(MATCH(A2266,'CIM&amp;FMS'!$A$1:$A$4997,0),1,,,"CIM&amp;FMS"),"Back to Price List")</f>
        <v>Back to Price List</v>
      </c>
      <c r="B2267" t="s">
        <v>1122</v>
      </c>
      <c r="C2267" t="s">
        <v>1123</v>
      </c>
      <c r="D2267" s="4"/>
      <c r="E2267" s="4">
        <v>1</v>
      </c>
      <c r="F2267" s="4"/>
      <c r="G2267" s="29" t="str">
        <f>IFERROR(HYPERLINK("#"&amp;ADDRESS(MATCH(B2267&amp;"ES",'LM7 Non-ENG'!$A$1:$A$5000,0),1,,,"LM7 Non-ENG"),IF(IFERROR(VLOOKUP(B2267&amp;"ES",'LM7 Non-ENG'!$A$1:$A$4999,1,FALSE),"ERROR")=B2267&amp;"ES","Y","")),"")</f>
        <v/>
      </c>
      <c r="H2267" s="29" t="str">
        <f>IFERROR(HYPERLINK("#"&amp;ADDRESS(MATCH(B2267&amp;"PT",'LM7 Non-ENG'!$A$1:$A$5000,0),1,,,"LM7 Non-ENG"),IF(IFERROR(VLOOKUP(B2267&amp;"PT",'LM7 Non-ENG'!$A$1:$A$5000,1,FALSE),"ERROR")=B2267&amp;"PT","Y","")),"")</f>
        <v/>
      </c>
      <c r="I2267" t="str">
        <f>IFERROR(VLOOKUP(B2267,PN!$A:$C,3,FALSE),"")</f>
        <v>Active</v>
      </c>
      <c r="J2267" s="3">
        <f>IFERROR(E2267*VLOOKUP(B2267,PLInter!$A:$D,3,FALSE),"")</f>
        <v>15750</v>
      </c>
      <c r="K2267" s="66"/>
      <c r="L2267" s="66"/>
      <c r="M2267" s="66"/>
      <c r="N2267" s="66"/>
      <c r="O2267" s="66"/>
      <c r="P2267" s="66"/>
      <c r="Q2267" s="66"/>
      <c r="R2267" s="66"/>
      <c r="S2267" s="66"/>
    </row>
    <row r="2268" spans="1:19" ht="18" customHeight="1">
      <c r="B2268" t="s">
        <v>1137</v>
      </c>
      <c r="C2268" t="s">
        <v>1138</v>
      </c>
      <c r="D2268" s="4"/>
      <c r="E2268" s="4">
        <v>2</v>
      </c>
      <c r="F2268" s="4"/>
      <c r="G2268" s="29" t="str">
        <f>IFERROR(HYPERLINK("#"&amp;ADDRESS(MATCH(B2268&amp;"ES",'LM7 Non-ENG'!$A$1:$A$5000,0),1,,,"LM7 Non-ENG"),IF(IFERROR(VLOOKUP(B2268&amp;"ES",'LM7 Non-ENG'!$A$1:$A$4999,1,FALSE),"ERROR")=B2268&amp;"ES","Y","")),"")</f>
        <v/>
      </c>
      <c r="H2268" s="29" t="str">
        <f>IFERROR(HYPERLINK("#"&amp;ADDRESS(MATCH(B2268&amp;"PT",'LM7 Non-ENG'!$A$1:$A$5000,0),1,,,"LM7 Non-ENG"),IF(IFERROR(VLOOKUP(B2268&amp;"PT",'LM7 Non-ENG'!$A$1:$A$5000,1,FALSE),"ERROR")=B2268&amp;"PT","Y","")),"")</f>
        <v/>
      </c>
      <c r="I2268" t="str">
        <f>IFERROR(VLOOKUP(B2268,PN!$A:$C,3,FALSE),"")</f>
        <v>Active</v>
      </c>
      <c r="J2268" s="3">
        <f>IFERROR(E2268*VLOOKUP(B2268,PLInter!$A:$D,3,FALSE),"")</f>
        <v>6300</v>
      </c>
      <c r="K2268" s="66"/>
      <c r="L2268" s="66"/>
      <c r="M2268" s="66"/>
      <c r="N2268" s="66"/>
      <c r="O2268" s="66"/>
      <c r="P2268" s="66"/>
      <c r="Q2268" s="66"/>
      <c r="R2268" s="66"/>
      <c r="S2268" s="66"/>
    </row>
    <row r="2269" spans="1:19" ht="18" customHeight="1">
      <c r="B2269" t="s">
        <v>1126</v>
      </c>
      <c r="C2269" t="s">
        <v>1127</v>
      </c>
      <c r="D2269" s="4"/>
      <c r="E2269" s="4">
        <v>8</v>
      </c>
      <c r="F2269" s="4"/>
      <c r="G2269" s="29" t="str">
        <f>IFERROR(HYPERLINK("#"&amp;ADDRESS(MATCH(B2269&amp;"ES",'LM7 Non-ENG'!$A$1:$A$5000,0),1,,,"LM7 Non-ENG"),IF(IFERROR(VLOOKUP(B2269&amp;"ES",'LM7 Non-ENG'!$A$1:$A$4999,1,FALSE),"ERROR")=B2269&amp;"ES","Y","")),"")</f>
        <v/>
      </c>
      <c r="H2269" s="29" t="str">
        <f>IFERROR(HYPERLINK("#"&amp;ADDRESS(MATCH(B2269&amp;"PT",'LM7 Non-ENG'!$A$1:$A$5000,0),1,,,"LM7 Non-ENG"),IF(IFERROR(VLOOKUP(B2269&amp;"PT",'LM7 Non-ENG'!$A$1:$A$5000,1,FALSE),"ERROR")=B2269&amp;"PT","Y","")),"")</f>
        <v/>
      </c>
      <c r="I2269" t="str">
        <f>IFERROR(VLOOKUP(B2269,PN!$A:$C,3,FALSE),"")</f>
        <v>Active</v>
      </c>
      <c r="J2269" s="3">
        <f>IFERROR(E2269*VLOOKUP(B2269,PLInter!$A:$D,3,FALSE),"")</f>
        <v>7200</v>
      </c>
      <c r="K2269" s="66"/>
      <c r="L2269" s="66"/>
      <c r="M2269" s="66"/>
      <c r="N2269" s="66"/>
      <c r="O2269" s="66"/>
      <c r="P2269" s="66"/>
      <c r="Q2269" s="66"/>
      <c r="R2269" s="66"/>
      <c r="S2269" s="66"/>
    </row>
    <row r="2270" spans="1:19" ht="18" customHeight="1">
      <c r="B2270" t="s">
        <v>1128</v>
      </c>
      <c r="C2270" t="s">
        <v>1129</v>
      </c>
      <c r="D2270" s="4"/>
      <c r="E2270" s="4">
        <v>9</v>
      </c>
      <c r="F2270" s="4"/>
      <c r="G2270" s="29" t="str">
        <f>IFERROR(HYPERLINK("#"&amp;ADDRESS(MATCH(B2270&amp;"ES",'LM7 Non-ENG'!$A$1:$A$5000,0),1,,,"LM7 Non-ENG"),IF(IFERROR(VLOOKUP(B2270&amp;"ES",'LM7 Non-ENG'!$A$1:$A$4999,1,FALSE),"ERROR")=B2270&amp;"ES","Y","")),"")</f>
        <v/>
      </c>
      <c r="H2270" s="29" t="str">
        <f>IFERROR(HYPERLINK("#"&amp;ADDRESS(MATCH(B2270&amp;"PT",'LM7 Non-ENG'!$A$1:$A$5000,0),1,,,"LM7 Non-ENG"),IF(IFERROR(VLOOKUP(B2270&amp;"PT",'LM7 Non-ENG'!$A$1:$A$5000,1,FALSE),"ERROR")=B2270&amp;"PT","Y","")),"")</f>
        <v/>
      </c>
      <c r="I2270" t="str">
        <f>IFERROR(VLOOKUP(B2270,PN!$A:$C,3,FALSE),"")</f>
        <v>Active</v>
      </c>
      <c r="J2270" s="3">
        <f>IFERROR(E2270*VLOOKUP(B2270,PLInter!$A:$D,3,FALSE),"")</f>
        <v>20205</v>
      </c>
      <c r="K2270" s="66"/>
      <c r="L2270" s="66"/>
      <c r="M2270" s="66"/>
      <c r="N2270" s="66"/>
      <c r="O2270" s="66"/>
      <c r="P2270" s="66"/>
      <c r="Q2270" s="66"/>
      <c r="R2270" s="66"/>
      <c r="S2270" s="66"/>
    </row>
    <row r="2271" spans="1:19" ht="18" customHeight="1">
      <c r="B2271" t="str">
        <f>"021041"</f>
        <v>021041</v>
      </c>
      <c r="C2271" s="41" t="s">
        <v>1130</v>
      </c>
      <c r="D2271" s="4"/>
      <c r="E2271" s="4">
        <v>1</v>
      </c>
      <c r="F2271" s="4"/>
      <c r="G2271" s="29" t="str">
        <f>IFERROR(HYPERLINK("#"&amp;ADDRESS(MATCH(B2271&amp;"ES",'LM7 Non-ENG'!$A$1:$A$5000,0),1,,,"LM7 Non-ENG"),IF(IFERROR(VLOOKUP(B2271&amp;"ES",'LM7 Non-ENG'!$A$1:$A$4999,1,FALSE),"ERROR")=B2271&amp;"ES","Y","")),"")</f>
        <v/>
      </c>
      <c r="H2271" s="29" t="str">
        <f>IFERROR(HYPERLINK("#"&amp;ADDRESS(MATCH(B2271&amp;"PT",'LM7 Non-ENG'!$A$1:$A$5000,0),1,,,"LM7 Non-ENG"),IF(IFERROR(VLOOKUP(B2271&amp;"PT",'LM7 Non-ENG'!$A$1:$A$5000,1,FALSE),"ERROR")=B2271&amp;"PT","Y","")),"")</f>
        <v/>
      </c>
      <c r="I2271" t="str">
        <f>IFERROR(VLOOKUP(B2271,PN!$A:$C,3,FALSE),"")</f>
        <v>Active</v>
      </c>
      <c r="J2271" s="3">
        <f>IFERROR(E2271*VLOOKUP(B2271,PLInter!$A:$D,3,FALSE),"")</f>
        <v>1000</v>
      </c>
      <c r="K2271" s="66"/>
      <c r="L2271" s="66"/>
      <c r="M2271" s="66"/>
      <c r="N2271" s="66"/>
      <c r="O2271" s="66"/>
      <c r="P2271" s="66"/>
      <c r="Q2271" s="66"/>
      <c r="R2271" s="66"/>
      <c r="S2271" s="66"/>
    </row>
    <row r="2273" spans="1:19" s="7" customFormat="1" ht="18" customHeight="1">
      <c r="A2273" s="13" t="s">
        <v>1155</v>
      </c>
      <c r="B2273" s="13"/>
      <c r="C2273" s="13" t="s">
        <v>1156</v>
      </c>
      <c r="D2273" s="14"/>
      <c r="E2273" s="14"/>
      <c r="F2273" s="14"/>
      <c r="G2273" s="14"/>
      <c r="H2273" s="14"/>
      <c r="I2273" s="14"/>
      <c r="J2273" s="14">
        <f>SUMIFS(J2274:J2278,D2274:D2278,"&lt;&gt;Y",F2274:F2278,"&lt;&gt;Y",I2274:I2278,"&lt;&gt;Inactive",I2274:I2278,"&lt;&gt;ECO+NFS")</f>
        <v>56745</v>
      </c>
      <c r="K2273" s="14"/>
      <c r="L2273" s="14"/>
      <c r="M2273" s="14"/>
      <c r="N2273" s="14"/>
      <c r="O2273" s="14"/>
      <c r="P2273" s="14"/>
      <c r="Q2273" s="14"/>
      <c r="R2273" s="14"/>
      <c r="S2273" s="14"/>
    </row>
    <row r="2274" spans="1:19" ht="18" customHeight="1">
      <c r="A2274" s="17" t="str">
        <f>HYPERLINK("#"&amp;ADDRESS(MATCH(A2273,'CIM&amp;FMS'!$A$1:$A$4997,0),1,,,"CIM&amp;FMS"),"Back to Price List")</f>
        <v>Back to Price List</v>
      </c>
      <c r="B2274" t="s">
        <v>1122</v>
      </c>
      <c r="C2274" t="s">
        <v>1123</v>
      </c>
      <c r="D2274" s="4"/>
      <c r="E2274" s="4">
        <v>1</v>
      </c>
      <c r="F2274" s="4"/>
      <c r="G2274" s="29" t="str">
        <f>IFERROR(HYPERLINK("#"&amp;ADDRESS(MATCH(B2274&amp;"ES",'LM7 Non-ENG'!$A$1:$A$5000,0),1,,,"LM7 Non-ENG"),IF(IFERROR(VLOOKUP(B2274&amp;"ES",'LM7 Non-ENG'!$A$1:$A$4999,1,FALSE),"ERROR")=B2274&amp;"ES","Y","")),"")</f>
        <v/>
      </c>
      <c r="H2274" s="29" t="str">
        <f>IFERROR(HYPERLINK("#"&amp;ADDRESS(MATCH(B2274&amp;"PT",'LM7 Non-ENG'!$A$1:$A$5000,0),1,,,"LM7 Non-ENG"),IF(IFERROR(VLOOKUP(B2274&amp;"PT",'LM7 Non-ENG'!$A$1:$A$5000,1,FALSE),"ERROR")=B2274&amp;"PT","Y","")),"")</f>
        <v/>
      </c>
      <c r="I2274" t="str">
        <f>IFERROR(VLOOKUP(B2274,PN!$A:$C,3,FALSE),"")</f>
        <v>Active</v>
      </c>
      <c r="J2274" s="3">
        <f>IFERROR(E2274*VLOOKUP(B2274,PLInter!$A:$D,3,FALSE),"")</f>
        <v>15750</v>
      </c>
      <c r="K2274" s="66"/>
      <c r="L2274" s="66"/>
      <c r="M2274" s="66"/>
      <c r="N2274" s="66"/>
      <c r="O2274" s="66"/>
      <c r="P2274" s="66"/>
      <c r="Q2274" s="66"/>
      <c r="R2274" s="66"/>
      <c r="S2274" s="66"/>
    </row>
    <row r="2275" spans="1:19" ht="18" customHeight="1">
      <c r="B2275" t="s">
        <v>1137</v>
      </c>
      <c r="C2275" t="s">
        <v>1138</v>
      </c>
      <c r="D2275" s="4"/>
      <c r="E2275" s="4">
        <v>2</v>
      </c>
      <c r="F2275" s="4"/>
      <c r="G2275" s="29" t="str">
        <f>IFERROR(HYPERLINK("#"&amp;ADDRESS(MATCH(B2275&amp;"ES",'LM7 Non-ENG'!$A$1:$A$5000,0),1,,,"LM7 Non-ENG"),IF(IFERROR(VLOOKUP(B2275&amp;"ES",'LM7 Non-ENG'!$A$1:$A$4999,1,FALSE),"ERROR")=B2275&amp;"ES","Y","")),"")</f>
        <v/>
      </c>
      <c r="H2275" s="29" t="str">
        <f>IFERROR(HYPERLINK("#"&amp;ADDRESS(MATCH(B2275&amp;"PT",'LM7 Non-ENG'!$A$1:$A$5000,0),1,,,"LM7 Non-ENG"),IF(IFERROR(VLOOKUP(B2275&amp;"PT",'LM7 Non-ENG'!$A$1:$A$5000,1,FALSE),"ERROR")=B2275&amp;"PT","Y","")),"")</f>
        <v/>
      </c>
      <c r="I2275" t="str">
        <f>IFERROR(VLOOKUP(B2275,PN!$A:$C,3,FALSE),"")</f>
        <v>Active</v>
      </c>
      <c r="J2275" s="3">
        <f>IFERROR(E2275*VLOOKUP(B2275,PLInter!$A:$D,3,FALSE),"")</f>
        <v>6300</v>
      </c>
      <c r="K2275" s="66"/>
      <c r="L2275" s="66"/>
      <c r="M2275" s="66"/>
      <c r="N2275" s="66"/>
      <c r="O2275" s="66"/>
      <c r="P2275" s="66"/>
      <c r="Q2275" s="66"/>
      <c r="R2275" s="66"/>
      <c r="S2275" s="66"/>
    </row>
    <row r="2276" spans="1:19" ht="18" customHeight="1">
      <c r="B2276" t="s">
        <v>1126</v>
      </c>
      <c r="C2276" t="s">
        <v>1127</v>
      </c>
      <c r="D2276" s="4"/>
      <c r="E2276" s="4">
        <v>10</v>
      </c>
      <c r="F2276" s="4"/>
      <c r="G2276" s="29" t="str">
        <f>IFERROR(HYPERLINK("#"&amp;ADDRESS(MATCH(B2276&amp;"ES",'LM7 Non-ENG'!$A$1:$A$5000,0),1,,,"LM7 Non-ENG"),IF(IFERROR(VLOOKUP(B2276&amp;"ES",'LM7 Non-ENG'!$A$1:$A$4999,1,FALSE),"ERROR")=B2276&amp;"ES","Y","")),"")</f>
        <v/>
      </c>
      <c r="H2276" s="29" t="str">
        <f>IFERROR(HYPERLINK("#"&amp;ADDRESS(MATCH(B2276&amp;"PT",'LM7 Non-ENG'!$A$1:$A$5000,0),1,,,"LM7 Non-ENG"),IF(IFERROR(VLOOKUP(B2276&amp;"PT",'LM7 Non-ENG'!$A$1:$A$5000,1,FALSE),"ERROR")=B2276&amp;"PT","Y","")),"")</f>
        <v/>
      </c>
      <c r="I2276" t="str">
        <f>IFERROR(VLOOKUP(B2276,PN!$A:$C,3,FALSE),"")</f>
        <v>Active</v>
      </c>
      <c r="J2276" s="3">
        <f>IFERROR(E2276*VLOOKUP(B2276,PLInter!$A:$D,3,FALSE),"")</f>
        <v>9000</v>
      </c>
      <c r="K2276" s="66"/>
      <c r="L2276" s="66"/>
      <c r="M2276" s="66"/>
      <c r="N2276" s="66"/>
      <c r="O2276" s="66"/>
      <c r="P2276" s="66"/>
      <c r="Q2276" s="66"/>
      <c r="R2276" s="66"/>
      <c r="S2276" s="66"/>
    </row>
    <row r="2277" spans="1:19" ht="18" customHeight="1">
      <c r="B2277" t="s">
        <v>1128</v>
      </c>
      <c r="C2277" t="s">
        <v>1129</v>
      </c>
      <c r="D2277" s="4"/>
      <c r="E2277" s="4">
        <v>11</v>
      </c>
      <c r="F2277" s="4"/>
      <c r="G2277" s="29" t="str">
        <f>IFERROR(HYPERLINK("#"&amp;ADDRESS(MATCH(B2277&amp;"ES",'LM7 Non-ENG'!$A$1:$A$5000,0),1,,,"LM7 Non-ENG"),IF(IFERROR(VLOOKUP(B2277&amp;"ES",'LM7 Non-ENG'!$A$1:$A$4999,1,FALSE),"ERROR")=B2277&amp;"ES","Y","")),"")</f>
        <v/>
      </c>
      <c r="H2277" s="29" t="str">
        <f>IFERROR(HYPERLINK("#"&amp;ADDRESS(MATCH(B2277&amp;"PT",'LM7 Non-ENG'!$A$1:$A$5000,0),1,,,"LM7 Non-ENG"),IF(IFERROR(VLOOKUP(B2277&amp;"PT",'LM7 Non-ENG'!$A$1:$A$5000,1,FALSE),"ERROR")=B2277&amp;"PT","Y","")),"")</f>
        <v/>
      </c>
      <c r="I2277" t="str">
        <f>IFERROR(VLOOKUP(B2277,PN!$A:$C,3,FALSE),"")</f>
        <v>Active</v>
      </c>
      <c r="J2277" s="3">
        <f>IFERROR(E2277*VLOOKUP(B2277,PLInter!$A:$D,3,FALSE),"")</f>
        <v>24695</v>
      </c>
      <c r="K2277" s="66"/>
      <c r="L2277" s="66"/>
      <c r="M2277" s="66"/>
      <c r="N2277" s="66"/>
      <c r="O2277" s="66"/>
      <c r="P2277" s="66"/>
      <c r="Q2277" s="66"/>
      <c r="R2277" s="66"/>
      <c r="S2277" s="66"/>
    </row>
    <row r="2278" spans="1:19" ht="18" customHeight="1">
      <c r="B2278" t="str">
        <f>"021041"</f>
        <v>021041</v>
      </c>
      <c r="C2278" s="41" t="s">
        <v>1130</v>
      </c>
      <c r="D2278" s="4"/>
      <c r="E2278" s="4">
        <v>1</v>
      </c>
      <c r="F2278" s="4"/>
      <c r="G2278" s="29" t="str">
        <f>IFERROR(HYPERLINK("#"&amp;ADDRESS(MATCH(B2278&amp;"ES",'LM7 Non-ENG'!$A$1:$A$5000,0),1,,,"LM7 Non-ENG"),IF(IFERROR(VLOOKUP(B2278&amp;"ES",'LM7 Non-ENG'!$A$1:$A$4999,1,FALSE),"ERROR")=B2278&amp;"ES","Y","")),"")</f>
        <v/>
      </c>
      <c r="H2278" s="29" t="str">
        <f>IFERROR(HYPERLINK("#"&amp;ADDRESS(MATCH(B2278&amp;"PT",'LM7 Non-ENG'!$A$1:$A$5000,0),1,,,"LM7 Non-ENG"),IF(IFERROR(VLOOKUP(B2278&amp;"PT",'LM7 Non-ENG'!$A$1:$A$5000,1,FALSE),"ERROR")=B2278&amp;"PT","Y","")),"")</f>
        <v/>
      </c>
      <c r="I2278" t="str">
        <f>IFERROR(VLOOKUP(B2278,PN!$A:$C,3,FALSE),"")</f>
        <v>Active</v>
      </c>
      <c r="J2278" s="3">
        <f>IFERROR(E2278*VLOOKUP(B2278,PLInter!$A:$D,3,FALSE),"")</f>
        <v>1000</v>
      </c>
      <c r="K2278" s="66"/>
      <c r="L2278" s="66"/>
      <c r="M2278" s="66"/>
      <c r="N2278" s="66"/>
      <c r="O2278" s="66"/>
      <c r="P2278" s="66"/>
      <c r="Q2278" s="66"/>
      <c r="R2278" s="66"/>
      <c r="S2278" s="66"/>
    </row>
    <row r="2279" spans="1:19" ht="18" customHeight="1">
      <c r="D2279" s="4"/>
      <c r="E2279" s="4"/>
      <c r="F2279" s="4"/>
    </row>
    <row r="2280" spans="1:19" s="7" customFormat="1" ht="18" customHeight="1">
      <c r="A2280" s="13" t="s">
        <v>1157</v>
      </c>
      <c r="B2280" s="13"/>
      <c r="C2280" s="13" t="s">
        <v>1158</v>
      </c>
      <c r="D2280" s="14"/>
      <c r="E2280" s="14"/>
      <c r="F2280" s="14"/>
      <c r="G2280" s="14"/>
      <c r="H2280" s="14"/>
      <c r="I2280" s="14"/>
      <c r="J2280" s="14">
        <f>SUMIFS(J2281:J2282,D2281:D2282,"&lt;&gt;Y",F2281:F2282,"&lt;&gt;Y",I2281:I2282,"&lt;&gt;Inactive",I2281:I2282,"&lt;&gt;ECO+NFS")</f>
        <v>6290</v>
      </c>
      <c r="K2280" s="14"/>
      <c r="L2280" s="14"/>
      <c r="M2280" s="14"/>
      <c r="N2280" s="14"/>
      <c r="O2280" s="14"/>
      <c r="P2280" s="14"/>
      <c r="Q2280" s="14"/>
      <c r="R2280" s="14"/>
      <c r="S2280" s="14"/>
    </row>
    <row r="2281" spans="1:19" ht="18" customHeight="1">
      <c r="A2281" s="17" t="str">
        <f>HYPERLINK("#"&amp;ADDRESS(MATCH(A2280,'CIM&amp;FMS'!$A$1:$A$4997,0),1,,,"CIM&amp;FMS"),"Back to Price List")</f>
        <v>Back to Price List</v>
      </c>
      <c r="B2281" t="s">
        <v>1126</v>
      </c>
      <c r="C2281" t="s">
        <v>1127</v>
      </c>
      <c r="D2281" s="4"/>
      <c r="E2281" s="4">
        <v>2</v>
      </c>
      <c r="F2281" s="4"/>
      <c r="G2281" s="29" t="str">
        <f>IFERROR(HYPERLINK("#"&amp;ADDRESS(MATCH(B2281&amp;"ES",'LM7 Non-ENG'!$A$1:$A$5000,0),1,,,"LM7 Non-ENG"),IF(IFERROR(VLOOKUP(B2281&amp;"ES",'LM7 Non-ENG'!$A$1:$A$4999,1,FALSE),"ERROR")=B2281&amp;"ES","Y","")),"")</f>
        <v/>
      </c>
      <c r="H2281" s="29" t="str">
        <f>IFERROR(HYPERLINK("#"&amp;ADDRESS(MATCH(B2281&amp;"PT",'LM7 Non-ENG'!$A$1:$A$5000,0),1,,,"LM7 Non-ENG"),IF(IFERROR(VLOOKUP(B2281&amp;"PT",'LM7 Non-ENG'!$A$1:$A$5000,1,FALSE),"ERROR")=B2281&amp;"PT","Y","")),"")</f>
        <v/>
      </c>
      <c r="I2281" t="str">
        <f>IFERROR(VLOOKUP(B2281,PN!$A:$C,3,FALSE),"")</f>
        <v>Active</v>
      </c>
      <c r="J2281" s="3">
        <f>IFERROR(E2281*VLOOKUP(B2281,PLInter!$A:$D,3,FALSE),"")</f>
        <v>1800</v>
      </c>
      <c r="K2281" s="66"/>
      <c r="L2281" s="66"/>
      <c r="M2281" s="66"/>
      <c r="N2281" s="66"/>
      <c r="O2281" s="66"/>
      <c r="P2281" s="66"/>
      <c r="Q2281" s="66"/>
      <c r="R2281" s="66"/>
      <c r="S2281" s="66"/>
    </row>
    <row r="2282" spans="1:19" ht="18" customHeight="1">
      <c r="B2282" t="s">
        <v>1128</v>
      </c>
      <c r="C2282" t="s">
        <v>1129</v>
      </c>
      <c r="D2282" s="4"/>
      <c r="E2282" s="4">
        <v>2</v>
      </c>
      <c r="F2282" s="4"/>
      <c r="G2282" s="29" t="str">
        <f>IFERROR(HYPERLINK("#"&amp;ADDRESS(MATCH(B2282&amp;"ES",'LM7 Non-ENG'!$A$1:$A$5000,0),1,,,"LM7 Non-ENG"),IF(IFERROR(VLOOKUP(B2282&amp;"ES",'LM7 Non-ENG'!$A$1:$A$4999,1,FALSE),"ERROR")=B2282&amp;"ES","Y","")),"")</f>
        <v/>
      </c>
      <c r="H2282" s="29" t="str">
        <f>IFERROR(HYPERLINK("#"&amp;ADDRESS(MATCH(B2282&amp;"PT",'LM7 Non-ENG'!$A$1:$A$5000,0),1,,,"LM7 Non-ENG"),IF(IFERROR(VLOOKUP(B2282&amp;"PT",'LM7 Non-ENG'!$A$1:$A$5000,1,FALSE),"ERROR")=B2282&amp;"PT","Y","")),"")</f>
        <v/>
      </c>
      <c r="I2282" t="str">
        <f>IFERROR(VLOOKUP(B2282,PN!$A:$C,3,FALSE),"")</f>
        <v>Active</v>
      </c>
      <c r="J2282" s="3">
        <f>IFERROR(E2282*VLOOKUP(B2282,PLInter!$A:$D,3,FALSE),"")</f>
        <v>4490</v>
      </c>
      <c r="K2282" s="66"/>
      <c r="L2282" s="66"/>
      <c r="M2282" s="66"/>
      <c r="N2282" s="66"/>
      <c r="O2282" s="66"/>
      <c r="P2282" s="66"/>
      <c r="Q2282" s="66"/>
      <c r="R2282" s="66"/>
      <c r="S2282" s="66"/>
    </row>
    <row r="2284" spans="1:19" s="7" customFormat="1" ht="18" customHeight="1">
      <c r="A2284" s="13" t="s">
        <v>1160</v>
      </c>
      <c r="B2284" s="13"/>
      <c r="C2284" s="13" t="s">
        <v>1161</v>
      </c>
      <c r="D2284" s="14"/>
      <c r="E2284" s="14"/>
      <c r="F2284" s="14"/>
      <c r="G2284" s="14"/>
      <c r="H2284" s="14"/>
      <c r="I2284" s="14"/>
      <c r="J2284" s="14">
        <f>SUMIFS(J2285:J2288,D2285:D2288,"&lt;&gt;Y",F2285:F2288,"&lt;&gt;Y",I2285:I2288,"&lt;&gt;Inactive",I2285:I2288,"&lt;&gt;ECO+NFS")</f>
        <v>11909</v>
      </c>
      <c r="K2284" s="14"/>
      <c r="L2284" s="14"/>
      <c r="M2284" s="14"/>
      <c r="N2284" s="14"/>
      <c r="O2284" s="14"/>
      <c r="P2284" s="14"/>
      <c r="Q2284" s="14"/>
      <c r="R2284" s="14"/>
      <c r="S2284" s="14"/>
    </row>
    <row r="2285" spans="1:19" ht="18" customHeight="1">
      <c r="A2285" s="17" t="str">
        <f>HYPERLINK("#"&amp;ADDRESS(MATCH(A2284,'CIM&amp;FMS'!$A$1:$A$4997,0),1,,,"CIM&amp;FMS"),"Back to Price List")</f>
        <v>Back to Price List</v>
      </c>
      <c r="B2285" t="s">
        <v>1162</v>
      </c>
      <c r="C2285" t="s">
        <v>1163</v>
      </c>
      <c r="D2285" s="4"/>
      <c r="E2285" s="4">
        <v>1</v>
      </c>
      <c r="F2285" s="4"/>
      <c r="G2285" s="29" t="str">
        <f>IFERROR(HYPERLINK("#"&amp;ADDRESS(MATCH(B2285&amp;"ES",'LM7 Non-ENG'!$A$1:$A$5000,0),1,,,"LM7 Non-ENG"),IF(IFERROR(VLOOKUP(B2285&amp;"ES",'LM7 Non-ENG'!$A$1:$A$4999,1,FALSE),"ERROR")=B2285&amp;"ES","Y","")),"")</f>
        <v/>
      </c>
      <c r="H2285" s="29" t="str">
        <f>IFERROR(HYPERLINK("#"&amp;ADDRESS(MATCH(B2285&amp;"PT",'LM7 Non-ENG'!$A$1:$A$5000,0),1,,,"LM7 Non-ENG"),IF(IFERROR(VLOOKUP(B2285&amp;"PT",'LM7 Non-ENG'!$A$1:$A$5000,1,FALSE),"ERROR")=B2285&amp;"PT","Y","")),"")</f>
        <v/>
      </c>
      <c r="I2285" t="str">
        <f>IFERROR(VLOOKUP(B2285,PN!$A:$C,3,FALSE),"")</f>
        <v>Active</v>
      </c>
      <c r="J2285" s="3">
        <f>IFERROR(E2285*VLOOKUP(B2285,PLInter!$A:$D,3,FALSE),"")</f>
        <v>11520</v>
      </c>
      <c r="K2285" s="66"/>
      <c r="L2285" s="66"/>
      <c r="M2285" s="66"/>
      <c r="N2285" s="66"/>
      <c r="O2285" s="66"/>
      <c r="P2285" s="66"/>
      <c r="Q2285" s="66"/>
      <c r="R2285" s="66"/>
      <c r="S2285" s="66"/>
    </row>
    <row r="2286" spans="1:19" ht="18" customHeight="1">
      <c r="B2286" s="2" t="str">
        <f>"411802"</f>
        <v>411802</v>
      </c>
      <c r="C2286" s="50" t="s">
        <v>1164</v>
      </c>
      <c r="D2286" s="5"/>
      <c r="E2286" s="5">
        <v>1</v>
      </c>
      <c r="F2286" s="5" t="s">
        <v>0</v>
      </c>
      <c r="G2286" s="29" t="str">
        <f>IFERROR(HYPERLINK("#"&amp;ADDRESS(MATCH(B2286&amp;"ES",'LM7 Non-ENG'!$A$1:$A$5000,0),1,,,"LM7 Non-ENG"),IF(IFERROR(VLOOKUP(B2286&amp;"ES",'LM7 Non-ENG'!$A$1:$A$4999,1,FALSE),"ERROR")=B2286&amp;"ES","Y","")),"")</f>
        <v/>
      </c>
      <c r="H2286" s="29" t="str">
        <f>IFERROR(HYPERLINK("#"&amp;ADDRESS(MATCH(B2286&amp;"PT",'LM7 Non-ENG'!$A$1:$A$5000,0),1,,,"LM7 Non-ENG"),IF(IFERROR(VLOOKUP(B2286&amp;"PT",'LM7 Non-ENG'!$A$1:$A$5000,1,FALSE),"ERROR")=B2286&amp;"PT","Y","")),"")</f>
        <v/>
      </c>
      <c r="I2286" t="str">
        <f>IFERROR(VLOOKUP(B2286,PN!$A:$C,3,FALSE),"")</f>
        <v>Active</v>
      </c>
      <c r="J2286" s="3">
        <f>IFERROR(E2286*VLOOKUP(B2286,PLInter!$A:$D,3,FALSE),"")</f>
        <v>8</v>
      </c>
      <c r="K2286" s="66"/>
      <c r="L2286" s="66"/>
      <c r="M2286" s="66"/>
      <c r="N2286" s="66"/>
      <c r="O2286" s="66"/>
      <c r="P2286" s="66"/>
      <c r="Q2286" s="66"/>
      <c r="R2286" s="66"/>
      <c r="S2286" s="66"/>
    </row>
    <row r="2287" spans="1:19" ht="18" customHeight="1">
      <c r="B2287" t="s">
        <v>1165</v>
      </c>
      <c r="C2287" t="s">
        <v>1166</v>
      </c>
      <c r="D2287" s="4"/>
      <c r="E2287" s="4">
        <v>1</v>
      </c>
      <c r="F2287" s="4"/>
      <c r="G2287" s="29" t="str">
        <f>IFERROR(HYPERLINK("#"&amp;ADDRESS(MATCH(B2287&amp;"ES",'LM7 Non-ENG'!$A$1:$A$5000,0),1,,,"LM7 Non-ENG"),IF(IFERROR(VLOOKUP(B2287&amp;"ES",'LM7 Non-ENG'!$A$1:$A$4999,1,FALSE),"ERROR")=B2287&amp;"ES","Y","")),"")</f>
        <v/>
      </c>
      <c r="H2287" s="29" t="str">
        <f>IFERROR(HYPERLINK("#"&amp;ADDRESS(MATCH(B2287&amp;"PT",'LM7 Non-ENG'!$A$1:$A$5000,0),1,,,"LM7 Non-ENG"),IF(IFERROR(VLOOKUP(B2287&amp;"PT",'LM7 Non-ENG'!$A$1:$A$5000,1,FALSE),"ERROR")=B2287&amp;"PT","Y","")),"")</f>
        <v/>
      </c>
      <c r="I2287" t="str">
        <f>IFERROR(VLOOKUP(B2287,PN!$A:$C,3,FALSE),"")</f>
        <v>Active</v>
      </c>
      <c r="J2287" s="3">
        <f>IFERROR(E2287*VLOOKUP(B2287,PLInter!$A:$D,3,FALSE),"")</f>
        <v>375</v>
      </c>
      <c r="K2287" s="66"/>
      <c r="L2287" s="66"/>
      <c r="M2287" s="66"/>
      <c r="N2287" s="66"/>
      <c r="O2287" s="66"/>
      <c r="P2287" s="66"/>
      <c r="Q2287" s="66"/>
      <c r="R2287" s="66"/>
      <c r="S2287" s="66"/>
    </row>
    <row r="2288" spans="1:19" ht="18" customHeight="1">
      <c r="B2288" t="str">
        <f>"411803"</f>
        <v>411803</v>
      </c>
      <c r="C2288" t="s">
        <v>1167</v>
      </c>
      <c r="D2288" s="4"/>
      <c r="E2288" s="4">
        <v>1</v>
      </c>
      <c r="F2288" s="4"/>
      <c r="G2288" s="29" t="str">
        <f>IFERROR(HYPERLINK("#"&amp;ADDRESS(MATCH(B2288&amp;"ES",'LM7 Non-ENG'!$A$1:$A$5000,0),1,,,"LM7 Non-ENG"),IF(IFERROR(VLOOKUP(B2288&amp;"ES",'LM7 Non-ENG'!$A$1:$A$4999,1,FALSE),"ERROR")=B2288&amp;"ES","Y","")),"")</f>
        <v/>
      </c>
      <c r="H2288" s="29" t="str">
        <f>IFERROR(HYPERLINK("#"&amp;ADDRESS(MATCH(B2288&amp;"PT",'LM7 Non-ENG'!$A$1:$A$5000,0),1,,,"LM7 Non-ENG"),IF(IFERROR(VLOOKUP(B2288&amp;"PT",'LM7 Non-ENG'!$A$1:$A$5000,1,FALSE),"ERROR")=B2288&amp;"PT","Y","")),"")</f>
        <v/>
      </c>
      <c r="I2288" t="str">
        <f>IFERROR(VLOOKUP(B2288,PN!$A:$C,3,FALSE),"")</f>
        <v>Active</v>
      </c>
      <c r="J2288" s="3">
        <f>IFERROR(E2288*VLOOKUP(B2288,PLInter!$A:$D,3,FALSE),"")</f>
        <v>14</v>
      </c>
      <c r="K2288" s="66"/>
      <c r="L2288" s="66"/>
      <c r="M2288" s="66"/>
      <c r="N2288" s="66"/>
      <c r="O2288" s="66"/>
      <c r="P2288" s="66"/>
      <c r="Q2288" s="66"/>
      <c r="R2288" s="66"/>
      <c r="S2288" s="66"/>
    </row>
    <row r="2290" spans="1:19" s="7" customFormat="1" ht="18" customHeight="1">
      <c r="A2290" s="13" t="s">
        <v>1168</v>
      </c>
      <c r="B2290" s="13"/>
      <c r="C2290" s="13" t="s">
        <v>1169</v>
      </c>
      <c r="D2290" s="14"/>
      <c r="E2290" s="14"/>
      <c r="F2290" s="14"/>
      <c r="G2290" s="14"/>
      <c r="H2290" s="14"/>
      <c r="I2290" s="14"/>
      <c r="J2290" s="14">
        <f>SUMIFS(J2291:J2293,D2291:D2293,"&lt;&gt;Y",F2291:F2293,"&lt;&gt;Y",I2291:I2293,"&lt;&gt;Inactive",I2291:I2293,"&lt;&gt;ECO+NFS")</f>
        <v>14789</v>
      </c>
      <c r="K2290" s="14"/>
      <c r="L2290" s="14"/>
      <c r="M2290" s="14"/>
      <c r="N2290" s="14"/>
      <c r="O2290" s="14"/>
      <c r="P2290" s="14"/>
      <c r="Q2290" s="14"/>
      <c r="R2290" s="14"/>
      <c r="S2290" s="14"/>
    </row>
    <row r="2291" spans="1:19" ht="18" customHeight="1">
      <c r="A2291" s="17" t="str">
        <f>HYPERLINK("#"&amp;ADDRESS(MATCH(A2290,'CIM&amp;FMS'!$A$1:$A$4997,0),1,,,"CIM&amp;FMS"),"Back to Price List")</f>
        <v>Back to Price List</v>
      </c>
      <c r="B2291" t="s">
        <v>1170</v>
      </c>
      <c r="C2291" t="s">
        <v>1171</v>
      </c>
      <c r="D2291" s="4"/>
      <c r="E2291" s="4">
        <v>1</v>
      </c>
      <c r="F2291" s="4"/>
      <c r="G2291" s="29" t="str">
        <f>IFERROR(HYPERLINK("#"&amp;ADDRESS(MATCH(B2291&amp;"ES",'LM7 Non-ENG'!$A$1:$A$5000,0),1,,,"LM7 Non-ENG"),IF(IFERROR(VLOOKUP(B2291&amp;"ES",'LM7 Non-ENG'!$A$1:$A$4999,1,FALSE),"ERROR")=B2291&amp;"ES","Y","")),"")</f>
        <v/>
      </c>
      <c r="H2291" s="29" t="str">
        <f>IFERROR(HYPERLINK("#"&amp;ADDRESS(MATCH(B2291&amp;"PT",'LM7 Non-ENG'!$A$1:$A$5000,0),1,,,"LM7 Non-ENG"),IF(IFERROR(VLOOKUP(B2291&amp;"PT",'LM7 Non-ENG'!$A$1:$A$5000,1,FALSE),"ERROR")=B2291&amp;"PT","Y","")),"")</f>
        <v/>
      </c>
      <c r="I2291" t="str">
        <f>IFERROR(VLOOKUP(B2291,PN!$A:$C,3,FALSE),"")</f>
        <v>Active</v>
      </c>
      <c r="J2291" s="3">
        <f>IFERROR(E2291*VLOOKUP(B2291,PLInter!$A:$D,3,FALSE),"")</f>
        <v>14400</v>
      </c>
      <c r="K2291" s="66"/>
      <c r="L2291" s="66"/>
      <c r="M2291" s="66"/>
      <c r="N2291" s="66"/>
      <c r="O2291" s="66"/>
      <c r="P2291" s="66"/>
      <c r="Q2291" s="66"/>
      <c r="R2291" s="66"/>
      <c r="S2291" s="66"/>
    </row>
    <row r="2292" spans="1:19" ht="18" customHeight="1">
      <c r="B2292" t="s">
        <v>1165</v>
      </c>
      <c r="C2292" t="s">
        <v>1166</v>
      </c>
      <c r="D2292" s="4"/>
      <c r="E2292" s="4">
        <v>1</v>
      </c>
      <c r="F2292" s="4"/>
      <c r="G2292" s="29" t="str">
        <f>IFERROR(HYPERLINK("#"&amp;ADDRESS(MATCH(B2292&amp;"ES",'LM7 Non-ENG'!$A$1:$A$5000,0),1,,,"LM7 Non-ENG"),IF(IFERROR(VLOOKUP(B2292&amp;"ES",'LM7 Non-ENG'!$A$1:$A$4999,1,FALSE),"ERROR")=B2292&amp;"ES","Y","")),"")</f>
        <v/>
      </c>
      <c r="H2292" s="29" t="str">
        <f>IFERROR(HYPERLINK("#"&amp;ADDRESS(MATCH(B2292&amp;"PT",'LM7 Non-ENG'!$A$1:$A$5000,0),1,,,"LM7 Non-ENG"),IF(IFERROR(VLOOKUP(B2292&amp;"PT",'LM7 Non-ENG'!$A$1:$A$5000,1,FALSE),"ERROR")=B2292&amp;"PT","Y","")),"")</f>
        <v/>
      </c>
      <c r="I2292" t="str">
        <f>IFERROR(VLOOKUP(B2292,PN!$A:$C,3,FALSE),"")</f>
        <v>Active</v>
      </c>
      <c r="J2292" s="3">
        <f>IFERROR(E2292*VLOOKUP(B2292,PLInter!$A:$D,3,FALSE),"")</f>
        <v>375</v>
      </c>
      <c r="K2292" s="66"/>
      <c r="L2292" s="66"/>
      <c r="M2292" s="66"/>
      <c r="N2292" s="66"/>
      <c r="O2292" s="66"/>
      <c r="P2292" s="66"/>
      <c r="Q2292" s="66"/>
      <c r="R2292" s="66"/>
      <c r="S2292" s="66"/>
    </row>
    <row r="2293" spans="1:19" ht="18" customHeight="1">
      <c r="B2293" t="str">
        <f>"411803"</f>
        <v>411803</v>
      </c>
      <c r="C2293" t="s">
        <v>1167</v>
      </c>
      <c r="D2293" s="4"/>
      <c r="E2293" s="4">
        <v>1</v>
      </c>
      <c r="F2293" s="4"/>
      <c r="G2293" s="29" t="str">
        <f>IFERROR(HYPERLINK("#"&amp;ADDRESS(MATCH(B2293&amp;"ES",'LM7 Non-ENG'!$A$1:$A$5000,0),1,,,"LM7 Non-ENG"),IF(IFERROR(VLOOKUP(B2293&amp;"ES",'LM7 Non-ENG'!$A$1:$A$4999,1,FALSE),"ERROR")=B2293&amp;"ES","Y","")),"")</f>
        <v/>
      </c>
      <c r="H2293" s="29" t="str">
        <f>IFERROR(HYPERLINK("#"&amp;ADDRESS(MATCH(B2293&amp;"PT",'LM7 Non-ENG'!$A$1:$A$5000,0),1,,,"LM7 Non-ENG"),IF(IFERROR(VLOOKUP(B2293&amp;"PT",'LM7 Non-ENG'!$A$1:$A$5000,1,FALSE),"ERROR")=B2293&amp;"PT","Y","")),"")</f>
        <v/>
      </c>
      <c r="I2293" t="str">
        <f>IFERROR(VLOOKUP(B2293,PN!$A:$C,3,FALSE),"")</f>
        <v>Active</v>
      </c>
      <c r="J2293" s="3">
        <f>IFERROR(E2293*VLOOKUP(B2293,PLInter!$A:$D,3,FALSE),"")</f>
        <v>14</v>
      </c>
      <c r="K2293" s="66"/>
      <c r="L2293" s="66"/>
      <c r="M2293" s="66"/>
      <c r="N2293" s="66"/>
      <c r="O2293" s="66"/>
      <c r="P2293" s="66"/>
      <c r="Q2293" s="66"/>
      <c r="R2293" s="66"/>
      <c r="S2293" s="66"/>
    </row>
    <row r="2295" spans="1:19" s="7" customFormat="1" ht="18" customHeight="1">
      <c r="A2295" s="13" t="s">
        <v>1172</v>
      </c>
      <c r="B2295" s="13"/>
      <c r="C2295" s="13" t="s">
        <v>1173</v>
      </c>
      <c r="D2295" s="14"/>
      <c r="E2295" s="14"/>
      <c r="F2295" s="14"/>
      <c r="G2295" s="14"/>
      <c r="H2295" s="14"/>
      <c r="I2295" s="14"/>
      <c r="J2295" s="14">
        <f>SUMIFS(J2296:J2299,D2296:D2299,"&lt;&gt;Y",F2296:F2299,"&lt;&gt;Y",I2296:I2299,"&lt;&gt;Inactive",I2296:I2299,"&lt;&gt;ECO+NFS")</f>
        <v>7349</v>
      </c>
      <c r="K2295" s="14"/>
      <c r="L2295" s="14"/>
      <c r="M2295" s="14"/>
      <c r="N2295" s="14"/>
      <c r="O2295" s="14"/>
      <c r="P2295" s="14"/>
      <c r="Q2295" s="14"/>
      <c r="R2295" s="14"/>
      <c r="S2295" s="14"/>
    </row>
    <row r="2296" spans="1:19" ht="18" customHeight="1">
      <c r="A2296" s="17" t="str">
        <f>HYPERLINK("#"&amp;ADDRESS(MATCH(A2295,'CIM&amp;FMS'!$A$1:$A$4997,0),1,,,"CIM&amp;FMS"),"Back to Price List")</f>
        <v>Back to Price List</v>
      </c>
      <c r="B2296" t="s">
        <v>1174</v>
      </c>
      <c r="C2296" t="s">
        <v>1175</v>
      </c>
      <c r="D2296" s="4"/>
      <c r="E2296" s="4">
        <v>1</v>
      </c>
      <c r="F2296" s="4"/>
      <c r="G2296" s="29" t="str">
        <f>IFERROR(HYPERLINK("#"&amp;ADDRESS(MATCH(B2296&amp;"ES",'LM7 Non-ENG'!$A$1:$A$5000,0),1,,,"LM7 Non-ENG"),IF(IFERROR(VLOOKUP(B2296&amp;"ES",'LM7 Non-ENG'!$A$1:$A$4999,1,FALSE),"ERROR")=B2296&amp;"ES","Y","")),"")</f>
        <v/>
      </c>
      <c r="H2296" s="29" t="str">
        <f>IFERROR(HYPERLINK("#"&amp;ADDRESS(MATCH(B2296&amp;"PT",'LM7 Non-ENG'!$A$1:$A$5000,0),1,,,"LM7 Non-ENG"),IF(IFERROR(VLOOKUP(B2296&amp;"PT",'LM7 Non-ENG'!$A$1:$A$5000,1,FALSE),"ERROR")=B2296&amp;"PT","Y","")),"")</f>
        <v/>
      </c>
      <c r="I2296" t="str">
        <f>IFERROR(VLOOKUP(B2296,PN!$A:$C,3,FALSE),"")</f>
        <v>Active</v>
      </c>
      <c r="J2296" s="3">
        <f>IFERROR(E2296*VLOOKUP(B2296,PLInter!$A:$D,3,FALSE),"")</f>
        <v>6960</v>
      </c>
      <c r="K2296" s="66"/>
      <c r="L2296" s="66"/>
      <c r="M2296" s="66"/>
      <c r="N2296" s="66"/>
      <c r="O2296" s="66"/>
      <c r="P2296" s="66"/>
      <c r="Q2296" s="66"/>
      <c r="R2296" s="66"/>
      <c r="S2296" s="66"/>
    </row>
    <row r="2297" spans="1:19" ht="18" customHeight="1">
      <c r="B2297" t="s">
        <v>1165</v>
      </c>
      <c r="C2297" t="s">
        <v>1166</v>
      </c>
      <c r="D2297" s="4"/>
      <c r="E2297" s="4">
        <v>1</v>
      </c>
      <c r="F2297" s="4"/>
      <c r="G2297" s="29" t="str">
        <f>IFERROR(HYPERLINK("#"&amp;ADDRESS(MATCH(B2297&amp;"ES",'LM7 Non-ENG'!$A$1:$A$5000,0),1,,,"LM7 Non-ENG"),IF(IFERROR(VLOOKUP(B2297&amp;"ES",'LM7 Non-ENG'!$A$1:$A$4999,1,FALSE),"ERROR")=B2297&amp;"ES","Y","")),"")</f>
        <v/>
      </c>
      <c r="H2297" s="29" t="str">
        <f>IFERROR(HYPERLINK("#"&amp;ADDRESS(MATCH(B2297&amp;"PT",'LM7 Non-ENG'!$A$1:$A$5000,0),1,,,"LM7 Non-ENG"),IF(IFERROR(VLOOKUP(B2297&amp;"PT",'LM7 Non-ENG'!$A$1:$A$5000,1,FALSE),"ERROR")=B2297&amp;"PT","Y","")),"")</f>
        <v/>
      </c>
      <c r="I2297" t="str">
        <f>IFERROR(VLOOKUP(B2297,PN!$A:$C,3,FALSE),"")</f>
        <v>Active</v>
      </c>
      <c r="J2297" s="3">
        <f>IFERROR(E2297*VLOOKUP(B2297,PLInter!$A:$D,3,FALSE),"")</f>
        <v>375</v>
      </c>
      <c r="K2297" s="66"/>
      <c r="L2297" s="66"/>
      <c r="M2297" s="66"/>
      <c r="N2297" s="66"/>
      <c r="O2297" s="66"/>
      <c r="P2297" s="66"/>
      <c r="Q2297" s="66"/>
      <c r="R2297" s="66"/>
      <c r="S2297" s="66"/>
    </row>
    <row r="2298" spans="1:19" ht="18" customHeight="1">
      <c r="B2298" t="str">
        <f>"411803"</f>
        <v>411803</v>
      </c>
      <c r="C2298" t="s">
        <v>1167</v>
      </c>
      <c r="D2298" s="4"/>
      <c r="E2298" s="4">
        <v>1</v>
      </c>
      <c r="F2298" s="4"/>
      <c r="G2298" s="29" t="str">
        <f>IFERROR(HYPERLINK("#"&amp;ADDRESS(MATCH(B2298&amp;"ES",'LM7 Non-ENG'!$A$1:$A$5000,0),1,,,"LM7 Non-ENG"),IF(IFERROR(VLOOKUP(B2298&amp;"ES",'LM7 Non-ENG'!$A$1:$A$4999,1,FALSE),"ERROR")=B2298&amp;"ES","Y","")),"")</f>
        <v/>
      </c>
      <c r="H2298" s="29" t="str">
        <f>IFERROR(HYPERLINK("#"&amp;ADDRESS(MATCH(B2298&amp;"PT",'LM7 Non-ENG'!$A$1:$A$5000,0),1,,,"LM7 Non-ENG"),IF(IFERROR(VLOOKUP(B2298&amp;"PT",'LM7 Non-ENG'!$A$1:$A$5000,1,FALSE),"ERROR")=B2298&amp;"PT","Y","")),"")</f>
        <v/>
      </c>
      <c r="I2298" t="str">
        <f>IFERROR(VLOOKUP(B2298,PN!$A:$C,3,FALSE),"")</f>
        <v>Active</v>
      </c>
      <c r="J2298" s="3">
        <f>IFERROR(E2298*VLOOKUP(B2298,PLInter!$A:$D,3,FALSE),"")</f>
        <v>14</v>
      </c>
      <c r="K2298" s="66"/>
      <c r="L2298" s="66"/>
      <c r="M2298" s="66"/>
      <c r="N2298" s="66"/>
      <c r="O2298" s="66"/>
      <c r="P2298" s="66"/>
      <c r="Q2298" s="66"/>
      <c r="R2298" s="66"/>
      <c r="S2298" s="66"/>
    </row>
    <row r="2299" spans="1:19" ht="18" customHeight="1">
      <c r="B2299" s="2" t="str">
        <f>"411802"</f>
        <v>411802</v>
      </c>
      <c r="C2299" s="50" t="s">
        <v>1164</v>
      </c>
      <c r="D2299" s="5"/>
      <c r="E2299" s="5">
        <v>1</v>
      </c>
      <c r="F2299" s="5" t="s">
        <v>0</v>
      </c>
      <c r="G2299" s="29" t="str">
        <f>IFERROR(HYPERLINK("#"&amp;ADDRESS(MATCH(B2299&amp;"ES",'LM7 Non-ENG'!$A$1:$A$5000,0),1,,,"LM7 Non-ENG"),IF(IFERROR(VLOOKUP(B2299&amp;"ES",'LM7 Non-ENG'!$A$1:$A$4999,1,FALSE),"ERROR")=B2299&amp;"ES","Y","")),"")</f>
        <v/>
      </c>
      <c r="H2299" s="29" t="str">
        <f>IFERROR(HYPERLINK("#"&amp;ADDRESS(MATCH(B2299&amp;"PT",'LM7 Non-ENG'!$A$1:$A$5000,0),1,,,"LM7 Non-ENG"),IF(IFERROR(VLOOKUP(B2299&amp;"PT",'LM7 Non-ENG'!$A$1:$A$5000,1,FALSE),"ERROR")=B2299&amp;"PT","Y","")),"")</f>
        <v/>
      </c>
      <c r="I2299" t="str">
        <f>IFERROR(VLOOKUP(B2299,PN!$A:$C,3,FALSE),"")</f>
        <v>Active</v>
      </c>
      <c r="J2299" s="3">
        <f>IFERROR(E2299*VLOOKUP(B2299,PLInter!$A:$D,3,FALSE),"")</f>
        <v>8</v>
      </c>
      <c r="K2299" s="66"/>
      <c r="L2299" s="66"/>
      <c r="M2299" s="66"/>
      <c r="N2299" s="66"/>
      <c r="O2299" s="66"/>
      <c r="P2299" s="66"/>
      <c r="Q2299" s="66"/>
      <c r="R2299" s="66"/>
      <c r="S2299" s="66"/>
    </row>
    <row r="2301" spans="1:19" s="7" customFormat="1" ht="18" customHeight="1">
      <c r="A2301" s="13" t="s">
        <v>1176</v>
      </c>
      <c r="B2301" s="13"/>
      <c r="C2301" s="13" t="s">
        <v>1177</v>
      </c>
      <c r="D2301" s="14"/>
      <c r="E2301" s="14"/>
      <c r="F2301" s="14"/>
      <c r="G2301" s="14"/>
      <c r="H2301" s="14"/>
      <c r="I2301" s="14"/>
      <c r="J2301" s="14">
        <f>SUMIFS(J2302:J2305,D2302:D2305,"&lt;&gt;Y",F2302:F2305,"&lt;&gt;Y",I2302:I2305,"&lt;&gt;Inactive",I2302:I2305,"&lt;&gt;ECO+NFS")</f>
        <v>7109</v>
      </c>
      <c r="K2301" s="14"/>
      <c r="L2301" s="14"/>
      <c r="M2301" s="14"/>
      <c r="N2301" s="14"/>
      <c r="O2301" s="14"/>
      <c r="P2301" s="14"/>
      <c r="Q2301" s="14"/>
      <c r="R2301" s="14"/>
      <c r="S2301" s="14"/>
    </row>
    <row r="2302" spans="1:19" ht="18" customHeight="1">
      <c r="A2302" s="17" t="str">
        <f>HYPERLINK("#"&amp;ADDRESS(MATCH(A2301,'CIM&amp;FMS'!$A$1:$A$4997,0),1,,,"CIM&amp;FMS"),"Back to Price List")</f>
        <v>Back to Price List</v>
      </c>
      <c r="B2302" t="s">
        <v>1178</v>
      </c>
      <c r="C2302" t="s">
        <v>1179</v>
      </c>
      <c r="D2302" s="4"/>
      <c r="E2302" s="4">
        <v>1</v>
      </c>
      <c r="F2302" s="4"/>
      <c r="G2302" s="29" t="str">
        <f>IFERROR(HYPERLINK("#"&amp;ADDRESS(MATCH(B2302&amp;"ES",'LM7 Non-ENG'!$A$1:$A$5000,0),1,,,"LM7 Non-ENG"),IF(IFERROR(VLOOKUP(B2302&amp;"ES",'LM7 Non-ENG'!$A$1:$A$4999,1,FALSE),"ERROR")=B2302&amp;"ES","Y","")),"")</f>
        <v/>
      </c>
      <c r="H2302" s="29" t="str">
        <f>IFERROR(HYPERLINK("#"&amp;ADDRESS(MATCH(B2302&amp;"PT",'LM7 Non-ENG'!$A$1:$A$5000,0),1,,,"LM7 Non-ENG"),IF(IFERROR(VLOOKUP(B2302&amp;"PT",'LM7 Non-ENG'!$A$1:$A$5000,1,FALSE),"ERROR")=B2302&amp;"PT","Y","")),"")</f>
        <v/>
      </c>
      <c r="I2302" t="str">
        <f>IFERROR(VLOOKUP(B2302,PN!$A:$C,3,FALSE),"")</f>
        <v>Active</v>
      </c>
      <c r="J2302" s="3">
        <f>IFERROR(E2302*VLOOKUP(B2302,PLInter!$A:$D,3,FALSE),"")</f>
        <v>6720</v>
      </c>
      <c r="K2302" s="66"/>
      <c r="L2302" s="66"/>
      <c r="M2302" s="66"/>
      <c r="N2302" s="66"/>
      <c r="O2302" s="66"/>
      <c r="P2302" s="66"/>
      <c r="Q2302" s="66"/>
      <c r="R2302" s="66"/>
      <c r="S2302" s="66"/>
    </row>
    <row r="2303" spans="1:19" ht="18" customHeight="1">
      <c r="B2303" t="s">
        <v>1165</v>
      </c>
      <c r="C2303" t="s">
        <v>1166</v>
      </c>
      <c r="D2303" s="4"/>
      <c r="E2303" s="4">
        <v>1</v>
      </c>
      <c r="F2303" s="4"/>
      <c r="G2303" s="29" t="str">
        <f>IFERROR(HYPERLINK("#"&amp;ADDRESS(MATCH(B2303&amp;"ES",'LM7 Non-ENG'!$A$1:$A$5000,0),1,,,"LM7 Non-ENG"),IF(IFERROR(VLOOKUP(B2303&amp;"ES",'LM7 Non-ENG'!$A$1:$A$4999,1,FALSE),"ERROR")=B2303&amp;"ES","Y","")),"")</f>
        <v/>
      </c>
      <c r="H2303" s="29" t="str">
        <f>IFERROR(HYPERLINK("#"&amp;ADDRESS(MATCH(B2303&amp;"PT",'LM7 Non-ENG'!$A$1:$A$5000,0),1,,,"LM7 Non-ENG"),IF(IFERROR(VLOOKUP(B2303&amp;"PT",'LM7 Non-ENG'!$A$1:$A$5000,1,FALSE),"ERROR")=B2303&amp;"PT","Y","")),"")</f>
        <v/>
      </c>
      <c r="I2303" t="str">
        <f>IFERROR(VLOOKUP(B2303,PN!$A:$C,3,FALSE),"")</f>
        <v>Active</v>
      </c>
      <c r="J2303" s="3">
        <f>IFERROR(E2303*VLOOKUP(B2303,PLInter!$A:$D,3,FALSE),"")</f>
        <v>375</v>
      </c>
      <c r="K2303" s="66"/>
      <c r="L2303" s="66"/>
      <c r="M2303" s="66"/>
      <c r="N2303" s="66"/>
      <c r="O2303" s="66"/>
      <c r="P2303" s="66"/>
      <c r="Q2303" s="66"/>
      <c r="R2303" s="66"/>
      <c r="S2303" s="66"/>
    </row>
    <row r="2304" spans="1:19" ht="18" customHeight="1">
      <c r="B2304" t="str">
        <f>"411803"</f>
        <v>411803</v>
      </c>
      <c r="C2304" t="s">
        <v>1167</v>
      </c>
      <c r="D2304" s="4"/>
      <c r="E2304" s="4">
        <v>1</v>
      </c>
      <c r="F2304" s="4"/>
      <c r="G2304" s="29" t="str">
        <f>IFERROR(HYPERLINK("#"&amp;ADDRESS(MATCH(B2304&amp;"ES",'LM7 Non-ENG'!$A$1:$A$5000,0),1,,,"LM7 Non-ENG"),IF(IFERROR(VLOOKUP(B2304&amp;"ES",'LM7 Non-ENG'!$A$1:$A$4999,1,FALSE),"ERROR")=B2304&amp;"ES","Y","")),"")</f>
        <v/>
      </c>
      <c r="H2304" s="29" t="str">
        <f>IFERROR(HYPERLINK("#"&amp;ADDRESS(MATCH(B2304&amp;"PT",'LM7 Non-ENG'!$A$1:$A$5000,0),1,,,"LM7 Non-ENG"),IF(IFERROR(VLOOKUP(B2304&amp;"PT",'LM7 Non-ENG'!$A$1:$A$5000,1,FALSE),"ERROR")=B2304&amp;"PT","Y","")),"")</f>
        <v/>
      </c>
      <c r="I2304" t="str">
        <f>IFERROR(VLOOKUP(B2304,PN!$A:$C,3,FALSE),"")</f>
        <v>Active</v>
      </c>
      <c r="J2304" s="3">
        <f>IFERROR(E2304*VLOOKUP(B2304,PLInter!$A:$D,3,FALSE),"")</f>
        <v>14</v>
      </c>
      <c r="K2304" s="66"/>
      <c r="L2304" s="66"/>
      <c r="M2304" s="66"/>
      <c r="N2304" s="66"/>
      <c r="O2304" s="66"/>
      <c r="P2304" s="66"/>
      <c r="Q2304" s="66"/>
      <c r="R2304" s="66"/>
      <c r="S2304" s="66"/>
    </row>
    <row r="2305" spans="1:19" ht="18" customHeight="1">
      <c r="B2305" s="2" t="str">
        <f>"411802"</f>
        <v>411802</v>
      </c>
      <c r="C2305" s="50" t="s">
        <v>1164</v>
      </c>
      <c r="D2305" s="5"/>
      <c r="E2305" s="5">
        <v>1</v>
      </c>
      <c r="F2305" s="5" t="s">
        <v>0</v>
      </c>
      <c r="G2305" s="29" t="str">
        <f>IFERROR(HYPERLINK("#"&amp;ADDRESS(MATCH(B2305&amp;"ES",'LM7 Non-ENG'!$A$1:$A$5000,0),1,,,"LM7 Non-ENG"),IF(IFERROR(VLOOKUP(B2305&amp;"ES",'LM7 Non-ENG'!$A$1:$A$4999,1,FALSE),"ERROR")=B2305&amp;"ES","Y","")),"")</f>
        <v/>
      </c>
      <c r="H2305" s="29" t="str">
        <f>IFERROR(HYPERLINK("#"&amp;ADDRESS(MATCH(B2305&amp;"PT",'LM7 Non-ENG'!$A$1:$A$5000,0),1,,,"LM7 Non-ENG"),IF(IFERROR(VLOOKUP(B2305&amp;"PT",'LM7 Non-ENG'!$A$1:$A$5000,1,FALSE),"ERROR")=B2305&amp;"PT","Y","")),"")</f>
        <v/>
      </c>
      <c r="I2305" t="str">
        <f>IFERROR(VLOOKUP(B2305,PN!$A:$C,3,FALSE),"")</f>
        <v>Active</v>
      </c>
      <c r="J2305" s="3">
        <f>IFERROR(E2305*VLOOKUP(B2305,PLInter!$A:$D,3,FALSE),"")</f>
        <v>8</v>
      </c>
      <c r="K2305" s="66"/>
      <c r="L2305" s="66"/>
      <c r="M2305" s="66"/>
      <c r="N2305" s="66"/>
      <c r="O2305" s="66"/>
      <c r="P2305" s="66"/>
      <c r="Q2305" s="66"/>
      <c r="R2305" s="66"/>
      <c r="S2305" s="66"/>
    </row>
    <row r="2307" spans="1:19" s="7" customFormat="1" ht="18" customHeight="1">
      <c r="A2307" s="13" t="s">
        <v>1180</v>
      </c>
      <c r="B2307" s="13"/>
      <c r="C2307" s="13" t="s">
        <v>1181</v>
      </c>
      <c r="D2307" s="14"/>
      <c r="E2307" s="14"/>
      <c r="F2307" s="14"/>
      <c r="G2307" s="14"/>
      <c r="H2307" s="14"/>
      <c r="I2307" s="14"/>
      <c r="J2307" s="14">
        <f>SUMIFS(J2308:J2311,D2308:D2311,"&lt;&gt;Y",F2308:F2311,"&lt;&gt;Y",I2308:I2311,"&lt;&gt;Inactive",I2308:I2311,"&lt;&gt;ECO+NFS")</f>
        <v>8309</v>
      </c>
      <c r="K2307" s="14"/>
      <c r="L2307" s="14"/>
      <c r="M2307" s="14"/>
      <c r="N2307" s="14"/>
      <c r="O2307" s="14"/>
      <c r="P2307" s="14"/>
      <c r="Q2307" s="14"/>
      <c r="R2307" s="14"/>
      <c r="S2307" s="14"/>
    </row>
    <row r="2308" spans="1:19" ht="18" customHeight="1">
      <c r="A2308" s="17" t="str">
        <f>HYPERLINK("#"&amp;ADDRESS(MATCH(A2307,'CIM&amp;FMS'!$A$1:$A$4997,0),1,,,"CIM&amp;FMS"),"Back to Price List")</f>
        <v>Back to Price List</v>
      </c>
      <c r="B2308" t="s">
        <v>1182</v>
      </c>
      <c r="C2308" t="s">
        <v>1183</v>
      </c>
      <c r="D2308" s="4"/>
      <c r="E2308" s="4">
        <v>1</v>
      </c>
      <c r="F2308" s="4"/>
      <c r="G2308" s="29" t="str">
        <f>IFERROR(HYPERLINK("#"&amp;ADDRESS(MATCH(B2308&amp;"ES",'LM7 Non-ENG'!$A$1:$A$5000,0),1,,,"LM7 Non-ENG"),IF(IFERROR(VLOOKUP(B2308&amp;"ES",'LM7 Non-ENG'!$A$1:$A$4999,1,FALSE),"ERROR")=B2308&amp;"ES","Y","")),"")</f>
        <v/>
      </c>
      <c r="H2308" s="29" t="str">
        <f>IFERROR(HYPERLINK("#"&amp;ADDRESS(MATCH(B2308&amp;"PT",'LM7 Non-ENG'!$A$1:$A$5000,0),1,,,"LM7 Non-ENG"),IF(IFERROR(VLOOKUP(B2308&amp;"PT",'LM7 Non-ENG'!$A$1:$A$5000,1,FALSE),"ERROR")=B2308&amp;"PT","Y","")),"")</f>
        <v/>
      </c>
      <c r="I2308" t="str">
        <f>IFERROR(VLOOKUP(B2308,PN!$A:$C,3,FALSE),"")</f>
        <v>Active</v>
      </c>
      <c r="J2308" s="3">
        <f>IFERROR(E2308*VLOOKUP(B2308,PLInter!$A:$D,3,FALSE),"")</f>
        <v>7920</v>
      </c>
      <c r="K2308" s="66"/>
      <c r="L2308" s="66"/>
      <c r="M2308" s="66"/>
      <c r="N2308" s="66"/>
      <c r="O2308" s="66"/>
      <c r="P2308" s="66"/>
      <c r="Q2308" s="66"/>
      <c r="R2308" s="66"/>
      <c r="S2308" s="66"/>
    </row>
    <row r="2309" spans="1:19" ht="18" customHeight="1">
      <c r="B2309" t="s">
        <v>1165</v>
      </c>
      <c r="C2309" t="s">
        <v>1166</v>
      </c>
      <c r="D2309" s="4"/>
      <c r="E2309" s="4">
        <v>1</v>
      </c>
      <c r="F2309" s="4"/>
      <c r="G2309" s="29" t="str">
        <f>IFERROR(HYPERLINK("#"&amp;ADDRESS(MATCH(B2309&amp;"ES",'LM7 Non-ENG'!$A$1:$A$5000,0),1,,,"LM7 Non-ENG"),IF(IFERROR(VLOOKUP(B2309&amp;"ES",'LM7 Non-ENG'!$A$1:$A$4999,1,FALSE),"ERROR")=B2309&amp;"ES","Y","")),"")</f>
        <v/>
      </c>
      <c r="H2309" s="29" t="str">
        <f>IFERROR(HYPERLINK("#"&amp;ADDRESS(MATCH(B2309&amp;"PT",'LM7 Non-ENG'!$A$1:$A$5000,0),1,,,"LM7 Non-ENG"),IF(IFERROR(VLOOKUP(B2309&amp;"PT",'LM7 Non-ENG'!$A$1:$A$5000,1,FALSE),"ERROR")=B2309&amp;"PT","Y","")),"")</f>
        <v/>
      </c>
      <c r="I2309" t="str">
        <f>IFERROR(VLOOKUP(B2309,PN!$A:$C,3,FALSE),"")</f>
        <v>Active</v>
      </c>
      <c r="J2309" s="3">
        <f>IFERROR(E2309*VLOOKUP(B2309,PLInter!$A:$D,3,FALSE),"")</f>
        <v>375</v>
      </c>
      <c r="K2309" s="66"/>
      <c r="L2309" s="66"/>
      <c r="M2309" s="66"/>
      <c r="N2309" s="66"/>
      <c r="O2309" s="66"/>
      <c r="P2309" s="66"/>
      <c r="Q2309" s="66"/>
      <c r="R2309" s="66"/>
      <c r="S2309" s="66"/>
    </row>
    <row r="2310" spans="1:19" ht="18" customHeight="1">
      <c r="B2310" t="str">
        <f>"411803"</f>
        <v>411803</v>
      </c>
      <c r="C2310" t="s">
        <v>1167</v>
      </c>
      <c r="D2310" s="4"/>
      <c r="E2310" s="4">
        <v>1</v>
      </c>
      <c r="F2310" s="4"/>
      <c r="G2310" s="29" t="str">
        <f>IFERROR(HYPERLINK("#"&amp;ADDRESS(MATCH(B2310&amp;"ES",'LM7 Non-ENG'!$A$1:$A$5000,0),1,,,"LM7 Non-ENG"),IF(IFERROR(VLOOKUP(B2310&amp;"ES",'LM7 Non-ENG'!$A$1:$A$4999,1,FALSE),"ERROR")=B2310&amp;"ES","Y","")),"")</f>
        <v/>
      </c>
      <c r="H2310" s="29" t="str">
        <f>IFERROR(HYPERLINK("#"&amp;ADDRESS(MATCH(B2310&amp;"PT",'LM7 Non-ENG'!$A$1:$A$5000,0),1,,,"LM7 Non-ENG"),IF(IFERROR(VLOOKUP(B2310&amp;"PT",'LM7 Non-ENG'!$A$1:$A$5000,1,FALSE),"ERROR")=B2310&amp;"PT","Y","")),"")</f>
        <v/>
      </c>
      <c r="I2310" t="str">
        <f>IFERROR(VLOOKUP(B2310,PN!$A:$C,3,FALSE),"")</f>
        <v>Active</v>
      </c>
      <c r="J2310" s="3">
        <f>IFERROR(E2310*VLOOKUP(B2310,PLInter!$A:$D,3,FALSE),"")</f>
        <v>14</v>
      </c>
      <c r="K2310" s="66"/>
      <c r="L2310" s="66"/>
      <c r="M2310" s="66"/>
      <c r="N2310" s="66"/>
      <c r="O2310" s="66"/>
      <c r="P2310" s="66"/>
      <c r="Q2310" s="66"/>
      <c r="R2310" s="66"/>
      <c r="S2310" s="66"/>
    </row>
    <row r="2311" spans="1:19" ht="18" customHeight="1">
      <c r="B2311" s="2" t="str">
        <f>"411802"</f>
        <v>411802</v>
      </c>
      <c r="C2311" s="50" t="s">
        <v>1164</v>
      </c>
      <c r="D2311" s="5"/>
      <c r="E2311" s="5">
        <v>1</v>
      </c>
      <c r="F2311" s="5" t="s">
        <v>0</v>
      </c>
      <c r="G2311" s="29" t="str">
        <f>IFERROR(HYPERLINK("#"&amp;ADDRESS(MATCH(B2311&amp;"ES",'LM7 Non-ENG'!$A$1:$A$5000,0),1,,,"LM7 Non-ENG"),IF(IFERROR(VLOOKUP(B2311&amp;"ES",'LM7 Non-ENG'!$A$1:$A$4999,1,FALSE),"ERROR")=B2311&amp;"ES","Y","")),"")</f>
        <v/>
      </c>
      <c r="H2311" s="29" t="str">
        <f>IFERROR(HYPERLINK("#"&amp;ADDRESS(MATCH(B2311&amp;"PT",'LM7 Non-ENG'!$A$1:$A$5000,0),1,,,"LM7 Non-ENG"),IF(IFERROR(VLOOKUP(B2311&amp;"PT",'LM7 Non-ENG'!$A$1:$A$5000,1,FALSE),"ERROR")=B2311&amp;"PT","Y","")),"")</f>
        <v/>
      </c>
      <c r="I2311" t="str">
        <f>IFERROR(VLOOKUP(B2311,PN!$A:$C,3,FALSE),"")</f>
        <v>Active</v>
      </c>
      <c r="J2311" s="3">
        <f>IFERROR(E2311*VLOOKUP(B2311,PLInter!$A:$D,3,FALSE),"")</f>
        <v>8</v>
      </c>
      <c r="K2311" s="66"/>
      <c r="L2311" s="66"/>
      <c r="M2311" s="66"/>
      <c r="N2311" s="66"/>
      <c r="O2311" s="66"/>
      <c r="P2311" s="66"/>
      <c r="Q2311" s="66"/>
      <c r="R2311" s="66"/>
      <c r="S2311" s="66"/>
    </row>
    <row r="2313" spans="1:19" s="7" customFormat="1" ht="18" customHeight="1">
      <c r="A2313" s="13" t="s">
        <v>1184</v>
      </c>
      <c r="B2313" s="13"/>
      <c r="C2313" s="13" t="s">
        <v>1185</v>
      </c>
      <c r="D2313" s="14"/>
      <c r="E2313" s="14"/>
      <c r="F2313" s="14"/>
      <c r="G2313" s="14"/>
      <c r="H2313" s="14"/>
      <c r="I2313" s="14"/>
      <c r="J2313" s="14">
        <f>SUMIFS(J2314:J2317,D2314:D2317,"&lt;&gt;Y",F2314:F2317,"&lt;&gt;Y",I2314:I2317,"&lt;&gt;Inactive",I2314:I2317,"&lt;&gt;ECO+NFS")</f>
        <v>11429</v>
      </c>
      <c r="K2313" s="14"/>
      <c r="L2313" s="14"/>
      <c r="M2313" s="14"/>
      <c r="N2313" s="14"/>
      <c r="O2313" s="14"/>
      <c r="P2313" s="14"/>
      <c r="Q2313" s="14"/>
      <c r="R2313" s="14"/>
      <c r="S2313" s="14"/>
    </row>
    <row r="2314" spans="1:19" ht="18" customHeight="1">
      <c r="A2314" s="17" t="str">
        <f>HYPERLINK("#"&amp;ADDRESS(MATCH(A2313,'CIM&amp;FMS'!$A$1:$A$4997,0),1,,,"CIM&amp;FMS"),"Back to Price List")</f>
        <v>Back to Price List</v>
      </c>
      <c r="B2314" t="s">
        <v>1186</v>
      </c>
      <c r="C2314" t="s">
        <v>1187</v>
      </c>
      <c r="D2314" s="4"/>
      <c r="E2314" s="4">
        <v>1</v>
      </c>
      <c r="F2314" s="4"/>
      <c r="G2314" s="29" t="str">
        <f>IFERROR(HYPERLINK("#"&amp;ADDRESS(MATCH(B2314&amp;"ES",'LM7 Non-ENG'!$A$1:$A$5000,0),1,,,"LM7 Non-ENG"),IF(IFERROR(VLOOKUP(B2314&amp;"ES",'LM7 Non-ENG'!$A$1:$A$4999,1,FALSE),"ERROR")=B2314&amp;"ES","Y","")),"")</f>
        <v/>
      </c>
      <c r="H2314" s="29" t="str">
        <f>IFERROR(HYPERLINK("#"&amp;ADDRESS(MATCH(B2314&amp;"PT",'LM7 Non-ENG'!$A$1:$A$5000,0),1,,,"LM7 Non-ENG"),IF(IFERROR(VLOOKUP(B2314&amp;"PT",'LM7 Non-ENG'!$A$1:$A$5000,1,FALSE),"ERROR")=B2314&amp;"PT","Y","")),"")</f>
        <v/>
      </c>
      <c r="I2314" t="str">
        <f>IFERROR(VLOOKUP(B2314,PN!$A:$C,3,FALSE),"")</f>
        <v>Active</v>
      </c>
      <c r="J2314" s="3">
        <f>IFERROR(E2314*VLOOKUP(B2314,PLInter!$A:$D,3,FALSE),"")</f>
        <v>11040</v>
      </c>
      <c r="K2314" s="66"/>
      <c r="L2314" s="66"/>
      <c r="M2314" s="66"/>
      <c r="N2314" s="66"/>
      <c r="O2314" s="66"/>
      <c r="P2314" s="66"/>
      <c r="Q2314" s="66"/>
      <c r="R2314" s="66"/>
      <c r="S2314" s="66"/>
    </row>
    <row r="2315" spans="1:19" ht="18" customHeight="1">
      <c r="B2315" t="s">
        <v>1165</v>
      </c>
      <c r="C2315" t="s">
        <v>1166</v>
      </c>
      <c r="D2315" s="4"/>
      <c r="E2315" s="4">
        <v>1</v>
      </c>
      <c r="F2315" s="4"/>
      <c r="G2315" s="29" t="str">
        <f>IFERROR(HYPERLINK("#"&amp;ADDRESS(MATCH(B2315&amp;"ES",'LM7 Non-ENG'!$A$1:$A$5000,0),1,,,"LM7 Non-ENG"),IF(IFERROR(VLOOKUP(B2315&amp;"ES",'LM7 Non-ENG'!$A$1:$A$4999,1,FALSE),"ERROR")=B2315&amp;"ES","Y","")),"")</f>
        <v/>
      </c>
      <c r="H2315" s="29" t="str">
        <f>IFERROR(HYPERLINK("#"&amp;ADDRESS(MATCH(B2315&amp;"PT",'LM7 Non-ENG'!$A$1:$A$5000,0),1,,,"LM7 Non-ENG"),IF(IFERROR(VLOOKUP(B2315&amp;"PT",'LM7 Non-ENG'!$A$1:$A$5000,1,FALSE),"ERROR")=B2315&amp;"PT","Y","")),"")</f>
        <v/>
      </c>
      <c r="I2315" t="str">
        <f>IFERROR(VLOOKUP(B2315,PN!$A:$C,3,FALSE),"")</f>
        <v>Active</v>
      </c>
      <c r="J2315" s="3">
        <f>IFERROR(E2315*VLOOKUP(B2315,PLInter!$A:$D,3,FALSE),"")</f>
        <v>375</v>
      </c>
      <c r="K2315" s="66"/>
      <c r="L2315" s="66"/>
      <c r="M2315" s="66"/>
      <c r="N2315" s="66"/>
      <c r="O2315" s="66"/>
      <c r="P2315" s="66"/>
      <c r="Q2315" s="66"/>
      <c r="R2315" s="66"/>
      <c r="S2315" s="66"/>
    </row>
    <row r="2316" spans="1:19" ht="18" customHeight="1">
      <c r="B2316" t="str">
        <f>"411803"</f>
        <v>411803</v>
      </c>
      <c r="C2316" t="s">
        <v>1167</v>
      </c>
      <c r="D2316" s="4"/>
      <c r="E2316" s="4">
        <v>1</v>
      </c>
      <c r="F2316" s="4"/>
      <c r="G2316" s="29" t="str">
        <f>IFERROR(HYPERLINK("#"&amp;ADDRESS(MATCH(B2316&amp;"ES",'LM7 Non-ENG'!$A$1:$A$5000,0),1,,,"LM7 Non-ENG"),IF(IFERROR(VLOOKUP(B2316&amp;"ES",'LM7 Non-ENG'!$A$1:$A$4999,1,FALSE),"ERROR")=B2316&amp;"ES","Y","")),"")</f>
        <v/>
      </c>
      <c r="H2316" s="29" t="str">
        <f>IFERROR(HYPERLINK("#"&amp;ADDRESS(MATCH(B2316&amp;"PT",'LM7 Non-ENG'!$A$1:$A$5000,0),1,,,"LM7 Non-ENG"),IF(IFERROR(VLOOKUP(B2316&amp;"PT",'LM7 Non-ENG'!$A$1:$A$5000,1,FALSE),"ERROR")=B2316&amp;"PT","Y","")),"")</f>
        <v/>
      </c>
      <c r="I2316" t="str">
        <f>IFERROR(VLOOKUP(B2316,PN!$A:$C,3,FALSE),"")</f>
        <v>Active</v>
      </c>
      <c r="J2316" s="3">
        <f>IFERROR(E2316*VLOOKUP(B2316,PLInter!$A:$D,3,FALSE),"")</f>
        <v>14</v>
      </c>
      <c r="K2316" s="66"/>
      <c r="L2316" s="66"/>
      <c r="M2316" s="66"/>
      <c r="N2316" s="66"/>
      <c r="O2316" s="66"/>
      <c r="P2316" s="66"/>
      <c r="Q2316" s="66"/>
      <c r="R2316" s="66"/>
      <c r="S2316" s="66"/>
    </row>
    <row r="2317" spans="1:19" ht="18" customHeight="1">
      <c r="B2317" s="2" t="str">
        <f>"411802"</f>
        <v>411802</v>
      </c>
      <c r="C2317" s="50" t="s">
        <v>1164</v>
      </c>
      <c r="D2317" s="5"/>
      <c r="E2317" s="5">
        <v>1</v>
      </c>
      <c r="F2317" s="5" t="s">
        <v>0</v>
      </c>
      <c r="G2317" s="29" t="str">
        <f>IFERROR(HYPERLINK("#"&amp;ADDRESS(MATCH(B2317&amp;"ES",'LM7 Non-ENG'!$A$1:$A$5000,0),1,,,"LM7 Non-ENG"),IF(IFERROR(VLOOKUP(B2317&amp;"ES",'LM7 Non-ENG'!$A$1:$A$4999,1,FALSE),"ERROR")=B2317&amp;"ES","Y","")),"")</f>
        <v/>
      </c>
      <c r="H2317" s="29" t="str">
        <f>IFERROR(HYPERLINK("#"&amp;ADDRESS(MATCH(B2317&amp;"PT",'LM7 Non-ENG'!$A$1:$A$5000,0),1,,,"LM7 Non-ENG"),IF(IFERROR(VLOOKUP(B2317&amp;"PT",'LM7 Non-ENG'!$A$1:$A$5000,1,FALSE),"ERROR")=B2317&amp;"PT","Y","")),"")</f>
        <v/>
      </c>
      <c r="I2317" t="str">
        <f>IFERROR(VLOOKUP(B2317,PN!$A:$C,3,FALSE),"")</f>
        <v>Active</v>
      </c>
      <c r="J2317" s="3">
        <f>IFERROR(E2317*VLOOKUP(B2317,PLInter!$A:$D,3,FALSE),"")</f>
        <v>8</v>
      </c>
      <c r="K2317" s="66"/>
      <c r="L2317" s="66"/>
      <c r="M2317" s="66"/>
      <c r="N2317" s="66"/>
      <c r="O2317" s="66"/>
      <c r="P2317" s="66"/>
      <c r="Q2317" s="66"/>
      <c r="R2317" s="66"/>
      <c r="S2317" s="66"/>
    </row>
    <row r="2319" spans="1:19" s="7" customFormat="1" ht="18" customHeight="1">
      <c r="A2319" s="13" t="s">
        <v>1188</v>
      </c>
      <c r="B2319" s="13"/>
      <c r="C2319" s="13" t="s">
        <v>1189</v>
      </c>
      <c r="D2319" s="14"/>
      <c r="E2319" s="14"/>
      <c r="F2319" s="14"/>
      <c r="G2319" s="14"/>
      <c r="H2319" s="14"/>
      <c r="I2319" s="14"/>
      <c r="J2319" s="14">
        <f>SUMIFS(J2320:J2323,D2320:D2323,"&lt;&gt;Y",F2320:F2323,"&lt;&gt;Y",I2320:I2323,"&lt;&gt;Inactive",I2320:I2323,"&lt;&gt;ECO+NFS")</f>
        <v>389</v>
      </c>
      <c r="K2319" s="14"/>
      <c r="L2319" s="14"/>
      <c r="M2319" s="14"/>
      <c r="N2319" s="14"/>
      <c r="O2319" s="14"/>
      <c r="P2319" s="14"/>
      <c r="Q2319" s="14"/>
      <c r="R2319" s="14"/>
      <c r="S2319" s="14"/>
    </row>
    <row r="2320" spans="1:19" ht="18" customHeight="1">
      <c r="A2320" s="17" t="str">
        <f>HYPERLINK("#"&amp;ADDRESS(MATCH(A2319,'CIM&amp;FMS'!$A$1:$A$4997,0),1,,,"CIM&amp;FMS"),"Back to Price List")</f>
        <v>Back to Price List</v>
      </c>
      <c r="B2320" s="18" t="str">
        <f>"TMP0001"</f>
        <v>TMP0001</v>
      </c>
      <c r="C2320" t="str">
        <f>"CIM PLC Cabinet Siemens ASI-bus"</f>
        <v>CIM PLC Cabinet Siemens ASI-bus</v>
      </c>
      <c r="D2320" s="4"/>
      <c r="E2320" s="4">
        <v>1</v>
      </c>
      <c r="F2320" s="4"/>
      <c r="G2320" s="29" t="str">
        <f>IFERROR(HYPERLINK("#"&amp;ADDRESS(MATCH(B2320&amp;"ES",'LM7 Non-ENG'!$A$1:$A$5000,0),1,,,"LM7 Non-ENG"),IF(IFERROR(VLOOKUP(B2320&amp;"ES",'LM7 Non-ENG'!$A$1:$A$4999,1,FALSE),"ERROR")=B2320&amp;"ES","Y","")),"")</f>
        <v/>
      </c>
      <c r="H2320" s="29" t="str">
        <f>IFERROR(HYPERLINK("#"&amp;ADDRESS(MATCH(B2320&amp;"PT",'LM7 Non-ENG'!$A$1:$A$5000,0),1,,,"LM7 Non-ENG"),IF(IFERROR(VLOOKUP(B2320&amp;"PT",'LM7 Non-ENG'!$A$1:$A$5000,1,FALSE),"ERROR")=B2320&amp;"PT","Y","")),"")</f>
        <v/>
      </c>
      <c r="I2320" t="str">
        <f>IFERROR(VLOOKUP(B2320,PN!$A:$C,3,FALSE),"")</f>
        <v>New</v>
      </c>
      <c r="J2320" s="3" t="str">
        <f>IFERROR(E2320*VLOOKUP(B2320,PLInter!$A:$D,3,FALSE),"")</f>
        <v/>
      </c>
      <c r="K2320" s="66"/>
      <c r="L2320" s="66"/>
      <c r="M2320" s="66"/>
      <c r="N2320" s="66"/>
      <c r="O2320" s="66"/>
      <c r="P2320" s="66"/>
      <c r="Q2320" s="66"/>
      <c r="R2320" s="66"/>
      <c r="S2320" s="66"/>
    </row>
    <row r="2321" spans="1:19" ht="18" customHeight="1">
      <c r="B2321" t="str">
        <f>"411803"</f>
        <v>411803</v>
      </c>
      <c r="C2321" t="str">
        <f>"European Power cable 220 V"</f>
        <v>European Power cable 220 V</v>
      </c>
      <c r="D2321" s="4"/>
      <c r="E2321" s="4">
        <v>1</v>
      </c>
      <c r="F2321" s="4"/>
      <c r="G2321" s="29" t="str">
        <f>IFERROR(HYPERLINK("#"&amp;ADDRESS(MATCH(B2321&amp;"ES",'LM7 Non-ENG'!$A$1:$A$5000,0),1,,,"LM7 Non-ENG"),IF(IFERROR(VLOOKUP(B2321&amp;"ES",'LM7 Non-ENG'!$A$1:$A$4999,1,FALSE),"ERROR")=B2321&amp;"ES","Y","")),"")</f>
        <v/>
      </c>
      <c r="H2321" s="29" t="str">
        <f>IFERROR(HYPERLINK("#"&amp;ADDRESS(MATCH(B2321&amp;"PT",'LM7 Non-ENG'!$A$1:$A$5000,0),1,,,"LM7 Non-ENG"),IF(IFERROR(VLOOKUP(B2321&amp;"PT",'LM7 Non-ENG'!$A$1:$A$5000,1,FALSE),"ERROR")=B2321&amp;"PT","Y","")),"")</f>
        <v/>
      </c>
      <c r="I2321" t="str">
        <f>IFERROR(VLOOKUP(B2321,PN!$A:$C,3,FALSE),"")</f>
        <v>Active</v>
      </c>
      <c r="J2321" s="3">
        <f>IFERROR(E2321*VLOOKUP(B2321,PLInter!$A:$D,3,FALSE),"")</f>
        <v>14</v>
      </c>
      <c r="K2321" s="66"/>
      <c r="L2321" s="66"/>
      <c r="M2321" s="66"/>
      <c r="N2321" s="66"/>
      <c r="O2321" s="66"/>
      <c r="P2321" s="66"/>
      <c r="Q2321" s="66"/>
      <c r="R2321" s="66"/>
      <c r="S2321" s="66"/>
    </row>
    <row r="2322" spans="1:19" ht="18" customHeight="1">
      <c r="B2322" s="2" t="str">
        <f>"411802"</f>
        <v>411802</v>
      </c>
      <c r="C2322" s="50" t="s">
        <v>1164</v>
      </c>
      <c r="D2322" s="5"/>
      <c r="E2322" s="5">
        <v>1</v>
      </c>
      <c r="F2322" s="5" t="s">
        <v>0</v>
      </c>
      <c r="G2322" s="29" t="str">
        <f>IFERROR(HYPERLINK("#"&amp;ADDRESS(MATCH(B2322&amp;"ES",'LM7 Non-ENG'!$A$1:$A$5000,0),1,,,"LM7 Non-ENG"),IF(IFERROR(VLOOKUP(B2322&amp;"ES",'LM7 Non-ENG'!$A$1:$A$4999,1,FALSE),"ERROR")=B2322&amp;"ES","Y","")),"")</f>
        <v/>
      </c>
      <c r="H2322" s="29" t="str">
        <f>IFERROR(HYPERLINK("#"&amp;ADDRESS(MATCH(B2322&amp;"PT",'LM7 Non-ENG'!$A$1:$A$5000,0),1,,,"LM7 Non-ENG"),IF(IFERROR(VLOOKUP(B2322&amp;"PT",'LM7 Non-ENG'!$A$1:$A$5000,1,FALSE),"ERROR")=B2322&amp;"PT","Y","")),"")</f>
        <v/>
      </c>
      <c r="I2322" t="str">
        <f>IFERROR(VLOOKUP(B2322,PN!$A:$C,3,FALSE),"")</f>
        <v>Active</v>
      </c>
      <c r="J2322" s="3">
        <f>IFERROR(E2322*VLOOKUP(B2322,PLInter!$A:$D,3,FALSE),"")</f>
        <v>8</v>
      </c>
      <c r="K2322" s="66"/>
      <c r="L2322" s="66"/>
      <c r="M2322" s="66"/>
      <c r="N2322" s="66"/>
      <c r="O2322" s="66"/>
      <c r="P2322" s="66"/>
      <c r="Q2322" s="66"/>
      <c r="R2322" s="66"/>
      <c r="S2322" s="66"/>
    </row>
    <row r="2323" spans="1:19" ht="18" customHeight="1">
      <c r="B2323" t="str">
        <f>"10-2111-9000"</f>
        <v>10-2111-9000</v>
      </c>
      <c r="C2323" t="str">
        <f>"Cable Duct to Ctrl. Cabinet"</f>
        <v>Cable Duct to Ctrl. Cabinet</v>
      </c>
      <c r="D2323" s="4"/>
      <c r="E2323" s="4">
        <v>1</v>
      </c>
      <c r="F2323" s="4"/>
      <c r="G2323" s="29" t="str">
        <f>IFERROR(HYPERLINK("#"&amp;ADDRESS(MATCH(B2323&amp;"ES",'LM7 Non-ENG'!$A$1:$A$5000,0),1,,,"LM7 Non-ENG"),IF(IFERROR(VLOOKUP(B2323&amp;"ES",'LM7 Non-ENG'!$A$1:$A$4999,1,FALSE),"ERROR")=B2323&amp;"ES","Y","")),"")</f>
        <v/>
      </c>
      <c r="H2323" s="29" t="str">
        <f>IFERROR(HYPERLINK("#"&amp;ADDRESS(MATCH(B2323&amp;"PT",'LM7 Non-ENG'!$A$1:$A$5000,0),1,,,"LM7 Non-ENG"),IF(IFERROR(VLOOKUP(B2323&amp;"PT",'LM7 Non-ENG'!$A$1:$A$5000,1,FALSE),"ERROR")=B2323&amp;"PT","Y","")),"")</f>
        <v/>
      </c>
      <c r="I2323" t="str">
        <f>IFERROR(VLOOKUP(B2323,PN!$A:$C,3,FALSE),"")</f>
        <v>Active</v>
      </c>
      <c r="J2323" s="3">
        <f>IFERROR(E2323*VLOOKUP(B2323,PLInter!$A:$D,3,FALSE),"")</f>
        <v>375</v>
      </c>
      <c r="K2323" s="66"/>
      <c r="L2323" s="66"/>
      <c r="M2323" s="66"/>
      <c r="N2323" s="66"/>
      <c r="O2323" s="66"/>
      <c r="P2323" s="66"/>
      <c r="Q2323" s="66"/>
      <c r="R2323" s="66"/>
      <c r="S2323" s="66"/>
    </row>
    <row r="2325" spans="1:19" s="7" customFormat="1" ht="18" customHeight="1">
      <c r="A2325" s="13" t="s">
        <v>1190</v>
      </c>
      <c r="B2325" s="13"/>
      <c r="C2325" s="13" t="s">
        <v>1191</v>
      </c>
      <c r="D2325" s="14"/>
      <c r="E2325" s="14"/>
      <c r="F2325" s="14"/>
      <c r="G2325" s="14"/>
      <c r="H2325" s="14"/>
      <c r="I2325" s="14"/>
      <c r="J2325" s="14">
        <f>SUMIFS(J2326:J2329,D2326:D2329,"&lt;&gt;Y",F2326:F2329,"&lt;&gt;Y",I2326:I2329,"&lt;&gt;Inactive",I2326:I2329,"&lt;&gt;ECO+NFS")</f>
        <v>6977</v>
      </c>
      <c r="K2325" s="14"/>
      <c r="L2325" s="14"/>
      <c r="M2325" s="14"/>
      <c r="N2325" s="14"/>
      <c r="O2325" s="14"/>
      <c r="P2325" s="14"/>
      <c r="Q2325" s="14"/>
      <c r="R2325" s="14"/>
      <c r="S2325" s="14"/>
    </row>
    <row r="2326" spans="1:19" ht="18" customHeight="1">
      <c r="A2326" s="17" t="str">
        <f>HYPERLINK("#"&amp;ADDRESS(MATCH(A2325,'CIM&amp;FMS'!$A$1:$A$4997,0),1,,,"CIM&amp;FMS"),"Back to Price List")</f>
        <v>Back to Price List</v>
      </c>
      <c r="B2326" t="s">
        <v>1192</v>
      </c>
      <c r="C2326" t="s">
        <v>1193</v>
      </c>
      <c r="D2326" s="4"/>
      <c r="E2326" s="4">
        <v>1</v>
      </c>
      <c r="F2326" s="4"/>
      <c r="G2326" s="29" t="str">
        <f>IFERROR(HYPERLINK("#"&amp;ADDRESS(MATCH(B2326&amp;"ES",'LM7 Non-ENG'!$A$1:$A$5000,0),1,,,"LM7 Non-ENG"),IF(IFERROR(VLOOKUP(B2326&amp;"ES",'LM7 Non-ENG'!$A$1:$A$4999,1,FALSE),"ERROR")=B2326&amp;"ES","Y","")),"")</f>
        <v/>
      </c>
      <c r="H2326" s="29" t="str">
        <f>IFERROR(HYPERLINK("#"&amp;ADDRESS(MATCH(B2326&amp;"PT",'LM7 Non-ENG'!$A$1:$A$5000,0),1,,,"LM7 Non-ENG"),IF(IFERROR(VLOOKUP(B2326&amp;"PT",'LM7 Non-ENG'!$A$1:$A$5000,1,FALSE),"ERROR")=B2326&amp;"PT","Y","")),"")</f>
        <v/>
      </c>
      <c r="I2326" t="str">
        <f>IFERROR(VLOOKUP(B2326,PN!$A:$C,3,FALSE),"")</f>
        <v>Active</v>
      </c>
      <c r="J2326" s="3">
        <f>IFERROR(E2326*VLOOKUP(B2326,PLInter!$A:$D,3,FALSE),"")</f>
        <v>6588</v>
      </c>
      <c r="K2326" s="66"/>
      <c r="L2326" s="66"/>
      <c r="M2326" s="66"/>
      <c r="N2326" s="66"/>
      <c r="O2326" s="66"/>
      <c r="P2326" s="66"/>
      <c r="Q2326" s="66"/>
      <c r="R2326" s="66"/>
      <c r="S2326" s="66"/>
    </row>
    <row r="2327" spans="1:19" ht="18" customHeight="1">
      <c r="B2327" t="s">
        <v>1165</v>
      </c>
      <c r="C2327" t="s">
        <v>1166</v>
      </c>
      <c r="D2327" s="4"/>
      <c r="E2327" s="4">
        <v>1</v>
      </c>
      <c r="F2327" s="4"/>
      <c r="G2327" s="29" t="str">
        <f>IFERROR(HYPERLINK("#"&amp;ADDRESS(MATCH(B2327&amp;"ES",'LM7 Non-ENG'!$A$1:$A$5000,0),1,,,"LM7 Non-ENG"),IF(IFERROR(VLOOKUP(B2327&amp;"ES",'LM7 Non-ENG'!$A$1:$A$4999,1,FALSE),"ERROR")=B2327&amp;"ES","Y","")),"")</f>
        <v/>
      </c>
      <c r="H2327" s="29" t="str">
        <f>IFERROR(HYPERLINK("#"&amp;ADDRESS(MATCH(B2327&amp;"PT",'LM7 Non-ENG'!$A$1:$A$5000,0),1,,,"LM7 Non-ENG"),IF(IFERROR(VLOOKUP(B2327&amp;"PT",'LM7 Non-ENG'!$A$1:$A$5000,1,FALSE),"ERROR")=B2327&amp;"PT","Y","")),"")</f>
        <v/>
      </c>
      <c r="I2327" t="str">
        <f>IFERROR(VLOOKUP(B2327,PN!$A:$C,3,FALSE),"")</f>
        <v>Active</v>
      </c>
      <c r="J2327" s="3">
        <f>IFERROR(E2327*VLOOKUP(B2327,PLInter!$A:$D,3,FALSE),"")</f>
        <v>375</v>
      </c>
      <c r="K2327" s="66"/>
      <c r="L2327" s="66"/>
      <c r="M2327" s="66"/>
      <c r="N2327" s="66"/>
      <c r="O2327" s="66"/>
      <c r="P2327" s="66"/>
      <c r="Q2327" s="66"/>
      <c r="R2327" s="66"/>
      <c r="S2327" s="66"/>
    </row>
    <row r="2328" spans="1:19" ht="18" customHeight="1">
      <c r="B2328" t="str">
        <f>"411803"</f>
        <v>411803</v>
      </c>
      <c r="C2328" t="s">
        <v>1167</v>
      </c>
      <c r="D2328" s="4"/>
      <c r="E2328" s="4">
        <v>1</v>
      </c>
      <c r="F2328" s="4"/>
      <c r="G2328" s="29" t="str">
        <f>IFERROR(HYPERLINK("#"&amp;ADDRESS(MATCH(B2328&amp;"ES",'LM7 Non-ENG'!$A$1:$A$5000,0),1,,,"LM7 Non-ENG"),IF(IFERROR(VLOOKUP(B2328&amp;"ES",'LM7 Non-ENG'!$A$1:$A$4999,1,FALSE),"ERROR")=B2328&amp;"ES","Y","")),"")</f>
        <v/>
      </c>
      <c r="H2328" s="29" t="str">
        <f>IFERROR(HYPERLINK("#"&amp;ADDRESS(MATCH(B2328&amp;"PT",'LM7 Non-ENG'!$A$1:$A$5000,0),1,,,"LM7 Non-ENG"),IF(IFERROR(VLOOKUP(B2328&amp;"PT",'LM7 Non-ENG'!$A$1:$A$5000,1,FALSE),"ERROR")=B2328&amp;"PT","Y","")),"")</f>
        <v/>
      </c>
      <c r="I2328" t="str">
        <f>IFERROR(VLOOKUP(B2328,PN!$A:$C,3,FALSE),"")</f>
        <v>Active</v>
      </c>
      <c r="J2328" s="3">
        <f>IFERROR(E2328*VLOOKUP(B2328,PLInter!$A:$D,3,FALSE),"")</f>
        <v>14</v>
      </c>
      <c r="K2328" s="66"/>
      <c r="L2328" s="66"/>
      <c r="M2328" s="66"/>
      <c r="N2328" s="66"/>
      <c r="O2328" s="66"/>
      <c r="P2328" s="66"/>
      <c r="Q2328" s="66"/>
      <c r="R2328" s="66"/>
      <c r="S2328" s="66"/>
    </row>
    <row r="2329" spans="1:19" ht="18" customHeight="1">
      <c r="B2329" s="2" t="str">
        <f>"411802"</f>
        <v>411802</v>
      </c>
      <c r="C2329" s="50" t="s">
        <v>1164</v>
      </c>
      <c r="D2329" s="5"/>
      <c r="E2329" s="5">
        <v>1</v>
      </c>
      <c r="F2329" s="5" t="s">
        <v>0</v>
      </c>
      <c r="G2329" s="29" t="str">
        <f>IFERROR(HYPERLINK("#"&amp;ADDRESS(MATCH(B2329&amp;"ES",'LM7 Non-ENG'!$A$1:$A$5000,0),1,,,"LM7 Non-ENG"),IF(IFERROR(VLOOKUP(B2329&amp;"ES",'LM7 Non-ENG'!$A$1:$A$4999,1,FALSE),"ERROR")=B2329&amp;"ES","Y","")),"")</f>
        <v/>
      </c>
      <c r="H2329" s="29" t="str">
        <f>IFERROR(HYPERLINK("#"&amp;ADDRESS(MATCH(B2329&amp;"PT",'LM7 Non-ENG'!$A$1:$A$5000,0),1,,,"LM7 Non-ENG"),IF(IFERROR(VLOOKUP(B2329&amp;"PT",'LM7 Non-ENG'!$A$1:$A$5000,1,FALSE),"ERROR")=B2329&amp;"PT","Y","")),"")</f>
        <v/>
      </c>
      <c r="I2329" t="str">
        <f>IFERROR(VLOOKUP(B2329,PN!$A:$C,3,FALSE),"")</f>
        <v>Active</v>
      </c>
      <c r="J2329" s="3">
        <f>IFERROR(E2329*VLOOKUP(B2329,PLInter!$A:$D,3,FALSE),"")</f>
        <v>8</v>
      </c>
      <c r="K2329" s="66"/>
      <c r="L2329" s="66"/>
      <c r="M2329" s="66"/>
      <c r="N2329" s="66"/>
      <c r="O2329" s="66"/>
      <c r="P2329" s="66"/>
      <c r="Q2329" s="66"/>
      <c r="R2329" s="66"/>
      <c r="S2329" s="66"/>
    </row>
    <row r="2331" spans="1:19" s="7" customFormat="1" ht="18" customHeight="1">
      <c r="A2331" s="13" t="s">
        <v>1194</v>
      </c>
      <c r="B2331" s="13"/>
      <c r="C2331" s="13" t="s">
        <v>1195</v>
      </c>
      <c r="D2331" s="14"/>
      <c r="E2331" s="14"/>
      <c r="F2331" s="14"/>
      <c r="G2331" s="14"/>
      <c r="H2331" s="14"/>
      <c r="I2331" s="14"/>
      <c r="J2331" s="14">
        <f>SUMIFS(J2332:J2335,D2332:D2335,"&lt;&gt;Y",F2332:F2335,"&lt;&gt;Y",I2332:I2335,"&lt;&gt;Inactive",I2332:I2335,"&lt;&gt;ECO+NFS")</f>
        <v>9029</v>
      </c>
      <c r="K2331" s="14"/>
      <c r="L2331" s="14"/>
      <c r="M2331" s="14"/>
      <c r="N2331" s="14"/>
      <c r="O2331" s="14"/>
      <c r="P2331" s="14"/>
      <c r="Q2331" s="14"/>
      <c r="R2331" s="14"/>
      <c r="S2331" s="14"/>
    </row>
    <row r="2332" spans="1:19" ht="18" customHeight="1">
      <c r="A2332" s="17" t="str">
        <f>HYPERLINK("#"&amp;ADDRESS(MATCH(A2331,'CIM&amp;FMS'!$A$1:$A$4997,0),1,,,"CIM&amp;FMS"),"Back to Price List")</f>
        <v>Back to Price List</v>
      </c>
      <c r="B2332" t="str">
        <f>"10-2119-5000"</f>
        <v>10-2119-5000</v>
      </c>
      <c r="C2332" t="str">
        <f>"CIM PLC Cabinet Siemens PROFIBUS"</f>
        <v>CIM PLC Cabinet Siemens PROFIBUS</v>
      </c>
      <c r="D2332" s="4"/>
      <c r="E2332" s="4">
        <v>1</v>
      </c>
      <c r="F2332" s="4"/>
      <c r="G2332" s="29" t="str">
        <f>IFERROR(HYPERLINK("#"&amp;ADDRESS(MATCH(B2332&amp;"ES",'LM7 Non-ENG'!$A$1:$A$5000,0),1,,,"LM7 Non-ENG"),IF(IFERROR(VLOOKUP(B2332&amp;"ES",'LM7 Non-ENG'!$A$1:$A$4999,1,FALSE),"ERROR")=B2332&amp;"ES","Y","")),"")</f>
        <v/>
      </c>
      <c r="H2332" s="29" t="str">
        <f>IFERROR(HYPERLINK("#"&amp;ADDRESS(MATCH(B2332&amp;"PT",'LM7 Non-ENG'!$A$1:$A$5000,0),1,,,"LM7 Non-ENG"),IF(IFERROR(VLOOKUP(B2332&amp;"PT",'LM7 Non-ENG'!$A$1:$A$5000,1,FALSE),"ERROR")=B2332&amp;"PT","Y","")),"")</f>
        <v/>
      </c>
      <c r="I2332" t="str">
        <f>IFERROR(VLOOKUP(B2332,PN!$A:$C,3,FALSE),"")</f>
        <v>Active</v>
      </c>
      <c r="J2332" s="3">
        <f>IFERROR(E2332*VLOOKUP(B2332,PLInter!$A:$D,3,FALSE),"")</f>
        <v>8640</v>
      </c>
      <c r="K2332" s="66"/>
      <c r="L2332" s="66"/>
      <c r="M2332" s="66"/>
      <c r="N2332" s="66"/>
      <c r="O2332" s="66"/>
      <c r="P2332" s="66"/>
      <c r="Q2332" s="66"/>
      <c r="R2332" s="66"/>
      <c r="S2332" s="66"/>
    </row>
    <row r="2333" spans="1:19" ht="18" customHeight="1">
      <c r="B2333" t="str">
        <f>"10-2111-9000"</f>
        <v>10-2111-9000</v>
      </c>
      <c r="C2333" t="str">
        <f>"Cable Duct to Ctrl. Cabinet"</f>
        <v>Cable Duct to Ctrl. Cabinet</v>
      </c>
      <c r="D2333" s="4"/>
      <c r="E2333" s="4">
        <v>1</v>
      </c>
      <c r="F2333" s="4"/>
      <c r="G2333" s="29" t="str">
        <f>IFERROR(HYPERLINK("#"&amp;ADDRESS(MATCH(B2333&amp;"ES",'LM7 Non-ENG'!$A$1:$A$5000,0),1,,,"LM7 Non-ENG"),IF(IFERROR(VLOOKUP(B2333&amp;"ES",'LM7 Non-ENG'!$A$1:$A$4999,1,FALSE),"ERROR")=B2333&amp;"ES","Y","")),"")</f>
        <v/>
      </c>
      <c r="H2333" s="29" t="str">
        <f>IFERROR(HYPERLINK("#"&amp;ADDRESS(MATCH(B2333&amp;"PT",'LM7 Non-ENG'!$A$1:$A$5000,0),1,,,"LM7 Non-ENG"),IF(IFERROR(VLOOKUP(B2333&amp;"PT",'LM7 Non-ENG'!$A$1:$A$5000,1,FALSE),"ERROR")=B2333&amp;"PT","Y","")),"")</f>
        <v/>
      </c>
      <c r="I2333" t="str">
        <f>IFERROR(VLOOKUP(B2333,PN!$A:$C,3,FALSE),"")</f>
        <v>Active</v>
      </c>
      <c r="J2333" s="3">
        <f>IFERROR(E2333*VLOOKUP(B2333,PLInter!$A:$D,3,FALSE),"")</f>
        <v>375</v>
      </c>
      <c r="K2333" s="66"/>
      <c r="L2333" s="66"/>
      <c r="M2333" s="66"/>
      <c r="N2333" s="66"/>
      <c r="O2333" s="66"/>
      <c r="P2333" s="66"/>
      <c r="Q2333" s="66"/>
      <c r="R2333" s="66"/>
      <c r="S2333" s="66"/>
    </row>
    <row r="2334" spans="1:19" ht="18" customHeight="1">
      <c r="B2334" t="str">
        <f>"411803"</f>
        <v>411803</v>
      </c>
      <c r="C2334" t="s">
        <v>1167</v>
      </c>
      <c r="D2334" s="4"/>
      <c r="E2334" s="4">
        <v>1</v>
      </c>
      <c r="F2334" s="4"/>
      <c r="G2334" s="29" t="str">
        <f>IFERROR(HYPERLINK("#"&amp;ADDRESS(MATCH(B2334&amp;"ES",'LM7 Non-ENG'!$A$1:$A$5000,0),1,,,"LM7 Non-ENG"),IF(IFERROR(VLOOKUP(B2334&amp;"ES",'LM7 Non-ENG'!$A$1:$A$4999,1,FALSE),"ERROR")=B2334&amp;"ES","Y","")),"")</f>
        <v/>
      </c>
      <c r="H2334" s="29" t="str">
        <f>IFERROR(HYPERLINK("#"&amp;ADDRESS(MATCH(B2334&amp;"PT",'LM7 Non-ENG'!$A$1:$A$5000,0),1,,,"LM7 Non-ENG"),IF(IFERROR(VLOOKUP(B2334&amp;"PT",'LM7 Non-ENG'!$A$1:$A$5000,1,FALSE),"ERROR")=B2334&amp;"PT","Y","")),"")</f>
        <v/>
      </c>
      <c r="I2334" t="str">
        <f>IFERROR(VLOOKUP(B2334,PN!$A:$C,3,FALSE),"")</f>
        <v>Active</v>
      </c>
      <c r="J2334" s="3">
        <f>IFERROR(E2334*VLOOKUP(B2334,PLInter!$A:$D,3,FALSE),"")</f>
        <v>14</v>
      </c>
      <c r="K2334" s="66"/>
      <c r="L2334" s="66"/>
      <c r="M2334" s="66"/>
      <c r="N2334" s="66"/>
      <c r="O2334" s="66"/>
      <c r="P2334" s="66"/>
      <c r="Q2334" s="66"/>
      <c r="R2334" s="66"/>
      <c r="S2334" s="66"/>
    </row>
    <row r="2335" spans="1:19" ht="18" customHeight="1">
      <c r="B2335" s="2" t="str">
        <f>"411802"</f>
        <v>411802</v>
      </c>
      <c r="C2335" s="50" t="s">
        <v>1164</v>
      </c>
      <c r="D2335" s="5"/>
      <c r="E2335" s="5">
        <v>1</v>
      </c>
      <c r="F2335" s="5" t="s">
        <v>0</v>
      </c>
      <c r="G2335" s="29" t="str">
        <f>IFERROR(HYPERLINK("#"&amp;ADDRESS(MATCH(B2335&amp;"ES",'LM7 Non-ENG'!$A$1:$A$5000,0),1,,,"LM7 Non-ENG"),IF(IFERROR(VLOOKUP(B2335&amp;"ES",'LM7 Non-ENG'!$A$1:$A$4999,1,FALSE),"ERROR")=B2335&amp;"ES","Y","")),"")</f>
        <v/>
      </c>
      <c r="H2335" s="29" t="str">
        <f>IFERROR(HYPERLINK("#"&amp;ADDRESS(MATCH(B2335&amp;"PT",'LM7 Non-ENG'!$A$1:$A$5000,0),1,,,"LM7 Non-ENG"),IF(IFERROR(VLOOKUP(B2335&amp;"PT",'LM7 Non-ENG'!$A$1:$A$5000,1,FALSE),"ERROR")=B2335&amp;"PT","Y","")),"")</f>
        <v/>
      </c>
      <c r="I2335" t="str">
        <f>IFERROR(VLOOKUP(B2335,PN!$A:$C,3,FALSE),"")</f>
        <v>Active</v>
      </c>
      <c r="J2335" s="3">
        <f>IFERROR(E2335*VLOOKUP(B2335,PLInter!$A:$D,3,FALSE),"")</f>
        <v>8</v>
      </c>
      <c r="K2335" s="66"/>
      <c r="L2335" s="66"/>
      <c r="M2335" s="66"/>
      <c r="N2335" s="66"/>
      <c r="O2335" s="66"/>
      <c r="P2335" s="66"/>
      <c r="Q2335" s="66"/>
      <c r="R2335" s="66"/>
      <c r="S2335" s="66"/>
    </row>
    <row r="2337" spans="1:19" s="7" customFormat="1" ht="18" customHeight="1">
      <c r="A2337" s="13" t="s">
        <v>1196</v>
      </c>
      <c r="B2337" s="13"/>
      <c r="C2337" s="13" t="s">
        <v>1197</v>
      </c>
      <c r="D2337" s="14"/>
      <c r="E2337" s="14"/>
      <c r="F2337" s="14"/>
      <c r="G2337" s="14"/>
      <c r="H2337" s="14"/>
      <c r="I2337" s="14"/>
      <c r="J2337" s="14">
        <f>SUMIFS(J2338:J2342,D2338:D2342,"&lt;&gt;Y",F2338:F2342,"&lt;&gt;Y",I2338:I2342,"&lt;&gt;Inactive",I2338:I2342,"&lt;&gt;ECO+NFS")</f>
        <v>2928</v>
      </c>
      <c r="K2337" s="14"/>
      <c r="L2337" s="14"/>
      <c r="M2337" s="14"/>
      <c r="N2337" s="14"/>
      <c r="O2337" s="14"/>
      <c r="P2337" s="14"/>
      <c r="Q2337" s="14"/>
      <c r="R2337" s="14"/>
      <c r="S2337" s="14"/>
    </row>
    <row r="2338" spans="1:19" ht="18" customHeight="1">
      <c r="A2338" s="17" t="str">
        <f>HYPERLINK("#"&amp;ADDRESS(MATCH(A2337,'CIM&amp;FMS'!$A$1:$A$4997,0),1,,,"CIM&amp;FMS"),"Back to Price List")</f>
        <v>Back to Price List</v>
      </c>
      <c r="B2338" t="s">
        <v>1198</v>
      </c>
      <c r="C2338" t="s">
        <v>1199</v>
      </c>
      <c r="D2338" s="4"/>
      <c r="E2338" s="4">
        <v>1</v>
      </c>
      <c r="F2338" s="4"/>
      <c r="G2338" s="29" t="str">
        <f>IFERROR(HYPERLINK("#"&amp;ADDRESS(MATCH(B2338&amp;"ES",'LM7 Non-ENG'!$A$1:$A$5000,0),1,,,"LM7 Non-ENG"),IF(IFERROR(VLOOKUP(B2338&amp;"ES",'LM7 Non-ENG'!$A$1:$A$4999,1,FALSE),"ERROR")=B2338&amp;"ES","Y","")),"")</f>
        <v/>
      </c>
      <c r="H2338" s="29" t="str">
        <f>IFERROR(HYPERLINK("#"&amp;ADDRESS(MATCH(B2338&amp;"PT",'LM7 Non-ENG'!$A$1:$A$5000,0),1,,,"LM7 Non-ENG"),IF(IFERROR(VLOOKUP(B2338&amp;"PT",'LM7 Non-ENG'!$A$1:$A$5000,1,FALSE),"ERROR")=B2338&amp;"PT","Y","")),"")</f>
        <v/>
      </c>
      <c r="I2338" t="str">
        <f>IFERROR(VLOOKUP(B2338,PN!$A:$C,3,FALSE),"")</f>
        <v>Active</v>
      </c>
      <c r="J2338" s="3">
        <f>IFERROR(E2338*VLOOKUP(B2338,PLInter!$A:$D,3,FALSE),"")</f>
        <v>1920</v>
      </c>
      <c r="K2338" s="66"/>
      <c r="L2338" s="66"/>
      <c r="M2338" s="66"/>
      <c r="N2338" s="66"/>
      <c r="O2338" s="66"/>
      <c r="P2338" s="66"/>
      <c r="Q2338" s="66"/>
      <c r="R2338" s="66"/>
      <c r="S2338" s="66"/>
    </row>
    <row r="2339" spans="1:19" ht="18" customHeight="1">
      <c r="B2339" t="s">
        <v>1200</v>
      </c>
      <c r="C2339" t="s">
        <v>1201</v>
      </c>
      <c r="D2339" s="4"/>
      <c r="E2339" s="4">
        <v>1</v>
      </c>
      <c r="F2339" s="4"/>
      <c r="G2339" s="29" t="str">
        <f>IFERROR(HYPERLINK("#"&amp;ADDRESS(MATCH(B2339&amp;"ES",'LM7 Non-ENG'!$A$1:$A$5000,0),1,,,"LM7 Non-ENG"),IF(IFERROR(VLOOKUP(B2339&amp;"ES",'LM7 Non-ENG'!$A$1:$A$4999,1,FALSE),"ERROR")=B2339&amp;"ES","Y","")),"")</f>
        <v/>
      </c>
      <c r="H2339" s="29" t="str">
        <f>IFERROR(HYPERLINK("#"&amp;ADDRESS(MATCH(B2339&amp;"PT",'LM7 Non-ENG'!$A$1:$A$5000,0),1,,,"LM7 Non-ENG"),IF(IFERROR(VLOOKUP(B2339&amp;"PT",'LM7 Non-ENG'!$A$1:$A$5000,1,FALSE),"ERROR")=B2339&amp;"PT","Y","")),"")</f>
        <v/>
      </c>
      <c r="I2339" t="str">
        <f>IFERROR(VLOOKUP(B2339,PN!$A:$C,3,FALSE),"")</f>
        <v>Active</v>
      </c>
      <c r="J2339" s="3">
        <f>IFERROR(E2339*VLOOKUP(B2339,PLInter!$A:$D,3,FALSE),"")</f>
        <v>480</v>
      </c>
      <c r="K2339" s="66"/>
      <c r="L2339" s="66"/>
      <c r="M2339" s="66"/>
      <c r="N2339" s="66"/>
      <c r="O2339" s="66"/>
      <c r="P2339" s="66"/>
      <c r="Q2339" s="66"/>
      <c r="R2339" s="66"/>
      <c r="S2339" s="66"/>
    </row>
    <row r="2340" spans="1:19" ht="18" customHeight="1">
      <c r="B2340" t="s">
        <v>1202</v>
      </c>
      <c r="C2340" t="s">
        <v>1203</v>
      </c>
      <c r="D2340" s="4"/>
      <c r="E2340" s="4">
        <v>2</v>
      </c>
      <c r="F2340" s="4"/>
      <c r="G2340" s="29" t="str">
        <f>IFERROR(HYPERLINK("#"&amp;ADDRESS(MATCH(B2340&amp;"ES",'LM7 Non-ENG'!$A$1:$A$5000,0),1,,,"LM7 Non-ENG"),IF(IFERROR(VLOOKUP(B2340&amp;"ES",'LM7 Non-ENG'!$A$1:$A$4999,1,FALSE),"ERROR")=B2340&amp;"ES","Y","")),"")</f>
        <v/>
      </c>
      <c r="H2340" s="29" t="str">
        <f>IFERROR(HYPERLINK("#"&amp;ADDRESS(MATCH(B2340&amp;"PT",'LM7 Non-ENG'!$A$1:$A$5000,0),1,,,"LM7 Non-ENG"),IF(IFERROR(VLOOKUP(B2340&amp;"PT",'LM7 Non-ENG'!$A$1:$A$5000,1,FALSE),"ERROR")=B2340&amp;"PT","Y","")),"")</f>
        <v/>
      </c>
      <c r="I2340" t="str">
        <f>IFERROR(VLOOKUP(B2340,PN!$A:$C,3,FALSE),"")</f>
        <v>Active</v>
      </c>
      <c r="J2340" s="3">
        <f>IFERROR(E2340*VLOOKUP(B2340,PLInter!$A:$D,3,FALSE),"")</f>
        <v>432</v>
      </c>
      <c r="K2340" s="66"/>
      <c r="L2340" s="66"/>
      <c r="M2340" s="66"/>
      <c r="N2340" s="66"/>
      <c r="O2340" s="66"/>
      <c r="P2340" s="66"/>
      <c r="Q2340" s="66"/>
      <c r="R2340" s="66"/>
      <c r="S2340" s="66"/>
    </row>
    <row r="2341" spans="1:19" ht="18" customHeight="1">
      <c r="B2341" t="s">
        <v>1204</v>
      </c>
      <c r="C2341" t="s">
        <v>1205</v>
      </c>
      <c r="D2341" s="4"/>
      <c r="E2341" s="4">
        <v>1</v>
      </c>
      <c r="F2341" s="4"/>
      <c r="G2341" s="29" t="str">
        <f>IFERROR(HYPERLINK("#"&amp;ADDRESS(MATCH(B2341&amp;"ES",'LM7 Non-ENG'!$A$1:$A$5000,0),1,,,"LM7 Non-ENG"),IF(IFERROR(VLOOKUP(B2341&amp;"ES",'LM7 Non-ENG'!$A$1:$A$4999,1,FALSE),"ERROR")=B2341&amp;"ES","Y","")),"")</f>
        <v/>
      </c>
      <c r="H2341" s="29" t="str">
        <f>IFERROR(HYPERLINK("#"&amp;ADDRESS(MATCH(B2341&amp;"PT",'LM7 Non-ENG'!$A$1:$A$5000,0),1,,,"LM7 Non-ENG"),IF(IFERROR(VLOOKUP(B2341&amp;"PT",'LM7 Non-ENG'!$A$1:$A$5000,1,FALSE),"ERROR")=B2341&amp;"PT","Y","")),"")</f>
        <v/>
      </c>
      <c r="I2341" t="str">
        <f>IFERROR(VLOOKUP(B2341,PN!$A:$C,3,FALSE),"")</f>
        <v>Active</v>
      </c>
      <c r="J2341" s="3">
        <f>IFERROR(E2341*VLOOKUP(B2341,PLInter!$A:$D,3,FALSE),"")</f>
        <v>96</v>
      </c>
      <c r="K2341" s="66"/>
      <c r="L2341" s="66"/>
      <c r="M2341" s="66"/>
      <c r="N2341" s="66"/>
      <c r="O2341" s="66"/>
      <c r="P2341" s="66"/>
      <c r="Q2341" s="66"/>
      <c r="R2341" s="66"/>
      <c r="S2341" s="66"/>
    </row>
    <row r="2342" spans="1:19" ht="18" customHeight="1">
      <c r="B2342" s="1" t="s">
        <v>1206</v>
      </c>
      <c r="C2342" s="1" t="s">
        <v>1207</v>
      </c>
      <c r="D2342" s="6" t="s">
        <v>0</v>
      </c>
      <c r="E2342" s="6">
        <v>1</v>
      </c>
      <c r="F2342" s="6"/>
      <c r="G2342" s="29" t="str">
        <f>IFERROR(HYPERLINK("#"&amp;ADDRESS(MATCH(B2342&amp;"ES",'LM7 Non-ENG'!$A$1:$A$5000,0),1,,,"LM7 Non-ENG"),IF(IFERROR(VLOOKUP(B2342&amp;"ES",'LM7 Non-ENG'!$A$1:$A$4999,1,FALSE),"ERROR")=B2342&amp;"ES","Y","")),"")</f>
        <v/>
      </c>
      <c r="H2342" s="29" t="str">
        <f>IFERROR(HYPERLINK("#"&amp;ADDRESS(MATCH(B2342&amp;"PT",'LM7 Non-ENG'!$A$1:$A$5000,0),1,,,"LM7 Non-ENG"),IF(IFERROR(VLOOKUP(B2342&amp;"PT",'LM7 Non-ENG'!$A$1:$A$5000,1,FALSE),"ERROR")=B2342&amp;"PT","Y","")),"")</f>
        <v/>
      </c>
      <c r="I2342" t="str">
        <f>IFERROR(VLOOKUP(B2342,PN!$A:$C,3,FALSE),"")</f>
        <v>Active</v>
      </c>
      <c r="J2342" s="3" t="str">
        <f>IFERROR(E2342*VLOOKUP(B2342,PLInter!$A:$D,3,FALSE),"")</f>
        <v/>
      </c>
      <c r="K2342" s="66"/>
      <c r="L2342" s="66"/>
      <c r="M2342" s="66"/>
      <c r="N2342" s="66"/>
      <c r="O2342" s="66"/>
      <c r="P2342" s="66"/>
      <c r="Q2342" s="66"/>
      <c r="R2342" s="66"/>
      <c r="S2342" s="66"/>
    </row>
    <row r="2344" spans="1:19" s="7" customFormat="1" ht="18" customHeight="1">
      <c r="A2344" s="13" t="s">
        <v>1208</v>
      </c>
      <c r="B2344" s="13"/>
      <c r="C2344" s="13" t="s">
        <v>1209</v>
      </c>
      <c r="D2344" s="14"/>
      <c r="E2344" s="14"/>
      <c r="F2344" s="14"/>
      <c r="G2344" s="14"/>
      <c r="H2344" s="14"/>
      <c r="I2344" s="14"/>
      <c r="J2344" s="14">
        <f>SUMIFS(J2345:J2349,D2345:D2349,"&lt;&gt;Y",F2345:F2349,"&lt;&gt;Y",I2345:I2349,"&lt;&gt;Inactive",I2345:I2349,"&lt;&gt;ECO+NFS")</f>
        <v>2964</v>
      </c>
      <c r="K2344" s="14"/>
      <c r="L2344" s="14"/>
      <c r="M2344" s="14"/>
      <c r="N2344" s="14"/>
      <c r="O2344" s="14"/>
      <c r="P2344" s="14"/>
      <c r="Q2344" s="14"/>
      <c r="R2344" s="14"/>
      <c r="S2344" s="14"/>
    </row>
    <row r="2345" spans="1:19" ht="18" customHeight="1">
      <c r="A2345" s="17" t="str">
        <f>HYPERLINK("#"&amp;ADDRESS(MATCH(A2344,'CIM&amp;FMS'!$A$1:$A$4997,0),1,,,"CIM&amp;FMS"),"Back to Price List")</f>
        <v>Back to Price List</v>
      </c>
      <c r="B2345" t="s">
        <v>1198</v>
      </c>
      <c r="C2345" t="s">
        <v>1199</v>
      </c>
      <c r="D2345" s="4"/>
      <c r="E2345" s="4">
        <v>1</v>
      </c>
      <c r="F2345" s="4"/>
      <c r="G2345" s="29" t="str">
        <f>IFERROR(HYPERLINK("#"&amp;ADDRESS(MATCH(B2345&amp;"ES",'LM7 Non-ENG'!$A$1:$A$5000,0),1,,,"LM7 Non-ENG"),IF(IFERROR(VLOOKUP(B2345&amp;"ES",'LM7 Non-ENG'!$A$1:$A$4999,1,FALSE),"ERROR")=B2345&amp;"ES","Y","")),"")</f>
        <v/>
      </c>
      <c r="H2345" s="29" t="str">
        <f>IFERROR(HYPERLINK("#"&amp;ADDRESS(MATCH(B2345&amp;"PT",'LM7 Non-ENG'!$A$1:$A$5000,0),1,,,"LM7 Non-ENG"),IF(IFERROR(VLOOKUP(B2345&amp;"PT",'LM7 Non-ENG'!$A$1:$A$5000,1,FALSE),"ERROR")=B2345&amp;"PT","Y","")),"")</f>
        <v/>
      </c>
      <c r="I2345" t="str">
        <f>IFERROR(VLOOKUP(B2345,PN!$A:$C,3,FALSE),"")</f>
        <v>Active</v>
      </c>
      <c r="J2345" s="3">
        <f>IFERROR(E2345*VLOOKUP(B2345,PLInter!$A:$D,3,FALSE),"")</f>
        <v>1920</v>
      </c>
      <c r="K2345" s="66"/>
      <c r="L2345" s="66"/>
      <c r="M2345" s="66"/>
      <c r="N2345" s="66"/>
      <c r="O2345" s="66"/>
      <c r="P2345" s="66"/>
      <c r="Q2345" s="66"/>
      <c r="R2345" s="66"/>
      <c r="S2345" s="66"/>
    </row>
    <row r="2346" spans="1:19" ht="18" customHeight="1">
      <c r="B2346" t="s">
        <v>1200</v>
      </c>
      <c r="C2346" t="s">
        <v>1201</v>
      </c>
      <c r="D2346" s="4"/>
      <c r="E2346" s="4">
        <v>1</v>
      </c>
      <c r="F2346" s="4"/>
      <c r="G2346" s="29" t="str">
        <f>IFERROR(HYPERLINK("#"&amp;ADDRESS(MATCH(B2346&amp;"ES",'LM7 Non-ENG'!$A$1:$A$5000,0),1,,,"LM7 Non-ENG"),IF(IFERROR(VLOOKUP(B2346&amp;"ES",'LM7 Non-ENG'!$A$1:$A$4999,1,FALSE),"ERROR")=B2346&amp;"ES","Y","")),"")</f>
        <v/>
      </c>
      <c r="H2346" s="29" t="str">
        <f>IFERROR(HYPERLINK("#"&amp;ADDRESS(MATCH(B2346&amp;"PT",'LM7 Non-ENG'!$A$1:$A$5000,0),1,,,"LM7 Non-ENG"),IF(IFERROR(VLOOKUP(B2346&amp;"PT",'LM7 Non-ENG'!$A$1:$A$5000,1,FALSE),"ERROR")=B2346&amp;"PT","Y","")),"")</f>
        <v/>
      </c>
      <c r="I2346" t="str">
        <f>IFERROR(VLOOKUP(B2346,PN!$A:$C,3,FALSE),"")</f>
        <v>Active</v>
      </c>
      <c r="J2346" s="3">
        <f>IFERROR(E2346*VLOOKUP(B2346,PLInter!$A:$D,3,FALSE),"")</f>
        <v>480</v>
      </c>
      <c r="K2346" s="66"/>
      <c r="L2346" s="66"/>
      <c r="M2346" s="66"/>
      <c r="N2346" s="66"/>
      <c r="O2346" s="66"/>
      <c r="P2346" s="66"/>
      <c r="Q2346" s="66"/>
      <c r="R2346" s="66"/>
      <c r="S2346" s="66"/>
    </row>
    <row r="2347" spans="1:19" ht="18" customHeight="1">
      <c r="B2347" t="s">
        <v>1202</v>
      </c>
      <c r="C2347" t="s">
        <v>1203</v>
      </c>
      <c r="D2347" s="4"/>
      <c r="E2347" s="4">
        <v>2</v>
      </c>
      <c r="F2347" s="4"/>
      <c r="G2347" s="29" t="str">
        <f>IFERROR(HYPERLINK("#"&amp;ADDRESS(MATCH(B2347&amp;"ES",'LM7 Non-ENG'!$A$1:$A$5000,0),1,,,"LM7 Non-ENG"),IF(IFERROR(VLOOKUP(B2347&amp;"ES",'LM7 Non-ENG'!$A$1:$A$4999,1,FALSE),"ERROR")=B2347&amp;"ES","Y","")),"")</f>
        <v/>
      </c>
      <c r="H2347" s="29" t="str">
        <f>IFERROR(HYPERLINK("#"&amp;ADDRESS(MATCH(B2347&amp;"PT",'LM7 Non-ENG'!$A$1:$A$5000,0),1,,,"LM7 Non-ENG"),IF(IFERROR(VLOOKUP(B2347&amp;"PT",'LM7 Non-ENG'!$A$1:$A$5000,1,FALSE),"ERROR")=B2347&amp;"PT","Y","")),"")</f>
        <v/>
      </c>
      <c r="I2347" t="str">
        <f>IFERROR(VLOOKUP(B2347,PN!$A:$C,3,FALSE),"")</f>
        <v>Active</v>
      </c>
      <c r="J2347" s="3">
        <f>IFERROR(E2347*VLOOKUP(B2347,PLInter!$A:$D,3,FALSE),"")</f>
        <v>432</v>
      </c>
      <c r="K2347" s="66"/>
      <c r="L2347" s="66"/>
      <c r="M2347" s="66"/>
      <c r="N2347" s="66"/>
      <c r="O2347" s="66"/>
      <c r="P2347" s="66"/>
      <c r="Q2347" s="66"/>
      <c r="R2347" s="66"/>
      <c r="S2347" s="66"/>
    </row>
    <row r="2348" spans="1:19" ht="18" customHeight="1">
      <c r="B2348" t="s">
        <v>1210</v>
      </c>
      <c r="C2348" t="s">
        <v>1211</v>
      </c>
      <c r="D2348" s="4"/>
      <c r="E2348" s="4">
        <v>1</v>
      </c>
      <c r="F2348" s="4"/>
      <c r="G2348" s="29" t="str">
        <f>IFERROR(HYPERLINK("#"&amp;ADDRESS(MATCH(B2348&amp;"ES",'LM7 Non-ENG'!$A$1:$A$5000,0),1,,,"LM7 Non-ENG"),IF(IFERROR(VLOOKUP(B2348&amp;"ES",'LM7 Non-ENG'!$A$1:$A$4999,1,FALSE),"ERROR")=B2348&amp;"ES","Y","")),"")</f>
        <v/>
      </c>
      <c r="H2348" s="29" t="str">
        <f>IFERROR(HYPERLINK("#"&amp;ADDRESS(MATCH(B2348&amp;"PT",'LM7 Non-ENG'!$A$1:$A$5000,0),1,,,"LM7 Non-ENG"),IF(IFERROR(VLOOKUP(B2348&amp;"PT",'LM7 Non-ENG'!$A$1:$A$5000,1,FALSE),"ERROR")=B2348&amp;"PT","Y","")),"")</f>
        <v/>
      </c>
      <c r="I2348" t="str">
        <f>IFERROR(VLOOKUP(B2348,PN!$A:$C,3,FALSE),"")</f>
        <v>Active</v>
      </c>
      <c r="J2348" s="3">
        <f>IFERROR(E2348*VLOOKUP(B2348,PLInter!$A:$D,3,FALSE),"")</f>
        <v>132</v>
      </c>
      <c r="K2348" s="66"/>
      <c r="L2348" s="66"/>
      <c r="M2348" s="66"/>
      <c r="N2348" s="66"/>
      <c r="O2348" s="66"/>
      <c r="P2348" s="66"/>
      <c r="Q2348" s="66"/>
      <c r="R2348" s="66"/>
      <c r="S2348" s="66"/>
    </row>
    <row r="2349" spans="1:19" ht="18" customHeight="1">
      <c r="B2349" s="1" t="s">
        <v>1206</v>
      </c>
      <c r="C2349" s="1" t="s">
        <v>1207</v>
      </c>
      <c r="D2349" s="6" t="s">
        <v>0</v>
      </c>
      <c r="E2349" s="6">
        <v>1</v>
      </c>
      <c r="F2349" s="6"/>
      <c r="G2349" s="29" t="str">
        <f>IFERROR(HYPERLINK("#"&amp;ADDRESS(MATCH(B2349&amp;"ES",'LM7 Non-ENG'!$A$1:$A$5000,0),1,,,"LM7 Non-ENG"),IF(IFERROR(VLOOKUP(B2349&amp;"ES",'LM7 Non-ENG'!$A$1:$A$4999,1,FALSE),"ERROR")=B2349&amp;"ES","Y","")),"")</f>
        <v/>
      </c>
      <c r="H2349" s="29" t="str">
        <f>IFERROR(HYPERLINK("#"&amp;ADDRESS(MATCH(B2349&amp;"PT",'LM7 Non-ENG'!$A$1:$A$5000,0),1,,,"LM7 Non-ENG"),IF(IFERROR(VLOOKUP(B2349&amp;"PT",'LM7 Non-ENG'!$A$1:$A$5000,1,FALSE),"ERROR")=B2349&amp;"PT","Y","")),"")</f>
        <v/>
      </c>
      <c r="I2349" t="str">
        <f>IFERROR(VLOOKUP(B2349,PN!$A:$C,3,FALSE),"")</f>
        <v>Active</v>
      </c>
      <c r="J2349" s="3" t="str">
        <f>IFERROR(E2349*VLOOKUP(B2349,PLInter!$A:$D,3,FALSE),"")</f>
        <v/>
      </c>
      <c r="K2349" s="66"/>
      <c r="L2349" s="66"/>
      <c r="M2349" s="66"/>
      <c r="N2349" s="66"/>
      <c r="O2349" s="66"/>
      <c r="P2349" s="66"/>
      <c r="Q2349" s="66"/>
      <c r="R2349" s="66"/>
      <c r="S2349" s="66"/>
    </row>
    <row r="2351" spans="1:19" s="7" customFormat="1" ht="18" customHeight="1">
      <c r="A2351" s="13" t="s">
        <v>1212</v>
      </c>
      <c r="B2351" s="13"/>
      <c r="C2351" s="13" t="s">
        <v>1213</v>
      </c>
      <c r="D2351" s="14"/>
      <c r="E2351" s="14"/>
      <c r="F2351" s="14"/>
      <c r="G2351" s="14"/>
      <c r="H2351" s="14"/>
      <c r="I2351" s="14"/>
      <c r="J2351" s="14">
        <f>SUMIFS(J2352:J2356,D2352:D2356,"&lt;&gt;Y",F2352:F2356,"&lt;&gt;Y",I2352:I2356,"&lt;&gt;Inactive",I2352:I2356,"&lt;&gt;ECO+NFS")</f>
        <v>3048</v>
      </c>
      <c r="K2351" s="14"/>
      <c r="L2351" s="14"/>
      <c r="M2351" s="14"/>
      <c r="N2351" s="14"/>
      <c r="O2351" s="14"/>
      <c r="P2351" s="14"/>
      <c r="Q2351" s="14"/>
      <c r="R2351" s="14"/>
      <c r="S2351" s="14"/>
    </row>
    <row r="2352" spans="1:19" ht="18" customHeight="1">
      <c r="A2352" s="17" t="str">
        <f>HYPERLINK("#"&amp;ADDRESS(MATCH(A2351,'CIM&amp;FMS'!$A$1:$A$4997,0),1,,,"CIM&amp;FMS"),"Back to Price List")</f>
        <v>Back to Price List</v>
      </c>
      <c r="B2352" t="s">
        <v>1198</v>
      </c>
      <c r="C2352" t="s">
        <v>1199</v>
      </c>
      <c r="D2352" s="4"/>
      <c r="E2352" s="4">
        <v>1</v>
      </c>
      <c r="F2352" s="4"/>
      <c r="G2352" s="29" t="str">
        <f>IFERROR(HYPERLINK("#"&amp;ADDRESS(MATCH(B2352&amp;"ES",'LM7 Non-ENG'!$A$1:$A$5000,0),1,,,"LM7 Non-ENG"),IF(IFERROR(VLOOKUP(B2352&amp;"ES",'LM7 Non-ENG'!$A$1:$A$4999,1,FALSE),"ERROR")=B2352&amp;"ES","Y","")),"")</f>
        <v/>
      </c>
      <c r="H2352" s="29" t="str">
        <f>IFERROR(HYPERLINK("#"&amp;ADDRESS(MATCH(B2352&amp;"PT",'LM7 Non-ENG'!$A$1:$A$5000,0),1,,,"LM7 Non-ENG"),IF(IFERROR(VLOOKUP(B2352&amp;"PT",'LM7 Non-ENG'!$A$1:$A$5000,1,FALSE),"ERROR")=B2352&amp;"PT","Y","")),"")</f>
        <v/>
      </c>
      <c r="I2352" t="str">
        <f>IFERROR(VLOOKUP(B2352,PN!$A:$C,3,FALSE),"")</f>
        <v>Active</v>
      </c>
      <c r="J2352" s="3">
        <f>IFERROR(E2352*VLOOKUP(B2352,PLInter!$A:$D,3,FALSE),"")</f>
        <v>1920</v>
      </c>
      <c r="K2352" s="66"/>
      <c r="L2352" s="66"/>
      <c r="M2352" s="66"/>
      <c r="N2352" s="66"/>
      <c r="O2352" s="66"/>
      <c r="P2352" s="66"/>
      <c r="Q2352" s="66"/>
      <c r="R2352" s="66"/>
      <c r="S2352" s="66"/>
    </row>
    <row r="2353" spans="1:19" ht="18" customHeight="1">
      <c r="B2353" t="s">
        <v>1200</v>
      </c>
      <c r="C2353" t="s">
        <v>1201</v>
      </c>
      <c r="D2353" s="4"/>
      <c r="E2353" s="4">
        <v>1</v>
      </c>
      <c r="F2353" s="4"/>
      <c r="G2353" s="29" t="str">
        <f>IFERROR(HYPERLINK("#"&amp;ADDRESS(MATCH(B2353&amp;"ES",'LM7 Non-ENG'!$A$1:$A$5000,0),1,,,"LM7 Non-ENG"),IF(IFERROR(VLOOKUP(B2353&amp;"ES",'LM7 Non-ENG'!$A$1:$A$4999,1,FALSE),"ERROR")=B2353&amp;"ES","Y","")),"")</f>
        <v/>
      </c>
      <c r="H2353" s="29" t="str">
        <f>IFERROR(HYPERLINK("#"&amp;ADDRESS(MATCH(B2353&amp;"PT",'LM7 Non-ENG'!$A$1:$A$5000,0),1,,,"LM7 Non-ENG"),IF(IFERROR(VLOOKUP(B2353&amp;"PT",'LM7 Non-ENG'!$A$1:$A$5000,1,FALSE),"ERROR")=B2353&amp;"PT","Y","")),"")</f>
        <v/>
      </c>
      <c r="I2353" t="str">
        <f>IFERROR(VLOOKUP(B2353,PN!$A:$C,3,FALSE),"")</f>
        <v>Active</v>
      </c>
      <c r="J2353" s="3">
        <f>IFERROR(E2353*VLOOKUP(B2353,PLInter!$A:$D,3,FALSE),"")</f>
        <v>480</v>
      </c>
      <c r="K2353" s="66"/>
      <c r="L2353" s="66"/>
      <c r="M2353" s="66"/>
      <c r="N2353" s="66"/>
      <c r="O2353" s="66"/>
      <c r="P2353" s="66"/>
      <c r="Q2353" s="66"/>
      <c r="R2353" s="66"/>
      <c r="S2353" s="66"/>
    </row>
    <row r="2354" spans="1:19" ht="18" customHeight="1">
      <c r="B2354" t="s">
        <v>1202</v>
      </c>
      <c r="C2354" t="s">
        <v>1203</v>
      </c>
      <c r="D2354" s="4"/>
      <c r="E2354" s="4">
        <v>2</v>
      </c>
      <c r="F2354" s="4"/>
      <c r="G2354" s="29" t="str">
        <f>IFERROR(HYPERLINK("#"&amp;ADDRESS(MATCH(B2354&amp;"ES",'LM7 Non-ENG'!$A$1:$A$5000,0),1,,,"LM7 Non-ENG"),IF(IFERROR(VLOOKUP(B2354&amp;"ES",'LM7 Non-ENG'!$A$1:$A$4999,1,FALSE),"ERROR")=B2354&amp;"ES","Y","")),"")</f>
        <v/>
      </c>
      <c r="H2354" s="29" t="str">
        <f>IFERROR(HYPERLINK("#"&amp;ADDRESS(MATCH(B2354&amp;"PT",'LM7 Non-ENG'!$A$1:$A$5000,0),1,,,"LM7 Non-ENG"),IF(IFERROR(VLOOKUP(B2354&amp;"PT",'LM7 Non-ENG'!$A$1:$A$5000,1,FALSE),"ERROR")=B2354&amp;"PT","Y","")),"")</f>
        <v/>
      </c>
      <c r="I2354" t="str">
        <f>IFERROR(VLOOKUP(B2354,PN!$A:$C,3,FALSE),"")</f>
        <v>Active</v>
      </c>
      <c r="J2354" s="3">
        <f>IFERROR(E2354*VLOOKUP(B2354,PLInter!$A:$D,3,FALSE),"")</f>
        <v>432</v>
      </c>
      <c r="K2354" s="66"/>
      <c r="L2354" s="66"/>
      <c r="M2354" s="66"/>
      <c r="N2354" s="66"/>
      <c r="O2354" s="66"/>
      <c r="P2354" s="66"/>
      <c r="Q2354" s="66"/>
      <c r="R2354" s="66"/>
      <c r="S2354" s="66"/>
    </row>
    <row r="2355" spans="1:19" ht="18" customHeight="1">
      <c r="B2355" t="s">
        <v>1214</v>
      </c>
      <c r="C2355" t="s">
        <v>1215</v>
      </c>
      <c r="D2355" s="4"/>
      <c r="E2355" s="4">
        <v>1</v>
      </c>
      <c r="F2355" s="4"/>
      <c r="G2355" s="29" t="str">
        <f>IFERROR(HYPERLINK("#"&amp;ADDRESS(MATCH(B2355&amp;"ES",'LM7 Non-ENG'!$A$1:$A$5000,0),1,,,"LM7 Non-ENG"),IF(IFERROR(VLOOKUP(B2355&amp;"ES",'LM7 Non-ENG'!$A$1:$A$4999,1,FALSE),"ERROR")=B2355&amp;"ES","Y","")),"")</f>
        <v/>
      </c>
      <c r="H2355" s="29" t="str">
        <f>IFERROR(HYPERLINK("#"&amp;ADDRESS(MATCH(B2355&amp;"PT",'LM7 Non-ENG'!$A$1:$A$5000,0),1,,,"LM7 Non-ENG"),IF(IFERROR(VLOOKUP(B2355&amp;"PT",'LM7 Non-ENG'!$A$1:$A$5000,1,FALSE),"ERROR")=B2355&amp;"PT","Y","")),"")</f>
        <v/>
      </c>
      <c r="I2355" t="str">
        <f>IFERROR(VLOOKUP(B2355,PN!$A:$C,3,FALSE),"")</f>
        <v>Active</v>
      </c>
      <c r="J2355" s="3">
        <f>IFERROR(E2355*VLOOKUP(B2355,PLInter!$A:$D,3,FALSE),"")</f>
        <v>216</v>
      </c>
      <c r="K2355" s="66"/>
      <c r="L2355" s="66"/>
      <c r="M2355" s="66"/>
      <c r="N2355" s="66"/>
      <c r="O2355" s="66"/>
      <c r="P2355" s="66"/>
      <c r="Q2355" s="66"/>
      <c r="R2355" s="66"/>
      <c r="S2355" s="66"/>
    </row>
    <row r="2356" spans="1:19" ht="18" customHeight="1">
      <c r="B2356" s="1" t="s">
        <v>1206</v>
      </c>
      <c r="C2356" s="1" t="s">
        <v>1207</v>
      </c>
      <c r="D2356" s="6" t="s">
        <v>0</v>
      </c>
      <c r="E2356" s="6">
        <v>1</v>
      </c>
      <c r="F2356" s="6"/>
      <c r="G2356" s="29" t="str">
        <f>IFERROR(HYPERLINK("#"&amp;ADDRESS(MATCH(B2356&amp;"ES",'LM7 Non-ENG'!$A$1:$A$5000,0),1,,,"LM7 Non-ENG"),IF(IFERROR(VLOOKUP(B2356&amp;"ES",'LM7 Non-ENG'!$A$1:$A$4999,1,FALSE),"ERROR")=B2356&amp;"ES","Y","")),"")</f>
        <v/>
      </c>
      <c r="H2356" s="29" t="str">
        <f>IFERROR(HYPERLINK("#"&amp;ADDRESS(MATCH(B2356&amp;"PT",'LM7 Non-ENG'!$A$1:$A$5000,0),1,,,"LM7 Non-ENG"),IF(IFERROR(VLOOKUP(B2356&amp;"PT",'LM7 Non-ENG'!$A$1:$A$5000,1,FALSE),"ERROR")=B2356&amp;"PT","Y","")),"")</f>
        <v/>
      </c>
      <c r="I2356" t="str">
        <f>IFERROR(VLOOKUP(B2356,PN!$A:$C,3,FALSE),"")</f>
        <v>Active</v>
      </c>
      <c r="J2356" s="3" t="str">
        <f>IFERROR(E2356*VLOOKUP(B2356,PLInter!$A:$D,3,FALSE),"")</f>
        <v/>
      </c>
      <c r="K2356" s="66"/>
      <c r="L2356" s="66"/>
      <c r="M2356" s="66"/>
      <c r="N2356" s="66"/>
      <c r="O2356" s="66"/>
      <c r="P2356" s="66"/>
      <c r="Q2356" s="66"/>
      <c r="R2356" s="66"/>
      <c r="S2356" s="66"/>
    </row>
    <row r="2358" spans="1:19" s="7" customFormat="1" ht="18" customHeight="1">
      <c r="A2358" s="13" t="s">
        <v>1216</v>
      </c>
      <c r="B2358" s="13"/>
      <c r="C2358" s="13" t="s">
        <v>1217</v>
      </c>
      <c r="D2358" s="14"/>
      <c r="E2358" s="14"/>
      <c r="F2358" s="14"/>
      <c r="G2358" s="14"/>
      <c r="H2358" s="14"/>
      <c r="I2358" s="14"/>
      <c r="J2358" s="14">
        <f>SUMIFS(J2359:J2363,D2359:D2363,"&lt;&gt;Y",F2359:F2363,"&lt;&gt;Y",I2359:I2363,"&lt;&gt;Inactive",I2359:I2363,"&lt;&gt;ECO+NFS")</f>
        <v>3072</v>
      </c>
      <c r="K2358" s="14"/>
      <c r="L2358" s="14"/>
      <c r="M2358" s="14"/>
      <c r="N2358" s="14"/>
      <c r="O2358" s="14"/>
      <c r="P2358" s="14"/>
      <c r="Q2358" s="14"/>
      <c r="R2358" s="14"/>
      <c r="S2358" s="14"/>
    </row>
    <row r="2359" spans="1:19" ht="18" customHeight="1">
      <c r="A2359" s="17" t="str">
        <f>HYPERLINK("#"&amp;ADDRESS(MATCH(A2358,'CIM&amp;FMS'!$A$1:$A$4997,0),1,,,"CIM&amp;FMS"),"Back to Price List")</f>
        <v>Back to Price List</v>
      </c>
      <c r="B2359" t="s">
        <v>1198</v>
      </c>
      <c r="C2359" t="s">
        <v>1199</v>
      </c>
      <c r="D2359" s="4"/>
      <c r="E2359" s="4">
        <v>1</v>
      </c>
      <c r="F2359" s="4"/>
      <c r="G2359" s="29" t="str">
        <f>IFERROR(HYPERLINK("#"&amp;ADDRESS(MATCH(B2359&amp;"ES",'LM7 Non-ENG'!$A$1:$A$5000,0),1,,,"LM7 Non-ENG"),IF(IFERROR(VLOOKUP(B2359&amp;"ES",'LM7 Non-ENG'!$A$1:$A$4999,1,FALSE),"ERROR")=B2359&amp;"ES","Y","")),"")</f>
        <v/>
      </c>
      <c r="H2359" s="29" t="str">
        <f>IFERROR(HYPERLINK("#"&amp;ADDRESS(MATCH(B2359&amp;"PT",'LM7 Non-ENG'!$A$1:$A$5000,0),1,,,"LM7 Non-ENG"),IF(IFERROR(VLOOKUP(B2359&amp;"PT",'LM7 Non-ENG'!$A$1:$A$5000,1,FALSE),"ERROR")=B2359&amp;"PT","Y","")),"")</f>
        <v/>
      </c>
      <c r="I2359" t="str">
        <f>IFERROR(VLOOKUP(B2359,PN!$A:$C,3,FALSE),"")</f>
        <v>Active</v>
      </c>
      <c r="J2359" s="3">
        <f>IFERROR(E2359*VLOOKUP(B2359,PLInter!$A:$D,3,FALSE),"")</f>
        <v>1920</v>
      </c>
      <c r="K2359" s="66"/>
      <c r="L2359" s="66"/>
      <c r="M2359" s="66"/>
      <c r="N2359" s="66"/>
      <c r="O2359" s="66"/>
      <c r="P2359" s="66"/>
      <c r="Q2359" s="66"/>
      <c r="R2359" s="66"/>
      <c r="S2359" s="66"/>
    </row>
    <row r="2360" spans="1:19" ht="18" customHeight="1">
      <c r="B2360" t="s">
        <v>1200</v>
      </c>
      <c r="C2360" t="s">
        <v>1201</v>
      </c>
      <c r="D2360" s="4"/>
      <c r="E2360" s="4">
        <v>1</v>
      </c>
      <c r="F2360" s="4"/>
      <c r="G2360" s="29" t="str">
        <f>IFERROR(HYPERLINK("#"&amp;ADDRESS(MATCH(B2360&amp;"ES",'LM7 Non-ENG'!$A$1:$A$5000,0),1,,,"LM7 Non-ENG"),IF(IFERROR(VLOOKUP(B2360&amp;"ES",'LM7 Non-ENG'!$A$1:$A$4999,1,FALSE),"ERROR")=B2360&amp;"ES","Y","")),"")</f>
        <v/>
      </c>
      <c r="H2360" s="29" t="str">
        <f>IFERROR(HYPERLINK("#"&amp;ADDRESS(MATCH(B2360&amp;"PT",'LM7 Non-ENG'!$A$1:$A$5000,0),1,,,"LM7 Non-ENG"),IF(IFERROR(VLOOKUP(B2360&amp;"PT",'LM7 Non-ENG'!$A$1:$A$5000,1,FALSE),"ERROR")=B2360&amp;"PT","Y","")),"")</f>
        <v/>
      </c>
      <c r="I2360" t="str">
        <f>IFERROR(VLOOKUP(B2360,PN!$A:$C,3,FALSE),"")</f>
        <v>Active</v>
      </c>
      <c r="J2360" s="3">
        <f>IFERROR(E2360*VLOOKUP(B2360,PLInter!$A:$D,3,FALSE),"")</f>
        <v>480</v>
      </c>
      <c r="K2360" s="66"/>
      <c r="L2360" s="66"/>
      <c r="M2360" s="66"/>
      <c r="N2360" s="66"/>
      <c r="O2360" s="66"/>
      <c r="P2360" s="66"/>
      <c r="Q2360" s="66"/>
      <c r="R2360" s="66"/>
      <c r="S2360" s="66"/>
    </row>
    <row r="2361" spans="1:19" ht="18" customHeight="1">
      <c r="B2361" t="s">
        <v>1202</v>
      </c>
      <c r="C2361" t="s">
        <v>1203</v>
      </c>
      <c r="D2361" s="4"/>
      <c r="E2361" s="4">
        <v>2</v>
      </c>
      <c r="F2361" s="4"/>
      <c r="G2361" s="29" t="str">
        <f>IFERROR(HYPERLINK("#"&amp;ADDRESS(MATCH(B2361&amp;"ES",'LM7 Non-ENG'!$A$1:$A$5000,0),1,,,"LM7 Non-ENG"),IF(IFERROR(VLOOKUP(B2361&amp;"ES",'LM7 Non-ENG'!$A$1:$A$4999,1,FALSE),"ERROR")=B2361&amp;"ES","Y","")),"")</f>
        <v/>
      </c>
      <c r="H2361" s="29" t="str">
        <f>IFERROR(HYPERLINK("#"&amp;ADDRESS(MATCH(B2361&amp;"PT",'LM7 Non-ENG'!$A$1:$A$5000,0),1,,,"LM7 Non-ENG"),IF(IFERROR(VLOOKUP(B2361&amp;"PT",'LM7 Non-ENG'!$A$1:$A$5000,1,FALSE),"ERROR")=B2361&amp;"PT","Y","")),"")</f>
        <v/>
      </c>
      <c r="I2361" t="str">
        <f>IFERROR(VLOOKUP(B2361,PN!$A:$C,3,FALSE),"")</f>
        <v>Active</v>
      </c>
      <c r="J2361" s="3">
        <f>IFERROR(E2361*VLOOKUP(B2361,PLInter!$A:$D,3,FALSE),"")</f>
        <v>432</v>
      </c>
      <c r="K2361" s="66"/>
      <c r="L2361" s="66"/>
      <c r="M2361" s="66"/>
      <c r="N2361" s="66"/>
      <c r="O2361" s="66"/>
      <c r="P2361" s="66"/>
      <c r="Q2361" s="66"/>
      <c r="R2361" s="66"/>
      <c r="S2361" s="66"/>
    </row>
    <row r="2362" spans="1:19" ht="18" customHeight="1">
      <c r="B2362" t="s">
        <v>1218</v>
      </c>
      <c r="C2362" t="s">
        <v>1219</v>
      </c>
      <c r="D2362" s="4"/>
      <c r="E2362" s="4">
        <v>1</v>
      </c>
      <c r="F2362" s="4"/>
      <c r="G2362" s="29" t="str">
        <f>IFERROR(HYPERLINK("#"&amp;ADDRESS(MATCH(B2362&amp;"ES",'LM7 Non-ENG'!$A$1:$A$5000,0),1,,,"LM7 Non-ENG"),IF(IFERROR(VLOOKUP(B2362&amp;"ES",'LM7 Non-ENG'!$A$1:$A$4999,1,FALSE),"ERROR")=B2362&amp;"ES","Y","")),"")</f>
        <v/>
      </c>
      <c r="H2362" s="29" t="str">
        <f>IFERROR(HYPERLINK("#"&amp;ADDRESS(MATCH(B2362&amp;"PT",'LM7 Non-ENG'!$A$1:$A$5000,0),1,,,"LM7 Non-ENG"),IF(IFERROR(VLOOKUP(B2362&amp;"PT",'LM7 Non-ENG'!$A$1:$A$5000,1,FALSE),"ERROR")=B2362&amp;"PT","Y","")),"")</f>
        <v/>
      </c>
      <c r="I2362" t="str">
        <f>IFERROR(VLOOKUP(B2362,PN!$A:$C,3,FALSE),"")</f>
        <v>Active</v>
      </c>
      <c r="J2362" s="3">
        <f>IFERROR(E2362*VLOOKUP(B2362,PLInter!$A:$D,3,FALSE),"")</f>
        <v>240</v>
      </c>
      <c r="K2362" s="66"/>
      <c r="L2362" s="66"/>
      <c r="M2362" s="66"/>
      <c r="N2362" s="66"/>
      <c r="O2362" s="66"/>
      <c r="P2362" s="66"/>
      <c r="Q2362" s="66"/>
      <c r="R2362" s="66"/>
      <c r="S2362" s="66"/>
    </row>
    <row r="2363" spans="1:19" ht="18" customHeight="1">
      <c r="B2363" s="1" t="s">
        <v>1206</v>
      </c>
      <c r="C2363" s="1" t="s">
        <v>1207</v>
      </c>
      <c r="D2363" s="6" t="s">
        <v>0</v>
      </c>
      <c r="E2363" s="6">
        <v>1</v>
      </c>
      <c r="F2363" s="6"/>
      <c r="G2363" s="29" t="str">
        <f>IFERROR(HYPERLINK("#"&amp;ADDRESS(MATCH(B2363&amp;"ES",'LM7 Non-ENG'!$A$1:$A$5000,0),1,,,"LM7 Non-ENG"),IF(IFERROR(VLOOKUP(B2363&amp;"ES",'LM7 Non-ENG'!$A$1:$A$4999,1,FALSE),"ERROR")=B2363&amp;"ES","Y","")),"")</f>
        <v/>
      </c>
      <c r="H2363" s="29" t="str">
        <f>IFERROR(HYPERLINK("#"&amp;ADDRESS(MATCH(B2363&amp;"PT",'LM7 Non-ENG'!$A$1:$A$5000,0),1,,,"LM7 Non-ENG"),IF(IFERROR(VLOOKUP(B2363&amp;"PT",'LM7 Non-ENG'!$A$1:$A$5000,1,FALSE),"ERROR")=B2363&amp;"PT","Y","")),"")</f>
        <v/>
      </c>
      <c r="I2363" t="str">
        <f>IFERROR(VLOOKUP(B2363,PN!$A:$C,3,FALSE),"")</f>
        <v>Active</v>
      </c>
      <c r="J2363" s="3" t="str">
        <f>IFERROR(E2363*VLOOKUP(B2363,PLInter!$A:$D,3,FALSE),"")</f>
        <v/>
      </c>
      <c r="K2363" s="66"/>
      <c r="L2363" s="66"/>
      <c r="M2363" s="66"/>
      <c r="N2363" s="66"/>
      <c r="O2363" s="66"/>
      <c r="P2363" s="66"/>
      <c r="Q2363" s="66"/>
      <c r="R2363" s="66"/>
      <c r="S2363" s="66"/>
    </row>
    <row r="2365" spans="1:19" s="7" customFormat="1" ht="18" customHeight="1">
      <c r="A2365" s="13" t="s">
        <v>1220</v>
      </c>
      <c r="B2365" s="13"/>
      <c r="C2365" s="13" t="s">
        <v>1221</v>
      </c>
      <c r="D2365" s="14"/>
      <c r="E2365" s="14"/>
      <c r="F2365" s="14"/>
      <c r="G2365" s="14"/>
      <c r="H2365" s="14"/>
      <c r="I2365" s="14"/>
      <c r="J2365" s="14">
        <f>SUMIFS(J2366:J2370,D2366:D2370,"&lt;&gt;Y",F2366:F2370,"&lt;&gt;Y",I2366:I2370,"&lt;&gt;Inactive",I2366:I2370,"&lt;&gt;ECO+NFS")</f>
        <v>2928</v>
      </c>
      <c r="K2365" s="14"/>
      <c r="L2365" s="14"/>
      <c r="M2365" s="14"/>
      <c r="N2365" s="14"/>
      <c r="O2365" s="14"/>
      <c r="P2365" s="14"/>
      <c r="Q2365" s="14"/>
      <c r="R2365" s="14"/>
      <c r="S2365" s="14"/>
    </row>
    <row r="2366" spans="1:19" ht="18" customHeight="1">
      <c r="A2366" s="17" t="str">
        <f>HYPERLINK("#"&amp;ADDRESS(MATCH(A2365,'CIM&amp;FMS'!$A$1:$A$4997,0),1,,,"CIM&amp;FMS"),"Back to Price List")</f>
        <v>Back to Price List</v>
      </c>
      <c r="B2366" t="s">
        <v>1198</v>
      </c>
      <c r="C2366" t="s">
        <v>1199</v>
      </c>
      <c r="D2366" s="4"/>
      <c r="E2366" s="4">
        <v>1</v>
      </c>
      <c r="F2366" s="4"/>
      <c r="G2366" s="29" t="str">
        <f>IFERROR(HYPERLINK("#"&amp;ADDRESS(MATCH(B2366&amp;"ES",'LM7 Non-ENG'!$A$1:$A$5000,0),1,,,"LM7 Non-ENG"),IF(IFERROR(VLOOKUP(B2366&amp;"ES",'LM7 Non-ENG'!$A$1:$A$4999,1,FALSE),"ERROR")=B2366&amp;"ES","Y","")),"")</f>
        <v/>
      </c>
      <c r="H2366" s="29" t="str">
        <f>IFERROR(HYPERLINK("#"&amp;ADDRESS(MATCH(B2366&amp;"PT",'LM7 Non-ENG'!$A$1:$A$5000,0),1,,,"LM7 Non-ENG"),IF(IFERROR(VLOOKUP(B2366&amp;"PT",'LM7 Non-ENG'!$A$1:$A$5000,1,FALSE),"ERROR")=B2366&amp;"PT","Y","")),"")</f>
        <v/>
      </c>
      <c r="I2366" t="str">
        <f>IFERROR(VLOOKUP(B2366,PN!$A:$C,3,FALSE),"")</f>
        <v>Active</v>
      </c>
      <c r="J2366" s="3">
        <f>IFERROR(E2366*VLOOKUP(B2366,PLInter!$A:$D,3,FALSE),"")</f>
        <v>1920</v>
      </c>
      <c r="K2366" s="66"/>
      <c r="L2366" s="66"/>
      <c r="M2366" s="66"/>
      <c r="N2366" s="66"/>
      <c r="O2366" s="66"/>
      <c r="P2366" s="66"/>
      <c r="Q2366" s="66"/>
      <c r="R2366" s="66"/>
      <c r="S2366" s="66"/>
    </row>
    <row r="2367" spans="1:19" ht="18" customHeight="1">
      <c r="B2367" t="s">
        <v>1200</v>
      </c>
      <c r="C2367" t="s">
        <v>1201</v>
      </c>
      <c r="D2367" s="4"/>
      <c r="E2367" s="4">
        <v>1</v>
      </c>
      <c r="F2367" s="4"/>
      <c r="G2367" s="29" t="str">
        <f>IFERROR(HYPERLINK("#"&amp;ADDRESS(MATCH(B2367&amp;"ES",'LM7 Non-ENG'!$A$1:$A$5000,0),1,,,"LM7 Non-ENG"),IF(IFERROR(VLOOKUP(B2367&amp;"ES",'LM7 Non-ENG'!$A$1:$A$4999,1,FALSE),"ERROR")=B2367&amp;"ES","Y","")),"")</f>
        <v/>
      </c>
      <c r="H2367" s="29" t="str">
        <f>IFERROR(HYPERLINK("#"&amp;ADDRESS(MATCH(B2367&amp;"PT",'LM7 Non-ENG'!$A$1:$A$5000,0),1,,,"LM7 Non-ENG"),IF(IFERROR(VLOOKUP(B2367&amp;"PT",'LM7 Non-ENG'!$A$1:$A$5000,1,FALSE),"ERROR")=B2367&amp;"PT","Y","")),"")</f>
        <v/>
      </c>
      <c r="I2367" t="str">
        <f>IFERROR(VLOOKUP(B2367,PN!$A:$C,3,FALSE),"")</f>
        <v>Active</v>
      </c>
      <c r="J2367" s="3">
        <f>IFERROR(E2367*VLOOKUP(B2367,PLInter!$A:$D,3,FALSE),"")</f>
        <v>480</v>
      </c>
      <c r="K2367" s="66"/>
      <c r="L2367" s="66"/>
      <c r="M2367" s="66"/>
      <c r="N2367" s="66"/>
      <c r="O2367" s="66"/>
      <c r="P2367" s="66"/>
      <c r="Q2367" s="66"/>
      <c r="R2367" s="66"/>
      <c r="S2367" s="66"/>
    </row>
    <row r="2368" spans="1:19" ht="18" customHeight="1">
      <c r="B2368" t="s">
        <v>1202</v>
      </c>
      <c r="C2368" t="s">
        <v>1203</v>
      </c>
      <c r="D2368" s="4"/>
      <c r="E2368" s="4">
        <v>2</v>
      </c>
      <c r="F2368" s="4"/>
      <c r="G2368" s="29" t="str">
        <f>IFERROR(HYPERLINK("#"&amp;ADDRESS(MATCH(B2368&amp;"ES",'LM7 Non-ENG'!$A$1:$A$5000,0),1,,,"LM7 Non-ENG"),IF(IFERROR(VLOOKUP(B2368&amp;"ES",'LM7 Non-ENG'!$A$1:$A$4999,1,FALSE),"ERROR")=B2368&amp;"ES","Y","")),"")</f>
        <v/>
      </c>
      <c r="H2368" s="29" t="str">
        <f>IFERROR(HYPERLINK("#"&amp;ADDRESS(MATCH(B2368&amp;"PT",'LM7 Non-ENG'!$A$1:$A$5000,0),1,,,"LM7 Non-ENG"),IF(IFERROR(VLOOKUP(B2368&amp;"PT",'LM7 Non-ENG'!$A$1:$A$5000,1,FALSE),"ERROR")=B2368&amp;"PT","Y","")),"")</f>
        <v/>
      </c>
      <c r="I2368" t="str">
        <f>IFERROR(VLOOKUP(B2368,PN!$A:$C,3,FALSE),"")</f>
        <v>Active</v>
      </c>
      <c r="J2368" s="3">
        <f>IFERROR(E2368*VLOOKUP(B2368,PLInter!$A:$D,3,FALSE),"")</f>
        <v>432</v>
      </c>
      <c r="K2368" s="66"/>
      <c r="L2368" s="66"/>
      <c r="M2368" s="66"/>
      <c r="N2368" s="66"/>
      <c r="O2368" s="66"/>
      <c r="P2368" s="66"/>
      <c r="Q2368" s="66"/>
      <c r="R2368" s="66"/>
      <c r="S2368" s="66"/>
    </row>
    <row r="2369" spans="1:19" ht="18" customHeight="1">
      <c r="B2369" t="s">
        <v>1204</v>
      </c>
      <c r="C2369" t="s">
        <v>1205</v>
      </c>
      <c r="D2369" s="4"/>
      <c r="E2369" s="4">
        <v>1</v>
      </c>
      <c r="F2369" s="4"/>
      <c r="G2369" s="29" t="str">
        <f>IFERROR(HYPERLINK("#"&amp;ADDRESS(MATCH(B2369&amp;"ES",'LM7 Non-ENG'!$A$1:$A$5000,0),1,,,"LM7 Non-ENG"),IF(IFERROR(VLOOKUP(B2369&amp;"ES",'LM7 Non-ENG'!$A$1:$A$4999,1,FALSE),"ERROR")=B2369&amp;"ES","Y","")),"")</f>
        <v/>
      </c>
      <c r="H2369" s="29" t="str">
        <f>IFERROR(HYPERLINK("#"&amp;ADDRESS(MATCH(B2369&amp;"PT",'LM7 Non-ENG'!$A$1:$A$5000,0),1,,,"LM7 Non-ENG"),IF(IFERROR(VLOOKUP(B2369&amp;"PT",'LM7 Non-ENG'!$A$1:$A$5000,1,FALSE),"ERROR")=B2369&amp;"PT","Y","")),"")</f>
        <v/>
      </c>
      <c r="I2369" t="str">
        <f>IFERROR(VLOOKUP(B2369,PN!$A:$C,3,FALSE),"")</f>
        <v>Active</v>
      </c>
      <c r="J2369" s="3">
        <f>IFERROR(E2369*VLOOKUP(B2369,PLInter!$A:$D,3,FALSE),"")</f>
        <v>96</v>
      </c>
      <c r="K2369" s="66"/>
      <c r="L2369" s="66"/>
      <c r="M2369" s="66"/>
      <c r="N2369" s="66"/>
      <c r="O2369" s="66"/>
      <c r="P2369" s="66"/>
      <c r="Q2369" s="66"/>
      <c r="R2369" s="66"/>
      <c r="S2369" s="66"/>
    </row>
    <row r="2370" spans="1:19" ht="18" customHeight="1">
      <c r="B2370" s="1" t="s">
        <v>1206</v>
      </c>
      <c r="C2370" s="1" t="s">
        <v>1207</v>
      </c>
      <c r="D2370" s="6" t="s">
        <v>0</v>
      </c>
      <c r="E2370" s="6">
        <v>1</v>
      </c>
      <c r="F2370" s="6"/>
      <c r="G2370" s="29" t="str">
        <f>IFERROR(HYPERLINK("#"&amp;ADDRESS(MATCH(B2370&amp;"ES",'LM7 Non-ENG'!$A$1:$A$5000,0),1,,,"LM7 Non-ENG"),IF(IFERROR(VLOOKUP(B2370&amp;"ES",'LM7 Non-ENG'!$A$1:$A$4999,1,FALSE),"ERROR")=B2370&amp;"ES","Y","")),"")</f>
        <v/>
      </c>
      <c r="H2370" s="29" t="str">
        <f>IFERROR(HYPERLINK("#"&amp;ADDRESS(MATCH(B2370&amp;"PT",'LM7 Non-ENG'!$A$1:$A$5000,0),1,,,"LM7 Non-ENG"),IF(IFERROR(VLOOKUP(B2370&amp;"PT",'LM7 Non-ENG'!$A$1:$A$5000,1,FALSE),"ERROR")=B2370&amp;"PT","Y","")),"")</f>
        <v/>
      </c>
      <c r="I2370" t="str">
        <f>IFERROR(VLOOKUP(B2370,PN!$A:$C,3,FALSE),"")</f>
        <v>Active</v>
      </c>
      <c r="J2370" s="3" t="str">
        <f>IFERROR(E2370*VLOOKUP(B2370,PLInter!$A:$D,3,FALSE),"")</f>
        <v/>
      </c>
      <c r="K2370" s="66"/>
      <c r="L2370" s="66"/>
      <c r="M2370" s="66"/>
      <c r="N2370" s="66"/>
      <c r="O2370" s="66"/>
      <c r="P2370" s="66"/>
      <c r="Q2370" s="66"/>
      <c r="R2370" s="66"/>
      <c r="S2370" s="66"/>
    </row>
    <row r="2372" spans="1:19" s="7" customFormat="1" ht="18" customHeight="1">
      <c r="A2372" s="13" t="s">
        <v>1222</v>
      </c>
      <c r="B2372" s="13"/>
      <c r="C2372" s="13" t="s">
        <v>1223</v>
      </c>
      <c r="D2372" s="14"/>
      <c r="E2372" s="14"/>
      <c r="F2372" s="14"/>
      <c r="G2372" s="14"/>
      <c r="H2372" s="14"/>
      <c r="I2372" s="14"/>
      <c r="J2372" s="14">
        <f>SUMIFS(J2373:J2377,D2373:D2377,"&lt;&gt;Y",F2373:F2377,"&lt;&gt;Y",I2373:I2377,"&lt;&gt;Inactive",I2373:I2377,"&lt;&gt;ECO+NFS")</f>
        <v>2964</v>
      </c>
      <c r="K2372" s="14"/>
      <c r="L2372" s="14"/>
      <c r="M2372" s="14"/>
      <c r="N2372" s="14"/>
      <c r="O2372" s="14"/>
      <c r="P2372" s="14"/>
      <c r="Q2372" s="14"/>
      <c r="R2372" s="14"/>
      <c r="S2372" s="14"/>
    </row>
    <row r="2373" spans="1:19" ht="18" customHeight="1">
      <c r="A2373" s="17" t="str">
        <f>HYPERLINK("#"&amp;ADDRESS(MATCH(A2372,'CIM&amp;FMS'!$A$1:$A$4997,0),1,,,"CIM&amp;FMS"),"Back to Price List")</f>
        <v>Back to Price List</v>
      </c>
      <c r="B2373" t="s">
        <v>1198</v>
      </c>
      <c r="C2373" t="s">
        <v>1199</v>
      </c>
      <c r="D2373" s="4"/>
      <c r="E2373" s="4">
        <v>1</v>
      </c>
      <c r="F2373" s="4"/>
      <c r="G2373" s="29" t="str">
        <f>IFERROR(HYPERLINK("#"&amp;ADDRESS(MATCH(B2373&amp;"ES",'LM7 Non-ENG'!$A$1:$A$5000,0),1,,,"LM7 Non-ENG"),IF(IFERROR(VLOOKUP(B2373&amp;"ES",'LM7 Non-ENG'!$A$1:$A$4999,1,FALSE),"ERROR")=B2373&amp;"ES","Y","")),"")</f>
        <v/>
      </c>
      <c r="H2373" s="29" t="str">
        <f>IFERROR(HYPERLINK("#"&amp;ADDRESS(MATCH(B2373&amp;"PT",'LM7 Non-ENG'!$A$1:$A$5000,0),1,,,"LM7 Non-ENG"),IF(IFERROR(VLOOKUP(B2373&amp;"PT",'LM7 Non-ENG'!$A$1:$A$5000,1,FALSE),"ERROR")=B2373&amp;"PT","Y","")),"")</f>
        <v/>
      </c>
      <c r="I2373" t="str">
        <f>IFERROR(VLOOKUP(B2373,PN!$A:$C,3,FALSE),"")</f>
        <v>Active</v>
      </c>
      <c r="J2373" s="3">
        <f>IFERROR(E2373*VLOOKUP(B2373,PLInter!$A:$D,3,FALSE),"")</f>
        <v>1920</v>
      </c>
      <c r="K2373" s="66"/>
      <c r="L2373" s="66"/>
      <c r="M2373" s="66"/>
      <c r="N2373" s="66"/>
      <c r="O2373" s="66"/>
      <c r="P2373" s="66"/>
      <c r="Q2373" s="66"/>
      <c r="R2373" s="66"/>
      <c r="S2373" s="66"/>
    </row>
    <row r="2374" spans="1:19" ht="18" customHeight="1">
      <c r="B2374" t="s">
        <v>1200</v>
      </c>
      <c r="C2374" t="s">
        <v>1201</v>
      </c>
      <c r="D2374" s="4"/>
      <c r="E2374" s="4">
        <v>1</v>
      </c>
      <c r="F2374" s="4"/>
      <c r="G2374" s="29" t="str">
        <f>IFERROR(HYPERLINK("#"&amp;ADDRESS(MATCH(B2374&amp;"ES",'LM7 Non-ENG'!$A$1:$A$5000,0),1,,,"LM7 Non-ENG"),IF(IFERROR(VLOOKUP(B2374&amp;"ES",'LM7 Non-ENG'!$A$1:$A$4999,1,FALSE),"ERROR")=B2374&amp;"ES","Y","")),"")</f>
        <v/>
      </c>
      <c r="H2374" s="29" t="str">
        <f>IFERROR(HYPERLINK("#"&amp;ADDRESS(MATCH(B2374&amp;"PT",'LM7 Non-ENG'!$A$1:$A$5000,0),1,,,"LM7 Non-ENG"),IF(IFERROR(VLOOKUP(B2374&amp;"PT",'LM7 Non-ENG'!$A$1:$A$5000,1,FALSE),"ERROR")=B2374&amp;"PT","Y","")),"")</f>
        <v/>
      </c>
      <c r="I2374" t="str">
        <f>IFERROR(VLOOKUP(B2374,PN!$A:$C,3,FALSE),"")</f>
        <v>Active</v>
      </c>
      <c r="J2374" s="3">
        <f>IFERROR(E2374*VLOOKUP(B2374,PLInter!$A:$D,3,FALSE),"")</f>
        <v>480</v>
      </c>
      <c r="K2374" s="66"/>
      <c r="L2374" s="66"/>
      <c r="M2374" s="66"/>
      <c r="N2374" s="66"/>
      <c r="O2374" s="66"/>
      <c r="P2374" s="66"/>
      <c r="Q2374" s="66"/>
      <c r="R2374" s="66"/>
      <c r="S2374" s="66"/>
    </row>
    <row r="2375" spans="1:19" ht="18" customHeight="1">
      <c r="B2375" t="s">
        <v>1202</v>
      </c>
      <c r="C2375" t="s">
        <v>1203</v>
      </c>
      <c r="D2375" s="4"/>
      <c r="E2375" s="4">
        <v>2</v>
      </c>
      <c r="F2375" s="4"/>
      <c r="G2375" s="29" t="str">
        <f>IFERROR(HYPERLINK("#"&amp;ADDRESS(MATCH(B2375&amp;"ES",'LM7 Non-ENG'!$A$1:$A$5000,0),1,,,"LM7 Non-ENG"),IF(IFERROR(VLOOKUP(B2375&amp;"ES",'LM7 Non-ENG'!$A$1:$A$4999,1,FALSE),"ERROR")=B2375&amp;"ES","Y","")),"")</f>
        <v/>
      </c>
      <c r="H2375" s="29" t="str">
        <f>IFERROR(HYPERLINK("#"&amp;ADDRESS(MATCH(B2375&amp;"PT",'LM7 Non-ENG'!$A$1:$A$5000,0),1,,,"LM7 Non-ENG"),IF(IFERROR(VLOOKUP(B2375&amp;"PT",'LM7 Non-ENG'!$A$1:$A$5000,1,FALSE),"ERROR")=B2375&amp;"PT","Y","")),"")</f>
        <v/>
      </c>
      <c r="I2375" t="str">
        <f>IFERROR(VLOOKUP(B2375,PN!$A:$C,3,FALSE),"")</f>
        <v>Active</v>
      </c>
      <c r="J2375" s="3">
        <f>IFERROR(E2375*VLOOKUP(B2375,PLInter!$A:$D,3,FALSE),"")</f>
        <v>432</v>
      </c>
      <c r="K2375" s="66"/>
      <c r="L2375" s="66"/>
      <c r="M2375" s="66"/>
      <c r="N2375" s="66"/>
      <c r="O2375" s="66"/>
      <c r="P2375" s="66"/>
      <c r="Q2375" s="66"/>
      <c r="R2375" s="66"/>
      <c r="S2375" s="66"/>
    </row>
    <row r="2376" spans="1:19" ht="18" customHeight="1">
      <c r="B2376" t="s">
        <v>1210</v>
      </c>
      <c r="C2376" t="s">
        <v>1211</v>
      </c>
      <c r="D2376" s="4"/>
      <c r="E2376" s="4">
        <v>1</v>
      </c>
      <c r="F2376" s="4"/>
      <c r="G2376" s="29" t="str">
        <f>IFERROR(HYPERLINK("#"&amp;ADDRESS(MATCH(B2376&amp;"ES",'LM7 Non-ENG'!$A$1:$A$5000,0),1,,,"LM7 Non-ENG"),IF(IFERROR(VLOOKUP(B2376&amp;"ES",'LM7 Non-ENG'!$A$1:$A$4999,1,FALSE),"ERROR")=B2376&amp;"ES","Y","")),"")</f>
        <v/>
      </c>
      <c r="H2376" s="29" t="str">
        <f>IFERROR(HYPERLINK("#"&amp;ADDRESS(MATCH(B2376&amp;"PT",'LM7 Non-ENG'!$A$1:$A$5000,0),1,,,"LM7 Non-ENG"),IF(IFERROR(VLOOKUP(B2376&amp;"PT",'LM7 Non-ENG'!$A$1:$A$5000,1,FALSE),"ERROR")=B2376&amp;"PT","Y","")),"")</f>
        <v/>
      </c>
      <c r="I2376" t="str">
        <f>IFERROR(VLOOKUP(B2376,PN!$A:$C,3,FALSE),"")</f>
        <v>Active</v>
      </c>
      <c r="J2376" s="3">
        <f>IFERROR(E2376*VLOOKUP(B2376,PLInter!$A:$D,3,FALSE),"")</f>
        <v>132</v>
      </c>
      <c r="K2376" s="66"/>
      <c r="L2376" s="66"/>
      <c r="M2376" s="66"/>
      <c r="N2376" s="66"/>
      <c r="O2376" s="66"/>
      <c r="P2376" s="66"/>
      <c r="Q2376" s="66"/>
      <c r="R2376" s="66"/>
      <c r="S2376" s="66"/>
    </row>
    <row r="2377" spans="1:19" ht="18" customHeight="1">
      <c r="B2377" s="1" t="s">
        <v>1206</v>
      </c>
      <c r="C2377" s="1" t="s">
        <v>1207</v>
      </c>
      <c r="D2377" s="6" t="s">
        <v>0</v>
      </c>
      <c r="E2377" s="6">
        <v>1</v>
      </c>
      <c r="F2377" s="6"/>
      <c r="G2377" s="29" t="str">
        <f>IFERROR(HYPERLINK("#"&amp;ADDRESS(MATCH(B2377&amp;"ES",'LM7 Non-ENG'!$A$1:$A$5000,0),1,,,"LM7 Non-ENG"),IF(IFERROR(VLOOKUP(B2377&amp;"ES",'LM7 Non-ENG'!$A$1:$A$4999,1,FALSE),"ERROR")=B2377&amp;"ES","Y","")),"")</f>
        <v/>
      </c>
      <c r="H2377" s="29" t="str">
        <f>IFERROR(HYPERLINK("#"&amp;ADDRESS(MATCH(B2377&amp;"PT",'LM7 Non-ENG'!$A$1:$A$5000,0),1,,,"LM7 Non-ENG"),IF(IFERROR(VLOOKUP(B2377&amp;"PT",'LM7 Non-ENG'!$A$1:$A$5000,1,FALSE),"ERROR")=B2377&amp;"PT","Y","")),"")</f>
        <v/>
      </c>
      <c r="I2377" t="str">
        <f>IFERROR(VLOOKUP(B2377,PN!$A:$C,3,FALSE),"")</f>
        <v>Active</v>
      </c>
      <c r="J2377" s="3" t="str">
        <f>IFERROR(E2377*VLOOKUP(B2377,PLInter!$A:$D,3,FALSE),"")</f>
        <v/>
      </c>
      <c r="K2377" s="66"/>
      <c r="L2377" s="66"/>
      <c r="M2377" s="66"/>
      <c r="N2377" s="66"/>
      <c r="O2377" s="66"/>
      <c r="P2377" s="66"/>
      <c r="Q2377" s="66"/>
      <c r="R2377" s="66"/>
      <c r="S2377" s="66"/>
    </row>
    <row r="2379" spans="1:19" s="7" customFormat="1" ht="18" customHeight="1">
      <c r="A2379" s="13" t="s">
        <v>1224</v>
      </c>
      <c r="B2379" s="13"/>
      <c r="C2379" s="13" t="s">
        <v>1225</v>
      </c>
      <c r="D2379" s="14"/>
      <c r="E2379" s="14"/>
      <c r="F2379" s="14"/>
      <c r="G2379" s="14"/>
      <c r="H2379" s="14"/>
      <c r="I2379" s="14"/>
      <c r="J2379" s="14">
        <f>SUMIFS(J2380:J2384,D2380:D2384,"&lt;&gt;Y",F2380:F2384,"&lt;&gt;Y",I2380:I2384,"&lt;&gt;Inactive",I2380:I2384,"&lt;&gt;ECO+NFS")</f>
        <v>3048</v>
      </c>
      <c r="K2379" s="14"/>
      <c r="L2379" s="14"/>
      <c r="M2379" s="14"/>
      <c r="N2379" s="14"/>
      <c r="O2379" s="14"/>
      <c r="P2379" s="14"/>
      <c r="Q2379" s="14"/>
      <c r="R2379" s="14"/>
      <c r="S2379" s="14"/>
    </row>
    <row r="2380" spans="1:19" ht="18" customHeight="1">
      <c r="A2380" s="17" t="str">
        <f>HYPERLINK("#"&amp;ADDRESS(MATCH(A2379,'CIM&amp;FMS'!$A$1:$A$4997,0),1,,,"CIM&amp;FMS"),"Back to Price List")</f>
        <v>Back to Price List</v>
      </c>
      <c r="B2380" t="s">
        <v>1198</v>
      </c>
      <c r="C2380" t="s">
        <v>1199</v>
      </c>
      <c r="D2380" s="4"/>
      <c r="E2380" s="4">
        <v>1</v>
      </c>
      <c r="F2380" s="4"/>
      <c r="G2380" s="29" t="str">
        <f>IFERROR(HYPERLINK("#"&amp;ADDRESS(MATCH(B2380&amp;"ES",'LM7 Non-ENG'!$A$1:$A$5000,0),1,,,"LM7 Non-ENG"),IF(IFERROR(VLOOKUP(B2380&amp;"ES",'LM7 Non-ENG'!$A$1:$A$4999,1,FALSE),"ERROR")=B2380&amp;"ES","Y","")),"")</f>
        <v/>
      </c>
      <c r="H2380" s="29" t="str">
        <f>IFERROR(HYPERLINK("#"&amp;ADDRESS(MATCH(B2380&amp;"PT",'LM7 Non-ENG'!$A$1:$A$5000,0),1,,,"LM7 Non-ENG"),IF(IFERROR(VLOOKUP(B2380&amp;"PT",'LM7 Non-ENG'!$A$1:$A$5000,1,FALSE),"ERROR")=B2380&amp;"PT","Y","")),"")</f>
        <v/>
      </c>
      <c r="I2380" t="str">
        <f>IFERROR(VLOOKUP(B2380,PN!$A:$C,3,FALSE),"")</f>
        <v>Active</v>
      </c>
      <c r="J2380" s="3">
        <f>IFERROR(E2380*VLOOKUP(B2380,PLInter!$A:$D,3,FALSE),"")</f>
        <v>1920</v>
      </c>
      <c r="K2380" s="66"/>
      <c r="L2380" s="66"/>
      <c r="M2380" s="66"/>
      <c r="N2380" s="66"/>
      <c r="O2380" s="66"/>
      <c r="P2380" s="66"/>
      <c r="Q2380" s="66"/>
      <c r="R2380" s="66"/>
      <c r="S2380" s="66"/>
    </row>
    <row r="2381" spans="1:19" ht="18" customHeight="1">
      <c r="B2381" t="s">
        <v>1200</v>
      </c>
      <c r="C2381" t="s">
        <v>1201</v>
      </c>
      <c r="D2381" s="4"/>
      <c r="E2381" s="4">
        <v>1</v>
      </c>
      <c r="F2381" s="4"/>
      <c r="G2381" s="29" t="str">
        <f>IFERROR(HYPERLINK("#"&amp;ADDRESS(MATCH(B2381&amp;"ES",'LM7 Non-ENG'!$A$1:$A$5000,0),1,,,"LM7 Non-ENG"),IF(IFERROR(VLOOKUP(B2381&amp;"ES",'LM7 Non-ENG'!$A$1:$A$4999,1,FALSE),"ERROR")=B2381&amp;"ES","Y","")),"")</f>
        <v/>
      </c>
      <c r="H2381" s="29" t="str">
        <f>IFERROR(HYPERLINK("#"&amp;ADDRESS(MATCH(B2381&amp;"PT",'LM7 Non-ENG'!$A$1:$A$5000,0),1,,,"LM7 Non-ENG"),IF(IFERROR(VLOOKUP(B2381&amp;"PT",'LM7 Non-ENG'!$A$1:$A$5000,1,FALSE),"ERROR")=B2381&amp;"PT","Y","")),"")</f>
        <v/>
      </c>
      <c r="I2381" t="str">
        <f>IFERROR(VLOOKUP(B2381,PN!$A:$C,3,FALSE),"")</f>
        <v>Active</v>
      </c>
      <c r="J2381" s="3">
        <f>IFERROR(E2381*VLOOKUP(B2381,PLInter!$A:$D,3,FALSE),"")</f>
        <v>480</v>
      </c>
      <c r="K2381" s="66"/>
      <c r="L2381" s="66"/>
      <c r="M2381" s="66"/>
      <c r="N2381" s="66"/>
      <c r="O2381" s="66"/>
      <c r="P2381" s="66"/>
      <c r="Q2381" s="66"/>
      <c r="R2381" s="66"/>
      <c r="S2381" s="66"/>
    </row>
    <row r="2382" spans="1:19" ht="18" customHeight="1">
      <c r="B2382" t="s">
        <v>1202</v>
      </c>
      <c r="C2382" t="s">
        <v>1203</v>
      </c>
      <c r="D2382" s="4"/>
      <c r="E2382" s="4">
        <v>2</v>
      </c>
      <c r="F2382" s="4"/>
      <c r="G2382" s="29" t="str">
        <f>IFERROR(HYPERLINK("#"&amp;ADDRESS(MATCH(B2382&amp;"ES",'LM7 Non-ENG'!$A$1:$A$5000,0),1,,,"LM7 Non-ENG"),IF(IFERROR(VLOOKUP(B2382&amp;"ES",'LM7 Non-ENG'!$A$1:$A$4999,1,FALSE),"ERROR")=B2382&amp;"ES","Y","")),"")</f>
        <v/>
      </c>
      <c r="H2382" s="29" t="str">
        <f>IFERROR(HYPERLINK("#"&amp;ADDRESS(MATCH(B2382&amp;"PT",'LM7 Non-ENG'!$A$1:$A$5000,0),1,,,"LM7 Non-ENG"),IF(IFERROR(VLOOKUP(B2382&amp;"PT",'LM7 Non-ENG'!$A$1:$A$5000,1,FALSE),"ERROR")=B2382&amp;"PT","Y","")),"")</f>
        <v/>
      </c>
      <c r="I2382" t="str">
        <f>IFERROR(VLOOKUP(B2382,PN!$A:$C,3,FALSE),"")</f>
        <v>Active</v>
      </c>
      <c r="J2382" s="3">
        <f>IFERROR(E2382*VLOOKUP(B2382,PLInter!$A:$D,3,FALSE),"")</f>
        <v>432</v>
      </c>
      <c r="K2382" s="66"/>
      <c r="L2382" s="66"/>
      <c r="M2382" s="66"/>
      <c r="N2382" s="66"/>
      <c r="O2382" s="66"/>
      <c r="P2382" s="66"/>
      <c r="Q2382" s="66"/>
      <c r="R2382" s="66"/>
      <c r="S2382" s="66"/>
    </row>
    <row r="2383" spans="1:19" ht="18" customHeight="1">
      <c r="B2383" t="s">
        <v>1214</v>
      </c>
      <c r="C2383" t="s">
        <v>1215</v>
      </c>
      <c r="D2383" s="4"/>
      <c r="E2383" s="4">
        <v>1</v>
      </c>
      <c r="F2383" s="4"/>
      <c r="G2383" s="29" t="str">
        <f>IFERROR(HYPERLINK("#"&amp;ADDRESS(MATCH(B2383&amp;"ES",'LM7 Non-ENG'!$A$1:$A$5000,0),1,,,"LM7 Non-ENG"),IF(IFERROR(VLOOKUP(B2383&amp;"ES",'LM7 Non-ENG'!$A$1:$A$4999,1,FALSE),"ERROR")=B2383&amp;"ES","Y","")),"")</f>
        <v/>
      </c>
      <c r="H2383" s="29" t="str">
        <f>IFERROR(HYPERLINK("#"&amp;ADDRESS(MATCH(B2383&amp;"PT",'LM7 Non-ENG'!$A$1:$A$5000,0),1,,,"LM7 Non-ENG"),IF(IFERROR(VLOOKUP(B2383&amp;"PT",'LM7 Non-ENG'!$A$1:$A$5000,1,FALSE),"ERROR")=B2383&amp;"PT","Y","")),"")</f>
        <v/>
      </c>
      <c r="I2383" t="str">
        <f>IFERROR(VLOOKUP(B2383,PN!$A:$C,3,FALSE),"")</f>
        <v>Active</v>
      </c>
      <c r="J2383" s="3">
        <f>IFERROR(E2383*VLOOKUP(B2383,PLInter!$A:$D,3,FALSE),"")</f>
        <v>216</v>
      </c>
      <c r="K2383" s="66"/>
      <c r="L2383" s="66"/>
      <c r="M2383" s="66"/>
      <c r="N2383" s="66"/>
      <c r="O2383" s="66"/>
      <c r="P2383" s="66"/>
      <c r="Q2383" s="66"/>
      <c r="R2383" s="66"/>
      <c r="S2383" s="66"/>
    </row>
    <row r="2384" spans="1:19" ht="18" customHeight="1">
      <c r="B2384" s="1" t="s">
        <v>1206</v>
      </c>
      <c r="C2384" s="1" t="s">
        <v>1207</v>
      </c>
      <c r="D2384" s="6" t="s">
        <v>0</v>
      </c>
      <c r="E2384" s="6">
        <v>1</v>
      </c>
      <c r="F2384" s="6"/>
      <c r="G2384" s="29" t="str">
        <f>IFERROR(HYPERLINK("#"&amp;ADDRESS(MATCH(B2384&amp;"ES",'LM7 Non-ENG'!$A$1:$A$5000,0),1,,,"LM7 Non-ENG"),IF(IFERROR(VLOOKUP(B2384&amp;"ES",'LM7 Non-ENG'!$A$1:$A$4999,1,FALSE),"ERROR")=B2384&amp;"ES","Y","")),"")</f>
        <v/>
      </c>
      <c r="H2384" s="29" t="str">
        <f>IFERROR(HYPERLINK("#"&amp;ADDRESS(MATCH(B2384&amp;"PT",'LM7 Non-ENG'!$A$1:$A$5000,0),1,,,"LM7 Non-ENG"),IF(IFERROR(VLOOKUP(B2384&amp;"PT",'LM7 Non-ENG'!$A$1:$A$5000,1,FALSE),"ERROR")=B2384&amp;"PT","Y","")),"")</f>
        <v/>
      </c>
      <c r="I2384" t="str">
        <f>IFERROR(VLOOKUP(B2384,PN!$A:$C,3,FALSE),"")</f>
        <v>Active</v>
      </c>
      <c r="J2384" s="3" t="str">
        <f>IFERROR(E2384*VLOOKUP(B2384,PLInter!$A:$D,3,FALSE),"")</f>
        <v/>
      </c>
      <c r="K2384" s="66"/>
      <c r="L2384" s="66"/>
      <c r="M2384" s="66"/>
      <c r="N2384" s="66"/>
      <c r="O2384" s="66"/>
      <c r="P2384" s="66"/>
      <c r="Q2384" s="66"/>
      <c r="R2384" s="66"/>
      <c r="S2384" s="66"/>
    </row>
    <row r="2386" spans="1:19" s="7" customFormat="1" ht="18" customHeight="1">
      <c r="A2386" s="13" t="s">
        <v>1227</v>
      </c>
      <c r="B2386" s="13"/>
      <c r="C2386" s="13" t="s">
        <v>1228</v>
      </c>
      <c r="D2386" s="14"/>
      <c r="E2386" s="14"/>
      <c r="F2386" s="14"/>
      <c r="G2386" s="14"/>
      <c r="H2386" s="14"/>
      <c r="I2386" s="14"/>
      <c r="J2386" s="14">
        <f>SUMIFS(J2387:J2392,D2387:D2392,"&lt;&gt;Y",F2387:F2392,"&lt;&gt;Y",I2387:I2392,"&lt;&gt;Inactive",I2387:I2392,"&lt;&gt;ECO+NFS")</f>
        <v>3072</v>
      </c>
      <c r="K2386" s="14"/>
      <c r="L2386" s="14"/>
      <c r="M2386" s="14"/>
      <c r="N2386" s="14"/>
      <c r="O2386" s="14"/>
      <c r="P2386" s="14"/>
      <c r="Q2386" s="14"/>
      <c r="R2386" s="14"/>
      <c r="S2386" s="14"/>
    </row>
    <row r="2387" spans="1:19" ht="18" customHeight="1">
      <c r="A2387" s="17" t="str">
        <f>HYPERLINK("#"&amp;ADDRESS(MATCH(A2386,'CIM&amp;FMS'!$A$1:$A$4997,0),1,,,"CIM&amp;FMS"),"Back to Price List")</f>
        <v>Back to Price List</v>
      </c>
      <c r="B2387" t="s">
        <v>1198</v>
      </c>
      <c r="C2387" t="s">
        <v>1199</v>
      </c>
      <c r="D2387" s="4"/>
      <c r="E2387" s="4">
        <v>1</v>
      </c>
      <c r="F2387" s="4"/>
      <c r="G2387" s="29" t="str">
        <f>IFERROR(HYPERLINK("#"&amp;ADDRESS(MATCH(B2387&amp;"ES",'LM7 Non-ENG'!$A$1:$A$5000,0),1,,,"LM7 Non-ENG"),IF(IFERROR(VLOOKUP(B2387&amp;"ES",'LM7 Non-ENG'!$A$1:$A$4999,1,FALSE),"ERROR")=B2387&amp;"ES","Y","")),"")</f>
        <v/>
      </c>
      <c r="H2387" s="29" t="str">
        <f>IFERROR(HYPERLINK("#"&amp;ADDRESS(MATCH(B2387&amp;"PT",'LM7 Non-ENG'!$A$1:$A$5000,0),1,,,"LM7 Non-ENG"),IF(IFERROR(VLOOKUP(B2387&amp;"PT",'LM7 Non-ENG'!$A$1:$A$5000,1,FALSE),"ERROR")=B2387&amp;"PT","Y","")),"")</f>
        <v/>
      </c>
      <c r="I2387" t="str">
        <f>IFERROR(VLOOKUP(B2387,PN!$A:$C,3,FALSE),"")</f>
        <v>Active</v>
      </c>
      <c r="J2387" s="3">
        <f>IFERROR(E2387*VLOOKUP(B2387,PLInter!$A:$D,3,FALSE),"")</f>
        <v>1920</v>
      </c>
      <c r="K2387" s="66"/>
      <c r="L2387" s="66"/>
      <c r="M2387" s="66"/>
      <c r="N2387" s="66"/>
      <c r="O2387" s="66"/>
      <c r="P2387" s="66"/>
      <c r="Q2387" s="66"/>
      <c r="R2387" s="66"/>
      <c r="S2387" s="66"/>
    </row>
    <row r="2388" spans="1:19" ht="18" customHeight="1">
      <c r="B2388" t="s">
        <v>1200</v>
      </c>
      <c r="C2388" t="s">
        <v>1201</v>
      </c>
      <c r="D2388" s="4"/>
      <c r="E2388" s="4">
        <v>1</v>
      </c>
      <c r="F2388" s="4"/>
      <c r="G2388" s="29" t="str">
        <f>IFERROR(HYPERLINK("#"&amp;ADDRESS(MATCH(B2388&amp;"ES",'LM7 Non-ENG'!$A$1:$A$5000,0),1,,,"LM7 Non-ENG"),IF(IFERROR(VLOOKUP(B2388&amp;"ES",'LM7 Non-ENG'!$A$1:$A$4999,1,FALSE),"ERROR")=B2388&amp;"ES","Y","")),"")</f>
        <v/>
      </c>
      <c r="H2388" s="29" t="str">
        <f>IFERROR(HYPERLINK("#"&amp;ADDRESS(MATCH(B2388&amp;"PT",'LM7 Non-ENG'!$A$1:$A$5000,0),1,,,"LM7 Non-ENG"),IF(IFERROR(VLOOKUP(B2388&amp;"PT",'LM7 Non-ENG'!$A$1:$A$5000,1,FALSE),"ERROR")=B2388&amp;"PT","Y","")),"")</f>
        <v/>
      </c>
      <c r="I2388" t="str">
        <f>IFERROR(VLOOKUP(B2388,PN!$A:$C,3,FALSE),"")</f>
        <v>Active</v>
      </c>
      <c r="J2388" s="3">
        <f>IFERROR(E2388*VLOOKUP(B2388,PLInter!$A:$D,3,FALSE),"")</f>
        <v>480</v>
      </c>
      <c r="K2388" s="66"/>
      <c r="L2388" s="66"/>
      <c r="M2388" s="66"/>
      <c r="N2388" s="66"/>
      <c r="O2388" s="66"/>
      <c r="P2388" s="66"/>
      <c r="Q2388" s="66"/>
      <c r="R2388" s="66"/>
      <c r="S2388" s="66"/>
    </row>
    <row r="2389" spans="1:19" ht="18" customHeight="1">
      <c r="B2389" t="s">
        <v>1202</v>
      </c>
      <c r="C2389" t="s">
        <v>1203</v>
      </c>
      <c r="D2389" s="4"/>
      <c r="E2389" s="4">
        <v>2</v>
      </c>
      <c r="F2389" s="4"/>
      <c r="G2389" s="29" t="str">
        <f>IFERROR(HYPERLINK("#"&amp;ADDRESS(MATCH(B2389&amp;"ES",'LM7 Non-ENG'!$A$1:$A$5000,0),1,,,"LM7 Non-ENG"),IF(IFERROR(VLOOKUP(B2389&amp;"ES",'LM7 Non-ENG'!$A$1:$A$4999,1,FALSE),"ERROR")=B2389&amp;"ES","Y","")),"")</f>
        <v/>
      </c>
      <c r="H2389" s="29" t="str">
        <f>IFERROR(HYPERLINK("#"&amp;ADDRESS(MATCH(B2389&amp;"PT",'LM7 Non-ENG'!$A$1:$A$5000,0),1,,,"LM7 Non-ENG"),IF(IFERROR(VLOOKUP(B2389&amp;"PT",'LM7 Non-ENG'!$A$1:$A$5000,1,FALSE),"ERROR")=B2389&amp;"PT","Y","")),"")</f>
        <v/>
      </c>
      <c r="I2389" t="str">
        <f>IFERROR(VLOOKUP(B2389,PN!$A:$C,3,FALSE),"")</f>
        <v>Active</v>
      </c>
      <c r="J2389" s="3">
        <f>IFERROR(E2389*VLOOKUP(B2389,PLInter!$A:$D,3,FALSE),"")</f>
        <v>432</v>
      </c>
      <c r="K2389" s="66"/>
      <c r="L2389" s="66"/>
      <c r="M2389" s="66"/>
      <c r="N2389" s="66"/>
      <c r="O2389" s="66"/>
      <c r="P2389" s="66"/>
      <c r="Q2389" s="66"/>
      <c r="R2389" s="66"/>
      <c r="S2389" s="66"/>
    </row>
    <row r="2390" spans="1:19" ht="18" customHeight="1">
      <c r="B2390" t="s">
        <v>1218</v>
      </c>
      <c r="C2390" t="s">
        <v>1219</v>
      </c>
      <c r="D2390" s="4"/>
      <c r="E2390" s="4">
        <v>1</v>
      </c>
      <c r="F2390" s="4"/>
      <c r="G2390" s="29" t="str">
        <f>IFERROR(HYPERLINK("#"&amp;ADDRESS(MATCH(B2390&amp;"ES",'LM7 Non-ENG'!$A$1:$A$5000,0),1,,,"LM7 Non-ENG"),IF(IFERROR(VLOOKUP(B2390&amp;"ES",'LM7 Non-ENG'!$A$1:$A$4999,1,FALSE),"ERROR")=B2390&amp;"ES","Y","")),"")</f>
        <v/>
      </c>
      <c r="H2390" s="29" t="str">
        <f>IFERROR(HYPERLINK("#"&amp;ADDRESS(MATCH(B2390&amp;"PT",'LM7 Non-ENG'!$A$1:$A$5000,0),1,,,"LM7 Non-ENG"),IF(IFERROR(VLOOKUP(B2390&amp;"PT",'LM7 Non-ENG'!$A$1:$A$5000,1,FALSE),"ERROR")=B2390&amp;"PT","Y","")),"")</f>
        <v/>
      </c>
      <c r="I2390" t="str">
        <f>IFERROR(VLOOKUP(B2390,PN!$A:$C,3,FALSE),"")</f>
        <v>Active</v>
      </c>
      <c r="J2390" s="3">
        <f>IFERROR(E2390*VLOOKUP(B2390,PLInter!$A:$D,3,FALSE),"")</f>
        <v>240</v>
      </c>
      <c r="K2390" s="66"/>
      <c r="L2390" s="66"/>
      <c r="M2390" s="66"/>
      <c r="N2390" s="66"/>
      <c r="O2390" s="66"/>
      <c r="P2390" s="66"/>
      <c r="Q2390" s="66"/>
      <c r="R2390" s="66"/>
      <c r="S2390" s="66"/>
    </row>
    <row r="2391" spans="1:19" ht="18" customHeight="1">
      <c r="B2391" s="2" t="s">
        <v>1214</v>
      </c>
      <c r="C2391" s="50" t="s">
        <v>1215</v>
      </c>
      <c r="D2391" s="5"/>
      <c r="E2391" s="5">
        <v>1</v>
      </c>
      <c r="F2391" s="5" t="s">
        <v>0</v>
      </c>
      <c r="G2391" s="29" t="str">
        <f>IFERROR(HYPERLINK("#"&amp;ADDRESS(MATCH(B2391&amp;"ES",'LM7 Non-ENG'!$A$1:$A$5000,0),1,,,"LM7 Non-ENG"),IF(IFERROR(VLOOKUP(B2391&amp;"ES",'LM7 Non-ENG'!$A$1:$A$4999,1,FALSE),"ERROR")=B2391&amp;"ES","Y","")),"")</f>
        <v/>
      </c>
      <c r="H2391" s="29" t="str">
        <f>IFERROR(HYPERLINK("#"&amp;ADDRESS(MATCH(B2391&amp;"PT",'LM7 Non-ENG'!$A$1:$A$5000,0),1,,,"LM7 Non-ENG"),IF(IFERROR(VLOOKUP(B2391&amp;"PT",'LM7 Non-ENG'!$A$1:$A$5000,1,FALSE),"ERROR")=B2391&amp;"PT","Y","")),"")</f>
        <v/>
      </c>
      <c r="I2391" t="str">
        <f>IFERROR(VLOOKUP(B2391,PN!$A:$C,3,FALSE),"")</f>
        <v>Active</v>
      </c>
      <c r="J2391" s="3">
        <f>IFERROR(E2391*VLOOKUP(B2391,PLInter!$A:$D,3,FALSE),"")</f>
        <v>216</v>
      </c>
      <c r="K2391" s="66"/>
      <c r="L2391" s="66"/>
      <c r="M2391" s="66"/>
      <c r="N2391" s="66"/>
      <c r="O2391" s="66"/>
      <c r="P2391" s="66"/>
      <c r="Q2391" s="66"/>
      <c r="R2391" s="66"/>
      <c r="S2391" s="66"/>
    </row>
    <row r="2392" spans="1:19" ht="18" customHeight="1">
      <c r="B2392" s="1" t="s">
        <v>1206</v>
      </c>
      <c r="C2392" s="1" t="s">
        <v>1207</v>
      </c>
      <c r="D2392" s="6" t="s">
        <v>0</v>
      </c>
      <c r="E2392" s="6">
        <v>1</v>
      </c>
      <c r="F2392" s="6"/>
      <c r="G2392" s="29" t="str">
        <f>IFERROR(HYPERLINK("#"&amp;ADDRESS(MATCH(B2392&amp;"ES",'LM7 Non-ENG'!$A$1:$A$5000,0),1,,,"LM7 Non-ENG"),IF(IFERROR(VLOOKUP(B2392&amp;"ES",'LM7 Non-ENG'!$A$1:$A$4999,1,FALSE),"ERROR")=B2392&amp;"ES","Y","")),"")</f>
        <v/>
      </c>
      <c r="H2392" s="29" t="str">
        <f>IFERROR(HYPERLINK("#"&amp;ADDRESS(MATCH(B2392&amp;"PT",'LM7 Non-ENG'!$A$1:$A$5000,0),1,,,"LM7 Non-ENG"),IF(IFERROR(VLOOKUP(B2392&amp;"PT",'LM7 Non-ENG'!$A$1:$A$5000,1,FALSE),"ERROR")=B2392&amp;"PT","Y","")),"")</f>
        <v/>
      </c>
      <c r="I2392" t="str">
        <f>IFERROR(VLOOKUP(B2392,PN!$A:$C,3,FALSE),"")</f>
        <v>Active</v>
      </c>
      <c r="J2392" s="3" t="str">
        <f>IFERROR(E2392*VLOOKUP(B2392,PLInter!$A:$D,3,FALSE),"")</f>
        <v/>
      </c>
      <c r="K2392" s="66"/>
      <c r="L2392" s="66"/>
      <c r="M2392" s="66"/>
      <c r="N2392" s="66"/>
      <c r="O2392" s="66"/>
      <c r="P2392" s="66"/>
      <c r="Q2392" s="66"/>
      <c r="R2392" s="66"/>
      <c r="S2392" s="66"/>
    </row>
    <row r="2394" spans="1:19" s="7" customFormat="1" ht="18" customHeight="1">
      <c r="A2394" s="13" t="s">
        <v>1229</v>
      </c>
      <c r="B2394" s="13"/>
      <c r="C2394" s="13" t="s">
        <v>1230</v>
      </c>
      <c r="D2394" s="14"/>
      <c r="E2394" s="14"/>
      <c r="F2394" s="14"/>
      <c r="G2394" s="14"/>
      <c r="H2394" s="14"/>
      <c r="I2394" s="14"/>
      <c r="J2394" s="14">
        <f>SUMIFS(J2395:J2395,D2395:D2395,"&lt;&gt;Y",F2395:F2395,"&lt;&gt;Y",I2395:I2395,"&lt;&gt;Inactive",I2395:I2395,"&lt;&gt;ECO+NFS")</f>
        <v>3500</v>
      </c>
      <c r="K2394" s="14"/>
      <c r="L2394" s="14"/>
      <c r="M2394" s="14"/>
      <c r="N2394" s="14"/>
      <c r="O2394" s="14"/>
      <c r="P2394" s="14"/>
      <c r="Q2394" s="14"/>
      <c r="R2394" s="14"/>
      <c r="S2394" s="14"/>
    </row>
    <row r="2395" spans="1:19" ht="18" customHeight="1">
      <c r="A2395" s="17" t="str">
        <f>HYPERLINK("#"&amp;ADDRESS(MATCH(A2394,'CIM&amp;FMS'!$A$1:$A$4997,0),1,,,"CIM&amp;FMS"),"Back to Price List")</f>
        <v>Back to Price List</v>
      </c>
      <c r="B2395" t="s">
        <v>1231</v>
      </c>
      <c r="C2395" t="s">
        <v>1232</v>
      </c>
      <c r="D2395" s="4"/>
      <c r="E2395" s="4">
        <v>1</v>
      </c>
      <c r="F2395" s="4"/>
      <c r="G2395" s="29" t="str">
        <f>IFERROR(HYPERLINK("#"&amp;ADDRESS(MATCH(B2395&amp;"ES",'LM7 Non-ENG'!$A$1:$A$5000,0),1,,,"LM7 Non-ENG"),IF(IFERROR(VLOOKUP(B2395&amp;"ES",'LM7 Non-ENG'!$A$1:$A$4999,1,FALSE),"ERROR")=B2395&amp;"ES","Y","")),"")</f>
        <v/>
      </c>
      <c r="H2395" s="29" t="str">
        <f>IFERROR(HYPERLINK("#"&amp;ADDRESS(MATCH(B2395&amp;"PT",'LM7 Non-ENG'!$A$1:$A$5000,0),1,,,"LM7 Non-ENG"),IF(IFERROR(VLOOKUP(B2395&amp;"PT",'LM7 Non-ENG'!$A$1:$A$5000,1,FALSE),"ERROR")=B2395&amp;"PT","Y","")),"")</f>
        <v/>
      </c>
      <c r="I2395" t="str">
        <f>IFERROR(VLOOKUP(B2395,PN!$A:$C,3,FALSE),"")</f>
        <v>Active</v>
      </c>
      <c r="J2395" s="3">
        <f>IFERROR(E2395*VLOOKUP(B2395,PLInter!$A:$D,3,FALSE),"")</f>
        <v>3500</v>
      </c>
      <c r="K2395" s="66"/>
      <c r="L2395" s="66"/>
      <c r="M2395" s="66"/>
      <c r="N2395" s="66"/>
      <c r="O2395" s="66"/>
      <c r="P2395" s="66"/>
      <c r="Q2395" s="66"/>
      <c r="R2395" s="66"/>
      <c r="S2395" s="66"/>
    </row>
    <row r="2397" spans="1:19" s="7" customFormat="1" ht="18" customHeight="1">
      <c r="A2397" s="13" t="s">
        <v>1233</v>
      </c>
      <c r="B2397" s="13"/>
      <c r="C2397" s="13" t="s">
        <v>1234</v>
      </c>
      <c r="D2397" s="14"/>
      <c r="E2397" s="14"/>
      <c r="F2397" s="14"/>
      <c r="G2397" s="14"/>
      <c r="H2397" s="14"/>
      <c r="I2397" s="14"/>
      <c r="J2397" s="14">
        <f>SUMIFS(J2398:J2402,D2398:D2402,"&lt;&gt;Y",F2398:F2402,"&lt;&gt;Y",I2398:I2402,"&lt;&gt;Inactive",I2398:I2402,"&lt;&gt;ECO+NFS")</f>
        <v>3168</v>
      </c>
      <c r="K2397" s="14"/>
      <c r="L2397" s="14"/>
      <c r="M2397" s="14"/>
      <c r="N2397" s="14"/>
      <c r="O2397" s="14"/>
      <c r="P2397" s="14"/>
      <c r="Q2397" s="14"/>
      <c r="R2397" s="14"/>
      <c r="S2397" s="14"/>
    </row>
    <row r="2398" spans="1:19" ht="18" customHeight="1">
      <c r="A2398" s="17" t="str">
        <f>HYPERLINK("#"&amp;ADDRESS(MATCH(A2397,'CIM&amp;FMS'!$A$1:$A$4997,0),1,,,"CIM&amp;FMS"),"Back to Price List")</f>
        <v>Back to Price List</v>
      </c>
      <c r="B2398" t="s">
        <v>1235</v>
      </c>
      <c r="C2398" t="s">
        <v>1236</v>
      </c>
      <c r="D2398" s="4"/>
      <c r="E2398" s="4">
        <v>1</v>
      </c>
      <c r="F2398" s="4"/>
      <c r="G2398" s="29" t="str">
        <f>IFERROR(HYPERLINK("#"&amp;ADDRESS(MATCH(B2398&amp;"ES",'LM7 Non-ENG'!$A$1:$A$5000,0),1,,,"LM7 Non-ENG"),IF(IFERROR(VLOOKUP(B2398&amp;"ES",'LM7 Non-ENG'!$A$1:$A$4999,1,FALSE),"ERROR")=B2398&amp;"ES","Y","")),"")</f>
        <v/>
      </c>
      <c r="H2398" s="29" t="str">
        <f>IFERROR(HYPERLINK("#"&amp;ADDRESS(MATCH(B2398&amp;"PT",'LM7 Non-ENG'!$A$1:$A$5000,0),1,,,"LM7 Non-ENG"),IF(IFERROR(VLOOKUP(B2398&amp;"PT",'LM7 Non-ENG'!$A$1:$A$5000,1,FALSE),"ERROR")=B2398&amp;"PT","Y","")),"")</f>
        <v/>
      </c>
      <c r="I2398" t="str">
        <f>IFERROR(VLOOKUP(B2398,PN!$A:$C,3,FALSE),"")</f>
        <v>Active</v>
      </c>
      <c r="J2398" s="3">
        <f>IFERROR(E2398*VLOOKUP(B2398,PLInter!$A:$D,3,FALSE),"")</f>
        <v>2160</v>
      </c>
      <c r="K2398" s="66"/>
      <c r="L2398" s="66"/>
      <c r="M2398" s="66"/>
      <c r="N2398" s="66"/>
      <c r="O2398" s="66"/>
      <c r="P2398" s="66"/>
      <c r="Q2398" s="66"/>
      <c r="R2398" s="66"/>
      <c r="S2398" s="66"/>
    </row>
    <row r="2399" spans="1:19" ht="18" customHeight="1">
      <c r="B2399" t="s">
        <v>1200</v>
      </c>
      <c r="C2399" t="s">
        <v>1201</v>
      </c>
      <c r="D2399" s="4"/>
      <c r="E2399" s="4">
        <v>1</v>
      </c>
      <c r="F2399" s="4"/>
      <c r="G2399" s="29" t="str">
        <f>IFERROR(HYPERLINK("#"&amp;ADDRESS(MATCH(B2399&amp;"ES",'LM7 Non-ENG'!$A$1:$A$5000,0),1,,,"LM7 Non-ENG"),IF(IFERROR(VLOOKUP(B2399&amp;"ES",'LM7 Non-ENG'!$A$1:$A$4999,1,FALSE),"ERROR")=B2399&amp;"ES","Y","")),"")</f>
        <v/>
      </c>
      <c r="H2399" s="29" t="str">
        <f>IFERROR(HYPERLINK("#"&amp;ADDRESS(MATCH(B2399&amp;"PT",'LM7 Non-ENG'!$A$1:$A$5000,0),1,,,"LM7 Non-ENG"),IF(IFERROR(VLOOKUP(B2399&amp;"PT",'LM7 Non-ENG'!$A$1:$A$5000,1,FALSE),"ERROR")=B2399&amp;"PT","Y","")),"")</f>
        <v/>
      </c>
      <c r="I2399" t="str">
        <f>IFERROR(VLOOKUP(B2399,PN!$A:$C,3,FALSE),"")</f>
        <v>Active</v>
      </c>
      <c r="J2399" s="3">
        <f>IFERROR(E2399*VLOOKUP(B2399,PLInter!$A:$D,3,FALSE),"")</f>
        <v>480</v>
      </c>
      <c r="K2399" s="66"/>
      <c r="L2399" s="66"/>
      <c r="M2399" s="66"/>
      <c r="N2399" s="66"/>
      <c r="O2399" s="66"/>
      <c r="P2399" s="66"/>
      <c r="Q2399" s="66"/>
      <c r="R2399" s="66"/>
      <c r="S2399" s="66"/>
    </row>
    <row r="2400" spans="1:19" ht="18" customHeight="1">
      <c r="B2400" t="s">
        <v>1202</v>
      </c>
      <c r="C2400" t="s">
        <v>1203</v>
      </c>
      <c r="D2400" s="4"/>
      <c r="E2400" s="4">
        <v>2</v>
      </c>
      <c r="F2400" s="4"/>
      <c r="G2400" s="29" t="str">
        <f>IFERROR(HYPERLINK("#"&amp;ADDRESS(MATCH(B2400&amp;"ES",'LM7 Non-ENG'!$A$1:$A$5000,0),1,,,"LM7 Non-ENG"),IF(IFERROR(VLOOKUP(B2400&amp;"ES",'LM7 Non-ENG'!$A$1:$A$4999,1,FALSE),"ERROR")=B2400&amp;"ES","Y","")),"")</f>
        <v/>
      </c>
      <c r="H2400" s="29" t="str">
        <f>IFERROR(HYPERLINK("#"&amp;ADDRESS(MATCH(B2400&amp;"PT",'LM7 Non-ENG'!$A$1:$A$5000,0),1,,,"LM7 Non-ENG"),IF(IFERROR(VLOOKUP(B2400&amp;"PT",'LM7 Non-ENG'!$A$1:$A$5000,1,FALSE),"ERROR")=B2400&amp;"PT","Y","")),"")</f>
        <v/>
      </c>
      <c r="I2400" t="str">
        <f>IFERROR(VLOOKUP(B2400,PN!$A:$C,3,FALSE),"")</f>
        <v>Active</v>
      </c>
      <c r="J2400" s="3">
        <f>IFERROR(E2400*VLOOKUP(B2400,PLInter!$A:$D,3,FALSE),"")</f>
        <v>432</v>
      </c>
      <c r="K2400" s="66"/>
      <c r="L2400" s="66"/>
      <c r="M2400" s="66"/>
      <c r="N2400" s="66"/>
      <c r="O2400" s="66"/>
      <c r="P2400" s="66"/>
      <c r="Q2400" s="66"/>
      <c r="R2400" s="66"/>
      <c r="S2400" s="66"/>
    </row>
    <row r="2401" spans="1:19" ht="18" customHeight="1">
      <c r="B2401" t="s">
        <v>1204</v>
      </c>
      <c r="C2401" t="s">
        <v>1205</v>
      </c>
      <c r="D2401" s="4"/>
      <c r="E2401" s="4">
        <v>1</v>
      </c>
      <c r="F2401" s="4"/>
      <c r="G2401" s="29" t="str">
        <f>IFERROR(HYPERLINK("#"&amp;ADDRESS(MATCH(B2401&amp;"ES",'LM7 Non-ENG'!$A$1:$A$5000,0),1,,,"LM7 Non-ENG"),IF(IFERROR(VLOOKUP(B2401&amp;"ES",'LM7 Non-ENG'!$A$1:$A$4999,1,FALSE),"ERROR")=B2401&amp;"ES","Y","")),"")</f>
        <v/>
      </c>
      <c r="H2401" s="29" t="str">
        <f>IFERROR(HYPERLINK("#"&amp;ADDRESS(MATCH(B2401&amp;"PT",'LM7 Non-ENG'!$A$1:$A$5000,0),1,,,"LM7 Non-ENG"),IF(IFERROR(VLOOKUP(B2401&amp;"PT",'LM7 Non-ENG'!$A$1:$A$5000,1,FALSE),"ERROR")=B2401&amp;"PT","Y","")),"")</f>
        <v/>
      </c>
      <c r="I2401" t="str">
        <f>IFERROR(VLOOKUP(B2401,PN!$A:$C,3,FALSE),"")</f>
        <v>Active</v>
      </c>
      <c r="J2401" s="3">
        <f>IFERROR(E2401*VLOOKUP(B2401,PLInter!$A:$D,3,FALSE),"")</f>
        <v>96</v>
      </c>
      <c r="K2401" s="66"/>
      <c r="L2401" s="66"/>
      <c r="M2401" s="66"/>
      <c r="N2401" s="66"/>
      <c r="O2401" s="66"/>
      <c r="P2401" s="66"/>
      <c r="Q2401" s="66"/>
      <c r="R2401" s="66"/>
      <c r="S2401" s="66"/>
    </row>
    <row r="2402" spans="1:19" ht="18" customHeight="1">
      <c r="B2402" s="1" t="s">
        <v>1206</v>
      </c>
      <c r="C2402" s="1" t="s">
        <v>1207</v>
      </c>
      <c r="D2402" s="6" t="s">
        <v>0</v>
      </c>
      <c r="E2402" s="6">
        <v>1</v>
      </c>
      <c r="F2402" s="6"/>
      <c r="G2402" s="29" t="str">
        <f>IFERROR(HYPERLINK("#"&amp;ADDRESS(MATCH(B2402&amp;"ES",'LM7 Non-ENG'!$A$1:$A$5000,0),1,,,"LM7 Non-ENG"),IF(IFERROR(VLOOKUP(B2402&amp;"ES",'LM7 Non-ENG'!$A$1:$A$4999,1,FALSE),"ERROR")=B2402&amp;"ES","Y","")),"")</f>
        <v/>
      </c>
      <c r="H2402" s="29" t="str">
        <f>IFERROR(HYPERLINK("#"&amp;ADDRESS(MATCH(B2402&amp;"PT",'LM7 Non-ENG'!$A$1:$A$5000,0),1,,,"LM7 Non-ENG"),IF(IFERROR(VLOOKUP(B2402&amp;"PT",'LM7 Non-ENG'!$A$1:$A$5000,1,FALSE),"ERROR")=B2402&amp;"PT","Y","")),"")</f>
        <v/>
      </c>
      <c r="I2402" t="str">
        <f>IFERROR(VLOOKUP(B2402,PN!$A:$C,3,FALSE),"")</f>
        <v>Active</v>
      </c>
      <c r="J2402" s="3" t="str">
        <f>IFERROR(E2402*VLOOKUP(B2402,PLInter!$A:$D,3,FALSE),"")</f>
        <v/>
      </c>
      <c r="K2402" s="66"/>
      <c r="L2402" s="66"/>
      <c r="M2402" s="66"/>
      <c r="N2402" s="66"/>
      <c r="O2402" s="66"/>
      <c r="P2402" s="66"/>
      <c r="Q2402" s="66"/>
      <c r="R2402" s="66"/>
      <c r="S2402" s="66"/>
    </row>
    <row r="2404" spans="1:19" s="7" customFormat="1" ht="18" customHeight="1">
      <c r="A2404" s="13" t="s">
        <v>1237</v>
      </c>
      <c r="B2404" s="13"/>
      <c r="C2404" s="13" t="s">
        <v>1238</v>
      </c>
      <c r="D2404" s="14"/>
      <c r="E2404" s="14"/>
      <c r="F2404" s="14"/>
      <c r="G2404" s="14"/>
      <c r="H2404" s="14"/>
      <c r="I2404" s="14"/>
      <c r="J2404" s="14">
        <f>SUMIFS(J2405:J2409,D2405:D2409,"&lt;&gt;Y",F2405:F2409,"&lt;&gt;Y",I2405:I2409,"&lt;&gt;Inactive",I2405:I2409,"&lt;&gt;ECO+NFS")</f>
        <v>3204</v>
      </c>
      <c r="K2404" s="14"/>
      <c r="L2404" s="14"/>
      <c r="M2404" s="14"/>
      <c r="N2404" s="14"/>
      <c r="O2404" s="14"/>
      <c r="P2404" s="14"/>
      <c r="Q2404" s="14"/>
      <c r="R2404" s="14"/>
      <c r="S2404" s="14"/>
    </row>
    <row r="2405" spans="1:19" ht="18" customHeight="1">
      <c r="A2405" s="17" t="str">
        <f>HYPERLINK("#"&amp;ADDRESS(MATCH(A2404,'CIM&amp;FMS'!$A$1:$A$4997,0),1,,,"CIM&amp;FMS"),"Back to Price List")</f>
        <v>Back to Price List</v>
      </c>
      <c r="B2405" t="s">
        <v>1235</v>
      </c>
      <c r="C2405" t="s">
        <v>1236</v>
      </c>
      <c r="D2405" s="4"/>
      <c r="E2405" s="4">
        <v>1</v>
      </c>
      <c r="F2405" s="4"/>
      <c r="G2405" s="29" t="str">
        <f>IFERROR(HYPERLINK("#"&amp;ADDRESS(MATCH(B2405&amp;"ES",'LM7 Non-ENG'!$A$1:$A$5000,0),1,,,"LM7 Non-ENG"),IF(IFERROR(VLOOKUP(B2405&amp;"ES",'LM7 Non-ENG'!$A$1:$A$4999,1,FALSE),"ERROR")=B2405&amp;"ES","Y","")),"")</f>
        <v/>
      </c>
      <c r="H2405" s="29" t="str">
        <f>IFERROR(HYPERLINK("#"&amp;ADDRESS(MATCH(B2405&amp;"PT",'LM7 Non-ENG'!$A$1:$A$5000,0),1,,,"LM7 Non-ENG"),IF(IFERROR(VLOOKUP(B2405&amp;"PT",'LM7 Non-ENG'!$A$1:$A$5000,1,FALSE),"ERROR")=B2405&amp;"PT","Y","")),"")</f>
        <v/>
      </c>
      <c r="I2405" t="str">
        <f>IFERROR(VLOOKUP(B2405,PN!$A:$C,3,FALSE),"")</f>
        <v>Active</v>
      </c>
      <c r="J2405" s="3">
        <f>IFERROR(E2405*VLOOKUP(B2405,PLInter!$A:$D,3,FALSE),"")</f>
        <v>2160</v>
      </c>
      <c r="K2405" s="66"/>
      <c r="L2405" s="66"/>
      <c r="M2405" s="66"/>
      <c r="N2405" s="66"/>
      <c r="O2405" s="66"/>
      <c r="P2405" s="66"/>
      <c r="Q2405" s="66"/>
      <c r="R2405" s="66"/>
      <c r="S2405" s="66"/>
    </row>
    <row r="2406" spans="1:19" ht="18" customHeight="1">
      <c r="B2406" t="s">
        <v>1200</v>
      </c>
      <c r="C2406" t="s">
        <v>1201</v>
      </c>
      <c r="D2406" s="4"/>
      <c r="E2406" s="4">
        <v>1</v>
      </c>
      <c r="F2406" s="4"/>
      <c r="G2406" s="29" t="str">
        <f>IFERROR(HYPERLINK("#"&amp;ADDRESS(MATCH(B2406&amp;"ES",'LM7 Non-ENG'!$A$1:$A$5000,0),1,,,"LM7 Non-ENG"),IF(IFERROR(VLOOKUP(B2406&amp;"ES",'LM7 Non-ENG'!$A$1:$A$4999,1,FALSE),"ERROR")=B2406&amp;"ES","Y","")),"")</f>
        <v/>
      </c>
      <c r="H2406" s="29" t="str">
        <f>IFERROR(HYPERLINK("#"&amp;ADDRESS(MATCH(B2406&amp;"PT",'LM7 Non-ENG'!$A$1:$A$5000,0),1,,,"LM7 Non-ENG"),IF(IFERROR(VLOOKUP(B2406&amp;"PT",'LM7 Non-ENG'!$A$1:$A$5000,1,FALSE),"ERROR")=B2406&amp;"PT","Y","")),"")</f>
        <v/>
      </c>
      <c r="I2406" t="str">
        <f>IFERROR(VLOOKUP(B2406,PN!$A:$C,3,FALSE),"")</f>
        <v>Active</v>
      </c>
      <c r="J2406" s="3">
        <f>IFERROR(E2406*VLOOKUP(B2406,PLInter!$A:$D,3,FALSE),"")</f>
        <v>480</v>
      </c>
      <c r="K2406" s="66"/>
      <c r="L2406" s="66"/>
      <c r="M2406" s="66"/>
      <c r="N2406" s="66"/>
      <c r="O2406" s="66"/>
      <c r="P2406" s="66"/>
      <c r="Q2406" s="66"/>
      <c r="R2406" s="66"/>
      <c r="S2406" s="66"/>
    </row>
    <row r="2407" spans="1:19" ht="18" customHeight="1">
      <c r="B2407" t="s">
        <v>1202</v>
      </c>
      <c r="C2407" t="s">
        <v>1203</v>
      </c>
      <c r="D2407" s="4"/>
      <c r="E2407" s="4">
        <v>2</v>
      </c>
      <c r="F2407" s="4"/>
      <c r="G2407" s="29" t="str">
        <f>IFERROR(HYPERLINK("#"&amp;ADDRESS(MATCH(B2407&amp;"ES",'LM7 Non-ENG'!$A$1:$A$5000,0),1,,,"LM7 Non-ENG"),IF(IFERROR(VLOOKUP(B2407&amp;"ES",'LM7 Non-ENG'!$A$1:$A$4999,1,FALSE),"ERROR")=B2407&amp;"ES","Y","")),"")</f>
        <v/>
      </c>
      <c r="H2407" s="29" t="str">
        <f>IFERROR(HYPERLINK("#"&amp;ADDRESS(MATCH(B2407&amp;"PT",'LM7 Non-ENG'!$A$1:$A$5000,0),1,,,"LM7 Non-ENG"),IF(IFERROR(VLOOKUP(B2407&amp;"PT",'LM7 Non-ENG'!$A$1:$A$5000,1,FALSE),"ERROR")=B2407&amp;"PT","Y","")),"")</f>
        <v/>
      </c>
      <c r="I2407" t="str">
        <f>IFERROR(VLOOKUP(B2407,PN!$A:$C,3,FALSE),"")</f>
        <v>Active</v>
      </c>
      <c r="J2407" s="3">
        <f>IFERROR(E2407*VLOOKUP(B2407,PLInter!$A:$D,3,FALSE),"")</f>
        <v>432</v>
      </c>
      <c r="K2407" s="66"/>
      <c r="L2407" s="66"/>
      <c r="M2407" s="66"/>
      <c r="N2407" s="66"/>
      <c r="O2407" s="66"/>
      <c r="P2407" s="66"/>
      <c r="Q2407" s="66"/>
      <c r="R2407" s="66"/>
      <c r="S2407" s="66"/>
    </row>
    <row r="2408" spans="1:19" ht="18" customHeight="1">
      <c r="B2408" t="s">
        <v>1210</v>
      </c>
      <c r="C2408" t="s">
        <v>1211</v>
      </c>
      <c r="D2408" s="4"/>
      <c r="E2408" s="4">
        <v>1</v>
      </c>
      <c r="F2408" s="4"/>
      <c r="G2408" s="29" t="str">
        <f>IFERROR(HYPERLINK("#"&amp;ADDRESS(MATCH(B2408&amp;"ES",'LM7 Non-ENG'!$A$1:$A$5000,0),1,,,"LM7 Non-ENG"),IF(IFERROR(VLOOKUP(B2408&amp;"ES",'LM7 Non-ENG'!$A$1:$A$4999,1,FALSE),"ERROR")=B2408&amp;"ES","Y","")),"")</f>
        <v/>
      </c>
      <c r="H2408" s="29" t="str">
        <f>IFERROR(HYPERLINK("#"&amp;ADDRESS(MATCH(B2408&amp;"PT",'LM7 Non-ENG'!$A$1:$A$5000,0),1,,,"LM7 Non-ENG"),IF(IFERROR(VLOOKUP(B2408&amp;"PT",'LM7 Non-ENG'!$A$1:$A$5000,1,FALSE),"ERROR")=B2408&amp;"PT","Y","")),"")</f>
        <v/>
      </c>
      <c r="I2408" t="str">
        <f>IFERROR(VLOOKUP(B2408,PN!$A:$C,3,FALSE),"")</f>
        <v>Active</v>
      </c>
      <c r="J2408" s="3">
        <f>IFERROR(E2408*VLOOKUP(B2408,PLInter!$A:$D,3,FALSE),"")</f>
        <v>132</v>
      </c>
      <c r="K2408" s="66"/>
      <c r="L2408" s="66"/>
      <c r="M2408" s="66"/>
      <c r="N2408" s="66"/>
      <c r="O2408" s="66"/>
      <c r="P2408" s="66"/>
      <c r="Q2408" s="66"/>
      <c r="R2408" s="66"/>
      <c r="S2408" s="66"/>
    </row>
    <row r="2409" spans="1:19" ht="18" customHeight="1">
      <c r="B2409" s="1" t="s">
        <v>1206</v>
      </c>
      <c r="C2409" s="1" t="s">
        <v>1207</v>
      </c>
      <c r="D2409" s="6" t="s">
        <v>0</v>
      </c>
      <c r="E2409" s="6">
        <v>1</v>
      </c>
      <c r="F2409" s="6"/>
      <c r="G2409" s="29" t="str">
        <f>IFERROR(HYPERLINK("#"&amp;ADDRESS(MATCH(B2409&amp;"ES",'LM7 Non-ENG'!$A$1:$A$5000,0),1,,,"LM7 Non-ENG"),IF(IFERROR(VLOOKUP(B2409&amp;"ES",'LM7 Non-ENG'!$A$1:$A$4999,1,FALSE),"ERROR")=B2409&amp;"ES","Y","")),"")</f>
        <v/>
      </c>
      <c r="H2409" s="29" t="str">
        <f>IFERROR(HYPERLINK("#"&amp;ADDRESS(MATCH(B2409&amp;"PT",'LM7 Non-ENG'!$A$1:$A$5000,0),1,,,"LM7 Non-ENG"),IF(IFERROR(VLOOKUP(B2409&amp;"PT",'LM7 Non-ENG'!$A$1:$A$5000,1,FALSE),"ERROR")=B2409&amp;"PT","Y","")),"")</f>
        <v/>
      </c>
      <c r="I2409" t="str">
        <f>IFERROR(VLOOKUP(B2409,PN!$A:$C,3,FALSE),"")</f>
        <v>Active</v>
      </c>
      <c r="J2409" s="3" t="str">
        <f>IFERROR(E2409*VLOOKUP(B2409,PLInter!$A:$D,3,FALSE),"")</f>
        <v/>
      </c>
      <c r="K2409" s="66"/>
      <c r="L2409" s="66"/>
      <c r="M2409" s="66"/>
      <c r="N2409" s="66"/>
      <c r="O2409" s="66"/>
      <c r="P2409" s="66"/>
      <c r="Q2409" s="66"/>
      <c r="R2409" s="66"/>
      <c r="S2409" s="66"/>
    </row>
    <row r="2411" spans="1:19" s="7" customFormat="1" ht="18" customHeight="1">
      <c r="A2411" s="13" t="s">
        <v>1239</v>
      </c>
      <c r="B2411" s="13"/>
      <c r="C2411" s="13" t="s">
        <v>1240</v>
      </c>
      <c r="D2411" s="14"/>
      <c r="E2411" s="14"/>
      <c r="F2411" s="14"/>
      <c r="G2411" s="14"/>
      <c r="H2411" s="14"/>
      <c r="I2411" s="14"/>
      <c r="J2411" s="14">
        <f>SUMIFS(J2412:J2416,D2412:D2416,"&lt;&gt;Y",F2412:F2416,"&lt;&gt;Y",I2412:I2416,"&lt;&gt;Inactive",I2412:I2416,"&lt;&gt;ECO+NFS")</f>
        <v>3288</v>
      </c>
      <c r="K2411" s="14"/>
      <c r="L2411" s="14"/>
      <c r="M2411" s="14"/>
      <c r="N2411" s="14"/>
      <c r="O2411" s="14"/>
      <c r="P2411" s="14"/>
      <c r="Q2411" s="14"/>
      <c r="R2411" s="14"/>
      <c r="S2411" s="14"/>
    </row>
    <row r="2412" spans="1:19" ht="18" customHeight="1">
      <c r="A2412" s="17" t="str">
        <f>HYPERLINK("#"&amp;ADDRESS(MATCH(A2411,'CIM&amp;FMS'!$A$1:$A$4997,0),1,,,"CIM&amp;FMS"),"Back to Price List")</f>
        <v>Back to Price List</v>
      </c>
      <c r="B2412" t="s">
        <v>1235</v>
      </c>
      <c r="C2412" t="s">
        <v>1236</v>
      </c>
      <c r="D2412" s="4"/>
      <c r="E2412" s="4">
        <v>1</v>
      </c>
      <c r="F2412" s="4"/>
      <c r="G2412" s="29" t="str">
        <f>IFERROR(HYPERLINK("#"&amp;ADDRESS(MATCH(B2412&amp;"ES",'LM7 Non-ENG'!$A$1:$A$5000,0),1,,,"LM7 Non-ENG"),IF(IFERROR(VLOOKUP(B2412&amp;"ES",'LM7 Non-ENG'!$A$1:$A$4999,1,FALSE),"ERROR")=B2412&amp;"ES","Y","")),"")</f>
        <v/>
      </c>
      <c r="H2412" s="29" t="str">
        <f>IFERROR(HYPERLINK("#"&amp;ADDRESS(MATCH(B2412&amp;"PT",'LM7 Non-ENG'!$A$1:$A$5000,0),1,,,"LM7 Non-ENG"),IF(IFERROR(VLOOKUP(B2412&amp;"PT",'LM7 Non-ENG'!$A$1:$A$5000,1,FALSE),"ERROR")=B2412&amp;"PT","Y","")),"")</f>
        <v/>
      </c>
      <c r="I2412" t="str">
        <f>IFERROR(VLOOKUP(B2412,PN!$A:$C,3,FALSE),"")</f>
        <v>Active</v>
      </c>
      <c r="J2412" s="3">
        <f>IFERROR(E2412*VLOOKUP(B2412,PLInter!$A:$D,3,FALSE),"")</f>
        <v>2160</v>
      </c>
      <c r="K2412" s="66"/>
      <c r="L2412" s="66"/>
      <c r="M2412" s="66"/>
      <c r="N2412" s="66"/>
      <c r="O2412" s="66"/>
      <c r="P2412" s="66"/>
      <c r="Q2412" s="66"/>
      <c r="R2412" s="66"/>
      <c r="S2412" s="66"/>
    </row>
    <row r="2413" spans="1:19" ht="18" customHeight="1">
      <c r="B2413" t="s">
        <v>1200</v>
      </c>
      <c r="C2413" t="s">
        <v>1201</v>
      </c>
      <c r="D2413" s="4"/>
      <c r="E2413" s="4">
        <v>1</v>
      </c>
      <c r="F2413" s="4"/>
      <c r="G2413" s="29" t="str">
        <f>IFERROR(HYPERLINK("#"&amp;ADDRESS(MATCH(B2413&amp;"ES",'LM7 Non-ENG'!$A$1:$A$5000,0),1,,,"LM7 Non-ENG"),IF(IFERROR(VLOOKUP(B2413&amp;"ES",'LM7 Non-ENG'!$A$1:$A$4999,1,FALSE),"ERROR")=B2413&amp;"ES","Y","")),"")</f>
        <v/>
      </c>
      <c r="H2413" s="29" t="str">
        <f>IFERROR(HYPERLINK("#"&amp;ADDRESS(MATCH(B2413&amp;"PT",'LM7 Non-ENG'!$A$1:$A$5000,0),1,,,"LM7 Non-ENG"),IF(IFERROR(VLOOKUP(B2413&amp;"PT",'LM7 Non-ENG'!$A$1:$A$5000,1,FALSE),"ERROR")=B2413&amp;"PT","Y","")),"")</f>
        <v/>
      </c>
      <c r="I2413" t="str">
        <f>IFERROR(VLOOKUP(B2413,PN!$A:$C,3,FALSE),"")</f>
        <v>Active</v>
      </c>
      <c r="J2413" s="3">
        <f>IFERROR(E2413*VLOOKUP(B2413,PLInter!$A:$D,3,FALSE),"")</f>
        <v>480</v>
      </c>
      <c r="K2413" s="66"/>
      <c r="L2413" s="66"/>
      <c r="M2413" s="66"/>
      <c r="N2413" s="66"/>
      <c r="O2413" s="66"/>
      <c r="P2413" s="66"/>
      <c r="Q2413" s="66"/>
      <c r="R2413" s="66"/>
      <c r="S2413" s="66"/>
    </row>
    <row r="2414" spans="1:19" ht="18" customHeight="1">
      <c r="B2414" t="s">
        <v>1202</v>
      </c>
      <c r="C2414" t="s">
        <v>1203</v>
      </c>
      <c r="D2414" s="4"/>
      <c r="E2414" s="4">
        <v>2</v>
      </c>
      <c r="F2414" s="4"/>
      <c r="G2414" s="29" t="str">
        <f>IFERROR(HYPERLINK("#"&amp;ADDRESS(MATCH(B2414&amp;"ES",'LM7 Non-ENG'!$A$1:$A$5000,0),1,,,"LM7 Non-ENG"),IF(IFERROR(VLOOKUP(B2414&amp;"ES",'LM7 Non-ENG'!$A$1:$A$4999,1,FALSE),"ERROR")=B2414&amp;"ES","Y","")),"")</f>
        <v/>
      </c>
      <c r="H2414" s="29" t="str">
        <f>IFERROR(HYPERLINK("#"&amp;ADDRESS(MATCH(B2414&amp;"PT",'LM7 Non-ENG'!$A$1:$A$5000,0),1,,,"LM7 Non-ENG"),IF(IFERROR(VLOOKUP(B2414&amp;"PT",'LM7 Non-ENG'!$A$1:$A$5000,1,FALSE),"ERROR")=B2414&amp;"PT","Y","")),"")</f>
        <v/>
      </c>
      <c r="I2414" t="str">
        <f>IFERROR(VLOOKUP(B2414,PN!$A:$C,3,FALSE),"")</f>
        <v>Active</v>
      </c>
      <c r="J2414" s="3">
        <f>IFERROR(E2414*VLOOKUP(B2414,PLInter!$A:$D,3,FALSE),"")</f>
        <v>432</v>
      </c>
      <c r="K2414" s="66"/>
      <c r="L2414" s="66"/>
      <c r="M2414" s="66"/>
      <c r="N2414" s="66"/>
      <c r="O2414" s="66"/>
      <c r="P2414" s="66"/>
      <c r="Q2414" s="66"/>
      <c r="R2414" s="66"/>
      <c r="S2414" s="66"/>
    </row>
    <row r="2415" spans="1:19" ht="18" customHeight="1">
      <c r="B2415" t="s">
        <v>1214</v>
      </c>
      <c r="C2415" t="s">
        <v>1215</v>
      </c>
      <c r="D2415" s="4"/>
      <c r="E2415" s="4">
        <v>1</v>
      </c>
      <c r="F2415" s="4"/>
      <c r="G2415" s="29" t="str">
        <f>IFERROR(HYPERLINK("#"&amp;ADDRESS(MATCH(B2415&amp;"ES",'LM7 Non-ENG'!$A$1:$A$5000,0),1,,,"LM7 Non-ENG"),IF(IFERROR(VLOOKUP(B2415&amp;"ES",'LM7 Non-ENG'!$A$1:$A$4999,1,FALSE),"ERROR")=B2415&amp;"ES","Y","")),"")</f>
        <v/>
      </c>
      <c r="H2415" s="29" t="str">
        <f>IFERROR(HYPERLINK("#"&amp;ADDRESS(MATCH(B2415&amp;"PT",'LM7 Non-ENG'!$A$1:$A$5000,0),1,,,"LM7 Non-ENG"),IF(IFERROR(VLOOKUP(B2415&amp;"PT",'LM7 Non-ENG'!$A$1:$A$5000,1,FALSE),"ERROR")=B2415&amp;"PT","Y","")),"")</f>
        <v/>
      </c>
      <c r="I2415" t="str">
        <f>IFERROR(VLOOKUP(B2415,PN!$A:$C,3,FALSE),"")</f>
        <v>Active</v>
      </c>
      <c r="J2415" s="3">
        <f>IFERROR(E2415*VLOOKUP(B2415,PLInter!$A:$D,3,FALSE),"")</f>
        <v>216</v>
      </c>
      <c r="K2415" s="66"/>
      <c r="L2415" s="66"/>
      <c r="M2415" s="66"/>
      <c r="N2415" s="66"/>
      <c r="O2415" s="66"/>
      <c r="P2415" s="66"/>
      <c r="Q2415" s="66"/>
      <c r="R2415" s="66"/>
      <c r="S2415" s="66"/>
    </row>
    <row r="2416" spans="1:19" ht="18" customHeight="1">
      <c r="B2416" s="1" t="s">
        <v>1206</v>
      </c>
      <c r="C2416" s="1" t="s">
        <v>1207</v>
      </c>
      <c r="D2416" s="6" t="s">
        <v>0</v>
      </c>
      <c r="E2416" s="6">
        <v>1</v>
      </c>
      <c r="F2416" s="6"/>
      <c r="G2416" s="29" t="str">
        <f>IFERROR(HYPERLINK("#"&amp;ADDRESS(MATCH(B2416&amp;"ES",'LM7 Non-ENG'!$A$1:$A$5000,0),1,,,"LM7 Non-ENG"),IF(IFERROR(VLOOKUP(B2416&amp;"ES",'LM7 Non-ENG'!$A$1:$A$4999,1,FALSE),"ERROR")=B2416&amp;"ES","Y","")),"")</f>
        <v/>
      </c>
      <c r="H2416" s="29" t="str">
        <f>IFERROR(HYPERLINK("#"&amp;ADDRESS(MATCH(B2416&amp;"PT",'LM7 Non-ENG'!$A$1:$A$5000,0),1,,,"LM7 Non-ENG"),IF(IFERROR(VLOOKUP(B2416&amp;"PT",'LM7 Non-ENG'!$A$1:$A$5000,1,FALSE),"ERROR")=B2416&amp;"PT","Y","")),"")</f>
        <v/>
      </c>
      <c r="I2416" t="str">
        <f>IFERROR(VLOOKUP(B2416,PN!$A:$C,3,FALSE),"")</f>
        <v>Active</v>
      </c>
      <c r="J2416" s="3" t="str">
        <f>IFERROR(E2416*VLOOKUP(B2416,PLInter!$A:$D,3,FALSE),"")</f>
        <v/>
      </c>
      <c r="K2416" s="66"/>
      <c r="L2416" s="66"/>
      <c r="M2416" s="66"/>
      <c r="N2416" s="66"/>
      <c r="O2416" s="66"/>
      <c r="P2416" s="66"/>
      <c r="Q2416" s="66"/>
      <c r="R2416" s="66"/>
      <c r="S2416" s="66"/>
    </row>
    <row r="2418" spans="1:19" s="7" customFormat="1" ht="18" customHeight="1">
      <c r="A2418" s="13" t="s">
        <v>1241</v>
      </c>
      <c r="B2418" s="13"/>
      <c r="C2418" s="13" t="s">
        <v>1242</v>
      </c>
      <c r="D2418" s="14"/>
      <c r="E2418" s="14"/>
      <c r="F2418" s="14"/>
      <c r="G2418" s="14"/>
      <c r="H2418" s="14"/>
      <c r="I2418" s="14"/>
      <c r="J2418" s="14">
        <f>SUMIFS(J2419:J2423,D2419:D2423,"&lt;&gt;Y",F2419:F2423,"&lt;&gt;Y",I2419:I2423,"&lt;&gt;Inactive",I2419:I2423,"&lt;&gt;ECO+NFS")</f>
        <v>3312</v>
      </c>
      <c r="K2418" s="14"/>
      <c r="L2418" s="14"/>
      <c r="M2418" s="14"/>
      <c r="N2418" s="14"/>
      <c r="O2418" s="14"/>
      <c r="P2418" s="14"/>
      <c r="Q2418" s="14"/>
      <c r="R2418" s="14"/>
      <c r="S2418" s="14"/>
    </row>
    <row r="2419" spans="1:19" ht="18" customHeight="1">
      <c r="A2419" s="17" t="str">
        <f>HYPERLINK("#"&amp;ADDRESS(MATCH(A2418,'CIM&amp;FMS'!$A$1:$A$4997,0),1,,,"CIM&amp;FMS"),"Back to Price List")</f>
        <v>Back to Price List</v>
      </c>
      <c r="B2419" t="s">
        <v>1235</v>
      </c>
      <c r="C2419" t="s">
        <v>1236</v>
      </c>
      <c r="D2419" s="4"/>
      <c r="E2419" s="4">
        <v>1</v>
      </c>
      <c r="F2419" s="4"/>
      <c r="G2419" s="29" t="str">
        <f>IFERROR(HYPERLINK("#"&amp;ADDRESS(MATCH(B2419&amp;"ES",'LM7 Non-ENG'!$A$1:$A$5000,0),1,,,"LM7 Non-ENG"),IF(IFERROR(VLOOKUP(B2419&amp;"ES",'LM7 Non-ENG'!$A$1:$A$4999,1,FALSE),"ERROR")=B2419&amp;"ES","Y","")),"")</f>
        <v/>
      </c>
      <c r="H2419" s="29" t="str">
        <f>IFERROR(HYPERLINK("#"&amp;ADDRESS(MATCH(B2419&amp;"PT",'LM7 Non-ENG'!$A$1:$A$5000,0),1,,,"LM7 Non-ENG"),IF(IFERROR(VLOOKUP(B2419&amp;"PT",'LM7 Non-ENG'!$A$1:$A$5000,1,FALSE),"ERROR")=B2419&amp;"PT","Y","")),"")</f>
        <v/>
      </c>
      <c r="I2419" t="str">
        <f>IFERROR(VLOOKUP(B2419,PN!$A:$C,3,FALSE),"")</f>
        <v>Active</v>
      </c>
      <c r="J2419" s="3">
        <f>IFERROR(E2419*VLOOKUP(B2419,PLInter!$A:$D,3,FALSE),"")</f>
        <v>2160</v>
      </c>
      <c r="K2419" s="66"/>
      <c r="L2419" s="66"/>
      <c r="M2419" s="66"/>
      <c r="N2419" s="66"/>
      <c r="O2419" s="66"/>
      <c r="P2419" s="66"/>
      <c r="Q2419" s="66"/>
      <c r="R2419" s="66"/>
      <c r="S2419" s="66"/>
    </row>
    <row r="2420" spans="1:19" ht="18" customHeight="1">
      <c r="B2420" t="s">
        <v>1200</v>
      </c>
      <c r="C2420" t="s">
        <v>1201</v>
      </c>
      <c r="D2420" s="4"/>
      <c r="E2420" s="4">
        <v>1</v>
      </c>
      <c r="F2420" s="4"/>
      <c r="G2420" s="29" t="str">
        <f>IFERROR(HYPERLINK("#"&amp;ADDRESS(MATCH(B2420&amp;"ES",'LM7 Non-ENG'!$A$1:$A$5000,0),1,,,"LM7 Non-ENG"),IF(IFERROR(VLOOKUP(B2420&amp;"ES",'LM7 Non-ENG'!$A$1:$A$4999,1,FALSE),"ERROR")=B2420&amp;"ES","Y","")),"")</f>
        <v/>
      </c>
      <c r="H2420" s="29" t="str">
        <f>IFERROR(HYPERLINK("#"&amp;ADDRESS(MATCH(B2420&amp;"PT",'LM7 Non-ENG'!$A$1:$A$5000,0),1,,,"LM7 Non-ENG"),IF(IFERROR(VLOOKUP(B2420&amp;"PT",'LM7 Non-ENG'!$A$1:$A$5000,1,FALSE),"ERROR")=B2420&amp;"PT","Y","")),"")</f>
        <v/>
      </c>
      <c r="I2420" t="str">
        <f>IFERROR(VLOOKUP(B2420,PN!$A:$C,3,FALSE),"")</f>
        <v>Active</v>
      </c>
      <c r="J2420" s="3">
        <f>IFERROR(E2420*VLOOKUP(B2420,PLInter!$A:$D,3,FALSE),"")</f>
        <v>480</v>
      </c>
      <c r="K2420" s="66"/>
      <c r="L2420" s="66"/>
      <c r="M2420" s="66"/>
      <c r="N2420" s="66"/>
      <c r="O2420" s="66"/>
      <c r="P2420" s="66"/>
      <c r="Q2420" s="66"/>
      <c r="R2420" s="66"/>
      <c r="S2420" s="66"/>
    </row>
    <row r="2421" spans="1:19" ht="18" customHeight="1">
      <c r="B2421" t="s">
        <v>1202</v>
      </c>
      <c r="C2421" t="s">
        <v>1203</v>
      </c>
      <c r="D2421" s="4"/>
      <c r="E2421" s="4">
        <v>2</v>
      </c>
      <c r="F2421" s="4"/>
      <c r="G2421" s="29" t="str">
        <f>IFERROR(HYPERLINK("#"&amp;ADDRESS(MATCH(B2421&amp;"ES",'LM7 Non-ENG'!$A$1:$A$5000,0),1,,,"LM7 Non-ENG"),IF(IFERROR(VLOOKUP(B2421&amp;"ES",'LM7 Non-ENG'!$A$1:$A$4999,1,FALSE),"ERROR")=B2421&amp;"ES","Y","")),"")</f>
        <v/>
      </c>
      <c r="H2421" s="29" t="str">
        <f>IFERROR(HYPERLINK("#"&amp;ADDRESS(MATCH(B2421&amp;"PT",'LM7 Non-ENG'!$A$1:$A$5000,0),1,,,"LM7 Non-ENG"),IF(IFERROR(VLOOKUP(B2421&amp;"PT",'LM7 Non-ENG'!$A$1:$A$5000,1,FALSE),"ERROR")=B2421&amp;"PT","Y","")),"")</f>
        <v/>
      </c>
      <c r="I2421" t="str">
        <f>IFERROR(VLOOKUP(B2421,PN!$A:$C,3,FALSE),"")</f>
        <v>Active</v>
      </c>
      <c r="J2421" s="3">
        <f>IFERROR(E2421*VLOOKUP(B2421,PLInter!$A:$D,3,FALSE),"")</f>
        <v>432</v>
      </c>
      <c r="K2421" s="66"/>
      <c r="L2421" s="66"/>
      <c r="M2421" s="66"/>
      <c r="N2421" s="66"/>
      <c r="O2421" s="66"/>
      <c r="P2421" s="66"/>
      <c r="Q2421" s="66"/>
      <c r="R2421" s="66"/>
      <c r="S2421" s="66"/>
    </row>
    <row r="2422" spans="1:19" ht="18" customHeight="1">
      <c r="B2422" t="s">
        <v>1218</v>
      </c>
      <c r="C2422" t="s">
        <v>1219</v>
      </c>
      <c r="D2422" s="4"/>
      <c r="E2422" s="4">
        <v>1</v>
      </c>
      <c r="F2422" s="4"/>
      <c r="G2422" s="29" t="str">
        <f>IFERROR(HYPERLINK("#"&amp;ADDRESS(MATCH(B2422&amp;"ES",'LM7 Non-ENG'!$A$1:$A$5000,0),1,,,"LM7 Non-ENG"),IF(IFERROR(VLOOKUP(B2422&amp;"ES",'LM7 Non-ENG'!$A$1:$A$4999,1,FALSE),"ERROR")=B2422&amp;"ES","Y","")),"")</f>
        <v/>
      </c>
      <c r="H2422" s="29" t="str">
        <f>IFERROR(HYPERLINK("#"&amp;ADDRESS(MATCH(B2422&amp;"PT",'LM7 Non-ENG'!$A$1:$A$5000,0),1,,,"LM7 Non-ENG"),IF(IFERROR(VLOOKUP(B2422&amp;"PT",'LM7 Non-ENG'!$A$1:$A$5000,1,FALSE),"ERROR")=B2422&amp;"PT","Y","")),"")</f>
        <v/>
      </c>
      <c r="I2422" t="str">
        <f>IFERROR(VLOOKUP(B2422,PN!$A:$C,3,FALSE),"")</f>
        <v>Active</v>
      </c>
      <c r="J2422" s="3">
        <f>IFERROR(E2422*VLOOKUP(B2422,PLInter!$A:$D,3,FALSE),"")</f>
        <v>240</v>
      </c>
      <c r="K2422" s="66"/>
      <c r="L2422" s="66"/>
      <c r="M2422" s="66"/>
      <c r="N2422" s="66"/>
      <c r="O2422" s="66"/>
      <c r="P2422" s="66"/>
      <c r="Q2422" s="66"/>
      <c r="R2422" s="66"/>
      <c r="S2422" s="66"/>
    </row>
    <row r="2423" spans="1:19" ht="18" customHeight="1">
      <c r="B2423" s="1" t="s">
        <v>1206</v>
      </c>
      <c r="C2423" s="1" t="s">
        <v>1207</v>
      </c>
      <c r="D2423" s="6" t="s">
        <v>0</v>
      </c>
      <c r="E2423" s="6">
        <v>1</v>
      </c>
      <c r="F2423" s="6"/>
      <c r="G2423" s="29" t="str">
        <f>IFERROR(HYPERLINK("#"&amp;ADDRESS(MATCH(B2423&amp;"ES",'LM7 Non-ENG'!$A$1:$A$5000,0),1,,,"LM7 Non-ENG"),IF(IFERROR(VLOOKUP(B2423&amp;"ES",'LM7 Non-ENG'!$A$1:$A$4999,1,FALSE),"ERROR")=B2423&amp;"ES","Y","")),"")</f>
        <v/>
      </c>
      <c r="H2423" s="29" t="str">
        <f>IFERROR(HYPERLINK("#"&amp;ADDRESS(MATCH(B2423&amp;"PT",'LM7 Non-ENG'!$A$1:$A$5000,0),1,,,"LM7 Non-ENG"),IF(IFERROR(VLOOKUP(B2423&amp;"PT",'LM7 Non-ENG'!$A$1:$A$5000,1,FALSE),"ERROR")=B2423&amp;"PT","Y","")),"")</f>
        <v/>
      </c>
      <c r="I2423" t="str">
        <f>IFERROR(VLOOKUP(B2423,PN!$A:$C,3,FALSE),"")</f>
        <v>Active</v>
      </c>
      <c r="J2423" s="3" t="str">
        <f>IFERROR(E2423*VLOOKUP(B2423,PLInter!$A:$D,3,FALSE),"")</f>
        <v/>
      </c>
      <c r="K2423" s="66"/>
      <c r="L2423" s="66"/>
      <c r="M2423" s="66"/>
      <c r="N2423" s="66"/>
      <c r="O2423" s="66"/>
      <c r="P2423" s="66"/>
      <c r="Q2423" s="66"/>
      <c r="R2423" s="66"/>
      <c r="S2423" s="66"/>
    </row>
    <row r="2425" spans="1:19" s="7" customFormat="1" ht="18" customHeight="1">
      <c r="A2425" s="13" t="s">
        <v>1243</v>
      </c>
      <c r="B2425" s="13"/>
      <c r="C2425" s="13" t="s">
        <v>1244</v>
      </c>
      <c r="D2425" s="14"/>
      <c r="E2425" s="14"/>
      <c r="F2425" s="14"/>
      <c r="G2425" s="14"/>
      <c r="H2425" s="14"/>
      <c r="I2425" s="14"/>
      <c r="J2425" s="14">
        <f>SUMIFS(J2426:J2429,D2426:D2429,"&lt;&gt;Y",F2426:F2429,"&lt;&gt;Y",I2426:I2429,"&lt;&gt;Inactive",I2426:I2429,"&lt;&gt;ECO+NFS")</f>
        <v>2832</v>
      </c>
      <c r="K2425" s="14"/>
      <c r="L2425" s="14"/>
      <c r="M2425" s="14"/>
      <c r="N2425" s="14"/>
      <c r="O2425" s="14"/>
      <c r="P2425" s="14"/>
      <c r="Q2425" s="14"/>
      <c r="R2425" s="14"/>
      <c r="S2425" s="14"/>
    </row>
    <row r="2426" spans="1:19" ht="18" customHeight="1">
      <c r="A2426" s="17" t="str">
        <f>HYPERLINK("#"&amp;ADDRESS(MATCH(A2425,'CIM&amp;FMS'!$A$1:$A$4997,0),1,,,"CIM&amp;FMS"),"Back to Price List")</f>
        <v>Back to Price List</v>
      </c>
      <c r="B2426" t="s">
        <v>1202</v>
      </c>
      <c r="C2426" t="s">
        <v>1203</v>
      </c>
      <c r="D2426" s="4"/>
      <c r="E2426" s="4">
        <v>2</v>
      </c>
      <c r="F2426" s="4"/>
      <c r="G2426" s="29" t="str">
        <f>IFERROR(HYPERLINK("#"&amp;ADDRESS(MATCH(B2426&amp;"ES",'LM7 Non-ENG'!$A$1:$A$5000,0),1,,,"LM7 Non-ENG"),IF(IFERROR(VLOOKUP(B2426&amp;"ES",'LM7 Non-ENG'!$A$1:$A$4999,1,FALSE),"ERROR")=B2426&amp;"ES","Y","")),"")</f>
        <v/>
      </c>
      <c r="H2426" s="29" t="str">
        <f>IFERROR(HYPERLINK("#"&amp;ADDRESS(MATCH(B2426&amp;"PT",'LM7 Non-ENG'!$A$1:$A$5000,0),1,,,"LM7 Non-ENG"),IF(IFERROR(VLOOKUP(B2426&amp;"PT",'LM7 Non-ENG'!$A$1:$A$5000,1,FALSE),"ERROR")=B2426&amp;"PT","Y","")),"")</f>
        <v/>
      </c>
      <c r="I2426" t="str">
        <f>IFERROR(VLOOKUP(B2426,PN!$A:$C,3,FALSE),"")</f>
        <v>Active</v>
      </c>
      <c r="J2426" s="3">
        <f>IFERROR(E2426*VLOOKUP(B2426,PLInter!$A:$D,3,FALSE),"")</f>
        <v>432</v>
      </c>
      <c r="K2426" s="66"/>
      <c r="L2426" s="66"/>
      <c r="M2426" s="66"/>
      <c r="N2426" s="66"/>
      <c r="O2426" s="66"/>
      <c r="P2426" s="66"/>
      <c r="Q2426" s="66"/>
      <c r="R2426" s="66"/>
      <c r="S2426" s="66"/>
    </row>
    <row r="2427" spans="1:19" ht="18" customHeight="1">
      <c r="B2427" t="s">
        <v>1198</v>
      </c>
      <c r="C2427" t="s">
        <v>1199</v>
      </c>
      <c r="D2427" s="4"/>
      <c r="E2427" s="4">
        <v>1</v>
      </c>
      <c r="F2427" s="4"/>
      <c r="G2427" s="29" t="str">
        <f>IFERROR(HYPERLINK("#"&amp;ADDRESS(MATCH(B2427&amp;"ES",'LM7 Non-ENG'!$A$1:$A$5000,0),1,,,"LM7 Non-ENG"),IF(IFERROR(VLOOKUP(B2427&amp;"ES",'LM7 Non-ENG'!$A$1:$A$4999,1,FALSE),"ERROR")=B2427&amp;"ES","Y","")),"")</f>
        <v/>
      </c>
      <c r="H2427" s="29" t="str">
        <f>IFERROR(HYPERLINK("#"&amp;ADDRESS(MATCH(B2427&amp;"PT",'LM7 Non-ENG'!$A$1:$A$5000,0),1,,,"LM7 Non-ENG"),IF(IFERROR(VLOOKUP(B2427&amp;"PT",'LM7 Non-ENG'!$A$1:$A$5000,1,FALSE),"ERROR")=B2427&amp;"PT","Y","")),"")</f>
        <v/>
      </c>
      <c r="I2427" t="str">
        <f>IFERROR(VLOOKUP(B2427,PN!$A:$C,3,FALSE),"")</f>
        <v>Active</v>
      </c>
      <c r="J2427" s="3">
        <f>IFERROR(E2427*VLOOKUP(B2427,PLInter!$A:$D,3,FALSE),"")</f>
        <v>1920</v>
      </c>
      <c r="K2427" s="66"/>
      <c r="L2427" s="66"/>
      <c r="M2427" s="66"/>
      <c r="N2427" s="66"/>
      <c r="O2427" s="66"/>
      <c r="P2427" s="66"/>
      <c r="Q2427" s="66"/>
      <c r="R2427" s="66"/>
      <c r="S2427" s="66"/>
    </row>
    <row r="2428" spans="1:19" ht="18" customHeight="1">
      <c r="B2428" s="18" t="s">
        <v>1245</v>
      </c>
      <c r="C2428" t="s">
        <v>1246</v>
      </c>
      <c r="D2428" s="4"/>
      <c r="E2428" s="4">
        <v>1</v>
      </c>
      <c r="F2428" s="4"/>
      <c r="G2428" s="29" t="str">
        <f>IFERROR(HYPERLINK("#"&amp;ADDRESS(MATCH(B2428&amp;"ES",'LM7 Non-ENG'!$A$1:$A$5000,0),1,,,"LM7 Non-ENG"),IF(IFERROR(VLOOKUP(B2428&amp;"ES",'LM7 Non-ENG'!$A$1:$A$4999,1,FALSE),"ERROR")=B2428&amp;"ES","Y","")),"")</f>
        <v/>
      </c>
      <c r="H2428" s="29" t="str">
        <f>IFERROR(HYPERLINK("#"&amp;ADDRESS(MATCH(B2428&amp;"PT",'LM7 Non-ENG'!$A$1:$A$5000,0),1,,,"LM7 Non-ENG"),IF(IFERROR(VLOOKUP(B2428&amp;"PT",'LM7 Non-ENG'!$A$1:$A$5000,1,FALSE),"ERROR")=B2428&amp;"PT","Y","")),"")</f>
        <v/>
      </c>
      <c r="I2428" t="str">
        <f>IFERROR(VLOOKUP(B2428,PN!$A:$C,3,FALSE),"")</f>
        <v>Active</v>
      </c>
      <c r="J2428" s="3" t="str">
        <f>IFERROR(E2428*VLOOKUP(B2428,PLInter!$A:$D,3,FALSE),"")</f>
        <v/>
      </c>
      <c r="K2428" s="66"/>
      <c r="L2428" s="66"/>
      <c r="M2428" s="66"/>
      <c r="N2428" s="66"/>
      <c r="O2428" s="66"/>
      <c r="P2428" s="66"/>
      <c r="Q2428" s="66"/>
      <c r="R2428" s="66"/>
      <c r="S2428" s="66"/>
    </row>
    <row r="2429" spans="1:19" ht="18" customHeight="1">
      <c r="B2429" t="s">
        <v>1200</v>
      </c>
      <c r="C2429" t="s">
        <v>1201</v>
      </c>
      <c r="D2429" s="4"/>
      <c r="E2429" s="4">
        <v>1</v>
      </c>
      <c r="F2429" s="4"/>
      <c r="G2429" s="29" t="str">
        <f>IFERROR(HYPERLINK("#"&amp;ADDRESS(MATCH(B2429&amp;"ES",'LM7 Non-ENG'!$A$1:$A$5000,0),1,,,"LM7 Non-ENG"),IF(IFERROR(VLOOKUP(B2429&amp;"ES",'LM7 Non-ENG'!$A$1:$A$4999,1,FALSE),"ERROR")=B2429&amp;"ES","Y","")),"")</f>
        <v/>
      </c>
      <c r="H2429" s="29" t="str">
        <f>IFERROR(HYPERLINK("#"&amp;ADDRESS(MATCH(B2429&amp;"PT",'LM7 Non-ENG'!$A$1:$A$5000,0),1,,,"LM7 Non-ENG"),IF(IFERROR(VLOOKUP(B2429&amp;"PT",'LM7 Non-ENG'!$A$1:$A$5000,1,FALSE),"ERROR")=B2429&amp;"PT","Y","")),"")</f>
        <v/>
      </c>
      <c r="I2429" t="str">
        <f>IFERROR(VLOOKUP(B2429,PN!$A:$C,3,FALSE),"")</f>
        <v>Active</v>
      </c>
      <c r="J2429" s="3">
        <f>IFERROR(E2429*VLOOKUP(B2429,PLInter!$A:$D,3,FALSE),"")</f>
        <v>480</v>
      </c>
      <c r="K2429" s="66"/>
      <c r="L2429" s="66"/>
      <c r="M2429" s="66"/>
      <c r="N2429" s="66"/>
      <c r="O2429" s="66"/>
      <c r="P2429" s="66"/>
      <c r="Q2429" s="66"/>
      <c r="R2429" s="66"/>
      <c r="S2429" s="66"/>
    </row>
    <row r="2431" spans="1:19" s="7" customFormat="1" ht="18" customHeight="1">
      <c r="A2431" s="13" t="s">
        <v>1247</v>
      </c>
      <c r="B2431" s="13"/>
      <c r="C2431" s="13" t="s">
        <v>1248</v>
      </c>
      <c r="D2431" s="14"/>
      <c r="E2431" s="14"/>
      <c r="F2431" s="14"/>
      <c r="G2431" s="14"/>
      <c r="H2431" s="14"/>
      <c r="I2431" s="14"/>
      <c r="J2431" s="14">
        <f>SUMIFS(J2432:J2435,D2432:D2435,"&lt;&gt;Y",F2432:F2435,"&lt;&gt;Y",I2432:I2435,"&lt;&gt;Inactive",I2432:I2435,"&lt;&gt;ECO+NFS")</f>
        <v>3112</v>
      </c>
      <c r="K2431" s="14"/>
      <c r="L2431" s="14"/>
      <c r="M2431" s="14"/>
      <c r="N2431" s="14"/>
      <c r="O2431" s="14"/>
      <c r="P2431" s="14"/>
      <c r="Q2431" s="14"/>
      <c r="R2431" s="14"/>
      <c r="S2431" s="14"/>
    </row>
    <row r="2432" spans="1:19" ht="18" customHeight="1">
      <c r="A2432" s="17" t="str">
        <f>HYPERLINK("#"&amp;ADDRESS(MATCH(A2431,'CIM&amp;FMS'!$A$1:$A$4997,0),1,,,"CIM&amp;FMS"),"Back to Price List")</f>
        <v>Back to Price List</v>
      </c>
      <c r="B2432" t="s">
        <v>1249</v>
      </c>
      <c r="C2432" t="s">
        <v>1250</v>
      </c>
      <c r="D2432" s="4"/>
      <c r="E2432" s="4">
        <v>1</v>
      </c>
      <c r="F2432" s="4"/>
      <c r="G2432" s="29" t="str">
        <f>IFERROR(HYPERLINK("#"&amp;ADDRESS(MATCH(B2432&amp;"ES",'LM7 Non-ENG'!$A$1:$A$5000,0),1,,,"LM7 Non-ENG"),IF(IFERROR(VLOOKUP(B2432&amp;"ES",'LM7 Non-ENG'!$A$1:$A$4999,1,FALSE),"ERROR")=B2432&amp;"ES","Y","")),"")</f>
        <v/>
      </c>
      <c r="H2432" s="29" t="str">
        <f>IFERROR(HYPERLINK("#"&amp;ADDRESS(MATCH(B2432&amp;"PT",'LM7 Non-ENG'!$A$1:$A$5000,0),1,,,"LM7 Non-ENG"),IF(IFERROR(VLOOKUP(B2432&amp;"PT",'LM7 Non-ENG'!$A$1:$A$5000,1,FALSE),"ERROR")=B2432&amp;"PT","Y","")),"")</f>
        <v/>
      </c>
      <c r="I2432" t="str">
        <f>IFERROR(VLOOKUP(B2432,PN!$A:$C,3,FALSE),"")</f>
        <v>Active</v>
      </c>
      <c r="J2432" s="3">
        <f>IFERROR(E2432*VLOOKUP(B2432,PLInter!$A:$D,3,FALSE),"")</f>
        <v>2200</v>
      </c>
      <c r="K2432" s="66"/>
      <c r="L2432" s="66"/>
      <c r="M2432" s="66"/>
      <c r="N2432" s="66"/>
      <c r="O2432" s="66"/>
      <c r="P2432" s="66"/>
      <c r="Q2432" s="66"/>
      <c r="R2432" s="66"/>
      <c r="S2432" s="66"/>
    </row>
    <row r="2433" spans="1:19" ht="18" customHeight="1">
      <c r="B2433" t="s">
        <v>1200</v>
      </c>
      <c r="C2433" t="s">
        <v>1201</v>
      </c>
      <c r="D2433" s="4"/>
      <c r="E2433" s="4">
        <v>1</v>
      </c>
      <c r="F2433" s="4"/>
      <c r="G2433" s="29" t="str">
        <f>IFERROR(HYPERLINK("#"&amp;ADDRESS(MATCH(B2433&amp;"ES",'LM7 Non-ENG'!$A$1:$A$5000,0),1,,,"LM7 Non-ENG"),IF(IFERROR(VLOOKUP(B2433&amp;"ES",'LM7 Non-ENG'!$A$1:$A$4999,1,FALSE),"ERROR")=B2433&amp;"ES","Y","")),"")</f>
        <v/>
      </c>
      <c r="H2433" s="29" t="str">
        <f>IFERROR(HYPERLINK("#"&amp;ADDRESS(MATCH(B2433&amp;"PT",'LM7 Non-ENG'!$A$1:$A$5000,0),1,,,"LM7 Non-ENG"),IF(IFERROR(VLOOKUP(B2433&amp;"PT",'LM7 Non-ENG'!$A$1:$A$5000,1,FALSE),"ERROR")=B2433&amp;"PT","Y","")),"")</f>
        <v/>
      </c>
      <c r="I2433" t="str">
        <f>IFERROR(VLOOKUP(B2433,PN!$A:$C,3,FALSE),"")</f>
        <v>Active</v>
      </c>
      <c r="J2433" s="3">
        <f>IFERROR(E2433*VLOOKUP(B2433,PLInter!$A:$D,3,FALSE),"")</f>
        <v>480</v>
      </c>
      <c r="K2433" s="66"/>
      <c r="L2433" s="66"/>
      <c r="M2433" s="66"/>
      <c r="N2433" s="66"/>
      <c r="O2433" s="66"/>
      <c r="P2433" s="66"/>
      <c r="Q2433" s="66"/>
      <c r="R2433" s="66"/>
      <c r="S2433" s="66"/>
    </row>
    <row r="2434" spans="1:19" ht="18" customHeight="1">
      <c r="B2434" t="s">
        <v>1202</v>
      </c>
      <c r="C2434" t="s">
        <v>1203</v>
      </c>
      <c r="D2434" s="4"/>
      <c r="E2434" s="4">
        <v>2</v>
      </c>
      <c r="F2434" s="4"/>
      <c r="G2434" s="29" t="str">
        <f>IFERROR(HYPERLINK("#"&amp;ADDRESS(MATCH(B2434&amp;"ES",'LM7 Non-ENG'!$A$1:$A$5000,0),1,,,"LM7 Non-ENG"),IF(IFERROR(VLOOKUP(B2434&amp;"ES",'LM7 Non-ENG'!$A$1:$A$4999,1,FALSE),"ERROR")=B2434&amp;"ES","Y","")),"")</f>
        <v/>
      </c>
      <c r="H2434" s="29" t="str">
        <f>IFERROR(HYPERLINK("#"&amp;ADDRESS(MATCH(B2434&amp;"PT",'LM7 Non-ENG'!$A$1:$A$5000,0),1,,,"LM7 Non-ENG"),IF(IFERROR(VLOOKUP(B2434&amp;"PT",'LM7 Non-ENG'!$A$1:$A$5000,1,FALSE),"ERROR")=B2434&amp;"PT","Y","")),"")</f>
        <v/>
      </c>
      <c r="I2434" t="str">
        <f>IFERROR(VLOOKUP(B2434,PN!$A:$C,3,FALSE),"")</f>
        <v>Active</v>
      </c>
      <c r="J2434" s="3">
        <f>IFERROR(E2434*VLOOKUP(B2434,PLInter!$A:$D,3,FALSE),"")</f>
        <v>432</v>
      </c>
      <c r="K2434" s="66"/>
      <c r="L2434" s="66"/>
      <c r="M2434" s="66"/>
      <c r="N2434" s="66"/>
      <c r="O2434" s="66"/>
      <c r="P2434" s="66"/>
      <c r="Q2434" s="66"/>
      <c r="R2434" s="66"/>
      <c r="S2434" s="66"/>
    </row>
    <row r="2435" spans="1:19" ht="18" customHeight="1">
      <c r="B2435" s="1" t="s">
        <v>1231</v>
      </c>
      <c r="C2435" s="1" t="s">
        <v>1232</v>
      </c>
      <c r="D2435" s="6" t="s">
        <v>0</v>
      </c>
      <c r="E2435" s="6">
        <v>1</v>
      </c>
      <c r="F2435" s="6"/>
      <c r="G2435" s="29" t="str">
        <f>IFERROR(HYPERLINK("#"&amp;ADDRESS(MATCH(B2435&amp;"ES",'LM7 Non-ENG'!$A$1:$A$5000,0),1,,,"LM7 Non-ENG"),IF(IFERROR(VLOOKUP(B2435&amp;"ES",'LM7 Non-ENG'!$A$1:$A$4999,1,FALSE),"ERROR")=B2435&amp;"ES","Y","")),"")</f>
        <v/>
      </c>
      <c r="H2435" s="29" t="str">
        <f>IFERROR(HYPERLINK("#"&amp;ADDRESS(MATCH(B2435&amp;"PT",'LM7 Non-ENG'!$A$1:$A$5000,0),1,,,"LM7 Non-ENG"),IF(IFERROR(VLOOKUP(B2435&amp;"PT",'LM7 Non-ENG'!$A$1:$A$5000,1,FALSE),"ERROR")=B2435&amp;"PT","Y","")),"")</f>
        <v/>
      </c>
      <c r="I2435" t="str">
        <f>IFERROR(VLOOKUP(B2435,PN!$A:$C,3,FALSE),"")</f>
        <v>Active</v>
      </c>
      <c r="J2435" s="3">
        <f>IFERROR(E2435*VLOOKUP(B2435,PLInter!$A:$D,3,FALSE),"")</f>
        <v>3500</v>
      </c>
      <c r="K2435" s="66"/>
      <c r="L2435" s="66"/>
      <c r="M2435" s="66"/>
      <c r="N2435" s="66"/>
      <c r="O2435" s="66"/>
      <c r="P2435" s="66"/>
      <c r="Q2435" s="66"/>
      <c r="R2435" s="66"/>
      <c r="S2435" s="66"/>
    </row>
    <row r="2437" spans="1:19" s="7" customFormat="1" ht="18" customHeight="1">
      <c r="A2437" s="13" t="s">
        <v>1252</v>
      </c>
      <c r="B2437" s="13"/>
      <c r="C2437" s="13" t="s">
        <v>1253</v>
      </c>
      <c r="D2437" s="14"/>
      <c r="E2437" s="14"/>
      <c r="F2437" s="14"/>
      <c r="G2437" s="14"/>
      <c r="H2437" s="14"/>
      <c r="I2437" s="14"/>
      <c r="J2437" s="14">
        <f>SUMIFS(J2438:J2442,D2438:D2442,"&lt;&gt;Y",F2438:F2442,"&lt;&gt;Y",I2438:I2442,"&lt;&gt;Inactive",I2438:I2442,"&lt;&gt;ECO+NFS")</f>
        <v>23078</v>
      </c>
      <c r="K2437" s="14"/>
      <c r="L2437" s="14"/>
      <c r="M2437" s="14"/>
      <c r="N2437" s="14"/>
      <c r="O2437" s="14"/>
      <c r="P2437" s="14"/>
      <c r="Q2437" s="14"/>
      <c r="R2437" s="14"/>
      <c r="S2437" s="14"/>
    </row>
    <row r="2438" spans="1:19" ht="18" customHeight="1">
      <c r="A2438" s="17" t="str">
        <f>HYPERLINK("#"&amp;ADDRESS(MATCH(A2437,'CIM&amp;FMS'!$A$1:$A$4997,0),1,,,"CIM&amp;FMS"),"Back to Price List")</f>
        <v>Back to Price List</v>
      </c>
      <c r="B2438" t="s">
        <v>1254</v>
      </c>
      <c r="C2438" t="s">
        <v>1255</v>
      </c>
      <c r="D2438" s="4"/>
      <c r="E2438" s="4">
        <v>1</v>
      </c>
      <c r="F2438" s="4"/>
      <c r="G2438" s="29" t="str">
        <f>IFERROR(HYPERLINK("#"&amp;ADDRESS(MATCH(B2438&amp;"ES",'LM7 Non-ENG'!$A$1:$A$5000,0),1,,,"LM7 Non-ENG"),IF(IFERROR(VLOOKUP(B2438&amp;"ES",'LM7 Non-ENG'!$A$1:$A$4999,1,FALSE),"ERROR")=B2438&amp;"ES","Y","")),"")</f>
        <v/>
      </c>
      <c r="H2438" s="29" t="str">
        <f>IFERROR(HYPERLINK("#"&amp;ADDRESS(MATCH(B2438&amp;"PT",'LM7 Non-ENG'!$A$1:$A$5000,0),1,,,"LM7 Non-ENG"),IF(IFERROR(VLOOKUP(B2438&amp;"PT",'LM7 Non-ENG'!$A$1:$A$5000,1,FALSE),"ERROR")=B2438&amp;"PT","Y","")),"")</f>
        <v/>
      </c>
      <c r="I2438" t="str">
        <f>IFERROR(VLOOKUP(B2438,PN!$A:$C,3,FALSE),"")</f>
        <v>Active</v>
      </c>
      <c r="J2438" s="3">
        <f>IFERROR(E2438*VLOOKUP(B2438,PLInter!$A:$D,3,FALSE),"")</f>
        <v>4911</v>
      </c>
      <c r="K2438" s="66"/>
      <c r="L2438" s="66"/>
      <c r="M2438" s="66"/>
      <c r="N2438" s="66"/>
      <c r="O2438" s="66"/>
      <c r="P2438" s="66"/>
      <c r="Q2438" s="66"/>
      <c r="R2438" s="66"/>
      <c r="S2438" s="66"/>
    </row>
    <row r="2439" spans="1:19" ht="18" customHeight="1">
      <c r="B2439" t="s">
        <v>1256</v>
      </c>
      <c r="C2439" t="s">
        <v>1257</v>
      </c>
      <c r="D2439" s="4"/>
      <c r="E2439" s="4">
        <v>1</v>
      </c>
      <c r="F2439" s="4"/>
      <c r="G2439" s="29" t="str">
        <f>IFERROR(HYPERLINK("#"&amp;ADDRESS(MATCH(B2439&amp;"ES",'LM7 Non-ENG'!$A$1:$A$5000,0),1,,,"LM7 Non-ENG"),IF(IFERROR(VLOOKUP(B2439&amp;"ES",'LM7 Non-ENG'!$A$1:$A$4999,1,FALSE),"ERROR")=B2439&amp;"ES","Y","")),"")</f>
        <v/>
      </c>
      <c r="H2439" s="29" t="str">
        <f>IFERROR(HYPERLINK("#"&amp;ADDRESS(MATCH(B2439&amp;"PT",'LM7 Non-ENG'!$A$1:$A$5000,0),1,,,"LM7 Non-ENG"),IF(IFERROR(VLOOKUP(B2439&amp;"PT",'LM7 Non-ENG'!$A$1:$A$5000,1,FALSE),"ERROR")=B2439&amp;"PT","Y","")),"")</f>
        <v/>
      </c>
      <c r="I2439" t="str">
        <f>IFERROR(VLOOKUP(B2439,PN!$A:$C,3,FALSE),"")</f>
        <v>Active</v>
      </c>
      <c r="J2439" s="3">
        <f>IFERROR(E2439*VLOOKUP(B2439,PLInter!$A:$D,3,FALSE),"")</f>
        <v>16500</v>
      </c>
      <c r="K2439" s="66"/>
      <c r="L2439" s="66"/>
      <c r="M2439" s="66"/>
      <c r="N2439" s="66"/>
      <c r="O2439" s="66"/>
      <c r="P2439" s="66"/>
      <c r="Q2439" s="66"/>
      <c r="R2439" s="66"/>
      <c r="S2439" s="66"/>
    </row>
    <row r="2440" spans="1:19" ht="18" customHeight="1">
      <c r="B2440" s="2" t="s">
        <v>1258</v>
      </c>
      <c r="C2440" s="50" t="s">
        <v>1259</v>
      </c>
      <c r="D2440" s="5"/>
      <c r="E2440" s="5">
        <v>1</v>
      </c>
      <c r="F2440" s="5" t="s">
        <v>0</v>
      </c>
      <c r="G2440" s="29" t="str">
        <f>IFERROR(HYPERLINK("#"&amp;ADDRESS(MATCH(B2440&amp;"ES",'LM7 Non-ENG'!$A$1:$A$5000,0),1,,,"LM7 Non-ENG"),IF(IFERROR(VLOOKUP(B2440&amp;"ES",'LM7 Non-ENG'!$A$1:$A$4999,1,FALSE),"ERROR")=B2440&amp;"ES","Y","")),"")</f>
        <v/>
      </c>
      <c r="H2440" s="29" t="str">
        <f>IFERROR(HYPERLINK("#"&amp;ADDRESS(MATCH(B2440&amp;"PT",'LM7 Non-ENG'!$A$1:$A$5000,0),1,,,"LM7 Non-ENG"),IF(IFERROR(VLOOKUP(B2440&amp;"PT",'LM7 Non-ENG'!$A$1:$A$5000,1,FALSE),"ERROR")=B2440&amp;"PT","Y","")),"")</f>
        <v/>
      </c>
      <c r="I2440" t="str">
        <f>IFERROR(VLOOKUP(B2440,PN!$A:$C,3,FALSE),"")</f>
        <v>Active</v>
      </c>
      <c r="J2440" s="3">
        <f>IFERROR(E2440*VLOOKUP(B2440,PLInter!$A:$D,3,FALSE),"")</f>
        <v>500</v>
      </c>
      <c r="K2440" s="66"/>
      <c r="L2440" s="66"/>
      <c r="M2440" s="66"/>
      <c r="N2440" s="66"/>
      <c r="O2440" s="66"/>
      <c r="P2440" s="66"/>
      <c r="Q2440" s="66"/>
      <c r="R2440" s="66"/>
      <c r="S2440" s="66"/>
    </row>
    <row r="2441" spans="1:19" ht="18" customHeight="1">
      <c r="B2441" t="s">
        <v>1260</v>
      </c>
      <c r="C2441" t="s">
        <v>1261</v>
      </c>
      <c r="D2441" s="4"/>
      <c r="E2441" s="4">
        <v>1</v>
      </c>
      <c r="F2441" s="4"/>
      <c r="G2441" s="29" t="str">
        <f>IFERROR(HYPERLINK("#"&amp;ADDRESS(MATCH(B2441&amp;"ES",'LM7 Non-ENG'!$A$1:$A$5000,0),1,,,"LM7 Non-ENG"),IF(IFERROR(VLOOKUP(B2441&amp;"ES",'LM7 Non-ENG'!$A$1:$A$4999,1,FALSE),"ERROR")=B2441&amp;"ES","Y","")),"")</f>
        <v/>
      </c>
      <c r="H2441" s="29" t="str">
        <f>IFERROR(HYPERLINK("#"&amp;ADDRESS(MATCH(B2441&amp;"PT",'LM7 Non-ENG'!$A$1:$A$5000,0),1,,,"LM7 Non-ENG"),IF(IFERROR(VLOOKUP(B2441&amp;"PT",'LM7 Non-ENG'!$A$1:$A$5000,1,FALSE),"ERROR")=B2441&amp;"PT","Y","")),"")</f>
        <v/>
      </c>
      <c r="I2441" t="str">
        <f>IFERROR(VLOOKUP(B2441,PN!$A:$C,3,FALSE),"")</f>
        <v>Active</v>
      </c>
      <c r="J2441" s="3">
        <f>IFERROR(E2441*VLOOKUP(B2441,PLInter!$A:$D,3,FALSE),"")</f>
        <v>1667</v>
      </c>
      <c r="K2441" s="66"/>
      <c r="L2441" s="66"/>
      <c r="M2441" s="66"/>
      <c r="N2441" s="66"/>
      <c r="O2441" s="66"/>
      <c r="P2441" s="66"/>
      <c r="Q2441" s="66"/>
      <c r="R2441" s="66"/>
      <c r="S2441" s="66"/>
    </row>
    <row r="2442" spans="1:19" ht="18" customHeight="1">
      <c r="B2442" s="2" t="s">
        <v>644</v>
      </c>
      <c r="C2442" s="50" t="s">
        <v>645</v>
      </c>
      <c r="D2442" s="5"/>
      <c r="E2442" s="16">
        <v>0</v>
      </c>
      <c r="F2442" s="5" t="s">
        <v>0</v>
      </c>
      <c r="G2442" s="29" t="str">
        <f>IFERROR(HYPERLINK("#"&amp;ADDRESS(MATCH(B2442&amp;"ES",'LM7 Non-ENG'!$A$1:$A$5000,0),1,,,"LM7 Non-ENG"),IF(IFERROR(VLOOKUP(B2442&amp;"ES",'LM7 Non-ENG'!$A$1:$A$4999,1,FALSE),"ERROR")=B2442&amp;"ES","Y","")),"")</f>
        <v/>
      </c>
      <c r="H2442" s="29" t="str">
        <f>IFERROR(HYPERLINK("#"&amp;ADDRESS(MATCH(B2442&amp;"PT",'LM7 Non-ENG'!$A$1:$A$5000,0),1,,,"LM7 Non-ENG"),IF(IFERROR(VLOOKUP(B2442&amp;"PT",'LM7 Non-ENG'!$A$1:$A$5000,1,FALSE),"ERROR")=B2442&amp;"PT","Y","")),"")</f>
        <v/>
      </c>
      <c r="I2442" t="str">
        <f>IFERROR(VLOOKUP(B2442,PN!$A:$C,3,FALSE),"")</f>
        <v>Active</v>
      </c>
      <c r="J2442" s="3">
        <f>IFERROR(E2442*VLOOKUP(B2442,PLInter!$A:$D,3,FALSE),"")</f>
        <v>0</v>
      </c>
      <c r="K2442" s="66"/>
      <c r="L2442" s="66"/>
      <c r="M2442" s="66"/>
      <c r="N2442" s="66"/>
      <c r="O2442" s="66"/>
      <c r="P2442" s="66"/>
      <c r="Q2442" s="66"/>
      <c r="R2442" s="66"/>
      <c r="S2442" s="66"/>
    </row>
    <row r="2444" spans="1:19" s="7" customFormat="1" ht="18" customHeight="1">
      <c r="A2444" s="13" t="s">
        <v>1262</v>
      </c>
      <c r="B2444" s="13"/>
      <c r="C2444" s="13" t="s">
        <v>1264</v>
      </c>
      <c r="D2444" s="14"/>
      <c r="E2444" s="14"/>
      <c r="F2444" s="14"/>
      <c r="G2444" s="14"/>
      <c r="H2444" s="14"/>
      <c r="I2444" s="14"/>
      <c r="J2444" s="14">
        <f>SUMIFS(J2445:J2446,D2445:D2446,"&lt;&gt;Y",F2445:F2446,"&lt;&gt;Y",I2445:I2446,"&lt;&gt;Inactive",I2445:I2446,"&lt;&gt;ECO+NFS")</f>
        <v>9911</v>
      </c>
      <c r="K2444" s="14"/>
      <c r="L2444" s="14"/>
      <c r="M2444" s="14"/>
      <c r="N2444" s="14"/>
      <c r="O2444" s="14"/>
      <c r="P2444" s="14"/>
      <c r="Q2444" s="14"/>
      <c r="R2444" s="14"/>
      <c r="S2444" s="14"/>
    </row>
    <row r="2445" spans="1:19" ht="18" customHeight="1">
      <c r="A2445" s="17" t="str">
        <f>HYPERLINK("#"&amp;ADDRESS(MATCH(A2444,'CIM&amp;FMS'!$A$1:$A$4997,0),1,,,"CIM&amp;FMS"),"Back to Price List")</f>
        <v>Back to Price List</v>
      </c>
      <c r="B2445" t="str">
        <f>"63-9072-0000"</f>
        <v>63-9072-0000</v>
      </c>
      <c r="C2445" t="str">
        <f>"OpenCIM/FMS Software Package"</f>
        <v>OpenCIM/FMS Software Package</v>
      </c>
      <c r="D2445" s="4"/>
      <c r="E2445" s="4">
        <v>1</v>
      </c>
      <c r="F2445" s="4"/>
      <c r="G2445" s="29" t="str">
        <f>IFERROR(HYPERLINK("#"&amp;ADDRESS(MATCH(B2445&amp;"ES",'LM7 Non-ENG'!$A$1:$A$5000,0),1,,,"LM7 Non-ENG"),IF(IFERROR(VLOOKUP(B2445&amp;"ES",'LM7 Non-ENG'!$A$1:$A$4999,1,FALSE),"ERROR")=B2445&amp;"ES","Y","")),"")</f>
        <v/>
      </c>
      <c r="H2445" s="29" t="str">
        <f>IFERROR(HYPERLINK("#"&amp;ADDRESS(MATCH(B2445&amp;"PT",'LM7 Non-ENG'!$A$1:$A$5000,0),1,,,"LM7 Non-ENG"),IF(IFERROR(VLOOKUP(B2445&amp;"PT",'LM7 Non-ENG'!$A$1:$A$5000,1,FALSE),"ERROR")=B2445&amp;"PT","Y","")),"")</f>
        <v/>
      </c>
      <c r="I2445" t="str">
        <f>IFERROR(VLOOKUP(B2445,PN!$A:$C,3,FALSE),"")</f>
        <v>Active</v>
      </c>
      <c r="J2445" s="3">
        <f>IFERROR(E2445*VLOOKUP(B2445,PLInter!$A:$D,3,FALSE),"")</f>
        <v>4911</v>
      </c>
      <c r="K2445" s="66"/>
      <c r="L2445" s="66"/>
      <c r="M2445" s="66"/>
      <c r="N2445" s="66"/>
      <c r="O2445" s="66"/>
      <c r="P2445" s="66"/>
      <c r="Q2445" s="66"/>
      <c r="R2445" s="66"/>
      <c r="S2445" s="66"/>
    </row>
    <row r="2446" spans="1:19" ht="18" customHeight="1">
      <c r="B2446" t="str">
        <f>"63-7000-1300"</f>
        <v>63-7000-1300</v>
      </c>
      <c r="C2446" t="str">
        <f>"License Key For OpenCIM Offline Software"</f>
        <v>License Key For OpenCIM Offline Software</v>
      </c>
      <c r="D2446" s="4"/>
      <c r="E2446" s="4">
        <v>10</v>
      </c>
      <c r="F2446" s="4"/>
      <c r="G2446" s="29" t="str">
        <f>IFERROR(HYPERLINK("#"&amp;ADDRESS(MATCH(B2446&amp;"ES",'LM7 Non-ENG'!$A$1:$A$5000,0),1,,,"LM7 Non-ENG"),IF(IFERROR(VLOOKUP(B2446&amp;"ES",'LM7 Non-ENG'!$A$1:$A$4999,1,FALSE),"ERROR")=B2446&amp;"ES","Y","")),"")</f>
        <v/>
      </c>
      <c r="H2446" s="29" t="str">
        <f>IFERROR(HYPERLINK("#"&amp;ADDRESS(MATCH(B2446&amp;"PT",'LM7 Non-ENG'!$A$1:$A$5000,0),1,,,"LM7 Non-ENG"),IF(IFERROR(VLOOKUP(B2446&amp;"PT",'LM7 Non-ENG'!$A$1:$A$5000,1,FALSE),"ERROR")=B2446&amp;"PT","Y","")),"")</f>
        <v/>
      </c>
      <c r="I2446" t="str">
        <f>IFERROR(VLOOKUP(B2446,PN!$A:$C,3,FALSE),"")</f>
        <v>Active</v>
      </c>
      <c r="J2446" s="3">
        <f>IFERROR(E2446*VLOOKUP(B2446,PLInter!$A:$D,3,FALSE),"")</f>
        <v>5000</v>
      </c>
      <c r="K2446" s="66"/>
      <c r="L2446" s="66"/>
      <c r="M2446" s="66"/>
      <c r="N2446" s="66"/>
      <c r="O2446" s="66"/>
      <c r="P2446" s="66"/>
      <c r="Q2446" s="66"/>
      <c r="R2446" s="66"/>
      <c r="S2446" s="66"/>
    </row>
    <row r="2448" spans="1:19" s="7" customFormat="1" ht="18" customHeight="1">
      <c r="A2448" s="13" t="s">
        <v>1265</v>
      </c>
      <c r="B2448" s="13"/>
      <c r="C2448" s="13" t="s">
        <v>1266</v>
      </c>
      <c r="D2448" s="14"/>
      <c r="E2448" s="14"/>
      <c r="F2448" s="14"/>
      <c r="G2448" s="14"/>
      <c r="H2448" s="14"/>
      <c r="I2448" s="14"/>
      <c r="J2448" s="14">
        <f>SUMIFS(J2449:J2450,D2449:D2450,"&lt;&gt;Y",F2449:F2450,"&lt;&gt;Y",I2449:I2450,"&lt;&gt;Inactive",I2449:I2450,"&lt;&gt;ECO+NFS")</f>
        <v>21411</v>
      </c>
      <c r="K2448" s="14"/>
      <c r="L2448" s="14"/>
      <c r="M2448" s="14"/>
      <c r="N2448" s="14"/>
      <c r="O2448" s="14"/>
      <c r="P2448" s="14"/>
      <c r="Q2448" s="14"/>
      <c r="R2448" s="14"/>
      <c r="S2448" s="14"/>
    </row>
    <row r="2449" spans="1:19" ht="18" customHeight="1">
      <c r="A2449" s="17" t="str">
        <f>HYPERLINK("#"&amp;ADDRESS(MATCH(A2448,'CIM&amp;FMS'!$A$1:$A$4997,0),1,,,"CIM&amp;FMS"),"Back to Price List")</f>
        <v>Back to Price List</v>
      </c>
      <c r="B2449" t="s">
        <v>1254</v>
      </c>
      <c r="C2449" t="s">
        <v>1255</v>
      </c>
      <c r="D2449" s="4"/>
      <c r="E2449" s="4">
        <v>1</v>
      </c>
      <c r="F2449" s="4"/>
      <c r="G2449" s="29" t="str">
        <f>IFERROR(HYPERLINK("#"&amp;ADDRESS(MATCH(B2449&amp;"ES",'LM7 Non-ENG'!$A$1:$A$5000,0),1,,,"LM7 Non-ENG"),IF(IFERROR(VLOOKUP(B2449&amp;"ES",'LM7 Non-ENG'!$A$1:$A$4999,1,FALSE),"ERROR")=B2449&amp;"ES","Y","")),"")</f>
        <v/>
      </c>
      <c r="H2449" s="29" t="str">
        <f>IFERROR(HYPERLINK("#"&amp;ADDRESS(MATCH(B2449&amp;"PT",'LM7 Non-ENG'!$A$1:$A$5000,0),1,,,"LM7 Non-ENG"),IF(IFERROR(VLOOKUP(B2449&amp;"PT",'LM7 Non-ENG'!$A$1:$A$5000,1,FALSE),"ERROR")=B2449&amp;"PT","Y","")),"")</f>
        <v/>
      </c>
      <c r="I2449" t="str">
        <f>IFERROR(VLOOKUP(B2449,PN!$A:$C,3,FALSE),"")</f>
        <v>Active</v>
      </c>
      <c r="J2449" s="3">
        <f>IFERROR(E2449*VLOOKUP(B2449,PLInter!$A:$D,3,FALSE),"")</f>
        <v>4911</v>
      </c>
      <c r="K2449" s="66"/>
      <c r="L2449" s="66"/>
      <c r="M2449" s="66"/>
      <c r="N2449" s="66"/>
      <c r="O2449" s="66"/>
      <c r="P2449" s="66"/>
      <c r="Q2449" s="66"/>
      <c r="R2449" s="66"/>
      <c r="S2449" s="66"/>
    </row>
    <row r="2450" spans="1:19" ht="18" customHeight="1">
      <c r="B2450" t="s">
        <v>1256</v>
      </c>
      <c r="C2450" t="s">
        <v>1257</v>
      </c>
      <c r="D2450" s="4"/>
      <c r="E2450" s="4">
        <v>1</v>
      </c>
      <c r="F2450" s="4"/>
      <c r="G2450" s="29" t="str">
        <f>IFERROR(HYPERLINK("#"&amp;ADDRESS(MATCH(B2450&amp;"ES",'LM7 Non-ENG'!$A$1:$A$5000,0),1,,,"LM7 Non-ENG"),IF(IFERROR(VLOOKUP(B2450&amp;"ES",'LM7 Non-ENG'!$A$1:$A$4999,1,FALSE),"ERROR")=B2450&amp;"ES","Y","")),"")</f>
        <v/>
      </c>
      <c r="H2450" s="29" t="str">
        <f>IFERROR(HYPERLINK("#"&amp;ADDRESS(MATCH(B2450&amp;"PT",'LM7 Non-ENG'!$A$1:$A$5000,0),1,,,"LM7 Non-ENG"),IF(IFERROR(VLOOKUP(B2450&amp;"PT",'LM7 Non-ENG'!$A$1:$A$5000,1,FALSE),"ERROR")=B2450&amp;"PT","Y","")),"")</f>
        <v/>
      </c>
      <c r="I2450" t="str">
        <f>IFERROR(VLOOKUP(B2450,PN!$A:$C,3,FALSE),"")</f>
        <v>Active</v>
      </c>
      <c r="J2450" s="3">
        <f>IFERROR(E2450*VLOOKUP(B2450,PLInter!$A:$D,3,FALSE),"")</f>
        <v>16500</v>
      </c>
      <c r="K2450" s="66"/>
      <c r="L2450" s="66"/>
      <c r="M2450" s="66"/>
      <c r="N2450" s="66"/>
      <c r="O2450" s="66"/>
      <c r="P2450" s="66"/>
      <c r="Q2450" s="66"/>
      <c r="R2450" s="66"/>
      <c r="S2450" s="66"/>
    </row>
    <row r="2452" spans="1:19" s="7" customFormat="1" ht="18" customHeight="1">
      <c r="A2452" s="13" t="s">
        <v>1267</v>
      </c>
      <c r="B2452" s="13"/>
      <c r="C2452" s="13" t="s">
        <v>1268</v>
      </c>
      <c r="D2452" s="14"/>
      <c r="E2452" s="14"/>
      <c r="F2452" s="14"/>
      <c r="G2452" s="14"/>
      <c r="H2452" s="14"/>
      <c r="I2452" s="14"/>
      <c r="J2452" s="14">
        <f>SUMIFS(J2453:J2469,D2453:D2469,"&lt;&gt;Y",F2453:F2469,"&lt;&gt;Y",I2453:I2469,"&lt;&gt;Inactive",I2453:I2469,"&lt;&gt;ECO+NFS")</f>
        <v>48415</v>
      </c>
      <c r="K2452" s="14"/>
      <c r="L2452" s="14"/>
      <c r="M2452" s="14"/>
      <c r="N2452" s="14"/>
      <c r="O2452" s="14"/>
      <c r="P2452" s="14"/>
      <c r="Q2452" s="14"/>
      <c r="R2452" s="14"/>
      <c r="S2452" s="14"/>
    </row>
    <row r="2453" spans="1:19" ht="18" customHeight="1">
      <c r="A2453" s="17" t="str">
        <f>HYPERLINK("#"&amp;ADDRESS(MATCH(A2452,'CIM&amp;FMS'!$A$1:$A$4997,0),1,,,"CIM&amp;FMS"),"Back to Price List")</f>
        <v>Back to Price List</v>
      </c>
      <c r="B2453" t="s">
        <v>544</v>
      </c>
      <c r="C2453" t="s">
        <v>1270</v>
      </c>
      <c r="D2453" s="4"/>
      <c r="E2453" s="4">
        <v>1</v>
      </c>
      <c r="F2453" s="4"/>
      <c r="G2453" s="29" t="str">
        <f>IFERROR(HYPERLINK("#"&amp;ADDRESS(MATCH(B2453&amp;"ES",'LM7 Non-ENG'!$A$1:$A$5000,0),1,,,"LM7 Non-ENG"),IF(IFERROR(VLOOKUP(B2453&amp;"ES",'LM7 Non-ENG'!$A$1:$A$4999,1,FALSE),"ERROR")=B2453&amp;"ES","Y","")),"")</f>
        <v>Y</v>
      </c>
      <c r="H2453" s="29" t="str">
        <f>IFERROR(HYPERLINK("#"&amp;ADDRESS(MATCH(B2453&amp;"PT",'LM7 Non-ENG'!$A$1:$A$5000,0),1,,,"LM7 Non-ENG"),IF(IFERROR(VLOOKUP(B2453&amp;"PT",'LM7 Non-ENG'!$A$1:$A$5000,1,FALSE),"ERROR")=B2453&amp;"PT","Y","")),"")</f>
        <v>Y</v>
      </c>
      <c r="I2453" t="str">
        <f>IFERROR(VLOOKUP(B2453,PN!$A:$C,3,FALSE),"")</f>
        <v>Active</v>
      </c>
      <c r="J2453" s="3">
        <f>IFERROR(E2453*VLOOKUP(B2453,PLInter!$A:$D,3,FALSE),"")</f>
        <v>2995</v>
      </c>
      <c r="K2453" s="66"/>
      <c r="L2453" s="66"/>
      <c r="M2453" s="66"/>
      <c r="N2453" s="66"/>
      <c r="O2453" s="66"/>
      <c r="P2453" s="66"/>
      <c r="Q2453" s="66"/>
      <c r="R2453" s="66"/>
      <c r="S2453" s="66"/>
    </row>
    <row r="2454" spans="1:19" ht="18" customHeight="1">
      <c r="B2454" t="s">
        <v>538</v>
      </c>
      <c r="C2454" t="s">
        <v>1271</v>
      </c>
      <c r="D2454" s="4"/>
      <c r="E2454" s="4">
        <v>1</v>
      </c>
      <c r="F2454" s="4"/>
      <c r="G2454" s="29" t="str">
        <f>IFERROR(HYPERLINK("#"&amp;ADDRESS(MATCH(B2454&amp;"ES",'LM7 Non-ENG'!$A$1:$A$5000,0),1,,,"LM7 Non-ENG"),IF(IFERROR(VLOOKUP(B2454&amp;"ES",'LM7 Non-ENG'!$A$1:$A$4999,1,FALSE),"ERROR")=B2454&amp;"ES","Y","")),"")</f>
        <v>Y</v>
      </c>
      <c r="H2454" s="29" t="str">
        <f>IFERROR(HYPERLINK("#"&amp;ADDRESS(MATCH(B2454&amp;"PT",'LM7 Non-ENG'!$A$1:$A$5000,0),1,,,"LM7 Non-ENG"),IF(IFERROR(VLOOKUP(B2454&amp;"PT",'LM7 Non-ENG'!$A$1:$A$5000,1,FALSE),"ERROR")=B2454&amp;"PT","Y","")),"")</f>
        <v>Y</v>
      </c>
      <c r="I2454" t="str">
        <f>IFERROR(VLOOKUP(B2454,PN!$A:$C,3,FALSE),"")</f>
        <v>Active</v>
      </c>
      <c r="J2454" s="3">
        <f>IFERROR(E2454*VLOOKUP(B2454,PLInter!$A:$D,3,FALSE),"")</f>
        <v>2995</v>
      </c>
      <c r="K2454" s="66"/>
      <c r="L2454" s="66"/>
      <c r="M2454" s="66"/>
      <c r="N2454" s="66"/>
      <c r="O2454" s="66"/>
      <c r="P2454" s="66"/>
      <c r="Q2454" s="66"/>
      <c r="R2454" s="66"/>
      <c r="S2454" s="66"/>
    </row>
    <row r="2455" spans="1:19" ht="18" customHeight="1">
      <c r="B2455" t="s">
        <v>541</v>
      </c>
      <c r="C2455" t="s">
        <v>1272</v>
      </c>
      <c r="D2455" s="4"/>
      <c r="E2455" s="4">
        <v>1</v>
      </c>
      <c r="F2455" s="4"/>
      <c r="G2455" s="29" t="str">
        <f>IFERROR(HYPERLINK("#"&amp;ADDRESS(MATCH(B2455&amp;"ES",'LM7 Non-ENG'!$A$1:$A$5000,0),1,,,"LM7 Non-ENG"),IF(IFERROR(VLOOKUP(B2455&amp;"ES",'LM7 Non-ENG'!$A$1:$A$4999,1,FALSE),"ERROR")=B2455&amp;"ES","Y","")),"")</f>
        <v>Y</v>
      </c>
      <c r="H2455" s="29" t="str">
        <f>IFERROR(HYPERLINK("#"&amp;ADDRESS(MATCH(B2455&amp;"PT",'LM7 Non-ENG'!$A$1:$A$5000,0),1,,,"LM7 Non-ENG"),IF(IFERROR(VLOOKUP(B2455&amp;"PT",'LM7 Non-ENG'!$A$1:$A$5000,1,FALSE),"ERROR")=B2455&amp;"PT","Y","")),"")</f>
        <v>Y</v>
      </c>
      <c r="I2455" t="str">
        <f>IFERROR(VLOOKUP(B2455,PN!$A:$C,3,FALSE),"")</f>
        <v>Active</v>
      </c>
      <c r="J2455" s="3">
        <f>IFERROR(E2455*VLOOKUP(B2455,PLInter!$A:$D,3,FALSE),"")</f>
        <v>2995</v>
      </c>
      <c r="K2455" s="66"/>
      <c r="L2455" s="66"/>
      <c r="M2455" s="66"/>
      <c r="N2455" s="66"/>
      <c r="O2455" s="66"/>
      <c r="P2455" s="66"/>
      <c r="Q2455" s="66"/>
      <c r="R2455" s="66"/>
      <c r="S2455" s="66"/>
    </row>
    <row r="2456" spans="1:19" ht="18" customHeight="1">
      <c r="B2456" t="s">
        <v>522</v>
      </c>
      <c r="C2456" t="s">
        <v>1273</v>
      </c>
      <c r="D2456" s="4"/>
      <c r="E2456" s="4">
        <v>1</v>
      </c>
      <c r="F2456" s="4"/>
      <c r="G2456" s="29" t="str">
        <f>IFERROR(HYPERLINK("#"&amp;ADDRESS(MATCH(B2456&amp;"ES",'LM7 Non-ENG'!$A$1:$A$5000,0),1,,,"LM7 Non-ENG"),IF(IFERROR(VLOOKUP(B2456&amp;"ES",'LM7 Non-ENG'!$A$1:$A$4999,1,FALSE),"ERROR")=B2456&amp;"ES","Y","")),"")</f>
        <v>Y</v>
      </c>
      <c r="H2456" s="29" t="str">
        <f>IFERROR(HYPERLINK("#"&amp;ADDRESS(MATCH(B2456&amp;"PT",'LM7 Non-ENG'!$A$1:$A$5000,0),1,,,"LM7 Non-ENG"),IF(IFERROR(VLOOKUP(B2456&amp;"PT",'LM7 Non-ENG'!$A$1:$A$5000,1,FALSE),"ERROR")=B2456&amp;"PT","Y","")),"")</f>
        <v>Y</v>
      </c>
      <c r="I2456" t="str">
        <f>IFERROR(VLOOKUP(B2456,PN!$A:$C,3,FALSE),"")</f>
        <v>Active</v>
      </c>
      <c r="J2456" s="3">
        <f>IFERROR(E2456*VLOOKUP(B2456,PLInter!$A:$D,3,FALSE),"")</f>
        <v>2995</v>
      </c>
      <c r="K2456" s="66"/>
      <c r="L2456" s="66"/>
      <c r="M2456" s="66"/>
      <c r="N2456" s="66"/>
      <c r="O2456" s="66"/>
      <c r="P2456" s="66"/>
      <c r="Q2456" s="66"/>
      <c r="R2456" s="66"/>
      <c r="S2456" s="66"/>
    </row>
    <row r="2457" spans="1:19" ht="18" customHeight="1">
      <c r="B2457" t="s">
        <v>524</v>
      </c>
      <c r="C2457" t="s">
        <v>1274</v>
      </c>
      <c r="D2457" s="4"/>
      <c r="E2457" s="4">
        <v>1</v>
      </c>
      <c r="F2457" s="4"/>
      <c r="G2457" s="29" t="str">
        <f>IFERROR(HYPERLINK("#"&amp;ADDRESS(MATCH(B2457&amp;"ES",'LM7 Non-ENG'!$A$1:$A$5000,0),1,,,"LM7 Non-ENG"),IF(IFERROR(VLOOKUP(B2457&amp;"ES",'LM7 Non-ENG'!$A$1:$A$4999,1,FALSE),"ERROR")=B2457&amp;"ES","Y","")),"")</f>
        <v>Y</v>
      </c>
      <c r="H2457" s="29" t="str">
        <f>IFERROR(HYPERLINK("#"&amp;ADDRESS(MATCH(B2457&amp;"PT",'LM7 Non-ENG'!$A$1:$A$5000,0),1,,,"LM7 Non-ENG"),IF(IFERROR(VLOOKUP(B2457&amp;"PT",'LM7 Non-ENG'!$A$1:$A$5000,1,FALSE),"ERROR")=B2457&amp;"PT","Y","")),"")</f>
        <v>Y</v>
      </c>
      <c r="I2457" t="str">
        <f>IFERROR(VLOOKUP(B2457,PN!$A:$C,3,FALSE),"")</f>
        <v>Active</v>
      </c>
      <c r="J2457" s="3">
        <f>IFERROR(E2457*VLOOKUP(B2457,PLInter!$A:$D,3,FALSE),"")</f>
        <v>2995</v>
      </c>
      <c r="K2457" s="66"/>
      <c r="L2457" s="66"/>
      <c r="M2457" s="66"/>
      <c r="N2457" s="66"/>
      <c r="O2457" s="66"/>
      <c r="P2457" s="66"/>
      <c r="Q2457" s="66"/>
      <c r="R2457" s="66"/>
      <c r="S2457" s="66"/>
    </row>
    <row r="2458" spans="1:19" ht="18" customHeight="1">
      <c r="B2458" t="s">
        <v>526</v>
      </c>
      <c r="C2458" t="s">
        <v>1275</v>
      </c>
      <c r="D2458" s="4"/>
      <c r="E2458" s="4">
        <v>1</v>
      </c>
      <c r="F2458" s="4"/>
      <c r="G2458" s="29" t="str">
        <f>IFERROR(HYPERLINK("#"&amp;ADDRESS(MATCH(B2458&amp;"ES",'LM7 Non-ENG'!$A$1:$A$5000,0),1,,,"LM7 Non-ENG"),IF(IFERROR(VLOOKUP(B2458&amp;"ES",'LM7 Non-ENG'!$A$1:$A$4999,1,FALSE),"ERROR")=B2458&amp;"ES","Y","")),"")</f>
        <v/>
      </c>
      <c r="H2458" s="29" t="str">
        <f>IFERROR(HYPERLINK("#"&amp;ADDRESS(MATCH(B2458&amp;"PT",'LM7 Non-ENG'!$A$1:$A$5000,0),1,,,"LM7 Non-ENG"),IF(IFERROR(VLOOKUP(B2458&amp;"PT",'LM7 Non-ENG'!$A$1:$A$5000,1,FALSE),"ERROR")=B2458&amp;"PT","Y","")),"")</f>
        <v/>
      </c>
      <c r="I2458" t="str">
        <f>IFERROR(VLOOKUP(B2458,PN!$A:$C,3,FALSE),"")</f>
        <v>Active</v>
      </c>
      <c r="J2458" s="3">
        <f>IFERROR(E2458*VLOOKUP(B2458,PLInter!$A:$D,3,FALSE),"")</f>
        <v>2995</v>
      </c>
      <c r="K2458" s="66"/>
      <c r="L2458" s="66"/>
      <c r="M2458" s="66"/>
      <c r="N2458" s="66"/>
      <c r="O2458" s="66"/>
      <c r="P2458" s="66"/>
      <c r="Q2458" s="66"/>
      <c r="R2458" s="66"/>
      <c r="S2458" s="66"/>
    </row>
    <row r="2459" spans="1:19" ht="18" customHeight="1">
      <c r="B2459" t="s">
        <v>528</v>
      </c>
      <c r="C2459" t="s">
        <v>1276</v>
      </c>
      <c r="D2459" s="4"/>
      <c r="E2459" s="4">
        <v>1</v>
      </c>
      <c r="F2459" s="4"/>
      <c r="G2459" s="29" t="str">
        <f>IFERROR(HYPERLINK("#"&amp;ADDRESS(MATCH(B2459&amp;"ES",'LM7 Non-ENG'!$A$1:$A$5000,0),1,,,"LM7 Non-ENG"),IF(IFERROR(VLOOKUP(B2459&amp;"ES",'LM7 Non-ENG'!$A$1:$A$4999,1,FALSE),"ERROR")=B2459&amp;"ES","Y","")),"")</f>
        <v/>
      </c>
      <c r="H2459" s="29" t="str">
        <f>IFERROR(HYPERLINK("#"&amp;ADDRESS(MATCH(B2459&amp;"PT",'LM7 Non-ENG'!$A$1:$A$5000,0),1,,,"LM7 Non-ENG"),IF(IFERROR(VLOOKUP(B2459&amp;"PT",'LM7 Non-ENG'!$A$1:$A$5000,1,FALSE),"ERROR")=B2459&amp;"PT","Y","")),"")</f>
        <v/>
      </c>
      <c r="I2459" t="str">
        <f>IFERROR(VLOOKUP(B2459,PN!$A:$C,3,FALSE),"")</f>
        <v>Active</v>
      </c>
      <c r="J2459" s="3">
        <f>IFERROR(E2459*VLOOKUP(B2459,PLInter!$A:$D,3,FALSE),"")</f>
        <v>2995</v>
      </c>
      <c r="K2459" s="66"/>
      <c r="L2459" s="66"/>
      <c r="M2459" s="66"/>
      <c r="N2459" s="66"/>
      <c r="O2459" s="66"/>
      <c r="P2459" s="66"/>
      <c r="Q2459" s="66"/>
      <c r="R2459" s="66"/>
      <c r="S2459" s="66"/>
    </row>
    <row r="2460" spans="1:19" ht="18" customHeight="1">
      <c r="B2460" t="s">
        <v>218</v>
      </c>
      <c r="C2460" t="s">
        <v>222</v>
      </c>
      <c r="D2460" s="4"/>
      <c r="E2460" s="4">
        <v>1</v>
      </c>
      <c r="F2460" s="4"/>
      <c r="G2460" s="29" t="str">
        <f>IFERROR(HYPERLINK("#"&amp;ADDRESS(MATCH(B2460&amp;"ES",'LM7 Non-ENG'!$A$1:$A$5000,0),1,,,"LM7 Non-ENG"),IF(IFERROR(VLOOKUP(B2460&amp;"ES",'LM7 Non-ENG'!$A$1:$A$4999,1,FALSE),"ERROR")=B2460&amp;"ES","Y","")),"")</f>
        <v/>
      </c>
      <c r="H2460" s="29" t="str">
        <f>IFERROR(HYPERLINK("#"&amp;ADDRESS(MATCH(B2460&amp;"PT",'LM7 Non-ENG'!$A$1:$A$5000,0),1,,,"LM7 Non-ENG"),IF(IFERROR(VLOOKUP(B2460&amp;"PT",'LM7 Non-ENG'!$A$1:$A$5000,1,FALSE),"ERROR")=B2460&amp;"PT","Y","")),"")</f>
        <v/>
      </c>
      <c r="I2460" t="str">
        <f>IFERROR(VLOOKUP(B2460,PN!$A:$C,3,FALSE),"")</f>
        <v>Active</v>
      </c>
      <c r="J2460" s="3">
        <f>IFERROR(E2460*VLOOKUP(B2460,PLInter!$A:$D,3,FALSE),"")</f>
        <v>2995</v>
      </c>
      <c r="K2460" s="66"/>
      <c r="L2460" s="66"/>
      <c r="M2460" s="66"/>
      <c r="N2460" s="66"/>
      <c r="O2460" s="66"/>
      <c r="P2460" s="66"/>
      <c r="Q2460" s="66"/>
      <c r="R2460" s="66"/>
      <c r="S2460" s="66"/>
    </row>
    <row r="2461" spans="1:19" ht="18" customHeight="1">
      <c r="B2461" t="s">
        <v>219</v>
      </c>
      <c r="C2461" t="s">
        <v>224</v>
      </c>
      <c r="D2461" s="4"/>
      <c r="E2461" s="4">
        <v>1</v>
      </c>
      <c r="F2461" s="4"/>
      <c r="G2461" s="29" t="str">
        <f>IFERROR(HYPERLINK("#"&amp;ADDRESS(MATCH(B2461&amp;"ES",'LM7 Non-ENG'!$A$1:$A$5000,0),1,,,"LM7 Non-ENG"),IF(IFERROR(VLOOKUP(B2461&amp;"ES",'LM7 Non-ENG'!$A$1:$A$4999,1,FALSE),"ERROR")=B2461&amp;"ES","Y","")),"")</f>
        <v/>
      </c>
      <c r="H2461" s="29" t="str">
        <f>IFERROR(HYPERLINK("#"&amp;ADDRESS(MATCH(B2461&amp;"PT",'LM7 Non-ENG'!$A$1:$A$5000,0),1,,,"LM7 Non-ENG"),IF(IFERROR(VLOOKUP(B2461&amp;"PT",'LM7 Non-ENG'!$A$1:$A$5000,1,FALSE),"ERROR")=B2461&amp;"PT","Y","")),"")</f>
        <v/>
      </c>
      <c r="I2461" t="str">
        <f>IFERROR(VLOOKUP(B2461,PN!$A:$C,3,FALSE),"")</f>
        <v>Active</v>
      </c>
      <c r="J2461" s="3">
        <f>IFERROR(E2461*VLOOKUP(B2461,PLInter!$A:$D,3,FALSE),"")</f>
        <v>2495</v>
      </c>
      <c r="K2461" s="66"/>
      <c r="L2461" s="66"/>
      <c r="M2461" s="66"/>
      <c r="N2461" s="66"/>
      <c r="O2461" s="66"/>
      <c r="P2461" s="66"/>
      <c r="Q2461" s="66"/>
      <c r="R2461" s="66"/>
      <c r="S2461" s="66"/>
    </row>
    <row r="2462" spans="1:19" ht="18" customHeight="1">
      <c r="B2462" t="s">
        <v>220</v>
      </c>
      <c r="C2462" t="s">
        <v>223</v>
      </c>
      <c r="D2462" s="4"/>
      <c r="E2462" s="4">
        <v>1</v>
      </c>
      <c r="F2462" s="4"/>
      <c r="G2462" s="29" t="str">
        <f>IFERROR(HYPERLINK("#"&amp;ADDRESS(MATCH(B2462&amp;"ES",'LM7 Non-ENG'!$A$1:$A$5000,0),1,,,"LM7 Non-ENG"),IF(IFERROR(VLOOKUP(B2462&amp;"ES",'LM7 Non-ENG'!$A$1:$A$4999,1,FALSE),"ERROR")=B2462&amp;"ES","Y","")),"")</f>
        <v>Y</v>
      </c>
      <c r="H2462" s="29" t="str">
        <f>IFERROR(HYPERLINK("#"&amp;ADDRESS(MATCH(B2462&amp;"PT",'LM7 Non-ENG'!$A$1:$A$5000,0),1,,,"LM7 Non-ENG"),IF(IFERROR(VLOOKUP(B2462&amp;"PT",'LM7 Non-ENG'!$A$1:$A$5000,1,FALSE),"ERROR")=B2462&amp;"PT","Y","")),"")</f>
        <v/>
      </c>
      <c r="I2462" t="str">
        <f>IFERROR(VLOOKUP(B2462,PN!$A:$C,3,FALSE),"")</f>
        <v>Active</v>
      </c>
      <c r="J2462" s="3">
        <f>IFERROR(E2462*VLOOKUP(B2462,PLInter!$A:$D,3,FALSE),"")</f>
        <v>2995</v>
      </c>
      <c r="K2462" s="66"/>
      <c r="L2462" s="66"/>
      <c r="M2462" s="66"/>
      <c r="N2462" s="66"/>
      <c r="O2462" s="66"/>
      <c r="P2462" s="66"/>
      <c r="Q2462" s="66"/>
      <c r="R2462" s="66"/>
      <c r="S2462" s="66"/>
    </row>
    <row r="2463" spans="1:19" ht="18" customHeight="1">
      <c r="B2463" t="s">
        <v>221</v>
      </c>
      <c r="C2463" t="s">
        <v>225</v>
      </c>
      <c r="D2463" s="4"/>
      <c r="E2463" s="4">
        <v>1</v>
      </c>
      <c r="F2463" s="4"/>
      <c r="G2463" s="29" t="str">
        <f>IFERROR(HYPERLINK("#"&amp;ADDRESS(MATCH(B2463&amp;"ES",'LM7 Non-ENG'!$A$1:$A$5000,0),1,,,"LM7 Non-ENG"),IF(IFERROR(VLOOKUP(B2463&amp;"ES",'LM7 Non-ENG'!$A$1:$A$4999,1,FALSE),"ERROR")=B2463&amp;"ES","Y","")),"")</f>
        <v>Y</v>
      </c>
      <c r="H2463" s="29" t="str">
        <f>IFERROR(HYPERLINK("#"&amp;ADDRESS(MATCH(B2463&amp;"PT",'LM7 Non-ENG'!$A$1:$A$5000,0),1,,,"LM7 Non-ENG"),IF(IFERROR(VLOOKUP(B2463&amp;"PT",'LM7 Non-ENG'!$A$1:$A$5000,1,FALSE),"ERROR")=B2463&amp;"PT","Y","")),"")</f>
        <v/>
      </c>
      <c r="I2463" t="str">
        <f>IFERROR(VLOOKUP(B2463,PN!$A:$C,3,FALSE),"")</f>
        <v>Active</v>
      </c>
      <c r="J2463" s="3">
        <f>IFERROR(E2463*VLOOKUP(B2463,PLInter!$A:$D,3,FALSE),"")</f>
        <v>2495</v>
      </c>
      <c r="K2463" s="66"/>
      <c r="L2463" s="66"/>
      <c r="M2463" s="66"/>
      <c r="N2463" s="66"/>
      <c r="O2463" s="66"/>
      <c r="P2463" s="66"/>
      <c r="Q2463" s="66"/>
      <c r="R2463" s="66"/>
      <c r="S2463" s="66"/>
    </row>
    <row r="2464" spans="1:19" ht="18" customHeight="1">
      <c r="B2464" t="s">
        <v>1277</v>
      </c>
      <c r="C2464" t="s">
        <v>1278</v>
      </c>
      <c r="D2464" s="4"/>
      <c r="E2464" s="4">
        <v>1</v>
      </c>
      <c r="F2464" s="4"/>
      <c r="G2464" s="29" t="str">
        <f>IFERROR(HYPERLINK("#"&amp;ADDRESS(MATCH(B2464&amp;"ES",'LM7 Non-ENG'!$A$1:$A$5000,0),1,,,"LM7 Non-ENG"),IF(IFERROR(VLOOKUP(B2464&amp;"ES",'LM7 Non-ENG'!$A$1:$A$4999,1,FALSE),"ERROR")=B2464&amp;"ES","Y","")),"")</f>
        <v>Y</v>
      </c>
      <c r="H2464" s="29" t="str">
        <f>IFERROR(HYPERLINK("#"&amp;ADDRESS(MATCH(B2464&amp;"PT",'LM7 Non-ENG'!$A$1:$A$5000,0),1,,,"LM7 Non-ENG"),IF(IFERROR(VLOOKUP(B2464&amp;"PT",'LM7 Non-ENG'!$A$1:$A$5000,1,FALSE),"ERROR")=B2464&amp;"PT","Y","")),"")</f>
        <v/>
      </c>
      <c r="I2464" t="str">
        <f>IFERROR(VLOOKUP(B2464,PN!$A:$C,3,FALSE),"")</f>
        <v>Active</v>
      </c>
      <c r="J2464" s="3">
        <f>IFERROR(E2464*VLOOKUP(B2464,PLInter!$A:$D,3,FALSE),"")</f>
        <v>2995</v>
      </c>
      <c r="K2464" s="66"/>
      <c r="L2464" s="66"/>
      <c r="M2464" s="66"/>
      <c r="N2464" s="66"/>
      <c r="O2464" s="66"/>
      <c r="P2464" s="66"/>
      <c r="Q2464" s="66"/>
      <c r="R2464" s="66"/>
      <c r="S2464" s="66"/>
    </row>
    <row r="2465" spans="1:19" ht="18" customHeight="1">
      <c r="B2465" t="s">
        <v>1279</v>
      </c>
      <c r="C2465" t="s">
        <v>1280</v>
      </c>
      <c r="D2465" s="4"/>
      <c r="E2465" s="4">
        <v>1</v>
      </c>
      <c r="F2465" s="4"/>
      <c r="G2465" s="29" t="str">
        <f>IFERROR(HYPERLINK("#"&amp;ADDRESS(MATCH(B2465&amp;"ES",'LM7 Non-ENG'!$A$1:$A$5000,0),1,,,"LM7 Non-ENG"),IF(IFERROR(VLOOKUP(B2465&amp;"ES",'LM7 Non-ENG'!$A$1:$A$4999,1,FALSE),"ERROR")=B2465&amp;"ES","Y","")),"")</f>
        <v>Y</v>
      </c>
      <c r="H2465" s="29" t="str">
        <f>IFERROR(HYPERLINK("#"&amp;ADDRESS(MATCH(B2465&amp;"PT",'LM7 Non-ENG'!$A$1:$A$5000,0),1,,,"LM7 Non-ENG"),IF(IFERROR(VLOOKUP(B2465&amp;"PT",'LM7 Non-ENG'!$A$1:$A$5000,1,FALSE),"ERROR")=B2465&amp;"PT","Y","")),"")</f>
        <v/>
      </c>
      <c r="I2465" t="str">
        <f>IFERROR(VLOOKUP(B2465,PN!$A:$C,3,FALSE),"")</f>
        <v>Active</v>
      </c>
      <c r="J2465" s="3">
        <f>IFERROR(E2465*VLOOKUP(B2465,PLInter!$A:$D,3,FALSE),"")</f>
        <v>2495</v>
      </c>
      <c r="K2465" s="66"/>
      <c r="L2465" s="66"/>
      <c r="M2465" s="66"/>
      <c r="N2465" s="66"/>
      <c r="O2465" s="66"/>
      <c r="P2465" s="66"/>
      <c r="Q2465" s="66"/>
      <c r="R2465" s="66"/>
      <c r="S2465" s="66"/>
    </row>
    <row r="2466" spans="1:19" ht="18" customHeight="1">
      <c r="B2466" t="s">
        <v>547</v>
      </c>
      <c r="C2466" t="s">
        <v>550</v>
      </c>
      <c r="D2466" s="4"/>
      <c r="E2466" s="4">
        <v>1</v>
      </c>
      <c r="F2466" s="4"/>
      <c r="G2466" s="29" t="str">
        <f>IFERROR(HYPERLINK("#"&amp;ADDRESS(MATCH(B2466&amp;"ES",'LM7 Non-ENG'!$A$1:$A$5000,0),1,,,"LM7 Non-ENG"),IF(IFERROR(VLOOKUP(B2466&amp;"ES",'LM7 Non-ENG'!$A$1:$A$4999,1,FALSE),"ERROR")=B2466&amp;"ES","Y","")),"")</f>
        <v>Y</v>
      </c>
      <c r="H2466" s="29" t="str">
        <f>IFERROR(HYPERLINK("#"&amp;ADDRESS(MATCH(B2466&amp;"PT",'LM7 Non-ENG'!$A$1:$A$5000,0),1,,,"LM7 Non-ENG"),IF(IFERROR(VLOOKUP(B2466&amp;"PT",'LM7 Non-ENG'!$A$1:$A$5000,1,FALSE),"ERROR")=B2466&amp;"PT","Y","")),"")</f>
        <v/>
      </c>
      <c r="I2466" t="str">
        <f>IFERROR(VLOOKUP(B2466,PN!$A:$C,3,FALSE),"")</f>
        <v>Active</v>
      </c>
      <c r="J2466" s="3">
        <f>IFERROR(E2466*VLOOKUP(B2466,PLInter!$A:$D,3,FALSE),"")</f>
        <v>2995</v>
      </c>
      <c r="K2466" s="66"/>
      <c r="L2466" s="66"/>
      <c r="M2466" s="66"/>
      <c r="N2466" s="66"/>
      <c r="O2466" s="66"/>
      <c r="P2466" s="66"/>
      <c r="Q2466" s="66"/>
      <c r="R2466" s="66"/>
      <c r="S2466" s="66"/>
    </row>
    <row r="2467" spans="1:19" ht="18" customHeight="1">
      <c r="B2467" t="s">
        <v>548</v>
      </c>
      <c r="C2467" t="s">
        <v>551</v>
      </c>
      <c r="D2467" s="4"/>
      <c r="E2467" s="4">
        <v>1</v>
      </c>
      <c r="F2467" s="4"/>
      <c r="G2467" s="29" t="str">
        <f>IFERROR(HYPERLINK("#"&amp;ADDRESS(MATCH(B2467&amp;"ES",'LM7 Non-ENG'!$A$1:$A$5000,0),1,,,"LM7 Non-ENG"),IF(IFERROR(VLOOKUP(B2467&amp;"ES",'LM7 Non-ENG'!$A$1:$A$4999,1,FALSE),"ERROR")=B2467&amp;"ES","Y","")),"")</f>
        <v>Y</v>
      </c>
      <c r="H2467" s="29" t="str">
        <f>IFERROR(HYPERLINK("#"&amp;ADDRESS(MATCH(B2467&amp;"PT",'LM7 Non-ENG'!$A$1:$A$5000,0),1,,,"LM7 Non-ENG"),IF(IFERROR(VLOOKUP(B2467&amp;"PT",'LM7 Non-ENG'!$A$1:$A$5000,1,FALSE),"ERROR")=B2467&amp;"PT","Y","")),"")</f>
        <v/>
      </c>
      <c r="I2467" t="str">
        <f>IFERROR(VLOOKUP(B2467,PN!$A:$C,3,FALSE),"")</f>
        <v>Active</v>
      </c>
      <c r="J2467" s="3">
        <f>IFERROR(E2467*VLOOKUP(B2467,PLInter!$A:$D,3,FALSE),"")</f>
        <v>2495</v>
      </c>
      <c r="K2467" s="66"/>
      <c r="L2467" s="66"/>
      <c r="M2467" s="66"/>
      <c r="N2467" s="66"/>
      <c r="O2467" s="66"/>
      <c r="P2467" s="66"/>
      <c r="Q2467" s="66"/>
      <c r="R2467" s="66"/>
      <c r="S2467" s="66"/>
    </row>
    <row r="2468" spans="1:19" ht="18" customHeight="1">
      <c r="B2468" t="s">
        <v>1281</v>
      </c>
      <c r="C2468" t="s">
        <v>1282</v>
      </c>
      <c r="D2468" s="4"/>
      <c r="E2468" s="4">
        <v>1</v>
      </c>
      <c r="F2468" s="4"/>
      <c r="G2468" s="29" t="str">
        <f>IFERROR(HYPERLINK("#"&amp;ADDRESS(MATCH(B2468&amp;"ES",'LM7 Non-ENG'!$A$1:$A$5000,0),1,,,"LM7 Non-ENG"),IF(IFERROR(VLOOKUP(B2468&amp;"ES",'LM7 Non-ENG'!$A$1:$A$4999,1,FALSE),"ERROR")=B2468&amp;"ES","Y","")),"")</f>
        <v>Y</v>
      </c>
      <c r="H2468" s="29" t="str">
        <f>IFERROR(HYPERLINK("#"&amp;ADDRESS(MATCH(B2468&amp;"PT",'LM7 Non-ENG'!$A$1:$A$5000,0),1,,,"LM7 Non-ENG"),IF(IFERROR(VLOOKUP(B2468&amp;"PT",'LM7 Non-ENG'!$A$1:$A$5000,1,FALSE),"ERROR")=B2468&amp;"PT","Y","")),"")</f>
        <v/>
      </c>
      <c r="I2468" t="str">
        <f>IFERROR(VLOOKUP(B2468,PN!$A:$C,3,FALSE),"")</f>
        <v>Active</v>
      </c>
      <c r="J2468" s="3">
        <f>IFERROR(E2468*VLOOKUP(B2468,PLInter!$A:$D,3,FALSE),"")</f>
        <v>2495</v>
      </c>
      <c r="K2468" s="66"/>
      <c r="L2468" s="66"/>
      <c r="M2468" s="66"/>
      <c r="N2468" s="66"/>
      <c r="O2468" s="66"/>
      <c r="P2468" s="66"/>
      <c r="Q2468" s="66"/>
      <c r="R2468" s="66"/>
      <c r="S2468" s="66"/>
    </row>
    <row r="2469" spans="1:19" ht="18" customHeight="1">
      <c r="B2469" t="s">
        <v>546</v>
      </c>
      <c r="C2469" t="s">
        <v>549</v>
      </c>
      <c r="D2469" s="4"/>
      <c r="E2469" s="4">
        <v>1</v>
      </c>
      <c r="F2469" s="4"/>
      <c r="G2469" s="29" t="str">
        <f>IFERROR(HYPERLINK("#"&amp;ADDRESS(MATCH(B2469&amp;"ES",'LM7 Non-ENG'!$A$1:$A$5000,0),1,,,"LM7 Non-ENG"),IF(IFERROR(VLOOKUP(B2469&amp;"ES",'LM7 Non-ENG'!$A$1:$A$4999,1,FALSE),"ERROR")=B2469&amp;"ES","Y","")),"")</f>
        <v>Y</v>
      </c>
      <c r="H2469" s="29" t="str">
        <f>IFERROR(HYPERLINK("#"&amp;ADDRESS(MATCH(B2469&amp;"PT",'LM7 Non-ENG'!$A$1:$A$5000,0),1,,,"LM7 Non-ENG"),IF(IFERROR(VLOOKUP(B2469&amp;"PT",'LM7 Non-ENG'!$A$1:$A$5000,1,FALSE),"ERROR")=B2469&amp;"PT","Y","")),"")</f>
        <v/>
      </c>
      <c r="I2469" t="str">
        <f>IFERROR(VLOOKUP(B2469,PN!$A:$C,3,FALSE),"")</f>
        <v>Active</v>
      </c>
      <c r="J2469" s="3">
        <f>IFERROR(E2469*VLOOKUP(B2469,PLInter!$A:$D,3,FALSE),"")</f>
        <v>2995</v>
      </c>
      <c r="K2469" s="66"/>
      <c r="L2469" s="66"/>
      <c r="M2469" s="66"/>
      <c r="N2469" s="66"/>
      <c r="O2469" s="66"/>
      <c r="P2469" s="66"/>
      <c r="Q2469" s="66"/>
      <c r="R2469" s="66"/>
      <c r="S2469" s="66"/>
    </row>
    <row r="2471" spans="1:19" s="7" customFormat="1" ht="18" customHeight="1">
      <c r="A2471" s="13" t="s">
        <v>1284</v>
      </c>
      <c r="B2471" s="13"/>
      <c r="C2471" s="13" t="s">
        <v>1285</v>
      </c>
      <c r="D2471" s="14"/>
      <c r="E2471" s="14"/>
      <c r="F2471" s="14"/>
      <c r="G2471" s="14"/>
      <c r="H2471" s="14"/>
      <c r="I2471" s="14"/>
      <c r="J2471" s="14">
        <f>SUMIFS(J2472:J2473,D2472:D2473,"&lt;&gt;Y",F2472:F2473,"&lt;&gt;Y",I2472:I2473,"&lt;&gt;Inactive",I2472:I2473,"&lt;&gt;ECO+NFS")</f>
        <v>4950</v>
      </c>
      <c r="K2471" s="14"/>
      <c r="L2471" s="14"/>
      <c r="M2471" s="14"/>
      <c r="N2471" s="14"/>
      <c r="O2471" s="14"/>
      <c r="P2471" s="14"/>
      <c r="Q2471" s="14"/>
      <c r="R2471" s="14"/>
      <c r="S2471" s="14"/>
    </row>
    <row r="2472" spans="1:19" ht="18" customHeight="1">
      <c r="A2472" s="17" t="str">
        <f>HYPERLINK("#"&amp;ADDRESS(MATCH(A2471,'CIM&amp;FMS'!$A$1:$A$4997,0),1,,,"CIM&amp;FMS"),"Back to Price List")</f>
        <v>Back to Price List</v>
      </c>
      <c r="B2472" t="s">
        <v>1098</v>
      </c>
      <c r="C2472" t="s">
        <v>1099</v>
      </c>
      <c r="D2472" s="4"/>
      <c r="E2472" s="4">
        <v>2</v>
      </c>
      <c r="F2472" s="4"/>
      <c r="G2472" s="29" t="str">
        <f>IFERROR(HYPERLINK("#"&amp;ADDRESS(MATCH(B2472&amp;"ES",'LM7 Non-ENG'!$A$1:$A$5000,0),1,,,"LM7 Non-ENG"),IF(IFERROR(VLOOKUP(B2472&amp;"ES",'LM7 Non-ENG'!$A$1:$A$4999,1,FALSE),"ERROR")=B2472&amp;"ES","Y","")),"")</f>
        <v/>
      </c>
      <c r="H2472" s="29" t="str">
        <f>IFERROR(HYPERLINK("#"&amp;ADDRESS(MATCH(B2472&amp;"PT",'LM7 Non-ENG'!$A$1:$A$5000,0),1,,,"LM7 Non-ENG"),IF(IFERROR(VLOOKUP(B2472&amp;"PT",'LM7 Non-ENG'!$A$1:$A$5000,1,FALSE),"ERROR")=B2472&amp;"PT","Y","")),"")</f>
        <v/>
      </c>
      <c r="I2472" t="str">
        <f>IFERROR(VLOOKUP(B2472,PN!$A:$C,3,FALSE),"")</f>
        <v>Active</v>
      </c>
      <c r="J2472" s="3">
        <f>IFERROR(E2472*VLOOKUP(B2472,PLInter!$A:$D,3,FALSE),"")</f>
        <v>3300</v>
      </c>
      <c r="K2472" s="66"/>
      <c r="L2472" s="66"/>
      <c r="M2472" s="66"/>
      <c r="N2472" s="66"/>
      <c r="O2472" s="66"/>
      <c r="P2472" s="66"/>
      <c r="Q2472" s="66"/>
      <c r="R2472" s="66"/>
      <c r="S2472" s="66"/>
    </row>
    <row r="2473" spans="1:19" ht="18" customHeight="1">
      <c r="B2473" t="s">
        <v>1286</v>
      </c>
      <c r="C2473" t="s">
        <v>1287</v>
      </c>
      <c r="D2473" s="4"/>
      <c r="E2473" s="4">
        <v>1</v>
      </c>
      <c r="F2473" s="4"/>
      <c r="G2473" s="29" t="str">
        <f>IFERROR(HYPERLINK("#"&amp;ADDRESS(MATCH(B2473&amp;"ES",'LM7 Non-ENG'!$A$1:$A$5000,0),1,,,"LM7 Non-ENG"),IF(IFERROR(VLOOKUP(B2473&amp;"ES",'LM7 Non-ENG'!$A$1:$A$4999,1,FALSE),"ERROR")=B2473&amp;"ES","Y","")),"")</f>
        <v/>
      </c>
      <c r="H2473" s="29" t="str">
        <f>IFERROR(HYPERLINK("#"&amp;ADDRESS(MATCH(B2473&amp;"PT",'LM7 Non-ENG'!$A$1:$A$5000,0),1,,,"LM7 Non-ENG"),IF(IFERROR(VLOOKUP(B2473&amp;"PT",'LM7 Non-ENG'!$A$1:$A$5000,1,FALSE),"ERROR")=B2473&amp;"PT","Y","")),"")</f>
        <v/>
      </c>
      <c r="I2473" t="str">
        <f>IFERROR(VLOOKUP(B2473,PN!$A:$C,3,FALSE),"")</f>
        <v>Active</v>
      </c>
      <c r="J2473" s="3">
        <f>IFERROR(E2473*VLOOKUP(B2473,PLInter!$A:$D,3,FALSE),"")</f>
        <v>1650</v>
      </c>
      <c r="K2473" s="66"/>
      <c r="L2473" s="66"/>
      <c r="M2473" s="66"/>
      <c r="N2473" s="66"/>
      <c r="O2473" s="66"/>
      <c r="P2473" s="66"/>
      <c r="Q2473" s="66"/>
      <c r="R2473" s="66"/>
      <c r="S2473" s="66"/>
    </row>
    <row r="2475" spans="1:19" s="7" customFormat="1" ht="18" customHeight="1">
      <c r="A2475" s="13" t="s">
        <v>1288</v>
      </c>
      <c r="B2475" s="13"/>
      <c r="C2475" s="13" t="s">
        <v>1289</v>
      </c>
      <c r="D2475" s="14"/>
      <c r="E2475" s="14"/>
      <c r="F2475" s="14"/>
      <c r="G2475" s="14"/>
      <c r="H2475" s="14"/>
      <c r="I2475" s="14"/>
      <c r="J2475" s="14">
        <f>SUMIFS(J2476:J2477,D2476:D2477,"&lt;&gt;Y",F2476:F2477,"&lt;&gt;Y",I2476:I2477,"&lt;&gt;Inactive",I2476:I2477,"&lt;&gt;ECO+NFS")</f>
        <v>18150</v>
      </c>
      <c r="K2475" s="14"/>
      <c r="L2475" s="14"/>
      <c r="M2475" s="14"/>
      <c r="N2475" s="14"/>
      <c r="O2475" s="14"/>
      <c r="P2475" s="14"/>
      <c r="Q2475" s="14"/>
      <c r="R2475" s="14"/>
      <c r="S2475" s="14"/>
    </row>
    <row r="2476" spans="1:19" ht="18" customHeight="1">
      <c r="A2476" s="17" t="str">
        <f>HYPERLINK("#"&amp;ADDRESS(MATCH(A2475,'CIM&amp;FMS'!$A$1:$A$4997,0),1,,,"CIM&amp;FMS"),"Back to Price List")</f>
        <v>Back to Price List</v>
      </c>
      <c r="B2476" t="s">
        <v>1098</v>
      </c>
      <c r="C2476" t="s">
        <v>1099</v>
      </c>
      <c r="D2476" s="4"/>
      <c r="E2476" s="4">
        <v>5</v>
      </c>
      <c r="F2476" s="4"/>
      <c r="G2476" s="29" t="str">
        <f>IFERROR(HYPERLINK("#"&amp;ADDRESS(MATCH(B2476&amp;"ES",'LM7 Non-ENG'!$A$1:$A$5000,0),1,,,"LM7 Non-ENG"),IF(IFERROR(VLOOKUP(B2476&amp;"ES",'LM7 Non-ENG'!$A$1:$A$4999,1,FALSE),"ERROR")=B2476&amp;"ES","Y","")),"")</f>
        <v/>
      </c>
      <c r="H2476" s="29" t="str">
        <f>IFERROR(HYPERLINK("#"&amp;ADDRESS(MATCH(B2476&amp;"PT",'LM7 Non-ENG'!$A$1:$A$5000,0),1,,,"LM7 Non-ENG"),IF(IFERROR(VLOOKUP(B2476&amp;"PT",'LM7 Non-ENG'!$A$1:$A$5000,1,FALSE),"ERROR")=B2476&amp;"PT","Y","")),"")</f>
        <v/>
      </c>
      <c r="I2476" t="str">
        <f>IFERROR(VLOOKUP(B2476,PN!$A:$C,3,FALSE),"")</f>
        <v>Active</v>
      </c>
      <c r="J2476" s="3">
        <f>IFERROR(E2476*VLOOKUP(B2476,PLInter!$A:$D,3,FALSE),"")</f>
        <v>8250</v>
      </c>
      <c r="K2476" s="66"/>
      <c r="L2476" s="66"/>
      <c r="M2476" s="66"/>
      <c r="N2476" s="66"/>
      <c r="O2476" s="66"/>
      <c r="P2476" s="66"/>
      <c r="Q2476" s="66"/>
      <c r="R2476" s="66"/>
      <c r="S2476" s="66"/>
    </row>
    <row r="2477" spans="1:19" ht="18" customHeight="1">
      <c r="B2477" t="s">
        <v>1286</v>
      </c>
      <c r="C2477" t="s">
        <v>1287</v>
      </c>
      <c r="D2477" s="4"/>
      <c r="E2477" s="4">
        <v>6</v>
      </c>
      <c r="F2477" s="4"/>
      <c r="G2477" s="29" t="str">
        <f>IFERROR(HYPERLINK("#"&amp;ADDRESS(MATCH(B2477&amp;"ES",'LM7 Non-ENG'!$A$1:$A$5000,0),1,,,"LM7 Non-ENG"),IF(IFERROR(VLOOKUP(B2477&amp;"ES",'LM7 Non-ENG'!$A$1:$A$4999,1,FALSE),"ERROR")=B2477&amp;"ES","Y","")),"")</f>
        <v/>
      </c>
      <c r="H2477" s="29" t="str">
        <f>IFERROR(HYPERLINK("#"&amp;ADDRESS(MATCH(B2477&amp;"PT",'LM7 Non-ENG'!$A$1:$A$5000,0),1,,,"LM7 Non-ENG"),IF(IFERROR(VLOOKUP(B2477&amp;"PT",'LM7 Non-ENG'!$A$1:$A$5000,1,FALSE),"ERROR")=B2477&amp;"PT","Y","")),"")</f>
        <v/>
      </c>
      <c r="I2477" t="str">
        <f>IFERROR(VLOOKUP(B2477,PN!$A:$C,3,FALSE),"")</f>
        <v>Active</v>
      </c>
      <c r="J2477" s="3">
        <f>IFERROR(E2477*VLOOKUP(B2477,PLInter!$A:$D,3,FALSE),"")</f>
        <v>9900</v>
      </c>
      <c r="K2477" s="66"/>
      <c r="L2477" s="66"/>
      <c r="M2477" s="66"/>
      <c r="N2477" s="66"/>
      <c r="O2477" s="66"/>
      <c r="P2477" s="66"/>
      <c r="Q2477" s="66"/>
      <c r="R2477" s="66"/>
      <c r="S2477" s="66"/>
    </row>
    <row r="2479" spans="1:19" s="7" customFormat="1" ht="18" customHeight="1">
      <c r="A2479" s="13" t="s">
        <v>1290</v>
      </c>
      <c r="B2479" s="13"/>
      <c r="C2479" s="13" t="s">
        <v>1291</v>
      </c>
      <c r="D2479" s="14"/>
      <c r="E2479" s="14"/>
      <c r="F2479" s="14"/>
      <c r="G2479" s="14"/>
      <c r="H2479" s="14"/>
      <c r="I2479" s="14"/>
      <c r="J2479" s="14">
        <f>SUMIFS(J2480:J2481,D2480:D2481,"&lt;&gt;Y",F2480:F2481,"&lt;&gt;Y",I2480:I2481,"&lt;&gt;Inactive",I2480:I2481,"&lt;&gt;ECO+NFS")</f>
        <v>24750</v>
      </c>
      <c r="K2479" s="14"/>
      <c r="L2479" s="14"/>
      <c r="M2479" s="14"/>
      <c r="N2479" s="14"/>
      <c r="O2479" s="14"/>
      <c r="P2479" s="14"/>
      <c r="Q2479" s="14"/>
      <c r="R2479" s="14"/>
      <c r="S2479" s="14"/>
    </row>
    <row r="2480" spans="1:19" ht="18" customHeight="1">
      <c r="A2480" s="17" t="str">
        <f>HYPERLINK("#"&amp;ADDRESS(MATCH(A2479,'CIM&amp;FMS'!$A$1:$A$4997,0),1,,,"CIM&amp;FMS"),"Back to Price List")</f>
        <v>Back to Price List</v>
      </c>
      <c r="B2480" t="s">
        <v>1098</v>
      </c>
      <c r="C2480" t="s">
        <v>1099</v>
      </c>
      <c r="D2480" s="4"/>
      <c r="E2480" s="4">
        <v>8</v>
      </c>
      <c r="F2480" s="4"/>
      <c r="G2480" s="29" t="str">
        <f>IFERROR(HYPERLINK("#"&amp;ADDRESS(MATCH(B2480&amp;"ES",'LM7 Non-ENG'!$A$1:$A$5000,0),1,,,"LM7 Non-ENG"),IF(IFERROR(VLOOKUP(B2480&amp;"ES",'LM7 Non-ENG'!$A$1:$A$4999,1,FALSE),"ERROR")=B2480&amp;"ES","Y","")),"")</f>
        <v/>
      </c>
      <c r="H2480" s="29" t="str">
        <f>IFERROR(HYPERLINK("#"&amp;ADDRESS(MATCH(B2480&amp;"PT",'LM7 Non-ENG'!$A$1:$A$5000,0),1,,,"LM7 Non-ENG"),IF(IFERROR(VLOOKUP(B2480&amp;"PT",'LM7 Non-ENG'!$A$1:$A$5000,1,FALSE),"ERROR")=B2480&amp;"PT","Y","")),"")</f>
        <v/>
      </c>
      <c r="I2480" t="str">
        <f>IFERROR(VLOOKUP(B2480,PN!$A:$C,3,FALSE),"")</f>
        <v>Active</v>
      </c>
      <c r="J2480" s="3">
        <f>IFERROR(E2480*VLOOKUP(B2480,PLInter!$A:$D,3,FALSE),"")</f>
        <v>13200</v>
      </c>
      <c r="K2480" s="66"/>
      <c r="L2480" s="66"/>
      <c r="M2480" s="66"/>
      <c r="N2480" s="66"/>
      <c r="O2480" s="66"/>
      <c r="P2480" s="66"/>
      <c r="Q2480" s="66"/>
      <c r="R2480" s="66"/>
      <c r="S2480" s="66"/>
    </row>
    <row r="2481" spans="1:19" ht="18" customHeight="1">
      <c r="B2481" t="s">
        <v>1286</v>
      </c>
      <c r="C2481" t="s">
        <v>1287</v>
      </c>
      <c r="D2481" s="4"/>
      <c r="E2481" s="4">
        <v>7</v>
      </c>
      <c r="F2481" s="4"/>
      <c r="G2481" s="29" t="str">
        <f>IFERROR(HYPERLINK("#"&amp;ADDRESS(MATCH(B2481&amp;"ES",'LM7 Non-ENG'!$A$1:$A$5000,0),1,,,"LM7 Non-ENG"),IF(IFERROR(VLOOKUP(B2481&amp;"ES",'LM7 Non-ENG'!$A$1:$A$4999,1,FALSE),"ERROR")=B2481&amp;"ES","Y","")),"")</f>
        <v/>
      </c>
      <c r="H2481" s="29" t="str">
        <f>IFERROR(HYPERLINK("#"&amp;ADDRESS(MATCH(B2481&amp;"PT",'LM7 Non-ENG'!$A$1:$A$5000,0),1,,,"LM7 Non-ENG"),IF(IFERROR(VLOOKUP(B2481&amp;"PT",'LM7 Non-ENG'!$A$1:$A$5000,1,FALSE),"ERROR")=B2481&amp;"PT","Y","")),"")</f>
        <v/>
      </c>
      <c r="I2481" t="str">
        <f>IFERROR(VLOOKUP(B2481,PN!$A:$C,3,FALSE),"")</f>
        <v>Active</v>
      </c>
      <c r="J2481" s="3">
        <f>IFERROR(E2481*VLOOKUP(B2481,PLInter!$A:$D,3,FALSE),"")</f>
        <v>11550</v>
      </c>
      <c r="K2481" s="66"/>
      <c r="L2481" s="66"/>
      <c r="M2481" s="66"/>
      <c r="N2481" s="66"/>
      <c r="O2481" s="66"/>
      <c r="P2481" s="66"/>
      <c r="Q2481" s="66"/>
      <c r="R2481" s="66"/>
      <c r="S2481" s="66"/>
    </row>
    <row r="2483" spans="1:19" s="7" customFormat="1" ht="18" customHeight="1">
      <c r="A2483" s="13" t="s">
        <v>1292</v>
      </c>
      <c r="B2483" s="13"/>
      <c r="C2483" s="13" t="s">
        <v>1293</v>
      </c>
      <c r="D2483" s="14"/>
      <c r="E2483" s="14"/>
      <c r="F2483" s="14"/>
      <c r="G2483" s="14"/>
      <c r="H2483" s="14"/>
      <c r="I2483" s="14"/>
      <c r="J2483" s="14">
        <f>SUMIFS(J2484:J2485,D2484:D2485,"&lt;&gt;Y",F2484:F2485,"&lt;&gt;Y",I2484:I2485,"&lt;&gt;Inactive",I2484:I2485,"&lt;&gt;ECO+NFS")</f>
        <v>29700</v>
      </c>
      <c r="K2483" s="14"/>
      <c r="L2483" s="14"/>
      <c r="M2483" s="14"/>
      <c r="N2483" s="14"/>
      <c r="O2483" s="14"/>
      <c r="P2483" s="14"/>
      <c r="Q2483" s="14"/>
      <c r="R2483" s="14"/>
      <c r="S2483" s="14"/>
    </row>
    <row r="2484" spans="1:19" ht="18" customHeight="1">
      <c r="A2484" s="17" t="str">
        <f>HYPERLINK("#"&amp;ADDRESS(MATCH(A2483,'CIM&amp;FMS'!$A$1:$A$4997,0),1,,,"CIM&amp;FMS"),"Back to Price List")</f>
        <v>Back to Price List</v>
      </c>
      <c r="B2484" t="s">
        <v>1098</v>
      </c>
      <c r="C2484" t="s">
        <v>1099</v>
      </c>
      <c r="D2484" s="4"/>
      <c r="E2484" s="4">
        <v>10</v>
      </c>
      <c r="F2484" s="4"/>
      <c r="G2484" s="29" t="str">
        <f>IFERROR(HYPERLINK("#"&amp;ADDRESS(MATCH(B2484&amp;"ES",'LM7 Non-ENG'!$A$1:$A$5000,0),1,,,"LM7 Non-ENG"),IF(IFERROR(VLOOKUP(B2484&amp;"ES",'LM7 Non-ENG'!$A$1:$A$4999,1,FALSE),"ERROR")=B2484&amp;"ES","Y","")),"")</f>
        <v/>
      </c>
      <c r="H2484" s="29" t="str">
        <f>IFERROR(HYPERLINK("#"&amp;ADDRESS(MATCH(B2484&amp;"PT",'LM7 Non-ENG'!$A$1:$A$5000,0),1,,,"LM7 Non-ENG"),IF(IFERROR(VLOOKUP(B2484&amp;"PT",'LM7 Non-ENG'!$A$1:$A$5000,1,FALSE),"ERROR")=B2484&amp;"PT","Y","")),"")</f>
        <v/>
      </c>
      <c r="I2484" t="str">
        <f>IFERROR(VLOOKUP(B2484,PN!$A:$C,3,FALSE),"")</f>
        <v>Active</v>
      </c>
      <c r="J2484" s="3">
        <f>IFERROR(E2484*VLOOKUP(B2484,PLInter!$A:$D,3,FALSE),"")</f>
        <v>16500</v>
      </c>
      <c r="K2484" s="66"/>
      <c r="L2484" s="66"/>
      <c r="M2484" s="66"/>
      <c r="N2484" s="66"/>
      <c r="O2484" s="66"/>
      <c r="P2484" s="66"/>
      <c r="Q2484" s="66"/>
      <c r="R2484" s="66"/>
      <c r="S2484" s="66"/>
    </row>
    <row r="2485" spans="1:19" ht="18" customHeight="1">
      <c r="B2485" t="s">
        <v>1286</v>
      </c>
      <c r="C2485" t="s">
        <v>1287</v>
      </c>
      <c r="D2485" s="4"/>
      <c r="E2485" s="4">
        <v>8</v>
      </c>
      <c r="F2485" s="4"/>
      <c r="G2485" s="29" t="str">
        <f>IFERROR(HYPERLINK("#"&amp;ADDRESS(MATCH(B2485&amp;"ES",'LM7 Non-ENG'!$A$1:$A$5000,0),1,,,"LM7 Non-ENG"),IF(IFERROR(VLOOKUP(B2485&amp;"ES",'LM7 Non-ENG'!$A$1:$A$4999,1,FALSE),"ERROR")=B2485&amp;"ES","Y","")),"")</f>
        <v/>
      </c>
      <c r="H2485" s="29" t="str">
        <f>IFERROR(HYPERLINK("#"&amp;ADDRESS(MATCH(B2485&amp;"PT",'LM7 Non-ENG'!$A$1:$A$5000,0),1,,,"LM7 Non-ENG"),IF(IFERROR(VLOOKUP(B2485&amp;"PT",'LM7 Non-ENG'!$A$1:$A$5000,1,FALSE),"ERROR")=B2485&amp;"PT","Y","")),"")</f>
        <v/>
      </c>
      <c r="I2485" t="str">
        <f>IFERROR(VLOOKUP(B2485,PN!$A:$C,3,FALSE),"")</f>
        <v>Active</v>
      </c>
      <c r="J2485" s="3">
        <f>IFERROR(E2485*VLOOKUP(B2485,PLInter!$A:$D,3,FALSE),"")</f>
        <v>13200</v>
      </c>
      <c r="K2485" s="66"/>
      <c r="L2485" s="66"/>
      <c r="M2485" s="66"/>
      <c r="N2485" s="66"/>
      <c r="O2485" s="66"/>
      <c r="P2485" s="66"/>
      <c r="Q2485" s="66"/>
      <c r="R2485" s="66"/>
      <c r="S2485" s="66"/>
    </row>
    <row r="2487" spans="1:19" s="7" customFormat="1" ht="18" customHeight="1">
      <c r="A2487" s="13" t="s">
        <v>1294</v>
      </c>
      <c r="B2487" s="13"/>
      <c r="C2487" s="13" t="s">
        <v>1295</v>
      </c>
      <c r="D2487" s="14"/>
      <c r="E2487" s="14"/>
      <c r="F2487" s="14"/>
      <c r="G2487" s="14"/>
      <c r="H2487" s="14"/>
      <c r="I2487" s="14"/>
      <c r="J2487" s="14">
        <f>SUMIFS(J2488:J2489,D2488:D2489,"&lt;&gt;Y",F2488:F2489,"&lt;&gt;Y",I2488:I2489,"&lt;&gt;Inactive",I2488:I2489,"&lt;&gt;ECO+NFS")</f>
        <v>33000</v>
      </c>
      <c r="K2487" s="14"/>
      <c r="L2487" s="14"/>
      <c r="M2487" s="14"/>
      <c r="N2487" s="14"/>
      <c r="O2487" s="14"/>
      <c r="P2487" s="14"/>
      <c r="Q2487" s="14"/>
      <c r="R2487" s="14"/>
      <c r="S2487" s="14"/>
    </row>
    <row r="2488" spans="1:19" ht="18" customHeight="1">
      <c r="A2488" s="17" t="str">
        <f>HYPERLINK("#"&amp;ADDRESS(MATCH(A2487,'CIM&amp;FMS'!$A$1:$A$4997,0),1,,,"CIM&amp;FMS"),"Back to Price List")</f>
        <v>Back to Price List</v>
      </c>
      <c r="B2488" t="s">
        <v>1098</v>
      </c>
      <c r="C2488" t="s">
        <v>1099</v>
      </c>
      <c r="D2488" s="4"/>
      <c r="E2488" s="4">
        <v>12</v>
      </c>
      <c r="F2488" s="4"/>
      <c r="G2488" s="29" t="str">
        <f>IFERROR(HYPERLINK("#"&amp;ADDRESS(MATCH(B2488&amp;"ES",'LM7 Non-ENG'!$A$1:$A$5000,0),1,,,"LM7 Non-ENG"),IF(IFERROR(VLOOKUP(B2488&amp;"ES",'LM7 Non-ENG'!$A$1:$A$4999,1,FALSE),"ERROR")=B2488&amp;"ES","Y","")),"")</f>
        <v/>
      </c>
      <c r="H2488" s="29" t="str">
        <f>IFERROR(HYPERLINK("#"&amp;ADDRESS(MATCH(B2488&amp;"PT",'LM7 Non-ENG'!$A$1:$A$5000,0),1,,,"LM7 Non-ENG"),IF(IFERROR(VLOOKUP(B2488&amp;"PT",'LM7 Non-ENG'!$A$1:$A$5000,1,FALSE),"ERROR")=B2488&amp;"PT","Y","")),"")</f>
        <v/>
      </c>
      <c r="I2488" t="str">
        <f>IFERROR(VLOOKUP(B2488,PN!$A:$C,3,FALSE),"")</f>
        <v>Active</v>
      </c>
      <c r="J2488" s="3">
        <f>IFERROR(E2488*VLOOKUP(B2488,PLInter!$A:$D,3,FALSE),"")</f>
        <v>19800</v>
      </c>
      <c r="K2488" s="66"/>
      <c r="L2488" s="66"/>
      <c r="M2488" s="66"/>
      <c r="N2488" s="66"/>
      <c r="O2488" s="66"/>
      <c r="P2488" s="66"/>
      <c r="Q2488" s="66"/>
      <c r="R2488" s="66"/>
      <c r="S2488" s="66"/>
    </row>
    <row r="2489" spans="1:19" ht="18" customHeight="1">
      <c r="B2489" t="s">
        <v>1286</v>
      </c>
      <c r="C2489" t="s">
        <v>1287</v>
      </c>
      <c r="D2489" s="4"/>
      <c r="E2489" s="4">
        <v>8</v>
      </c>
      <c r="F2489" s="4"/>
      <c r="G2489" s="29" t="str">
        <f>IFERROR(HYPERLINK("#"&amp;ADDRESS(MATCH(B2489&amp;"ES",'LM7 Non-ENG'!$A$1:$A$5000,0),1,,,"LM7 Non-ENG"),IF(IFERROR(VLOOKUP(B2489&amp;"ES",'LM7 Non-ENG'!$A$1:$A$4999,1,FALSE),"ERROR")=B2489&amp;"ES","Y","")),"")</f>
        <v/>
      </c>
      <c r="H2489" s="29" t="str">
        <f>IFERROR(HYPERLINK("#"&amp;ADDRESS(MATCH(B2489&amp;"PT",'LM7 Non-ENG'!$A$1:$A$5000,0),1,,,"LM7 Non-ENG"),IF(IFERROR(VLOOKUP(B2489&amp;"PT",'LM7 Non-ENG'!$A$1:$A$5000,1,FALSE),"ERROR")=B2489&amp;"PT","Y","")),"")</f>
        <v/>
      </c>
      <c r="I2489" t="str">
        <f>IFERROR(VLOOKUP(B2489,PN!$A:$C,3,FALSE),"")</f>
        <v>Active</v>
      </c>
      <c r="J2489" s="3">
        <f>IFERROR(E2489*VLOOKUP(B2489,PLInter!$A:$D,3,FALSE),"")</f>
        <v>13200</v>
      </c>
      <c r="K2489" s="66"/>
      <c r="L2489" s="66"/>
      <c r="M2489" s="66"/>
      <c r="N2489" s="66"/>
      <c r="O2489" s="66"/>
      <c r="P2489" s="66"/>
      <c r="Q2489" s="66"/>
      <c r="R2489" s="66"/>
      <c r="S2489" s="66"/>
    </row>
    <row r="2491" spans="1:19" s="7" customFormat="1" ht="18" customHeight="1">
      <c r="A2491" s="13" t="s">
        <v>1296</v>
      </c>
      <c r="B2491" s="13"/>
      <c r="C2491" s="13" t="s">
        <v>1297</v>
      </c>
      <c r="D2491" s="14"/>
      <c r="E2491" s="14"/>
      <c r="F2491" s="14"/>
      <c r="G2491" s="14"/>
      <c r="H2491" s="14"/>
      <c r="I2491" s="14"/>
      <c r="J2491" s="14">
        <f>SUMIFS(J2492:J2493,D2492:D2493,"&lt;&gt;Y",F2492:F2493,"&lt;&gt;Y",I2492:I2493,"&lt;&gt;Inactive",I2492:I2493,"&lt;&gt;ECO+NFS")</f>
        <v>39600</v>
      </c>
      <c r="K2491" s="14"/>
      <c r="L2491" s="14"/>
      <c r="M2491" s="14"/>
      <c r="N2491" s="14"/>
      <c r="O2491" s="14"/>
      <c r="P2491" s="14"/>
      <c r="Q2491" s="14"/>
      <c r="R2491" s="14"/>
      <c r="S2491" s="14"/>
    </row>
    <row r="2492" spans="1:19" ht="18" customHeight="1">
      <c r="A2492" s="17" t="str">
        <f>HYPERLINK("#"&amp;ADDRESS(MATCH(A2491,'CIM&amp;FMS'!$A$1:$A$4997,0),1,,,"CIM&amp;FMS"),"Back to Price List")</f>
        <v>Back to Price List</v>
      </c>
      <c r="B2492" t="s">
        <v>1098</v>
      </c>
      <c r="C2492" t="s">
        <v>1099</v>
      </c>
      <c r="D2492" s="4"/>
      <c r="E2492" s="4">
        <v>14</v>
      </c>
      <c r="F2492" s="4"/>
      <c r="G2492" s="29" t="str">
        <f>IFERROR(HYPERLINK("#"&amp;ADDRESS(MATCH(B2492&amp;"ES",'LM7 Non-ENG'!$A$1:$A$5000,0),1,,,"LM7 Non-ENG"),IF(IFERROR(VLOOKUP(B2492&amp;"ES",'LM7 Non-ENG'!$A$1:$A$4999,1,FALSE),"ERROR")=B2492&amp;"ES","Y","")),"")</f>
        <v/>
      </c>
      <c r="H2492" s="29" t="str">
        <f>IFERROR(HYPERLINK("#"&amp;ADDRESS(MATCH(B2492&amp;"PT",'LM7 Non-ENG'!$A$1:$A$5000,0),1,,,"LM7 Non-ENG"),IF(IFERROR(VLOOKUP(B2492&amp;"PT",'LM7 Non-ENG'!$A$1:$A$5000,1,FALSE),"ERROR")=B2492&amp;"PT","Y","")),"")</f>
        <v/>
      </c>
      <c r="I2492" t="str">
        <f>IFERROR(VLOOKUP(B2492,PN!$A:$C,3,FALSE),"")</f>
        <v>Active</v>
      </c>
      <c r="J2492" s="3">
        <f>IFERROR(E2492*VLOOKUP(B2492,PLInter!$A:$D,3,FALSE),"")</f>
        <v>23100</v>
      </c>
      <c r="K2492" s="66"/>
      <c r="L2492" s="66"/>
      <c r="M2492" s="66"/>
      <c r="N2492" s="66"/>
      <c r="O2492" s="66"/>
      <c r="P2492" s="66"/>
      <c r="Q2492" s="66"/>
      <c r="R2492" s="66"/>
      <c r="S2492" s="66"/>
    </row>
    <row r="2493" spans="1:19" ht="18" customHeight="1">
      <c r="B2493" t="s">
        <v>1286</v>
      </c>
      <c r="C2493" t="s">
        <v>1287</v>
      </c>
      <c r="D2493" s="4"/>
      <c r="E2493" s="4">
        <v>10</v>
      </c>
      <c r="F2493" s="4"/>
      <c r="G2493" s="29" t="str">
        <f>IFERROR(HYPERLINK("#"&amp;ADDRESS(MATCH(B2493&amp;"ES",'LM7 Non-ENG'!$A$1:$A$5000,0),1,,,"LM7 Non-ENG"),IF(IFERROR(VLOOKUP(B2493&amp;"ES",'LM7 Non-ENG'!$A$1:$A$4999,1,FALSE),"ERROR")=B2493&amp;"ES","Y","")),"")</f>
        <v/>
      </c>
      <c r="H2493" s="29" t="str">
        <f>IFERROR(HYPERLINK("#"&amp;ADDRESS(MATCH(B2493&amp;"PT",'LM7 Non-ENG'!$A$1:$A$5000,0),1,,,"LM7 Non-ENG"),IF(IFERROR(VLOOKUP(B2493&amp;"PT",'LM7 Non-ENG'!$A$1:$A$5000,1,FALSE),"ERROR")=B2493&amp;"PT","Y","")),"")</f>
        <v/>
      </c>
      <c r="I2493" t="str">
        <f>IFERROR(VLOOKUP(B2493,PN!$A:$C,3,FALSE),"")</f>
        <v>Active</v>
      </c>
      <c r="J2493" s="3">
        <f>IFERROR(E2493*VLOOKUP(B2493,PLInter!$A:$D,3,FALSE),"")</f>
        <v>16500</v>
      </c>
      <c r="K2493" s="66"/>
      <c r="L2493" s="66"/>
      <c r="M2493" s="66"/>
      <c r="N2493" s="66"/>
      <c r="O2493" s="66"/>
      <c r="P2493" s="66"/>
      <c r="Q2493" s="66"/>
      <c r="R2493" s="66"/>
      <c r="S2493" s="66"/>
    </row>
    <row r="2495" spans="1:19" s="7" customFormat="1" ht="18" customHeight="1">
      <c r="A2495" s="13" t="s">
        <v>1298</v>
      </c>
      <c r="B2495" s="13"/>
      <c r="C2495" s="13" t="s">
        <v>1299</v>
      </c>
      <c r="D2495" s="14"/>
      <c r="E2495" s="14"/>
      <c r="F2495" s="14"/>
      <c r="G2495" s="14"/>
      <c r="H2495" s="14"/>
      <c r="I2495" s="14"/>
      <c r="J2495" s="14">
        <f>SUMIFS(J2496:J2497,D2496:D2497,"&lt;&gt;Y",F2496:F2497,"&lt;&gt;Y",I2496:I2497,"&lt;&gt;Inactive",I2496:I2497,"&lt;&gt;ECO+NFS")</f>
        <v>44550</v>
      </c>
      <c r="K2495" s="14"/>
      <c r="L2495" s="14"/>
      <c r="M2495" s="14"/>
      <c r="N2495" s="14"/>
      <c r="O2495" s="14"/>
      <c r="P2495" s="14"/>
      <c r="Q2495" s="14"/>
      <c r="R2495" s="14"/>
      <c r="S2495" s="14"/>
    </row>
    <row r="2496" spans="1:19" ht="18" customHeight="1">
      <c r="A2496" s="17" t="str">
        <f>HYPERLINK("#"&amp;ADDRESS(MATCH(A2495,'CIM&amp;FMS'!$A$1:$A$4997,0),1,,,"CIM&amp;FMS"),"Back to Price List")</f>
        <v>Back to Price List</v>
      </c>
      <c r="B2496" t="s">
        <v>1098</v>
      </c>
      <c r="C2496" t="s">
        <v>1099</v>
      </c>
      <c r="D2496" s="4"/>
      <c r="E2496" s="4">
        <v>15</v>
      </c>
      <c r="F2496" s="4"/>
      <c r="G2496" s="29" t="str">
        <f>IFERROR(HYPERLINK("#"&amp;ADDRESS(MATCH(B2496&amp;"ES",'LM7 Non-ENG'!$A$1:$A$5000,0),1,,,"LM7 Non-ENG"),IF(IFERROR(VLOOKUP(B2496&amp;"ES",'LM7 Non-ENG'!$A$1:$A$4999,1,FALSE),"ERROR")=B2496&amp;"ES","Y","")),"")</f>
        <v/>
      </c>
      <c r="H2496" s="29" t="str">
        <f>IFERROR(HYPERLINK("#"&amp;ADDRESS(MATCH(B2496&amp;"PT",'LM7 Non-ENG'!$A$1:$A$5000,0),1,,,"LM7 Non-ENG"),IF(IFERROR(VLOOKUP(B2496&amp;"PT",'LM7 Non-ENG'!$A$1:$A$5000,1,FALSE),"ERROR")=B2496&amp;"PT","Y","")),"")</f>
        <v/>
      </c>
      <c r="I2496" t="str">
        <f>IFERROR(VLOOKUP(B2496,PN!$A:$C,3,FALSE),"")</f>
        <v>Active</v>
      </c>
      <c r="J2496" s="3">
        <f>IFERROR(E2496*VLOOKUP(B2496,PLInter!$A:$D,3,FALSE),"")</f>
        <v>24750</v>
      </c>
      <c r="K2496" s="66"/>
      <c r="L2496" s="66"/>
      <c r="M2496" s="66"/>
      <c r="N2496" s="66"/>
      <c r="O2496" s="66"/>
      <c r="P2496" s="66"/>
      <c r="Q2496" s="66"/>
      <c r="R2496" s="66"/>
      <c r="S2496" s="66"/>
    </row>
    <row r="2497" spans="1:19" ht="18" customHeight="1">
      <c r="B2497" t="s">
        <v>1286</v>
      </c>
      <c r="C2497" t="s">
        <v>1287</v>
      </c>
      <c r="D2497" s="4"/>
      <c r="E2497" s="4">
        <v>12</v>
      </c>
      <c r="F2497" s="4"/>
      <c r="G2497" s="29" t="str">
        <f>IFERROR(HYPERLINK("#"&amp;ADDRESS(MATCH(B2497&amp;"ES",'LM7 Non-ENG'!$A$1:$A$5000,0),1,,,"LM7 Non-ENG"),IF(IFERROR(VLOOKUP(B2497&amp;"ES",'LM7 Non-ENG'!$A$1:$A$4999,1,FALSE),"ERROR")=B2497&amp;"ES","Y","")),"")</f>
        <v/>
      </c>
      <c r="H2497" s="29" t="str">
        <f>IFERROR(HYPERLINK("#"&amp;ADDRESS(MATCH(B2497&amp;"PT",'LM7 Non-ENG'!$A$1:$A$5000,0),1,,,"LM7 Non-ENG"),IF(IFERROR(VLOOKUP(B2497&amp;"PT",'LM7 Non-ENG'!$A$1:$A$5000,1,FALSE),"ERROR")=B2497&amp;"PT","Y","")),"")</f>
        <v/>
      </c>
      <c r="I2497" t="str">
        <f>IFERROR(VLOOKUP(B2497,PN!$A:$C,3,FALSE),"")</f>
        <v>Active</v>
      </c>
      <c r="J2497" s="3">
        <f>IFERROR(E2497*VLOOKUP(B2497,PLInter!$A:$D,3,FALSE),"")</f>
        <v>19800</v>
      </c>
      <c r="K2497" s="66"/>
      <c r="L2497" s="66"/>
      <c r="M2497" s="66"/>
      <c r="N2497" s="66"/>
      <c r="O2497" s="66"/>
      <c r="P2497" s="66"/>
      <c r="Q2497" s="66"/>
      <c r="R2497" s="66"/>
      <c r="S2497" s="66"/>
    </row>
    <row r="2499" spans="1:19" s="7" customFormat="1" ht="18" customHeight="1">
      <c r="A2499" s="13" t="s">
        <v>1300</v>
      </c>
      <c r="B2499" s="13"/>
      <c r="C2499" s="13" t="s">
        <v>1301</v>
      </c>
      <c r="D2499" s="14"/>
      <c r="E2499" s="14"/>
      <c r="F2499" s="14"/>
      <c r="G2499" s="14"/>
      <c r="H2499" s="14"/>
      <c r="I2499" s="14"/>
      <c r="J2499" s="14">
        <f>SUMIFS(J2500:J2501,D2500:D2501,"&lt;&gt;Y",F2500:F2501,"&lt;&gt;Y",I2500:I2501,"&lt;&gt;Inactive",I2500:I2501,"&lt;&gt;ECO+NFS")</f>
        <v>49500</v>
      </c>
      <c r="K2499" s="14"/>
      <c r="L2499" s="14"/>
      <c r="M2499" s="14"/>
      <c r="N2499" s="14"/>
      <c r="O2499" s="14"/>
      <c r="P2499" s="14"/>
      <c r="Q2499" s="14"/>
      <c r="R2499" s="14"/>
      <c r="S2499" s="14"/>
    </row>
    <row r="2500" spans="1:19" ht="18" customHeight="1">
      <c r="A2500" s="17" t="str">
        <f>HYPERLINK("#"&amp;ADDRESS(MATCH(A2499,'CIM&amp;FMS'!$A$1:$A$4997,0),1,,,"CIM&amp;FMS"),"Back to Price List")</f>
        <v>Back to Price List</v>
      </c>
      <c r="B2500" t="s">
        <v>1098</v>
      </c>
      <c r="C2500" t="s">
        <v>1099</v>
      </c>
      <c r="D2500" s="4"/>
      <c r="E2500" s="4">
        <v>16</v>
      </c>
      <c r="F2500" s="4"/>
      <c r="G2500" s="29" t="str">
        <f>IFERROR(HYPERLINK("#"&amp;ADDRESS(MATCH(B2500&amp;"ES",'LM7 Non-ENG'!$A$1:$A$5000,0),1,,,"LM7 Non-ENG"),IF(IFERROR(VLOOKUP(B2500&amp;"ES",'LM7 Non-ENG'!$A$1:$A$4999,1,FALSE),"ERROR")=B2500&amp;"ES","Y","")),"")</f>
        <v/>
      </c>
      <c r="H2500" s="29" t="str">
        <f>IFERROR(HYPERLINK("#"&amp;ADDRESS(MATCH(B2500&amp;"PT",'LM7 Non-ENG'!$A$1:$A$5000,0),1,,,"LM7 Non-ENG"),IF(IFERROR(VLOOKUP(B2500&amp;"PT",'LM7 Non-ENG'!$A$1:$A$5000,1,FALSE),"ERROR")=B2500&amp;"PT","Y","")),"")</f>
        <v/>
      </c>
      <c r="I2500" t="str">
        <f>IFERROR(VLOOKUP(B2500,PN!$A:$C,3,FALSE),"")</f>
        <v>Active</v>
      </c>
      <c r="J2500" s="3">
        <f>IFERROR(E2500*VLOOKUP(B2500,PLInter!$A:$D,3,FALSE),"")</f>
        <v>26400</v>
      </c>
      <c r="K2500" s="66"/>
      <c r="L2500" s="66"/>
      <c r="M2500" s="66"/>
      <c r="N2500" s="66"/>
      <c r="O2500" s="66"/>
      <c r="P2500" s="66"/>
      <c r="Q2500" s="66"/>
      <c r="R2500" s="66"/>
      <c r="S2500" s="66"/>
    </row>
    <row r="2501" spans="1:19" ht="18" customHeight="1">
      <c r="B2501" t="s">
        <v>1286</v>
      </c>
      <c r="C2501" t="s">
        <v>1287</v>
      </c>
      <c r="D2501" s="4"/>
      <c r="E2501" s="4">
        <v>14</v>
      </c>
      <c r="F2501" s="4"/>
      <c r="G2501" s="29" t="str">
        <f>IFERROR(HYPERLINK("#"&amp;ADDRESS(MATCH(B2501&amp;"ES",'LM7 Non-ENG'!$A$1:$A$5000,0),1,,,"LM7 Non-ENG"),IF(IFERROR(VLOOKUP(B2501&amp;"ES",'LM7 Non-ENG'!$A$1:$A$4999,1,FALSE),"ERROR")=B2501&amp;"ES","Y","")),"")</f>
        <v/>
      </c>
      <c r="H2501" s="29" t="str">
        <f>IFERROR(HYPERLINK("#"&amp;ADDRESS(MATCH(B2501&amp;"PT",'LM7 Non-ENG'!$A$1:$A$5000,0),1,,,"LM7 Non-ENG"),IF(IFERROR(VLOOKUP(B2501&amp;"PT",'LM7 Non-ENG'!$A$1:$A$5000,1,FALSE),"ERROR")=B2501&amp;"PT","Y","")),"")</f>
        <v/>
      </c>
      <c r="I2501" t="str">
        <f>IFERROR(VLOOKUP(B2501,PN!$A:$C,3,FALSE),"")</f>
        <v>Active</v>
      </c>
      <c r="J2501" s="3">
        <f>IFERROR(E2501*VLOOKUP(B2501,PLInter!$A:$D,3,FALSE),"")</f>
        <v>23100</v>
      </c>
      <c r="K2501" s="66"/>
      <c r="L2501" s="66"/>
      <c r="M2501" s="66"/>
      <c r="N2501" s="66"/>
      <c r="O2501" s="66"/>
      <c r="P2501" s="66"/>
      <c r="Q2501" s="66"/>
      <c r="R2501" s="66"/>
      <c r="S2501" s="66"/>
    </row>
    <row r="2502" spans="1:19" ht="18" customHeight="1">
      <c r="D2502" s="4"/>
      <c r="E2502" s="4"/>
      <c r="F2502" s="4"/>
    </row>
    <row r="2503" spans="1:19" s="7" customFormat="1" ht="18" customHeight="1">
      <c r="A2503" s="13" t="s">
        <v>1302</v>
      </c>
      <c r="B2503" s="13"/>
      <c r="C2503" s="13" t="s">
        <v>1303</v>
      </c>
      <c r="D2503" s="14"/>
      <c r="E2503" s="14"/>
      <c r="F2503" s="14"/>
      <c r="G2503" s="14"/>
      <c r="H2503" s="14"/>
      <c r="I2503" s="14"/>
      <c r="J2503" s="14">
        <f>SUMIFS(J2504:J2504,D2504:D2504,"&lt;&gt;Y",F2504:F2504,"&lt;&gt;Y",I2504:I2504,"&lt;&gt;Inactive",I2504:I2504,"&lt;&gt;ECO+NFS")</f>
        <v>3300</v>
      </c>
      <c r="K2503" s="14"/>
      <c r="L2503" s="14"/>
      <c r="M2503" s="14"/>
      <c r="N2503" s="14"/>
      <c r="O2503" s="14"/>
      <c r="P2503" s="14"/>
      <c r="Q2503" s="14"/>
      <c r="R2503" s="14"/>
      <c r="S2503" s="14"/>
    </row>
    <row r="2504" spans="1:19" ht="18" customHeight="1">
      <c r="A2504" s="17" t="str">
        <f>HYPERLINK("#"&amp;ADDRESS(MATCH(A2503,'CIM&amp;FMS'!$A$1:$A$4997,0),1,,,"CIM&amp;FMS"),"Back to Price List")</f>
        <v>Back to Price List</v>
      </c>
      <c r="B2504" t="str">
        <f>"50-0095-0000"</f>
        <v>50-0095-0000</v>
      </c>
      <c r="C2504" t="str">
        <f>"Installation at Customer Site (Days)"</f>
        <v>Installation at Customer Site (Days)</v>
      </c>
      <c r="D2504" s="4"/>
      <c r="E2504" s="4">
        <v>2</v>
      </c>
      <c r="F2504" s="4"/>
      <c r="G2504" s="29" t="str">
        <f>IFERROR(HYPERLINK("#"&amp;ADDRESS(MATCH(B2504&amp;"ES",'LM7 Non-ENG'!$A$1:$A$5000,0),1,,,"LM7 Non-ENG"),IF(IFERROR(VLOOKUP(B2504&amp;"ES",'LM7 Non-ENG'!$A$1:$A$4999,1,FALSE),"ERROR")=B2504&amp;"ES","Y","")),"")</f>
        <v/>
      </c>
      <c r="H2504" s="29" t="str">
        <f>IFERROR(HYPERLINK("#"&amp;ADDRESS(MATCH(B2504&amp;"PT",'LM7 Non-ENG'!$A$1:$A$5000,0),1,,,"LM7 Non-ENG"),IF(IFERROR(VLOOKUP(B2504&amp;"PT",'LM7 Non-ENG'!$A$1:$A$5000,1,FALSE),"ERROR")=B2504&amp;"PT","Y","")),"")</f>
        <v/>
      </c>
      <c r="I2504" t="str">
        <f>IFERROR(VLOOKUP(B2504,PN!$A:$C,3,FALSE),"")</f>
        <v>Active</v>
      </c>
      <c r="J2504" s="3">
        <f>IFERROR(E2504*VLOOKUP(B2504,PLInter!$A:$D,3,FALSE),"")</f>
        <v>3300</v>
      </c>
      <c r="K2504" s="66"/>
      <c r="L2504" s="66"/>
      <c r="M2504" s="66"/>
      <c r="N2504" s="66"/>
      <c r="O2504" s="66"/>
      <c r="P2504" s="66"/>
      <c r="Q2504" s="66"/>
      <c r="R2504" s="66"/>
      <c r="S2504" s="66"/>
    </row>
    <row r="2506" spans="1:19" s="7" customFormat="1" ht="18" customHeight="1">
      <c r="A2506" s="13" t="s">
        <v>1305</v>
      </c>
      <c r="B2506" s="13"/>
      <c r="C2506" s="13" t="s">
        <v>1304</v>
      </c>
      <c r="D2506" s="14"/>
      <c r="E2506" s="14"/>
      <c r="F2506" s="14"/>
      <c r="G2506" s="14"/>
      <c r="H2506" s="14"/>
      <c r="I2506" s="14"/>
      <c r="J2506" s="14">
        <f>SUMIFS(J2507:J2507,D2507:D2507,"&lt;&gt;Y",F2507:F2507,"&lt;&gt;Y",I2507:I2507,"&lt;&gt;Inactive",I2507:I2507,"&lt;&gt;ECO+NFS")</f>
        <v>8250</v>
      </c>
      <c r="K2506" s="14"/>
      <c r="L2506" s="14"/>
      <c r="M2506" s="14"/>
      <c r="N2506" s="14"/>
      <c r="O2506" s="14"/>
      <c r="P2506" s="14"/>
      <c r="Q2506" s="14"/>
      <c r="R2506" s="14"/>
      <c r="S2506" s="14"/>
    </row>
    <row r="2507" spans="1:19" ht="18" customHeight="1">
      <c r="A2507" s="17" t="str">
        <f>HYPERLINK("#"&amp;ADDRESS(MATCH(A2506,'CIM&amp;FMS'!$A$1:$A$4997,0),1,,,"CIM&amp;FMS"),"Back to Price List")</f>
        <v>Back to Price List</v>
      </c>
      <c r="B2507" t="s">
        <v>1098</v>
      </c>
      <c r="C2507" t="s">
        <v>1099</v>
      </c>
      <c r="D2507" s="4"/>
      <c r="E2507" s="4">
        <v>5</v>
      </c>
      <c r="F2507" s="4"/>
      <c r="G2507" s="29" t="str">
        <f>IFERROR(HYPERLINK("#"&amp;ADDRESS(MATCH(B2507&amp;"ES",'LM7 Non-ENG'!$A$1:$A$5000,0),1,,,"LM7 Non-ENG"),IF(IFERROR(VLOOKUP(B2507&amp;"ES",'LM7 Non-ENG'!$A$1:$A$4999,1,FALSE),"ERROR")=B2507&amp;"ES","Y","")),"")</f>
        <v/>
      </c>
      <c r="H2507" s="29" t="str">
        <f>IFERROR(HYPERLINK("#"&amp;ADDRESS(MATCH(B2507&amp;"PT",'LM7 Non-ENG'!$A$1:$A$5000,0),1,,,"LM7 Non-ENG"),IF(IFERROR(VLOOKUP(B2507&amp;"PT",'LM7 Non-ENG'!$A$1:$A$5000,1,FALSE),"ERROR")=B2507&amp;"PT","Y","")),"")</f>
        <v/>
      </c>
      <c r="I2507" t="str">
        <f>IFERROR(VLOOKUP(B2507,PN!$A:$C,3,FALSE),"")</f>
        <v>Active</v>
      </c>
      <c r="J2507" s="3">
        <f>IFERROR(E2507*VLOOKUP(B2507,PLInter!$A:$D,3,FALSE),"")</f>
        <v>8250</v>
      </c>
      <c r="K2507" s="66"/>
      <c r="L2507" s="66"/>
      <c r="M2507" s="66"/>
      <c r="N2507" s="66"/>
      <c r="O2507" s="66"/>
      <c r="P2507" s="66"/>
      <c r="Q2507" s="66"/>
      <c r="R2507" s="66"/>
      <c r="S2507" s="66"/>
    </row>
    <row r="2509" spans="1:19" s="7" customFormat="1" ht="18" customHeight="1">
      <c r="A2509" s="13" t="s">
        <v>1306</v>
      </c>
      <c r="B2509" s="13"/>
      <c r="C2509" s="13" t="s">
        <v>1307</v>
      </c>
      <c r="D2509" s="14"/>
      <c r="E2509" s="14"/>
      <c r="F2509" s="14"/>
      <c r="G2509" s="14"/>
      <c r="H2509" s="14"/>
      <c r="I2509" s="14"/>
      <c r="J2509" s="14">
        <f>SUMIFS(J2510:J2510,D2510:D2510,"&lt;&gt;Y",F2510:F2510,"&lt;&gt;Y",I2510:I2510,"&lt;&gt;Inactive",I2510:I2510,"&lt;&gt;ECO+NFS")</f>
        <v>13200</v>
      </c>
      <c r="K2509" s="14"/>
      <c r="L2509" s="14"/>
      <c r="M2509" s="14"/>
      <c r="N2509" s="14"/>
      <c r="O2509" s="14"/>
      <c r="P2509" s="14"/>
      <c r="Q2509" s="14"/>
      <c r="R2509" s="14"/>
      <c r="S2509" s="14"/>
    </row>
    <row r="2510" spans="1:19" ht="18" customHeight="1">
      <c r="A2510" s="17" t="str">
        <f>HYPERLINK("#"&amp;ADDRESS(MATCH(A2509,'CIM&amp;FMS'!$A$1:$A$4997,0),1,,,"CIM&amp;FMS"),"Back to Price List")</f>
        <v>Back to Price List</v>
      </c>
      <c r="B2510" t="s">
        <v>1098</v>
      </c>
      <c r="C2510" t="s">
        <v>1099</v>
      </c>
      <c r="D2510" s="4"/>
      <c r="E2510" s="4">
        <v>8</v>
      </c>
      <c r="F2510" s="4"/>
      <c r="G2510" s="29" t="str">
        <f>IFERROR(HYPERLINK("#"&amp;ADDRESS(MATCH(B2510&amp;"ES",'LM7 Non-ENG'!$A$1:$A$5000,0),1,,,"LM7 Non-ENG"),IF(IFERROR(VLOOKUP(B2510&amp;"ES",'LM7 Non-ENG'!$A$1:$A$4999,1,FALSE),"ERROR")=B2510&amp;"ES","Y","")),"")</f>
        <v/>
      </c>
      <c r="H2510" s="29" t="str">
        <f>IFERROR(HYPERLINK("#"&amp;ADDRESS(MATCH(B2510&amp;"PT",'LM7 Non-ENG'!$A$1:$A$5000,0),1,,,"LM7 Non-ENG"),IF(IFERROR(VLOOKUP(B2510&amp;"PT",'LM7 Non-ENG'!$A$1:$A$5000,1,FALSE),"ERROR")=B2510&amp;"PT","Y","")),"")</f>
        <v/>
      </c>
      <c r="I2510" t="str">
        <f>IFERROR(VLOOKUP(B2510,PN!$A:$C,3,FALSE),"")</f>
        <v>Active</v>
      </c>
      <c r="J2510" s="3">
        <f>IFERROR(E2510*VLOOKUP(B2510,PLInter!$A:$D,3,FALSE),"")</f>
        <v>13200</v>
      </c>
      <c r="K2510" s="66"/>
      <c r="L2510" s="66"/>
      <c r="M2510" s="66"/>
      <c r="N2510" s="66"/>
      <c r="O2510" s="66"/>
      <c r="P2510" s="66"/>
      <c r="Q2510" s="66"/>
      <c r="R2510" s="66"/>
      <c r="S2510" s="66"/>
    </row>
    <row r="2512" spans="1:19" s="7" customFormat="1" ht="18" customHeight="1">
      <c r="A2512" s="13" t="s">
        <v>1313</v>
      </c>
      <c r="B2512" s="13"/>
      <c r="C2512" s="13" t="s">
        <v>1308</v>
      </c>
      <c r="D2512" s="14"/>
      <c r="E2512" s="14"/>
      <c r="F2512" s="14"/>
      <c r="G2512" s="14"/>
      <c r="H2512" s="14"/>
      <c r="I2512" s="14"/>
      <c r="J2512" s="14">
        <f>SUMIFS(J2513:J2513,D2513:D2513,"&lt;&gt;Y",F2513:F2513,"&lt;&gt;Y",I2513:I2513,"&lt;&gt;Inactive",I2513:I2513,"&lt;&gt;ECO+NFS")</f>
        <v>16500</v>
      </c>
      <c r="K2512" s="14"/>
      <c r="L2512" s="14"/>
      <c r="M2512" s="14"/>
      <c r="N2512" s="14"/>
      <c r="O2512" s="14"/>
      <c r="P2512" s="14"/>
      <c r="Q2512" s="14"/>
      <c r="R2512" s="14"/>
      <c r="S2512" s="14"/>
    </row>
    <row r="2513" spans="1:19" ht="18" customHeight="1">
      <c r="A2513" s="17" t="str">
        <f>HYPERLINK("#"&amp;ADDRESS(MATCH(A2512,'CIM&amp;FMS'!$A$1:$A$4997,0),1,,,"CIM&amp;FMS"),"Back to Price List")</f>
        <v>Back to Price List</v>
      </c>
      <c r="B2513" t="s">
        <v>1098</v>
      </c>
      <c r="C2513" t="s">
        <v>1099</v>
      </c>
      <c r="D2513" s="4"/>
      <c r="E2513" s="4">
        <v>10</v>
      </c>
      <c r="F2513" s="4"/>
      <c r="G2513" s="29" t="str">
        <f>IFERROR(HYPERLINK("#"&amp;ADDRESS(MATCH(B2513&amp;"ES",'LM7 Non-ENG'!$A$1:$A$5000,0),1,,,"LM7 Non-ENG"),IF(IFERROR(VLOOKUP(B2513&amp;"ES",'LM7 Non-ENG'!$A$1:$A$4999,1,FALSE),"ERROR")=B2513&amp;"ES","Y","")),"")</f>
        <v/>
      </c>
      <c r="H2513" s="29" t="str">
        <f>IFERROR(HYPERLINK("#"&amp;ADDRESS(MATCH(B2513&amp;"PT",'LM7 Non-ENG'!$A$1:$A$5000,0),1,,,"LM7 Non-ENG"),IF(IFERROR(VLOOKUP(B2513&amp;"PT",'LM7 Non-ENG'!$A$1:$A$5000,1,FALSE),"ERROR")=B2513&amp;"PT","Y","")),"")</f>
        <v/>
      </c>
      <c r="I2513" t="str">
        <f>IFERROR(VLOOKUP(B2513,PN!$A:$C,3,FALSE),"")</f>
        <v>Active</v>
      </c>
      <c r="J2513" s="3">
        <f>IFERROR(E2513*VLOOKUP(B2513,PLInter!$A:$D,3,FALSE),"")</f>
        <v>16500</v>
      </c>
      <c r="K2513" s="66"/>
      <c r="L2513" s="66"/>
      <c r="M2513" s="66"/>
      <c r="N2513" s="66"/>
      <c r="O2513" s="66"/>
      <c r="P2513" s="66"/>
      <c r="Q2513" s="66"/>
      <c r="R2513" s="66"/>
      <c r="S2513" s="66"/>
    </row>
    <row r="2515" spans="1:19" s="7" customFormat="1" ht="18" customHeight="1">
      <c r="A2515" s="13" t="s">
        <v>1314</v>
      </c>
      <c r="B2515" s="13"/>
      <c r="C2515" s="13" t="s">
        <v>1309</v>
      </c>
      <c r="D2515" s="14"/>
      <c r="E2515" s="14"/>
      <c r="F2515" s="14"/>
      <c r="G2515" s="14"/>
      <c r="H2515" s="14"/>
      <c r="I2515" s="14"/>
      <c r="J2515" s="14">
        <f>SUMIFS(J2516:J2516,D2516:D2516,"&lt;&gt;Y",F2516:F2516,"&lt;&gt;Y",I2516:I2516,"&lt;&gt;Inactive",I2516:I2516,"&lt;&gt;ECO+NFS")</f>
        <v>19800</v>
      </c>
      <c r="K2515" s="14"/>
      <c r="L2515" s="14"/>
      <c r="M2515" s="14"/>
      <c r="N2515" s="14"/>
      <c r="O2515" s="14"/>
      <c r="P2515" s="14"/>
      <c r="Q2515" s="14"/>
      <c r="R2515" s="14"/>
      <c r="S2515" s="14"/>
    </row>
    <row r="2516" spans="1:19" ht="18" customHeight="1">
      <c r="A2516" s="17" t="str">
        <f>HYPERLINK("#"&amp;ADDRESS(MATCH(A2515,'CIM&amp;FMS'!$A$1:$A$4997,0),1,,,"CIM&amp;FMS"),"Back to Price List")</f>
        <v>Back to Price List</v>
      </c>
      <c r="B2516" t="s">
        <v>1098</v>
      </c>
      <c r="C2516" t="s">
        <v>1099</v>
      </c>
      <c r="D2516" s="4"/>
      <c r="E2516" s="4">
        <v>12</v>
      </c>
      <c r="F2516" s="4"/>
      <c r="G2516" s="29" t="str">
        <f>IFERROR(HYPERLINK("#"&amp;ADDRESS(MATCH(B2516&amp;"ES",'LM7 Non-ENG'!$A$1:$A$5000,0),1,,,"LM7 Non-ENG"),IF(IFERROR(VLOOKUP(B2516&amp;"ES",'LM7 Non-ENG'!$A$1:$A$4999,1,FALSE),"ERROR")=B2516&amp;"ES","Y","")),"")</f>
        <v/>
      </c>
      <c r="H2516" s="29" t="str">
        <f>IFERROR(HYPERLINK("#"&amp;ADDRESS(MATCH(B2516&amp;"PT",'LM7 Non-ENG'!$A$1:$A$5000,0),1,,,"LM7 Non-ENG"),IF(IFERROR(VLOOKUP(B2516&amp;"PT",'LM7 Non-ENG'!$A$1:$A$5000,1,FALSE),"ERROR")=B2516&amp;"PT","Y","")),"")</f>
        <v/>
      </c>
      <c r="I2516" t="str">
        <f>IFERROR(VLOOKUP(B2516,PN!$A:$C,3,FALSE),"")</f>
        <v>Active</v>
      </c>
      <c r="J2516" s="3">
        <f>IFERROR(E2516*VLOOKUP(B2516,PLInter!$A:$D,3,FALSE),"")</f>
        <v>19800</v>
      </c>
      <c r="K2516" s="66"/>
      <c r="L2516" s="66"/>
      <c r="M2516" s="66"/>
      <c r="N2516" s="66"/>
      <c r="O2516" s="66"/>
      <c r="P2516" s="66"/>
      <c r="Q2516" s="66"/>
      <c r="R2516" s="66"/>
      <c r="S2516" s="66"/>
    </row>
    <row r="2518" spans="1:19" s="7" customFormat="1" ht="18" customHeight="1">
      <c r="A2518" s="13" t="s">
        <v>1315</v>
      </c>
      <c r="B2518" s="13"/>
      <c r="C2518" s="13" t="s">
        <v>1310</v>
      </c>
      <c r="D2518" s="14"/>
      <c r="E2518" s="14"/>
      <c r="F2518" s="14"/>
      <c r="G2518" s="14"/>
      <c r="H2518" s="14"/>
      <c r="I2518" s="14"/>
      <c r="J2518" s="14">
        <f>SUMIFS(J2519:J2519,D2519:D2519,"&lt;&gt;Y",F2519:F2519,"&lt;&gt;Y",I2519:I2519,"&lt;&gt;Inactive",I2519:I2519,"&lt;&gt;ECO+NFS")</f>
        <v>23100</v>
      </c>
      <c r="K2518" s="14"/>
      <c r="L2518" s="14"/>
      <c r="M2518" s="14"/>
      <c r="N2518" s="14"/>
      <c r="O2518" s="14"/>
      <c r="P2518" s="14"/>
      <c r="Q2518" s="14"/>
      <c r="R2518" s="14"/>
      <c r="S2518" s="14"/>
    </row>
    <row r="2519" spans="1:19" ht="18" customHeight="1">
      <c r="A2519" s="17" t="str">
        <f>HYPERLINK("#"&amp;ADDRESS(MATCH(A2518,'CIM&amp;FMS'!$A$1:$A$4997,0),1,,,"CIM&amp;FMS"),"Back to Price List")</f>
        <v>Back to Price List</v>
      </c>
      <c r="B2519" t="s">
        <v>1098</v>
      </c>
      <c r="C2519" t="s">
        <v>1099</v>
      </c>
      <c r="D2519" s="4"/>
      <c r="E2519" s="4">
        <v>14</v>
      </c>
      <c r="F2519" s="4"/>
      <c r="G2519" s="29" t="str">
        <f>IFERROR(HYPERLINK("#"&amp;ADDRESS(MATCH(B2519&amp;"ES",'LM7 Non-ENG'!$A$1:$A$5000,0),1,,,"LM7 Non-ENG"),IF(IFERROR(VLOOKUP(B2519&amp;"ES",'LM7 Non-ENG'!$A$1:$A$4999,1,FALSE),"ERROR")=B2519&amp;"ES","Y","")),"")</f>
        <v/>
      </c>
      <c r="H2519" s="29" t="str">
        <f>IFERROR(HYPERLINK("#"&amp;ADDRESS(MATCH(B2519&amp;"PT",'LM7 Non-ENG'!$A$1:$A$5000,0),1,,,"LM7 Non-ENG"),IF(IFERROR(VLOOKUP(B2519&amp;"PT",'LM7 Non-ENG'!$A$1:$A$5000,1,FALSE),"ERROR")=B2519&amp;"PT","Y","")),"")</f>
        <v/>
      </c>
      <c r="I2519" t="str">
        <f>IFERROR(VLOOKUP(B2519,PN!$A:$C,3,FALSE),"")</f>
        <v>Active</v>
      </c>
      <c r="J2519" s="3">
        <f>IFERROR(E2519*VLOOKUP(B2519,PLInter!$A:$D,3,FALSE),"")</f>
        <v>23100</v>
      </c>
      <c r="K2519" s="66"/>
      <c r="L2519" s="66"/>
      <c r="M2519" s="66"/>
      <c r="N2519" s="66"/>
      <c r="O2519" s="66"/>
      <c r="P2519" s="66"/>
      <c r="Q2519" s="66"/>
      <c r="R2519" s="66"/>
      <c r="S2519" s="66"/>
    </row>
    <row r="2521" spans="1:19" s="7" customFormat="1" ht="18" customHeight="1">
      <c r="A2521" s="13" t="s">
        <v>1316</v>
      </c>
      <c r="B2521" s="13"/>
      <c r="C2521" s="13" t="s">
        <v>1311</v>
      </c>
      <c r="D2521" s="14"/>
      <c r="E2521" s="14"/>
      <c r="F2521" s="14"/>
      <c r="G2521" s="14"/>
      <c r="H2521" s="14"/>
      <c r="I2521" s="14"/>
      <c r="J2521" s="14">
        <f>SUMIFS(J2522:J2522,D2522:D2522,"&lt;&gt;Y",F2522:F2522,"&lt;&gt;Y",I2522:I2522,"&lt;&gt;Inactive",I2522:I2522,"&lt;&gt;ECO+NFS")</f>
        <v>24750</v>
      </c>
      <c r="K2521" s="14"/>
      <c r="L2521" s="14"/>
      <c r="M2521" s="14"/>
      <c r="N2521" s="14"/>
      <c r="O2521" s="14"/>
      <c r="P2521" s="14"/>
      <c r="Q2521" s="14"/>
      <c r="R2521" s="14"/>
      <c r="S2521" s="14"/>
    </row>
    <row r="2522" spans="1:19" ht="18" customHeight="1">
      <c r="A2522" s="17" t="str">
        <f>HYPERLINK("#"&amp;ADDRESS(MATCH(A2521,'CIM&amp;FMS'!$A$1:$A$4997,0),1,,,"CIM&amp;FMS"),"Back to Price List")</f>
        <v>Back to Price List</v>
      </c>
      <c r="B2522" t="s">
        <v>1098</v>
      </c>
      <c r="C2522" t="s">
        <v>1099</v>
      </c>
      <c r="D2522" s="4"/>
      <c r="E2522" s="4">
        <v>15</v>
      </c>
      <c r="F2522" s="4"/>
      <c r="G2522" s="29" t="str">
        <f>IFERROR(HYPERLINK("#"&amp;ADDRESS(MATCH(B2522&amp;"ES",'LM7 Non-ENG'!$A$1:$A$5000,0),1,,,"LM7 Non-ENG"),IF(IFERROR(VLOOKUP(B2522&amp;"ES",'LM7 Non-ENG'!$A$1:$A$4999,1,FALSE),"ERROR")=B2522&amp;"ES","Y","")),"")</f>
        <v/>
      </c>
      <c r="H2522" s="29" t="str">
        <f>IFERROR(HYPERLINK("#"&amp;ADDRESS(MATCH(B2522&amp;"PT",'LM7 Non-ENG'!$A$1:$A$5000,0),1,,,"LM7 Non-ENG"),IF(IFERROR(VLOOKUP(B2522&amp;"PT",'LM7 Non-ENG'!$A$1:$A$5000,1,FALSE),"ERROR")=B2522&amp;"PT","Y","")),"")</f>
        <v/>
      </c>
      <c r="I2522" t="str">
        <f>IFERROR(VLOOKUP(B2522,PN!$A:$C,3,FALSE),"")</f>
        <v>Active</v>
      </c>
      <c r="J2522" s="3">
        <f>IFERROR(E2522*VLOOKUP(B2522,PLInter!$A:$D,3,FALSE),"")</f>
        <v>24750</v>
      </c>
      <c r="K2522" s="66"/>
      <c r="L2522" s="66"/>
      <c r="M2522" s="66"/>
      <c r="N2522" s="66"/>
      <c r="O2522" s="66"/>
      <c r="P2522" s="66"/>
      <c r="Q2522" s="66"/>
      <c r="R2522" s="66"/>
      <c r="S2522" s="66"/>
    </row>
    <row r="2524" spans="1:19" s="7" customFormat="1" ht="18" customHeight="1">
      <c r="A2524" s="13" t="s">
        <v>1317</v>
      </c>
      <c r="B2524" s="13"/>
      <c r="C2524" s="13" t="s">
        <v>1312</v>
      </c>
      <c r="D2524" s="14"/>
      <c r="E2524" s="14"/>
      <c r="F2524" s="14"/>
      <c r="G2524" s="14"/>
      <c r="H2524" s="14"/>
      <c r="I2524" s="14"/>
      <c r="J2524" s="14">
        <f>SUMIFS(J2525:J2525,D2525:D2525,"&lt;&gt;Y",F2525:F2525,"&lt;&gt;Y",I2525:I2525,"&lt;&gt;Inactive",I2525:I2525,"&lt;&gt;ECO+NFS")</f>
        <v>26400</v>
      </c>
      <c r="K2524" s="14"/>
      <c r="L2524" s="14"/>
      <c r="M2524" s="14"/>
      <c r="N2524" s="14"/>
      <c r="O2524" s="14"/>
      <c r="P2524" s="14"/>
      <c r="Q2524" s="14"/>
      <c r="R2524" s="14"/>
      <c r="S2524" s="14"/>
    </row>
    <row r="2525" spans="1:19" ht="18" customHeight="1">
      <c r="A2525" s="17" t="str">
        <f>HYPERLINK("#"&amp;ADDRESS(MATCH(A2524,'CIM&amp;FMS'!$A$1:$A$4997,0),1,,,"CIM&amp;FMS"),"Back to Price List")</f>
        <v>Back to Price List</v>
      </c>
      <c r="B2525" t="s">
        <v>1098</v>
      </c>
      <c r="C2525" t="s">
        <v>1099</v>
      </c>
      <c r="D2525" s="4"/>
      <c r="E2525" s="4">
        <v>16</v>
      </c>
      <c r="F2525" s="4"/>
      <c r="G2525" s="29" t="str">
        <f>IFERROR(HYPERLINK("#"&amp;ADDRESS(MATCH(B2525&amp;"ES",'LM7 Non-ENG'!$A$1:$A$5000,0),1,,,"LM7 Non-ENG"),IF(IFERROR(VLOOKUP(B2525&amp;"ES",'LM7 Non-ENG'!$A$1:$A$4999,1,FALSE),"ERROR")=B2525&amp;"ES","Y","")),"")</f>
        <v/>
      </c>
      <c r="H2525" s="29" t="str">
        <f>IFERROR(HYPERLINK("#"&amp;ADDRESS(MATCH(B2525&amp;"PT",'LM7 Non-ENG'!$A$1:$A$5000,0),1,,,"LM7 Non-ENG"),IF(IFERROR(VLOOKUP(B2525&amp;"PT",'LM7 Non-ENG'!$A$1:$A$5000,1,FALSE),"ERROR")=B2525&amp;"PT","Y","")),"")</f>
        <v/>
      </c>
      <c r="I2525" t="str">
        <f>IFERROR(VLOOKUP(B2525,PN!$A:$C,3,FALSE),"")</f>
        <v>Active</v>
      </c>
      <c r="J2525" s="3">
        <f>IFERROR(E2525*VLOOKUP(B2525,PLInter!$A:$D,3,FALSE),"")</f>
        <v>26400</v>
      </c>
      <c r="K2525" s="66"/>
      <c r="L2525" s="66"/>
      <c r="M2525" s="66"/>
      <c r="N2525" s="66"/>
      <c r="O2525" s="66"/>
      <c r="P2525" s="66"/>
      <c r="Q2525" s="66"/>
      <c r="R2525" s="66"/>
      <c r="S2525" s="66"/>
    </row>
    <row r="2527" spans="1:19" s="7" customFormat="1" ht="18" customHeight="1">
      <c r="A2527" s="13" t="s">
        <v>1318</v>
      </c>
      <c r="B2527" s="13"/>
      <c r="C2527" s="13" t="s">
        <v>1319</v>
      </c>
      <c r="D2527" s="14"/>
      <c r="E2527" s="14"/>
      <c r="F2527" s="14"/>
      <c r="G2527" s="14"/>
      <c r="H2527" s="14"/>
      <c r="I2527" s="14"/>
      <c r="J2527" s="14">
        <f>SUMIFS(J2528:J2528,D2528:D2528,"&lt;&gt;Y",F2528:F2528,"&lt;&gt;Y",I2528:I2528,"&lt;&gt;Inactive",I2528:I2528,"&lt;&gt;ECO+NFS")</f>
        <v>1650</v>
      </c>
      <c r="K2527" s="14"/>
      <c r="L2527" s="14"/>
      <c r="M2527" s="14"/>
      <c r="N2527" s="14"/>
      <c r="O2527" s="14"/>
      <c r="P2527" s="14"/>
      <c r="Q2527" s="14"/>
      <c r="R2527" s="14"/>
      <c r="S2527" s="14"/>
    </row>
    <row r="2528" spans="1:19" ht="18" customHeight="1">
      <c r="A2528" s="17" t="str">
        <f>HYPERLINK("#"&amp;ADDRESS(MATCH(A2527,'CIM&amp;FMS'!$A$1:$A$4997,0),1,,,"CIM&amp;FMS"),"Back to Price List")</f>
        <v>Back to Price List</v>
      </c>
      <c r="B2528" t="s">
        <v>1286</v>
      </c>
      <c r="C2528" t="s">
        <v>1287</v>
      </c>
      <c r="D2528" s="4"/>
      <c r="E2528" s="4">
        <v>1</v>
      </c>
      <c r="F2528" s="4"/>
      <c r="G2528" s="29" t="str">
        <f>IFERROR(HYPERLINK("#"&amp;ADDRESS(MATCH(B2528&amp;"ES",'LM7 Non-ENG'!$A$1:$A$5000,0),1,,,"LM7 Non-ENG"),IF(IFERROR(VLOOKUP(B2528&amp;"ES",'LM7 Non-ENG'!$A$1:$A$4999,1,FALSE),"ERROR")=B2528&amp;"ES","Y","")),"")</f>
        <v/>
      </c>
      <c r="H2528" s="29" t="str">
        <f>IFERROR(HYPERLINK("#"&amp;ADDRESS(MATCH(B2528&amp;"PT",'LM7 Non-ENG'!$A$1:$A$5000,0),1,,,"LM7 Non-ENG"),IF(IFERROR(VLOOKUP(B2528&amp;"PT",'LM7 Non-ENG'!$A$1:$A$5000,1,FALSE),"ERROR")=B2528&amp;"PT","Y","")),"")</f>
        <v/>
      </c>
      <c r="I2528" t="str">
        <f>IFERROR(VLOOKUP(B2528,PN!$A:$C,3,FALSE),"")</f>
        <v>Active</v>
      </c>
      <c r="J2528" s="3">
        <f>IFERROR(E2528*VLOOKUP(B2528,PLInter!$A:$D,3,FALSE),"")</f>
        <v>1650</v>
      </c>
      <c r="K2528" s="66"/>
      <c r="L2528" s="66"/>
      <c r="M2528" s="66"/>
      <c r="N2528" s="66"/>
      <c r="O2528" s="66"/>
      <c r="P2528" s="66"/>
      <c r="Q2528" s="66"/>
      <c r="R2528" s="66"/>
      <c r="S2528" s="66"/>
    </row>
    <row r="2530" spans="1:19" s="7" customFormat="1" ht="18" customHeight="1">
      <c r="A2530" s="13" t="s">
        <v>1320</v>
      </c>
      <c r="B2530" s="13"/>
      <c r="C2530" s="13" t="s">
        <v>1321</v>
      </c>
      <c r="D2530" s="14"/>
      <c r="E2530" s="14"/>
      <c r="F2530" s="14"/>
      <c r="G2530" s="14"/>
      <c r="H2530" s="14"/>
      <c r="I2530" s="14"/>
      <c r="J2530" s="14">
        <f>SUMIFS(J2531:J2531,D2531:D2531,"&lt;&gt;Y",F2531:F2531,"&lt;&gt;Y",I2531:I2531,"&lt;&gt;Inactive",I2531:I2531,"&lt;&gt;ECO+NFS")</f>
        <v>9900</v>
      </c>
      <c r="K2530" s="14"/>
      <c r="L2530" s="14"/>
      <c r="M2530" s="14"/>
      <c r="N2530" s="14"/>
      <c r="O2530" s="14"/>
      <c r="P2530" s="14"/>
      <c r="Q2530" s="14"/>
      <c r="R2530" s="14"/>
      <c r="S2530" s="14"/>
    </row>
    <row r="2531" spans="1:19" ht="18" customHeight="1">
      <c r="A2531" s="17" t="str">
        <f>HYPERLINK("#"&amp;ADDRESS(MATCH(A2530,'CIM&amp;FMS'!$A$1:$A$4997,0),1,,,"CIM&amp;FMS"),"Back to Price List")</f>
        <v>Back to Price List</v>
      </c>
      <c r="B2531" t="s">
        <v>1286</v>
      </c>
      <c r="C2531" t="s">
        <v>1287</v>
      </c>
      <c r="D2531" s="4"/>
      <c r="E2531" s="4">
        <v>6</v>
      </c>
      <c r="F2531" s="4"/>
      <c r="G2531" s="29" t="str">
        <f>IFERROR(HYPERLINK("#"&amp;ADDRESS(MATCH(B2531&amp;"ES",'LM7 Non-ENG'!$A$1:$A$5000,0),1,,,"LM7 Non-ENG"),IF(IFERROR(VLOOKUP(B2531&amp;"ES",'LM7 Non-ENG'!$A$1:$A$4999,1,FALSE),"ERROR")=B2531&amp;"ES","Y","")),"")</f>
        <v/>
      </c>
      <c r="H2531" s="29" t="str">
        <f>IFERROR(HYPERLINK("#"&amp;ADDRESS(MATCH(B2531&amp;"PT",'LM7 Non-ENG'!$A$1:$A$5000,0),1,,,"LM7 Non-ENG"),IF(IFERROR(VLOOKUP(B2531&amp;"PT",'LM7 Non-ENG'!$A$1:$A$5000,1,FALSE),"ERROR")=B2531&amp;"PT","Y","")),"")</f>
        <v/>
      </c>
      <c r="I2531" t="str">
        <f>IFERROR(VLOOKUP(B2531,PN!$A:$C,3,FALSE),"")</f>
        <v>Active</v>
      </c>
      <c r="J2531" s="3">
        <f>IFERROR(E2531*VLOOKUP(B2531,PLInter!$A:$D,3,FALSE),"")</f>
        <v>9900</v>
      </c>
      <c r="K2531" s="66"/>
      <c r="L2531" s="66"/>
      <c r="M2531" s="66"/>
      <c r="N2531" s="66"/>
      <c r="O2531" s="66"/>
      <c r="P2531" s="66"/>
      <c r="Q2531" s="66"/>
      <c r="R2531" s="66"/>
      <c r="S2531" s="66"/>
    </row>
    <row r="2533" spans="1:19" s="7" customFormat="1" ht="18" customHeight="1">
      <c r="A2533" s="13" t="s">
        <v>1322</v>
      </c>
      <c r="B2533" s="13"/>
      <c r="C2533" s="13" t="s">
        <v>1328</v>
      </c>
      <c r="D2533" s="14"/>
      <c r="E2533" s="14"/>
      <c r="F2533" s="14"/>
      <c r="G2533" s="14"/>
      <c r="H2533" s="14"/>
      <c r="I2533" s="14"/>
      <c r="J2533" s="14">
        <f t="shared" ref="J2533" si="0">SUMIFS(J2534:J2534,D2534:D2534,"&lt;&gt;Y",F2534:F2534,"&lt;&gt;Y",I2534:I2534,"&lt;&gt;Inactive",I2534:I2534,"&lt;&gt;ECO+NFS")</f>
        <v>11550</v>
      </c>
      <c r="K2533" s="14"/>
      <c r="L2533" s="14"/>
      <c r="M2533" s="14"/>
      <c r="N2533" s="14"/>
      <c r="O2533" s="14"/>
      <c r="P2533" s="14"/>
      <c r="Q2533" s="14"/>
      <c r="R2533" s="14"/>
      <c r="S2533" s="14"/>
    </row>
    <row r="2534" spans="1:19" ht="18" customHeight="1">
      <c r="A2534" s="17" t="str">
        <f>HYPERLINK("#"&amp;ADDRESS(MATCH(A2533,'CIM&amp;FMS'!$A$1:$A$4997,0),1,,,"CIM&amp;FMS"),"Back to Price List")</f>
        <v>Back to Price List</v>
      </c>
      <c r="B2534" t="s">
        <v>1286</v>
      </c>
      <c r="C2534" t="s">
        <v>1287</v>
      </c>
      <c r="D2534" s="4"/>
      <c r="E2534" s="4">
        <v>7</v>
      </c>
      <c r="F2534" s="4"/>
      <c r="G2534" s="29" t="str">
        <f>IFERROR(HYPERLINK("#"&amp;ADDRESS(MATCH(B2534&amp;"ES",'LM7 Non-ENG'!$A$1:$A$5000,0),1,,,"LM7 Non-ENG"),IF(IFERROR(VLOOKUP(B2534&amp;"ES",'LM7 Non-ENG'!$A$1:$A$4999,1,FALSE),"ERROR")=B2534&amp;"ES","Y","")),"")</f>
        <v/>
      </c>
      <c r="H2534" s="29" t="str">
        <f>IFERROR(HYPERLINK("#"&amp;ADDRESS(MATCH(B2534&amp;"PT",'LM7 Non-ENG'!$A$1:$A$5000,0),1,,,"LM7 Non-ENG"),IF(IFERROR(VLOOKUP(B2534&amp;"PT",'LM7 Non-ENG'!$A$1:$A$5000,1,FALSE),"ERROR")=B2534&amp;"PT","Y","")),"")</f>
        <v/>
      </c>
      <c r="I2534" t="str">
        <f>IFERROR(VLOOKUP(B2534,PN!$A:$C,3,FALSE),"")</f>
        <v>Active</v>
      </c>
      <c r="J2534" s="3">
        <f>IFERROR(E2534*VLOOKUP(B2534,PLInter!$A:$D,3,FALSE),"")</f>
        <v>11550</v>
      </c>
      <c r="K2534" s="66"/>
      <c r="L2534" s="66"/>
      <c r="M2534" s="66"/>
      <c r="N2534" s="66"/>
      <c r="O2534" s="66"/>
      <c r="P2534" s="66"/>
      <c r="Q2534" s="66"/>
      <c r="R2534" s="66"/>
      <c r="S2534" s="66"/>
    </row>
    <row r="2536" spans="1:19" s="7" customFormat="1" ht="18" customHeight="1">
      <c r="A2536" s="13" t="s">
        <v>1323</v>
      </c>
      <c r="B2536" s="13"/>
      <c r="C2536" s="13" t="s">
        <v>1329</v>
      </c>
      <c r="D2536" s="14"/>
      <c r="E2536" s="14"/>
      <c r="F2536" s="14"/>
      <c r="G2536" s="14"/>
      <c r="H2536" s="14"/>
      <c r="I2536" s="14"/>
      <c r="J2536" s="14">
        <f t="shared" ref="J2536" si="1">SUMIFS(J2537:J2537,D2537:D2537,"&lt;&gt;Y",F2537:F2537,"&lt;&gt;Y",I2537:I2537,"&lt;&gt;Inactive",I2537:I2537,"&lt;&gt;ECO+NFS")</f>
        <v>13200</v>
      </c>
      <c r="K2536" s="14"/>
      <c r="L2536" s="14"/>
      <c r="M2536" s="14"/>
      <c r="N2536" s="14"/>
      <c r="O2536" s="14"/>
      <c r="P2536" s="14"/>
      <c r="Q2536" s="14"/>
      <c r="R2536" s="14"/>
      <c r="S2536" s="14"/>
    </row>
    <row r="2537" spans="1:19" ht="18" customHeight="1">
      <c r="A2537" s="17" t="str">
        <f>HYPERLINK("#"&amp;ADDRESS(MATCH(A2536,'CIM&amp;FMS'!$A$1:$A$4997,0),1,,,"CIM&amp;FMS"),"Back to Price List")</f>
        <v>Back to Price List</v>
      </c>
      <c r="B2537" t="s">
        <v>1286</v>
      </c>
      <c r="C2537" t="s">
        <v>1287</v>
      </c>
      <c r="D2537" s="4"/>
      <c r="E2537" s="4">
        <v>8</v>
      </c>
      <c r="F2537" s="4"/>
      <c r="G2537" s="29" t="str">
        <f>IFERROR(HYPERLINK("#"&amp;ADDRESS(MATCH(B2537&amp;"ES",'LM7 Non-ENG'!$A$1:$A$5000,0),1,,,"LM7 Non-ENG"),IF(IFERROR(VLOOKUP(B2537&amp;"ES",'LM7 Non-ENG'!$A$1:$A$4999,1,FALSE),"ERROR")=B2537&amp;"ES","Y","")),"")</f>
        <v/>
      </c>
      <c r="H2537" s="29" t="str">
        <f>IFERROR(HYPERLINK("#"&amp;ADDRESS(MATCH(B2537&amp;"PT",'LM7 Non-ENG'!$A$1:$A$5000,0),1,,,"LM7 Non-ENG"),IF(IFERROR(VLOOKUP(B2537&amp;"PT",'LM7 Non-ENG'!$A$1:$A$5000,1,FALSE),"ERROR")=B2537&amp;"PT","Y","")),"")</f>
        <v/>
      </c>
      <c r="I2537" t="str">
        <f>IFERROR(VLOOKUP(B2537,PN!$A:$C,3,FALSE),"")</f>
        <v>Active</v>
      </c>
      <c r="J2537" s="3">
        <f>IFERROR(E2537*VLOOKUP(B2537,PLInter!$A:$D,3,FALSE),"")</f>
        <v>13200</v>
      </c>
      <c r="K2537" s="66"/>
      <c r="L2537" s="66"/>
      <c r="M2537" s="66"/>
      <c r="N2537" s="66"/>
      <c r="O2537" s="66"/>
      <c r="P2537" s="66"/>
      <c r="Q2537" s="66"/>
      <c r="R2537" s="66"/>
      <c r="S2537" s="66"/>
    </row>
    <row r="2539" spans="1:19" s="7" customFormat="1" ht="18" customHeight="1">
      <c r="A2539" s="13" t="s">
        <v>1324</v>
      </c>
      <c r="B2539" s="13"/>
      <c r="C2539" s="13" t="s">
        <v>1330</v>
      </c>
      <c r="D2539" s="14"/>
      <c r="E2539" s="14"/>
      <c r="F2539" s="14"/>
      <c r="G2539" s="14"/>
      <c r="H2539" s="14"/>
      <c r="I2539" s="14"/>
      <c r="J2539" s="14">
        <f t="shared" ref="J2539" si="2">SUMIFS(J2540:J2540,D2540:D2540,"&lt;&gt;Y",F2540:F2540,"&lt;&gt;Y",I2540:I2540,"&lt;&gt;Inactive",I2540:I2540,"&lt;&gt;ECO+NFS")</f>
        <v>13200</v>
      </c>
      <c r="K2539" s="14"/>
      <c r="L2539" s="14"/>
      <c r="M2539" s="14"/>
      <c r="N2539" s="14"/>
      <c r="O2539" s="14"/>
      <c r="P2539" s="14"/>
      <c r="Q2539" s="14"/>
      <c r="R2539" s="14"/>
      <c r="S2539" s="14"/>
    </row>
    <row r="2540" spans="1:19" ht="18" customHeight="1">
      <c r="A2540" s="17" t="str">
        <f>HYPERLINK("#"&amp;ADDRESS(MATCH(A2539,'CIM&amp;FMS'!$A$1:$A$4997,0),1,,,"CIM&amp;FMS"),"Back to Price List")</f>
        <v>Back to Price List</v>
      </c>
      <c r="B2540" t="s">
        <v>1286</v>
      </c>
      <c r="C2540" t="s">
        <v>1287</v>
      </c>
      <c r="D2540" s="4"/>
      <c r="E2540" s="4">
        <v>8</v>
      </c>
      <c r="F2540" s="4"/>
      <c r="G2540" s="29" t="str">
        <f>IFERROR(HYPERLINK("#"&amp;ADDRESS(MATCH(B2540&amp;"ES",'LM7 Non-ENG'!$A$1:$A$5000,0),1,,,"LM7 Non-ENG"),IF(IFERROR(VLOOKUP(B2540&amp;"ES",'LM7 Non-ENG'!$A$1:$A$4999,1,FALSE),"ERROR")=B2540&amp;"ES","Y","")),"")</f>
        <v/>
      </c>
      <c r="H2540" s="29" t="str">
        <f>IFERROR(HYPERLINK("#"&amp;ADDRESS(MATCH(B2540&amp;"PT",'LM7 Non-ENG'!$A$1:$A$5000,0),1,,,"LM7 Non-ENG"),IF(IFERROR(VLOOKUP(B2540&amp;"PT",'LM7 Non-ENG'!$A$1:$A$5000,1,FALSE),"ERROR")=B2540&amp;"PT","Y","")),"")</f>
        <v/>
      </c>
      <c r="I2540" t="str">
        <f>IFERROR(VLOOKUP(B2540,PN!$A:$C,3,FALSE),"")</f>
        <v>Active</v>
      </c>
      <c r="J2540" s="3">
        <f>IFERROR(E2540*VLOOKUP(B2540,PLInter!$A:$D,3,FALSE),"")</f>
        <v>13200</v>
      </c>
      <c r="K2540" s="66"/>
      <c r="L2540" s="66"/>
      <c r="M2540" s="66"/>
      <c r="N2540" s="66"/>
      <c r="O2540" s="66"/>
      <c r="P2540" s="66"/>
      <c r="Q2540" s="66"/>
      <c r="R2540" s="66"/>
      <c r="S2540" s="66"/>
    </row>
    <row r="2542" spans="1:19" s="7" customFormat="1" ht="18" customHeight="1">
      <c r="A2542" s="13" t="s">
        <v>1325</v>
      </c>
      <c r="B2542" s="13"/>
      <c r="C2542" s="13" t="s">
        <v>1331</v>
      </c>
      <c r="D2542" s="14"/>
      <c r="E2542" s="14"/>
      <c r="F2542" s="14"/>
      <c r="G2542" s="14"/>
      <c r="H2542" s="14"/>
      <c r="I2542" s="14"/>
      <c r="J2542" s="14">
        <f t="shared" ref="J2542" si="3">SUMIFS(J2543:J2543,D2543:D2543,"&lt;&gt;Y",F2543:F2543,"&lt;&gt;Y",I2543:I2543,"&lt;&gt;Inactive",I2543:I2543,"&lt;&gt;ECO+NFS")</f>
        <v>16500</v>
      </c>
      <c r="K2542" s="14"/>
      <c r="L2542" s="14"/>
      <c r="M2542" s="14"/>
      <c r="N2542" s="14"/>
      <c r="O2542" s="14"/>
      <c r="P2542" s="14"/>
      <c r="Q2542" s="14"/>
      <c r="R2542" s="14"/>
      <c r="S2542" s="14"/>
    </row>
    <row r="2543" spans="1:19" ht="18" customHeight="1">
      <c r="A2543" s="17" t="str">
        <f>HYPERLINK("#"&amp;ADDRESS(MATCH(A2542,'CIM&amp;FMS'!$A$1:$A$4997,0),1,,,"CIM&amp;FMS"),"Back to Price List")</f>
        <v>Back to Price List</v>
      </c>
      <c r="B2543" t="s">
        <v>1286</v>
      </c>
      <c r="C2543" t="s">
        <v>1287</v>
      </c>
      <c r="D2543" s="4"/>
      <c r="E2543" s="4">
        <v>10</v>
      </c>
      <c r="F2543" s="4"/>
      <c r="G2543" s="29" t="str">
        <f>IFERROR(HYPERLINK("#"&amp;ADDRESS(MATCH(B2543&amp;"ES",'LM7 Non-ENG'!$A$1:$A$5000,0),1,,,"LM7 Non-ENG"),IF(IFERROR(VLOOKUP(B2543&amp;"ES",'LM7 Non-ENG'!$A$1:$A$4999,1,FALSE),"ERROR")=B2543&amp;"ES","Y","")),"")</f>
        <v/>
      </c>
      <c r="H2543" s="29" t="str">
        <f>IFERROR(HYPERLINK("#"&amp;ADDRESS(MATCH(B2543&amp;"PT",'LM7 Non-ENG'!$A$1:$A$5000,0),1,,,"LM7 Non-ENG"),IF(IFERROR(VLOOKUP(B2543&amp;"PT",'LM7 Non-ENG'!$A$1:$A$5000,1,FALSE),"ERROR")=B2543&amp;"PT","Y","")),"")</f>
        <v/>
      </c>
      <c r="I2543" t="str">
        <f>IFERROR(VLOOKUP(B2543,PN!$A:$C,3,FALSE),"")</f>
        <v>Active</v>
      </c>
      <c r="J2543" s="3">
        <f>IFERROR(E2543*VLOOKUP(B2543,PLInter!$A:$D,3,FALSE),"")</f>
        <v>16500</v>
      </c>
      <c r="K2543" s="66"/>
      <c r="L2543" s="66"/>
      <c r="M2543" s="66"/>
      <c r="N2543" s="66"/>
      <c r="O2543" s="66"/>
      <c r="P2543" s="66"/>
      <c r="Q2543" s="66"/>
      <c r="R2543" s="66"/>
      <c r="S2543" s="66"/>
    </row>
    <row r="2545" spans="1:19" s="7" customFormat="1" ht="18" customHeight="1">
      <c r="A2545" s="13" t="s">
        <v>1326</v>
      </c>
      <c r="B2545" s="13"/>
      <c r="C2545" s="13" t="s">
        <v>1332</v>
      </c>
      <c r="D2545" s="14"/>
      <c r="E2545" s="14"/>
      <c r="F2545" s="14"/>
      <c r="G2545" s="14"/>
      <c r="H2545" s="14"/>
      <c r="I2545" s="14"/>
      <c r="J2545" s="14">
        <f t="shared" ref="J2545" si="4">SUMIFS(J2546:J2546,D2546:D2546,"&lt;&gt;Y",F2546:F2546,"&lt;&gt;Y",I2546:I2546,"&lt;&gt;Inactive",I2546:I2546,"&lt;&gt;ECO+NFS")</f>
        <v>19800</v>
      </c>
      <c r="K2545" s="14"/>
      <c r="L2545" s="14"/>
      <c r="M2545" s="14"/>
      <c r="N2545" s="14"/>
      <c r="O2545" s="14"/>
      <c r="P2545" s="14"/>
      <c r="Q2545" s="14"/>
      <c r="R2545" s="14"/>
      <c r="S2545" s="14"/>
    </row>
    <row r="2546" spans="1:19" ht="18" customHeight="1">
      <c r="A2546" s="17" t="str">
        <f>HYPERLINK("#"&amp;ADDRESS(MATCH(A2545,'CIM&amp;FMS'!$A$1:$A$4997,0),1,,,"CIM&amp;FMS"),"Back to Price List")</f>
        <v>Back to Price List</v>
      </c>
      <c r="B2546" t="s">
        <v>1286</v>
      </c>
      <c r="C2546" t="s">
        <v>1287</v>
      </c>
      <c r="D2546" s="4"/>
      <c r="E2546" s="4">
        <v>12</v>
      </c>
      <c r="F2546" s="4"/>
      <c r="G2546" s="29" t="str">
        <f>IFERROR(HYPERLINK("#"&amp;ADDRESS(MATCH(B2546&amp;"ES",'LM7 Non-ENG'!$A$1:$A$5000,0),1,,,"LM7 Non-ENG"),IF(IFERROR(VLOOKUP(B2546&amp;"ES",'LM7 Non-ENG'!$A$1:$A$4999,1,FALSE),"ERROR")=B2546&amp;"ES","Y","")),"")</f>
        <v/>
      </c>
      <c r="H2546" s="29" t="str">
        <f>IFERROR(HYPERLINK("#"&amp;ADDRESS(MATCH(B2546&amp;"PT",'LM7 Non-ENG'!$A$1:$A$5000,0),1,,,"LM7 Non-ENG"),IF(IFERROR(VLOOKUP(B2546&amp;"PT",'LM7 Non-ENG'!$A$1:$A$5000,1,FALSE),"ERROR")=B2546&amp;"PT","Y","")),"")</f>
        <v/>
      </c>
      <c r="I2546" t="str">
        <f>IFERROR(VLOOKUP(B2546,PN!$A:$C,3,FALSE),"")</f>
        <v>Active</v>
      </c>
      <c r="J2546" s="3">
        <f>IFERROR(E2546*VLOOKUP(B2546,PLInter!$A:$D,3,FALSE),"")</f>
        <v>19800</v>
      </c>
      <c r="K2546" s="66"/>
      <c r="L2546" s="66"/>
      <c r="M2546" s="66"/>
      <c r="N2546" s="66"/>
      <c r="O2546" s="66"/>
      <c r="P2546" s="66"/>
      <c r="Q2546" s="66"/>
      <c r="R2546" s="66"/>
      <c r="S2546" s="66"/>
    </row>
    <row r="2548" spans="1:19" s="7" customFormat="1" ht="18" customHeight="1">
      <c r="A2548" s="13" t="s">
        <v>1327</v>
      </c>
      <c r="B2548" s="13"/>
      <c r="C2548" s="13" t="s">
        <v>1333</v>
      </c>
      <c r="D2548" s="14"/>
      <c r="E2548" s="14"/>
      <c r="F2548" s="14"/>
      <c r="G2548" s="14"/>
      <c r="H2548" s="14"/>
      <c r="I2548" s="14"/>
      <c r="J2548" s="14">
        <f t="shared" ref="J2548" si="5">SUMIFS(J2549:J2549,D2549:D2549,"&lt;&gt;Y",F2549:F2549,"&lt;&gt;Y",I2549:I2549,"&lt;&gt;Inactive",I2549:I2549,"&lt;&gt;ECO+NFS")</f>
        <v>23100</v>
      </c>
      <c r="K2548" s="14"/>
      <c r="L2548" s="14"/>
      <c r="M2548" s="14"/>
      <c r="N2548" s="14"/>
      <c r="O2548" s="14"/>
      <c r="P2548" s="14"/>
      <c r="Q2548" s="14"/>
      <c r="R2548" s="14"/>
      <c r="S2548" s="14"/>
    </row>
    <row r="2549" spans="1:19" ht="18" customHeight="1">
      <c r="A2549" s="17" t="str">
        <f>HYPERLINK("#"&amp;ADDRESS(MATCH(A2548,'CIM&amp;FMS'!$A$1:$A$4997,0),1,,,"CIM&amp;FMS"),"Back to Price List")</f>
        <v>Back to Price List</v>
      </c>
      <c r="B2549" t="s">
        <v>1286</v>
      </c>
      <c r="C2549" t="s">
        <v>1287</v>
      </c>
      <c r="D2549" s="4"/>
      <c r="E2549" s="4">
        <v>14</v>
      </c>
      <c r="F2549" s="4"/>
      <c r="G2549" s="29" t="str">
        <f>IFERROR(HYPERLINK("#"&amp;ADDRESS(MATCH(B2549&amp;"ES",'LM7 Non-ENG'!$A$1:$A$5000,0),1,,,"LM7 Non-ENG"),IF(IFERROR(VLOOKUP(B2549&amp;"ES",'LM7 Non-ENG'!$A$1:$A$4999,1,FALSE),"ERROR")=B2549&amp;"ES","Y","")),"")</f>
        <v/>
      </c>
      <c r="H2549" s="29" t="str">
        <f>IFERROR(HYPERLINK("#"&amp;ADDRESS(MATCH(B2549&amp;"PT",'LM7 Non-ENG'!$A$1:$A$5000,0),1,,,"LM7 Non-ENG"),IF(IFERROR(VLOOKUP(B2549&amp;"PT",'LM7 Non-ENG'!$A$1:$A$5000,1,FALSE),"ERROR")=B2549&amp;"PT","Y","")),"")</f>
        <v/>
      </c>
      <c r="I2549" t="str">
        <f>IFERROR(VLOOKUP(B2549,PN!$A:$C,3,FALSE),"")</f>
        <v>Active</v>
      </c>
      <c r="J2549" s="3">
        <f>IFERROR(E2549*VLOOKUP(B2549,PLInter!$A:$D,3,FALSE),"")</f>
        <v>23100</v>
      </c>
      <c r="K2549" s="66"/>
      <c r="L2549" s="66"/>
      <c r="M2549" s="66"/>
      <c r="N2549" s="66"/>
      <c r="O2549" s="66"/>
      <c r="P2549" s="66"/>
      <c r="Q2549" s="66"/>
      <c r="R2549" s="66"/>
      <c r="S2549" s="66"/>
    </row>
    <row r="2551" spans="1:19" s="7" customFormat="1" ht="18" customHeight="1">
      <c r="A2551" s="13" t="s">
        <v>1334</v>
      </c>
      <c r="B2551" s="13"/>
      <c r="C2551" s="13" t="s">
        <v>1335</v>
      </c>
      <c r="D2551" s="14"/>
      <c r="E2551" s="14"/>
      <c r="F2551" s="14"/>
      <c r="G2551" s="14"/>
      <c r="H2551" s="14"/>
      <c r="I2551" s="14"/>
      <c r="J2551" s="14">
        <f>SUMIFS(J2552:J2554,D2552:D2554,"&lt;&gt;Y",F2552:F2554,"&lt;&gt;Y",I2552:I2554,"&lt;&gt;Inactive",I2552:I2554,"&lt;&gt;ECO+NFS")</f>
        <v>2500</v>
      </c>
      <c r="K2551" s="14"/>
      <c r="L2551" s="14"/>
      <c r="M2551" s="14"/>
      <c r="N2551" s="14"/>
      <c r="O2551" s="14"/>
      <c r="P2551" s="14"/>
      <c r="Q2551" s="14"/>
      <c r="R2551" s="14"/>
      <c r="S2551" s="14"/>
    </row>
    <row r="2552" spans="1:19" ht="18" customHeight="1">
      <c r="A2552" s="17" t="str">
        <f>HYPERLINK("#"&amp;ADDRESS(MATCH(A2551,'CIM&amp;FMS'!$A$1:$A$4997,0),1,,,"CIM&amp;FMS"),"Back to Price List")</f>
        <v>Back to Price List</v>
      </c>
      <c r="B2552" t="s">
        <v>1336</v>
      </c>
      <c r="C2552" t="s">
        <v>1337</v>
      </c>
      <c r="D2552" s="4"/>
      <c r="E2552" s="4">
        <v>1</v>
      </c>
      <c r="F2552" s="4"/>
      <c r="G2552" s="29" t="str">
        <f>IFERROR(HYPERLINK("#"&amp;ADDRESS(MATCH(B2552&amp;"ES",'LM7 Non-ENG'!$A$1:$A$5000,0),1,,,"LM7 Non-ENG"),IF(IFERROR(VLOOKUP(B2552&amp;"ES",'LM7 Non-ENG'!$A$1:$A$4999,1,FALSE),"ERROR")=B2552&amp;"ES","Y","")),"")</f>
        <v/>
      </c>
      <c r="H2552" s="29" t="str">
        <f>IFERROR(HYPERLINK("#"&amp;ADDRESS(MATCH(B2552&amp;"PT",'LM7 Non-ENG'!$A$1:$A$5000,0),1,,,"LM7 Non-ENG"),IF(IFERROR(VLOOKUP(B2552&amp;"PT",'LM7 Non-ENG'!$A$1:$A$5000,1,FALSE),"ERROR")=B2552&amp;"PT","Y","")),"")</f>
        <v/>
      </c>
      <c r="I2552" t="str">
        <f>IFERROR(VLOOKUP(B2552,PN!$A:$C,3,FALSE),"")</f>
        <v>Active</v>
      </c>
      <c r="J2552" s="3">
        <f>IFERROR(E2552*VLOOKUP(B2552,PLInter!$A:$D,3,FALSE),"")</f>
        <v>2500</v>
      </c>
      <c r="K2552" s="66"/>
      <c r="L2552" s="66"/>
      <c r="M2552" s="66"/>
      <c r="N2552" s="66"/>
      <c r="O2552" s="66"/>
      <c r="P2552" s="66"/>
      <c r="Q2552" s="66"/>
      <c r="R2552" s="66"/>
      <c r="S2552" s="66"/>
    </row>
    <row r="2553" spans="1:19" ht="18" customHeight="1">
      <c r="B2553" s="2" t="s">
        <v>1338</v>
      </c>
      <c r="C2553" s="50" t="s">
        <v>1339</v>
      </c>
      <c r="D2553" s="5"/>
      <c r="E2553" s="5">
        <v>1</v>
      </c>
      <c r="F2553" s="5" t="s">
        <v>0</v>
      </c>
      <c r="G2553" s="29" t="str">
        <f>IFERROR(HYPERLINK("#"&amp;ADDRESS(MATCH(B2553&amp;"ES",'LM7 Non-ENG'!$A$1:$A$5000,0),1,,,"LM7 Non-ENG"),IF(IFERROR(VLOOKUP(B2553&amp;"ES",'LM7 Non-ENG'!$A$1:$A$4999,1,FALSE),"ERROR")=B2553&amp;"ES","Y","")),"")</f>
        <v/>
      </c>
      <c r="H2553" s="29" t="str">
        <f>IFERROR(HYPERLINK("#"&amp;ADDRESS(MATCH(B2553&amp;"PT",'LM7 Non-ENG'!$A$1:$A$5000,0),1,,,"LM7 Non-ENG"),IF(IFERROR(VLOOKUP(B2553&amp;"PT",'LM7 Non-ENG'!$A$1:$A$5000,1,FALSE),"ERROR")=B2553&amp;"PT","Y","")),"")</f>
        <v/>
      </c>
      <c r="I2553" t="str">
        <f>IFERROR(VLOOKUP(B2553,PN!$A:$C,3,FALSE),"")</f>
        <v>Active</v>
      </c>
      <c r="J2553" s="3">
        <f>IFERROR(E2553*VLOOKUP(B2553,PLInter!$A:$D,3,FALSE),"")</f>
        <v>1000</v>
      </c>
      <c r="K2553" s="66"/>
      <c r="L2553" s="66"/>
      <c r="M2553" s="66"/>
      <c r="N2553" s="66"/>
      <c r="O2553" s="66"/>
      <c r="P2553" s="66"/>
      <c r="Q2553" s="66"/>
      <c r="R2553" s="66"/>
      <c r="S2553" s="66"/>
    </row>
    <row r="2554" spans="1:19" ht="18" customHeight="1">
      <c r="B2554" s="2" t="s">
        <v>1340</v>
      </c>
      <c r="C2554" s="50" t="s">
        <v>1341</v>
      </c>
      <c r="D2554" s="5"/>
      <c r="E2554" s="5">
        <v>1</v>
      </c>
      <c r="F2554" s="5" t="s">
        <v>0</v>
      </c>
      <c r="G2554" s="29" t="str">
        <f>IFERROR(HYPERLINK("#"&amp;ADDRESS(MATCH(B2554&amp;"ES",'LM7 Non-ENG'!$A$1:$A$5000,0),1,,,"LM7 Non-ENG"),IF(IFERROR(VLOOKUP(B2554&amp;"ES",'LM7 Non-ENG'!$A$1:$A$4999,1,FALSE),"ERROR")=B2554&amp;"ES","Y","")),"")</f>
        <v/>
      </c>
      <c r="H2554" s="29" t="str">
        <f>IFERROR(HYPERLINK("#"&amp;ADDRESS(MATCH(B2554&amp;"PT",'LM7 Non-ENG'!$A$1:$A$5000,0),1,,,"LM7 Non-ENG"),IF(IFERROR(VLOOKUP(B2554&amp;"PT",'LM7 Non-ENG'!$A$1:$A$5000,1,FALSE),"ERROR")=B2554&amp;"PT","Y","")),"")</f>
        <v/>
      </c>
      <c r="I2554" t="str">
        <f>IFERROR(VLOOKUP(B2554,PN!$A:$C,3,FALSE),"")</f>
        <v>Active</v>
      </c>
      <c r="J2554" s="3">
        <f>IFERROR(E2554*VLOOKUP(B2554,PLInter!$A:$D,3,FALSE),"")</f>
        <v>5000</v>
      </c>
      <c r="K2554" s="66"/>
      <c r="L2554" s="66"/>
      <c r="M2554" s="66"/>
      <c r="N2554" s="66"/>
      <c r="O2554" s="66"/>
      <c r="P2554" s="66"/>
      <c r="Q2554" s="66"/>
      <c r="R2554" s="66"/>
      <c r="S2554" s="66"/>
    </row>
  </sheetData>
  <mergeCells count="177">
    <mergeCell ref="K2426:S2429"/>
    <mergeCell ref="K2432:S2435"/>
    <mergeCell ref="K2395:S2395"/>
    <mergeCell ref="K2398:S2402"/>
    <mergeCell ref="K2405:S2409"/>
    <mergeCell ref="K2412:S2416"/>
    <mergeCell ref="K2419:S2423"/>
    <mergeCell ref="K2359:S2363"/>
    <mergeCell ref="K2366:S2370"/>
    <mergeCell ref="K2373:S2377"/>
    <mergeCell ref="K2380:S2384"/>
    <mergeCell ref="K2387:S2392"/>
    <mergeCell ref="K2332:S2335"/>
    <mergeCell ref="K2338:S2342"/>
    <mergeCell ref="K2345:S2349"/>
    <mergeCell ref="K2352:S2356"/>
    <mergeCell ref="K2302:S2305"/>
    <mergeCell ref="K2308:S2311"/>
    <mergeCell ref="K2314:S2317"/>
    <mergeCell ref="K2320:S2323"/>
    <mergeCell ref="K2326:S2329"/>
    <mergeCell ref="K2281:S2282"/>
    <mergeCell ref="K2285:S2288"/>
    <mergeCell ref="K2291:S2293"/>
    <mergeCell ref="K2296:S2299"/>
    <mergeCell ref="K2252:S2256"/>
    <mergeCell ref="K2259:S2264"/>
    <mergeCell ref="K2267:S2271"/>
    <mergeCell ref="K2274:S2278"/>
    <mergeCell ref="K2222:S2226"/>
    <mergeCell ref="K2229:S2234"/>
    <mergeCell ref="K2237:S2241"/>
    <mergeCell ref="K2244:S2249"/>
    <mergeCell ref="K2181:S2191"/>
    <mergeCell ref="K2194:S2198"/>
    <mergeCell ref="K2201:S2205"/>
    <mergeCell ref="K2208:S2211"/>
    <mergeCell ref="K2214:S2219"/>
    <mergeCell ref="K2130:S2141"/>
    <mergeCell ref="K2144:S2156"/>
    <mergeCell ref="K2159:S2178"/>
    <mergeCell ref="K2084:S2089"/>
    <mergeCell ref="K2092:S2098"/>
    <mergeCell ref="K2101:S2127"/>
    <mergeCell ref="K2041:S2057"/>
    <mergeCell ref="K2060:S2064"/>
    <mergeCell ref="K2067:S2070"/>
    <mergeCell ref="K2073:S2081"/>
    <mergeCell ref="K1984:S1997"/>
    <mergeCell ref="K2000:S2015"/>
    <mergeCell ref="K2018:S2038"/>
    <mergeCell ref="K1908:S1926"/>
    <mergeCell ref="K1929:S1943"/>
    <mergeCell ref="K1946:S1958"/>
    <mergeCell ref="K1961:S1969"/>
    <mergeCell ref="K1972:S1981"/>
    <mergeCell ref="K1860:S1871"/>
    <mergeCell ref="K1874:S1887"/>
    <mergeCell ref="K1890:S1905"/>
    <mergeCell ref="K1797:S1813"/>
    <mergeCell ref="K1816:S1834"/>
    <mergeCell ref="K1837:S1857"/>
    <mergeCell ref="K1422:S1434"/>
    <mergeCell ref="K1364:S1376"/>
    <mergeCell ref="K1379:S1388"/>
    <mergeCell ref="K1391:S1403"/>
    <mergeCell ref="K1406:S1419"/>
    <mergeCell ref="K1503:S1524"/>
    <mergeCell ref="K1602:S1615"/>
    <mergeCell ref="K1618:S1638"/>
    <mergeCell ref="K1641:S1658"/>
    <mergeCell ref="K1661:S1683"/>
    <mergeCell ref="K1527:S1548"/>
    <mergeCell ref="K1551:S1573"/>
    <mergeCell ref="K1576:S1599"/>
    <mergeCell ref="K1768:S1787"/>
    <mergeCell ref="K1790:S1794"/>
    <mergeCell ref="K1686:S1703"/>
    <mergeCell ref="K1706:S1724"/>
    <mergeCell ref="K1727:S1744"/>
    <mergeCell ref="K810:S821"/>
    <mergeCell ref="K824:S839"/>
    <mergeCell ref="K842:S856"/>
    <mergeCell ref="K859:S868"/>
    <mergeCell ref="K1296:S1312"/>
    <mergeCell ref="K1315:S1330"/>
    <mergeCell ref="K1333:S1345"/>
    <mergeCell ref="K1348:S1361"/>
    <mergeCell ref="K1245:S1261"/>
    <mergeCell ref="K1264:S1275"/>
    <mergeCell ref="K1278:S1293"/>
    <mergeCell ref="K1142:S1172"/>
    <mergeCell ref="K1175:S1205"/>
    <mergeCell ref="K1208:S1223"/>
    <mergeCell ref="K1226:S1242"/>
    <mergeCell ref="K1:S1"/>
    <mergeCell ref="K53:S60"/>
    <mergeCell ref="K63:S69"/>
    <mergeCell ref="K72:S73"/>
    <mergeCell ref="K35:S42"/>
    <mergeCell ref="K45:S50"/>
    <mergeCell ref="K3:S5"/>
    <mergeCell ref="K8:S12"/>
    <mergeCell ref="K15:S17"/>
    <mergeCell ref="K20:S24"/>
    <mergeCell ref="K27:S32"/>
    <mergeCell ref="K76:S77"/>
    <mergeCell ref="K80:S88"/>
    <mergeCell ref="K91:S100"/>
    <mergeCell ref="K1437:S1457"/>
    <mergeCell ref="K1460:S1482"/>
    <mergeCell ref="K1485:S1500"/>
    <mergeCell ref="K197:S233"/>
    <mergeCell ref="K312:S332"/>
    <mergeCell ref="K335:S351"/>
    <mergeCell ref="K354:S368"/>
    <mergeCell ref="K371:S388"/>
    <mergeCell ref="K236:S262"/>
    <mergeCell ref="K265:S273"/>
    <mergeCell ref="K276:S288"/>
    <mergeCell ref="K291:S309"/>
    <mergeCell ref="K607:S620"/>
    <mergeCell ref="K623:S637"/>
    <mergeCell ref="K640:S694"/>
    <mergeCell ref="K588:S604"/>
    <mergeCell ref="K697:S731"/>
    <mergeCell ref="K734:S761"/>
    <mergeCell ref="K764:S777"/>
    <mergeCell ref="K780:S791"/>
    <mergeCell ref="K391:S431"/>
    <mergeCell ref="K1747:S1765"/>
    <mergeCell ref="K2438:S2442"/>
    <mergeCell ref="K2445:S2446"/>
    <mergeCell ref="K2449:S2450"/>
    <mergeCell ref="K2453:S2469"/>
    <mergeCell ref="K2472:S2473"/>
    <mergeCell ref="K2476:S2477"/>
    <mergeCell ref="K103:S121"/>
    <mergeCell ref="K124:S134"/>
    <mergeCell ref="K137:S194"/>
    <mergeCell ref="K434:S491"/>
    <mergeCell ref="K494:S534"/>
    <mergeCell ref="K537:S567"/>
    <mergeCell ref="K570:S585"/>
    <mergeCell ref="K946:S999"/>
    <mergeCell ref="K1002:S1038"/>
    <mergeCell ref="K1041:S1071"/>
    <mergeCell ref="K1074:S1084"/>
    <mergeCell ref="K1087:S1139"/>
    <mergeCell ref="K794:S807"/>
    <mergeCell ref="K871:S887"/>
    <mergeCell ref="K890:S906"/>
    <mergeCell ref="K909:S925"/>
    <mergeCell ref="K928:S943"/>
    <mergeCell ref="K2480:S2481"/>
    <mergeCell ref="K2484:S2485"/>
    <mergeCell ref="K2488:S2489"/>
    <mergeCell ref="K2492:S2493"/>
    <mergeCell ref="K2496:S2497"/>
    <mergeCell ref="K2500:S2501"/>
    <mergeCell ref="K2504:S2504"/>
    <mergeCell ref="K2507:S2507"/>
    <mergeCell ref="K2510:S2510"/>
    <mergeCell ref="K2540:S2540"/>
    <mergeCell ref="K2543:S2543"/>
    <mergeCell ref="K2546:S2546"/>
    <mergeCell ref="K2549:S2549"/>
    <mergeCell ref="K2552:S2554"/>
    <mergeCell ref="K2513:S2513"/>
    <mergeCell ref="K2516:S2516"/>
    <mergeCell ref="K2519:S2519"/>
    <mergeCell ref="K2522:S2522"/>
    <mergeCell ref="K2525:S2525"/>
    <mergeCell ref="K2528:S2528"/>
    <mergeCell ref="K2531:S2531"/>
    <mergeCell ref="K2534:S2534"/>
    <mergeCell ref="K2537:S2537"/>
  </mergeCells>
  <conditionalFormatting sqref="I3">
    <cfRule type="cellIs" dxfId="68" priority="19" operator="equal">
      <formula>"ECO+NFS"</formula>
    </cfRule>
    <cfRule type="cellIs" dxfId="67" priority="20" operator="equal">
      <formula>"ECO-N2Mnf"</formula>
    </cfRule>
    <cfRule type="cellIs" dxfId="66" priority="21" operator="equal">
      <formula>"Inactive"</formula>
    </cfRule>
    <cfRule type="cellIs" dxfId="65" priority="22" operator="equal">
      <formula>"Phase Out"</formula>
    </cfRule>
    <cfRule type="cellIs" dxfId="64" priority="23" operator="equal">
      <formula>"ECO-N2Buy"</formula>
    </cfRule>
    <cfRule type="cellIs" dxfId="63" priority="24" operator="equal">
      <formula>"Not for purc"</formula>
    </cfRule>
  </conditionalFormatting>
  <conditionalFormatting sqref="I2552:I2554 I2549 I2546 I2543 I2540 I2537 I2534 I2531 I2528 I2525 I2522 I2519 I2516 I2513 I2510 I2507 I2504 I2500:I2501 I2496:I2497 I2492:I2493 I2488:I2489 I2484:I2485 I2480:I2481 I2476:I2477 I2472:I2473 I2453:I2469 I2449:I2450 I2445:I2446 I2438:I2442 I2432:I2435 I2426:I2429 I2419:I2423 I2412:I2416 I2405:I2409 I2398:I2402 I2395 I2387:I2392 I2380:I2384 I2373:I2377 I2366:I2370 I2359:I2363 I2352:I2356 I2345:I2349 I2338:I2342 I2332:I2335 I2326:I2329 I2320:I2323 I2314:I2317 I2308:I2311 I2302:I2305 I2296:I2299 I2291:I2293 I2285:I2288 I2281:I2282 I2274:I2278 I2267:I2271 I2259:I2264 I2252:I2256 I2244:I2249 I2237:I2241 I2229:I2234 I2222:I2226 I2214:I2219 I2208:I2211 I2201:I2205 I2194:I2198 I2181:I2191 I2159:I2178 I2144:I2156 I2130:I2141 I2101:I2127 I2092:I2098 I2084:I2089 I2073:I2081 I2067:I2070 I2060:I2064 I2041:I2057 I2018:I2038 I2000:I2015 I1984:I1997 I1972:I1981 I1961:I1969 I1946:I1958 I1929:I1943 I1908:I1926 I1890:I1905 I1874:I1887 I1860:I1871 I1837:I1857 I1816:I1834 I1797:I1813 I1790:I1794 I1768:I1787 I1747:I1765 I1727:I1744 I1706:I1724 I1686:I1703 I1661:I1683 I1641:I1658 I1618:I1638 I1602:I1615 I1576:I1599 I1551:I1573 I1527:I1548 I1503:I1524 I1485:I1500 I1460:I1482 I1437:I1457 I1422:I1434 I1406:I1419 I1391:I1403 I1379:I1388 I1364:I1376 I1348:I1361 I1333:I1345 I1315:I1330 I1296:I1312 I1278:I1293 I1264:I1275 I1245:I1261 I1226:I1242 I1208:I1223 I1175:I1205 I1142:I1172 I1087:I1139 I1074:I1084 I1041:I1071 I1002:I1038 I946:I999 I928:I943 I909:I925 I890:I906 I871:I887 I859:I868 I842:I856 I824:I839 I810:I821 I794:I807 I780:I791 I764:I777 I734:I761 I697:I731 I640:I694 I623:I637 I607:I620 I588:I604 I570:I585 I537:I567 I494:I534 I434:I491 I391:I431 I371:I388 I354:I368 I335:I351 I312:I332 I291:I309 I276:I288 I265:I273 I236:I262 I197:I233 I137:I194 I124:I134 I103:I121 I91:I100 I80:I88 I76:I77 I72:I73 I63:I69 I53:I60 I45:I50 I35:I42 I27:I32 I20:I24 I15:I17 I8:I12 I4:I5">
    <cfRule type="cellIs" dxfId="62" priority="1" operator="equal">
      <formula>"ECO+NFS"</formula>
    </cfRule>
    <cfRule type="cellIs" dxfId="61" priority="2" operator="equal">
      <formula>"ECO-N2Mnf"</formula>
    </cfRule>
    <cfRule type="cellIs" dxfId="60" priority="3" operator="equal">
      <formula>"Inactive"</formula>
    </cfRule>
    <cfRule type="cellIs" dxfId="59" priority="4" operator="equal">
      <formula>"Phase Out"</formula>
    </cfRule>
    <cfRule type="cellIs" dxfId="58" priority="5" operator="equal">
      <formula>"ECO-N2Buy"</formula>
    </cfRule>
    <cfRule type="cellIs" dxfId="57" priority="6" operator="equal">
      <formula>"Not for purc"</formula>
    </cfRule>
  </conditionalFormatting>
  <conditionalFormatting sqref="I13">
    <cfRule type="cellIs" dxfId="56" priority="7" operator="equal">
      <formula>"ECO+NFS"</formula>
    </cfRule>
    <cfRule type="cellIs" dxfId="55" priority="8" operator="equal">
      <formula>"ECO-N2Mnf"</formula>
    </cfRule>
    <cfRule type="cellIs" dxfId="54" priority="9" operator="equal">
      <formula>"Inactive"</formula>
    </cfRule>
    <cfRule type="cellIs" dxfId="53" priority="10" operator="equal">
      <formula>"Phase Out"</formula>
    </cfRule>
    <cfRule type="cellIs" dxfId="52" priority="11" operator="equal">
      <formula>"ECO-N2Buy"</formula>
    </cfRule>
    <cfRule type="cellIs" dxfId="51" priority="12" operator="equal">
      <formula>"Not for purc"</formula>
    </cfRule>
  </conditionalFormatting>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sheetPr codeName="Sheet14">
    <tabColor theme="9" tint="-0.249977111117893"/>
  </sheetPr>
  <dimension ref="A1:D156"/>
  <sheetViews>
    <sheetView workbookViewId="0">
      <pane ySplit="1" topLeftCell="A136" activePane="bottomLeft" state="frozen"/>
      <selection pane="bottomLeft" activeCell="C117" sqref="C117"/>
    </sheetView>
  </sheetViews>
  <sheetFormatPr baseColWidth="10" defaultColWidth="9" defaultRowHeight="18" customHeight="1"/>
  <cols>
    <col min="1" max="1" width="15.625" bestFit="1" customWidth="1"/>
    <col min="2" max="2" width="44.25" bestFit="1" customWidth="1"/>
    <col min="4" max="4" width="8.875" style="33"/>
  </cols>
  <sheetData>
    <row r="1" spans="1:4" ht="18" customHeight="1">
      <c r="A1" s="21" t="str">
        <f>"Part Number"</f>
        <v>Part Number</v>
      </c>
      <c r="B1" s="21" t="str">
        <f>"Engineering Text"</f>
        <v>Engineering Text</v>
      </c>
      <c r="C1" s="21" t="str">
        <f>"Status"</f>
        <v>Status</v>
      </c>
      <c r="D1" s="32" t="s">
        <v>8</v>
      </c>
    </row>
    <row r="2" spans="1:4" ht="18" customHeight="1">
      <c r="A2" t="str">
        <f>"77-3001-0000ES"</f>
        <v>77-3001-0000ES</v>
      </c>
      <c r="B2" t="str">
        <f>"LM7 Content, ES, Vir, Auto Welding w/ER4U"</f>
        <v>LM7 Content, ES, Vir, Auto Welding w/ER4U</v>
      </c>
      <c r="C2" t="str">
        <f>"Active"</f>
        <v>Active</v>
      </c>
      <c r="D2" s="33">
        <v>2995</v>
      </c>
    </row>
    <row r="3" spans="1:4" ht="18" customHeight="1">
      <c r="A3" t="str">
        <f>"77-3004-0002ES"</f>
        <v>77-3004-0002ES</v>
      </c>
      <c r="B3" t="str">
        <f>"LM7 Content, ES, Vir, spectraCAD Engraving (M)"</f>
        <v>LM7 Content, ES, Vir, spectraCAD Engraving (M)</v>
      </c>
      <c r="C3" t="str">
        <f>"Active"</f>
        <v>Active</v>
      </c>
      <c r="D3" s="33">
        <v>2995</v>
      </c>
    </row>
    <row r="4" spans="1:4" ht="18" customHeight="1">
      <c r="A4" t="str">
        <f>"77-3004-0002PT"</f>
        <v>77-3004-0002PT</v>
      </c>
      <c r="B4" t="str">
        <f>"LM7 Content, PT, Vir, spectraCAD Engraving (M)"</f>
        <v>LM7 Content, PT, Vir, spectraCAD Engraving (M)</v>
      </c>
      <c r="C4" t="str">
        <f>"New"</f>
        <v>New</v>
      </c>
      <c r="D4" s="33">
        <v>2995</v>
      </c>
    </row>
    <row r="5" spans="1:4" ht="18" customHeight="1">
      <c r="A5" t="str">
        <f>"77-3005-0002ES"</f>
        <v>77-3005-0002ES</v>
      </c>
      <c r="B5" t="str">
        <f>"LM7 Content, ES, Vir, spectraCAM Milling (M)"</f>
        <v>LM7 Content, ES, Vir, spectraCAM Milling (M)</v>
      </c>
      <c r="C5" t="str">
        <f>"Active"</f>
        <v>Active</v>
      </c>
      <c r="D5" s="33">
        <v>2995</v>
      </c>
    </row>
    <row r="6" spans="1:4" ht="18" customHeight="1">
      <c r="A6" t="str">
        <f>"77-3005-0002PT"</f>
        <v>77-3005-0002PT</v>
      </c>
      <c r="B6" t="str">
        <f>"LM7 Content, PT, Vir, spectraCAM Milling (M)"</f>
        <v>LM7 Content, PT, Vir, spectraCAM Milling (M)</v>
      </c>
      <c r="C6" t="str">
        <f>"New"</f>
        <v>New</v>
      </c>
      <c r="D6" s="33">
        <v>2995</v>
      </c>
    </row>
    <row r="7" spans="1:4" ht="18" customHeight="1">
      <c r="A7" t="str">
        <f>"77-3007-0002ES"</f>
        <v>77-3007-0002ES</v>
      </c>
      <c r="B7" t="str">
        <f>"LM7 Content, ES, Vir, spectraCAM Turning (M)"</f>
        <v>LM7 Content, ES, Vir, spectraCAM Turning (M)</v>
      </c>
      <c r="C7" t="str">
        <f>"Active"</f>
        <v>Active</v>
      </c>
      <c r="D7" s="33">
        <v>2995</v>
      </c>
    </row>
    <row r="8" spans="1:4" ht="18" customHeight="1">
      <c r="A8" t="str">
        <f>"77-3007-0002PT"</f>
        <v>77-3007-0002PT</v>
      </c>
      <c r="B8" t="str">
        <f>"LM7 Content, PT, Vir, spectraCAM Turning (M)"</f>
        <v>LM7 Content, PT, Vir, spectraCAM Turning (M)</v>
      </c>
      <c r="C8" t="str">
        <f>"New"</f>
        <v>New</v>
      </c>
      <c r="D8" s="33">
        <v>2995</v>
      </c>
    </row>
    <row r="9" spans="1:4" ht="18" customHeight="1">
      <c r="A9" t="str">
        <f>"77-3012-0002ES"</f>
        <v>77-3012-0002ES</v>
      </c>
      <c r="B9" t="str">
        <f>"LM7 Content, ES, Vir, CNC Turning w/PLT (M)"</f>
        <v>LM7 Content, ES, Vir, CNC Turning w/PLT (M)</v>
      </c>
      <c r="C9" t="str">
        <f t="shared" ref="C9:C71" si="0">"Active"</f>
        <v>Active</v>
      </c>
      <c r="D9" s="33">
        <v>2995</v>
      </c>
    </row>
    <row r="10" spans="1:4" ht="18" customHeight="1">
      <c r="A10" t="str">
        <f>"77-3015-0000ES"</f>
        <v>77-3015-0000ES</v>
      </c>
      <c r="B10" t="str">
        <f>"LM7 Content, ES, Vir, CIM1"</f>
        <v>LM7 Content, ES, Vir, CIM1</v>
      </c>
      <c r="C10" t="str">
        <f t="shared" si="0"/>
        <v>Active</v>
      </c>
      <c r="D10" s="33">
        <v>2995</v>
      </c>
    </row>
    <row r="11" spans="1:4" ht="18" customHeight="1">
      <c r="A11" t="str">
        <f>"77-3016-0000ES"</f>
        <v>77-3016-0000ES</v>
      </c>
      <c r="B11" t="str">
        <f>"LM7 Content, ES, Vir, CIM 2"</f>
        <v>LM7 Content, ES, Vir, CIM 2</v>
      </c>
      <c r="C11" t="str">
        <f t="shared" si="0"/>
        <v>Active</v>
      </c>
      <c r="D11" s="33">
        <v>2495</v>
      </c>
    </row>
    <row r="12" spans="1:4" ht="18" customHeight="1">
      <c r="A12" t="str">
        <f>"77-3019-0000ES"</f>
        <v>77-3019-0000ES</v>
      </c>
      <c r="B12" t="str">
        <f>"LM7 Content, ES, Vir,Fundamentals of Electronics"</f>
        <v>LM7 Content, ES, Vir,Fundamentals of Electronics</v>
      </c>
      <c r="C12" t="str">
        <f t="shared" si="0"/>
        <v>Active</v>
      </c>
      <c r="D12" s="33">
        <v>2995</v>
      </c>
    </row>
    <row r="13" spans="1:4" ht="18" customHeight="1">
      <c r="A13" t="str">
        <f>"77-3019-0000PT"</f>
        <v>77-3019-0000PT</v>
      </c>
      <c r="B13" t="str">
        <f>"LM7 Content, PT, Vir,Fundamentals of Electronics"</f>
        <v>LM7 Content, PT, Vir,Fundamentals of Electronics</v>
      </c>
      <c r="C13" t="str">
        <f t="shared" si="0"/>
        <v>Active</v>
      </c>
      <c r="D13" s="33">
        <v>2995</v>
      </c>
    </row>
    <row r="14" spans="1:4" ht="18" customHeight="1">
      <c r="A14" t="str">
        <f>"77-3020-0000ES"</f>
        <v>77-3020-0000ES</v>
      </c>
      <c r="B14" t="str">
        <f>"LM7 Content, ES, Vir, Advanced Electronics"</f>
        <v>LM7 Content, ES, Vir, Advanced Electronics</v>
      </c>
      <c r="C14" t="str">
        <f t="shared" si="0"/>
        <v>Active</v>
      </c>
      <c r="D14" s="33">
        <v>2995</v>
      </c>
    </row>
    <row r="15" spans="1:4" ht="18" customHeight="1">
      <c r="A15" t="str">
        <f>"77-3020-0000PT"</f>
        <v>77-3020-0000PT</v>
      </c>
      <c r="B15" t="str">
        <f>"LM7 Content, PT, Vir, Advanced Electronics"</f>
        <v>LM7 Content, PT, Vir, Advanced Electronics</v>
      </c>
      <c r="C15" t="str">
        <f t="shared" si="0"/>
        <v>Active</v>
      </c>
      <c r="D15" s="33">
        <v>2995</v>
      </c>
    </row>
    <row r="16" spans="1:4" ht="18" customHeight="1">
      <c r="A16" t="str">
        <f>"77-3022-0000ES"</f>
        <v>77-3022-0000ES</v>
      </c>
      <c r="B16" t="str">
        <f>"LM7 Content, ES, Vir, Flexible Manufacturing Sys"</f>
        <v>LM7 Content, ES, Vir, Flexible Manufacturing Sys</v>
      </c>
      <c r="C16" t="str">
        <f t="shared" si="0"/>
        <v>Active</v>
      </c>
      <c r="D16" s="33">
        <v>2995</v>
      </c>
    </row>
    <row r="17" spans="1:4" ht="18" customHeight="1">
      <c r="A17" t="str">
        <f>"77-3025-0000ES"</f>
        <v>77-3025-0000ES</v>
      </c>
      <c r="B17" t="str">
        <f>"LM7 Content, ES, Vir, Hydraulics 2"</f>
        <v>LM7 Content, ES, Vir, Hydraulics 2</v>
      </c>
      <c r="C17" t="str">
        <f t="shared" si="0"/>
        <v>Active</v>
      </c>
      <c r="D17" s="33">
        <v>700</v>
      </c>
    </row>
    <row r="18" spans="1:4" ht="18" customHeight="1">
      <c r="A18" t="str">
        <f>"77-3025-0000PT"</f>
        <v>77-3025-0000PT</v>
      </c>
      <c r="B18" t="str">
        <f>"LM7 Content, PT, Vir, Hydraulics 2"</f>
        <v>LM7 Content, PT, Vir, Hydraulics 2</v>
      </c>
      <c r="C18" t="str">
        <f t="shared" si="0"/>
        <v>Active</v>
      </c>
      <c r="D18" s="33">
        <v>2495</v>
      </c>
    </row>
    <row r="19" spans="1:4" ht="18" customHeight="1">
      <c r="A19" t="str">
        <f>"77-3026-0000ES"</f>
        <v>77-3026-0000ES</v>
      </c>
      <c r="B19" t="str">
        <f>"LM7 Content, ES, Vir, Adv. Electro-hydraulics 3"</f>
        <v>LM7 Content, ES, Vir, Adv. Electro-hydraulics 3</v>
      </c>
      <c r="C19" t="str">
        <f t="shared" si="0"/>
        <v>Active</v>
      </c>
      <c r="D19" s="33">
        <v>700</v>
      </c>
    </row>
    <row r="20" spans="1:4" ht="18" customHeight="1">
      <c r="A20" t="str">
        <f>"77-3027-0000ES"</f>
        <v>77-3027-0000ES</v>
      </c>
      <c r="B20" t="str">
        <f>"LM7 Content, ES, Vir, Vision &amp; Image Process"</f>
        <v>LM7 Content, ES, Vir, Vision &amp; Image Process</v>
      </c>
      <c r="C20" t="str">
        <f t="shared" si="0"/>
        <v>Active</v>
      </c>
      <c r="D20" s="33">
        <v>2995</v>
      </c>
    </row>
    <row r="21" spans="1:4" ht="18" customHeight="1">
      <c r="A21" t="str">
        <f>"77-3028-0000ES"</f>
        <v>77-3028-0000ES</v>
      </c>
      <c r="B21" t="str">
        <f>"LM7 Content,ES, Vir, Exploring Vision &amp; QC"</f>
        <v>LM7 Content,ES, Vir, Exploring Vision &amp; QC</v>
      </c>
      <c r="C21" t="str">
        <f t="shared" si="0"/>
        <v>Active</v>
      </c>
      <c r="D21" s="34">
        <v>0</v>
      </c>
    </row>
    <row r="22" spans="1:4" ht="18" customHeight="1">
      <c r="A22" t="str">
        <f>"77-3029-0000ES"</f>
        <v>77-3029-0000ES</v>
      </c>
      <c r="B22" t="str">
        <f>"LM7 Content, ES, Vir, Materials Testing"</f>
        <v>LM7 Content, ES, Vir, Materials Testing</v>
      </c>
      <c r="C22" t="str">
        <f t="shared" si="0"/>
        <v>Active</v>
      </c>
      <c r="D22" s="33">
        <v>2995</v>
      </c>
    </row>
    <row r="23" spans="1:4" ht="18" customHeight="1">
      <c r="A23" t="str">
        <f>"77-3032-0000ES"</f>
        <v>77-3032-0000ES</v>
      </c>
      <c r="B23" t="str">
        <f>"LM7 Content, ES, Lab/Vir, PLC Technology 1"</f>
        <v>LM7 Content, ES, Lab/Vir, PLC Technology 1</v>
      </c>
      <c r="C23" t="str">
        <f t="shared" si="0"/>
        <v>Active</v>
      </c>
      <c r="D23" s="33">
        <v>2495</v>
      </c>
    </row>
    <row r="24" spans="1:4" ht="18" customHeight="1">
      <c r="A24" t="str">
        <f>"77-3032-0000PT"</f>
        <v>77-3032-0000PT</v>
      </c>
      <c r="B24" t="str">
        <f>"LM7 Content, PT, Lab/Vir, PLC Technology 1"</f>
        <v>LM7 Content, PT, Lab/Vir, PLC Technology 1</v>
      </c>
      <c r="C24" t="str">
        <f t="shared" si="0"/>
        <v>Active</v>
      </c>
      <c r="D24" s="33">
        <v>2495</v>
      </c>
    </row>
    <row r="25" spans="1:4" ht="18" customHeight="1">
      <c r="A25" t="str">
        <f>"77-3033-0000ES"</f>
        <v>77-3033-0000ES</v>
      </c>
      <c r="B25" t="str">
        <f>"LM7 Content, ES, Lab/Vir, PLC Technology 2"</f>
        <v>LM7 Content, ES, Lab/Vir, PLC Technology 2</v>
      </c>
      <c r="C25" t="str">
        <f t="shared" si="0"/>
        <v>Active</v>
      </c>
      <c r="D25" s="33">
        <v>2495</v>
      </c>
    </row>
    <row r="26" spans="1:4" ht="18" customHeight="1">
      <c r="A26" t="str">
        <f>"77-3033-0000PT"</f>
        <v>77-3033-0000PT</v>
      </c>
      <c r="B26" t="str">
        <f>"LM7 Content, PT, Lab/Vir, PLC Technology 2"</f>
        <v>LM7 Content, PT, Lab/Vir, PLC Technology 2</v>
      </c>
      <c r="C26" t="str">
        <f t="shared" si="0"/>
        <v>Active</v>
      </c>
      <c r="D26" s="33">
        <v>2495</v>
      </c>
    </row>
    <row r="27" spans="1:4" ht="18" customHeight="1">
      <c r="A27" t="str">
        <f>"77-3034-0000PT"</f>
        <v>77-3034-0000PT</v>
      </c>
      <c r="B27" t="str">
        <f>"LM7 Content, PT, Vir, PLC Technology 3"</f>
        <v>LM7 Content, PT, Vir, PLC Technology 3</v>
      </c>
      <c r="C27" t="str">
        <f t="shared" si="0"/>
        <v>Active</v>
      </c>
      <c r="D27" s="33">
        <v>2495</v>
      </c>
    </row>
    <row r="28" spans="1:4" ht="18" customHeight="1">
      <c r="A28" t="str">
        <f>"77-3035-0000PT"</f>
        <v>77-3035-0000PT</v>
      </c>
      <c r="B28" t="str">
        <f>"LM7 Content, PT, Vir, PLC Technology 4"</f>
        <v>LM7 Content, PT, Vir, PLC Technology 4</v>
      </c>
      <c r="C28" t="str">
        <f t="shared" si="0"/>
        <v>Active</v>
      </c>
      <c r="D28" s="33">
        <v>2495</v>
      </c>
    </row>
    <row r="29" spans="1:4" ht="18" customHeight="1">
      <c r="A29" t="str">
        <f>"77-3039-0000ES"</f>
        <v>77-3039-0000ES</v>
      </c>
      <c r="B29" t="str">
        <f>"LM7 Content, ES, Vir, Electro Pneumatics 3"</f>
        <v>LM7 Content, ES, Vir, Electro Pneumatics 3</v>
      </c>
      <c r="C29" t="str">
        <f t="shared" si="0"/>
        <v>Active</v>
      </c>
      <c r="D29" s="33">
        <v>2495</v>
      </c>
    </row>
    <row r="30" spans="1:4" ht="18" customHeight="1">
      <c r="A30" t="str">
        <f>"77-3039-0000PT"</f>
        <v>77-3039-0000PT</v>
      </c>
      <c r="B30" t="str">
        <f>"LM7 Content, PT, Vir, Electro Pneumatics 3"</f>
        <v>LM7 Content, PT, Vir, Electro Pneumatics 3</v>
      </c>
      <c r="C30" t="str">
        <f t="shared" si="0"/>
        <v>Active</v>
      </c>
      <c r="D30" s="33">
        <v>2495</v>
      </c>
    </row>
    <row r="31" spans="1:4" ht="18" customHeight="1">
      <c r="A31" t="str">
        <f>"77-3040-0000ES"</f>
        <v>77-3040-0000ES</v>
      </c>
      <c r="B31" t="str">
        <f>"LM7 Content, ES, Vir, Adv.&amp;Electro Pneumatics 4"</f>
        <v>LM7 Content, ES, Vir, Adv.&amp;Electro Pneumatics 4</v>
      </c>
      <c r="C31" t="str">
        <f t="shared" si="0"/>
        <v>Active</v>
      </c>
      <c r="D31" s="33">
        <v>2495</v>
      </c>
    </row>
    <row r="32" spans="1:4" ht="18" customHeight="1">
      <c r="A32" t="str">
        <f>"77-3043-0002ES"</f>
        <v>77-3043-0002ES</v>
      </c>
      <c r="B32" t="str">
        <f>"LM7 Content, ES, Vir, Process Control, Flow"</f>
        <v>LM7 Content, ES, Vir, Process Control, Flow</v>
      </c>
      <c r="C32" t="str">
        <f t="shared" si="0"/>
        <v>Active</v>
      </c>
      <c r="D32" s="33">
        <v>2995</v>
      </c>
    </row>
    <row r="33" spans="1:4" ht="18" customHeight="1">
      <c r="A33" t="str">
        <f>"77-3044-0002ES"</f>
        <v>77-3044-0002ES</v>
      </c>
      <c r="B33" t="str">
        <f>"LM7 Content, ES, Vir, Process Cntrl, Pressure"</f>
        <v>LM7 Content, ES, Vir, Process Cntrl, Pressure</v>
      </c>
      <c r="C33" t="str">
        <f t="shared" si="0"/>
        <v>Active</v>
      </c>
      <c r="D33" s="33">
        <v>2995</v>
      </c>
    </row>
    <row r="34" spans="1:4" ht="18" customHeight="1">
      <c r="A34" t="str">
        <f>"77-3047-0000ES"</f>
        <v>77-3047-0000ES</v>
      </c>
      <c r="B34" t="str">
        <f>"LM7 Content, ES, Vir, Fundamentals w/ER9"</f>
        <v>LM7 Content, ES, Vir, Fundamentals w/ER9</v>
      </c>
      <c r="C34" t="str">
        <f t="shared" si="0"/>
        <v>Active</v>
      </c>
      <c r="D34" s="33">
        <v>2995</v>
      </c>
    </row>
    <row r="35" spans="1:4" ht="18" customHeight="1">
      <c r="A35" t="str">
        <f>"77-3049-0000ES"</f>
        <v>77-3049-0000ES</v>
      </c>
      <c r="B35" t="str">
        <f>"LM7 Content, ES, Vir, Advanced w/ER9"</f>
        <v>LM7 Content, ES, Vir, Advanced w/ER9</v>
      </c>
      <c r="C35" t="str">
        <f t="shared" si="0"/>
        <v>Active</v>
      </c>
      <c r="D35" s="33">
        <v>2495</v>
      </c>
    </row>
    <row r="36" spans="1:4" ht="18" customHeight="1">
      <c r="A36" t="str">
        <f>"77-3051-0000PT"</f>
        <v>77-3051-0000PT</v>
      </c>
      <c r="B36" t="str">
        <f>"LM7 Content, PT, Vir, Automatic ID Systems"</f>
        <v>LM7 Content, PT, Vir, Automatic ID Systems</v>
      </c>
      <c r="C36" t="str">
        <f t="shared" si="0"/>
        <v>Active</v>
      </c>
      <c r="D36" s="33">
        <v>2495</v>
      </c>
    </row>
    <row r="37" spans="1:4" ht="18" customHeight="1">
      <c r="A37" t="str">
        <f>"77-3096-0000ES"</f>
        <v>77-3096-0000ES</v>
      </c>
      <c r="B37" t="str">
        <f>"LM7 Content, ES, Vir, Intro to Advanced Mfg"</f>
        <v>LM7 Content, ES, Vir, Intro to Advanced Mfg</v>
      </c>
      <c r="C37" t="str">
        <f t="shared" si="0"/>
        <v>Active</v>
      </c>
      <c r="D37" s="33">
        <v>2495</v>
      </c>
    </row>
    <row r="38" spans="1:4" ht="18" customHeight="1">
      <c r="A38" t="str">
        <f>"77-3099-0000ES"</f>
        <v>77-3099-0000ES</v>
      </c>
      <c r="B38" t="str">
        <f>"LM7 Content, ES, Vir, Rapid Prototyping"</f>
        <v>LM7 Content, ES, Vir, Rapid Prototyping</v>
      </c>
      <c r="C38" t="str">
        <f t="shared" si="0"/>
        <v>Active</v>
      </c>
      <c r="D38" s="33">
        <v>2495</v>
      </c>
    </row>
    <row r="39" spans="1:4" ht="18" customHeight="1">
      <c r="A39" t="str">
        <f>"77-3101-0002ES"</f>
        <v>77-3101-0002ES</v>
      </c>
      <c r="B39" t="str">
        <f>"LM7 Content, ES, Vir, Intro to Greenhouse Agri"</f>
        <v>LM7 Content, ES, Vir, Intro to Greenhouse Agri</v>
      </c>
      <c r="C39" t="str">
        <f t="shared" si="0"/>
        <v>Active</v>
      </c>
      <c r="D39" s="33">
        <v>2495</v>
      </c>
    </row>
    <row r="40" spans="1:4" ht="18" customHeight="1">
      <c r="A40" t="str">
        <f>"77-3102-0002ES"</f>
        <v>77-3102-0002ES</v>
      </c>
      <c r="B40" t="str">
        <f>"LM7 Content, ES, Vir, Soil in Agriculture"</f>
        <v>LM7 Content, ES, Vir, Soil in Agriculture</v>
      </c>
      <c r="C40" t="str">
        <f t="shared" si="0"/>
        <v>Active</v>
      </c>
      <c r="D40" s="33">
        <v>2495</v>
      </c>
    </row>
    <row r="41" spans="1:4" ht="18" customHeight="1">
      <c r="A41" t="str">
        <f>"77-3103-0002ES"</f>
        <v>77-3103-0002ES</v>
      </c>
      <c r="B41" t="str">
        <f>"LM7 Content, ES, Vir, Intro to Irrigation"</f>
        <v>LM7 Content, ES, Vir, Intro to Irrigation</v>
      </c>
      <c r="C41" t="str">
        <f t="shared" si="0"/>
        <v>Active</v>
      </c>
      <c r="D41" s="33">
        <v>2495</v>
      </c>
    </row>
    <row r="42" spans="1:4" ht="18" customHeight="1">
      <c r="A42" t="str">
        <f>"77-3104-0002ES"</f>
        <v>77-3104-0002ES</v>
      </c>
      <c r="B42" t="str">
        <f>"LM7 Content, ES, Vir, Adv. Irrigation Systems"</f>
        <v>LM7 Content, ES, Vir, Adv. Irrigation Systems</v>
      </c>
      <c r="C42" t="str">
        <f t="shared" si="0"/>
        <v>Active</v>
      </c>
      <c r="D42" s="33">
        <v>2495</v>
      </c>
    </row>
    <row r="43" spans="1:4" ht="18" customHeight="1">
      <c r="A43" t="str">
        <f>"77-3108-0002PT"</f>
        <v>77-3108-0002PT</v>
      </c>
      <c r="B43" t="str">
        <f>"LM7 Content, PT, Vir, Intro to Solidworks"</f>
        <v>LM7 Content, PT, Vir, Intro to Solidworks</v>
      </c>
      <c r="C43" t="str">
        <f t="shared" si="0"/>
        <v>Active</v>
      </c>
      <c r="D43" s="33">
        <v>2495</v>
      </c>
    </row>
    <row r="44" spans="1:4" ht="18" customHeight="1">
      <c r="A44" t="str">
        <f>"77-3112-0002ES"</f>
        <v>77-3112-0002ES</v>
      </c>
      <c r="B44" t="str">
        <f>"LM7 Content, ES, Vir, Fundamentals of Physics"</f>
        <v>LM7 Content, ES, Vir, Fundamentals of Physics</v>
      </c>
      <c r="C44" t="str">
        <f t="shared" si="0"/>
        <v>Active</v>
      </c>
      <c r="D44" s="33">
        <v>2495</v>
      </c>
    </row>
    <row r="45" spans="1:4" ht="18" customHeight="1">
      <c r="A45" t="str">
        <f>"77-3113-0002ES"</f>
        <v>77-3113-0002ES</v>
      </c>
      <c r="B45" t="str">
        <f>"LM7 Content, ES, Vir, Kinematics"</f>
        <v>LM7 Content, ES, Vir, Kinematics</v>
      </c>
      <c r="C45" t="str">
        <f t="shared" si="0"/>
        <v>Active</v>
      </c>
      <c r="D45" s="33">
        <v>2495</v>
      </c>
    </row>
    <row r="46" spans="1:4" ht="18" customHeight="1">
      <c r="A46" t="str">
        <f>"77-3114-0002ES"</f>
        <v>77-3114-0002ES</v>
      </c>
      <c r="B46" t="str">
        <f>"LM7 Content, ES, Vir, Forces"</f>
        <v>LM7 Content, ES, Vir, Forces</v>
      </c>
      <c r="C46" t="str">
        <f t="shared" si="0"/>
        <v>Active</v>
      </c>
      <c r="D46" s="33">
        <v>2495</v>
      </c>
    </row>
    <row r="47" spans="1:4" ht="18" customHeight="1">
      <c r="A47" t="str">
        <f>"77-3115-0002ES"</f>
        <v>77-3115-0002ES</v>
      </c>
      <c r="B47" t="str">
        <f>"LM7 Content, ES, Vir, Momentum and Energy"</f>
        <v>LM7 Content, ES, Vir, Momentum and Energy</v>
      </c>
      <c r="C47" t="str">
        <f t="shared" si="0"/>
        <v>Active</v>
      </c>
      <c r="D47" s="33">
        <v>2495</v>
      </c>
    </row>
    <row r="48" spans="1:4" ht="18" customHeight="1">
      <c r="A48" t="str">
        <f>"77-3116-0002ES"</f>
        <v>77-3116-0002ES</v>
      </c>
      <c r="B48" t="str">
        <f>"LM7 Content, ES, Vir, Electricity"</f>
        <v>LM7 Content, ES, Vir, Electricity</v>
      </c>
      <c r="C48" t="str">
        <f t="shared" si="0"/>
        <v>Active</v>
      </c>
      <c r="D48" s="33">
        <v>2495</v>
      </c>
    </row>
    <row r="49" spans="1:4" ht="18" customHeight="1">
      <c r="A49" t="str">
        <f>"77-3117-0000ES"</f>
        <v>77-3117-0000ES</v>
      </c>
      <c r="B49" t="str">
        <f>"LM7 Content, ES, Vir, Elements and Chemicals"</f>
        <v>LM7 Content, ES, Vir, Elements and Chemicals</v>
      </c>
      <c r="C49" t="str">
        <f t="shared" si="0"/>
        <v>Active</v>
      </c>
      <c r="D49" s="33">
        <v>2495</v>
      </c>
    </row>
    <row r="50" spans="1:4" ht="18" customHeight="1">
      <c r="A50" t="str">
        <f>"77-3118-0000ES"</f>
        <v>77-3118-0000ES</v>
      </c>
      <c r="B50" t="str">
        <f>"LM7 Content, ES, Vir, States of Matter"</f>
        <v>LM7 Content, ES, Vir, States of Matter</v>
      </c>
      <c r="C50" t="str">
        <f t="shared" si="0"/>
        <v>Active</v>
      </c>
      <c r="D50" s="33">
        <v>2495</v>
      </c>
    </row>
    <row r="51" spans="1:4" ht="18" customHeight="1">
      <c r="A51" t="str">
        <f>"77-3119-0000ES"</f>
        <v>77-3119-0000ES</v>
      </c>
      <c r="B51" t="str">
        <f>"LM7 Content, ES, Vir, Chemical Solutions"</f>
        <v>LM7 Content, ES, Vir, Chemical Solutions</v>
      </c>
      <c r="C51" t="str">
        <f t="shared" si="0"/>
        <v>Active</v>
      </c>
      <c r="D51" s="33">
        <v>2495</v>
      </c>
    </row>
    <row r="52" spans="1:4" ht="18" customHeight="1">
      <c r="A52" t="str">
        <f>"77-3120-0000ES"</f>
        <v>77-3120-0000ES</v>
      </c>
      <c r="B52" t="str">
        <f>"LM7 Content, ES, Vir, Chemical Reactions"</f>
        <v>LM7 Content, ES, Vir, Chemical Reactions</v>
      </c>
      <c r="C52" t="str">
        <f t="shared" si="0"/>
        <v>Active</v>
      </c>
      <c r="D52" s="33">
        <v>2495</v>
      </c>
    </row>
    <row r="53" spans="1:4" ht="18" customHeight="1">
      <c r="A53" t="str">
        <f>"77-3121-0000ES"</f>
        <v>77-3121-0000ES</v>
      </c>
      <c r="B53" t="str">
        <f>"LM7 Content, ES, Vir, Chemical Equi. &amp; Stoich."</f>
        <v>LM7 Content, ES, Vir, Chemical Equi. &amp; Stoich.</v>
      </c>
      <c r="C53" t="str">
        <f t="shared" si="0"/>
        <v>Active</v>
      </c>
      <c r="D53" s="33">
        <v>2495</v>
      </c>
    </row>
    <row r="54" spans="1:4" ht="18" customHeight="1">
      <c r="A54" t="str">
        <f>"77-3122-0000ES"</f>
        <v>77-3122-0000ES</v>
      </c>
      <c r="B54" t="str">
        <f>"LM7 Content, ES, Vir, Biodiversity"</f>
        <v>LM7 Content, ES, Vir, Biodiversity</v>
      </c>
      <c r="C54" t="str">
        <f t="shared" si="0"/>
        <v>Active</v>
      </c>
      <c r="D54" s="33">
        <v>2495</v>
      </c>
    </row>
    <row r="55" spans="1:4" ht="18" customHeight="1">
      <c r="A55" t="str">
        <f>"77-3123-0000ES"</f>
        <v>77-3123-0000ES</v>
      </c>
      <c r="B55" t="str">
        <f>"LM7 Content, ES, Vir, Human Body Systems"</f>
        <v>LM7 Content, ES, Vir, Human Body Systems</v>
      </c>
      <c r="C55" t="str">
        <f t="shared" si="0"/>
        <v>Active</v>
      </c>
      <c r="D55" s="33">
        <v>2495</v>
      </c>
    </row>
    <row r="56" spans="1:4" ht="18" customHeight="1">
      <c r="A56" t="str">
        <f>"77-3124-0000ES"</f>
        <v>77-3124-0000ES</v>
      </c>
      <c r="B56" t="str">
        <f>"LM7 Content, ES, Vir, Botany"</f>
        <v>LM7 Content, ES, Vir, Botany</v>
      </c>
      <c r="C56" t="str">
        <f t="shared" si="0"/>
        <v>Active</v>
      </c>
      <c r="D56" s="33">
        <v>2495</v>
      </c>
    </row>
    <row r="57" spans="1:4" ht="18" customHeight="1">
      <c r="A57" t="str">
        <f>"77-3125-0000ES"</f>
        <v>77-3125-0000ES</v>
      </c>
      <c r="B57" t="str">
        <f>"LM7 Content, ES, Vir, Zoology"</f>
        <v>LM7 Content, ES, Vir, Zoology</v>
      </c>
      <c r="C57" t="str">
        <f t="shared" si="0"/>
        <v>Active</v>
      </c>
      <c r="D57" s="33">
        <v>2495</v>
      </c>
    </row>
    <row r="58" spans="1:4" ht="18" customHeight="1">
      <c r="A58" t="str">
        <f>"77-3126-0000ES"</f>
        <v>77-3126-0000ES</v>
      </c>
      <c r="B58" t="str">
        <f>"LM7 Content, ES, Vir, Genetics"</f>
        <v>LM7 Content, ES, Vir, Genetics</v>
      </c>
      <c r="C58" t="str">
        <f t="shared" si="0"/>
        <v>Active</v>
      </c>
      <c r="D58" s="33">
        <v>2495</v>
      </c>
    </row>
    <row r="59" spans="1:4" ht="18" customHeight="1">
      <c r="A59" t="str">
        <f>"77-3127-0000ES"</f>
        <v>77-3127-0000ES</v>
      </c>
      <c r="B59" t="str">
        <f>"LM7 Content, ES, Vir, Electrical Fields"</f>
        <v>LM7 Content, ES, Vir, Electrical Fields</v>
      </c>
      <c r="C59" t="str">
        <f t="shared" si="0"/>
        <v>Active</v>
      </c>
      <c r="D59" s="33">
        <v>2495</v>
      </c>
    </row>
    <row r="60" spans="1:4" ht="18" customHeight="1">
      <c r="A60" t="str">
        <f>"77-3128-0000ES"</f>
        <v>77-3128-0000ES</v>
      </c>
      <c r="B60" t="str">
        <f>"LM7 Content, ES, Vir, Magnetic Fields"</f>
        <v>LM7 Content, ES, Vir, Magnetic Fields</v>
      </c>
      <c r="C60" t="str">
        <f t="shared" si="0"/>
        <v>Active</v>
      </c>
      <c r="D60" s="33">
        <v>2495</v>
      </c>
    </row>
    <row r="61" spans="1:4" ht="18" customHeight="1">
      <c r="A61" t="str">
        <f>"77-3129-0000ES"</f>
        <v>77-3129-0000ES</v>
      </c>
      <c r="B61" t="str">
        <f>"LM7 Content, ES, Vir, Thermochemistry"</f>
        <v>LM7 Content, ES, Vir, Thermochemistry</v>
      </c>
      <c r="C61" t="str">
        <f t="shared" si="0"/>
        <v>Active</v>
      </c>
      <c r="D61" s="33">
        <v>2495</v>
      </c>
    </row>
    <row r="62" spans="1:4" ht="18" customHeight="1">
      <c r="A62" t="str">
        <f>"77-3130-0000ES"</f>
        <v>77-3130-0000ES</v>
      </c>
      <c r="B62" t="str">
        <f>"LM7 Content, ES, Vir, The Cell"</f>
        <v>LM7 Content, ES, Vir, The Cell</v>
      </c>
      <c r="C62" t="str">
        <f t="shared" si="0"/>
        <v>Active</v>
      </c>
      <c r="D62" s="33">
        <v>2495</v>
      </c>
    </row>
    <row r="63" spans="1:4" ht="18" customHeight="1">
      <c r="A63" t="str">
        <f>"77-3131-0000ES"</f>
        <v>77-3131-0000ES</v>
      </c>
      <c r="B63" t="str">
        <f>"LM7 Content, ES, Vir, Cellular Process &amp; Divis"</f>
        <v>LM7 Content, ES, Vir, Cellular Process &amp; Divis</v>
      </c>
      <c r="C63" t="str">
        <f t="shared" si="0"/>
        <v>Active</v>
      </c>
      <c r="D63" s="33">
        <v>2495</v>
      </c>
    </row>
    <row r="64" spans="1:4" ht="18" customHeight="1">
      <c r="A64" t="str">
        <f>"77-3132-0000ES"</f>
        <v>77-3132-0000ES</v>
      </c>
      <c r="B64" t="str">
        <f>"LM7 Content, ES, Vir, Organic Chemistry (1)"</f>
        <v>LM7 Content, ES, Vir, Organic Chemistry (1)</v>
      </c>
      <c r="C64" t="str">
        <f t="shared" si="0"/>
        <v>Active</v>
      </c>
      <c r="D64" s="33">
        <v>2495</v>
      </c>
    </row>
    <row r="65" spans="1:4" ht="18" customHeight="1">
      <c r="A65" t="str">
        <f>"77-3133-0000ES"</f>
        <v>77-3133-0000ES</v>
      </c>
      <c r="B65" t="str">
        <f>"LM7 Content, ES, Vir, Organic Chemistry (2)"</f>
        <v>LM7 Content, ES, Vir, Organic Chemistry (2)</v>
      </c>
      <c r="C65" t="str">
        <f t="shared" si="0"/>
        <v>Active</v>
      </c>
      <c r="D65" s="33">
        <v>2495</v>
      </c>
    </row>
    <row r="66" spans="1:4" ht="18" customHeight="1">
      <c r="A66" t="str">
        <f>"77-3134-0000ES"</f>
        <v>77-3134-0000ES</v>
      </c>
      <c r="B66" t="str">
        <f>"LM7 Content, ES, Vir, Dynamics &amp; Thermodynamic"</f>
        <v>LM7 Content, ES, Vir, Dynamics &amp; Thermodynamic</v>
      </c>
      <c r="C66" t="str">
        <f t="shared" si="0"/>
        <v>Active</v>
      </c>
      <c r="D66" s="33">
        <v>2495</v>
      </c>
    </row>
    <row r="67" spans="1:4" ht="18" customHeight="1">
      <c r="A67" t="str">
        <f>"77-3135-0000ES"</f>
        <v>77-3135-0000ES</v>
      </c>
      <c r="B67" t="str">
        <f>"LM7 Content, ES, Vir, Mathematics - A"</f>
        <v>LM7 Content, ES, Vir, Mathematics - A</v>
      </c>
      <c r="C67" t="str">
        <f t="shared" si="0"/>
        <v>Active</v>
      </c>
      <c r="D67" s="33">
        <v>2495</v>
      </c>
    </row>
    <row r="68" spans="1:4" ht="18" customHeight="1">
      <c r="A68" t="str">
        <f>"77-3136-0000ES"</f>
        <v>77-3136-0000ES</v>
      </c>
      <c r="B68" t="str">
        <f>"LM7 Content, ES, Vir, Mathematics - B"</f>
        <v>LM7 Content, ES, Vir, Mathematics - B</v>
      </c>
      <c r="C68" t="str">
        <f t="shared" si="0"/>
        <v>Active</v>
      </c>
      <c r="D68" s="33">
        <v>2495</v>
      </c>
    </row>
    <row r="69" spans="1:4" ht="18" customHeight="1">
      <c r="A69" t="str">
        <f>"77-3137-0000ES"</f>
        <v>77-3137-0000ES</v>
      </c>
      <c r="B69" t="str">
        <f>"LM7 Content, ES, Vir, Mathematics - C"</f>
        <v>LM7 Content, ES, Vir, Mathematics - C</v>
      </c>
      <c r="C69" t="str">
        <f t="shared" si="0"/>
        <v>Active</v>
      </c>
      <c r="D69" s="33">
        <v>2495</v>
      </c>
    </row>
    <row r="70" spans="1:4" ht="18" customHeight="1">
      <c r="A70" t="str">
        <f>"77-3138-0000ES"</f>
        <v>77-3138-0000ES</v>
      </c>
      <c r="B70" t="str">
        <f>"LM7 Content, ES, Vir, Algebra - A"</f>
        <v>LM7 Content, ES, Vir, Algebra - A</v>
      </c>
      <c r="C70" t="str">
        <f t="shared" si="0"/>
        <v>Active</v>
      </c>
      <c r="D70" s="33">
        <v>2495</v>
      </c>
    </row>
    <row r="71" spans="1:4" ht="18" customHeight="1">
      <c r="A71" t="str">
        <f>"77-3139-0000ES"</f>
        <v>77-3139-0000ES</v>
      </c>
      <c r="B71" t="str">
        <f>"LM7 Content, ES, Vir, Algebra - B"</f>
        <v>LM7 Content, ES, Vir, Algebra - B</v>
      </c>
      <c r="C71" t="str">
        <f t="shared" si="0"/>
        <v>Active</v>
      </c>
      <c r="D71" s="33">
        <v>2495</v>
      </c>
    </row>
    <row r="72" spans="1:4" ht="18" customHeight="1">
      <c r="A72" t="str">
        <f>"77-3140-0002ES"</f>
        <v>77-3140-0002ES</v>
      </c>
      <c r="B72" t="str">
        <f>"LM7 Content,ES,Vir,CNCMilling, BenchMill 6000(M)"</f>
        <v>LM7 Content,ES,Vir,CNCMilling, BenchMill 6000(M)</v>
      </c>
      <c r="C72" t="str">
        <f>"New"</f>
        <v>New</v>
      </c>
      <c r="D72" s="33">
        <v>2995</v>
      </c>
    </row>
    <row r="73" spans="1:4" ht="18" customHeight="1">
      <c r="A73" t="str">
        <f>"77-3140-0002PT"</f>
        <v>77-3140-0002PT</v>
      </c>
      <c r="B73" t="str">
        <f>"LM7 Content, PT, Vir,CNCMilling BenchMill6000(M)"</f>
        <v>LM7 Content, PT, Vir,CNCMilling BenchMill6000(M)</v>
      </c>
      <c r="C73" t="str">
        <f>"New"</f>
        <v>New</v>
      </c>
      <c r="D73" s="33">
        <v>2995</v>
      </c>
    </row>
    <row r="74" spans="1:4" ht="18" customHeight="1">
      <c r="A74" t="str">
        <f>"77-3141-0002ES"</f>
        <v>77-3141-0002ES</v>
      </c>
      <c r="B74" t="str">
        <f>"LM7 Content,ES,Vir,CNCTurning, BenchTurn 7000(M)"</f>
        <v>LM7 Content,ES,Vir,CNCTurning, BenchTurn 7000(M)</v>
      </c>
      <c r="C74" t="str">
        <f>"Active"</f>
        <v>Active</v>
      </c>
      <c r="D74" s="33">
        <v>2995</v>
      </c>
    </row>
    <row r="75" spans="1:4" ht="18" customHeight="1">
      <c r="A75" t="str">
        <f>"77-3141-0002PT"</f>
        <v>77-3141-0002PT</v>
      </c>
      <c r="B75" t="str">
        <f>"LM7 Content, PT, Vir,CNCTurning BenchTurn7000(M)"</f>
        <v>LM7 Content, PT, Vir,CNCTurning BenchTurn7000(M)</v>
      </c>
      <c r="C75" t="str">
        <f>"New"</f>
        <v>New</v>
      </c>
      <c r="D75" s="33">
        <v>2995</v>
      </c>
    </row>
    <row r="76" spans="1:4" ht="18" customHeight="1">
      <c r="A76" s="25" t="str">
        <f>"77-3144-0002PT"</f>
        <v>77-3144-0002PT</v>
      </c>
      <c r="B76" s="25" t="str">
        <f>"LM7 Content, PT, CNC Programming Mill FANUC (M)"</f>
        <v>LM7 Content, PT, CNC Programming Mill FANUC (M)</v>
      </c>
      <c r="C76" s="25" t="str">
        <f>"Inactive"</f>
        <v>Inactive</v>
      </c>
      <c r="D76" s="33">
        <v>2495</v>
      </c>
    </row>
    <row r="77" spans="1:4" ht="18" customHeight="1">
      <c r="A77" t="str">
        <f>"77-3160-0000ES"</f>
        <v>77-3160-0000ES</v>
      </c>
      <c r="B77" t="str">
        <f>"LM7 Content, ES, Vir, Algebra - C"</f>
        <v>LM7 Content, ES, Vir, Algebra - C</v>
      </c>
      <c r="C77" t="str">
        <f t="shared" ref="C77:C87" si="1">"Active"</f>
        <v>Active</v>
      </c>
      <c r="D77" s="33">
        <v>2495</v>
      </c>
    </row>
    <row r="78" spans="1:4" ht="18" customHeight="1">
      <c r="A78" t="str">
        <f>"77-3161-0000ES"</f>
        <v>77-3161-0000ES</v>
      </c>
      <c r="B78" t="str">
        <f>"LM7 Content, ES, Vir, Trigonometry - A"</f>
        <v>LM7 Content, ES, Vir, Trigonometry - A</v>
      </c>
      <c r="C78" t="str">
        <f t="shared" si="1"/>
        <v>Active</v>
      </c>
      <c r="D78" s="33">
        <v>2495</v>
      </c>
    </row>
    <row r="79" spans="1:4" ht="18" customHeight="1">
      <c r="A79" t="str">
        <f>"77-3162-0000ES"</f>
        <v>77-3162-0000ES</v>
      </c>
      <c r="B79" t="str">
        <f>"LM7 Content, ES, Vir, Trigonometry - B"</f>
        <v>LM7 Content, ES, Vir, Trigonometry - B</v>
      </c>
      <c r="C79" t="str">
        <f t="shared" si="1"/>
        <v>Active</v>
      </c>
      <c r="D79" s="33">
        <v>2495</v>
      </c>
    </row>
    <row r="80" spans="1:4" ht="18" customHeight="1">
      <c r="A80" t="str">
        <f>"77-3163-0000ES"</f>
        <v>77-3163-0000ES</v>
      </c>
      <c r="B80" t="str">
        <f>"LM7 Content, ES, Vir, Trigonometry - C"</f>
        <v>LM7 Content, ES, Vir, Trigonometry - C</v>
      </c>
      <c r="C80" t="str">
        <f t="shared" si="1"/>
        <v>Active</v>
      </c>
      <c r="D80" s="33">
        <v>2495</v>
      </c>
    </row>
    <row r="81" spans="1:4" ht="18" customHeight="1">
      <c r="A81" t="str">
        <f>"77-3164-0000ES"</f>
        <v>77-3164-0000ES</v>
      </c>
      <c r="B81" t="str">
        <f>"LM7 Content, ES, Vir, Calculus - A"</f>
        <v>LM7 Content, ES, Vir, Calculus - A</v>
      </c>
      <c r="C81" t="str">
        <f t="shared" si="1"/>
        <v>Active</v>
      </c>
      <c r="D81" s="33">
        <v>2495</v>
      </c>
    </row>
    <row r="82" spans="1:4" ht="18" customHeight="1">
      <c r="A82" t="str">
        <f>"77-3165-0000ES"</f>
        <v>77-3165-0000ES</v>
      </c>
      <c r="B82" t="str">
        <f>"LM7 Content, ES, Vir, Calculus - B"</f>
        <v>LM7 Content, ES, Vir, Calculus - B</v>
      </c>
      <c r="C82" t="str">
        <f t="shared" si="1"/>
        <v>Active</v>
      </c>
      <c r="D82" s="33">
        <v>2495</v>
      </c>
    </row>
    <row r="83" spans="1:4" ht="18" customHeight="1">
      <c r="A83" t="str">
        <f>"77-3166-0000ES"</f>
        <v>77-3166-0000ES</v>
      </c>
      <c r="B83" t="str">
        <f>"LM7 Content, ES, Vir, Calculus - C"</f>
        <v>LM7 Content, ES, Vir, Calculus - C</v>
      </c>
      <c r="C83" t="str">
        <f t="shared" si="1"/>
        <v>Active</v>
      </c>
      <c r="D83" s="33">
        <v>2495</v>
      </c>
    </row>
    <row r="84" spans="1:4" ht="18" customHeight="1">
      <c r="A84" t="str">
        <f>"77-3167-0000ES"</f>
        <v>77-3167-0000ES</v>
      </c>
      <c r="B84" t="str">
        <f>"LM7 Content, ES, Vir, Intro to Technology"</f>
        <v>LM7 Content, ES, Vir, Intro to Technology</v>
      </c>
      <c r="C84" t="str">
        <f t="shared" si="1"/>
        <v>Active</v>
      </c>
      <c r="D84" s="33">
        <v>2495</v>
      </c>
    </row>
    <row r="85" spans="1:4" ht="18" customHeight="1">
      <c r="A85" t="str">
        <f>"77-3168-0000ES"</f>
        <v>77-3168-0000ES</v>
      </c>
      <c r="B85" t="str">
        <f>"LM7 Content, ES, Vir, Cutting Edge Technology"</f>
        <v>LM7 Content, ES, Vir, Cutting Edge Technology</v>
      </c>
      <c r="C85" t="str">
        <f t="shared" si="1"/>
        <v>Active</v>
      </c>
      <c r="D85" s="33">
        <v>2495</v>
      </c>
    </row>
    <row r="86" spans="1:4" ht="18" customHeight="1">
      <c r="A86" t="str">
        <f>"77-3169-0000ES"</f>
        <v>77-3169-0000ES</v>
      </c>
      <c r="B86" t="str">
        <f>"LM7 Content, ES, Vir, Innovat. &amp; Communication"</f>
        <v>LM7 Content, ES, Vir, Innovat. &amp; Communication</v>
      </c>
      <c r="C86" t="str">
        <f t="shared" si="1"/>
        <v>Active</v>
      </c>
      <c r="D86" s="33">
        <v>2495</v>
      </c>
    </row>
    <row r="87" spans="1:4" ht="18" customHeight="1">
      <c r="A87" t="str">
        <f>"77-3170-0000ES"</f>
        <v>77-3170-0000ES</v>
      </c>
      <c r="B87" t="str">
        <f>"LM7 Content, ES, Vir, Mechanics"</f>
        <v>LM7 Content, ES, Vir, Mechanics</v>
      </c>
      <c r="C87" t="str">
        <f t="shared" si="1"/>
        <v>Active</v>
      </c>
      <c r="D87" s="33">
        <v>2495</v>
      </c>
    </row>
    <row r="88" spans="1:4" ht="18" customHeight="1">
      <c r="A88" s="25" t="str">
        <f>"77-3171-0000ES"</f>
        <v>77-3171-0000ES</v>
      </c>
      <c r="B88" s="25" t="str">
        <f>"LM7 Content, ES, Vir, 8.2.1Airflow Around a Body"</f>
        <v>LM7 Content, ES, Vir, 8.2.1Airflow Around a Body</v>
      </c>
      <c r="C88" s="25" t="str">
        <f t="shared" ref="C88:C94" si="2">"Inactive"</f>
        <v>Inactive</v>
      </c>
      <c r="D88" s="33" t="e">
        <v>#N/A</v>
      </c>
    </row>
    <row r="89" spans="1:4" ht="18" customHeight="1">
      <c r="A89" s="25" t="str">
        <f>"77-3172-0000ES"</f>
        <v>77-3172-0000ES</v>
      </c>
      <c r="B89" s="25" t="str">
        <f>"LM7 Content, ES, Vir, 8.2.3 Aerodynamic Terms"</f>
        <v>LM7 Content, ES, Vir, 8.2.3 Aerodynamic Terms</v>
      </c>
      <c r="C89" s="25" t="str">
        <f t="shared" si="2"/>
        <v>Inactive</v>
      </c>
      <c r="D89" s="33" t="e">
        <v>#N/A</v>
      </c>
    </row>
    <row r="90" spans="1:4" ht="18" customHeight="1">
      <c r="A90" s="25" t="str">
        <f>"77-3173-0000ES"</f>
        <v>77-3173-0000ES</v>
      </c>
      <c r="B90" s="25" t="str">
        <f>"LM7 Content, ES, Vir, 8.3.1 Theory of Flight"</f>
        <v>LM7 Content, ES, Vir, 8.3.1 Theory of Flight</v>
      </c>
      <c r="C90" s="25" t="str">
        <f t="shared" si="2"/>
        <v>Inactive</v>
      </c>
      <c r="D90" s="33" t="e">
        <v>#N/A</v>
      </c>
    </row>
    <row r="91" spans="1:4" ht="18" customHeight="1">
      <c r="A91" s="25" t="str">
        <f>"77-3174-0000ES"</f>
        <v>77-3174-0000ES</v>
      </c>
      <c r="B91" s="25" t="str">
        <f>"LM7 Content, ES, Vir, 8.6.1 High Speed Flight"</f>
        <v>LM7 Content, ES, Vir, 8.6.1 High Speed Flight</v>
      </c>
      <c r="C91" s="25" t="str">
        <f t="shared" si="2"/>
        <v>Inactive</v>
      </c>
      <c r="D91" s="33" t="e">
        <v>#N/A</v>
      </c>
    </row>
    <row r="92" spans="1:4" ht="18" customHeight="1">
      <c r="A92" s="25" t="str">
        <f>"77-3175-0000ES"</f>
        <v>77-3175-0000ES</v>
      </c>
      <c r="B92" s="25" t="str">
        <f>"LM7 Content, ES, Vir, 8.6.2 Mach Number"</f>
        <v>LM7 Content, ES, Vir, 8.6.2 Mach Number</v>
      </c>
      <c r="C92" s="25" t="str">
        <f t="shared" si="2"/>
        <v>Inactive</v>
      </c>
      <c r="D92" s="33" t="e">
        <v>#N/A</v>
      </c>
    </row>
    <row r="93" spans="1:4" ht="18" customHeight="1">
      <c r="A93" s="25" t="str">
        <f>"77-3176-0000ES"</f>
        <v>77-3176-0000ES</v>
      </c>
      <c r="B93" s="25" t="str">
        <f>"LM7 Content, ES, Vir,8.7.1RotaryWingAerodynamics"</f>
        <v>LM7 Content, ES, Vir,8.7.1RotaryWingAerodynamics</v>
      </c>
      <c r="C93" s="25" t="str">
        <f t="shared" si="2"/>
        <v>Inactive</v>
      </c>
      <c r="D93" s="33" t="e">
        <v>#N/A</v>
      </c>
    </row>
    <row r="94" spans="1:4" ht="18" customHeight="1">
      <c r="A94" s="25" t="str">
        <f>"77-3177-0000ES"</f>
        <v>77-3177-0000ES</v>
      </c>
      <c r="B94" s="25" t="str">
        <f>"LM7 Content, ES, Vir, 9.10.1 Fuel System Layout"</f>
        <v>LM7 Content, ES, Vir, 9.10.1 Fuel System Layout</v>
      </c>
      <c r="C94" s="25" t="str">
        <f t="shared" si="2"/>
        <v>Inactive</v>
      </c>
      <c r="D94" s="33" t="e">
        <v>#N/A</v>
      </c>
    </row>
    <row r="95" spans="1:4" ht="18" customHeight="1">
      <c r="A95" t="str">
        <f>"77-3178-0000ES"</f>
        <v>77-3178-0000ES</v>
      </c>
      <c r="B95" t="str">
        <f>"LM7 Content, ES, Vir9.11.2PrinciplesOfHydraulics"</f>
        <v>LM7 Content, ES, Vir9.11.2PrinciplesOfHydraulics</v>
      </c>
      <c r="C95" t="str">
        <f t="shared" ref="C95:C111" si="3">"Active"</f>
        <v>Active</v>
      </c>
      <c r="D95" s="33">
        <v>2495</v>
      </c>
    </row>
    <row r="96" spans="1:4" ht="18" customHeight="1">
      <c r="A96" t="str">
        <f>"77-3179-0000ES"</f>
        <v>77-3179-0000ES</v>
      </c>
      <c r="B96" t="str">
        <f>"LM7 Content, ES, Vir, Intro to AviationModules"</f>
        <v>LM7 Content, ES, Vir, Intro to AviationModules</v>
      </c>
      <c r="C96" t="str">
        <f t="shared" si="3"/>
        <v>Active</v>
      </c>
      <c r="D96" s="33">
        <v>2495</v>
      </c>
    </row>
    <row r="97" spans="1:4" ht="18" customHeight="1">
      <c r="A97" t="str">
        <f>"77-3201-0000ES"</f>
        <v>77-3201-0000ES</v>
      </c>
      <c r="B97" t="str">
        <f>"LM7 Content, ES, Vir, Business Planner"</f>
        <v>LM7 Content, ES, Vir, Business Planner</v>
      </c>
      <c r="C97" t="str">
        <f t="shared" si="3"/>
        <v>Active</v>
      </c>
      <c r="D97" s="33">
        <v>2495</v>
      </c>
    </row>
    <row r="98" spans="1:4" ht="18" customHeight="1">
      <c r="A98" t="str">
        <f>"77-8008-0000ES"</f>
        <v>77-8008-0000ES</v>
      </c>
      <c r="B98" t="str">
        <f>"LM7 Content, ES, Lab/Vir, Hydra 1 w/HydraFlex"</f>
        <v>LM7 Content, ES, Lab/Vir, Hydra 1 w/HydraFlex</v>
      </c>
      <c r="C98" t="str">
        <f t="shared" si="3"/>
        <v>Active</v>
      </c>
      <c r="D98" s="33">
        <v>2995</v>
      </c>
    </row>
    <row r="99" spans="1:4" ht="18" customHeight="1">
      <c r="A99" t="str">
        <f>"77-8008-0000PT"</f>
        <v>77-8008-0000PT</v>
      </c>
      <c r="B99" t="str">
        <f>"LM7 Content, PT, Lab/Vir, Hydra 1 w/HydraFlex"</f>
        <v>LM7 Content, PT, Lab/Vir, Hydra 1 w/HydraFlex</v>
      </c>
      <c r="C99" t="str">
        <f t="shared" si="3"/>
        <v>Active</v>
      </c>
      <c r="D99" s="33">
        <v>2995</v>
      </c>
    </row>
    <row r="100" spans="1:4" ht="18" customHeight="1">
      <c r="A100" t="str">
        <f>"77-8012-0000ES"</f>
        <v>77-8012-0000ES</v>
      </c>
      <c r="B100" t="str">
        <f>"LM7 Content, ES, Lab/Vir, Sensor Technology"</f>
        <v>LM7 Content, ES, Lab/Vir, Sensor Technology</v>
      </c>
      <c r="C100" t="str">
        <f t="shared" si="3"/>
        <v>Active</v>
      </c>
      <c r="D100" s="33">
        <v>2495</v>
      </c>
    </row>
    <row r="101" spans="1:4" ht="18" customHeight="1">
      <c r="A101" t="str">
        <f>"77-8014-0001ES"</f>
        <v>77-8014-0001ES</v>
      </c>
      <c r="B101" t="str">
        <f>"LM7 Content, ES, Lab/Vir, MMQC"</f>
        <v>LM7 Content, ES, Lab/Vir, MMQC</v>
      </c>
      <c r="C101" t="str">
        <f t="shared" si="3"/>
        <v>Active</v>
      </c>
      <c r="D101" s="33">
        <v>2495</v>
      </c>
    </row>
    <row r="102" spans="1:4" ht="18" customHeight="1">
      <c r="A102" t="str">
        <f>"77-8014-0002PT"</f>
        <v>77-8014-0002PT</v>
      </c>
      <c r="B102" t="str">
        <f>"LM7 Content, PT, Lab/Vir, MMQC (Metric)"</f>
        <v>LM7 Content, PT, Lab/Vir, MMQC (Metric)</v>
      </c>
      <c r="C102" t="str">
        <f t="shared" si="3"/>
        <v>Active</v>
      </c>
      <c r="D102" s="33">
        <v>2495</v>
      </c>
    </row>
    <row r="103" spans="1:4" ht="18" customHeight="1">
      <c r="A103" t="str">
        <f>"77-8046-0000ES"</f>
        <v>77-8046-0000ES</v>
      </c>
      <c r="B103" t="str">
        <f>"LM7 Content, ES, Lab/Vir, Electrical Systems"</f>
        <v>LM7 Content, ES, Lab/Vir, Electrical Systems</v>
      </c>
      <c r="C103" t="str">
        <f t="shared" si="3"/>
        <v>Active</v>
      </c>
      <c r="D103" s="33">
        <v>2495</v>
      </c>
    </row>
    <row r="104" spans="1:4" ht="18" customHeight="1">
      <c r="A104" t="str">
        <f>"77-8046-0000PT"</f>
        <v>77-8046-0000PT</v>
      </c>
      <c r="B104" t="str">
        <f>"LM7 Content, PT, Lab/Vir, Electrical Systems"</f>
        <v>LM7 Content, PT, Lab/Vir, Electrical Systems</v>
      </c>
      <c r="C104" t="str">
        <f t="shared" si="3"/>
        <v>Active</v>
      </c>
      <c r="D104" s="33">
        <v>2495</v>
      </c>
    </row>
    <row r="105" spans="1:4" ht="18" customHeight="1">
      <c r="A105" t="str">
        <f>"77-8047-0000ES"</f>
        <v>77-8047-0000ES</v>
      </c>
      <c r="B105" t="str">
        <f>"LM7 Content, ES, Lab/Vir, Mechanisms"</f>
        <v>LM7 Content, ES, Lab/Vir, Mechanisms</v>
      </c>
      <c r="C105" t="str">
        <f t="shared" si="3"/>
        <v>Active</v>
      </c>
      <c r="D105" s="33">
        <v>2495</v>
      </c>
    </row>
    <row r="106" spans="1:4" ht="18" customHeight="1">
      <c r="A106" t="str">
        <f>"77-8057-0000ES"</f>
        <v>77-8057-0000ES</v>
      </c>
      <c r="B106" t="str">
        <f>"LM7 Content, ES, Lab/Vir, Plastics Thermoforming"</f>
        <v>LM7 Content, ES, Lab/Vir, Plastics Thermoforming</v>
      </c>
      <c r="C106" t="str">
        <f t="shared" si="3"/>
        <v>Active</v>
      </c>
      <c r="D106" s="33">
        <v>2495</v>
      </c>
    </row>
    <row r="107" spans="1:4" ht="18" customHeight="1">
      <c r="A107" t="str">
        <f>"77-8067-0002ES"</f>
        <v>77-8067-0002ES</v>
      </c>
      <c r="B107" t="str">
        <f>"LM7 Content, ES, Lab, FMS w/ER4U &amp; SLM 0200"</f>
        <v>LM7 Content, ES, Lab, FMS w/ER4U &amp; SLM 0200</v>
      </c>
      <c r="C107" t="str">
        <f t="shared" si="3"/>
        <v>Active</v>
      </c>
      <c r="D107" s="33">
        <v>2495</v>
      </c>
    </row>
    <row r="108" spans="1:4" ht="18" customHeight="1">
      <c r="A108" t="str">
        <f>"77-8068-0000ES"</f>
        <v>77-8068-0000ES</v>
      </c>
      <c r="B108" t="str">
        <f>"LM7 Content, ES, Lab/Vir, Pneumatics1 w/PneuFlex"</f>
        <v>LM7 Content, ES, Lab/Vir, Pneumatics1 w/PneuFlex</v>
      </c>
      <c r="C108" t="str">
        <f t="shared" si="3"/>
        <v>Active</v>
      </c>
      <c r="D108" s="33">
        <v>2995</v>
      </c>
    </row>
    <row r="109" spans="1:4" ht="18" customHeight="1">
      <c r="A109" t="str">
        <f>"77-8068-0000PT"</f>
        <v>77-8068-0000PT</v>
      </c>
      <c r="B109" t="str">
        <f>"LM7 Content, PT, Lab/Vir, Pneumatics1 w/PneuFlex"</f>
        <v>LM7 Content, PT, Lab/Vir, Pneumatics1 w/PneuFlex</v>
      </c>
      <c r="C109" t="str">
        <f t="shared" si="3"/>
        <v>Active</v>
      </c>
      <c r="D109" s="33">
        <v>2995</v>
      </c>
    </row>
    <row r="110" spans="1:4" ht="18" customHeight="1">
      <c r="A110" t="str">
        <f>"77-8069-0000ES"</f>
        <v>77-8069-0000ES</v>
      </c>
      <c r="B110" t="str">
        <f>"LM7 Content, ES, Lab/Vir, Pneumatics2 w/PneuFlex"</f>
        <v>LM7 Content, ES, Lab/Vir, Pneumatics2 w/PneuFlex</v>
      </c>
      <c r="C110" t="str">
        <f t="shared" si="3"/>
        <v>Active</v>
      </c>
      <c r="D110" s="33">
        <v>700</v>
      </c>
    </row>
    <row r="111" spans="1:4" ht="18" customHeight="1">
      <c r="A111" t="str">
        <f>"77-8069-0000PT"</f>
        <v>77-8069-0000PT</v>
      </c>
      <c r="B111" t="str">
        <f>"LM7 Content, PT, Lab/Vir, Pneumatics2 w/PneuFlex"</f>
        <v>LM7 Content, PT, Lab/Vir, Pneumatics2 w/PneuFlex</v>
      </c>
      <c r="C111" t="str">
        <f t="shared" si="3"/>
        <v>Active</v>
      </c>
      <c r="D111" s="33">
        <v>2495</v>
      </c>
    </row>
    <row r="112" spans="1:4" ht="18" customHeight="1">
      <c r="A112" t="str">
        <f>"77-8084-0000ES"</f>
        <v>77-8084-0000ES</v>
      </c>
      <c r="B112" t="str">
        <f>"LM7 Content, ES, Lab, Machine Vision &amp; QC 1"</f>
        <v>LM7 Content, ES, Lab, Machine Vision &amp; QC 1</v>
      </c>
      <c r="C112" t="str">
        <f>"New"</f>
        <v>New</v>
      </c>
      <c r="D112" s="33">
        <v>2495</v>
      </c>
    </row>
    <row r="113" spans="1:4" ht="18" customHeight="1">
      <c r="A113" t="str">
        <f>"77-8100-1012ES"</f>
        <v>77-8100-1012ES</v>
      </c>
      <c r="B113" t="str">
        <f>"LM7 Content, ES, Lab, Theory of AutoGreen System"</f>
        <v>LM7 Content, ES, Lab, Theory of AutoGreen System</v>
      </c>
      <c r="C113" t="str">
        <f t="shared" ref="C113:C152" si="4">"Active"</f>
        <v>Active</v>
      </c>
      <c r="D113" s="33">
        <v>2495</v>
      </c>
    </row>
    <row r="114" spans="1:4" ht="18" customHeight="1">
      <c r="A114" t="str">
        <f>"77-8100-1022ES"</f>
        <v>77-8100-1022ES</v>
      </c>
      <c r="B114" t="str">
        <f>"LM7 Content, ES, Lab, Using the AutoGreen System"</f>
        <v>LM7 Content, ES, Lab, Using the AutoGreen System</v>
      </c>
      <c r="C114" t="str">
        <f t="shared" si="4"/>
        <v>Active</v>
      </c>
      <c r="D114" s="33">
        <v>2495</v>
      </c>
    </row>
    <row r="115" spans="1:4" ht="18" customHeight="1">
      <c r="A115" t="str">
        <f>"77-8100-1032ES"</f>
        <v>77-8100-1032ES</v>
      </c>
      <c r="B115" t="str">
        <f>"LM7 Content, ES, Lab, Applications of AutoGreen"</f>
        <v>LM7 Content, ES, Lab, Applications of AutoGreen</v>
      </c>
      <c r="C115" t="str">
        <f t="shared" si="4"/>
        <v>Active</v>
      </c>
      <c r="D115" s="33">
        <v>2495</v>
      </c>
    </row>
    <row r="116" spans="1:4" ht="18" customHeight="1">
      <c r="A116" t="str">
        <f>"77-8142-0002ES"</f>
        <v>77-8142-0002ES</v>
      </c>
      <c r="B116" t="str">
        <f>"LM7 Content, Lab,ES, CNCMilling ProMill 8000 (M)"</f>
        <v>LM7 Content, Lab,ES, CNCMilling ProMill 8000 (M)</v>
      </c>
      <c r="C116" t="str">
        <f t="shared" si="4"/>
        <v>Active</v>
      </c>
      <c r="D116" s="34" t="e">
        <v>#N/A</v>
      </c>
    </row>
    <row r="117" spans="1:4" ht="18" customHeight="1">
      <c r="A117" t="str">
        <f>"77-EA01A-0000ES"</f>
        <v>77-EA01A-0000ES</v>
      </c>
      <c r="B117" t="str">
        <f>"LM7 Content, ES,  JM, Electrical Circuits"</f>
        <v>LM7 Content, ES,  JM, Electrical Circuits</v>
      </c>
      <c r="C117" t="str">
        <f t="shared" si="4"/>
        <v>Active</v>
      </c>
      <c r="D117" s="33">
        <v>700</v>
      </c>
    </row>
    <row r="118" spans="1:4" ht="18" customHeight="1">
      <c r="A118" t="str">
        <f>"77-EA01A-0000PT"</f>
        <v>77-EA01A-0000PT</v>
      </c>
      <c r="B118" t="str">
        <f>"LM7 Content, PT, Lab, JM, Electrical Circuits"</f>
        <v>LM7 Content, PT, Lab, JM, Electrical Circuits</v>
      </c>
      <c r="C118" t="str">
        <f t="shared" si="4"/>
        <v>Active</v>
      </c>
      <c r="D118" s="33">
        <v>2495</v>
      </c>
    </row>
    <row r="119" spans="1:4" ht="18" customHeight="1">
      <c r="A119" t="str">
        <f>"77-EA01B-0000ES"</f>
        <v>77-EA01B-0000ES</v>
      </c>
      <c r="B119" t="str">
        <f>"LM7 Content, ES, JM, Resistors &amp; Conductors"</f>
        <v>LM7 Content, ES, JM, Resistors &amp; Conductors</v>
      </c>
      <c r="C119" t="str">
        <f t="shared" si="4"/>
        <v>Active</v>
      </c>
      <c r="D119" s="33">
        <v>700</v>
      </c>
    </row>
    <row r="120" spans="1:4" ht="18" customHeight="1">
      <c r="A120" t="str">
        <f>"77-EA01B-0000PT"</f>
        <v>77-EA01B-0000PT</v>
      </c>
      <c r="B120" t="str">
        <f>"LM7 Content, PT, Lab, JM, Resistors &amp; Conductors"</f>
        <v>LM7 Content, PT, Lab, JM, Resistors &amp; Conductors</v>
      </c>
      <c r="C120" t="str">
        <f t="shared" si="4"/>
        <v>Active</v>
      </c>
      <c r="D120" s="33">
        <v>700</v>
      </c>
    </row>
    <row r="121" spans="1:4" ht="18" customHeight="1">
      <c r="A121" t="str">
        <f>"77-EA01C-0000ES"</f>
        <v>77-EA01C-0000ES</v>
      </c>
      <c r="B121" t="str">
        <f>"LM7 Content, ES, JM, LCR Circuits"</f>
        <v>LM7 Content, ES, JM, LCR Circuits</v>
      </c>
      <c r="C121" t="str">
        <f t="shared" si="4"/>
        <v>Active</v>
      </c>
      <c r="D121" s="33">
        <v>700</v>
      </c>
    </row>
    <row r="122" spans="1:4" ht="18" customHeight="1">
      <c r="A122" t="str">
        <f>"77-EA01C-0000PT"</f>
        <v>77-EA01C-0000PT</v>
      </c>
      <c r="B122" t="str">
        <f>"LM7 Content, PT, Lab, JM, LCR Circuits"</f>
        <v>LM7 Content, PT, Lab, JM, LCR Circuits</v>
      </c>
      <c r="C122" t="str">
        <f t="shared" si="4"/>
        <v>Active</v>
      </c>
      <c r="D122" s="33">
        <v>700</v>
      </c>
    </row>
    <row r="123" spans="1:4" ht="18" customHeight="1">
      <c r="A123" t="str">
        <f>"77-EA01D-0000ES"</f>
        <v>77-EA01D-0000ES</v>
      </c>
      <c r="B123" t="str">
        <f>"LM7 Content, ES, JM, Motors &amp; Generators"</f>
        <v>LM7 Content, ES, JM, Motors &amp; Generators</v>
      </c>
      <c r="C123" t="str">
        <f t="shared" si="4"/>
        <v>Active</v>
      </c>
      <c r="D123" s="33">
        <v>700</v>
      </c>
    </row>
    <row r="124" spans="1:4" ht="18" customHeight="1">
      <c r="A124" t="str">
        <f>"77-EA01D-0000PT"</f>
        <v>77-EA01D-0000PT</v>
      </c>
      <c r="B124" t="str">
        <f>"LM7 Content, PT, Lab, JM, Motors &amp; Generators"</f>
        <v>LM7 Content, PT, Lab, JM, Motors &amp; Generators</v>
      </c>
      <c r="C124" t="str">
        <f t="shared" si="4"/>
        <v>Active</v>
      </c>
      <c r="D124" s="33">
        <v>700</v>
      </c>
    </row>
    <row r="125" spans="1:4" ht="18" customHeight="1">
      <c r="A125" t="str">
        <f>"77-EA02-0000ES"</f>
        <v>77-EA02-0000ES</v>
      </c>
      <c r="B125" t="str">
        <f>"LM7 Content, ES, JM, Electric Circuit Protection"</f>
        <v>LM7 Content, ES, JM, Electric Circuit Protection</v>
      </c>
      <c r="C125" t="str">
        <f t="shared" si="4"/>
        <v>Active</v>
      </c>
      <c r="D125" s="33">
        <v>700</v>
      </c>
    </row>
    <row r="126" spans="1:4" ht="18" customHeight="1">
      <c r="A126" t="str">
        <f>"77-EA03-0000ES"</f>
        <v>77-EA03-0000ES</v>
      </c>
      <c r="B126" t="str">
        <f>"LM7 Content, ES, JM, 3 Phase Transformers"</f>
        <v>LM7 Content, ES, JM, 3 Phase Transformers</v>
      </c>
      <c r="C126" t="str">
        <f t="shared" si="4"/>
        <v>Active</v>
      </c>
      <c r="D126" s="33">
        <v>700</v>
      </c>
    </row>
    <row r="127" spans="1:4" ht="18" customHeight="1">
      <c r="A127" t="str">
        <f>"77-EA03-0000PT"</f>
        <v>77-EA03-0000PT</v>
      </c>
      <c r="B127" t="str">
        <f>"LM7 Content, PT, Lab, JM, 3 Phase Transformers"</f>
        <v>LM7 Content, PT, Lab, JM, 3 Phase Transformers</v>
      </c>
      <c r="C127" t="str">
        <f t="shared" si="4"/>
        <v>Active</v>
      </c>
      <c r="D127" s="33">
        <v>700</v>
      </c>
    </row>
    <row r="128" spans="1:4" ht="18" customHeight="1">
      <c r="A128" t="str">
        <f>"77-EA04-0000ES"</f>
        <v>77-EA04-0000ES</v>
      </c>
      <c r="B128" t="str">
        <f>"LM7 Content, ES, JM, Electric Motors"</f>
        <v>LM7 Content, ES, JM, Electric Motors</v>
      </c>
      <c r="C128" t="str">
        <f t="shared" si="4"/>
        <v>Active</v>
      </c>
      <c r="D128" s="33">
        <v>700</v>
      </c>
    </row>
    <row r="129" spans="1:4" ht="18" customHeight="1">
      <c r="A129" t="str">
        <f>"77-EA07-0000ES"</f>
        <v>77-EA07-0000ES</v>
      </c>
      <c r="B129" t="str">
        <f>"LM7 Content, ES, JM, Electromagnetic Starters"</f>
        <v>LM7 Content, ES, JM, Electromagnetic Starters</v>
      </c>
      <c r="C129" t="str">
        <f t="shared" si="4"/>
        <v>Active</v>
      </c>
      <c r="D129" s="33">
        <v>700</v>
      </c>
    </row>
    <row r="130" spans="1:4" ht="18" customHeight="1">
      <c r="A130" t="str">
        <f>"77-EA08-0000ES"</f>
        <v>77-EA08-0000ES</v>
      </c>
      <c r="B130" t="str">
        <f>"LM7 Content, ES, JM, Relays and Timers"</f>
        <v>LM7 Content, ES, JM, Relays and Timers</v>
      </c>
      <c r="C130" t="str">
        <f t="shared" si="4"/>
        <v>Active</v>
      </c>
      <c r="D130" s="33">
        <v>700</v>
      </c>
    </row>
    <row r="131" spans="1:4" ht="18" customHeight="1">
      <c r="A131" t="str">
        <f>"77-EA09-0000ES"</f>
        <v>77-EA09-0000ES</v>
      </c>
      <c r="B131" t="str">
        <f>"LM7 Content, ES, JM, Pilot Devices"</f>
        <v>LM7 Content, ES, JM, Pilot Devices</v>
      </c>
      <c r="C131" t="str">
        <f t="shared" si="4"/>
        <v>Active</v>
      </c>
      <c r="D131" s="33">
        <v>700</v>
      </c>
    </row>
    <row r="132" spans="1:4" ht="18" customHeight="1">
      <c r="A132" t="str">
        <f>"77-EA11-0000ES"</f>
        <v>77-EA11-0000ES</v>
      </c>
      <c r="B132" t="str">
        <f>"LM7 Content, ES, JM, Solid State Voltage Starter"</f>
        <v>LM7 Content, ES, JM, Solid State Voltage Starter</v>
      </c>
      <c r="C132" t="str">
        <f t="shared" si="4"/>
        <v>Active</v>
      </c>
      <c r="D132" s="33">
        <v>700</v>
      </c>
    </row>
    <row r="133" spans="1:4" ht="18" customHeight="1">
      <c r="A133" t="str">
        <f>"77-EA12-0000ES"</f>
        <v>77-EA12-0000ES</v>
      </c>
      <c r="B133" t="str">
        <f>"LM7 Content, ES, JM, Electric Motor Drives"</f>
        <v>LM7 Content, ES, JM, Electric Motor Drives</v>
      </c>
      <c r="C133" t="str">
        <f t="shared" si="4"/>
        <v>Active</v>
      </c>
      <c r="D133" s="33">
        <v>700</v>
      </c>
    </row>
    <row r="134" spans="1:4" ht="18" customHeight="1">
      <c r="A134" t="str">
        <f>"77-EA16-0000ES"</f>
        <v>77-EA16-0000ES</v>
      </c>
      <c r="B134" t="str">
        <f>"LM7 Content, ES, JM, DC Motor Drives"</f>
        <v>LM7 Content, ES, JM, DC Motor Drives</v>
      </c>
      <c r="C134" t="str">
        <f t="shared" si="4"/>
        <v>Active</v>
      </c>
      <c r="D134" s="33">
        <v>700</v>
      </c>
    </row>
    <row r="135" spans="1:4" ht="18" customHeight="1">
      <c r="A135" t="str">
        <f>"77-EB01C-0000ES"</f>
        <v>77-EB01C-0000ES</v>
      </c>
      <c r="B135" t="str">
        <f>"LM7 Content, ES, JM, Digital Oscilloscope"</f>
        <v>LM7 Content, ES, JM, Digital Oscilloscope</v>
      </c>
      <c r="C135" t="str">
        <f t="shared" si="4"/>
        <v>Active</v>
      </c>
      <c r="D135" s="33">
        <v>700</v>
      </c>
    </row>
    <row r="136" spans="1:4" ht="18" customHeight="1">
      <c r="A136" t="str">
        <f>"77-EB02A-0000ES"</f>
        <v>77-EB02A-0000ES</v>
      </c>
      <c r="B136" t="str">
        <f>"LM7 Content, ES, JM, DC Power Supplies"</f>
        <v>LM7 Content, ES, JM, DC Power Supplies</v>
      </c>
      <c r="C136" t="str">
        <f t="shared" si="4"/>
        <v>Active</v>
      </c>
      <c r="D136" s="33">
        <v>700</v>
      </c>
    </row>
    <row r="137" spans="1:4" ht="18" customHeight="1">
      <c r="A137" t="str">
        <f>"77-EB02B-0000ES"</f>
        <v>77-EB02B-0000ES</v>
      </c>
      <c r="B137" t="str">
        <f>"LM7 Content,ES,JM, Single &amp; 3 Phase Power Supply"</f>
        <v>LM7 Content,ES,JM, Single &amp; 3 Phase Power Supply</v>
      </c>
      <c r="C137" t="str">
        <f t="shared" si="4"/>
        <v>Active</v>
      </c>
      <c r="D137" s="33">
        <v>700</v>
      </c>
    </row>
    <row r="138" spans="1:4" ht="18" customHeight="1">
      <c r="A138" t="str">
        <f>"77-EB02B-0000PT"</f>
        <v>77-EB02B-0000PT</v>
      </c>
      <c r="B138" t="str">
        <f>"LM7 Content, PT, Lab, JM,1&amp;3 Phase Power Supply"</f>
        <v>LM7 Content, PT, Lab, JM,1&amp;3 Phase Power Supply</v>
      </c>
      <c r="C138" t="str">
        <f t="shared" si="4"/>
        <v>Active</v>
      </c>
      <c r="D138" s="33">
        <v>700</v>
      </c>
    </row>
    <row r="139" spans="1:4" ht="18" customHeight="1">
      <c r="A139" t="str">
        <f>"77-EB03-0000ES"</f>
        <v>77-EB03-0000ES</v>
      </c>
      <c r="B139" t="str">
        <f>"LM7 Content, ES, JM, Thyristor Motor Drives"</f>
        <v>LM7 Content, ES, JM, Thyristor Motor Drives</v>
      </c>
      <c r="C139" t="str">
        <f t="shared" si="4"/>
        <v>Active</v>
      </c>
      <c r="D139" s="33">
        <v>700</v>
      </c>
    </row>
    <row r="140" spans="1:4" ht="18" customHeight="1">
      <c r="A140" t="str">
        <f>"77-EB04-0000ES"</f>
        <v>77-EB04-0000ES</v>
      </c>
      <c r="B140" t="str">
        <f>"LM7 Content,ES, JM, Electronic Timers &amp; Triggers"</f>
        <v>LM7 Content,ES, JM, Electronic Timers &amp; Triggers</v>
      </c>
      <c r="C140" t="str">
        <f t="shared" si="4"/>
        <v>Active</v>
      </c>
      <c r="D140" s="33">
        <v>700</v>
      </c>
    </row>
    <row r="141" spans="1:4" ht="18" customHeight="1">
      <c r="A141" t="str">
        <f>"77-EB05-0000ES"</f>
        <v>77-EB05-0000ES</v>
      </c>
      <c r="B141" t="str">
        <f>"LM7 Content,ES,JM, Basic Stepper Motors &amp; Drives"</f>
        <v>LM7 Content,ES,JM, Basic Stepper Motors &amp; Drives</v>
      </c>
      <c r="C141" t="str">
        <f t="shared" si="4"/>
        <v>Active</v>
      </c>
      <c r="D141" s="33">
        <v>700</v>
      </c>
    </row>
    <row r="142" spans="1:4" ht="18" customHeight="1">
      <c r="A142" t="str">
        <f>"77-EB06-0000ES"</f>
        <v>77-EB06-0000ES</v>
      </c>
      <c r="B142" t="str">
        <f>"LM7 Content, ES, JM, Basic Servo Motor Drives"</f>
        <v>LM7 Content, ES, JM, Basic Servo Motor Drives</v>
      </c>
      <c r="C142" t="str">
        <f t="shared" si="4"/>
        <v>Active</v>
      </c>
      <c r="D142" s="33">
        <v>700</v>
      </c>
    </row>
    <row r="143" spans="1:4" ht="18" customHeight="1">
      <c r="A143" t="str">
        <f>"77-ME01-0001ES"</f>
        <v>77-ME01-0001ES</v>
      </c>
      <c r="B143" t="str">
        <f>"LM7 Content, ES, JM, Basic Machines"</f>
        <v>LM7 Content, ES, JM, Basic Machines</v>
      </c>
      <c r="C143" t="str">
        <f t="shared" si="4"/>
        <v>Active</v>
      </c>
      <c r="D143" s="33" t="e">
        <v>#N/A</v>
      </c>
    </row>
    <row r="144" spans="1:4" ht="18" customHeight="1">
      <c r="A144" t="str">
        <f>"77-ME02-0001ES"</f>
        <v>77-ME02-0001ES</v>
      </c>
      <c r="B144" t="str">
        <f>"LM7 Content, ES, JM, Machine Statics &amp; Dynamics"</f>
        <v>LM7 Content, ES, JM, Machine Statics &amp; Dynamics</v>
      </c>
      <c r="C144" t="str">
        <f t="shared" si="4"/>
        <v>Active</v>
      </c>
      <c r="D144" s="33" t="e">
        <v>#N/A</v>
      </c>
    </row>
    <row r="145" spans="1:4" ht="18" customHeight="1">
      <c r="A145" t="str">
        <f>"77-ME03-0001ES"</f>
        <v>77-ME03-0001ES</v>
      </c>
      <c r="B145" t="str">
        <f>"LM7 Content, ES, JM, Machine Shafts and Keys"</f>
        <v>LM7 Content, ES, JM, Machine Shafts and Keys</v>
      </c>
      <c r="C145" t="str">
        <f t="shared" si="4"/>
        <v>Active</v>
      </c>
      <c r="D145" s="33" t="e">
        <v>#N/A</v>
      </c>
    </row>
    <row r="146" spans="1:4" ht="18" customHeight="1">
      <c r="A146" t="str">
        <f>"77-ME04-0001ES"</f>
        <v>77-ME04-0001ES</v>
      </c>
      <c r="B146" t="str">
        <f>"LM7 Content, ES, JM, Bearings"</f>
        <v>LM7 Content, ES, JM, Bearings</v>
      </c>
      <c r="C146" t="str">
        <f t="shared" si="4"/>
        <v>Active</v>
      </c>
      <c r="D146" s="33" t="e">
        <v>#N/A</v>
      </c>
    </row>
    <row r="147" spans="1:4" ht="18" customHeight="1">
      <c r="A147" t="str">
        <f>"77-ME05-0001ES"</f>
        <v>77-ME05-0001ES</v>
      </c>
      <c r="B147" t="str">
        <f>"LM7 Content, ES, JM, Belt Drives"</f>
        <v>LM7 Content, ES, JM, Belt Drives</v>
      </c>
      <c r="C147" t="str">
        <f t="shared" si="4"/>
        <v>Active</v>
      </c>
      <c r="D147" s="33" t="e">
        <v>#N/A</v>
      </c>
    </row>
    <row r="148" spans="1:4" ht="18" customHeight="1">
      <c r="A148" t="str">
        <f>"77-ME06-0001ES"</f>
        <v>77-ME06-0001ES</v>
      </c>
      <c r="B148" t="str">
        <f>"LM7 Content, ES, JM, Chain Drives"</f>
        <v>LM7 Content, ES, JM, Chain Drives</v>
      </c>
      <c r="C148" t="str">
        <f t="shared" si="4"/>
        <v>Active</v>
      </c>
      <c r="D148" s="33" t="e">
        <v>#N/A</v>
      </c>
    </row>
    <row r="149" spans="1:4" ht="18" customHeight="1">
      <c r="A149" t="str">
        <f>"77-ME07-0001ES"</f>
        <v>77-ME07-0001ES</v>
      </c>
      <c r="B149" t="str">
        <f>"LM7 Content, ES, JM, Machine Shaft Couplings"</f>
        <v>LM7 Content, ES, JM, Machine Shaft Couplings</v>
      </c>
      <c r="C149" t="str">
        <f t="shared" si="4"/>
        <v>Active</v>
      </c>
      <c r="D149" s="33" t="e">
        <v>#N/A</v>
      </c>
    </row>
    <row r="150" spans="1:4" ht="18" customHeight="1">
      <c r="A150" t="str">
        <f>"77-ME08-0001ES"</f>
        <v>77-ME08-0001ES</v>
      </c>
      <c r="B150" t="str">
        <f>"LM7 Content, ES, JM, Gear Drives"</f>
        <v>LM7 Content, ES, JM, Gear Drives</v>
      </c>
      <c r="C150" t="str">
        <f t="shared" si="4"/>
        <v>Active</v>
      </c>
      <c r="D150" s="33" t="e">
        <v>#N/A</v>
      </c>
    </row>
    <row r="151" spans="1:4" ht="18" customHeight="1">
      <c r="A151" t="str">
        <f>"77-ME09-0001ES"</f>
        <v>77-ME09-0001ES</v>
      </c>
      <c r="B151" t="str">
        <f>"LM7 Content, ES, JM, Machine Speed Reducers"</f>
        <v>LM7 Content, ES, JM, Machine Speed Reducers</v>
      </c>
      <c r="C151" t="str">
        <f t="shared" si="4"/>
        <v>Active</v>
      </c>
      <c r="D151" s="33" t="e">
        <v>#N/A</v>
      </c>
    </row>
    <row r="152" spans="1:4" ht="18" customHeight="1">
      <c r="A152" t="str">
        <f>"77-ME10-0001ES"</f>
        <v>77-ME10-0001ES</v>
      </c>
      <c r="B152" t="str">
        <f>"LM7 Content, ES, JM, Electric Brakes"</f>
        <v>LM7 Content, ES, JM, Electric Brakes</v>
      </c>
      <c r="C152" t="str">
        <f t="shared" si="4"/>
        <v>Active</v>
      </c>
      <c r="D152" s="33" t="e">
        <v>#N/A</v>
      </c>
    </row>
    <row r="153" spans="1:4" ht="18" customHeight="1">
      <c r="A153" s="26" t="str">
        <f>"77-ME11-0001ES"</f>
        <v>77-ME11-0001ES</v>
      </c>
      <c r="B153" s="26" t="str">
        <f>"LM7 Content, ES, JM, Laser Alignment"</f>
        <v>LM7 Content, ES, JM, Laser Alignment</v>
      </c>
      <c r="C153" s="26" t="str">
        <f>"ECO+NFS"</f>
        <v>ECO+NFS</v>
      </c>
      <c r="D153" s="33" t="e">
        <v>#N/A</v>
      </c>
    </row>
    <row r="154" spans="1:4" ht="18" customHeight="1">
      <c r="A154" t="str">
        <f>"77-ME12-0001ES"</f>
        <v>77-ME12-0001ES</v>
      </c>
      <c r="B154" t="str">
        <f>"LM7 Content, ES, JM, Vibration Analysis"</f>
        <v>LM7 Content, ES, JM, Vibration Analysis</v>
      </c>
      <c r="C154" t="str">
        <f>"Active"</f>
        <v>Active</v>
      </c>
      <c r="D154" s="33" t="e">
        <v>#N/A</v>
      </c>
    </row>
    <row r="155" spans="1:4" ht="18" customHeight="1">
      <c r="A155" t="str">
        <f>"77-ME13-0001ES"</f>
        <v>77-ME13-0001ES</v>
      </c>
      <c r="B155" t="str">
        <f>"LM7 Content, ES, JM, Bearing Service Cart"</f>
        <v>LM7 Content, ES, JM, Bearing Service Cart</v>
      </c>
      <c r="C155" t="str">
        <f>"Active"</f>
        <v>Active</v>
      </c>
      <c r="D155" s="33" t="e">
        <v>#N/A</v>
      </c>
    </row>
    <row r="156" spans="1:4" ht="18" customHeight="1">
      <c r="A156" t="s">
        <v>390</v>
      </c>
      <c r="B156" t="s">
        <v>391</v>
      </c>
      <c r="C156" t="str">
        <f>"Active"</f>
        <v>Active</v>
      </c>
      <c r="D156" s="34">
        <v>0</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sheetPr codeName="Sheet15">
    <tabColor theme="9" tint="-0.249977111117893"/>
  </sheetPr>
  <dimension ref="A1:D1428"/>
  <sheetViews>
    <sheetView workbookViewId="0">
      <pane ySplit="2" topLeftCell="A3" activePane="bottomLeft" state="frozen"/>
      <selection pane="bottomLeft" activeCell="G8" sqref="G8"/>
    </sheetView>
  </sheetViews>
  <sheetFormatPr baseColWidth="10" defaultColWidth="9" defaultRowHeight="18" customHeight="1"/>
  <cols>
    <col min="1" max="1" width="15.75" bestFit="1" customWidth="1"/>
    <col min="2" max="2" width="46.125" bestFit="1" customWidth="1"/>
    <col min="4" max="4" width="11" bestFit="1" customWidth="1"/>
  </cols>
  <sheetData>
    <row r="1" spans="1:4" ht="18" customHeight="1">
      <c r="A1" s="42">
        <v>42604</v>
      </c>
      <c r="C1" s="43"/>
    </row>
    <row r="2" spans="1:4" ht="18" customHeight="1">
      <c r="A2" s="39" t="str">
        <f>"Part Number"</f>
        <v>Part Number</v>
      </c>
      <c r="B2" s="39" t="str">
        <f>"Marketing Description"</f>
        <v>Marketing Description</v>
      </c>
      <c r="C2" s="39" t="s">
        <v>8</v>
      </c>
      <c r="D2" s="39" t="str">
        <f>"Status"</f>
        <v>Status</v>
      </c>
    </row>
    <row r="3" spans="1:4" ht="18" customHeight="1">
      <c r="A3" t="str">
        <f>"00-0107-0110"</f>
        <v>00-0107-0110</v>
      </c>
      <c r="B3" t="str">
        <f>"Multivariable Instrumentation Control Trainer110"</f>
        <v>Multivariable Instrumentation Control Trainer110</v>
      </c>
      <c r="C3" s="44">
        <v>49000</v>
      </c>
      <c r="D3" t="str">
        <f t="shared" ref="D3:D11" si="0">"Active"</f>
        <v>Active</v>
      </c>
    </row>
    <row r="4" spans="1:4" ht="18" customHeight="1">
      <c r="A4" t="str">
        <f>"00-0107-0220"</f>
        <v>00-0107-0220</v>
      </c>
      <c r="B4" t="str">
        <f>"Multivariable Instrumentation Control Trainer220"</f>
        <v>Multivariable Instrumentation Control Trainer220</v>
      </c>
      <c r="C4" s="44">
        <v>49000</v>
      </c>
      <c r="D4" t="str">
        <f t="shared" si="0"/>
        <v>Active</v>
      </c>
    </row>
    <row r="5" spans="1:4" ht="18" customHeight="1">
      <c r="A5" t="str">
        <f>"00-0211-0000"</f>
        <v>00-0211-0000</v>
      </c>
      <c r="B5" t="str">
        <f>"Controller-USB (incl. SCORBASE Software)"</f>
        <v>Controller-USB (incl. SCORBASE Software)</v>
      </c>
      <c r="C5" s="44">
        <v>4000</v>
      </c>
      <c r="D5" t="str">
        <f t="shared" si="0"/>
        <v>Active</v>
      </c>
    </row>
    <row r="6" spans="1:4" ht="18" customHeight="1">
      <c r="A6" t="str">
        <f>"00-0300-0001"</f>
        <v>00-0300-0001</v>
      </c>
      <c r="B6" t="str">
        <f>"CytonE 300 Robot"</f>
        <v>CytonE 300 Robot</v>
      </c>
      <c r="C6" s="44">
        <v>4950</v>
      </c>
      <c r="D6" t="str">
        <f t="shared" si="0"/>
        <v>Active</v>
      </c>
    </row>
    <row r="7" spans="1:4" ht="18" customHeight="1">
      <c r="A7" t="str">
        <f>"00-0300-DEMO"</f>
        <v>00-0300-DEMO</v>
      </c>
      <c r="B7" t="str">
        <f>"Demo CytonE 300 &amp; 1 seat ACTIN"</f>
        <v>Demo CytonE 300 &amp; 1 seat ACTIN</v>
      </c>
      <c r="C7" s="44">
        <v>4465</v>
      </c>
      <c r="D7" t="str">
        <f t="shared" si="0"/>
        <v>Active</v>
      </c>
    </row>
    <row r="8" spans="1:4" ht="18" customHeight="1">
      <c r="A8" t="str">
        <f>"00-0301-0110"</f>
        <v>00-0301-0110</v>
      </c>
      <c r="B8" t="str">
        <f>"SAPP Liquid Level Process Plant; 110V"</f>
        <v>SAPP Liquid Level Process Plant; 110V</v>
      </c>
      <c r="C8" s="44">
        <v>45000</v>
      </c>
      <c r="D8" t="str">
        <f t="shared" si="0"/>
        <v>Active</v>
      </c>
    </row>
    <row r="9" spans="1:4" ht="18" customHeight="1">
      <c r="A9" t="str">
        <f>"00-0301-0220"</f>
        <v>00-0301-0220</v>
      </c>
      <c r="B9" t="str">
        <f>"SAPP Liquid Level Process Plant; 220V"</f>
        <v>SAPP Liquid Level Process Plant; 220V</v>
      </c>
      <c r="C9" s="44">
        <v>45000</v>
      </c>
      <c r="D9" t="str">
        <f t="shared" si="0"/>
        <v>Active</v>
      </c>
    </row>
    <row r="10" spans="1:4" ht="18" customHeight="1">
      <c r="A10" t="str">
        <f>"00-0302-0110"</f>
        <v>00-0302-0110</v>
      </c>
      <c r="B10" t="str">
        <f>"SAPP Liquid Flow Process Plant; 110V"</f>
        <v>SAPP Liquid Flow Process Plant; 110V</v>
      </c>
      <c r="C10" s="44">
        <v>45000</v>
      </c>
      <c r="D10" t="str">
        <f t="shared" si="0"/>
        <v>Active</v>
      </c>
    </row>
    <row r="11" spans="1:4" ht="18" customHeight="1">
      <c r="A11" t="str">
        <f>"00-0302-0220"</f>
        <v>00-0302-0220</v>
      </c>
      <c r="B11" t="str">
        <f>"SAPP Liquid Flow Process Plant; 220V"</f>
        <v>SAPP Liquid Flow Process Plant; 220V</v>
      </c>
      <c r="C11" s="44">
        <v>45000</v>
      </c>
      <c r="D11" t="str">
        <f t="shared" si="0"/>
        <v>Active</v>
      </c>
    </row>
    <row r="12" spans="1:4" ht="18" customHeight="1">
      <c r="A12" t="str">
        <f>"00-0303-0110"</f>
        <v>00-0303-0110</v>
      </c>
      <c r="B12" t="str">
        <f>"Liquid Level NANO Training System; 110V"</f>
        <v>Liquid Level NANO Training System; 110V</v>
      </c>
      <c r="C12" s="44">
        <v>17500</v>
      </c>
      <c r="D12" t="str">
        <f>"New"</f>
        <v>New</v>
      </c>
    </row>
    <row r="13" spans="1:4" ht="18" customHeight="1">
      <c r="A13" t="str">
        <f>"00-0303-0220"</f>
        <v>00-0303-0220</v>
      </c>
      <c r="B13" t="str">
        <f>"Liquid Level NANO Training System; 220V"</f>
        <v>Liquid Level NANO Training System; 220V</v>
      </c>
      <c r="C13" s="44">
        <v>17500</v>
      </c>
      <c r="D13" t="str">
        <f>"New"</f>
        <v>New</v>
      </c>
    </row>
    <row r="14" spans="1:4" ht="18" customHeight="1">
      <c r="A14" t="str">
        <f>"00-0304-0110"</f>
        <v>00-0304-0110</v>
      </c>
      <c r="B14" t="str">
        <f>"Air Pressure NANO Training System; 110V"</f>
        <v>Air Pressure NANO Training System; 110V</v>
      </c>
      <c r="C14" s="44">
        <v>17500</v>
      </c>
      <c r="D14" t="str">
        <f>"New"</f>
        <v>New</v>
      </c>
    </row>
    <row r="15" spans="1:4" ht="18" customHeight="1">
      <c r="A15" t="str">
        <f>"00-0304-0220"</f>
        <v>00-0304-0220</v>
      </c>
      <c r="B15" t="str">
        <f>"Air Pressure NANO Training System; 220V"</f>
        <v>Air Pressure NANO Training System; 220V</v>
      </c>
      <c r="C15" s="44">
        <v>17500</v>
      </c>
      <c r="D15" t="str">
        <f>"New"</f>
        <v>New</v>
      </c>
    </row>
    <row r="16" spans="1:4" ht="18" customHeight="1">
      <c r="A16" t="str">
        <f>"00-0305-0110"</f>
        <v>00-0305-0110</v>
      </c>
      <c r="B16" t="str">
        <f>"SAPP Air Temperature Process Plant; 110V"</f>
        <v>SAPP Air Temperature Process Plant; 110V</v>
      </c>
      <c r="C16" s="44">
        <v>45000</v>
      </c>
      <c r="D16" t="str">
        <f t="shared" ref="D16:D21" si="1">"Active"</f>
        <v>Active</v>
      </c>
    </row>
    <row r="17" spans="1:4" ht="18" customHeight="1">
      <c r="A17" t="str">
        <f>"00-0305-0220"</f>
        <v>00-0305-0220</v>
      </c>
      <c r="B17" t="str">
        <f>"SAPP Air Temperature Process Plant; 220V"</f>
        <v>SAPP Air Temperature Process Plant; 220V</v>
      </c>
      <c r="C17" s="44">
        <v>45000</v>
      </c>
      <c r="D17" t="str">
        <f t="shared" si="1"/>
        <v>Active</v>
      </c>
    </row>
    <row r="18" spans="1:4" ht="18" customHeight="1">
      <c r="A18" t="str">
        <f>"00-0306-0110"</f>
        <v>00-0306-0110</v>
      </c>
      <c r="B18" t="str">
        <f>"SAPP Air Pressure Process Plant; 110V"</f>
        <v>SAPP Air Pressure Process Plant; 110V</v>
      </c>
      <c r="C18" s="44">
        <v>45000</v>
      </c>
      <c r="D18" t="str">
        <f t="shared" si="1"/>
        <v>Active</v>
      </c>
    </row>
    <row r="19" spans="1:4" ht="18" customHeight="1">
      <c r="A19" t="str">
        <f>"00-0306-0220"</f>
        <v>00-0306-0220</v>
      </c>
      <c r="B19" t="str">
        <f>"SAPP Air Pressure Process Plant; 220V"</f>
        <v>SAPP Air Pressure Process Plant; 220V</v>
      </c>
      <c r="C19" s="44">
        <v>45000</v>
      </c>
      <c r="D19" t="str">
        <f t="shared" si="1"/>
        <v>Active</v>
      </c>
    </row>
    <row r="20" spans="1:4" ht="18" customHeight="1">
      <c r="A20" t="str">
        <f>"00-0307-0110"</f>
        <v>00-0307-0110</v>
      </c>
      <c r="B20" t="str">
        <f>"Chemical Analytical Process Training System;110V"</f>
        <v>Chemical Analytical Process Training System;110V</v>
      </c>
      <c r="C20" s="44">
        <v>99000</v>
      </c>
      <c r="D20" t="str">
        <f t="shared" si="1"/>
        <v>Active</v>
      </c>
    </row>
    <row r="21" spans="1:4" ht="18" customHeight="1">
      <c r="A21" t="str">
        <f>"00-0307-0220"</f>
        <v>00-0307-0220</v>
      </c>
      <c r="B21" t="str">
        <f>"Chemical Analytical Process Training System;220V"</f>
        <v>Chemical Analytical Process Training System;220V</v>
      </c>
      <c r="C21" s="44">
        <v>99000</v>
      </c>
      <c r="D21" t="str">
        <f t="shared" si="1"/>
        <v>Active</v>
      </c>
    </row>
    <row r="22" spans="1:4" ht="18" customHeight="1">
      <c r="A22" t="str">
        <f>"00-0309-0110"</f>
        <v>00-0309-0110</v>
      </c>
      <c r="B22" t="str">
        <f>"Air Temperature NANO Training System; 110V"</f>
        <v>Air Temperature NANO Training System; 110V</v>
      </c>
      <c r="C22" s="44">
        <v>17500</v>
      </c>
      <c r="D22" t="str">
        <f>"New"</f>
        <v>New</v>
      </c>
    </row>
    <row r="23" spans="1:4" ht="18" customHeight="1">
      <c r="A23" t="str">
        <f>"00-0309-0220"</f>
        <v>00-0309-0220</v>
      </c>
      <c r="B23" t="str">
        <f>"Air Temperature NANO Training System; 220V"</f>
        <v>Air Temperature NANO Training System; 220V</v>
      </c>
      <c r="C23" s="44">
        <v>17500</v>
      </c>
      <c r="D23" t="str">
        <f>"New"</f>
        <v>New</v>
      </c>
    </row>
    <row r="24" spans="1:4" ht="18" customHeight="1">
      <c r="A24" t="str">
        <f>"00-0310-0000"</f>
        <v>00-0310-0000</v>
      </c>
      <c r="B24" t="str">
        <f>"SCORBOT-ER 4u (Arm only)"</f>
        <v>SCORBOT-ER 4u (Arm only)</v>
      </c>
      <c r="C24" s="44">
        <v>9055</v>
      </c>
      <c r="D24" t="str">
        <f>"Active"</f>
        <v>Active</v>
      </c>
    </row>
    <row r="25" spans="1:4" ht="18" customHeight="1">
      <c r="A25" t="str">
        <f>"00-0310-0110"</f>
        <v>00-0310-0110</v>
      </c>
      <c r="B25" t="str">
        <f>"Liquid Flow NANO Training System; 110V"</f>
        <v>Liquid Flow NANO Training System; 110V</v>
      </c>
      <c r="C25" s="44">
        <v>17500</v>
      </c>
      <c r="D25" t="str">
        <f>"New"</f>
        <v>New</v>
      </c>
    </row>
    <row r="26" spans="1:4" ht="18" customHeight="1">
      <c r="A26" t="str">
        <f>"00-0310-0220"</f>
        <v>00-0310-0220</v>
      </c>
      <c r="B26" t="str">
        <f>"Liquid Flow NANO Training System; 220V"</f>
        <v>Liquid Flow NANO Training System; 220V</v>
      </c>
      <c r="C26" s="44">
        <v>17500</v>
      </c>
      <c r="D26" t="str">
        <f>"New"</f>
        <v>New</v>
      </c>
    </row>
    <row r="27" spans="1:4" ht="18" customHeight="1">
      <c r="A27" t="str">
        <f>"00-0312-0000"</f>
        <v>00-0312-0000</v>
      </c>
      <c r="B27" t="str">
        <f>"SCORBOT-ER 9 Pro (Arm  only)"</f>
        <v>SCORBOT-ER 9 Pro (Arm  only)</v>
      </c>
      <c r="C27" s="44">
        <v>18745</v>
      </c>
      <c r="D27" t="str">
        <f t="shared" ref="D27:D44" si="2">"Active"</f>
        <v>Active</v>
      </c>
    </row>
    <row r="28" spans="1:4" ht="18" customHeight="1">
      <c r="A28" t="str">
        <f>"00-0313-0000"</f>
        <v>00-0313-0000</v>
      </c>
      <c r="B28" t="str">
        <f>"SCORA-ER 14 Pro (Arm only)"</f>
        <v>SCORA-ER 14 Pro (Arm only)</v>
      </c>
      <c r="C28" s="44">
        <v>17695</v>
      </c>
      <c r="D28" t="str">
        <f t="shared" si="2"/>
        <v>Active</v>
      </c>
    </row>
    <row r="29" spans="1:4" ht="18" customHeight="1">
      <c r="A29" t="str">
        <f>"00-0413-0000"</f>
        <v>00-0413-0000</v>
      </c>
      <c r="B29" t="str">
        <f>"SCORBOT-ER 4u"</f>
        <v>SCORBOT-ER 4u</v>
      </c>
      <c r="C29" s="44">
        <v>11726</v>
      </c>
      <c r="D29" t="str">
        <f t="shared" si="2"/>
        <v>Active</v>
      </c>
    </row>
    <row r="30" spans="1:4" ht="18" customHeight="1">
      <c r="A30" t="str">
        <f>"00-0420-0000"</f>
        <v>00-0420-0000</v>
      </c>
      <c r="B30" t="str">
        <f>"ASRS-36u (36-bay Storage Unit)"</f>
        <v>ASRS-36u (36-bay Storage Unit)</v>
      </c>
      <c r="C30" s="44">
        <v>38000</v>
      </c>
      <c r="D30" t="str">
        <f t="shared" si="2"/>
        <v>Active</v>
      </c>
    </row>
    <row r="31" spans="1:4" ht="18" customHeight="1">
      <c r="A31" t="str">
        <f>"00-0423-0000"</f>
        <v>00-0423-0000</v>
      </c>
      <c r="B31" t="str">
        <f>"ER-400 AGV (Mobile Robot)"</f>
        <v>ER-400 AGV (Mobile Robot)</v>
      </c>
      <c r="C31" s="44">
        <v>6315</v>
      </c>
      <c r="D31" t="str">
        <f t="shared" si="2"/>
        <v>Active</v>
      </c>
    </row>
    <row r="32" spans="1:4" ht="18" customHeight="1">
      <c r="A32" t="str">
        <f>"00-0424-0000"</f>
        <v>00-0424-0000</v>
      </c>
      <c r="B32" t="str">
        <f>"ASRS-36x2 (72-bay Storage Unit)"</f>
        <v>ASRS-36x2 (72-bay Storage Unit)</v>
      </c>
      <c r="C32" s="44">
        <v>40650</v>
      </c>
      <c r="D32" t="str">
        <f t="shared" si="2"/>
        <v>Active</v>
      </c>
    </row>
    <row r="33" spans="1:4" ht="18" customHeight="1">
      <c r="A33" t="str">
        <f>"00-0424-0001"</f>
        <v>00-0424-0001</v>
      </c>
      <c r="B33" t="str">
        <f>"ASRS expansion from 36 to 72 shelves.(Add on)"</f>
        <v>ASRS expansion from 36 to 72 shelves.(Add on)</v>
      </c>
      <c r="C33" s="44">
        <v>6250</v>
      </c>
      <c r="D33" t="str">
        <f t="shared" si="2"/>
        <v>Active</v>
      </c>
    </row>
    <row r="34" spans="1:4" ht="18" customHeight="1">
      <c r="A34" t="str">
        <f>"00-0425-0000"</f>
        <v>00-0425-0000</v>
      </c>
      <c r="B34" t="str">
        <f>"ER 400 AGV (Mobile Robot for CIM with Viewflex)"</f>
        <v>ER 400 AGV (Mobile Robot for CIM with Viewflex)</v>
      </c>
      <c r="C34" s="44">
        <v>13334</v>
      </c>
      <c r="D34" t="str">
        <f t="shared" si="2"/>
        <v>Active</v>
      </c>
    </row>
    <row r="35" spans="1:4" ht="18" customHeight="1">
      <c r="A35" t="str">
        <f>"00-0430-0000"</f>
        <v>00-0430-0000</v>
      </c>
      <c r="B35" t="str">
        <f>"SCORBOT-ER9Pro"</f>
        <v>SCORBOT-ER9Pro</v>
      </c>
      <c r="C35" s="44">
        <v>24000</v>
      </c>
      <c r="D35" t="str">
        <f t="shared" si="2"/>
        <v>Active</v>
      </c>
    </row>
    <row r="36" spans="1:4" ht="18" customHeight="1">
      <c r="A36" t="str">
        <f>"00-0432-0000"</f>
        <v>00-0432-0000</v>
      </c>
      <c r="B36" t="str">
        <f>"SCORA-ER 14Pro"</f>
        <v>SCORA-ER 14Pro</v>
      </c>
      <c r="C36" s="44">
        <v>26667</v>
      </c>
      <c r="D36" t="str">
        <f t="shared" si="2"/>
        <v>Active</v>
      </c>
    </row>
    <row r="37" spans="1:4" ht="18" customHeight="1">
      <c r="A37" t="str">
        <f>"00-0436-0000"</f>
        <v>00-0436-0000</v>
      </c>
      <c r="B37" t="str">
        <f>"MH5F compact high-speed 6-axis Robot"</f>
        <v>MH5F compact high-speed 6-axis Robot</v>
      </c>
      <c r="C37" s="44">
        <v>35000</v>
      </c>
      <c r="D37" t="str">
        <f t="shared" si="2"/>
        <v>Active</v>
      </c>
    </row>
    <row r="38" spans="1:4" ht="18" customHeight="1">
      <c r="A38" t="str">
        <f>"00-0609-0000"</f>
        <v>00-0609-0000</v>
      </c>
      <c r="B38" t="str">
        <f>"Gripper attachment for round and square parts"</f>
        <v>Gripper attachment for round and square parts</v>
      </c>
      <c r="C38">
        <v>125</v>
      </c>
      <c r="D38" t="str">
        <f t="shared" si="2"/>
        <v>Active</v>
      </c>
    </row>
    <row r="39" spans="1:4" ht="18" customHeight="1">
      <c r="A39" t="str">
        <f>"00-0613-0000"</f>
        <v>00-0613-0000</v>
      </c>
      <c r="B39" t="str">
        <f>"DC Servo Gripper (ER 9Pro, ER 14Pro and ER 7Pro)"</f>
        <v>DC Servo Gripper (ER 9Pro, ER 14Pro and ER 7Pro)</v>
      </c>
      <c r="C39" s="44">
        <v>1700</v>
      </c>
      <c r="D39" t="str">
        <f t="shared" si="2"/>
        <v>Active</v>
      </c>
    </row>
    <row r="40" spans="1:4" ht="18" customHeight="1">
      <c r="A40" t="str">
        <f>"00-0616-0000"</f>
        <v>00-0616-0000</v>
      </c>
      <c r="B40" t="str">
        <f>"End Effector Attachment for DC Servo Gripper"</f>
        <v>End Effector Attachment for DC Servo Gripper</v>
      </c>
      <c r="C40">
        <v>235</v>
      </c>
      <c r="D40" t="str">
        <f t="shared" si="2"/>
        <v>Active</v>
      </c>
    </row>
    <row r="41" spans="1:4" ht="18" customHeight="1">
      <c r="A41" t="str">
        <f>"00-0633-0000"</f>
        <v>00-0633-0000</v>
      </c>
      <c r="B41" t="str">
        <f>"Pneumatic Gripper for ER9-Pro"</f>
        <v>Pneumatic Gripper for ER9-Pro</v>
      </c>
      <c r="C41" s="44">
        <v>2134</v>
      </c>
      <c r="D41" t="str">
        <f t="shared" si="2"/>
        <v>Active</v>
      </c>
    </row>
    <row r="42" spans="1:4" ht="18" customHeight="1">
      <c r="A42" t="str">
        <f>"00-0634-0000"</f>
        <v>00-0634-0000</v>
      </c>
      <c r="B42" t="str">
        <f>"Pneumatic Gripper for ER 14Pro"</f>
        <v>Pneumatic Gripper for ER 14Pro</v>
      </c>
      <c r="C42" s="44">
        <v>3270</v>
      </c>
      <c r="D42" t="str">
        <f t="shared" si="2"/>
        <v>Active</v>
      </c>
    </row>
    <row r="43" spans="1:4" ht="18" customHeight="1">
      <c r="A43" t="str">
        <f>"00-0640-0000"</f>
        <v>00-0640-0000</v>
      </c>
      <c r="B43" t="str">
        <f>"Automatic Tool Changer for SCORBOT-ER9 Pro"</f>
        <v>Automatic Tool Changer for SCORBOT-ER9 Pro</v>
      </c>
      <c r="C43" s="44">
        <v>9334</v>
      </c>
      <c r="D43" t="str">
        <f t="shared" si="2"/>
        <v>Active</v>
      </c>
    </row>
    <row r="44" spans="1:4" ht="18" customHeight="1">
      <c r="A44" t="str">
        <f>"00-0641-0000"</f>
        <v>00-0641-0000</v>
      </c>
      <c r="B44" t="str">
        <f>"Automatic Tool Changer for PERFORMER-HP 3"</f>
        <v>Automatic Tool Changer for PERFORMER-HP 3</v>
      </c>
      <c r="C44" s="44">
        <v>10395</v>
      </c>
      <c r="D44" t="str">
        <f t="shared" si="2"/>
        <v>Active</v>
      </c>
    </row>
    <row r="45" spans="1:4" ht="18" customHeight="1">
      <c r="A45" t="str">
        <f>"00-0644-0000"</f>
        <v>00-0644-0000</v>
      </c>
      <c r="B45" t="str">
        <f>"Automatic Tool Changer for ER 14Pro"</f>
        <v>Automatic Tool Changer for ER 14Pro</v>
      </c>
      <c r="C45" s="44">
        <v>9655</v>
      </c>
      <c r="D45" t="str">
        <f>"Not for purc"</f>
        <v>Not for purc</v>
      </c>
    </row>
    <row r="46" spans="1:4" ht="18" customHeight="1">
      <c r="A46" t="str">
        <f>"00-0646-0000"</f>
        <v>00-0646-0000</v>
      </c>
      <c r="B46" t="str">
        <f>"Pneumatic Gripper with I/O Box for Motoman MH5F"</f>
        <v>Pneumatic Gripper with I/O Box for Motoman MH5F</v>
      </c>
      <c r="C46" s="44">
        <v>3200</v>
      </c>
      <c r="D46" t="str">
        <f>"Active"</f>
        <v>Active</v>
      </c>
    </row>
    <row r="47" spans="1:4" ht="18" customHeight="1">
      <c r="A47" t="str">
        <f>"00-0647-0000"</f>
        <v>00-0647-0000</v>
      </c>
      <c r="B47" t="str">
        <f>"Pneumatic Gripper for 3rd party robots"</f>
        <v>Pneumatic Gripper for 3rd party robots</v>
      </c>
      <c r="C47" s="44">
        <v>3200</v>
      </c>
      <c r="D47" t="str">
        <f>"ECO-N2Buy"</f>
        <v>ECO-N2Buy</v>
      </c>
    </row>
    <row r="48" spans="1:4" ht="18" customHeight="1">
      <c r="A48" t="str">
        <f>"00-1000-0110"</f>
        <v>00-1000-0110</v>
      </c>
      <c r="B48" t="str">
        <f>"Bench Router 1000 16in x 24in HSS - 110V"</f>
        <v>Bench Router 1000 16in x 24in HSS - 110V</v>
      </c>
      <c r="C48" s="44">
        <v>6700</v>
      </c>
      <c r="D48" t="str">
        <f t="shared" ref="D48:D58" si="3">"Active"</f>
        <v>Active</v>
      </c>
    </row>
    <row r="49" spans="1:4" ht="18" customHeight="1">
      <c r="A49" t="str">
        <f>"00-1000-0220"</f>
        <v>00-1000-0220</v>
      </c>
      <c r="B49" t="str">
        <f>"Bench Router 1000 16in x 24in HSS - 220V"</f>
        <v>Bench Router 1000 16in x 24in HSS - 220V</v>
      </c>
      <c r="C49" s="44">
        <v>6700</v>
      </c>
      <c r="D49" t="str">
        <f t="shared" si="3"/>
        <v>Active</v>
      </c>
    </row>
    <row r="50" spans="1:4" ht="18" customHeight="1">
      <c r="A50" t="str">
        <f>"00-1009-0000"</f>
        <v>00-1009-0000</v>
      </c>
      <c r="B50" t="str">
        <f>"Rotary Index Table (24V)"</f>
        <v>Rotary Index Table (24V)</v>
      </c>
      <c r="C50" s="44">
        <v>1425</v>
      </c>
      <c r="D50" t="str">
        <f t="shared" si="3"/>
        <v>Active</v>
      </c>
    </row>
    <row r="51" spans="1:4" ht="18" customHeight="1">
      <c r="A51" t="str">
        <f>"00-1010-0000"</f>
        <v>00-1010-0000</v>
      </c>
      <c r="B51" t="str">
        <f>"Conveyor Belt tabletop"</f>
        <v>Conveyor Belt tabletop</v>
      </c>
      <c r="C51" s="44">
        <v>1986</v>
      </c>
      <c r="D51" t="str">
        <f t="shared" si="3"/>
        <v>Active</v>
      </c>
    </row>
    <row r="52" spans="1:4" ht="18" customHeight="1">
      <c r="A52" t="str">
        <f>"00-1013-0000"</f>
        <v>00-1013-0000</v>
      </c>
      <c r="B52" t="str">
        <f>"Linear Positioning Table 300mm"</f>
        <v>Linear Positioning Table 300mm</v>
      </c>
      <c r="C52" s="44">
        <v>2600</v>
      </c>
      <c r="D52" t="str">
        <f t="shared" si="3"/>
        <v>Active</v>
      </c>
    </row>
    <row r="53" spans="1:4" ht="18" customHeight="1">
      <c r="A53" t="str">
        <f>"00-1014-0000"</f>
        <v>00-1014-0000</v>
      </c>
      <c r="B53" t="str">
        <f>"XY Positioning Table (24V)"</f>
        <v>XY Positioning Table (24V)</v>
      </c>
      <c r="C53" s="44">
        <v>4934</v>
      </c>
      <c r="D53" t="str">
        <f t="shared" si="3"/>
        <v>Active</v>
      </c>
    </row>
    <row r="54" spans="1:4" ht="18" customHeight="1">
      <c r="A54" t="str">
        <f>"00-1016-0000"</f>
        <v>00-1016-0000</v>
      </c>
      <c r="B54" t="str">
        <f>"LSB 1.0m, Belt, FM"</f>
        <v>LSB 1.0m, Belt, FM</v>
      </c>
      <c r="C54" s="44">
        <v>7366</v>
      </c>
      <c r="D54" t="str">
        <f t="shared" si="3"/>
        <v>Active</v>
      </c>
    </row>
    <row r="55" spans="1:4" ht="18" customHeight="1">
      <c r="A55" t="str">
        <f>"00-1017-0000"</f>
        <v>00-1017-0000</v>
      </c>
      <c r="B55" t="str">
        <f>"LSB 1.8m, Belt, FM"</f>
        <v>LSB 1.8m, Belt, FM</v>
      </c>
      <c r="C55" s="44">
        <v>8267</v>
      </c>
      <c r="D55" t="str">
        <f t="shared" si="3"/>
        <v>Active</v>
      </c>
    </row>
    <row r="56" spans="1:4" ht="18" customHeight="1">
      <c r="A56" t="str">
        <f>"00-1020-0000"</f>
        <v>00-1020-0000</v>
      </c>
      <c r="B56" t="str">
        <f>"LSB 1.0m, Belt, TT"</f>
        <v>LSB 1.0m, Belt, TT</v>
      </c>
      <c r="C56" s="44">
        <v>5067</v>
      </c>
      <c r="D56" t="str">
        <f t="shared" si="3"/>
        <v>Active</v>
      </c>
    </row>
    <row r="57" spans="1:4" ht="18" customHeight="1">
      <c r="A57" t="str">
        <f>"00-1021-0000"</f>
        <v>00-1021-0000</v>
      </c>
      <c r="B57" t="str">
        <f>"LSB 1.8m, Belt, TT"</f>
        <v>LSB 1.8m, Belt, TT</v>
      </c>
      <c r="C57" s="44">
        <v>7467</v>
      </c>
      <c r="D57" t="str">
        <f t="shared" si="3"/>
        <v>Active</v>
      </c>
    </row>
    <row r="58" spans="1:4" ht="18" customHeight="1">
      <c r="A58" t="str">
        <f>"00-1023-0000"</f>
        <v>00-1023-0000</v>
      </c>
      <c r="B58" t="str">
        <f>"LSB 2.5m, Belt, FM"</f>
        <v>LSB 2.5m, Belt, FM</v>
      </c>
      <c r="C58" s="44">
        <v>9940</v>
      </c>
      <c r="D58" t="str">
        <f t="shared" si="3"/>
        <v>Active</v>
      </c>
    </row>
    <row r="59" spans="1:4" ht="18" customHeight="1">
      <c r="A59" t="str">
        <f>"00-1024-0000"</f>
        <v>00-1024-0000</v>
      </c>
      <c r="B59" t="str">
        <f>"LSB 3.0m, Belt, FM"</f>
        <v>LSB 3.0m, Belt, FM</v>
      </c>
      <c r="C59" s="44">
        <v>11200</v>
      </c>
      <c r="D59" t="str">
        <f>"ECO-N2Buy"</f>
        <v>ECO-N2Buy</v>
      </c>
    </row>
    <row r="60" spans="1:4" ht="18" customHeight="1">
      <c r="A60" t="str">
        <f>"00-1026-0000"</f>
        <v>00-1026-0000</v>
      </c>
      <c r="B60" t="str">
        <f>"LSB 1.0m, Belt, USB-Pro, for ind. robot &lt; 35kg"</f>
        <v>LSB 1.0m, Belt, USB-Pro, for ind. robot &lt; 35kg</v>
      </c>
      <c r="C60" s="44">
        <v>13500</v>
      </c>
      <c r="D60" t="str">
        <f>"Phase Out"</f>
        <v>Phase Out</v>
      </c>
    </row>
    <row r="61" spans="1:4" ht="18" customHeight="1">
      <c r="A61" t="str">
        <f>"00-1027-0000"</f>
        <v>00-1027-0000</v>
      </c>
      <c r="B61" t="str">
        <f>"LSB 1.8m, Belt, USB-Pro, for ind. robot &lt; 35kg)"</f>
        <v>LSB 1.8m, Belt, USB-Pro, for ind. robot &lt; 35kg)</v>
      </c>
      <c r="C61" s="44">
        <v>15300</v>
      </c>
      <c r="D61" t="str">
        <f>"Active"</f>
        <v>Active</v>
      </c>
    </row>
    <row r="62" spans="1:4" ht="18" customHeight="1">
      <c r="A62" t="str">
        <f>"00-1028-0000"</f>
        <v>00-1028-0000</v>
      </c>
      <c r="B62" t="str">
        <f>"LSB 1.8m, Screw, FM, XD, for ind. robot &lt; 50kg"</f>
        <v>LSB 1.8m, Screw, FM, XD, for ind. robot &lt; 50kg</v>
      </c>
      <c r="C62" s="44">
        <v>18880</v>
      </c>
      <c r="D62" t="str">
        <f>"ECO-N2Buy"</f>
        <v>ECO-N2Buy</v>
      </c>
    </row>
    <row r="63" spans="1:4" ht="18" customHeight="1">
      <c r="A63" t="str">
        <f>"00-1029-0000"</f>
        <v>00-1029-0000</v>
      </c>
      <c r="B63" t="str">
        <f>"LSB 1.0m, Screw, FM, XD, for ind. robot &lt; 50kg"</f>
        <v>LSB 1.0m, Screw, FM, XD, for ind. robot &lt; 50kg</v>
      </c>
      <c r="C63" s="44">
        <v>20000</v>
      </c>
      <c r="D63" t="str">
        <f>"ECO-N2Buy"</f>
        <v>ECO-N2Buy</v>
      </c>
    </row>
    <row r="64" spans="1:4" ht="18" customHeight="1">
      <c r="A64" t="str">
        <f>"00-1030-0000"</f>
        <v>00-1030-0000</v>
      </c>
      <c r="B64" t="str">
        <f>"LSB 3.0m, Belt, UG, XD, for ind. robot &lt; 50kg"</f>
        <v>LSB 3.0m, Belt, UG, XD, for ind. robot &lt; 50kg</v>
      </c>
      <c r="C64" s="44">
        <v>45000</v>
      </c>
      <c r="D64" t="str">
        <f>"ECO-N2Buy"</f>
        <v>ECO-N2Buy</v>
      </c>
    </row>
    <row r="65" spans="1:4" ht="18" customHeight="1">
      <c r="A65" t="str">
        <f>"00-1034-0000"</f>
        <v>00-1034-0000</v>
      </c>
      <c r="B65" t="str">
        <f>"LSB 4.5m, Belt, UG, XD, for ind. robot &lt; 150kg"</f>
        <v>LSB 4.5m, Belt, UG, XD, for ind. robot &lt; 150kg</v>
      </c>
      <c r="C65" s="44">
        <v>93600</v>
      </c>
      <c r="D65" t="str">
        <f>"ECO-N2Buy"</f>
        <v>ECO-N2Buy</v>
      </c>
    </row>
    <row r="66" spans="1:4" ht="18" customHeight="1">
      <c r="A66" t="str">
        <f>"00-1039-0000"</f>
        <v>00-1039-0000</v>
      </c>
      <c r="B66" t="str">
        <f>"LSB 3.0m, Belt, USB-Pro, for ind. robot &lt; 35kg"</f>
        <v>LSB 3.0m, Belt, USB-Pro, for ind. robot &lt; 35kg</v>
      </c>
      <c r="C66" s="44">
        <v>17300</v>
      </c>
      <c r="D66" t="str">
        <f t="shared" ref="D66:D71" si="4">"Active"</f>
        <v>Active</v>
      </c>
    </row>
    <row r="67" spans="1:4" ht="18" customHeight="1">
      <c r="A67" t="str">
        <f>"00-1110-0000"</f>
        <v>00-1110-0000</v>
      </c>
      <c r="B67" t="str">
        <f>"Palletizing Rack"</f>
        <v>Palletizing Rack</v>
      </c>
      <c r="C67">
        <v>580</v>
      </c>
      <c r="D67" t="str">
        <f t="shared" si="4"/>
        <v>Active</v>
      </c>
    </row>
    <row r="68" spans="1:4" ht="18" customHeight="1">
      <c r="A68" t="str">
        <f>"00-1121-0000"</f>
        <v>00-1121-0000</v>
      </c>
      <c r="B68" t="str">
        <f>"MicroASRS (6-bay Storage Rack)"</f>
        <v>MicroASRS (6-bay Storage Rack)</v>
      </c>
      <c r="C68" s="44">
        <v>1134</v>
      </c>
      <c r="D68" t="str">
        <f t="shared" si="4"/>
        <v>Active</v>
      </c>
    </row>
    <row r="69" spans="1:4" ht="18" customHeight="1">
      <c r="A69" t="str">
        <f>"00-1201-0000"</f>
        <v>00-1201-0000</v>
      </c>
      <c r="B69" t="str">
        <f>"I/O Experiment Table"</f>
        <v>I/O Experiment Table</v>
      </c>
      <c r="C69">
        <v>615</v>
      </c>
      <c r="D69" t="str">
        <f t="shared" si="4"/>
        <v>Active</v>
      </c>
    </row>
    <row r="70" spans="1:4" ht="18" customHeight="1">
      <c r="A70" t="str">
        <f>"00-1203-0000"</f>
        <v>00-1203-0000</v>
      </c>
      <c r="B70" t="str">
        <f>"Photoelectric Sensor for Belt Conveyor"</f>
        <v>Photoelectric Sensor for Belt Conveyor</v>
      </c>
      <c r="C70">
        <v>295</v>
      </c>
      <c r="D70" t="str">
        <f t="shared" si="4"/>
        <v>Active</v>
      </c>
    </row>
    <row r="71" spans="1:4" ht="18" customHeight="1">
      <c r="A71" t="str">
        <f>"00-1209-0000"</f>
        <v>00-1209-0000</v>
      </c>
      <c r="B71" t="str">
        <f>"Photoelectric Sensor for Rotary Index Table"</f>
        <v>Photoelectric Sensor for Rotary Index Table</v>
      </c>
      <c r="C71">
        <v>506</v>
      </c>
      <c r="D71" t="str">
        <f t="shared" si="4"/>
        <v>Active</v>
      </c>
    </row>
    <row r="72" spans="1:4" ht="18" customHeight="1">
      <c r="A72" t="str">
        <f>"00-1221-0000"</f>
        <v>00-1221-0000</v>
      </c>
      <c r="B72" t="str">
        <f>"Ball Game Set (Assembly with screws)"</f>
        <v>Ball Game Set (Assembly with screws)</v>
      </c>
      <c r="C72">
        <v>85</v>
      </c>
      <c r="D72" t="str">
        <f>"Phase Out"</f>
        <v>Phase Out</v>
      </c>
    </row>
    <row r="73" spans="1:4" ht="18" customHeight="1">
      <c r="A73" t="str">
        <f>"00-1230-0000"</f>
        <v>00-1230-0000</v>
      </c>
      <c r="B73" t="str">
        <f>"Ball Feeder (incl. sensor for ball counting)"</f>
        <v>Ball Feeder (incl. sensor for ball counting)</v>
      </c>
      <c r="C73" s="44">
        <v>2585</v>
      </c>
      <c r="D73" t="str">
        <f t="shared" ref="D73:D91" si="5">"Active"</f>
        <v>Active</v>
      </c>
    </row>
    <row r="74" spans="1:4" ht="18" customHeight="1">
      <c r="A74" t="str">
        <f>"00-1234-0000"</f>
        <v>00-1234-0000</v>
      </c>
      <c r="B74" t="str">
        <f>"DC Servo Motor Kit 24V, 127.7:1 Ratio"</f>
        <v>DC Servo Motor Kit 24V, 127.7:1 Ratio</v>
      </c>
      <c r="C74">
        <v>475</v>
      </c>
      <c r="D74" t="str">
        <f t="shared" si="5"/>
        <v>Active</v>
      </c>
    </row>
    <row r="75" spans="1:4" ht="18" customHeight="1">
      <c r="A75" t="str">
        <f>"00-1236-0000"</f>
        <v>00-1236-0000</v>
      </c>
      <c r="B75" t="str">
        <f>"Automatic Glue Dispenser"</f>
        <v>Automatic Glue Dispenser</v>
      </c>
      <c r="C75" s="44">
        <v>6335</v>
      </c>
      <c r="D75" t="str">
        <f t="shared" si="5"/>
        <v>Active</v>
      </c>
    </row>
    <row r="76" spans="1:4" ht="18" customHeight="1">
      <c r="A76" t="str">
        <f>"00-1239-0000"</f>
        <v>00-1239-0000</v>
      </c>
      <c r="B76" t="str">
        <f>"Automatic Screwdriver &amp; Screw Feeder, 110V"</f>
        <v>Automatic Screwdriver &amp; Screw Feeder, 110V</v>
      </c>
      <c r="C76" s="44">
        <v>39360</v>
      </c>
      <c r="D76" t="str">
        <f t="shared" si="5"/>
        <v>Active</v>
      </c>
    </row>
    <row r="77" spans="1:4" ht="18" customHeight="1">
      <c r="A77" t="str">
        <f>"00-1241-0000"</f>
        <v>00-1241-0000</v>
      </c>
      <c r="B77" t="str">
        <f>"Adapter Mounting Plate for ER9/14Pro &amp; HP3"</f>
        <v>Adapter Mounting Plate for ER9/14Pro &amp; HP3</v>
      </c>
      <c r="C77">
        <v>467</v>
      </c>
      <c r="D77" t="str">
        <f t="shared" si="5"/>
        <v>Active</v>
      </c>
    </row>
    <row r="78" spans="1:4" ht="18" customHeight="1">
      <c r="A78" t="str">
        <f>"00-1243-0000"</f>
        <v>00-1243-0000</v>
      </c>
      <c r="B78" t="str">
        <f>"Ball Game Set (Assembly with Plastic Pins)"</f>
        <v>Ball Game Set (Assembly with Plastic Pins)</v>
      </c>
      <c r="C78">
        <v>92</v>
      </c>
      <c r="D78" t="str">
        <f t="shared" si="5"/>
        <v>Active</v>
      </c>
    </row>
    <row r="79" spans="1:4" ht="18" customHeight="1">
      <c r="A79" t="str">
        <f>"00-1249-0000"</f>
        <v>00-1249-0000</v>
      </c>
      <c r="B79" t="str">
        <f>"Workbench 1500x800mm (slotted aluminum top)"</f>
        <v>Workbench 1500x800mm (slotted aluminum top)</v>
      </c>
      <c r="C79" s="44">
        <v>2760</v>
      </c>
      <c r="D79" t="str">
        <f t="shared" si="5"/>
        <v>Active</v>
      </c>
    </row>
    <row r="80" spans="1:4" ht="18" customHeight="1">
      <c r="A80" t="str">
        <f>"00-1250-0000"</f>
        <v>00-1250-0000</v>
      </c>
      <c r="B80" t="str">
        <f>"Workbench 1800x800mm (Formica Top)"</f>
        <v>Workbench 1800x800mm (Formica Top)</v>
      </c>
      <c r="C80" s="44">
        <v>1667</v>
      </c>
      <c r="D80" t="str">
        <f t="shared" si="5"/>
        <v>Active</v>
      </c>
    </row>
    <row r="81" spans="1:4" ht="18" customHeight="1">
      <c r="A81" t="str">
        <f>"00-1251-0000"</f>
        <v>00-1251-0000</v>
      </c>
      <c r="B81" t="str">
        <f>"Workbench 1500x800mm (Formica Top)"</f>
        <v>Workbench 1500x800mm (Formica Top)</v>
      </c>
      <c r="C81" s="44">
        <v>1800</v>
      </c>
      <c r="D81" t="str">
        <f t="shared" si="5"/>
        <v>Active</v>
      </c>
    </row>
    <row r="82" spans="1:4" ht="18" customHeight="1">
      <c r="A82" t="str">
        <f>"00-1254-0000"</f>
        <v>00-1254-0000</v>
      </c>
      <c r="B82" t="str">
        <f>"Automated Stationary Caliper Unit"</f>
        <v>Automated Stationary Caliper Unit</v>
      </c>
      <c r="C82" s="44">
        <v>3120</v>
      </c>
      <c r="D82" t="str">
        <f t="shared" si="5"/>
        <v>Active</v>
      </c>
    </row>
    <row r="83" spans="1:4" ht="18" customHeight="1">
      <c r="A83" t="str">
        <f>"00-1260-0000"</f>
        <v>00-1260-0000</v>
      </c>
      <c r="B83" t="str">
        <f>"PC Extension Shelf  600x800mm"</f>
        <v>PC Extension Shelf  600x800mm</v>
      </c>
      <c r="C83">
        <v>480</v>
      </c>
      <c r="D83" t="str">
        <f t="shared" si="5"/>
        <v>Active</v>
      </c>
    </row>
    <row r="84" spans="1:4" ht="18" customHeight="1">
      <c r="A84" t="str">
        <f>"00-1261-0000"</f>
        <v>00-1261-0000</v>
      </c>
      <c r="B84" t="str">
        <f>"Workbench 1800x900mm (Heavy duty for CNC)"</f>
        <v>Workbench 1800x900mm (Heavy duty for CNC)</v>
      </c>
      <c r="C84" s="44">
        <v>3280</v>
      </c>
      <c r="D84" t="str">
        <f t="shared" si="5"/>
        <v>Active</v>
      </c>
    </row>
    <row r="85" spans="1:4" ht="18" customHeight="1">
      <c r="A85" t="str">
        <f>"00-1265-0000"</f>
        <v>00-1265-0000</v>
      </c>
      <c r="B85" t="str">
        <f>"PC Extension Shelf  600x900mm"</f>
        <v>PC Extension Shelf  600x900mm</v>
      </c>
      <c r="C85">
        <v>516</v>
      </c>
      <c r="D85" t="str">
        <f t="shared" si="5"/>
        <v>Active</v>
      </c>
    </row>
    <row r="86" spans="1:4" ht="18" customHeight="1">
      <c r="A86" t="str">
        <f>"00-1270-0000"</f>
        <v>00-1270-0000</v>
      </c>
      <c r="B86" t="str">
        <f>"PC Extension Vertical 600x900mm"</f>
        <v>PC Extension Vertical 600x900mm</v>
      </c>
      <c r="C86">
        <v>480</v>
      </c>
      <c r="D86" t="str">
        <f t="shared" si="5"/>
        <v>Active</v>
      </c>
    </row>
    <row r="87" spans="1:4" ht="18" customHeight="1">
      <c r="A87" t="str">
        <f>"00-1280-0000"</f>
        <v>00-1280-0000</v>
      </c>
      <c r="B87" t="str">
        <f>"Stand for ER9/ER14 (ITEM Profiles)"</f>
        <v>Stand for ER9/ER14 (ITEM Profiles)</v>
      </c>
      <c r="C87" s="44">
        <v>1067</v>
      </c>
      <c r="D87" t="str">
        <f t="shared" si="5"/>
        <v>Active</v>
      </c>
    </row>
    <row r="88" spans="1:4" ht="18" customHeight="1">
      <c r="A88" t="str">
        <f>"00-1284-0000"</f>
        <v>00-1284-0000</v>
      </c>
      <c r="B88" t="str">
        <f>"Robot Pedestal Welded for ER9/14Pro&amp;MH5"</f>
        <v>Robot Pedestal Welded for ER9/14Pro&amp;MH5</v>
      </c>
      <c r="C88" s="44">
        <v>2000</v>
      </c>
      <c r="D88" t="str">
        <f t="shared" si="5"/>
        <v>Active</v>
      </c>
    </row>
    <row r="89" spans="1:4" ht="18" customHeight="1">
      <c r="A89" t="str">
        <f>"00-1290-0000"</f>
        <v>00-1290-0000</v>
      </c>
      <c r="B89" t="str">
        <f>"PC Table 630x800mm (with Keyboard Drawer)"</f>
        <v>PC Table 630x800mm (with Keyboard Drawer)</v>
      </c>
      <c r="C89">
        <v>934</v>
      </c>
      <c r="D89" t="str">
        <f t="shared" si="5"/>
        <v>Active</v>
      </c>
    </row>
    <row r="90" spans="1:4" ht="18" customHeight="1">
      <c r="A90" t="str">
        <f>"00-1293-0000"</f>
        <v>00-1293-0000</v>
      </c>
      <c r="B90" t="str">
        <f>"Mobile Workbench 1500x1140mm (incl. Wheels)"</f>
        <v>Mobile Workbench 1500x1140mm (incl. Wheels)</v>
      </c>
      <c r="C90" s="44">
        <v>2400</v>
      </c>
      <c r="D90" t="str">
        <f t="shared" si="5"/>
        <v>Active</v>
      </c>
    </row>
    <row r="91" spans="1:4" ht="18" customHeight="1">
      <c r="A91" t="str">
        <f>"00-1422-0000"</f>
        <v>00-1422-0000</v>
      </c>
      <c r="B91" t="str">
        <f>"Viewflex for QC (Stand 400mm)"</f>
        <v>Viewflex for QC (Stand 400mm)</v>
      </c>
      <c r="C91" s="44">
        <v>3885</v>
      </c>
      <c r="D91" t="str">
        <f t="shared" si="5"/>
        <v>Active</v>
      </c>
    </row>
    <row r="92" spans="1:4" ht="18" customHeight="1">
      <c r="A92" t="str">
        <f>"00-1423-0000"</f>
        <v>00-1423-0000</v>
      </c>
      <c r="B92" t="str">
        <f>"Viewflex for AGV &amp;QC (Stand 1300mm)"</f>
        <v>Viewflex for AGV &amp;QC (Stand 1300mm)</v>
      </c>
      <c r="C92" s="44">
        <v>1680</v>
      </c>
      <c r="D92" t="str">
        <f>"ECO-N2Buy"</f>
        <v>ECO-N2Buy</v>
      </c>
    </row>
    <row r="93" spans="1:4" ht="18" customHeight="1">
      <c r="A93" t="str">
        <f>"00-1425-0000"</f>
        <v>00-1425-0000</v>
      </c>
      <c r="B93" t="str">
        <f>"Viewflex for QC on Conveyor (Stand 400mm)"</f>
        <v>Viewflex for QC on Conveyor (Stand 400mm)</v>
      </c>
      <c r="C93" s="44">
        <v>2000</v>
      </c>
      <c r="D93" t="str">
        <f>"ECO-N2Buy"</f>
        <v>ECO-N2Buy</v>
      </c>
    </row>
    <row r="94" spans="1:4" ht="18" customHeight="1">
      <c r="A94" t="str">
        <f>"00-1426-0000"</f>
        <v>00-1426-0000</v>
      </c>
      <c r="B94" t="str">
        <f>"Viewflex - Machine Vision (Stand 1000mm)"</f>
        <v>Viewflex - Machine Vision (Stand 1000mm)</v>
      </c>
      <c r="C94" s="44">
        <v>4195</v>
      </c>
      <c r="D94" t="str">
        <f t="shared" ref="D94:D124" si="6">"Active"</f>
        <v>Active</v>
      </c>
    </row>
    <row r="95" spans="1:4" ht="18" customHeight="1">
      <c r="A95" t="str">
        <f>"00-1500-0001"</f>
        <v>00-1500-0001</v>
      </c>
      <c r="B95" t="str">
        <f>"CytonE 1500"</f>
        <v>CytonE 1500</v>
      </c>
      <c r="C95" s="44">
        <v>11900</v>
      </c>
      <c r="D95" t="str">
        <f t="shared" si="6"/>
        <v>Active</v>
      </c>
    </row>
    <row r="96" spans="1:4" ht="18" customHeight="1">
      <c r="A96" t="str">
        <f>"00-1500-DEMO"</f>
        <v>00-1500-DEMO</v>
      </c>
      <c r="B96" t="str">
        <f>"Demo CytonE 1500 &amp; 1 seat ACTIN"</f>
        <v>Demo CytonE 1500 &amp; 1 seat ACTIN</v>
      </c>
      <c r="C96" s="44">
        <v>9330</v>
      </c>
      <c r="D96" t="str">
        <f t="shared" si="6"/>
        <v>Active</v>
      </c>
    </row>
    <row r="97" spans="1:4" ht="18" customHeight="1">
      <c r="A97" t="str">
        <f>"00-1710-0000"</f>
        <v>00-1710-0000</v>
      </c>
      <c r="B97" t="str">
        <f>"Teach Pendant"</f>
        <v>Teach Pendant</v>
      </c>
      <c r="C97" s="44">
        <v>1680</v>
      </c>
      <c r="D97" t="str">
        <f t="shared" si="6"/>
        <v>Active</v>
      </c>
    </row>
    <row r="98" spans="1:4" ht="18" customHeight="1">
      <c r="A98" t="str">
        <f>"00-1904-0000"</f>
        <v>00-1904-0000</v>
      </c>
      <c r="B98" t="str">
        <f>"PneuFlex 1 - Pneumatic Trainer w T-slot panel"</f>
        <v>PneuFlex 1 - Pneumatic Trainer w T-slot panel</v>
      </c>
      <c r="C98" s="44">
        <v>6395</v>
      </c>
      <c r="D98" t="str">
        <f t="shared" si="6"/>
        <v>Active</v>
      </c>
    </row>
    <row r="99" spans="1:4" ht="18" customHeight="1">
      <c r="A99" t="str">
        <f>"00-1905-0000"</f>
        <v>00-1905-0000</v>
      </c>
      <c r="B99" t="str">
        <f>"PneuFlex 2 - Advanced Pneumatics Component set"</f>
        <v>PneuFlex 2 - Advanced Pneumatics Component set</v>
      </c>
      <c r="C99" s="44">
        <v>2667</v>
      </c>
      <c r="D99" t="str">
        <f t="shared" si="6"/>
        <v>Active</v>
      </c>
    </row>
    <row r="100" spans="1:4" ht="18" customHeight="1">
      <c r="A100" t="str">
        <f>"00-1906-0000"</f>
        <v>00-1906-0000</v>
      </c>
      <c r="B100" t="str">
        <f>"PneuFlex 3 - Electro - Pneumatics Component set"</f>
        <v>PneuFlex 3 - Electro - Pneumatics Component set</v>
      </c>
      <c r="C100" s="44">
        <v>2934</v>
      </c>
      <c r="D100" t="str">
        <f t="shared" si="6"/>
        <v>Active</v>
      </c>
    </row>
    <row r="101" spans="1:4" ht="18" customHeight="1">
      <c r="A101" t="str">
        <f>"00-2000-0001"</f>
        <v>00-2000-0001</v>
      </c>
      <c r="B101" t="str">
        <f>"Mechatronics with LabVIEW Robotics Kit"</f>
        <v>Mechatronics with LabVIEW Robotics Kit</v>
      </c>
      <c r="C101" s="44">
        <v>1200</v>
      </c>
      <c r="D101" t="str">
        <f t="shared" si="6"/>
        <v>Active</v>
      </c>
    </row>
    <row r="102" spans="1:4" ht="18" customHeight="1">
      <c r="A102" t="str">
        <f>"00-2000-0002"</f>
        <v>00-2000-0002</v>
      </c>
      <c r="B102" t="str">
        <f>"MyRIO Controller"</f>
        <v>MyRIO Controller</v>
      </c>
      <c r="C102">
        <v>499</v>
      </c>
      <c r="D102" t="str">
        <f t="shared" si="6"/>
        <v>Active</v>
      </c>
    </row>
    <row r="103" spans="1:4" ht="18" customHeight="1">
      <c r="A103" t="str">
        <f>"00-2044-0220"</f>
        <v>00-2044-0220</v>
      </c>
      <c r="B103" t="str">
        <f>"Pro Router 2000 4ft x 4ft HSS - 220V"</f>
        <v>Pro Router 2000 4ft x 4ft HSS - 220V</v>
      </c>
      <c r="C103" s="44">
        <v>18700</v>
      </c>
      <c r="D103" t="str">
        <f t="shared" si="6"/>
        <v>Active</v>
      </c>
    </row>
    <row r="104" spans="1:4" ht="18" customHeight="1">
      <c r="A104" t="str">
        <f>"00-2048-0220"</f>
        <v>00-2048-0220</v>
      </c>
      <c r="B104" t="str">
        <f>"Pro Router 2100 4ft x 8ft HSS - 220V"</f>
        <v>Pro Router 2100 4ft x 8ft HSS - 220V</v>
      </c>
      <c r="C104" s="44">
        <v>20700</v>
      </c>
      <c r="D104" t="str">
        <f t="shared" si="6"/>
        <v>Active</v>
      </c>
    </row>
    <row r="105" spans="1:4" ht="18" customHeight="1">
      <c r="A105" t="str">
        <f>"00-2105-0000"</f>
        <v>00-2105-0000</v>
      </c>
      <c r="B105" t="str">
        <f>"HydraFlex H1 Basic Hydraulics incl. panel"</f>
        <v>HydraFlex H1 Basic Hydraulics incl. panel</v>
      </c>
      <c r="C105" s="44">
        <v>8435</v>
      </c>
      <c r="D105" t="str">
        <f t="shared" si="6"/>
        <v>Active</v>
      </c>
    </row>
    <row r="106" spans="1:4" ht="18" customHeight="1">
      <c r="A106" t="str">
        <f>"00-2106-0000"</f>
        <v>00-2106-0000</v>
      </c>
      <c r="B106" t="str">
        <f>"HydraFlex H2 - Advanced Hydraulic add-on kit"</f>
        <v>HydraFlex H2 - Advanced Hydraulic add-on kit</v>
      </c>
      <c r="C106" s="44">
        <v>3734</v>
      </c>
      <c r="D106" t="str">
        <f t="shared" si="6"/>
        <v>Active</v>
      </c>
    </row>
    <row r="107" spans="1:4" ht="18" customHeight="1">
      <c r="A107" t="str">
        <f>"00-2107-0000"</f>
        <v>00-2107-0000</v>
      </c>
      <c r="B107" t="str">
        <f>"HydraFlex H3 - Electro-Hydraulics add-on kit"</f>
        <v>HydraFlex H3 - Electro-Hydraulics add-on kit</v>
      </c>
      <c r="C107" s="44">
        <v>2000</v>
      </c>
      <c r="D107" t="str">
        <f t="shared" si="6"/>
        <v>Active</v>
      </c>
    </row>
    <row r="108" spans="1:4" ht="18" customHeight="1">
      <c r="A108" t="str">
        <f>"00-3014-0000"</f>
        <v>00-3014-0000</v>
      </c>
      <c r="B108" t="str">
        <f>"SensorLine - Sensor Technology Training Panel"</f>
        <v>SensorLine - Sensor Technology Training Panel</v>
      </c>
      <c r="C108" s="44">
        <v>4267</v>
      </c>
      <c r="D108" t="str">
        <f t="shared" si="6"/>
        <v>Active</v>
      </c>
    </row>
    <row r="109" spans="1:4" ht="18" customHeight="1">
      <c r="A109" t="str">
        <f>"00-3031-0000"</f>
        <v>00-3031-0000</v>
      </c>
      <c r="B109" t="str">
        <f>"PLC A/B Micrologix for HyraFlex/PneuFlex"</f>
        <v>PLC A/B Micrologix for HyraFlex/PneuFlex</v>
      </c>
      <c r="C109" s="44">
        <v>1400</v>
      </c>
      <c r="D109" t="str">
        <f t="shared" si="6"/>
        <v>Active</v>
      </c>
    </row>
    <row r="110" spans="1:4" ht="18" customHeight="1">
      <c r="A110" t="str">
        <f>"00-3053-0000"</f>
        <v>00-3053-0000</v>
      </c>
      <c r="B110" t="str">
        <f>"PLC Line Panel A/B SLC 500, 115V"</f>
        <v>PLC Line Panel A/B SLC 500, 115V</v>
      </c>
      <c r="C110" s="44">
        <v>10400</v>
      </c>
      <c r="D110" t="str">
        <f t="shared" si="6"/>
        <v>Active</v>
      </c>
    </row>
    <row r="111" spans="1:4" ht="18" customHeight="1">
      <c r="A111" t="str">
        <f>"00-3054-0000"</f>
        <v>00-3054-0000</v>
      </c>
      <c r="B111" t="str">
        <f>"PLC Line Panel  A/B SLC 500, 230V"</f>
        <v>PLC Line Panel  A/B SLC 500, 230V</v>
      </c>
      <c r="C111" s="44">
        <v>10400</v>
      </c>
      <c r="D111" t="str">
        <f t="shared" si="6"/>
        <v>Active</v>
      </c>
    </row>
    <row r="112" spans="1:4" ht="18" customHeight="1">
      <c r="A112" t="str">
        <f>"00-3055-0000"</f>
        <v>00-3055-0000</v>
      </c>
      <c r="B112" t="str">
        <f>"Automated Welding for ER4U (Stand Alone)"</f>
        <v>Automated Welding for ER4U (Stand Alone)</v>
      </c>
      <c r="C112" s="44">
        <v>14400</v>
      </c>
      <c r="D112" t="str">
        <f t="shared" si="6"/>
        <v>Active</v>
      </c>
    </row>
    <row r="113" spans="1:4" ht="18" customHeight="1">
      <c r="A113" t="str">
        <f>"00-3075-0000"</f>
        <v>00-3075-0000</v>
      </c>
      <c r="B113" t="str">
        <f>"PLCLine Panel with A/B MicroLogix PLC"</f>
        <v>PLCLine Panel with A/B MicroLogix PLC</v>
      </c>
      <c r="C113" s="44">
        <v>5867</v>
      </c>
      <c r="D113" t="str">
        <f t="shared" si="6"/>
        <v>Active</v>
      </c>
    </row>
    <row r="114" spans="1:4" ht="18" customHeight="1">
      <c r="A114" t="str">
        <f>"00-3085-0000"</f>
        <v>00-3085-0000</v>
      </c>
      <c r="B114" t="str">
        <f>"Automated Welding booth for ER9Pro/MH5"</f>
        <v>Automated Welding booth for ER9Pro/MH5</v>
      </c>
      <c r="C114" s="44">
        <v>15120</v>
      </c>
      <c r="D114" t="str">
        <f t="shared" si="6"/>
        <v>Active</v>
      </c>
    </row>
    <row r="115" spans="1:4" ht="18" customHeight="1">
      <c r="A115" t="str">
        <f>"00-4006-0000"</f>
        <v>00-4006-0000</v>
      </c>
      <c r="B115" t="str">
        <f>"Thermoforming Machine 911"</f>
        <v>Thermoforming Machine 911</v>
      </c>
      <c r="C115" s="44">
        <v>25000</v>
      </c>
      <c r="D115" t="str">
        <f t="shared" si="6"/>
        <v>Active</v>
      </c>
    </row>
    <row r="116" spans="1:4" ht="18" customHeight="1">
      <c r="A116" t="str">
        <f>"00-4026-0000"</f>
        <v>00-4026-0000</v>
      </c>
      <c r="B116" t="str">
        <f>"Accessories for ViewFlex, Vision and QC"</f>
        <v>Accessories for ViewFlex, Vision and QC</v>
      </c>
      <c r="C116">
        <v>69</v>
      </c>
      <c r="D116" t="str">
        <f t="shared" si="6"/>
        <v>Active</v>
      </c>
    </row>
    <row r="117" spans="1:4" ht="18" customHeight="1">
      <c r="A117" t="str">
        <f>"00-4039-0000"</f>
        <v>00-4039-0000</v>
      </c>
      <c r="B117" t="str">
        <f>"LSM - Laser Scan Meter"</f>
        <v>LSM - Laser Scan Meter</v>
      </c>
      <c r="C117" s="44">
        <v>22810</v>
      </c>
      <c r="D117" t="str">
        <f t="shared" si="6"/>
        <v>Active</v>
      </c>
    </row>
    <row r="118" spans="1:4" ht="18" customHeight="1">
      <c r="A118" t="str">
        <f>"00-4040-0000"</f>
        <v>00-4040-0000</v>
      </c>
      <c r="B118" t="str">
        <f>"Laser Engraver VLS 3.60"</f>
        <v>Laser Engraver VLS 3.60</v>
      </c>
      <c r="C118" s="44">
        <v>46000</v>
      </c>
      <c r="D118" t="str">
        <f t="shared" si="6"/>
        <v>Active</v>
      </c>
    </row>
    <row r="119" spans="1:4" ht="18" customHeight="1">
      <c r="A119" t="str">
        <f>"00-5501-0110"</f>
        <v>00-5501-0110</v>
      </c>
      <c r="B119" t="str">
        <f>"CNC ProTurn 9000 AC 110V"</f>
        <v>CNC ProTurn 9000 AC 110V</v>
      </c>
      <c r="C119" s="44">
        <v>20994</v>
      </c>
      <c r="D119" t="str">
        <f t="shared" si="6"/>
        <v>Active</v>
      </c>
    </row>
    <row r="120" spans="1:4" ht="18" customHeight="1">
      <c r="A120" t="str">
        <f>"00-5501-0220"</f>
        <v>00-5501-0220</v>
      </c>
      <c r="B120" t="str">
        <f>"CNC ProTurn 9000 AC 220V"</f>
        <v>CNC ProTurn 9000 AC 220V</v>
      </c>
      <c r="C120" s="44">
        <v>20994</v>
      </c>
      <c r="D120" t="str">
        <f t="shared" si="6"/>
        <v>Active</v>
      </c>
    </row>
    <row r="121" spans="1:4" ht="18" customHeight="1">
      <c r="A121" t="str">
        <f>"00-5504-0110"</f>
        <v>00-5504-0110</v>
      </c>
      <c r="B121" t="str">
        <f>"CNC BenchTurn 7000  110V"</f>
        <v>CNC BenchTurn 7000  110V</v>
      </c>
      <c r="C121" s="44">
        <v>14934</v>
      </c>
      <c r="D121" t="str">
        <f t="shared" si="6"/>
        <v>Active</v>
      </c>
    </row>
    <row r="122" spans="1:4" ht="18" customHeight="1">
      <c r="A122" t="str">
        <f>"00-5504-0220"</f>
        <v>00-5504-0220</v>
      </c>
      <c r="B122" t="str">
        <f>"CNC BenchTurn 7000 220V"</f>
        <v>CNC BenchTurn 7000 220V</v>
      </c>
      <c r="C122" s="44">
        <v>14934</v>
      </c>
      <c r="D122" t="str">
        <f t="shared" si="6"/>
        <v>Active</v>
      </c>
    </row>
    <row r="123" spans="1:4" ht="18" customHeight="1">
      <c r="A123" t="str">
        <f>"00-5505-0110"</f>
        <v>00-5505-0110</v>
      </c>
      <c r="B123" t="str">
        <f>"CNC BenchMILL 6000, 110 VAC"</f>
        <v>CNC BenchMILL 6000, 110 VAC</v>
      </c>
      <c r="C123" s="44">
        <v>14934</v>
      </c>
      <c r="D123" t="str">
        <f t="shared" si="6"/>
        <v>Active</v>
      </c>
    </row>
    <row r="124" spans="1:4" ht="18" customHeight="1">
      <c r="A124" t="str">
        <f>"00-5505-0220"</f>
        <v>00-5505-0220</v>
      </c>
      <c r="B124" t="str">
        <f>"CNC BenchMILL 6000, 220 VAC"</f>
        <v>CNC BenchMILL 6000, 220 VAC</v>
      </c>
      <c r="C124" s="44">
        <v>14934</v>
      </c>
      <c r="D124" t="str">
        <f t="shared" si="6"/>
        <v>Active</v>
      </c>
    </row>
    <row r="125" spans="1:4" ht="18" customHeight="1">
      <c r="A125" t="str">
        <f>"00-5507-0110"</f>
        <v>00-5507-0110</v>
      </c>
      <c r="B125" t="str">
        <f>"CNC ProMill 8000 AC 110V"</f>
        <v>CNC ProMill 8000 AC 110V</v>
      </c>
      <c r="C125" s="44">
        <v>20795</v>
      </c>
      <c r="D125" t="str">
        <f>"Phase Out"</f>
        <v>Phase Out</v>
      </c>
    </row>
    <row r="126" spans="1:4" ht="18" customHeight="1">
      <c r="A126" t="str">
        <f>"00-5507-0220"</f>
        <v>00-5507-0220</v>
      </c>
      <c r="B126" t="str">
        <f>"CNC ProMill 8000 AC 220V"</f>
        <v>CNC ProMill 8000 AC 220V</v>
      </c>
      <c r="C126" s="44">
        <v>20795</v>
      </c>
      <c r="D126" t="str">
        <f>"Phase Out"</f>
        <v>Phase Out</v>
      </c>
    </row>
    <row r="127" spans="1:4" ht="18" customHeight="1">
      <c r="A127" t="str">
        <f>"00-5509-0110"</f>
        <v>00-5509-0110</v>
      </c>
      <c r="B127" t="str">
        <f>"ProMill 8000 AC with 12 Tool ATC"</f>
        <v>ProMill 8000 AC with 12 Tool ATC</v>
      </c>
      <c r="C127" s="44">
        <v>26667</v>
      </c>
      <c r="D127" t="str">
        <f>"Active"</f>
        <v>Active</v>
      </c>
    </row>
    <row r="128" spans="1:4" ht="18" customHeight="1">
      <c r="A128" t="str">
        <f>"00-5509-0220"</f>
        <v>00-5509-0220</v>
      </c>
      <c r="B128" t="str">
        <f>"ProMill 8000 AC with 12 Tool ATC"</f>
        <v>ProMill 8000 AC with 12 Tool ATC</v>
      </c>
      <c r="C128" s="44">
        <v>26667</v>
      </c>
      <c r="D128" t="str">
        <f>"Active"</f>
        <v>Active</v>
      </c>
    </row>
    <row r="129" spans="1:4" ht="18" customHeight="1">
      <c r="A129" t="str">
        <f>"00-7118-0000"</f>
        <v>00-7118-0000</v>
      </c>
      <c r="B129" t="str">
        <f>"H/W for LMate Lab Mechanisms"</f>
        <v>H/W for LMate Lab Mechanisms</v>
      </c>
      <c r="C129" s="44">
        <v>1154</v>
      </c>
      <c r="D129" t="str">
        <f>"Inactive"</f>
        <v>Inactive</v>
      </c>
    </row>
    <row r="130" spans="1:4" ht="18" customHeight="1">
      <c r="A130" t="str">
        <f>"00-ME10-0000"</f>
        <v>00-ME10-0000</v>
      </c>
      <c r="B130" t="str">
        <f>"Assembly, JM, Mechanical Two-Student Add-on,120V"</f>
        <v>Assembly, JM, Mechanical Two-Student Add-on,120V</v>
      </c>
      <c r="C130" s="44">
        <v>23334</v>
      </c>
      <c r="D130" t="str">
        <f>"Active"</f>
        <v>Active</v>
      </c>
    </row>
    <row r="131" spans="1:4" ht="18" customHeight="1">
      <c r="A131" t="str">
        <f>"00-ME10-0002"</f>
        <v>00-ME10-0002</v>
      </c>
      <c r="B131" t="str">
        <f>"Assembly, JM, Mechanical Two-Student Add-on,220V"</f>
        <v>Assembly, JM, Mechanical Two-Student Add-on,220V</v>
      </c>
      <c r="C131" s="44">
        <v>23334</v>
      </c>
      <c r="D131" t="str">
        <f>"Active"</f>
        <v>Active</v>
      </c>
    </row>
    <row r="132" spans="1:4" ht="18" customHeight="1">
      <c r="A132" t="str">
        <f>"00-ME10-1000"</f>
        <v>00-ME10-1000</v>
      </c>
      <c r="B132" t="str">
        <f>"Assembly, JM, Mechanical Training Bench, 120V"</f>
        <v>Assembly, JM, Mechanical Training Bench, 120V</v>
      </c>
      <c r="C132" s="44">
        <v>26134</v>
      </c>
      <c r="D132" t="str">
        <f>"ECO-N2Buy"</f>
        <v>ECO-N2Buy</v>
      </c>
    </row>
    <row r="133" spans="1:4" ht="18" customHeight="1">
      <c r="A133" t="str">
        <f>"00-ME10-1002"</f>
        <v>00-ME10-1002</v>
      </c>
      <c r="B133" t="str">
        <f>"Assembly, JM, Mechanical Training Bench, 220V"</f>
        <v>Assembly, JM, Mechanical Training Bench, 220V</v>
      </c>
      <c r="C133" s="44">
        <v>26134</v>
      </c>
      <c r="D133" t="str">
        <f t="shared" ref="D133:D151" si="7">"Active"</f>
        <v>Active</v>
      </c>
    </row>
    <row r="134" spans="1:4" ht="18" customHeight="1">
      <c r="A134" t="str">
        <f>"00-ME11-1000"</f>
        <v>00-ME11-1000</v>
      </c>
      <c r="B134" t="str">
        <f>"Assembly, JM, Add-on, Laser Alignment Tools"</f>
        <v>Assembly, JM, Add-on, Laser Alignment Tools</v>
      </c>
      <c r="C134" s="44">
        <v>16000</v>
      </c>
      <c r="D134" t="str">
        <f t="shared" si="7"/>
        <v>Active</v>
      </c>
    </row>
    <row r="135" spans="1:4" ht="18" customHeight="1">
      <c r="A135" t="str">
        <f>"00-ME12-1000"</f>
        <v>00-ME12-1000</v>
      </c>
      <c r="B135" t="str">
        <f>"Assembly, JM, Add-on, Vibration Analysis Tools"</f>
        <v>Assembly, JM, Add-on, Vibration Analysis Tools</v>
      </c>
      <c r="C135" s="44">
        <v>6600</v>
      </c>
      <c r="D135" t="str">
        <f t="shared" si="7"/>
        <v>Active</v>
      </c>
    </row>
    <row r="136" spans="1:4" ht="18" customHeight="1">
      <c r="A136" t="str">
        <f>"00-ME13-0000"</f>
        <v>00-ME13-0000</v>
      </c>
      <c r="B136" t="str">
        <f>"Assembly, JM, Bearing Two-Student Add-on, 120V"</f>
        <v>Assembly, JM, Bearing Two-Student Add-on, 120V</v>
      </c>
      <c r="C136" s="44">
        <v>5600</v>
      </c>
      <c r="D136" t="str">
        <f t="shared" si="7"/>
        <v>Active</v>
      </c>
    </row>
    <row r="137" spans="1:4" ht="18" customHeight="1">
      <c r="A137" t="str">
        <f>"00-ME13-0002"</f>
        <v>00-ME13-0002</v>
      </c>
      <c r="B137" t="str">
        <f>"Assembly, JM, Bearing Two-Student Add-on, 220V"</f>
        <v>Assembly, JM, Bearing Two-Student Add-on, 220V</v>
      </c>
      <c r="C137" s="44">
        <v>5600</v>
      </c>
      <c r="D137" t="str">
        <f t="shared" si="7"/>
        <v>Active</v>
      </c>
    </row>
    <row r="138" spans="1:4" ht="18" customHeight="1">
      <c r="A138" t="str">
        <f>"00-ME13-1000"</f>
        <v>00-ME13-1000</v>
      </c>
      <c r="B138" t="str">
        <f>"Assembly, JM, Bearing Service Cart, 120V"</f>
        <v>Assembly, JM, Bearing Service Cart, 120V</v>
      </c>
      <c r="C138" s="44">
        <v>9067</v>
      </c>
      <c r="D138" t="str">
        <f t="shared" si="7"/>
        <v>Active</v>
      </c>
    </row>
    <row r="139" spans="1:4" ht="18" customHeight="1">
      <c r="A139" t="str">
        <f>"00-ME13-1002"</f>
        <v>00-ME13-1002</v>
      </c>
      <c r="B139" t="str">
        <f>"Assembly, JM, Bearing Service Cart, 220V"</f>
        <v>Assembly, JM, Bearing Service Cart, 220V</v>
      </c>
      <c r="C139" s="44">
        <v>9067</v>
      </c>
      <c r="D139" t="str">
        <f t="shared" si="7"/>
        <v>Active</v>
      </c>
    </row>
    <row r="140" spans="1:4" ht="18" customHeight="1">
      <c r="A140" t="str">
        <f>"021031"</f>
        <v>021031</v>
      </c>
      <c r="B140" t="str">
        <f>"Buffer for Template"</f>
        <v>Buffer for Template</v>
      </c>
      <c r="C140">
        <v>54</v>
      </c>
      <c r="D140" t="str">
        <f t="shared" si="7"/>
        <v>Active</v>
      </c>
    </row>
    <row r="141" spans="1:4" ht="18" customHeight="1">
      <c r="A141" t="str">
        <f>"021041"</f>
        <v>021041</v>
      </c>
      <c r="B141" t="str">
        <f>"Installation KIT"</f>
        <v>Installation KIT</v>
      </c>
      <c r="C141" s="44">
        <v>1000</v>
      </c>
      <c r="D141" t="str">
        <f t="shared" si="7"/>
        <v>Active</v>
      </c>
    </row>
    <row r="142" spans="1:4" ht="18" customHeight="1">
      <c r="A142" t="str">
        <f>"021061"</f>
        <v>021061</v>
      </c>
      <c r="B142" t="str">
        <f>"Gear set for assembly application"</f>
        <v>Gear set for assembly application</v>
      </c>
      <c r="C142">
        <v>320</v>
      </c>
      <c r="D142" t="str">
        <f t="shared" si="7"/>
        <v>Active</v>
      </c>
    </row>
    <row r="143" spans="1:4" ht="18" customHeight="1">
      <c r="A143" t="str">
        <f>"021062"</f>
        <v>021062</v>
      </c>
      <c r="B143" t="str">
        <f>"Stand 150mm for assembly application"</f>
        <v>Stand 150mm for assembly application</v>
      </c>
      <c r="C143">
        <v>67</v>
      </c>
      <c r="D143" t="str">
        <f t="shared" si="7"/>
        <v>Active</v>
      </c>
    </row>
    <row r="144" spans="1:4" ht="18" customHeight="1">
      <c r="A144" t="str">
        <f>"021152"</f>
        <v>021152</v>
      </c>
      <c r="B144" t="str">
        <f>"Shelf Buffer for CIM conveyor"</f>
        <v>Shelf Buffer for CIM conveyor</v>
      </c>
      <c r="C144">
        <v>240</v>
      </c>
      <c r="D144" t="str">
        <f t="shared" si="7"/>
        <v>Active</v>
      </c>
    </row>
    <row r="145" spans="1:4" ht="18" customHeight="1">
      <c r="A145" t="str">
        <f>"021172"</f>
        <v>021172</v>
      </c>
      <c r="B145" t="str">
        <f>"30mm Height Adapter -Rack 001110 on table 001249"</f>
        <v>30mm Height Adapter -Rack 001110 on table 001249</v>
      </c>
      <c r="C145">
        <v>40</v>
      </c>
      <c r="D145" t="str">
        <f t="shared" si="7"/>
        <v>Active</v>
      </c>
    </row>
    <row r="146" spans="1:4" ht="18" customHeight="1">
      <c r="A146" t="str">
        <f>"021173"</f>
        <v>021173</v>
      </c>
      <c r="B146" t="str">
        <f>"Jig with 30mm Height Adapter-gluing on t.001249"</f>
        <v>Jig with 30mm Height Adapter-gluing on t.001249</v>
      </c>
      <c r="C146">
        <v>107</v>
      </c>
      <c r="D146" t="str">
        <f t="shared" si="7"/>
        <v>Active</v>
      </c>
    </row>
    <row r="147" spans="1:4" ht="18" customHeight="1">
      <c r="A147" t="str">
        <f>"021177"</f>
        <v>021177</v>
      </c>
      <c r="B147" t="str">
        <f>"30mm Height Adapter -Rack 001110 on formica 19mm"</f>
        <v>30mm Height Adapter -Rack 001110 on formica 19mm</v>
      </c>
      <c r="C147">
        <v>30</v>
      </c>
      <c r="D147" t="str">
        <f t="shared" si="7"/>
        <v>Active</v>
      </c>
    </row>
    <row r="148" spans="1:4" ht="18" customHeight="1">
      <c r="A148" t="str">
        <f>"021180"</f>
        <v>021180</v>
      </c>
      <c r="B148" t="str">
        <f>"30mm Height Adapter -Rack 001110 on formica 28mm"</f>
        <v>30mm Height Adapter -Rack 001110 on formica 28mm</v>
      </c>
      <c r="C148">
        <v>19</v>
      </c>
      <c r="D148" t="str">
        <f t="shared" si="7"/>
        <v>Active</v>
      </c>
    </row>
    <row r="149" spans="1:4" ht="18" customHeight="1">
      <c r="A149" t="str">
        <f>"021181"</f>
        <v>021181</v>
      </c>
      <c r="B149" t="str">
        <f>"97mm Height Adapter -Rack 001110 on formica 19mm"</f>
        <v>97mm Height Adapter -Rack 001110 on formica 19mm</v>
      </c>
      <c r="C149">
        <v>34</v>
      </c>
      <c r="D149" t="str">
        <f t="shared" si="7"/>
        <v>Active</v>
      </c>
    </row>
    <row r="150" spans="1:4" ht="18" customHeight="1">
      <c r="A150" t="str">
        <f>"021182"</f>
        <v>021182</v>
      </c>
      <c r="B150" t="str">
        <f>"97mm Height Adapter"</f>
        <v>97mm Height Adapter</v>
      </c>
      <c r="C150">
        <v>16</v>
      </c>
      <c r="D150" t="str">
        <f t="shared" si="7"/>
        <v>Active</v>
      </c>
    </row>
    <row r="151" spans="1:4" ht="18" customHeight="1">
      <c r="A151" t="str">
        <f>"025223"</f>
        <v>025223</v>
      </c>
      <c r="B151" t="str">
        <f>"Automatic Shield Opener for Laser Engraver, 24V"</f>
        <v>Automatic Shield Opener for Laser Engraver, 24V</v>
      </c>
      <c r="C151" s="44">
        <v>2000</v>
      </c>
      <c r="D151" t="str">
        <f t="shared" si="7"/>
        <v>Active</v>
      </c>
    </row>
    <row r="152" spans="1:4" ht="18" customHeight="1">
      <c r="A152" t="str">
        <f>"034020"</f>
        <v>034020</v>
      </c>
      <c r="B152" t="str">
        <f>"Controller-USB PRO"</f>
        <v>Controller-USB PRO</v>
      </c>
      <c r="C152" s="44">
        <v>5067</v>
      </c>
      <c r="D152" t="str">
        <f>"ECO-N2Buy"</f>
        <v>ECO-N2Buy</v>
      </c>
    </row>
    <row r="153" spans="1:4" ht="18" customHeight="1">
      <c r="A153" t="str">
        <f>"034025"</f>
        <v>034025</v>
      </c>
      <c r="B153" t="str">
        <f>"I/O Interface Box for Controller USB-PRO"</f>
        <v>I/O Interface Box for Controller USB-PRO</v>
      </c>
      <c r="C153" s="44">
        <v>1267</v>
      </c>
      <c r="D153" t="str">
        <f>"Active"</f>
        <v>Active</v>
      </c>
    </row>
    <row r="154" spans="1:4" ht="18" customHeight="1">
      <c r="A154" t="str">
        <f>"035072"</f>
        <v>035072</v>
      </c>
      <c r="B154" t="str">
        <f>"Power Supply 110~220 --&gt; 24VDC, 100W"</f>
        <v>Power Supply 110~220 --&gt; 24VDC, 100W</v>
      </c>
      <c r="C154">
        <v>580</v>
      </c>
      <c r="D154" t="str">
        <f>"Phase Out"</f>
        <v>Phase Out</v>
      </c>
    </row>
    <row r="155" spans="1:4" ht="18" customHeight="1">
      <c r="A155" t="str">
        <f>"035073"</f>
        <v>035073</v>
      </c>
      <c r="B155" t="str">
        <f>"Power Supply 110/220 -&gt; 24VDC"</f>
        <v>Power Supply 110/220 -&gt; 24VDC</v>
      </c>
      <c r="C155">
        <v>440</v>
      </c>
      <c r="D155" t="str">
        <f>"Phase Out"</f>
        <v>Phase Out</v>
      </c>
    </row>
    <row r="156" spans="1:4" ht="18" customHeight="1">
      <c r="A156" t="str">
        <f>"040001"</f>
        <v>040001</v>
      </c>
      <c r="B156" t="str">
        <f>"50 Pin Cable Assy. ER4U"</f>
        <v>50 Pin Cable Assy. ER4U</v>
      </c>
      <c r="C156">
        <v>95</v>
      </c>
      <c r="D156" t="str">
        <f t="shared" ref="D156:D182" si="8">"Active"</f>
        <v>Active</v>
      </c>
    </row>
    <row r="157" spans="1:4" ht="18" customHeight="1">
      <c r="A157" t="str">
        <f>"040195"</f>
        <v>040195</v>
      </c>
      <c r="B157" t="str">
        <f>"Motor Assembly for Conveyor Belt(24V)"</f>
        <v>Motor Assembly for Conveyor Belt(24V)</v>
      </c>
      <c r="C157">
        <v>534</v>
      </c>
      <c r="D157" t="str">
        <f t="shared" si="8"/>
        <v>Active</v>
      </c>
    </row>
    <row r="158" spans="1:4" ht="18" customHeight="1">
      <c r="A158" t="str">
        <f>"040288"</f>
        <v>040288</v>
      </c>
      <c r="B158" t="str">
        <f>"Cable Assy,  Encoder's/Motor's  , LSB"</f>
        <v>Cable Assy,  Encoder's/Motor's  , LSB</v>
      </c>
      <c r="C158">
        <v>107</v>
      </c>
      <c r="D158" t="str">
        <f t="shared" si="8"/>
        <v>Active</v>
      </c>
    </row>
    <row r="159" spans="1:4" ht="18" customHeight="1">
      <c r="A159" t="str">
        <f>"040360"</f>
        <v>040360</v>
      </c>
      <c r="B159" t="str">
        <f>"Cable, Power &amp; Motor For Axis T,  24v - ASRS 36"</f>
        <v>Cable, Power &amp; Motor For Axis T,  24v - ASRS 36</v>
      </c>
      <c r="C159">
        <v>560</v>
      </c>
      <c r="D159" t="str">
        <f t="shared" si="8"/>
        <v>Active</v>
      </c>
    </row>
    <row r="160" spans="1:4" ht="18" customHeight="1">
      <c r="A160" t="str">
        <f>"045057"</f>
        <v>045057</v>
      </c>
      <c r="B160" t="str">
        <f>"Board Eye - PC510C"</f>
        <v>Board Eye - PC510C</v>
      </c>
      <c r="C160">
        <v>21.25</v>
      </c>
      <c r="D160" t="str">
        <f t="shared" si="8"/>
        <v>Active</v>
      </c>
    </row>
    <row r="161" spans="1:4" ht="18" customHeight="1">
      <c r="A161" t="str">
        <f>"045107"</f>
        <v>045107</v>
      </c>
      <c r="B161" t="str">
        <f>"Board Front panel - Assembly, ER4u Controller"</f>
        <v>Board Front panel - Assembly, ER4u Controller</v>
      </c>
      <c r="C161">
        <v>587</v>
      </c>
      <c r="D161" t="str">
        <f t="shared" si="8"/>
        <v>Active</v>
      </c>
    </row>
    <row r="162" spans="1:4" ht="18" customHeight="1">
      <c r="A162" t="str">
        <f>"045109"</f>
        <v>045109</v>
      </c>
      <c r="B162" t="str">
        <f>"Board I/O Interface Box for Controller USB-PRO"</f>
        <v>Board I/O Interface Box for Controller USB-PRO</v>
      </c>
      <c r="C162">
        <v>0</v>
      </c>
      <c r="D162" t="str">
        <f t="shared" si="8"/>
        <v>Active</v>
      </c>
    </row>
    <row r="163" spans="1:4" ht="18" customHeight="1">
      <c r="A163" t="str">
        <f>"045120"</f>
        <v>045120</v>
      </c>
      <c r="B163" t="str">
        <f>"Board Main Assembly, USB-PRO Controller"</f>
        <v>Board Main Assembly, USB-PRO Controller</v>
      </c>
      <c r="C163" s="44">
        <v>2370</v>
      </c>
      <c r="D163" t="str">
        <f t="shared" si="8"/>
        <v>Active</v>
      </c>
    </row>
    <row r="164" spans="1:4" ht="18" customHeight="1">
      <c r="A164" t="str">
        <f>"10-1001-3000"</f>
        <v>10-1001-3000</v>
      </c>
      <c r="B164" t="str">
        <f>"Ruler for Mechanical Arm Calibration(ER3/5's/4')"</f>
        <v>Ruler for Mechanical Arm Calibration(ER3/5's/4')</v>
      </c>
      <c r="C164">
        <v>67</v>
      </c>
      <c r="D164" t="str">
        <f t="shared" si="8"/>
        <v>Active</v>
      </c>
    </row>
    <row r="165" spans="1:4" ht="18" customHeight="1">
      <c r="A165" t="str">
        <f>"10-1003-8000"</f>
        <v>10-1003-8000</v>
      </c>
      <c r="B165" t="str">
        <f>"Stand for table's LSB"</f>
        <v>Stand for table's LSB</v>
      </c>
      <c r="C165">
        <v>800</v>
      </c>
      <c r="D165" t="str">
        <f t="shared" si="8"/>
        <v>Active</v>
      </c>
    </row>
    <row r="166" spans="1:4" ht="18" customHeight="1">
      <c r="A166" t="str">
        <f>"10-1007-4000"</f>
        <v>10-1007-4000</v>
      </c>
      <c r="B166" t="str">
        <f>"Gravity Parts Feeder (with microswitch sensor)"</f>
        <v>Gravity Parts Feeder (with microswitch sensor)</v>
      </c>
      <c r="C166">
        <v>494</v>
      </c>
      <c r="D166" t="str">
        <f t="shared" si="8"/>
        <v>Active</v>
      </c>
    </row>
    <row r="167" spans="1:4" ht="18" customHeight="1">
      <c r="A167" t="str">
        <f>"10-1010-8000"</f>
        <v>10-1010-8000</v>
      </c>
      <c r="B167" t="str">
        <f>"Quatro Buffer - 97mm Height Adapter"</f>
        <v>Quatro Buffer - 97mm Height Adapter</v>
      </c>
      <c r="C167">
        <v>275</v>
      </c>
      <c r="D167" t="str">
        <f t="shared" si="8"/>
        <v>Active</v>
      </c>
    </row>
    <row r="168" spans="1:4" ht="18" customHeight="1">
      <c r="A168" t="str">
        <f>"10-1010-9000"</f>
        <v>10-1010-9000</v>
      </c>
      <c r="B168" t="str">
        <f>"Adapter Mounting Plate for ER4u"</f>
        <v>Adapter Mounting Plate for ER4u</v>
      </c>
      <c r="C168">
        <v>427</v>
      </c>
      <c r="D168" t="str">
        <f t="shared" si="8"/>
        <v>Active</v>
      </c>
    </row>
    <row r="169" spans="1:4" ht="18" customHeight="1">
      <c r="A169" t="str">
        <f>"10-1011-0000"</f>
        <v>10-1011-0000</v>
      </c>
      <c r="B169" t="str">
        <f>"Template-St. ER Process with ER9"</f>
        <v>Template-St. ER Process with ER9</v>
      </c>
      <c r="C169">
        <v>336</v>
      </c>
      <c r="D169" t="str">
        <f t="shared" si="8"/>
        <v>Active</v>
      </c>
    </row>
    <row r="170" spans="1:4" ht="18" customHeight="1">
      <c r="A170" t="str">
        <f>"10-1031-2000"</f>
        <v>10-1031-2000</v>
      </c>
      <c r="B170" t="str">
        <f>"Upgrade Package ER 3/5 to ER4u"</f>
        <v>Upgrade Package ER 3/5 to ER4u</v>
      </c>
      <c r="C170" s="44">
        <v>4995</v>
      </c>
      <c r="D170" t="str">
        <f t="shared" si="8"/>
        <v>Active</v>
      </c>
    </row>
    <row r="171" spans="1:4" ht="18" customHeight="1">
      <c r="A171" t="str">
        <f>"10-1031-3000"</f>
        <v>10-1031-3000</v>
      </c>
      <c r="B171" t="str">
        <f>"Upgrade Package ER 4pc/5plus to ER4u"</f>
        <v>Upgrade Package ER 4pc/5plus to ER4u</v>
      </c>
      <c r="C171" s="44">
        <v>4995</v>
      </c>
      <c r="D171" t="str">
        <f t="shared" si="8"/>
        <v>Active</v>
      </c>
    </row>
    <row r="172" spans="1:4" ht="18" customHeight="1">
      <c r="A172" t="str">
        <f>"10-1031-4000"</f>
        <v>10-1031-4000</v>
      </c>
      <c r="B172" t="str">
        <f>"Upgrade LSB1000/1800 Upper motor to LSB-u"</f>
        <v>Upgrade LSB1000/1800 Upper motor to LSB-u</v>
      </c>
      <c r="C172" s="44">
        <v>4400</v>
      </c>
      <c r="D172" t="str">
        <f t="shared" si="8"/>
        <v>Active</v>
      </c>
    </row>
    <row r="173" spans="1:4" ht="18" customHeight="1">
      <c r="A173" t="str">
        <f>"10-1032-0000"</f>
        <v>10-1032-0000</v>
      </c>
      <c r="B173" t="str">
        <f>"Upgrade Package ER 9 to ER 9Pro"</f>
        <v>Upgrade Package ER 9 to ER 9Pro</v>
      </c>
      <c r="C173" s="44">
        <v>8000</v>
      </c>
      <c r="D173" t="str">
        <f t="shared" si="8"/>
        <v>Active</v>
      </c>
    </row>
    <row r="174" spans="1:4" ht="18" customHeight="1">
      <c r="A174" t="str">
        <f>"10-1032-1000"</f>
        <v>10-1032-1000</v>
      </c>
      <c r="B174" t="str">
        <f>"Upgrade Package ER 14 to ER 14Pro"</f>
        <v>Upgrade Package ER 14 to ER 14Pro</v>
      </c>
      <c r="C174" s="44">
        <v>8667</v>
      </c>
      <c r="D174" t="str">
        <f t="shared" si="8"/>
        <v>Active</v>
      </c>
    </row>
    <row r="175" spans="1:4" ht="18" customHeight="1">
      <c r="A175" t="str">
        <f>"10-1032-3000"</f>
        <v>10-1032-3000</v>
      </c>
      <c r="B175" t="str">
        <f>"Upgrade Package ASRS36/72 to ASRS36/72 U"</f>
        <v>Upgrade Package ASRS36/72 to ASRS36/72 U</v>
      </c>
      <c r="C175" s="44">
        <v>4267</v>
      </c>
      <c r="D175" t="str">
        <f t="shared" si="8"/>
        <v>Active</v>
      </c>
    </row>
    <row r="176" spans="1:4" ht="18" customHeight="1">
      <c r="A176" t="str">
        <f>"10-1102-7000"</f>
        <v>10-1102-7000</v>
      </c>
      <c r="B176" t="str">
        <f>"Motor Ass. Axis 1 ER3,4,4u,5,5plus - spare part"</f>
        <v>Motor Ass. Axis 1 ER3,4,4u,5,5plus - spare part</v>
      </c>
      <c r="C176">
        <v>484</v>
      </c>
      <c r="D176" t="str">
        <f t="shared" si="8"/>
        <v>Active</v>
      </c>
    </row>
    <row r="177" spans="1:4" ht="18" customHeight="1">
      <c r="A177" t="str">
        <f>"10-1102-9000"</f>
        <v>10-1102-9000</v>
      </c>
      <c r="B177" t="str">
        <f>"Motor Ass. Axis 4,5 ER3,4,4u,5,5plus-spare part"</f>
        <v>Motor Ass. Axis 4,5 ER3,4,4u,5,5plus-spare part</v>
      </c>
      <c r="C177">
        <v>332</v>
      </c>
      <c r="D177" t="str">
        <f t="shared" si="8"/>
        <v>Active</v>
      </c>
    </row>
    <row r="178" spans="1:4" ht="18" customHeight="1">
      <c r="A178" t="str">
        <f>"10-1103-0000"</f>
        <v>10-1103-0000</v>
      </c>
      <c r="B178" t="str">
        <f>"Motor Ass. Axis 2,3 ER4,4u,5plus - spare part"</f>
        <v>Motor Ass. Axis 2,3 ER4,4u,5plus - spare part</v>
      </c>
      <c r="C178">
        <v>472</v>
      </c>
      <c r="D178" t="str">
        <f t="shared" si="8"/>
        <v>Active</v>
      </c>
    </row>
    <row r="179" spans="1:4" ht="18" customHeight="1">
      <c r="A179" t="str">
        <f>"10-1105-5000"</f>
        <v>10-1105-5000</v>
      </c>
      <c r="B179" t="str">
        <f>"Computer and monitor attachment"</f>
        <v>Computer and monitor attachment</v>
      </c>
      <c r="C179">
        <v>313</v>
      </c>
      <c r="D179" t="str">
        <f t="shared" si="8"/>
        <v>Active</v>
      </c>
    </row>
    <row r="180" spans="1:4" ht="18" customHeight="1">
      <c r="A180" t="str">
        <f>"10-1105-7000"</f>
        <v>10-1105-7000</v>
      </c>
      <c r="B180" t="str">
        <f>"Drill Chuck for Tailstock"</f>
        <v>Drill Chuck for Tailstock</v>
      </c>
      <c r="C180">
        <v>74</v>
      </c>
      <c r="D180" t="str">
        <f t="shared" si="8"/>
        <v>Active</v>
      </c>
    </row>
    <row r="181" spans="1:4" ht="18" customHeight="1">
      <c r="A181" t="str">
        <f>"10-1105-9000"</f>
        <v>10-1105-9000</v>
      </c>
      <c r="B181" t="str">
        <f>"- 125mm 4 independent jaw chuck"</f>
        <v>- 125mm 4 independent jaw chuck</v>
      </c>
      <c r="C181">
        <v>244</v>
      </c>
      <c r="D181" t="str">
        <f t="shared" si="8"/>
        <v>Active</v>
      </c>
    </row>
    <row r="182" spans="1:4" ht="18" customHeight="1">
      <c r="A182" t="str">
        <f>"10-1106-3000"</f>
        <v>10-1106-3000</v>
      </c>
      <c r="B182" t="str">
        <f>"- 80mm 4 independent jaw chuck"</f>
        <v>- 80mm 4 independent jaw chuck</v>
      </c>
      <c r="C182">
        <v>200</v>
      </c>
      <c r="D182" t="str">
        <f t="shared" si="8"/>
        <v>Active</v>
      </c>
    </row>
    <row r="183" spans="1:4" ht="18" customHeight="1">
      <c r="A183" t="str">
        <f>"10-1106-4000"</f>
        <v>10-1106-4000</v>
      </c>
      <c r="B183" t="str">
        <f>"- Steady rest ProTurn 9000"</f>
        <v>- Steady rest ProTurn 9000</v>
      </c>
      <c r="C183">
        <v>134</v>
      </c>
      <c r="D183" t="str">
        <f>"Inactive"</f>
        <v>Inactive</v>
      </c>
    </row>
    <row r="184" spans="1:4" ht="18" customHeight="1">
      <c r="A184" t="str">
        <f>"10-1106-5000"</f>
        <v>10-1106-5000</v>
      </c>
      <c r="B184" t="str">
        <f>"- Follow rest ProTurn 9000"</f>
        <v>- Follow rest ProTurn 9000</v>
      </c>
      <c r="C184">
        <v>107</v>
      </c>
      <c r="D184" t="str">
        <f>"Inactive"</f>
        <v>Inactive</v>
      </c>
    </row>
    <row r="185" spans="1:4" ht="18" customHeight="1">
      <c r="A185" t="str">
        <f>"10-1106-6000"</f>
        <v>10-1106-6000</v>
      </c>
      <c r="B185" t="str">
        <f>"- Rolling center"</f>
        <v>- Rolling center</v>
      </c>
      <c r="C185">
        <v>87</v>
      </c>
      <c r="D185" t="str">
        <f t="shared" ref="D185:D216" si="9">"Active"</f>
        <v>Active</v>
      </c>
    </row>
    <row r="186" spans="1:4" ht="18" customHeight="1">
      <c r="A186" t="str">
        <f>"10-1106-7000"</f>
        <v>10-1106-7000</v>
      </c>
      <c r="B186" t="str">
        <f>"- 100mm 4 independent jaw chuck"</f>
        <v>- 100mm 4 independent jaw chuck</v>
      </c>
      <c r="C186">
        <v>231</v>
      </c>
      <c r="D186" t="str">
        <f t="shared" si="9"/>
        <v>Active</v>
      </c>
    </row>
    <row r="187" spans="1:4" ht="18" customHeight="1">
      <c r="A187" t="str">
        <f>"10-1108-1110"</f>
        <v>10-1108-1110</v>
      </c>
      <c r="B187" t="str">
        <f>"- Coolant system 27L - 110V"</f>
        <v>- Coolant system 27L - 110V</v>
      </c>
      <c r="C187">
        <v>407</v>
      </c>
      <c r="D187" t="str">
        <f t="shared" si="9"/>
        <v>Active</v>
      </c>
    </row>
    <row r="188" spans="1:4" ht="18" customHeight="1">
      <c r="A188" t="str">
        <f>"10-1108-1220"</f>
        <v>10-1108-1220</v>
      </c>
      <c r="B188" t="str">
        <f>"- Coolant system 27L -220V"</f>
        <v>- Coolant system 27L -220V</v>
      </c>
      <c r="C188">
        <v>407</v>
      </c>
      <c r="D188" t="str">
        <f t="shared" si="9"/>
        <v>Active</v>
      </c>
    </row>
    <row r="189" spans="1:4" ht="18" customHeight="1">
      <c r="A189" t="str">
        <f>"10-1108-2000"</f>
        <v>10-1108-2000</v>
      </c>
      <c r="B189" t="str">
        <f>"- 100mm vice with angle adjustment"</f>
        <v>- 100mm vice with angle adjustment</v>
      </c>
      <c r="C189">
        <v>298</v>
      </c>
      <c r="D189" t="str">
        <f t="shared" si="9"/>
        <v>Active</v>
      </c>
    </row>
    <row r="190" spans="1:4" ht="18" customHeight="1">
      <c r="A190" t="str">
        <f>"10-1108-6000"</f>
        <v>10-1108-6000</v>
      </c>
      <c r="B190" t="str">
        <f>"- 6mm engraving tool set"</f>
        <v>- 6mm engraving tool set</v>
      </c>
      <c r="C190">
        <v>200</v>
      </c>
      <c r="D190" t="str">
        <f t="shared" si="9"/>
        <v>Active</v>
      </c>
    </row>
    <row r="191" spans="1:4" ht="18" customHeight="1">
      <c r="A191" t="str">
        <f>"10-1108-8000"</f>
        <v>10-1108-8000</v>
      </c>
      <c r="B191" t="str">
        <f>"- 4th Axis rotary worktable with tailstock"</f>
        <v>- 4th Axis rotary worktable with tailstock</v>
      </c>
      <c r="C191" s="44">
        <v>2126</v>
      </c>
      <c r="D191" t="str">
        <f t="shared" si="9"/>
        <v>Active</v>
      </c>
    </row>
    <row r="192" spans="1:4" ht="18" customHeight="1">
      <c r="A192" t="str">
        <f>"10-1109-3000"</f>
        <v>10-1109-3000</v>
      </c>
      <c r="B192" t="str">
        <f>"- 80mm 3-jaw chuck"</f>
        <v>- 80mm 3-jaw chuck</v>
      </c>
      <c r="C192">
        <v>186</v>
      </c>
      <c r="D192" t="str">
        <f t="shared" si="9"/>
        <v>Active</v>
      </c>
    </row>
    <row r="193" spans="1:4" ht="18" customHeight="1">
      <c r="A193" t="str">
        <f>"10-1110-1000"</f>
        <v>10-1110-1000</v>
      </c>
      <c r="B193" t="str">
        <f>"10 x 10mm cutter tool holder"</f>
        <v>10 x 10mm cutter tool holder</v>
      </c>
      <c r="C193">
        <v>227</v>
      </c>
      <c r="D193" t="str">
        <f t="shared" si="9"/>
        <v>Active</v>
      </c>
    </row>
    <row r="194" spans="1:4" ht="18" customHeight="1">
      <c r="A194" t="str">
        <f>"10-1110-2000"</f>
        <v>10-1110-2000</v>
      </c>
      <c r="B194" t="str">
        <f>"TiN coated tip for 011101"</f>
        <v>TiN coated tip for 011101</v>
      </c>
      <c r="C194">
        <v>200</v>
      </c>
      <c r="D194" t="str">
        <f t="shared" si="9"/>
        <v>Active</v>
      </c>
    </row>
    <row r="195" spans="1:4" ht="18" customHeight="1">
      <c r="A195" t="str">
        <f>"10-1110-4000"</f>
        <v>10-1110-4000</v>
      </c>
      <c r="B195" t="str">
        <f>"-- Pneumatic Shield (ProMill 8000 for FMS)"</f>
        <v>-- Pneumatic Shield (ProMill 8000 for FMS)</v>
      </c>
      <c r="C195" s="44">
        <v>1334</v>
      </c>
      <c r="D195" t="str">
        <f t="shared" si="9"/>
        <v>Active</v>
      </c>
    </row>
    <row r="196" spans="1:4" ht="18" customHeight="1">
      <c r="A196" t="str">
        <f>"10-1110-5000"</f>
        <v>10-1110-5000</v>
      </c>
      <c r="B196" t="str">
        <f>"-- Pneumatic Shield (BenchTurn 7000 for FMS))"</f>
        <v>-- Pneumatic Shield (BenchTurn 7000 for FMS))</v>
      </c>
      <c r="C196">
        <v>534</v>
      </c>
      <c r="D196" t="str">
        <f t="shared" si="9"/>
        <v>Active</v>
      </c>
    </row>
    <row r="197" spans="1:4" ht="18" customHeight="1">
      <c r="A197" t="str">
        <f>"10-1110-6000"</f>
        <v>10-1110-6000</v>
      </c>
      <c r="B197" t="str">
        <f>"-- Pneumatic Shield (ProTurn 9000 for FMS)"</f>
        <v>-- Pneumatic Shield (ProTurn 9000 for FMS)</v>
      </c>
      <c r="C197" s="44">
        <v>1595</v>
      </c>
      <c r="D197" t="str">
        <f t="shared" si="9"/>
        <v>Active</v>
      </c>
    </row>
    <row r="198" spans="1:4" ht="18" customHeight="1">
      <c r="A198" t="str">
        <f>"10-1110-7000"</f>
        <v>10-1110-7000</v>
      </c>
      <c r="B198" t="str">
        <f>"--Dual Axis Vise (for FMS)"</f>
        <v>--Dual Axis Vise (for FMS)</v>
      </c>
      <c r="C198">
        <v>740</v>
      </c>
      <c r="D198" t="str">
        <f t="shared" si="9"/>
        <v>Active</v>
      </c>
    </row>
    <row r="199" spans="1:4" ht="18" customHeight="1">
      <c r="A199" t="str">
        <f>"10-1110-8000"</f>
        <v>10-1110-8000</v>
      </c>
      <c r="B199" t="str">
        <f>"-- Single Axis Vise(for FMS)"</f>
        <v>-- Single Axis Vise(for FMS)</v>
      </c>
      <c r="C199">
        <v>586</v>
      </c>
      <c r="D199" t="str">
        <f t="shared" si="9"/>
        <v>Active</v>
      </c>
    </row>
    <row r="200" spans="1:4" ht="18" customHeight="1">
      <c r="A200" t="str">
        <f>"10-1110-9000"</f>
        <v>10-1110-9000</v>
      </c>
      <c r="B200" t="str">
        <f>"-- Pneumatic Chuck (BenchTurn 7000 for FMS)"</f>
        <v>-- Pneumatic Chuck (BenchTurn 7000 for FMS)</v>
      </c>
      <c r="C200" s="44">
        <v>1895</v>
      </c>
      <c r="D200" t="str">
        <f t="shared" si="9"/>
        <v>Active</v>
      </c>
    </row>
    <row r="201" spans="1:4" ht="18" customHeight="1">
      <c r="A201" t="str">
        <f>"10-1111-0000"</f>
        <v>10-1111-0000</v>
      </c>
      <c r="B201" t="str">
        <f>"-- Pneumatic Chuck (ProTurn 9000 for FMS)"</f>
        <v>-- Pneumatic Chuck (ProTurn 9000 for FMS)</v>
      </c>
      <c r="C201" s="44">
        <v>2126</v>
      </c>
      <c r="D201" t="str">
        <f t="shared" si="9"/>
        <v>Active</v>
      </c>
    </row>
    <row r="202" spans="1:4" ht="18" customHeight="1">
      <c r="A202" t="str">
        <f>"10-1111-1000"</f>
        <v>10-1111-1000</v>
      </c>
      <c r="B202" t="str">
        <f>"- Handwheel - Manual Control"</f>
        <v>- Handwheel - Manual Control</v>
      </c>
      <c r="C202">
        <v>795</v>
      </c>
      <c r="D202" t="str">
        <f t="shared" si="9"/>
        <v>Active</v>
      </c>
    </row>
    <row r="203" spans="1:4" ht="18" customHeight="1">
      <c r="A203" t="str">
        <f>"10-1111-5000"</f>
        <v>10-1111-5000</v>
      </c>
      <c r="B203" t="str">
        <f>"clamping kit 58 pcs set"</f>
        <v>clamping kit 58 pcs set</v>
      </c>
      <c r="C203">
        <v>175</v>
      </c>
      <c r="D203" t="str">
        <f t="shared" si="9"/>
        <v>Active</v>
      </c>
    </row>
    <row r="204" spans="1:4" ht="18" customHeight="1">
      <c r="A204" t="str">
        <f>"10-1111-6000"</f>
        <v>10-1111-6000</v>
      </c>
      <c r="B204" t="str">
        <f>"4"" Vise"</f>
        <v>4" Vise</v>
      </c>
      <c r="C204">
        <v>206</v>
      </c>
      <c r="D204" t="str">
        <f t="shared" si="9"/>
        <v>Active</v>
      </c>
    </row>
    <row r="205" spans="1:4" ht="18" customHeight="1">
      <c r="A205" t="str">
        <f>"10-1111-7000"</f>
        <v>10-1111-7000</v>
      </c>
      <c r="B205" t="str">
        <f>"- Imperial 4 tool ISO 20 tool holder package"</f>
        <v>- Imperial 4 tool ISO 20 tool holder package</v>
      </c>
      <c r="C205" s="44">
        <v>1657</v>
      </c>
      <c r="D205" t="str">
        <f t="shared" si="9"/>
        <v>Active</v>
      </c>
    </row>
    <row r="206" spans="1:4" ht="18" customHeight="1">
      <c r="A206" t="str">
        <f>"10-1111-9000"</f>
        <v>10-1111-9000</v>
      </c>
      <c r="B206" t="str">
        <f>"ISO 20 tool holder"</f>
        <v>ISO 20 tool holder</v>
      </c>
      <c r="C206">
        <v>360</v>
      </c>
      <c r="D206" t="str">
        <f t="shared" si="9"/>
        <v>Active</v>
      </c>
    </row>
    <row r="207" spans="1:4" ht="18" customHeight="1">
      <c r="A207" t="str">
        <f>"10-1112-0000"</f>
        <v>10-1112-0000</v>
      </c>
      <c r="B207" t="str">
        <f>"Wrench for ISO 20 tool holder"</f>
        <v>Wrench for ISO 20 tool holder</v>
      </c>
      <c r="C207">
        <v>15</v>
      </c>
      <c r="D207" t="str">
        <f t="shared" si="9"/>
        <v>Active</v>
      </c>
    </row>
    <row r="208" spans="1:4" ht="18" customHeight="1">
      <c r="A208" t="str">
        <f>"10-1112-1000"</f>
        <v>10-1112-1000</v>
      </c>
      <c r="B208" t="str">
        <f>"Storage Rack for ISO 20 tool holders - 8 storage"</f>
        <v>Storage Rack for ISO 20 tool holders - 8 storage</v>
      </c>
      <c r="C208">
        <v>100</v>
      </c>
      <c r="D208" t="str">
        <f t="shared" si="9"/>
        <v>Active</v>
      </c>
    </row>
    <row r="209" spans="1:4" ht="18" customHeight="1">
      <c r="A209" t="str">
        <f>"10-1112-2000"</f>
        <v>10-1112-2000</v>
      </c>
      <c r="B209" t="str">
        <f>"ER16 Collet set-8 pieces(3,4,5,6,7,8,9 and 10mm)"</f>
        <v>ER16 Collet set-8 pieces(3,4,5,6,7,8,9 and 10mm)</v>
      </c>
      <c r="C209">
        <v>226</v>
      </c>
      <c r="D209" t="str">
        <f t="shared" si="9"/>
        <v>Active</v>
      </c>
    </row>
    <row r="210" spans="1:4" ht="18" customHeight="1">
      <c r="A210" t="str">
        <f>"10-1112-4000"</f>
        <v>10-1112-4000</v>
      </c>
      <c r="B210" t="str">
        <f>"- ER16 Collet - 4mm"</f>
        <v>- ER16 Collet - 4mm</v>
      </c>
      <c r="C210">
        <v>35</v>
      </c>
      <c r="D210" t="str">
        <f t="shared" si="9"/>
        <v>Active</v>
      </c>
    </row>
    <row r="211" spans="1:4" ht="18" customHeight="1">
      <c r="A211" t="str">
        <f>"10-1112-7000"</f>
        <v>10-1112-7000</v>
      </c>
      <c r="B211" t="str">
        <f>"- ER16 Collet - 7mm"</f>
        <v>- ER16 Collet - 7mm</v>
      </c>
      <c r="C211">
        <v>35</v>
      </c>
      <c r="D211" t="str">
        <f t="shared" si="9"/>
        <v>Active</v>
      </c>
    </row>
    <row r="212" spans="1:4" ht="18" customHeight="1">
      <c r="A212" t="str">
        <f>"10-1113-0000"</f>
        <v>10-1113-0000</v>
      </c>
      <c r="B212" t="str">
        <f>"- ER16 Collet - 10mm"</f>
        <v>- ER16 Collet - 10mm</v>
      </c>
      <c r="C212">
        <v>35</v>
      </c>
      <c r="D212" t="str">
        <f t="shared" si="9"/>
        <v>Active</v>
      </c>
    </row>
    <row r="213" spans="1:4" ht="18" customHeight="1">
      <c r="A213" t="str">
        <f>"10-1113-1000"</f>
        <v>10-1113-1000</v>
      </c>
      <c r="B213" t="str">
        <f>"- 4 Tool  ATC (Table Mounted)"</f>
        <v>- 4 Tool  ATC (Table Mounted)</v>
      </c>
      <c r="C213">
        <v>534</v>
      </c>
      <c r="D213" t="str">
        <f t="shared" si="9"/>
        <v>Active</v>
      </c>
    </row>
    <row r="214" spans="1:4" ht="18" customHeight="1">
      <c r="A214" t="str">
        <f>"10-1113-2000"</f>
        <v>10-1113-2000</v>
      </c>
      <c r="B214" t="str">
        <f>"- Metric End Mill Package(2,3,6 mm End mill)"</f>
        <v>- Metric End Mill Package(2,3,6 mm End mill)</v>
      </c>
      <c r="C214">
        <v>50</v>
      </c>
      <c r="D214" t="str">
        <f t="shared" si="9"/>
        <v>Active</v>
      </c>
    </row>
    <row r="215" spans="1:4" ht="18" customHeight="1">
      <c r="A215" t="str">
        <f>"10-1113-3000"</f>
        <v>10-1113-3000</v>
      </c>
      <c r="B215" t="str">
        <f>"- Imperial Standard End Mill Package 5530"</f>
        <v>- Imperial Standard End Mill Package 5530</v>
      </c>
      <c r="C215">
        <v>50</v>
      </c>
      <c r="D215" t="str">
        <f t="shared" si="9"/>
        <v>Active</v>
      </c>
    </row>
    <row r="216" spans="1:4" ht="18" customHeight="1">
      <c r="A216" t="str">
        <f>"10-1113-4000"</f>
        <v>10-1113-4000</v>
      </c>
      <c r="B216" t="str">
        <f>"Metric End Mill Package(2X 3,6,8,10End,4,6 Ball)"</f>
        <v>Metric End Mill Package(2X 3,6,8,10End,4,6 Ball)</v>
      </c>
      <c r="C216">
        <v>200</v>
      </c>
      <c r="D216" t="str">
        <f t="shared" si="9"/>
        <v>Active</v>
      </c>
    </row>
    <row r="217" spans="1:4" ht="18" customHeight="1">
      <c r="A217" t="str">
        <f>"10-1113-5000"</f>
        <v>10-1113-5000</v>
      </c>
      <c r="B217" t="str">
        <f>"Imperial Advanced End Mill Package 5120"</f>
        <v>Imperial Advanced End Mill Package 5120</v>
      </c>
      <c r="C217">
        <v>200</v>
      </c>
      <c r="D217" t="str">
        <f t="shared" ref="D217:D246" si="10">"Active"</f>
        <v>Active</v>
      </c>
    </row>
    <row r="218" spans="1:4" ht="18" customHeight="1">
      <c r="A218" t="str">
        <f>"10-1113-6000"</f>
        <v>10-1113-6000</v>
      </c>
      <c r="B218" t="str">
        <f>"- Metric Engraving Package (1,1.5,2 mm End mill)"</f>
        <v>- Metric Engraving Package (1,1.5,2 mm End mill)</v>
      </c>
      <c r="C218">
        <v>157</v>
      </c>
      <c r="D218" t="str">
        <f t="shared" si="10"/>
        <v>Active</v>
      </c>
    </row>
    <row r="219" spans="1:4" ht="18" customHeight="1">
      <c r="A219" t="str">
        <f>"10-1113-7000"</f>
        <v>10-1113-7000</v>
      </c>
      <c r="B219" t="str">
        <f>"- Imperial Engraving Package 5710"</f>
        <v>- Imperial Engraving Package 5710</v>
      </c>
      <c r="C219">
        <v>157</v>
      </c>
      <c r="D219" t="str">
        <f t="shared" si="10"/>
        <v>Active</v>
      </c>
    </row>
    <row r="220" spans="1:4" ht="18" customHeight="1">
      <c r="A220" t="str">
        <f>"10-1115-0000"</f>
        <v>10-1115-0000</v>
      </c>
      <c r="B220" t="str">
        <f>"ER16 Collet set - 2 x (3,6,8,10mm)"</f>
        <v>ER16 Collet set - 2 x (3,6,8,10mm)</v>
      </c>
      <c r="C220">
        <v>207</v>
      </c>
      <c r="D220" t="str">
        <f t="shared" si="10"/>
        <v>Active</v>
      </c>
    </row>
    <row r="221" spans="1:4" ht="18" customHeight="1">
      <c r="A221" t="str">
        <f>"10-1115-1000"</f>
        <v>10-1115-1000</v>
      </c>
      <c r="B221" t="str">
        <f>"- Fanuc Emulator panel and stand"</f>
        <v>- Fanuc Emulator panel and stand</v>
      </c>
      <c r="C221">
        <v>0</v>
      </c>
      <c r="D221" t="str">
        <f t="shared" si="10"/>
        <v>Active</v>
      </c>
    </row>
    <row r="222" spans="1:4" ht="18" customHeight="1">
      <c r="A222" t="str">
        <f>"10-1115-2000"</f>
        <v>10-1115-2000</v>
      </c>
      <c r="B222" t="str">
        <f>"- Table mounted ATC package"</f>
        <v>- Table mounted ATC package</v>
      </c>
      <c r="C222" s="44">
        <v>2188</v>
      </c>
      <c r="D222" t="str">
        <f t="shared" si="10"/>
        <v>Active</v>
      </c>
    </row>
    <row r="223" spans="1:4" ht="18" customHeight="1">
      <c r="A223" t="str">
        <f>"10-1116-6000"</f>
        <v>10-1116-6000</v>
      </c>
      <c r="B223" t="str">
        <f>"Drawbar  assembly, BM6000,PM8000"</f>
        <v>Drawbar  assembly, BM6000,PM8000</v>
      </c>
      <c r="C223">
        <v>600</v>
      </c>
      <c r="D223" t="str">
        <f t="shared" si="10"/>
        <v>Active</v>
      </c>
    </row>
    <row r="224" spans="1:4" ht="18" customHeight="1">
      <c r="A224" t="str">
        <f>"10-1121-8000"</f>
        <v>10-1121-8000</v>
      </c>
      <c r="B224" t="str">
        <f>"Front shield,BM6000"</f>
        <v>Front shield,BM6000</v>
      </c>
      <c r="C224">
        <v>334</v>
      </c>
      <c r="D224" t="str">
        <f t="shared" si="10"/>
        <v>Active</v>
      </c>
    </row>
    <row r="225" spans="1:4" ht="18" customHeight="1">
      <c r="A225" t="str">
        <f>"10-1600-1000"</f>
        <v>10-1600-1000</v>
      </c>
      <c r="B225" t="str">
        <f>"EMMC1600 Maintenance Cell, Hardware Package"</f>
        <v>EMMC1600 Maintenance Cell, Hardware Package</v>
      </c>
      <c r="C225" s="44">
        <v>70667</v>
      </c>
      <c r="D225" t="str">
        <f t="shared" si="10"/>
        <v>Active</v>
      </c>
    </row>
    <row r="226" spans="1:4" ht="18" customHeight="1">
      <c r="A226" t="str">
        <f>"10-2100-6000"</f>
        <v>10-2100-6000</v>
      </c>
      <c r="B226" t="str">
        <f>"Pedestal Stand Ass'y for floor mounting robot"</f>
        <v>Pedestal Stand Ass'y for floor mounting robot</v>
      </c>
      <c r="C226" s="44">
        <v>1465</v>
      </c>
      <c r="D226" t="str">
        <f t="shared" si="10"/>
        <v>Active</v>
      </c>
    </row>
    <row r="227" spans="1:4" ht="18" customHeight="1">
      <c r="A227" t="str">
        <f>"10-2104-9000"</f>
        <v>10-2104-9000</v>
      </c>
      <c r="B227" t="str">
        <f>"Single Buffer for Slotted Table"</f>
        <v>Single Buffer for Slotted Table</v>
      </c>
      <c r="C227">
        <v>134</v>
      </c>
      <c r="D227" t="str">
        <f t="shared" si="10"/>
        <v>Active</v>
      </c>
    </row>
    <row r="228" spans="1:4" ht="18" customHeight="1">
      <c r="A228" t="str">
        <f>"10-2105-3000"</f>
        <v>10-2105-3000</v>
      </c>
      <c r="B228" t="str">
        <f>"Awareness Barrier Device"</f>
        <v>Awareness Barrier Device</v>
      </c>
      <c r="C228" s="44">
        <v>7467</v>
      </c>
      <c r="D228" t="str">
        <f t="shared" si="10"/>
        <v>Active</v>
      </c>
    </row>
    <row r="229" spans="1:4" ht="18" customHeight="1">
      <c r="A229" t="str">
        <f>"10-2110-1000"</f>
        <v>10-2110-1000</v>
      </c>
      <c r="B229" t="str">
        <f>"Pallet Conveyor Straight Section 1400mm"</f>
        <v>Pallet Conveyor Straight Section 1400mm</v>
      </c>
      <c r="C229" s="44">
        <v>2245</v>
      </c>
      <c r="D229" t="str">
        <f t="shared" si="10"/>
        <v>Active</v>
      </c>
    </row>
    <row r="230" spans="1:4" ht="18" customHeight="1">
      <c r="A230" t="str">
        <f>"10-2110-2000"</f>
        <v>10-2110-2000</v>
      </c>
      <c r="B230" t="str">
        <f>"Pallet Conveyor Straight Section 760mm"</f>
        <v>Pallet Conveyor Straight Section 760mm</v>
      </c>
      <c r="C230" s="44">
        <v>1420</v>
      </c>
      <c r="D230" t="str">
        <f t="shared" si="10"/>
        <v>Active</v>
      </c>
    </row>
    <row r="231" spans="1:4" ht="18" customHeight="1">
      <c r="A231" t="str">
        <f>"10-2110-4000"</f>
        <v>10-2110-4000</v>
      </c>
      <c r="B231" t="str">
        <f>"Pallet Conveyor Corner Section 90°"</f>
        <v>Pallet Conveyor Corner Section 90°</v>
      </c>
      <c r="C231" s="44">
        <v>1470</v>
      </c>
      <c r="D231" t="str">
        <f t="shared" si="10"/>
        <v>Active</v>
      </c>
    </row>
    <row r="232" spans="1:4" ht="18" customHeight="1">
      <c r="A232" t="str">
        <f>"10-2110-5000"</f>
        <v>10-2110-5000</v>
      </c>
      <c r="B232" t="str">
        <f>"Pallet Conveyor Corner Section 180°"</f>
        <v>Pallet Conveyor Corner Section 180°</v>
      </c>
      <c r="C232" s="44">
        <v>3150</v>
      </c>
      <c r="D232" t="str">
        <f t="shared" si="10"/>
        <v>Active</v>
      </c>
    </row>
    <row r="233" spans="1:4" ht="18" customHeight="1">
      <c r="A233" t="str">
        <f>"10-2110-9000"</f>
        <v>10-2110-9000</v>
      </c>
      <c r="B233" t="str">
        <f>"Pallet Conveyor Drive Assembly"</f>
        <v>Pallet Conveyor Drive Assembly</v>
      </c>
      <c r="C233" s="44">
        <v>15750</v>
      </c>
      <c r="D233" t="str">
        <f t="shared" si="10"/>
        <v>Active</v>
      </c>
    </row>
    <row r="234" spans="1:4" ht="18" customHeight="1">
      <c r="A234" t="str">
        <f>"10-2111-0000"</f>
        <v>10-2111-0000</v>
      </c>
      <c r="B234" t="str">
        <f>"Pallet Conveyor Middle Leg Assembly"</f>
        <v>Pallet Conveyor Middle Leg Assembly</v>
      </c>
      <c r="C234">
        <v>900</v>
      </c>
      <c r="D234" t="str">
        <f t="shared" si="10"/>
        <v>Active</v>
      </c>
    </row>
    <row r="235" spans="1:4" ht="18" customHeight="1">
      <c r="A235" t="str">
        <f>"10-2111-3000"</f>
        <v>10-2111-3000</v>
      </c>
      <c r="B235" t="str">
        <f>"Pallet (with magnetic code)"</f>
        <v>Pallet (with magnetic code)</v>
      </c>
      <c r="C235">
        <v>216</v>
      </c>
      <c r="D235" t="str">
        <f t="shared" si="10"/>
        <v>Active</v>
      </c>
    </row>
    <row r="236" spans="1:4" ht="18" customHeight="1">
      <c r="A236" t="str">
        <f>"10-2111-9000"</f>
        <v>10-2111-9000</v>
      </c>
      <c r="B236" t="str">
        <f>"Cable Duct to Ctrl. Cabinet"</f>
        <v>Cable Duct to Ctrl. Cabinet</v>
      </c>
      <c r="C236">
        <v>375</v>
      </c>
      <c r="D236" t="str">
        <f t="shared" si="10"/>
        <v>Active</v>
      </c>
    </row>
    <row r="237" spans="1:4" ht="18" customHeight="1">
      <c r="A237" t="str">
        <f>"10-2112-2000"</f>
        <v>10-2112-2000</v>
      </c>
      <c r="B237" t="str">
        <f>"CIM Station Indicator Lights"</f>
        <v>CIM Station Indicator Lights</v>
      </c>
      <c r="C237">
        <v>480</v>
      </c>
      <c r="D237" t="str">
        <f t="shared" si="10"/>
        <v>Active</v>
      </c>
    </row>
    <row r="238" spans="1:4" ht="18" customHeight="1">
      <c r="A238" t="str">
        <f>"10-2113-3000"</f>
        <v>10-2113-3000</v>
      </c>
      <c r="B238" t="str">
        <f>"CIM PLC Cabinet (A/B PLC - 5 Stations)"</f>
        <v>CIM PLC Cabinet (A/B PLC - 5 Stations)</v>
      </c>
      <c r="C238" s="44">
        <v>11520</v>
      </c>
      <c r="D238" t="str">
        <f t="shared" si="10"/>
        <v>Active</v>
      </c>
    </row>
    <row r="239" spans="1:4" ht="18" customHeight="1">
      <c r="A239" t="str">
        <f>"10-2113-4000"</f>
        <v>10-2113-4000</v>
      </c>
      <c r="B239" t="str">
        <f>"CIM PLC Cabinet (OMRON PLC - 5 Stations)"</f>
        <v>CIM PLC Cabinet (OMRON PLC - 5 Stations)</v>
      </c>
      <c r="C239" s="44">
        <v>6960</v>
      </c>
      <c r="D239" t="str">
        <f t="shared" si="10"/>
        <v>Active</v>
      </c>
    </row>
    <row r="240" spans="1:4" ht="18" customHeight="1">
      <c r="A240" t="str">
        <f>"10-2113-6000"</f>
        <v>10-2113-6000</v>
      </c>
      <c r="B240" t="str">
        <f>"Conveyor stop assembly"</f>
        <v>Conveyor stop assembly</v>
      </c>
      <c r="C240" s="44">
        <v>1920</v>
      </c>
      <c r="D240" t="str">
        <f t="shared" si="10"/>
        <v>Active</v>
      </c>
    </row>
    <row r="241" spans="1:4" ht="18" customHeight="1">
      <c r="A241" t="str">
        <f>"10-2113-9000"</f>
        <v>10-2113-9000</v>
      </c>
      <c r="B241" t="str">
        <f>"CIM PLC Cabinet (A/B PLC - 8 Stations)"</f>
        <v>CIM PLC Cabinet (A/B PLC - 8 Stations)</v>
      </c>
      <c r="C241" s="44">
        <v>14400</v>
      </c>
      <c r="D241" t="str">
        <f t="shared" si="10"/>
        <v>Active</v>
      </c>
    </row>
    <row r="242" spans="1:4" ht="18" customHeight="1">
      <c r="A242" t="str">
        <f>"10-2114-4000"</f>
        <v>10-2114-4000</v>
      </c>
      <c r="B242" t="str">
        <f>"CIM PLC Cabinet (Siemens PLC - 5 Stations)"</f>
        <v>CIM PLC Cabinet (Siemens PLC - 5 Stations)</v>
      </c>
      <c r="C242" s="44">
        <v>7920</v>
      </c>
      <c r="D242" t="str">
        <f t="shared" si="10"/>
        <v>Active</v>
      </c>
    </row>
    <row r="243" spans="1:4" ht="18" customHeight="1">
      <c r="A243" t="str">
        <f>"10-2114-9000"</f>
        <v>10-2114-9000</v>
      </c>
      <c r="B243" t="str">
        <f>"CIM PLC Cabinet (Siemens PLC - 8 Stations)"</f>
        <v>CIM PLC Cabinet (Siemens PLC - 8 Stations)</v>
      </c>
      <c r="C243" s="44">
        <v>11040</v>
      </c>
      <c r="D243" t="str">
        <f t="shared" si="10"/>
        <v>Active</v>
      </c>
    </row>
    <row r="244" spans="1:4" ht="18" customHeight="1">
      <c r="A244" t="str">
        <f>"10-2115-5000"</f>
        <v>10-2115-5000</v>
      </c>
      <c r="B244" t="str">
        <f>"CIM PLC Cabinet S7-1211C PROFINET"</f>
        <v>CIM PLC Cabinet S7-1211C PROFINET</v>
      </c>
      <c r="C244" s="44">
        <v>6588</v>
      </c>
      <c r="D244" t="str">
        <f t="shared" si="10"/>
        <v>Active</v>
      </c>
    </row>
    <row r="245" spans="1:4" ht="18" customHeight="1">
      <c r="A245" t="str">
        <f>"10-2116-0000"</f>
        <v>10-2116-0000</v>
      </c>
      <c r="B245" t="str">
        <f>"CIM PLC Cabinet (OMRON PLC-7 Stations)"</f>
        <v>CIM PLC Cabinet (OMRON PLC-7 Stations)</v>
      </c>
      <c r="C245" s="44">
        <v>6720</v>
      </c>
      <c r="D245" t="str">
        <f t="shared" si="10"/>
        <v>Active</v>
      </c>
    </row>
    <row r="246" spans="1:4" ht="18" customHeight="1">
      <c r="A246" t="str">
        <f>"10-2116-2000"</f>
        <v>10-2116-2000</v>
      </c>
      <c r="B246" t="str">
        <f>"Pneumatic Flip Device for 3rd Party CNC Mill"</f>
        <v>Pneumatic Flip Device for 3rd Party CNC Mill</v>
      </c>
      <c r="C246" s="44">
        <v>2000</v>
      </c>
      <c r="D246" t="str">
        <f t="shared" si="10"/>
        <v>Active</v>
      </c>
    </row>
    <row r="247" spans="1:4" ht="18" customHeight="1">
      <c r="A247" t="str">
        <f>"10-2116-7000"</f>
        <v>10-2116-7000</v>
      </c>
      <c r="B247" t="str">
        <f>"Safety Shield 1500x885x,H=1040mm (Table 001249)"</f>
        <v>Safety Shield 1500x885x,H=1040mm (Table 001249)</v>
      </c>
      <c r="C247" s="44">
        <v>2880</v>
      </c>
      <c r="D247" t="str">
        <f>"ECO-N2Buy"</f>
        <v>ECO-N2Buy</v>
      </c>
    </row>
    <row r="248" spans="1:4" ht="18" customHeight="1">
      <c r="A248" t="str">
        <f>"10-2117-1000"</f>
        <v>10-2117-1000</v>
      </c>
      <c r="B248" t="str">
        <f>"Safety shield 1500x1100,H=1000mm/ table 001293"</f>
        <v>Safety shield 1500x1100,H=1000mm/ table 001293</v>
      </c>
      <c r="C248" s="44">
        <v>4000</v>
      </c>
      <c r="D248" t="str">
        <f t="shared" ref="D248:D254" si="11">"Active"</f>
        <v>Active</v>
      </c>
    </row>
    <row r="249" spans="1:4" ht="18" customHeight="1">
      <c r="A249" t="str">
        <f>"10-2117-6000"</f>
        <v>10-2117-6000</v>
      </c>
      <c r="B249" t="str">
        <f>"Stop Station Assembly for Siemens PLC"</f>
        <v>Stop Station Assembly for Siemens PLC</v>
      </c>
      <c r="C249" s="44">
        <v>2160</v>
      </c>
      <c r="D249" t="str">
        <f t="shared" si="11"/>
        <v>Active</v>
      </c>
    </row>
    <row r="250" spans="1:4" ht="18" customHeight="1">
      <c r="A250" t="str">
        <f>"10-2118-4000"</f>
        <v>10-2118-4000</v>
      </c>
      <c r="B250" t="str">
        <f>"CNC Interface with Boxford Mill"</f>
        <v>CNC Interface with Boxford Mill</v>
      </c>
      <c r="C250" s="44">
        <v>1920</v>
      </c>
      <c r="D250" t="str">
        <f t="shared" si="11"/>
        <v>Active</v>
      </c>
    </row>
    <row r="251" spans="1:4" ht="18" customHeight="1">
      <c r="A251" t="str">
        <f>"10-2118-5000"</f>
        <v>10-2118-5000</v>
      </c>
      <c r="B251" t="str">
        <f>"CNC Interface with Boxford Turn"</f>
        <v>CNC Interface with Boxford Turn</v>
      </c>
      <c r="C251" s="44">
        <v>1920</v>
      </c>
      <c r="D251" t="str">
        <f t="shared" si="11"/>
        <v>Active</v>
      </c>
    </row>
    <row r="252" spans="1:4" ht="18" customHeight="1">
      <c r="A252" t="str">
        <f>"10-2118-6000"</f>
        <v>10-2118-6000</v>
      </c>
      <c r="B252" t="str">
        <f>"CNC Interface with EMCO MILL"</f>
        <v>CNC Interface with EMCO MILL</v>
      </c>
      <c r="C252" s="44">
        <v>1920</v>
      </c>
      <c r="D252" t="str">
        <f t="shared" si="11"/>
        <v>Active</v>
      </c>
    </row>
    <row r="253" spans="1:4" ht="18" customHeight="1">
      <c r="A253" t="str">
        <f>"10-2118-7000"</f>
        <v>10-2118-7000</v>
      </c>
      <c r="B253" t="str">
        <f>"CNC Interface with EMCO TURN"</f>
        <v>CNC Interface with EMCO TURN</v>
      </c>
      <c r="C253" s="44">
        <v>1920</v>
      </c>
      <c r="D253" t="str">
        <f t="shared" si="11"/>
        <v>Active</v>
      </c>
    </row>
    <row r="254" spans="1:4" ht="18" customHeight="1">
      <c r="A254" t="str">
        <f>"10-2118-8000"</f>
        <v>10-2118-8000</v>
      </c>
      <c r="B254" t="str">
        <f>"CNC Interface Option Relay Box (5OUT/5IN)"</f>
        <v>CNC Interface Option Relay Box (5OUT/5IN)</v>
      </c>
      <c r="C254">
        <v>528</v>
      </c>
      <c r="D254" t="str">
        <f t="shared" si="11"/>
        <v>Active</v>
      </c>
    </row>
    <row r="255" spans="1:4" ht="18" customHeight="1">
      <c r="A255" t="str">
        <f>"10-2118-9000"</f>
        <v>10-2118-9000</v>
      </c>
      <c r="B255" t="str">
        <f>"CNC Interface Option USB to I/O"</f>
        <v>CNC Interface Option USB to I/O</v>
      </c>
      <c r="C255" s="44">
        <v>1000</v>
      </c>
      <c r="D255" t="str">
        <f>"ECO-N2Mnf"</f>
        <v>ECO-N2Mnf</v>
      </c>
    </row>
    <row r="256" spans="1:4" ht="18" customHeight="1">
      <c r="A256" t="str">
        <f>"10-2119-5000"</f>
        <v>10-2119-5000</v>
      </c>
      <c r="B256" t="str">
        <f>"CIM PLC Cabinet Siemens PROFIBUS"</f>
        <v>CIM PLC Cabinet Siemens PROFIBUS</v>
      </c>
      <c r="C256" s="44">
        <v>8640</v>
      </c>
      <c r="D256" t="str">
        <f t="shared" ref="D256:D287" si="12">"Active"</f>
        <v>Active</v>
      </c>
    </row>
    <row r="257" spans="1:4" ht="18" customHeight="1">
      <c r="A257" t="str">
        <f>"10-2119-6000"</f>
        <v>10-2119-6000</v>
      </c>
      <c r="B257" t="str">
        <f>"Stop Station Assembly for PROFIBUS"</f>
        <v>Stop Station Assembly for PROFIBUS</v>
      </c>
      <c r="C257" s="44">
        <v>2200</v>
      </c>
      <c r="D257" t="str">
        <f t="shared" si="12"/>
        <v>Active</v>
      </c>
    </row>
    <row r="258" spans="1:4" ht="18" customHeight="1">
      <c r="A258" t="str">
        <f>"10-2119-7000"</f>
        <v>10-2119-7000</v>
      </c>
      <c r="B258" t="str">
        <f>"Profibus Module (ET200L) for Stop Station"</f>
        <v>Profibus Module (ET200L) for Stop Station</v>
      </c>
      <c r="C258" s="44">
        <v>3500</v>
      </c>
      <c r="D258" t="str">
        <f t="shared" si="12"/>
        <v>Active</v>
      </c>
    </row>
    <row r="259" spans="1:4" ht="18" customHeight="1">
      <c r="A259" t="str">
        <f>"10-2119-8000"</f>
        <v>10-2119-8000</v>
      </c>
      <c r="B259" t="str">
        <f>"RFID Reader System 115/230V"</f>
        <v>RFID Reader System 115/230V</v>
      </c>
      <c r="C259" s="44">
        <v>5200</v>
      </c>
      <c r="D259" t="str">
        <f t="shared" si="12"/>
        <v>Active</v>
      </c>
    </row>
    <row r="260" spans="1:4" ht="18" customHeight="1">
      <c r="A260" t="str">
        <f>"10-2119-9000"</f>
        <v>10-2119-9000</v>
      </c>
      <c r="B260" t="str">
        <f>"Interface with industrial robot"</f>
        <v>Interface with industrial robot</v>
      </c>
      <c r="C260" s="44">
        <v>6720</v>
      </c>
      <c r="D260" t="str">
        <f t="shared" si="12"/>
        <v>Active</v>
      </c>
    </row>
    <row r="261" spans="1:4" ht="18" customHeight="1">
      <c r="A261" t="str">
        <f>"10-2120-0000"</f>
        <v>10-2120-0000</v>
      </c>
      <c r="B261" t="str">
        <f>"CNC Interface with BenchMILL 6000"</f>
        <v>CNC Interface with BenchMILL 6000</v>
      </c>
      <c r="C261">
        <v>667</v>
      </c>
      <c r="D261" t="str">
        <f t="shared" si="12"/>
        <v>Active</v>
      </c>
    </row>
    <row r="262" spans="1:4" ht="18" customHeight="1">
      <c r="A262" t="str">
        <f>"10-2120-1000"</f>
        <v>10-2120-1000</v>
      </c>
      <c r="B262" t="str">
        <f>"CNC Interface with BenchTurn 7000"</f>
        <v>CNC Interface with BenchTurn 7000</v>
      </c>
      <c r="C262">
        <v>667</v>
      </c>
      <c r="D262" t="str">
        <f t="shared" si="12"/>
        <v>Active</v>
      </c>
    </row>
    <row r="263" spans="1:4" ht="18" customHeight="1">
      <c r="A263" t="str">
        <f>"10-2120-2000"</f>
        <v>10-2120-2000</v>
      </c>
      <c r="B263" t="str">
        <f>"CNC Interface with ProMill 8000"</f>
        <v>CNC Interface with ProMill 8000</v>
      </c>
      <c r="C263">
        <v>667</v>
      </c>
      <c r="D263" t="str">
        <f t="shared" si="12"/>
        <v>Active</v>
      </c>
    </row>
    <row r="264" spans="1:4" ht="18" customHeight="1">
      <c r="A264" t="str">
        <f>"10-2120-3000"</f>
        <v>10-2120-3000</v>
      </c>
      <c r="B264" t="str">
        <f>"CNC Interface with ProTurn 9000"</f>
        <v>CNC Interface with ProTurn 9000</v>
      </c>
      <c r="C264">
        <v>667</v>
      </c>
      <c r="D264" t="str">
        <f t="shared" si="12"/>
        <v>Active</v>
      </c>
    </row>
    <row r="265" spans="1:4" ht="18" customHeight="1">
      <c r="A265" t="str">
        <f>"10-2521-0000"</f>
        <v>10-2521-0000</v>
      </c>
      <c r="B265" t="str">
        <f>"Pneumatic Feeder for Round products"</f>
        <v>Pneumatic Feeder for Round products</v>
      </c>
      <c r="C265" s="44">
        <v>1368</v>
      </c>
      <c r="D265" t="str">
        <f t="shared" si="12"/>
        <v>Active</v>
      </c>
    </row>
    <row r="266" spans="1:4" ht="18" customHeight="1">
      <c r="A266" t="str">
        <f>"10-2521-1000"</f>
        <v>10-2521-1000</v>
      </c>
      <c r="B266" t="str">
        <f>"3x In-Line Solenoid Valves (Manifold)"</f>
        <v>3x In-Line Solenoid Valves (Manifold)</v>
      </c>
      <c r="C266">
        <v>960</v>
      </c>
      <c r="D266" t="str">
        <f t="shared" si="12"/>
        <v>Active</v>
      </c>
    </row>
    <row r="267" spans="1:4" ht="18" customHeight="1">
      <c r="A267" t="str">
        <f>"10-2521-7000"</f>
        <v>10-2521-7000</v>
      </c>
      <c r="B267" t="str">
        <f>"Pneumatic Feeder for Rectangular products"</f>
        <v>Pneumatic Feeder for Rectangular products</v>
      </c>
      <c r="C267" s="44">
        <v>1440</v>
      </c>
      <c r="D267" t="str">
        <f t="shared" si="12"/>
        <v>Active</v>
      </c>
    </row>
    <row r="268" spans="1:4" ht="18" customHeight="1">
      <c r="A268" t="str">
        <f>"10-2523-4000"</f>
        <v>10-2523-4000</v>
      </c>
      <c r="B268" t="str">
        <f>"Solenoid Valve (24V) for Pipe 3 mm"</f>
        <v>Solenoid Valve (24V) for Pipe 3 mm</v>
      </c>
      <c r="C268">
        <v>635</v>
      </c>
      <c r="D268" t="str">
        <f t="shared" si="12"/>
        <v>Active</v>
      </c>
    </row>
    <row r="269" spans="1:4" ht="18" customHeight="1">
      <c r="A269" t="str">
        <f>"10-2523-6000"</f>
        <v>10-2523-6000</v>
      </c>
      <c r="B269" t="str">
        <f>"Pneumatic Shifter (155mm stroke w. solenoid 24V)"</f>
        <v>Pneumatic Shifter (155mm stroke w. solenoid 24V)</v>
      </c>
      <c r="C269" s="44">
        <v>1800</v>
      </c>
      <c r="D269" t="str">
        <f t="shared" si="12"/>
        <v>Active</v>
      </c>
    </row>
    <row r="270" spans="1:4" ht="18" customHeight="1">
      <c r="A270" t="str">
        <f>"10-2540-1000"</f>
        <v>10-2540-1000</v>
      </c>
      <c r="B270" t="str">
        <f>"Hydraulic Pump with Oil Tank"</f>
        <v>Hydraulic Pump with Oil Tank</v>
      </c>
      <c r="C270" s="44">
        <v>3806.25</v>
      </c>
      <c r="D270" t="str">
        <f t="shared" si="12"/>
        <v>Active</v>
      </c>
    </row>
    <row r="271" spans="1:4" ht="18" customHeight="1">
      <c r="A271" t="str">
        <f>"10-2542-7000"</f>
        <v>10-2542-7000</v>
      </c>
      <c r="B271" t="str">
        <f>"Oil collector tray for HydraFlex T-slot panel"</f>
        <v>Oil collector tray for HydraFlex T-slot panel</v>
      </c>
      <c r="C271">
        <v>294</v>
      </c>
      <c r="D271" t="str">
        <f t="shared" si="12"/>
        <v>Active</v>
      </c>
    </row>
    <row r="272" spans="1:4" ht="18" customHeight="1">
      <c r="A272" t="str">
        <f>"10-4024-1000"</f>
        <v>10-4024-1000</v>
      </c>
      <c r="B272" t="str">
        <f>"6m Stop Station I/O Cable"</f>
        <v>6m Stop Station I/O Cable</v>
      </c>
      <c r="C272">
        <v>216</v>
      </c>
      <c r="D272" t="str">
        <f t="shared" si="12"/>
        <v>Active</v>
      </c>
    </row>
    <row r="273" spans="1:4" ht="18" customHeight="1">
      <c r="A273" t="str">
        <f>"10-4024-5000"</f>
        <v>10-4024-5000</v>
      </c>
      <c r="B273" t="str">
        <f>"9m Stop Station I/O Cable"</f>
        <v>9m Stop Station I/O Cable</v>
      </c>
      <c r="C273">
        <v>240</v>
      </c>
      <c r="D273" t="str">
        <f t="shared" si="12"/>
        <v>Active</v>
      </c>
    </row>
    <row r="274" spans="1:4" ht="18" customHeight="1">
      <c r="A274" t="str">
        <f>"10-4049-2000"</f>
        <v>10-4049-2000</v>
      </c>
      <c r="B274" t="str">
        <f>"12m Stop Station I/O Cable"</f>
        <v>12m Stop Station I/O Cable</v>
      </c>
      <c r="C274">
        <v>96</v>
      </c>
      <c r="D274" t="str">
        <f t="shared" si="12"/>
        <v>Active</v>
      </c>
    </row>
    <row r="275" spans="1:4" ht="18" customHeight="1">
      <c r="A275" t="str">
        <f>"10-4049-3000"</f>
        <v>10-4049-3000</v>
      </c>
      <c r="B275" t="str">
        <f>"15m Stop Station I/O Cable"</f>
        <v>15m Stop Station I/O Cable</v>
      </c>
      <c r="C275">
        <v>132</v>
      </c>
      <c r="D275" t="str">
        <f t="shared" si="12"/>
        <v>Active</v>
      </c>
    </row>
    <row r="276" spans="1:4" ht="18" customHeight="1">
      <c r="A276" t="str">
        <f>"10-4526-0000"</f>
        <v>10-4526-0000</v>
      </c>
      <c r="B276" t="str">
        <f>"Basic Compressor &amp; Conditioning System"</f>
        <v>Basic Compressor &amp; Conditioning System</v>
      </c>
      <c r="C276">
        <v>938</v>
      </c>
      <c r="D276" t="str">
        <f t="shared" si="12"/>
        <v>Active</v>
      </c>
    </row>
    <row r="277" spans="1:4" ht="18" customHeight="1">
      <c r="A277" t="str">
        <f>"10-4527-0000"</f>
        <v>10-4527-0000</v>
      </c>
      <c r="B277" t="str">
        <f>"Industrial Compressor &amp; Conditioning System"</f>
        <v>Industrial Compressor &amp; Conditioning System</v>
      </c>
      <c r="C277" s="44">
        <v>3125</v>
      </c>
      <c r="D277" t="str">
        <f t="shared" si="12"/>
        <v>Active</v>
      </c>
    </row>
    <row r="278" spans="1:4" ht="18" customHeight="1">
      <c r="A278" t="str">
        <f>"10-5530-0000"</f>
        <v>10-5530-0000</v>
      </c>
      <c r="B278" t="str">
        <f>"End Mill Set, Standard, Imperial"</f>
        <v>End Mill Set, Standard, Imperial</v>
      </c>
      <c r="C278">
        <v>250</v>
      </c>
      <c r="D278" t="str">
        <f t="shared" si="12"/>
        <v>Active</v>
      </c>
    </row>
    <row r="279" spans="1:4" ht="18" customHeight="1">
      <c r="A279" t="str">
        <f>"10-5560-0000"</f>
        <v>10-5560-0000</v>
      </c>
      <c r="B279" t="str">
        <f>"Multiple Tool Change Kit, Imperial, SLM"</f>
        <v>Multiple Tool Change Kit, Imperial, SLM</v>
      </c>
      <c r="C279">
        <v>500</v>
      </c>
      <c r="D279" t="str">
        <f t="shared" si="12"/>
        <v>Active</v>
      </c>
    </row>
    <row r="280" spans="1:4" ht="18" customHeight="1">
      <c r="A280" t="str">
        <f>"10-5590-0000"</f>
        <v>10-5590-0000</v>
      </c>
      <c r="B280" t="str">
        <f>"Mobile Workstation, 5ft, Cabinet Style"</f>
        <v>Mobile Workstation, 5ft, Cabinet Style</v>
      </c>
      <c r="C280" s="44">
        <v>2400</v>
      </c>
      <c r="D280" t="str">
        <f t="shared" si="12"/>
        <v>Active</v>
      </c>
    </row>
    <row r="281" spans="1:4" ht="18" customHeight="1">
      <c r="A281" t="str">
        <f>"10-5591-0000"</f>
        <v>10-5591-0000</v>
      </c>
      <c r="B281" t="str">
        <f>"Mobile Workstation, 5ft, Desk Style"</f>
        <v>Mobile Workstation, 5ft, Desk Style</v>
      </c>
      <c r="C281" s="44">
        <v>2400</v>
      </c>
      <c r="D281" t="str">
        <f t="shared" si="12"/>
        <v>Active</v>
      </c>
    </row>
    <row r="282" spans="1:4" ht="18" customHeight="1">
      <c r="A282" t="str">
        <f>"10-5592-0000"</f>
        <v>10-5592-0000</v>
      </c>
      <c r="B282" t="str">
        <f>"Mobile Workstation, 8ft, Desk Style, Wood Top"</f>
        <v>Mobile Workstation, 8ft, Desk Style, Wood Top</v>
      </c>
      <c r="C282" s="44">
        <v>2700</v>
      </c>
      <c r="D282" t="str">
        <f t="shared" si="12"/>
        <v>Active</v>
      </c>
    </row>
    <row r="283" spans="1:4" ht="18" customHeight="1">
      <c r="A283" t="str">
        <f>"10-5594-0000"</f>
        <v>10-5594-0000</v>
      </c>
      <c r="B283" t="str">
        <f>"Mobile Workstation, 6ft, Desk Style, Wood Top"</f>
        <v>Mobile Workstation, 6ft, Desk Style, Wood Top</v>
      </c>
      <c r="C283" s="44">
        <v>2400</v>
      </c>
      <c r="D283" t="str">
        <f t="shared" si="12"/>
        <v>Active</v>
      </c>
    </row>
    <row r="284" spans="1:4" ht="18" customHeight="1">
      <c r="A284" t="str">
        <f>"10-5803-0000"</f>
        <v>10-5803-0000</v>
      </c>
      <c r="B284" t="str">
        <f>"Linear Conveyor-24V w/ Power Supply and Sensor"</f>
        <v>Linear Conveyor-24V w/ Power Supply and Sensor</v>
      </c>
      <c r="C284" s="44">
        <v>2200</v>
      </c>
      <c r="D284" t="str">
        <f t="shared" si="12"/>
        <v>Active</v>
      </c>
    </row>
    <row r="285" spans="1:4" ht="18" customHeight="1">
      <c r="A285" t="str">
        <f>"10-5804-0000"</f>
        <v>10-5804-0000</v>
      </c>
      <c r="B285" t="str">
        <f>"Rotary Table w/Sensor"</f>
        <v>Rotary Table w/Sensor</v>
      </c>
      <c r="C285" s="44">
        <v>1800</v>
      </c>
      <c r="D285" t="str">
        <f t="shared" si="12"/>
        <v>Active</v>
      </c>
    </row>
    <row r="286" spans="1:4" ht="18" customHeight="1">
      <c r="A286" t="str">
        <f>"10-5805-0000"</f>
        <v>10-5805-0000</v>
      </c>
      <c r="B286" t="str">
        <f>"RMH Packaging Pallet Tote w/ Dividers"</f>
        <v>RMH Packaging Pallet Tote w/ Dividers</v>
      </c>
      <c r="C286">
        <v>87</v>
      </c>
      <c r="D286" t="str">
        <f t="shared" si="12"/>
        <v>Active</v>
      </c>
    </row>
    <row r="287" spans="1:4" ht="18" customHeight="1">
      <c r="A287" t="str">
        <f>"10-5810-0000"</f>
        <v>10-5810-0000</v>
      </c>
      <c r="B287" t="str">
        <f>"Machinist Kit - BenchMill and ProMill"</f>
        <v>Machinist Kit - BenchMill and ProMill</v>
      </c>
      <c r="C287" s="44">
        <v>2125</v>
      </c>
      <c r="D287" t="str">
        <f t="shared" si="12"/>
        <v>Active</v>
      </c>
    </row>
    <row r="288" spans="1:4" ht="18" customHeight="1">
      <c r="A288" t="str">
        <f>"10-6721-0000"</f>
        <v>10-6721-0000</v>
      </c>
      <c r="B288" t="str">
        <f>"spectraCAM Milling, First Copy"</f>
        <v>spectraCAM Milling, First Copy</v>
      </c>
      <c r="C288">
        <v>625</v>
      </c>
      <c r="D288" t="str">
        <f>"Inactive"</f>
        <v>Inactive</v>
      </c>
    </row>
    <row r="289" spans="1:4" ht="18" customHeight="1">
      <c r="A289" t="str">
        <f>"10-6723-0000"</f>
        <v>10-6723-0000</v>
      </c>
      <c r="B289" t="str">
        <f>"spectraCAD Engraver"</f>
        <v>spectraCAD Engraver</v>
      </c>
      <c r="C289">
        <v>500</v>
      </c>
      <c r="D289" t="str">
        <f>"Inactive"</f>
        <v>Inactive</v>
      </c>
    </row>
    <row r="290" spans="1:4" ht="18" customHeight="1">
      <c r="A290" t="str">
        <f>"10-6741-0000"</f>
        <v>10-6741-0000</v>
      </c>
      <c r="B290" t="str">
        <f>"spectraCAM Turning, First Copy"</f>
        <v>spectraCAM Turning, First Copy</v>
      </c>
      <c r="C290">
        <v>500</v>
      </c>
      <c r="D290" t="str">
        <f>"Inactive"</f>
        <v>Inactive</v>
      </c>
    </row>
    <row r="291" spans="1:4" ht="18" customHeight="1">
      <c r="A291" t="str">
        <f>"10-6743-0000"</f>
        <v>10-6743-0000</v>
      </c>
      <c r="B291" t="str">
        <f>"spectraCAM Turning, Downloaded Upgrade"</f>
        <v>spectraCAM Turning, Downloaded Upgrade</v>
      </c>
      <c r="C291">
        <v>500</v>
      </c>
      <c r="D291" t="str">
        <f>"Inactive"</f>
        <v>Inactive</v>
      </c>
    </row>
    <row r="292" spans="1:4" ht="18" customHeight="1">
      <c r="A292" t="str">
        <f>"10-7001-1001"</f>
        <v>10-7001-1001</v>
      </c>
      <c r="B292" t="str">
        <f>"Project, Yo-Yo, Components"</f>
        <v>Project, Yo-Yo, Components</v>
      </c>
      <c r="C292" s="44">
        <v>5600</v>
      </c>
      <c r="D292" t="str">
        <f t="shared" ref="D292:D300" si="13">"Active"</f>
        <v>Active</v>
      </c>
    </row>
    <row r="293" spans="1:4" ht="18" customHeight="1">
      <c r="A293" t="str">
        <f>"10-7006-1001"</f>
        <v>10-7006-1001</v>
      </c>
      <c r="B293" t="str">
        <f>"Project, Precision Measuring Device, Components"</f>
        <v>Project, Precision Measuring Device, Components</v>
      </c>
      <c r="C293">
        <v>534</v>
      </c>
      <c r="D293" t="str">
        <f t="shared" si="13"/>
        <v>Active</v>
      </c>
    </row>
    <row r="294" spans="1:4" ht="18" customHeight="1">
      <c r="A294" t="str">
        <f>"10-7007-1000"</f>
        <v>10-7007-1000</v>
      </c>
      <c r="B294" t="str">
        <f>"Project, Golf Putter, LMS"</f>
        <v>Project, Golf Putter, LMS</v>
      </c>
      <c r="C294" s="44">
        <v>2870</v>
      </c>
      <c r="D294" t="str">
        <f t="shared" si="13"/>
        <v>Active</v>
      </c>
    </row>
    <row r="295" spans="1:4" ht="18" customHeight="1">
      <c r="A295" t="str">
        <f>"10-7007-1001"</f>
        <v>10-7007-1001</v>
      </c>
      <c r="B295" t="str">
        <f>"Project, Golf Putter, Components"</f>
        <v>Project, Golf Putter, Components</v>
      </c>
      <c r="C295" s="44">
        <v>5600</v>
      </c>
      <c r="D295" t="str">
        <f t="shared" si="13"/>
        <v>Active</v>
      </c>
    </row>
    <row r="296" spans="1:4" ht="18" customHeight="1">
      <c r="A296" t="str">
        <f>"10-7016-1000"</f>
        <v>10-7016-1000</v>
      </c>
      <c r="B296" t="str">
        <f>"Project, CO2 Car, LMS"</f>
        <v>Project, CO2 Car, LMS</v>
      </c>
      <c r="C296" s="44">
        <v>1995</v>
      </c>
      <c r="D296" t="str">
        <f t="shared" si="13"/>
        <v>Active</v>
      </c>
    </row>
    <row r="297" spans="1:4" ht="18" customHeight="1">
      <c r="A297" t="str">
        <f>"10-7016-1001"</f>
        <v>10-7016-1001</v>
      </c>
      <c r="B297" t="str">
        <f>"Project, CO2 Car, Components"</f>
        <v>Project, CO2 Car, Components</v>
      </c>
      <c r="C297" s="44">
        <v>3334</v>
      </c>
      <c r="D297" t="str">
        <f t="shared" si="13"/>
        <v>Active</v>
      </c>
    </row>
    <row r="298" spans="1:4" ht="18" customHeight="1">
      <c r="A298" t="str">
        <f>"10-7018-1001"</f>
        <v>10-7018-1001</v>
      </c>
      <c r="B298" t="str">
        <f>"Project, Robotics &amp; Automation, Components"</f>
        <v>Project, Robotics &amp; Automation, Components</v>
      </c>
      <c r="C298" s="44">
        <v>7467</v>
      </c>
      <c r="D298" t="str">
        <f t="shared" si="13"/>
        <v>Active</v>
      </c>
    </row>
    <row r="299" spans="1:4" ht="18" customHeight="1">
      <c r="A299" t="str">
        <f>"10-7024-1001"</f>
        <v>10-7024-1001</v>
      </c>
      <c r="B299" t="str">
        <f>"Project, Cone Zone"</f>
        <v>Project, Cone Zone</v>
      </c>
      <c r="C299">
        <v>467</v>
      </c>
      <c r="D299" t="str">
        <f t="shared" si="13"/>
        <v>Active</v>
      </c>
    </row>
    <row r="300" spans="1:4" ht="18" customHeight="1">
      <c r="A300" t="str">
        <f>"10-7024-1002"</f>
        <v>10-7024-1002</v>
      </c>
      <c r="B300" t="str">
        <f>"Project, Puck Pileup"</f>
        <v>Project, Puck Pileup</v>
      </c>
      <c r="C300">
        <v>467</v>
      </c>
      <c r="D300" t="str">
        <f t="shared" si="13"/>
        <v>Active</v>
      </c>
    </row>
    <row r="301" spans="1:4" ht="18" customHeight="1">
      <c r="A301" t="str">
        <f>"10-7024-1003"</f>
        <v>10-7024-1003</v>
      </c>
      <c r="B301" t="str">
        <f>"Project, Safe Cracker"</f>
        <v>Project, Safe Cracker</v>
      </c>
      <c r="C301">
        <v>599</v>
      </c>
      <c r="D301" t="str">
        <f>"Inactive"</f>
        <v>Inactive</v>
      </c>
    </row>
    <row r="302" spans="1:4" ht="18" customHeight="1">
      <c r="A302" t="str">
        <f>"10-7025-1001"</f>
        <v>10-7025-1001</v>
      </c>
      <c r="B302" t="str">
        <f>"Project, Involution"</f>
        <v>Project, Involution</v>
      </c>
      <c r="C302">
        <v>467</v>
      </c>
      <c r="D302" t="str">
        <f>"Active"</f>
        <v>Active</v>
      </c>
    </row>
    <row r="303" spans="1:4" ht="18" customHeight="1">
      <c r="A303" t="str">
        <f>"10-7025-1002"</f>
        <v>10-7025-1002</v>
      </c>
      <c r="B303" t="str">
        <f>"Project, Full Pull"</f>
        <v>Project, Full Pull</v>
      </c>
      <c r="C303">
        <v>600</v>
      </c>
      <c r="D303" t="str">
        <f>"Active"</f>
        <v>Active</v>
      </c>
    </row>
    <row r="304" spans="1:4" ht="18" customHeight="1">
      <c r="A304" t="str">
        <f>"10-7025-1003"</f>
        <v>10-7025-1003</v>
      </c>
      <c r="B304" t="str">
        <f>"Project, Cube Conundrum"</f>
        <v>Project, Cube Conundrum</v>
      </c>
      <c r="C304">
        <v>600</v>
      </c>
      <c r="D304" t="str">
        <f>"Active"</f>
        <v>Active</v>
      </c>
    </row>
    <row r="305" spans="1:4" ht="18" customHeight="1">
      <c r="A305" t="str">
        <f>"10-7025-2002"</f>
        <v>10-7025-2002</v>
      </c>
      <c r="B305" t="str">
        <f>"Project, Full Pull XL"</f>
        <v>Project, Full Pull XL</v>
      </c>
      <c r="C305">
        <v>600</v>
      </c>
      <c r="D305" t="str">
        <f>"New"</f>
        <v>New</v>
      </c>
    </row>
    <row r="306" spans="1:4" ht="18" customHeight="1">
      <c r="A306" t="str">
        <f>"10-7026-1001"</f>
        <v>10-7026-1001</v>
      </c>
      <c r="B306" t="str">
        <f>"Project, Green Street"</f>
        <v>Project, Green Street</v>
      </c>
      <c r="C306">
        <v>800</v>
      </c>
      <c r="D306" t="str">
        <f>"Active"</f>
        <v>Active</v>
      </c>
    </row>
    <row r="307" spans="1:4" ht="18" customHeight="1">
      <c r="A307" t="str">
        <f>"10-7027-1001"</f>
        <v>10-7027-1001</v>
      </c>
      <c r="B307" t="str">
        <f>"Project, Marbelous"</f>
        <v>Project, Marbelous</v>
      </c>
      <c r="C307">
        <v>600</v>
      </c>
      <c r="D307" t="str">
        <f>"Inactive"</f>
        <v>Inactive</v>
      </c>
    </row>
    <row r="308" spans="1:4" ht="18" customHeight="1">
      <c r="A308" t="str">
        <f>"10-7027-1002"</f>
        <v>10-7027-1002</v>
      </c>
      <c r="B308" t="str">
        <f>"Project, Pick &amp; Place"</f>
        <v>Project, Pick &amp; Place</v>
      </c>
      <c r="C308">
        <v>600</v>
      </c>
      <c r="D308" t="str">
        <f>"Inactive"</f>
        <v>Inactive</v>
      </c>
    </row>
    <row r="309" spans="1:4" ht="18" customHeight="1">
      <c r="A309" t="str">
        <f>"10-7027-1003"</f>
        <v>10-7027-1003</v>
      </c>
      <c r="B309" t="str">
        <f>"Project, Vertigo"</f>
        <v>Project, Vertigo</v>
      </c>
      <c r="C309">
        <v>600</v>
      </c>
      <c r="D309" t="str">
        <f>"Inactive"</f>
        <v>Inactive</v>
      </c>
    </row>
    <row r="310" spans="1:4" ht="18" customHeight="1">
      <c r="A310" t="str">
        <f>"10-7027-1030"</f>
        <v>10-7027-1030</v>
      </c>
      <c r="B310" t="str">
        <f>"Engineering Application Series Mat. 30 Pack"</f>
        <v>Engineering Application Series Mat. 30 Pack</v>
      </c>
      <c r="C310" s="44">
        <v>1995</v>
      </c>
      <c r="D310" t="str">
        <f t="shared" ref="D310:D343" si="14">"Active"</f>
        <v>Active</v>
      </c>
    </row>
    <row r="311" spans="1:4" ht="18" customHeight="1">
      <c r="A311" t="str">
        <f>"10-7551-0000"</f>
        <v>10-7551-0000</v>
      </c>
      <c r="B311" t="str">
        <f>"Project, Chess Set"</f>
        <v>Project, Chess Set</v>
      </c>
      <c r="C311">
        <v>350</v>
      </c>
      <c r="D311" t="str">
        <f t="shared" si="14"/>
        <v>Active</v>
      </c>
    </row>
    <row r="312" spans="1:4" ht="18" customHeight="1">
      <c r="A312" t="str">
        <f>"10-8110-1002"</f>
        <v>10-8110-1002</v>
      </c>
      <c r="B312" t="str">
        <f>"Green Tech. Curriculum (GTC) Course Mat. 2 Pack"</f>
        <v>Green Tech. Curriculum (GTC) Course Mat. 2 Pack</v>
      </c>
      <c r="C312" s="44">
        <v>18700</v>
      </c>
      <c r="D312" t="str">
        <f t="shared" si="14"/>
        <v>Active</v>
      </c>
    </row>
    <row r="313" spans="1:4" ht="18" customHeight="1">
      <c r="A313" t="str">
        <f>"10-8110-1010"</f>
        <v>10-8110-1010</v>
      </c>
      <c r="B313" t="str">
        <f>"Green Tech. Curriculum (GTC) Course Mat. 10 Pack"</f>
        <v>Green Tech. Curriculum (GTC) Course Mat. 10 Pack</v>
      </c>
      <c r="C313" s="44">
        <v>18700</v>
      </c>
      <c r="D313" t="str">
        <f t="shared" si="14"/>
        <v>Active</v>
      </c>
    </row>
    <row r="314" spans="1:4" ht="18" customHeight="1">
      <c r="A314" t="str">
        <f>"10-8110-1020"</f>
        <v>10-8110-1020</v>
      </c>
      <c r="B314" t="str">
        <f>"Green Tech. Curriculum (GTC) Course Mat. 20 Pack"</f>
        <v>Green Tech. Curriculum (GTC) Course Mat. 20 Pack</v>
      </c>
      <c r="C314" s="44">
        <v>18700</v>
      </c>
      <c r="D314" t="str">
        <f t="shared" si="14"/>
        <v>Active</v>
      </c>
    </row>
    <row r="315" spans="1:4" ht="18" customHeight="1">
      <c r="A315" t="str">
        <f>"10-8110-1030"</f>
        <v>10-8110-1030</v>
      </c>
      <c r="B315" t="str">
        <f>"Green Tech. Curriculum (GTC) Course Mat. 30 Pack"</f>
        <v>Green Tech. Curriculum (GTC) Course Mat. 30 Pack</v>
      </c>
      <c r="C315" s="44">
        <v>18700</v>
      </c>
      <c r="D315" t="str">
        <f t="shared" si="14"/>
        <v>Active</v>
      </c>
    </row>
    <row r="316" spans="1:4" ht="18" customHeight="1">
      <c r="A316" t="str">
        <f>"10-8136-1002"</f>
        <v>10-8136-1002</v>
      </c>
      <c r="B316" t="str">
        <f>"Transportation Curriculum Course Mat. 2 Pack"</f>
        <v>Transportation Curriculum Course Mat. 2 Pack</v>
      </c>
      <c r="C316" s="44">
        <v>11795</v>
      </c>
      <c r="D316" t="str">
        <f t="shared" si="14"/>
        <v>Active</v>
      </c>
    </row>
    <row r="317" spans="1:4" ht="18" customHeight="1">
      <c r="A317" t="str">
        <f>"10-8136-1010"</f>
        <v>10-8136-1010</v>
      </c>
      <c r="B317" t="str">
        <f>"Transportation Curriculum Course Mat. 10 Pack"</f>
        <v>Transportation Curriculum Course Mat. 10 Pack</v>
      </c>
      <c r="C317" s="44">
        <v>11795</v>
      </c>
      <c r="D317" t="str">
        <f t="shared" si="14"/>
        <v>Active</v>
      </c>
    </row>
    <row r="318" spans="1:4" ht="18" customHeight="1">
      <c r="A318" t="str">
        <f>"10-8136-1020"</f>
        <v>10-8136-1020</v>
      </c>
      <c r="B318" t="str">
        <f>"Transportation Curriculum Course Mat. 20 Pack"</f>
        <v>Transportation Curriculum Course Mat. 20 Pack</v>
      </c>
      <c r="C318" s="44">
        <v>11795</v>
      </c>
      <c r="D318" t="str">
        <f t="shared" si="14"/>
        <v>Active</v>
      </c>
    </row>
    <row r="319" spans="1:4" ht="18" customHeight="1">
      <c r="A319" t="str">
        <f>"10-8136-1030"</f>
        <v>10-8136-1030</v>
      </c>
      <c r="B319" t="str">
        <f>"Transportation Curriculum Course Mat. 30 Pack"</f>
        <v>Transportation Curriculum Course Mat. 30 Pack</v>
      </c>
      <c r="C319" s="44">
        <v>11795</v>
      </c>
      <c r="D319" t="str">
        <f t="shared" si="14"/>
        <v>Active</v>
      </c>
    </row>
    <row r="320" spans="1:4" ht="18" customHeight="1">
      <c r="A320" t="str">
        <f>"10-8137-1002"</f>
        <v>10-8137-1002</v>
      </c>
      <c r="B320" t="str">
        <f>"Biotechnology Curriculum Course Mat. 2 Pack"</f>
        <v>Biotechnology Curriculum Course Mat. 2 Pack</v>
      </c>
      <c r="C320" s="44">
        <v>4595</v>
      </c>
      <c r="D320" t="str">
        <f t="shared" si="14"/>
        <v>Active</v>
      </c>
    </row>
    <row r="321" spans="1:4" ht="18" customHeight="1">
      <c r="A321" t="str">
        <f>"10-8137-1010"</f>
        <v>10-8137-1010</v>
      </c>
      <c r="B321" t="str">
        <f>"Biotechnology Curriculum Course Mat. 10 Pack"</f>
        <v>Biotechnology Curriculum Course Mat. 10 Pack</v>
      </c>
      <c r="C321" s="44">
        <v>4595</v>
      </c>
      <c r="D321" t="str">
        <f t="shared" si="14"/>
        <v>Active</v>
      </c>
    </row>
    <row r="322" spans="1:4" ht="18" customHeight="1">
      <c r="A322" t="str">
        <f>"10-8137-1020"</f>
        <v>10-8137-1020</v>
      </c>
      <c r="B322" t="str">
        <f>"Biotechnology Curriculum Course Mat. 20 Pack"</f>
        <v>Biotechnology Curriculum Course Mat. 20 Pack</v>
      </c>
      <c r="C322" s="44">
        <v>4595</v>
      </c>
      <c r="D322" t="str">
        <f t="shared" si="14"/>
        <v>Active</v>
      </c>
    </row>
    <row r="323" spans="1:4" ht="18" customHeight="1">
      <c r="A323" t="str">
        <f>"10-8137-1030"</f>
        <v>10-8137-1030</v>
      </c>
      <c r="B323" t="str">
        <f>"Biotechnology Curriculum Course Mat. 30 Pack"</f>
        <v>Biotechnology Curriculum Course Mat. 30 Pack</v>
      </c>
      <c r="C323" s="44">
        <v>4595</v>
      </c>
      <c r="D323" t="str">
        <f t="shared" si="14"/>
        <v>Active</v>
      </c>
    </row>
    <row r="324" spans="1:4" ht="18" customHeight="1">
      <c r="A324" t="str">
        <f>"10-8138-1002"</f>
        <v>10-8138-1002</v>
      </c>
      <c r="B324" t="str">
        <f>"Health Care Curriculum Course Mat. 2 Pack"</f>
        <v>Health Care Curriculum Course Mat. 2 Pack</v>
      </c>
      <c r="C324" s="44">
        <v>3295</v>
      </c>
      <c r="D324" t="str">
        <f t="shared" si="14"/>
        <v>Active</v>
      </c>
    </row>
    <row r="325" spans="1:4" ht="18" customHeight="1">
      <c r="A325" t="str">
        <f>"10-8138-1010"</f>
        <v>10-8138-1010</v>
      </c>
      <c r="B325" t="str">
        <f>"Health Care Curriculum Course Mat. 10 Pack"</f>
        <v>Health Care Curriculum Course Mat. 10 Pack</v>
      </c>
      <c r="C325" s="44">
        <v>3295</v>
      </c>
      <c r="D325" t="str">
        <f t="shared" si="14"/>
        <v>Active</v>
      </c>
    </row>
    <row r="326" spans="1:4" ht="18" customHeight="1">
      <c r="A326" t="str">
        <f>"10-8138-1020"</f>
        <v>10-8138-1020</v>
      </c>
      <c r="B326" t="str">
        <f>"Health Care Curriculum Course Mat. 20 Pack"</f>
        <v>Health Care Curriculum Course Mat. 20 Pack</v>
      </c>
      <c r="C326" s="44">
        <v>3295</v>
      </c>
      <c r="D326" t="str">
        <f t="shared" si="14"/>
        <v>Active</v>
      </c>
    </row>
    <row r="327" spans="1:4" ht="18" customHeight="1">
      <c r="A327" t="str">
        <f>"10-8138-1030"</f>
        <v>10-8138-1030</v>
      </c>
      <c r="B327" t="str">
        <f>"Health Care Curriculum Course Mat. 30 Pack"</f>
        <v>Health Care Curriculum Course Mat. 30 Pack</v>
      </c>
      <c r="C327" s="44">
        <v>3295</v>
      </c>
      <c r="D327" t="str">
        <f t="shared" si="14"/>
        <v>Active</v>
      </c>
    </row>
    <row r="328" spans="1:4" ht="18" customHeight="1">
      <c r="A328" t="str">
        <f>"10-8150-1002"</f>
        <v>10-8150-1002</v>
      </c>
      <c r="B328" t="str">
        <f>"Exploring Communications Course Mat. 10 Pack"</f>
        <v>Exploring Communications Course Mat. 10 Pack</v>
      </c>
      <c r="C328" s="44">
        <v>9395</v>
      </c>
      <c r="D328" t="str">
        <f t="shared" si="14"/>
        <v>Active</v>
      </c>
    </row>
    <row r="329" spans="1:4" ht="18" customHeight="1">
      <c r="A329" t="str">
        <f>"10-8150-1010"</f>
        <v>10-8150-1010</v>
      </c>
      <c r="B329" t="str">
        <f>"Exploring Communications Course Mat. 10 Pack"</f>
        <v>Exploring Communications Course Mat. 10 Pack</v>
      </c>
      <c r="C329" s="44">
        <v>9395</v>
      </c>
      <c r="D329" t="str">
        <f t="shared" si="14"/>
        <v>Active</v>
      </c>
    </row>
    <row r="330" spans="1:4" ht="18" customHeight="1">
      <c r="A330" t="str">
        <f>"10-8150-1020"</f>
        <v>10-8150-1020</v>
      </c>
      <c r="B330" t="str">
        <f>"Exploring Communications Course Mat. 20 Pack"</f>
        <v>Exploring Communications Course Mat. 20 Pack</v>
      </c>
      <c r="C330" s="44">
        <v>9395</v>
      </c>
      <c r="D330" t="str">
        <f t="shared" si="14"/>
        <v>Active</v>
      </c>
    </row>
    <row r="331" spans="1:4" ht="18" customHeight="1">
      <c r="A331" t="str">
        <f>"10-8150-1030"</f>
        <v>10-8150-1030</v>
      </c>
      <c r="B331" t="str">
        <f>"Exploring Communications Course Mat. 30 Pack"</f>
        <v>Exploring Communications Course Mat. 30 Pack</v>
      </c>
      <c r="C331" s="44">
        <v>9395</v>
      </c>
      <c r="D331" t="str">
        <f t="shared" si="14"/>
        <v>Active</v>
      </c>
    </row>
    <row r="332" spans="1:4" ht="18" customHeight="1">
      <c r="A332" t="str">
        <f>"10-8154-1030"</f>
        <v>10-8154-1030</v>
      </c>
      <c r="B332" t="str">
        <f>"Intro. to Industrial Design Course Mat. 30 Pack"</f>
        <v>Intro. to Industrial Design Course Mat. 30 Pack</v>
      </c>
      <c r="C332" s="44">
        <v>1995</v>
      </c>
      <c r="D332" t="str">
        <f t="shared" si="14"/>
        <v>Active</v>
      </c>
    </row>
    <row r="333" spans="1:4" ht="18" customHeight="1">
      <c r="A333" t="str">
        <f>"10-9120-0000"</f>
        <v>10-9120-0000</v>
      </c>
      <c r="B333" t="str">
        <f>"Stock Package, Wax, 3” x 2” x 1.5”– 50 Pcs"</f>
        <v>Stock Package, Wax, 3” x 2” x 1.5”– 50 Pcs</v>
      </c>
      <c r="C333">
        <v>657</v>
      </c>
      <c r="D333" t="str">
        <f t="shared" si="14"/>
        <v>Active</v>
      </c>
    </row>
    <row r="334" spans="1:4" ht="18" customHeight="1">
      <c r="A334" t="str">
        <f>"10-9130-0000"</f>
        <v>10-9130-0000</v>
      </c>
      <c r="B334" t="str">
        <f>"Stock Package, Aluminum, Mill"</f>
        <v>Stock Package, Aluminum, Mill</v>
      </c>
      <c r="C334">
        <v>266</v>
      </c>
      <c r="D334" t="str">
        <f t="shared" si="14"/>
        <v>Active</v>
      </c>
    </row>
    <row r="335" spans="1:4" ht="18" customHeight="1">
      <c r="A335" t="str">
        <f>"10-9140-0000"</f>
        <v>10-9140-0000</v>
      </c>
      <c r="B335" t="str">
        <f>"Stock Package, Brass, Turn"</f>
        <v>Stock Package, Brass, Turn</v>
      </c>
      <c r="C335" s="44">
        <v>1250</v>
      </c>
      <c r="D335" t="str">
        <f t="shared" si="14"/>
        <v>Active</v>
      </c>
    </row>
    <row r="336" spans="1:4" ht="18" customHeight="1">
      <c r="A336" t="str">
        <f>"10-9160-0000"</f>
        <v>10-9160-0000</v>
      </c>
      <c r="B336" t="str">
        <f>"Stock Package, Name Badge, Engrave"</f>
        <v>Stock Package, Name Badge, Engrave</v>
      </c>
      <c r="C336">
        <v>395</v>
      </c>
      <c r="D336" t="str">
        <f t="shared" si="14"/>
        <v>Active</v>
      </c>
    </row>
    <row r="337" spans="1:4" ht="18" customHeight="1">
      <c r="A337" t="str">
        <f>"10-9170-0000"</f>
        <v>10-9170-0000</v>
      </c>
      <c r="B337" t="str">
        <f>"Stock Package, Name Plate, Engrave"</f>
        <v>Stock Package, Name Plate, Engrave</v>
      </c>
      <c r="C337">
        <v>250</v>
      </c>
      <c r="D337" t="str">
        <f t="shared" si="14"/>
        <v>Active</v>
      </c>
    </row>
    <row r="338" spans="1:4" ht="18" customHeight="1">
      <c r="A338" t="str">
        <f>"10-9301-0000"</f>
        <v>10-9301-0000</v>
      </c>
      <c r="B338" t="str">
        <f>"Consumable Package, CO2 Car Project"</f>
        <v>Consumable Package, CO2 Car Project</v>
      </c>
      <c r="C338">
        <v>480</v>
      </c>
      <c r="D338" t="str">
        <f t="shared" si="14"/>
        <v>Active</v>
      </c>
    </row>
    <row r="339" spans="1:4" ht="18" customHeight="1">
      <c r="A339" t="str">
        <f>"10-9302-0000"</f>
        <v>10-9302-0000</v>
      </c>
      <c r="B339" t="str">
        <f>"Consumable Package, Golf Putter Project"</f>
        <v>Consumable Package, Golf Putter Project</v>
      </c>
      <c r="C339" s="44">
        <v>2600</v>
      </c>
      <c r="D339" t="str">
        <f t="shared" si="14"/>
        <v>Active</v>
      </c>
    </row>
    <row r="340" spans="1:4" ht="18" customHeight="1">
      <c r="A340" t="str">
        <f>"10-9304-0000"</f>
        <v>10-9304-0000</v>
      </c>
      <c r="B340" t="str">
        <f>"Consumable Package,Precision Measurement Project"</f>
        <v>Consumable Package,Precision Measurement Project</v>
      </c>
      <c r="C340">
        <v>300</v>
      </c>
      <c r="D340" t="str">
        <f t="shared" si="14"/>
        <v>Active</v>
      </c>
    </row>
    <row r="341" spans="1:4" ht="18" customHeight="1">
      <c r="A341" t="str">
        <f>"10-9307-0000"</f>
        <v>10-9307-0000</v>
      </c>
      <c r="B341" t="str">
        <f>"Brass Cannon Project Raw Materials Kit"</f>
        <v>Brass Cannon Project Raw Materials Kit</v>
      </c>
      <c r="C341">
        <v>160</v>
      </c>
      <c r="D341" t="str">
        <f t="shared" si="14"/>
        <v>Active</v>
      </c>
    </row>
    <row r="342" spans="1:4" ht="18" customHeight="1">
      <c r="A342" t="str">
        <f>"10-9330-0000"</f>
        <v>10-9330-0000</v>
      </c>
      <c r="B342" t="str">
        <f>"Stock Package, Delrin, Turn, 3/4""x3"""</f>
        <v>Stock Package, Delrin, Turn, 3/4"x3"</v>
      </c>
      <c r="C342">
        <v>267</v>
      </c>
      <c r="D342" t="str">
        <f t="shared" si="14"/>
        <v>Active</v>
      </c>
    </row>
    <row r="343" spans="1:4" ht="18" customHeight="1">
      <c r="A343" t="str">
        <f>"10-9350-0000"</f>
        <v>10-9350-0000</v>
      </c>
      <c r="B343" t="str">
        <f>"Stock Package, Machinable Wax, Turn, 1""x 12"""</f>
        <v>Stock Package, Machinable Wax, Turn, 1"x 12"</v>
      </c>
      <c r="C343">
        <v>250</v>
      </c>
      <c r="D343" t="str">
        <f t="shared" si="14"/>
        <v>Active</v>
      </c>
    </row>
    <row r="344" spans="1:4" ht="18" customHeight="1">
      <c r="A344" t="str">
        <f>"10-9360-0000"</f>
        <v>10-9360-0000</v>
      </c>
      <c r="B344" t="str">
        <f>"Stock Package, Chess Set Stock"</f>
        <v>Stock Package, Chess Set Stock</v>
      </c>
      <c r="C344">
        <v>907</v>
      </c>
      <c r="D344" t="str">
        <f>"Inactive"</f>
        <v>Inactive</v>
      </c>
    </row>
    <row r="345" spans="1:4" ht="18" customHeight="1">
      <c r="A345" t="str">
        <f>"10-9401-0000"</f>
        <v>10-9401-0000</v>
      </c>
      <c r="B345" t="str">
        <f>"Polystyrene Sheet, 12""x12""x1/16"", (20-Pack)"</f>
        <v>Polystyrene Sheet, 12"x12"x1/16", (20-Pack)</v>
      </c>
      <c r="C345">
        <v>100</v>
      </c>
      <c r="D345" t="str">
        <f t="shared" ref="D345:D364" si="15">"Active"</f>
        <v>Active</v>
      </c>
    </row>
    <row r="346" spans="1:4" ht="18" customHeight="1">
      <c r="A346" t="str">
        <f>"10-9402-0000"</f>
        <v>10-9402-0000</v>
      </c>
      <c r="B346" t="str">
        <f>"Polystyrene Sheet, 12""x6""x1/16"", (20-Pack)"</f>
        <v>Polystyrene Sheet, 12"x6"x1/16", (20-Pack)</v>
      </c>
      <c r="C346">
        <v>67</v>
      </c>
      <c r="D346" t="str">
        <f t="shared" si="15"/>
        <v>Active</v>
      </c>
    </row>
    <row r="347" spans="1:4" ht="18" customHeight="1">
      <c r="A347" t="str">
        <f>"10-9403-0000"</f>
        <v>10-9403-0000</v>
      </c>
      <c r="B347" t="str">
        <f>"Cast Acrylic Sheet, Clear,  8""x8""x1/8"", (2-Pack)"</f>
        <v>Cast Acrylic Sheet, Clear,  8"x8"x1/8", (2-Pack)</v>
      </c>
      <c r="C347">
        <v>67</v>
      </c>
      <c r="D347" t="str">
        <f t="shared" si="15"/>
        <v>Active</v>
      </c>
    </row>
    <row r="348" spans="1:4" ht="18" customHeight="1">
      <c r="A348" t="str">
        <f>"10-9404-0000"</f>
        <v>10-9404-0000</v>
      </c>
      <c r="B348" t="str">
        <f>"Cast Acrylic Sheet, Clear,  11""x11""x1/8,(2-Pack)"</f>
        <v>Cast Acrylic Sheet, Clear,  11"x11"x1/8,(2-Pack)</v>
      </c>
      <c r="C348">
        <v>67</v>
      </c>
      <c r="D348" t="str">
        <f t="shared" si="15"/>
        <v>Active</v>
      </c>
    </row>
    <row r="349" spans="1:4" ht="18" customHeight="1">
      <c r="A349" t="str">
        <f>"10-9405-0000"</f>
        <v>10-9405-0000</v>
      </c>
      <c r="B349" t="str">
        <f>"Cast Acrylic Sheet, Clear, 14""x14""x1/8"",(2-Pack)"</f>
        <v>Cast Acrylic Sheet, Clear, 14"x14"x1/8",(2-Pack)</v>
      </c>
      <c r="C349">
        <v>67</v>
      </c>
      <c r="D349" t="str">
        <f t="shared" si="15"/>
        <v>Active</v>
      </c>
    </row>
    <row r="350" spans="1:4" ht="18" customHeight="1">
      <c r="A350" t="str">
        <f>"10-9406-0000"</f>
        <v>10-9406-0000</v>
      </c>
      <c r="B350" t="str">
        <f>"Polypropylene Sheet, 7""x3""x1/4"", (25-Pack)"</f>
        <v>Polypropylene Sheet, 7"x3"x1/4", (25-Pack)</v>
      </c>
      <c r="C350">
        <v>134</v>
      </c>
      <c r="D350" t="str">
        <f t="shared" si="15"/>
        <v>Active</v>
      </c>
    </row>
    <row r="351" spans="1:4" ht="18" customHeight="1">
      <c r="A351" t="str">
        <f>"10-9407-0000"</f>
        <v>10-9407-0000</v>
      </c>
      <c r="B351" t="str">
        <f>"Polypropylene Rod,  3mm Diameter, 4 lbs."</f>
        <v>Polypropylene Rod,  3mm Diameter, 4 lbs.</v>
      </c>
      <c r="C351">
        <v>67</v>
      </c>
      <c r="D351" t="str">
        <f t="shared" si="15"/>
        <v>Active</v>
      </c>
    </row>
    <row r="352" spans="1:4" ht="18" customHeight="1">
      <c r="A352" t="str">
        <f>"10-9408-0000"</f>
        <v>10-9408-0000</v>
      </c>
      <c r="B352" t="str">
        <f>"Polystyrene Granules, 4 lbs., Extrusion"</f>
        <v>Polystyrene Granules, 4 lbs., Extrusion</v>
      </c>
      <c r="C352">
        <v>240</v>
      </c>
      <c r="D352" t="str">
        <f t="shared" si="15"/>
        <v>Active</v>
      </c>
    </row>
    <row r="353" spans="1:4" ht="18" customHeight="1">
      <c r="A353" t="str">
        <f>"10-9409-0000"</f>
        <v>10-9409-0000</v>
      </c>
      <c r="B353" t="str">
        <f>"Nylon Powder, Yellow, 4 lbs, Dip Coating"</f>
        <v>Nylon Powder, Yellow, 4 lbs, Dip Coating</v>
      </c>
      <c r="C353">
        <v>480</v>
      </c>
      <c r="D353" t="str">
        <f t="shared" si="15"/>
        <v>Active</v>
      </c>
    </row>
    <row r="354" spans="1:4" ht="18" customHeight="1">
      <c r="A354" t="str">
        <f>"10-9410-0000"</f>
        <v>10-9410-0000</v>
      </c>
      <c r="B354" t="str">
        <f>"Mechanical Measurement &amp; QC, Hardware"</f>
        <v>Mechanical Measurement &amp; QC, Hardware</v>
      </c>
      <c r="C354" s="44">
        <v>7467</v>
      </c>
      <c r="D354" t="str">
        <f t="shared" si="15"/>
        <v>Active</v>
      </c>
    </row>
    <row r="355" spans="1:4" ht="18" customHeight="1">
      <c r="A355" t="str">
        <f>"10-9411-0000"</f>
        <v>10-9411-0000</v>
      </c>
      <c r="B355" t="str">
        <f>"Polyethylene Powder, 4 lbs, Injection Molding"</f>
        <v>Polyethylene Powder, 4 lbs, Injection Molding</v>
      </c>
      <c r="C355">
        <v>147</v>
      </c>
      <c r="D355" t="str">
        <f t="shared" si="15"/>
        <v>Active</v>
      </c>
    </row>
    <row r="356" spans="1:4" ht="18" customHeight="1">
      <c r="A356" t="str">
        <f>"10-9603-0000"</f>
        <v>10-9603-0000</v>
      </c>
      <c r="B356" t="str">
        <f>"Sterling Engine Project Raw Materials Kit"</f>
        <v>Sterling Engine Project Raw Materials Kit</v>
      </c>
      <c r="C356">
        <v>200</v>
      </c>
      <c r="D356" t="str">
        <f t="shared" si="15"/>
        <v>Active</v>
      </c>
    </row>
    <row r="357" spans="1:4" ht="18" customHeight="1">
      <c r="A357" t="str">
        <f>"10-BA04-0000"</f>
        <v>10-BA04-0000</v>
      </c>
      <c r="B357" t="str">
        <f>"Fasteners, BA04, Hardware Only"</f>
        <v>Fasteners, BA04, Hardware Only</v>
      </c>
      <c r="C357">
        <v>995</v>
      </c>
      <c r="D357" t="str">
        <f t="shared" si="15"/>
        <v>Active</v>
      </c>
    </row>
    <row r="358" spans="1:4" ht="18" customHeight="1">
      <c r="A358" t="str">
        <f>"10-BA05-0000"</f>
        <v>10-BA05-0000</v>
      </c>
      <c r="B358" t="str">
        <f>"Hand Tools, BA05, Hardware Only"</f>
        <v>Hand Tools, BA05, Hardware Only</v>
      </c>
      <c r="C358" s="44">
        <v>1195</v>
      </c>
      <c r="D358" t="str">
        <f t="shared" si="15"/>
        <v>Active</v>
      </c>
    </row>
    <row r="359" spans="1:4" ht="18" customHeight="1">
      <c r="A359" t="str">
        <f>"10-BA06-0000"</f>
        <v>10-BA06-0000</v>
      </c>
      <c r="B359" t="str">
        <f>"Power Tools, BA06,Hardware Only"</f>
        <v>Power Tools, BA06,Hardware Only</v>
      </c>
      <c r="C359" s="44">
        <v>8000</v>
      </c>
      <c r="D359" t="str">
        <f t="shared" si="15"/>
        <v>Active</v>
      </c>
    </row>
    <row r="360" spans="1:4" ht="18" customHeight="1">
      <c r="A360" t="str">
        <f>"10-LS00-0200"</f>
        <v>10-LS00-0200</v>
      </c>
      <c r="B360" t="str">
        <f>"LS200:Jobmaster 2-Sided Mobile Learning Station"</f>
        <v>LS200:Jobmaster 2-Sided Mobile Learning Station</v>
      </c>
      <c r="C360" s="44">
        <v>5500</v>
      </c>
      <c r="D360" t="str">
        <f t="shared" si="15"/>
        <v>Active</v>
      </c>
    </row>
    <row r="361" spans="1:4" ht="18" customHeight="1">
      <c r="A361" t="str">
        <f>"10-PC04-0000"</f>
        <v>10-PC04-0000</v>
      </c>
      <c r="B361" t="str">
        <f>"JM, Panel PC04, 120VAC Power Control"</f>
        <v>JM, Panel PC04, 120VAC Power Control</v>
      </c>
      <c r="C361" s="44">
        <v>1200</v>
      </c>
      <c r="D361" t="str">
        <f t="shared" si="15"/>
        <v>Active</v>
      </c>
    </row>
    <row r="362" spans="1:4" ht="18" customHeight="1">
      <c r="A362" t="str">
        <f>"10-PC06-0000"</f>
        <v>10-PC06-0000</v>
      </c>
      <c r="B362" t="str">
        <f>"JM, Panel PC06, 220VAC Three Phase Power Control"</f>
        <v>JM, Panel PC06, 220VAC Three Phase Power Control</v>
      </c>
      <c r="C362" s="44">
        <v>1267</v>
      </c>
      <c r="D362" t="str">
        <f t="shared" si="15"/>
        <v>Active</v>
      </c>
    </row>
    <row r="363" spans="1:4" ht="18" customHeight="1">
      <c r="A363" t="str">
        <f>"10-PC09-0000"</f>
        <v>10-PC09-0000</v>
      </c>
      <c r="B363" t="str">
        <f>"JM, PC09, Inter. Transformer Pack, LS200 Bench"</f>
        <v>JM, PC09, Inter. Transformer Pack, LS200 Bench</v>
      </c>
      <c r="C363" s="44">
        <v>4334</v>
      </c>
      <c r="D363" t="str">
        <f t="shared" si="15"/>
        <v>Active</v>
      </c>
    </row>
    <row r="364" spans="1:4" ht="18" customHeight="1">
      <c r="A364" t="str">
        <f>"10-PPSU-0001"</f>
        <v>10-PPSU-0001</v>
      </c>
      <c r="B364" t="str">
        <f>"JM, Portable Panel Storage Unit"</f>
        <v>JM, Portable Panel Storage Unit</v>
      </c>
      <c r="C364" s="44">
        <v>2200</v>
      </c>
      <c r="D364" t="str">
        <f t="shared" si="15"/>
        <v>Active</v>
      </c>
    </row>
    <row r="365" spans="1:4" ht="18" customHeight="1">
      <c r="A365" t="str">
        <f>"102020"</f>
        <v>102020</v>
      </c>
      <c r="B365" t="str">
        <f>"Robotic Coordinate Grid with lamination"</f>
        <v>Robotic Coordinate Grid with lamination</v>
      </c>
      <c r="C365">
        <v>40</v>
      </c>
      <c r="D365" t="str">
        <f>"Phase Out"</f>
        <v>Phase Out</v>
      </c>
    </row>
    <row r="366" spans="1:4" ht="18" customHeight="1">
      <c r="A366" t="str">
        <f>"105002"</f>
        <v>105002</v>
      </c>
      <c r="B366" t="str">
        <f>"Disc Encoder - 6 Slot Scorbot ER3/5"</f>
        <v>Disc Encoder - 6 Slot Scorbot ER3/5</v>
      </c>
      <c r="C366">
        <v>4</v>
      </c>
      <c r="D366" t="str">
        <f t="shared" ref="D366:D397" si="16">"Active"</f>
        <v>Active</v>
      </c>
    </row>
    <row r="367" spans="1:4" ht="18" customHeight="1">
      <c r="A367" t="str">
        <f>"112496"</f>
        <v>112496</v>
      </c>
      <c r="B367" t="str">
        <f>"Raw Material - Brass  Rod"</f>
        <v>Raw Material - Brass  Rod</v>
      </c>
      <c r="C367">
        <v>20</v>
      </c>
      <c r="D367" t="str">
        <f t="shared" si="16"/>
        <v>Active</v>
      </c>
    </row>
    <row r="368" spans="1:4" ht="18" customHeight="1">
      <c r="A368" t="str">
        <f>"112713"</f>
        <v>112713</v>
      </c>
      <c r="B368" t="str">
        <f>"Marked Aluminum Cylinder"</f>
        <v>Marked Aluminum Cylinder</v>
      </c>
      <c r="C368">
        <v>100</v>
      </c>
      <c r="D368" t="str">
        <f t="shared" si="16"/>
        <v>Active</v>
      </c>
    </row>
    <row r="369" spans="1:4" ht="18" customHeight="1">
      <c r="A369" t="str">
        <f>"112738"</f>
        <v>112738</v>
      </c>
      <c r="B369" t="str">
        <f>"DIN Rail 35mm"</f>
        <v>DIN Rail 35mm</v>
      </c>
      <c r="C369">
        <v>10</v>
      </c>
      <c r="D369" t="str">
        <f t="shared" si="16"/>
        <v>Active</v>
      </c>
    </row>
    <row r="370" spans="1:4" ht="18" customHeight="1">
      <c r="A370" t="str">
        <f>"113005"</f>
        <v>113005</v>
      </c>
      <c r="B370" t="str">
        <f>"Housing Encoder SCORBOT ER4u"</f>
        <v>Housing Encoder SCORBOT ER4u</v>
      </c>
      <c r="C370">
        <v>3.5</v>
      </c>
      <c r="D370" t="str">
        <f t="shared" si="16"/>
        <v>Active</v>
      </c>
    </row>
    <row r="371" spans="1:4" ht="18" customHeight="1">
      <c r="A371" t="str">
        <f>"113020"</f>
        <v>113020</v>
      </c>
      <c r="B371" t="str">
        <f>"Bar Round PVC - Gray d46 x 28mm"</f>
        <v>Bar Round PVC - Gray d46 x 28mm</v>
      </c>
      <c r="C371">
        <v>15</v>
      </c>
      <c r="D371" t="str">
        <f t="shared" si="16"/>
        <v>Active</v>
      </c>
    </row>
    <row r="372" spans="1:4" ht="18" customHeight="1">
      <c r="A372" t="str">
        <f>"113023"</f>
        <v>113023</v>
      </c>
      <c r="B372" t="str">
        <f>"Green Plastic Square Prism 28x28mm, h=45mm"</f>
        <v>Green Plastic Square Prism 28x28mm, h=45mm</v>
      </c>
      <c r="C372">
        <v>5</v>
      </c>
      <c r="D372" t="str">
        <f t="shared" si="16"/>
        <v>Active</v>
      </c>
    </row>
    <row r="373" spans="1:4" ht="18" customHeight="1">
      <c r="A373" t="str">
        <f>"113034"</f>
        <v>113034</v>
      </c>
      <c r="B373" t="str">
        <f>"Raw Material - Perspex Block"</f>
        <v>Raw Material - Perspex Block</v>
      </c>
      <c r="C373">
        <v>15</v>
      </c>
      <c r="D373" t="str">
        <f t="shared" si="16"/>
        <v>Active</v>
      </c>
    </row>
    <row r="374" spans="1:4" ht="18" customHeight="1">
      <c r="A374" t="str">
        <f>"113096"</f>
        <v>113096</v>
      </c>
      <c r="B374" t="str">
        <f>"Plexiglass Cylinders Base"</f>
        <v>Plexiglass Cylinders Base</v>
      </c>
      <c r="C374">
        <v>54</v>
      </c>
      <c r="D374" t="str">
        <f t="shared" si="16"/>
        <v>Active</v>
      </c>
    </row>
    <row r="375" spans="1:4" ht="18" customHeight="1">
      <c r="A375" t="str">
        <f>"113316"</f>
        <v>113316</v>
      </c>
      <c r="B375" t="str">
        <f>"Parts Bin"</f>
        <v>Parts Bin</v>
      </c>
      <c r="C375">
        <v>20</v>
      </c>
      <c r="D375" t="str">
        <f t="shared" si="16"/>
        <v>Active</v>
      </c>
    </row>
    <row r="376" spans="1:4" ht="18" customHeight="1">
      <c r="A376" t="str">
        <f>"113416"</f>
        <v>113416</v>
      </c>
      <c r="B376" t="str">
        <f>"Raw Material Stock - Perspex  Rod"</f>
        <v>Raw Material Stock - Perspex  Rod</v>
      </c>
      <c r="C376">
        <v>10</v>
      </c>
      <c r="D376" t="str">
        <f t="shared" si="16"/>
        <v>Active</v>
      </c>
    </row>
    <row r="377" spans="1:4" ht="18" customHeight="1">
      <c r="A377" t="str">
        <f>"17-3001-0000"</f>
        <v>17-3001-0000</v>
      </c>
      <c r="B377" t="str">
        <f>"LM 5 Content, Virtual, Auto Welding w/ER4U"</f>
        <v>LM 5 Content, Virtual, Auto Welding w/ER4U</v>
      </c>
      <c r="C377" s="44">
        <v>2495</v>
      </c>
      <c r="D377" t="str">
        <f t="shared" si="16"/>
        <v>Active</v>
      </c>
    </row>
    <row r="378" spans="1:4" ht="18" customHeight="1">
      <c r="A378" t="str">
        <f>"17-3004-0001"</f>
        <v>17-3004-0001</v>
      </c>
      <c r="B378" t="str">
        <f>"LM5.X Content, Virtual, spectraCAD Engraving"</f>
        <v>LM5.X Content, Virtual, spectraCAD Engraving</v>
      </c>
      <c r="C378" s="44">
        <v>2995</v>
      </c>
      <c r="D378" t="str">
        <f t="shared" si="16"/>
        <v>Active</v>
      </c>
    </row>
    <row r="379" spans="1:4" ht="18" customHeight="1">
      <c r="A379" t="str">
        <f>"17-3004-0002"</f>
        <v>17-3004-0002</v>
      </c>
      <c r="B379" t="str">
        <f>"LM5.X Content, Virtual, spectraCAD Engraving (M)"</f>
        <v>LM5.X Content, Virtual, spectraCAD Engraving (M)</v>
      </c>
      <c r="C379" s="44">
        <v>2995</v>
      </c>
      <c r="D379" t="str">
        <f t="shared" si="16"/>
        <v>Active</v>
      </c>
    </row>
    <row r="380" spans="1:4" ht="18" customHeight="1">
      <c r="A380" t="str">
        <f>"17-3005-0001"</f>
        <v>17-3005-0001</v>
      </c>
      <c r="B380" t="str">
        <f>"LM5.X Content, Virtual, spectraCAM Milling"</f>
        <v>LM5.X Content, Virtual, spectraCAM Milling</v>
      </c>
      <c r="C380" s="44">
        <v>2495</v>
      </c>
      <c r="D380" t="str">
        <f t="shared" si="16"/>
        <v>Active</v>
      </c>
    </row>
    <row r="381" spans="1:4" ht="18" customHeight="1">
      <c r="A381" t="str">
        <f>"17-3005-0002"</f>
        <v>17-3005-0002</v>
      </c>
      <c r="B381" t="str">
        <f>"LM5.X Content, Virtual, spectraCAM Milling (M)"</f>
        <v>LM5.X Content, Virtual, spectraCAM Milling (M)</v>
      </c>
      <c r="C381" s="44">
        <v>2495</v>
      </c>
      <c r="D381" t="str">
        <f t="shared" si="16"/>
        <v>Active</v>
      </c>
    </row>
    <row r="382" spans="1:4" ht="18" customHeight="1">
      <c r="A382" t="str">
        <f>"17-3006-0091"</f>
        <v>17-3006-0091</v>
      </c>
      <c r="B382" t="str">
        <f>"LM5.X Content, Virtual, Mastercam Milling V9"</f>
        <v>LM5.X Content, Virtual, Mastercam Milling V9</v>
      </c>
      <c r="C382" s="44">
        <v>2495</v>
      </c>
      <c r="D382" t="str">
        <f t="shared" si="16"/>
        <v>Active</v>
      </c>
    </row>
    <row r="383" spans="1:4" ht="18" customHeight="1">
      <c r="A383" t="str">
        <f>"17-3007-0001"</f>
        <v>17-3007-0001</v>
      </c>
      <c r="B383" t="str">
        <f>"LM5.X Content, Virtual, spectraCAM Turning"</f>
        <v>LM5.X Content, Virtual, spectraCAM Turning</v>
      </c>
      <c r="C383" s="44">
        <v>2995</v>
      </c>
      <c r="D383" t="str">
        <f t="shared" si="16"/>
        <v>Active</v>
      </c>
    </row>
    <row r="384" spans="1:4" ht="18" customHeight="1">
      <c r="A384" t="str">
        <f>"17-3007-0002"</f>
        <v>17-3007-0002</v>
      </c>
      <c r="B384" t="str">
        <f>"LM5.X Content, Virtual, spectraCAM Turning (M)"</f>
        <v>LM5.X Content, Virtual, spectraCAM Turning (M)</v>
      </c>
      <c r="C384" s="44">
        <v>2495</v>
      </c>
      <c r="D384" t="str">
        <f t="shared" si="16"/>
        <v>Active</v>
      </c>
    </row>
    <row r="385" spans="1:4" ht="18" customHeight="1">
      <c r="A385" t="str">
        <f>"17-3008-0091"</f>
        <v>17-3008-0091</v>
      </c>
      <c r="B385" t="str">
        <f>"LM5.X Content, Virtual, Mastercam Turning V9"</f>
        <v>LM5.X Content, Virtual, Mastercam Turning V9</v>
      </c>
      <c r="C385" s="44">
        <v>2495</v>
      </c>
      <c r="D385" t="str">
        <f t="shared" si="16"/>
        <v>Active</v>
      </c>
    </row>
    <row r="386" spans="1:4" ht="18" customHeight="1">
      <c r="A386" t="str">
        <f>"17-3009-0001"</f>
        <v>17-3009-0001</v>
      </c>
      <c r="B386" t="str">
        <f>"LM5.X Content, Virtual, CNC Milling w/SLM"</f>
        <v>LM5.X Content, Virtual, CNC Milling w/SLM</v>
      </c>
      <c r="C386" s="44">
        <v>2495</v>
      </c>
      <c r="D386" t="str">
        <f t="shared" si="16"/>
        <v>Active</v>
      </c>
    </row>
    <row r="387" spans="1:4" ht="18" customHeight="1">
      <c r="A387" t="str">
        <f>"17-3010-0001"</f>
        <v>17-3010-0001</v>
      </c>
      <c r="B387" t="str">
        <f>"LM5.X Content, Virtual, CNC Milling w/PLM"</f>
        <v>LM5.X Content, Virtual, CNC Milling w/PLM</v>
      </c>
      <c r="C387" s="44">
        <v>2495</v>
      </c>
      <c r="D387" t="str">
        <f t="shared" si="16"/>
        <v>Active</v>
      </c>
    </row>
    <row r="388" spans="1:4" ht="18" customHeight="1">
      <c r="A388" t="str">
        <f>"17-3011-0001"</f>
        <v>17-3011-0001</v>
      </c>
      <c r="B388" t="str">
        <f>"LM5.X Content, Virtual, CNC Turning w/SLT"</f>
        <v>LM5.X Content, Virtual, CNC Turning w/SLT</v>
      </c>
      <c r="C388" s="44">
        <v>2495</v>
      </c>
      <c r="D388" t="str">
        <f t="shared" si="16"/>
        <v>Active</v>
      </c>
    </row>
    <row r="389" spans="1:4" ht="18" customHeight="1">
      <c r="A389" t="str">
        <f>"17-3011-0002"</f>
        <v>17-3011-0002</v>
      </c>
      <c r="B389" t="str">
        <f>"LM5.X Content, Virtual, CNC Turning w/SLT (M)"</f>
        <v>LM5.X Content, Virtual, CNC Turning w/SLT (M)</v>
      </c>
      <c r="C389" s="44">
        <v>2495</v>
      </c>
      <c r="D389" t="str">
        <f t="shared" si="16"/>
        <v>Active</v>
      </c>
    </row>
    <row r="390" spans="1:4" ht="18" customHeight="1">
      <c r="A390" t="str">
        <f>"17-3012-0001"</f>
        <v>17-3012-0001</v>
      </c>
      <c r="B390" t="str">
        <f>"LM5.X Content, Virtual, CNC Turning w/PLT"</f>
        <v>LM5.X Content, Virtual, CNC Turning w/PLT</v>
      </c>
      <c r="C390" s="44">
        <v>2995</v>
      </c>
      <c r="D390" t="str">
        <f t="shared" si="16"/>
        <v>Active</v>
      </c>
    </row>
    <row r="391" spans="1:4" ht="18" customHeight="1">
      <c r="A391" t="str">
        <f>"17-3012-0002"</f>
        <v>17-3012-0002</v>
      </c>
      <c r="B391" t="str">
        <f>"LM5 Content, Virtual, CNC Turning w/PLT (M)"</f>
        <v>LM5 Content, Virtual, CNC Turning w/PLT (M)</v>
      </c>
      <c r="C391" s="44">
        <v>2495</v>
      </c>
      <c r="D391" t="str">
        <f t="shared" si="16"/>
        <v>Active</v>
      </c>
    </row>
    <row r="392" spans="1:4" ht="18" customHeight="1">
      <c r="A392" t="str">
        <f>"17-3015-0000"</f>
        <v>17-3015-0000</v>
      </c>
      <c r="B392" t="str">
        <f>"LM5 Content, Virtual, CIM1"</f>
        <v>LM5 Content, Virtual, CIM1</v>
      </c>
      <c r="C392" s="44">
        <v>2495</v>
      </c>
      <c r="D392" t="str">
        <f t="shared" si="16"/>
        <v>Active</v>
      </c>
    </row>
    <row r="393" spans="1:4" ht="18" customHeight="1">
      <c r="A393" t="str">
        <f>"17-3015-0000-2"</f>
        <v>17-3015-0000-2</v>
      </c>
      <c r="B393" t="str">
        <f>"LM5 Content, Vir, Sp, CIM1"</f>
        <v>LM5 Content, Vir, Sp, CIM1</v>
      </c>
      <c r="C393" s="44">
        <v>2495</v>
      </c>
      <c r="D393" t="str">
        <f t="shared" si="16"/>
        <v>Active</v>
      </c>
    </row>
    <row r="394" spans="1:4" ht="18" customHeight="1">
      <c r="A394" t="str">
        <f>"17-3016-0000"</f>
        <v>17-3016-0000</v>
      </c>
      <c r="B394" t="str">
        <f>"LM5 Content, Virtual, CIM 2"</f>
        <v>LM5 Content, Virtual, CIM 2</v>
      </c>
      <c r="C394" s="44">
        <v>2495</v>
      </c>
      <c r="D394" t="str">
        <f t="shared" si="16"/>
        <v>Active</v>
      </c>
    </row>
    <row r="395" spans="1:4" ht="18" customHeight="1">
      <c r="A395" t="str">
        <f>"17-3016-0000-2"</f>
        <v>17-3016-0000-2</v>
      </c>
      <c r="B395" t="str">
        <f>"LM5 Content, Vir, Sp, CIM 2"</f>
        <v>LM5 Content, Vir, Sp, CIM 2</v>
      </c>
      <c r="C395" s="44">
        <v>2995</v>
      </c>
      <c r="D395" t="str">
        <f t="shared" si="16"/>
        <v>Active</v>
      </c>
    </row>
    <row r="396" spans="1:4" ht="18" customHeight="1">
      <c r="A396" t="str">
        <f>"17-3019-0000"</f>
        <v>17-3019-0000</v>
      </c>
      <c r="B396" t="str">
        <f>"LM5 Content, Virtual, Fund of Electronics"</f>
        <v>LM5 Content, Virtual, Fund of Electronics</v>
      </c>
      <c r="C396" s="44">
        <v>2995</v>
      </c>
      <c r="D396" t="str">
        <f t="shared" si="16"/>
        <v>Active</v>
      </c>
    </row>
    <row r="397" spans="1:4" ht="18" customHeight="1">
      <c r="A397" t="str">
        <f>"17-3019-0000-3"</f>
        <v>17-3019-0000-3</v>
      </c>
      <c r="B397" t="str">
        <f>"LM5 Content, Vir, Por, Fund of Electronics"</f>
        <v>LM5 Content, Vir, Por, Fund of Electronics</v>
      </c>
      <c r="C397" s="44">
        <v>2495</v>
      </c>
      <c r="D397" t="str">
        <f t="shared" si="16"/>
        <v>Active</v>
      </c>
    </row>
    <row r="398" spans="1:4" ht="18" customHeight="1">
      <c r="A398" t="str">
        <f>"17-3020-0000"</f>
        <v>17-3020-0000</v>
      </c>
      <c r="B398" t="str">
        <f>"LM5 Content, Virtual, Advanced Electronics"</f>
        <v>LM5 Content, Virtual, Advanced Electronics</v>
      </c>
      <c r="C398" s="44">
        <v>2495</v>
      </c>
      <c r="D398" t="str">
        <f t="shared" ref="D398:D429" si="17">"Active"</f>
        <v>Active</v>
      </c>
    </row>
    <row r="399" spans="1:4" ht="18" customHeight="1">
      <c r="A399" t="str">
        <f>"17-3020-0000-3"</f>
        <v>17-3020-0000-3</v>
      </c>
      <c r="B399" t="str">
        <f>"LM5 Content, Vir, Por, Advanced Electronics"</f>
        <v>LM5 Content, Vir, Por, Advanced Electronics</v>
      </c>
      <c r="C399" s="44">
        <v>2495</v>
      </c>
      <c r="D399" t="str">
        <f t="shared" si="17"/>
        <v>Active</v>
      </c>
    </row>
    <row r="400" spans="1:4" ht="18" customHeight="1">
      <c r="A400" t="str">
        <f>"17-3021-0000"</f>
        <v>17-3021-0000</v>
      </c>
      <c r="B400" t="str">
        <f>"LM5 Content, Virtual, Fiber Optics"</f>
        <v>LM5 Content, Virtual, Fiber Optics</v>
      </c>
      <c r="C400" s="44">
        <v>2995</v>
      </c>
      <c r="D400" t="str">
        <f t="shared" si="17"/>
        <v>Active</v>
      </c>
    </row>
    <row r="401" spans="1:4" ht="18" customHeight="1">
      <c r="A401" t="str">
        <f>"17-3022-0000"</f>
        <v>17-3022-0000</v>
      </c>
      <c r="B401" t="str">
        <f>"LM5.X Content,Virtual,Flexible Manufacturing Sys"</f>
        <v>LM5.X Content,Virtual,Flexible Manufacturing Sys</v>
      </c>
      <c r="C401" s="44">
        <v>2495</v>
      </c>
      <c r="D401" t="str">
        <f t="shared" si="17"/>
        <v>Active</v>
      </c>
    </row>
    <row r="402" spans="1:4" ht="18" customHeight="1">
      <c r="A402" t="str">
        <f>"17-3025-0000"</f>
        <v>17-3025-0000</v>
      </c>
      <c r="B402" t="str">
        <f>"LM5 Content, Virtual, Hydraulics 2"</f>
        <v>LM5 Content, Virtual, Hydraulics 2</v>
      </c>
      <c r="C402" s="44">
        <v>2495</v>
      </c>
      <c r="D402" t="str">
        <f t="shared" si="17"/>
        <v>Active</v>
      </c>
    </row>
    <row r="403" spans="1:4" ht="18" customHeight="1">
      <c r="A403" t="str">
        <f>"17-3025-0000-3"</f>
        <v>17-3025-0000-3</v>
      </c>
      <c r="B403" t="str">
        <f>"LM5 Content, Vir, Por, Hydraulics 2"</f>
        <v>LM5 Content, Vir, Por, Hydraulics 2</v>
      </c>
      <c r="C403" s="44">
        <v>2495</v>
      </c>
      <c r="D403" t="str">
        <f t="shared" si="17"/>
        <v>Active</v>
      </c>
    </row>
    <row r="404" spans="1:4" ht="18" customHeight="1">
      <c r="A404" t="str">
        <f>"17-3026-0000"</f>
        <v>17-3026-0000</v>
      </c>
      <c r="B404" t="str">
        <f>"LM5Content Vir, H3: Advanced  Electro-hydraulics"</f>
        <v>LM5Content Vir, H3: Advanced  Electro-hydraulics</v>
      </c>
      <c r="C404" s="44">
        <v>2495</v>
      </c>
      <c r="D404" t="str">
        <f t="shared" si="17"/>
        <v>Active</v>
      </c>
    </row>
    <row r="405" spans="1:4" ht="18" customHeight="1">
      <c r="A405" t="str">
        <f>"17-3027-0000"</f>
        <v>17-3027-0000</v>
      </c>
      <c r="B405" t="str">
        <f>"LM5 Content, Virtual, Vision &amp; Image Process."</f>
        <v>LM5 Content, Virtual, Vision &amp; Image Process.</v>
      </c>
      <c r="C405" s="44">
        <v>2495</v>
      </c>
      <c r="D405" t="str">
        <f t="shared" si="17"/>
        <v>Active</v>
      </c>
    </row>
    <row r="406" spans="1:4" ht="18" customHeight="1">
      <c r="A406" t="str">
        <f>"17-3028-0000"</f>
        <v>17-3028-0000</v>
      </c>
      <c r="B406" t="str">
        <f>"LM5 Content, Virtual, Exploring Vision &amp; QC"</f>
        <v>LM5 Content, Virtual, Exploring Vision &amp; QC</v>
      </c>
      <c r="C406" s="44">
        <v>2495</v>
      </c>
      <c r="D406" t="str">
        <f t="shared" si="17"/>
        <v>Active</v>
      </c>
    </row>
    <row r="407" spans="1:4" ht="18" customHeight="1">
      <c r="A407" t="str">
        <f>"17-3029-0000"</f>
        <v>17-3029-0000</v>
      </c>
      <c r="B407" t="str">
        <f>"LM5 Content, Virtual, Materials Testing"</f>
        <v>LM5 Content, Virtual, Materials Testing</v>
      </c>
      <c r="C407" s="44">
        <v>2495</v>
      </c>
      <c r="D407" t="str">
        <f t="shared" si="17"/>
        <v>Active</v>
      </c>
    </row>
    <row r="408" spans="1:4" ht="18" customHeight="1">
      <c r="A408" t="str">
        <f>"17-3032-0000"</f>
        <v>17-3032-0000</v>
      </c>
      <c r="B408" t="str">
        <f>"LM5 Content, Lab/Vir, PLC 1"</f>
        <v>LM5 Content, Lab/Vir, PLC 1</v>
      </c>
      <c r="C408" s="44">
        <v>2995</v>
      </c>
      <c r="D408" t="str">
        <f t="shared" si="17"/>
        <v>Active</v>
      </c>
    </row>
    <row r="409" spans="1:4" ht="18" customHeight="1">
      <c r="A409" t="str">
        <f>"17-3032-0000-3"</f>
        <v>17-3032-0000-3</v>
      </c>
      <c r="B409" t="str">
        <f>"LM5 Content, Lab/Vir, Por, PLC 1"</f>
        <v>LM5 Content, Lab/Vir, Por, PLC 1</v>
      </c>
      <c r="C409" s="44">
        <v>2495</v>
      </c>
      <c r="D409" t="str">
        <f t="shared" si="17"/>
        <v>Active</v>
      </c>
    </row>
    <row r="410" spans="1:4" ht="18" customHeight="1">
      <c r="A410" t="str">
        <f>"17-3033-0000"</f>
        <v>17-3033-0000</v>
      </c>
      <c r="B410" t="str">
        <f>"LM5 Content, Lab/Vir, PLC 2"</f>
        <v>LM5 Content, Lab/Vir, PLC 2</v>
      </c>
      <c r="C410" s="44">
        <v>2495</v>
      </c>
      <c r="D410" t="str">
        <f t="shared" si="17"/>
        <v>Active</v>
      </c>
    </row>
    <row r="411" spans="1:4" ht="18" customHeight="1">
      <c r="A411" t="str">
        <f>"17-3033-0000-3"</f>
        <v>17-3033-0000-3</v>
      </c>
      <c r="B411" t="str">
        <f>"LM5 Content, Lab/Vir, Por, PLC 2"</f>
        <v>LM5 Content, Lab/Vir, Por, PLC 2</v>
      </c>
      <c r="C411" s="44">
        <v>2495</v>
      </c>
      <c r="D411" t="str">
        <f t="shared" si="17"/>
        <v>Active</v>
      </c>
    </row>
    <row r="412" spans="1:4" ht="18" customHeight="1">
      <c r="A412" t="str">
        <f>"17-3034-0000"</f>
        <v>17-3034-0000</v>
      </c>
      <c r="B412" t="str">
        <f>"LM5 Content, Virtual, PLC 3"</f>
        <v>LM5 Content, Virtual, PLC 3</v>
      </c>
      <c r="C412" s="44">
        <v>2495</v>
      </c>
      <c r="D412" t="str">
        <f t="shared" si="17"/>
        <v>Active</v>
      </c>
    </row>
    <row r="413" spans="1:4" ht="18" customHeight="1">
      <c r="A413" t="str">
        <f>"17-3034-0000-3"</f>
        <v>17-3034-0000-3</v>
      </c>
      <c r="B413" t="str">
        <f>"LM5 Content, Vir, Por, PLC 3"</f>
        <v>LM5 Content, Vir, Por, PLC 3</v>
      </c>
      <c r="C413" s="44">
        <v>2495</v>
      </c>
      <c r="D413" t="str">
        <f t="shared" si="17"/>
        <v>Active</v>
      </c>
    </row>
    <row r="414" spans="1:4" ht="18" customHeight="1">
      <c r="A414" t="str">
        <f>"17-3035-0000"</f>
        <v>17-3035-0000</v>
      </c>
      <c r="B414" t="str">
        <f>"LM5 Content, Virtual, PLC 4"</f>
        <v>LM5 Content, Virtual, PLC 4</v>
      </c>
      <c r="C414" s="44">
        <v>2495</v>
      </c>
      <c r="D414" t="str">
        <f t="shared" si="17"/>
        <v>Active</v>
      </c>
    </row>
    <row r="415" spans="1:4" ht="18" customHeight="1">
      <c r="A415" t="str">
        <f>"17-3035-0000-3"</f>
        <v>17-3035-0000-3</v>
      </c>
      <c r="B415" t="str">
        <f>"LM5 Content, Vir, Por, PLC 4"</f>
        <v>LM5 Content, Vir, Por, PLC 4</v>
      </c>
      <c r="C415" s="44">
        <v>2995</v>
      </c>
      <c r="D415" t="str">
        <f t="shared" si="17"/>
        <v>Active</v>
      </c>
    </row>
    <row r="416" spans="1:4" ht="18" customHeight="1">
      <c r="A416" t="str">
        <f>"17-3039-0000"</f>
        <v>17-3039-0000</v>
      </c>
      <c r="B416" t="str">
        <f>"LM5.X Content, Virtual, Pneumatics 3"</f>
        <v>LM5.X Content, Virtual, Pneumatics 3</v>
      </c>
      <c r="C416" s="44">
        <v>2495</v>
      </c>
      <c r="D416" t="str">
        <f t="shared" si="17"/>
        <v>Active</v>
      </c>
    </row>
    <row r="417" spans="1:4" ht="18" customHeight="1">
      <c r="A417" t="str">
        <f>"17-3040-0000"</f>
        <v>17-3040-0000</v>
      </c>
      <c r="B417" t="str">
        <f>"LM5 Content, Virtual, Pneumatics 4"</f>
        <v>LM5 Content, Virtual, Pneumatics 4</v>
      </c>
      <c r="C417">
        <v>700</v>
      </c>
      <c r="D417" t="str">
        <f t="shared" si="17"/>
        <v>Active</v>
      </c>
    </row>
    <row r="418" spans="1:4" ht="18" customHeight="1">
      <c r="A418" t="str">
        <f>"17-3041-0002"</f>
        <v>17-3041-0002</v>
      </c>
      <c r="B418" t="str">
        <f>"LM5 Content, Virtual, Process Control, Temp"</f>
        <v>LM5 Content, Virtual, Process Control, Temp</v>
      </c>
      <c r="C418" s="44">
        <v>2495</v>
      </c>
      <c r="D418" t="str">
        <f t="shared" si="17"/>
        <v>Active</v>
      </c>
    </row>
    <row r="419" spans="1:4" ht="18" customHeight="1">
      <c r="A419" t="str">
        <f>"17-3043-0002"</f>
        <v>17-3043-0002</v>
      </c>
      <c r="B419" t="str">
        <f>"LM5 Content, Virtual, Process Control, Flow"</f>
        <v>LM5 Content, Virtual, Process Control, Flow</v>
      </c>
      <c r="C419" s="44">
        <v>2995</v>
      </c>
      <c r="D419" t="str">
        <f t="shared" si="17"/>
        <v>Active</v>
      </c>
    </row>
    <row r="420" spans="1:4" ht="18" customHeight="1">
      <c r="A420" t="str">
        <f>"17-3044-0002"</f>
        <v>17-3044-0002</v>
      </c>
      <c r="B420" t="str">
        <f>"LM5 Content, Virtual, Process Cntrl, Pressure"</f>
        <v>LM5 Content, Virtual, Process Cntrl, Pressure</v>
      </c>
      <c r="C420" s="44">
        <v>2995</v>
      </c>
      <c r="D420" t="str">
        <f t="shared" si="17"/>
        <v>Active</v>
      </c>
    </row>
    <row r="421" spans="1:4" ht="18" customHeight="1">
      <c r="A421" t="str">
        <f>"17-3045-0002"</f>
        <v>17-3045-0002</v>
      </c>
      <c r="B421" t="str">
        <f>"LM5 Content, Virtual, Process Control, Level"</f>
        <v>LM5 Content, Virtual, Process Control, Level</v>
      </c>
      <c r="C421" s="44">
        <v>2495</v>
      </c>
      <c r="D421" t="str">
        <f t="shared" si="17"/>
        <v>Active</v>
      </c>
    </row>
    <row r="422" spans="1:4" ht="18" customHeight="1">
      <c r="A422" t="str">
        <f>"17-3046-0000"</f>
        <v>17-3046-0000</v>
      </c>
      <c r="B422" t="str">
        <f>"LM5 Content, Virtual, Fundamentals w/ER4U"</f>
        <v>LM5 Content, Virtual, Fundamentals w/ER4U</v>
      </c>
      <c r="C422" s="44">
        <v>2995</v>
      </c>
      <c r="D422" t="str">
        <f t="shared" si="17"/>
        <v>Active</v>
      </c>
    </row>
    <row r="423" spans="1:4" ht="18" customHeight="1">
      <c r="A423" t="str">
        <f>"17-3047-0000"</f>
        <v>17-3047-0000</v>
      </c>
      <c r="B423" t="str">
        <f>"LM5 Content, Virtual, Fundamentals w/ER9"</f>
        <v>LM5 Content, Virtual, Fundamentals w/ER9</v>
      </c>
      <c r="C423" s="44">
        <v>2995</v>
      </c>
      <c r="D423" t="str">
        <f t="shared" si="17"/>
        <v>Active</v>
      </c>
    </row>
    <row r="424" spans="1:4" ht="18" customHeight="1">
      <c r="A424" t="str">
        <f>"17-3047-0000-2"</f>
        <v>17-3047-0000-2</v>
      </c>
      <c r="B424" t="str">
        <f>"LM5 Content, Vir, Sp, Fundamentals w/ER9"</f>
        <v>LM5 Content, Vir, Sp, Fundamentals w/ER9</v>
      </c>
      <c r="C424" s="44">
        <v>2495</v>
      </c>
      <c r="D424" t="str">
        <f t="shared" si="17"/>
        <v>Active</v>
      </c>
    </row>
    <row r="425" spans="1:4" ht="18" customHeight="1">
      <c r="A425" t="str">
        <f>"17-3048-0000"</f>
        <v>17-3048-0000</v>
      </c>
      <c r="B425" t="str">
        <f>"LM5 Content, Virtual, Advanced w/ER4U"</f>
        <v>LM5 Content, Virtual, Advanced w/ER4U</v>
      </c>
      <c r="C425" s="44">
        <v>2495</v>
      </c>
      <c r="D425" t="str">
        <f t="shared" si="17"/>
        <v>Active</v>
      </c>
    </row>
    <row r="426" spans="1:4" ht="18" customHeight="1">
      <c r="A426" t="str">
        <f>"17-3049-0000"</f>
        <v>17-3049-0000</v>
      </c>
      <c r="B426" t="str">
        <f>"LM5 Content, Virtual, Advanced w/ER9"</f>
        <v>LM5 Content, Virtual, Advanced w/ER9</v>
      </c>
      <c r="C426" s="44">
        <v>2495</v>
      </c>
      <c r="D426" t="str">
        <f t="shared" si="17"/>
        <v>Active</v>
      </c>
    </row>
    <row r="427" spans="1:4" ht="18" customHeight="1">
      <c r="A427" t="str">
        <f>"17-3049-0000-2"</f>
        <v>17-3049-0000-2</v>
      </c>
      <c r="B427" t="str">
        <f>"LM5 Content, Vir, Sp, Advanced w/ER9"</f>
        <v>LM5 Content, Vir, Sp, Advanced w/ER9</v>
      </c>
      <c r="C427" s="44">
        <v>2495</v>
      </c>
      <c r="D427" t="str">
        <f t="shared" si="17"/>
        <v>Active</v>
      </c>
    </row>
    <row r="428" spans="1:4" ht="18" customHeight="1">
      <c r="A428" t="str">
        <f>"17-3051-0000"</f>
        <v>17-3051-0000</v>
      </c>
      <c r="B428" t="str">
        <f>"LM5 Content, Virtual, Automatic ID Systems"</f>
        <v>LM5 Content, Virtual, Automatic ID Systems</v>
      </c>
      <c r="C428" s="44">
        <v>2495</v>
      </c>
      <c r="D428" t="str">
        <f t="shared" si="17"/>
        <v>Active</v>
      </c>
    </row>
    <row r="429" spans="1:4" ht="18" customHeight="1">
      <c r="A429" t="str">
        <f>"17-3051-0000-3"</f>
        <v>17-3051-0000-3</v>
      </c>
      <c r="B429" t="str">
        <f>"LM5 Content, Vir, Por, Automatic ID Systems"</f>
        <v>LM5 Content, Vir, Por, Automatic ID Systems</v>
      </c>
      <c r="C429" s="44">
        <v>2495</v>
      </c>
      <c r="D429" t="str">
        <f t="shared" si="17"/>
        <v>Active</v>
      </c>
    </row>
    <row r="430" spans="1:4" ht="18" customHeight="1">
      <c r="A430" t="str">
        <f>"17-3052-0000"</f>
        <v>17-3052-0000</v>
      </c>
      <c r="B430" t="str">
        <f>"LM5 Content, Virtual, Construction Tech."</f>
        <v>LM5 Content, Virtual, Construction Tech.</v>
      </c>
      <c r="C430" s="44">
        <v>2495</v>
      </c>
      <c r="D430" t="str">
        <f t="shared" ref="D430:D456" si="18">"Active"</f>
        <v>Active</v>
      </c>
    </row>
    <row r="431" spans="1:4" ht="18" customHeight="1">
      <c r="A431" t="str">
        <f>"17-3053-0000"</f>
        <v>17-3053-0000</v>
      </c>
      <c r="B431" t="str">
        <f>"LM5 Content, Virtual, Bridge Design"</f>
        <v>LM5 Content, Virtual, Bridge Design</v>
      </c>
      <c r="C431" s="44">
        <v>2495</v>
      </c>
      <c r="D431" t="str">
        <f t="shared" si="18"/>
        <v>Active</v>
      </c>
    </row>
    <row r="432" spans="1:4" ht="18" customHeight="1">
      <c r="A432" t="str">
        <f>"17-3054-0000"</f>
        <v>17-3054-0000</v>
      </c>
      <c r="B432" t="str">
        <f>"LM5 Content, Virtual, Fluids Engineering"</f>
        <v>LM5 Content, Virtual, Fluids Engineering</v>
      </c>
      <c r="C432" s="44">
        <v>2495</v>
      </c>
      <c r="D432" t="str">
        <f t="shared" si="18"/>
        <v>Active</v>
      </c>
    </row>
    <row r="433" spans="1:4" ht="18" customHeight="1">
      <c r="A433" t="str">
        <f>"17-3055-0000"</f>
        <v>17-3055-0000</v>
      </c>
      <c r="B433" t="str">
        <f>"LM5 Content, Virtual, Highway Engineering"</f>
        <v>LM5 Content, Virtual, Highway Engineering</v>
      </c>
      <c r="C433" s="44">
        <v>2495</v>
      </c>
      <c r="D433" t="str">
        <f t="shared" si="18"/>
        <v>Active</v>
      </c>
    </row>
    <row r="434" spans="1:4" ht="18" customHeight="1">
      <c r="A434" t="str">
        <f>"17-3056-0000"</f>
        <v>17-3056-0000</v>
      </c>
      <c r="B434" t="str">
        <f>"LM5 Content, Virtual, Transportation Eng"</f>
        <v>LM5 Content, Virtual, Transportation Eng</v>
      </c>
      <c r="C434" s="44">
        <v>2495</v>
      </c>
      <c r="D434" t="str">
        <f t="shared" si="18"/>
        <v>Active</v>
      </c>
    </row>
    <row r="435" spans="1:4" ht="18" customHeight="1">
      <c r="A435" t="str">
        <f>"17-3057-0000"</f>
        <v>17-3057-0000</v>
      </c>
      <c r="B435" t="str">
        <f>"LM5 Content, Virtual, Environmental Eng"</f>
        <v>LM5 Content, Virtual, Environmental Eng</v>
      </c>
      <c r="C435" s="44">
        <v>2495</v>
      </c>
      <c r="D435" t="str">
        <f t="shared" si="18"/>
        <v>Active</v>
      </c>
    </row>
    <row r="436" spans="1:4" ht="18" customHeight="1">
      <c r="A436" t="str">
        <f>"17-3058-0000"</f>
        <v>17-3058-0000</v>
      </c>
      <c r="B436" t="str">
        <f>"LM5 Content, Virtual, Wastewater Mgmt"</f>
        <v>LM5 Content, Virtual, Wastewater Mgmt</v>
      </c>
      <c r="C436" s="44">
        <v>2495</v>
      </c>
      <c r="D436" t="str">
        <f t="shared" si="18"/>
        <v>Active</v>
      </c>
    </row>
    <row r="437" spans="1:4" ht="18" customHeight="1">
      <c r="A437" t="str">
        <f>"17-3059-0000"</f>
        <v>17-3059-0000</v>
      </c>
      <c r="B437" t="str">
        <f>"LM5 Content, Virtual, Water Supply Eng"</f>
        <v>LM5 Content, Virtual, Water Supply Eng</v>
      </c>
      <c r="C437" s="44">
        <v>2495</v>
      </c>
      <c r="D437" t="str">
        <f t="shared" si="18"/>
        <v>Active</v>
      </c>
    </row>
    <row r="438" spans="1:4" ht="18" customHeight="1">
      <c r="A438" t="str">
        <f>"17-3060-0000"</f>
        <v>17-3060-0000</v>
      </c>
      <c r="B438" t="str">
        <f>"LM5 Content, Virtual, Pollution Control"</f>
        <v>LM5 Content, Virtual, Pollution Control</v>
      </c>
      <c r="C438" s="44">
        <v>2495</v>
      </c>
      <c r="D438" t="str">
        <f t="shared" si="18"/>
        <v>Active</v>
      </c>
    </row>
    <row r="439" spans="1:4" ht="18" customHeight="1">
      <c r="A439" t="str">
        <f>"17-3061-0000"</f>
        <v>17-3061-0000</v>
      </c>
      <c r="B439" t="str">
        <f>"LM5 Content, Virtual, Basic Pneumatics"</f>
        <v>LM5 Content, Virtual, Basic Pneumatics</v>
      </c>
      <c r="C439" s="44">
        <v>2995</v>
      </c>
      <c r="D439" t="str">
        <f t="shared" si="18"/>
        <v>Active</v>
      </c>
    </row>
    <row r="440" spans="1:4" ht="18" customHeight="1">
      <c r="A440" t="str">
        <f>"17-3061-0000-3"</f>
        <v>17-3061-0000-3</v>
      </c>
      <c r="B440" t="str">
        <f>"LM5 Content, Vir, Por, Basic Pneumatics"</f>
        <v>LM5 Content, Vir, Por, Basic Pneumatics</v>
      </c>
      <c r="C440" s="44">
        <v>2495</v>
      </c>
      <c r="D440" t="str">
        <f t="shared" si="18"/>
        <v>Active</v>
      </c>
    </row>
    <row r="441" spans="1:4" ht="18" customHeight="1">
      <c r="A441" t="str">
        <f>"17-3062-0000"</f>
        <v>17-3062-0000</v>
      </c>
      <c r="B441" t="str">
        <f>"LM5 Content, Virtual, Advanced Pneumatics"</f>
        <v>LM5 Content, Virtual, Advanced Pneumatics</v>
      </c>
      <c r="C441" s="44">
        <v>2495</v>
      </c>
      <c r="D441" t="str">
        <f t="shared" si="18"/>
        <v>Active</v>
      </c>
    </row>
    <row r="442" spans="1:4" ht="18" customHeight="1">
      <c r="A442" t="str">
        <f>"17-3062-0000-3"</f>
        <v>17-3062-0000-3</v>
      </c>
      <c r="B442" t="str">
        <f>"LM5 Content, Vir, Por, Advanced Pneumatics"</f>
        <v>LM5 Content, Vir, Por, Advanced Pneumatics</v>
      </c>
      <c r="C442" s="44">
        <v>2495</v>
      </c>
      <c r="D442" t="str">
        <f t="shared" si="18"/>
        <v>Active</v>
      </c>
    </row>
    <row r="443" spans="1:4" ht="18" customHeight="1">
      <c r="A443" t="str">
        <f>"17-3064-0000"</f>
        <v>17-3064-0000</v>
      </c>
      <c r="B443" t="str">
        <f>"LM5 Content, Virtual, Landscape Design"</f>
        <v>LM5 Content, Virtual, Landscape Design</v>
      </c>
      <c r="C443" s="44">
        <v>2495</v>
      </c>
      <c r="D443" t="str">
        <f t="shared" si="18"/>
        <v>Active</v>
      </c>
    </row>
    <row r="444" spans="1:4" ht="18" customHeight="1">
      <c r="A444" t="str">
        <f>"17-3065-0000"</f>
        <v>17-3065-0000</v>
      </c>
      <c r="B444" t="str">
        <f>"LM 5 Content, Lab/Vir Mechanisms Intro to STEM"</f>
        <v>LM 5 Content, Lab/Vir Mechanisms Intro to STEM</v>
      </c>
      <c r="C444" s="44">
        <v>3500</v>
      </c>
      <c r="D444" t="str">
        <f t="shared" si="18"/>
        <v>Active</v>
      </c>
    </row>
    <row r="445" spans="1:4" ht="18" customHeight="1">
      <c r="A445" t="str">
        <f>"17-3066-0000"</f>
        <v>17-3066-0000</v>
      </c>
      <c r="B445" t="str">
        <f>"LM5 Content, Virtual, Agricultural Animals"</f>
        <v>LM5 Content, Virtual, Agricultural Animals</v>
      </c>
      <c r="C445" s="44">
        <v>2495</v>
      </c>
      <c r="D445" t="str">
        <f t="shared" si="18"/>
        <v>Active</v>
      </c>
    </row>
    <row r="446" spans="1:4" ht="18" customHeight="1">
      <c r="A446" t="str">
        <f>"17-3067-0000"</f>
        <v>17-3067-0000</v>
      </c>
      <c r="B446" t="str">
        <f>"LM5 Content, Virtual, Agricultural Environment"</f>
        <v>LM5 Content, Virtual, Agricultural Environment</v>
      </c>
      <c r="C446" s="44">
        <v>2495</v>
      </c>
      <c r="D446" t="str">
        <f t="shared" si="18"/>
        <v>Active</v>
      </c>
    </row>
    <row r="447" spans="1:4" ht="18" customHeight="1">
      <c r="A447" t="str">
        <f>"17-3068-0000"</f>
        <v>17-3068-0000</v>
      </c>
      <c r="B447" t="str">
        <f>"LM5 Content, Vir, Science of Agricultural Plants"</f>
        <v>LM5 Content, Vir, Science of Agricultural Plants</v>
      </c>
      <c r="C447" s="44">
        <v>2495</v>
      </c>
      <c r="D447" t="str">
        <f t="shared" si="18"/>
        <v>Active</v>
      </c>
    </row>
    <row r="448" spans="1:4" ht="18" customHeight="1">
      <c r="A448" t="str">
        <f>"17-3090-0001"</f>
        <v>17-3090-0001</v>
      </c>
      <c r="B448" t="str">
        <f>"LM5.X Content, Virtual, CNC Milling w/EXM"</f>
        <v>LM5.X Content, Virtual, CNC Milling w/EXM</v>
      </c>
      <c r="C448" s="44">
        <v>2495</v>
      </c>
      <c r="D448" t="str">
        <f t="shared" si="18"/>
        <v>Active</v>
      </c>
    </row>
    <row r="449" spans="1:4" ht="18" customHeight="1">
      <c r="A449" t="str">
        <f>"17-3090-0002"</f>
        <v>17-3090-0002</v>
      </c>
      <c r="B449" t="str">
        <f>"LM5.X Content, Virtual, CNC Milling w/EXM (M)"</f>
        <v>LM5.X Content, Virtual, CNC Milling w/EXM (M)</v>
      </c>
      <c r="C449" s="44">
        <v>2495</v>
      </c>
      <c r="D449" t="str">
        <f t="shared" si="18"/>
        <v>Active</v>
      </c>
    </row>
    <row r="450" spans="1:4" ht="18" customHeight="1">
      <c r="A450" t="str">
        <f>"17-3091-0001"</f>
        <v>17-3091-0001</v>
      </c>
      <c r="B450" t="str">
        <f>"LM5.X Content, Virtual, CNC Milling w/SPLM"</f>
        <v>LM5.X Content, Virtual, CNC Milling w/SPLM</v>
      </c>
      <c r="C450" s="44">
        <v>2495</v>
      </c>
      <c r="D450" t="str">
        <f t="shared" si="18"/>
        <v>Active</v>
      </c>
    </row>
    <row r="451" spans="1:4" ht="18" customHeight="1">
      <c r="A451" t="str">
        <f>"17-3091-0002"</f>
        <v>17-3091-0002</v>
      </c>
      <c r="B451" t="str">
        <f>"LM5.X Content, Virtual, CNC Milling w/SPLM (M)"</f>
        <v>LM5.X Content, Virtual, CNC Milling w/SPLM (M)</v>
      </c>
      <c r="C451" s="44">
        <v>2495</v>
      </c>
      <c r="D451" t="str">
        <f t="shared" si="18"/>
        <v>Active</v>
      </c>
    </row>
    <row r="452" spans="1:4" ht="18" customHeight="1">
      <c r="A452" t="str">
        <f>"17-3092-0000"</f>
        <v>17-3092-0000</v>
      </c>
      <c r="B452" t="str">
        <f>"LM5 Content, Virtual,Intro to easyC V4 for PIC"</f>
        <v>LM5 Content, Virtual,Intro to easyC V4 for PIC</v>
      </c>
      <c r="C452" s="44">
        <v>2495</v>
      </c>
      <c r="D452" t="str">
        <f t="shared" si="18"/>
        <v>Active</v>
      </c>
    </row>
    <row r="453" spans="1:4" ht="18" customHeight="1">
      <c r="A453" t="str">
        <f>"17-3093-0000"</f>
        <v>17-3093-0000</v>
      </c>
      <c r="B453" t="str">
        <f>"LM5 Content, Virtual,Intro to easyC V4 forCortex"</f>
        <v>LM5 Content, Virtual,Intro to easyC V4 forCortex</v>
      </c>
      <c r="C453" s="44">
        <v>2495</v>
      </c>
      <c r="D453" t="str">
        <f t="shared" si="18"/>
        <v>Active</v>
      </c>
    </row>
    <row r="454" spans="1:4" ht="18" customHeight="1">
      <c r="A454" t="str">
        <f>"17-3095-0000"</f>
        <v>17-3095-0000</v>
      </c>
      <c r="B454" t="str">
        <f>"LM5.X Content, Virtual, Intro to Engineering"</f>
        <v>LM5.X Content, Virtual, Intro to Engineering</v>
      </c>
      <c r="C454" s="44">
        <v>2495</v>
      </c>
      <c r="D454" t="str">
        <f t="shared" si="18"/>
        <v>Active</v>
      </c>
    </row>
    <row r="455" spans="1:4" ht="18" customHeight="1">
      <c r="A455" t="str">
        <f>"17-3096-0000"</f>
        <v>17-3096-0000</v>
      </c>
      <c r="B455" t="str">
        <f>"LM5.X Content, Virtual, Intro to Advanced Mfg"</f>
        <v>LM5.X Content, Virtual, Intro to Advanced Mfg</v>
      </c>
      <c r="C455" s="44">
        <v>2495</v>
      </c>
      <c r="D455" t="str">
        <f t="shared" si="18"/>
        <v>Active</v>
      </c>
    </row>
    <row r="456" spans="1:4" ht="18" customHeight="1">
      <c r="A456" t="str">
        <f>"17-3097-0000"</f>
        <v>17-3097-0000</v>
      </c>
      <c r="B456" t="str">
        <f>"LM5 Content, Virtual, Employability"</f>
        <v>LM5 Content, Virtual, Employability</v>
      </c>
      <c r="C456" s="44">
        <v>2495</v>
      </c>
      <c r="D456" t="str">
        <f t="shared" si="18"/>
        <v>Active</v>
      </c>
    </row>
    <row r="457" spans="1:4" ht="18" customHeight="1">
      <c r="A457" t="str">
        <f>"17-3097-0010"</f>
        <v>17-3097-0010</v>
      </c>
      <c r="B457" t="str">
        <f>"LM5.X Content, Virtual, Employability Workbook"</f>
        <v>LM5.X Content, Virtual, Employability Workbook</v>
      </c>
      <c r="C457">
        <v>195</v>
      </c>
      <c r="D457" t="str">
        <f>"Inactive"</f>
        <v>Inactive</v>
      </c>
    </row>
    <row r="458" spans="1:4" ht="18" customHeight="1">
      <c r="A458" t="str">
        <f>"17-3098-0001"</f>
        <v>17-3098-0001</v>
      </c>
      <c r="B458" t="str">
        <f>"LM5.X Content, Virtual, Intro to Pro Engineer"</f>
        <v>LM5.X Content, Virtual, Intro to Pro Engineer</v>
      </c>
      <c r="C458" s="44">
        <v>2995</v>
      </c>
      <c r="D458" t="str">
        <f t="shared" ref="D458:D489" si="19">"Active"</f>
        <v>Active</v>
      </c>
    </row>
    <row r="459" spans="1:4" ht="18" customHeight="1">
      <c r="A459" t="str">
        <f>"17-3099-0000"</f>
        <v>17-3099-0000</v>
      </c>
      <c r="B459" t="str">
        <f>"LM5.X Content, Virtual, Rapid Prototyping"</f>
        <v>LM5.X Content, Virtual, Rapid Prototyping</v>
      </c>
      <c r="C459" s="44">
        <v>2495</v>
      </c>
      <c r="D459" t="str">
        <f t="shared" si="19"/>
        <v>Active</v>
      </c>
    </row>
    <row r="460" spans="1:4" ht="18" customHeight="1">
      <c r="A460" t="str">
        <f>"17-3101-0002"</f>
        <v>17-3101-0002</v>
      </c>
      <c r="B460" t="str">
        <f>"LM5 Content, Virtual, Intro to Greenhouse Agri"</f>
        <v>LM5 Content, Virtual, Intro to Greenhouse Agri</v>
      </c>
      <c r="C460" s="44">
        <v>2495</v>
      </c>
      <c r="D460" t="str">
        <f t="shared" si="19"/>
        <v>Active</v>
      </c>
    </row>
    <row r="461" spans="1:4" ht="18" customHeight="1">
      <c r="A461" t="str">
        <f>"17-3102-0002"</f>
        <v>17-3102-0002</v>
      </c>
      <c r="B461" t="str">
        <f>"LM5 Content, Virtual, Soil in Agriculture"</f>
        <v>LM5 Content, Virtual, Soil in Agriculture</v>
      </c>
      <c r="C461" s="44">
        <v>2495</v>
      </c>
      <c r="D461" t="str">
        <f t="shared" si="19"/>
        <v>Active</v>
      </c>
    </row>
    <row r="462" spans="1:4" ht="18" customHeight="1">
      <c r="A462" t="str">
        <f>"17-3103-0002"</f>
        <v>17-3103-0002</v>
      </c>
      <c r="B462" t="str">
        <f>"LM5 Content, Virtual, Intro to Irrigation"</f>
        <v>LM5 Content, Virtual, Intro to Irrigation</v>
      </c>
      <c r="C462" s="44">
        <v>2495</v>
      </c>
      <c r="D462" t="str">
        <f t="shared" si="19"/>
        <v>Active</v>
      </c>
    </row>
    <row r="463" spans="1:4" ht="18" customHeight="1">
      <c r="A463" t="str">
        <f>"17-3104-0002"</f>
        <v>17-3104-0002</v>
      </c>
      <c r="B463" t="str">
        <f>"LM5 Content, Virtual, Adv Irrigation Systems"</f>
        <v>LM5 Content, Virtual, Adv Irrigation Systems</v>
      </c>
      <c r="C463" s="44">
        <v>2495</v>
      </c>
      <c r="D463" t="str">
        <f t="shared" si="19"/>
        <v>Active</v>
      </c>
    </row>
    <row r="464" spans="1:4" ht="18" customHeight="1">
      <c r="A464" t="str">
        <f>"17-3105-0001"</f>
        <v>17-3105-0001</v>
      </c>
      <c r="B464" t="str">
        <f>"LM5.X Content, Virtual, CNC Milling w/Fanuc"</f>
        <v>LM5.X Content, Virtual, CNC Milling w/Fanuc</v>
      </c>
      <c r="C464" s="44">
        <v>2995</v>
      </c>
      <c r="D464" t="str">
        <f t="shared" si="19"/>
        <v>Active</v>
      </c>
    </row>
    <row r="465" spans="1:4" ht="18" customHeight="1">
      <c r="A465" t="str">
        <f>"17-3108-0002"</f>
        <v>17-3108-0002</v>
      </c>
      <c r="B465" t="str">
        <f>"LM5.X Content, Virtual, Intro to Solidworks"</f>
        <v>LM5.X Content, Virtual, Intro to Solidworks</v>
      </c>
      <c r="C465" s="44">
        <v>2495</v>
      </c>
      <c r="D465" t="str">
        <f t="shared" si="19"/>
        <v>Active</v>
      </c>
    </row>
    <row r="466" spans="1:4" ht="18" customHeight="1">
      <c r="A466" t="str">
        <f>"17-3108-0002-3"</f>
        <v>17-3108-0002-3</v>
      </c>
      <c r="B466" t="str">
        <f>"LM5 Content, Vir, Por, Intro to Solidworks"</f>
        <v>LM5 Content, Vir, Por, Intro to Solidworks</v>
      </c>
      <c r="C466" s="44">
        <v>2495</v>
      </c>
      <c r="D466" t="str">
        <f t="shared" si="19"/>
        <v>Active</v>
      </c>
    </row>
    <row r="467" spans="1:4" ht="18" customHeight="1">
      <c r="A467" t="str">
        <f>"17-3109-0000"</f>
        <v>17-3109-0000</v>
      </c>
      <c r="B467" t="str">
        <f>"LM5.X Content, Virtual, Lean Manufacturing"</f>
        <v>LM5.X Content, Virtual, Lean Manufacturing</v>
      </c>
      <c r="C467" s="44">
        <v>2495</v>
      </c>
      <c r="D467" t="str">
        <f t="shared" si="19"/>
        <v>Active</v>
      </c>
    </row>
    <row r="468" spans="1:4" ht="18" customHeight="1">
      <c r="A468" t="str">
        <f>"17-3112-0002-2"</f>
        <v>17-3112-0002-2</v>
      </c>
      <c r="B468" t="str">
        <f>"LM5_Sp_Fundamentals of Physics"</f>
        <v>LM5_Sp_Fundamentals of Physics</v>
      </c>
      <c r="C468" s="44">
        <v>2495</v>
      </c>
      <c r="D468" t="str">
        <f t="shared" si="19"/>
        <v>Active</v>
      </c>
    </row>
    <row r="469" spans="1:4" ht="18" customHeight="1">
      <c r="A469" t="str">
        <f>"17-3113-0002-2"</f>
        <v>17-3113-0002-2</v>
      </c>
      <c r="B469" t="str">
        <f>"LM5_Sp_Kinematics"</f>
        <v>LM5_Sp_Kinematics</v>
      </c>
      <c r="C469" s="44">
        <v>2495</v>
      </c>
      <c r="D469" t="str">
        <f t="shared" si="19"/>
        <v>Active</v>
      </c>
    </row>
    <row r="470" spans="1:4" ht="18" customHeight="1">
      <c r="A470" t="str">
        <f>"17-3114-0002-2"</f>
        <v>17-3114-0002-2</v>
      </c>
      <c r="B470" t="str">
        <f>"LM5_Sp_Forces"</f>
        <v>LM5_Sp_Forces</v>
      </c>
      <c r="C470" s="44">
        <v>2495</v>
      </c>
      <c r="D470" t="str">
        <f t="shared" si="19"/>
        <v>Active</v>
      </c>
    </row>
    <row r="471" spans="1:4" ht="18" customHeight="1">
      <c r="A471" t="str">
        <f>"17-3115-0002-2"</f>
        <v>17-3115-0002-2</v>
      </c>
      <c r="B471" t="str">
        <f>"LM5_Sp_Momentum and Energy"</f>
        <v>LM5_Sp_Momentum and Energy</v>
      </c>
      <c r="C471" s="44">
        <v>2495</v>
      </c>
      <c r="D471" t="str">
        <f t="shared" si="19"/>
        <v>Active</v>
      </c>
    </row>
    <row r="472" spans="1:4" ht="18" customHeight="1">
      <c r="A472" t="str">
        <f>"17-3116-0002-2"</f>
        <v>17-3116-0002-2</v>
      </c>
      <c r="B472" t="str">
        <f>"LM5_Sp_Electricity"</f>
        <v>LM5_Sp_Electricity</v>
      </c>
      <c r="C472" s="44">
        <v>2495</v>
      </c>
      <c r="D472" t="str">
        <f t="shared" si="19"/>
        <v>Active</v>
      </c>
    </row>
    <row r="473" spans="1:4" ht="18" customHeight="1">
      <c r="A473" t="str">
        <f>"17-3117-0000-2"</f>
        <v>17-3117-0000-2</v>
      </c>
      <c r="B473" t="str">
        <f>"LM5_Sp_Elements and Chemicals"</f>
        <v>LM5_Sp_Elements and Chemicals</v>
      </c>
      <c r="C473" s="44">
        <v>2495</v>
      </c>
      <c r="D473" t="str">
        <f t="shared" si="19"/>
        <v>Active</v>
      </c>
    </row>
    <row r="474" spans="1:4" ht="18" customHeight="1">
      <c r="A474" t="str">
        <f>"17-3118-0000-2"</f>
        <v>17-3118-0000-2</v>
      </c>
      <c r="B474" t="str">
        <f>"LM5_Sp_States of Matter"</f>
        <v>LM5_Sp_States of Matter</v>
      </c>
      <c r="C474" s="44">
        <v>2495</v>
      </c>
      <c r="D474" t="str">
        <f t="shared" si="19"/>
        <v>Active</v>
      </c>
    </row>
    <row r="475" spans="1:4" ht="18" customHeight="1">
      <c r="A475" t="str">
        <f>"17-3119-0000-2"</f>
        <v>17-3119-0000-2</v>
      </c>
      <c r="B475" t="str">
        <f>"LM5_Sp_Chemical Solutions"</f>
        <v>LM5_Sp_Chemical Solutions</v>
      </c>
      <c r="C475" s="44">
        <v>2495</v>
      </c>
      <c r="D475" t="str">
        <f t="shared" si="19"/>
        <v>Active</v>
      </c>
    </row>
    <row r="476" spans="1:4" ht="18" customHeight="1">
      <c r="A476" t="str">
        <f>"17-3120-0000-2"</f>
        <v>17-3120-0000-2</v>
      </c>
      <c r="B476" t="str">
        <f>"LM5_Sp_Chemical Reactions"</f>
        <v>LM5_Sp_Chemical Reactions</v>
      </c>
      <c r="C476" s="44">
        <v>2495</v>
      </c>
      <c r="D476" t="str">
        <f t="shared" si="19"/>
        <v>Active</v>
      </c>
    </row>
    <row r="477" spans="1:4" ht="18" customHeight="1">
      <c r="A477" t="str">
        <f>"17-3121-0000-2"</f>
        <v>17-3121-0000-2</v>
      </c>
      <c r="B477" t="str">
        <f>"LM5_Sp_Chemical Equilibrium and Stoichiometry"</f>
        <v>LM5_Sp_Chemical Equilibrium and Stoichiometry</v>
      </c>
      <c r="C477" s="44">
        <v>2495</v>
      </c>
      <c r="D477" t="str">
        <f t="shared" si="19"/>
        <v>Active</v>
      </c>
    </row>
    <row r="478" spans="1:4" ht="18" customHeight="1">
      <c r="A478" t="str">
        <f>"17-3122-0000-2"</f>
        <v>17-3122-0000-2</v>
      </c>
      <c r="B478" t="str">
        <f>"LM5_Sp_Biodiversity"</f>
        <v>LM5_Sp_Biodiversity</v>
      </c>
      <c r="C478" s="44">
        <v>2495</v>
      </c>
      <c r="D478" t="str">
        <f t="shared" si="19"/>
        <v>Active</v>
      </c>
    </row>
    <row r="479" spans="1:4" ht="18" customHeight="1">
      <c r="A479" t="str">
        <f>"17-3123-0000-2"</f>
        <v>17-3123-0000-2</v>
      </c>
      <c r="B479" t="str">
        <f>"LM5_Sp_Human Body Systems"</f>
        <v>LM5_Sp_Human Body Systems</v>
      </c>
      <c r="C479" s="44">
        <v>2495</v>
      </c>
      <c r="D479" t="str">
        <f t="shared" si="19"/>
        <v>Active</v>
      </c>
    </row>
    <row r="480" spans="1:4" ht="18" customHeight="1">
      <c r="A480" t="str">
        <f>"17-3124-0000-2"</f>
        <v>17-3124-0000-2</v>
      </c>
      <c r="B480" t="str">
        <f>"LM5.X Content, Vir, Sp, Botany"</f>
        <v>LM5.X Content, Vir, Sp, Botany</v>
      </c>
      <c r="C480" s="44">
        <v>2495</v>
      </c>
      <c r="D480" t="str">
        <f t="shared" si="19"/>
        <v>Active</v>
      </c>
    </row>
    <row r="481" spans="1:4" ht="18" customHeight="1">
      <c r="A481" t="str">
        <f>"17-3125-0000-2"</f>
        <v>17-3125-0000-2</v>
      </c>
      <c r="B481" t="str">
        <f>"LM5_Sp_Zoology"</f>
        <v>LM5_Sp_Zoology</v>
      </c>
      <c r="C481" s="44">
        <v>2495</v>
      </c>
      <c r="D481" t="str">
        <f t="shared" si="19"/>
        <v>Active</v>
      </c>
    </row>
    <row r="482" spans="1:4" ht="18" customHeight="1">
      <c r="A482" t="str">
        <f>"17-3126-0000-2"</f>
        <v>17-3126-0000-2</v>
      </c>
      <c r="B482" t="str">
        <f>"LM5_Sp_Genetics"</f>
        <v>LM5_Sp_Genetics</v>
      </c>
      <c r="C482" s="44">
        <v>2495</v>
      </c>
      <c r="D482" t="str">
        <f t="shared" si="19"/>
        <v>Active</v>
      </c>
    </row>
    <row r="483" spans="1:4" ht="18" customHeight="1">
      <c r="A483" t="str">
        <f>"17-3127-0000-2"</f>
        <v>17-3127-0000-2</v>
      </c>
      <c r="B483" t="str">
        <f>"LM5_Sp_Electrical Fields"</f>
        <v>LM5_Sp_Electrical Fields</v>
      </c>
      <c r="C483" s="44">
        <v>2495</v>
      </c>
      <c r="D483" t="str">
        <f t="shared" si="19"/>
        <v>Active</v>
      </c>
    </row>
    <row r="484" spans="1:4" ht="18" customHeight="1">
      <c r="A484" t="str">
        <f>"17-3128-0000-2"</f>
        <v>17-3128-0000-2</v>
      </c>
      <c r="B484" t="str">
        <f>"LM5_Sp_Magnetic Fields"</f>
        <v>LM5_Sp_Magnetic Fields</v>
      </c>
      <c r="C484" s="44">
        <v>2495</v>
      </c>
      <c r="D484" t="str">
        <f t="shared" si="19"/>
        <v>Active</v>
      </c>
    </row>
    <row r="485" spans="1:4" ht="18" customHeight="1">
      <c r="A485" t="str">
        <f>"17-3129-0000-2"</f>
        <v>17-3129-0000-2</v>
      </c>
      <c r="B485" t="str">
        <f>"LM5_Sp_Thermochemistry"</f>
        <v>LM5_Sp_Thermochemistry</v>
      </c>
      <c r="C485" s="44">
        <v>2495</v>
      </c>
      <c r="D485" t="str">
        <f t="shared" si="19"/>
        <v>Active</v>
      </c>
    </row>
    <row r="486" spans="1:4" ht="18" customHeight="1">
      <c r="A486" t="str">
        <f>"17-3130-0000-2"</f>
        <v>17-3130-0000-2</v>
      </c>
      <c r="B486" t="str">
        <f>"LM5_Sp_The Cell"</f>
        <v>LM5_Sp_The Cell</v>
      </c>
      <c r="C486" s="44">
        <v>2495</v>
      </c>
      <c r="D486" t="str">
        <f t="shared" si="19"/>
        <v>Active</v>
      </c>
    </row>
    <row r="487" spans="1:4" ht="18" customHeight="1">
      <c r="A487" t="str">
        <f>"17-3131-0000-2"</f>
        <v>17-3131-0000-2</v>
      </c>
      <c r="B487" t="str">
        <f>"LM5_Sp_Cellular Processes and Division"</f>
        <v>LM5_Sp_Cellular Processes and Division</v>
      </c>
      <c r="C487" s="44">
        <v>2495</v>
      </c>
      <c r="D487" t="str">
        <f t="shared" si="19"/>
        <v>Active</v>
      </c>
    </row>
    <row r="488" spans="1:4" ht="18" customHeight="1">
      <c r="A488" t="str">
        <f>"17-3132-0000-2"</f>
        <v>17-3132-0000-2</v>
      </c>
      <c r="B488" t="str">
        <f>"LM5_Sp_Organic Chemistry (1)"</f>
        <v>LM5_Sp_Organic Chemistry (1)</v>
      </c>
      <c r="C488" s="44">
        <v>2495</v>
      </c>
      <c r="D488" t="str">
        <f t="shared" si="19"/>
        <v>Active</v>
      </c>
    </row>
    <row r="489" spans="1:4" ht="18" customHeight="1">
      <c r="A489" t="str">
        <f>"17-3133-0000-2"</f>
        <v>17-3133-0000-2</v>
      </c>
      <c r="B489" t="str">
        <f>"LM5_Sp_Organic Chemistry (2)"</f>
        <v>LM5_Sp_Organic Chemistry (2)</v>
      </c>
      <c r="C489" s="44">
        <v>2495</v>
      </c>
      <c r="D489" t="str">
        <f t="shared" si="19"/>
        <v>Active</v>
      </c>
    </row>
    <row r="490" spans="1:4" ht="18" customHeight="1">
      <c r="A490" t="str">
        <f>"17-3134-0000-2"</f>
        <v>17-3134-0000-2</v>
      </c>
      <c r="B490" t="str">
        <f>"LM5_Sp_Dynamics and Thermodynamics"</f>
        <v>LM5_Sp_Dynamics and Thermodynamics</v>
      </c>
      <c r="C490" s="44">
        <v>2495</v>
      </c>
      <c r="D490" t="str">
        <f t="shared" ref="D490:D524" si="20">"Active"</f>
        <v>Active</v>
      </c>
    </row>
    <row r="491" spans="1:4" ht="18" customHeight="1">
      <c r="A491" t="str">
        <f>"17-3135-0000-2"</f>
        <v>17-3135-0000-2</v>
      </c>
      <c r="B491" t="str">
        <f>"LM5_Sp_Mathematics - A"</f>
        <v>LM5_Sp_Mathematics - A</v>
      </c>
      <c r="C491" s="44">
        <v>2495</v>
      </c>
      <c r="D491" t="str">
        <f t="shared" si="20"/>
        <v>Active</v>
      </c>
    </row>
    <row r="492" spans="1:4" ht="18" customHeight="1">
      <c r="A492" t="str">
        <f>"17-3136-0000-2"</f>
        <v>17-3136-0000-2</v>
      </c>
      <c r="B492" t="str">
        <f>"LM5_Sp_Mathematics - B"</f>
        <v>LM5_Sp_Mathematics - B</v>
      </c>
      <c r="C492" s="44">
        <v>2495</v>
      </c>
      <c r="D492" t="str">
        <f t="shared" si="20"/>
        <v>Active</v>
      </c>
    </row>
    <row r="493" spans="1:4" ht="18" customHeight="1">
      <c r="A493" t="str">
        <f>"17-3137-0000-2"</f>
        <v>17-3137-0000-2</v>
      </c>
      <c r="B493" t="str">
        <f>"LM5_Sp_Mathematics - C"</f>
        <v>LM5_Sp_Mathematics - C</v>
      </c>
      <c r="C493" s="44">
        <v>2495</v>
      </c>
      <c r="D493" t="str">
        <f t="shared" si="20"/>
        <v>Active</v>
      </c>
    </row>
    <row r="494" spans="1:4" ht="18" customHeight="1">
      <c r="A494" t="str">
        <f>"17-3138-0000-2"</f>
        <v>17-3138-0000-2</v>
      </c>
      <c r="B494" t="str">
        <f>"LM5_Sp_Algebra - A"</f>
        <v>LM5_Sp_Algebra - A</v>
      </c>
      <c r="C494" s="44">
        <v>2495</v>
      </c>
      <c r="D494" t="str">
        <f t="shared" si="20"/>
        <v>Active</v>
      </c>
    </row>
    <row r="495" spans="1:4" ht="18" customHeight="1">
      <c r="A495" t="str">
        <f>"17-3139-0000-2"</f>
        <v>17-3139-0000-2</v>
      </c>
      <c r="B495" t="str">
        <f>"LM5_Sp_Algebra - B"</f>
        <v>LM5_Sp_Algebra - B</v>
      </c>
      <c r="C495" s="44">
        <v>2495</v>
      </c>
      <c r="D495" t="str">
        <f t="shared" si="20"/>
        <v>Active</v>
      </c>
    </row>
    <row r="496" spans="1:4" ht="18" customHeight="1">
      <c r="A496" t="str">
        <f>"17-3140-0001"</f>
        <v>17-3140-0001</v>
      </c>
      <c r="B496" t="str">
        <f>"LM5.X Content, Vir, CNC Milling w/BenchMill 6000"</f>
        <v>LM5.X Content, Vir, CNC Milling w/BenchMill 6000</v>
      </c>
      <c r="C496" s="44">
        <v>2995</v>
      </c>
      <c r="D496" t="str">
        <f t="shared" si="20"/>
        <v>Active</v>
      </c>
    </row>
    <row r="497" spans="1:4" ht="18" customHeight="1">
      <c r="A497" t="str">
        <f>"17-3140-0002"</f>
        <v>17-3140-0002</v>
      </c>
      <c r="B497" t="str">
        <f>"LM5 Content,Vir, CNCMilling w/BenchMill 6000 (M)"</f>
        <v>LM5 Content,Vir, CNCMilling w/BenchMill 6000 (M)</v>
      </c>
      <c r="C497" s="44">
        <v>2995</v>
      </c>
      <c r="D497" t="str">
        <f t="shared" si="20"/>
        <v>Active</v>
      </c>
    </row>
    <row r="498" spans="1:4" ht="18" customHeight="1">
      <c r="A498" t="str">
        <f>"17-3141-0001"</f>
        <v>17-3141-0001</v>
      </c>
      <c r="B498" t="str">
        <f>"LM5.X Content, Vir, CNC Turning w/BenchTurn 7000"</f>
        <v>LM5.X Content, Vir, CNC Turning w/BenchTurn 7000</v>
      </c>
      <c r="C498" s="44">
        <v>2995</v>
      </c>
      <c r="D498" t="str">
        <f t="shared" si="20"/>
        <v>Active</v>
      </c>
    </row>
    <row r="499" spans="1:4" ht="18" customHeight="1">
      <c r="A499" t="str">
        <f>"17-3141-0002"</f>
        <v>17-3141-0002</v>
      </c>
      <c r="B499" t="str">
        <f>"LM5 Content,Vir, CNCTurning w/BenchTurn 7000 (M)"</f>
        <v>LM5 Content,Vir, CNCTurning w/BenchTurn 7000 (M)</v>
      </c>
      <c r="C499" s="44">
        <v>2995</v>
      </c>
      <c r="D499" t="str">
        <f t="shared" si="20"/>
        <v>Active</v>
      </c>
    </row>
    <row r="500" spans="1:4" ht="18" customHeight="1">
      <c r="A500" t="str">
        <f>"17-3142-0001"</f>
        <v>17-3142-0001</v>
      </c>
      <c r="B500" t="str">
        <f>"LM5.X Content, Vir, CNC Milling w/ProMill 8000"</f>
        <v>LM5.X Content, Vir, CNC Milling w/ProMill 8000</v>
      </c>
      <c r="C500" s="44">
        <v>2995</v>
      </c>
      <c r="D500" t="str">
        <f t="shared" si="20"/>
        <v>Active</v>
      </c>
    </row>
    <row r="501" spans="1:4" ht="18" customHeight="1">
      <c r="A501" t="str">
        <f>"17-3142-0002"</f>
        <v>17-3142-0002</v>
      </c>
      <c r="B501" t="str">
        <f>"LM5 Content, Vir, CNC Milling w/ProMill 8000 (M)"</f>
        <v>LM5 Content, Vir, CNC Milling w/ProMill 8000 (M)</v>
      </c>
      <c r="C501" s="44">
        <v>2995</v>
      </c>
      <c r="D501" t="str">
        <f t="shared" si="20"/>
        <v>Active</v>
      </c>
    </row>
    <row r="502" spans="1:4" ht="18" customHeight="1">
      <c r="A502" t="str">
        <f>"17-3143-0001"</f>
        <v>17-3143-0001</v>
      </c>
      <c r="B502" t="str">
        <f>"LM5.X Content, Vir, CNC Turning w/ProTurn 9000"</f>
        <v>LM5.X Content, Vir, CNC Turning w/ProTurn 9000</v>
      </c>
      <c r="C502" s="44">
        <v>2995</v>
      </c>
      <c r="D502" t="str">
        <f t="shared" si="20"/>
        <v>Active</v>
      </c>
    </row>
    <row r="503" spans="1:4" ht="18" customHeight="1">
      <c r="A503" t="str">
        <f>"17-3143-0002"</f>
        <v>17-3143-0002</v>
      </c>
      <c r="B503" t="str">
        <f>"LM5 Content, Vir, CNC Turning w/ProTurn 9000 (M)"</f>
        <v>LM5 Content, Vir, CNC Turning w/ProTurn 9000 (M)</v>
      </c>
      <c r="C503" s="44">
        <v>2995</v>
      </c>
      <c r="D503" t="str">
        <f t="shared" si="20"/>
        <v>Active</v>
      </c>
    </row>
    <row r="504" spans="1:4" ht="18" customHeight="1">
      <c r="A504" t="str">
        <f>"17-3144-0001"</f>
        <v>17-3144-0001</v>
      </c>
      <c r="B504" t="str">
        <f>"LM5 Content,CNC Programming Mill FANUC Controlle"</f>
        <v>LM5 Content,CNC Programming Mill FANUC Controlle</v>
      </c>
      <c r="C504" s="44">
        <v>2995</v>
      </c>
      <c r="D504" t="str">
        <f t="shared" si="20"/>
        <v>Active</v>
      </c>
    </row>
    <row r="505" spans="1:4" ht="18" customHeight="1">
      <c r="A505" t="str">
        <f>"17-3146-0001"</f>
        <v>17-3146-0001</v>
      </c>
      <c r="B505" t="str">
        <f>"LM5 Content,CNC Programming Turn FANUC Controlle"</f>
        <v>LM5 Content,CNC Programming Turn FANUC Controlle</v>
      </c>
      <c r="C505" s="44">
        <v>2995</v>
      </c>
      <c r="D505" t="str">
        <f t="shared" si="20"/>
        <v>Active</v>
      </c>
    </row>
    <row r="506" spans="1:4" ht="18" customHeight="1">
      <c r="A506" t="str">
        <f>"17-3160-0000-2"</f>
        <v>17-3160-0000-2</v>
      </c>
      <c r="B506" t="str">
        <f>"LM5_Sp_Algebra - C"</f>
        <v>LM5_Sp_Algebra - C</v>
      </c>
      <c r="C506" s="44">
        <v>2495</v>
      </c>
      <c r="D506" t="str">
        <f t="shared" si="20"/>
        <v>Active</v>
      </c>
    </row>
    <row r="507" spans="1:4" ht="18" customHeight="1">
      <c r="A507" t="str">
        <f>"17-3161-0000-2"</f>
        <v>17-3161-0000-2</v>
      </c>
      <c r="B507" t="str">
        <f>"LM5_Sp_Trigonometry - A"</f>
        <v>LM5_Sp_Trigonometry - A</v>
      </c>
      <c r="C507" s="44">
        <v>2495</v>
      </c>
      <c r="D507" t="str">
        <f t="shared" si="20"/>
        <v>Active</v>
      </c>
    </row>
    <row r="508" spans="1:4" ht="18" customHeight="1">
      <c r="A508" t="str">
        <f>"17-3162-0000-2"</f>
        <v>17-3162-0000-2</v>
      </c>
      <c r="B508" t="str">
        <f>"LM5_Sp_Trigonometry - B"</f>
        <v>LM5_Sp_Trigonometry - B</v>
      </c>
      <c r="C508" s="44">
        <v>2495</v>
      </c>
      <c r="D508" t="str">
        <f t="shared" si="20"/>
        <v>Active</v>
      </c>
    </row>
    <row r="509" spans="1:4" ht="18" customHeight="1">
      <c r="A509" t="str">
        <f>"17-3163-0000-2"</f>
        <v>17-3163-0000-2</v>
      </c>
      <c r="B509" t="str">
        <f>"LM5_Sp_Trigonometry - C"</f>
        <v>LM5_Sp_Trigonometry - C</v>
      </c>
      <c r="C509" s="44">
        <v>2495</v>
      </c>
      <c r="D509" t="str">
        <f t="shared" si="20"/>
        <v>Active</v>
      </c>
    </row>
    <row r="510" spans="1:4" ht="18" customHeight="1">
      <c r="A510" t="str">
        <f>"17-3164-0000-2"</f>
        <v>17-3164-0000-2</v>
      </c>
      <c r="B510" t="str">
        <f>"LM5_Sp_Calculus - A"</f>
        <v>LM5_Sp_Calculus - A</v>
      </c>
      <c r="C510" s="44">
        <v>2495</v>
      </c>
      <c r="D510" t="str">
        <f t="shared" si="20"/>
        <v>Active</v>
      </c>
    </row>
    <row r="511" spans="1:4" ht="18" customHeight="1">
      <c r="A511" t="str">
        <f>"17-3165-0000-2"</f>
        <v>17-3165-0000-2</v>
      </c>
      <c r="B511" t="str">
        <f>"LM5_Sp_Calculus - B"</f>
        <v>LM5_Sp_Calculus - B</v>
      </c>
      <c r="C511" s="44">
        <v>2495</v>
      </c>
      <c r="D511" t="str">
        <f t="shared" si="20"/>
        <v>Active</v>
      </c>
    </row>
    <row r="512" spans="1:4" ht="18" customHeight="1">
      <c r="A512" t="str">
        <f>"17-3166-0000-2"</f>
        <v>17-3166-0000-2</v>
      </c>
      <c r="B512" t="str">
        <f>"LM5_Sp_Calculus - C"</f>
        <v>LM5_Sp_Calculus - C</v>
      </c>
      <c r="C512" s="44">
        <v>2495</v>
      </c>
      <c r="D512" t="str">
        <f t="shared" si="20"/>
        <v>Active</v>
      </c>
    </row>
    <row r="513" spans="1:4" ht="18" customHeight="1">
      <c r="A513" t="str">
        <f>"17-3167-0000-2"</f>
        <v>17-3167-0000-2</v>
      </c>
      <c r="B513" t="str">
        <f>"LM5_Sp_Introduction to Technology"</f>
        <v>LM5_Sp_Introduction to Technology</v>
      </c>
      <c r="C513" s="44">
        <v>2495</v>
      </c>
      <c r="D513" t="str">
        <f t="shared" si="20"/>
        <v>Active</v>
      </c>
    </row>
    <row r="514" spans="1:4" ht="18" customHeight="1">
      <c r="A514" t="str">
        <f>"17-3168-0000-2"</f>
        <v>17-3168-0000-2</v>
      </c>
      <c r="B514" t="str">
        <f>"LM5_Sp_Cutting Edge Technologies"</f>
        <v>LM5_Sp_Cutting Edge Technologies</v>
      </c>
      <c r="C514" s="44">
        <v>2495</v>
      </c>
      <c r="D514" t="str">
        <f t="shared" si="20"/>
        <v>Active</v>
      </c>
    </row>
    <row r="515" spans="1:4" ht="18" customHeight="1">
      <c r="A515" t="str">
        <f>"17-3169-0000-2"</f>
        <v>17-3169-0000-2</v>
      </c>
      <c r="B515" t="str">
        <f>"LM5_Sp_Innovation and Communication"</f>
        <v>LM5_Sp_Innovation and Communication</v>
      </c>
      <c r="C515" s="44">
        <v>2495</v>
      </c>
      <c r="D515" t="str">
        <f t="shared" si="20"/>
        <v>Active</v>
      </c>
    </row>
    <row r="516" spans="1:4" ht="18" customHeight="1">
      <c r="A516" t="str">
        <f>"17-3170-0000-2"</f>
        <v>17-3170-0000-2</v>
      </c>
      <c r="B516" t="str">
        <f>"LM5_Sp_Mechanics"</f>
        <v>LM5_Sp_Mechanics</v>
      </c>
      <c r="C516" s="44">
        <v>2495</v>
      </c>
      <c r="D516" t="str">
        <f t="shared" si="20"/>
        <v>Active</v>
      </c>
    </row>
    <row r="517" spans="1:4" ht="18" customHeight="1">
      <c r="A517" t="str">
        <f>"17-3201-0000-2"</f>
        <v>17-3201-0000-2</v>
      </c>
      <c r="B517" t="str">
        <f>"LM5 Content, Virtual, Sp, Business Planner"</f>
        <v>LM5 Content, Virtual, Sp, Business Planner</v>
      </c>
      <c r="C517" s="44">
        <v>2495</v>
      </c>
      <c r="D517" t="str">
        <f t="shared" si="20"/>
        <v>Active</v>
      </c>
    </row>
    <row r="518" spans="1:4" ht="18" customHeight="1">
      <c r="A518" t="str">
        <f>"17-7001-0001"</f>
        <v>17-7001-0001</v>
      </c>
      <c r="B518" t="str">
        <f>"LM5.X Content, Yo-Yo Project"</f>
        <v>LM5.X Content, Yo-Yo Project</v>
      </c>
      <c r="C518">
        <v>195</v>
      </c>
      <c r="D518" t="str">
        <f t="shared" si="20"/>
        <v>Active</v>
      </c>
    </row>
    <row r="519" spans="1:4" ht="18" customHeight="1">
      <c r="A519" t="str">
        <f>"17-7002-0001"</f>
        <v>17-7002-0001</v>
      </c>
      <c r="B519" t="str">
        <f>"LM5.X Content, Car Elevator Project"</f>
        <v>LM5.X Content, Car Elevator Project</v>
      </c>
      <c r="C519">
        <v>195</v>
      </c>
      <c r="D519" t="str">
        <f t="shared" si="20"/>
        <v>Active</v>
      </c>
    </row>
    <row r="520" spans="1:4" ht="18" customHeight="1">
      <c r="A520" t="str">
        <f>"17-7004-0001"</f>
        <v>17-7004-0001</v>
      </c>
      <c r="B520" t="str">
        <f>"LM5.X Content, Pneumatic Feeder Project"</f>
        <v>LM5.X Content, Pneumatic Feeder Project</v>
      </c>
      <c r="C520">
        <v>195</v>
      </c>
      <c r="D520" t="str">
        <f t="shared" si="20"/>
        <v>Active</v>
      </c>
    </row>
    <row r="521" spans="1:4" ht="18" customHeight="1">
      <c r="A521" t="str">
        <f>"17-7005-0001"</f>
        <v>17-7005-0001</v>
      </c>
      <c r="B521" t="str">
        <f>"LM5.X Content, Shape Sorter Project"</f>
        <v>LM5.X Content, Shape Sorter Project</v>
      </c>
      <c r="C521">
        <v>195</v>
      </c>
      <c r="D521" t="str">
        <f t="shared" si="20"/>
        <v>Active</v>
      </c>
    </row>
    <row r="522" spans="1:4" ht="18" customHeight="1">
      <c r="A522" t="str">
        <f>"17-7006-0001"</f>
        <v>17-7006-0001</v>
      </c>
      <c r="B522" t="str">
        <f>"LM5.X Content, Precision Measuring Device"</f>
        <v>LM5.X Content, Precision Measuring Device</v>
      </c>
      <c r="C522">
        <v>195</v>
      </c>
      <c r="D522" t="str">
        <f t="shared" si="20"/>
        <v>Active</v>
      </c>
    </row>
    <row r="523" spans="1:4" ht="18" customHeight="1">
      <c r="A523" t="str">
        <f>"17-7007-0001"</f>
        <v>17-7007-0001</v>
      </c>
      <c r="B523" t="str">
        <f>"LM5.X Content, Golf Putter Project"</f>
        <v>LM5.X Content, Golf Putter Project</v>
      </c>
      <c r="C523">
        <v>195</v>
      </c>
      <c r="D523" t="str">
        <f t="shared" si="20"/>
        <v>Active</v>
      </c>
    </row>
    <row r="524" spans="1:4" ht="18" customHeight="1">
      <c r="A524" t="str">
        <f>"17-7011-0001"</f>
        <v>17-7011-0001</v>
      </c>
      <c r="B524" t="str">
        <f>"LM5.X Content, Can Crusher Project"</f>
        <v>LM5.X Content, Can Crusher Project</v>
      </c>
      <c r="C524">
        <v>195</v>
      </c>
      <c r="D524" t="str">
        <f t="shared" si="20"/>
        <v>Active</v>
      </c>
    </row>
    <row r="525" spans="1:4" ht="18" customHeight="1">
      <c r="A525" t="str">
        <f>"17-7012-0001"</f>
        <v>17-7012-0001</v>
      </c>
      <c r="B525" t="str">
        <f>"LM5.X Content, Marble Solitaire Project"</f>
        <v>LM5.X Content, Marble Solitaire Project</v>
      </c>
      <c r="C525">
        <v>195</v>
      </c>
      <c r="D525" t="str">
        <f>"Inactive"</f>
        <v>Inactive</v>
      </c>
    </row>
    <row r="526" spans="1:4" ht="18" customHeight="1">
      <c r="A526" t="str">
        <f>"17-7016-0001"</f>
        <v>17-7016-0001</v>
      </c>
      <c r="B526" t="str">
        <f>"LM5.X Content, CO2 Car Project"</f>
        <v>LM5.X Content, CO2 Car Project</v>
      </c>
      <c r="C526">
        <v>195</v>
      </c>
      <c r="D526" t="str">
        <f t="shared" ref="D526:D557" si="21">"Active"</f>
        <v>Active</v>
      </c>
    </row>
    <row r="527" spans="1:4" ht="18" customHeight="1">
      <c r="A527" t="str">
        <f>"17-7018-0001"</f>
        <v>17-7018-0001</v>
      </c>
      <c r="B527" t="str">
        <f>"LM5.X Content, Robotics &amp; Automation Project"</f>
        <v>LM5.X Content, Robotics &amp; Automation Project</v>
      </c>
      <c r="C527">
        <v>495</v>
      </c>
      <c r="D527" t="str">
        <f t="shared" si="21"/>
        <v>Active</v>
      </c>
    </row>
    <row r="528" spans="1:4" ht="18" customHeight="1">
      <c r="A528" t="str">
        <f>"17-7022-0001"</f>
        <v>17-7022-0001</v>
      </c>
      <c r="B528" t="str">
        <f>"LM5.X Content, 4 Cavity Mold Project"</f>
        <v>LM5.X Content, 4 Cavity Mold Project</v>
      </c>
      <c r="C528">
        <v>195</v>
      </c>
      <c r="D528" t="str">
        <f t="shared" si="21"/>
        <v>Active</v>
      </c>
    </row>
    <row r="529" spans="1:4" ht="18" customHeight="1">
      <c r="A529" t="str">
        <f>"17-7023-0001"</f>
        <v>17-7023-0001</v>
      </c>
      <c r="B529" t="str">
        <f>"LM5.X Content, Planetary Gearbox"</f>
        <v>LM5.X Content, Planetary Gearbox</v>
      </c>
      <c r="C529">
        <v>195</v>
      </c>
      <c r="D529" t="str">
        <f t="shared" si="21"/>
        <v>Active</v>
      </c>
    </row>
    <row r="530" spans="1:4" ht="18" customHeight="1">
      <c r="A530" t="str">
        <f>"17-7027-0001"</f>
        <v>17-7027-0001</v>
      </c>
      <c r="B530" t="str">
        <f>"LM5.X Content, Engineering Application Series"</f>
        <v>LM5.X Content, Engineering Application Series</v>
      </c>
      <c r="C530">
        <v>495</v>
      </c>
      <c r="D530" t="str">
        <f t="shared" si="21"/>
        <v>Active</v>
      </c>
    </row>
    <row r="531" spans="1:4" ht="18" customHeight="1">
      <c r="A531" t="str">
        <f>"17-8007-0001"</f>
        <v>17-8007-0001</v>
      </c>
      <c r="B531" t="str">
        <f>"LM5.X Content, Lab, CNC Milling w/SLM"</f>
        <v>LM5.X Content, Lab, CNC Milling w/SLM</v>
      </c>
      <c r="C531" s="44">
        <v>2495</v>
      </c>
      <c r="D531" t="str">
        <f t="shared" si="21"/>
        <v>Active</v>
      </c>
    </row>
    <row r="532" spans="1:4" ht="18" customHeight="1">
      <c r="A532" t="str">
        <f>"17-8007-0002"</f>
        <v>17-8007-0002</v>
      </c>
      <c r="B532" t="str">
        <f>"LM5.X Content, Lab, CNC Milling w/SLM (Metric)"</f>
        <v>LM5.X Content, Lab, CNC Milling w/SLM (Metric)</v>
      </c>
      <c r="C532" s="44">
        <v>2495</v>
      </c>
      <c r="D532" t="str">
        <f t="shared" si="21"/>
        <v>Active</v>
      </c>
    </row>
    <row r="533" spans="1:4" ht="18" customHeight="1">
      <c r="A533" t="str">
        <f>"17-8008-0000"</f>
        <v>17-8008-0000</v>
      </c>
      <c r="B533" t="str">
        <f>"LM 5 Content, Lab/Vir, Hydraulics 1 w/HydraFlex"</f>
        <v>LM 5 Content, Lab/Vir, Hydraulics 1 w/HydraFlex</v>
      </c>
      <c r="C533" s="44">
        <v>2995</v>
      </c>
      <c r="D533" t="str">
        <f t="shared" si="21"/>
        <v>Active</v>
      </c>
    </row>
    <row r="534" spans="1:4" ht="18" customHeight="1">
      <c r="A534" t="str">
        <f>"17-8008-0000-3"</f>
        <v>17-8008-0000-3</v>
      </c>
      <c r="B534" t="str">
        <f>"LM5 Content,Lab/Vir,Por, Hydraulics1 w/HydraFlex"</f>
        <v>LM5 Content,Lab/Vir,Por, Hydraulics1 w/HydraFlex</v>
      </c>
      <c r="C534" s="44">
        <v>2995</v>
      </c>
      <c r="D534" t="str">
        <f t="shared" si="21"/>
        <v>Active</v>
      </c>
    </row>
    <row r="535" spans="1:4" ht="18" customHeight="1">
      <c r="A535" t="str">
        <f>"17-8012-0000"</f>
        <v>17-8012-0000</v>
      </c>
      <c r="B535" t="str">
        <f>"LM 5 Content, Lab/Vir, Sensor Technology"</f>
        <v>LM 5 Content, Lab/Vir, Sensor Technology</v>
      </c>
      <c r="C535" s="44">
        <v>2995</v>
      </c>
      <c r="D535" t="str">
        <f t="shared" si="21"/>
        <v>Active</v>
      </c>
    </row>
    <row r="536" spans="1:4" ht="18" customHeight="1">
      <c r="A536" t="str">
        <f>"17-8014-0001"</f>
        <v>17-8014-0001</v>
      </c>
      <c r="B536" t="str">
        <f>"LM5.X Content, Lab/Vir, MMQC"</f>
        <v>LM5.X Content, Lab/Vir, MMQC</v>
      </c>
      <c r="C536" s="44">
        <v>2495</v>
      </c>
      <c r="D536" t="str">
        <f t="shared" si="21"/>
        <v>Active</v>
      </c>
    </row>
    <row r="537" spans="1:4" ht="18" customHeight="1">
      <c r="A537" t="str">
        <f>"17-8014-0002"</f>
        <v>17-8014-0002</v>
      </c>
      <c r="B537" t="str">
        <f>"LM5.X Content, Lab/Vir, MMQC (Metric)"</f>
        <v>LM5.X Content, Lab/Vir, MMQC (Metric)</v>
      </c>
      <c r="C537" s="44">
        <v>2495</v>
      </c>
      <c r="D537" t="str">
        <f t="shared" si="21"/>
        <v>Active</v>
      </c>
    </row>
    <row r="538" spans="1:4" ht="18" customHeight="1">
      <c r="A538" t="str">
        <f>"17-8014-0002-3"</f>
        <v>17-8014-0002-3</v>
      </c>
      <c r="B538" t="str">
        <f>"LM5 Content, Lab/Vir, Por, MMQC (Metric)"</f>
        <v>LM5 Content, Lab/Vir, Por, MMQC (Metric)</v>
      </c>
      <c r="C538" s="44">
        <v>2495</v>
      </c>
      <c r="D538" t="str">
        <f t="shared" si="21"/>
        <v>Active</v>
      </c>
    </row>
    <row r="539" spans="1:4" ht="18" customHeight="1">
      <c r="A539" t="str">
        <f>"17-8016-0001"</f>
        <v>17-8016-0001</v>
      </c>
      <c r="B539" t="str">
        <f>"LM5.X Content, Lab, CNC Turning w/SLT"</f>
        <v>LM5.X Content, Lab, CNC Turning w/SLT</v>
      </c>
      <c r="C539" s="44">
        <v>2495</v>
      </c>
      <c r="D539" t="str">
        <f t="shared" si="21"/>
        <v>Active</v>
      </c>
    </row>
    <row r="540" spans="1:4" ht="18" customHeight="1">
      <c r="A540" t="str">
        <f>"17-8016-0002"</f>
        <v>17-8016-0002</v>
      </c>
      <c r="B540" t="str">
        <f>"LM5.X Content, Lab, CNC Turning w/SLT (Metric)"</f>
        <v>LM5.X Content, Lab, CNC Turning w/SLT (Metric)</v>
      </c>
      <c r="C540" s="44">
        <v>2495</v>
      </c>
      <c r="D540" t="str">
        <f t="shared" si="21"/>
        <v>Active</v>
      </c>
    </row>
    <row r="541" spans="1:4" ht="18" customHeight="1">
      <c r="A541" t="str">
        <f>"17-8043-0001"</f>
        <v>17-8043-0001</v>
      </c>
      <c r="B541" t="str">
        <f>"LM5.X Content, Lab, CNC Turning w/PLT"</f>
        <v>LM5.X Content, Lab, CNC Turning w/PLT</v>
      </c>
      <c r="C541" s="44">
        <v>2495</v>
      </c>
      <c r="D541" t="str">
        <f t="shared" si="21"/>
        <v>Active</v>
      </c>
    </row>
    <row r="542" spans="1:4" ht="18" customHeight="1">
      <c r="A542" t="str">
        <f>"17-8043-0002"</f>
        <v>17-8043-0002</v>
      </c>
      <c r="B542" t="str">
        <f>"LM5.X Content, Lab, CNC Turning w/PLT (Metric)"</f>
        <v>LM5.X Content, Lab, CNC Turning w/PLT (Metric)</v>
      </c>
      <c r="C542" s="44">
        <v>2495</v>
      </c>
      <c r="D542" t="str">
        <f t="shared" si="21"/>
        <v>Active</v>
      </c>
    </row>
    <row r="543" spans="1:4" ht="18" customHeight="1">
      <c r="A543" t="str">
        <f>"17-8046-0000"</f>
        <v>17-8046-0000</v>
      </c>
      <c r="B543" t="str">
        <f>"LM 5 Content, Lab/Vir, Electrical Systems"</f>
        <v>LM 5 Content, Lab/Vir, Electrical Systems</v>
      </c>
      <c r="C543" s="44">
        <v>2495</v>
      </c>
      <c r="D543" t="str">
        <f t="shared" si="21"/>
        <v>Active</v>
      </c>
    </row>
    <row r="544" spans="1:4" ht="18" customHeight="1">
      <c r="A544" t="str">
        <f>"17-8046-0000-3"</f>
        <v>17-8046-0000-3</v>
      </c>
      <c r="B544" t="str">
        <f>"LM5 Content, Lab/Vir, Por, Electrical Systems"</f>
        <v>LM5 Content, Lab/Vir, Por, Electrical Systems</v>
      </c>
      <c r="C544" s="44">
        <v>2495</v>
      </c>
      <c r="D544" t="str">
        <f t="shared" si="21"/>
        <v>Active</v>
      </c>
    </row>
    <row r="545" spans="1:4" ht="18" customHeight="1">
      <c r="A545" t="str">
        <f>"17-8047-0000"</f>
        <v>17-8047-0000</v>
      </c>
      <c r="B545" t="str">
        <f>"LM 5 Content, Lab/Vir, Mechanisms"</f>
        <v>LM 5 Content, Lab/Vir, Mechanisms</v>
      </c>
      <c r="C545" s="44">
        <v>2495</v>
      </c>
      <c r="D545" t="str">
        <f t="shared" si="21"/>
        <v>Active</v>
      </c>
    </row>
    <row r="546" spans="1:4" ht="18" customHeight="1">
      <c r="A546" t="str">
        <f>"17-8054-0001"</f>
        <v>17-8054-0001</v>
      </c>
      <c r="B546" t="str">
        <f>"LM5.X Content, Lab, CNC Milling w/PLM"</f>
        <v>LM5.X Content, Lab, CNC Milling w/PLM</v>
      </c>
      <c r="C546" s="44">
        <v>2495</v>
      </c>
      <c r="D546" t="str">
        <f t="shared" si="21"/>
        <v>Active</v>
      </c>
    </row>
    <row r="547" spans="1:4" ht="18" customHeight="1">
      <c r="A547" t="str">
        <f>"17-8057-0000"</f>
        <v>17-8057-0000</v>
      </c>
      <c r="B547" t="str">
        <f>"LM 5 Content, Lab/Vir, Plastics Thermoforming"</f>
        <v>LM 5 Content, Lab/Vir, Plastics Thermoforming</v>
      </c>
      <c r="C547" s="44">
        <v>2495</v>
      </c>
      <c r="D547" t="str">
        <f t="shared" si="21"/>
        <v>Active</v>
      </c>
    </row>
    <row r="548" spans="1:4" ht="18" customHeight="1">
      <c r="A548" t="str">
        <f>"17-8058-0000"</f>
        <v>17-8058-0000</v>
      </c>
      <c r="B548" t="str">
        <f>"LM 5 Content, Lab, Matrl. Testing w/Buster II"</f>
        <v>LM 5 Content, Lab, Matrl. Testing w/Buster II</v>
      </c>
      <c r="C548" s="44">
        <v>2495</v>
      </c>
      <c r="D548" t="str">
        <f t="shared" si="21"/>
        <v>Active</v>
      </c>
    </row>
    <row r="549" spans="1:4" ht="18" customHeight="1">
      <c r="A549" t="str">
        <f>"17-8067-0002"</f>
        <v>17-8067-0002</v>
      </c>
      <c r="B549" t="str">
        <f>"LM 5 Content, Lab, FMS w/ER4U &amp; SLM 0200"</f>
        <v>LM 5 Content, Lab, FMS w/ER4U &amp; SLM 0200</v>
      </c>
      <c r="C549" s="44">
        <v>2495</v>
      </c>
      <c r="D549" t="str">
        <f t="shared" si="21"/>
        <v>Active</v>
      </c>
    </row>
    <row r="550" spans="1:4" ht="18" customHeight="1">
      <c r="A550" t="str">
        <f>"17-8068-0000"</f>
        <v>17-8068-0000</v>
      </c>
      <c r="B550" t="str">
        <f>"LM 5 Content, Lab/Vir, Pneumatics 1 w/PneuFlex"</f>
        <v>LM 5 Content, Lab/Vir, Pneumatics 1 w/PneuFlex</v>
      </c>
      <c r="C550" s="44">
        <v>2995</v>
      </c>
      <c r="D550" t="str">
        <f t="shared" si="21"/>
        <v>Active</v>
      </c>
    </row>
    <row r="551" spans="1:4" ht="18" customHeight="1">
      <c r="A551" t="str">
        <f>"17-8069-0000"</f>
        <v>17-8069-0000</v>
      </c>
      <c r="B551" t="str">
        <f>"LM 5 Content, Lab/Vir, Pneumatics 2 w/PneuFlex"</f>
        <v>LM 5 Content, Lab/Vir, Pneumatics 2 w/PneuFlex</v>
      </c>
      <c r="C551" s="44">
        <v>2495</v>
      </c>
      <c r="D551" t="str">
        <f t="shared" si="21"/>
        <v>Active</v>
      </c>
    </row>
    <row r="552" spans="1:4" ht="18" customHeight="1">
      <c r="A552" t="str">
        <f>"17-8082-0000"</f>
        <v>17-8082-0000</v>
      </c>
      <c r="B552" t="str">
        <f>"LM 5 Content, Lab, RMH1 w/ER4U"</f>
        <v>LM 5 Content, Lab, RMH1 w/ER4U</v>
      </c>
      <c r="C552" s="44">
        <v>2495</v>
      </c>
      <c r="D552" t="str">
        <f t="shared" si="21"/>
        <v>Active</v>
      </c>
    </row>
    <row r="553" spans="1:4" ht="18" customHeight="1">
      <c r="A553" t="str">
        <f>"17-8083-0000"</f>
        <v>17-8083-0000</v>
      </c>
      <c r="B553" t="str">
        <f>"LM 5 Content, Lab, RMH2 w/ ER4U"</f>
        <v>LM 5 Content, Lab, RMH2 w/ ER4U</v>
      </c>
      <c r="C553" s="44">
        <v>2495</v>
      </c>
      <c r="D553" t="str">
        <f t="shared" si="21"/>
        <v>Active</v>
      </c>
    </row>
    <row r="554" spans="1:4" ht="18" customHeight="1">
      <c r="A554" t="str">
        <f>"17-8084-0000"</f>
        <v>17-8084-0000</v>
      </c>
      <c r="B554" t="str">
        <f>"LM 5 Content, Lab, Machine Vision &amp; QC 1"</f>
        <v>LM 5 Content, Lab, Machine Vision &amp; QC 1</v>
      </c>
      <c r="C554" s="44">
        <v>2495</v>
      </c>
      <c r="D554" t="str">
        <f t="shared" si="21"/>
        <v>Active</v>
      </c>
    </row>
    <row r="555" spans="1:4" ht="18" customHeight="1">
      <c r="A555" t="str">
        <f>"17-8090-0001"</f>
        <v>17-8090-0001</v>
      </c>
      <c r="B555" t="str">
        <f>"LM5.X Content, Lab, CNC Milling w/eXpertMill"</f>
        <v>LM5.X Content, Lab, CNC Milling w/eXpertMill</v>
      </c>
      <c r="C555" s="44">
        <v>2495</v>
      </c>
      <c r="D555" t="str">
        <f t="shared" si="21"/>
        <v>Active</v>
      </c>
    </row>
    <row r="556" spans="1:4" ht="18" customHeight="1">
      <c r="A556" t="str">
        <f>"17-8091-0001"</f>
        <v>17-8091-0001</v>
      </c>
      <c r="B556" t="str">
        <f>"LM5.X Content, Lab, CNC Milling w/SPLM"</f>
        <v>LM5.X Content, Lab, CNC Milling w/SPLM</v>
      </c>
      <c r="C556" s="44">
        <v>2495</v>
      </c>
      <c r="D556" t="str">
        <f t="shared" si="21"/>
        <v>Active</v>
      </c>
    </row>
    <row r="557" spans="1:4" ht="18" customHeight="1">
      <c r="A557" t="str">
        <f>"17-8092-0011"</f>
        <v>17-8092-0011</v>
      </c>
      <c r="B557" t="str">
        <f>"LM5.X Content, Lab, REC1, PIC, Unit 1"</f>
        <v>LM5.X Content, Lab, REC1, PIC, Unit 1</v>
      </c>
      <c r="C557">
        <v>415</v>
      </c>
      <c r="D557" t="str">
        <f t="shared" si="21"/>
        <v>Active</v>
      </c>
    </row>
    <row r="558" spans="1:4" ht="18" customHeight="1">
      <c r="A558" t="str">
        <f>"17-8092-0021"</f>
        <v>17-8092-0021</v>
      </c>
      <c r="B558" t="str">
        <f>"LM5.X Content, Lab, REC1, PIC, Unit 2"</f>
        <v>LM5.X Content, Lab, REC1, PIC, Unit 2</v>
      </c>
      <c r="C558">
        <v>415</v>
      </c>
      <c r="D558" t="str">
        <f t="shared" ref="D558:D589" si="22">"Active"</f>
        <v>Active</v>
      </c>
    </row>
    <row r="559" spans="1:4" ht="18" customHeight="1">
      <c r="A559" t="str">
        <f>"17-8092-0031"</f>
        <v>17-8092-0031</v>
      </c>
      <c r="B559" t="str">
        <f>"LM5.X Content, Lab, REC1, PIC, Unit 3"</f>
        <v>LM5.X Content, Lab, REC1, PIC, Unit 3</v>
      </c>
      <c r="C559">
        <v>415</v>
      </c>
      <c r="D559" t="str">
        <f t="shared" si="22"/>
        <v>Active</v>
      </c>
    </row>
    <row r="560" spans="1:4" ht="18" customHeight="1">
      <c r="A560" t="str">
        <f>"17-8092-0041"</f>
        <v>17-8092-0041</v>
      </c>
      <c r="B560" t="str">
        <f>"LM5.X Content, Lab, REC1, PIC, Unit 4"</f>
        <v>LM5.X Content, Lab, REC1, PIC, Unit 4</v>
      </c>
      <c r="C560">
        <v>415</v>
      </c>
      <c r="D560" t="str">
        <f t="shared" si="22"/>
        <v>Active</v>
      </c>
    </row>
    <row r="561" spans="1:4" ht="18" customHeight="1">
      <c r="A561" t="str">
        <f>"17-8092-0051"</f>
        <v>17-8092-0051</v>
      </c>
      <c r="B561" t="str">
        <f>"LM5.X Content, Lab, REC1, PIC, Unit 5"</f>
        <v>LM5.X Content, Lab, REC1, PIC, Unit 5</v>
      </c>
      <c r="C561">
        <v>415</v>
      </c>
      <c r="D561" t="str">
        <f t="shared" si="22"/>
        <v>Active</v>
      </c>
    </row>
    <row r="562" spans="1:4" ht="18" customHeight="1">
      <c r="A562" t="str">
        <f>"17-8092-0061"</f>
        <v>17-8092-0061</v>
      </c>
      <c r="B562" t="str">
        <f>"LM5.X Content, Lab, REC1, PIC, Unit 6"</f>
        <v>LM5.X Content, Lab, REC1, PIC, Unit 6</v>
      </c>
      <c r="C562">
        <v>415</v>
      </c>
      <c r="D562" t="str">
        <f t="shared" si="22"/>
        <v>Active</v>
      </c>
    </row>
    <row r="563" spans="1:4" ht="18" customHeight="1">
      <c r="A563" t="str">
        <f>"17-8093-0071"</f>
        <v>17-8093-0071</v>
      </c>
      <c r="B563" t="str">
        <f>"LM5.X Content, Lab, REC 2, PIC, Unit 7"</f>
        <v>LM5.X Content, Lab, REC 2, PIC, Unit 7</v>
      </c>
      <c r="C563">
        <v>415</v>
      </c>
      <c r="D563" t="str">
        <f t="shared" si="22"/>
        <v>Active</v>
      </c>
    </row>
    <row r="564" spans="1:4" ht="18" customHeight="1">
      <c r="A564" t="str">
        <f>"17-8093-0081"</f>
        <v>17-8093-0081</v>
      </c>
      <c r="B564" t="str">
        <f>"LM5.X Content, Lab, REC 2, PIC, Unit 8"</f>
        <v>LM5.X Content, Lab, REC 2, PIC, Unit 8</v>
      </c>
      <c r="C564">
        <v>415</v>
      </c>
      <c r="D564" t="str">
        <f t="shared" si="22"/>
        <v>Active</v>
      </c>
    </row>
    <row r="565" spans="1:4" ht="18" customHeight="1">
      <c r="A565" t="str">
        <f>"17-8093-0091"</f>
        <v>17-8093-0091</v>
      </c>
      <c r="B565" t="str">
        <f>"LM5.X Content, Lab, REC 2, PIC, Unit 9"</f>
        <v>LM5.X Content, Lab, REC 2, PIC, Unit 9</v>
      </c>
      <c r="C565">
        <v>415</v>
      </c>
      <c r="D565" t="str">
        <f t="shared" si="22"/>
        <v>Active</v>
      </c>
    </row>
    <row r="566" spans="1:4" ht="18" customHeight="1">
      <c r="A566" t="str">
        <f>"17-8093-0101"</f>
        <v>17-8093-0101</v>
      </c>
      <c r="B566" t="str">
        <f>"LM5.X Content, Lab, REC 2, PIC, Unit 10"</f>
        <v>LM5.X Content, Lab, REC 2, PIC, Unit 10</v>
      </c>
      <c r="C566">
        <v>415</v>
      </c>
      <c r="D566" t="str">
        <f t="shared" si="22"/>
        <v>Active</v>
      </c>
    </row>
    <row r="567" spans="1:4" ht="18" customHeight="1">
      <c r="A567" t="str">
        <f>"17-8093-0111"</f>
        <v>17-8093-0111</v>
      </c>
      <c r="B567" t="str">
        <f>"LM5.X Content, Lab, REC 2, PIC, Unit 11"</f>
        <v>LM5.X Content, Lab, REC 2, PIC, Unit 11</v>
      </c>
      <c r="C567">
        <v>415</v>
      </c>
      <c r="D567" t="str">
        <f t="shared" si="22"/>
        <v>Active</v>
      </c>
    </row>
    <row r="568" spans="1:4" ht="18" customHeight="1">
      <c r="A568" t="str">
        <f>"17-8093-0121"</f>
        <v>17-8093-0121</v>
      </c>
      <c r="B568" t="str">
        <f>"LM5.X Content, Lab, REC 2, PIC, Unit 12"</f>
        <v>LM5.X Content, Lab, REC 2, PIC, Unit 12</v>
      </c>
      <c r="C568">
        <v>415</v>
      </c>
      <c r="D568" t="str">
        <f t="shared" si="22"/>
        <v>Active</v>
      </c>
    </row>
    <row r="569" spans="1:4" ht="18" customHeight="1">
      <c r="A569" t="str">
        <f>"17-8094-0000"</f>
        <v>17-8094-0000</v>
      </c>
      <c r="B569" t="str">
        <f>"LM 5 Content, Lab, RMH1 w/ER9 Pro"</f>
        <v>LM 5 Content, Lab, RMH1 w/ER9 Pro</v>
      </c>
      <c r="C569" s="44">
        <v>2495</v>
      </c>
      <c r="D569" t="str">
        <f t="shared" si="22"/>
        <v>Active</v>
      </c>
    </row>
    <row r="570" spans="1:4" ht="18" customHeight="1">
      <c r="A570" t="str">
        <f>"17-8095-0000"</f>
        <v>17-8095-0000</v>
      </c>
      <c r="B570" t="str">
        <f>"LM 5 Content, Lab, RMH2 w/ER9 Pro"</f>
        <v>LM 5 Content, Lab, RMH2 w/ER9 Pro</v>
      </c>
      <c r="C570" s="44">
        <v>2495</v>
      </c>
      <c r="D570" t="str">
        <f t="shared" si="22"/>
        <v>Active</v>
      </c>
    </row>
    <row r="571" spans="1:4" ht="18" customHeight="1">
      <c r="A571" t="str">
        <f>"17-8096-0000"</f>
        <v>17-8096-0000</v>
      </c>
      <c r="B571" t="str">
        <f>"LM 5 Content, Introduction to the SD300pro"</f>
        <v>LM 5 Content, Introduction to the SD300pro</v>
      </c>
      <c r="C571" s="44">
        <v>2495</v>
      </c>
      <c r="D571" t="str">
        <f t="shared" si="22"/>
        <v>Active</v>
      </c>
    </row>
    <row r="572" spans="1:4" ht="18" customHeight="1">
      <c r="A572" t="str">
        <f>"17-8097-0002"</f>
        <v>17-8097-0002</v>
      </c>
      <c r="B572" t="str">
        <f>"LM 5 Content, Lab, FMS w/ER4U &amp; eXpertMill"</f>
        <v>LM 5 Content, Lab, FMS w/ER4U &amp; eXpertMill</v>
      </c>
      <c r="C572" s="44">
        <v>2495</v>
      </c>
      <c r="D572" t="str">
        <f t="shared" si="22"/>
        <v>Active</v>
      </c>
    </row>
    <row r="573" spans="1:4" ht="18" customHeight="1">
      <c r="A573" t="str">
        <f>"17-8100-1012"</f>
        <v>17-8100-1012</v>
      </c>
      <c r="B573" t="str">
        <f>"LM 5 Content, Lab, Theory of AutoGreen System"</f>
        <v>LM 5 Content, Lab, Theory of AutoGreen System</v>
      </c>
      <c r="C573" s="44">
        <v>2495</v>
      </c>
      <c r="D573" t="str">
        <f t="shared" si="22"/>
        <v>Active</v>
      </c>
    </row>
    <row r="574" spans="1:4" ht="18" customHeight="1">
      <c r="A574" t="str">
        <f>"17-8100-1022"</f>
        <v>17-8100-1022</v>
      </c>
      <c r="B574" t="str">
        <f>"LM 5 Content, Lab, Using the AutoGreen System"</f>
        <v>LM 5 Content, Lab, Using the AutoGreen System</v>
      </c>
      <c r="C574" s="44">
        <v>2495</v>
      </c>
      <c r="D574" t="str">
        <f t="shared" si="22"/>
        <v>Active</v>
      </c>
    </row>
    <row r="575" spans="1:4" ht="18" customHeight="1">
      <c r="A575" t="str">
        <f>"17-8100-1032"</f>
        <v>17-8100-1032</v>
      </c>
      <c r="B575" t="str">
        <f>"LM 5 Content, Lab, Applications of AutoGreen"</f>
        <v>LM 5 Content, Lab, Applications of AutoGreen</v>
      </c>
      <c r="C575" s="44">
        <v>2495</v>
      </c>
      <c r="D575" t="str">
        <f t="shared" si="22"/>
        <v>Active</v>
      </c>
    </row>
    <row r="576" spans="1:4" ht="18" customHeight="1">
      <c r="A576" t="str">
        <f>"17-8101-0001"</f>
        <v>17-8101-0001</v>
      </c>
      <c r="B576" t="str">
        <f>"LM5 Content, Lab, Agricultural Mechanics"</f>
        <v>LM5 Content, Lab, Agricultural Mechanics</v>
      </c>
      <c r="C576" s="44">
        <v>2495</v>
      </c>
      <c r="D576" t="str">
        <f t="shared" si="22"/>
        <v>Active</v>
      </c>
    </row>
    <row r="577" spans="1:4" ht="18" customHeight="1">
      <c r="A577" t="str">
        <f>"17-8105-0010"</f>
        <v>17-8105-0010</v>
      </c>
      <c r="B577" t="str">
        <f>"LM5.X Content, Lab, REC 1, Cortex, Unit 1"</f>
        <v>LM5.X Content, Lab, REC 1, Cortex, Unit 1</v>
      </c>
      <c r="C577">
        <v>450</v>
      </c>
      <c r="D577" t="str">
        <f t="shared" si="22"/>
        <v>Active</v>
      </c>
    </row>
    <row r="578" spans="1:4" ht="18" customHeight="1">
      <c r="A578" t="str">
        <f>"17-8105-0020"</f>
        <v>17-8105-0020</v>
      </c>
      <c r="B578" t="str">
        <f>"LM5.X Content, Lab, REC 1, Cortex, Unit 2"</f>
        <v>LM5.X Content, Lab, REC 1, Cortex, Unit 2</v>
      </c>
      <c r="C578">
        <v>450</v>
      </c>
      <c r="D578" t="str">
        <f t="shared" si="22"/>
        <v>Active</v>
      </c>
    </row>
    <row r="579" spans="1:4" ht="18" customHeight="1">
      <c r="A579" t="str">
        <f>"17-8105-0030"</f>
        <v>17-8105-0030</v>
      </c>
      <c r="B579" t="str">
        <f>"LM5.X Content, Lab, REC 1, Cortex, Unit 3"</f>
        <v>LM5.X Content, Lab, REC 1, Cortex, Unit 3</v>
      </c>
      <c r="C579">
        <v>450</v>
      </c>
      <c r="D579" t="str">
        <f t="shared" si="22"/>
        <v>Active</v>
      </c>
    </row>
    <row r="580" spans="1:4" ht="18" customHeight="1">
      <c r="A580" t="str">
        <f>"17-8105-0040"</f>
        <v>17-8105-0040</v>
      </c>
      <c r="B580" t="str">
        <f>"LM5.X Content, Lab, REC 1, Cortex, Unit 4"</f>
        <v>LM5.X Content, Lab, REC 1, Cortex, Unit 4</v>
      </c>
      <c r="C580">
        <v>450</v>
      </c>
      <c r="D580" t="str">
        <f t="shared" si="22"/>
        <v>Active</v>
      </c>
    </row>
    <row r="581" spans="1:4" ht="18" customHeight="1">
      <c r="A581" t="str">
        <f>"17-8105-0050"</f>
        <v>17-8105-0050</v>
      </c>
      <c r="B581" t="str">
        <f>"LM5.X Content, Lab, REC 1, Cortex, Unit 5"</f>
        <v>LM5.X Content, Lab, REC 1, Cortex, Unit 5</v>
      </c>
      <c r="C581">
        <v>450</v>
      </c>
      <c r="D581" t="str">
        <f t="shared" si="22"/>
        <v>Active</v>
      </c>
    </row>
    <row r="582" spans="1:4" ht="18" customHeight="1">
      <c r="A582" t="str">
        <f>"17-8105-0060"</f>
        <v>17-8105-0060</v>
      </c>
      <c r="B582" t="str">
        <f>"LM5.X Content, Lab, REC 1, Cortex, Unit 6"</f>
        <v>LM5.X Content, Lab, REC 1, Cortex, Unit 6</v>
      </c>
      <c r="C582">
        <v>450</v>
      </c>
      <c r="D582" t="str">
        <f t="shared" si="22"/>
        <v>Active</v>
      </c>
    </row>
    <row r="583" spans="1:4" ht="18" customHeight="1">
      <c r="A583" t="str">
        <f>"17-8105-0100"</f>
        <v>17-8105-0100</v>
      </c>
      <c r="B583" t="str">
        <f>"LM5 Content, Lab, REC 1, Cortex, Semester 1 TG"</f>
        <v>LM5 Content, Lab, REC 1, Cortex, Semester 1 TG</v>
      </c>
      <c r="C583" s="44">
        <v>1350</v>
      </c>
      <c r="D583" t="str">
        <f t="shared" si="22"/>
        <v>Active</v>
      </c>
    </row>
    <row r="584" spans="1:4" ht="18" customHeight="1">
      <c r="A584" t="str">
        <f>"17-8105-0200"</f>
        <v>17-8105-0200</v>
      </c>
      <c r="B584" t="str">
        <f>"LM5 Content, Lab, REC 1, Cortex, Semester 1 TG"</f>
        <v>LM5 Content, Lab, REC 1, Cortex, Semester 1 TG</v>
      </c>
      <c r="C584" s="44">
        <v>1350</v>
      </c>
      <c r="D584" t="str">
        <f t="shared" si="22"/>
        <v>Active</v>
      </c>
    </row>
    <row r="585" spans="1:4" ht="18" customHeight="1">
      <c r="A585" t="str">
        <f>"17-8106-0070"</f>
        <v>17-8106-0070</v>
      </c>
      <c r="B585" t="str">
        <f>"LM5.X Content, Lab, REC 2, Cortex, Unit 7"</f>
        <v>LM5.X Content, Lab, REC 2, Cortex, Unit 7</v>
      </c>
      <c r="C585">
        <v>450</v>
      </c>
      <c r="D585" t="str">
        <f t="shared" si="22"/>
        <v>Active</v>
      </c>
    </row>
    <row r="586" spans="1:4" ht="18" customHeight="1">
      <c r="A586" t="str">
        <f>"17-8106-0080"</f>
        <v>17-8106-0080</v>
      </c>
      <c r="B586" t="str">
        <f>"LM5.X Content, Lab, REC 2, Cortex, Unit 8"</f>
        <v>LM5.X Content, Lab, REC 2, Cortex, Unit 8</v>
      </c>
      <c r="C586">
        <v>450</v>
      </c>
      <c r="D586" t="str">
        <f t="shared" si="22"/>
        <v>Active</v>
      </c>
    </row>
    <row r="587" spans="1:4" ht="18" customHeight="1">
      <c r="A587" t="str">
        <f>"17-8106-0090"</f>
        <v>17-8106-0090</v>
      </c>
      <c r="B587" t="str">
        <f>"LM5.X Content, Lab, REC 2, Cortex, Unit 9"</f>
        <v>LM5.X Content, Lab, REC 2, Cortex, Unit 9</v>
      </c>
      <c r="C587">
        <v>450</v>
      </c>
      <c r="D587" t="str">
        <f t="shared" si="22"/>
        <v>Active</v>
      </c>
    </row>
    <row r="588" spans="1:4" ht="18" customHeight="1">
      <c r="A588" t="str">
        <f>"17-8106-0100"</f>
        <v>17-8106-0100</v>
      </c>
      <c r="B588" t="str">
        <f>"LM5.X Content, Lab, REC 2, Cortex, Unit 10"</f>
        <v>LM5.X Content, Lab, REC 2, Cortex, Unit 10</v>
      </c>
      <c r="C588">
        <v>450</v>
      </c>
      <c r="D588" t="str">
        <f t="shared" si="22"/>
        <v>Active</v>
      </c>
    </row>
    <row r="589" spans="1:4" ht="18" customHeight="1">
      <c r="A589" t="str">
        <f>"17-8106-0110"</f>
        <v>17-8106-0110</v>
      </c>
      <c r="B589" t="str">
        <f>"LM5.X Content, Lab, REC 2, Cortex, Unit 11"</f>
        <v>LM5.X Content, Lab, REC 2, Cortex, Unit 11</v>
      </c>
      <c r="C589">
        <v>450</v>
      </c>
      <c r="D589" t="str">
        <f t="shared" si="22"/>
        <v>Active</v>
      </c>
    </row>
    <row r="590" spans="1:4" ht="18" customHeight="1">
      <c r="A590" t="str">
        <f>"17-8106-0120"</f>
        <v>17-8106-0120</v>
      </c>
      <c r="B590" t="str">
        <f>"LM5.X Content, Lab, REC 2, Cortex, Unit 12"</f>
        <v>LM5.X Content, Lab, REC 2, Cortex, Unit 12</v>
      </c>
      <c r="C590">
        <v>450</v>
      </c>
      <c r="D590" t="str">
        <f t="shared" ref="D590:D621" si="23">"Active"</f>
        <v>Active</v>
      </c>
    </row>
    <row r="591" spans="1:4" ht="18" customHeight="1">
      <c r="A591" t="str">
        <f>"17-8107-0000"</f>
        <v>17-8107-0000</v>
      </c>
      <c r="B591" t="str">
        <f>"LM5.X Content, Lab, Compet. Robotics for Cortex"</f>
        <v>LM5.X Content, Lab, Compet. Robotics for Cortex</v>
      </c>
      <c r="C591">
        <v>995</v>
      </c>
      <c r="D591" t="str">
        <f t="shared" si="23"/>
        <v>Active</v>
      </c>
    </row>
    <row r="592" spans="1:4" ht="18" customHeight="1">
      <c r="A592" t="str">
        <f>"17-8108-0000"</f>
        <v>17-8108-0000</v>
      </c>
      <c r="B592" t="str">
        <f>"LM5 Content, Lab, Exploring Robotics VEX IQ"</f>
        <v>LM5 Content, Lab, Exploring Robotics VEX IQ</v>
      </c>
      <c r="C592" s="44">
        <v>3495</v>
      </c>
      <c r="D592" t="str">
        <f t="shared" si="23"/>
        <v>Active</v>
      </c>
    </row>
    <row r="593" spans="1:4" ht="18" customHeight="1">
      <c r="A593" t="str">
        <f>"17-8110-0001"</f>
        <v>17-8110-0001</v>
      </c>
      <c r="B593" t="str">
        <f>"LM5.X Content, Lab, GTC Intro to Green Tech"</f>
        <v>LM5.X Content, Lab, GTC Intro to Green Tech</v>
      </c>
      <c r="C593" s="44">
        <v>1000</v>
      </c>
      <c r="D593" t="str">
        <f t="shared" si="23"/>
        <v>Active</v>
      </c>
    </row>
    <row r="594" spans="1:4" ht="18" customHeight="1">
      <c r="A594" t="str">
        <f>"17-8110-0002"</f>
        <v>17-8110-0002</v>
      </c>
      <c r="B594" t="str">
        <f>"LM5.X Content, Lab, GTC Alternative Energy"</f>
        <v>LM5.X Content, Lab, GTC Alternative Energy</v>
      </c>
      <c r="C594" s="44">
        <v>1000</v>
      </c>
      <c r="D594" t="str">
        <f t="shared" si="23"/>
        <v>Active</v>
      </c>
    </row>
    <row r="595" spans="1:4" ht="18" customHeight="1">
      <c r="A595" t="str">
        <f>"17-8110-0003"</f>
        <v>17-8110-0003</v>
      </c>
      <c r="B595" t="str">
        <f>"LM5.X Content, Lab, GTC Green Transportation"</f>
        <v>LM5.X Content, Lab, GTC Green Transportation</v>
      </c>
      <c r="C595" s="44">
        <v>1000</v>
      </c>
      <c r="D595" t="str">
        <f t="shared" si="23"/>
        <v>Active</v>
      </c>
    </row>
    <row r="596" spans="1:4" ht="18" customHeight="1">
      <c r="A596" t="str">
        <f>"17-8110-0004"</f>
        <v>17-8110-0004</v>
      </c>
      <c r="B596" t="str">
        <f>"LM5.X Content, Lab, GTC Green Construction"</f>
        <v>LM5.X Content, Lab, GTC Green Construction</v>
      </c>
      <c r="C596" s="44">
        <v>1000</v>
      </c>
      <c r="D596" t="str">
        <f t="shared" si="23"/>
        <v>Active</v>
      </c>
    </row>
    <row r="597" spans="1:4" ht="18" customHeight="1">
      <c r="A597" t="str">
        <f>"17-8110-0005"</f>
        <v>17-8110-0005</v>
      </c>
      <c r="B597" t="str">
        <f>"LM5.X Content, Lab, GTC Resource Conservation"</f>
        <v>LM5.X Content, Lab, GTC Resource Conservation</v>
      </c>
      <c r="C597" s="44">
        <v>1000</v>
      </c>
      <c r="D597" t="str">
        <f t="shared" si="23"/>
        <v>Active</v>
      </c>
    </row>
    <row r="598" spans="1:4" ht="18" customHeight="1">
      <c r="A598" t="str">
        <f>"17-8110-0006"</f>
        <v>17-8110-0006</v>
      </c>
      <c r="B598" t="str">
        <f>"LM5.X Content, Lab, GTC Renewable Energy Experi."</f>
        <v>LM5.X Content, Lab, GTC Renewable Energy Experi.</v>
      </c>
      <c r="C598" s="44">
        <v>1000</v>
      </c>
      <c r="D598" t="str">
        <f t="shared" si="23"/>
        <v>Active</v>
      </c>
    </row>
    <row r="599" spans="1:4" ht="18" customHeight="1">
      <c r="A599" t="str">
        <f>"17-8136-0001"</f>
        <v>17-8136-0001</v>
      </c>
      <c r="B599" t="str">
        <f>"LM5 Content, Lab, Intro to Transportation"</f>
        <v>LM5 Content, Lab, Intro to Transportation</v>
      </c>
      <c r="C599">
        <v>800</v>
      </c>
      <c r="D599" t="str">
        <f t="shared" si="23"/>
        <v>Active</v>
      </c>
    </row>
    <row r="600" spans="1:4" ht="18" customHeight="1">
      <c r="A600" t="str">
        <f>"17-8136-0002"</f>
        <v>17-8136-0002</v>
      </c>
      <c r="B600" t="str">
        <f>"LM5 Content, Lab, Aerospace"</f>
        <v>LM5 Content, Lab, Aerospace</v>
      </c>
      <c r="C600">
        <v>800</v>
      </c>
      <c r="D600" t="str">
        <f t="shared" si="23"/>
        <v>Active</v>
      </c>
    </row>
    <row r="601" spans="1:4" ht="18" customHeight="1">
      <c r="A601" t="str">
        <f>"17-8136-0003"</f>
        <v>17-8136-0003</v>
      </c>
      <c r="B601" t="str">
        <f>"LM5 Content, Lab, Aviation"</f>
        <v>LM5 Content, Lab, Aviation</v>
      </c>
      <c r="C601">
        <v>800</v>
      </c>
      <c r="D601" t="str">
        <f t="shared" si="23"/>
        <v>Active</v>
      </c>
    </row>
    <row r="602" spans="1:4" ht="18" customHeight="1">
      <c r="A602" t="str">
        <f>"17-8136-0004"</f>
        <v>17-8136-0004</v>
      </c>
      <c r="B602" t="str">
        <f>"LM5 Content, Lab, R&amp;D Automotive"</f>
        <v>LM5 Content, Lab, R&amp;D Automotive</v>
      </c>
      <c r="C602">
        <v>800</v>
      </c>
      <c r="D602" t="str">
        <f t="shared" si="23"/>
        <v>Active</v>
      </c>
    </row>
    <row r="603" spans="1:4" ht="18" customHeight="1">
      <c r="A603" t="str">
        <f>"17-8137-0000"</f>
        <v>17-8137-0000</v>
      </c>
      <c r="B603" t="str">
        <f>"LM5.X Content, Lab, Biotechnology"</f>
        <v>LM5.X Content, Lab, Biotechnology</v>
      </c>
      <c r="C603" s="44">
        <v>3200</v>
      </c>
      <c r="D603" t="str">
        <f t="shared" si="23"/>
        <v>Active</v>
      </c>
    </row>
    <row r="604" spans="1:4" ht="18" customHeight="1">
      <c r="A604" t="str">
        <f>"17-8138-0000"</f>
        <v>17-8138-0000</v>
      </c>
      <c r="B604" t="str">
        <f>"LM5.X Content, Lab, Health Care"</f>
        <v>LM5.X Content, Lab, Health Care</v>
      </c>
      <c r="C604" s="44">
        <v>3200</v>
      </c>
      <c r="D604" t="str">
        <f t="shared" si="23"/>
        <v>Active</v>
      </c>
    </row>
    <row r="605" spans="1:4" ht="18" customHeight="1">
      <c r="A605" t="str">
        <f>"17-8140-0001"</f>
        <v>17-8140-0001</v>
      </c>
      <c r="B605" t="str">
        <f>"LM5.X Content, Lab, CNC Milling w/BenchMill 6000"</f>
        <v>LM5.X Content, Lab, CNC Milling w/BenchMill 6000</v>
      </c>
      <c r="C605" s="44">
        <v>2495</v>
      </c>
      <c r="D605" t="str">
        <f t="shared" si="23"/>
        <v>Active</v>
      </c>
    </row>
    <row r="606" spans="1:4" ht="18" customHeight="1">
      <c r="A606" t="str">
        <f>"17-8140-0002"</f>
        <v>17-8140-0002</v>
      </c>
      <c r="B606" t="str">
        <f>"LM5 Content,Lab, CNCMilling w/BenchMill 6000 (M)"</f>
        <v>LM5 Content,Lab, CNCMilling w/BenchMill 6000 (M)</v>
      </c>
      <c r="C606" s="44">
        <v>2495</v>
      </c>
      <c r="D606" t="str">
        <f t="shared" si="23"/>
        <v>Active</v>
      </c>
    </row>
    <row r="607" spans="1:4" ht="18" customHeight="1">
      <c r="A607" t="str">
        <f>"17-8141-0001"</f>
        <v>17-8141-0001</v>
      </c>
      <c r="B607" t="str">
        <f>"LM5.X Content, Lab, CNC Turning w/BenchTurn 7000"</f>
        <v>LM5.X Content, Lab, CNC Turning w/BenchTurn 7000</v>
      </c>
      <c r="C607" s="44">
        <v>2495</v>
      </c>
      <c r="D607" t="str">
        <f t="shared" si="23"/>
        <v>Active</v>
      </c>
    </row>
    <row r="608" spans="1:4" ht="18" customHeight="1">
      <c r="A608" t="str">
        <f>"17-8141-0002"</f>
        <v>17-8141-0002</v>
      </c>
      <c r="B608" t="str">
        <f>"LM5 Content,Lab, CNCTurning w/BenchTurn 7000 (M)"</f>
        <v>LM5 Content,Lab, CNCTurning w/BenchTurn 7000 (M)</v>
      </c>
      <c r="C608" s="44">
        <v>2495</v>
      </c>
      <c r="D608" t="str">
        <f t="shared" si="23"/>
        <v>Active</v>
      </c>
    </row>
    <row r="609" spans="1:4" ht="18" customHeight="1">
      <c r="A609" t="str">
        <f>"17-8142-0001"</f>
        <v>17-8142-0001</v>
      </c>
      <c r="B609" t="str">
        <f>"LM5.X Content, Lab, CNC Milling w/ProMill 8000"</f>
        <v>LM5.X Content, Lab, CNC Milling w/ProMill 8000</v>
      </c>
      <c r="C609" s="44">
        <v>2495</v>
      </c>
      <c r="D609" t="str">
        <f t="shared" si="23"/>
        <v>Active</v>
      </c>
    </row>
    <row r="610" spans="1:4" ht="18" customHeight="1">
      <c r="A610" t="str">
        <f>"17-8142-0002"</f>
        <v>17-8142-0002</v>
      </c>
      <c r="B610" t="str">
        <f>"LM5 Content, Lab, CNC Milling w/ProMill 8000 (M)"</f>
        <v>LM5 Content, Lab, CNC Milling w/ProMill 8000 (M)</v>
      </c>
      <c r="C610" s="44">
        <v>2495</v>
      </c>
      <c r="D610" t="str">
        <f t="shared" si="23"/>
        <v>Active</v>
      </c>
    </row>
    <row r="611" spans="1:4" ht="18" customHeight="1">
      <c r="A611" t="str">
        <f>"17-8143-0001"</f>
        <v>17-8143-0001</v>
      </c>
      <c r="B611" t="str">
        <f>"LM5.X Content, Lab, CNC Turning w/ProTurn 9000"</f>
        <v>LM5.X Content, Lab, CNC Turning w/ProTurn 9000</v>
      </c>
      <c r="C611" s="44">
        <v>2495</v>
      </c>
      <c r="D611" t="str">
        <f t="shared" si="23"/>
        <v>Active</v>
      </c>
    </row>
    <row r="612" spans="1:4" ht="18" customHeight="1">
      <c r="A612" t="str">
        <f>"17-8143-0002"</f>
        <v>17-8143-0002</v>
      </c>
      <c r="B612" t="str">
        <f>"LM5 Content, Lab, CNC Turning w/ProTurn 9000 (M)"</f>
        <v>LM5 Content, Lab, CNC Turning w/ProTurn 9000 (M)</v>
      </c>
      <c r="C612" s="44">
        <v>2495</v>
      </c>
      <c r="D612" t="str">
        <f t="shared" si="23"/>
        <v>Active</v>
      </c>
    </row>
    <row r="613" spans="1:4" ht="18" customHeight="1">
      <c r="A613" t="str">
        <f>"17-8150-0001"</f>
        <v>17-8150-0001</v>
      </c>
      <c r="B613" t="str">
        <f>"LM5.X Content, Lab, Intro. to Communications"</f>
        <v>LM5.X Content, Lab, Intro. to Communications</v>
      </c>
      <c r="C613">
        <v>800</v>
      </c>
      <c r="D613" t="str">
        <f t="shared" si="23"/>
        <v>Active</v>
      </c>
    </row>
    <row r="614" spans="1:4" ht="18" customHeight="1">
      <c r="A614" t="str">
        <f>"17-8151-0001"</f>
        <v>17-8151-0001</v>
      </c>
      <c r="B614" t="str">
        <f>"LM5.X Content, Lab, Digital Video Editing"</f>
        <v>LM5.X Content, Lab, Digital Video Editing</v>
      </c>
      <c r="C614">
        <v>800</v>
      </c>
      <c r="D614" t="str">
        <f t="shared" si="23"/>
        <v>Active</v>
      </c>
    </row>
    <row r="615" spans="1:4" ht="18" customHeight="1">
      <c r="A615" t="str">
        <f>"17-8152-0001"</f>
        <v>17-8152-0001</v>
      </c>
      <c r="B615" t="str">
        <f>"LM5.X Content, Lab, Digital Photo Editing"</f>
        <v>LM5.X Content, Lab, Digital Photo Editing</v>
      </c>
      <c r="C615">
        <v>800</v>
      </c>
      <c r="D615" t="str">
        <f t="shared" si="23"/>
        <v>Active</v>
      </c>
    </row>
    <row r="616" spans="1:4" ht="18" customHeight="1">
      <c r="A616" t="str">
        <f>"17-8153-0001"</f>
        <v>17-8153-0001</v>
      </c>
      <c r="B616" t="str">
        <f>"LM5.X Content, Lab, Graphic Design"</f>
        <v>LM5.X Content, Lab, Graphic Design</v>
      </c>
      <c r="C616">
        <v>800</v>
      </c>
      <c r="D616" t="str">
        <f t="shared" si="23"/>
        <v>Active</v>
      </c>
    </row>
    <row r="617" spans="1:4" ht="18" customHeight="1">
      <c r="A617" t="str">
        <f>"17-8154-0001"</f>
        <v>17-8154-0001</v>
      </c>
      <c r="B617" t="str">
        <f>"LM5.X Content, Lab, Intro. to Industrial Design"</f>
        <v>LM5.X Content, Lab, Intro. to Industrial Design</v>
      </c>
      <c r="C617" s="44">
        <v>1995</v>
      </c>
      <c r="D617" t="str">
        <f t="shared" si="23"/>
        <v>Active</v>
      </c>
    </row>
    <row r="618" spans="1:4" ht="18" customHeight="1">
      <c r="A618" t="str">
        <f>"17-AIM1-0011"</f>
        <v>17-AIM1-0011</v>
      </c>
      <c r="B618" t="str">
        <f>"LM5.X Content, Virtual, AIM Unit 1 - Bridge Eng"</f>
        <v>LM5.X Content, Virtual, AIM Unit 1 - Bridge Eng</v>
      </c>
      <c r="C618">
        <v>415</v>
      </c>
      <c r="D618" t="str">
        <f t="shared" si="23"/>
        <v>Active</v>
      </c>
    </row>
    <row r="619" spans="1:4" ht="18" customHeight="1">
      <c r="A619" t="str">
        <f>"17-AIM1-0021"</f>
        <v>17-AIM1-0021</v>
      </c>
      <c r="B619" t="str">
        <f>"LM5.X Content, Virtual, AIM Unit 2 - Ord. Dis"</f>
        <v>LM5.X Content, Virtual, AIM Unit 2 - Ord. Dis</v>
      </c>
      <c r="C619">
        <v>415</v>
      </c>
      <c r="D619" t="str">
        <f t="shared" si="23"/>
        <v>Active</v>
      </c>
    </row>
    <row r="620" spans="1:4" ht="18" customHeight="1">
      <c r="A620" t="str">
        <f>"17-AIM1-0031"</f>
        <v>17-AIM1-0031</v>
      </c>
      <c r="B620" t="str">
        <f>"LM5.X Content, Virtual, AIM Unit 3 - Robo Soccer"</f>
        <v>LM5.X Content, Virtual, AIM Unit 3 - Robo Soccer</v>
      </c>
      <c r="C620">
        <v>415</v>
      </c>
      <c r="D620" t="str">
        <f t="shared" si="23"/>
        <v>Active</v>
      </c>
    </row>
    <row r="621" spans="1:4" ht="18" customHeight="1">
      <c r="A621" t="str">
        <f>"17-AIM1-0041"</f>
        <v>17-AIM1-0041</v>
      </c>
      <c r="B621" t="str">
        <f>"LM5.X Content, Virtual, AIM Unit 4 - 3 Kg Lift"</f>
        <v>LM5.X Content, Virtual, AIM Unit 4 - 3 Kg Lift</v>
      </c>
      <c r="C621">
        <v>415</v>
      </c>
      <c r="D621" t="str">
        <f t="shared" si="23"/>
        <v>Active</v>
      </c>
    </row>
    <row r="622" spans="1:4" ht="18" customHeight="1">
      <c r="A622" t="str">
        <f>"17-AIM1-0051"</f>
        <v>17-AIM1-0051</v>
      </c>
      <c r="B622" t="str">
        <f>"LM5.X Content, Virtual, AIM Unit 5 - Auto Nav."</f>
        <v>LM5.X Content, Virtual, AIM Unit 5 - Auto Nav.</v>
      </c>
      <c r="C622">
        <v>415</v>
      </c>
      <c r="D622" t="str">
        <f t="shared" ref="D622:D653" si="24">"Active"</f>
        <v>Active</v>
      </c>
    </row>
    <row r="623" spans="1:4" ht="18" customHeight="1">
      <c r="A623" t="str">
        <f>"17-AIM1-0061"</f>
        <v>17-AIM1-0061</v>
      </c>
      <c r="B623" t="str">
        <f>"LM5.X Content, Virtual, AIM Unit 6 -Robot Comp"</f>
        <v>LM5.X Content, Virtual, AIM Unit 6 -Robot Comp</v>
      </c>
      <c r="C623">
        <v>415</v>
      </c>
      <c r="D623" t="str">
        <f t="shared" si="24"/>
        <v>Active</v>
      </c>
    </row>
    <row r="624" spans="1:4" ht="18" customHeight="1">
      <c r="A624" t="str">
        <f>"17-BA01A-0001"</f>
        <v>17-BA01A-0001</v>
      </c>
      <c r="B624" t="str">
        <f>"LM5.X Content, JM, Math for Technicians I"</f>
        <v>LM5.X Content, JM, Math for Technicians I</v>
      </c>
      <c r="C624" s="44">
        <v>2495</v>
      </c>
      <c r="D624" t="str">
        <f t="shared" si="24"/>
        <v>Active</v>
      </c>
    </row>
    <row r="625" spans="1:4" ht="18" customHeight="1">
      <c r="A625" t="str">
        <f>"17-BA01B-0001"</f>
        <v>17-BA01B-0001</v>
      </c>
      <c r="B625" t="str">
        <f>"LM5.X Content, JM, Math For Technicians II"</f>
        <v>LM5.X Content, JM, Math For Technicians II</v>
      </c>
      <c r="C625" s="44">
        <v>2495</v>
      </c>
      <c r="D625" t="str">
        <f t="shared" si="24"/>
        <v>Active</v>
      </c>
    </row>
    <row r="626" spans="1:4" ht="18" customHeight="1">
      <c r="A626" t="str">
        <f>"17-BA02-0001"</f>
        <v>17-BA02-0001</v>
      </c>
      <c r="B626" t="str">
        <f>"LM5.X Content, JM, Blue Print Reading"</f>
        <v>LM5.X Content, JM, Blue Print Reading</v>
      </c>
      <c r="C626" s="44">
        <v>2495</v>
      </c>
      <c r="D626" t="str">
        <f t="shared" si="24"/>
        <v>Active</v>
      </c>
    </row>
    <row r="627" spans="1:4" ht="18" customHeight="1">
      <c r="A627" t="str">
        <f>"17-BA03-0001"</f>
        <v>17-BA03-0001</v>
      </c>
      <c r="B627" t="str">
        <f>"LM5.X Content, JM, Lubrication for Technicians"</f>
        <v>LM5.X Content, JM, Lubrication for Technicians</v>
      </c>
      <c r="C627" s="44">
        <v>2495</v>
      </c>
      <c r="D627" t="str">
        <f t="shared" si="24"/>
        <v>Active</v>
      </c>
    </row>
    <row r="628" spans="1:4" ht="18" customHeight="1">
      <c r="A628" t="str">
        <f>"17-BA04-0001"</f>
        <v>17-BA04-0001</v>
      </c>
      <c r="B628" t="str">
        <f>"LM5.X Content, JM, Fasteners"</f>
        <v>LM5.X Content, JM, Fasteners</v>
      </c>
      <c r="C628" s="44">
        <v>2495</v>
      </c>
      <c r="D628" t="str">
        <f t="shared" si="24"/>
        <v>Active</v>
      </c>
    </row>
    <row r="629" spans="1:4" ht="18" customHeight="1">
      <c r="A629" t="str">
        <f>"17-BA05-0001"</f>
        <v>17-BA05-0001</v>
      </c>
      <c r="B629" t="str">
        <f>"LM5.X Content, JM, Hand Tools"</f>
        <v>LM5.X Content, JM, Hand Tools</v>
      </c>
      <c r="C629" s="44">
        <v>2495</v>
      </c>
      <c r="D629" t="str">
        <f t="shared" si="24"/>
        <v>Active</v>
      </c>
    </row>
    <row r="630" spans="1:4" ht="18" customHeight="1">
      <c r="A630" t="str">
        <f>"17-BA06-0001"</f>
        <v>17-BA06-0001</v>
      </c>
      <c r="B630" t="str">
        <f>"LM5.X Content, JM, Power Tools"</f>
        <v>LM5.X Content, JM, Power Tools</v>
      </c>
      <c r="C630" s="44">
        <v>2495</v>
      </c>
      <c r="D630" t="str">
        <f t="shared" si="24"/>
        <v>Active</v>
      </c>
    </row>
    <row r="631" spans="1:4" ht="18" customHeight="1">
      <c r="A631" t="str">
        <f>"17-BOOT-0001"</f>
        <v>17-BOOT-0001</v>
      </c>
      <c r="B631" t="str">
        <f>"LM5.X Content, Robot Boot Camp"</f>
        <v>LM5.X Content, Robot Boot Camp</v>
      </c>
      <c r="C631" s="44">
        <v>2495</v>
      </c>
      <c r="D631" t="str">
        <f t="shared" si="24"/>
        <v>Active</v>
      </c>
    </row>
    <row r="632" spans="1:4" ht="18" customHeight="1">
      <c r="A632" t="str">
        <f>"17-EA01A-0000"</f>
        <v>17-EA01A-0000</v>
      </c>
      <c r="B632" t="str">
        <f>"LM5.X Content, JM, Electrical Circuits"</f>
        <v>LM5.X Content, JM, Electrical Circuits</v>
      </c>
      <c r="C632">
        <v>700</v>
      </c>
      <c r="D632" t="str">
        <f t="shared" si="24"/>
        <v>Active</v>
      </c>
    </row>
    <row r="633" spans="1:4" ht="18" customHeight="1">
      <c r="A633" t="str">
        <f>"17-EA01A-0000-3"</f>
        <v>17-EA01A-0000-3</v>
      </c>
      <c r="B633" t="str">
        <f>"LM5 Content, Por, JM, Electrical Circuits"</f>
        <v>LM5 Content, Por, JM, Electrical Circuits</v>
      </c>
      <c r="C633">
        <v>700</v>
      </c>
      <c r="D633" t="str">
        <f t="shared" si="24"/>
        <v>Active</v>
      </c>
    </row>
    <row r="634" spans="1:4" ht="18" customHeight="1">
      <c r="A634" t="str">
        <f>"17-EA01B-0000"</f>
        <v>17-EA01B-0000</v>
      </c>
      <c r="B634" t="str">
        <f>"LM5.X Content, JM, Resistors &amp; Conductors"</f>
        <v>LM5.X Content, JM, Resistors &amp; Conductors</v>
      </c>
      <c r="C634">
        <v>700</v>
      </c>
      <c r="D634" t="str">
        <f t="shared" si="24"/>
        <v>Active</v>
      </c>
    </row>
    <row r="635" spans="1:4" ht="18" customHeight="1">
      <c r="A635" t="str">
        <f>"17-EA01B-0000-3"</f>
        <v>17-EA01B-0000-3</v>
      </c>
      <c r="B635" t="str">
        <f>"LM5 Content, Por, JM, Resistors &amp; Conductors"</f>
        <v>LM5 Content, Por, JM, Resistors &amp; Conductors</v>
      </c>
      <c r="C635">
        <v>700</v>
      </c>
      <c r="D635" t="str">
        <f t="shared" si="24"/>
        <v>Active</v>
      </c>
    </row>
    <row r="636" spans="1:4" ht="18" customHeight="1">
      <c r="A636" t="str">
        <f>"17-EA01C-0000"</f>
        <v>17-EA01C-0000</v>
      </c>
      <c r="B636" t="str">
        <f>"LM5.X Content, JM, LCR Circuits"</f>
        <v>LM5.X Content, JM, LCR Circuits</v>
      </c>
      <c r="C636">
        <v>700</v>
      </c>
      <c r="D636" t="str">
        <f t="shared" si="24"/>
        <v>Active</v>
      </c>
    </row>
    <row r="637" spans="1:4" ht="18" customHeight="1">
      <c r="A637" t="str">
        <f>"17-EA01C-0000-3"</f>
        <v>17-EA01C-0000-3</v>
      </c>
      <c r="B637" t="str">
        <f>"LM5 Content, Por, JM, LCR Circuits"</f>
        <v>LM5 Content, Por, JM, LCR Circuits</v>
      </c>
      <c r="C637">
        <v>700</v>
      </c>
      <c r="D637" t="str">
        <f t="shared" si="24"/>
        <v>Active</v>
      </c>
    </row>
    <row r="638" spans="1:4" ht="18" customHeight="1">
      <c r="A638" t="str">
        <f>"17-EA01D-0000"</f>
        <v>17-EA01D-0000</v>
      </c>
      <c r="B638" t="str">
        <f>"LM5.X Content, JM, Motors &amp; Generators"</f>
        <v>LM5.X Content, JM, Motors &amp; Generators</v>
      </c>
      <c r="C638">
        <v>700</v>
      </c>
      <c r="D638" t="str">
        <f t="shared" si="24"/>
        <v>Active</v>
      </c>
    </row>
    <row r="639" spans="1:4" ht="18" customHeight="1">
      <c r="A639" t="str">
        <f>"17-EA01D-0000-3"</f>
        <v>17-EA01D-0000-3</v>
      </c>
      <c r="B639" t="str">
        <f>"LM5 Content, Por, JM, Motors &amp; Generators"</f>
        <v>LM5 Content, Por, JM, Motors &amp; Generators</v>
      </c>
      <c r="C639">
        <v>700</v>
      </c>
      <c r="D639" t="str">
        <f t="shared" si="24"/>
        <v>Active</v>
      </c>
    </row>
    <row r="640" spans="1:4" ht="18" customHeight="1">
      <c r="A640" t="str">
        <f>"17-EA02-0000"</f>
        <v>17-EA02-0000</v>
      </c>
      <c r="B640" t="str">
        <f>"LM5.X Content, JM, Electric Circuit Protection"</f>
        <v>LM5.X Content, JM, Electric Circuit Protection</v>
      </c>
      <c r="C640">
        <v>700</v>
      </c>
      <c r="D640" t="str">
        <f t="shared" si="24"/>
        <v>Active</v>
      </c>
    </row>
    <row r="641" spans="1:4" ht="18" customHeight="1">
      <c r="A641" t="str">
        <f>"17-EA03-0000"</f>
        <v>17-EA03-0000</v>
      </c>
      <c r="B641" t="str">
        <f>"LM5.X Content, JM, 3 Phase Transformers"</f>
        <v>LM5.X Content, JM, 3 Phase Transformers</v>
      </c>
      <c r="C641">
        <v>700</v>
      </c>
      <c r="D641" t="str">
        <f t="shared" si="24"/>
        <v>Active</v>
      </c>
    </row>
    <row r="642" spans="1:4" ht="18" customHeight="1">
      <c r="A642" t="str">
        <f>"17-EA03-0000-3"</f>
        <v>17-EA03-0000-3</v>
      </c>
      <c r="B642" t="str">
        <f>"LM5 Content, Por, JM, 3 Phase Transformers"</f>
        <v>LM5 Content, Por, JM, 3 Phase Transformers</v>
      </c>
      <c r="C642">
        <v>700</v>
      </c>
      <c r="D642" t="str">
        <f t="shared" si="24"/>
        <v>Active</v>
      </c>
    </row>
    <row r="643" spans="1:4" ht="18" customHeight="1">
      <c r="A643" t="str">
        <f>"17-EA04-0000"</f>
        <v>17-EA04-0000</v>
      </c>
      <c r="B643" t="str">
        <f>"LM5.X Content, JM, Electric Motors"</f>
        <v>LM5.X Content, JM, Electric Motors</v>
      </c>
      <c r="C643">
        <v>700</v>
      </c>
      <c r="D643" t="str">
        <f t="shared" si="24"/>
        <v>Active</v>
      </c>
    </row>
    <row r="644" spans="1:4" ht="18" customHeight="1">
      <c r="A644" t="str">
        <f>"17-EA07-0000"</f>
        <v>17-EA07-0000</v>
      </c>
      <c r="B644" t="str">
        <f>"LM5.X Content, JM, Electromagnetic Starters"</f>
        <v>LM5.X Content, JM, Electromagnetic Starters</v>
      </c>
      <c r="C644">
        <v>700</v>
      </c>
      <c r="D644" t="str">
        <f t="shared" si="24"/>
        <v>Active</v>
      </c>
    </row>
    <row r="645" spans="1:4" ht="18" customHeight="1">
      <c r="A645" t="str">
        <f>"17-EA08-0000"</f>
        <v>17-EA08-0000</v>
      </c>
      <c r="B645" t="str">
        <f>"LM5.X Content, JM, Relays and Timers"</f>
        <v>LM5.X Content, JM, Relays and Timers</v>
      </c>
      <c r="C645" s="44">
        <v>2495</v>
      </c>
      <c r="D645" t="str">
        <f t="shared" si="24"/>
        <v>Active</v>
      </c>
    </row>
    <row r="646" spans="1:4" ht="18" customHeight="1">
      <c r="A646" t="str">
        <f>"17-EA09-0000"</f>
        <v>17-EA09-0000</v>
      </c>
      <c r="B646" t="str">
        <f>"LM5.X Content, JM, Electronic Sensors"</f>
        <v>LM5.X Content, JM, Electronic Sensors</v>
      </c>
      <c r="C646">
        <v>700</v>
      </c>
      <c r="D646" t="str">
        <f t="shared" si="24"/>
        <v>Active</v>
      </c>
    </row>
    <row r="647" spans="1:4" ht="18" customHeight="1">
      <c r="A647" t="str">
        <f>"17-EA11-0000"</f>
        <v>17-EA11-0000</v>
      </c>
      <c r="B647" t="str">
        <f>"LM5.X Content, JM, Solid State Voltage Starter"</f>
        <v>LM5.X Content, JM, Solid State Voltage Starter</v>
      </c>
      <c r="C647">
        <v>700</v>
      </c>
      <c r="D647" t="str">
        <f t="shared" si="24"/>
        <v>Active</v>
      </c>
    </row>
    <row r="648" spans="1:4" ht="18" customHeight="1">
      <c r="A648" t="str">
        <f>"17-EA12-0000"</f>
        <v>17-EA12-0000</v>
      </c>
      <c r="B648" t="str">
        <f>"LM5.X Content, JM, Variable Frequency Drive"</f>
        <v>LM5.X Content, JM, Variable Frequency Drive</v>
      </c>
      <c r="C648">
        <v>700</v>
      </c>
      <c r="D648" t="str">
        <f t="shared" si="24"/>
        <v>Active</v>
      </c>
    </row>
    <row r="649" spans="1:4" ht="18" customHeight="1">
      <c r="A649" t="str">
        <f>"17-EA16-0000"</f>
        <v>17-EA16-0000</v>
      </c>
      <c r="B649" t="str">
        <f>"LM5.X Content, JM, DC Motor Drives"</f>
        <v>LM5.X Content, JM, DC Motor Drives</v>
      </c>
      <c r="C649">
        <v>700</v>
      </c>
      <c r="D649" t="str">
        <f t="shared" si="24"/>
        <v>Active</v>
      </c>
    </row>
    <row r="650" spans="1:4" ht="18" customHeight="1">
      <c r="A650" t="str">
        <f>"17-EB01A-0000"</f>
        <v>17-EB01A-0000</v>
      </c>
      <c r="B650" t="str">
        <f>"LM5.X Content, JM, Oscilloscope"</f>
        <v>LM5.X Content, JM, Oscilloscope</v>
      </c>
      <c r="C650">
        <v>700</v>
      </c>
      <c r="D650" t="str">
        <f t="shared" si="24"/>
        <v>Active</v>
      </c>
    </row>
    <row r="651" spans="1:4" ht="18" customHeight="1">
      <c r="A651" t="str">
        <f>"17-EB01B-0000"</f>
        <v>17-EB01B-0000</v>
      </c>
      <c r="B651" t="str">
        <f>"LM5.X Content, JM, Digital Multimeter"</f>
        <v>LM5.X Content, JM, Digital Multimeter</v>
      </c>
      <c r="C651">
        <v>700</v>
      </c>
      <c r="D651" t="str">
        <f t="shared" si="24"/>
        <v>Active</v>
      </c>
    </row>
    <row r="652" spans="1:4" ht="18" customHeight="1">
      <c r="A652" t="str">
        <f>"17-EB01C-0000"</f>
        <v>17-EB01C-0000</v>
      </c>
      <c r="B652" t="str">
        <f>"LM5.X Content, JM, Digital Oscilloscope"</f>
        <v>LM5.X Content, JM, Digital Oscilloscope</v>
      </c>
      <c r="C652">
        <v>700</v>
      </c>
      <c r="D652" t="str">
        <f t="shared" si="24"/>
        <v>Active</v>
      </c>
    </row>
    <row r="653" spans="1:4" ht="18" customHeight="1">
      <c r="A653" t="str">
        <f>"17-EB02A-0000"</f>
        <v>17-EB02A-0000</v>
      </c>
      <c r="B653" t="str">
        <f>"LM5.X Content, JM, DC Power Supplies"</f>
        <v>LM5.X Content, JM, DC Power Supplies</v>
      </c>
      <c r="C653">
        <v>700</v>
      </c>
      <c r="D653" t="str">
        <f t="shared" si="24"/>
        <v>Active</v>
      </c>
    </row>
    <row r="654" spans="1:4" ht="18" customHeight="1">
      <c r="A654" t="str">
        <f>"17-EB02B-0000"</f>
        <v>17-EB02B-0000</v>
      </c>
      <c r="B654" t="str">
        <f>"LM5.X Content, JM,Single &amp; 3 Phase Power Supply"</f>
        <v>LM5.X Content, JM,Single &amp; 3 Phase Power Supply</v>
      </c>
      <c r="C654">
        <v>700</v>
      </c>
      <c r="D654" t="str">
        <f t="shared" ref="D654:D674" si="25">"Active"</f>
        <v>Active</v>
      </c>
    </row>
    <row r="655" spans="1:4" ht="18" customHeight="1">
      <c r="A655" t="str">
        <f>"17-EB02B-0000-3"</f>
        <v>17-EB02B-0000-3</v>
      </c>
      <c r="B655" t="str">
        <f>"LM5 Content, Por, JM,Single&amp;3 Phase Power Supply"</f>
        <v>LM5 Content, Por, JM,Single&amp;3 Phase Power Supply</v>
      </c>
      <c r="C655">
        <v>700</v>
      </c>
      <c r="D655" t="str">
        <f t="shared" si="25"/>
        <v>Active</v>
      </c>
    </row>
    <row r="656" spans="1:4" ht="18" customHeight="1">
      <c r="A656" t="str">
        <f>"17-EB03-0000"</f>
        <v>17-EB03-0000</v>
      </c>
      <c r="B656" t="str">
        <f>"LM5.X Content, JM, Thyristor Motor Drives"</f>
        <v>LM5.X Content, JM, Thyristor Motor Drives</v>
      </c>
      <c r="C656">
        <v>700</v>
      </c>
      <c r="D656" t="str">
        <f t="shared" si="25"/>
        <v>Active</v>
      </c>
    </row>
    <row r="657" spans="1:4" ht="18" customHeight="1">
      <c r="A657" t="str">
        <f>"17-EB04-0000"</f>
        <v>17-EB04-0000</v>
      </c>
      <c r="B657" t="str">
        <f>"LM5.X Content, JM, Electronic Timers &amp; Triggers"</f>
        <v>LM5.X Content, JM, Electronic Timers &amp; Triggers</v>
      </c>
      <c r="C657">
        <v>700</v>
      </c>
      <c r="D657" t="str">
        <f t="shared" si="25"/>
        <v>Active</v>
      </c>
    </row>
    <row r="658" spans="1:4" ht="18" customHeight="1">
      <c r="A658" t="str">
        <f>"17-EB05-0000"</f>
        <v>17-EB05-0000</v>
      </c>
      <c r="B658" t="str">
        <f>"LM5.X Content, JM, Basic Stepper Motors &amp; Drives"</f>
        <v>LM5.X Content, JM, Basic Stepper Motors &amp; Drives</v>
      </c>
      <c r="C658">
        <v>700</v>
      </c>
      <c r="D658" t="str">
        <f t="shared" si="25"/>
        <v>Active</v>
      </c>
    </row>
    <row r="659" spans="1:4" ht="18" customHeight="1">
      <c r="A659" t="str">
        <f>"17-EB06-0000"</f>
        <v>17-EB06-0000</v>
      </c>
      <c r="B659" t="str">
        <f>"LM5.X Content, JM, Basic Servo Motor Drives"</f>
        <v>LM5.X Content, JM, Basic Servo Motor Drives</v>
      </c>
      <c r="C659">
        <v>700</v>
      </c>
      <c r="D659" t="str">
        <f t="shared" si="25"/>
        <v>Active</v>
      </c>
    </row>
    <row r="660" spans="1:4" ht="18" customHeight="1">
      <c r="A660" t="str">
        <f>"17-EMMC-0000"</f>
        <v>17-EMMC-0000</v>
      </c>
      <c r="B660" t="str">
        <f>"LM5.X Content, JM, Instructor's Guide"</f>
        <v>LM5.X Content, JM, Instructor's Guide</v>
      </c>
      <c r="C660">
        <v>0</v>
      </c>
      <c r="D660" t="str">
        <f t="shared" si="25"/>
        <v>Active</v>
      </c>
    </row>
    <row r="661" spans="1:4" ht="18" customHeight="1">
      <c r="A661" t="str">
        <f>"17-JM04-0000"</f>
        <v>17-JM04-0000</v>
      </c>
      <c r="B661" t="str">
        <f>"LM5.X Content, Lab,JM04 Motor Control TS"</f>
        <v>LM5.X Content, Lab,JM04 Motor Control TS</v>
      </c>
      <c r="C661">
        <v>700</v>
      </c>
      <c r="D661" t="str">
        <f t="shared" si="25"/>
        <v>Active</v>
      </c>
    </row>
    <row r="662" spans="1:4" ht="18" customHeight="1">
      <c r="A662" t="str">
        <f>"17-JM06A-0000"</f>
        <v>17-JM06A-0000</v>
      </c>
      <c r="B662" t="str">
        <f>"LM5.X Content, Lab,JM06A Electric&amp;Electronic TS"</f>
        <v>LM5.X Content, Lab,JM06A Electric&amp;Electronic TS</v>
      </c>
      <c r="C662">
        <v>700</v>
      </c>
      <c r="D662" t="str">
        <f t="shared" si="25"/>
        <v>Active</v>
      </c>
    </row>
    <row r="663" spans="1:4" ht="18" customHeight="1">
      <c r="A663" t="str">
        <f>"17-JM06B-0000"</f>
        <v>17-JM06B-0000</v>
      </c>
      <c r="B663" t="str">
        <f>"LM5.X Content, Lab,JM06B Electric&amp;Electronic TS"</f>
        <v>LM5.X Content, Lab,JM06B Electric&amp;Electronic TS</v>
      </c>
      <c r="C663">
        <v>700</v>
      </c>
      <c r="D663" t="str">
        <f t="shared" si="25"/>
        <v>Active</v>
      </c>
    </row>
    <row r="664" spans="1:4" ht="18" customHeight="1">
      <c r="A664" t="str">
        <f>"17-LOTO-0000"</f>
        <v>17-LOTO-0000</v>
      </c>
      <c r="B664" t="str">
        <f>"LM5.X Content, JM, Safety, Lock Out/Tag Out"</f>
        <v>LM5.X Content, JM, Safety, Lock Out/Tag Out</v>
      </c>
      <c r="C664">
        <v>700</v>
      </c>
      <c r="D664" t="str">
        <f t="shared" si="25"/>
        <v>Active</v>
      </c>
    </row>
    <row r="665" spans="1:4" ht="18" customHeight="1">
      <c r="A665" t="str">
        <f>"17-ME01-0001"</f>
        <v>17-ME01-0001</v>
      </c>
      <c r="B665" t="str">
        <f>"LM5.X Content, JM, Basic Machines"</f>
        <v>LM5.X Content, JM, Basic Machines</v>
      </c>
      <c r="C665">
        <v>700</v>
      </c>
      <c r="D665" t="str">
        <f t="shared" si="25"/>
        <v>Active</v>
      </c>
    </row>
    <row r="666" spans="1:4" ht="18" customHeight="1">
      <c r="A666" t="str">
        <f>"17-ME02-0001"</f>
        <v>17-ME02-0001</v>
      </c>
      <c r="B666" t="str">
        <f>"LM5.X Content, JM, Machine Statics and Dynamics"</f>
        <v>LM5.X Content, JM, Machine Statics and Dynamics</v>
      </c>
      <c r="C666">
        <v>700</v>
      </c>
      <c r="D666" t="str">
        <f t="shared" si="25"/>
        <v>Active</v>
      </c>
    </row>
    <row r="667" spans="1:4" ht="18" customHeight="1">
      <c r="A667" t="str">
        <f>"17-ME03-0001"</f>
        <v>17-ME03-0001</v>
      </c>
      <c r="B667" t="str">
        <f>"LM5.X Content, JM, Machine Shafts and Keys"</f>
        <v>LM5.X Content, JM, Machine Shafts and Keys</v>
      </c>
      <c r="C667">
        <v>700</v>
      </c>
      <c r="D667" t="str">
        <f t="shared" si="25"/>
        <v>Active</v>
      </c>
    </row>
    <row r="668" spans="1:4" ht="18" customHeight="1">
      <c r="A668" t="str">
        <f>"17-ME04-0001"</f>
        <v>17-ME04-0001</v>
      </c>
      <c r="B668" t="str">
        <f>"LM5.X Content, JM, Bearings"</f>
        <v>LM5.X Content, JM, Bearings</v>
      </c>
      <c r="C668">
        <v>700</v>
      </c>
      <c r="D668" t="str">
        <f t="shared" si="25"/>
        <v>Active</v>
      </c>
    </row>
    <row r="669" spans="1:4" ht="18" customHeight="1">
      <c r="A669" t="str">
        <f>"17-ME05-0001"</f>
        <v>17-ME05-0001</v>
      </c>
      <c r="B669" t="str">
        <f>"LM5.X Content, JM, Belt Drives"</f>
        <v>LM5.X Content, JM, Belt Drives</v>
      </c>
      <c r="C669">
        <v>700</v>
      </c>
      <c r="D669" t="str">
        <f t="shared" si="25"/>
        <v>Active</v>
      </c>
    </row>
    <row r="670" spans="1:4" ht="18" customHeight="1">
      <c r="A670" t="str">
        <f>"17-ME06-0001"</f>
        <v>17-ME06-0001</v>
      </c>
      <c r="B670" t="str">
        <f>"LM5.X Content, JM, Chain Drives"</f>
        <v>LM5.X Content, JM, Chain Drives</v>
      </c>
      <c r="C670">
        <v>700</v>
      </c>
      <c r="D670" t="str">
        <f t="shared" si="25"/>
        <v>Active</v>
      </c>
    </row>
    <row r="671" spans="1:4" ht="18" customHeight="1">
      <c r="A671" t="str">
        <f>"17-ME07-0001"</f>
        <v>17-ME07-0001</v>
      </c>
      <c r="B671" t="str">
        <f>"LM5.X Content, JM, Machine Shaft Couplings"</f>
        <v>LM5.X Content, JM, Machine Shaft Couplings</v>
      </c>
      <c r="C671">
        <v>700</v>
      </c>
      <c r="D671" t="str">
        <f t="shared" si="25"/>
        <v>Active</v>
      </c>
    </row>
    <row r="672" spans="1:4" ht="18" customHeight="1">
      <c r="A672" t="str">
        <f>"17-ME08-0001"</f>
        <v>17-ME08-0001</v>
      </c>
      <c r="B672" t="str">
        <f>"LM5.X Content, JM, Gear Drives"</f>
        <v>LM5.X Content, JM, Gear Drives</v>
      </c>
      <c r="C672">
        <v>700</v>
      </c>
      <c r="D672" t="str">
        <f t="shared" si="25"/>
        <v>Active</v>
      </c>
    </row>
    <row r="673" spans="1:4" ht="18" customHeight="1">
      <c r="A673" t="str">
        <f>"17-ME09-0001"</f>
        <v>17-ME09-0001</v>
      </c>
      <c r="B673" t="str">
        <f>"LM5.X Content, JM, Machine Speed Reducers"</f>
        <v>LM5.X Content, JM, Machine Speed Reducers</v>
      </c>
      <c r="C673">
        <v>700</v>
      </c>
      <c r="D673" t="str">
        <f t="shared" si="25"/>
        <v>Active</v>
      </c>
    </row>
    <row r="674" spans="1:4" ht="18" customHeight="1">
      <c r="A674" t="str">
        <f>"17-ME10-0001"</f>
        <v>17-ME10-0001</v>
      </c>
      <c r="B674" t="str">
        <f>"LM5.X Content, JM, Electric Brakes"</f>
        <v>LM5.X Content, JM, Electric Brakes</v>
      </c>
      <c r="C674">
        <v>700</v>
      </c>
      <c r="D674" t="str">
        <f t="shared" si="25"/>
        <v>Active</v>
      </c>
    </row>
    <row r="675" spans="1:4" ht="18" customHeight="1">
      <c r="A675" t="str">
        <f>"17-ME11-0001"</f>
        <v>17-ME11-0001</v>
      </c>
      <c r="B675" t="str">
        <f>"LM5.X Content, JM, Laser Alignment"</f>
        <v>LM5.X Content, JM, Laser Alignment</v>
      </c>
      <c r="C675">
        <v>700</v>
      </c>
      <c r="D675" t="str">
        <f>"ECO+NFS"</f>
        <v>ECO+NFS</v>
      </c>
    </row>
    <row r="676" spans="1:4" ht="18" customHeight="1">
      <c r="A676" t="str">
        <f>"17-ME12-0001"</f>
        <v>17-ME12-0001</v>
      </c>
      <c r="B676" t="str">
        <f>"LM5.X Content, JM, Vibration Analysis"</f>
        <v>LM5.X Content, JM, Vibration Analysis</v>
      </c>
      <c r="C676">
        <v>700</v>
      </c>
      <c r="D676" t="str">
        <f t="shared" ref="D676:D685" si="26">"Active"</f>
        <v>Active</v>
      </c>
    </row>
    <row r="677" spans="1:4" ht="18" customHeight="1">
      <c r="A677" t="str">
        <f>"17-ME13-0001"</f>
        <v>17-ME13-0001</v>
      </c>
      <c r="B677" t="str">
        <f>"LM5.X Content, JM, Bearing Service Cart"</f>
        <v>LM5.X Content, JM, Bearing Service Cart</v>
      </c>
      <c r="C677">
        <v>700</v>
      </c>
      <c r="D677" t="str">
        <f t="shared" si="26"/>
        <v>Active</v>
      </c>
    </row>
    <row r="678" spans="1:4" ht="18" customHeight="1">
      <c r="A678" t="str">
        <f>"17-ZA01-0000"</f>
        <v>17-ZA01-0000</v>
      </c>
      <c r="B678" t="str">
        <f>"LM5.X Content, JM, Basic Maintenance Cell"</f>
        <v>LM5.X Content, JM, Basic Maintenance Cell</v>
      </c>
      <c r="C678">
        <v>700</v>
      </c>
      <c r="D678" t="str">
        <f t="shared" si="26"/>
        <v>Active</v>
      </c>
    </row>
    <row r="679" spans="1:4" ht="18" customHeight="1">
      <c r="A679" t="str">
        <f>"17-ZA02-0000"</f>
        <v>17-ZA02-0000</v>
      </c>
      <c r="B679" t="str">
        <f>"LM5.X Content, JM, Conveyor, Drive and Control"</f>
        <v>LM5.X Content, JM, Conveyor, Drive and Control</v>
      </c>
      <c r="C679">
        <v>700</v>
      </c>
      <c r="D679" t="str">
        <f t="shared" si="26"/>
        <v>Active</v>
      </c>
    </row>
    <row r="680" spans="1:4" ht="18" customHeight="1">
      <c r="A680" t="str">
        <f>"17-ZA03-0000"</f>
        <v>17-ZA03-0000</v>
      </c>
      <c r="B680" t="str">
        <f>"LM5.X Content, JM, Part Manipulation"</f>
        <v>LM5.X Content, JM, Part Manipulation</v>
      </c>
      <c r="C680">
        <v>700</v>
      </c>
      <c r="D680" t="str">
        <f t="shared" si="26"/>
        <v>Active</v>
      </c>
    </row>
    <row r="681" spans="1:4" ht="18" customHeight="1">
      <c r="A681" t="str">
        <f>"17-ZA04-0000"</f>
        <v>17-ZA04-0000</v>
      </c>
      <c r="B681" t="str">
        <f>"LM5.X Content, JM, Industrial Lighting"</f>
        <v>LM5.X Content, JM, Industrial Lighting</v>
      </c>
      <c r="C681">
        <v>700</v>
      </c>
      <c r="D681" t="str">
        <f t="shared" si="26"/>
        <v>Active</v>
      </c>
    </row>
    <row r="682" spans="1:4" ht="18" customHeight="1">
      <c r="A682" t="str">
        <f>"17-ZA05-0000"</f>
        <v>17-ZA05-0000</v>
      </c>
      <c r="B682" t="str">
        <f>"LM5.X Content, JM, Variable Frequency Drive"</f>
        <v>LM5.X Content, JM, Variable Frequency Drive</v>
      </c>
      <c r="C682">
        <v>700</v>
      </c>
      <c r="D682" t="str">
        <f t="shared" si="26"/>
        <v>Active</v>
      </c>
    </row>
    <row r="683" spans="1:4" ht="18" customHeight="1">
      <c r="A683" t="str">
        <f>"17-ZA06-0000"</f>
        <v>17-ZA06-0000</v>
      </c>
      <c r="B683" t="str">
        <f>"LM5.X Content, JM, DC Motor Drive"</f>
        <v>LM5.X Content, JM, DC Motor Drive</v>
      </c>
      <c r="C683">
        <v>700</v>
      </c>
      <c r="D683" t="str">
        <f t="shared" si="26"/>
        <v>Active</v>
      </c>
    </row>
    <row r="684" spans="1:4" ht="18" customHeight="1">
      <c r="A684" t="str">
        <f>"17-ZA07-0000"</f>
        <v>17-ZA07-0000</v>
      </c>
      <c r="B684" t="str">
        <f>"LM5.X Content, JM, Fault Insertion System"</f>
        <v>LM5.X Content, JM, Fault Insertion System</v>
      </c>
      <c r="C684">
        <v>700</v>
      </c>
      <c r="D684" t="str">
        <f t="shared" si="26"/>
        <v>Active</v>
      </c>
    </row>
    <row r="685" spans="1:4" ht="18" customHeight="1">
      <c r="A685" t="str">
        <f>"21-0000-0130"</f>
        <v>21-0000-0130</v>
      </c>
      <c r="B685" t="str">
        <f>"Package, RMH1 Materials"</f>
        <v>Package, RMH1 Materials</v>
      </c>
      <c r="C685">
        <v>167</v>
      </c>
      <c r="D685" t="str">
        <f t="shared" si="26"/>
        <v>Active</v>
      </c>
    </row>
    <row r="686" spans="1:4" ht="18" customHeight="1">
      <c r="A686" t="str">
        <f>"21-0004-0000"</f>
        <v>21-0004-0000</v>
      </c>
      <c r="B686" t="str">
        <f>"Assembly, Dual Axis Air Vise Mechanicals"</f>
        <v>Assembly, Dual Axis Air Vise Mechanicals</v>
      </c>
      <c r="C686" s="44">
        <v>1735</v>
      </c>
      <c r="D686" t="str">
        <f>"Phase Out"</f>
        <v>Phase Out</v>
      </c>
    </row>
    <row r="687" spans="1:4" ht="18" customHeight="1">
      <c r="A687" t="str">
        <f>"21-0006-0001"</f>
        <v>21-0006-0001</v>
      </c>
      <c r="B687" t="str">
        <f>"Assembly, Project, Competition Sensor Box"</f>
        <v>Assembly, Project, Competition Sensor Box</v>
      </c>
      <c r="C687">
        <v>495</v>
      </c>
      <c r="D687" t="str">
        <f t="shared" ref="D687:D693" si="27">"Active"</f>
        <v>Active</v>
      </c>
    </row>
    <row r="688" spans="1:4" ht="18" customHeight="1">
      <c r="A688" t="str">
        <f>"21-0006-0002"</f>
        <v>21-0006-0002</v>
      </c>
      <c r="B688" t="str">
        <f>"Assembly,Project, Pneumatic Block Feeder, 12V"</f>
        <v>Assembly,Project, Pneumatic Block Feeder, 12V</v>
      </c>
      <c r="C688" s="44">
        <v>2995</v>
      </c>
      <c r="D688" t="str">
        <f t="shared" si="27"/>
        <v>Active</v>
      </c>
    </row>
    <row r="689" spans="1:4" ht="18" customHeight="1">
      <c r="A689" t="str">
        <f>"21-0006-0003"</f>
        <v>21-0006-0003</v>
      </c>
      <c r="B689" t="str">
        <f>"Assembly, Project, I/O Interface"</f>
        <v>Assembly, Project, I/O Interface</v>
      </c>
      <c r="C689">
        <v>495</v>
      </c>
      <c r="D689" t="str">
        <f t="shared" si="27"/>
        <v>Active</v>
      </c>
    </row>
    <row r="690" spans="1:4" ht="18" customHeight="1">
      <c r="A690" t="str">
        <f>"21-0006-0004"</f>
        <v>21-0006-0004</v>
      </c>
      <c r="B690" t="str">
        <f>"Assembly, Project, Components For Workcell"</f>
        <v>Assembly, Project, Components For Workcell</v>
      </c>
      <c r="C690">
        <v>295</v>
      </c>
      <c r="D690" t="str">
        <f t="shared" si="27"/>
        <v>Active</v>
      </c>
    </row>
    <row r="691" spans="1:4" ht="18" customHeight="1">
      <c r="A691" t="str">
        <f>"21-0006-0005"</f>
        <v>21-0006-0005</v>
      </c>
      <c r="B691" t="str">
        <f>"Assembly, Project, Power Supply, 12V"</f>
        <v>Assembly, Project, Power Supply, 12V</v>
      </c>
      <c r="C691">
        <v>395</v>
      </c>
      <c r="D691" t="str">
        <f t="shared" si="27"/>
        <v>Active</v>
      </c>
    </row>
    <row r="692" spans="1:4" ht="18" customHeight="1">
      <c r="A692" t="str">
        <f>"21-0006-0006"</f>
        <v>21-0006-0006</v>
      </c>
      <c r="B692" t="str">
        <f>"Assembly, Project, E-Stop/Light Stack"</f>
        <v>Assembly, Project, E-Stop/Light Stack</v>
      </c>
      <c r="C692">
        <v>695</v>
      </c>
      <c r="D692" t="str">
        <f t="shared" si="27"/>
        <v>Active</v>
      </c>
    </row>
    <row r="693" spans="1:4" ht="18" customHeight="1">
      <c r="A693" t="str">
        <f>"21-0006-0007"</f>
        <v>21-0006-0007</v>
      </c>
      <c r="B693" t="str">
        <f>"Assembly, Project, Energy Chain w/Robot Mount"</f>
        <v>Assembly, Project, Energy Chain w/Robot Mount</v>
      </c>
      <c r="C693">
        <v>245</v>
      </c>
      <c r="D693" t="str">
        <f t="shared" si="27"/>
        <v>Active</v>
      </c>
    </row>
    <row r="694" spans="1:4" ht="18" customHeight="1">
      <c r="A694" t="str">
        <f>"21-0007-0001"</f>
        <v>21-0007-0001</v>
      </c>
      <c r="B694" t="str">
        <f>"Assembly, REC, Semester 2 Project Kit"</f>
        <v>Assembly, REC, Semester 2 Project Kit</v>
      </c>
      <c r="C694">
        <v>145</v>
      </c>
      <c r="D694" t="str">
        <f>"Phase Out"</f>
        <v>Phase Out</v>
      </c>
    </row>
    <row r="695" spans="1:4" ht="18" customHeight="1">
      <c r="A695" t="str">
        <f>"22-0004-0001"</f>
        <v>22-0004-0001</v>
      </c>
      <c r="B695" t="str">
        <f>"Assembly, Hydraulic Pump w/Control Switch, 110V"</f>
        <v>Assembly, Hydraulic Pump w/Control Switch, 110V</v>
      </c>
      <c r="C695" s="44">
        <v>2160</v>
      </c>
      <c r="D695" t="str">
        <f>"Active"</f>
        <v>Active</v>
      </c>
    </row>
    <row r="696" spans="1:4" ht="18" customHeight="1">
      <c r="A696" t="str">
        <f>"22-0006-0001"</f>
        <v>22-0006-0001</v>
      </c>
      <c r="B696" t="str">
        <f>"Assembly, REC, Sem 2, Electronics Kit, 1 Robot"</f>
        <v>Assembly, REC, Sem 2, Electronics Kit, 1 Robot</v>
      </c>
      <c r="C696">
        <v>110</v>
      </c>
      <c r="D696" t="str">
        <f>"Active"</f>
        <v>Active</v>
      </c>
    </row>
    <row r="697" spans="1:4" ht="18" customHeight="1">
      <c r="A697" t="str">
        <f>"22-0006-0006"</f>
        <v>22-0006-0006</v>
      </c>
      <c r="B697" t="str">
        <f>"Assembly, REC, Sem 2, Electronics Kit, 6 Robots"</f>
        <v>Assembly, REC, Sem 2, Electronics Kit, 6 Robots</v>
      </c>
      <c r="C697">
        <v>659</v>
      </c>
      <c r="D697" t="str">
        <f>"Active"</f>
        <v>Active</v>
      </c>
    </row>
    <row r="698" spans="1:4" ht="18" customHeight="1">
      <c r="A698" t="str">
        <f>"22-0006-0011"</f>
        <v>22-0006-0011</v>
      </c>
      <c r="B698" t="str">
        <f>"Assembly, REC, Sem 2, Electronics Kit,11 Robots"</f>
        <v>Assembly, REC, Sem 2, Electronics Kit,11 Robots</v>
      </c>
      <c r="C698" s="44">
        <v>1195</v>
      </c>
      <c r="D698" t="str">
        <f>"Active"</f>
        <v>Active</v>
      </c>
    </row>
    <row r="699" spans="1:4" ht="18" customHeight="1">
      <c r="A699" t="str">
        <f>"22-0006-0016"</f>
        <v>22-0006-0016</v>
      </c>
      <c r="B699" t="str">
        <f>"Assembly, REC, Sem 2, Electronics Kit,16 Robots"</f>
        <v>Assembly, REC, Sem 2, Electronics Kit,16 Robots</v>
      </c>
      <c r="C699" s="44">
        <v>1789</v>
      </c>
      <c r="D699" t="str">
        <f>"Active"</f>
        <v>Active</v>
      </c>
    </row>
    <row r="700" spans="1:4" ht="18" customHeight="1">
      <c r="A700" t="str">
        <f>"22-8200-0053"</f>
        <v>22-8200-0053</v>
      </c>
      <c r="B700" t="str">
        <f>"Assembly, PCB, 3-Axis PCI Stepper Control Card"</f>
        <v>Assembly, PCB, 3-Axis PCI Stepper Control Card</v>
      </c>
      <c r="C700">
        <v>870</v>
      </c>
      <c r="D700" t="str">
        <f>"Phase Out"</f>
        <v>Phase Out</v>
      </c>
    </row>
    <row r="701" spans="1:4" ht="18" customHeight="1">
      <c r="A701" t="str">
        <f>"22-8200-0056"</f>
        <v>22-8200-0056</v>
      </c>
      <c r="B701" t="str">
        <f>"Assembly, PCB, 4-Axis PCI Stepper Control Card"</f>
        <v>Assembly, PCB, 4-Axis PCI Stepper Control Card</v>
      </c>
      <c r="C701">
        <v>870</v>
      </c>
      <c r="D701" t="str">
        <f>"Phase Out"</f>
        <v>Phase Out</v>
      </c>
    </row>
    <row r="702" spans="1:4" ht="18" customHeight="1">
      <c r="A702" t="str">
        <f>"228-2500"</f>
        <v>228-2500</v>
      </c>
      <c r="B702" t="str">
        <f>"Vex, IQ Super Kit"</f>
        <v>Vex, IQ Super Kit</v>
      </c>
      <c r="C702">
        <v>300</v>
      </c>
      <c r="D702" t="str">
        <f>"Active"</f>
        <v>Active</v>
      </c>
    </row>
    <row r="703" spans="1:4" ht="18" customHeight="1">
      <c r="A703" t="str">
        <f>"228-2531"</f>
        <v>228-2531</v>
      </c>
      <c r="B703" t="str">
        <f>"VEX IQ, Foundations Add-On Kit"</f>
        <v>VEX IQ, Foundations Add-On Kit</v>
      </c>
      <c r="C703">
        <v>80</v>
      </c>
      <c r="D703" t="str">
        <f>"Active"</f>
        <v>Active</v>
      </c>
    </row>
    <row r="704" spans="1:4" ht="18" customHeight="1">
      <c r="A704" t="str">
        <f>"228-3060"</f>
        <v>228-3060</v>
      </c>
      <c r="B704" t="str">
        <f>"Starter Kit with Controller"</f>
        <v>Starter Kit with Controller</v>
      </c>
      <c r="C704">
        <v>250</v>
      </c>
      <c r="D704" t="str">
        <f>"New"</f>
        <v>New</v>
      </c>
    </row>
    <row r="705" spans="1:4" ht="18" customHeight="1">
      <c r="A705" t="str">
        <f>"228-3080"</f>
        <v>228-3080</v>
      </c>
      <c r="B705" t="str">
        <f>"Starter Kit with Sensors"</f>
        <v>Starter Kit with Sensors</v>
      </c>
      <c r="C705">
        <v>250</v>
      </c>
      <c r="D705" t="str">
        <f>"New"</f>
        <v>New</v>
      </c>
    </row>
    <row r="706" spans="1:4" ht="18" customHeight="1">
      <c r="A706" t="str">
        <f>"228-3600"</f>
        <v>228-3600</v>
      </c>
      <c r="B706" t="str">
        <f>"Competition Add-On Kit"</f>
        <v>Competition Add-On Kit</v>
      </c>
      <c r="C706">
        <v>100</v>
      </c>
      <c r="D706" t="str">
        <f t="shared" ref="D706:D718" si="28">"Active"</f>
        <v>Active</v>
      </c>
    </row>
    <row r="707" spans="1:4" ht="18" customHeight="1">
      <c r="A707" t="str">
        <f>"228-4000"</f>
        <v>228-4000</v>
      </c>
      <c r="B707" t="str">
        <f>"VEX IQ, Classroom Bundle (12 Kits)"</f>
        <v>VEX IQ, Classroom Bundle (12 Kits)</v>
      </c>
      <c r="C707" s="44">
        <v>3500</v>
      </c>
      <c r="D707" t="str">
        <f t="shared" si="28"/>
        <v>Active</v>
      </c>
    </row>
    <row r="708" spans="1:4" ht="18" customHeight="1">
      <c r="A708" t="str">
        <f>"26-0000-0001"</f>
        <v>26-0000-0001</v>
      </c>
      <c r="B708" t="str">
        <f>"Assembly, JM, IMP1/ME10, Power Controller, 120V"</f>
        <v>Assembly, JM, IMP1/ME10, Power Controller, 120V</v>
      </c>
      <c r="C708">
        <v>5</v>
      </c>
      <c r="D708" t="str">
        <f t="shared" si="28"/>
        <v>Active</v>
      </c>
    </row>
    <row r="709" spans="1:4" ht="18" customHeight="1">
      <c r="A709" t="str">
        <f>"26-0000-0002"</f>
        <v>26-0000-0002</v>
      </c>
      <c r="B709" t="str">
        <f>"Assembly, JM, IMP1/ME10, Power Controller, 220V"</f>
        <v>Assembly, JM, IMP1/ME10, Power Controller, 220V</v>
      </c>
      <c r="C709">
        <v>12</v>
      </c>
      <c r="D709" t="str">
        <f t="shared" si="28"/>
        <v>Active</v>
      </c>
    </row>
    <row r="710" spans="1:4" ht="18" customHeight="1">
      <c r="A710" t="str">
        <f>"26-E002-0000"</f>
        <v>26-E002-0000</v>
      </c>
      <c r="B710" t="str">
        <f>"Assembly, JM, E002, Start-Stop Control Panel"</f>
        <v>Assembly, JM, E002, Start-Stop Control Panel</v>
      </c>
      <c r="C710">
        <v>350</v>
      </c>
      <c r="D710" t="str">
        <f t="shared" si="28"/>
        <v>Active</v>
      </c>
    </row>
    <row r="711" spans="1:4" ht="18" customHeight="1">
      <c r="A711" t="str">
        <f>"26-E003-0000"</f>
        <v>26-E003-0000</v>
      </c>
      <c r="B711" t="str">
        <f>"Assembly, JM, E003, 3-Phase Transformer Panel"</f>
        <v>Assembly, JM, E003, 3-Phase Transformer Panel</v>
      </c>
      <c r="C711">
        <v>900</v>
      </c>
      <c r="D711" t="str">
        <f t="shared" si="28"/>
        <v>Active</v>
      </c>
    </row>
    <row r="712" spans="1:4" ht="18" customHeight="1">
      <c r="A712" t="str">
        <f>"26-E004-0000"</f>
        <v>26-E004-0000</v>
      </c>
      <c r="B712" t="str">
        <f>"Assembly, JM , E004, Single Magnetic Start.Panel"</f>
        <v>Assembly, JM , E004, Single Magnetic Start.Panel</v>
      </c>
      <c r="C712">
        <v>450</v>
      </c>
      <c r="D712" t="str">
        <f t="shared" si="28"/>
        <v>Active</v>
      </c>
    </row>
    <row r="713" spans="1:4" ht="18" customHeight="1">
      <c r="A713" t="str">
        <f>"26-E005-0000"</f>
        <v>26-E005-0000</v>
      </c>
      <c r="B713" t="str">
        <f>"Assembly, JM, E005 - F-R-S Switch Panel"</f>
        <v>Assembly, JM, E005 - F-R-S Switch Panel</v>
      </c>
      <c r="C713">
        <v>550</v>
      </c>
      <c r="D713" t="str">
        <f t="shared" si="28"/>
        <v>Active</v>
      </c>
    </row>
    <row r="714" spans="1:4" ht="18" customHeight="1">
      <c r="A714" t="str">
        <f>"26-E006-0000"</f>
        <v>26-E006-0000</v>
      </c>
      <c r="B714" t="str">
        <f>"Assembly, JM, E006, Reversing Magnetic Starter"</f>
        <v>Assembly, JM, E006, Reversing Magnetic Starter</v>
      </c>
      <c r="C714">
        <v>720</v>
      </c>
      <c r="D714" t="str">
        <f t="shared" si="28"/>
        <v>Active</v>
      </c>
    </row>
    <row r="715" spans="1:4" ht="18" customHeight="1">
      <c r="A715" t="str">
        <f>"26-E007-0000"</f>
        <v>26-E007-0000</v>
      </c>
      <c r="B715" t="str">
        <f>"Assembly, JM, E007 - SCR Speed Control Panel"</f>
        <v>Assembly, JM, E007 - SCR Speed Control Panel</v>
      </c>
      <c r="C715">
        <v>650</v>
      </c>
      <c r="D715" t="str">
        <f t="shared" si="28"/>
        <v>Active</v>
      </c>
    </row>
    <row r="716" spans="1:4" ht="18" customHeight="1">
      <c r="A716" t="str">
        <f>"26-E010-0000"</f>
        <v>26-E010-0000</v>
      </c>
      <c r="B716" t="str">
        <f>"Assembly, JM, E010 - Three Phase Motor Panel"</f>
        <v>Assembly, JM, E010 - Three Phase Motor Panel</v>
      </c>
      <c r="C716" s="44">
        <v>1000</v>
      </c>
      <c r="D716" t="str">
        <f t="shared" si="28"/>
        <v>Active</v>
      </c>
    </row>
    <row r="717" spans="1:4" ht="18" customHeight="1">
      <c r="A717" t="str">
        <f>"26-E011-0000"</f>
        <v>26-E011-0000</v>
      </c>
      <c r="B717" t="str">
        <f>"Assembly, JM, E011, Limit Switch Panel"</f>
        <v>Assembly, JM, E011, Limit Switch Panel</v>
      </c>
      <c r="C717">
        <v>434</v>
      </c>
      <c r="D717" t="str">
        <f t="shared" si="28"/>
        <v>Active</v>
      </c>
    </row>
    <row r="718" spans="1:4" ht="18" customHeight="1">
      <c r="A718" t="str">
        <f>"26-E012-0000"</f>
        <v>26-E012-0000</v>
      </c>
      <c r="B718" t="str">
        <f>"Assembly, JM, E012, Transformer Panel"</f>
        <v>Assembly, JM, E012, Transformer Panel</v>
      </c>
      <c r="C718">
        <v>500</v>
      </c>
      <c r="D718" t="str">
        <f t="shared" si="28"/>
        <v>Active</v>
      </c>
    </row>
    <row r="719" spans="1:4" ht="18" customHeight="1">
      <c r="A719" t="str">
        <f>"26-E015-0000"</f>
        <v>26-E015-0000</v>
      </c>
      <c r="B719" t="str">
        <f>"Assembly, JM, E015,Prox.&amp; Photo Elec.SwitchPanel"</f>
        <v>Assembly, JM, E015,Prox.&amp; Photo Elec.SwitchPanel</v>
      </c>
      <c r="C719" s="44">
        <v>1067</v>
      </c>
      <c r="D719" t="str">
        <f>"Inactive"</f>
        <v>Inactive</v>
      </c>
    </row>
    <row r="720" spans="1:4" ht="18" customHeight="1">
      <c r="A720" t="str">
        <f>"26-E016-0000"</f>
        <v>26-E016-0000</v>
      </c>
      <c r="B720" t="str">
        <f>"Assembly, JM, E016, Analog Relay Panel"</f>
        <v>Assembly, JM, E016, Analog Relay Panel</v>
      </c>
      <c r="C720">
        <v>834</v>
      </c>
      <c r="D720" t="str">
        <f>"Active"</f>
        <v>Active</v>
      </c>
    </row>
    <row r="721" spans="1:4" ht="18" customHeight="1">
      <c r="A721" t="str">
        <f>"26-E017-0000"</f>
        <v>26-E017-0000</v>
      </c>
      <c r="B721" t="str">
        <f>"Assembly, JM, E017, Digital Relay"</f>
        <v>Assembly, JM, E017, Digital Relay</v>
      </c>
      <c r="C721" s="44">
        <v>1000</v>
      </c>
      <c r="D721" t="str">
        <f>"Active"</f>
        <v>Active</v>
      </c>
    </row>
    <row r="722" spans="1:4" ht="18" customHeight="1">
      <c r="A722" t="str">
        <f>"26-E018-0000"</f>
        <v>26-E018-0000</v>
      </c>
      <c r="B722" t="str">
        <f>"Assembly, JM, E018, Liquid Level and Pressure"</f>
        <v>Assembly, JM, E018, Liquid Level and Pressure</v>
      </c>
      <c r="C722">
        <v>867</v>
      </c>
      <c r="D722" t="str">
        <f>"Active"</f>
        <v>Active</v>
      </c>
    </row>
    <row r="723" spans="1:4" ht="18" customHeight="1">
      <c r="A723" t="str">
        <f>"26-E019-0000"</f>
        <v>26-E019-0000</v>
      </c>
      <c r="B723" t="str">
        <f>"Assembly, JM, E019, Capacitor Start Motor Panel"</f>
        <v>Assembly, JM, E019, Capacitor Start Motor Panel</v>
      </c>
      <c r="C723">
        <v>834</v>
      </c>
      <c r="D723" t="str">
        <f>"Active"</f>
        <v>Active</v>
      </c>
    </row>
    <row r="724" spans="1:4" ht="18" customHeight="1">
      <c r="A724" t="str">
        <f>"26-E020-0000"</f>
        <v>26-E020-0000</v>
      </c>
      <c r="B724" t="str">
        <f>"Assembly, JM, E020, PLC Allen Bradley SLC500"</f>
        <v>Assembly, JM, E020, PLC Allen Bradley SLC500</v>
      </c>
      <c r="C724" s="44">
        <v>11467</v>
      </c>
      <c r="D724" t="str">
        <f>"Inactive"</f>
        <v>Inactive</v>
      </c>
    </row>
    <row r="725" spans="1:4" ht="18" customHeight="1">
      <c r="A725" t="str">
        <f>"26-E022-0000"</f>
        <v>26-E022-0000</v>
      </c>
      <c r="B725" t="str">
        <f>"Assembly, JM, E022, Manual Starter Panel"</f>
        <v>Assembly, JM, E022, Manual Starter Panel</v>
      </c>
      <c r="C725" s="44">
        <v>1600</v>
      </c>
      <c r="D725" t="str">
        <f>"Active"</f>
        <v>Active</v>
      </c>
    </row>
    <row r="726" spans="1:4" ht="18" customHeight="1">
      <c r="A726" t="str">
        <f>"26-E024-0000"</f>
        <v>26-E024-0000</v>
      </c>
      <c r="B726" t="str">
        <f>"Assembly, JM, E024, Solid State Starter Panel"</f>
        <v>Assembly, JM, E024, Solid State Starter Panel</v>
      </c>
      <c r="C726" s="44">
        <v>1800</v>
      </c>
      <c r="D726" t="str">
        <f>"ECO-N2Buy"</f>
        <v>ECO-N2Buy</v>
      </c>
    </row>
    <row r="727" spans="1:4" ht="18" customHeight="1">
      <c r="A727" t="str">
        <f>"26-E025-0000"</f>
        <v>26-E025-0000</v>
      </c>
      <c r="B727" t="str">
        <f>"Assembly, JM, E025 F-O-R Switch Panel"</f>
        <v>Assembly, JM, E025 F-O-R Switch Panel</v>
      </c>
      <c r="C727">
        <v>700</v>
      </c>
      <c r="D727" t="str">
        <f t="shared" ref="D727:D745" si="29">"Active"</f>
        <v>Active</v>
      </c>
    </row>
    <row r="728" spans="1:4" ht="18" customHeight="1">
      <c r="A728" t="str">
        <f>"26-E027-0000"</f>
        <v>26-E027-0000</v>
      </c>
      <c r="B728" t="str">
        <f>"Assembly, JM, E027, Shaded Pole Motor Panel"</f>
        <v>Assembly, JM, E027, Shaded Pole Motor Panel</v>
      </c>
      <c r="C728">
        <v>615</v>
      </c>
      <c r="D728" t="str">
        <f t="shared" si="29"/>
        <v>Active</v>
      </c>
    </row>
    <row r="729" spans="1:4" ht="18" customHeight="1">
      <c r="A729" t="str">
        <f>"26-E029-0000"</f>
        <v>26-E029-0000</v>
      </c>
      <c r="B729" t="str">
        <f>"Assembly, JM, E029, Inductance/Mag Test Panel"</f>
        <v>Assembly, JM, E029, Inductance/Mag Test Panel</v>
      </c>
      <c r="C729">
        <v>667</v>
      </c>
      <c r="D729" t="str">
        <f t="shared" si="29"/>
        <v>Active</v>
      </c>
    </row>
    <row r="730" spans="1:4" ht="18" customHeight="1">
      <c r="A730" t="str">
        <f>"26-E030-0000"</f>
        <v>26-E030-0000</v>
      </c>
      <c r="B730" t="str">
        <f>"Assembly, JM, E030, Overload Protection Panel"</f>
        <v>Assembly, JM, E030, Overload Protection Panel</v>
      </c>
      <c r="C730">
        <v>834</v>
      </c>
      <c r="D730" t="str">
        <f t="shared" si="29"/>
        <v>Active</v>
      </c>
    </row>
    <row r="731" spans="1:4" ht="18" customHeight="1">
      <c r="A731" t="str">
        <f>"26-E034-0000"</f>
        <v>26-E034-0000</v>
      </c>
      <c r="B731" t="str">
        <f>"Assembly, JM, E034, DC Motor Panel"</f>
        <v>Assembly, JM, E034, DC Motor Panel</v>
      </c>
      <c r="C731">
        <v>900</v>
      </c>
      <c r="D731" t="str">
        <f t="shared" si="29"/>
        <v>Active</v>
      </c>
    </row>
    <row r="732" spans="1:4" ht="18" customHeight="1">
      <c r="A732" t="str">
        <f>"26-E038-0000"</f>
        <v>26-E038-0000</v>
      </c>
      <c r="B732" t="str">
        <f>"Assembly, JM, E038, PWM Speed Control Panel"</f>
        <v>Assembly, JM, E038, PWM Speed Control Panel</v>
      </c>
      <c r="C732" s="44">
        <v>1067</v>
      </c>
      <c r="D732" t="str">
        <f t="shared" si="29"/>
        <v>Active</v>
      </c>
    </row>
    <row r="733" spans="1:4" ht="18" customHeight="1">
      <c r="A733" t="str">
        <f>"26-E039-0000"</f>
        <v>26-E039-0000</v>
      </c>
      <c r="B733" t="str">
        <f>"Assembly, JM, E039,Single Phase Bridge Rectifier"</f>
        <v>Assembly, JM, E039,Single Phase Bridge Rectifier</v>
      </c>
      <c r="C733">
        <v>450</v>
      </c>
      <c r="D733" t="str">
        <f t="shared" si="29"/>
        <v>Active</v>
      </c>
    </row>
    <row r="734" spans="1:4" ht="18" customHeight="1">
      <c r="A734" t="str">
        <f>"26-E040-0000"</f>
        <v>26-E040-0000</v>
      </c>
      <c r="B734" t="str">
        <f>"Assembly, JM, E040, Switches, Lamp, and Buzzer"</f>
        <v>Assembly, JM, E040, Switches, Lamp, and Buzzer</v>
      </c>
      <c r="C734">
        <v>667</v>
      </c>
      <c r="D734" t="str">
        <f t="shared" si="29"/>
        <v>Active</v>
      </c>
    </row>
    <row r="735" spans="1:4" ht="18" customHeight="1">
      <c r="A735" t="str">
        <f>"26-E041-0000"</f>
        <v>26-E041-0000</v>
      </c>
      <c r="B735" t="str">
        <f>"Assembly, JM, E041, Electronic Timer"</f>
        <v>Assembly, JM, E041, Electronic Timer</v>
      </c>
      <c r="C735">
        <v>667</v>
      </c>
      <c r="D735" t="str">
        <f t="shared" si="29"/>
        <v>Active</v>
      </c>
    </row>
    <row r="736" spans="1:4" ht="18" customHeight="1">
      <c r="A736" t="str">
        <f>"26-E042-0000"</f>
        <v>26-E042-0000</v>
      </c>
      <c r="B736" t="str">
        <f>"Assembly, JM, E042, Resistance Panel"</f>
        <v>Assembly, JM, E042, Resistance Panel</v>
      </c>
      <c r="C736" s="44">
        <v>1000</v>
      </c>
      <c r="D736" t="str">
        <f t="shared" si="29"/>
        <v>Active</v>
      </c>
    </row>
    <row r="737" spans="1:4" ht="18" customHeight="1">
      <c r="A737" t="str">
        <f>"26-E043-0000"</f>
        <v>26-E043-0000</v>
      </c>
      <c r="B737" t="str">
        <f>"Assembly, JM, E043, Capacitance Panel"</f>
        <v>Assembly, JM, E043, Capacitance Panel</v>
      </c>
      <c r="C737">
        <v>425</v>
      </c>
      <c r="D737" t="str">
        <f t="shared" si="29"/>
        <v>Active</v>
      </c>
    </row>
    <row r="738" spans="1:4" ht="18" customHeight="1">
      <c r="A738" t="str">
        <f>"26-E044-0000"</f>
        <v>26-E044-0000</v>
      </c>
      <c r="B738" t="str">
        <f>"Assembly, JM, E044, Inductance/Magnetism Panel"</f>
        <v>Assembly, JM, E044, Inductance/Magnetism Panel</v>
      </c>
      <c r="C738">
        <v>500</v>
      </c>
      <c r="D738" t="str">
        <f t="shared" si="29"/>
        <v>Active</v>
      </c>
    </row>
    <row r="739" spans="1:4" ht="18" customHeight="1">
      <c r="A739" t="str">
        <f>"26-E045-0000"</f>
        <v>26-E045-0000</v>
      </c>
      <c r="B739" t="str">
        <f>"Assembly, JM, E045, Sources of Electricity"</f>
        <v>Assembly, JM, E045, Sources of Electricity</v>
      </c>
      <c r="C739">
        <v>475</v>
      </c>
      <c r="D739" t="str">
        <f t="shared" si="29"/>
        <v>Active</v>
      </c>
    </row>
    <row r="740" spans="1:4" ht="18" customHeight="1">
      <c r="A740" t="str">
        <f>"26-E047-0000"</f>
        <v>26-E047-0000</v>
      </c>
      <c r="B740" t="str">
        <f>"Assembly, JM, E047, Heat/Light Source"</f>
        <v>Assembly, JM, E047, Heat/Light Source</v>
      </c>
      <c r="C740">
        <v>375</v>
      </c>
      <c r="D740" t="str">
        <f t="shared" si="29"/>
        <v>Active</v>
      </c>
    </row>
    <row r="741" spans="1:4" ht="18" customHeight="1">
      <c r="A741" t="str">
        <f>"26-E048-0000"</f>
        <v>26-E048-0000</v>
      </c>
      <c r="B741" t="str">
        <f>"Assembly, JM, E048 Inertial Load Panel"</f>
        <v>Assembly, JM, E048 Inertial Load Panel</v>
      </c>
      <c r="C741">
        <v>667</v>
      </c>
      <c r="D741" t="str">
        <f t="shared" si="29"/>
        <v>Active</v>
      </c>
    </row>
    <row r="742" spans="1:4" ht="18" customHeight="1">
      <c r="A742" t="str">
        <f>"26-E049-0000"</f>
        <v>26-E049-0000</v>
      </c>
      <c r="B742" t="str">
        <f>"Assembly, JM, E049, Zener Diode Panel"</f>
        <v>Assembly, JM, E049, Zener Diode Panel</v>
      </c>
      <c r="C742">
        <v>334</v>
      </c>
      <c r="D742" t="str">
        <f t="shared" si="29"/>
        <v>Active</v>
      </c>
    </row>
    <row r="743" spans="1:4" ht="18" customHeight="1">
      <c r="A743" t="str">
        <f>"26-E050-0000"</f>
        <v>26-E050-0000</v>
      </c>
      <c r="B743" t="str">
        <f>"Assembly, JM, E050, Regulated Power Supply Panel"</f>
        <v>Assembly, JM, E050, Regulated Power Supply Panel</v>
      </c>
      <c r="C743">
        <v>565</v>
      </c>
      <c r="D743" t="str">
        <f t="shared" si="29"/>
        <v>Active</v>
      </c>
    </row>
    <row r="744" spans="1:4" ht="18" customHeight="1">
      <c r="A744" t="str">
        <f>"26-E052-0000"</f>
        <v>26-E052-0000</v>
      </c>
      <c r="B744" t="str">
        <f>"Assembly, JM, E052, Resistors Panel"</f>
        <v>Assembly, JM, E052, Resistors Panel</v>
      </c>
      <c r="C744">
        <v>567</v>
      </c>
      <c r="D744" t="str">
        <f t="shared" si="29"/>
        <v>Active</v>
      </c>
    </row>
    <row r="745" spans="1:4" ht="18" customHeight="1">
      <c r="A745" t="str">
        <f>"26-E053-0000"</f>
        <v>26-E053-0000</v>
      </c>
      <c r="B745" t="str">
        <f>"Assembly, JM, E053, Three Phase Bridge Rectifier"</f>
        <v>Assembly, JM, E053, Three Phase Bridge Rectifier</v>
      </c>
      <c r="C745">
        <v>567</v>
      </c>
      <c r="D745" t="str">
        <f t="shared" si="29"/>
        <v>Active</v>
      </c>
    </row>
    <row r="746" spans="1:4" ht="18" customHeight="1">
      <c r="A746" t="str">
        <f>"26-E054-0000"</f>
        <v>26-E054-0000</v>
      </c>
      <c r="B746" t="str">
        <f>"Assembly, JM, E054, Soleniod and Counter - 120V"</f>
        <v>Assembly, JM, E054, Soleniod and Counter - 120V</v>
      </c>
      <c r="C746">
        <v>667</v>
      </c>
      <c r="D746" t="str">
        <f>"Inactive"</f>
        <v>Inactive</v>
      </c>
    </row>
    <row r="747" spans="1:4" ht="18" customHeight="1">
      <c r="A747" t="str">
        <f>"26-E055-0000"</f>
        <v>26-E055-0000</v>
      </c>
      <c r="B747" t="str">
        <f>"Assembly, JM, E055, Filters/Capacitors Panel"</f>
        <v>Assembly, JM, E055, Filters/Capacitors Panel</v>
      </c>
      <c r="C747">
        <v>550</v>
      </c>
      <c r="D747" t="str">
        <f t="shared" ref="D747:D753" si="30">"Active"</f>
        <v>Active</v>
      </c>
    </row>
    <row r="748" spans="1:4" ht="18" customHeight="1">
      <c r="A748" t="str">
        <f>"26-E057-0000"</f>
        <v>26-E057-0000</v>
      </c>
      <c r="B748" t="str">
        <f>"Assembly, JM, E057, Motor/Generator Demo Panel"</f>
        <v>Assembly, JM, E057, Motor/Generator Demo Panel</v>
      </c>
      <c r="C748">
        <v>850</v>
      </c>
      <c r="D748" t="str">
        <f t="shared" si="30"/>
        <v>Active</v>
      </c>
    </row>
    <row r="749" spans="1:4" ht="18" customHeight="1">
      <c r="A749" t="str">
        <f>"26-E061-0000"</f>
        <v>26-E061-0000</v>
      </c>
      <c r="B749" t="str">
        <f>"Assembly, JM, E061, Low Voltage Transformer"</f>
        <v>Assembly, JM, E061, Low Voltage Transformer</v>
      </c>
      <c r="C749">
        <v>635</v>
      </c>
      <c r="D749" t="str">
        <f t="shared" si="30"/>
        <v>Active</v>
      </c>
    </row>
    <row r="750" spans="1:4" ht="18" customHeight="1">
      <c r="A750" t="str">
        <f>"26-E062-0000"</f>
        <v>26-E062-0000</v>
      </c>
      <c r="B750" t="str">
        <f>"Assembly, JM, E062, Diode Rectifier Panel"</f>
        <v>Assembly, JM, E062, Diode Rectifier Panel</v>
      </c>
      <c r="C750">
        <v>545</v>
      </c>
      <c r="D750" t="str">
        <f t="shared" si="30"/>
        <v>Active</v>
      </c>
    </row>
    <row r="751" spans="1:4" ht="18" customHeight="1">
      <c r="A751" t="str">
        <f>"26-E065-0000"</f>
        <v>26-E065-0000</v>
      </c>
      <c r="B751" t="str">
        <f>"Assembly, JM, E065, Split Phase Motor Panel"</f>
        <v>Assembly, JM, E065, Split Phase Motor Panel</v>
      </c>
      <c r="C751">
        <v>667</v>
      </c>
      <c r="D751" t="str">
        <f t="shared" si="30"/>
        <v>Active</v>
      </c>
    </row>
    <row r="752" spans="1:4" ht="18" customHeight="1">
      <c r="A752" t="str">
        <f>"26-E066-0000"</f>
        <v>26-E066-0000</v>
      </c>
      <c r="B752" t="str">
        <f>"Assembly, JM, E066, Adjustable Torque Motor Load"</f>
        <v>Assembly, JM, E066, Adjustable Torque Motor Load</v>
      </c>
      <c r="C752" s="44">
        <v>3067</v>
      </c>
      <c r="D752" t="str">
        <f t="shared" si="30"/>
        <v>Active</v>
      </c>
    </row>
    <row r="753" spans="1:4" ht="18" customHeight="1">
      <c r="A753" t="str">
        <f>"26-E067-0000"</f>
        <v>26-E067-0000</v>
      </c>
      <c r="B753" t="str">
        <f>"Assembly, JM, E067,Varible Frequency Drive Panel"</f>
        <v>Assembly, JM, E067,Varible Frequency Drive Panel</v>
      </c>
      <c r="C753" s="44">
        <v>1334</v>
      </c>
      <c r="D753" t="str">
        <f t="shared" si="30"/>
        <v>Active</v>
      </c>
    </row>
    <row r="754" spans="1:4" ht="18" customHeight="1">
      <c r="A754" t="str">
        <f>"26-E068-0000"</f>
        <v>26-E068-0000</v>
      </c>
      <c r="B754" t="str">
        <f>"Assembly, JM, E068, PLC I/O Simulator Panel"</f>
        <v>Assembly, JM, E068, PLC I/O Simulator Panel</v>
      </c>
      <c r="C754">
        <v>667</v>
      </c>
      <c r="D754" t="str">
        <f>"Inactive"</f>
        <v>Inactive</v>
      </c>
    </row>
    <row r="755" spans="1:4" ht="18" customHeight="1">
      <c r="A755" t="str">
        <f>"26-E069-0000"</f>
        <v>26-E069-0000</v>
      </c>
      <c r="B755" t="str">
        <f>"Assembly, JM, E069, Relay Logic Panel"</f>
        <v>Assembly, JM, E069, Relay Logic Panel</v>
      </c>
      <c r="C755" s="44">
        <v>1134</v>
      </c>
      <c r="D755" t="str">
        <f>"Inactive"</f>
        <v>Inactive</v>
      </c>
    </row>
    <row r="756" spans="1:4" ht="18" customHeight="1">
      <c r="A756" t="str">
        <f>"26-E071-0000"</f>
        <v>26-E071-0000</v>
      </c>
      <c r="B756" t="str">
        <f>"Assembly, JM, E071 Regenerative SCR Drive Panel"</f>
        <v>Assembly, JM, E071 Regenerative SCR Drive Panel</v>
      </c>
      <c r="C756" s="44">
        <v>1134</v>
      </c>
      <c r="D756" t="str">
        <f>"Active"</f>
        <v>Active</v>
      </c>
    </row>
    <row r="757" spans="1:4" ht="18" customHeight="1">
      <c r="A757" t="str">
        <f>"26-E077-0000"</f>
        <v>26-E077-0000</v>
      </c>
      <c r="B757" t="str">
        <f>"Assembly, JM, E077, Electric Motors Panel"</f>
        <v>Assembly, JM, E077, Electric Motors Panel</v>
      </c>
      <c r="C757">
        <v>934</v>
      </c>
      <c r="D757" t="str">
        <f>"Inactive"</f>
        <v>Inactive</v>
      </c>
    </row>
    <row r="758" spans="1:4" ht="18" customHeight="1">
      <c r="A758" t="str">
        <f>"26-E078-0000"</f>
        <v>26-E078-0000</v>
      </c>
      <c r="B758" t="str">
        <f>"Assembly, JM, E078,PLCAllenBradleyMicrologix1000"</f>
        <v>Assembly, JM, E078,PLCAllenBradleyMicrologix1000</v>
      </c>
      <c r="C758" s="44">
        <v>1667</v>
      </c>
      <c r="D758" t="str">
        <f>"Inactive"</f>
        <v>Inactive</v>
      </c>
    </row>
    <row r="759" spans="1:4" ht="18" customHeight="1">
      <c r="A759" t="str">
        <f>"26-E079-0000"</f>
        <v>26-E079-0000</v>
      </c>
      <c r="B759" t="str">
        <f>"Assembly, JM, E079,Motor Relay w/FuseBlock Panel"</f>
        <v>Assembly, JM, E079,Motor Relay w/FuseBlock Panel</v>
      </c>
      <c r="C759" s="44">
        <v>1000</v>
      </c>
      <c r="D759" t="str">
        <f>"Inactive"</f>
        <v>Inactive</v>
      </c>
    </row>
    <row r="760" spans="1:4" ht="18" customHeight="1">
      <c r="A760" t="str">
        <f>"26-E081-0000"</f>
        <v>26-E081-0000</v>
      </c>
      <c r="B760" t="str">
        <f>"Assembly, JM, E081, SCR Panel"</f>
        <v>Assembly, JM, E081, SCR Panel</v>
      </c>
      <c r="C760">
        <v>350</v>
      </c>
      <c r="D760" t="str">
        <f t="shared" ref="D760:D769" si="31">"Active"</f>
        <v>Active</v>
      </c>
    </row>
    <row r="761" spans="1:4" ht="18" customHeight="1">
      <c r="A761" t="str">
        <f>"26-E082-0000"</f>
        <v>26-E082-0000</v>
      </c>
      <c r="B761" t="str">
        <f>"Assembly, JM, E082, Full Wave SCR DC Drive Panel"</f>
        <v>Assembly, JM, E082, Full Wave SCR DC Drive Panel</v>
      </c>
      <c r="C761" s="44">
        <v>1000</v>
      </c>
      <c r="D761" t="str">
        <f t="shared" si="31"/>
        <v>Active</v>
      </c>
    </row>
    <row r="762" spans="1:4" ht="18" customHeight="1">
      <c r="A762" t="str">
        <f>"26-E083-0000"</f>
        <v>26-E083-0000</v>
      </c>
      <c r="B762" t="str">
        <f>"Assembly, JM, E083, TRIAC Panel"</f>
        <v>Assembly, JM, E083, TRIAC Panel</v>
      </c>
      <c r="C762">
        <v>307</v>
      </c>
      <c r="D762" t="str">
        <f t="shared" si="31"/>
        <v>Active</v>
      </c>
    </row>
    <row r="763" spans="1:4" ht="18" customHeight="1">
      <c r="A763" t="str">
        <f>"26-E084-0000"</f>
        <v>26-E084-0000</v>
      </c>
      <c r="B763" t="str">
        <f>"Assembly, JM, E084, DIAC Adjustable Resistors"</f>
        <v>Assembly, JM, E084, DIAC Adjustable Resistors</v>
      </c>
      <c r="C763">
        <v>394</v>
      </c>
      <c r="D763" t="str">
        <f t="shared" si="31"/>
        <v>Active</v>
      </c>
    </row>
    <row r="764" spans="1:4" ht="18" customHeight="1">
      <c r="A764" t="str">
        <f>"26-E085-0000"</f>
        <v>26-E085-0000</v>
      </c>
      <c r="B764" t="str">
        <f>"Assembly, JM, E085, Triac w/ Schmitt Trigger"</f>
        <v>Assembly, JM, E085, Triac w/ Schmitt Trigger</v>
      </c>
      <c r="C764">
        <v>907</v>
      </c>
      <c r="D764" t="str">
        <f t="shared" si="31"/>
        <v>Active</v>
      </c>
    </row>
    <row r="765" spans="1:4" ht="18" customHeight="1">
      <c r="A765" t="str">
        <f>"26-E087-0000"</f>
        <v>26-E087-0000</v>
      </c>
      <c r="B765" t="str">
        <f>"Assembly, JM, E087, Adjustable Power Supply"</f>
        <v>Assembly, JM, E087, Adjustable Power Supply</v>
      </c>
      <c r="C765">
        <v>280</v>
      </c>
      <c r="D765" t="str">
        <f t="shared" si="31"/>
        <v>Active</v>
      </c>
    </row>
    <row r="766" spans="1:4" ht="18" customHeight="1">
      <c r="A766" t="str">
        <f>"26-E088-0000"</f>
        <v>26-E088-0000</v>
      </c>
      <c r="B766" t="str">
        <f>"Assembly, JM, E088, PMW Motor Drive Panel"</f>
        <v>Assembly, JM, E088, PMW Motor Drive Panel</v>
      </c>
      <c r="C766">
        <v>725</v>
      </c>
      <c r="D766" t="str">
        <f t="shared" si="31"/>
        <v>Active</v>
      </c>
    </row>
    <row r="767" spans="1:4" ht="18" customHeight="1">
      <c r="A767" t="str">
        <f>"26-E089-0000"</f>
        <v>26-E089-0000</v>
      </c>
      <c r="B767" t="str">
        <f>"Assembly, JM, E089, Timers and Triggers Panel"</f>
        <v>Assembly, JM, E089, Timers and Triggers Panel</v>
      </c>
      <c r="C767" s="44">
        <v>1000</v>
      </c>
      <c r="D767" t="str">
        <f t="shared" si="31"/>
        <v>Active</v>
      </c>
    </row>
    <row r="768" spans="1:4" ht="18" customHeight="1">
      <c r="A768" t="str">
        <f>"26-E090-0000"</f>
        <v>26-E090-0000</v>
      </c>
      <c r="B768" t="str">
        <f>"Assembly, JM, E090, Stepper Motor &amp; Drive Panel"</f>
        <v>Assembly, JM, E090, Stepper Motor &amp; Drive Panel</v>
      </c>
      <c r="C768" s="44">
        <v>1600</v>
      </c>
      <c r="D768" t="str">
        <f t="shared" si="31"/>
        <v>Active</v>
      </c>
    </row>
    <row r="769" spans="1:4" ht="18" customHeight="1">
      <c r="A769" t="str">
        <f>"26-E091-0000"</f>
        <v>26-E091-0000</v>
      </c>
      <c r="B769" t="str">
        <f>"Assembly, JM, E091, Servo Motor&amp; Drive Panel"</f>
        <v>Assembly, JM, E091, Servo Motor&amp; Drive Panel</v>
      </c>
      <c r="C769">
        <v>767</v>
      </c>
      <c r="D769" t="str">
        <f t="shared" si="31"/>
        <v>Active</v>
      </c>
    </row>
    <row r="770" spans="1:4" ht="18" customHeight="1">
      <c r="A770" t="str">
        <f>"26-E092-0000"</f>
        <v>26-E092-0000</v>
      </c>
      <c r="B770" t="str">
        <f>"Assembly, JM, E092, Opto. Indicators &amp;Transducer"</f>
        <v>Assembly, JM, E092, Opto. Indicators &amp;Transducer</v>
      </c>
      <c r="C770">
        <v>800</v>
      </c>
      <c r="D770" t="str">
        <f t="shared" ref="D770:D775" si="32">"Inactive"</f>
        <v>Inactive</v>
      </c>
    </row>
    <row r="771" spans="1:4" ht="18" customHeight="1">
      <c r="A771" t="str">
        <f>"26-E093-0000"</f>
        <v>26-E093-0000</v>
      </c>
      <c r="B771" t="str">
        <f>"Assembly, JM, E093, IR Detector &amp; Transmitter"</f>
        <v>Assembly, JM, E093, IR Detector &amp; Transmitter</v>
      </c>
      <c r="C771">
        <v>760</v>
      </c>
      <c r="D771" t="str">
        <f t="shared" si="32"/>
        <v>Inactive</v>
      </c>
    </row>
    <row r="772" spans="1:4" ht="18" customHeight="1">
      <c r="A772" t="str">
        <f>"26-E094-0000"</f>
        <v>26-E094-0000</v>
      </c>
      <c r="B772" t="str">
        <f>"Assembly, JM, E094, Light Activated Relay Panel"</f>
        <v>Assembly, JM, E094, Light Activated Relay Panel</v>
      </c>
      <c r="C772">
        <v>640</v>
      </c>
      <c r="D772" t="str">
        <f t="shared" si="32"/>
        <v>Inactive</v>
      </c>
    </row>
    <row r="773" spans="1:4" ht="18" customHeight="1">
      <c r="A773" t="str">
        <f>"26-E097-0000"</f>
        <v>26-E097-0000</v>
      </c>
      <c r="B773" t="str">
        <f>"Assembly, JM, E097, Optoisolators Panel"</f>
        <v>Assembly, JM, E097, Optoisolators Panel</v>
      </c>
      <c r="C773">
        <v>720</v>
      </c>
      <c r="D773" t="str">
        <f t="shared" si="32"/>
        <v>Inactive</v>
      </c>
    </row>
    <row r="774" spans="1:4" ht="18" customHeight="1">
      <c r="A774" t="str">
        <f>"26-E100-0000"</f>
        <v>26-E100-0000</v>
      </c>
      <c r="B774" t="str">
        <f>"Assembly, JM, E100, Passive IR Motion Panel"</f>
        <v>Assembly, JM, E100, Passive IR Motion Panel</v>
      </c>
      <c r="C774">
        <v>747</v>
      </c>
      <c r="D774" t="str">
        <f t="shared" si="32"/>
        <v>Inactive</v>
      </c>
    </row>
    <row r="775" spans="1:4" ht="18" customHeight="1">
      <c r="A775" t="str">
        <f>"26-E101-0000"</f>
        <v>26-E101-0000</v>
      </c>
      <c r="B775" t="str">
        <f>"Assembly, JM, E101,IndustrialStrobe &amp; Apps Panel"</f>
        <v>Assembly, JM, E101,IndustrialStrobe &amp; Apps Panel</v>
      </c>
      <c r="C775">
        <v>720</v>
      </c>
      <c r="D775" t="str">
        <f t="shared" si="32"/>
        <v>Inactive</v>
      </c>
    </row>
    <row r="776" spans="1:4" ht="18" customHeight="1">
      <c r="A776" t="str">
        <f>"26-E126-0000"</f>
        <v>26-E126-0000</v>
      </c>
      <c r="B776" t="str">
        <f>"Assembly, JM, E126, Photo, Mag, &amp; Prox Panel"</f>
        <v>Assembly, JM, E126, Photo, Mag, &amp; Prox Panel</v>
      </c>
      <c r="C776" s="44">
        <v>2134</v>
      </c>
      <c r="D776" t="str">
        <f t="shared" ref="D776:D784" si="33">"Active"</f>
        <v>Active</v>
      </c>
    </row>
    <row r="777" spans="1:4" ht="18" customHeight="1">
      <c r="A777" t="str">
        <f>"26-E150-0000"</f>
        <v>26-E150-0000</v>
      </c>
      <c r="B777" t="str">
        <f>"Assembly, JM, E150, Relay/Contactor Panel"</f>
        <v>Assembly, JM, E150, Relay/Contactor Panel</v>
      </c>
      <c r="C777">
        <v>850</v>
      </c>
      <c r="D777" t="str">
        <f t="shared" si="33"/>
        <v>Active</v>
      </c>
    </row>
    <row r="778" spans="1:4" ht="18" customHeight="1">
      <c r="A778" t="str">
        <f>"26-E151-0000"</f>
        <v>26-E151-0000</v>
      </c>
      <c r="B778" t="str">
        <f>"Assembly, JM, E151,Series/Parallel Lamps Panel"</f>
        <v>Assembly, JM, E151,Series/Parallel Lamps Panel</v>
      </c>
      <c r="C778">
        <v>500</v>
      </c>
      <c r="D778" t="str">
        <f t="shared" si="33"/>
        <v>Active</v>
      </c>
    </row>
    <row r="779" spans="1:4" ht="18" customHeight="1">
      <c r="A779" t="str">
        <f>"26-E152-0000"</f>
        <v>26-E152-0000</v>
      </c>
      <c r="B779" t="str">
        <f>"Assembly, JM, E152, Transformer/Adjustable Power"</f>
        <v>Assembly, JM, E152, Transformer/Adjustable Power</v>
      </c>
      <c r="C779">
        <v>800</v>
      </c>
      <c r="D779" t="str">
        <f t="shared" si="33"/>
        <v>Active</v>
      </c>
    </row>
    <row r="780" spans="1:4" ht="18" customHeight="1">
      <c r="A780" t="str">
        <f>"26-E153-0000"</f>
        <v>26-E153-0000</v>
      </c>
      <c r="B780" t="str">
        <f>"Assembly, JM, E153, AC/DC Circuits"</f>
        <v>Assembly, JM, E153, AC/DC Circuits</v>
      </c>
      <c r="C780">
        <v>534</v>
      </c>
      <c r="D780" t="str">
        <f t="shared" si="33"/>
        <v>Active</v>
      </c>
    </row>
    <row r="781" spans="1:4" ht="18" customHeight="1">
      <c r="A781" t="str">
        <f>"26-E154-0000"</f>
        <v>26-E154-0000</v>
      </c>
      <c r="B781" t="str">
        <f>"Assembly, JM, E154, Switches and Lamps Panel"</f>
        <v>Assembly, JM, E154, Switches and Lamps Panel</v>
      </c>
      <c r="C781">
        <v>500</v>
      </c>
      <c r="D781" t="str">
        <f t="shared" si="33"/>
        <v>Active</v>
      </c>
    </row>
    <row r="782" spans="1:4" ht="18" customHeight="1">
      <c r="A782" t="str">
        <f>"26-E155-0000"</f>
        <v>26-E155-0000</v>
      </c>
      <c r="B782" t="str">
        <f>"Assembly, JM, E155, H-O-A Switch Panel"</f>
        <v>Assembly, JM, E155, H-O-A Switch Panel</v>
      </c>
      <c r="C782">
        <v>367</v>
      </c>
      <c r="D782" t="str">
        <f t="shared" si="33"/>
        <v>Active</v>
      </c>
    </row>
    <row r="783" spans="1:4" ht="18" customHeight="1">
      <c r="A783" t="str">
        <f>"26-E156-0000"</f>
        <v>26-E156-0000</v>
      </c>
      <c r="B783" t="str">
        <f>"Assembly, JM, E156, Dissectible Electric Motor"</f>
        <v>Assembly, JM, E156, Dissectible Electric Motor</v>
      </c>
      <c r="C783">
        <v>700</v>
      </c>
      <c r="D783" t="str">
        <f t="shared" si="33"/>
        <v>Active</v>
      </c>
    </row>
    <row r="784" spans="1:4" ht="18" customHeight="1">
      <c r="A784" t="str">
        <f>"26-E157-0000"</f>
        <v>26-E157-0000</v>
      </c>
      <c r="B784" t="str">
        <f>"Assembly, JM, E157, Electric AC/DC Motors"</f>
        <v>Assembly, JM, E157, Electric AC/DC Motors</v>
      </c>
      <c r="C784">
        <v>800</v>
      </c>
      <c r="D784" t="str">
        <f t="shared" si="33"/>
        <v>Active</v>
      </c>
    </row>
    <row r="785" spans="1:4" ht="18" customHeight="1">
      <c r="A785" t="str">
        <f>"26-E158-0000"</f>
        <v>26-E158-0000</v>
      </c>
      <c r="B785" t="str">
        <f>"Assembly, JM, E158, Altr. Enrg. Distribution"</f>
        <v>Assembly, JM, E158, Altr. Enrg. Distribution</v>
      </c>
      <c r="C785" s="44">
        <v>1334</v>
      </c>
      <c r="D785" t="str">
        <f>"Inactive"</f>
        <v>Inactive</v>
      </c>
    </row>
    <row r="786" spans="1:4" ht="18" customHeight="1">
      <c r="A786" t="str">
        <f>"26-ME10-0000"</f>
        <v>26-ME10-0000</v>
      </c>
      <c r="B786" t="str">
        <f>"Assembly, JM, Bench Two-Student Add-on, basic"</f>
        <v>Assembly, JM, Bench Two-Student Add-on, basic</v>
      </c>
      <c r="C786" s="44">
        <v>16000</v>
      </c>
      <c r="D786" t="str">
        <f t="shared" ref="D786:D803" si="34">"Active"</f>
        <v>Active</v>
      </c>
    </row>
    <row r="787" spans="1:4" ht="18" customHeight="1">
      <c r="A787" t="str">
        <f>"26-ME10-1000"</f>
        <v>26-ME10-1000</v>
      </c>
      <c r="B787" t="str">
        <f>"Assembly, JM, Mechanical Bench, basic component"</f>
        <v>Assembly, JM, Mechanical Bench, basic component</v>
      </c>
      <c r="C787" s="44">
        <v>21334</v>
      </c>
      <c r="D787" t="str">
        <f t="shared" si="34"/>
        <v>Active</v>
      </c>
    </row>
    <row r="788" spans="1:4" ht="18" customHeight="1">
      <c r="A788" t="str">
        <f>"26-ME13-0000"</f>
        <v>26-ME13-0000</v>
      </c>
      <c r="B788" t="str">
        <f>"Assembly, JM, Bearing Two-Student Add-on, basic"</f>
        <v>Assembly, JM, Bearing Two-Student Add-on, basic</v>
      </c>
      <c r="C788" s="44">
        <v>4667</v>
      </c>
      <c r="D788" t="str">
        <f t="shared" si="34"/>
        <v>Active</v>
      </c>
    </row>
    <row r="789" spans="1:4" ht="18" customHeight="1">
      <c r="A789" t="str">
        <f>"26-ME13-1000"</f>
        <v>26-ME13-1000</v>
      </c>
      <c r="B789" t="str">
        <f>"Assembly, JM, Bearing Cart, basic components"</f>
        <v>Assembly, JM, Bearing Cart, basic components</v>
      </c>
      <c r="C789" s="44">
        <v>6667</v>
      </c>
      <c r="D789" t="str">
        <f t="shared" si="34"/>
        <v>Active</v>
      </c>
    </row>
    <row r="790" spans="1:4" ht="18" customHeight="1">
      <c r="A790" t="str">
        <f>"270-1905"</f>
        <v>270-1905</v>
      </c>
      <c r="B790" t="str">
        <f>"VEX, REC 1 Bundle Kit, Cortex"</f>
        <v>VEX, REC 1 Bundle Kit, Cortex</v>
      </c>
      <c r="C790">
        <v>800</v>
      </c>
      <c r="D790" t="str">
        <f t="shared" si="34"/>
        <v>Active</v>
      </c>
    </row>
    <row r="791" spans="1:4" ht="18" customHeight="1">
      <c r="A791" t="str">
        <f>"270-1906"</f>
        <v>270-1906</v>
      </c>
      <c r="B791" t="str">
        <f>"VEX, REC 2 Bundle Kit, Cortex"</f>
        <v>VEX, REC 2 Bundle Kit, Cortex</v>
      </c>
      <c r="C791">
        <v>414</v>
      </c>
      <c r="D791" t="str">
        <f t="shared" si="34"/>
        <v>Active</v>
      </c>
    </row>
    <row r="792" spans="1:4" ht="18" customHeight="1">
      <c r="A792" t="str">
        <f>"276-1491"</f>
        <v>276-1491</v>
      </c>
      <c r="B792" t="str">
        <f>"VEX, 7.2V Robot Battery NiMH 3000mAh"</f>
        <v>VEX, 7.2V Robot Battery NiMH 3000mAh</v>
      </c>
      <c r="C792">
        <v>29.99</v>
      </c>
      <c r="D792" t="str">
        <f t="shared" si="34"/>
        <v>Active</v>
      </c>
    </row>
    <row r="793" spans="1:4" ht="18" customHeight="1">
      <c r="A793" t="str">
        <f>"276-1926"</f>
        <v>276-1926</v>
      </c>
      <c r="B793" t="str">
        <f>"VEX, Linear Motion Kit"</f>
        <v>VEX, Linear Motion Kit</v>
      </c>
      <c r="C793">
        <v>24.99</v>
      </c>
      <c r="D793" t="str">
        <f t="shared" si="34"/>
        <v>Active</v>
      </c>
    </row>
    <row r="794" spans="1:4" ht="18" customHeight="1">
      <c r="A794" t="str">
        <f>"276-2700"</f>
        <v>276-2700</v>
      </c>
      <c r="B794" t="str">
        <f>"VEX, Dual Control Starter Kit"</f>
        <v>VEX, Dual Control Starter Kit</v>
      </c>
      <c r="C794">
        <v>500</v>
      </c>
      <c r="D794" t="str">
        <f t="shared" si="34"/>
        <v>Active</v>
      </c>
    </row>
    <row r="795" spans="1:4" ht="18" customHeight="1">
      <c r="A795" t="str">
        <f>"276-2750"</f>
        <v>276-2750</v>
      </c>
      <c r="B795" t="str">
        <f>"VEX, Programming Control Starter Kit"</f>
        <v>VEX, Programming Control Starter Kit</v>
      </c>
      <c r="C795">
        <v>400</v>
      </c>
      <c r="D795" t="str">
        <f t="shared" si="34"/>
        <v>Active</v>
      </c>
    </row>
    <row r="796" spans="1:4" ht="18" customHeight="1">
      <c r="A796" t="str">
        <f>"276-2800"</f>
        <v>276-2800</v>
      </c>
      <c r="B796" t="str">
        <f>"VEX, Classroom and Competition Mechatronics Kit"</f>
        <v>VEX, Classroom and Competition Mechatronics Kit</v>
      </c>
      <c r="C796">
        <v>800</v>
      </c>
      <c r="D796" t="str">
        <f t="shared" si="34"/>
        <v>Active</v>
      </c>
    </row>
    <row r="797" spans="1:4" ht="18" customHeight="1">
      <c r="A797" t="str">
        <f>"276-2900"</f>
        <v>276-2900</v>
      </c>
      <c r="B797" t="str">
        <f>"VEX, Classroom and Competition Programming Kit"</f>
        <v>VEX, Classroom and Competition Programming Kit</v>
      </c>
      <c r="C797">
        <v>800</v>
      </c>
      <c r="D797" t="str">
        <f t="shared" si="34"/>
        <v>Active</v>
      </c>
    </row>
    <row r="798" spans="1:4" ht="18" customHeight="1">
      <c r="A798" t="str">
        <f>"276-2906"</f>
        <v>276-2906</v>
      </c>
      <c r="B798" t="str">
        <f>"VEX, C-Channel 1x2x1x35 (2-pack)"</f>
        <v>VEX, C-Channel 1x2x1x35 (2-pack)</v>
      </c>
      <c r="C798">
        <v>8.99</v>
      </c>
      <c r="D798" t="str">
        <f t="shared" si="34"/>
        <v>Active</v>
      </c>
    </row>
    <row r="799" spans="1:4" ht="18" customHeight="1">
      <c r="A799" t="str">
        <f>"276-3000"</f>
        <v>276-3000</v>
      </c>
      <c r="B799" t="str">
        <f>"VEX, Classroom &amp; Competition Super Kit"</f>
        <v>VEX, Classroom &amp; Competition Super Kit</v>
      </c>
      <c r="C799" s="44">
        <v>1000</v>
      </c>
      <c r="D799" t="str">
        <f t="shared" si="34"/>
        <v>Active</v>
      </c>
    </row>
    <row r="800" spans="1:4" ht="18" customHeight="1">
      <c r="A800" t="str">
        <f>"31-0152-0001"</f>
        <v>31-0152-0001</v>
      </c>
      <c r="B800" t="str">
        <f>"SHCS, M6 x 50 mm, Blk"</f>
        <v>SHCS, M6 x 50 mm, Blk</v>
      </c>
      <c r="C800">
        <v>1</v>
      </c>
      <c r="D800" t="str">
        <f t="shared" si="34"/>
        <v>Active</v>
      </c>
    </row>
    <row r="801" spans="1:4" ht="18" customHeight="1">
      <c r="A801" t="str">
        <f>"31-0162-0001"</f>
        <v>31-0162-0001</v>
      </c>
      <c r="B801" t="str">
        <f>"Hex Nut, M8, Blk"</f>
        <v>Hex Nut, M8, Blk</v>
      </c>
      <c r="C801">
        <v>1</v>
      </c>
      <c r="D801" t="str">
        <f t="shared" si="34"/>
        <v>Active</v>
      </c>
    </row>
    <row r="802" spans="1:4" ht="18" customHeight="1">
      <c r="A802" t="str">
        <f>"31-0164-0001"</f>
        <v>31-0164-0001</v>
      </c>
      <c r="B802" t="str">
        <f>"Hex Nut, M6 5mm H, Zinc"</f>
        <v>Hex Nut, M6 5mm H, Zinc</v>
      </c>
      <c r="C802">
        <v>1</v>
      </c>
      <c r="D802" t="str">
        <f t="shared" si="34"/>
        <v>Active</v>
      </c>
    </row>
    <row r="803" spans="1:4" ht="18" customHeight="1">
      <c r="A803" t="str">
        <f>"31-0200-0001"</f>
        <v>31-0200-0001</v>
      </c>
      <c r="B803" t="str">
        <f>"Flat Washer, M8, Zinc"</f>
        <v>Flat Washer, M8, Zinc</v>
      </c>
      <c r="C803">
        <v>1</v>
      </c>
      <c r="D803" t="str">
        <f t="shared" si="34"/>
        <v>Active</v>
      </c>
    </row>
    <row r="804" spans="1:4" ht="18" customHeight="1">
      <c r="A804" t="str">
        <f>"31-1000-0212"</f>
        <v>31-1000-0212</v>
      </c>
      <c r="B804" t="str">
        <f>"Sign, Hydraulics Technology"</f>
        <v>Sign, Hydraulics Technology</v>
      </c>
      <c r="C804">
        <v>0</v>
      </c>
      <c r="D804" t="str">
        <f>"Inactive"</f>
        <v>Inactive</v>
      </c>
    </row>
    <row r="805" spans="1:4" ht="18" customHeight="1">
      <c r="A805" t="str">
        <f>"31-1000-0220"</f>
        <v>31-1000-0220</v>
      </c>
      <c r="B805" t="str">
        <f>"Sign, Programmable Logic Control"</f>
        <v>Sign, Programmable Logic Control</v>
      </c>
      <c r="C805">
        <v>0</v>
      </c>
      <c r="D805" t="str">
        <f>"Inactive"</f>
        <v>Inactive</v>
      </c>
    </row>
    <row r="806" spans="1:4" ht="18" customHeight="1">
      <c r="A806" t="str">
        <f>"31-1000-0225"</f>
        <v>31-1000-0225</v>
      </c>
      <c r="B806" t="str">
        <f>"Sign, Robotics and Automation"</f>
        <v>Sign, Robotics and Automation</v>
      </c>
      <c r="C806">
        <v>0</v>
      </c>
      <c r="D806" t="str">
        <f>"Inactive"</f>
        <v>Inactive</v>
      </c>
    </row>
    <row r="807" spans="1:4" ht="18" customHeight="1">
      <c r="A807" t="str">
        <f>"31-1103-0014"</f>
        <v>31-1103-0014</v>
      </c>
      <c r="B807" t="str">
        <f>"Stock, Grey PVC Cylinder, 35 mm dia x 28 mm long"</f>
        <v>Stock, Grey PVC Cylinder, 35 mm dia x 28 mm long</v>
      </c>
      <c r="C807">
        <v>7</v>
      </c>
      <c r="D807" t="str">
        <f t="shared" ref="D807:D834" si="35">"Active"</f>
        <v>Active</v>
      </c>
    </row>
    <row r="808" spans="1:4" ht="18" customHeight="1">
      <c r="A808" t="str">
        <f>"31-1103-0015"</f>
        <v>31-1103-0015</v>
      </c>
      <c r="B808" t="str">
        <f>"Stock, Grey PVC Cylinder, 26 mm dia x 28 mm long"</f>
        <v>Stock, Grey PVC Cylinder, 26 mm dia x 28 mm long</v>
      </c>
      <c r="C808">
        <v>7</v>
      </c>
      <c r="D808" t="str">
        <f t="shared" si="35"/>
        <v>Active</v>
      </c>
    </row>
    <row r="809" spans="1:4" ht="18" customHeight="1">
      <c r="A809" t="str">
        <f>"31-1402-0001"</f>
        <v>31-1402-0001</v>
      </c>
      <c r="B809" t="str">
        <f>"Dividers, Short"</f>
        <v>Dividers, Short</v>
      </c>
      <c r="C809">
        <v>5</v>
      </c>
      <c r="D809" t="str">
        <f t="shared" si="35"/>
        <v>Active</v>
      </c>
    </row>
    <row r="810" spans="1:4" ht="18" customHeight="1">
      <c r="A810" t="str">
        <f>"31-1402-0002"</f>
        <v>31-1402-0002</v>
      </c>
      <c r="B810" t="str">
        <f>"Dividers, Long"</f>
        <v>Dividers, Long</v>
      </c>
      <c r="C810">
        <v>8</v>
      </c>
      <c r="D810" t="str">
        <f t="shared" si="35"/>
        <v>Active</v>
      </c>
    </row>
    <row r="811" spans="1:4" ht="18" customHeight="1">
      <c r="A811" t="str">
        <f>"31-1402-0003"</f>
        <v>31-1402-0003</v>
      </c>
      <c r="B811" t="str">
        <f>"Pallet Pkging, Grey Tote Container"</f>
        <v>Pallet Pkging, Grey Tote Container</v>
      </c>
      <c r="C811">
        <v>25</v>
      </c>
      <c r="D811" t="str">
        <f t="shared" si="35"/>
        <v>Active</v>
      </c>
    </row>
    <row r="812" spans="1:4" ht="18" customHeight="1">
      <c r="A812" t="str">
        <f>"31-1700-0025"</f>
        <v>31-1700-0025</v>
      </c>
      <c r="B812" t="str">
        <f>"REC, 12"" Ruler"</f>
        <v>REC, 12" Ruler</v>
      </c>
      <c r="C812">
        <v>3</v>
      </c>
      <c r="D812" t="str">
        <f t="shared" si="35"/>
        <v>Active</v>
      </c>
    </row>
    <row r="813" spans="1:4" ht="18" customHeight="1">
      <c r="A813" t="str">
        <f>"31-1800-0000"</f>
        <v>31-1800-0000</v>
      </c>
      <c r="B813" t="str">
        <f>"REC, Protractor, General #29"</f>
        <v>REC, Protractor, General #29</v>
      </c>
      <c r="C813">
        <v>18</v>
      </c>
      <c r="D813" t="str">
        <f t="shared" si="35"/>
        <v>Active</v>
      </c>
    </row>
    <row r="814" spans="1:4" ht="18" customHeight="1">
      <c r="A814" t="str">
        <f>"31-1800-0001"</f>
        <v>31-1800-0001</v>
      </c>
      <c r="B814" t="str">
        <f>"REC, Stop Watch, Tenths/Second"</f>
        <v>REC, Stop Watch, Tenths/Second</v>
      </c>
      <c r="C814">
        <v>19</v>
      </c>
      <c r="D814" t="str">
        <f t="shared" si="35"/>
        <v>Active</v>
      </c>
    </row>
    <row r="815" spans="1:4" ht="18" customHeight="1">
      <c r="A815" t="str">
        <f>"31-1800-0002"</f>
        <v>31-1800-0002</v>
      </c>
      <c r="B815" t="str">
        <f>"REC, Electrical Tape, Black,3/4"" Wide"</f>
        <v>REC, Electrical Tape, Black,3/4" Wide</v>
      </c>
      <c r="C815">
        <v>6</v>
      </c>
      <c r="D815" t="str">
        <f t="shared" si="35"/>
        <v>Active</v>
      </c>
    </row>
    <row r="816" spans="1:4" ht="18" customHeight="1">
      <c r="A816" t="str">
        <f>"31-1800-0003"</f>
        <v>31-1800-0003</v>
      </c>
      <c r="B816" t="str">
        <f>"REC, Masking Tape, 1"" Wide"</f>
        <v>REC, Masking Tape, 1" Wide</v>
      </c>
      <c r="C816">
        <v>5</v>
      </c>
      <c r="D816" t="str">
        <f t="shared" si="35"/>
        <v>Active</v>
      </c>
    </row>
    <row r="817" spans="1:4" ht="18" customHeight="1">
      <c r="A817" t="str">
        <f>"31-1800-0005"</f>
        <v>31-1800-0005</v>
      </c>
      <c r="B817" t="str">
        <f>"REC, String, Construction Grade Line"</f>
        <v>REC, String, Construction Grade Line</v>
      </c>
      <c r="C817">
        <v>20</v>
      </c>
      <c r="D817" t="str">
        <f t="shared" si="35"/>
        <v>Active</v>
      </c>
    </row>
    <row r="818" spans="1:4" ht="18" customHeight="1">
      <c r="A818" t="str">
        <f>"31-1800-0006"</f>
        <v>31-1800-0006</v>
      </c>
      <c r="B818" t="str">
        <f>"REC, 5lb Plate Weight, Olympic,  2"" ID"</f>
        <v>REC, 5lb Plate Weight, Olympic,  2" ID</v>
      </c>
      <c r="C818">
        <v>12</v>
      </c>
      <c r="D818" t="str">
        <f t="shared" si="35"/>
        <v>Active</v>
      </c>
    </row>
    <row r="819" spans="1:4" ht="18" customHeight="1">
      <c r="A819" t="str">
        <f>"31-1800-0007"</f>
        <v>31-1800-0007</v>
      </c>
      <c r="B819" t="str">
        <f>"REC, Dry Erase Marker, Blk, 12 Pack"</f>
        <v>REC, Dry Erase Marker, Blk, 12 Pack</v>
      </c>
      <c r="C819">
        <v>32</v>
      </c>
      <c r="D819" t="str">
        <f t="shared" si="35"/>
        <v>Active</v>
      </c>
    </row>
    <row r="820" spans="1:4" ht="18" customHeight="1">
      <c r="A820" t="str">
        <f>"31-1800-0008"</f>
        <v>31-1800-0008</v>
      </c>
      <c r="B820" t="str">
        <f>"REC, Dry Erase Marker, Blue, 12 Pack"</f>
        <v>REC, Dry Erase Marker, Blue, 12 Pack</v>
      </c>
      <c r="C820">
        <v>32</v>
      </c>
      <c r="D820" t="str">
        <f t="shared" si="35"/>
        <v>Active</v>
      </c>
    </row>
    <row r="821" spans="1:4" ht="18" customHeight="1">
      <c r="A821" t="str">
        <f>"31-1800-0009"</f>
        <v>31-1800-0009</v>
      </c>
      <c r="B821" t="str">
        <f>"REC, Elastic Band, #16, 1/4lb Bag"</f>
        <v>REC, Elastic Band, #16, 1/4lb Bag</v>
      </c>
      <c r="C821">
        <v>2</v>
      </c>
      <c r="D821" t="str">
        <f t="shared" si="35"/>
        <v>Active</v>
      </c>
    </row>
    <row r="822" spans="1:4" ht="18" customHeight="1">
      <c r="A822" t="str">
        <f>"31-1800-0010"</f>
        <v>31-1800-0010</v>
      </c>
      <c r="B822" t="str">
        <f>"REC, 8-32 x 1"" BHCS, Box of 100"</f>
        <v>REC, 8-32 x 1" BHCS, Box of 100</v>
      </c>
      <c r="C822">
        <v>26</v>
      </c>
      <c r="D822" t="str">
        <f t="shared" si="35"/>
        <v>Active</v>
      </c>
    </row>
    <row r="823" spans="1:4" ht="18" customHeight="1">
      <c r="A823" t="str">
        <f>"31-1800-0011"</f>
        <v>31-1800-0011</v>
      </c>
      <c r="B823" t="str">
        <f>"REC, Composition Book, Engineering Notebook"</f>
        <v>REC, Composition Book, Engineering Notebook</v>
      </c>
      <c r="C823">
        <v>3</v>
      </c>
      <c r="D823" t="str">
        <f t="shared" si="35"/>
        <v>Active</v>
      </c>
    </row>
    <row r="824" spans="1:4" ht="18" customHeight="1">
      <c r="A824" t="str">
        <f>"31-1800-0012"</f>
        <v>31-1800-0012</v>
      </c>
      <c r="B824" t="str">
        <f>"REC, 3 Ring Binder, 1"""</f>
        <v>REC, 3 Ring Binder, 1"</v>
      </c>
      <c r="C824">
        <v>7</v>
      </c>
      <c r="D824" t="str">
        <f t="shared" si="35"/>
        <v>Active</v>
      </c>
    </row>
    <row r="825" spans="1:4" ht="18" customHeight="1">
      <c r="A825" t="str">
        <f>"31-1800-0013"</f>
        <v>31-1800-0013</v>
      </c>
      <c r="B825" t="str">
        <f>"REC, Tape Measure, 12 ft, Single Scale"</f>
        <v>REC, Tape Measure, 12 ft, Single Scale</v>
      </c>
      <c r="C825">
        <v>4</v>
      </c>
      <c r="D825" t="str">
        <f t="shared" si="35"/>
        <v>Active</v>
      </c>
    </row>
    <row r="826" spans="1:4" ht="18" customHeight="1">
      <c r="A826" t="str">
        <f>"32-5300-0026"</f>
        <v>32-5300-0026</v>
      </c>
      <c r="B826" t="str">
        <f>"Cable, Robot Interface, DB9F-to-Blunt,"</f>
        <v>Cable, Robot Interface, DB9F-to-Blunt,</v>
      </c>
      <c r="C826">
        <v>100</v>
      </c>
      <c r="D826" t="str">
        <f t="shared" si="35"/>
        <v>Active</v>
      </c>
    </row>
    <row r="827" spans="1:4" ht="18" customHeight="1">
      <c r="A827" t="str">
        <f>"32-5400-0633"</f>
        <v>32-5400-0633</v>
      </c>
      <c r="B827" t="str">
        <f>"Cable Assembly, EXM/SPLM, Robot/CNC Integration"</f>
        <v>Cable Assembly, EXM/SPLM, Robot/CNC Integration</v>
      </c>
      <c r="C827">
        <v>105</v>
      </c>
      <c r="D827" t="str">
        <f t="shared" si="35"/>
        <v>Active</v>
      </c>
    </row>
    <row r="828" spans="1:4" ht="18" customHeight="1">
      <c r="A828" t="str">
        <f>"324215"</f>
        <v>324215</v>
      </c>
      <c r="B828" t="str">
        <f>"Air Compressor 230V 50Hz, 48L 8Bar 50dB AC-F2-50"</f>
        <v>Air Compressor 230V 50Hz, 48L 8Bar 50dB AC-F2-50</v>
      </c>
      <c r="C828" s="44">
        <v>1875</v>
      </c>
      <c r="D828" t="str">
        <f t="shared" si="35"/>
        <v>Active</v>
      </c>
    </row>
    <row r="829" spans="1:4" ht="18" customHeight="1">
      <c r="A829" t="str">
        <f>"324721"</f>
        <v>324721</v>
      </c>
      <c r="B829" t="str">
        <f>"Multiflex termoplas.chain REX 1755 Ch. Pitch 40"</f>
        <v>Multiflex termoplas.chain REX 1755 Ch. Pitch 40</v>
      </c>
      <c r="C829">
        <v>97</v>
      </c>
      <c r="D829" t="str">
        <f t="shared" si="35"/>
        <v>Active</v>
      </c>
    </row>
    <row r="830" spans="1:4" ht="18" customHeight="1">
      <c r="A830" t="str">
        <f>"34-7018-9000"</f>
        <v>34-7018-9000</v>
      </c>
      <c r="B830" t="str">
        <f>"Install Guide Robotic Workcell"</f>
        <v>Install Guide Robotic Workcell</v>
      </c>
      <c r="C830">
        <v>0</v>
      </c>
      <c r="D830" t="str">
        <f t="shared" si="35"/>
        <v>Active</v>
      </c>
    </row>
    <row r="831" spans="1:4" ht="18" customHeight="1">
      <c r="A831" t="str">
        <f>"34-8008-9000"</f>
        <v>34-8008-9000</v>
      </c>
      <c r="B831" t="str">
        <f>"Install Guide, Hydraulics 1 w/ HydaFlex, LM Lab"</f>
        <v>Install Guide, Hydraulics 1 w/ HydaFlex, LM Lab</v>
      </c>
      <c r="C831">
        <v>0</v>
      </c>
      <c r="D831" t="str">
        <f t="shared" si="35"/>
        <v>Active</v>
      </c>
    </row>
    <row r="832" spans="1:4" ht="18" customHeight="1">
      <c r="A832" t="str">
        <f>"34-8009-9000"</f>
        <v>34-8009-9000</v>
      </c>
      <c r="B832" t="str">
        <f>"Install Guide, PLC 1 w/ MicroLogix, LM Lab"</f>
        <v>Install Guide, PLC 1 w/ MicroLogix, LM Lab</v>
      </c>
      <c r="C832">
        <v>0</v>
      </c>
      <c r="D832" t="str">
        <f t="shared" si="35"/>
        <v>Active</v>
      </c>
    </row>
    <row r="833" spans="1:4" ht="18" customHeight="1">
      <c r="A833" t="str">
        <f>"34-8030-9000"</f>
        <v>34-8030-9000</v>
      </c>
      <c r="B833" t="str">
        <f>"Install Guide, Welding w/ ER4U, LM Lab"</f>
        <v>Install Guide, Welding w/ ER4U, LM Lab</v>
      </c>
      <c r="C833">
        <v>0</v>
      </c>
      <c r="D833" t="str">
        <f t="shared" si="35"/>
        <v>Active</v>
      </c>
    </row>
    <row r="834" spans="1:4" ht="18" customHeight="1">
      <c r="A834" t="str">
        <f>"34-8082-9000"</f>
        <v>34-8082-9000</v>
      </c>
      <c r="B834" t="str">
        <f>"Install Guide, RMH1 w/ ER4U, LM Lab"</f>
        <v>Install Guide, RMH1 w/ ER4U, LM Lab</v>
      </c>
      <c r="C834">
        <v>0</v>
      </c>
      <c r="D834" t="str">
        <f t="shared" si="35"/>
        <v>Active</v>
      </c>
    </row>
    <row r="835" spans="1:4" ht="18" customHeight="1">
      <c r="A835" t="str">
        <f>"35001"</f>
        <v>35001</v>
      </c>
      <c r="B835" t="str">
        <f>"Proximity Sensor w/Power Supply for Conveyor"</f>
        <v>Proximity Sensor w/Power Supply for Conveyor</v>
      </c>
      <c r="C835">
        <v>334</v>
      </c>
      <c r="D835" t="str">
        <f>"Phase Out"</f>
        <v>Phase Out</v>
      </c>
    </row>
    <row r="836" spans="1:4" ht="18" customHeight="1">
      <c r="A836" t="str">
        <f>"36-8900-0003"</f>
        <v>36-8900-0003</v>
      </c>
      <c r="B836" t="str">
        <f>"JM, Oscilloscope, 30MHz, Analog BK"</f>
        <v>JM, Oscilloscope, 30MHz, Analog BK</v>
      </c>
      <c r="C836" s="44">
        <v>2000</v>
      </c>
      <c r="D836" t="str">
        <f t="shared" ref="D836:D867" si="36">"Active"</f>
        <v>Active</v>
      </c>
    </row>
    <row r="837" spans="1:4" ht="18" customHeight="1">
      <c r="A837" t="str">
        <f>"36-8900-0007"</f>
        <v>36-8900-0007</v>
      </c>
      <c r="B837" t="str">
        <f>"JM, Digital Multimeter, Fluke-115"</f>
        <v>JM, Digital Multimeter, Fluke-115</v>
      </c>
      <c r="C837">
        <v>575</v>
      </c>
      <c r="D837" t="str">
        <f t="shared" si="36"/>
        <v>Active</v>
      </c>
    </row>
    <row r="838" spans="1:4" ht="18" customHeight="1">
      <c r="A838" t="str">
        <f>"36-8900-0025"</f>
        <v>36-8900-0025</v>
      </c>
      <c r="B838" t="str">
        <f>"JM, Oscilloscope, 5MHz, Hand Held"</f>
        <v>JM, Oscilloscope, 5MHz, Hand Held</v>
      </c>
      <c r="C838" s="44">
        <v>2000</v>
      </c>
      <c r="D838" t="str">
        <f t="shared" si="36"/>
        <v>Active</v>
      </c>
    </row>
    <row r="839" spans="1:4" ht="18" customHeight="1">
      <c r="A839" t="str">
        <f>"36-EA01A-IG01"</f>
        <v>36-EA01A-IG01</v>
      </c>
      <c r="B839" t="str">
        <f>"JM, PDF on CD Electrical Circuits - EA01A"</f>
        <v>JM, PDF on CD Electrical Circuits - EA01A</v>
      </c>
      <c r="C839">
        <v>0</v>
      </c>
      <c r="D839" t="str">
        <f t="shared" si="36"/>
        <v>Active</v>
      </c>
    </row>
    <row r="840" spans="1:4" ht="18" customHeight="1">
      <c r="A840" t="str">
        <f>"36-EA02-IG01"</f>
        <v>36-EA02-IG01</v>
      </c>
      <c r="B840" t="str">
        <f>"JM, PDF on CD Electric Circuit Protection - EA02"</f>
        <v>JM, PDF on CD Electric Circuit Protection - EA02</v>
      </c>
      <c r="C840">
        <v>0</v>
      </c>
      <c r="D840" t="str">
        <f t="shared" si="36"/>
        <v>Active</v>
      </c>
    </row>
    <row r="841" spans="1:4" ht="18" customHeight="1">
      <c r="A841" t="str">
        <f>"36-EA03-IG01"</f>
        <v>36-EA03-IG01</v>
      </c>
      <c r="B841" t="str">
        <f>"JM, PDF on CD 3 Phase Transformers- EA03"</f>
        <v>JM, PDF on CD 3 Phase Transformers- EA03</v>
      </c>
      <c r="C841">
        <v>0</v>
      </c>
      <c r="D841" t="str">
        <f t="shared" si="36"/>
        <v>Active</v>
      </c>
    </row>
    <row r="842" spans="1:4" ht="18" customHeight="1">
      <c r="A842" t="str">
        <f>"36-EA04-IG01"</f>
        <v>36-EA04-IG01</v>
      </c>
      <c r="B842" t="str">
        <f>"JM, PDF on CD Electric Motors - EA04"</f>
        <v>JM, PDF on CD Electric Motors - EA04</v>
      </c>
      <c r="C842">
        <v>0</v>
      </c>
      <c r="D842" t="str">
        <f t="shared" si="36"/>
        <v>Active</v>
      </c>
    </row>
    <row r="843" spans="1:4" ht="18" customHeight="1">
      <c r="A843" t="str">
        <f>"36-EA07-IG01"</f>
        <v>36-EA07-IG01</v>
      </c>
      <c r="B843" t="str">
        <f>"JM, PDF on CD Electromagnetic Starters- EA04"</f>
        <v>JM, PDF on CD Electromagnetic Starters- EA04</v>
      </c>
      <c r="C843">
        <v>0</v>
      </c>
      <c r="D843" t="str">
        <f t="shared" si="36"/>
        <v>Active</v>
      </c>
    </row>
    <row r="844" spans="1:4" ht="18" customHeight="1">
      <c r="A844" t="str">
        <f>"36-EA08-IG01"</f>
        <v>36-EA08-IG01</v>
      </c>
      <c r="B844" t="str">
        <f>"JM, PDF on CD Relays and Timers - EA08"</f>
        <v>JM, PDF on CD Relays and Timers - EA08</v>
      </c>
      <c r="C844">
        <v>0</v>
      </c>
      <c r="D844" t="str">
        <f t="shared" si="36"/>
        <v>Active</v>
      </c>
    </row>
    <row r="845" spans="1:4" ht="18" customHeight="1">
      <c r="A845" t="str">
        <f>"36-EA09-IG01"</f>
        <v>36-EA09-IG01</v>
      </c>
      <c r="B845" t="str">
        <f>"JM, PDF on CD Sensors - EA09"</f>
        <v>JM, PDF on CD Sensors - EA09</v>
      </c>
      <c r="C845">
        <v>0</v>
      </c>
      <c r="D845" t="str">
        <f t="shared" si="36"/>
        <v>Active</v>
      </c>
    </row>
    <row r="846" spans="1:4" ht="18" customHeight="1">
      <c r="A846" t="str">
        <f>"36-EA11-IG01"</f>
        <v>36-EA11-IG01</v>
      </c>
      <c r="B846" t="str">
        <f>"JM, PDF on CD Solid State Voltage Starter - EA11"</f>
        <v>JM, PDF on CD Solid State Voltage Starter - EA11</v>
      </c>
      <c r="C846">
        <v>0</v>
      </c>
      <c r="D846" t="str">
        <f t="shared" si="36"/>
        <v>Active</v>
      </c>
    </row>
    <row r="847" spans="1:4" ht="18" customHeight="1">
      <c r="A847" t="str">
        <f>"36-EA12-IG01"</f>
        <v>36-EA12-IG01</v>
      </c>
      <c r="B847" t="str">
        <f>"JM, PDF on CD Variable Frequency Drive- EA12"</f>
        <v>JM, PDF on CD Variable Frequency Drive- EA12</v>
      </c>
      <c r="C847">
        <v>0</v>
      </c>
      <c r="D847" t="str">
        <f t="shared" si="36"/>
        <v>Active</v>
      </c>
    </row>
    <row r="848" spans="1:4" ht="18" customHeight="1">
      <c r="A848" t="str">
        <f>"36-EA16-IG01"</f>
        <v>36-EA16-IG01</v>
      </c>
      <c r="B848" t="str">
        <f>"JM, PDF on CD DC Motor Drives - EA16"</f>
        <v>JM, PDF on CD DC Motor Drives - EA16</v>
      </c>
      <c r="C848">
        <v>0</v>
      </c>
      <c r="D848" t="str">
        <f t="shared" si="36"/>
        <v>Active</v>
      </c>
    </row>
    <row r="849" spans="1:4" ht="18" customHeight="1">
      <c r="A849" t="str">
        <f>"36-EB01A-IG01"</f>
        <v>36-EB01A-IG01</v>
      </c>
      <c r="B849" t="str">
        <f>"JM, PDF on CD Oscilloscope - EB01A"</f>
        <v>JM, PDF on CD Oscilloscope - EB01A</v>
      </c>
      <c r="C849">
        <v>0</v>
      </c>
      <c r="D849" t="str">
        <f t="shared" si="36"/>
        <v>Active</v>
      </c>
    </row>
    <row r="850" spans="1:4" ht="18" customHeight="1">
      <c r="A850" t="str">
        <f>"36-EB01C-IG01"</f>
        <v>36-EB01C-IG01</v>
      </c>
      <c r="B850" t="str">
        <f>"JM, PDF on CD Hand Held Oscilloscope - EB01C"</f>
        <v>JM, PDF on CD Hand Held Oscilloscope - EB01C</v>
      </c>
      <c r="C850">
        <v>0</v>
      </c>
      <c r="D850" t="str">
        <f t="shared" si="36"/>
        <v>Active</v>
      </c>
    </row>
    <row r="851" spans="1:4" ht="18" customHeight="1">
      <c r="A851" t="str">
        <f>"39-0000-0029"</f>
        <v>39-0000-0029</v>
      </c>
      <c r="B851" t="str">
        <f>"Safety Glasses, clear"</f>
        <v>Safety Glasses, clear</v>
      </c>
      <c r="C851">
        <v>8</v>
      </c>
      <c r="D851" t="str">
        <f t="shared" si="36"/>
        <v>Active</v>
      </c>
    </row>
    <row r="852" spans="1:4" ht="18" customHeight="1">
      <c r="A852" t="str">
        <f>"39-0000-0074"</f>
        <v>39-0000-0074</v>
      </c>
      <c r="B852" t="str">
        <f>"Hydraulic Oil Funnel Polyethylene"</f>
        <v>Hydraulic Oil Funnel Polyethylene</v>
      </c>
      <c r="C852">
        <v>7</v>
      </c>
      <c r="D852" t="str">
        <f t="shared" si="36"/>
        <v>Active</v>
      </c>
    </row>
    <row r="853" spans="1:4" ht="18" customHeight="1">
      <c r="A853" t="str">
        <f>"39-0000-0086"</f>
        <v>39-0000-0086</v>
      </c>
      <c r="B853" t="str">
        <f>"Hydraulic Oil"</f>
        <v>Hydraulic Oil</v>
      </c>
      <c r="C853">
        <v>67</v>
      </c>
      <c r="D853" t="str">
        <f t="shared" si="36"/>
        <v>Active</v>
      </c>
    </row>
    <row r="854" spans="1:4" ht="18" customHeight="1">
      <c r="A854" t="str">
        <f>"39-0000-0088"</f>
        <v>39-0000-0088</v>
      </c>
      <c r="B854" t="str">
        <f>"REC, Precision Scale, 10 lbs x 0.1 oz"</f>
        <v>REC, Precision Scale, 10 lbs x 0.1 oz</v>
      </c>
      <c r="C854">
        <v>165</v>
      </c>
      <c r="D854" t="str">
        <f t="shared" si="36"/>
        <v>Active</v>
      </c>
    </row>
    <row r="855" spans="1:4" ht="18" customHeight="1">
      <c r="A855" t="str">
        <f>"39-0000-0090"</f>
        <v>39-0000-0090</v>
      </c>
      <c r="B855" t="str">
        <f>"REC, Spring Scale, 11 lbs x 0.1 lbs"</f>
        <v>REC, Spring Scale, 11 lbs x 0.1 lbs</v>
      </c>
      <c r="C855">
        <v>32</v>
      </c>
      <c r="D855" t="str">
        <f t="shared" si="36"/>
        <v>Active</v>
      </c>
    </row>
    <row r="856" spans="1:4" ht="18" customHeight="1">
      <c r="A856" t="str">
        <f>"410472"</f>
        <v>410472</v>
      </c>
      <c r="B856" t="str">
        <f>"RFID Tag 20"</f>
        <v>RFID Tag 20</v>
      </c>
      <c r="C856">
        <v>6</v>
      </c>
      <c r="D856" t="str">
        <f t="shared" si="36"/>
        <v>Active</v>
      </c>
    </row>
    <row r="857" spans="1:4" ht="18" customHeight="1">
      <c r="A857" t="str">
        <f>"411802"</f>
        <v>411802</v>
      </c>
      <c r="B857" t="str">
        <f>"Cable, Power American Black, 2m, 10A UL"</f>
        <v>Cable, Power American Black, 2m, 10A UL</v>
      </c>
      <c r="C857">
        <v>8</v>
      </c>
      <c r="D857" t="str">
        <f t="shared" si="36"/>
        <v>Active</v>
      </c>
    </row>
    <row r="858" spans="1:4" ht="18" customHeight="1">
      <c r="A858" t="str">
        <f>"411803"</f>
        <v>411803</v>
      </c>
      <c r="B858" t="str">
        <f>"European Power cable 220 V"</f>
        <v>European Power cable 220 V</v>
      </c>
      <c r="C858">
        <v>14</v>
      </c>
      <c r="D858" t="str">
        <f t="shared" si="36"/>
        <v>Active</v>
      </c>
    </row>
    <row r="859" spans="1:4" ht="18" customHeight="1">
      <c r="A859" t="str">
        <f>"412639"</f>
        <v>412639</v>
      </c>
      <c r="B859" t="str">
        <f>"Terminal End, 216-203 (Red)"</f>
        <v>Terminal End, 216-203 (Red)</v>
      </c>
      <c r="C859">
        <v>1</v>
      </c>
      <c r="D859" t="str">
        <f t="shared" si="36"/>
        <v>Active</v>
      </c>
    </row>
    <row r="860" spans="1:4" ht="18" customHeight="1">
      <c r="A860" t="str">
        <f>"420252"</f>
        <v>420252</v>
      </c>
      <c r="B860" t="str">
        <f>"CALIPPER -dial, streng 150MM # 57134300"</f>
        <v>CALIPPER -dial, streng 150MM # 57134300</v>
      </c>
      <c r="C860">
        <v>300</v>
      </c>
      <c r="D860" t="str">
        <f t="shared" si="36"/>
        <v>Active</v>
      </c>
    </row>
    <row r="861" spans="1:4" ht="18" customHeight="1">
      <c r="A861" t="str">
        <f>"430524"</f>
        <v>430524</v>
      </c>
      <c r="B861" t="str">
        <f>"External Step up Transformer MH5F 110/220V"</f>
        <v>External Step up Transformer MH5F 110/220V</v>
      </c>
      <c r="C861">
        <v>980</v>
      </c>
      <c r="D861" t="str">
        <f t="shared" si="36"/>
        <v>Active</v>
      </c>
    </row>
    <row r="862" spans="1:4" ht="18" customHeight="1">
      <c r="A862" t="str">
        <f>"430526"</f>
        <v>430526</v>
      </c>
      <c r="B862" t="str">
        <f>"ADAPTER 230VAC/9VDC 0.4A, P/2.1x5.5x11mm center"</f>
        <v>ADAPTER 230VAC/9VDC 0.4A, P/2.1x5.5x11mm center</v>
      </c>
      <c r="C862">
        <v>55</v>
      </c>
      <c r="D862" t="str">
        <f t="shared" si="36"/>
        <v>Active</v>
      </c>
    </row>
    <row r="863" spans="1:4" ht="18" customHeight="1">
      <c r="A863" t="str">
        <f>"430740"</f>
        <v>430740</v>
      </c>
      <c r="B863" t="str">
        <f>"PSU 48VDC 1kW , FPS1000-48/P, Lambda"</f>
        <v>PSU 48VDC 1kW , FPS1000-48/P, Lambda</v>
      </c>
      <c r="C863">
        <v>960</v>
      </c>
      <c r="D863" t="str">
        <f t="shared" si="36"/>
        <v>Active</v>
      </c>
    </row>
    <row r="864" spans="1:4" ht="18" customHeight="1">
      <c r="A864" t="str">
        <f>"430741"</f>
        <v>430741</v>
      </c>
      <c r="B864" t="str">
        <f>"AC Power Supply PWS0001AN, 220v (EUR)"</f>
        <v>AC Power Supply PWS0001AN, 220v (EUR)</v>
      </c>
      <c r="C864">
        <v>7</v>
      </c>
      <c r="D864" t="str">
        <f t="shared" si="36"/>
        <v>Active</v>
      </c>
    </row>
    <row r="865" spans="1:4" ht="18" customHeight="1">
      <c r="A865" t="str">
        <f>"430742"</f>
        <v>430742</v>
      </c>
      <c r="B865" t="str">
        <f>"""AC Power Supply Frendly PWS0002A, 220v (UK)"""</f>
        <v>"AC Power Supply Frendly PWS0002A, 220v (UK)"</v>
      </c>
      <c r="C865">
        <v>15</v>
      </c>
      <c r="D865" t="str">
        <f t="shared" si="36"/>
        <v>Active</v>
      </c>
    </row>
    <row r="866" spans="1:4" ht="18" customHeight="1">
      <c r="A866" t="str">
        <f>"430743"</f>
        <v>430743</v>
      </c>
      <c r="B866" t="str">
        <f>"""Power Supply  PWS0003A, 110V, (US)"""</f>
        <v>"Power Supply  PWS0003A, 110V, (US)"</v>
      </c>
      <c r="C866">
        <v>40</v>
      </c>
      <c r="D866" t="str">
        <f t="shared" si="36"/>
        <v>Active</v>
      </c>
    </row>
    <row r="867" spans="1:4" ht="18" customHeight="1">
      <c r="A867" t="str">
        <f>"430744"</f>
        <v>430744</v>
      </c>
      <c r="B867" t="str">
        <f>"""Transformer, 220V (EUR)"""</f>
        <v>"Transformer, 220V (EUR)"</v>
      </c>
      <c r="C867">
        <v>400</v>
      </c>
      <c r="D867" t="str">
        <f t="shared" si="36"/>
        <v>Active</v>
      </c>
    </row>
    <row r="868" spans="1:4" ht="18" customHeight="1">
      <c r="A868" t="str">
        <f>"430745"</f>
        <v>430745</v>
      </c>
      <c r="B868" t="str">
        <f>"""Transformer , 220V (UK)"""</f>
        <v>"Transformer , 220V (UK)"</v>
      </c>
      <c r="C868">
        <v>400</v>
      </c>
      <c r="D868" t="str">
        <f t="shared" ref="D868:D899" si="37">"Active"</f>
        <v>Active</v>
      </c>
    </row>
    <row r="869" spans="1:4" ht="18" customHeight="1">
      <c r="A869" t="str">
        <f>"430746"</f>
        <v>430746</v>
      </c>
      <c r="B869" t="str">
        <f>"""Transformer , 110V (US)"""</f>
        <v>"Transformer , 110V (US)"</v>
      </c>
      <c r="C869">
        <v>400</v>
      </c>
      <c r="D869" t="str">
        <f t="shared" si="37"/>
        <v>Active</v>
      </c>
    </row>
    <row r="870" spans="1:4" ht="18" customHeight="1">
      <c r="A870" t="str">
        <f>"430882"</f>
        <v>430882</v>
      </c>
      <c r="B870" t="str">
        <f>"""Pair Batterys/ER400 Robot MRK4001A,RV Powerpack"</f>
        <v>"Pair Batterys/ER400 Robot MRK4001A,RV Powerpack</v>
      </c>
      <c r="C870">
        <v>70</v>
      </c>
      <c r="D870" t="str">
        <f t="shared" si="37"/>
        <v>Active</v>
      </c>
    </row>
    <row r="871" spans="1:4" ht="18" customHeight="1">
      <c r="A871" t="str">
        <f>"430901"</f>
        <v>430901</v>
      </c>
      <c r="B871" t="str">
        <f>"Gear Motor 127.7:1,12V, GM9213E922-R1"</f>
        <v>Gear Motor 127.7:1,12V, GM9213E922-R1</v>
      </c>
      <c r="C871">
        <v>214</v>
      </c>
      <c r="D871" t="str">
        <f t="shared" si="37"/>
        <v>Active</v>
      </c>
    </row>
    <row r="872" spans="1:4" ht="18" customHeight="1">
      <c r="A872" t="str">
        <f>"430902"</f>
        <v>430902</v>
      </c>
      <c r="B872" t="str">
        <f>"Gear Motor 65.5:1,12V, GM9213F016"</f>
        <v>Gear Motor 65.5:1,12V, GM9213F016</v>
      </c>
      <c r="C872">
        <v>187</v>
      </c>
      <c r="D872" t="str">
        <f t="shared" si="37"/>
        <v>Active</v>
      </c>
    </row>
    <row r="873" spans="1:4" ht="18" customHeight="1">
      <c r="A873" t="str">
        <f>"430903"</f>
        <v>430903</v>
      </c>
      <c r="B873" t="str">
        <f>"Gear Motor 19.5:1,12V GM8712F297"</f>
        <v>Gear Motor 19.5:1,12V GM8712F297</v>
      </c>
      <c r="C873">
        <v>200</v>
      </c>
      <c r="D873" t="str">
        <f t="shared" si="37"/>
        <v>Active</v>
      </c>
    </row>
    <row r="874" spans="1:4" ht="18" customHeight="1">
      <c r="A874" t="str">
        <f>"430909"</f>
        <v>430909</v>
      </c>
      <c r="B874" t="str">
        <f>"Motor 12V, 9413G698"</f>
        <v>Motor 12V, 9413G698</v>
      </c>
      <c r="C874">
        <v>115</v>
      </c>
      <c r="D874" t="str">
        <f t="shared" si="37"/>
        <v>Active</v>
      </c>
    </row>
    <row r="875" spans="1:4" ht="18" customHeight="1">
      <c r="A875" t="str">
        <f>"430946"</f>
        <v>430946</v>
      </c>
      <c r="B875" t="str">
        <f>"Motor  12V, 9413G698 with short main shaft"</f>
        <v>Motor  12V, 9413G698 with short main shaft</v>
      </c>
      <c r="C875">
        <v>0</v>
      </c>
      <c r="D875" t="str">
        <f t="shared" si="37"/>
        <v>Active</v>
      </c>
    </row>
    <row r="876" spans="1:4" ht="18" customHeight="1">
      <c r="A876" t="str">
        <f>"434004"</f>
        <v>434004</v>
      </c>
      <c r="B876" t="str">
        <f>"Welder-Millwermatic 180 Auto-Set, 230V, 60Hz"</f>
        <v>Welder-Millwermatic 180 Auto-Set, 230V, 60Hz</v>
      </c>
      <c r="C876" s="44">
        <v>3600</v>
      </c>
      <c r="D876" t="str">
        <f t="shared" si="37"/>
        <v>Active</v>
      </c>
    </row>
    <row r="877" spans="1:4" ht="18" customHeight="1">
      <c r="A877" t="str">
        <f>"434007"</f>
        <v>434007</v>
      </c>
      <c r="B877" t="str">
        <f>"Millermatic 140 AutoSet, 115V,20A,60Hz,single-ph"</f>
        <v>Millermatic 140 AutoSet, 115V,20A,60Hz,single-ph</v>
      </c>
      <c r="C877" s="44">
        <v>2800</v>
      </c>
      <c r="D877" t="str">
        <f t="shared" si="37"/>
        <v>Active</v>
      </c>
    </row>
    <row r="878" spans="1:4" ht="18" customHeight="1">
      <c r="A878" t="str">
        <f>"434009"</f>
        <v>434009</v>
      </c>
      <c r="B878" t="str">
        <f>"Battery charger Vac RV400"</f>
        <v>Battery charger Vac RV400</v>
      </c>
      <c r="C878">
        <v>535</v>
      </c>
      <c r="D878" t="str">
        <f t="shared" si="37"/>
        <v>Active</v>
      </c>
    </row>
    <row r="879" spans="1:4" ht="18" customHeight="1">
      <c r="A879" t="str">
        <f>"48047-200"</f>
        <v>48047-200</v>
      </c>
      <c r="B879" t="str">
        <f>"Mechanism Suitcase MB-300 w/Accessories"</f>
        <v>Mechanism Suitcase MB-300 w/Accessories</v>
      </c>
      <c r="C879" s="44">
        <v>2340</v>
      </c>
      <c r="D879" t="str">
        <f t="shared" si="37"/>
        <v>Active</v>
      </c>
    </row>
    <row r="880" spans="1:4" ht="18" customHeight="1">
      <c r="A880" t="str">
        <f>"50-0001-0CNC"</f>
        <v>50-0001-0CNC</v>
      </c>
      <c r="B880" t="str">
        <f>"CNC Beginner Workshop"</f>
        <v>CNC Beginner Workshop</v>
      </c>
      <c r="C880">
        <v>995</v>
      </c>
      <c r="D880" t="str">
        <f t="shared" si="37"/>
        <v>Active</v>
      </c>
    </row>
    <row r="881" spans="1:4" ht="18" customHeight="1">
      <c r="A881" t="str">
        <f>"50-0001-0ENG"</f>
        <v>50-0001-0ENG</v>
      </c>
      <c r="B881" t="str">
        <f>"Advanced Engineering Workshop"</f>
        <v>Advanced Engineering Workshop</v>
      </c>
      <c r="C881">
        <v>995</v>
      </c>
      <c r="D881" t="str">
        <f t="shared" si="37"/>
        <v>Active</v>
      </c>
    </row>
    <row r="882" spans="1:4" ht="18" customHeight="1">
      <c r="A882" t="str">
        <f>"50-0001-0JME"</f>
        <v>50-0001-0JME</v>
      </c>
      <c r="B882" t="str">
        <f>"Job Master Electric Product Training"</f>
        <v>Job Master Electric Product Training</v>
      </c>
      <c r="C882">
        <v>995</v>
      </c>
      <c r="D882" t="str">
        <f t="shared" si="37"/>
        <v>Active</v>
      </c>
    </row>
    <row r="883" spans="1:4" ht="18" customHeight="1">
      <c r="A883" t="str">
        <f>"50-0001-0JMM"</f>
        <v>50-0001-0JMM</v>
      </c>
      <c r="B883" t="str">
        <f>"Job Master Mechanical Product Training"</f>
        <v>Job Master Mechanical Product Training</v>
      </c>
      <c r="C883">
        <v>995</v>
      </c>
      <c r="D883" t="str">
        <f t="shared" si="37"/>
        <v>Active</v>
      </c>
    </row>
    <row r="884" spans="1:4" ht="18" customHeight="1">
      <c r="A884" t="str">
        <f>"50-0001-0LMS"</f>
        <v>50-0001-0LMS</v>
      </c>
      <c r="B884" t="str">
        <f>"LM7 from a Teacher’s Perspective, Week 1"</f>
        <v>LM7 from a Teacher’s Perspective, Week 1</v>
      </c>
      <c r="C884">
        <v>495</v>
      </c>
      <c r="D884" t="str">
        <f t="shared" si="37"/>
        <v>Active</v>
      </c>
    </row>
    <row r="885" spans="1:4" ht="18" customHeight="1">
      <c r="A885" t="str">
        <f>"50-0001-0REC"</f>
        <v>50-0001-0REC</v>
      </c>
      <c r="B885" t="str">
        <f>"REC Beginner Workshop, Week 1"</f>
        <v>REC Beginner Workshop, Week 1</v>
      </c>
      <c r="C885">
        <v>995</v>
      </c>
      <c r="D885" t="str">
        <f t="shared" si="37"/>
        <v>Active</v>
      </c>
    </row>
    <row r="886" spans="1:4" ht="18" customHeight="1">
      <c r="A886" t="str">
        <f>"50-0001-0SPC"</f>
        <v>50-0001-0SPC</v>
      </c>
      <c r="B886" t="str">
        <f>"5 hr. Self-Paced PD Course"</f>
        <v>5 hr. Self-Paced PD Course</v>
      </c>
      <c r="C886">
        <v>49</v>
      </c>
      <c r="D886" t="str">
        <f t="shared" si="37"/>
        <v>Active</v>
      </c>
    </row>
    <row r="887" spans="1:4" ht="18" customHeight="1">
      <c r="A887" t="str">
        <f>"50-0001-0USU"</f>
        <v>50-0001-0USU</v>
      </c>
      <c r="B887" t="str">
        <f>"Online Teaching Methodology/Flipped Class USU"</f>
        <v>Online Teaching Methodology/Flipped Class USU</v>
      </c>
      <c r="C887">
        <v>92</v>
      </c>
      <c r="D887" t="str">
        <f t="shared" si="37"/>
        <v>Active</v>
      </c>
    </row>
    <row r="888" spans="1:4" ht="18" customHeight="1">
      <c r="A888" t="str">
        <f>"50-0002-0CNC"</f>
        <v>50-0002-0CNC</v>
      </c>
      <c r="B888" t="str">
        <f>"CNC Advanced Workshop"</f>
        <v>CNC Advanced Workshop</v>
      </c>
      <c r="C888">
        <v>695</v>
      </c>
      <c r="D888" t="str">
        <f t="shared" si="37"/>
        <v>Active</v>
      </c>
    </row>
    <row r="889" spans="1:4" ht="18" customHeight="1">
      <c r="A889" t="str">
        <f>"50-0002-0PDW"</f>
        <v>50-0002-0PDW</v>
      </c>
      <c r="B889" t="str">
        <f>"Connecting PBL and STEAM, Week 2"</f>
        <v>Connecting PBL and STEAM, Week 2</v>
      </c>
      <c r="C889">
        <v>695</v>
      </c>
      <c r="D889" t="str">
        <f t="shared" si="37"/>
        <v>Active</v>
      </c>
    </row>
    <row r="890" spans="1:4" ht="18" customHeight="1">
      <c r="A890" t="str">
        <f>"50-0002-0REC"</f>
        <v>50-0002-0REC</v>
      </c>
      <c r="B890" t="str">
        <f>"REC Advanced Workshop"</f>
        <v>REC Advanced Workshop</v>
      </c>
      <c r="C890">
        <v>695</v>
      </c>
      <c r="D890" t="str">
        <f t="shared" si="37"/>
        <v>Active</v>
      </c>
    </row>
    <row r="891" spans="1:4" ht="18" customHeight="1">
      <c r="A891" t="str">
        <f>"50-0002-0SPC"</f>
        <v>50-0002-0SPC</v>
      </c>
      <c r="B891" t="str">
        <f>"1 hr. Self-Paced PD Course"</f>
        <v>1 hr. Self-Paced PD Course</v>
      </c>
      <c r="C891">
        <v>49</v>
      </c>
      <c r="D891" t="str">
        <f t="shared" si="37"/>
        <v>Active</v>
      </c>
    </row>
    <row r="892" spans="1:4" ht="18" customHeight="1">
      <c r="A892" t="str">
        <f>"50-0002-0USU"</f>
        <v>50-0002-0USU</v>
      </c>
      <c r="B892" t="str">
        <f>"Online Strategies for Engagement/Management USU"</f>
        <v>Online Strategies for Engagement/Management USU</v>
      </c>
      <c r="C892">
        <v>92</v>
      </c>
      <c r="D892" t="str">
        <f t="shared" si="37"/>
        <v>Active</v>
      </c>
    </row>
    <row r="893" spans="1:4" ht="18" customHeight="1">
      <c r="A893" t="str">
        <f>"50-0003-0PDW"</f>
        <v>50-0003-0PDW</v>
      </c>
      <c r="B893" t="str">
        <f>"Engaging Girls in STEAM Education"</f>
        <v>Engaging Girls in STEAM Education</v>
      </c>
      <c r="C893">
        <v>695</v>
      </c>
      <c r="D893" t="str">
        <f t="shared" si="37"/>
        <v>Active</v>
      </c>
    </row>
    <row r="894" spans="1:4" ht="18" customHeight="1">
      <c r="A894" t="str">
        <f>"50-0003-0SPC"</f>
        <v>50-0003-0SPC</v>
      </c>
      <c r="B894" t="str">
        <f>"Asynchronous Course Build"</f>
        <v>Asynchronous Course Build</v>
      </c>
      <c r="C894">
        <v>49</v>
      </c>
      <c r="D894" t="str">
        <f t="shared" si="37"/>
        <v>Active</v>
      </c>
    </row>
    <row r="895" spans="1:4" ht="18" customHeight="1">
      <c r="A895" t="str">
        <f>"50-0003-0USU"</f>
        <v>50-0003-0USU</v>
      </c>
      <c r="B895" t="str">
        <f>"The 21st Century Classroom USU"</f>
        <v>The 21st Century Classroom USU</v>
      </c>
      <c r="C895">
        <v>92</v>
      </c>
      <c r="D895" t="str">
        <f t="shared" si="37"/>
        <v>Active</v>
      </c>
    </row>
    <row r="896" spans="1:4" ht="18" customHeight="1">
      <c r="A896" t="str">
        <f>"50-0003-0VEX"</f>
        <v>50-0003-0VEX</v>
      </c>
      <c r="B896" t="str">
        <f>"Exploring Robotics Using VEX IQ, Week 3"</f>
        <v>Exploring Robotics Using VEX IQ, Week 3</v>
      </c>
      <c r="C896">
        <v>995</v>
      </c>
      <c r="D896" t="str">
        <f t="shared" si="37"/>
        <v>Active</v>
      </c>
    </row>
    <row r="897" spans="1:4" ht="18" customHeight="1">
      <c r="A897" t="str">
        <f>"50-0004-0LMS"</f>
        <v>50-0004-0LMS</v>
      </c>
      <c r="B897" t="str">
        <f>"LM7 from an Administrative Perspective, Week 4"</f>
        <v>LM7 from an Administrative Perspective, Week 4</v>
      </c>
      <c r="C897">
        <v>495</v>
      </c>
      <c r="D897" t="str">
        <f t="shared" si="37"/>
        <v>Active</v>
      </c>
    </row>
    <row r="898" spans="1:4" ht="18" customHeight="1">
      <c r="A898" t="str">
        <f>"50-0004-0SPC"</f>
        <v>50-0004-0SPC</v>
      </c>
      <c r="B898" t="str">
        <f>"Asynchronous Course Delivery"</f>
        <v>Asynchronous Course Delivery</v>
      </c>
      <c r="C898" s="44">
        <v>1605</v>
      </c>
      <c r="D898" t="str">
        <f t="shared" si="37"/>
        <v>Active</v>
      </c>
    </row>
    <row r="899" spans="1:4" ht="18" customHeight="1">
      <c r="A899" t="str">
        <f>"50-0004-0WSH"</f>
        <v>50-0004-0WSH</v>
      </c>
      <c r="B899" t="str">
        <f>"½ Day Workshop"</f>
        <v>½ Day Workshop</v>
      </c>
      <c r="C899" s="44">
        <v>1895</v>
      </c>
      <c r="D899" t="str">
        <f t="shared" si="37"/>
        <v>Active</v>
      </c>
    </row>
    <row r="900" spans="1:4" ht="18" customHeight="1">
      <c r="A900" t="str">
        <f>"50-0008-0WSF"</f>
        <v>50-0008-0WSF</v>
      </c>
      <c r="B900" t="str">
        <f>"Full Day Workshop"</f>
        <v>Full Day Workshop</v>
      </c>
      <c r="C900" s="44">
        <v>2495</v>
      </c>
      <c r="D900" t="str">
        <f t="shared" ref="D900:D931" si="38">"Active"</f>
        <v>Active</v>
      </c>
    </row>
    <row r="901" spans="1:4" ht="18" customHeight="1">
      <c r="A901" t="str">
        <f>"50-0079-0000"</f>
        <v>50-0079-0000</v>
      </c>
      <c r="B901" t="str">
        <f>"Flight Ticket"</f>
        <v>Flight Ticket</v>
      </c>
      <c r="C901" s="44">
        <v>2500</v>
      </c>
      <c r="D901" t="str">
        <f t="shared" si="38"/>
        <v>Active</v>
      </c>
    </row>
    <row r="902" spans="1:4" ht="18" customHeight="1">
      <c r="A902" t="str">
        <f>"50-0080-0000"</f>
        <v>50-0080-0000</v>
      </c>
      <c r="B902" t="str">
        <f>"Travel expenses (short distance)"</f>
        <v>Travel expenses (short distance)</v>
      </c>
      <c r="C902" s="44">
        <v>1000</v>
      </c>
      <c r="D902" t="str">
        <f t="shared" si="38"/>
        <v>Active</v>
      </c>
    </row>
    <row r="903" spans="1:4" ht="18" customHeight="1">
      <c r="A903" t="str">
        <f>"50-0081-0000"</f>
        <v>50-0081-0000</v>
      </c>
      <c r="B903" t="str">
        <f>"Travel expenses - (long distance)"</f>
        <v>Travel expenses - (long distance)</v>
      </c>
      <c r="C903" s="44">
        <v>5000</v>
      </c>
      <c r="D903" t="str">
        <f t="shared" si="38"/>
        <v>Active</v>
      </c>
    </row>
    <row r="904" spans="1:4" ht="18" customHeight="1">
      <c r="A904" t="str">
        <f>"50-0092-0000"</f>
        <v>50-0092-0000</v>
      </c>
      <c r="B904" t="str">
        <f>"Interface Programming for 3rd Party CNC Machine"</f>
        <v>Interface Programming for 3rd Party CNC Machine</v>
      </c>
      <c r="C904" s="44">
        <v>2640</v>
      </c>
      <c r="D904" t="str">
        <f t="shared" si="38"/>
        <v>Active</v>
      </c>
    </row>
    <row r="905" spans="1:4" ht="18" customHeight="1">
      <c r="A905" t="str">
        <f>"50-0093-0000"</f>
        <v>50-0093-0000</v>
      </c>
      <c r="B905" t="str">
        <f>"Interface Programming for Intelitek CNC Machine"</f>
        <v>Interface Programming for Intelitek CNC Machine</v>
      </c>
      <c r="C905">
        <v>667</v>
      </c>
      <c r="D905" t="str">
        <f t="shared" si="38"/>
        <v>Active</v>
      </c>
    </row>
    <row r="906" spans="1:4" ht="18" customHeight="1">
      <c r="A906" t="str">
        <f>"50-0094-0000"</f>
        <v>50-0094-0000</v>
      </c>
      <c r="B906" t="str">
        <f>"Pre-Engineering, Design and Testing"</f>
        <v>Pre-Engineering, Design and Testing</v>
      </c>
      <c r="C906" s="44">
        <v>1735</v>
      </c>
      <c r="D906" t="str">
        <f t="shared" si="38"/>
        <v>Active</v>
      </c>
    </row>
    <row r="907" spans="1:4" ht="18" customHeight="1">
      <c r="A907" t="str">
        <f>"50-0095-0000"</f>
        <v>50-0095-0000</v>
      </c>
      <c r="B907" t="str">
        <f>"Installation at Customer Site"</f>
        <v>Installation at Customer Site</v>
      </c>
      <c r="C907" s="44">
        <v>1650</v>
      </c>
      <c r="D907" t="str">
        <f t="shared" si="38"/>
        <v>Active</v>
      </c>
    </row>
    <row r="908" spans="1:4" ht="18" customHeight="1">
      <c r="A908" t="str">
        <f>"50-0096-0000"</f>
        <v>50-0096-0000</v>
      </c>
      <c r="B908" t="str">
        <f>"Training at Customer Site (Days)"</f>
        <v>Training at Customer Site (Days)</v>
      </c>
      <c r="C908" s="44">
        <v>1650</v>
      </c>
      <c r="D908" t="str">
        <f t="shared" si="38"/>
        <v>Active</v>
      </c>
    </row>
    <row r="909" spans="1:4" ht="18" customHeight="1">
      <c r="A909" t="str">
        <f>"50-1000-0001"</f>
        <v>50-1000-0001</v>
      </c>
      <c r="B909" t="str">
        <f>"LM Mgt Sys.,1-day install &amp; trng (Internet ver)"</f>
        <v>LM Mgt Sys.,1-day install &amp; trng (Internet ver)</v>
      </c>
      <c r="C909" s="44">
        <v>1650</v>
      </c>
      <c r="D909" t="str">
        <f t="shared" si="38"/>
        <v>Active</v>
      </c>
    </row>
    <row r="910" spans="1:4" ht="18" customHeight="1">
      <c r="A910" t="str">
        <f>"50-1200-0001"</f>
        <v>50-1200-0001</v>
      </c>
      <c r="B910" t="str">
        <f>"LM7 Local Server Support- 1 year agreement"</f>
        <v>LM7 Local Server Support- 1 year agreement</v>
      </c>
      <c r="C910">
        <v>500</v>
      </c>
      <c r="D910" t="str">
        <f t="shared" si="38"/>
        <v>Active</v>
      </c>
    </row>
    <row r="911" spans="1:4" ht="18" customHeight="1">
      <c r="A911" t="str">
        <f>"50-1200-0003"</f>
        <v>50-1200-0003</v>
      </c>
      <c r="B911" t="str">
        <f>"LM7 Local support- additional 3 years agreement"</f>
        <v>LM7 Local support- additional 3 years agreement</v>
      </c>
      <c r="C911">
        <v>450</v>
      </c>
      <c r="D911" t="str">
        <f t="shared" si="38"/>
        <v>Active</v>
      </c>
    </row>
    <row r="912" spans="1:4" ht="18" customHeight="1">
      <c r="A912" t="str">
        <f>"50-1201-0001"</f>
        <v>50-1201-0001</v>
      </c>
      <c r="B912" t="str">
        <f>"LM7 Add’l 1 Yr hosting for 100 users (Renewal)"</f>
        <v>LM7 Add’l 1 Yr hosting for 100 users (Renewal)</v>
      </c>
      <c r="C912">
        <v>900</v>
      </c>
      <c r="D912" t="str">
        <f t="shared" si="38"/>
        <v>Active</v>
      </c>
    </row>
    <row r="913" spans="1:4" ht="18" customHeight="1">
      <c r="A913" t="str">
        <f>"50-1201-0003"</f>
        <v>50-1201-0003</v>
      </c>
      <c r="B913" t="str">
        <f>"LM7 Add’l 3 Yrs hosting for 100 users (Renewal)"</f>
        <v>LM7 Add’l 3 Yrs hosting for 100 users (Renewal)</v>
      </c>
      <c r="C913">
        <v>900</v>
      </c>
      <c r="D913" t="str">
        <f t="shared" si="38"/>
        <v>Active</v>
      </c>
    </row>
    <row r="914" spans="1:4" ht="18" customHeight="1">
      <c r="A914" t="str">
        <f>"50-PLTW-0001"</f>
        <v>50-PLTW-0001</v>
      </c>
      <c r="B914" t="str">
        <f>"Installation and Demonstration, PLTW"</f>
        <v>Installation and Demonstration, PLTW</v>
      </c>
      <c r="C914">
        <v>600</v>
      </c>
      <c r="D914" t="str">
        <f t="shared" si="38"/>
        <v>Active</v>
      </c>
    </row>
    <row r="915" spans="1:4" ht="18" customHeight="1">
      <c r="A915" t="str">
        <f>"63-0003-0001"</f>
        <v>63-0003-0001</v>
      </c>
      <c r="B915" t="str">
        <f>"ACTIN Additional License"</f>
        <v>ACTIN Additional License</v>
      </c>
      <c r="C915" s="44">
        <v>1000</v>
      </c>
      <c r="D915" t="str">
        <f t="shared" si="38"/>
        <v>Active</v>
      </c>
    </row>
    <row r="916" spans="1:4" ht="18" customHeight="1">
      <c r="A916" t="str">
        <f>"63-0004-0005"</f>
        <v>63-0004-0005</v>
      </c>
      <c r="B916" t="str">
        <f>"ACTIN Five (5) Seat License"</f>
        <v>ACTIN Five (5) Seat License</v>
      </c>
      <c r="C916" s="44">
        <v>2500</v>
      </c>
      <c r="D916" t="str">
        <f t="shared" si="38"/>
        <v>Active</v>
      </c>
    </row>
    <row r="917" spans="1:4" ht="18" customHeight="1">
      <c r="A917" t="str">
        <f>"63-0005-0010"</f>
        <v>63-0005-0010</v>
      </c>
      <c r="B917" t="str">
        <f>"ACTIN Ten (10) Seat License"</f>
        <v>ACTIN Ten (10) Seat License</v>
      </c>
      <c r="C917" s="44">
        <v>3500</v>
      </c>
      <c r="D917" t="str">
        <f t="shared" si="38"/>
        <v>Active</v>
      </c>
    </row>
    <row r="918" spans="1:4" ht="18" customHeight="1">
      <c r="A918" t="str">
        <f>"63-0006-0030"</f>
        <v>63-0006-0030</v>
      </c>
      <c r="B918" t="str">
        <f>"ACTIN Classroom License (up to 30)"</f>
        <v>ACTIN Classroom License (up to 30)</v>
      </c>
      <c r="C918" s="44">
        <v>6500</v>
      </c>
      <c r="D918" t="str">
        <f t="shared" si="38"/>
        <v>Active</v>
      </c>
    </row>
    <row r="919" spans="1:4" ht="18" customHeight="1">
      <c r="A919" t="str">
        <f>"63-0007-0333"</f>
        <v>63-0007-0333</v>
      </c>
      <c r="B919" t="str">
        <f>"ACTIN 3rd Party Robot Single Seat License"</f>
        <v>ACTIN 3rd Party Robot Single Seat License</v>
      </c>
      <c r="C919" s="44">
        <v>3000</v>
      </c>
      <c r="D919" t="str">
        <f t="shared" si="38"/>
        <v>Active</v>
      </c>
    </row>
    <row r="920" spans="1:4" ht="18" customHeight="1">
      <c r="A920" t="str">
        <f>"63-0201-0001"</f>
        <v>63-0201-0001</v>
      </c>
      <c r="B920" t="str">
        <f>"SLM 0200, Software Upgrade, Windows"</f>
        <v>SLM 0200, Software Upgrade, Windows</v>
      </c>
      <c r="C920">
        <v>195</v>
      </c>
      <c r="D920" t="str">
        <f t="shared" si="38"/>
        <v>Active</v>
      </c>
    </row>
    <row r="921" spans="1:4" ht="18" customHeight="1">
      <c r="A921" t="str">
        <f>"63-0401-0001"</f>
        <v>63-0401-0001</v>
      </c>
      <c r="B921" t="str">
        <f>"SLT 0400, Software Upgrade"</f>
        <v>SLT 0400, Software Upgrade</v>
      </c>
      <c r="C921">
        <v>195</v>
      </c>
      <c r="D921" t="str">
        <f t="shared" si="38"/>
        <v>Active</v>
      </c>
    </row>
    <row r="922" spans="1:4" ht="18" customHeight="1">
      <c r="A922" t="str">
        <f>"63-0601-0000"</f>
        <v>63-0601-0000</v>
      </c>
      <c r="B922" t="str">
        <f>"EXM0600, iCNC Software Upgrade"</f>
        <v>EXM0600, iCNC Software Upgrade</v>
      </c>
      <c r="C922">
        <v>195</v>
      </c>
      <c r="D922" t="str">
        <f t="shared" si="38"/>
        <v>Active</v>
      </c>
    </row>
    <row r="923" spans="1:4" ht="18" customHeight="1">
      <c r="A923" t="str">
        <f>"63-1003-0000"</f>
        <v>63-1003-0000</v>
      </c>
      <c r="B923" t="str">
        <f>"PLM1000, CNCBase Software Upgrade"</f>
        <v>PLM1000, CNCBase Software Upgrade</v>
      </c>
      <c r="C923">
        <v>195</v>
      </c>
      <c r="D923" t="str">
        <f t="shared" si="38"/>
        <v>Active</v>
      </c>
    </row>
    <row r="924" spans="1:4" ht="18" customHeight="1">
      <c r="A924" t="str">
        <f>"63-1004-0000"</f>
        <v>63-1004-0000</v>
      </c>
      <c r="B924" t="str">
        <f>"SPLM1000, iCNC Software Upgrade"</f>
        <v>SPLM1000, iCNC Software Upgrade</v>
      </c>
      <c r="C924">
        <v>195</v>
      </c>
      <c r="D924" t="str">
        <f t="shared" si="38"/>
        <v>Active</v>
      </c>
    </row>
    <row r="925" spans="1:4" ht="18" customHeight="1">
      <c r="A925" t="str">
        <f>"63-2000-HS10"</f>
        <v>63-2000-HS10</v>
      </c>
      <c r="B925" t="str">
        <f>"LabVIEW 10 seat HS License"</f>
        <v>LabVIEW 10 seat HS License</v>
      </c>
      <c r="C925" s="44">
        <v>3000</v>
      </c>
      <c r="D925" t="str">
        <f t="shared" si="38"/>
        <v>Active</v>
      </c>
    </row>
    <row r="926" spans="1:4" ht="18" customHeight="1">
      <c r="A926" t="str">
        <f>"63-2000-SE01"</f>
        <v>63-2000-SE01</v>
      </c>
      <c r="B926" t="str">
        <f>"LabVIEW Student, single seat license Annual"</f>
        <v>LabVIEW Student, single seat license Annual</v>
      </c>
      <c r="C926">
        <v>10</v>
      </c>
      <c r="D926" t="str">
        <f t="shared" si="38"/>
        <v>Active</v>
      </c>
    </row>
    <row r="927" spans="1:4" ht="18" customHeight="1">
      <c r="A927" t="str">
        <f>"63-2000-SE04"</f>
        <v>63-2000-SE04</v>
      </c>
      <c r="B927" t="str">
        <f>"LabVIEW Student, single seat license Perpetual"</f>
        <v>LabVIEW Student, single seat license Perpetual</v>
      </c>
      <c r="C927">
        <v>40</v>
      </c>
      <c r="D927" t="str">
        <f t="shared" si="38"/>
        <v>Active</v>
      </c>
    </row>
    <row r="928" spans="1:4" ht="18" customHeight="1">
      <c r="A928" t="str">
        <f>"63-2000-SITE"</f>
        <v>63-2000-SITE</v>
      </c>
      <c r="B928" t="str">
        <f>"LabVIEW Academic  license"</f>
        <v>LabVIEW Academic  license</v>
      </c>
      <c r="C928" s="44">
        <v>10675</v>
      </c>
      <c r="D928" t="str">
        <f t="shared" si="38"/>
        <v>Active</v>
      </c>
    </row>
    <row r="929" spans="1:4" ht="18" customHeight="1">
      <c r="A929" t="str">
        <f>"63-2060-4001"</f>
        <v>63-2060-4001</v>
      </c>
      <c r="B929" t="str">
        <f>"easyC V4 for Cortex, V4.x Single Seat License"</f>
        <v>easyC V4 for Cortex, V4.x Single Seat License</v>
      </c>
      <c r="C929">
        <v>75</v>
      </c>
      <c r="D929" t="str">
        <f t="shared" si="38"/>
        <v>Active</v>
      </c>
    </row>
    <row r="930" spans="1:4" ht="18" customHeight="1">
      <c r="A930" t="str">
        <f>"63-2060-4010"</f>
        <v>63-2060-4010</v>
      </c>
      <c r="B930" t="str">
        <f>"easyC V4 for Cortex, V4.0X 10 seat license"</f>
        <v>easyC V4 for Cortex, V4.0X 10 seat license</v>
      </c>
      <c r="C930">
        <v>295</v>
      </c>
      <c r="D930" t="str">
        <f t="shared" si="38"/>
        <v>Active</v>
      </c>
    </row>
    <row r="931" spans="1:4" ht="18" customHeight="1">
      <c r="A931" t="str">
        <f>"63-2060-4020"</f>
        <v>63-2060-4020</v>
      </c>
      <c r="B931" t="str">
        <f>"easyC V4 for Cortex, V4.0X 20 seat license"</f>
        <v>easyC V4 for Cortex, V4.0X 20 seat license</v>
      </c>
      <c r="C931">
        <v>445</v>
      </c>
      <c r="D931" t="str">
        <f t="shared" si="38"/>
        <v>Active</v>
      </c>
    </row>
    <row r="932" spans="1:4" ht="18" customHeight="1">
      <c r="A932" t="str">
        <f>"63-2060-4030"</f>
        <v>63-2060-4030</v>
      </c>
      <c r="B932" t="str">
        <f>"easyC V4 for Cortex, V4.0X 30 seat license"</f>
        <v>easyC V4 for Cortex, V4.0X 30 seat license</v>
      </c>
      <c r="C932">
        <v>595</v>
      </c>
      <c r="D932" t="str">
        <f t="shared" ref="D932:D963" si="39">"Active"</f>
        <v>Active</v>
      </c>
    </row>
    <row r="933" spans="1:4" ht="18" customHeight="1">
      <c r="A933" t="str">
        <f>"63-2060-4050"</f>
        <v>63-2060-4050</v>
      </c>
      <c r="B933" t="str">
        <f>"easyC V4 for Cortex, V4.0X Volume license (50+)"</f>
        <v>easyC V4 for Cortex, V4.0X Volume license (50+)</v>
      </c>
      <c r="C933">
        <v>15</v>
      </c>
      <c r="D933" t="str">
        <f t="shared" si="39"/>
        <v>Active</v>
      </c>
    </row>
    <row r="934" spans="1:4" ht="18" customHeight="1">
      <c r="A934" t="str">
        <f>"63-2060-5001"</f>
        <v>63-2060-5001</v>
      </c>
      <c r="B934" t="str">
        <f>"EasyC V5.x, Perpetual, 1 student"</f>
        <v>EasyC V5.x, Perpetual, 1 student</v>
      </c>
      <c r="C934">
        <v>75</v>
      </c>
      <c r="D934" t="str">
        <f t="shared" si="39"/>
        <v>Active</v>
      </c>
    </row>
    <row r="935" spans="1:4" ht="18" customHeight="1">
      <c r="A935" t="str">
        <f>"63-2060-5010"</f>
        <v>63-2060-5010</v>
      </c>
      <c r="B935" t="str">
        <f>"EasyC V5.x, Perpetual, 10 student"</f>
        <v>EasyC V5.x, Perpetual, 10 student</v>
      </c>
      <c r="C935">
        <v>295</v>
      </c>
      <c r="D935" t="str">
        <f t="shared" si="39"/>
        <v>Active</v>
      </c>
    </row>
    <row r="936" spans="1:4" ht="18" customHeight="1">
      <c r="A936" t="str">
        <f>"63-2060-5020"</f>
        <v>63-2060-5020</v>
      </c>
      <c r="B936" t="str">
        <f>"EasyC V5.x, Perpetual, 20 student"</f>
        <v>EasyC V5.x, Perpetual, 20 student</v>
      </c>
      <c r="C936">
        <v>445</v>
      </c>
      <c r="D936" t="str">
        <f t="shared" si="39"/>
        <v>Active</v>
      </c>
    </row>
    <row r="937" spans="1:4" ht="18" customHeight="1">
      <c r="A937" t="str">
        <f>"63-2060-5030"</f>
        <v>63-2060-5030</v>
      </c>
      <c r="B937" t="str">
        <f>"EasyC V5.x, Perpetual, 30 student"</f>
        <v>EasyC V5.x, Perpetual, 30 student</v>
      </c>
      <c r="C937">
        <v>595</v>
      </c>
      <c r="D937" t="str">
        <f t="shared" si="39"/>
        <v>Active</v>
      </c>
    </row>
    <row r="938" spans="1:4" ht="18" customHeight="1">
      <c r="A938" t="str">
        <f>"63-2060-5050"</f>
        <v>63-2060-5050</v>
      </c>
      <c r="B938" t="str">
        <f>"Perpetual Classroom  license,easyC V5 IQ&amp;Cortex"</f>
        <v>Perpetual Classroom  license,easyC V5 IQ&amp;Cortex</v>
      </c>
      <c r="C938">
        <v>15</v>
      </c>
      <c r="D938" t="str">
        <f t="shared" si="39"/>
        <v>Active</v>
      </c>
    </row>
    <row r="939" spans="1:4" ht="18" customHeight="1">
      <c r="A939" t="str">
        <f>"63-2060-5101"</f>
        <v>63-2060-5101</v>
      </c>
      <c r="B939" t="str">
        <f>"Annual Individual license, easyC V5 IQ &amp; Cortex"</f>
        <v>Annual Individual license, easyC V5 IQ &amp; Cortex</v>
      </c>
      <c r="C939">
        <v>39</v>
      </c>
      <c r="D939" t="str">
        <f t="shared" si="39"/>
        <v>Active</v>
      </c>
    </row>
    <row r="940" spans="1:4" ht="18" customHeight="1">
      <c r="A940" t="str">
        <f>"63-2060-5110"</f>
        <v>63-2060-5110</v>
      </c>
      <c r="B940" t="str">
        <f>"Annual license; 10 Seat, easyC V5 for IQ/Cortex"</f>
        <v>Annual license; 10 Seat, easyC V5 for IQ/Cortex</v>
      </c>
      <c r="C940">
        <v>249</v>
      </c>
      <c r="D940" t="str">
        <f t="shared" si="39"/>
        <v>Active</v>
      </c>
    </row>
    <row r="941" spans="1:4" ht="18" customHeight="1">
      <c r="A941" t="str">
        <f>"63-2060-5130"</f>
        <v>63-2060-5130</v>
      </c>
      <c r="B941" t="str">
        <f>"Annual license; 30 Seat, easyC V5 for IQ/Cortex"</f>
        <v>Annual license; 30 Seat, easyC V5 for IQ/Cortex</v>
      </c>
      <c r="C941">
        <v>395</v>
      </c>
      <c r="D941" t="str">
        <f t="shared" si="39"/>
        <v>Active</v>
      </c>
    </row>
    <row r="942" spans="1:4" ht="18" customHeight="1">
      <c r="A942" t="str">
        <f>"63-3003-0000"</f>
        <v>63-3003-0000</v>
      </c>
      <c r="B942" t="str">
        <f>"PLT3000, CNCBase Software Upgrade"</f>
        <v>PLT3000, CNCBase Software Upgrade</v>
      </c>
      <c r="C942">
        <v>195</v>
      </c>
      <c r="D942" t="str">
        <f t="shared" si="39"/>
        <v>Active</v>
      </c>
    </row>
    <row r="943" spans="1:4" ht="18" customHeight="1">
      <c r="A943" t="str">
        <f>"63-4000-0001"</f>
        <v>63-4000-0001</v>
      </c>
      <c r="B943" t="str">
        <f>"Pro Landscape Single Seat - Educational"</f>
        <v>Pro Landscape Single Seat - Educational</v>
      </c>
      <c r="C943">
        <v>600</v>
      </c>
      <c r="D943" t="str">
        <f t="shared" si="39"/>
        <v>Active</v>
      </c>
    </row>
    <row r="944" spans="1:4" ht="18" customHeight="1">
      <c r="A944" t="str">
        <f>"63-4000-2000"</f>
        <v>63-4000-2000</v>
      </c>
      <c r="B944" t="str">
        <f>"Pro Landscape High School License - Educational"</f>
        <v>Pro Landscape High School License - Educational</v>
      </c>
      <c r="C944" s="44">
        <v>3200</v>
      </c>
      <c r="D944" t="str">
        <f t="shared" si="39"/>
        <v>Active</v>
      </c>
    </row>
    <row r="945" spans="1:4" ht="18" customHeight="1">
      <c r="A945" t="str">
        <f>"63-4000-3000"</f>
        <v>63-4000-3000</v>
      </c>
      <c r="B945" t="str">
        <f>"Pro Landscape Post Secondary License-Educational"</f>
        <v>Pro Landscape Post Secondary License-Educational</v>
      </c>
      <c r="C945" s="44">
        <v>6400</v>
      </c>
      <c r="D945" t="str">
        <f t="shared" si="39"/>
        <v>Active</v>
      </c>
    </row>
    <row r="946" spans="1:4" ht="18" customHeight="1">
      <c r="A946" t="str">
        <f>"63-6001-1000"</f>
        <v>63-6001-1000</v>
      </c>
      <c r="B946" t="str">
        <f>"-CNCMotion Simulation Sftwr for BenchMill 6000"</f>
        <v>-CNCMotion Simulation Sftwr for BenchMill 6000</v>
      </c>
      <c r="C946">
        <v>500</v>
      </c>
      <c r="D946" t="str">
        <f t="shared" si="39"/>
        <v>Active</v>
      </c>
    </row>
    <row r="947" spans="1:4" ht="18" customHeight="1">
      <c r="A947" t="str">
        <f>"63-6001-1010"</f>
        <v>63-6001-1010</v>
      </c>
      <c r="B947" t="str">
        <f>"Ten seat license for BenchMill6000 vir.sim.cnrl"</f>
        <v>Ten seat license for BenchMill6000 vir.sim.cnrl</v>
      </c>
      <c r="C947" s="44">
        <v>1495</v>
      </c>
      <c r="D947" t="str">
        <f t="shared" si="39"/>
        <v>Active</v>
      </c>
    </row>
    <row r="948" spans="1:4" ht="18" customHeight="1">
      <c r="A948" t="str">
        <f>"63-6001-1030"</f>
        <v>63-6001-1030</v>
      </c>
      <c r="B948" t="str">
        <f>"Thirty seat license for BenchMill6000 vir.sim.cn"</f>
        <v>Thirty seat license for BenchMill6000 vir.sim.cn</v>
      </c>
      <c r="C948" s="44">
        <v>1995</v>
      </c>
      <c r="D948" t="str">
        <f t="shared" si="39"/>
        <v>Active</v>
      </c>
    </row>
    <row r="949" spans="1:4" ht="18" customHeight="1">
      <c r="A949" t="str">
        <f>"63-6001-2000"</f>
        <v>63-6001-2000</v>
      </c>
      <c r="B949" t="str">
        <f>"Fanuc Simulation Sftwr for BenchMill 6000"</f>
        <v>Fanuc Simulation Sftwr for BenchMill 6000</v>
      </c>
      <c r="C949">
        <v>500</v>
      </c>
      <c r="D949" t="str">
        <f t="shared" si="39"/>
        <v>Active</v>
      </c>
    </row>
    <row r="950" spans="1:4" ht="18" customHeight="1">
      <c r="A950" t="str">
        <f>"63-6001-2010"</f>
        <v>63-6001-2010</v>
      </c>
      <c r="B950" t="str">
        <f>"Ten seat license  Fanuc Emulator BenchMill 6000"</f>
        <v>Ten seat license  Fanuc Emulator BenchMill 6000</v>
      </c>
      <c r="C950" s="44">
        <v>1495</v>
      </c>
      <c r="D950" t="str">
        <f t="shared" si="39"/>
        <v>Active</v>
      </c>
    </row>
    <row r="951" spans="1:4" ht="18" customHeight="1">
      <c r="A951" t="str">
        <f>"63-6001-2030"</f>
        <v>63-6001-2030</v>
      </c>
      <c r="B951" t="str">
        <f>"Thirty seat license  Fanuc Emulator BenchMill 60"</f>
        <v>Thirty seat license  Fanuc Emulator BenchMill 60</v>
      </c>
      <c r="C951" s="44">
        <v>1995</v>
      </c>
      <c r="D951" t="str">
        <f t="shared" si="39"/>
        <v>Active</v>
      </c>
    </row>
    <row r="952" spans="1:4" ht="18" customHeight="1">
      <c r="A952" t="str">
        <f>"63-6723-0000"</f>
        <v>63-6723-0000</v>
      </c>
      <c r="B952" t="str">
        <f>"SpectraCAD Engraver software – Download Only"</f>
        <v>SpectraCAD Engraver software – Download Only</v>
      </c>
      <c r="C952">
        <v>500</v>
      </c>
      <c r="D952" t="str">
        <f t="shared" si="39"/>
        <v>Active</v>
      </c>
    </row>
    <row r="953" spans="1:4" ht="18" customHeight="1">
      <c r="A953" t="str">
        <f>"63-6733-0000"</f>
        <v>63-6733-0000</v>
      </c>
      <c r="B953" t="str">
        <f>"Software, SpectraCAM Milling"</f>
        <v>Software, SpectraCAM Milling</v>
      </c>
      <c r="C953">
        <v>500</v>
      </c>
      <c r="D953" t="str">
        <f t="shared" si="39"/>
        <v>Active</v>
      </c>
    </row>
    <row r="954" spans="1:4" ht="18" customHeight="1">
      <c r="A954" t="str">
        <f>"63-6743-0000"</f>
        <v>63-6743-0000</v>
      </c>
      <c r="B954" t="str">
        <f>"Software, SpectraCAM Turning"</f>
        <v>Software, SpectraCAM Turning</v>
      </c>
      <c r="C954">
        <v>500</v>
      </c>
      <c r="D954" t="str">
        <f t="shared" si="39"/>
        <v>Active</v>
      </c>
    </row>
    <row r="955" spans="1:4" ht="18" customHeight="1">
      <c r="A955" t="str">
        <f>"63-6789-1000"</f>
        <v>63-6789-1000</v>
      </c>
      <c r="B955" t="str">
        <f>"CNCMotion Software, All CNC Machines"</f>
        <v>CNCMotion Software, All CNC Machines</v>
      </c>
      <c r="C955">
        <v>500</v>
      </c>
      <c r="D955" t="str">
        <f t="shared" si="39"/>
        <v>Active</v>
      </c>
    </row>
    <row r="956" spans="1:4" ht="18" customHeight="1">
      <c r="A956" t="str">
        <f>"63-6789-2000-FA"</f>
        <v>63-6789-2000-FA</v>
      </c>
      <c r="B956" t="str">
        <f>"CNCMotion with FANUC21 Software, All CNC Machine"</f>
        <v>CNCMotion with FANUC21 Software, All CNC Machine</v>
      </c>
      <c r="C956">
        <v>500</v>
      </c>
      <c r="D956" t="str">
        <f t="shared" si="39"/>
        <v>Active</v>
      </c>
    </row>
    <row r="957" spans="1:4" ht="18" customHeight="1">
      <c r="A957" t="str">
        <f>"63-7000-0100"</f>
        <v>63-7000-0100</v>
      </c>
      <c r="B957" t="str">
        <f>"License Key for RoboCell"</f>
        <v>License Key for RoboCell</v>
      </c>
      <c r="C957">
        <v>500</v>
      </c>
      <c r="D957" t="str">
        <f t="shared" si="39"/>
        <v>Active</v>
      </c>
    </row>
    <row r="958" spans="1:4" ht="18" customHeight="1">
      <c r="A958" t="str">
        <f>"63-7000-0110"</f>
        <v>63-7000-0110</v>
      </c>
      <c r="B958" t="str">
        <f>"License Key for RoboCell, ten (10) seat license"</f>
        <v>License Key for RoboCell, ten (10) seat license</v>
      </c>
      <c r="C958" s="44">
        <v>1495</v>
      </c>
      <c r="D958" t="str">
        <f t="shared" si="39"/>
        <v>Active</v>
      </c>
    </row>
    <row r="959" spans="1:4" ht="18" customHeight="1">
      <c r="A959" t="str">
        <f>"63-7000-0130"</f>
        <v>63-7000-0130</v>
      </c>
      <c r="B959" t="str">
        <f>"License Key for RoboCell, thirty (30) seats"</f>
        <v>License Key for RoboCell, thirty (30) seats</v>
      </c>
      <c r="C959" s="44">
        <v>1995</v>
      </c>
      <c r="D959" t="str">
        <f t="shared" si="39"/>
        <v>Active</v>
      </c>
    </row>
    <row r="960" spans="1:4" ht="18" customHeight="1">
      <c r="A960" t="str">
        <f>"63-7000-1200"</f>
        <v>63-7000-1200</v>
      </c>
      <c r="B960" t="str">
        <f>"License Key For OpenCIM Online"</f>
        <v>License Key For OpenCIM Online</v>
      </c>
      <c r="C960" s="44">
        <v>16500</v>
      </c>
      <c r="D960" t="str">
        <f t="shared" si="39"/>
        <v>Active</v>
      </c>
    </row>
    <row r="961" spans="1:4" ht="18" customHeight="1">
      <c r="A961" t="str">
        <f>"63-7000-1300"</f>
        <v>63-7000-1300</v>
      </c>
      <c r="B961" t="str">
        <f>"License Key For OpenCIM OffLine"</f>
        <v>License Key For OpenCIM OffLine</v>
      </c>
      <c r="C961">
        <v>500</v>
      </c>
      <c r="D961" t="str">
        <f t="shared" si="39"/>
        <v>Active</v>
      </c>
    </row>
    <row r="962" spans="1:4" ht="18" customHeight="1">
      <c r="A962" t="str">
        <f>"63-7000-1400"</f>
        <v>63-7000-1400</v>
      </c>
      <c r="B962" t="str">
        <f>"License Key For OpenFMS Software"</f>
        <v>License Key For OpenFMS Software</v>
      </c>
      <c r="C962">
        <v>500</v>
      </c>
      <c r="D962" t="str">
        <f t="shared" si="39"/>
        <v>Active</v>
      </c>
    </row>
    <row r="963" spans="1:4" ht="18" customHeight="1">
      <c r="A963" t="str">
        <f>"63-7000-1800"</f>
        <v>63-7000-1800</v>
      </c>
      <c r="B963" t="str">
        <f>"License Key for RoboCell/SCORBASE USB Pro"</f>
        <v>License Key for RoboCell/SCORBASE USB Pro</v>
      </c>
      <c r="C963">
        <v>500</v>
      </c>
      <c r="D963" t="str">
        <f t="shared" si="39"/>
        <v>Active</v>
      </c>
    </row>
    <row r="964" spans="1:4" ht="18" customHeight="1">
      <c r="A964" t="str">
        <f>"63-7000-1810"</f>
        <v>63-7000-1810</v>
      </c>
      <c r="B964" t="str">
        <f>"RoboCell/SCORBASE USB Pro, 10 Seat License"</f>
        <v>RoboCell/SCORBASE USB Pro, 10 Seat License</v>
      </c>
      <c r="C964" s="44">
        <v>1495</v>
      </c>
      <c r="D964" t="str">
        <f t="shared" ref="D964:D990" si="40">"Active"</f>
        <v>Active</v>
      </c>
    </row>
    <row r="965" spans="1:4" ht="18" customHeight="1">
      <c r="A965" t="str">
        <f>"63-7000-1830"</f>
        <v>63-7000-1830</v>
      </c>
      <c r="B965" t="str">
        <f>"RoboCell/SCORBASE USB Pro, 30 Seat License"</f>
        <v>RoboCell/SCORBASE USB Pro, 30 Seat License</v>
      </c>
      <c r="C965" s="44">
        <v>1995</v>
      </c>
      <c r="D965" t="str">
        <f t="shared" si="40"/>
        <v>Active</v>
      </c>
    </row>
    <row r="966" spans="1:4" ht="18" customHeight="1">
      <c r="A966" t="str">
        <f>"63-7001-1000"</f>
        <v>63-7001-1000</v>
      </c>
      <c r="B966" t="str">
        <f>"-CNCMotion for BenchTurn 7000"</f>
        <v>-CNCMotion for BenchTurn 7000</v>
      </c>
      <c r="C966">
        <v>500</v>
      </c>
      <c r="D966" t="str">
        <f t="shared" si="40"/>
        <v>Active</v>
      </c>
    </row>
    <row r="967" spans="1:4" ht="18" customHeight="1">
      <c r="A967" t="str">
        <f>"63-7001-1010"</f>
        <v>63-7001-1010</v>
      </c>
      <c r="B967" t="str">
        <f>"Ten seat license Fanuc Emulator  BenchTurn 7000"</f>
        <v>Ten seat license Fanuc Emulator  BenchTurn 7000</v>
      </c>
      <c r="C967" s="44">
        <v>1495</v>
      </c>
      <c r="D967" t="str">
        <f t="shared" si="40"/>
        <v>Active</v>
      </c>
    </row>
    <row r="968" spans="1:4" ht="18" customHeight="1">
      <c r="A968" t="str">
        <f>"63-7001-2000"</f>
        <v>63-7001-2000</v>
      </c>
      <c r="B968" t="str">
        <f>"Fanuc Simulation Sftwr, BenchTurn 7000"</f>
        <v>Fanuc Simulation Sftwr, BenchTurn 7000</v>
      </c>
      <c r="C968">
        <v>500</v>
      </c>
      <c r="D968" t="str">
        <f t="shared" si="40"/>
        <v>Active</v>
      </c>
    </row>
    <row r="969" spans="1:4" ht="18" customHeight="1">
      <c r="A969" t="str">
        <f>"63-8001-1000"</f>
        <v>63-8001-1000</v>
      </c>
      <c r="B969" t="str">
        <f>"-CNCMotion for ProMill 8000"</f>
        <v>-CNCMotion for ProMill 8000</v>
      </c>
      <c r="C969">
        <v>500</v>
      </c>
      <c r="D969" t="str">
        <f t="shared" si="40"/>
        <v>Active</v>
      </c>
    </row>
    <row r="970" spans="1:4" ht="18" customHeight="1">
      <c r="A970" t="str">
        <f>"63-8001-1010"</f>
        <v>63-8001-1010</v>
      </c>
      <c r="B970" t="str">
        <f>"Ten seat license for ProMill6000 vir.sim.cnrl"</f>
        <v>Ten seat license for ProMill6000 vir.sim.cnrl</v>
      </c>
      <c r="C970" s="44">
        <v>1495</v>
      </c>
      <c r="D970" t="str">
        <f t="shared" si="40"/>
        <v>Active</v>
      </c>
    </row>
    <row r="971" spans="1:4" ht="18" customHeight="1">
      <c r="A971" t="str">
        <f>"63-8001-1030"</f>
        <v>63-8001-1030</v>
      </c>
      <c r="B971" t="str">
        <f>"Thirty seat license for ProMill6000 vir.sim.cnrl"</f>
        <v>Thirty seat license for ProMill6000 vir.sim.cnrl</v>
      </c>
      <c r="C971" s="44">
        <v>1995</v>
      </c>
      <c r="D971" t="str">
        <f t="shared" si="40"/>
        <v>Active</v>
      </c>
    </row>
    <row r="972" spans="1:4" ht="18" customHeight="1">
      <c r="A972" t="str">
        <f>"63-8801-0000"</f>
        <v>63-8801-0000</v>
      </c>
      <c r="B972" t="str">
        <f>"LMR8800, CNCBase software Upgrade"</f>
        <v>LMR8800, CNCBase software Upgrade</v>
      </c>
      <c r="C972">
        <v>195</v>
      </c>
      <c r="D972" t="str">
        <f t="shared" si="40"/>
        <v>Active</v>
      </c>
    </row>
    <row r="973" spans="1:4" ht="18" customHeight="1">
      <c r="A973" t="str">
        <f>"63-9001-1000"</f>
        <v>63-9001-1000</v>
      </c>
      <c r="B973" t="str">
        <f>"-CNCMotion for ProTurn 9000"</f>
        <v>-CNCMotion for ProTurn 9000</v>
      </c>
      <c r="C973">
        <v>500</v>
      </c>
      <c r="D973" t="str">
        <f t="shared" si="40"/>
        <v>Active</v>
      </c>
    </row>
    <row r="974" spans="1:4" ht="18" customHeight="1">
      <c r="A974" t="str">
        <f>"63-9001-1010"</f>
        <v>63-9001-1010</v>
      </c>
      <c r="B974" t="str">
        <f>"CNCMotion for ProTurn 9000, add-on License"</f>
        <v>CNCMotion for ProTurn 9000, add-on License</v>
      </c>
      <c r="C974" s="44">
        <v>1495</v>
      </c>
      <c r="D974" t="str">
        <f t="shared" si="40"/>
        <v>Active</v>
      </c>
    </row>
    <row r="975" spans="1:4" ht="18" customHeight="1">
      <c r="A975" t="str">
        <f>"63-9001-1030"</f>
        <v>63-9001-1030</v>
      </c>
      <c r="B975" t="str">
        <f>"Thirty seat license ProTurn 9000 vir.sim.cnrl"</f>
        <v>Thirty seat license ProTurn 9000 vir.sim.cnrl</v>
      </c>
      <c r="C975" s="44">
        <v>1995</v>
      </c>
      <c r="D975" t="str">
        <f t="shared" si="40"/>
        <v>Active</v>
      </c>
    </row>
    <row r="976" spans="1:4" ht="18" customHeight="1">
      <c r="A976" t="str">
        <f>"63-9072-0000"</f>
        <v>63-9072-0000</v>
      </c>
      <c r="B976" t="str">
        <f>"OpenCIM/FMS Software"</f>
        <v>OpenCIM/FMS Software</v>
      </c>
      <c r="C976" s="44">
        <v>4911</v>
      </c>
      <c r="D976" t="str">
        <f t="shared" si="40"/>
        <v>Active</v>
      </c>
    </row>
    <row r="977" spans="1:4" ht="18" customHeight="1">
      <c r="A977" t="str">
        <f>"63-9229-0000"</f>
        <v>63-9229-0000</v>
      </c>
      <c r="B977" t="str">
        <f>"ViewFlex Software (Single License incl. Dongle)"</f>
        <v>ViewFlex Software (Single License incl. Dongle)</v>
      </c>
      <c r="C977" s="44">
        <v>1780</v>
      </c>
      <c r="D977" t="str">
        <f t="shared" si="40"/>
        <v>Active</v>
      </c>
    </row>
    <row r="978" spans="1:4" ht="18" customHeight="1">
      <c r="A978" t="str">
        <f>"63-9234-0000"</f>
        <v>63-9234-0000</v>
      </c>
      <c r="B978" t="str">
        <f>"Robocell Software"</f>
        <v>Robocell Software</v>
      </c>
      <c r="C978">
        <v>500</v>
      </c>
      <c r="D978" t="str">
        <f t="shared" si="40"/>
        <v>Active</v>
      </c>
    </row>
    <row r="979" spans="1:4" ht="18" customHeight="1">
      <c r="A979" t="str">
        <f>"63-9238-0000"</f>
        <v>63-9238-0000</v>
      </c>
      <c r="B979" t="str">
        <f>"ProcessMotion Process Control"</f>
        <v>ProcessMotion Process Control</v>
      </c>
      <c r="C979">
        <v>500</v>
      </c>
      <c r="D979" t="str">
        <f t="shared" si="40"/>
        <v>Active</v>
      </c>
    </row>
    <row r="980" spans="1:4" ht="18" customHeight="1">
      <c r="A980" t="str">
        <f>"63-9239-0000"</f>
        <v>63-9239-0000</v>
      </c>
      <c r="B980" t="str">
        <f>"PneuMotion Pneumatic Simulation Software"</f>
        <v>PneuMotion Pneumatic Simulation Software</v>
      </c>
      <c r="C980">
        <v>500</v>
      </c>
      <c r="D980" t="str">
        <f t="shared" si="40"/>
        <v>Active</v>
      </c>
    </row>
    <row r="981" spans="1:4" ht="18" customHeight="1">
      <c r="A981" t="str">
        <f>"63-9240-0000"</f>
        <v>63-9240-0000</v>
      </c>
      <c r="B981" t="str">
        <f>"HydraMotion - Hydraulics Simulation Software"</f>
        <v>HydraMotion - Hydraulics Simulation Software</v>
      </c>
      <c r="C981">
        <v>500</v>
      </c>
      <c r="D981" t="str">
        <f t="shared" si="40"/>
        <v>Active</v>
      </c>
    </row>
    <row r="982" spans="1:4" ht="18" customHeight="1">
      <c r="A982" t="str">
        <f>"63-9241-0000"</f>
        <v>63-9241-0000</v>
      </c>
      <c r="B982" t="str">
        <f>"PLC Motion Simulation Software"</f>
        <v>PLC Motion Simulation Software</v>
      </c>
      <c r="C982">
        <v>500</v>
      </c>
      <c r="D982" t="str">
        <f t="shared" si="40"/>
        <v>Active</v>
      </c>
    </row>
    <row r="983" spans="1:4" ht="18" customHeight="1">
      <c r="A983" t="str">
        <f>"63-9248-0000"</f>
        <v>63-9248-0000</v>
      </c>
      <c r="B983" t="str">
        <f>"Robotic Software for Controller USB Pro"</f>
        <v>Robotic Software for Controller USB Pro</v>
      </c>
      <c r="C983">
        <v>600</v>
      </c>
      <c r="D983" t="str">
        <f t="shared" si="40"/>
        <v>Active</v>
      </c>
    </row>
    <row r="984" spans="1:4" ht="18" customHeight="1">
      <c r="A984" t="str">
        <f>"68-3501-0001"</f>
        <v>68-3501-0001</v>
      </c>
      <c r="B984" t="str">
        <f>"Coderz Student 1 yr. License"</f>
        <v>Coderz Student 1 yr. License</v>
      </c>
      <c r="C984">
        <v>50</v>
      </c>
      <c r="D984" t="str">
        <f t="shared" si="40"/>
        <v>Active</v>
      </c>
    </row>
    <row r="985" spans="1:4" ht="18" customHeight="1">
      <c r="A985" t="str">
        <f>"68-3501-0002"</f>
        <v>68-3501-0002</v>
      </c>
      <c r="B985" t="str">
        <f>"Coderz Student 2 yr. License"</f>
        <v>Coderz Student 2 yr. License</v>
      </c>
      <c r="C985">
        <v>90</v>
      </c>
      <c r="D985" t="str">
        <f t="shared" si="40"/>
        <v>Active</v>
      </c>
    </row>
    <row r="986" spans="1:4" ht="18" customHeight="1">
      <c r="A986" t="str">
        <f>"68-3501-0003"</f>
        <v>68-3501-0003</v>
      </c>
      <c r="B986" t="str">
        <f>"Coderz Student 3 yr. License"</f>
        <v>Coderz Student 3 yr. License</v>
      </c>
      <c r="C986">
        <v>120</v>
      </c>
      <c r="D986" t="str">
        <f t="shared" si="40"/>
        <v>Active</v>
      </c>
    </row>
    <row r="987" spans="1:4" ht="18" customHeight="1">
      <c r="A987" t="str">
        <f>"68-3501-0004"</f>
        <v>68-3501-0004</v>
      </c>
      <c r="B987" t="str">
        <f>"Coderz Student 4 yr. License"</f>
        <v>Coderz Student 4 yr. License</v>
      </c>
      <c r="C987">
        <v>140</v>
      </c>
      <c r="D987" t="str">
        <f t="shared" si="40"/>
        <v>Active</v>
      </c>
    </row>
    <row r="988" spans="1:4" ht="18" customHeight="1">
      <c r="A988" t="str">
        <f>"77-1200-0000"</f>
        <v>77-1200-0000</v>
      </c>
      <c r="B988" t="str">
        <f>"LearnMate 7, Local Server Setup and Activation"</f>
        <v>LearnMate 7, Local Server Setup and Activation</v>
      </c>
      <c r="C988" s="44">
        <v>2500</v>
      </c>
      <c r="D988" t="str">
        <f t="shared" si="40"/>
        <v>Active</v>
      </c>
    </row>
    <row r="989" spans="1:4" ht="18" customHeight="1">
      <c r="A989" t="str">
        <f>"77-1200-0001"</f>
        <v>77-1200-0001</v>
      </c>
      <c r="B989" t="str">
        <f>"LM7 Local Server Setup without support agreement"</f>
        <v>LM7 Local Server Setup without support agreement</v>
      </c>
      <c r="C989" s="44">
        <v>3995</v>
      </c>
      <c r="D989" t="str">
        <f t="shared" si="40"/>
        <v>Active</v>
      </c>
    </row>
    <row r="990" spans="1:4" ht="18" customHeight="1">
      <c r="A990" t="str">
        <f>"77-1201-0000"</f>
        <v>77-1201-0000</v>
      </c>
      <c r="B990" t="str">
        <f>"LM7 1st year hosting, setup &amp; support"</f>
        <v>LM7 1st year hosting, setup &amp; support</v>
      </c>
      <c r="C990" s="44">
        <v>1700</v>
      </c>
      <c r="D990" t="str">
        <f t="shared" si="40"/>
        <v>Active</v>
      </c>
    </row>
    <row r="991" spans="1:4" ht="18" customHeight="1">
      <c r="A991" t="str">
        <f>"77-1203-0000"</f>
        <v>77-1203-0000</v>
      </c>
      <c r="B991" t="str">
        <f>"LearnMate 7, 3 year 100 users hosting + support"</f>
        <v>LearnMate 7, 3 year 100 users hosting + support</v>
      </c>
      <c r="C991">
        <v>900</v>
      </c>
      <c r="D991" t="str">
        <f>"Inactive"</f>
        <v>Inactive</v>
      </c>
    </row>
    <row r="992" spans="1:4" ht="18" customHeight="1">
      <c r="A992" t="str">
        <f>"77-1204-0000"</f>
        <v>77-1204-0000</v>
      </c>
      <c r="B992" t="str">
        <f>"LearnMate 7, Hosting Setup and Activation Fee"</f>
        <v>LearnMate 7, Hosting Setup and Activation Fee</v>
      </c>
      <c r="C992" s="44">
        <v>1700</v>
      </c>
      <c r="D992" t="str">
        <f>"Inactive"</f>
        <v>Inactive</v>
      </c>
    </row>
    <row r="993" spans="1:4" ht="18" customHeight="1">
      <c r="A993" t="str">
        <f>"77-1207-1010"</f>
        <v>77-1207-1010</v>
      </c>
      <c r="B993" t="str">
        <f>"LearnMate 7, Single Class Hosted Flat Fee"</f>
        <v>LearnMate 7, Single Class Hosted Flat Fee</v>
      </c>
      <c r="C993">
        <v>300</v>
      </c>
      <c r="D993" t="str">
        <f>"New"</f>
        <v>New</v>
      </c>
    </row>
    <row r="994" spans="1:4" ht="18" customHeight="1">
      <c r="A994" t="str">
        <f>"77-1401-0000"</f>
        <v>77-1401-0000</v>
      </c>
      <c r="B994" t="str">
        <f>"LearnMate 7, Live Class add-on"</f>
        <v>LearnMate 7, Live Class add-on</v>
      </c>
      <c r="C994">
        <v>660</v>
      </c>
      <c r="D994" t="str">
        <f t="shared" ref="D994:D1000" si="41">"Active"</f>
        <v>Active</v>
      </c>
    </row>
    <row r="995" spans="1:4" ht="18" customHeight="1">
      <c r="A995" t="str">
        <f>"77-1401-0002"</f>
        <v>77-1401-0002</v>
      </c>
      <c r="B995" t="str">
        <f>"LearnMate 7,  100 users for Three  simultaneous"</f>
        <v>LearnMate 7,  100 users for Three  simultaneous</v>
      </c>
      <c r="C995" s="44">
        <v>1980</v>
      </c>
      <c r="D995" t="str">
        <f t="shared" si="41"/>
        <v>Active</v>
      </c>
    </row>
    <row r="996" spans="1:4" ht="18" customHeight="1">
      <c r="A996" t="str">
        <f>"77-3001-0000"</f>
        <v>77-3001-0000</v>
      </c>
      <c r="B996" t="str">
        <f>"LM7 Content, Vir, Auto Welding w/ER4U"</f>
        <v>LM7 Content, Vir, Auto Welding w/ER4U</v>
      </c>
      <c r="C996" s="44">
        <v>2995</v>
      </c>
      <c r="D996" t="str">
        <f t="shared" si="41"/>
        <v>Active</v>
      </c>
    </row>
    <row r="997" spans="1:4" ht="18" customHeight="1">
      <c r="A997" t="str">
        <f>"77-3001-0000ES"</f>
        <v>77-3001-0000ES</v>
      </c>
      <c r="B997" t="str">
        <f>"LM7 Content, ES, Vir, Auto Welding w/ER4U"</f>
        <v>LM7 Content, ES, Vir, Auto Welding w/ER4U</v>
      </c>
      <c r="C997" s="44">
        <v>2995</v>
      </c>
      <c r="D997" t="str">
        <f t="shared" si="41"/>
        <v>Active</v>
      </c>
    </row>
    <row r="998" spans="1:4" ht="18" customHeight="1">
      <c r="A998" t="str">
        <f>"77-3004-0001"</f>
        <v>77-3004-0001</v>
      </c>
      <c r="B998" t="str">
        <f>"LM7 Content, Vir, spectraCAD Engraving"</f>
        <v>LM7 Content, Vir, spectraCAD Engraving</v>
      </c>
      <c r="C998" s="44">
        <v>2995</v>
      </c>
      <c r="D998" t="str">
        <f t="shared" si="41"/>
        <v>Active</v>
      </c>
    </row>
    <row r="999" spans="1:4" ht="18" customHeight="1">
      <c r="A999" t="str">
        <f>"77-3004-0002"</f>
        <v>77-3004-0002</v>
      </c>
      <c r="B999" t="str">
        <f>"LM7 Content, Vir, spectraCAD Engraving (M)"</f>
        <v>LM7 Content, Vir, spectraCAD Engraving (M)</v>
      </c>
      <c r="C999" s="44">
        <v>2995</v>
      </c>
      <c r="D999" t="str">
        <f t="shared" si="41"/>
        <v>Active</v>
      </c>
    </row>
    <row r="1000" spans="1:4" ht="18" customHeight="1">
      <c r="A1000" t="str">
        <f>"77-3004-0002ES"</f>
        <v>77-3004-0002ES</v>
      </c>
      <c r="B1000" t="str">
        <f>"LM7 Content, ES, Vir, spectraCAD Engraving (M)"</f>
        <v>LM7 Content, ES, Vir, spectraCAD Engraving (M)</v>
      </c>
      <c r="C1000" s="44">
        <v>2995</v>
      </c>
      <c r="D1000" t="str">
        <f t="shared" si="41"/>
        <v>Active</v>
      </c>
    </row>
    <row r="1001" spans="1:4" ht="18" customHeight="1">
      <c r="A1001" t="str">
        <f>"77-3004-0002PT"</f>
        <v>77-3004-0002PT</v>
      </c>
      <c r="B1001" t="str">
        <f>"LM7 Content, PT, Vir, spectraCAD Engraving (M)"</f>
        <v>LM7 Content, PT, Vir, spectraCAD Engraving (M)</v>
      </c>
      <c r="C1001" s="44">
        <v>2995</v>
      </c>
      <c r="D1001" t="str">
        <f>"New"</f>
        <v>New</v>
      </c>
    </row>
    <row r="1002" spans="1:4" ht="18" customHeight="1">
      <c r="A1002" t="str">
        <f>"77-3005-0001"</f>
        <v>77-3005-0001</v>
      </c>
      <c r="B1002" t="str">
        <f>"LM7 Content, Vir, spectraCAM Milling"</f>
        <v>LM7 Content, Vir, spectraCAM Milling</v>
      </c>
      <c r="C1002" s="44">
        <v>2995</v>
      </c>
      <c r="D1002" t="str">
        <f>"Active"</f>
        <v>Active</v>
      </c>
    </row>
    <row r="1003" spans="1:4" ht="18" customHeight="1">
      <c r="A1003" t="str">
        <f>"77-3005-0002"</f>
        <v>77-3005-0002</v>
      </c>
      <c r="B1003" t="str">
        <f>"LM7 Content, Vir, spectraCAM Milling (M)"</f>
        <v>LM7 Content, Vir, spectraCAM Milling (M)</v>
      </c>
      <c r="C1003" s="44">
        <v>2995</v>
      </c>
      <c r="D1003" t="str">
        <f>"Active"</f>
        <v>Active</v>
      </c>
    </row>
    <row r="1004" spans="1:4" ht="18" customHeight="1">
      <c r="A1004" t="str">
        <f>"77-3005-0002ES"</f>
        <v>77-3005-0002ES</v>
      </c>
      <c r="B1004" t="str">
        <f>"LM7 Content, ES, Vir, spectraCAM Milling (M)"</f>
        <v>LM7 Content, ES, Vir, spectraCAM Milling (M)</v>
      </c>
      <c r="C1004" s="44">
        <v>2995</v>
      </c>
      <c r="D1004" t="str">
        <f>"Active"</f>
        <v>Active</v>
      </c>
    </row>
    <row r="1005" spans="1:4" ht="18" customHeight="1">
      <c r="A1005" t="str">
        <f>"77-3005-0002PT"</f>
        <v>77-3005-0002PT</v>
      </c>
      <c r="B1005" t="str">
        <f>"LM7 Content, PT, Vir, spectraCAM Milling (M)"</f>
        <v>LM7 Content, PT, Vir, spectraCAM Milling (M)</v>
      </c>
      <c r="C1005" s="44">
        <v>2995</v>
      </c>
      <c r="D1005" t="str">
        <f>"New"</f>
        <v>New</v>
      </c>
    </row>
    <row r="1006" spans="1:4" ht="18" customHeight="1">
      <c r="A1006" t="str">
        <f>"77-3006-0091"</f>
        <v>77-3006-0091</v>
      </c>
      <c r="B1006" t="str">
        <f>"LM7 Content, Vir, Mastercam Milling V9"</f>
        <v>LM7 Content, Vir, Mastercam Milling V9</v>
      </c>
      <c r="C1006" s="44">
        <v>2495</v>
      </c>
      <c r="D1006" t="str">
        <f>"Active"</f>
        <v>Active</v>
      </c>
    </row>
    <row r="1007" spans="1:4" ht="18" customHeight="1">
      <c r="A1007" t="str">
        <f>"77-3006-0092"</f>
        <v>77-3006-0092</v>
      </c>
      <c r="B1007" t="str">
        <f>"LM7 Content, Vir, Mastercam Milling V9 (M)"</f>
        <v>LM7 Content, Vir, Mastercam Milling V9 (M)</v>
      </c>
      <c r="C1007" s="44">
        <v>2495</v>
      </c>
      <c r="D1007" t="str">
        <f>"Active"</f>
        <v>Active</v>
      </c>
    </row>
    <row r="1008" spans="1:4" ht="18" customHeight="1">
      <c r="A1008" t="str">
        <f>"77-3007-0001"</f>
        <v>77-3007-0001</v>
      </c>
      <c r="B1008" t="str">
        <f>"LM7 Content, Vir, spectraCAM Turning"</f>
        <v>LM7 Content, Vir, spectraCAM Turning</v>
      </c>
      <c r="C1008" s="44">
        <v>2995</v>
      </c>
      <c r="D1008" t="str">
        <f>"Active"</f>
        <v>Active</v>
      </c>
    </row>
    <row r="1009" spans="1:4" ht="18" customHeight="1">
      <c r="A1009" t="str">
        <f>"77-3007-0002"</f>
        <v>77-3007-0002</v>
      </c>
      <c r="B1009" t="str">
        <f>"LM7 Content, Vir, spectraCAM Turning (M)"</f>
        <v>LM7 Content, Vir, spectraCAM Turning (M)</v>
      </c>
      <c r="C1009" s="44">
        <v>2995</v>
      </c>
      <c r="D1009" t="str">
        <f>"Active"</f>
        <v>Active</v>
      </c>
    </row>
    <row r="1010" spans="1:4" ht="18" customHeight="1">
      <c r="A1010" t="str">
        <f>"77-3007-0002ES"</f>
        <v>77-3007-0002ES</v>
      </c>
      <c r="B1010" t="str">
        <f>"LM7 Content, ES, Vir, spectraCAM Turning (M)"</f>
        <v>LM7 Content, ES, Vir, spectraCAM Turning (M)</v>
      </c>
      <c r="C1010" s="44">
        <v>2995</v>
      </c>
      <c r="D1010" t="str">
        <f>"Active"</f>
        <v>Active</v>
      </c>
    </row>
    <row r="1011" spans="1:4" ht="18" customHeight="1">
      <c r="A1011" t="str">
        <f>"77-3007-0002PT"</f>
        <v>77-3007-0002PT</v>
      </c>
      <c r="B1011" t="str">
        <f>"LM7 Content, PT, Vir, spectraCAM Turning (M)"</f>
        <v>LM7 Content, PT, Vir, spectraCAM Turning (M)</v>
      </c>
      <c r="C1011" s="44">
        <v>2995</v>
      </c>
      <c r="D1011" t="str">
        <f>"New"</f>
        <v>New</v>
      </c>
    </row>
    <row r="1012" spans="1:4" ht="18" customHeight="1">
      <c r="A1012" t="str">
        <f>"77-3008-0091"</f>
        <v>77-3008-0091</v>
      </c>
      <c r="B1012" t="str">
        <f>"LM7 Content, Vir, Mastercam Turning V9"</f>
        <v>LM7 Content, Vir, Mastercam Turning V9</v>
      </c>
      <c r="C1012" s="44">
        <v>2495</v>
      </c>
      <c r="D1012" t="str">
        <f>"Active"</f>
        <v>Active</v>
      </c>
    </row>
    <row r="1013" spans="1:4" ht="18" customHeight="1">
      <c r="A1013" t="str">
        <f>"77-3008-0092"</f>
        <v>77-3008-0092</v>
      </c>
      <c r="B1013" t="str">
        <f>"LM7 Content, Vir, Mastercam Turning V9 (M)"</f>
        <v>LM7 Content, Vir, Mastercam Turning V9 (M)</v>
      </c>
      <c r="C1013" s="44">
        <v>2495</v>
      </c>
      <c r="D1013" t="str">
        <f>"Active"</f>
        <v>Active</v>
      </c>
    </row>
    <row r="1014" spans="1:4" ht="18" customHeight="1">
      <c r="A1014" t="str">
        <f>"77-3009-0001"</f>
        <v>77-3009-0001</v>
      </c>
      <c r="B1014" t="str">
        <f>"LM7 Content, Vir, CNC Milling w/SLM"</f>
        <v>LM7 Content, Vir, CNC Milling w/SLM</v>
      </c>
      <c r="C1014" s="44">
        <v>2995</v>
      </c>
      <c r="D1014" t="str">
        <f>"Active"</f>
        <v>Active</v>
      </c>
    </row>
    <row r="1015" spans="1:4" ht="18" customHeight="1">
      <c r="A1015" t="str">
        <f>"77-3009-0002"</f>
        <v>77-3009-0002</v>
      </c>
      <c r="B1015" t="str">
        <f>"LM7 Content, Vir, CNC Milling w/SLM (M)"</f>
        <v>LM7 Content, Vir, CNC Milling w/SLM (M)</v>
      </c>
      <c r="C1015" s="44">
        <v>2995</v>
      </c>
      <c r="D1015" t="str">
        <f>"New"</f>
        <v>New</v>
      </c>
    </row>
    <row r="1016" spans="1:4" ht="18" customHeight="1">
      <c r="A1016" t="str">
        <f>"77-3010-0001"</f>
        <v>77-3010-0001</v>
      </c>
      <c r="B1016" t="str">
        <f>"LM7 Content, Vir, CNC Milling w/PLM"</f>
        <v>LM7 Content, Vir, CNC Milling w/PLM</v>
      </c>
      <c r="C1016" s="44">
        <v>2995</v>
      </c>
      <c r="D1016" t="str">
        <f>"New"</f>
        <v>New</v>
      </c>
    </row>
    <row r="1017" spans="1:4" ht="18" customHeight="1">
      <c r="A1017" t="str">
        <f>"77-3011-0001"</f>
        <v>77-3011-0001</v>
      </c>
      <c r="B1017" t="str">
        <f>"LM7 Content, Vir, CNC Turning w/SLT"</f>
        <v>LM7 Content, Vir, CNC Turning w/SLT</v>
      </c>
      <c r="C1017" s="44">
        <v>2995</v>
      </c>
      <c r="D1017" t="str">
        <f>"Active"</f>
        <v>Active</v>
      </c>
    </row>
    <row r="1018" spans="1:4" ht="18" customHeight="1">
      <c r="A1018" t="str">
        <f>"77-3011-0002"</f>
        <v>77-3011-0002</v>
      </c>
      <c r="B1018" t="str">
        <f>"LM7 Content, Vir, CNC Turning w/SLT (M)"</f>
        <v>LM7 Content, Vir, CNC Turning w/SLT (M)</v>
      </c>
      <c r="C1018" s="44">
        <v>2995</v>
      </c>
      <c r="D1018" t="str">
        <f>"New"</f>
        <v>New</v>
      </c>
    </row>
    <row r="1019" spans="1:4" ht="18" customHeight="1">
      <c r="A1019" t="str">
        <f>"77-3012-0001"</f>
        <v>77-3012-0001</v>
      </c>
      <c r="B1019" t="str">
        <f>"LM7 Content, Vir, CNC Turning w/PLT"</f>
        <v>LM7 Content, Vir, CNC Turning w/PLT</v>
      </c>
      <c r="C1019" s="44">
        <v>2995</v>
      </c>
      <c r="D1019" t="str">
        <f>"Active"</f>
        <v>Active</v>
      </c>
    </row>
    <row r="1020" spans="1:4" ht="18" customHeight="1">
      <c r="A1020" t="str">
        <f>"77-3012-0002"</f>
        <v>77-3012-0002</v>
      </c>
      <c r="B1020" t="str">
        <f>"LM7 Content, Vir, CNC Turning w/PLT (M)"</f>
        <v>LM7 Content, Vir, CNC Turning w/PLT (M)</v>
      </c>
      <c r="C1020" s="44">
        <v>2995</v>
      </c>
      <c r="D1020" t="str">
        <f>"New"</f>
        <v>New</v>
      </c>
    </row>
    <row r="1021" spans="1:4" ht="18" customHeight="1">
      <c r="A1021" t="str">
        <f>"77-3012-0002ES"</f>
        <v>77-3012-0002ES</v>
      </c>
      <c r="B1021" t="str">
        <f>"LM7 Content, ES, Vir, CNC Turning w/PLT (M)"</f>
        <v>LM7 Content, ES, Vir, CNC Turning w/PLT (M)</v>
      </c>
      <c r="C1021" s="44">
        <v>2995</v>
      </c>
      <c r="D1021" t="str">
        <f t="shared" ref="D1021:D1052" si="42">"Active"</f>
        <v>Active</v>
      </c>
    </row>
    <row r="1022" spans="1:4" ht="18" customHeight="1">
      <c r="A1022" t="str">
        <f>"77-3015-0000"</f>
        <v>77-3015-0000</v>
      </c>
      <c r="B1022" t="str">
        <f>"LM7 Content, Vir, CIM 1"</f>
        <v>LM7 Content, Vir, CIM 1</v>
      </c>
      <c r="C1022" s="44">
        <v>2995</v>
      </c>
      <c r="D1022" t="str">
        <f t="shared" si="42"/>
        <v>Active</v>
      </c>
    </row>
    <row r="1023" spans="1:4" ht="18" customHeight="1">
      <c r="A1023" t="str">
        <f>"77-3015-0000ES"</f>
        <v>77-3015-0000ES</v>
      </c>
      <c r="B1023" t="str">
        <f>"LM7 Content, ES, Vir, CIM1"</f>
        <v>LM7 Content, ES, Vir, CIM1</v>
      </c>
      <c r="C1023" s="44">
        <v>2995</v>
      </c>
      <c r="D1023" t="str">
        <f t="shared" si="42"/>
        <v>Active</v>
      </c>
    </row>
    <row r="1024" spans="1:4" ht="18" customHeight="1">
      <c r="A1024" t="str">
        <f>"77-3016-0000"</f>
        <v>77-3016-0000</v>
      </c>
      <c r="B1024" t="str">
        <f>"LM7 Content, Vir, CIM 2"</f>
        <v>LM7 Content, Vir, CIM 2</v>
      </c>
      <c r="C1024" s="44">
        <v>2495</v>
      </c>
      <c r="D1024" t="str">
        <f t="shared" si="42"/>
        <v>Active</v>
      </c>
    </row>
    <row r="1025" spans="1:4" ht="18" customHeight="1">
      <c r="A1025" t="str">
        <f>"77-3016-0000ES"</f>
        <v>77-3016-0000ES</v>
      </c>
      <c r="B1025" t="str">
        <f>"LM7 Content, ES, Vir, CIM 2"</f>
        <v>LM7 Content, ES, Vir, CIM 2</v>
      </c>
      <c r="C1025" s="44">
        <v>2495</v>
      </c>
      <c r="D1025" t="str">
        <f t="shared" si="42"/>
        <v>Active</v>
      </c>
    </row>
    <row r="1026" spans="1:4" ht="18" customHeight="1">
      <c r="A1026" t="str">
        <f>"77-3019-0000"</f>
        <v>77-3019-0000</v>
      </c>
      <c r="B1026" t="str">
        <f>"LM7 Content, Vir, Fundamentals of Electronics"</f>
        <v>LM7 Content, Vir, Fundamentals of Electronics</v>
      </c>
      <c r="C1026" s="44">
        <v>2995</v>
      </c>
      <c r="D1026" t="str">
        <f t="shared" si="42"/>
        <v>Active</v>
      </c>
    </row>
    <row r="1027" spans="1:4" ht="18" customHeight="1">
      <c r="A1027" t="str">
        <f>"77-3019-0000ES"</f>
        <v>77-3019-0000ES</v>
      </c>
      <c r="B1027" t="str">
        <f>"LM7 Content, ES, Vir,Fundamentals of Electronics"</f>
        <v>LM7 Content, ES, Vir,Fundamentals of Electronics</v>
      </c>
      <c r="C1027" s="44">
        <v>2995</v>
      </c>
      <c r="D1027" t="str">
        <f t="shared" si="42"/>
        <v>Active</v>
      </c>
    </row>
    <row r="1028" spans="1:4" ht="18" customHeight="1">
      <c r="A1028" t="str">
        <f>"77-3019-0000PT"</f>
        <v>77-3019-0000PT</v>
      </c>
      <c r="B1028" t="str">
        <f>"LM7 Content, PT, Vir,Fundamentals of Electronics"</f>
        <v>LM7 Content, PT, Vir,Fundamentals of Electronics</v>
      </c>
      <c r="C1028" s="44">
        <v>2995</v>
      </c>
      <c r="D1028" t="str">
        <f t="shared" si="42"/>
        <v>Active</v>
      </c>
    </row>
    <row r="1029" spans="1:4" ht="18" customHeight="1">
      <c r="A1029" t="str">
        <f>"77-3020-0000"</f>
        <v>77-3020-0000</v>
      </c>
      <c r="B1029" t="str">
        <f>"LM7 Content, Vir, Advanced Electronics"</f>
        <v>LM7 Content, Vir, Advanced Electronics</v>
      </c>
      <c r="C1029" s="44">
        <v>2995</v>
      </c>
      <c r="D1029" t="str">
        <f t="shared" si="42"/>
        <v>Active</v>
      </c>
    </row>
    <row r="1030" spans="1:4" ht="18" customHeight="1">
      <c r="A1030" t="str">
        <f>"77-3020-0000ES"</f>
        <v>77-3020-0000ES</v>
      </c>
      <c r="B1030" t="str">
        <f>"LM7 Content, ES, Vir, Advanced Electronics"</f>
        <v>LM7 Content, ES, Vir, Advanced Electronics</v>
      </c>
      <c r="C1030" s="44">
        <v>2995</v>
      </c>
      <c r="D1030" t="str">
        <f t="shared" si="42"/>
        <v>Active</v>
      </c>
    </row>
    <row r="1031" spans="1:4" ht="18" customHeight="1">
      <c r="A1031" t="str">
        <f>"77-3020-0000PT"</f>
        <v>77-3020-0000PT</v>
      </c>
      <c r="B1031" t="str">
        <f>"LM7 Content, PT, Vir, Advanced Electronics"</f>
        <v>LM7 Content, PT, Vir, Advanced Electronics</v>
      </c>
      <c r="C1031" s="44">
        <v>2995</v>
      </c>
      <c r="D1031" t="str">
        <f t="shared" si="42"/>
        <v>Active</v>
      </c>
    </row>
    <row r="1032" spans="1:4" ht="18" customHeight="1">
      <c r="A1032" t="str">
        <f>"77-3021-0000"</f>
        <v>77-3021-0000</v>
      </c>
      <c r="B1032" t="str">
        <f>"LM7 Content, Vir, Fiber Optics"</f>
        <v>LM7 Content, Vir, Fiber Optics</v>
      </c>
      <c r="C1032" s="44">
        <v>2995</v>
      </c>
      <c r="D1032" t="str">
        <f t="shared" si="42"/>
        <v>Active</v>
      </c>
    </row>
    <row r="1033" spans="1:4" ht="18" customHeight="1">
      <c r="A1033" t="str">
        <f>"77-3022-0000"</f>
        <v>77-3022-0000</v>
      </c>
      <c r="B1033" t="str">
        <f>"LM7 Content, Vir, Flexible Manufacturing Sys"</f>
        <v>LM7 Content, Vir, Flexible Manufacturing Sys</v>
      </c>
      <c r="C1033" s="44">
        <v>2995</v>
      </c>
      <c r="D1033" t="str">
        <f t="shared" si="42"/>
        <v>Active</v>
      </c>
    </row>
    <row r="1034" spans="1:4" ht="18" customHeight="1">
      <c r="A1034" t="str">
        <f>"77-3022-0000ES"</f>
        <v>77-3022-0000ES</v>
      </c>
      <c r="B1034" t="str">
        <f>"LM7 Content, ES, Vir, Flexible Manufacturing Sys"</f>
        <v>LM7 Content, ES, Vir, Flexible Manufacturing Sys</v>
      </c>
      <c r="C1034" s="44">
        <v>2995</v>
      </c>
      <c r="D1034" t="str">
        <f t="shared" si="42"/>
        <v>Active</v>
      </c>
    </row>
    <row r="1035" spans="1:4" ht="18" customHeight="1">
      <c r="A1035" t="str">
        <f>"77-3025-0000"</f>
        <v>77-3025-0000</v>
      </c>
      <c r="B1035" t="str">
        <f>"LM7 Content, Vir, Hydraulics 2"</f>
        <v>LM7 Content, Vir, Hydraulics 2</v>
      </c>
      <c r="C1035" s="44">
        <v>2495</v>
      </c>
      <c r="D1035" t="str">
        <f t="shared" si="42"/>
        <v>Active</v>
      </c>
    </row>
    <row r="1036" spans="1:4" ht="18" customHeight="1">
      <c r="A1036" t="str">
        <f>"77-3025-0000ES"</f>
        <v>77-3025-0000ES</v>
      </c>
      <c r="B1036" t="str">
        <f>"LM7 Content, ES, Vir, Hydraulics 2"</f>
        <v>LM7 Content, ES, Vir, Hydraulics 2</v>
      </c>
      <c r="C1036">
        <v>700</v>
      </c>
      <c r="D1036" t="str">
        <f t="shared" si="42"/>
        <v>Active</v>
      </c>
    </row>
    <row r="1037" spans="1:4" ht="18" customHeight="1">
      <c r="A1037" t="str">
        <f>"77-3025-0000PT"</f>
        <v>77-3025-0000PT</v>
      </c>
      <c r="B1037" t="str">
        <f>"LM7 Content, PT, Vir, Hydraulics 2"</f>
        <v>LM7 Content, PT, Vir, Hydraulics 2</v>
      </c>
      <c r="C1037" s="44">
        <v>2495</v>
      </c>
      <c r="D1037" t="str">
        <f t="shared" si="42"/>
        <v>Active</v>
      </c>
    </row>
    <row r="1038" spans="1:4" ht="18" customHeight="1">
      <c r="A1038" t="str">
        <f>"77-3026-0000"</f>
        <v>77-3026-0000</v>
      </c>
      <c r="B1038" t="str">
        <f>"LM7 Content, Vir, Advanced  Electro-hydraulics 3"</f>
        <v>LM7 Content, Vir, Advanced  Electro-hydraulics 3</v>
      </c>
      <c r="C1038" s="44">
        <v>2495</v>
      </c>
      <c r="D1038" t="str">
        <f t="shared" si="42"/>
        <v>Active</v>
      </c>
    </row>
    <row r="1039" spans="1:4" ht="18" customHeight="1">
      <c r="A1039" t="str">
        <f>"77-3026-0000ES"</f>
        <v>77-3026-0000ES</v>
      </c>
      <c r="B1039" t="str">
        <f>"LM7 Content, ES, Vir, Adv. Electro-hydraulics 3"</f>
        <v>LM7 Content, ES, Vir, Adv. Electro-hydraulics 3</v>
      </c>
      <c r="C1039">
        <v>700</v>
      </c>
      <c r="D1039" t="str">
        <f t="shared" si="42"/>
        <v>Active</v>
      </c>
    </row>
    <row r="1040" spans="1:4" ht="18" customHeight="1">
      <c r="A1040" t="str">
        <f>"77-3027-0000"</f>
        <v>77-3027-0000</v>
      </c>
      <c r="B1040" t="str">
        <f>"LM7 Content, Vir, Vision &amp; Image Process."</f>
        <v>LM7 Content, Vir, Vision &amp; Image Process.</v>
      </c>
      <c r="C1040" s="44">
        <v>2995</v>
      </c>
      <c r="D1040" t="str">
        <f t="shared" si="42"/>
        <v>Active</v>
      </c>
    </row>
    <row r="1041" spans="1:4" ht="18" customHeight="1">
      <c r="A1041" t="str">
        <f>"77-3027-0000ES"</f>
        <v>77-3027-0000ES</v>
      </c>
      <c r="B1041" t="str">
        <f>"LM7 Content, ES, Vir, Vision &amp; Image Process"</f>
        <v>LM7 Content, ES, Vir, Vision &amp; Image Process</v>
      </c>
      <c r="C1041" s="44">
        <v>2995</v>
      </c>
      <c r="D1041" t="str">
        <f t="shared" si="42"/>
        <v>Active</v>
      </c>
    </row>
    <row r="1042" spans="1:4" ht="18" customHeight="1">
      <c r="A1042" t="str">
        <f>"77-3028-0000"</f>
        <v>77-3028-0000</v>
      </c>
      <c r="B1042" t="str">
        <f>"LM7 Content, Vir, Exploring Vision &amp; QC"</f>
        <v>LM7 Content, Vir, Exploring Vision &amp; QC</v>
      </c>
      <c r="C1042" s="44">
        <v>2995</v>
      </c>
      <c r="D1042" t="str">
        <f t="shared" si="42"/>
        <v>Active</v>
      </c>
    </row>
    <row r="1043" spans="1:4" ht="18" customHeight="1">
      <c r="A1043" t="str">
        <f>"77-3028-0000ES"</f>
        <v>77-3028-0000ES</v>
      </c>
      <c r="B1043" t="str">
        <f>"LM7 Content,ES, Vir, Exploring Vision &amp; QC"</f>
        <v>LM7 Content,ES, Vir, Exploring Vision &amp; QC</v>
      </c>
      <c r="C1043">
        <v>0</v>
      </c>
      <c r="D1043" t="str">
        <f t="shared" si="42"/>
        <v>Active</v>
      </c>
    </row>
    <row r="1044" spans="1:4" ht="18" customHeight="1">
      <c r="A1044" t="str">
        <f>"77-3029-0000"</f>
        <v>77-3029-0000</v>
      </c>
      <c r="B1044" t="str">
        <f>"LM7 Content, Vir, Materials Testing"</f>
        <v>LM7 Content, Vir, Materials Testing</v>
      </c>
      <c r="C1044" s="44">
        <v>2995</v>
      </c>
      <c r="D1044" t="str">
        <f t="shared" si="42"/>
        <v>Active</v>
      </c>
    </row>
    <row r="1045" spans="1:4" ht="18" customHeight="1">
      <c r="A1045" t="str">
        <f>"77-3029-0000ES"</f>
        <v>77-3029-0000ES</v>
      </c>
      <c r="B1045" t="str">
        <f>"LM7 Content, ES, Vir, Materials Testing"</f>
        <v>LM7 Content, ES, Vir, Materials Testing</v>
      </c>
      <c r="C1045" s="44">
        <v>2995</v>
      </c>
      <c r="D1045" t="str">
        <f t="shared" si="42"/>
        <v>Active</v>
      </c>
    </row>
    <row r="1046" spans="1:4" ht="18" customHeight="1">
      <c r="A1046" t="str">
        <f>"77-3032-0000"</f>
        <v>77-3032-0000</v>
      </c>
      <c r="B1046" t="str">
        <f>"LM7 Content, Lab/Vir, PLC Technology 1"</f>
        <v>LM7 Content, Lab/Vir, PLC Technology 1</v>
      </c>
      <c r="C1046" s="44">
        <v>2995</v>
      </c>
      <c r="D1046" t="str">
        <f t="shared" si="42"/>
        <v>Active</v>
      </c>
    </row>
    <row r="1047" spans="1:4" ht="18" customHeight="1">
      <c r="A1047" t="str">
        <f>"77-3032-0000ES"</f>
        <v>77-3032-0000ES</v>
      </c>
      <c r="B1047" t="str">
        <f>"LM7 Content, ES, Lab/Vir, PLC Technology 1"</f>
        <v>LM7 Content, ES, Lab/Vir, PLC Technology 1</v>
      </c>
      <c r="C1047" s="44">
        <v>2495</v>
      </c>
      <c r="D1047" t="str">
        <f t="shared" si="42"/>
        <v>Active</v>
      </c>
    </row>
    <row r="1048" spans="1:4" ht="18" customHeight="1">
      <c r="A1048" t="str">
        <f>"77-3032-0000PT"</f>
        <v>77-3032-0000PT</v>
      </c>
      <c r="B1048" t="str">
        <f>"LM7 Content, PT, Lab/Vir, PLC Technology 1"</f>
        <v>LM7 Content, PT, Lab/Vir, PLC Technology 1</v>
      </c>
      <c r="C1048" s="44">
        <v>2495</v>
      </c>
      <c r="D1048" t="str">
        <f t="shared" si="42"/>
        <v>Active</v>
      </c>
    </row>
    <row r="1049" spans="1:4" ht="18" customHeight="1">
      <c r="A1049" t="str">
        <f>"77-3033-0000"</f>
        <v>77-3033-0000</v>
      </c>
      <c r="B1049" t="str">
        <f>"LM7 Content, Lab/Vir, PLC Technology 2"</f>
        <v>LM7 Content, Lab/Vir, PLC Technology 2</v>
      </c>
      <c r="C1049" s="44">
        <v>2495</v>
      </c>
      <c r="D1049" t="str">
        <f t="shared" si="42"/>
        <v>Active</v>
      </c>
    </row>
    <row r="1050" spans="1:4" ht="18" customHeight="1">
      <c r="A1050" t="str">
        <f>"77-3033-0000ES"</f>
        <v>77-3033-0000ES</v>
      </c>
      <c r="B1050" t="str">
        <f>"LM7 Content, ES, Lab/Vir, PLC Technology 2"</f>
        <v>LM7 Content, ES, Lab/Vir, PLC Technology 2</v>
      </c>
      <c r="C1050" s="44">
        <v>2495</v>
      </c>
      <c r="D1050" t="str">
        <f t="shared" si="42"/>
        <v>Active</v>
      </c>
    </row>
    <row r="1051" spans="1:4" ht="18" customHeight="1">
      <c r="A1051" t="str">
        <f>"77-3033-0000PT"</f>
        <v>77-3033-0000PT</v>
      </c>
      <c r="B1051" t="str">
        <f>"LM7 Content, PT, Lab/Vir, PLC Technology 2"</f>
        <v>LM7 Content, PT, Lab/Vir, PLC Technology 2</v>
      </c>
      <c r="C1051" s="44">
        <v>2495</v>
      </c>
      <c r="D1051" t="str">
        <f t="shared" si="42"/>
        <v>Active</v>
      </c>
    </row>
    <row r="1052" spans="1:4" ht="18" customHeight="1">
      <c r="A1052" t="str">
        <f>"77-3034-0000"</f>
        <v>77-3034-0000</v>
      </c>
      <c r="B1052" t="str">
        <f>"LM7 Content, Vir, PLC Technology 3"</f>
        <v>LM7 Content, Vir, PLC Technology 3</v>
      </c>
      <c r="C1052" s="44">
        <v>2495</v>
      </c>
      <c r="D1052" t="str">
        <f t="shared" si="42"/>
        <v>Active</v>
      </c>
    </row>
    <row r="1053" spans="1:4" ht="18" customHeight="1">
      <c r="A1053" t="str">
        <f>"77-3034-0000PT"</f>
        <v>77-3034-0000PT</v>
      </c>
      <c r="B1053" t="str">
        <f>"LM7 Content, PT, Vir, PLC Technology 3"</f>
        <v>LM7 Content, PT, Vir, PLC Technology 3</v>
      </c>
      <c r="C1053" s="44">
        <v>2495</v>
      </c>
      <c r="D1053" t="str">
        <f t="shared" ref="D1053:D1084" si="43">"Active"</f>
        <v>Active</v>
      </c>
    </row>
    <row r="1054" spans="1:4" ht="18" customHeight="1">
      <c r="A1054" t="str">
        <f>"77-3035-0000"</f>
        <v>77-3035-0000</v>
      </c>
      <c r="B1054" t="str">
        <f>"LM7 Content, Vir, PLC Technology 4"</f>
        <v>LM7 Content, Vir, PLC Technology 4</v>
      </c>
      <c r="C1054" s="44">
        <v>2495</v>
      </c>
      <c r="D1054" t="str">
        <f t="shared" si="43"/>
        <v>Active</v>
      </c>
    </row>
    <row r="1055" spans="1:4" ht="18" customHeight="1">
      <c r="A1055" t="str">
        <f>"77-3035-0000PT"</f>
        <v>77-3035-0000PT</v>
      </c>
      <c r="B1055" t="str">
        <f>"LM7 Content, PT, Vir, PLC Technology 4"</f>
        <v>LM7 Content, PT, Vir, PLC Technology 4</v>
      </c>
      <c r="C1055" s="44">
        <v>2495</v>
      </c>
      <c r="D1055" t="str">
        <f t="shared" si="43"/>
        <v>Active</v>
      </c>
    </row>
    <row r="1056" spans="1:4" ht="18" customHeight="1">
      <c r="A1056" t="str">
        <f>"77-3039-0000"</f>
        <v>77-3039-0000</v>
      </c>
      <c r="B1056" t="str">
        <f>"LM7 Content, Vir, Electro Pneumatics 3"</f>
        <v>LM7 Content, Vir, Electro Pneumatics 3</v>
      </c>
      <c r="C1056" s="44">
        <v>2495</v>
      </c>
      <c r="D1056" t="str">
        <f t="shared" si="43"/>
        <v>Active</v>
      </c>
    </row>
    <row r="1057" spans="1:4" ht="18" customHeight="1">
      <c r="A1057" t="str">
        <f>"77-3039-0000ES"</f>
        <v>77-3039-0000ES</v>
      </c>
      <c r="B1057" t="str">
        <f>"LM7 Content, ES, Vir, Electro Pneumatics 3"</f>
        <v>LM7 Content, ES, Vir, Electro Pneumatics 3</v>
      </c>
      <c r="C1057" s="44">
        <v>2495</v>
      </c>
      <c r="D1057" t="str">
        <f t="shared" si="43"/>
        <v>Active</v>
      </c>
    </row>
    <row r="1058" spans="1:4" ht="18" customHeight="1">
      <c r="A1058" t="str">
        <f>"77-3039-0000PT"</f>
        <v>77-3039-0000PT</v>
      </c>
      <c r="B1058" t="str">
        <f>"LM7 Content, PT, Vir, Electro Pneumatics 3"</f>
        <v>LM7 Content, PT, Vir, Electro Pneumatics 3</v>
      </c>
      <c r="C1058" s="44">
        <v>2495</v>
      </c>
      <c r="D1058" t="str">
        <f t="shared" si="43"/>
        <v>Active</v>
      </c>
    </row>
    <row r="1059" spans="1:4" ht="18" customHeight="1">
      <c r="A1059" t="str">
        <f>"77-3040-0000"</f>
        <v>77-3040-0000</v>
      </c>
      <c r="B1059" t="str">
        <f>"LM7 Content, Vir, Advanced&amp;Electro Pneumatics 4"</f>
        <v>LM7 Content, Vir, Advanced&amp;Electro Pneumatics 4</v>
      </c>
      <c r="C1059" s="44">
        <v>2495</v>
      </c>
      <c r="D1059" t="str">
        <f t="shared" si="43"/>
        <v>Active</v>
      </c>
    </row>
    <row r="1060" spans="1:4" ht="18" customHeight="1">
      <c r="A1060" t="str">
        <f>"77-3040-0000ES"</f>
        <v>77-3040-0000ES</v>
      </c>
      <c r="B1060" t="str">
        <f>"LM7 Content, ES, Vir, Adv.&amp;Electro Pneumatics 4"</f>
        <v>LM7 Content, ES, Vir, Adv.&amp;Electro Pneumatics 4</v>
      </c>
      <c r="C1060" s="44">
        <v>2495</v>
      </c>
      <c r="D1060" t="str">
        <f t="shared" si="43"/>
        <v>Active</v>
      </c>
    </row>
    <row r="1061" spans="1:4" ht="18" customHeight="1">
      <c r="A1061" t="str">
        <f>"77-3041-0002"</f>
        <v>77-3041-0002</v>
      </c>
      <c r="B1061" t="str">
        <f>"LM7 Content, Vir, Process Control, Temp"</f>
        <v>LM7 Content, Vir, Process Control, Temp</v>
      </c>
      <c r="C1061" s="44">
        <v>2995</v>
      </c>
      <c r="D1061" t="str">
        <f t="shared" si="43"/>
        <v>Active</v>
      </c>
    </row>
    <row r="1062" spans="1:4" ht="18" customHeight="1">
      <c r="A1062" t="str">
        <f>"77-3043-0002"</f>
        <v>77-3043-0002</v>
      </c>
      <c r="B1062" t="str">
        <f>"LM7 Content, Vir, Process Control, Flow"</f>
        <v>LM7 Content, Vir, Process Control, Flow</v>
      </c>
      <c r="C1062" s="44">
        <v>2995</v>
      </c>
      <c r="D1062" t="str">
        <f t="shared" si="43"/>
        <v>Active</v>
      </c>
    </row>
    <row r="1063" spans="1:4" ht="18" customHeight="1">
      <c r="A1063" t="str">
        <f>"77-3043-0002ES"</f>
        <v>77-3043-0002ES</v>
      </c>
      <c r="B1063" t="str">
        <f>"LM7 Content, ES, Vir, Process Control, Flow"</f>
        <v>LM7 Content, ES, Vir, Process Control, Flow</v>
      </c>
      <c r="C1063" s="44">
        <v>2995</v>
      </c>
      <c r="D1063" t="str">
        <f t="shared" si="43"/>
        <v>Active</v>
      </c>
    </row>
    <row r="1064" spans="1:4" ht="18" customHeight="1">
      <c r="A1064" t="str">
        <f>"77-3044-0002"</f>
        <v>77-3044-0002</v>
      </c>
      <c r="B1064" t="str">
        <f>"LM7 Content, Vir, Process Cntrl, Pressure"</f>
        <v>LM7 Content, Vir, Process Cntrl, Pressure</v>
      </c>
      <c r="C1064" s="44">
        <v>2995</v>
      </c>
      <c r="D1064" t="str">
        <f t="shared" si="43"/>
        <v>Active</v>
      </c>
    </row>
    <row r="1065" spans="1:4" ht="18" customHeight="1">
      <c r="A1065" t="str">
        <f>"77-3044-0002ES"</f>
        <v>77-3044-0002ES</v>
      </c>
      <c r="B1065" t="str">
        <f>"LM7 Content, ES, Vir, Process Cntrl, Pressure"</f>
        <v>LM7 Content, ES, Vir, Process Cntrl, Pressure</v>
      </c>
      <c r="C1065" s="44">
        <v>2995</v>
      </c>
      <c r="D1065" t="str">
        <f t="shared" si="43"/>
        <v>Active</v>
      </c>
    </row>
    <row r="1066" spans="1:4" ht="18" customHeight="1">
      <c r="A1066" t="str">
        <f>"77-3045-0002"</f>
        <v>77-3045-0002</v>
      </c>
      <c r="B1066" t="str">
        <f>"LM7 Content, Vir, Process Control, Level"</f>
        <v>LM7 Content, Vir, Process Control, Level</v>
      </c>
      <c r="C1066" s="44">
        <v>2995</v>
      </c>
      <c r="D1066" t="str">
        <f t="shared" si="43"/>
        <v>Active</v>
      </c>
    </row>
    <row r="1067" spans="1:4" ht="18" customHeight="1">
      <c r="A1067" t="str">
        <f>"77-3046-0000"</f>
        <v>77-3046-0000</v>
      </c>
      <c r="B1067" t="str">
        <f>"LM7 Content, Vir, Fundamentals w/ER4U"</f>
        <v>LM7 Content, Vir, Fundamentals w/ER4U</v>
      </c>
      <c r="C1067" s="44">
        <v>2995</v>
      </c>
      <c r="D1067" t="str">
        <f t="shared" si="43"/>
        <v>Active</v>
      </c>
    </row>
    <row r="1068" spans="1:4" ht="18" customHeight="1">
      <c r="A1068" t="str">
        <f>"77-3047-0000"</f>
        <v>77-3047-0000</v>
      </c>
      <c r="B1068" t="str">
        <f>"LM7 Content, Vir, Fundamentals w/ER9"</f>
        <v>LM7 Content, Vir, Fundamentals w/ER9</v>
      </c>
      <c r="C1068" s="44">
        <v>2995</v>
      </c>
      <c r="D1068" t="str">
        <f t="shared" si="43"/>
        <v>Active</v>
      </c>
    </row>
    <row r="1069" spans="1:4" ht="18" customHeight="1">
      <c r="A1069" t="str">
        <f>"77-3047-0000ES"</f>
        <v>77-3047-0000ES</v>
      </c>
      <c r="B1069" t="str">
        <f>"LM7 Content, ES, Vir, Fundamentals w/ER9"</f>
        <v>LM7 Content, ES, Vir, Fundamentals w/ER9</v>
      </c>
      <c r="C1069" s="44">
        <v>2995</v>
      </c>
      <c r="D1069" t="str">
        <f t="shared" si="43"/>
        <v>Active</v>
      </c>
    </row>
    <row r="1070" spans="1:4" ht="18" customHeight="1">
      <c r="A1070" t="str">
        <f>"77-3048-0000"</f>
        <v>77-3048-0000</v>
      </c>
      <c r="B1070" t="str">
        <f>"LM7 Content, Vir, Advanced w/ER4U"</f>
        <v>LM7 Content, Vir, Advanced w/ER4U</v>
      </c>
      <c r="C1070" s="44">
        <v>2495</v>
      </c>
      <c r="D1070" t="str">
        <f t="shared" si="43"/>
        <v>Active</v>
      </c>
    </row>
    <row r="1071" spans="1:4" ht="18" customHeight="1">
      <c r="A1071" t="str">
        <f>"77-3049-0000"</f>
        <v>77-3049-0000</v>
      </c>
      <c r="B1071" t="str">
        <f>"LM7 Content, Vir, Advanced w/ER9"</f>
        <v>LM7 Content, Vir, Advanced w/ER9</v>
      </c>
      <c r="C1071" s="44">
        <v>2495</v>
      </c>
      <c r="D1071" t="str">
        <f t="shared" si="43"/>
        <v>Active</v>
      </c>
    </row>
    <row r="1072" spans="1:4" ht="18" customHeight="1">
      <c r="A1072" t="str">
        <f>"77-3049-0000ES"</f>
        <v>77-3049-0000ES</v>
      </c>
      <c r="B1072" t="str">
        <f>"LM7 Content, ES, Vir, Advanced w/ER9"</f>
        <v>LM7 Content, ES, Vir, Advanced w/ER9</v>
      </c>
      <c r="C1072" s="44">
        <v>2495</v>
      </c>
      <c r="D1072" t="str">
        <f t="shared" si="43"/>
        <v>Active</v>
      </c>
    </row>
    <row r="1073" spans="1:4" ht="18" customHeight="1">
      <c r="A1073" t="str">
        <f>"77-3051-0000"</f>
        <v>77-3051-0000</v>
      </c>
      <c r="B1073" t="str">
        <f>"LM7 Content, Vir, Automatic ID Systems"</f>
        <v>LM7 Content, Vir, Automatic ID Systems</v>
      </c>
      <c r="C1073" s="44">
        <v>2495</v>
      </c>
      <c r="D1073" t="str">
        <f t="shared" si="43"/>
        <v>Active</v>
      </c>
    </row>
    <row r="1074" spans="1:4" ht="18" customHeight="1">
      <c r="A1074" t="str">
        <f>"77-3051-0000PT"</f>
        <v>77-3051-0000PT</v>
      </c>
      <c r="B1074" t="str">
        <f>"LM7 Content, PT, Vir, Automatic ID Systems"</f>
        <v>LM7 Content, PT, Vir, Automatic ID Systems</v>
      </c>
      <c r="C1074" s="44">
        <v>2495</v>
      </c>
      <c r="D1074" t="str">
        <f t="shared" si="43"/>
        <v>Active</v>
      </c>
    </row>
    <row r="1075" spans="1:4" ht="18" customHeight="1">
      <c r="A1075" t="str">
        <f>"77-3052-0000"</f>
        <v>77-3052-0000</v>
      </c>
      <c r="B1075" t="str">
        <f>"LM7 Content, Vir, Construction Tech."</f>
        <v>LM7 Content, Vir, Construction Tech.</v>
      </c>
      <c r="C1075" s="44">
        <v>2495</v>
      </c>
      <c r="D1075" t="str">
        <f t="shared" si="43"/>
        <v>Active</v>
      </c>
    </row>
    <row r="1076" spans="1:4" ht="18" customHeight="1">
      <c r="A1076" t="str">
        <f>"77-3053-0000"</f>
        <v>77-3053-0000</v>
      </c>
      <c r="B1076" t="str">
        <f>"LM7 Content, Vir, Bridge Design"</f>
        <v>LM7 Content, Vir, Bridge Design</v>
      </c>
      <c r="C1076" s="44">
        <v>2495</v>
      </c>
      <c r="D1076" t="str">
        <f t="shared" si="43"/>
        <v>Active</v>
      </c>
    </row>
    <row r="1077" spans="1:4" ht="18" customHeight="1">
      <c r="A1077" t="str">
        <f>"77-3054-0000"</f>
        <v>77-3054-0000</v>
      </c>
      <c r="B1077" t="str">
        <f>"LM7 Content, Vir, Fluids Engineering"</f>
        <v>LM7 Content, Vir, Fluids Engineering</v>
      </c>
      <c r="C1077" s="44">
        <v>2495</v>
      </c>
      <c r="D1077" t="str">
        <f t="shared" si="43"/>
        <v>Active</v>
      </c>
    </row>
    <row r="1078" spans="1:4" ht="18" customHeight="1">
      <c r="A1078" t="str">
        <f>"77-3055-0000"</f>
        <v>77-3055-0000</v>
      </c>
      <c r="B1078" t="str">
        <f>"LM7 Content, Vir, Highway Engineering"</f>
        <v>LM7 Content, Vir, Highway Engineering</v>
      </c>
      <c r="C1078" s="44">
        <v>2495</v>
      </c>
      <c r="D1078" t="str">
        <f t="shared" si="43"/>
        <v>Active</v>
      </c>
    </row>
    <row r="1079" spans="1:4" ht="18" customHeight="1">
      <c r="A1079" t="str">
        <f>"77-3056-0000"</f>
        <v>77-3056-0000</v>
      </c>
      <c r="B1079" t="str">
        <f>"LM7 Content, Vir, Transportation Eng"</f>
        <v>LM7 Content, Vir, Transportation Eng</v>
      </c>
      <c r="C1079" s="44">
        <v>2495</v>
      </c>
      <c r="D1079" t="str">
        <f t="shared" si="43"/>
        <v>Active</v>
      </c>
    </row>
    <row r="1080" spans="1:4" ht="18" customHeight="1">
      <c r="A1080" t="str">
        <f>"77-3057-0000"</f>
        <v>77-3057-0000</v>
      </c>
      <c r="B1080" t="str">
        <f>"LM7 Content, Vir, Environmental Eng"</f>
        <v>LM7 Content, Vir, Environmental Eng</v>
      </c>
      <c r="C1080" s="44">
        <v>2495</v>
      </c>
      <c r="D1080" t="str">
        <f t="shared" si="43"/>
        <v>Active</v>
      </c>
    </row>
    <row r="1081" spans="1:4" ht="18" customHeight="1">
      <c r="A1081" t="str">
        <f>"77-3058-0000"</f>
        <v>77-3058-0000</v>
      </c>
      <c r="B1081" t="str">
        <f>"LM7 Content, Vir, Wastewater Mgmt"</f>
        <v>LM7 Content, Vir, Wastewater Mgmt</v>
      </c>
      <c r="C1081" s="44">
        <v>2495</v>
      </c>
      <c r="D1081" t="str">
        <f t="shared" si="43"/>
        <v>Active</v>
      </c>
    </row>
    <row r="1082" spans="1:4" ht="18" customHeight="1">
      <c r="A1082" t="str">
        <f>"77-3059-0000"</f>
        <v>77-3059-0000</v>
      </c>
      <c r="B1082" t="str">
        <f>"LM7 Content, Vir, Water Supply Eng"</f>
        <v>LM7 Content, Vir, Water Supply Eng</v>
      </c>
      <c r="C1082" s="44">
        <v>2495</v>
      </c>
      <c r="D1082" t="str">
        <f t="shared" si="43"/>
        <v>Active</v>
      </c>
    </row>
    <row r="1083" spans="1:4" ht="18" customHeight="1">
      <c r="A1083" t="str">
        <f>"77-3060-0000"</f>
        <v>77-3060-0000</v>
      </c>
      <c r="B1083" t="str">
        <f>"LM7 Content, Vir, Pollution Control"</f>
        <v>LM7 Content, Vir, Pollution Control</v>
      </c>
      <c r="C1083" s="44">
        <v>2495</v>
      </c>
      <c r="D1083" t="str">
        <f t="shared" si="43"/>
        <v>Active</v>
      </c>
    </row>
    <row r="1084" spans="1:4" ht="18" customHeight="1">
      <c r="A1084" t="str">
        <f>"77-3061-0000"</f>
        <v>77-3061-0000</v>
      </c>
      <c r="B1084" t="str">
        <f>"LM7 Content, Vir, Basic Pneumatics"</f>
        <v>LM7 Content, Vir, Basic Pneumatics</v>
      </c>
      <c r="C1084" s="44">
        <v>2495</v>
      </c>
      <c r="D1084" t="str">
        <f t="shared" si="43"/>
        <v>Active</v>
      </c>
    </row>
    <row r="1085" spans="1:4" ht="18" customHeight="1">
      <c r="A1085" t="str">
        <f>"77-3062-0000"</f>
        <v>77-3062-0000</v>
      </c>
      <c r="B1085" t="str">
        <f>"LM7 Content, Vir, Advanced Pneumatics"</f>
        <v>LM7 Content, Vir, Advanced Pneumatics</v>
      </c>
      <c r="C1085" s="44">
        <v>2495</v>
      </c>
      <c r="D1085" t="str">
        <f t="shared" ref="D1085:D1091" si="44">"Active"</f>
        <v>Active</v>
      </c>
    </row>
    <row r="1086" spans="1:4" ht="18" customHeight="1">
      <c r="A1086" t="str">
        <f>"77-3064-0000"</f>
        <v>77-3064-0000</v>
      </c>
      <c r="B1086" t="str">
        <f>"LM7 Content, Vir, Landscape Design"</f>
        <v>LM7 Content, Vir, Landscape Design</v>
      </c>
      <c r="C1086" s="44">
        <v>3200</v>
      </c>
      <c r="D1086" t="str">
        <f t="shared" si="44"/>
        <v>Active</v>
      </c>
    </row>
    <row r="1087" spans="1:4" ht="18" customHeight="1">
      <c r="A1087" t="str">
        <f>"77-3065-0000"</f>
        <v>77-3065-0000</v>
      </c>
      <c r="B1087" t="str">
        <f>"LM7 Content, Lab/Vir, Mechanisms Intro to STEM"</f>
        <v>LM7 Content, Lab/Vir, Mechanisms Intro to STEM</v>
      </c>
      <c r="C1087" s="44">
        <v>3500</v>
      </c>
      <c r="D1087" t="str">
        <f t="shared" si="44"/>
        <v>Active</v>
      </c>
    </row>
    <row r="1088" spans="1:4" ht="18" customHeight="1">
      <c r="A1088" t="str">
        <f>"77-3066-0000"</f>
        <v>77-3066-0000</v>
      </c>
      <c r="B1088" t="str">
        <f>"LM7 Content, Vir, Agricultural Animals"</f>
        <v>LM7 Content, Vir, Agricultural Animals</v>
      </c>
      <c r="C1088" s="44">
        <v>2495</v>
      </c>
      <c r="D1088" t="str">
        <f t="shared" si="44"/>
        <v>Active</v>
      </c>
    </row>
    <row r="1089" spans="1:4" ht="18" customHeight="1">
      <c r="A1089" t="str">
        <f>"77-3067-0000"</f>
        <v>77-3067-0000</v>
      </c>
      <c r="B1089" t="str">
        <f>"LM7 Content, Vir, Agricultural Environment"</f>
        <v>LM7 Content, Vir, Agricultural Environment</v>
      </c>
      <c r="C1089" s="44">
        <v>2495</v>
      </c>
      <c r="D1089" t="str">
        <f t="shared" si="44"/>
        <v>Active</v>
      </c>
    </row>
    <row r="1090" spans="1:4" ht="18" customHeight="1">
      <c r="A1090" t="str">
        <f>"77-3068-0000"</f>
        <v>77-3068-0000</v>
      </c>
      <c r="B1090" t="str">
        <f>"LM7 Content, Vir, Science of Agricultural Plants"</f>
        <v>LM7 Content, Vir, Science of Agricultural Plants</v>
      </c>
      <c r="C1090" s="44">
        <v>2495</v>
      </c>
      <c r="D1090" t="str">
        <f t="shared" si="44"/>
        <v>Active</v>
      </c>
    </row>
    <row r="1091" spans="1:4" ht="18" customHeight="1">
      <c r="A1091" t="str">
        <f>"77-3090-0001"</f>
        <v>77-3090-0001</v>
      </c>
      <c r="B1091" t="str">
        <f>"LM7 Content, Vir, CNC Milling w/EXM"</f>
        <v>LM7 Content, Vir, CNC Milling w/EXM</v>
      </c>
      <c r="C1091" s="44">
        <v>2995</v>
      </c>
      <c r="D1091" t="str">
        <f t="shared" si="44"/>
        <v>Active</v>
      </c>
    </row>
    <row r="1092" spans="1:4" ht="18" customHeight="1">
      <c r="A1092" t="str">
        <f>"77-3090-0002"</f>
        <v>77-3090-0002</v>
      </c>
      <c r="B1092" t="str">
        <f>"LM7 Content, Vir, CNC Milling w/EXM (M)"</f>
        <v>LM7 Content, Vir, CNC Milling w/EXM (M)</v>
      </c>
      <c r="C1092" s="44">
        <v>2995</v>
      </c>
      <c r="D1092" t="str">
        <f>"New"</f>
        <v>New</v>
      </c>
    </row>
    <row r="1093" spans="1:4" ht="18" customHeight="1">
      <c r="A1093" t="str">
        <f>"77-3091-0001"</f>
        <v>77-3091-0001</v>
      </c>
      <c r="B1093" t="str">
        <f>"LM7 Content, Vir, CNC Milling w/SPLM"</f>
        <v>LM7 Content, Vir, CNC Milling w/SPLM</v>
      </c>
      <c r="C1093" s="44">
        <v>2995</v>
      </c>
      <c r="D1093" t="str">
        <f>"Active"</f>
        <v>Active</v>
      </c>
    </row>
    <row r="1094" spans="1:4" ht="18" customHeight="1">
      <c r="A1094" t="str">
        <f>"77-3091-0002"</f>
        <v>77-3091-0002</v>
      </c>
      <c r="B1094" t="str">
        <f>"LM7 Content, Vir, CNC Milling w/SPLM (M)"</f>
        <v>LM7 Content, Vir, CNC Milling w/SPLM (M)</v>
      </c>
      <c r="C1094" s="44">
        <v>2995</v>
      </c>
      <c r="D1094" t="str">
        <f>"New"</f>
        <v>New</v>
      </c>
    </row>
    <row r="1095" spans="1:4" ht="18" customHeight="1">
      <c r="A1095" t="str">
        <f>"77-3093-0000"</f>
        <v>77-3093-0000</v>
      </c>
      <c r="B1095" t="str">
        <f>"LM7 Content, Vir, Intro to easyC V4 forCortex"</f>
        <v>LM7 Content, Vir, Intro to easyC V4 forCortex</v>
      </c>
      <c r="C1095">
        <v>495</v>
      </c>
      <c r="D1095" t="str">
        <f>"Active"</f>
        <v>Active</v>
      </c>
    </row>
    <row r="1096" spans="1:4" ht="18" customHeight="1">
      <c r="A1096" t="str">
        <f>"77-3095-0000"</f>
        <v>77-3095-0000</v>
      </c>
      <c r="B1096" t="str">
        <f>"LM7 Content, Vir, Intro to Engineering"</f>
        <v>LM7 Content, Vir, Intro to Engineering</v>
      </c>
      <c r="C1096" s="44">
        <v>1995</v>
      </c>
      <c r="D1096" t="str">
        <f>"Active"</f>
        <v>Active</v>
      </c>
    </row>
    <row r="1097" spans="1:4" ht="18" customHeight="1">
      <c r="A1097" t="str">
        <f>"77-3096-0000"</f>
        <v>77-3096-0000</v>
      </c>
      <c r="B1097" t="str">
        <f>"LM7 Content, Vir, Intro to Advanced Mfg"</f>
        <v>LM7 Content, Vir, Intro to Advanced Mfg</v>
      </c>
      <c r="C1097" s="44">
        <v>2495</v>
      </c>
      <c r="D1097" t="str">
        <f>"Active"</f>
        <v>Active</v>
      </c>
    </row>
    <row r="1098" spans="1:4" ht="18" customHeight="1">
      <c r="A1098" t="str">
        <f>"77-3096-0000ES"</f>
        <v>77-3096-0000ES</v>
      </c>
      <c r="B1098" t="str">
        <f>"LM7 Content, ES, Vir, Intro to Advanced Mfg"</f>
        <v>LM7 Content, ES, Vir, Intro to Advanced Mfg</v>
      </c>
      <c r="C1098" s="44">
        <v>2495</v>
      </c>
      <c r="D1098" t="str">
        <f>"Active"</f>
        <v>Active</v>
      </c>
    </row>
    <row r="1099" spans="1:4" ht="18" customHeight="1">
      <c r="A1099" t="str">
        <f>"77-3097-0000"</f>
        <v>77-3097-0000</v>
      </c>
      <c r="B1099" t="str">
        <f>"LM7 Content, Vir, Employability"</f>
        <v>LM7 Content, Vir, Employability</v>
      </c>
      <c r="C1099" s="44">
        <v>2495</v>
      </c>
      <c r="D1099" t="str">
        <f>"Active"</f>
        <v>Active</v>
      </c>
    </row>
    <row r="1100" spans="1:4" ht="18" customHeight="1">
      <c r="A1100" t="str">
        <f>"77-3097-0010"</f>
        <v>77-3097-0010</v>
      </c>
      <c r="B1100" t="str">
        <f>"LM7 Content, Vir, Employability Workbook"</f>
        <v>LM7 Content, Vir, Employability Workbook</v>
      </c>
      <c r="C1100" s="44">
        <v>2495</v>
      </c>
      <c r="D1100" t="str">
        <f>"New"</f>
        <v>New</v>
      </c>
    </row>
    <row r="1101" spans="1:4" ht="18" customHeight="1">
      <c r="A1101" t="str">
        <f>"77-3098-0001"</f>
        <v>77-3098-0001</v>
      </c>
      <c r="B1101" t="str">
        <f>"LM7 Content, Vir, Intro to Pro Engineer"</f>
        <v>LM7 Content, Vir, Intro to Pro Engineer</v>
      </c>
      <c r="C1101" s="44">
        <v>2495</v>
      </c>
      <c r="D1101" t="str">
        <f t="shared" ref="D1101:D1132" si="45">"Active"</f>
        <v>Active</v>
      </c>
    </row>
    <row r="1102" spans="1:4" ht="18" customHeight="1">
      <c r="A1102" t="str">
        <f>"77-3099-0000"</f>
        <v>77-3099-0000</v>
      </c>
      <c r="B1102" t="str">
        <f>"LM7 Content, Vir, Rapid Prototyping"</f>
        <v>LM7 Content, Vir, Rapid Prototyping</v>
      </c>
      <c r="C1102" s="44">
        <v>2495</v>
      </c>
      <c r="D1102" t="str">
        <f t="shared" si="45"/>
        <v>Active</v>
      </c>
    </row>
    <row r="1103" spans="1:4" ht="18" customHeight="1">
      <c r="A1103" t="str">
        <f>"77-3099-0000ES"</f>
        <v>77-3099-0000ES</v>
      </c>
      <c r="B1103" t="str">
        <f>"LM7 Content, ES, Vir, Rapid Prototyping"</f>
        <v>LM7 Content, ES, Vir, Rapid Prototyping</v>
      </c>
      <c r="C1103" s="44">
        <v>2495</v>
      </c>
      <c r="D1103" t="str">
        <f t="shared" si="45"/>
        <v>Active</v>
      </c>
    </row>
    <row r="1104" spans="1:4" ht="18" customHeight="1">
      <c r="A1104" t="str">
        <f>"77-3101-0002"</f>
        <v>77-3101-0002</v>
      </c>
      <c r="B1104" t="str">
        <f>"LM7 Content, Vir, Intro to Greenhouse Agri"</f>
        <v>LM7 Content, Vir, Intro to Greenhouse Agri</v>
      </c>
      <c r="C1104" s="44">
        <v>2495</v>
      </c>
      <c r="D1104" t="str">
        <f t="shared" si="45"/>
        <v>Active</v>
      </c>
    </row>
    <row r="1105" spans="1:4" ht="18" customHeight="1">
      <c r="A1105" t="str">
        <f>"77-3101-0002ES"</f>
        <v>77-3101-0002ES</v>
      </c>
      <c r="B1105" t="str">
        <f>"LM7 Content, ES, Vir, Intro to Greenhouse Agri"</f>
        <v>LM7 Content, ES, Vir, Intro to Greenhouse Agri</v>
      </c>
      <c r="C1105" s="44">
        <v>2495</v>
      </c>
      <c r="D1105" t="str">
        <f t="shared" si="45"/>
        <v>Active</v>
      </c>
    </row>
    <row r="1106" spans="1:4" ht="18" customHeight="1">
      <c r="A1106" t="str">
        <f>"77-3102-0002"</f>
        <v>77-3102-0002</v>
      </c>
      <c r="B1106" t="str">
        <f>"LM7 Content, Vir, Soil in Agriculture"</f>
        <v>LM7 Content, Vir, Soil in Agriculture</v>
      </c>
      <c r="C1106" s="44">
        <v>2495</v>
      </c>
      <c r="D1106" t="str">
        <f t="shared" si="45"/>
        <v>Active</v>
      </c>
    </row>
    <row r="1107" spans="1:4" ht="18" customHeight="1">
      <c r="A1107" t="str">
        <f>"77-3102-0002ES"</f>
        <v>77-3102-0002ES</v>
      </c>
      <c r="B1107" t="str">
        <f>"LM7 Content, ES, Vir, Soil in Agriculture"</f>
        <v>LM7 Content, ES, Vir, Soil in Agriculture</v>
      </c>
      <c r="C1107" s="44">
        <v>2495</v>
      </c>
      <c r="D1107" t="str">
        <f t="shared" si="45"/>
        <v>Active</v>
      </c>
    </row>
    <row r="1108" spans="1:4" ht="18" customHeight="1">
      <c r="A1108" t="str">
        <f>"77-3103-0002"</f>
        <v>77-3103-0002</v>
      </c>
      <c r="B1108" t="str">
        <f>"LM7 Content, Vir, Intro to Irrigation"</f>
        <v>LM7 Content, Vir, Intro to Irrigation</v>
      </c>
      <c r="C1108" s="44">
        <v>2495</v>
      </c>
      <c r="D1108" t="str">
        <f t="shared" si="45"/>
        <v>Active</v>
      </c>
    </row>
    <row r="1109" spans="1:4" ht="18" customHeight="1">
      <c r="A1109" t="str">
        <f>"77-3103-0002ES"</f>
        <v>77-3103-0002ES</v>
      </c>
      <c r="B1109" t="str">
        <f>"LM7 Content, ES, Vir, Intro to Irrigation"</f>
        <v>LM7 Content, ES, Vir, Intro to Irrigation</v>
      </c>
      <c r="C1109" s="44">
        <v>2495</v>
      </c>
      <c r="D1109" t="str">
        <f t="shared" si="45"/>
        <v>Active</v>
      </c>
    </row>
    <row r="1110" spans="1:4" ht="18" customHeight="1">
      <c r="A1110" t="str">
        <f>"77-3104-0002"</f>
        <v>77-3104-0002</v>
      </c>
      <c r="B1110" t="str">
        <f>"LM7 Content, Vir, Adv Irrigation Systems"</f>
        <v>LM7 Content, Vir, Adv Irrigation Systems</v>
      </c>
      <c r="C1110" s="44">
        <v>2495</v>
      </c>
      <c r="D1110" t="str">
        <f t="shared" si="45"/>
        <v>Active</v>
      </c>
    </row>
    <row r="1111" spans="1:4" ht="18" customHeight="1">
      <c r="A1111" t="str">
        <f>"77-3104-0002ES"</f>
        <v>77-3104-0002ES</v>
      </c>
      <c r="B1111" t="str">
        <f>"LM7 Content, ES, Vir, Adv. Irrigation Systems"</f>
        <v>LM7 Content, ES, Vir, Adv. Irrigation Systems</v>
      </c>
      <c r="C1111" s="44">
        <v>2495</v>
      </c>
      <c r="D1111" t="str">
        <f t="shared" si="45"/>
        <v>Active</v>
      </c>
    </row>
    <row r="1112" spans="1:4" ht="18" customHeight="1">
      <c r="A1112" t="str">
        <f>"77-3105-0001"</f>
        <v>77-3105-0001</v>
      </c>
      <c r="B1112" t="str">
        <f>"LM7 Content, Vir, CNC Milling w/Fanuc"</f>
        <v>LM7 Content, Vir, CNC Milling w/Fanuc</v>
      </c>
      <c r="C1112" s="44">
        <v>2995</v>
      </c>
      <c r="D1112" t="str">
        <f t="shared" si="45"/>
        <v>Active</v>
      </c>
    </row>
    <row r="1113" spans="1:4" ht="18" customHeight="1">
      <c r="A1113" t="str">
        <f>"77-3108-0002"</f>
        <v>77-3108-0002</v>
      </c>
      <c r="B1113" t="str">
        <f>"LM7 Content, Vir, Intro to Solidworks"</f>
        <v>LM7 Content, Vir, Intro to Solidworks</v>
      </c>
      <c r="C1113" s="44">
        <v>2495</v>
      </c>
      <c r="D1113" t="str">
        <f t="shared" si="45"/>
        <v>Active</v>
      </c>
    </row>
    <row r="1114" spans="1:4" ht="18" customHeight="1">
      <c r="A1114" t="str">
        <f>"77-3108-0002PT"</f>
        <v>77-3108-0002PT</v>
      </c>
      <c r="B1114" t="str">
        <f>"LM7 Content, PT, Vir, Intro to Solidworks"</f>
        <v>LM7 Content, PT, Vir, Intro to Solidworks</v>
      </c>
      <c r="C1114" s="44">
        <v>2495</v>
      </c>
      <c r="D1114" t="str">
        <f t="shared" si="45"/>
        <v>Active</v>
      </c>
    </row>
    <row r="1115" spans="1:4" ht="18" customHeight="1">
      <c r="A1115" t="str">
        <f>"77-3109-0000"</f>
        <v>77-3109-0000</v>
      </c>
      <c r="B1115" t="str">
        <f>"LM7 Content, Vir, Lean Manufacturing"</f>
        <v>LM7 Content, Vir, Lean Manufacturing</v>
      </c>
      <c r="C1115" s="44">
        <v>2495</v>
      </c>
      <c r="D1115" t="str">
        <f t="shared" si="45"/>
        <v>Active</v>
      </c>
    </row>
    <row r="1116" spans="1:4" ht="18" customHeight="1">
      <c r="A1116" t="str">
        <f>"77-3112-0002"</f>
        <v>77-3112-0002</v>
      </c>
      <c r="B1116" t="str">
        <f>"LM7 Content, Vir, Fundamentals of Physics"</f>
        <v>LM7 Content, Vir, Fundamentals of Physics</v>
      </c>
      <c r="C1116" s="44">
        <v>2495</v>
      </c>
      <c r="D1116" t="str">
        <f t="shared" si="45"/>
        <v>Active</v>
      </c>
    </row>
    <row r="1117" spans="1:4" ht="18" customHeight="1">
      <c r="A1117" t="str">
        <f>"77-3112-0002ES"</f>
        <v>77-3112-0002ES</v>
      </c>
      <c r="B1117" t="str">
        <f>"LM7 Content, ES, Vir, Fundamentals of Physics"</f>
        <v>LM7 Content, ES, Vir, Fundamentals of Physics</v>
      </c>
      <c r="C1117" s="44">
        <v>2495</v>
      </c>
      <c r="D1117" t="str">
        <f t="shared" si="45"/>
        <v>Active</v>
      </c>
    </row>
    <row r="1118" spans="1:4" ht="18" customHeight="1">
      <c r="A1118" t="str">
        <f>"77-3113-0002"</f>
        <v>77-3113-0002</v>
      </c>
      <c r="B1118" t="str">
        <f>"LM7 Content, Vir,  Kinematics"</f>
        <v>LM7 Content, Vir,  Kinematics</v>
      </c>
      <c r="C1118" s="44">
        <v>2495</v>
      </c>
      <c r="D1118" t="str">
        <f t="shared" si="45"/>
        <v>Active</v>
      </c>
    </row>
    <row r="1119" spans="1:4" ht="18" customHeight="1">
      <c r="A1119" t="str">
        <f>"77-3113-0002ES"</f>
        <v>77-3113-0002ES</v>
      </c>
      <c r="B1119" t="str">
        <f>"LM7 Content, ES, Vir, Kinematics"</f>
        <v>LM7 Content, ES, Vir, Kinematics</v>
      </c>
      <c r="C1119" s="44">
        <v>2495</v>
      </c>
      <c r="D1119" t="str">
        <f t="shared" si="45"/>
        <v>Active</v>
      </c>
    </row>
    <row r="1120" spans="1:4" ht="18" customHeight="1">
      <c r="A1120" t="str">
        <f>"77-3114-0002"</f>
        <v>77-3114-0002</v>
      </c>
      <c r="B1120" t="str">
        <f>"LM7 Content, Vir, Forces"</f>
        <v>LM7 Content, Vir, Forces</v>
      </c>
      <c r="C1120" s="44">
        <v>2495</v>
      </c>
      <c r="D1120" t="str">
        <f t="shared" si="45"/>
        <v>Active</v>
      </c>
    </row>
    <row r="1121" spans="1:4" ht="18" customHeight="1">
      <c r="A1121" t="str">
        <f>"77-3114-0002ES"</f>
        <v>77-3114-0002ES</v>
      </c>
      <c r="B1121" t="str">
        <f>"LM7 Content, ES, Vir, Forces"</f>
        <v>LM7 Content, ES, Vir, Forces</v>
      </c>
      <c r="C1121" s="44">
        <v>2495</v>
      </c>
      <c r="D1121" t="str">
        <f t="shared" si="45"/>
        <v>Active</v>
      </c>
    </row>
    <row r="1122" spans="1:4" ht="18" customHeight="1">
      <c r="A1122" t="str">
        <f>"77-3115-0002"</f>
        <v>77-3115-0002</v>
      </c>
      <c r="B1122" t="str">
        <f>"LM7 Content, Vir, Momentum and Energy"</f>
        <v>LM7 Content, Vir, Momentum and Energy</v>
      </c>
      <c r="C1122" s="44">
        <v>2495</v>
      </c>
      <c r="D1122" t="str">
        <f t="shared" si="45"/>
        <v>Active</v>
      </c>
    </row>
    <row r="1123" spans="1:4" ht="18" customHeight="1">
      <c r="A1123" t="str">
        <f>"77-3115-0002ES"</f>
        <v>77-3115-0002ES</v>
      </c>
      <c r="B1123" t="str">
        <f>"LM7 Content, ES, Vir, Momentum and Energy"</f>
        <v>LM7 Content, ES, Vir, Momentum and Energy</v>
      </c>
      <c r="C1123" s="44">
        <v>2495</v>
      </c>
      <c r="D1123" t="str">
        <f t="shared" si="45"/>
        <v>Active</v>
      </c>
    </row>
    <row r="1124" spans="1:4" ht="18" customHeight="1">
      <c r="A1124" t="str">
        <f>"77-3116-0002"</f>
        <v>77-3116-0002</v>
      </c>
      <c r="B1124" t="str">
        <f>"LM7 Content, Vir, Electricity"</f>
        <v>LM7 Content, Vir, Electricity</v>
      </c>
      <c r="C1124" s="44">
        <v>2495</v>
      </c>
      <c r="D1124" t="str">
        <f t="shared" si="45"/>
        <v>Active</v>
      </c>
    </row>
    <row r="1125" spans="1:4" ht="18" customHeight="1">
      <c r="A1125" t="str">
        <f>"77-3116-0002ES"</f>
        <v>77-3116-0002ES</v>
      </c>
      <c r="B1125" t="str">
        <f>"LM7 Content, ES, Vir, Electricity"</f>
        <v>LM7 Content, ES, Vir, Electricity</v>
      </c>
      <c r="C1125" s="44">
        <v>2495</v>
      </c>
      <c r="D1125" t="str">
        <f t="shared" si="45"/>
        <v>Active</v>
      </c>
    </row>
    <row r="1126" spans="1:4" ht="18" customHeight="1">
      <c r="A1126" t="str">
        <f>"77-3117-0000"</f>
        <v>77-3117-0000</v>
      </c>
      <c r="B1126" t="str">
        <f>"LM7 Content, Vir, Atomic Structure"</f>
        <v>LM7 Content, Vir, Atomic Structure</v>
      </c>
      <c r="C1126" s="44">
        <v>2495</v>
      </c>
      <c r="D1126" t="str">
        <f t="shared" si="45"/>
        <v>Active</v>
      </c>
    </row>
    <row r="1127" spans="1:4" ht="18" customHeight="1">
      <c r="A1127" t="str">
        <f>"77-3117-0000ES"</f>
        <v>77-3117-0000ES</v>
      </c>
      <c r="B1127" t="str">
        <f>"LM7 Content, ES, Vir, Elements and Chemicals"</f>
        <v>LM7 Content, ES, Vir, Elements and Chemicals</v>
      </c>
      <c r="C1127" s="44">
        <v>2495</v>
      </c>
      <c r="D1127" t="str">
        <f t="shared" si="45"/>
        <v>Active</v>
      </c>
    </row>
    <row r="1128" spans="1:4" ht="18" customHeight="1">
      <c r="A1128" t="str">
        <f>"77-3118-0000"</f>
        <v>77-3118-0000</v>
      </c>
      <c r="B1128" t="str">
        <f>"LM7 Content, Vir, Substance Quan&amp; Kinetic Theory"</f>
        <v>LM7 Content, Vir, Substance Quan&amp; Kinetic Theory</v>
      </c>
      <c r="C1128" s="44">
        <v>2495</v>
      </c>
      <c r="D1128" t="str">
        <f t="shared" si="45"/>
        <v>Active</v>
      </c>
    </row>
    <row r="1129" spans="1:4" ht="18" customHeight="1">
      <c r="A1129" t="str">
        <f>"77-3118-0000ES"</f>
        <v>77-3118-0000ES</v>
      </c>
      <c r="B1129" t="str">
        <f>"LM7 Content, ES, Vir, States of Matter"</f>
        <v>LM7 Content, ES, Vir, States of Matter</v>
      </c>
      <c r="C1129" s="44">
        <v>2495</v>
      </c>
      <c r="D1129" t="str">
        <f t="shared" si="45"/>
        <v>Active</v>
      </c>
    </row>
    <row r="1130" spans="1:4" ht="18" customHeight="1">
      <c r="A1130" t="str">
        <f>"77-3119-0000"</f>
        <v>77-3119-0000</v>
      </c>
      <c r="B1130" t="str">
        <f>"LM7 Content, Vir, Chemical Solutions"</f>
        <v>LM7 Content, Vir, Chemical Solutions</v>
      </c>
      <c r="C1130" s="44">
        <v>2495</v>
      </c>
      <c r="D1130" t="str">
        <f t="shared" si="45"/>
        <v>Active</v>
      </c>
    </row>
    <row r="1131" spans="1:4" ht="18" customHeight="1">
      <c r="A1131" t="str">
        <f>"77-3119-0000ES"</f>
        <v>77-3119-0000ES</v>
      </c>
      <c r="B1131" t="str">
        <f>"LM7 Content, ES, Vir, Chemical Solutions"</f>
        <v>LM7 Content, ES, Vir, Chemical Solutions</v>
      </c>
      <c r="C1131" s="44">
        <v>2495</v>
      </c>
      <c r="D1131" t="str">
        <f t="shared" si="45"/>
        <v>Active</v>
      </c>
    </row>
    <row r="1132" spans="1:4" ht="18" customHeight="1">
      <c r="A1132" t="str">
        <f>"77-3120-0000"</f>
        <v>77-3120-0000</v>
      </c>
      <c r="B1132" t="str">
        <f>"LM7 Content, Vir, Chemical Reactions"</f>
        <v>LM7 Content, Vir, Chemical Reactions</v>
      </c>
      <c r="C1132" s="44">
        <v>2495</v>
      </c>
      <c r="D1132" t="str">
        <f t="shared" si="45"/>
        <v>Active</v>
      </c>
    </row>
    <row r="1133" spans="1:4" ht="18" customHeight="1">
      <c r="A1133" t="str">
        <f>"77-3120-0000ES"</f>
        <v>77-3120-0000ES</v>
      </c>
      <c r="B1133" t="str">
        <f>"LM7 Content, ES, Vir, Chemical Reactions"</f>
        <v>LM7 Content, ES, Vir, Chemical Reactions</v>
      </c>
      <c r="C1133" s="44">
        <v>2495</v>
      </c>
      <c r="D1133" t="str">
        <f t="shared" ref="D1133:D1164" si="46">"Active"</f>
        <v>Active</v>
      </c>
    </row>
    <row r="1134" spans="1:4" ht="18" customHeight="1">
      <c r="A1134" t="str">
        <f>"77-3121-0000"</f>
        <v>77-3121-0000</v>
      </c>
      <c r="B1134" t="str">
        <f>"LM7 Content, Vir, Introduction to Chemistry"</f>
        <v>LM7 Content, Vir, Introduction to Chemistry</v>
      </c>
      <c r="C1134" s="44">
        <v>2495</v>
      </c>
      <c r="D1134" t="str">
        <f t="shared" si="46"/>
        <v>Active</v>
      </c>
    </row>
    <row r="1135" spans="1:4" ht="18" customHeight="1">
      <c r="A1135" t="str">
        <f>"77-3121-0000ES"</f>
        <v>77-3121-0000ES</v>
      </c>
      <c r="B1135" t="str">
        <f>"LM7 Content, ES, Vir, Chemical Equi. &amp; Stoich."</f>
        <v>LM7 Content, ES, Vir, Chemical Equi. &amp; Stoich.</v>
      </c>
      <c r="C1135" s="44">
        <v>2495</v>
      </c>
      <c r="D1135" t="str">
        <f t="shared" si="46"/>
        <v>Active</v>
      </c>
    </row>
    <row r="1136" spans="1:4" ht="18" customHeight="1">
      <c r="A1136" t="str">
        <f>"77-3122-0000"</f>
        <v>77-3122-0000</v>
      </c>
      <c r="B1136" t="str">
        <f>"LM7 Content, Vir, Biodiversity"</f>
        <v>LM7 Content, Vir, Biodiversity</v>
      </c>
      <c r="C1136" s="44">
        <v>2495</v>
      </c>
      <c r="D1136" t="str">
        <f t="shared" si="46"/>
        <v>Active</v>
      </c>
    </row>
    <row r="1137" spans="1:4" ht="18" customHeight="1">
      <c r="A1137" t="str">
        <f>"77-3122-0000ES"</f>
        <v>77-3122-0000ES</v>
      </c>
      <c r="B1137" t="str">
        <f>"LM7 Content, ES, Vir, Biodiversity"</f>
        <v>LM7 Content, ES, Vir, Biodiversity</v>
      </c>
      <c r="C1137" s="44">
        <v>2495</v>
      </c>
      <c r="D1137" t="str">
        <f t="shared" si="46"/>
        <v>Active</v>
      </c>
    </row>
    <row r="1138" spans="1:4" ht="18" customHeight="1">
      <c r="A1138" t="str">
        <f>"77-3123-0000"</f>
        <v>77-3123-0000</v>
      </c>
      <c r="B1138" t="str">
        <f>"LM7 Content, Vir, Human Body Systems"</f>
        <v>LM7 Content, Vir, Human Body Systems</v>
      </c>
      <c r="C1138" s="44">
        <v>2495</v>
      </c>
      <c r="D1138" t="str">
        <f t="shared" si="46"/>
        <v>Active</v>
      </c>
    </row>
    <row r="1139" spans="1:4" ht="18" customHeight="1">
      <c r="A1139" t="str">
        <f>"77-3123-0000ES"</f>
        <v>77-3123-0000ES</v>
      </c>
      <c r="B1139" t="str">
        <f>"LM7 Content, ES, Vir, Human Body Systems"</f>
        <v>LM7 Content, ES, Vir, Human Body Systems</v>
      </c>
      <c r="C1139" s="44">
        <v>2495</v>
      </c>
      <c r="D1139" t="str">
        <f t="shared" si="46"/>
        <v>Active</v>
      </c>
    </row>
    <row r="1140" spans="1:4" ht="18" customHeight="1">
      <c r="A1140" t="str">
        <f>"77-3124-0000"</f>
        <v>77-3124-0000</v>
      </c>
      <c r="B1140" t="str">
        <f>"LM7 Content, Vir, Botany"</f>
        <v>LM7 Content, Vir, Botany</v>
      </c>
      <c r="C1140" s="44">
        <v>2495</v>
      </c>
      <c r="D1140" t="str">
        <f t="shared" si="46"/>
        <v>Active</v>
      </c>
    </row>
    <row r="1141" spans="1:4" ht="18" customHeight="1">
      <c r="A1141" t="str">
        <f>"77-3124-0000ES"</f>
        <v>77-3124-0000ES</v>
      </c>
      <c r="B1141" t="str">
        <f>"LM7 Content, ES, Vir, Botany"</f>
        <v>LM7 Content, ES, Vir, Botany</v>
      </c>
      <c r="C1141" s="44">
        <v>2495</v>
      </c>
      <c r="D1141" t="str">
        <f t="shared" si="46"/>
        <v>Active</v>
      </c>
    </row>
    <row r="1142" spans="1:4" ht="18" customHeight="1">
      <c r="A1142" t="str">
        <f>"77-3125-0000"</f>
        <v>77-3125-0000</v>
      </c>
      <c r="B1142" t="str">
        <f>"LM7 Content, Vir, Zoology"</f>
        <v>LM7 Content, Vir, Zoology</v>
      </c>
      <c r="C1142" s="44">
        <v>2495</v>
      </c>
      <c r="D1142" t="str">
        <f t="shared" si="46"/>
        <v>Active</v>
      </c>
    </row>
    <row r="1143" spans="1:4" ht="18" customHeight="1">
      <c r="A1143" t="str">
        <f>"77-3125-0000ES"</f>
        <v>77-3125-0000ES</v>
      </c>
      <c r="B1143" t="str">
        <f>"LM7 Content, ES, Vir, Zoology"</f>
        <v>LM7 Content, ES, Vir, Zoology</v>
      </c>
      <c r="C1143" s="44">
        <v>2495</v>
      </c>
      <c r="D1143" t="str">
        <f t="shared" si="46"/>
        <v>Active</v>
      </c>
    </row>
    <row r="1144" spans="1:4" ht="18" customHeight="1">
      <c r="A1144" t="str">
        <f>"77-3126-0000"</f>
        <v>77-3126-0000</v>
      </c>
      <c r="B1144" t="str">
        <f>"LM7 Content, Vir, Genetics"</f>
        <v>LM7 Content, Vir, Genetics</v>
      </c>
      <c r="C1144" s="44">
        <v>2495</v>
      </c>
      <c r="D1144" t="str">
        <f t="shared" si="46"/>
        <v>Active</v>
      </c>
    </row>
    <row r="1145" spans="1:4" ht="18" customHeight="1">
      <c r="A1145" t="str">
        <f>"77-3126-0000ES"</f>
        <v>77-3126-0000ES</v>
      </c>
      <c r="B1145" t="str">
        <f>"LM7 Content, ES, Vir, Genetics"</f>
        <v>LM7 Content, ES, Vir, Genetics</v>
      </c>
      <c r="C1145" s="44">
        <v>2495</v>
      </c>
      <c r="D1145" t="str">
        <f t="shared" si="46"/>
        <v>Active</v>
      </c>
    </row>
    <row r="1146" spans="1:4" ht="18" customHeight="1">
      <c r="A1146" t="str">
        <f>"77-3127-0000"</f>
        <v>77-3127-0000</v>
      </c>
      <c r="B1146" t="str">
        <f>"LM7 Content, Vir, Electrical Fields"</f>
        <v>LM7 Content, Vir, Electrical Fields</v>
      </c>
      <c r="C1146" s="44">
        <v>2495</v>
      </c>
      <c r="D1146" t="str">
        <f t="shared" si="46"/>
        <v>Active</v>
      </c>
    </row>
    <row r="1147" spans="1:4" ht="18" customHeight="1">
      <c r="A1147" t="str">
        <f>"77-3127-0000ES"</f>
        <v>77-3127-0000ES</v>
      </c>
      <c r="B1147" t="str">
        <f>"LM7 Content, ES, Vir, Electrical Fields"</f>
        <v>LM7 Content, ES, Vir, Electrical Fields</v>
      </c>
      <c r="C1147" s="44">
        <v>2495</v>
      </c>
      <c r="D1147" t="str">
        <f t="shared" si="46"/>
        <v>Active</v>
      </c>
    </row>
    <row r="1148" spans="1:4" ht="18" customHeight="1">
      <c r="A1148" t="str">
        <f>"77-3128-0000"</f>
        <v>77-3128-0000</v>
      </c>
      <c r="B1148" t="str">
        <f>"LM7 Content, Vir, Magnetic Fields"</f>
        <v>LM7 Content, Vir, Magnetic Fields</v>
      </c>
      <c r="C1148" s="44">
        <v>2495</v>
      </c>
      <c r="D1148" t="str">
        <f t="shared" si="46"/>
        <v>Active</v>
      </c>
    </row>
    <row r="1149" spans="1:4" ht="18" customHeight="1">
      <c r="A1149" t="str">
        <f>"77-3128-0000ES"</f>
        <v>77-3128-0000ES</v>
      </c>
      <c r="B1149" t="str">
        <f>"LM7 Content, ES, Vir, Magnetic Fields"</f>
        <v>LM7 Content, ES, Vir, Magnetic Fields</v>
      </c>
      <c r="C1149" s="44">
        <v>2495</v>
      </c>
      <c r="D1149" t="str">
        <f t="shared" si="46"/>
        <v>Active</v>
      </c>
    </row>
    <row r="1150" spans="1:4" ht="18" customHeight="1">
      <c r="A1150" t="str">
        <f>"77-3129-0000"</f>
        <v>77-3129-0000</v>
      </c>
      <c r="B1150" t="str">
        <f>"LM7 Content, Vir, Thermochemistry"</f>
        <v>LM7 Content, Vir, Thermochemistry</v>
      </c>
      <c r="C1150" s="44">
        <v>2495</v>
      </c>
      <c r="D1150" t="str">
        <f t="shared" si="46"/>
        <v>Active</v>
      </c>
    </row>
    <row r="1151" spans="1:4" ht="18" customHeight="1">
      <c r="A1151" t="str">
        <f>"77-3129-0000ES"</f>
        <v>77-3129-0000ES</v>
      </c>
      <c r="B1151" t="str">
        <f>"LM7 Content, ES, Vir, Thermochemistry"</f>
        <v>LM7 Content, ES, Vir, Thermochemistry</v>
      </c>
      <c r="C1151" s="44">
        <v>2495</v>
      </c>
      <c r="D1151" t="str">
        <f t="shared" si="46"/>
        <v>Active</v>
      </c>
    </row>
    <row r="1152" spans="1:4" ht="18" customHeight="1">
      <c r="A1152" t="str">
        <f>"77-3130-0000"</f>
        <v>77-3130-0000</v>
      </c>
      <c r="B1152" t="str">
        <f>"LM7 Content, Vir,  The Cell"</f>
        <v>LM7 Content, Vir,  The Cell</v>
      </c>
      <c r="C1152" s="44">
        <v>2495</v>
      </c>
      <c r="D1152" t="str">
        <f t="shared" si="46"/>
        <v>Active</v>
      </c>
    </row>
    <row r="1153" spans="1:4" ht="18" customHeight="1">
      <c r="A1153" t="str">
        <f>"77-3130-0000ES"</f>
        <v>77-3130-0000ES</v>
      </c>
      <c r="B1153" t="str">
        <f>"LM7 Content, ES, Vir, The Cell"</f>
        <v>LM7 Content, ES, Vir, The Cell</v>
      </c>
      <c r="C1153" s="44">
        <v>2495</v>
      </c>
      <c r="D1153" t="str">
        <f t="shared" si="46"/>
        <v>Active</v>
      </c>
    </row>
    <row r="1154" spans="1:4" ht="18" customHeight="1">
      <c r="A1154" t="str">
        <f>"77-3131-0000"</f>
        <v>77-3131-0000</v>
      </c>
      <c r="B1154" t="str">
        <f>"LM7 Content, Vir, Cellular Process &amp; Divis"</f>
        <v>LM7 Content, Vir, Cellular Process &amp; Divis</v>
      </c>
      <c r="C1154" s="44">
        <v>2495</v>
      </c>
      <c r="D1154" t="str">
        <f t="shared" si="46"/>
        <v>Active</v>
      </c>
    </row>
    <row r="1155" spans="1:4" ht="18" customHeight="1">
      <c r="A1155" t="str">
        <f>"77-3131-0000ES"</f>
        <v>77-3131-0000ES</v>
      </c>
      <c r="B1155" t="str">
        <f>"LM7 Content, ES, Vir, Cellular Process &amp; Divis"</f>
        <v>LM7 Content, ES, Vir, Cellular Process &amp; Divis</v>
      </c>
      <c r="C1155" s="44">
        <v>2495</v>
      </c>
      <c r="D1155" t="str">
        <f t="shared" si="46"/>
        <v>Active</v>
      </c>
    </row>
    <row r="1156" spans="1:4" ht="18" customHeight="1">
      <c r="A1156" t="str">
        <f>"77-3132-0000"</f>
        <v>77-3132-0000</v>
      </c>
      <c r="B1156" t="str">
        <f>"LM7 Content, Vir, Organic Chemistry (1)"</f>
        <v>LM7 Content, Vir, Organic Chemistry (1)</v>
      </c>
      <c r="C1156" s="44">
        <v>2495</v>
      </c>
      <c r="D1156" t="str">
        <f t="shared" si="46"/>
        <v>Active</v>
      </c>
    </row>
    <row r="1157" spans="1:4" ht="18" customHeight="1">
      <c r="A1157" t="str">
        <f>"77-3132-0000ES"</f>
        <v>77-3132-0000ES</v>
      </c>
      <c r="B1157" t="str">
        <f>"LM7 Content, ES, Vir, Organic Chemistry (1)"</f>
        <v>LM7 Content, ES, Vir, Organic Chemistry (1)</v>
      </c>
      <c r="C1157" s="44">
        <v>2495</v>
      </c>
      <c r="D1157" t="str">
        <f t="shared" si="46"/>
        <v>Active</v>
      </c>
    </row>
    <row r="1158" spans="1:4" ht="18" customHeight="1">
      <c r="A1158" t="str">
        <f>"77-3133-0000"</f>
        <v>77-3133-0000</v>
      </c>
      <c r="B1158" t="str">
        <f>"LM7 Content, Vir, Organic Chemistry (2)"</f>
        <v>LM7 Content, Vir, Organic Chemistry (2)</v>
      </c>
      <c r="C1158" s="44">
        <v>2495</v>
      </c>
      <c r="D1158" t="str">
        <f t="shared" si="46"/>
        <v>Active</v>
      </c>
    </row>
    <row r="1159" spans="1:4" ht="18" customHeight="1">
      <c r="A1159" t="str">
        <f>"77-3133-0000ES"</f>
        <v>77-3133-0000ES</v>
      </c>
      <c r="B1159" t="str">
        <f>"LM7 Content, ES, Vir, Organic Chemistry (2)"</f>
        <v>LM7 Content, ES, Vir, Organic Chemistry (2)</v>
      </c>
      <c r="C1159" s="44">
        <v>2495</v>
      </c>
      <c r="D1159" t="str">
        <f t="shared" si="46"/>
        <v>Active</v>
      </c>
    </row>
    <row r="1160" spans="1:4" ht="18" customHeight="1">
      <c r="A1160" t="str">
        <f>"77-3134-0000"</f>
        <v>77-3134-0000</v>
      </c>
      <c r="B1160" t="str">
        <f>"LM7 Content, Vir, Dynamics &amp; Thermodynamic"</f>
        <v>LM7 Content, Vir, Dynamics &amp; Thermodynamic</v>
      </c>
      <c r="C1160" s="44">
        <v>2495</v>
      </c>
      <c r="D1160" t="str">
        <f t="shared" si="46"/>
        <v>Active</v>
      </c>
    </row>
    <row r="1161" spans="1:4" ht="18" customHeight="1">
      <c r="A1161" t="str">
        <f>"77-3134-0000ES"</f>
        <v>77-3134-0000ES</v>
      </c>
      <c r="B1161" t="str">
        <f>"LM7 Content, ES, Vir, Dynamics &amp; Thermodynamic"</f>
        <v>LM7 Content, ES, Vir, Dynamics &amp; Thermodynamic</v>
      </c>
      <c r="C1161" s="44">
        <v>2495</v>
      </c>
      <c r="D1161" t="str">
        <f t="shared" si="46"/>
        <v>Active</v>
      </c>
    </row>
    <row r="1162" spans="1:4" ht="18" customHeight="1">
      <c r="A1162" t="str">
        <f>"77-3135-0000"</f>
        <v>77-3135-0000</v>
      </c>
      <c r="B1162" t="str">
        <f>"LM7 Content, Vir, Mathematics - A"</f>
        <v>LM7 Content, Vir, Mathematics - A</v>
      </c>
      <c r="C1162" s="44">
        <v>2495</v>
      </c>
      <c r="D1162" t="str">
        <f t="shared" si="46"/>
        <v>Active</v>
      </c>
    </row>
    <row r="1163" spans="1:4" ht="18" customHeight="1">
      <c r="A1163" t="str">
        <f>"77-3135-0000ES"</f>
        <v>77-3135-0000ES</v>
      </c>
      <c r="B1163" t="str">
        <f>"LM7 Content, ES, Vir, Mathematics - A"</f>
        <v>LM7 Content, ES, Vir, Mathematics - A</v>
      </c>
      <c r="C1163" s="44">
        <v>2495</v>
      </c>
      <c r="D1163" t="str">
        <f t="shared" si="46"/>
        <v>Active</v>
      </c>
    </row>
    <row r="1164" spans="1:4" ht="18" customHeight="1">
      <c r="A1164" t="str">
        <f>"77-3136-0000"</f>
        <v>77-3136-0000</v>
      </c>
      <c r="B1164" t="str">
        <f>"LM7 Content, Vir, Mathematics - B"</f>
        <v>LM7 Content, Vir, Mathematics - B</v>
      </c>
      <c r="C1164" s="44">
        <v>2495</v>
      </c>
      <c r="D1164" t="str">
        <f t="shared" si="46"/>
        <v>Active</v>
      </c>
    </row>
    <row r="1165" spans="1:4" ht="18" customHeight="1">
      <c r="A1165" t="str">
        <f>"77-3136-0000ES"</f>
        <v>77-3136-0000ES</v>
      </c>
      <c r="B1165" t="str">
        <f>"LM7 Content, ES, Vir, Mathematics - B"</f>
        <v>LM7 Content, ES, Vir, Mathematics - B</v>
      </c>
      <c r="C1165" s="44">
        <v>2495</v>
      </c>
      <c r="D1165" t="str">
        <f t="shared" ref="D1165:D1173" si="47">"Active"</f>
        <v>Active</v>
      </c>
    </row>
    <row r="1166" spans="1:4" ht="18" customHeight="1">
      <c r="A1166" t="str">
        <f>"77-3137-0000"</f>
        <v>77-3137-0000</v>
      </c>
      <c r="B1166" t="str">
        <f>"LM7 Content, Vir, Mathematics - C"</f>
        <v>LM7 Content, Vir, Mathematics - C</v>
      </c>
      <c r="C1166" s="44">
        <v>2495</v>
      </c>
      <c r="D1166" t="str">
        <f t="shared" si="47"/>
        <v>Active</v>
      </c>
    </row>
    <row r="1167" spans="1:4" ht="18" customHeight="1">
      <c r="A1167" t="str">
        <f>"77-3137-0000ES"</f>
        <v>77-3137-0000ES</v>
      </c>
      <c r="B1167" t="str">
        <f>"LM7 Content, ES, Vir, Mathematics - C"</f>
        <v>LM7 Content, ES, Vir, Mathematics - C</v>
      </c>
      <c r="C1167" s="44">
        <v>2495</v>
      </c>
      <c r="D1167" t="str">
        <f t="shared" si="47"/>
        <v>Active</v>
      </c>
    </row>
    <row r="1168" spans="1:4" ht="18" customHeight="1">
      <c r="A1168" t="str">
        <f>"77-3138-0000"</f>
        <v>77-3138-0000</v>
      </c>
      <c r="B1168" t="str">
        <f>"LM7 Content, Vir, Algebra - A"</f>
        <v>LM7 Content, Vir, Algebra - A</v>
      </c>
      <c r="C1168" s="44">
        <v>2495</v>
      </c>
      <c r="D1168" t="str">
        <f t="shared" si="47"/>
        <v>Active</v>
      </c>
    </row>
    <row r="1169" spans="1:4" ht="18" customHeight="1">
      <c r="A1169" t="str">
        <f>"77-3138-0000ES"</f>
        <v>77-3138-0000ES</v>
      </c>
      <c r="B1169" t="str">
        <f>"LM7 Content, ES, Vir, Algebra - A"</f>
        <v>LM7 Content, ES, Vir, Algebra - A</v>
      </c>
      <c r="C1169" s="44">
        <v>2495</v>
      </c>
      <c r="D1169" t="str">
        <f t="shared" si="47"/>
        <v>Active</v>
      </c>
    </row>
    <row r="1170" spans="1:4" ht="18" customHeight="1">
      <c r="A1170" t="str">
        <f>"77-3139-0000"</f>
        <v>77-3139-0000</v>
      </c>
      <c r="B1170" t="str">
        <f>"LM7 Content, Vir, Algebra - B"</f>
        <v>LM7 Content, Vir, Algebra - B</v>
      </c>
      <c r="C1170" s="44">
        <v>2495</v>
      </c>
      <c r="D1170" t="str">
        <f t="shared" si="47"/>
        <v>Active</v>
      </c>
    </row>
    <row r="1171" spans="1:4" ht="18" customHeight="1">
      <c r="A1171" t="str">
        <f>"77-3139-0000ES"</f>
        <v>77-3139-0000ES</v>
      </c>
      <c r="B1171" t="str">
        <f>"LM7 Content, ES, Vir, Algebra - B"</f>
        <v>LM7 Content, ES, Vir, Algebra - B</v>
      </c>
      <c r="C1171" s="44">
        <v>2495</v>
      </c>
      <c r="D1171" t="str">
        <f t="shared" si="47"/>
        <v>Active</v>
      </c>
    </row>
    <row r="1172" spans="1:4" ht="18" customHeight="1">
      <c r="A1172" t="str">
        <f>"77-3140-0001"</f>
        <v>77-3140-0001</v>
      </c>
      <c r="B1172" t="str">
        <f>"LM7 Content, Vir, CNC Milling w/BenchMill 6000"</f>
        <v>LM7 Content, Vir, CNC Milling w/BenchMill 6000</v>
      </c>
      <c r="C1172" s="44">
        <v>2995</v>
      </c>
      <c r="D1172" t="str">
        <f t="shared" si="47"/>
        <v>Active</v>
      </c>
    </row>
    <row r="1173" spans="1:4" ht="18" customHeight="1">
      <c r="A1173" t="str">
        <f>"77-3140-0002"</f>
        <v>77-3140-0002</v>
      </c>
      <c r="B1173" t="str">
        <f>"LM7 Content, Vir, CNCMilling w/BenchMill 6000(M)"</f>
        <v>LM7 Content, Vir, CNCMilling w/BenchMill 6000(M)</v>
      </c>
      <c r="C1173" s="44">
        <v>2995</v>
      </c>
      <c r="D1173" t="str">
        <f t="shared" si="47"/>
        <v>Active</v>
      </c>
    </row>
    <row r="1174" spans="1:4" ht="18" customHeight="1">
      <c r="A1174" t="str">
        <f>"77-3140-0002ES"</f>
        <v>77-3140-0002ES</v>
      </c>
      <c r="B1174" t="str">
        <f>"LM7 Content,ES,Vir,CNCMilling, BenchMill 6000(M)"</f>
        <v>LM7 Content,ES,Vir,CNCMilling, BenchMill 6000(M)</v>
      </c>
      <c r="C1174" s="44">
        <v>2995</v>
      </c>
      <c r="D1174" t="str">
        <f>"New"</f>
        <v>New</v>
      </c>
    </row>
    <row r="1175" spans="1:4" ht="18" customHeight="1">
      <c r="A1175" t="str">
        <f>"77-3140-0002PT"</f>
        <v>77-3140-0002PT</v>
      </c>
      <c r="B1175" t="str">
        <f>"LM7 Content, PT, Vir,CNCMilling BenchMill6000(M)"</f>
        <v>LM7 Content, PT, Vir,CNCMilling BenchMill6000(M)</v>
      </c>
      <c r="C1175" s="44">
        <v>2995</v>
      </c>
      <c r="D1175" t="str">
        <f>"New"</f>
        <v>New</v>
      </c>
    </row>
    <row r="1176" spans="1:4" ht="18" customHeight="1">
      <c r="A1176" t="str">
        <f>"77-3141-0001"</f>
        <v>77-3141-0001</v>
      </c>
      <c r="B1176" t="str">
        <f>"LM7 Content, Vir, CNC Turning w/BenchTurn 7000"</f>
        <v>LM7 Content, Vir, CNC Turning w/BenchTurn 7000</v>
      </c>
      <c r="C1176" s="44">
        <v>2995</v>
      </c>
      <c r="D1176" t="str">
        <f>"Active"</f>
        <v>Active</v>
      </c>
    </row>
    <row r="1177" spans="1:4" ht="18" customHeight="1">
      <c r="A1177" t="str">
        <f>"77-3141-0002"</f>
        <v>77-3141-0002</v>
      </c>
      <c r="B1177" t="str">
        <f>"LM7 Content, Vir, CNCTurning w/BenchTurn 7000(M)"</f>
        <v>LM7 Content, Vir, CNCTurning w/BenchTurn 7000(M)</v>
      </c>
      <c r="C1177" s="44">
        <v>2995</v>
      </c>
      <c r="D1177" t="str">
        <f>"Active"</f>
        <v>Active</v>
      </c>
    </row>
    <row r="1178" spans="1:4" ht="18" customHeight="1">
      <c r="A1178" t="str">
        <f>"77-3141-0002ES"</f>
        <v>77-3141-0002ES</v>
      </c>
      <c r="B1178" t="str">
        <f>"LM7 Content,ES,Vir,CNCTurning, BenchTurn 7000(M)"</f>
        <v>LM7 Content,ES,Vir,CNCTurning, BenchTurn 7000(M)</v>
      </c>
      <c r="C1178" s="44">
        <v>2995</v>
      </c>
      <c r="D1178" t="str">
        <f>"Active"</f>
        <v>Active</v>
      </c>
    </row>
    <row r="1179" spans="1:4" ht="18" customHeight="1">
      <c r="A1179" t="str">
        <f>"77-3141-0002PT"</f>
        <v>77-3141-0002PT</v>
      </c>
      <c r="B1179" t="str">
        <f>"LM7 Content, PT, Vir,CNCTurning BenchTurn7000(M)"</f>
        <v>LM7 Content, PT, Vir,CNCTurning BenchTurn7000(M)</v>
      </c>
      <c r="C1179" s="44">
        <v>2995</v>
      </c>
      <c r="D1179" t="str">
        <f>"New"</f>
        <v>New</v>
      </c>
    </row>
    <row r="1180" spans="1:4" ht="18" customHeight="1">
      <c r="A1180" t="str">
        <f>"77-3142-0001"</f>
        <v>77-3142-0001</v>
      </c>
      <c r="B1180" t="str">
        <f>"LM7 Content, Vir, CNC Milling w/ProMill 8000"</f>
        <v>LM7 Content, Vir, CNC Milling w/ProMill 8000</v>
      </c>
      <c r="C1180" s="44">
        <v>2995</v>
      </c>
      <c r="D1180" t="str">
        <f>"Active"</f>
        <v>Active</v>
      </c>
    </row>
    <row r="1181" spans="1:4" ht="18" customHeight="1">
      <c r="A1181" t="str">
        <f>"77-3142-0002"</f>
        <v>77-3142-0002</v>
      </c>
      <c r="B1181" t="str">
        <f>"LM7 Content, Vir, CNC Milling w/ProMill 8000 (M)"</f>
        <v>LM7 Content, Vir, CNC Milling w/ProMill 8000 (M)</v>
      </c>
      <c r="C1181" s="44">
        <v>2995</v>
      </c>
      <c r="D1181" t="str">
        <f>"Active"</f>
        <v>Active</v>
      </c>
    </row>
    <row r="1182" spans="1:4" ht="18" customHeight="1">
      <c r="A1182" t="str">
        <f>"77-3143-0001"</f>
        <v>77-3143-0001</v>
      </c>
      <c r="B1182" t="str">
        <f>"LM7 Content, Vir, CNC Turning w/ProTurn 9000"</f>
        <v>LM7 Content, Vir, CNC Turning w/ProTurn 9000</v>
      </c>
      <c r="C1182" s="44">
        <v>2995</v>
      </c>
      <c r="D1182" t="str">
        <f>"Active"</f>
        <v>Active</v>
      </c>
    </row>
    <row r="1183" spans="1:4" ht="18" customHeight="1">
      <c r="A1183" t="str">
        <f>"77-3143-0002"</f>
        <v>77-3143-0002</v>
      </c>
      <c r="B1183" t="str">
        <f>"LM7 Content, Vir, CNC Turning w/ProTurn 9000 (M)"</f>
        <v>LM7 Content, Vir, CNC Turning w/ProTurn 9000 (M)</v>
      </c>
      <c r="C1183" s="44">
        <v>2995</v>
      </c>
      <c r="D1183" t="str">
        <f>"Active"</f>
        <v>Active</v>
      </c>
    </row>
    <row r="1184" spans="1:4" ht="18" customHeight="1">
      <c r="A1184" t="str">
        <f>"77-3144-0001"</f>
        <v>77-3144-0001</v>
      </c>
      <c r="B1184" t="str">
        <f>"LM7 Content, CNC Program Mill FANUC Controller"</f>
        <v>LM7 Content, CNC Program Mill FANUC Controller</v>
      </c>
      <c r="C1184" s="44">
        <v>2495</v>
      </c>
      <c r="D1184" t="str">
        <f>"Active"</f>
        <v>Active</v>
      </c>
    </row>
    <row r="1185" spans="1:4" ht="18" customHeight="1">
      <c r="A1185" t="str">
        <f>"77-3144-0002"</f>
        <v>77-3144-0002</v>
      </c>
      <c r="B1185" t="str">
        <f>"LM7 Content, CNC Programming Mill FANUC (M)"</f>
        <v>LM7 Content, CNC Programming Mill FANUC (M)</v>
      </c>
      <c r="C1185" s="44">
        <v>2495</v>
      </c>
      <c r="D1185" t="str">
        <f>"Inactive"</f>
        <v>Inactive</v>
      </c>
    </row>
    <row r="1186" spans="1:4" ht="18" customHeight="1">
      <c r="A1186" t="str">
        <f>"77-3144-0002PT"</f>
        <v>77-3144-0002PT</v>
      </c>
      <c r="B1186" t="str">
        <f>"LM7 Content, PT, CNC Programming Mill FANUC (M)"</f>
        <v>LM7 Content, PT, CNC Programming Mill FANUC (M)</v>
      </c>
      <c r="C1186" s="44">
        <v>2495</v>
      </c>
      <c r="D1186" t="str">
        <f>"Inactive"</f>
        <v>Inactive</v>
      </c>
    </row>
    <row r="1187" spans="1:4" ht="18" customHeight="1">
      <c r="A1187" t="str">
        <f>"77-3146-0001"</f>
        <v>77-3146-0001</v>
      </c>
      <c r="B1187" t="str">
        <f>"LM7 Content, CNC Program Turn FANUC Controller"</f>
        <v>LM7 Content, CNC Program Turn FANUC Controller</v>
      </c>
      <c r="C1187" s="44">
        <v>2495</v>
      </c>
      <c r="D1187" t="str">
        <f t="shared" ref="D1187:D1209" si="48">"Active"</f>
        <v>Active</v>
      </c>
    </row>
    <row r="1188" spans="1:4" ht="18" customHeight="1">
      <c r="A1188" t="str">
        <f>"77-3160-0000"</f>
        <v>77-3160-0000</v>
      </c>
      <c r="B1188" t="str">
        <f>"LM7 Content, Vir, Algebra - C"</f>
        <v>LM7 Content, Vir, Algebra - C</v>
      </c>
      <c r="C1188" s="44">
        <v>2495</v>
      </c>
      <c r="D1188" t="str">
        <f t="shared" si="48"/>
        <v>Active</v>
      </c>
    </row>
    <row r="1189" spans="1:4" ht="18" customHeight="1">
      <c r="A1189" t="str">
        <f>"77-3160-0000ES"</f>
        <v>77-3160-0000ES</v>
      </c>
      <c r="B1189" t="str">
        <f>"LM7 Content, ES, Vir, Algebra - C"</f>
        <v>LM7 Content, ES, Vir, Algebra - C</v>
      </c>
      <c r="C1189" s="44">
        <v>2495</v>
      </c>
      <c r="D1189" t="str">
        <f t="shared" si="48"/>
        <v>Active</v>
      </c>
    </row>
    <row r="1190" spans="1:4" ht="18" customHeight="1">
      <c r="A1190" t="str">
        <f>"77-3161-0000"</f>
        <v>77-3161-0000</v>
      </c>
      <c r="B1190" t="str">
        <f>"LM7 Content, Vir, Trigonometry - A"</f>
        <v>LM7 Content, Vir, Trigonometry - A</v>
      </c>
      <c r="C1190" s="44">
        <v>2495</v>
      </c>
      <c r="D1190" t="str">
        <f t="shared" si="48"/>
        <v>Active</v>
      </c>
    </row>
    <row r="1191" spans="1:4" ht="18" customHeight="1">
      <c r="A1191" t="str">
        <f>"77-3161-0000ES"</f>
        <v>77-3161-0000ES</v>
      </c>
      <c r="B1191" t="str">
        <f>"LM7 Content, ES, Vir, Trigonometry - A"</f>
        <v>LM7 Content, ES, Vir, Trigonometry - A</v>
      </c>
      <c r="C1191" s="44">
        <v>2495</v>
      </c>
      <c r="D1191" t="str">
        <f t="shared" si="48"/>
        <v>Active</v>
      </c>
    </row>
    <row r="1192" spans="1:4" ht="18" customHeight="1">
      <c r="A1192" t="str">
        <f>"77-3162-0000"</f>
        <v>77-3162-0000</v>
      </c>
      <c r="B1192" t="str">
        <f>"LM7 Content, Vir, Trigonometry - B"</f>
        <v>LM7 Content, Vir, Trigonometry - B</v>
      </c>
      <c r="C1192" s="44">
        <v>2495</v>
      </c>
      <c r="D1192" t="str">
        <f t="shared" si="48"/>
        <v>Active</v>
      </c>
    </row>
    <row r="1193" spans="1:4" ht="18" customHeight="1">
      <c r="A1193" t="str">
        <f>"77-3162-0000ES"</f>
        <v>77-3162-0000ES</v>
      </c>
      <c r="B1193" t="str">
        <f>"LM7 Content, ES, Vir, Trigonometry - B"</f>
        <v>LM7 Content, ES, Vir, Trigonometry - B</v>
      </c>
      <c r="C1193" s="44">
        <v>2495</v>
      </c>
      <c r="D1193" t="str">
        <f t="shared" si="48"/>
        <v>Active</v>
      </c>
    </row>
    <row r="1194" spans="1:4" ht="18" customHeight="1">
      <c r="A1194" t="str">
        <f>"77-3163-0000"</f>
        <v>77-3163-0000</v>
      </c>
      <c r="B1194" t="str">
        <f>"LM7 Content, Vir, Trigonometry - C"</f>
        <v>LM7 Content, Vir, Trigonometry - C</v>
      </c>
      <c r="C1194" s="44">
        <v>2495</v>
      </c>
      <c r="D1194" t="str">
        <f t="shared" si="48"/>
        <v>Active</v>
      </c>
    </row>
    <row r="1195" spans="1:4" ht="18" customHeight="1">
      <c r="A1195" t="str">
        <f>"77-3163-0000ES"</f>
        <v>77-3163-0000ES</v>
      </c>
      <c r="B1195" t="str">
        <f>"LM7 Content, ES, Vir, Trigonometry - C"</f>
        <v>LM7 Content, ES, Vir, Trigonometry - C</v>
      </c>
      <c r="C1195" s="44">
        <v>2495</v>
      </c>
      <c r="D1195" t="str">
        <f t="shared" si="48"/>
        <v>Active</v>
      </c>
    </row>
    <row r="1196" spans="1:4" ht="18" customHeight="1">
      <c r="A1196" t="str">
        <f>"77-3164-0000"</f>
        <v>77-3164-0000</v>
      </c>
      <c r="B1196" t="str">
        <f>"LM7 Content, Vir, Calculus - A"</f>
        <v>LM7 Content, Vir, Calculus - A</v>
      </c>
      <c r="C1196" s="44">
        <v>2495</v>
      </c>
      <c r="D1196" t="str">
        <f t="shared" si="48"/>
        <v>Active</v>
      </c>
    </row>
    <row r="1197" spans="1:4" ht="18" customHeight="1">
      <c r="A1197" t="str">
        <f>"77-3164-0000ES"</f>
        <v>77-3164-0000ES</v>
      </c>
      <c r="B1197" t="str">
        <f>"LM7 Content, ES, Vir, Calculus - A"</f>
        <v>LM7 Content, ES, Vir, Calculus - A</v>
      </c>
      <c r="C1197" s="44">
        <v>2495</v>
      </c>
      <c r="D1197" t="str">
        <f t="shared" si="48"/>
        <v>Active</v>
      </c>
    </row>
    <row r="1198" spans="1:4" ht="18" customHeight="1">
      <c r="A1198" t="str">
        <f>"77-3165-0000"</f>
        <v>77-3165-0000</v>
      </c>
      <c r="B1198" t="str">
        <f>"LM7 Content, Vir, Calculus - B"</f>
        <v>LM7 Content, Vir, Calculus - B</v>
      </c>
      <c r="C1198" s="44">
        <v>2495</v>
      </c>
      <c r="D1198" t="str">
        <f t="shared" si="48"/>
        <v>Active</v>
      </c>
    </row>
    <row r="1199" spans="1:4" ht="18" customHeight="1">
      <c r="A1199" t="str">
        <f>"77-3165-0000ES"</f>
        <v>77-3165-0000ES</v>
      </c>
      <c r="B1199" t="str">
        <f>"LM7 Content, ES, Vir, Calculus - B"</f>
        <v>LM7 Content, ES, Vir, Calculus - B</v>
      </c>
      <c r="C1199" s="44">
        <v>2495</v>
      </c>
      <c r="D1199" t="str">
        <f t="shared" si="48"/>
        <v>Active</v>
      </c>
    </row>
    <row r="1200" spans="1:4" ht="18" customHeight="1">
      <c r="A1200" t="str">
        <f>"77-3166-0000"</f>
        <v>77-3166-0000</v>
      </c>
      <c r="B1200" t="str">
        <f>"LM7 Content, Vir, Calculus - C"</f>
        <v>LM7 Content, Vir, Calculus - C</v>
      </c>
      <c r="C1200" s="44">
        <v>2495</v>
      </c>
      <c r="D1200" t="str">
        <f t="shared" si="48"/>
        <v>Active</v>
      </c>
    </row>
    <row r="1201" spans="1:4" ht="18" customHeight="1">
      <c r="A1201" t="str">
        <f>"77-3166-0000ES"</f>
        <v>77-3166-0000ES</v>
      </c>
      <c r="B1201" t="str">
        <f>"LM7 Content, ES, Vir, Calculus - C"</f>
        <v>LM7 Content, ES, Vir, Calculus - C</v>
      </c>
      <c r="C1201" s="44">
        <v>2495</v>
      </c>
      <c r="D1201" t="str">
        <f t="shared" si="48"/>
        <v>Active</v>
      </c>
    </row>
    <row r="1202" spans="1:4" ht="18" customHeight="1">
      <c r="A1202" t="str">
        <f>"77-3167-0000"</f>
        <v>77-3167-0000</v>
      </c>
      <c r="B1202" t="str">
        <f>"LM7 Content, Vir, Intro to Technology"</f>
        <v>LM7 Content, Vir, Intro to Technology</v>
      </c>
      <c r="C1202" s="44">
        <v>2495</v>
      </c>
      <c r="D1202" t="str">
        <f t="shared" si="48"/>
        <v>Active</v>
      </c>
    </row>
    <row r="1203" spans="1:4" ht="18" customHeight="1">
      <c r="A1203" t="str">
        <f>"77-3167-0000ES"</f>
        <v>77-3167-0000ES</v>
      </c>
      <c r="B1203" t="str">
        <f>"LM7 Content, ES, Vir, Intro to Technology"</f>
        <v>LM7 Content, ES, Vir, Intro to Technology</v>
      </c>
      <c r="C1203" s="44">
        <v>2495</v>
      </c>
      <c r="D1203" t="str">
        <f t="shared" si="48"/>
        <v>Active</v>
      </c>
    </row>
    <row r="1204" spans="1:4" ht="18" customHeight="1">
      <c r="A1204" t="str">
        <f>"77-3168-0000"</f>
        <v>77-3168-0000</v>
      </c>
      <c r="B1204" t="str">
        <f>"LM7 Content, Vir, Cutting Edge Technology"</f>
        <v>LM7 Content, Vir, Cutting Edge Technology</v>
      </c>
      <c r="C1204" s="44">
        <v>2495</v>
      </c>
      <c r="D1204" t="str">
        <f t="shared" si="48"/>
        <v>Active</v>
      </c>
    </row>
    <row r="1205" spans="1:4" ht="18" customHeight="1">
      <c r="A1205" t="str">
        <f>"77-3168-0000ES"</f>
        <v>77-3168-0000ES</v>
      </c>
      <c r="B1205" t="str">
        <f>"LM7 Content, ES, Vir, Cutting Edge Technology"</f>
        <v>LM7 Content, ES, Vir, Cutting Edge Technology</v>
      </c>
      <c r="C1205" s="44">
        <v>2495</v>
      </c>
      <c r="D1205" t="str">
        <f t="shared" si="48"/>
        <v>Active</v>
      </c>
    </row>
    <row r="1206" spans="1:4" ht="18" customHeight="1">
      <c r="A1206" t="str">
        <f>"77-3169-0000"</f>
        <v>77-3169-0000</v>
      </c>
      <c r="B1206" t="str">
        <f>"LM7 Content, Vir, Innovat. &amp; Communication"</f>
        <v>LM7 Content, Vir, Innovat. &amp; Communication</v>
      </c>
      <c r="C1206" s="44">
        <v>2495</v>
      </c>
      <c r="D1206" t="str">
        <f t="shared" si="48"/>
        <v>Active</v>
      </c>
    </row>
    <row r="1207" spans="1:4" ht="18" customHeight="1">
      <c r="A1207" t="str">
        <f>"77-3169-0000ES"</f>
        <v>77-3169-0000ES</v>
      </c>
      <c r="B1207" t="str">
        <f>"LM7 Content, ES, Vir, Innovat. &amp; Communication"</f>
        <v>LM7 Content, ES, Vir, Innovat. &amp; Communication</v>
      </c>
      <c r="C1207" s="44">
        <v>2495</v>
      </c>
      <c r="D1207" t="str">
        <f t="shared" si="48"/>
        <v>Active</v>
      </c>
    </row>
    <row r="1208" spans="1:4" ht="18" customHeight="1">
      <c r="A1208" t="str">
        <f>"77-3170-0000"</f>
        <v>77-3170-0000</v>
      </c>
      <c r="B1208" t="str">
        <f>"LM7 Content, Vir, Mechanics"</f>
        <v>LM7 Content, Vir, Mechanics</v>
      </c>
      <c r="C1208" s="44">
        <v>2495</v>
      </c>
      <c r="D1208" t="str">
        <f t="shared" si="48"/>
        <v>Active</v>
      </c>
    </row>
    <row r="1209" spans="1:4" ht="18" customHeight="1">
      <c r="A1209" t="str">
        <f>"77-3170-0000ES"</f>
        <v>77-3170-0000ES</v>
      </c>
      <c r="B1209" t="str">
        <f>"LM7 Content, ES, Vir, Mechanics"</f>
        <v>LM7 Content, ES, Vir, Mechanics</v>
      </c>
      <c r="C1209" s="44">
        <v>2495</v>
      </c>
      <c r="D1209" t="str">
        <f t="shared" si="48"/>
        <v>Active</v>
      </c>
    </row>
    <row r="1210" spans="1:4" ht="18" customHeight="1">
      <c r="A1210" t="str">
        <f>"77-3178-0000"</f>
        <v>77-3178-0000</v>
      </c>
      <c r="B1210" t="str">
        <f>"LM7 Content, Vir, 9.11.2Principles of Hydraulics"</f>
        <v>LM7 Content, Vir, 9.11.2Principles of Hydraulics</v>
      </c>
      <c r="C1210" s="44">
        <v>2495</v>
      </c>
      <c r="D1210" t="str">
        <f>"Inactive"</f>
        <v>Inactive</v>
      </c>
    </row>
    <row r="1211" spans="1:4" ht="18" customHeight="1">
      <c r="A1211" t="str">
        <f>"77-3178-0000ES"</f>
        <v>77-3178-0000ES</v>
      </c>
      <c r="B1211" t="str">
        <f>"LM7 Content, ES, Vir9.11.2PrinciplesOfHydraulics"</f>
        <v>LM7 Content, ES, Vir9.11.2PrinciplesOfHydraulics</v>
      </c>
      <c r="C1211" s="44">
        <v>2495</v>
      </c>
      <c r="D1211" t="str">
        <f>"Active"</f>
        <v>Active</v>
      </c>
    </row>
    <row r="1212" spans="1:4" ht="18" customHeight="1">
      <c r="A1212" t="str">
        <f>"77-3179-0000"</f>
        <v>77-3179-0000</v>
      </c>
      <c r="B1212" t="str">
        <f>"LM7 Content, Vir, Intro to AviationModules"</f>
        <v>LM7 Content, Vir, Intro to AviationModules</v>
      </c>
      <c r="C1212" s="44">
        <v>2495</v>
      </c>
      <c r="D1212" t="str">
        <f>"Inactive"</f>
        <v>Inactive</v>
      </c>
    </row>
    <row r="1213" spans="1:4" ht="18" customHeight="1">
      <c r="A1213" t="str">
        <f>"77-3179-0000ES"</f>
        <v>77-3179-0000ES</v>
      </c>
      <c r="B1213" t="str">
        <f>"LM7 Content, ES, Vir, Intro to AviationModules"</f>
        <v>LM7 Content, ES, Vir, Intro to AviationModules</v>
      </c>
      <c r="C1213" s="44">
        <v>2495</v>
      </c>
      <c r="D1213" t="str">
        <f>"Active"</f>
        <v>Active</v>
      </c>
    </row>
    <row r="1214" spans="1:4" ht="18" customHeight="1">
      <c r="A1214" t="str">
        <f>"77-3201-0000"</f>
        <v>77-3201-0000</v>
      </c>
      <c r="B1214" t="str">
        <f>"LM7 Content, Vir, Business Planner"</f>
        <v>LM7 Content, Vir, Business Planner</v>
      </c>
      <c r="C1214" s="44">
        <v>2495</v>
      </c>
      <c r="D1214" t="str">
        <f>"Inactive"</f>
        <v>Inactive</v>
      </c>
    </row>
    <row r="1215" spans="1:4" ht="18" customHeight="1">
      <c r="A1215" t="str">
        <f>"77-3201-0000ES"</f>
        <v>77-3201-0000ES</v>
      </c>
      <c r="B1215" t="str">
        <f>"LM7 Content, ES, Vir, Business Planner"</f>
        <v>LM7 Content, ES, Vir, Business Planner</v>
      </c>
      <c r="C1215" s="44">
        <v>2495</v>
      </c>
      <c r="D1215" t="str">
        <f t="shared" ref="D1215:D1228" si="49">"Active"</f>
        <v>Active</v>
      </c>
    </row>
    <row r="1216" spans="1:4" ht="18" customHeight="1">
      <c r="A1216" t="str">
        <f>"77-7001-0001"</f>
        <v>77-7001-0001</v>
      </c>
      <c r="B1216" t="str">
        <f>"LM7 Content, Vir, Yo-Yo Project"</f>
        <v>LM7 Content, Vir, Yo-Yo Project</v>
      </c>
      <c r="C1216">
        <v>195</v>
      </c>
      <c r="D1216" t="str">
        <f t="shared" si="49"/>
        <v>Active</v>
      </c>
    </row>
    <row r="1217" spans="1:4" ht="18" customHeight="1">
      <c r="A1217" t="str">
        <f>"77-7002-0001"</f>
        <v>77-7002-0001</v>
      </c>
      <c r="B1217" t="str">
        <f>"LM7 Content, Car Elevator Project"</f>
        <v>LM7 Content, Car Elevator Project</v>
      </c>
      <c r="C1217">
        <v>195</v>
      </c>
      <c r="D1217" t="str">
        <f t="shared" si="49"/>
        <v>Active</v>
      </c>
    </row>
    <row r="1218" spans="1:4" ht="18" customHeight="1">
      <c r="A1218" t="str">
        <f>"77-7004-0001"</f>
        <v>77-7004-0001</v>
      </c>
      <c r="B1218" t="str">
        <f>"LM7 Content, Pneumatic Feeder Project"</f>
        <v>LM7 Content, Pneumatic Feeder Project</v>
      </c>
      <c r="C1218">
        <v>195</v>
      </c>
      <c r="D1218" t="str">
        <f t="shared" si="49"/>
        <v>Active</v>
      </c>
    </row>
    <row r="1219" spans="1:4" ht="18" customHeight="1">
      <c r="A1219" t="str">
        <f>"77-7005-0001"</f>
        <v>77-7005-0001</v>
      </c>
      <c r="B1219" t="str">
        <f>"LM7 Content, Shape Sorter Project"</f>
        <v>LM7 Content, Shape Sorter Project</v>
      </c>
      <c r="C1219">
        <v>195</v>
      </c>
      <c r="D1219" t="str">
        <f t="shared" si="49"/>
        <v>Active</v>
      </c>
    </row>
    <row r="1220" spans="1:4" ht="18" customHeight="1">
      <c r="A1220" t="str">
        <f>"77-7006-0001"</f>
        <v>77-7006-0001</v>
      </c>
      <c r="B1220" t="str">
        <f>"LM7 Content, Precision Measuring Device"</f>
        <v>LM7 Content, Precision Measuring Device</v>
      </c>
      <c r="C1220">
        <v>195</v>
      </c>
      <c r="D1220" t="str">
        <f t="shared" si="49"/>
        <v>Active</v>
      </c>
    </row>
    <row r="1221" spans="1:4" ht="18" customHeight="1">
      <c r="A1221" t="str">
        <f>"77-7007-0001"</f>
        <v>77-7007-0001</v>
      </c>
      <c r="B1221" t="str">
        <f>"LM7 Content, Golf Putter Project"</f>
        <v>LM7 Content, Golf Putter Project</v>
      </c>
      <c r="C1221">
        <v>195</v>
      </c>
      <c r="D1221" t="str">
        <f t="shared" si="49"/>
        <v>Active</v>
      </c>
    </row>
    <row r="1222" spans="1:4" ht="18" customHeight="1">
      <c r="A1222" t="str">
        <f>"77-7011-0001"</f>
        <v>77-7011-0001</v>
      </c>
      <c r="B1222" t="str">
        <f>"LM7 Content, Can Crusher Project"</f>
        <v>LM7 Content, Can Crusher Project</v>
      </c>
      <c r="C1222">
        <v>195</v>
      </c>
      <c r="D1222" t="str">
        <f t="shared" si="49"/>
        <v>Active</v>
      </c>
    </row>
    <row r="1223" spans="1:4" ht="18" customHeight="1">
      <c r="A1223" t="str">
        <f>"77-7016-0001"</f>
        <v>77-7016-0001</v>
      </c>
      <c r="B1223" t="str">
        <f>"LM7 Content, CO2 Car Project"</f>
        <v>LM7 Content, CO2 Car Project</v>
      </c>
      <c r="C1223">
        <v>195</v>
      </c>
      <c r="D1223" t="str">
        <f t="shared" si="49"/>
        <v>Active</v>
      </c>
    </row>
    <row r="1224" spans="1:4" ht="18" customHeight="1">
      <c r="A1224" t="str">
        <f>"77-7018-0001"</f>
        <v>77-7018-0001</v>
      </c>
      <c r="B1224" t="str">
        <f>"LM7 Content, Robotics &amp; Automation Project"</f>
        <v>LM7 Content, Robotics &amp; Automation Project</v>
      </c>
      <c r="C1224">
        <v>495</v>
      </c>
      <c r="D1224" t="str">
        <f t="shared" si="49"/>
        <v>Active</v>
      </c>
    </row>
    <row r="1225" spans="1:4" ht="18" customHeight="1">
      <c r="A1225" t="str">
        <f>"77-7022-0001"</f>
        <v>77-7022-0001</v>
      </c>
      <c r="B1225" t="str">
        <f>"LM7 Content, 4 Cavity Mold Project"</f>
        <v>LM7 Content, 4 Cavity Mold Project</v>
      </c>
      <c r="C1225">
        <v>195</v>
      </c>
      <c r="D1225" t="str">
        <f t="shared" si="49"/>
        <v>Active</v>
      </c>
    </row>
    <row r="1226" spans="1:4" ht="18" customHeight="1">
      <c r="A1226" t="str">
        <f>"77-7023-0001"</f>
        <v>77-7023-0001</v>
      </c>
      <c r="B1226" t="str">
        <f>"LM7 Content, Planetary Gearbox"</f>
        <v>LM7 Content, Planetary Gearbox</v>
      </c>
      <c r="C1226">
        <v>195</v>
      </c>
      <c r="D1226" t="str">
        <f t="shared" si="49"/>
        <v>Active</v>
      </c>
    </row>
    <row r="1227" spans="1:4" ht="18" customHeight="1">
      <c r="A1227" t="str">
        <f>"77-7027-0001"</f>
        <v>77-7027-0001</v>
      </c>
      <c r="B1227" t="str">
        <f>"LM7 Content, Engineering Application Series"</f>
        <v>LM7 Content, Engineering Application Series</v>
      </c>
      <c r="C1227">
        <v>495</v>
      </c>
      <c r="D1227" t="str">
        <f t="shared" si="49"/>
        <v>Active</v>
      </c>
    </row>
    <row r="1228" spans="1:4" ht="18" customHeight="1">
      <c r="A1228" t="str">
        <f>"77-8007-0001"</f>
        <v>77-8007-0001</v>
      </c>
      <c r="B1228" t="str">
        <f>"LM7 Content, Lab, CNC Milling w/SLM"</f>
        <v>LM7 Content, Lab, CNC Milling w/SLM</v>
      </c>
      <c r="C1228" s="44">
        <v>2495</v>
      </c>
      <c r="D1228" t="str">
        <f t="shared" si="49"/>
        <v>Active</v>
      </c>
    </row>
    <row r="1229" spans="1:4" ht="18" customHeight="1">
      <c r="A1229" t="str">
        <f>"77-8007-0002"</f>
        <v>77-8007-0002</v>
      </c>
      <c r="B1229" t="str">
        <f>"LM7 Content, Lab, CNC Milling w/SLM (Metric)"</f>
        <v>LM7 Content, Lab, CNC Milling w/SLM (Metric)</v>
      </c>
      <c r="C1229" s="44">
        <v>2495</v>
      </c>
      <c r="D1229" t="str">
        <f>"New"</f>
        <v>New</v>
      </c>
    </row>
    <row r="1230" spans="1:4" ht="18" customHeight="1">
      <c r="A1230" t="str">
        <f>"77-8008-0000"</f>
        <v>77-8008-0000</v>
      </c>
      <c r="B1230" t="str">
        <f>"LM7 Content, Lab/Vir, Hydraulics 1 w/HydraFlex"</f>
        <v>LM7 Content, Lab/Vir, Hydraulics 1 w/HydraFlex</v>
      </c>
      <c r="C1230" s="44">
        <v>2995</v>
      </c>
      <c r="D1230" t="str">
        <f t="shared" ref="D1230:D1239" si="50">"Active"</f>
        <v>Active</v>
      </c>
    </row>
    <row r="1231" spans="1:4" ht="18" customHeight="1">
      <c r="A1231" t="str">
        <f>"77-8008-0000ES"</f>
        <v>77-8008-0000ES</v>
      </c>
      <c r="B1231" t="str">
        <f>"LM7 Content, ES, Lab/Vir, Hydra 1 w/HydraFlex"</f>
        <v>LM7 Content, ES, Lab/Vir, Hydra 1 w/HydraFlex</v>
      </c>
      <c r="C1231" s="44">
        <v>2995</v>
      </c>
      <c r="D1231" t="str">
        <f t="shared" si="50"/>
        <v>Active</v>
      </c>
    </row>
    <row r="1232" spans="1:4" ht="18" customHeight="1">
      <c r="A1232" t="str">
        <f>"77-8008-0000PT"</f>
        <v>77-8008-0000PT</v>
      </c>
      <c r="B1232" t="str">
        <f>"LM7 Content, PT, Lab/Vir, Hydra 1 w/HydraFlex"</f>
        <v>LM7 Content, PT, Lab/Vir, Hydra 1 w/HydraFlex</v>
      </c>
      <c r="C1232" s="44">
        <v>2995</v>
      </c>
      <c r="D1232" t="str">
        <f t="shared" si="50"/>
        <v>Active</v>
      </c>
    </row>
    <row r="1233" spans="1:4" ht="18" customHeight="1">
      <c r="A1233" t="str">
        <f>"77-8012-0000"</f>
        <v>77-8012-0000</v>
      </c>
      <c r="B1233" t="str">
        <f>"LM7 Content, Lab/Vir, Sensor Technology"</f>
        <v>LM7 Content, Lab/Vir, Sensor Technology</v>
      </c>
      <c r="C1233" s="44">
        <v>2495</v>
      </c>
      <c r="D1233" t="str">
        <f t="shared" si="50"/>
        <v>Active</v>
      </c>
    </row>
    <row r="1234" spans="1:4" ht="18" customHeight="1">
      <c r="A1234" t="str">
        <f>"77-8012-0000ES"</f>
        <v>77-8012-0000ES</v>
      </c>
      <c r="B1234" t="str">
        <f>"LM7 Content, ES, Lab/Vir, Sensor Technology"</f>
        <v>LM7 Content, ES, Lab/Vir, Sensor Technology</v>
      </c>
      <c r="C1234" s="44">
        <v>2495</v>
      </c>
      <c r="D1234" t="str">
        <f t="shared" si="50"/>
        <v>Active</v>
      </c>
    </row>
    <row r="1235" spans="1:4" ht="18" customHeight="1">
      <c r="A1235" t="str">
        <f>"77-8014-0001"</f>
        <v>77-8014-0001</v>
      </c>
      <c r="B1235" t="str">
        <f>"LM7 Content, Lab/Vir, MMQC"</f>
        <v>LM7 Content, Lab/Vir, MMQC</v>
      </c>
      <c r="C1235" s="44">
        <v>2495</v>
      </c>
      <c r="D1235" t="str">
        <f t="shared" si="50"/>
        <v>Active</v>
      </c>
    </row>
    <row r="1236" spans="1:4" ht="18" customHeight="1">
      <c r="A1236" t="str">
        <f>"77-8014-0001ES"</f>
        <v>77-8014-0001ES</v>
      </c>
      <c r="B1236" t="str">
        <f>"LM7 Content, ES, Lab/Vir, MMQC"</f>
        <v>LM7 Content, ES, Lab/Vir, MMQC</v>
      </c>
      <c r="C1236" s="44">
        <v>2495</v>
      </c>
      <c r="D1236" t="str">
        <f t="shared" si="50"/>
        <v>Active</v>
      </c>
    </row>
    <row r="1237" spans="1:4" ht="18" customHeight="1">
      <c r="A1237" t="str">
        <f>"77-8014-0002"</f>
        <v>77-8014-0002</v>
      </c>
      <c r="B1237" t="str">
        <f>"LM7 Content, Lab/Vir, MMQC (Metric)"</f>
        <v>LM7 Content, Lab/Vir, MMQC (Metric)</v>
      </c>
      <c r="C1237" s="44">
        <v>2495</v>
      </c>
      <c r="D1237" t="str">
        <f t="shared" si="50"/>
        <v>Active</v>
      </c>
    </row>
    <row r="1238" spans="1:4" ht="18" customHeight="1">
      <c r="A1238" t="str">
        <f>"77-8014-0002PT"</f>
        <v>77-8014-0002PT</v>
      </c>
      <c r="B1238" t="str">
        <f>"LM7 Content, PT, Lab/Vir, MMQC (Metric)"</f>
        <v>LM7 Content, PT, Lab/Vir, MMQC (Metric)</v>
      </c>
      <c r="C1238" s="44">
        <v>2495</v>
      </c>
      <c r="D1238" t="str">
        <f t="shared" si="50"/>
        <v>Active</v>
      </c>
    </row>
    <row r="1239" spans="1:4" ht="18" customHeight="1">
      <c r="A1239" t="str">
        <f>"77-8016-0001"</f>
        <v>77-8016-0001</v>
      </c>
      <c r="B1239" t="str">
        <f>"LM7 Content, Lab, CNC Turning w/SLT"</f>
        <v>LM7 Content, Lab, CNC Turning w/SLT</v>
      </c>
      <c r="C1239" s="44">
        <v>2495</v>
      </c>
      <c r="D1239" t="str">
        <f t="shared" si="50"/>
        <v>Active</v>
      </c>
    </row>
    <row r="1240" spans="1:4" ht="18" customHeight="1">
      <c r="A1240" t="str">
        <f>"77-8016-0002"</f>
        <v>77-8016-0002</v>
      </c>
      <c r="B1240" t="str">
        <f>"LM7 Content, Lab, CNC Turning w/SLT (Metric)"</f>
        <v>LM7 Content, Lab, CNC Turning w/SLT (Metric)</v>
      </c>
      <c r="C1240" s="44">
        <v>2495</v>
      </c>
      <c r="D1240" t="str">
        <f>"New"</f>
        <v>New</v>
      </c>
    </row>
    <row r="1241" spans="1:4" ht="18" customHeight="1">
      <c r="A1241" t="str">
        <f>"77-8043-0001"</f>
        <v>77-8043-0001</v>
      </c>
      <c r="B1241" t="str">
        <f>"LM7 Content, Lab, CNC Turning w/PLT 3000"</f>
        <v>LM7 Content, Lab, CNC Turning w/PLT 3000</v>
      </c>
      <c r="C1241" s="44">
        <v>2495</v>
      </c>
      <c r="D1241" t="str">
        <f>"Active"</f>
        <v>Active</v>
      </c>
    </row>
    <row r="1242" spans="1:4" ht="18" customHeight="1">
      <c r="A1242" t="str">
        <f>"77-8043-0002"</f>
        <v>77-8043-0002</v>
      </c>
      <c r="B1242" t="str">
        <f>"LM7 Content, Lab, CNC Turning w/PLT (Metric)"</f>
        <v>LM7 Content, Lab, CNC Turning w/PLT (Metric)</v>
      </c>
      <c r="C1242" s="44">
        <v>2495</v>
      </c>
      <c r="D1242" t="str">
        <f>"New"</f>
        <v>New</v>
      </c>
    </row>
    <row r="1243" spans="1:4" ht="18" customHeight="1">
      <c r="A1243" t="str">
        <f>"77-8046-0000"</f>
        <v>77-8046-0000</v>
      </c>
      <c r="B1243" t="str">
        <f>"LM7 Content, Lab/Vir, Electrical Systems"</f>
        <v>LM7 Content, Lab/Vir, Electrical Systems</v>
      </c>
      <c r="C1243" s="44">
        <v>2495</v>
      </c>
      <c r="D1243" t="str">
        <f>"Active"</f>
        <v>Active</v>
      </c>
    </row>
    <row r="1244" spans="1:4" ht="18" customHeight="1">
      <c r="A1244" t="str">
        <f>"77-8046-0000ES"</f>
        <v>77-8046-0000ES</v>
      </c>
      <c r="B1244" t="str">
        <f>"LM7 Content, ES, Lab/Vir, Electrical Systems"</f>
        <v>LM7 Content, ES, Lab/Vir, Electrical Systems</v>
      </c>
      <c r="C1244" s="44">
        <v>2495</v>
      </c>
      <c r="D1244" t="str">
        <f>"Active"</f>
        <v>Active</v>
      </c>
    </row>
    <row r="1245" spans="1:4" ht="18" customHeight="1">
      <c r="A1245" t="str">
        <f>"77-8046-0000PT"</f>
        <v>77-8046-0000PT</v>
      </c>
      <c r="B1245" t="str">
        <f>"LM7 Content, PT, Lab/Vir, Electrical Systems"</f>
        <v>LM7 Content, PT, Lab/Vir, Electrical Systems</v>
      </c>
      <c r="C1245" s="44">
        <v>2495</v>
      </c>
      <c r="D1245" t="str">
        <f>"Active"</f>
        <v>Active</v>
      </c>
    </row>
    <row r="1246" spans="1:4" ht="18" customHeight="1">
      <c r="A1246" t="str">
        <f>"77-8047-0000"</f>
        <v>77-8047-0000</v>
      </c>
      <c r="B1246" t="str">
        <f>"LM7 Content, Lab/Vir, Mechanisms"</f>
        <v>LM7 Content, Lab/Vir, Mechanisms</v>
      </c>
      <c r="C1246" s="44">
        <v>2495</v>
      </c>
      <c r="D1246" t="str">
        <f>"Active"</f>
        <v>Active</v>
      </c>
    </row>
    <row r="1247" spans="1:4" ht="18" customHeight="1">
      <c r="A1247" t="str">
        <f>"77-8047-0000ES"</f>
        <v>77-8047-0000ES</v>
      </c>
      <c r="B1247" t="str">
        <f>"LM7 Content, ES, Lab/Vir, Mechanisms"</f>
        <v>LM7 Content, ES, Lab/Vir, Mechanisms</v>
      </c>
      <c r="C1247" s="44">
        <v>2495</v>
      </c>
      <c r="D1247" t="str">
        <f>"Active"</f>
        <v>Active</v>
      </c>
    </row>
    <row r="1248" spans="1:4" ht="18" customHeight="1">
      <c r="A1248" t="str">
        <f>"77-8054-0001"</f>
        <v>77-8054-0001</v>
      </c>
      <c r="B1248" t="str">
        <f>"LM7 Content, Lab, CNC Milling w/PLM"</f>
        <v>LM7 Content, Lab, CNC Milling w/PLM</v>
      </c>
      <c r="C1248" s="44">
        <v>2495</v>
      </c>
      <c r="D1248" t="str">
        <f>"New"</f>
        <v>New</v>
      </c>
    </row>
    <row r="1249" spans="1:4" ht="18" customHeight="1">
      <c r="A1249" t="str">
        <f>"77-8057-0000"</f>
        <v>77-8057-0000</v>
      </c>
      <c r="B1249" t="str">
        <f>"LM7 Content, Lab/Vir, Plastics Thermoforming"</f>
        <v>LM7 Content, Lab/Vir, Plastics Thermoforming</v>
      </c>
      <c r="C1249" s="44">
        <v>2495</v>
      </c>
      <c r="D1249" t="str">
        <f t="shared" ref="D1249:D1262" si="51">"Active"</f>
        <v>Active</v>
      </c>
    </row>
    <row r="1250" spans="1:4" ht="18" customHeight="1">
      <c r="A1250" t="str">
        <f>"77-8057-0000ES"</f>
        <v>77-8057-0000ES</v>
      </c>
      <c r="B1250" t="str">
        <f>"LM7 Content, ES, Lab/Vir, Plastics Thermoforming"</f>
        <v>LM7 Content, ES, Lab/Vir, Plastics Thermoforming</v>
      </c>
      <c r="C1250" s="44">
        <v>2495</v>
      </c>
      <c r="D1250" t="str">
        <f t="shared" si="51"/>
        <v>Active</v>
      </c>
    </row>
    <row r="1251" spans="1:4" ht="18" customHeight="1">
      <c r="A1251" t="str">
        <f>"77-8058-0000"</f>
        <v>77-8058-0000</v>
      </c>
      <c r="B1251" t="str">
        <f>"LM7 Content, Lab, Matrl. Testing w/Buster II"</f>
        <v>LM7 Content, Lab, Matrl. Testing w/Buster II</v>
      </c>
      <c r="C1251" s="44">
        <v>2495</v>
      </c>
      <c r="D1251" t="str">
        <f t="shared" si="51"/>
        <v>Active</v>
      </c>
    </row>
    <row r="1252" spans="1:4" ht="18" customHeight="1">
      <c r="A1252" t="str">
        <f>"77-8067-0002"</f>
        <v>77-8067-0002</v>
      </c>
      <c r="B1252" t="str">
        <f>"LM7 Content, Lab, FMS w/ER4U &amp; SLM 0200"</f>
        <v>LM7 Content, Lab, FMS w/ER4U &amp; SLM 0200</v>
      </c>
      <c r="C1252" s="44">
        <v>2495</v>
      </c>
      <c r="D1252" t="str">
        <f t="shared" si="51"/>
        <v>Active</v>
      </c>
    </row>
    <row r="1253" spans="1:4" ht="18" customHeight="1">
      <c r="A1253" t="str">
        <f>"77-8067-0002ES"</f>
        <v>77-8067-0002ES</v>
      </c>
      <c r="B1253" t="str">
        <f>"LM7 Content, ES, Lab, FMS w/ER4U &amp; SLM 0200"</f>
        <v>LM7 Content, ES, Lab, FMS w/ER4U &amp; SLM 0200</v>
      </c>
      <c r="C1253" s="44">
        <v>2495</v>
      </c>
      <c r="D1253" t="str">
        <f t="shared" si="51"/>
        <v>Active</v>
      </c>
    </row>
    <row r="1254" spans="1:4" ht="18" customHeight="1">
      <c r="A1254" t="str">
        <f>"77-8068-0000"</f>
        <v>77-8068-0000</v>
      </c>
      <c r="B1254" t="str">
        <f>"LM7 Content, Lab/Vir, Pneumatics 1 w/PneuFlex"</f>
        <v>LM7 Content, Lab/Vir, Pneumatics 1 w/PneuFlex</v>
      </c>
      <c r="C1254" s="44">
        <v>2995</v>
      </c>
      <c r="D1254" t="str">
        <f t="shared" si="51"/>
        <v>Active</v>
      </c>
    </row>
    <row r="1255" spans="1:4" ht="18" customHeight="1">
      <c r="A1255" t="str">
        <f>"77-8068-0000ES"</f>
        <v>77-8068-0000ES</v>
      </c>
      <c r="B1255" t="str">
        <f>"LM7 Content, ES, Lab/Vir, Pneumatics1 w/PneuFlex"</f>
        <v>LM7 Content, ES, Lab/Vir, Pneumatics1 w/PneuFlex</v>
      </c>
      <c r="C1255" s="44">
        <v>2995</v>
      </c>
      <c r="D1255" t="str">
        <f t="shared" si="51"/>
        <v>Active</v>
      </c>
    </row>
    <row r="1256" spans="1:4" ht="18" customHeight="1">
      <c r="A1256" t="str">
        <f>"77-8068-0000PT"</f>
        <v>77-8068-0000PT</v>
      </c>
      <c r="B1256" t="str">
        <f>"LM7 Content, PT, Lab/Vir, Pneumatics1 w/PneuFlex"</f>
        <v>LM7 Content, PT, Lab/Vir, Pneumatics1 w/PneuFlex</v>
      </c>
      <c r="C1256" s="44">
        <v>2995</v>
      </c>
      <c r="D1256" t="str">
        <f t="shared" si="51"/>
        <v>Active</v>
      </c>
    </row>
    <row r="1257" spans="1:4" ht="18" customHeight="1">
      <c r="A1257" t="str">
        <f>"77-8069-0000"</f>
        <v>77-8069-0000</v>
      </c>
      <c r="B1257" t="str">
        <f>"LM7 Content, Lab/Vir, Pneumatics 2 w/PneuFlex"</f>
        <v>LM7 Content, Lab/Vir, Pneumatics 2 w/PneuFlex</v>
      </c>
      <c r="C1257" s="44">
        <v>2495</v>
      </c>
      <c r="D1257" t="str">
        <f t="shared" si="51"/>
        <v>Active</v>
      </c>
    </row>
    <row r="1258" spans="1:4" ht="18" customHeight="1">
      <c r="A1258" t="str">
        <f>"77-8069-0000ES"</f>
        <v>77-8069-0000ES</v>
      </c>
      <c r="B1258" t="str">
        <f>"LM7 Content, ES, Lab/Vir, Pneumatics2 w/PneuFlex"</f>
        <v>LM7 Content, ES, Lab/Vir, Pneumatics2 w/PneuFlex</v>
      </c>
      <c r="C1258">
        <v>700</v>
      </c>
      <c r="D1258" t="str">
        <f t="shared" si="51"/>
        <v>Active</v>
      </c>
    </row>
    <row r="1259" spans="1:4" ht="18" customHeight="1">
      <c r="A1259" t="str">
        <f>"77-8069-0000PT"</f>
        <v>77-8069-0000PT</v>
      </c>
      <c r="B1259" t="str">
        <f>"LM7 Content, PT, Lab/Vir, Pneumatics2 w/PneuFlex"</f>
        <v>LM7 Content, PT, Lab/Vir, Pneumatics2 w/PneuFlex</v>
      </c>
      <c r="C1259" s="44">
        <v>2495</v>
      </c>
      <c r="D1259" t="str">
        <f t="shared" si="51"/>
        <v>Active</v>
      </c>
    </row>
    <row r="1260" spans="1:4" ht="18" customHeight="1">
      <c r="A1260" t="str">
        <f>"77-8082-0000"</f>
        <v>77-8082-0000</v>
      </c>
      <c r="B1260" t="str">
        <f>"LM7 Content, Lab, RMH1 w/ER4U"</f>
        <v>LM7 Content, Lab, RMH1 w/ER4U</v>
      </c>
      <c r="C1260" s="44">
        <v>2495</v>
      </c>
      <c r="D1260" t="str">
        <f t="shared" si="51"/>
        <v>Active</v>
      </c>
    </row>
    <row r="1261" spans="1:4" ht="18" customHeight="1">
      <c r="A1261" t="str">
        <f>"77-8083-0000"</f>
        <v>77-8083-0000</v>
      </c>
      <c r="B1261" t="str">
        <f>"LM7 Content, Lab, RMH2 w/ ER4U"</f>
        <v>LM7 Content, Lab, RMH2 w/ ER4U</v>
      </c>
      <c r="C1261" s="44">
        <v>2495</v>
      </c>
      <c r="D1261" t="str">
        <f t="shared" si="51"/>
        <v>Active</v>
      </c>
    </row>
    <row r="1262" spans="1:4" ht="18" customHeight="1">
      <c r="A1262" t="str">
        <f>"77-8084-0000"</f>
        <v>77-8084-0000</v>
      </c>
      <c r="B1262" t="str">
        <f>"LM7 Content, Lab, Machine Vision &amp; QC 1"</f>
        <v>LM7 Content, Lab, Machine Vision &amp; QC 1</v>
      </c>
      <c r="C1262" s="44">
        <v>2495</v>
      </c>
      <c r="D1262" t="str">
        <f t="shared" si="51"/>
        <v>Active</v>
      </c>
    </row>
    <row r="1263" spans="1:4" ht="18" customHeight="1">
      <c r="A1263" t="str">
        <f>"77-8084-0000ES"</f>
        <v>77-8084-0000ES</v>
      </c>
      <c r="B1263" t="str">
        <f>"LM7 Content, ES, Lab, Machine Vision &amp; QC 1"</f>
        <v>LM7 Content, ES, Lab, Machine Vision &amp; QC 1</v>
      </c>
      <c r="C1263" s="44">
        <v>2495</v>
      </c>
      <c r="D1263" t="str">
        <f>"New"</f>
        <v>New</v>
      </c>
    </row>
    <row r="1264" spans="1:4" ht="18" customHeight="1">
      <c r="A1264" t="str">
        <f>"77-8090-0001"</f>
        <v>77-8090-0001</v>
      </c>
      <c r="B1264" t="str">
        <f>"LM7 Content, Lab, CNC Milling w/eXpertMill"</f>
        <v>LM7 Content, Lab, CNC Milling w/eXpertMill</v>
      </c>
      <c r="C1264" s="44">
        <v>2495</v>
      </c>
      <c r="D1264" t="str">
        <f>"Active"</f>
        <v>Active</v>
      </c>
    </row>
    <row r="1265" spans="1:4" ht="18" customHeight="1">
      <c r="A1265" t="str">
        <f>"77-8091-0001"</f>
        <v>77-8091-0001</v>
      </c>
      <c r="B1265" t="str">
        <f>"LM7 Content, Lab, CNC Milling w/SPLM"</f>
        <v>LM7 Content, Lab, CNC Milling w/SPLM</v>
      </c>
      <c r="C1265" s="44">
        <v>2495</v>
      </c>
      <c r="D1265" t="str">
        <f>"Active"</f>
        <v>Active</v>
      </c>
    </row>
    <row r="1266" spans="1:4" ht="18" customHeight="1">
      <c r="A1266" t="str">
        <f>"77-8091-0002"</f>
        <v>77-8091-0002</v>
      </c>
      <c r="B1266" t="str">
        <f>"LM7 Content, Lab, CNC Milling w/SPLM (M)"</f>
        <v>LM7 Content, Lab, CNC Milling w/SPLM (M)</v>
      </c>
      <c r="C1266" s="44">
        <v>2495</v>
      </c>
      <c r="D1266" t="str">
        <f>"New"</f>
        <v>New</v>
      </c>
    </row>
    <row r="1267" spans="1:4" ht="18" customHeight="1">
      <c r="A1267" t="str">
        <f>"77-8092-0011"</f>
        <v>77-8092-0011</v>
      </c>
      <c r="B1267" t="str">
        <f>"LM7 Content, Lab, REC1, PIC, Unit 1"</f>
        <v>LM7 Content, Lab, REC1, PIC, Unit 1</v>
      </c>
      <c r="C1267">
        <v>450</v>
      </c>
      <c r="D1267" t="str">
        <f t="shared" ref="D1267:D1278" si="52">"Inactive"</f>
        <v>Inactive</v>
      </c>
    </row>
    <row r="1268" spans="1:4" ht="18" customHeight="1">
      <c r="A1268" t="str">
        <f>"77-8092-0021"</f>
        <v>77-8092-0021</v>
      </c>
      <c r="B1268" t="str">
        <f>"LM7 Content, Lab, REC1, PIC, Unit 2"</f>
        <v>LM7 Content, Lab, REC1, PIC, Unit 2</v>
      </c>
      <c r="C1268">
        <v>450</v>
      </c>
      <c r="D1268" t="str">
        <f t="shared" si="52"/>
        <v>Inactive</v>
      </c>
    </row>
    <row r="1269" spans="1:4" ht="18" customHeight="1">
      <c r="A1269" t="str">
        <f>"77-8092-0031"</f>
        <v>77-8092-0031</v>
      </c>
      <c r="B1269" t="str">
        <f>"LM7 Content, Lab, REC1, PIC, Unit 3"</f>
        <v>LM7 Content, Lab, REC1, PIC, Unit 3</v>
      </c>
      <c r="C1269">
        <v>450</v>
      </c>
      <c r="D1269" t="str">
        <f t="shared" si="52"/>
        <v>Inactive</v>
      </c>
    </row>
    <row r="1270" spans="1:4" ht="18" customHeight="1">
      <c r="A1270" t="str">
        <f>"77-8092-0041"</f>
        <v>77-8092-0041</v>
      </c>
      <c r="B1270" t="str">
        <f>"LM7 Content, Lab, REC1, PIC, Unit 4"</f>
        <v>LM7 Content, Lab, REC1, PIC, Unit 4</v>
      </c>
      <c r="C1270">
        <v>450</v>
      </c>
      <c r="D1270" t="str">
        <f t="shared" si="52"/>
        <v>Inactive</v>
      </c>
    </row>
    <row r="1271" spans="1:4" ht="18" customHeight="1">
      <c r="A1271" t="str">
        <f>"77-8092-0051"</f>
        <v>77-8092-0051</v>
      </c>
      <c r="B1271" t="str">
        <f>"LM7 Content, Lab, REC1, PIC, Unit 5"</f>
        <v>LM7 Content, Lab, REC1, PIC, Unit 5</v>
      </c>
      <c r="C1271">
        <v>450</v>
      </c>
      <c r="D1271" t="str">
        <f t="shared" si="52"/>
        <v>Inactive</v>
      </c>
    </row>
    <row r="1272" spans="1:4" ht="18" customHeight="1">
      <c r="A1272" t="str">
        <f>"77-8092-0061"</f>
        <v>77-8092-0061</v>
      </c>
      <c r="B1272" t="str">
        <f>"LM7 Content, Lab, REC1, PIC, Unit 6"</f>
        <v>LM7 Content, Lab, REC1, PIC, Unit 6</v>
      </c>
      <c r="C1272">
        <v>450</v>
      </c>
      <c r="D1272" t="str">
        <f t="shared" si="52"/>
        <v>Inactive</v>
      </c>
    </row>
    <row r="1273" spans="1:4" ht="18" customHeight="1">
      <c r="A1273" t="str">
        <f>"77-8093-0071"</f>
        <v>77-8093-0071</v>
      </c>
      <c r="B1273" t="str">
        <f>"LM7 Content, Lab, REC 2, PIC, Unit 7"</f>
        <v>LM7 Content, Lab, REC 2, PIC, Unit 7</v>
      </c>
      <c r="C1273">
        <v>450</v>
      </c>
      <c r="D1273" t="str">
        <f t="shared" si="52"/>
        <v>Inactive</v>
      </c>
    </row>
    <row r="1274" spans="1:4" ht="18" customHeight="1">
      <c r="A1274" t="str">
        <f>"77-8093-0081"</f>
        <v>77-8093-0081</v>
      </c>
      <c r="B1274" t="str">
        <f>"LM7 Content, Lab, REC 2, PIC, Unit 8"</f>
        <v>LM7 Content, Lab, REC 2, PIC, Unit 8</v>
      </c>
      <c r="C1274">
        <v>450</v>
      </c>
      <c r="D1274" t="str">
        <f t="shared" si="52"/>
        <v>Inactive</v>
      </c>
    </row>
    <row r="1275" spans="1:4" ht="18" customHeight="1">
      <c r="A1275" t="str">
        <f>"77-8093-0091"</f>
        <v>77-8093-0091</v>
      </c>
      <c r="B1275" t="str">
        <f>"LM7 Content, Lab, REC 2, PIC, Unit 9"</f>
        <v>LM7 Content, Lab, REC 2, PIC, Unit 9</v>
      </c>
      <c r="C1275">
        <v>450</v>
      </c>
      <c r="D1275" t="str">
        <f t="shared" si="52"/>
        <v>Inactive</v>
      </c>
    </row>
    <row r="1276" spans="1:4" ht="18" customHeight="1">
      <c r="A1276" t="str">
        <f>"77-8093-0101"</f>
        <v>77-8093-0101</v>
      </c>
      <c r="B1276" t="str">
        <f>"LM7 Content, Lab, REC 2, PIC, Unit 10"</f>
        <v>LM7 Content, Lab, REC 2, PIC, Unit 10</v>
      </c>
      <c r="C1276">
        <v>450</v>
      </c>
      <c r="D1276" t="str">
        <f t="shared" si="52"/>
        <v>Inactive</v>
      </c>
    </row>
    <row r="1277" spans="1:4" ht="18" customHeight="1">
      <c r="A1277" t="str">
        <f>"77-8093-0111"</f>
        <v>77-8093-0111</v>
      </c>
      <c r="B1277" t="str">
        <f>"LM7 Content, Lab, REC 2, PIC, Unit 11"</f>
        <v>LM7 Content, Lab, REC 2, PIC, Unit 11</v>
      </c>
      <c r="C1277">
        <v>450</v>
      </c>
      <c r="D1277" t="str">
        <f t="shared" si="52"/>
        <v>Inactive</v>
      </c>
    </row>
    <row r="1278" spans="1:4" ht="18" customHeight="1">
      <c r="A1278" t="str">
        <f>"77-8093-0121"</f>
        <v>77-8093-0121</v>
      </c>
      <c r="B1278" t="str">
        <f>"LM7 Content, Lab, REC 2, PIC, Unit 12"</f>
        <v>LM7 Content, Lab, REC 2, PIC, Unit 12</v>
      </c>
      <c r="C1278">
        <v>450</v>
      </c>
      <c r="D1278" t="str">
        <f t="shared" si="52"/>
        <v>Inactive</v>
      </c>
    </row>
    <row r="1279" spans="1:4" ht="18" customHeight="1">
      <c r="A1279" t="str">
        <f>"77-8094-0000"</f>
        <v>77-8094-0000</v>
      </c>
      <c r="B1279" t="str">
        <f>"LM7 Content, Lab, RMH1 w/ER9 Pro"</f>
        <v>LM7 Content, Lab, RMH1 w/ER9 Pro</v>
      </c>
      <c r="C1279" s="44">
        <v>2495</v>
      </c>
      <c r="D1279" t="str">
        <f t="shared" ref="D1279:D1304" si="53">"Active"</f>
        <v>Active</v>
      </c>
    </row>
    <row r="1280" spans="1:4" ht="18" customHeight="1">
      <c r="A1280" t="str">
        <f>"77-8095-0000"</f>
        <v>77-8095-0000</v>
      </c>
      <c r="B1280" t="str">
        <f>"LM7 Content, Lab, RMH2 w/ER9 Pro"</f>
        <v>LM7 Content, Lab, RMH2 w/ER9 Pro</v>
      </c>
      <c r="C1280" s="44">
        <v>2495</v>
      </c>
      <c r="D1280" t="str">
        <f t="shared" si="53"/>
        <v>Active</v>
      </c>
    </row>
    <row r="1281" spans="1:4" ht="18" customHeight="1">
      <c r="A1281" t="str">
        <f>"77-8097-0002"</f>
        <v>77-8097-0002</v>
      </c>
      <c r="B1281" t="str">
        <f>"LM7 Content, Lab, FMS w/ER4U &amp; eXpertMill"</f>
        <v>LM7 Content, Lab, FMS w/ER4U &amp; eXpertMill</v>
      </c>
      <c r="C1281" s="44">
        <v>2495</v>
      </c>
      <c r="D1281" t="str">
        <f t="shared" si="53"/>
        <v>Active</v>
      </c>
    </row>
    <row r="1282" spans="1:4" ht="18" customHeight="1">
      <c r="A1282" t="str">
        <f>"77-8100-1012"</f>
        <v>77-8100-1012</v>
      </c>
      <c r="B1282" t="str">
        <f>"LM7 Content, Lab, Theory of AutoGreen System"</f>
        <v>LM7 Content, Lab, Theory of AutoGreen System</v>
      </c>
      <c r="C1282" s="44">
        <v>2495</v>
      </c>
      <c r="D1282" t="str">
        <f t="shared" si="53"/>
        <v>Active</v>
      </c>
    </row>
    <row r="1283" spans="1:4" ht="18" customHeight="1">
      <c r="A1283" t="str">
        <f>"77-8100-1012ES"</f>
        <v>77-8100-1012ES</v>
      </c>
      <c r="B1283" t="str">
        <f>"LM7 Content, ES, Lab, Theory of AutoGreen System"</f>
        <v>LM7 Content, ES, Lab, Theory of AutoGreen System</v>
      </c>
      <c r="C1283" s="44">
        <v>2495</v>
      </c>
      <c r="D1283" t="str">
        <f t="shared" si="53"/>
        <v>Active</v>
      </c>
    </row>
    <row r="1284" spans="1:4" ht="18" customHeight="1">
      <c r="A1284" t="str">
        <f>"77-8100-1022"</f>
        <v>77-8100-1022</v>
      </c>
      <c r="B1284" t="str">
        <f>"LM7 Content, Lab, Using the AutoGreen System"</f>
        <v>LM7 Content, Lab, Using the AutoGreen System</v>
      </c>
      <c r="C1284" s="44">
        <v>2495</v>
      </c>
      <c r="D1284" t="str">
        <f t="shared" si="53"/>
        <v>Active</v>
      </c>
    </row>
    <row r="1285" spans="1:4" ht="18" customHeight="1">
      <c r="A1285" t="str">
        <f>"77-8100-1022ES"</f>
        <v>77-8100-1022ES</v>
      </c>
      <c r="B1285" t="str">
        <f>"LM7 Content, ES, Lab, Using the AutoGreen System"</f>
        <v>LM7 Content, ES, Lab, Using the AutoGreen System</v>
      </c>
      <c r="C1285" s="44">
        <v>2495</v>
      </c>
      <c r="D1285" t="str">
        <f t="shared" si="53"/>
        <v>Active</v>
      </c>
    </row>
    <row r="1286" spans="1:4" ht="18" customHeight="1">
      <c r="A1286" t="str">
        <f>"77-8100-1032"</f>
        <v>77-8100-1032</v>
      </c>
      <c r="B1286" t="str">
        <f>"LM7 Content, Lab, Applications of AutoGreen"</f>
        <v>LM7 Content, Lab, Applications of AutoGreen</v>
      </c>
      <c r="C1286" s="44">
        <v>2495</v>
      </c>
      <c r="D1286" t="str">
        <f t="shared" si="53"/>
        <v>Active</v>
      </c>
    </row>
    <row r="1287" spans="1:4" ht="18" customHeight="1">
      <c r="A1287" t="str">
        <f>"77-8100-1032ES"</f>
        <v>77-8100-1032ES</v>
      </c>
      <c r="B1287" t="str">
        <f>"LM7 Content, ES, Lab, Applications of AutoGreen"</f>
        <v>LM7 Content, ES, Lab, Applications of AutoGreen</v>
      </c>
      <c r="C1287" s="44">
        <v>2495</v>
      </c>
      <c r="D1287" t="str">
        <f t="shared" si="53"/>
        <v>Active</v>
      </c>
    </row>
    <row r="1288" spans="1:4" ht="18" customHeight="1">
      <c r="A1288" t="str">
        <f>"77-8101-0001"</f>
        <v>77-8101-0001</v>
      </c>
      <c r="B1288" t="str">
        <f>"LM7 Content, Lab, Agricultural Mechanics"</f>
        <v>LM7 Content, Lab, Agricultural Mechanics</v>
      </c>
      <c r="C1288" s="44">
        <v>2495</v>
      </c>
      <c r="D1288" t="str">
        <f t="shared" si="53"/>
        <v>Active</v>
      </c>
    </row>
    <row r="1289" spans="1:4" ht="18" customHeight="1">
      <c r="A1289" t="str">
        <f>"77-8105-0010"</f>
        <v>77-8105-0010</v>
      </c>
      <c r="B1289" t="str">
        <f>"LM7 Content, Lab, REC 1, Cortex, Unit 1"</f>
        <v>LM7 Content, Lab, REC 1, Cortex, Unit 1</v>
      </c>
      <c r="C1289">
        <v>450</v>
      </c>
      <c r="D1289" t="str">
        <f t="shared" si="53"/>
        <v>Active</v>
      </c>
    </row>
    <row r="1290" spans="1:4" ht="18" customHeight="1">
      <c r="A1290" t="str">
        <f>"77-8105-0020"</f>
        <v>77-8105-0020</v>
      </c>
      <c r="B1290" t="str">
        <f>"LM7 Content, Lab, REC 1, Cortex, Unit 2"</f>
        <v>LM7 Content, Lab, REC 1, Cortex, Unit 2</v>
      </c>
      <c r="C1290">
        <v>450</v>
      </c>
      <c r="D1290" t="str">
        <f t="shared" si="53"/>
        <v>Active</v>
      </c>
    </row>
    <row r="1291" spans="1:4" ht="18" customHeight="1">
      <c r="A1291" t="str">
        <f>"77-8105-0030"</f>
        <v>77-8105-0030</v>
      </c>
      <c r="B1291" t="str">
        <f>"LM7 Content, Lab, REC 1, Cortex, Unit 3"</f>
        <v>LM7 Content, Lab, REC 1, Cortex, Unit 3</v>
      </c>
      <c r="C1291">
        <v>450</v>
      </c>
      <c r="D1291" t="str">
        <f t="shared" si="53"/>
        <v>Active</v>
      </c>
    </row>
    <row r="1292" spans="1:4" ht="18" customHeight="1">
      <c r="A1292" t="str">
        <f>"77-8105-0040"</f>
        <v>77-8105-0040</v>
      </c>
      <c r="B1292" t="str">
        <f>"LM7 Content, Lab, REC 1, Cortex, Unit 4"</f>
        <v>LM7 Content, Lab, REC 1, Cortex, Unit 4</v>
      </c>
      <c r="C1292">
        <v>450</v>
      </c>
      <c r="D1292" t="str">
        <f t="shared" si="53"/>
        <v>Active</v>
      </c>
    </row>
    <row r="1293" spans="1:4" ht="18" customHeight="1">
      <c r="A1293" t="str">
        <f>"77-8105-0050"</f>
        <v>77-8105-0050</v>
      </c>
      <c r="B1293" t="str">
        <f>"LM7 Content, Lab, REC 1, Cortex, Unit 5"</f>
        <v>LM7 Content, Lab, REC 1, Cortex, Unit 5</v>
      </c>
      <c r="C1293">
        <v>450</v>
      </c>
      <c r="D1293" t="str">
        <f t="shared" si="53"/>
        <v>Active</v>
      </c>
    </row>
    <row r="1294" spans="1:4" ht="18" customHeight="1">
      <c r="A1294" t="str">
        <f>"77-8105-0060"</f>
        <v>77-8105-0060</v>
      </c>
      <c r="B1294" t="str">
        <f>"LM7 Content, Lab, REC 1, Cortex, Unit 6"</f>
        <v>LM7 Content, Lab, REC 1, Cortex, Unit 6</v>
      </c>
      <c r="C1294">
        <v>450</v>
      </c>
      <c r="D1294" t="str">
        <f t="shared" si="53"/>
        <v>Active</v>
      </c>
    </row>
    <row r="1295" spans="1:4" ht="18" customHeight="1">
      <c r="A1295" t="str">
        <f>"77-8105-0100"</f>
        <v>77-8105-0100</v>
      </c>
      <c r="B1295" t="str">
        <f>"LM7 Content, Lab, REC 1, Cortex, Semester 1 TG"</f>
        <v>LM7 Content, Lab, REC 1, Cortex, Semester 1 TG</v>
      </c>
      <c r="C1295">
        <v>0</v>
      </c>
      <c r="D1295" t="str">
        <f t="shared" si="53"/>
        <v>Active</v>
      </c>
    </row>
    <row r="1296" spans="1:4" ht="18" customHeight="1">
      <c r="A1296" t="str">
        <f>"77-8105-0200"</f>
        <v>77-8105-0200</v>
      </c>
      <c r="B1296" t="str">
        <f>"LM7 Content, Lab, REC 1, Cortex, Semester 2 TG"</f>
        <v>LM7 Content, Lab, REC 1, Cortex, Semester 2 TG</v>
      </c>
      <c r="C1296">
        <v>0</v>
      </c>
      <c r="D1296" t="str">
        <f t="shared" si="53"/>
        <v>Active</v>
      </c>
    </row>
    <row r="1297" spans="1:4" ht="18" customHeight="1">
      <c r="A1297" t="str">
        <f>"77-8105-1000"</f>
        <v>77-8105-1000</v>
      </c>
      <c r="B1297" t="str">
        <f>"LM7 Content, Lab, REC 1 Semester 1, For Cortex"</f>
        <v>LM7 Content, Lab, REC 1 Semester 1, For Cortex</v>
      </c>
      <c r="C1297" s="44">
        <v>1350</v>
      </c>
      <c r="D1297" t="str">
        <f t="shared" si="53"/>
        <v>Active</v>
      </c>
    </row>
    <row r="1298" spans="1:4" ht="18" customHeight="1">
      <c r="A1298" t="str">
        <f>"77-8105-2000"</f>
        <v>77-8105-2000</v>
      </c>
      <c r="B1298" t="str">
        <f>"LM7 Content, Lab, REC 1 Semester 2, For Cortex"</f>
        <v>LM7 Content, Lab, REC 1 Semester 2, For Cortex</v>
      </c>
      <c r="C1298" s="44">
        <v>1350</v>
      </c>
      <c r="D1298" t="str">
        <f t="shared" si="53"/>
        <v>Active</v>
      </c>
    </row>
    <row r="1299" spans="1:4" ht="18" customHeight="1">
      <c r="A1299" t="str">
        <f>"77-8106-0070"</f>
        <v>77-8106-0070</v>
      </c>
      <c r="B1299" t="str">
        <f>"LM7 Content, Lab, REC 2, Cortex, Unit 7"</f>
        <v>LM7 Content, Lab, REC 2, Cortex, Unit 7</v>
      </c>
      <c r="C1299">
        <v>450</v>
      </c>
      <c r="D1299" t="str">
        <f t="shared" si="53"/>
        <v>Active</v>
      </c>
    </row>
    <row r="1300" spans="1:4" ht="18" customHeight="1">
      <c r="A1300" t="str">
        <f>"77-8106-0080"</f>
        <v>77-8106-0080</v>
      </c>
      <c r="B1300" t="str">
        <f>"LM7 Content, Lab, REC 2, Cortex, Unit 8"</f>
        <v>LM7 Content, Lab, REC 2, Cortex, Unit 8</v>
      </c>
      <c r="C1300">
        <v>450</v>
      </c>
      <c r="D1300" t="str">
        <f t="shared" si="53"/>
        <v>Active</v>
      </c>
    </row>
    <row r="1301" spans="1:4" ht="18" customHeight="1">
      <c r="A1301" t="str">
        <f>"77-8106-0090"</f>
        <v>77-8106-0090</v>
      </c>
      <c r="B1301" t="str">
        <f>"LM7 Content, Lab, REC 2, Cortex, Unit 9"</f>
        <v>LM7 Content, Lab, REC 2, Cortex, Unit 9</v>
      </c>
      <c r="C1301">
        <v>450</v>
      </c>
      <c r="D1301" t="str">
        <f t="shared" si="53"/>
        <v>Active</v>
      </c>
    </row>
    <row r="1302" spans="1:4" ht="18" customHeight="1">
      <c r="A1302" t="str">
        <f>"77-8106-0100"</f>
        <v>77-8106-0100</v>
      </c>
      <c r="B1302" t="str">
        <f>"LM7 Content, Lab, REC 2, Cortex, Unit 10"</f>
        <v>LM7 Content, Lab, REC 2, Cortex, Unit 10</v>
      </c>
      <c r="C1302">
        <v>450</v>
      </c>
      <c r="D1302" t="str">
        <f t="shared" si="53"/>
        <v>Active</v>
      </c>
    </row>
    <row r="1303" spans="1:4" ht="18" customHeight="1">
      <c r="A1303" t="str">
        <f>"77-8106-0110"</f>
        <v>77-8106-0110</v>
      </c>
      <c r="B1303" t="str">
        <f>"LM7 Content, Lab, REC 2, Cortex, Unit 11"</f>
        <v>LM7 Content, Lab, REC 2, Cortex, Unit 11</v>
      </c>
      <c r="C1303">
        <v>450</v>
      </c>
      <c r="D1303" t="str">
        <f t="shared" si="53"/>
        <v>Active</v>
      </c>
    </row>
    <row r="1304" spans="1:4" ht="18" customHeight="1">
      <c r="A1304" t="str">
        <f>"77-8106-0120"</f>
        <v>77-8106-0120</v>
      </c>
      <c r="B1304" t="str">
        <f>"LM7 Content, Lab, REC 2, Cortex, Unit 12"</f>
        <v>LM7 Content, Lab, REC 2, Cortex, Unit 12</v>
      </c>
      <c r="C1304">
        <v>450</v>
      </c>
      <c r="D1304" t="str">
        <f t="shared" si="53"/>
        <v>Active</v>
      </c>
    </row>
    <row r="1305" spans="1:4" ht="18" customHeight="1">
      <c r="A1305" t="str">
        <f>"77-8106-1000"</f>
        <v>77-8106-1000</v>
      </c>
      <c r="B1305" t="str">
        <f>"LM7 Content, Lab, REC 2 Semester 1, For Cortex"</f>
        <v>LM7 Content, Lab, REC 2 Semester 1, For Cortex</v>
      </c>
      <c r="C1305" s="44">
        <v>1350</v>
      </c>
      <c r="D1305" t="str">
        <f>"New"</f>
        <v>New</v>
      </c>
    </row>
    <row r="1306" spans="1:4" ht="18" customHeight="1">
      <c r="A1306" t="str">
        <f>"77-8106-2000"</f>
        <v>77-8106-2000</v>
      </c>
      <c r="B1306" t="str">
        <f>"LM7 Content, Lab, REC 2 Semester 2, For Cortex"</f>
        <v>LM7 Content, Lab, REC 2 Semester 2, For Cortex</v>
      </c>
      <c r="C1306" s="44">
        <v>1350</v>
      </c>
      <c r="D1306" t="str">
        <f>"New"</f>
        <v>New</v>
      </c>
    </row>
    <row r="1307" spans="1:4" ht="18" customHeight="1">
      <c r="A1307" t="str">
        <f>"77-8107-0000"</f>
        <v>77-8107-0000</v>
      </c>
      <c r="B1307" t="str">
        <f>"LM7 Content, Lab, Compet. Robotics for Cortex"</f>
        <v>LM7 Content, Lab, Compet. Robotics for Cortex</v>
      </c>
      <c r="C1307" s="44">
        <v>1295</v>
      </c>
      <c r="D1307" t="str">
        <f t="shared" ref="D1307:D1318" si="54">"Active"</f>
        <v>Active</v>
      </c>
    </row>
    <row r="1308" spans="1:4" ht="18" customHeight="1">
      <c r="A1308" t="str">
        <f>"77-8108-0000"</f>
        <v>77-8108-0000</v>
      </c>
      <c r="B1308" t="str">
        <f>"LM7 Content, Lab, Exploring Robotics VEX IQ"</f>
        <v>LM7 Content, Lab, Exploring Robotics VEX IQ</v>
      </c>
      <c r="C1308" s="44">
        <v>3495</v>
      </c>
      <c r="D1308" t="str">
        <f t="shared" si="54"/>
        <v>Active</v>
      </c>
    </row>
    <row r="1309" spans="1:4" ht="18" customHeight="1">
      <c r="A1309" t="str">
        <f>"77-8108-0002"</f>
        <v>77-8108-0002</v>
      </c>
      <c r="B1309" t="str">
        <f>"LM7 Content, Lab, Exploring Robotics VEX IQ.2"</f>
        <v>LM7 Content, Lab, Exploring Robotics VEX IQ.2</v>
      </c>
      <c r="C1309" s="44">
        <v>1295</v>
      </c>
      <c r="D1309" t="str">
        <f t="shared" si="54"/>
        <v>Active</v>
      </c>
    </row>
    <row r="1310" spans="1:4" ht="18" customHeight="1">
      <c r="A1310" t="str">
        <f>"77-8108-0010"</f>
        <v>77-8108-0010</v>
      </c>
      <c r="B1310" t="str">
        <f>"LM7 Content, Lab, Exploring Robotics VEX IQ.10"</f>
        <v>LM7 Content, Lab, Exploring Robotics VEX IQ.10</v>
      </c>
      <c r="C1310" s="44">
        <v>2495</v>
      </c>
      <c r="D1310" t="str">
        <f t="shared" si="54"/>
        <v>Active</v>
      </c>
    </row>
    <row r="1311" spans="1:4" ht="18" customHeight="1">
      <c r="A1311" t="str">
        <f>"77-8108-0020"</f>
        <v>77-8108-0020</v>
      </c>
      <c r="B1311" t="str">
        <f>"LM7 Content, Lab, Exploring Robotics VEX IQ.20"</f>
        <v>LM7 Content, Lab, Exploring Robotics VEX IQ.20</v>
      </c>
      <c r="C1311" s="44">
        <v>2995</v>
      </c>
      <c r="D1311" t="str">
        <f t="shared" si="54"/>
        <v>Active</v>
      </c>
    </row>
    <row r="1312" spans="1:4" ht="18" customHeight="1">
      <c r="A1312" t="str">
        <f>"77-8108-0030"</f>
        <v>77-8108-0030</v>
      </c>
      <c r="B1312" t="str">
        <f>"LM7 Content, Lab, Exploring Robotics VEX IQ.30"</f>
        <v>LM7 Content, Lab, Exploring Robotics VEX IQ.30</v>
      </c>
      <c r="C1312" s="44">
        <v>3495</v>
      </c>
      <c r="D1312" t="str">
        <f t="shared" si="54"/>
        <v>Active</v>
      </c>
    </row>
    <row r="1313" spans="1:4" ht="18" customHeight="1">
      <c r="A1313" t="str">
        <f>"77-8110-0001"</f>
        <v>77-8110-0001</v>
      </c>
      <c r="B1313" t="str">
        <f>"LM7 Content, Lab, GTC Intro to Green Tech"</f>
        <v>LM7 Content, Lab, GTC Intro to Green Tech</v>
      </c>
      <c r="C1313">
        <v>534</v>
      </c>
      <c r="D1313" t="str">
        <f t="shared" si="54"/>
        <v>Active</v>
      </c>
    </row>
    <row r="1314" spans="1:4" ht="18" customHeight="1">
      <c r="A1314" t="str">
        <f>"77-8110-0002"</f>
        <v>77-8110-0002</v>
      </c>
      <c r="B1314" t="str">
        <f>"LM7 Content, Lab, GTC Alternative Energy"</f>
        <v>LM7 Content, Lab, GTC Alternative Energy</v>
      </c>
      <c r="C1314">
        <v>534</v>
      </c>
      <c r="D1314" t="str">
        <f t="shared" si="54"/>
        <v>Active</v>
      </c>
    </row>
    <row r="1315" spans="1:4" ht="18" customHeight="1">
      <c r="A1315" t="str">
        <f>"77-8110-0003"</f>
        <v>77-8110-0003</v>
      </c>
      <c r="B1315" t="str">
        <f>"LM7 Content, Lab, GTC Green Transportation"</f>
        <v>LM7 Content, Lab, GTC Green Transportation</v>
      </c>
      <c r="C1315">
        <v>534</v>
      </c>
      <c r="D1315" t="str">
        <f t="shared" si="54"/>
        <v>Active</v>
      </c>
    </row>
    <row r="1316" spans="1:4" ht="18" customHeight="1">
      <c r="A1316" t="str">
        <f>"77-8110-0004"</f>
        <v>77-8110-0004</v>
      </c>
      <c r="B1316" t="str">
        <f>"LM7 Content, Lab, GTC Green Construction"</f>
        <v>LM7 Content, Lab, GTC Green Construction</v>
      </c>
      <c r="C1316">
        <v>533</v>
      </c>
      <c r="D1316" t="str">
        <f t="shared" si="54"/>
        <v>Active</v>
      </c>
    </row>
    <row r="1317" spans="1:4" ht="18" customHeight="1">
      <c r="A1317" t="str">
        <f>"77-8110-0005"</f>
        <v>77-8110-0005</v>
      </c>
      <c r="B1317" t="str">
        <f>"LM7 Content, Lab, GTC Resource Conservation"</f>
        <v>LM7 Content, Lab, GTC Resource Conservation</v>
      </c>
      <c r="C1317">
        <v>533</v>
      </c>
      <c r="D1317" t="str">
        <f t="shared" si="54"/>
        <v>Active</v>
      </c>
    </row>
    <row r="1318" spans="1:4" ht="18" customHeight="1">
      <c r="A1318" t="str">
        <f>"77-8110-0006"</f>
        <v>77-8110-0006</v>
      </c>
      <c r="B1318" t="str">
        <f>"LM7 Content, Lab, GTC Renewable Energy Experi."</f>
        <v>LM7 Content, Lab, GTC Renewable Energy Experi.</v>
      </c>
      <c r="C1318">
        <v>533</v>
      </c>
      <c r="D1318" t="str">
        <f t="shared" si="54"/>
        <v>Active</v>
      </c>
    </row>
    <row r="1319" spans="1:4" ht="18" customHeight="1">
      <c r="A1319" t="str">
        <f>"77-8135-0000"</f>
        <v>77-8135-0000</v>
      </c>
      <c r="B1319" t="str">
        <f>"LM7 Content, Lab, Engineering Hydraulics"</f>
        <v>LM7 Content, Lab, Engineering Hydraulics</v>
      </c>
      <c r="C1319" s="44">
        <v>2495</v>
      </c>
      <c r="D1319" t="str">
        <f>"New"</f>
        <v>New</v>
      </c>
    </row>
    <row r="1320" spans="1:4" ht="18" customHeight="1">
      <c r="A1320" t="str">
        <f>"77-8136-0001"</f>
        <v>77-8136-0001</v>
      </c>
      <c r="B1320" t="str">
        <f>"LM7 Content, Lab, Intro to Transportation"</f>
        <v>LM7 Content, Lab, Intro to Transportation</v>
      </c>
      <c r="C1320">
        <v>800</v>
      </c>
      <c r="D1320" t="str">
        <f t="shared" ref="D1320:D1339" si="55">"Active"</f>
        <v>Active</v>
      </c>
    </row>
    <row r="1321" spans="1:4" ht="18" customHeight="1">
      <c r="A1321" t="str">
        <f>"77-8136-0002"</f>
        <v>77-8136-0002</v>
      </c>
      <c r="B1321" t="str">
        <f>"LM7 Content, Lab, Aerospace"</f>
        <v>LM7 Content, Lab, Aerospace</v>
      </c>
      <c r="C1321">
        <v>800</v>
      </c>
      <c r="D1321" t="str">
        <f t="shared" si="55"/>
        <v>Active</v>
      </c>
    </row>
    <row r="1322" spans="1:4" ht="18" customHeight="1">
      <c r="A1322" t="str">
        <f>"77-8136-0003"</f>
        <v>77-8136-0003</v>
      </c>
      <c r="B1322" t="str">
        <f>"LM7 Content, Lab, Aviation"</f>
        <v>LM7 Content, Lab, Aviation</v>
      </c>
      <c r="C1322">
        <v>800</v>
      </c>
      <c r="D1322" t="str">
        <f t="shared" si="55"/>
        <v>Active</v>
      </c>
    </row>
    <row r="1323" spans="1:4" ht="18" customHeight="1">
      <c r="A1323" t="str">
        <f>"77-8136-0004"</f>
        <v>77-8136-0004</v>
      </c>
      <c r="B1323" t="str">
        <f>"LM7 Content, Lab, R&amp;D Automotive"</f>
        <v>LM7 Content, Lab, R&amp;D Automotive</v>
      </c>
      <c r="C1323">
        <v>800</v>
      </c>
      <c r="D1323" t="str">
        <f t="shared" si="55"/>
        <v>Active</v>
      </c>
    </row>
    <row r="1324" spans="1:4" ht="18" customHeight="1">
      <c r="A1324" t="str">
        <f>"77-8137-0000"</f>
        <v>77-8137-0000</v>
      </c>
      <c r="B1324" t="str">
        <f>"LM7 Content, Lab, Biotechnology"</f>
        <v>LM7 Content, Lab, Biotechnology</v>
      </c>
      <c r="C1324" s="44">
        <v>3200</v>
      </c>
      <c r="D1324" t="str">
        <f t="shared" si="55"/>
        <v>Active</v>
      </c>
    </row>
    <row r="1325" spans="1:4" ht="18" customHeight="1">
      <c r="A1325" t="str">
        <f>"77-8138-0000"</f>
        <v>77-8138-0000</v>
      </c>
      <c r="B1325" t="str">
        <f>"LM7 Content, Lab, Health Care"</f>
        <v>LM7 Content, Lab, Health Care</v>
      </c>
      <c r="C1325" s="44">
        <v>3200</v>
      </c>
      <c r="D1325" t="str">
        <f t="shared" si="55"/>
        <v>Active</v>
      </c>
    </row>
    <row r="1326" spans="1:4" ht="18" customHeight="1">
      <c r="A1326" t="str">
        <f>"77-8140-0001"</f>
        <v>77-8140-0001</v>
      </c>
      <c r="B1326" t="str">
        <f>"LM7 Content, Lab, CNC Milling w/BenchMill 6000"</f>
        <v>LM7 Content, Lab, CNC Milling w/BenchMill 6000</v>
      </c>
      <c r="C1326" s="44">
        <v>2495</v>
      </c>
      <c r="D1326" t="str">
        <f t="shared" si="55"/>
        <v>Active</v>
      </c>
    </row>
    <row r="1327" spans="1:4" ht="18" customHeight="1">
      <c r="A1327" t="str">
        <f>"77-8140-0002"</f>
        <v>77-8140-0002</v>
      </c>
      <c r="B1327" t="str">
        <f>"LM7 Content, Lab, CNCMilling w/BenchMill 6000(M)"</f>
        <v>LM7 Content, Lab, CNCMilling w/BenchMill 6000(M)</v>
      </c>
      <c r="C1327" s="44">
        <v>2495</v>
      </c>
      <c r="D1327" t="str">
        <f t="shared" si="55"/>
        <v>Active</v>
      </c>
    </row>
    <row r="1328" spans="1:4" ht="18" customHeight="1">
      <c r="A1328" t="str">
        <f>"77-8141-0001"</f>
        <v>77-8141-0001</v>
      </c>
      <c r="B1328" t="str">
        <f>"LM7 Content, Lab, CNC Turning w/BenchTurn 7000"</f>
        <v>LM7 Content, Lab, CNC Turning w/BenchTurn 7000</v>
      </c>
      <c r="C1328" s="44">
        <v>2495</v>
      </c>
      <c r="D1328" t="str">
        <f t="shared" si="55"/>
        <v>Active</v>
      </c>
    </row>
    <row r="1329" spans="1:4" ht="18" customHeight="1">
      <c r="A1329" t="str">
        <f>"77-8141-0002"</f>
        <v>77-8141-0002</v>
      </c>
      <c r="B1329" t="str">
        <f>"LM7 Content, Lab, CNCTurning w/BenchTurn 7000(M)"</f>
        <v>LM7 Content, Lab, CNCTurning w/BenchTurn 7000(M)</v>
      </c>
      <c r="C1329" s="44">
        <v>2495</v>
      </c>
      <c r="D1329" t="str">
        <f t="shared" si="55"/>
        <v>Active</v>
      </c>
    </row>
    <row r="1330" spans="1:4" ht="18" customHeight="1">
      <c r="A1330" t="str">
        <f>"77-8142-0001"</f>
        <v>77-8142-0001</v>
      </c>
      <c r="B1330" t="str">
        <f>"LM7 Content, Lab, CNC Milling w/ProMill 8000"</f>
        <v>LM7 Content, Lab, CNC Milling w/ProMill 8000</v>
      </c>
      <c r="C1330" s="44">
        <v>2495</v>
      </c>
      <c r="D1330" t="str">
        <f t="shared" si="55"/>
        <v>Active</v>
      </c>
    </row>
    <row r="1331" spans="1:4" ht="18" customHeight="1">
      <c r="A1331" t="str">
        <f>"77-8142-0002"</f>
        <v>77-8142-0002</v>
      </c>
      <c r="B1331" t="str">
        <f>"LM7 Content, Lab, CNC Milling w/ProMill 8000 (M)"</f>
        <v>LM7 Content, Lab, CNC Milling w/ProMill 8000 (M)</v>
      </c>
      <c r="C1331" s="44">
        <v>2495</v>
      </c>
      <c r="D1331" t="str">
        <f t="shared" si="55"/>
        <v>Active</v>
      </c>
    </row>
    <row r="1332" spans="1:4" ht="18" customHeight="1">
      <c r="A1332" t="str">
        <f>"77-8143-0001"</f>
        <v>77-8143-0001</v>
      </c>
      <c r="B1332" t="str">
        <f>"LM7 Content, Lab, CNC Turning w/ProTurn 9000"</f>
        <v>LM7 Content, Lab, CNC Turning w/ProTurn 9000</v>
      </c>
      <c r="C1332" s="44">
        <v>2495</v>
      </c>
      <c r="D1332" t="str">
        <f t="shared" si="55"/>
        <v>Active</v>
      </c>
    </row>
    <row r="1333" spans="1:4" ht="18" customHeight="1">
      <c r="A1333" t="str">
        <f>"77-8143-0002"</f>
        <v>77-8143-0002</v>
      </c>
      <c r="B1333" t="str">
        <f>"LM7 Content, Lab, CNC Turning w/ProTurn 9000 (M)"</f>
        <v>LM7 Content, Lab, CNC Turning w/ProTurn 9000 (M)</v>
      </c>
      <c r="C1333" s="44">
        <v>2495</v>
      </c>
      <c r="D1333" t="str">
        <f t="shared" si="55"/>
        <v>Active</v>
      </c>
    </row>
    <row r="1334" spans="1:4" ht="18" customHeight="1">
      <c r="A1334" t="str">
        <f>"77-8150-0001"</f>
        <v>77-8150-0001</v>
      </c>
      <c r="B1334" t="str">
        <f>"LM7 Content, Lab, Intro. to Communications"</f>
        <v>LM7 Content, Lab, Intro. to Communications</v>
      </c>
      <c r="C1334">
        <v>800</v>
      </c>
      <c r="D1334" t="str">
        <f t="shared" si="55"/>
        <v>Active</v>
      </c>
    </row>
    <row r="1335" spans="1:4" ht="18" customHeight="1">
      <c r="A1335" t="str">
        <f>"77-8151-0001"</f>
        <v>77-8151-0001</v>
      </c>
      <c r="B1335" t="str">
        <f>"LM7 Content, Lab, Digital Video Editing"</f>
        <v>LM7 Content, Lab, Digital Video Editing</v>
      </c>
      <c r="C1335">
        <v>800</v>
      </c>
      <c r="D1335" t="str">
        <f t="shared" si="55"/>
        <v>Active</v>
      </c>
    </row>
    <row r="1336" spans="1:4" ht="18" customHeight="1">
      <c r="A1336" t="str">
        <f>"77-8152-0001"</f>
        <v>77-8152-0001</v>
      </c>
      <c r="B1336" t="str">
        <f>"LM7 Content, Lab, Digital Photo Editing"</f>
        <v>LM7 Content, Lab, Digital Photo Editing</v>
      </c>
      <c r="C1336">
        <v>800</v>
      </c>
      <c r="D1336" t="str">
        <f t="shared" si="55"/>
        <v>Active</v>
      </c>
    </row>
    <row r="1337" spans="1:4" ht="18" customHeight="1">
      <c r="A1337" t="str">
        <f>"77-8153-0001"</f>
        <v>77-8153-0001</v>
      </c>
      <c r="B1337" t="str">
        <f>"LM7 Content, Lab, Graphic Design"</f>
        <v>LM7 Content, Lab, Graphic Design</v>
      </c>
      <c r="C1337">
        <v>800</v>
      </c>
      <c r="D1337" t="str">
        <f t="shared" si="55"/>
        <v>Active</v>
      </c>
    </row>
    <row r="1338" spans="1:4" ht="18" customHeight="1">
      <c r="A1338" t="str">
        <f>"77-8154-0001"</f>
        <v>77-8154-0001</v>
      </c>
      <c r="B1338" t="str">
        <f>"LM7 Content, Lab, Intro. to Industrial Design"</f>
        <v>LM7 Content, Lab, Intro. to Industrial Design</v>
      </c>
      <c r="C1338" s="44">
        <v>1995</v>
      </c>
      <c r="D1338" t="str">
        <f t="shared" si="55"/>
        <v>Active</v>
      </c>
    </row>
    <row r="1339" spans="1:4" ht="18" customHeight="1">
      <c r="A1339" t="str">
        <f>"77-8155-0010"</f>
        <v>77-8155-0010</v>
      </c>
      <c r="B1339" t="str">
        <f>"LM7 Content,Lab, Advanced Engineering-Semester I"</f>
        <v>LM7 Content,Lab, Advanced Engineering-Semester I</v>
      </c>
      <c r="C1339" s="44">
        <v>2495</v>
      </c>
      <c r="D1339" t="str">
        <f t="shared" si="55"/>
        <v>Active</v>
      </c>
    </row>
    <row r="1340" spans="1:4" ht="18" customHeight="1">
      <c r="A1340" t="str">
        <f>"77-8155-0020"</f>
        <v>77-8155-0020</v>
      </c>
      <c r="B1340" t="str">
        <f>"LM7 Content,Lab,Advanced Engineering-Semester II"</f>
        <v>LM7 Content,Lab,Advanced Engineering-Semester II</v>
      </c>
      <c r="C1340" s="44">
        <v>2495</v>
      </c>
      <c r="D1340" t="str">
        <f>"New"</f>
        <v>New</v>
      </c>
    </row>
    <row r="1341" spans="1:4" ht="18" customHeight="1">
      <c r="A1341" t="str">
        <f>"77-8158-0000"</f>
        <v>77-8158-0000</v>
      </c>
      <c r="B1341" t="str">
        <f>"LM7 Content, Lab, Advanced Robotics Cyton300"</f>
        <v>LM7 Content, Lab, Advanced Robotics Cyton300</v>
      </c>
      <c r="C1341">
        <v>995</v>
      </c>
      <c r="D1341" t="str">
        <f>"Active"</f>
        <v>Active</v>
      </c>
    </row>
    <row r="1342" spans="1:4" ht="18" customHeight="1">
      <c r="A1342" t="str">
        <f>"77-8180-0000"</f>
        <v>77-8180-0000</v>
      </c>
      <c r="B1342" t="str">
        <f>"LM7 Content, Lab, IEPS"</f>
        <v>LM7 Content, Lab, IEPS</v>
      </c>
      <c r="C1342">
        <v>60</v>
      </c>
      <c r="D1342" t="str">
        <f>"New"</f>
        <v>New</v>
      </c>
    </row>
    <row r="1343" spans="1:4" ht="18" customHeight="1">
      <c r="A1343" t="str">
        <f>"77-AIM1-0011"</f>
        <v>77-AIM1-0011</v>
      </c>
      <c r="B1343" t="str">
        <f>"LM7 Content, Vir, AIM Unit 1 - Bridge Eng"</f>
        <v>LM7 Content, Vir, AIM Unit 1 - Bridge Eng</v>
      </c>
      <c r="C1343">
        <v>450</v>
      </c>
      <c r="D1343" t="str">
        <f t="shared" ref="D1343:D1374" si="56">"Active"</f>
        <v>Active</v>
      </c>
    </row>
    <row r="1344" spans="1:4" ht="18" customHeight="1">
      <c r="A1344" t="str">
        <f>"77-AIM1-0021"</f>
        <v>77-AIM1-0021</v>
      </c>
      <c r="B1344" t="str">
        <f>"LM7 Content, Vir, AIM Unit 2 - Ord. Dis"</f>
        <v>LM7 Content, Vir, AIM Unit 2 - Ord. Dis</v>
      </c>
      <c r="C1344">
        <v>450</v>
      </c>
      <c r="D1344" t="str">
        <f t="shared" si="56"/>
        <v>Active</v>
      </c>
    </row>
    <row r="1345" spans="1:4" ht="18" customHeight="1">
      <c r="A1345" t="str">
        <f>"77-AIM1-0031"</f>
        <v>77-AIM1-0031</v>
      </c>
      <c r="B1345" t="str">
        <f>"LM7 Content, Vir, AIM Unit 3 - Robo Soccer Part1"</f>
        <v>LM7 Content, Vir, AIM Unit 3 - Robo Soccer Part1</v>
      </c>
      <c r="C1345">
        <v>450</v>
      </c>
      <c r="D1345" t="str">
        <f t="shared" si="56"/>
        <v>Active</v>
      </c>
    </row>
    <row r="1346" spans="1:4" ht="18" customHeight="1">
      <c r="A1346" t="str">
        <f>"77-AIM1-0032"</f>
        <v>77-AIM1-0032</v>
      </c>
      <c r="B1346" t="str">
        <f>"LM7 Content, Vir, AIM Unit 3 - Robo Soccer Part2"</f>
        <v>LM7 Content, Vir, AIM Unit 3 - Robo Soccer Part2</v>
      </c>
      <c r="C1346">
        <v>450</v>
      </c>
      <c r="D1346" t="str">
        <f t="shared" si="56"/>
        <v>Active</v>
      </c>
    </row>
    <row r="1347" spans="1:4" ht="18" customHeight="1">
      <c r="A1347" t="str">
        <f>"77-AIM1-0041"</f>
        <v>77-AIM1-0041</v>
      </c>
      <c r="B1347" t="str">
        <f>"LM7 Content, Vir, AIM Unit 4 - 3 Kg Lift"</f>
        <v>LM7 Content, Vir, AIM Unit 4 - 3 Kg Lift</v>
      </c>
      <c r="C1347">
        <v>450</v>
      </c>
      <c r="D1347" t="str">
        <f t="shared" si="56"/>
        <v>Active</v>
      </c>
    </row>
    <row r="1348" spans="1:4" ht="18" customHeight="1">
      <c r="A1348" t="str">
        <f>"77-AIM1-0051"</f>
        <v>77-AIM1-0051</v>
      </c>
      <c r="B1348" t="str">
        <f>"LM7 Content, Vir, AIM Unit 5 - Auto Nav."</f>
        <v>LM7 Content, Vir, AIM Unit 5 - Auto Nav.</v>
      </c>
      <c r="C1348">
        <v>450</v>
      </c>
      <c r="D1348" t="str">
        <f t="shared" si="56"/>
        <v>Active</v>
      </c>
    </row>
    <row r="1349" spans="1:4" ht="18" customHeight="1">
      <c r="A1349" t="str">
        <f>"77-AIM1-0061"</f>
        <v>77-AIM1-0061</v>
      </c>
      <c r="B1349" t="str">
        <f>"LM7 Content, Vir, AIM Unit 6 -Robot Comp"</f>
        <v>LM7 Content, Vir, AIM Unit 6 -Robot Comp</v>
      </c>
      <c r="C1349">
        <v>450</v>
      </c>
      <c r="D1349" t="str">
        <f t="shared" si="56"/>
        <v>Active</v>
      </c>
    </row>
    <row r="1350" spans="1:4" ht="18" customHeight="1">
      <c r="A1350" t="str">
        <f>"77-BA01A-0001"</f>
        <v>77-BA01A-0001</v>
      </c>
      <c r="B1350" t="str">
        <f>"LM7 Content, JM, Math for Technicians I"</f>
        <v>LM7 Content, JM, Math for Technicians I</v>
      </c>
      <c r="C1350" s="44">
        <v>2495</v>
      </c>
      <c r="D1350" t="str">
        <f t="shared" si="56"/>
        <v>Active</v>
      </c>
    </row>
    <row r="1351" spans="1:4" ht="18" customHeight="1">
      <c r="A1351" t="str">
        <f>"77-BA01B-0001"</f>
        <v>77-BA01B-0001</v>
      </c>
      <c r="B1351" t="str">
        <f>"LM7 Content, JM, Math For Technicians II"</f>
        <v>LM7 Content, JM, Math For Technicians II</v>
      </c>
      <c r="C1351" s="44">
        <v>2495</v>
      </c>
      <c r="D1351" t="str">
        <f t="shared" si="56"/>
        <v>Active</v>
      </c>
    </row>
    <row r="1352" spans="1:4" ht="18" customHeight="1">
      <c r="A1352" t="str">
        <f>"77-BA02-0001"</f>
        <v>77-BA02-0001</v>
      </c>
      <c r="B1352" t="str">
        <f>"LM7 Content, JM, Blue Print Reading"</f>
        <v>LM7 Content, JM, Blue Print Reading</v>
      </c>
      <c r="C1352" s="44">
        <v>2495</v>
      </c>
      <c r="D1352" t="str">
        <f t="shared" si="56"/>
        <v>Active</v>
      </c>
    </row>
    <row r="1353" spans="1:4" ht="18" customHeight="1">
      <c r="A1353" t="str">
        <f>"77-BA03-0001"</f>
        <v>77-BA03-0001</v>
      </c>
      <c r="B1353" t="str">
        <f>"LM7 Content, JM, Lubrication for Technicians"</f>
        <v>LM7 Content, JM, Lubrication for Technicians</v>
      </c>
      <c r="C1353" s="44">
        <v>2495</v>
      </c>
      <c r="D1353" t="str">
        <f t="shared" si="56"/>
        <v>Active</v>
      </c>
    </row>
    <row r="1354" spans="1:4" ht="18" customHeight="1">
      <c r="A1354" t="str">
        <f>"77-BA04-0001"</f>
        <v>77-BA04-0001</v>
      </c>
      <c r="B1354" t="str">
        <f>"LM7 Content, JM, Fasteners"</f>
        <v>LM7 Content, JM, Fasteners</v>
      </c>
      <c r="C1354" s="44">
        <v>2495</v>
      </c>
      <c r="D1354" t="str">
        <f t="shared" si="56"/>
        <v>Active</v>
      </c>
    </row>
    <row r="1355" spans="1:4" ht="18" customHeight="1">
      <c r="A1355" t="str">
        <f>"77-BA05-0001"</f>
        <v>77-BA05-0001</v>
      </c>
      <c r="B1355" t="str">
        <f>"LM7 Content, JM, Hand Tools"</f>
        <v>LM7 Content, JM, Hand Tools</v>
      </c>
      <c r="C1355" s="44">
        <v>2495</v>
      </c>
      <c r="D1355" t="str">
        <f t="shared" si="56"/>
        <v>Active</v>
      </c>
    </row>
    <row r="1356" spans="1:4" ht="18" customHeight="1">
      <c r="A1356" t="str">
        <f>"77-BA06-0001"</f>
        <v>77-BA06-0001</v>
      </c>
      <c r="B1356" t="str">
        <f>"LM7 Content, JM, Power Tools"</f>
        <v>LM7 Content, JM, Power Tools</v>
      </c>
      <c r="C1356" s="44">
        <v>2495</v>
      </c>
      <c r="D1356" t="str">
        <f t="shared" si="56"/>
        <v>Active</v>
      </c>
    </row>
    <row r="1357" spans="1:4" ht="18" customHeight="1">
      <c r="A1357" t="str">
        <f>"77-BOOT-0001"</f>
        <v>77-BOOT-0001</v>
      </c>
      <c r="B1357" t="str">
        <f>"LM7 Content, Robot Boot Camp"</f>
        <v>LM7 Content, Robot Boot Camp</v>
      </c>
      <c r="C1357">
        <v>795</v>
      </c>
      <c r="D1357" t="str">
        <f t="shared" si="56"/>
        <v>Active</v>
      </c>
    </row>
    <row r="1358" spans="1:4" ht="18" customHeight="1">
      <c r="A1358" t="str">
        <f>"77-EA01A-0000"</f>
        <v>77-EA01A-0000</v>
      </c>
      <c r="B1358" t="str">
        <f>"LM7 Content, JM, Electrical Circuits"</f>
        <v>LM7 Content, JM, Electrical Circuits</v>
      </c>
      <c r="C1358">
        <v>700</v>
      </c>
      <c r="D1358" t="str">
        <f t="shared" si="56"/>
        <v>Active</v>
      </c>
    </row>
    <row r="1359" spans="1:4" ht="18" customHeight="1">
      <c r="A1359" t="str">
        <f>"77-EA01A-0000ES"</f>
        <v>77-EA01A-0000ES</v>
      </c>
      <c r="B1359" t="str">
        <f>"LM7 Content, ES,  JM, Electrical Circuits"</f>
        <v>LM7 Content, ES,  JM, Electrical Circuits</v>
      </c>
      <c r="C1359">
        <v>700</v>
      </c>
      <c r="D1359" t="str">
        <f t="shared" si="56"/>
        <v>Active</v>
      </c>
    </row>
    <row r="1360" spans="1:4" ht="18" customHeight="1">
      <c r="A1360" t="str">
        <f>"77-EA01A-0000PT"</f>
        <v>77-EA01A-0000PT</v>
      </c>
      <c r="B1360" t="str">
        <f>"LM7 Content, PT, Lab, JM, Electrical Circuits"</f>
        <v>LM7 Content, PT, Lab, JM, Electrical Circuits</v>
      </c>
      <c r="C1360" s="44">
        <v>2495</v>
      </c>
      <c r="D1360" t="str">
        <f t="shared" si="56"/>
        <v>Active</v>
      </c>
    </row>
    <row r="1361" spans="1:4" ht="18" customHeight="1">
      <c r="A1361" t="str">
        <f>"77-EA01B-0000"</f>
        <v>77-EA01B-0000</v>
      </c>
      <c r="B1361" t="str">
        <f>"LM7 Content, JM, Resistors &amp; Conductors"</f>
        <v>LM7 Content, JM, Resistors &amp; Conductors</v>
      </c>
      <c r="C1361">
        <v>700</v>
      </c>
      <c r="D1361" t="str">
        <f t="shared" si="56"/>
        <v>Active</v>
      </c>
    </row>
    <row r="1362" spans="1:4" ht="18" customHeight="1">
      <c r="A1362" t="str">
        <f>"77-EA01B-0000ES"</f>
        <v>77-EA01B-0000ES</v>
      </c>
      <c r="B1362" t="str">
        <f>"LM7 Content, ES, JM, Resistors &amp; Conductors"</f>
        <v>LM7 Content, ES, JM, Resistors &amp; Conductors</v>
      </c>
      <c r="C1362">
        <v>700</v>
      </c>
      <c r="D1362" t="str">
        <f t="shared" si="56"/>
        <v>Active</v>
      </c>
    </row>
    <row r="1363" spans="1:4" ht="18" customHeight="1">
      <c r="A1363" t="str">
        <f>"77-EA01B-0000PT"</f>
        <v>77-EA01B-0000PT</v>
      </c>
      <c r="B1363" t="str">
        <f>"LM7 Content, PT, Lab, JM, Resistors &amp; Conductors"</f>
        <v>LM7 Content, PT, Lab, JM, Resistors &amp; Conductors</v>
      </c>
      <c r="C1363">
        <v>700</v>
      </c>
      <c r="D1363" t="str">
        <f t="shared" si="56"/>
        <v>Active</v>
      </c>
    </row>
    <row r="1364" spans="1:4" ht="18" customHeight="1">
      <c r="A1364" t="str">
        <f>"77-EA01C-0000"</f>
        <v>77-EA01C-0000</v>
      </c>
      <c r="B1364" t="str">
        <f>"LM7 Content, JM, LCR Circuits"</f>
        <v>LM7 Content, JM, LCR Circuits</v>
      </c>
      <c r="C1364">
        <v>700</v>
      </c>
      <c r="D1364" t="str">
        <f t="shared" si="56"/>
        <v>Active</v>
      </c>
    </row>
    <row r="1365" spans="1:4" ht="18" customHeight="1">
      <c r="A1365" t="str">
        <f>"77-EA01C-0000ES"</f>
        <v>77-EA01C-0000ES</v>
      </c>
      <c r="B1365" t="str">
        <f>"LM7 Content, ES, JM, LCR Circuits"</f>
        <v>LM7 Content, ES, JM, LCR Circuits</v>
      </c>
      <c r="C1365">
        <v>700</v>
      </c>
      <c r="D1365" t="str">
        <f t="shared" si="56"/>
        <v>Active</v>
      </c>
    </row>
    <row r="1366" spans="1:4" ht="18" customHeight="1">
      <c r="A1366" t="str">
        <f>"77-EA01C-0000PT"</f>
        <v>77-EA01C-0000PT</v>
      </c>
      <c r="B1366" t="str">
        <f>"LM7 Content, PT, Lab, JM, LCR Circuits"</f>
        <v>LM7 Content, PT, Lab, JM, LCR Circuits</v>
      </c>
      <c r="C1366">
        <v>700</v>
      </c>
      <c r="D1366" t="str">
        <f t="shared" si="56"/>
        <v>Active</v>
      </c>
    </row>
    <row r="1367" spans="1:4" ht="18" customHeight="1">
      <c r="A1367" t="str">
        <f>"77-EA01D-0000"</f>
        <v>77-EA01D-0000</v>
      </c>
      <c r="B1367" t="str">
        <f>"LM7 Content, JM, Motors &amp; Generators"</f>
        <v>LM7 Content, JM, Motors &amp; Generators</v>
      </c>
      <c r="C1367" s="44">
        <v>1295</v>
      </c>
      <c r="D1367" t="str">
        <f t="shared" si="56"/>
        <v>Active</v>
      </c>
    </row>
    <row r="1368" spans="1:4" ht="18" customHeight="1">
      <c r="A1368" t="str">
        <f>"77-EA01D-0000ES"</f>
        <v>77-EA01D-0000ES</v>
      </c>
      <c r="B1368" t="str">
        <f>"LM7 Content, ES, JM, Motors &amp; Generators"</f>
        <v>LM7 Content, ES, JM, Motors &amp; Generators</v>
      </c>
      <c r="C1368">
        <v>700</v>
      </c>
      <c r="D1368" t="str">
        <f t="shared" si="56"/>
        <v>Active</v>
      </c>
    </row>
    <row r="1369" spans="1:4" ht="18" customHeight="1">
      <c r="A1369" t="str">
        <f>"77-EA01D-0000PT"</f>
        <v>77-EA01D-0000PT</v>
      </c>
      <c r="B1369" t="str">
        <f>"LM7 Content, PT, Lab, JM, Motors &amp; Generators"</f>
        <v>LM7 Content, PT, Lab, JM, Motors &amp; Generators</v>
      </c>
      <c r="C1369">
        <v>700</v>
      </c>
      <c r="D1369" t="str">
        <f t="shared" si="56"/>
        <v>Active</v>
      </c>
    </row>
    <row r="1370" spans="1:4" ht="18" customHeight="1">
      <c r="A1370" t="str">
        <f>"77-EA02-0000"</f>
        <v>77-EA02-0000</v>
      </c>
      <c r="B1370" t="str">
        <f>"LM7 Content, JM, Electric Circuit Protection"</f>
        <v>LM7 Content, JM, Electric Circuit Protection</v>
      </c>
      <c r="C1370">
        <v>700</v>
      </c>
      <c r="D1370" t="str">
        <f t="shared" si="56"/>
        <v>Active</v>
      </c>
    </row>
    <row r="1371" spans="1:4" ht="18" customHeight="1">
      <c r="A1371" t="str">
        <f>"77-EA02-0000ES"</f>
        <v>77-EA02-0000ES</v>
      </c>
      <c r="B1371" t="str">
        <f>"LM7 Content, ES, JM, Electric Circuit Protection"</f>
        <v>LM7 Content, ES, JM, Electric Circuit Protection</v>
      </c>
      <c r="C1371">
        <v>700</v>
      </c>
      <c r="D1371" t="str">
        <f t="shared" si="56"/>
        <v>Active</v>
      </c>
    </row>
    <row r="1372" spans="1:4" ht="18" customHeight="1">
      <c r="A1372" t="str">
        <f>"77-EA03-0000"</f>
        <v>77-EA03-0000</v>
      </c>
      <c r="B1372" t="str">
        <f>"LM7 Content, JM, 3 Phase Transformers"</f>
        <v>LM7 Content, JM, 3 Phase Transformers</v>
      </c>
      <c r="C1372">
        <v>700</v>
      </c>
      <c r="D1372" t="str">
        <f t="shared" si="56"/>
        <v>Active</v>
      </c>
    </row>
    <row r="1373" spans="1:4" ht="18" customHeight="1">
      <c r="A1373" t="str">
        <f>"77-EA03-0000ES"</f>
        <v>77-EA03-0000ES</v>
      </c>
      <c r="B1373" t="str">
        <f>"LM7 Content, ES, JM, 3 Phase Transformers"</f>
        <v>LM7 Content, ES, JM, 3 Phase Transformers</v>
      </c>
      <c r="C1373">
        <v>700</v>
      </c>
      <c r="D1373" t="str">
        <f t="shared" si="56"/>
        <v>Active</v>
      </c>
    </row>
    <row r="1374" spans="1:4" ht="18" customHeight="1">
      <c r="A1374" t="str">
        <f>"77-EA03-0000PT"</f>
        <v>77-EA03-0000PT</v>
      </c>
      <c r="B1374" t="str">
        <f>"LM7 Content, PT, Lab, JM, 3 Phase Transformers"</f>
        <v>LM7 Content, PT, Lab, JM, 3 Phase Transformers</v>
      </c>
      <c r="C1374">
        <v>700</v>
      </c>
      <c r="D1374" t="str">
        <f t="shared" si="56"/>
        <v>Active</v>
      </c>
    </row>
    <row r="1375" spans="1:4" ht="18" customHeight="1">
      <c r="A1375" t="str">
        <f>"77-EA04-0000"</f>
        <v>77-EA04-0000</v>
      </c>
      <c r="B1375" t="str">
        <f>"LM7 Content, JM, Electric Motors"</f>
        <v>LM7 Content, JM, Electric Motors</v>
      </c>
      <c r="C1375">
        <v>700</v>
      </c>
      <c r="D1375" t="str">
        <f t="shared" ref="D1375:D1406" si="57">"Active"</f>
        <v>Active</v>
      </c>
    </row>
    <row r="1376" spans="1:4" ht="18" customHeight="1">
      <c r="A1376" t="str">
        <f>"77-EA04-0000ES"</f>
        <v>77-EA04-0000ES</v>
      </c>
      <c r="B1376" t="str">
        <f>"LM7 Content, ES, JM, Electric Motors"</f>
        <v>LM7 Content, ES, JM, Electric Motors</v>
      </c>
      <c r="C1376">
        <v>700</v>
      </c>
      <c r="D1376" t="str">
        <f t="shared" si="57"/>
        <v>Active</v>
      </c>
    </row>
    <row r="1377" spans="1:4" ht="18" customHeight="1">
      <c r="A1377" t="str">
        <f>"77-EA07-0000"</f>
        <v>77-EA07-0000</v>
      </c>
      <c r="B1377" t="str">
        <f>"LM7 Content, JM, Electromagnetic Starters"</f>
        <v>LM7 Content, JM, Electromagnetic Starters</v>
      </c>
      <c r="C1377">
        <v>700</v>
      </c>
      <c r="D1377" t="str">
        <f t="shared" si="57"/>
        <v>Active</v>
      </c>
    </row>
    <row r="1378" spans="1:4" ht="18" customHeight="1">
      <c r="A1378" t="str">
        <f>"77-EA07-0000ES"</f>
        <v>77-EA07-0000ES</v>
      </c>
      <c r="B1378" t="str">
        <f>"LM7 Content, ES, JM, Electromagnetic Starters"</f>
        <v>LM7 Content, ES, JM, Electromagnetic Starters</v>
      </c>
      <c r="C1378">
        <v>700</v>
      </c>
      <c r="D1378" t="str">
        <f t="shared" si="57"/>
        <v>Active</v>
      </c>
    </row>
    <row r="1379" spans="1:4" ht="18" customHeight="1">
      <c r="A1379" t="str">
        <f>"77-EA08-0000"</f>
        <v>77-EA08-0000</v>
      </c>
      <c r="B1379" t="str">
        <f>"LM7 Content, JM, Relays and Timers"</f>
        <v>LM7 Content, JM, Relays and Timers</v>
      </c>
      <c r="C1379">
        <v>700</v>
      </c>
      <c r="D1379" t="str">
        <f t="shared" si="57"/>
        <v>Active</v>
      </c>
    </row>
    <row r="1380" spans="1:4" ht="18" customHeight="1">
      <c r="A1380" t="str">
        <f>"77-EA08-0000ES"</f>
        <v>77-EA08-0000ES</v>
      </c>
      <c r="B1380" t="str">
        <f>"LM7 Content, ES, JM, Relays and Timers"</f>
        <v>LM7 Content, ES, JM, Relays and Timers</v>
      </c>
      <c r="C1380">
        <v>700</v>
      </c>
      <c r="D1380" t="str">
        <f t="shared" si="57"/>
        <v>Active</v>
      </c>
    </row>
    <row r="1381" spans="1:4" ht="18" customHeight="1">
      <c r="A1381" t="str">
        <f>"77-EA09-0000"</f>
        <v>77-EA09-0000</v>
      </c>
      <c r="B1381" t="str">
        <f>"LM7 Content, JM, Pilot Devices"</f>
        <v>LM7 Content, JM, Pilot Devices</v>
      </c>
      <c r="C1381">
        <v>700</v>
      </c>
      <c r="D1381" t="str">
        <f t="shared" si="57"/>
        <v>Active</v>
      </c>
    </row>
    <row r="1382" spans="1:4" ht="18" customHeight="1">
      <c r="A1382" t="str">
        <f>"77-EA09-0000ES"</f>
        <v>77-EA09-0000ES</v>
      </c>
      <c r="B1382" t="str">
        <f>"LM7 Content, ES, JM, Pilot Devices"</f>
        <v>LM7 Content, ES, JM, Pilot Devices</v>
      </c>
      <c r="C1382">
        <v>700</v>
      </c>
      <c r="D1382" t="str">
        <f t="shared" si="57"/>
        <v>Active</v>
      </c>
    </row>
    <row r="1383" spans="1:4" ht="18" customHeight="1">
      <c r="A1383" t="str">
        <f>"77-EA11-0000"</f>
        <v>77-EA11-0000</v>
      </c>
      <c r="B1383" t="str">
        <f>"LM7 Content, JM, Solid State Voltage Starter"</f>
        <v>LM7 Content, JM, Solid State Voltage Starter</v>
      </c>
      <c r="C1383">
        <v>700</v>
      </c>
      <c r="D1383" t="str">
        <f t="shared" si="57"/>
        <v>Active</v>
      </c>
    </row>
    <row r="1384" spans="1:4" ht="18" customHeight="1">
      <c r="A1384" t="str">
        <f>"77-EA11-0000ES"</f>
        <v>77-EA11-0000ES</v>
      </c>
      <c r="B1384" t="str">
        <f>"LM7 Content, ES, JM, Solid State Voltage Starter"</f>
        <v>LM7 Content, ES, JM, Solid State Voltage Starter</v>
      </c>
      <c r="C1384">
        <v>700</v>
      </c>
      <c r="D1384" t="str">
        <f t="shared" si="57"/>
        <v>Active</v>
      </c>
    </row>
    <row r="1385" spans="1:4" ht="18" customHeight="1">
      <c r="A1385" t="str">
        <f>"77-EA12-0000"</f>
        <v>77-EA12-0000</v>
      </c>
      <c r="B1385" t="str">
        <f>"LM7 Content, JM, Electric Motor Drives"</f>
        <v>LM7 Content, JM, Electric Motor Drives</v>
      </c>
      <c r="C1385">
        <v>700</v>
      </c>
      <c r="D1385" t="str">
        <f t="shared" si="57"/>
        <v>Active</v>
      </c>
    </row>
    <row r="1386" spans="1:4" ht="18" customHeight="1">
      <c r="A1386" t="str">
        <f>"77-EA12-0000ES"</f>
        <v>77-EA12-0000ES</v>
      </c>
      <c r="B1386" t="str">
        <f>"LM7 Content, ES, JM, Electric Motor Drives"</f>
        <v>LM7 Content, ES, JM, Electric Motor Drives</v>
      </c>
      <c r="C1386">
        <v>700</v>
      </c>
      <c r="D1386" t="str">
        <f t="shared" si="57"/>
        <v>Active</v>
      </c>
    </row>
    <row r="1387" spans="1:4" ht="18" customHeight="1">
      <c r="A1387" t="str">
        <f>"77-EA16-0000"</f>
        <v>77-EA16-0000</v>
      </c>
      <c r="B1387" t="str">
        <f>"LM7 Content, JM, DC Motor Drives"</f>
        <v>LM7 Content, JM, DC Motor Drives</v>
      </c>
      <c r="C1387">
        <v>700</v>
      </c>
      <c r="D1387" t="str">
        <f t="shared" si="57"/>
        <v>Active</v>
      </c>
    </row>
    <row r="1388" spans="1:4" ht="18" customHeight="1">
      <c r="A1388" t="str">
        <f>"77-EA16-0000ES"</f>
        <v>77-EA16-0000ES</v>
      </c>
      <c r="B1388" t="str">
        <f>"LM7 Content, ES, JM, DC Motor Drives"</f>
        <v>LM7 Content, ES, JM, DC Motor Drives</v>
      </c>
      <c r="C1388">
        <v>700</v>
      </c>
      <c r="D1388" t="str">
        <f t="shared" si="57"/>
        <v>Active</v>
      </c>
    </row>
    <row r="1389" spans="1:4" ht="18" customHeight="1">
      <c r="A1389" t="str">
        <f>"77-EB01A-0000"</f>
        <v>77-EB01A-0000</v>
      </c>
      <c r="B1389" t="str">
        <f>"LM7 Content, JM, Oscilloscope"</f>
        <v>LM7 Content, JM, Oscilloscope</v>
      </c>
      <c r="C1389">
        <v>700</v>
      </c>
      <c r="D1389" t="str">
        <f t="shared" si="57"/>
        <v>Active</v>
      </c>
    </row>
    <row r="1390" spans="1:4" ht="18" customHeight="1">
      <c r="A1390" t="str">
        <f>"77-EB01B-0000"</f>
        <v>77-EB01B-0000</v>
      </c>
      <c r="B1390" t="str">
        <f>"LM7 Content, JM, Digital Multimeter"</f>
        <v>LM7 Content, JM, Digital Multimeter</v>
      </c>
      <c r="C1390">
        <v>700</v>
      </c>
      <c r="D1390" t="str">
        <f t="shared" si="57"/>
        <v>Active</v>
      </c>
    </row>
    <row r="1391" spans="1:4" ht="18" customHeight="1">
      <c r="A1391" t="str">
        <f>"77-EB01C-0000"</f>
        <v>77-EB01C-0000</v>
      </c>
      <c r="B1391" t="str">
        <f>"LM7 Content, JM, Digital Oscilloscope"</f>
        <v>LM7 Content, JM, Digital Oscilloscope</v>
      </c>
      <c r="C1391">
        <v>700</v>
      </c>
      <c r="D1391" t="str">
        <f t="shared" si="57"/>
        <v>Active</v>
      </c>
    </row>
    <row r="1392" spans="1:4" ht="18" customHeight="1">
      <c r="A1392" t="str">
        <f>"77-EB01C-0000ES"</f>
        <v>77-EB01C-0000ES</v>
      </c>
      <c r="B1392" t="str">
        <f>"LM7 Content, ES, JM, Digital Oscilloscope"</f>
        <v>LM7 Content, ES, JM, Digital Oscilloscope</v>
      </c>
      <c r="C1392">
        <v>700</v>
      </c>
      <c r="D1392" t="str">
        <f t="shared" si="57"/>
        <v>Active</v>
      </c>
    </row>
    <row r="1393" spans="1:4" ht="18" customHeight="1">
      <c r="A1393" t="str">
        <f>"77-EB02A-0000"</f>
        <v>77-EB02A-0000</v>
      </c>
      <c r="B1393" t="str">
        <f>"LM7 Content, JM, DC Power Supplies"</f>
        <v>LM7 Content, JM, DC Power Supplies</v>
      </c>
      <c r="C1393">
        <v>700</v>
      </c>
      <c r="D1393" t="str">
        <f t="shared" si="57"/>
        <v>Active</v>
      </c>
    </row>
    <row r="1394" spans="1:4" ht="18" customHeight="1">
      <c r="A1394" t="str">
        <f>"77-EB02A-0000ES"</f>
        <v>77-EB02A-0000ES</v>
      </c>
      <c r="B1394" t="str">
        <f>"LM7 Content, ES, JM, DC Power Supplies"</f>
        <v>LM7 Content, ES, JM, DC Power Supplies</v>
      </c>
      <c r="C1394">
        <v>700</v>
      </c>
      <c r="D1394" t="str">
        <f t="shared" si="57"/>
        <v>Active</v>
      </c>
    </row>
    <row r="1395" spans="1:4" ht="18" customHeight="1">
      <c r="A1395" t="str">
        <f>"77-EB02B-0000"</f>
        <v>77-EB02B-0000</v>
      </c>
      <c r="B1395" t="str">
        <f>"LM7 Content, JM, Single &amp; 3 Phase Power Supply"</f>
        <v>LM7 Content, JM, Single &amp; 3 Phase Power Supply</v>
      </c>
      <c r="C1395">
        <v>700</v>
      </c>
      <c r="D1395" t="str">
        <f t="shared" si="57"/>
        <v>Active</v>
      </c>
    </row>
    <row r="1396" spans="1:4" ht="18" customHeight="1">
      <c r="A1396" t="str">
        <f>"77-EB02B-0000ES"</f>
        <v>77-EB02B-0000ES</v>
      </c>
      <c r="B1396" t="str">
        <f>"LM7 Content,ES,JM, Single &amp; 3 Phase Power Supply"</f>
        <v>LM7 Content,ES,JM, Single &amp; 3 Phase Power Supply</v>
      </c>
      <c r="C1396">
        <v>700</v>
      </c>
      <c r="D1396" t="str">
        <f t="shared" si="57"/>
        <v>Active</v>
      </c>
    </row>
    <row r="1397" spans="1:4" ht="18" customHeight="1">
      <c r="A1397" t="str">
        <f>"77-EB02B-0000PT"</f>
        <v>77-EB02B-0000PT</v>
      </c>
      <c r="B1397" t="str">
        <f>"LM7 Content, PT, Lab, JM,1&amp;3 Phase Power Supply"</f>
        <v>LM7 Content, PT, Lab, JM,1&amp;3 Phase Power Supply</v>
      </c>
      <c r="C1397">
        <v>700</v>
      </c>
      <c r="D1397" t="str">
        <f t="shared" si="57"/>
        <v>Active</v>
      </c>
    </row>
    <row r="1398" spans="1:4" ht="18" customHeight="1">
      <c r="A1398" t="str">
        <f>"77-EB03-0000"</f>
        <v>77-EB03-0000</v>
      </c>
      <c r="B1398" t="str">
        <f>"LM7 Content, JM, Thyristor Motor Drives"</f>
        <v>LM7 Content, JM, Thyristor Motor Drives</v>
      </c>
      <c r="C1398">
        <v>700</v>
      </c>
      <c r="D1398" t="str">
        <f t="shared" si="57"/>
        <v>Active</v>
      </c>
    </row>
    <row r="1399" spans="1:4" ht="18" customHeight="1">
      <c r="A1399" t="str">
        <f>"77-EB03-0000ES"</f>
        <v>77-EB03-0000ES</v>
      </c>
      <c r="B1399" t="str">
        <f>"LM7 Content, ES, JM, Thyristor Motor Drives"</f>
        <v>LM7 Content, ES, JM, Thyristor Motor Drives</v>
      </c>
      <c r="C1399">
        <v>700</v>
      </c>
      <c r="D1399" t="str">
        <f t="shared" si="57"/>
        <v>Active</v>
      </c>
    </row>
    <row r="1400" spans="1:4" ht="18" customHeight="1">
      <c r="A1400" t="str">
        <f>"77-EB04-0000"</f>
        <v>77-EB04-0000</v>
      </c>
      <c r="B1400" t="str">
        <f>"LM7 Content, JM, Electronic Timers &amp; Triggers"</f>
        <v>LM7 Content, JM, Electronic Timers &amp; Triggers</v>
      </c>
      <c r="C1400">
        <v>700</v>
      </c>
      <c r="D1400" t="str">
        <f t="shared" si="57"/>
        <v>Active</v>
      </c>
    </row>
    <row r="1401" spans="1:4" ht="18" customHeight="1">
      <c r="A1401" t="str">
        <f>"77-EB04-0000ES"</f>
        <v>77-EB04-0000ES</v>
      </c>
      <c r="B1401" t="str">
        <f>"LM7 Content,ES, JM, Electronic Timers &amp; Triggers"</f>
        <v>LM7 Content,ES, JM, Electronic Timers &amp; Triggers</v>
      </c>
      <c r="C1401">
        <v>700</v>
      </c>
      <c r="D1401" t="str">
        <f t="shared" si="57"/>
        <v>Active</v>
      </c>
    </row>
    <row r="1402" spans="1:4" ht="18" customHeight="1">
      <c r="A1402" t="str">
        <f>"77-EB05-0000"</f>
        <v>77-EB05-0000</v>
      </c>
      <c r="B1402" t="str">
        <f>"LM7 Content, JM, Basic Stepper Motors &amp; Drives"</f>
        <v>LM7 Content, JM, Basic Stepper Motors &amp; Drives</v>
      </c>
      <c r="C1402">
        <v>700</v>
      </c>
      <c r="D1402" t="str">
        <f t="shared" si="57"/>
        <v>Active</v>
      </c>
    </row>
    <row r="1403" spans="1:4" ht="18" customHeight="1">
      <c r="A1403" t="str">
        <f>"77-EB05-0000ES"</f>
        <v>77-EB05-0000ES</v>
      </c>
      <c r="B1403" t="str">
        <f>"LM7 Content,ES,JM, Basic Stepper Motors &amp; Drives"</f>
        <v>LM7 Content,ES,JM, Basic Stepper Motors &amp; Drives</v>
      </c>
      <c r="C1403">
        <v>700</v>
      </c>
      <c r="D1403" t="str">
        <f t="shared" si="57"/>
        <v>Active</v>
      </c>
    </row>
    <row r="1404" spans="1:4" ht="18" customHeight="1">
      <c r="A1404" t="str">
        <f>"77-EB06-0000"</f>
        <v>77-EB06-0000</v>
      </c>
      <c r="B1404" t="str">
        <f>"LM7 Content, JM, Basic Servo Motor Drives"</f>
        <v>LM7 Content, JM, Basic Servo Motor Drives</v>
      </c>
      <c r="C1404">
        <v>700</v>
      </c>
      <c r="D1404" t="str">
        <f t="shared" si="57"/>
        <v>Active</v>
      </c>
    </row>
    <row r="1405" spans="1:4" ht="18" customHeight="1">
      <c r="A1405" t="str">
        <f>"77-EB06-0000ES"</f>
        <v>77-EB06-0000ES</v>
      </c>
      <c r="B1405" t="str">
        <f>"LM7 Content, ES, JM, Basic Servo Motor Drives"</f>
        <v>LM7 Content, ES, JM, Basic Servo Motor Drives</v>
      </c>
      <c r="C1405">
        <v>700</v>
      </c>
      <c r="D1405" t="str">
        <f t="shared" si="57"/>
        <v>Active</v>
      </c>
    </row>
    <row r="1406" spans="1:4" ht="18" customHeight="1">
      <c r="A1406" t="str">
        <f>"77-EMMC-0000"</f>
        <v>77-EMMC-0000</v>
      </c>
      <c r="B1406" t="str">
        <f>"LM7 Content, JM, Instructor's Guide"</f>
        <v>LM7 Content, JM, Instructor's Guide</v>
      </c>
      <c r="C1406" s="44">
        <v>2495</v>
      </c>
      <c r="D1406" t="str">
        <f t="shared" si="57"/>
        <v>Active</v>
      </c>
    </row>
    <row r="1407" spans="1:4" ht="18" customHeight="1">
      <c r="A1407" t="str">
        <f>"77-JM04-0000"</f>
        <v>77-JM04-0000</v>
      </c>
      <c r="B1407" t="str">
        <f>"LM7 Content, Lab,JM04 Motor Control TS"</f>
        <v>LM7 Content, Lab,JM04 Motor Control TS</v>
      </c>
      <c r="C1407">
        <v>700</v>
      </c>
      <c r="D1407" t="str">
        <f t="shared" ref="D1407:D1428" si="58">"Active"</f>
        <v>Active</v>
      </c>
    </row>
    <row r="1408" spans="1:4" ht="18" customHeight="1">
      <c r="A1408" t="str">
        <f>"77-JM06A-0000"</f>
        <v>77-JM06A-0000</v>
      </c>
      <c r="B1408" t="str">
        <f>"LM7 Content, Lab,JM06A Electric&amp;Electronic TS"</f>
        <v>LM7 Content, Lab,JM06A Electric&amp;Electronic TS</v>
      </c>
      <c r="C1408">
        <v>700</v>
      </c>
      <c r="D1408" t="str">
        <f t="shared" si="58"/>
        <v>Active</v>
      </c>
    </row>
    <row r="1409" spans="1:4" ht="18" customHeight="1">
      <c r="A1409" t="str">
        <f>"77-JM06B-0000"</f>
        <v>77-JM06B-0000</v>
      </c>
      <c r="B1409" t="str">
        <f>"LM7 Content, Lab,JM06B Electric&amp;Electronic TS"</f>
        <v>LM7 Content, Lab,JM06B Electric&amp;Electronic TS</v>
      </c>
      <c r="C1409">
        <v>700</v>
      </c>
      <c r="D1409" t="str">
        <f t="shared" si="58"/>
        <v>Active</v>
      </c>
    </row>
    <row r="1410" spans="1:4" ht="18" customHeight="1">
      <c r="A1410" t="str">
        <f>"77-LOTO-0000"</f>
        <v>77-LOTO-0000</v>
      </c>
      <c r="B1410" t="str">
        <f>"LM7 Content, JM, Safety, Lock Out/Tag Out"</f>
        <v>LM7 Content, JM, Safety, Lock Out/Tag Out</v>
      </c>
      <c r="C1410" s="44">
        <v>2495</v>
      </c>
      <c r="D1410" t="str">
        <f t="shared" si="58"/>
        <v>Active</v>
      </c>
    </row>
    <row r="1411" spans="1:4" ht="18" customHeight="1">
      <c r="A1411" t="str">
        <f>"77-ME01-0001"</f>
        <v>77-ME01-0001</v>
      </c>
      <c r="B1411" t="str">
        <f>"LM7 Content, JM, Basic Machines"</f>
        <v>LM7 Content, JM, Basic Machines</v>
      </c>
      <c r="C1411">
        <v>700</v>
      </c>
      <c r="D1411" t="str">
        <f t="shared" si="58"/>
        <v>Active</v>
      </c>
    </row>
    <row r="1412" spans="1:4" ht="18" customHeight="1">
      <c r="A1412" t="str">
        <f>"77-ME02-0001"</f>
        <v>77-ME02-0001</v>
      </c>
      <c r="B1412" t="str">
        <f>"LM7 Content, JM, Machine Statics and Dynamics"</f>
        <v>LM7 Content, JM, Machine Statics and Dynamics</v>
      </c>
      <c r="C1412">
        <v>700</v>
      </c>
      <c r="D1412" t="str">
        <f t="shared" si="58"/>
        <v>Active</v>
      </c>
    </row>
    <row r="1413" spans="1:4" ht="18" customHeight="1">
      <c r="A1413" t="str">
        <f>"77-ME03-0001"</f>
        <v>77-ME03-0001</v>
      </c>
      <c r="B1413" t="str">
        <f>"LM7 Content, JM, Machine Shafts and Keys"</f>
        <v>LM7 Content, JM, Machine Shafts and Keys</v>
      </c>
      <c r="C1413">
        <v>700</v>
      </c>
      <c r="D1413" t="str">
        <f t="shared" si="58"/>
        <v>Active</v>
      </c>
    </row>
    <row r="1414" spans="1:4" ht="18" customHeight="1">
      <c r="A1414" t="str">
        <f>"77-ME04-0001"</f>
        <v>77-ME04-0001</v>
      </c>
      <c r="B1414" t="str">
        <f>"LM7 Content, JM, Bearings"</f>
        <v>LM7 Content, JM, Bearings</v>
      </c>
      <c r="C1414">
        <v>700</v>
      </c>
      <c r="D1414" t="str">
        <f t="shared" si="58"/>
        <v>Active</v>
      </c>
    </row>
    <row r="1415" spans="1:4" ht="18" customHeight="1">
      <c r="A1415" t="str">
        <f>"77-ME05-0001"</f>
        <v>77-ME05-0001</v>
      </c>
      <c r="B1415" t="str">
        <f>"LM7 Content, JM, Belt Drives"</f>
        <v>LM7 Content, JM, Belt Drives</v>
      </c>
      <c r="C1415">
        <v>700</v>
      </c>
      <c r="D1415" t="str">
        <f t="shared" si="58"/>
        <v>Active</v>
      </c>
    </row>
    <row r="1416" spans="1:4" ht="18" customHeight="1">
      <c r="A1416" t="str">
        <f>"77-ME06-0001"</f>
        <v>77-ME06-0001</v>
      </c>
      <c r="B1416" t="str">
        <f>"LM7 Content, JM, Chain Drives"</f>
        <v>LM7 Content, JM, Chain Drives</v>
      </c>
      <c r="C1416">
        <v>700</v>
      </c>
      <c r="D1416" t="str">
        <f t="shared" si="58"/>
        <v>Active</v>
      </c>
    </row>
    <row r="1417" spans="1:4" ht="18" customHeight="1">
      <c r="A1417" t="str">
        <f>"77-ME07-0001"</f>
        <v>77-ME07-0001</v>
      </c>
      <c r="B1417" t="str">
        <f>"LM7 Content, JM, Machine Shaft Couplings"</f>
        <v>LM7 Content, JM, Machine Shaft Couplings</v>
      </c>
      <c r="C1417">
        <v>700</v>
      </c>
      <c r="D1417" t="str">
        <f t="shared" si="58"/>
        <v>Active</v>
      </c>
    </row>
    <row r="1418" spans="1:4" ht="18" customHeight="1">
      <c r="A1418" t="str">
        <f>"77-ME08-0001"</f>
        <v>77-ME08-0001</v>
      </c>
      <c r="B1418" t="str">
        <f>"LM7 Content, JM, Gear Drives"</f>
        <v>LM7 Content, JM, Gear Drives</v>
      </c>
      <c r="C1418">
        <v>700</v>
      </c>
      <c r="D1418" t="str">
        <f t="shared" si="58"/>
        <v>Active</v>
      </c>
    </row>
    <row r="1419" spans="1:4" ht="18" customHeight="1">
      <c r="A1419" t="str">
        <f>"77-ME09-0001"</f>
        <v>77-ME09-0001</v>
      </c>
      <c r="B1419" t="str">
        <f>"LM7 Content, JM, Machine Speed Reducers"</f>
        <v>LM7 Content, JM, Machine Speed Reducers</v>
      </c>
      <c r="C1419">
        <v>700</v>
      </c>
      <c r="D1419" t="str">
        <f t="shared" si="58"/>
        <v>Active</v>
      </c>
    </row>
    <row r="1420" spans="1:4" ht="18" customHeight="1">
      <c r="A1420" t="str">
        <f>"77-ME10-0001"</f>
        <v>77-ME10-0001</v>
      </c>
      <c r="B1420" t="str">
        <f>"LM7 Content, JM, Electric Brakes"</f>
        <v>LM7 Content, JM, Electric Brakes</v>
      </c>
      <c r="C1420">
        <v>700</v>
      </c>
      <c r="D1420" t="str">
        <f t="shared" si="58"/>
        <v>Active</v>
      </c>
    </row>
    <row r="1421" spans="1:4" ht="18" customHeight="1">
      <c r="A1421" t="str">
        <f>"77-ME11-0001"</f>
        <v>77-ME11-0001</v>
      </c>
      <c r="B1421" t="str">
        <f>"LM7 Content, JM, Laser Alignment"</f>
        <v>LM7 Content, JM, Laser Alignment</v>
      </c>
      <c r="C1421">
        <v>700</v>
      </c>
      <c r="D1421" t="str">
        <f t="shared" si="58"/>
        <v>Active</v>
      </c>
    </row>
    <row r="1422" spans="1:4" ht="18" customHeight="1">
      <c r="A1422" t="str">
        <f>"77-ME12-0001"</f>
        <v>77-ME12-0001</v>
      </c>
      <c r="B1422" t="str">
        <f>"LM7 Content, JM, Vibration Analysis"</f>
        <v>LM7 Content, JM, Vibration Analysis</v>
      </c>
      <c r="C1422">
        <v>700</v>
      </c>
      <c r="D1422" t="str">
        <f t="shared" si="58"/>
        <v>Active</v>
      </c>
    </row>
    <row r="1423" spans="1:4" ht="18" customHeight="1">
      <c r="A1423" t="str">
        <f>"77-ME13-0001"</f>
        <v>77-ME13-0001</v>
      </c>
      <c r="B1423" t="str">
        <f>"LM7 Content, JM, Bearing Service Cart"</f>
        <v>LM7 Content, JM, Bearing Service Cart</v>
      </c>
      <c r="C1423">
        <v>700</v>
      </c>
      <c r="D1423" t="str">
        <f t="shared" si="58"/>
        <v>Active</v>
      </c>
    </row>
    <row r="1424" spans="1:4" ht="18" customHeight="1">
      <c r="A1424" t="str">
        <f>"77-ZA00-1600"</f>
        <v>77-ZA00-1600</v>
      </c>
      <c r="B1424" t="str">
        <f>"LM7 Content, JM,  Maintenance Cell"</f>
        <v>LM7 Content, JM,  Maintenance Cell</v>
      </c>
      <c r="C1424" s="44">
        <v>3495</v>
      </c>
      <c r="D1424" t="str">
        <f t="shared" si="58"/>
        <v>Active</v>
      </c>
    </row>
    <row r="1425" spans="1:4" ht="18" customHeight="1">
      <c r="A1425" t="str">
        <f>"78-3501-0001"</f>
        <v>78-3501-0001</v>
      </c>
      <c r="B1425" t="str">
        <f>"Introduction to Coding 1 yr. Content Pack"</f>
        <v>Introduction to Coding 1 yr. Content Pack</v>
      </c>
      <c r="C1425">
        <v>25</v>
      </c>
      <c r="D1425" t="str">
        <f t="shared" si="58"/>
        <v>Active</v>
      </c>
    </row>
    <row r="1426" spans="1:4" ht="18" customHeight="1">
      <c r="A1426" t="str">
        <f>"78-3501-0002"</f>
        <v>78-3501-0002</v>
      </c>
      <c r="B1426" t="str">
        <f>"Introduction to Coding 2 yr. Content Pack"</f>
        <v>Introduction to Coding 2 yr. Content Pack</v>
      </c>
      <c r="C1426">
        <v>45</v>
      </c>
      <c r="D1426" t="str">
        <f t="shared" si="58"/>
        <v>Active</v>
      </c>
    </row>
    <row r="1427" spans="1:4" ht="18" customHeight="1">
      <c r="A1427" t="str">
        <f>"78-3501-0003"</f>
        <v>78-3501-0003</v>
      </c>
      <c r="B1427" t="str">
        <f>"Introduction to Coding 3 yr. Content Pack"</f>
        <v>Introduction to Coding 3 yr. Content Pack</v>
      </c>
      <c r="C1427">
        <v>60</v>
      </c>
      <c r="D1427" t="str">
        <f t="shared" si="58"/>
        <v>Active</v>
      </c>
    </row>
    <row r="1428" spans="1:4" ht="18" customHeight="1">
      <c r="A1428" t="str">
        <f>"78-3501-0004"</f>
        <v>78-3501-0004</v>
      </c>
      <c r="B1428" t="str">
        <f>"Introduction to Coding 4 yr. Content Pack"</f>
        <v>Introduction to Coding 4 yr. Content Pack</v>
      </c>
      <c r="C1428">
        <v>70</v>
      </c>
      <c r="D1428" t="str">
        <f t="shared" si="58"/>
        <v>Active</v>
      </c>
    </row>
  </sheetData>
  <conditionalFormatting sqref="D1 D3:D1048576">
    <cfRule type="cellIs" dxfId="50" priority="1" operator="equal">
      <formula>"ECO+NFS"</formula>
    </cfRule>
    <cfRule type="cellIs" dxfId="49" priority="2" operator="equal">
      <formula>"ECO-N2Mnf"</formula>
    </cfRule>
    <cfRule type="cellIs" dxfId="48" priority="3" operator="equal">
      <formula>"Inactive"</formula>
    </cfRule>
    <cfRule type="cellIs" dxfId="47" priority="4" operator="equal">
      <formula>"Phase Out"</formula>
    </cfRule>
    <cfRule type="cellIs" dxfId="46" priority="5" operator="equal">
      <formula>"ECO-N2Buy"</formula>
    </cfRule>
    <cfRule type="cellIs" dxfId="45" priority="6" operator="equal">
      <formula>"Not for purc"</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6">
    <tabColor theme="9" tint="-0.249977111117893"/>
  </sheetPr>
  <dimension ref="A1:C9537"/>
  <sheetViews>
    <sheetView workbookViewId="0">
      <pane ySplit="2" topLeftCell="A9117" activePane="bottomLeft" state="frozen"/>
      <selection pane="bottomLeft" activeCell="A9128" sqref="A9128"/>
    </sheetView>
  </sheetViews>
  <sheetFormatPr baseColWidth="10" defaultColWidth="9" defaultRowHeight="18" customHeight="1"/>
  <cols>
    <col min="1" max="1" width="15.875" bestFit="1" customWidth="1"/>
    <col min="2" max="2" width="51.25" bestFit="1" customWidth="1"/>
    <col min="3" max="3" width="11.375" bestFit="1" customWidth="1"/>
  </cols>
  <sheetData>
    <row r="1" spans="1:3" ht="18" customHeight="1">
      <c r="A1" s="42">
        <v>42612</v>
      </c>
      <c r="C1" s="43"/>
    </row>
    <row r="2" spans="1:3" ht="18" customHeight="1">
      <c r="A2" s="47" t="str">
        <f>"Part Number"</f>
        <v>Part Number</v>
      </c>
      <c r="B2" s="47" t="str">
        <f>"Marketing Description"</f>
        <v>Marketing Description</v>
      </c>
      <c r="C2" s="47" t="str">
        <f>"Status"</f>
        <v>Status</v>
      </c>
    </row>
    <row r="3" spans="1:3" ht="18" customHeight="1">
      <c r="A3" t="str">
        <f>"00-0107-0110"</f>
        <v>00-0107-0110</v>
      </c>
      <c r="B3" t="str">
        <f>"Multivariable Instrumentation Control Trainer110"</f>
        <v>Multivariable Instrumentation Control Trainer110</v>
      </c>
      <c r="C3" t="str">
        <f>"Active"</f>
        <v>Active</v>
      </c>
    </row>
    <row r="4" spans="1:3" ht="18" customHeight="1">
      <c r="A4" t="str">
        <f>"00-0107-0220"</f>
        <v>00-0107-0220</v>
      </c>
      <c r="B4" t="str">
        <f>"Multivariable Instrumentation Control Trainer220"</f>
        <v>Multivariable Instrumentation Control Trainer220</v>
      </c>
      <c r="C4" t="str">
        <f>"Active"</f>
        <v>Active</v>
      </c>
    </row>
    <row r="5" spans="1:3" ht="18" customHeight="1">
      <c r="A5" t="str">
        <f>"00-0202-0000"</f>
        <v>00-0202-0000</v>
      </c>
      <c r="B5" t="str">
        <f>"Controller-A for ER 5plus with 4 Driver Cards"</f>
        <v>Controller-A for ER 5plus with 4 Driver Cards</v>
      </c>
      <c r="C5" t="str">
        <f>"Not for purc"</f>
        <v>Not for purc</v>
      </c>
    </row>
    <row r="6" spans="1:3" ht="18" customHeight="1">
      <c r="A6" t="str">
        <f>"00-0211-0000"</f>
        <v>00-0211-0000</v>
      </c>
      <c r="B6" t="str">
        <f>"Controller-USB (incl. SCORBASE Software)"</f>
        <v>Controller-USB (incl. SCORBASE Software)</v>
      </c>
      <c r="C6" t="str">
        <f t="shared" ref="C6:C15" si="0">"Active"</f>
        <v>Active</v>
      </c>
    </row>
    <row r="7" spans="1:3" ht="18" customHeight="1">
      <c r="A7" t="str">
        <f>"00-0212-0000"</f>
        <v>00-0212-0000</v>
      </c>
      <c r="B7" t="str">
        <f>"USB Pro controller for accessories w/o robot"</f>
        <v>USB Pro controller for accessories w/o robot</v>
      </c>
      <c r="C7" t="str">
        <f t="shared" si="0"/>
        <v>Active</v>
      </c>
    </row>
    <row r="8" spans="1:3" ht="18" customHeight="1">
      <c r="A8" t="str">
        <f>"00-0300-0001"</f>
        <v>00-0300-0001</v>
      </c>
      <c r="B8" t="str">
        <f>"CytonE 300 Robot"</f>
        <v>CytonE 300 Robot</v>
      </c>
      <c r="C8" t="str">
        <f t="shared" si="0"/>
        <v>Active</v>
      </c>
    </row>
    <row r="9" spans="1:3" ht="18" customHeight="1">
      <c r="A9" t="str">
        <f>"00-0300-DEMO"</f>
        <v>00-0300-DEMO</v>
      </c>
      <c r="B9" t="str">
        <f>"Demo CytonE 300 &amp; 1 seat ACTIN"</f>
        <v>Demo CytonE 300 &amp; 1 seat ACTIN</v>
      </c>
      <c r="C9" t="str">
        <f t="shared" si="0"/>
        <v>Active</v>
      </c>
    </row>
    <row r="10" spans="1:3" ht="18" customHeight="1">
      <c r="A10" t="str">
        <f>"00-0300-KIN"</f>
        <v>00-0300-KIN</v>
      </c>
      <c r="B10" t="str">
        <f>"Kinect PlugIn for CytonE 300 Robot"</f>
        <v>Kinect PlugIn for CytonE 300 Robot</v>
      </c>
      <c r="C10" t="str">
        <f t="shared" si="0"/>
        <v>Active</v>
      </c>
    </row>
    <row r="11" spans="1:3" ht="18" customHeight="1">
      <c r="A11" t="str">
        <f>"00-0301-0110"</f>
        <v>00-0301-0110</v>
      </c>
      <c r="B11" t="str">
        <f>"SAPP Liquid Level Process Plant; 110V"</f>
        <v>SAPP Liquid Level Process Plant; 110V</v>
      </c>
      <c r="C11" t="str">
        <f t="shared" si="0"/>
        <v>Active</v>
      </c>
    </row>
    <row r="12" spans="1:3" ht="18" customHeight="1">
      <c r="A12" t="str">
        <f>"00-0301-0220"</f>
        <v>00-0301-0220</v>
      </c>
      <c r="B12" t="str">
        <f>"SAPP Liquid Level Process Plant; 220V"</f>
        <v>SAPP Liquid Level Process Plant; 220V</v>
      </c>
      <c r="C12" t="str">
        <f t="shared" si="0"/>
        <v>Active</v>
      </c>
    </row>
    <row r="13" spans="1:3" ht="18" customHeight="1">
      <c r="A13" t="str">
        <f>"00-0302-0110"</f>
        <v>00-0302-0110</v>
      </c>
      <c r="B13" t="str">
        <f>"SAPP Liquid Flow Process Plant; 110V"</f>
        <v>SAPP Liquid Flow Process Plant; 110V</v>
      </c>
      <c r="C13" t="str">
        <f t="shared" si="0"/>
        <v>Active</v>
      </c>
    </row>
    <row r="14" spans="1:3" ht="18" customHeight="1">
      <c r="A14" t="str">
        <f>"00-0302-0220"</f>
        <v>00-0302-0220</v>
      </c>
      <c r="B14" t="str">
        <f>"SAPP Liquid Flow Process Plant; 220V"</f>
        <v>SAPP Liquid Flow Process Plant; 220V</v>
      </c>
      <c r="C14" t="str">
        <f t="shared" si="0"/>
        <v>Active</v>
      </c>
    </row>
    <row r="15" spans="1:3" ht="18" customHeight="1">
      <c r="A15" t="str">
        <f>"00-0303-0000"</f>
        <v>00-0303-0000</v>
      </c>
      <c r="B15" t="str">
        <f>"SCORBOT-ER 5plus Arm (Packaged)"</f>
        <v>SCORBOT-ER 5plus Arm (Packaged)</v>
      </c>
      <c r="C15" t="str">
        <f t="shared" si="0"/>
        <v>Active</v>
      </c>
    </row>
    <row r="16" spans="1:3" ht="18" customHeight="1">
      <c r="A16" t="str">
        <f>"00-0303-0110"</f>
        <v>00-0303-0110</v>
      </c>
      <c r="B16" t="str">
        <f>"Liquid Level NANO Training System; 110V"</f>
        <v>Liquid Level NANO Training System; 110V</v>
      </c>
      <c r="C16" t="str">
        <f>"New"</f>
        <v>New</v>
      </c>
    </row>
    <row r="17" spans="1:3" ht="18" customHeight="1">
      <c r="A17" t="str">
        <f>"00-0303-0220"</f>
        <v>00-0303-0220</v>
      </c>
      <c r="B17" t="str">
        <f>"Liquid Level NANO Training System; 220V"</f>
        <v>Liquid Level NANO Training System; 220V</v>
      </c>
      <c r="C17" t="str">
        <f>"New"</f>
        <v>New</v>
      </c>
    </row>
    <row r="18" spans="1:3" ht="18" customHeight="1">
      <c r="A18" t="str">
        <f>"00-0304-0110"</f>
        <v>00-0304-0110</v>
      </c>
      <c r="B18" t="str">
        <f>"Air Pressure NANO Training System; 110V"</f>
        <v>Air Pressure NANO Training System; 110V</v>
      </c>
      <c r="C18" t="str">
        <f>"New"</f>
        <v>New</v>
      </c>
    </row>
    <row r="19" spans="1:3" ht="18" customHeight="1">
      <c r="A19" t="str">
        <f>"00-0304-0220"</f>
        <v>00-0304-0220</v>
      </c>
      <c r="B19" t="str">
        <f>"Air Pressure NANO Training System; 220V"</f>
        <v>Air Pressure NANO Training System; 220V</v>
      </c>
      <c r="C19" t="str">
        <f>"New"</f>
        <v>New</v>
      </c>
    </row>
    <row r="20" spans="1:3" ht="18" customHeight="1">
      <c r="A20" t="str">
        <f>"00-0305-0000"</f>
        <v>00-0305-0000</v>
      </c>
      <c r="B20" t="str">
        <f>"SCORBOT-ER 9 Arm (Packaged)"</f>
        <v>SCORBOT-ER 9 Arm (Packaged)</v>
      </c>
      <c r="C20" t="str">
        <f t="shared" ref="C20:C28" si="1">"Active"</f>
        <v>Active</v>
      </c>
    </row>
    <row r="21" spans="1:3" ht="18" customHeight="1">
      <c r="A21" t="str">
        <f>"00-0305-0110"</f>
        <v>00-0305-0110</v>
      </c>
      <c r="B21" t="str">
        <f>"SAPP Air Temperature Process Plant; 110V"</f>
        <v>SAPP Air Temperature Process Plant; 110V</v>
      </c>
      <c r="C21" t="str">
        <f t="shared" si="1"/>
        <v>Active</v>
      </c>
    </row>
    <row r="22" spans="1:3" ht="18" customHeight="1">
      <c r="A22" t="str">
        <f>"00-0305-0220"</f>
        <v>00-0305-0220</v>
      </c>
      <c r="B22" t="str">
        <f>"SAPP Air Temperature Process Plant; 220V"</f>
        <v>SAPP Air Temperature Process Plant; 220V</v>
      </c>
      <c r="C22" t="str">
        <f t="shared" si="1"/>
        <v>Active</v>
      </c>
    </row>
    <row r="23" spans="1:3" ht="18" customHeight="1">
      <c r="A23" t="str">
        <f>"00-0306-0110"</f>
        <v>00-0306-0110</v>
      </c>
      <c r="B23" t="str">
        <f>"SAPP Air Pressure Process Plant; 110V"</f>
        <v>SAPP Air Pressure Process Plant; 110V</v>
      </c>
      <c r="C23" t="str">
        <f t="shared" si="1"/>
        <v>Active</v>
      </c>
    </row>
    <row r="24" spans="1:3" ht="18" customHeight="1">
      <c r="A24" t="str">
        <f>"00-0306-0220"</f>
        <v>00-0306-0220</v>
      </c>
      <c r="B24" t="str">
        <f>"SAPP Air Pressure Process Plant; 220V"</f>
        <v>SAPP Air Pressure Process Plant; 220V</v>
      </c>
      <c r="C24" t="str">
        <f t="shared" si="1"/>
        <v>Active</v>
      </c>
    </row>
    <row r="25" spans="1:3" ht="18" customHeight="1">
      <c r="A25" t="str">
        <f>"00-0307-0110"</f>
        <v>00-0307-0110</v>
      </c>
      <c r="B25" t="str">
        <f>"Chemical Analytical Process Training System;110V"</f>
        <v>Chemical Analytical Process Training System;110V</v>
      </c>
      <c r="C25" t="str">
        <f t="shared" si="1"/>
        <v>Active</v>
      </c>
    </row>
    <row r="26" spans="1:3" ht="18" customHeight="1">
      <c r="A26" t="str">
        <f>"00-0307-0220"</f>
        <v>00-0307-0220</v>
      </c>
      <c r="B26" t="str">
        <f>"Chemical Analytical Process Training System;220V"</f>
        <v>Chemical Analytical Process Training System;220V</v>
      </c>
      <c r="C26" t="str">
        <f t="shared" si="1"/>
        <v>Active</v>
      </c>
    </row>
    <row r="27" spans="1:3" ht="18" customHeight="1">
      <c r="A27" t="str">
        <f>"00-0308-0110"</f>
        <v>00-0308-0110</v>
      </c>
      <c r="B27" t="str">
        <f>"SAPP Liquid Flow Level Temperature Process; 110V"</f>
        <v>SAPP Liquid Flow Level Temperature Process; 110V</v>
      </c>
      <c r="C27" t="str">
        <f t="shared" si="1"/>
        <v>Active</v>
      </c>
    </row>
    <row r="28" spans="1:3" ht="18" customHeight="1">
      <c r="A28" t="str">
        <f>"00-0308-0220"</f>
        <v>00-0308-0220</v>
      </c>
      <c r="B28" t="str">
        <f>"SAPP Liquid Flow Level Temperature Process; 220V"</f>
        <v>SAPP Liquid Flow Level Temperature Process; 220V</v>
      </c>
      <c r="C28" t="str">
        <f t="shared" si="1"/>
        <v>Active</v>
      </c>
    </row>
    <row r="29" spans="1:3" ht="18" customHeight="1">
      <c r="A29" t="str">
        <f>"00-0309-0110"</f>
        <v>00-0309-0110</v>
      </c>
      <c r="B29" t="str">
        <f>"Air Temperature NANO Training System; 110V"</f>
        <v>Air Temperature NANO Training System; 110V</v>
      </c>
      <c r="C29" t="str">
        <f>"New"</f>
        <v>New</v>
      </c>
    </row>
    <row r="30" spans="1:3" ht="18" customHeight="1">
      <c r="A30" t="str">
        <f>"00-0309-0220"</f>
        <v>00-0309-0220</v>
      </c>
      <c r="B30" t="str">
        <f>"Air Temperature NANO Training System; 220V"</f>
        <v>Air Temperature NANO Training System; 220V</v>
      </c>
      <c r="C30" t="str">
        <f>"New"</f>
        <v>New</v>
      </c>
    </row>
    <row r="31" spans="1:3" ht="18" customHeight="1">
      <c r="A31" t="str">
        <f>"00-0310-0000"</f>
        <v>00-0310-0000</v>
      </c>
      <c r="B31" t="str">
        <f>"SCORBOT-ER 4u (Arm only)"</f>
        <v>SCORBOT-ER 4u (Arm only)</v>
      </c>
      <c r="C31" t="str">
        <f>"Active"</f>
        <v>Active</v>
      </c>
    </row>
    <row r="32" spans="1:3" ht="18" customHeight="1">
      <c r="A32" t="str">
        <f>"00-0310-0110"</f>
        <v>00-0310-0110</v>
      </c>
      <c r="B32" t="str">
        <f>"Liquid Flow NANO Training System; 110V"</f>
        <v>Liquid Flow NANO Training System; 110V</v>
      </c>
      <c r="C32" t="str">
        <f>"New"</f>
        <v>New</v>
      </c>
    </row>
    <row r="33" spans="1:3" ht="18" customHeight="1">
      <c r="A33" t="str">
        <f>"00-0310-0220"</f>
        <v>00-0310-0220</v>
      </c>
      <c r="B33" t="str">
        <f>"Liquid Flow NANO Training System; 220V"</f>
        <v>Liquid Flow NANO Training System; 220V</v>
      </c>
      <c r="C33" t="str">
        <f>"New"</f>
        <v>New</v>
      </c>
    </row>
    <row r="34" spans="1:3" ht="18" customHeight="1">
      <c r="A34" t="str">
        <f>"00-0312-0000"</f>
        <v>00-0312-0000</v>
      </c>
      <c r="B34" t="str">
        <f>"SCORBOT-ER 9 Pro (Arm  only)"</f>
        <v>SCORBOT-ER 9 Pro (Arm  only)</v>
      </c>
      <c r="C34" t="str">
        <f>"Active"</f>
        <v>Active</v>
      </c>
    </row>
    <row r="35" spans="1:3" ht="18" customHeight="1">
      <c r="A35" t="str">
        <f>"00-0313-0000"</f>
        <v>00-0313-0000</v>
      </c>
      <c r="B35" t="str">
        <f>"SCORA-ER 14 Pro (Arm only)"</f>
        <v>SCORA-ER 14 Pro (Arm only)</v>
      </c>
      <c r="C35" t="str">
        <f>"Active"</f>
        <v>Active</v>
      </c>
    </row>
    <row r="36" spans="1:3" ht="18" customHeight="1">
      <c r="A36" t="str">
        <f>"00-0403-0000"</f>
        <v>00-0403-0000</v>
      </c>
      <c r="B36" t="str">
        <f>"SCORBOT-ER 5plus (Cont.A, incl.4 Driver Car)"</f>
        <v>SCORBOT-ER 5plus (Cont.A, incl.4 Driver Car)</v>
      </c>
      <c r="C36" t="str">
        <f>"Active"</f>
        <v>Active</v>
      </c>
    </row>
    <row r="37" spans="1:3" ht="18" customHeight="1">
      <c r="A37" t="str">
        <f>"00-0404-0000"</f>
        <v>00-0404-0000</v>
      </c>
      <c r="B37" t="str">
        <f>"SCORBOT-ER 7 (with Cont.A, incl. 4 Driver Card)"</f>
        <v>SCORBOT-ER 7 (with Cont.A, incl. 4 Driver Card)</v>
      </c>
      <c r="C37" t="str">
        <f>"Not for purc"</f>
        <v>Not for purc</v>
      </c>
    </row>
    <row r="38" spans="1:3" ht="18" customHeight="1">
      <c r="A38" t="str">
        <f>"00-0405-0000"</f>
        <v>00-0405-0000</v>
      </c>
      <c r="B38" t="str">
        <f>"SCORBOT-ER 9 (with Cont.B, incl. 3 Driver Card)"</f>
        <v>SCORBOT-ER 9 (with Cont.B, incl. 3 Driver Card)</v>
      </c>
      <c r="C38" t="str">
        <f>"Not for purc"</f>
        <v>Not for purc</v>
      </c>
    </row>
    <row r="39" spans="1:3" ht="18" customHeight="1">
      <c r="A39" t="str">
        <f>"00-0410-0000"</f>
        <v>00-0410-0000</v>
      </c>
      <c r="B39" t="str">
        <f>"Automated Storage ASRS72 Cont B, 2 Driver Cards"</f>
        <v>Automated Storage ASRS72 Cont B, 2 Driver Cards</v>
      </c>
      <c r="C39" t="str">
        <f>"Not for purc"</f>
        <v>Not for purc</v>
      </c>
    </row>
    <row r="40" spans="1:3" ht="18" customHeight="1">
      <c r="A40" t="str">
        <f>"00-0411-0000"</f>
        <v>00-0411-0000</v>
      </c>
      <c r="B40" t="str">
        <f>"PERFORMER-MK 3"</f>
        <v>PERFORMER-MK 3</v>
      </c>
      <c r="C40" t="str">
        <f>"Not for purc"</f>
        <v>Not for purc</v>
      </c>
    </row>
    <row r="41" spans="1:3" ht="18" customHeight="1">
      <c r="A41" t="str">
        <f>"00-0413-0000"</f>
        <v>00-0413-0000</v>
      </c>
      <c r="B41" t="str">
        <f>"SCORBOT-ER 4u"</f>
        <v>SCORBOT-ER 4u</v>
      </c>
      <c r="C41" t="str">
        <f>"Active"</f>
        <v>Active</v>
      </c>
    </row>
    <row r="42" spans="1:3" ht="18" customHeight="1">
      <c r="A42" t="str">
        <f>"00-0413-000P"</f>
        <v>00-0413-000P</v>
      </c>
      <c r="B42" t="str">
        <f>"SCORBOT-ER 4u"</f>
        <v>SCORBOT-ER 4u</v>
      </c>
      <c r="C42" t="str">
        <f>"Active"</f>
        <v>Active</v>
      </c>
    </row>
    <row r="43" spans="1:3" ht="18" customHeight="1">
      <c r="A43" t="str">
        <f>"00-0417-0000"</f>
        <v>00-0417-0000</v>
      </c>
      <c r="B43" t="str">
        <f>"SCORBOT-ER 2u (Depco)"</f>
        <v>SCORBOT-ER 2u (Depco)</v>
      </c>
      <c r="C43" t="str">
        <f>"Active"</f>
        <v>Active</v>
      </c>
    </row>
    <row r="44" spans="1:3" ht="18" customHeight="1">
      <c r="A44" t="str">
        <f>"00-0418-0000"</f>
        <v>00-0418-0000</v>
      </c>
      <c r="B44" t="str">
        <f>"SCORBOT- ER2u (Package)"</f>
        <v>SCORBOT- ER2u (Package)</v>
      </c>
      <c r="C44" t="str">
        <f>"ECO-Process"</f>
        <v>ECO-Process</v>
      </c>
    </row>
    <row r="45" spans="1:3" ht="18" customHeight="1">
      <c r="A45" t="str">
        <f>"00-0420-0000"</f>
        <v>00-0420-0000</v>
      </c>
      <c r="B45" t="str">
        <f>"ASRS-36u (36-bay Storage Unit)"</f>
        <v>ASRS-36u (36-bay Storage Unit)</v>
      </c>
      <c r="C45" t="str">
        <f t="shared" ref="C45:C58" si="2">"Active"</f>
        <v>Active</v>
      </c>
    </row>
    <row r="46" spans="1:3" ht="18" customHeight="1">
      <c r="A46" t="str">
        <f>"00-0423-0000"</f>
        <v>00-0423-0000</v>
      </c>
      <c r="B46" t="str">
        <f>"ER-400 AGV (Mobile Robot)"</f>
        <v>ER-400 AGV (Mobile Robot)</v>
      </c>
      <c r="C46" t="str">
        <f t="shared" si="2"/>
        <v>Active</v>
      </c>
    </row>
    <row r="47" spans="1:3" ht="18" customHeight="1">
      <c r="A47" t="str">
        <f>"00-0424-0000"</f>
        <v>00-0424-0000</v>
      </c>
      <c r="B47" t="str">
        <f>"ASRS-36x2 (72-bay Storage Unit)"</f>
        <v>ASRS-36x2 (72-bay Storage Unit)</v>
      </c>
      <c r="C47" t="str">
        <f t="shared" si="2"/>
        <v>Active</v>
      </c>
    </row>
    <row r="48" spans="1:3" ht="18" customHeight="1">
      <c r="A48" t="str">
        <f>"00-0424-0001"</f>
        <v>00-0424-0001</v>
      </c>
      <c r="B48" t="str">
        <f>"ASRS expansion from 36 to 72 shelves.(Add on)"</f>
        <v>ASRS expansion from 36 to 72 shelves.(Add on)</v>
      </c>
      <c r="C48" t="str">
        <f t="shared" si="2"/>
        <v>Active</v>
      </c>
    </row>
    <row r="49" spans="1:3" ht="18" customHeight="1">
      <c r="A49" t="str">
        <f>"00-0425-0000"</f>
        <v>00-0425-0000</v>
      </c>
      <c r="B49" t="str">
        <f>"ER 400 AGV (Mobile Robot for CIM with Viewflex)"</f>
        <v>ER 400 AGV (Mobile Robot for CIM with Viewflex)</v>
      </c>
      <c r="C49" t="str">
        <f t="shared" si="2"/>
        <v>Active</v>
      </c>
    </row>
    <row r="50" spans="1:3" ht="18" customHeight="1">
      <c r="A50" t="str">
        <f>"00-0426-0000"</f>
        <v>00-0426-0000</v>
      </c>
      <c r="B50" t="str">
        <f>"ER400 AGV MobileRobot&amp;Pan/Tilt/ZoomCamera"</f>
        <v>ER400 AGV MobileRobot&amp;Pan/Tilt/ZoomCamera</v>
      </c>
      <c r="C50" t="str">
        <f t="shared" si="2"/>
        <v>Active</v>
      </c>
    </row>
    <row r="51" spans="1:3" ht="18" customHeight="1">
      <c r="A51" t="str">
        <f>"00-0427-0000"</f>
        <v>00-0427-0000</v>
      </c>
      <c r="B51" t="str">
        <f>"MOTOMAN HP3 (incl. NXC100 controller, 220V)"</f>
        <v>MOTOMAN HP3 (incl. NXC100 controller, 220V)</v>
      </c>
      <c r="C51" t="str">
        <f t="shared" si="2"/>
        <v>Active</v>
      </c>
    </row>
    <row r="52" spans="1:3" ht="18" customHeight="1">
      <c r="A52" t="str">
        <f>"00-0428-0000"</f>
        <v>00-0428-0000</v>
      </c>
      <c r="B52" t="str">
        <f>"PERFORMER-HP 3 (incl. NXC100 controller, 220V)"</f>
        <v>PERFORMER-HP 3 (incl. NXC100 controller, 220V)</v>
      </c>
      <c r="C52" t="str">
        <f t="shared" si="2"/>
        <v>Active</v>
      </c>
    </row>
    <row r="53" spans="1:3" ht="18" customHeight="1">
      <c r="A53" t="str">
        <f>"00-0430-0000"</f>
        <v>00-0430-0000</v>
      </c>
      <c r="B53" t="str">
        <f>"SCORBOT-ER9Pro"</f>
        <v>SCORBOT-ER9Pro</v>
      </c>
      <c r="C53" t="str">
        <f t="shared" si="2"/>
        <v>Active</v>
      </c>
    </row>
    <row r="54" spans="1:3" ht="18" customHeight="1">
      <c r="A54" t="str">
        <f>"00-0432-0000"</f>
        <v>00-0432-0000</v>
      </c>
      <c r="B54" t="str">
        <f>"SCORA-ER 14Pro"</f>
        <v>SCORA-ER 14Pro</v>
      </c>
      <c r="C54" t="str">
        <f t="shared" si="2"/>
        <v>Active</v>
      </c>
    </row>
    <row r="55" spans="1:3" ht="18" customHeight="1">
      <c r="A55" t="str">
        <f>"00-0433-0000"</f>
        <v>00-0433-0000</v>
      </c>
      <c r="B55" t="str">
        <f>"MOTOMAN SSF2000 (incl. NX100 controller, 220V)"</f>
        <v>MOTOMAN SSF2000 (incl. NX100 controller, 220V)</v>
      </c>
      <c r="C55" t="str">
        <f t="shared" si="2"/>
        <v>Active</v>
      </c>
    </row>
    <row r="56" spans="1:3" ht="18" customHeight="1">
      <c r="A56" t="str">
        <f>"00-0434-0000"</f>
        <v>00-0434-0000</v>
      </c>
      <c r="B56" t="str">
        <f>"MOTOMAN SSF2000 (incl. NX100 controller, 220V)"</f>
        <v>MOTOMAN SSF2000 (incl. NX100 controller, 220V)</v>
      </c>
      <c r="C56" t="str">
        <f t="shared" si="2"/>
        <v>Active</v>
      </c>
    </row>
    <row r="57" spans="1:3" ht="18" customHeight="1">
      <c r="A57" t="str">
        <f>"00-0435-0000"</f>
        <v>00-0435-0000</v>
      </c>
      <c r="B57" t="str">
        <f>"MOTOMAN MH5F (incl. FS100 Controller, 230V),Blue"</f>
        <v>MOTOMAN MH5F (incl. FS100 Controller, 230V),Blue</v>
      </c>
      <c r="C57" t="str">
        <f t="shared" si="2"/>
        <v>Active</v>
      </c>
    </row>
    <row r="58" spans="1:3" ht="18" customHeight="1">
      <c r="A58" t="str">
        <f>"00-0436-0000"</f>
        <v>00-0436-0000</v>
      </c>
      <c r="B58" t="str">
        <f>"MH5F compact high-speed 6-axis Robot"</f>
        <v>MH5F compact high-speed 6-axis Robot</v>
      </c>
      <c r="C58" t="str">
        <f t="shared" si="2"/>
        <v>Active</v>
      </c>
    </row>
    <row r="59" spans="1:3" ht="18" customHeight="1">
      <c r="A59" t="str">
        <f>"00-0601-0000"</f>
        <v>00-0601-0000</v>
      </c>
      <c r="B59" t="str">
        <f>"Vacuum End Effector (1 Suction Pad)"</f>
        <v>Vacuum End Effector (1 Suction Pad)</v>
      </c>
      <c r="C59" t="str">
        <f>"ECO-N2Mnf"</f>
        <v>ECO-N2Mnf</v>
      </c>
    </row>
    <row r="60" spans="1:3" ht="18" customHeight="1">
      <c r="A60" t="str">
        <f>"00-0602-0000"</f>
        <v>00-0602-0000</v>
      </c>
      <c r="B60" t="str">
        <f>"Vacuum End Effector (3 Suction Pads)"</f>
        <v>Vacuum End Effector (3 Suction Pads)</v>
      </c>
      <c r="C60" t="str">
        <f>"ECO-N2Mnf"</f>
        <v>ECO-N2Mnf</v>
      </c>
    </row>
    <row r="61" spans="1:3" ht="18" customHeight="1">
      <c r="A61" t="str">
        <f>"00-0603-0000"</f>
        <v>00-0603-0000</v>
      </c>
      <c r="B61" t="str">
        <f>"Air Brush End Effector (Spray Painter)"</f>
        <v>Air Brush End Effector (Spray Painter)</v>
      </c>
      <c r="C61" t="str">
        <f>"Active"</f>
        <v>Active</v>
      </c>
    </row>
    <row r="62" spans="1:3" ht="18" customHeight="1">
      <c r="A62" t="str">
        <f>"00-0604-0000"</f>
        <v>00-0604-0000</v>
      </c>
      <c r="B62" t="str">
        <f>"Liquid Dispenser Syringe"</f>
        <v>Liquid Dispenser Syringe</v>
      </c>
      <c r="C62" t="str">
        <f>"Active"</f>
        <v>Active</v>
      </c>
    </row>
    <row r="63" spans="1:3" ht="18" customHeight="1">
      <c r="A63" t="str">
        <f>"00-0606-0000"</f>
        <v>00-0606-0000</v>
      </c>
      <c r="B63" t="str">
        <f>"Round Bar End Effector Set"</f>
        <v>Round Bar End Effector Set</v>
      </c>
      <c r="C63" t="str">
        <f>"Not for purc"</f>
        <v>Not for purc</v>
      </c>
    </row>
    <row r="64" spans="1:3" ht="18" customHeight="1">
      <c r="A64" t="str">
        <f>"00-0609-0000"</f>
        <v>00-0609-0000</v>
      </c>
      <c r="B64" t="str">
        <f>"Gripper attachment for round and square parts"</f>
        <v>Gripper attachment for round and square parts</v>
      </c>
      <c r="C64" t="str">
        <f>"Active"</f>
        <v>Active</v>
      </c>
    </row>
    <row r="65" spans="1:3" ht="18" customHeight="1">
      <c r="A65" t="str">
        <f>"00-0613-0000"</f>
        <v>00-0613-0000</v>
      </c>
      <c r="B65" t="str">
        <f>"DC Servo Gripper (ER 9Pro, ER 14Pro and ER 7Pro)"</f>
        <v>DC Servo Gripper (ER 9Pro, ER 14Pro and ER 7Pro)</v>
      </c>
      <c r="C65" t="str">
        <f>"Active"</f>
        <v>Active</v>
      </c>
    </row>
    <row r="66" spans="1:3" ht="18" customHeight="1">
      <c r="A66" t="str">
        <f>"00-0614-0000"</f>
        <v>00-0614-0000</v>
      </c>
      <c r="B66" t="str">
        <f>"Pneumatic Gripper (incl. Pneumatic &amp; Valve)"</f>
        <v>Pneumatic Gripper (incl. Pneumatic &amp; Valve)</v>
      </c>
      <c r="C66" t="str">
        <f>"Active"</f>
        <v>Active</v>
      </c>
    </row>
    <row r="67" spans="1:3" ht="18" customHeight="1">
      <c r="A67" t="str">
        <f>"00-0616-0000"</f>
        <v>00-0616-0000</v>
      </c>
      <c r="B67" t="str">
        <f>"End Effector Attachment for DC Servo Gripper"</f>
        <v>End Effector Attachment for DC Servo Gripper</v>
      </c>
      <c r="C67" t="str">
        <f>"Active"</f>
        <v>Active</v>
      </c>
    </row>
    <row r="68" spans="1:3" ht="18" customHeight="1">
      <c r="A68" t="str">
        <f>"00-0622-0000"</f>
        <v>00-0622-0000</v>
      </c>
      <c r="B68" t="str">
        <f>"Tool Changer - Pneumatic,  Master for ER14"</f>
        <v>Tool Changer - Pneumatic,  Master for ER14</v>
      </c>
      <c r="C68" t="str">
        <f>"ECO-N2Buy"</f>
        <v>ECO-N2Buy</v>
      </c>
    </row>
    <row r="69" spans="1:3" ht="18" customHeight="1">
      <c r="A69" t="str">
        <f>"00-0624-0000"</f>
        <v>00-0624-0000</v>
      </c>
      <c r="B69" t="str">
        <f>"Gripper-Vacuum 1 Suc.Pad Tool Changer ER14/ER9"</f>
        <v>Gripper-Vacuum 1 Suc.Pad Tool Changer ER14/ER9</v>
      </c>
      <c r="C69" t="str">
        <f>"Active"</f>
        <v>Active</v>
      </c>
    </row>
    <row r="70" spans="1:3" ht="18" customHeight="1">
      <c r="A70" t="str">
        <f>"00-0627-0000"</f>
        <v>00-0627-0000</v>
      </c>
      <c r="B70" t="str">
        <f>"Stand for Tool Changer  ER14/ER9-Pro"</f>
        <v>Stand for Tool Changer  ER14/ER9-Pro</v>
      </c>
      <c r="C70" t="str">
        <f>"Active"</f>
        <v>Active</v>
      </c>
    </row>
    <row r="71" spans="1:3" ht="18" customHeight="1">
      <c r="A71" t="str">
        <f>"00-0633-0000"</f>
        <v>00-0633-0000</v>
      </c>
      <c r="B71" t="str">
        <f>"Pneumatic Gripper for ER9-Pro"</f>
        <v>Pneumatic Gripper for ER9-Pro</v>
      </c>
      <c r="C71" t="str">
        <f>"Active"</f>
        <v>Active</v>
      </c>
    </row>
    <row r="72" spans="1:3" ht="18" customHeight="1">
      <c r="A72" t="str">
        <f>"00-0634-0000"</f>
        <v>00-0634-0000</v>
      </c>
      <c r="B72" t="str">
        <f>"Pneumatic Gripper for ER 14Pro"</f>
        <v>Pneumatic Gripper for ER 14Pro</v>
      </c>
      <c r="C72" t="str">
        <f>"Active"</f>
        <v>Active</v>
      </c>
    </row>
    <row r="73" spans="1:3" ht="18" customHeight="1">
      <c r="A73" t="str">
        <f>"00-0636-0000"</f>
        <v>00-0636-0000</v>
      </c>
      <c r="B73" t="str">
        <f>"Tool Changer Pneumatic, Master for ER9"</f>
        <v>Tool Changer Pneumatic, Master for ER9</v>
      </c>
      <c r="C73" t="str">
        <f>"ECO-N2Buy"</f>
        <v>ECO-N2Buy</v>
      </c>
    </row>
    <row r="74" spans="1:3" ht="18" customHeight="1">
      <c r="A74" t="str">
        <f>"00-0637-0000"</f>
        <v>00-0637-0000</v>
      </c>
      <c r="B74" t="str">
        <f>"Gripper Pn. Tool Changer, Slave for ER9/ER14/MH5"</f>
        <v>Gripper Pn. Tool Changer, Slave for ER9/ER14/MH5</v>
      </c>
      <c r="C74" t="str">
        <f>"Active"</f>
        <v>Active</v>
      </c>
    </row>
    <row r="75" spans="1:3" ht="18" customHeight="1">
      <c r="A75" t="str">
        <f>"00-0640-0000"</f>
        <v>00-0640-0000</v>
      </c>
      <c r="B75" t="str">
        <f>"Automatic Tool Changer for SCORBOT-ER9 Pro"</f>
        <v>Automatic Tool Changer for SCORBOT-ER9 Pro</v>
      </c>
      <c r="C75" t="str">
        <f>"Active"</f>
        <v>Active</v>
      </c>
    </row>
    <row r="76" spans="1:3" ht="18" customHeight="1">
      <c r="A76" t="str">
        <f>"00-0641-0000"</f>
        <v>00-0641-0000</v>
      </c>
      <c r="B76" t="str">
        <f>"Automatic Tool Changer for PERFORMER-HP 3"</f>
        <v>Automatic Tool Changer for PERFORMER-HP 3</v>
      </c>
      <c r="C76" t="str">
        <f>"Active"</f>
        <v>Active</v>
      </c>
    </row>
    <row r="77" spans="1:3" ht="18" customHeight="1">
      <c r="A77" t="str">
        <f>"00-0643-0000"</f>
        <v>00-0643-0000</v>
      </c>
      <c r="B77" t="str">
        <f>"Pneumatic Gripper for HP3"</f>
        <v>Pneumatic Gripper for HP3</v>
      </c>
      <c r="C77" t="str">
        <f>"Active"</f>
        <v>Active</v>
      </c>
    </row>
    <row r="78" spans="1:3" ht="18" customHeight="1">
      <c r="A78" t="str">
        <f>"00-0644-0000"</f>
        <v>00-0644-0000</v>
      </c>
      <c r="B78" t="str">
        <f>"Automatic Tool Changer for ER 14Pro"</f>
        <v>Automatic Tool Changer for ER 14Pro</v>
      </c>
      <c r="C78" t="str">
        <f>"Not for purc"</f>
        <v>Not for purc</v>
      </c>
    </row>
    <row r="79" spans="1:3" ht="18" customHeight="1">
      <c r="A79" t="str">
        <f>"00-0645-0000"</f>
        <v>00-0645-0000</v>
      </c>
      <c r="B79" t="str">
        <f>"Pneumatic Gripper for medium industrial robots"</f>
        <v>Pneumatic Gripper for medium industrial robots</v>
      </c>
      <c r="C79" t="str">
        <f>"ECO-Process"</f>
        <v>ECO-Process</v>
      </c>
    </row>
    <row r="80" spans="1:3" ht="18" customHeight="1">
      <c r="A80" t="str">
        <f>"00-0646-0000"</f>
        <v>00-0646-0000</v>
      </c>
      <c r="B80" t="str">
        <f>"Pneumatic Gripper with I/O Box for Motoman MH5F"</f>
        <v>Pneumatic Gripper with I/O Box for Motoman MH5F</v>
      </c>
      <c r="C80" t="str">
        <f>"Active"</f>
        <v>Active</v>
      </c>
    </row>
    <row r="81" spans="1:3" ht="18" customHeight="1">
      <c r="A81" t="str">
        <f>"00-0647-0000"</f>
        <v>00-0647-0000</v>
      </c>
      <c r="B81" t="str">
        <f>"Pneumatic Gripper for 3rd party robots"</f>
        <v>Pneumatic Gripper for 3rd party robots</v>
      </c>
      <c r="C81" t="str">
        <f>"ECO-N2Buy"</f>
        <v>ECO-N2Buy</v>
      </c>
    </row>
    <row r="82" spans="1:3" ht="18" customHeight="1">
      <c r="A82" t="str">
        <f>"00-0KR6-R900"</f>
        <v>00-0KR6-R900</v>
      </c>
      <c r="B82" t="str">
        <f>"AGILUS  KR6 R900 Sixx, KRC4 bundle"</f>
        <v>AGILUS  KR6 R900 Sixx, KRC4 bundle</v>
      </c>
      <c r="C82" t="str">
        <f>"Active"</f>
        <v>Active</v>
      </c>
    </row>
    <row r="83" spans="1:3" ht="18" customHeight="1">
      <c r="A83" t="str">
        <f>"00-1000-0110"</f>
        <v>00-1000-0110</v>
      </c>
      <c r="B83" t="str">
        <f>"Bench Router 1000 16in x 24in HSS - 110V"</f>
        <v>Bench Router 1000 16in x 24in HSS - 110V</v>
      </c>
      <c r="C83" t="str">
        <f>"Active"</f>
        <v>Active</v>
      </c>
    </row>
    <row r="84" spans="1:3" ht="18" customHeight="1">
      <c r="A84" t="str">
        <f>"00-1000-0220"</f>
        <v>00-1000-0220</v>
      </c>
      <c r="B84" t="str">
        <f>"Bench Router 1000 16in x 24in HSS - 220V"</f>
        <v>Bench Router 1000 16in x 24in HSS - 220V</v>
      </c>
      <c r="C84" t="str">
        <f>"Active"</f>
        <v>Active</v>
      </c>
    </row>
    <row r="85" spans="1:3" ht="18" customHeight="1">
      <c r="A85" t="str">
        <f>"00-1001-0000"</f>
        <v>00-1001-0000</v>
      </c>
      <c r="B85" t="str">
        <f>"LSB 48"" (Screw Driven, 12V)"</f>
        <v>LSB 48" (Screw Driven, 12V)</v>
      </c>
      <c r="C85" t="str">
        <f>"Inactive"</f>
        <v>Inactive</v>
      </c>
    </row>
    <row r="86" spans="1:3" ht="18" customHeight="1">
      <c r="A86" t="str">
        <f>"00-1005-0000"</f>
        <v>00-1005-0000</v>
      </c>
      <c r="B86" t="str">
        <f>"Rotary Table 12V Type B"</f>
        <v>Rotary Table 12V Type B</v>
      </c>
      <c r="C86" t="str">
        <f>"Active"</f>
        <v>Active</v>
      </c>
    </row>
    <row r="87" spans="1:3" ht="18" customHeight="1">
      <c r="A87" t="str">
        <f>"00-1008-0000"</f>
        <v>00-1008-0000</v>
      </c>
      <c r="B87" t="str">
        <f>"LSB 1m (Screw Driven, THK, 24V)"</f>
        <v>LSB 1m (Screw Driven, THK, 24V)</v>
      </c>
      <c r="C87" t="str">
        <f>"Not for purc"</f>
        <v>Not for purc</v>
      </c>
    </row>
    <row r="88" spans="1:3" ht="18" customHeight="1">
      <c r="A88" t="str">
        <f>"00-1009-0000"</f>
        <v>00-1009-0000</v>
      </c>
      <c r="B88" t="str">
        <f>"Rotary Index Table (24V)"</f>
        <v>Rotary Index Table (24V)</v>
      </c>
      <c r="C88" t="str">
        <f t="shared" ref="C88:C99" si="3">"Active"</f>
        <v>Active</v>
      </c>
    </row>
    <row r="89" spans="1:3" ht="18" customHeight="1">
      <c r="A89" t="str">
        <f>"00-1010-0000"</f>
        <v>00-1010-0000</v>
      </c>
      <c r="B89" t="str">
        <f>"Conveyor Belt tabletop"</f>
        <v>Conveyor Belt tabletop</v>
      </c>
      <c r="C89" t="str">
        <f t="shared" si="3"/>
        <v>Active</v>
      </c>
    </row>
    <row r="90" spans="1:3" ht="18" customHeight="1">
      <c r="A90" t="str">
        <f>"00-1013-0000"</f>
        <v>00-1013-0000</v>
      </c>
      <c r="B90" t="str">
        <f>"Linear Positioning Table 300mm"</f>
        <v>Linear Positioning Table 300mm</v>
      </c>
      <c r="C90" t="str">
        <f t="shared" si="3"/>
        <v>Active</v>
      </c>
    </row>
    <row r="91" spans="1:3" ht="18" customHeight="1">
      <c r="A91" t="str">
        <f>"00-1014-0000"</f>
        <v>00-1014-0000</v>
      </c>
      <c r="B91" t="str">
        <f>"XY Positioning Table (24V)"</f>
        <v>XY Positioning Table (24V)</v>
      </c>
      <c r="C91" t="str">
        <f t="shared" si="3"/>
        <v>Active</v>
      </c>
    </row>
    <row r="92" spans="1:3" ht="18" customHeight="1">
      <c r="A92" t="str">
        <f>"00-1016-0000"</f>
        <v>00-1016-0000</v>
      </c>
      <c r="B92" t="str">
        <f>"LSB 1.0m, Belt, FM"</f>
        <v>LSB 1.0m, Belt, FM</v>
      </c>
      <c r="C92" t="str">
        <f t="shared" si="3"/>
        <v>Active</v>
      </c>
    </row>
    <row r="93" spans="1:3" ht="18" customHeight="1">
      <c r="A93" t="str">
        <f>"00-1016-000P"</f>
        <v>00-1016-000P</v>
      </c>
      <c r="B93" t="str">
        <f>"LSB 1.0m, Belt, FM"</f>
        <v>LSB 1.0m, Belt, FM</v>
      </c>
      <c r="C93" t="str">
        <f t="shared" si="3"/>
        <v>Active</v>
      </c>
    </row>
    <row r="94" spans="1:3" ht="18" customHeight="1">
      <c r="A94" t="str">
        <f>"00-1017-0000"</f>
        <v>00-1017-0000</v>
      </c>
      <c r="B94" t="str">
        <f>"LSB 1.8m, Belt, FM"</f>
        <v>LSB 1.8m, Belt, FM</v>
      </c>
      <c r="C94" t="str">
        <f t="shared" si="3"/>
        <v>Active</v>
      </c>
    </row>
    <row r="95" spans="1:3" ht="18" customHeight="1">
      <c r="A95" t="str">
        <f>"00-1017-000P"</f>
        <v>00-1017-000P</v>
      </c>
      <c r="B95" t="str">
        <f>"LSB 1.8m, Belt, FM"</f>
        <v>LSB 1.8m, Belt, FM</v>
      </c>
      <c r="C95" t="str">
        <f t="shared" si="3"/>
        <v>Active</v>
      </c>
    </row>
    <row r="96" spans="1:3" ht="18" customHeight="1">
      <c r="A96" t="str">
        <f>"00-1020-0000"</f>
        <v>00-1020-0000</v>
      </c>
      <c r="B96" t="str">
        <f>"LSB 1.0m, Belt, TT"</f>
        <v>LSB 1.0m, Belt, TT</v>
      </c>
      <c r="C96" t="str">
        <f t="shared" si="3"/>
        <v>Active</v>
      </c>
    </row>
    <row r="97" spans="1:3" ht="18" customHeight="1">
      <c r="A97" t="str">
        <f>"00-1020-000P"</f>
        <v>00-1020-000P</v>
      </c>
      <c r="B97" t="str">
        <f>"LSB 1.0m, Belt, TT"</f>
        <v>LSB 1.0m, Belt, TT</v>
      </c>
      <c r="C97" t="str">
        <f t="shared" si="3"/>
        <v>Active</v>
      </c>
    </row>
    <row r="98" spans="1:3" ht="18" customHeight="1">
      <c r="A98" t="str">
        <f>"00-1021-0000"</f>
        <v>00-1021-0000</v>
      </c>
      <c r="B98" t="str">
        <f>"LSB 1.8m, Belt, TT"</f>
        <v>LSB 1.8m, Belt, TT</v>
      </c>
      <c r="C98" t="str">
        <f t="shared" si="3"/>
        <v>Active</v>
      </c>
    </row>
    <row r="99" spans="1:3" ht="18" customHeight="1">
      <c r="A99" t="str">
        <f>"00-1023-0000"</f>
        <v>00-1023-0000</v>
      </c>
      <c r="B99" t="str">
        <f>"LSB 2.5m, Belt, FM"</f>
        <v>LSB 2.5m, Belt, FM</v>
      </c>
      <c r="C99" t="str">
        <f t="shared" si="3"/>
        <v>Active</v>
      </c>
    </row>
    <row r="100" spans="1:3" ht="18" customHeight="1">
      <c r="A100" t="str">
        <f>"00-1024-0000"</f>
        <v>00-1024-0000</v>
      </c>
      <c r="B100" t="str">
        <f>"LSB 3.0m, Belt, FM"</f>
        <v>LSB 3.0m, Belt, FM</v>
      </c>
      <c r="C100" t="str">
        <f>"ECO-N2Buy"</f>
        <v>ECO-N2Buy</v>
      </c>
    </row>
    <row r="101" spans="1:3" ht="18" customHeight="1">
      <c r="A101" t="str">
        <f>"00-1026-0000"</f>
        <v>00-1026-0000</v>
      </c>
      <c r="B101" t="str">
        <f>"LSB 1.0m, Belt, USB-Pro, for ind. robot &lt; 35kg"</f>
        <v>LSB 1.0m, Belt, USB-Pro, for ind. robot &lt; 35kg</v>
      </c>
      <c r="C101" t="str">
        <f>"Phase Out"</f>
        <v>Phase Out</v>
      </c>
    </row>
    <row r="102" spans="1:3" ht="18" customHeight="1">
      <c r="A102" t="str">
        <f>"00-1027-0000"</f>
        <v>00-1027-0000</v>
      </c>
      <c r="B102" t="str">
        <f>"LSB 1.8m, Belt, USB-Pro, for ind. robot &lt; 35kg)"</f>
        <v>LSB 1.8m, Belt, USB-Pro, for ind. robot &lt; 35kg)</v>
      </c>
      <c r="C102" t="str">
        <f>"Active"</f>
        <v>Active</v>
      </c>
    </row>
    <row r="103" spans="1:3" ht="18" customHeight="1">
      <c r="A103" t="str">
        <f>"00-1028-0000"</f>
        <v>00-1028-0000</v>
      </c>
      <c r="B103" t="str">
        <f>"LSB 1.8m, Screw, FM, XD, for ind. robot &lt; 50kg"</f>
        <v>LSB 1.8m, Screw, FM, XD, for ind. robot &lt; 50kg</v>
      </c>
      <c r="C103" t="str">
        <f>"ECO-N2Buy"</f>
        <v>ECO-N2Buy</v>
      </c>
    </row>
    <row r="104" spans="1:3" ht="18" customHeight="1">
      <c r="A104" t="str">
        <f>"00-1029-0000"</f>
        <v>00-1029-0000</v>
      </c>
      <c r="B104" t="str">
        <f>"LSB 1.0m, Screw, FM, XD, for ind. robot &lt; 50kg"</f>
        <v>LSB 1.0m, Screw, FM, XD, for ind. robot &lt; 50kg</v>
      </c>
      <c r="C104" t="str">
        <f>"ECO-N2Buy"</f>
        <v>ECO-N2Buy</v>
      </c>
    </row>
    <row r="105" spans="1:3" ht="18" customHeight="1">
      <c r="A105" t="str">
        <f>"00-1030-0000"</f>
        <v>00-1030-0000</v>
      </c>
      <c r="B105" t="str">
        <f>"LSB 3.0m, Belt, UG, XD, for ind. robot &lt; 50kg"</f>
        <v>LSB 3.0m, Belt, UG, XD, for ind. robot &lt; 50kg</v>
      </c>
      <c r="C105" t="str">
        <f>"ECO-N2Buy"</f>
        <v>ECO-N2Buy</v>
      </c>
    </row>
    <row r="106" spans="1:3" ht="18" customHeight="1">
      <c r="A106" t="str">
        <f>"00-1033-0000"</f>
        <v>00-1033-0000</v>
      </c>
      <c r="B106" t="str">
        <f>"LSB 4.5m, Belt, UG,for XD, for ind. robot&lt;150kg"</f>
        <v>LSB 4.5m, Belt, UG,for XD, for ind. robot&lt;150kg</v>
      </c>
      <c r="C106" t="str">
        <f>"ECO-Process"</f>
        <v>ECO-Process</v>
      </c>
    </row>
    <row r="107" spans="1:3" ht="18" customHeight="1">
      <c r="A107" t="str">
        <f>"00-1034-0000"</f>
        <v>00-1034-0000</v>
      </c>
      <c r="B107" t="str">
        <f>"LSB 4.5m, Belt, UG, XD, for ind. robot &lt; 150kg"</f>
        <v>LSB 4.5m, Belt, UG, XD, for ind. robot &lt; 150kg</v>
      </c>
      <c r="C107" t="str">
        <f>"ECO-N2Buy"</f>
        <v>ECO-N2Buy</v>
      </c>
    </row>
    <row r="108" spans="1:3" ht="18" customHeight="1">
      <c r="A108" t="str">
        <f>"00-1035-0000"</f>
        <v>00-1035-0000</v>
      </c>
      <c r="B108" t="str">
        <f>"LSB 4.5m, Belt, UG, XD, for ind. robot &lt; 50kg"</f>
        <v>LSB 4.5m, Belt, UG, XD, for ind. robot &lt; 50kg</v>
      </c>
      <c r="C108" t="str">
        <f>"New"</f>
        <v>New</v>
      </c>
    </row>
    <row r="109" spans="1:3" ht="18" customHeight="1">
      <c r="A109" t="str">
        <f>"00-1036-0000"</f>
        <v>00-1036-0000</v>
      </c>
      <c r="B109" t="str">
        <f>"LSB 3.0m, Belt, UG, XD, for ind. robot &lt; 150kg"</f>
        <v>LSB 3.0m, Belt, UG, XD, for ind. robot &lt; 150kg</v>
      </c>
      <c r="C109" t="str">
        <f>"New"</f>
        <v>New</v>
      </c>
    </row>
    <row r="110" spans="1:3" ht="18" customHeight="1">
      <c r="A110" t="str">
        <f>"00-1038-0000"</f>
        <v>00-1038-0000</v>
      </c>
      <c r="B110" t="str">
        <f>"LSB 1.8m, Screw, FM, XD, for ind. robot &lt; 50kg"</f>
        <v>LSB 1.8m, Screw, FM, XD, for ind. robot &lt; 50kg</v>
      </c>
      <c r="C110" t="str">
        <f>"ECO-N2Buy"</f>
        <v>ECO-N2Buy</v>
      </c>
    </row>
    <row r="111" spans="1:3" ht="18" customHeight="1">
      <c r="A111" t="str">
        <f>"00-1039-0000"</f>
        <v>00-1039-0000</v>
      </c>
      <c r="B111" t="str">
        <f>"LSB 3.0m, Belt, USB-Pro, for ind. robot &lt; 35kg"</f>
        <v>LSB 3.0m, Belt, USB-Pro, for ind. robot &lt; 35kg</v>
      </c>
      <c r="C111" t="str">
        <f t="shared" ref="C111:C119" si="4">"Active"</f>
        <v>Active</v>
      </c>
    </row>
    <row r="112" spans="1:3" ht="18" customHeight="1">
      <c r="A112" t="str">
        <f>"00-1110-0000"</f>
        <v>00-1110-0000</v>
      </c>
      <c r="B112" t="str">
        <f>"Palletizing Rack"</f>
        <v>Palletizing Rack</v>
      </c>
      <c r="C112" t="str">
        <f t="shared" si="4"/>
        <v>Active</v>
      </c>
    </row>
    <row r="113" spans="1:3" ht="18" customHeight="1">
      <c r="A113" t="str">
        <f>"00-1121-0000"</f>
        <v>00-1121-0000</v>
      </c>
      <c r="B113" t="str">
        <f>"MicroASRS (6-bay Storage Rack)"</f>
        <v>MicroASRS (6-bay Storage Rack)</v>
      </c>
      <c r="C113" t="str">
        <f t="shared" si="4"/>
        <v>Active</v>
      </c>
    </row>
    <row r="114" spans="1:3" ht="18" customHeight="1">
      <c r="A114" t="str">
        <f>"00-1201-0000"</f>
        <v>00-1201-0000</v>
      </c>
      <c r="B114" t="str">
        <f>"I/O Experiment Table"</f>
        <v>I/O Experiment Table</v>
      </c>
      <c r="C114" t="str">
        <f t="shared" si="4"/>
        <v>Active</v>
      </c>
    </row>
    <row r="115" spans="1:3" ht="18" customHeight="1">
      <c r="A115" t="str">
        <f>"00-1203-0000"</f>
        <v>00-1203-0000</v>
      </c>
      <c r="B115" t="str">
        <f>"Photoelectric Sensor for Belt Conveyor"</f>
        <v>Photoelectric Sensor for Belt Conveyor</v>
      </c>
      <c r="C115" t="str">
        <f t="shared" si="4"/>
        <v>Active</v>
      </c>
    </row>
    <row r="116" spans="1:3" ht="18" customHeight="1">
      <c r="A116" t="str">
        <f>"00-1204-0000"</f>
        <v>00-1204-0000</v>
      </c>
      <c r="B116" t="str">
        <f>"Pneumatic Control Unit for end effectors"</f>
        <v>Pneumatic Control Unit for end effectors</v>
      </c>
      <c r="C116" t="str">
        <f t="shared" si="4"/>
        <v>Active</v>
      </c>
    </row>
    <row r="117" spans="1:3" ht="18" customHeight="1">
      <c r="A117" t="str">
        <f>"00-1208-0000"</f>
        <v>00-1208-0000</v>
      </c>
      <c r="B117" t="str">
        <f>"Air Supply Adapter Kit for End Effectors"</f>
        <v>Air Supply Adapter Kit for End Effectors</v>
      </c>
      <c r="C117" t="str">
        <f t="shared" si="4"/>
        <v>Active</v>
      </c>
    </row>
    <row r="118" spans="1:3" ht="18" customHeight="1">
      <c r="A118" t="str">
        <f>"00-1209-0000"</f>
        <v>00-1209-0000</v>
      </c>
      <c r="B118" t="str">
        <f>"Photoelectric Sensor for Rotary Index Table"</f>
        <v>Photoelectric Sensor for Rotary Index Table</v>
      </c>
      <c r="C118" t="str">
        <f t="shared" si="4"/>
        <v>Active</v>
      </c>
    </row>
    <row r="119" spans="1:3" ht="18" customHeight="1">
      <c r="A119" t="str">
        <f>"00-1216-0000"</f>
        <v>00-1216-0000</v>
      </c>
      <c r="B119" t="str">
        <f>"I/O Interface Box for Controller-B"</f>
        <v>I/O Interface Box for Controller-B</v>
      </c>
      <c r="C119" t="str">
        <f t="shared" si="4"/>
        <v>Active</v>
      </c>
    </row>
    <row r="120" spans="1:3" ht="18" customHeight="1">
      <c r="A120" t="str">
        <f>"00-1221-0000"</f>
        <v>00-1221-0000</v>
      </c>
      <c r="B120" t="str">
        <f>"Ball Game Set (Assembly with screws)"</f>
        <v>Ball Game Set (Assembly with screws)</v>
      </c>
      <c r="C120" t="str">
        <f>"Phase Out"</f>
        <v>Phase Out</v>
      </c>
    </row>
    <row r="121" spans="1:3" ht="18" customHeight="1">
      <c r="A121" t="str">
        <f>"00-1229-0000"</f>
        <v>00-1229-0000</v>
      </c>
      <c r="B121" t="str">
        <f>"Stand for V-SCOPE"</f>
        <v>Stand for V-SCOPE</v>
      </c>
      <c r="C121" t="str">
        <f t="shared" ref="C121:C133" si="5">"Active"</f>
        <v>Active</v>
      </c>
    </row>
    <row r="122" spans="1:3" ht="18" customHeight="1">
      <c r="A122" t="str">
        <f>"00-1230-0000"</f>
        <v>00-1230-0000</v>
      </c>
      <c r="B122" t="str">
        <f>"Ball Feeder (incl. sensor for ball counting)"</f>
        <v>Ball Feeder (incl. sensor for ball counting)</v>
      </c>
      <c r="C122" t="str">
        <f t="shared" si="5"/>
        <v>Active</v>
      </c>
    </row>
    <row r="123" spans="1:3" ht="18" customHeight="1">
      <c r="A123" t="str">
        <f>"00-1234-0000"</f>
        <v>00-1234-0000</v>
      </c>
      <c r="B123" t="str">
        <f>"DC Servo Motor Kit 24V, 127.7:1 Ratio"</f>
        <v>DC Servo Motor Kit 24V, 127.7:1 Ratio</v>
      </c>
      <c r="C123" t="str">
        <f t="shared" si="5"/>
        <v>Active</v>
      </c>
    </row>
    <row r="124" spans="1:3" ht="18" customHeight="1">
      <c r="A124" t="str">
        <f>"00-1236-0000"</f>
        <v>00-1236-0000</v>
      </c>
      <c r="B124" t="str">
        <f>"Automatic Glue Dispenser"</f>
        <v>Automatic Glue Dispenser</v>
      </c>
      <c r="C124" t="str">
        <f t="shared" si="5"/>
        <v>Active</v>
      </c>
    </row>
    <row r="125" spans="1:3" ht="18" customHeight="1">
      <c r="A125" t="str">
        <f>"00-1239-0000"</f>
        <v>00-1239-0000</v>
      </c>
      <c r="B125" t="str">
        <f>"Automatic Screwdriver &amp; Screw Feeder, 110V"</f>
        <v>Automatic Screwdriver &amp; Screw Feeder, 110V</v>
      </c>
      <c r="C125" t="str">
        <f t="shared" si="5"/>
        <v>Active</v>
      </c>
    </row>
    <row r="126" spans="1:3" ht="18" customHeight="1">
      <c r="A126" t="str">
        <f>"00-1241-0000"</f>
        <v>00-1241-0000</v>
      </c>
      <c r="B126" t="str">
        <f>"Adapter Mounting Plate for ER9/14Pro &amp; HP3"</f>
        <v>Adapter Mounting Plate for ER9/14Pro &amp; HP3</v>
      </c>
      <c r="C126" t="str">
        <f t="shared" si="5"/>
        <v>Active</v>
      </c>
    </row>
    <row r="127" spans="1:3" ht="18" customHeight="1">
      <c r="A127" t="str">
        <f>"00-1243-0000"</f>
        <v>00-1243-0000</v>
      </c>
      <c r="B127" t="str">
        <f>"Ball Game Set (Assembly with Plastic Pins)"</f>
        <v>Ball Game Set (Assembly with Plastic Pins)</v>
      </c>
      <c r="C127" t="str">
        <f t="shared" si="5"/>
        <v>Active</v>
      </c>
    </row>
    <row r="128" spans="1:3" ht="18" customHeight="1">
      <c r="A128" t="str">
        <f>"00-1247-0000"</f>
        <v>00-1247-0000</v>
      </c>
      <c r="B128" t="str">
        <f>"Bag - Tools for Sensor Line"</f>
        <v>Bag - Tools for Sensor Line</v>
      </c>
      <c r="C128" t="str">
        <f t="shared" si="5"/>
        <v>Active</v>
      </c>
    </row>
    <row r="129" spans="1:3" ht="18" customHeight="1">
      <c r="A129" t="str">
        <f>"00-1249-0000"</f>
        <v>00-1249-0000</v>
      </c>
      <c r="B129" t="str">
        <f>"Workbench 1500x800mm (slotted aluminum top)"</f>
        <v>Workbench 1500x800mm (slotted aluminum top)</v>
      </c>
      <c r="C129" t="str">
        <f t="shared" si="5"/>
        <v>Active</v>
      </c>
    </row>
    <row r="130" spans="1:3" ht="18" customHeight="1">
      <c r="A130" t="str">
        <f>"00-1250-0000"</f>
        <v>00-1250-0000</v>
      </c>
      <c r="B130" t="str">
        <f>"Workbench 1800x800mm (Formica Top)"</f>
        <v>Workbench 1800x800mm (Formica Top)</v>
      </c>
      <c r="C130" t="str">
        <f t="shared" si="5"/>
        <v>Active</v>
      </c>
    </row>
    <row r="131" spans="1:3" ht="18" customHeight="1">
      <c r="A131" t="str">
        <f>"00-1251-0000"</f>
        <v>00-1251-0000</v>
      </c>
      <c r="B131" t="str">
        <f>"Workbench 1500x800mm (Formica Top)"</f>
        <v>Workbench 1500x800mm (Formica Top)</v>
      </c>
      <c r="C131" t="str">
        <f t="shared" si="5"/>
        <v>Active</v>
      </c>
    </row>
    <row r="132" spans="1:3" ht="18" customHeight="1">
      <c r="A132" t="str">
        <f>"00-1252-0000"</f>
        <v>00-1252-0000</v>
      </c>
      <c r="B132" t="str">
        <f>"Direct Teach Package MK 3"</f>
        <v>Direct Teach Package MK 3</v>
      </c>
      <c r="C132" t="str">
        <f t="shared" si="5"/>
        <v>Active</v>
      </c>
    </row>
    <row r="133" spans="1:3" ht="18" customHeight="1">
      <c r="A133" t="str">
        <f>"00-1254-0000"</f>
        <v>00-1254-0000</v>
      </c>
      <c r="B133" t="str">
        <f>"Automated Stationary Caliper Unit"</f>
        <v>Automated Stationary Caliper Unit</v>
      </c>
      <c r="C133" t="str">
        <f t="shared" si="5"/>
        <v>Active</v>
      </c>
    </row>
    <row r="134" spans="1:3" ht="18" customHeight="1">
      <c r="A134" t="str">
        <f>"00-1258-0000"</f>
        <v>00-1258-0000</v>
      </c>
      <c r="B134" t="str">
        <f>"Workbench T-Slot Panel Table"</f>
        <v>Workbench T-Slot Panel Table</v>
      </c>
      <c r="C134" t="str">
        <f>"Phase Out"</f>
        <v>Phase Out</v>
      </c>
    </row>
    <row r="135" spans="1:3" ht="18" customHeight="1">
      <c r="A135" t="str">
        <f>"00-1260-0000"</f>
        <v>00-1260-0000</v>
      </c>
      <c r="B135" t="str">
        <f>"PC Extension Shelf  600x800mm"</f>
        <v>PC Extension Shelf  600x800mm</v>
      </c>
      <c r="C135" t="str">
        <f>"Active"</f>
        <v>Active</v>
      </c>
    </row>
    <row r="136" spans="1:3" ht="18" customHeight="1">
      <c r="A136" t="str">
        <f>"00-1261-0000"</f>
        <v>00-1261-0000</v>
      </c>
      <c r="B136" t="str">
        <f>"Workbench 1800x900mm (Heavy duty for CNC)"</f>
        <v>Workbench 1800x900mm (Heavy duty for CNC)</v>
      </c>
      <c r="C136" t="str">
        <f>"Active"</f>
        <v>Active</v>
      </c>
    </row>
    <row r="137" spans="1:3" ht="18" customHeight="1">
      <c r="A137" t="str">
        <f>"00-1262-0000"</f>
        <v>00-1262-0000</v>
      </c>
      <c r="B137" t="str">
        <f>"Heavy Duty Stand for MX (740x690x560mm)"</f>
        <v>Heavy Duty Stand for MX (740x690x560mm)</v>
      </c>
      <c r="C137" t="str">
        <f>"ECO-N2Buy"</f>
        <v>ECO-N2Buy</v>
      </c>
    </row>
    <row r="138" spans="1:3" ht="18" customHeight="1">
      <c r="A138" t="str">
        <f>"00-1265-0000"</f>
        <v>00-1265-0000</v>
      </c>
      <c r="B138" t="str">
        <f>"PC Extension Shelf  600x900mm"</f>
        <v>PC Extension Shelf  600x900mm</v>
      </c>
      <c r="C138" t="str">
        <f>"Active"</f>
        <v>Active</v>
      </c>
    </row>
    <row r="139" spans="1:3" ht="18" customHeight="1">
      <c r="A139" t="str">
        <f>"00-1270-0000"</f>
        <v>00-1270-0000</v>
      </c>
      <c r="B139" t="str">
        <f>"PC Extension Vertical 600x900mm"</f>
        <v>PC Extension Vertical 600x900mm</v>
      </c>
      <c r="C139" t="str">
        <f>"Active"</f>
        <v>Active</v>
      </c>
    </row>
    <row r="140" spans="1:3" ht="18" customHeight="1">
      <c r="A140" t="str">
        <f>"00-1271-0000"</f>
        <v>00-1271-0000</v>
      </c>
      <c r="B140" t="str">
        <f>"Buffer Bench Formaica Top 1500x330x850"</f>
        <v>Buffer Bench Formaica Top 1500x330x850</v>
      </c>
      <c r="C140" t="str">
        <f>"New"</f>
        <v>New</v>
      </c>
    </row>
    <row r="141" spans="1:3" ht="18" customHeight="1">
      <c r="A141" t="str">
        <f>"00-1280-0000"</f>
        <v>00-1280-0000</v>
      </c>
      <c r="B141" t="str">
        <f>"Stand for ER9/ER14 (ITEM Profiles)"</f>
        <v>Stand for ER9/ER14 (ITEM Profiles)</v>
      </c>
      <c r="C141" t="str">
        <f>"Active"</f>
        <v>Active</v>
      </c>
    </row>
    <row r="142" spans="1:3" ht="18" customHeight="1">
      <c r="A142" t="str">
        <f>"00-1284-0000"</f>
        <v>00-1284-0000</v>
      </c>
      <c r="B142" t="str">
        <f>"Robot Pedestal Welded for ER9/14Pro&amp;MH5"</f>
        <v>Robot Pedestal Welded for ER9/14Pro&amp;MH5</v>
      </c>
      <c r="C142" t="str">
        <f>"Active"</f>
        <v>Active</v>
      </c>
    </row>
    <row r="143" spans="1:3" ht="18" customHeight="1">
      <c r="A143" t="str">
        <f>"00-1284-1000"</f>
        <v>00-1284-1000</v>
      </c>
      <c r="B143" t="str">
        <f>"Robot Pedestal Welded for ER9/14Pro&amp;MH5"</f>
        <v>Robot Pedestal Welded for ER9/14Pro&amp;MH5</v>
      </c>
      <c r="C143" t="str">
        <f>"New"</f>
        <v>New</v>
      </c>
    </row>
    <row r="144" spans="1:3" ht="18" customHeight="1">
      <c r="A144" t="str">
        <f>"00-1290-0000"</f>
        <v>00-1290-0000</v>
      </c>
      <c r="B144" t="str">
        <f>"PC Table 630x800mm (with Keyboard Drawer)"</f>
        <v>PC Table 630x800mm (with Keyboard Drawer)</v>
      </c>
      <c r="C144" t="str">
        <f>"Active"</f>
        <v>Active</v>
      </c>
    </row>
    <row r="145" spans="1:3" ht="18" customHeight="1">
      <c r="A145" t="str">
        <f>"00-1293-0000"</f>
        <v>00-1293-0000</v>
      </c>
      <c r="B145" t="str">
        <f>"Mobile Workbench 1500x1140mm (incl. Wheels)"</f>
        <v>Mobile Workbench 1500x1140mm (incl. Wheels)</v>
      </c>
      <c r="C145" t="str">
        <f>"Active"</f>
        <v>Active</v>
      </c>
    </row>
    <row r="146" spans="1:3" ht="18" customHeight="1">
      <c r="A146" t="str">
        <f>"00-1295-0000"</f>
        <v>00-1295-0000</v>
      </c>
      <c r="B146" t="str">
        <f>"Stand for Robot MH5 (ITEM Profiles)"</f>
        <v>Stand for Robot MH5 (ITEM Profiles)</v>
      </c>
      <c r="C146" t="str">
        <f>"New"</f>
        <v>New</v>
      </c>
    </row>
    <row r="147" spans="1:3" ht="18" customHeight="1">
      <c r="A147" t="str">
        <f>"00-1297-0000"</f>
        <v>00-1297-0000</v>
      </c>
      <c r="B147" t="str">
        <f>"Workbench 1800x900mm"</f>
        <v>Workbench 1800x900mm</v>
      </c>
      <c r="C147" t="str">
        <f>"Active"</f>
        <v>Active</v>
      </c>
    </row>
    <row r="148" spans="1:3" ht="18" customHeight="1">
      <c r="A148" t="str">
        <f>"00-1298-0000"</f>
        <v>00-1298-0000</v>
      </c>
      <c r="B148" t="str">
        <f>"Heavy Duty Stand for ABB 140 (100kg)"</f>
        <v>Heavy Duty Stand for ABB 140 (100kg)</v>
      </c>
      <c r="C148" t="str">
        <f>"ECO-N2Buy"</f>
        <v>ECO-N2Buy</v>
      </c>
    </row>
    <row r="149" spans="1:3" ht="18" customHeight="1">
      <c r="A149" t="str">
        <f>"00-1299-0000"</f>
        <v>00-1299-0000</v>
      </c>
      <c r="B149" t="str">
        <f>"Stand for ER4, (ITEM, higth=665mm)"</f>
        <v>Stand for ER4, (ITEM, higth=665mm)</v>
      </c>
      <c r="C149" t="str">
        <f t="shared" ref="C149:C154" si="6">"New"</f>
        <v>New</v>
      </c>
    </row>
    <row r="150" spans="1:3" ht="18" customHeight="1">
      <c r="A150" t="str">
        <f>"00-1300-0001"</f>
        <v>00-1300-0001</v>
      </c>
      <c r="B150" t="str">
        <f>"Bench Assy, Mechatronics"</f>
        <v>Bench Assy, Mechatronics</v>
      </c>
      <c r="C150" t="str">
        <f t="shared" si="6"/>
        <v>New</v>
      </c>
    </row>
    <row r="151" spans="1:3" ht="18" customHeight="1">
      <c r="A151" t="str">
        <f>"00-1300-0002"</f>
        <v>00-1300-0002</v>
      </c>
      <c r="B151" t="str">
        <f>"Storage, Mechatronics"</f>
        <v>Storage, Mechatronics</v>
      </c>
      <c r="C151" t="str">
        <f t="shared" si="6"/>
        <v>New</v>
      </c>
    </row>
    <row r="152" spans="1:3" ht="18" customHeight="1">
      <c r="A152" t="str">
        <f>"00-1300-0003"</f>
        <v>00-1300-0003</v>
      </c>
      <c r="B152" t="str">
        <f>"Table Top, Double Side, Staight, Mechatronics"</f>
        <v>Table Top, Double Side, Staight, Mechatronics</v>
      </c>
      <c r="C152" t="str">
        <f t="shared" si="6"/>
        <v>New</v>
      </c>
    </row>
    <row r="153" spans="1:3" ht="18" customHeight="1">
      <c r="A153" t="str">
        <f>"00-1300-0004"</f>
        <v>00-1300-0004</v>
      </c>
      <c r="B153" t="str">
        <f>"Bench Table, Double Sided, 4 Doors"</f>
        <v>Bench Table, Double Sided, 4 Doors</v>
      </c>
      <c r="C153" t="str">
        <f t="shared" si="6"/>
        <v>New</v>
      </c>
    </row>
    <row r="154" spans="1:3" ht="18" customHeight="1">
      <c r="A154" t="str">
        <f>"00-1300-0006"</f>
        <v>00-1300-0006</v>
      </c>
      <c r="B154" t="str">
        <f>"Wall Arm Monitor Mounting"</f>
        <v>Wall Arm Monitor Mounting</v>
      </c>
      <c r="C154" t="str">
        <f t="shared" si="6"/>
        <v>New</v>
      </c>
    </row>
    <row r="155" spans="1:3" ht="18" customHeight="1">
      <c r="A155" t="str">
        <f>"00-1422-0000"</f>
        <v>00-1422-0000</v>
      </c>
      <c r="B155" t="str">
        <f>"Viewflex for QC (Stand 400mm)"</f>
        <v>Viewflex for QC (Stand 400mm)</v>
      </c>
      <c r="C155" t="str">
        <f>"Active"</f>
        <v>Active</v>
      </c>
    </row>
    <row r="156" spans="1:3" ht="18" customHeight="1">
      <c r="A156" t="str">
        <f>"00-1423-0000"</f>
        <v>00-1423-0000</v>
      </c>
      <c r="B156" t="str">
        <f>"Viewflex for AGV &amp;QC (Stand 1300mm)"</f>
        <v>Viewflex for AGV &amp;QC (Stand 1300mm)</v>
      </c>
      <c r="C156" t="str">
        <f>"ECO-N2Buy"</f>
        <v>ECO-N2Buy</v>
      </c>
    </row>
    <row r="157" spans="1:3" ht="18" customHeight="1">
      <c r="A157" t="str">
        <f>"00-1424-0000"</f>
        <v>00-1424-0000</v>
      </c>
      <c r="B157" t="str">
        <f>"Viewflex Machine Vision Include pan-tilt camera"</f>
        <v>Viewflex Machine Vision Include pan-tilt camera</v>
      </c>
      <c r="C157" t="str">
        <f>"Active"</f>
        <v>Active</v>
      </c>
    </row>
    <row r="158" spans="1:3" ht="18" customHeight="1">
      <c r="A158" t="str">
        <f>"00-1425-0000"</f>
        <v>00-1425-0000</v>
      </c>
      <c r="B158" t="str">
        <f>"Viewflex for QC on Conveyor (Stand 400mm)"</f>
        <v>Viewflex for QC on Conveyor (Stand 400mm)</v>
      </c>
      <c r="C158" t="str">
        <f>"ECO-N2Buy"</f>
        <v>ECO-N2Buy</v>
      </c>
    </row>
    <row r="159" spans="1:3" ht="18" customHeight="1">
      <c r="A159" t="str">
        <f>"00-1426-0000"</f>
        <v>00-1426-0000</v>
      </c>
      <c r="B159" t="str">
        <f>"Viewflex - Machine Vision (Stand 1000mm)"</f>
        <v>Viewflex - Machine Vision (Stand 1000mm)</v>
      </c>
      <c r="C159" t="str">
        <f>"Active"</f>
        <v>Active</v>
      </c>
    </row>
    <row r="160" spans="1:3" ht="18" customHeight="1">
      <c r="A160" t="str">
        <f>"00-1500-0001"</f>
        <v>00-1500-0001</v>
      </c>
      <c r="B160" t="str">
        <f>"CytonE 1500"</f>
        <v>CytonE 1500</v>
      </c>
      <c r="C160" t="str">
        <f>"Active"</f>
        <v>Active</v>
      </c>
    </row>
    <row r="161" spans="1:3" ht="18" customHeight="1">
      <c r="A161" t="str">
        <f>"00-1500-DEMO"</f>
        <v>00-1500-DEMO</v>
      </c>
      <c r="B161" t="str">
        <f>"Demo CytonE 1500 &amp; 1 seat ACTIN"</f>
        <v>Demo CytonE 1500 &amp; 1 seat ACTIN</v>
      </c>
      <c r="C161" t="str">
        <f>"Active"</f>
        <v>Active</v>
      </c>
    </row>
    <row r="162" spans="1:3" ht="18" customHeight="1">
      <c r="A162" t="str">
        <f>"00-1701-0000"</f>
        <v>00-1701-0000</v>
      </c>
      <c r="B162" t="str">
        <f>"Teach Pendant for Controller ER 3"</f>
        <v>Teach Pendant for Controller ER 3</v>
      </c>
      <c r="C162" t="str">
        <f>"Phase Out"</f>
        <v>Phase Out</v>
      </c>
    </row>
    <row r="163" spans="1:3" ht="18" customHeight="1">
      <c r="A163" t="str">
        <f>"00-1703-0000"</f>
        <v>00-1703-0000</v>
      </c>
      <c r="B163" t="str">
        <f>"Teach Pendant for Controller A"</f>
        <v>Teach Pendant for Controller A</v>
      </c>
      <c r="C163" t="str">
        <f>"Active"</f>
        <v>Active</v>
      </c>
    </row>
    <row r="164" spans="1:3" ht="18" customHeight="1">
      <c r="A164" t="str">
        <f>"00-1704-0000"</f>
        <v>00-1704-0000</v>
      </c>
      <c r="B164" t="str">
        <f>"Teach Pendant- B/USB"</f>
        <v>Teach Pendant- B/USB</v>
      </c>
      <c r="C164" t="str">
        <f>"Inactive"</f>
        <v>Inactive</v>
      </c>
    </row>
    <row r="165" spans="1:3" ht="18" customHeight="1">
      <c r="A165" t="str">
        <f>"00-1705-0000"</f>
        <v>00-1705-0000</v>
      </c>
      <c r="B165" t="str">
        <f>"Teach Pendant for Controller ER 1"</f>
        <v>Teach Pendant for Controller ER 1</v>
      </c>
      <c r="C165" t="str">
        <f>"Not for purc"</f>
        <v>Not for purc</v>
      </c>
    </row>
    <row r="166" spans="1:3" ht="18" customHeight="1">
      <c r="A166" t="str">
        <f>"00-1709-0000"</f>
        <v>00-1709-0000</v>
      </c>
      <c r="B166" t="str">
        <f>"Teach Pendant for USB/USB Pro Controller"</f>
        <v>Teach Pendant for USB/USB Pro Controller</v>
      </c>
      <c r="C166" t="str">
        <f>"Phase Out"</f>
        <v>Phase Out</v>
      </c>
    </row>
    <row r="167" spans="1:3" ht="18" customHeight="1">
      <c r="A167" t="str">
        <f>"00-1710-0000"</f>
        <v>00-1710-0000</v>
      </c>
      <c r="B167" t="str">
        <f>"Teach Pendant"</f>
        <v>Teach Pendant</v>
      </c>
      <c r="C167" t="str">
        <f>"Active"</f>
        <v>Active</v>
      </c>
    </row>
    <row r="168" spans="1:3" ht="18" customHeight="1">
      <c r="A168" t="str">
        <f>"00-1904-0000"</f>
        <v>00-1904-0000</v>
      </c>
      <c r="B168" t="str">
        <f>"PneuFlex 1 - Pneumatic Trainer w T-slot panel"</f>
        <v>PneuFlex 1 - Pneumatic Trainer w T-slot panel</v>
      </c>
      <c r="C168" t="str">
        <f>"Active"</f>
        <v>Active</v>
      </c>
    </row>
    <row r="169" spans="1:3" ht="18" customHeight="1">
      <c r="A169" t="str">
        <f>"00-1904-0002"</f>
        <v>00-1904-0002</v>
      </c>
      <c r="B169" t="str">
        <f>"PneuFlex P1 Basic Pneumatic+ doubel T-slot panel"</f>
        <v>PneuFlex P1 Basic Pneumatic+ doubel T-slot panel</v>
      </c>
      <c r="C169" t="str">
        <f>"New"</f>
        <v>New</v>
      </c>
    </row>
    <row r="170" spans="1:3" ht="18" customHeight="1">
      <c r="A170" t="str">
        <f>"00-1904-00JM"</f>
        <v>00-1904-00JM</v>
      </c>
      <c r="B170" t="str">
        <f>"PneuFlex P1 -Pneumatic W T-slot panel for LS200"</f>
        <v>PneuFlex P1 -Pneumatic W T-slot panel for LS200</v>
      </c>
      <c r="C170" t="str">
        <f>"Active"</f>
        <v>Active</v>
      </c>
    </row>
    <row r="171" spans="1:3" ht="18" customHeight="1">
      <c r="A171" t="str">
        <f>"00-1905-0000"</f>
        <v>00-1905-0000</v>
      </c>
      <c r="B171" t="str">
        <f>"PneuFlex 2 - Advanced Pneumatics Component set"</f>
        <v>PneuFlex 2 - Advanced Pneumatics Component set</v>
      </c>
      <c r="C171" t="str">
        <f>"Active"</f>
        <v>Active</v>
      </c>
    </row>
    <row r="172" spans="1:3" ht="18" customHeight="1">
      <c r="A172" t="str">
        <f>"00-1906-0000"</f>
        <v>00-1906-0000</v>
      </c>
      <c r="B172" t="str">
        <f>"PneuFlex 3 - Electro - Pneumatics Component set"</f>
        <v>PneuFlex 3 - Electro - Pneumatics Component set</v>
      </c>
      <c r="C172" t="str">
        <f>"Active"</f>
        <v>Active</v>
      </c>
    </row>
    <row r="173" spans="1:3" ht="18" customHeight="1">
      <c r="A173" t="str">
        <f>"00-1907-0000"</f>
        <v>00-1907-0000</v>
      </c>
      <c r="B173" t="str">
        <f>"PneuLine Package"</f>
        <v>PneuLine Package</v>
      </c>
      <c r="C173" t="str">
        <f>"Phase Out"</f>
        <v>Phase Out</v>
      </c>
    </row>
    <row r="174" spans="1:3" ht="18" customHeight="1">
      <c r="A174" t="str">
        <f>"00-2000-0001"</f>
        <v>00-2000-0001</v>
      </c>
      <c r="B174" t="str">
        <f>"Mechatronics with LabVIEW Robotics Kit"</f>
        <v>Mechatronics with LabVIEW Robotics Kit</v>
      </c>
      <c r="C174" t="str">
        <f>"Active"</f>
        <v>Active</v>
      </c>
    </row>
    <row r="175" spans="1:3" ht="18" customHeight="1">
      <c r="A175" t="str">
        <f>"00-2000-0002"</f>
        <v>00-2000-0002</v>
      </c>
      <c r="B175" t="str">
        <f>"MyRIO Controller"</f>
        <v>MyRIO Controller</v>
      </c>
      <c r="C175" t="str">
        <f>"Active"</f>
        <v>Active</v>
      </c>
    </row>
    <row r="176" spans="1:3" ht="18" customHeight="1">
      <c r="A176" t="str">
        <f>"00-2044-0220"</f>
        <v>00-2044-0220</v>
      </c>
      <c r="B176" t="str">
        <f>"Pro Router 2000 4ft x 4ft HSS - 220V"</f>
        <v>Pro Router 2000 4ft x 4ft HSS - 220V</v>
      </c>
      <c r="C176" t="str">
        <f>"Active"</f>
        <v>Active</v>
      </c>
    </row>
    <row r="177" spans="1:3" ht="18" customHeight="1">
      <c r="A177" t="str">
        <f>"00-2048-0220"</f>
        <v>00-2048-0220</v>
      </c>
      <c r="B177" t="str">
        <f>"Pro Router 2100 4ft x 8ft HSS - 220V"</f>
        <v>Pro Router 2100 4ft x 8ft HSS - 220V</v>
      </c>
      <c r="C177" t="str">
        <f>"Active"</f>
        <v>Active</v>
      </c>
    </row>
    <row r="178" spans="1:3" ht="18" customHeight="1">
      <c r="A178" t="str">
        <f>"00-2105-0000"</f>
        <v>00-2105-0000</v>
      </c>
      <c r="B178" t="str">
        <f>"HydraFlex H1 Basic Hydraulics incl. panel"</f>
        <v>HydraFlex H1 Basic Hydraulics incl. panel</v>
      </c>
      <c r="C178" t="str">
        <f>"Active"</f>
        <v>Active</v>
      </c>
    </row>
    <row r="179" spans="1:3" ht="18" customHeight="1">
      <c r="A179" t="str">
        <f>"00-2105-0002"</f>
        <v>00-2105-0002</v>
      </c>
      <c r="B179" t="str">
        <f>"HydraFlex H1 Basic Hydraulics+Doubl. panel"</f>
        <v>HydraFlex H1 Basic Hydraulics+Doubl. panel</v>
      </c>
      <c r="C179" t="str">
        <f>"New"</f>
        <v>New</v>
      </c>
    </row>
    <row r="180" spans="1:3" ht="18" customHeight="1">
      <c r="A180" t="str">
        <f>"00-2105-00JM"</f>
        <v>00-2105-00JM</v>
      </c>
      <c r="B180" t="str">
        <f>"HydraFlex H1 Basic Hydraulic Package incl. panel"</f>
        <v>HydraFlex H1 Basic Hydraulic Package incl. panel</v>
      </c>
      <c r="C180" t="str">
        <f>"Active"</f>
        <v>Active</v>
      </c>
    </row>
    <row r="181" spans="1:3" ht="18" customHeight="1">
      <c r="A181" t="str">
        <f>"00-2106-0000"</f>
        <v>00-2106-0000</v>
      </c>
      <c r="B181" t="str">
        <f>"HydraFlex H2 - Advanced Hydraulic add-on kit"</f>
        <v>HydraFlex H2 - Advanced Hydraulic add-on kit</v>
      </c>
      <c r="C181" t="str">
        <f>"Active"</f>
        <v>Active</v>
      </c>
    </row>
    <row r="182" spans="1:3" ht="18" customHeight="1">
      <c r="A182" t="str">
        <f>"00-2107-0000"</f>
        <v>00-2107-0000</v>
      </c>
      <c r="B182" t="str">
        <f>"HydraFlex H3 - Electro-Hydraulics add-on kit"</f>
        <v>HydraFlex H3 - Electro-Hydraulics add-on kit</v>
      </c>
      <c r="C182" t="str">
        <f>"Active"</f>
        <v>Active</v>
      </c>
    </row>
    <row r="183" spans="1:3" ht="18" customHeight="1">
      <c r="A183" t="str">
        <f>"00-3005-0000"</f>
        <v>00-3005-0000</v>
      </c>
      <c r="B183" t="str">
        <f>"Computer Interface Control CPC 2000"</f>
        <v>Computer Interface Control CPC 2000</v>
      </c>
      <c r="C183" t="str">
        <f>"Not for purc"</f>
        <v>Not for purc</v>
      </c>
    </row>
    <row r="184" spans="1:3" ht="18" customHeight="1">
      <c r="A184" t="str">
        <f>"00-3013-0000"</f>
        <v>00-3013-0000</v>
      </c>
      <c r="B184" t="str">
        <f>"V-scope VS-100 Package 2 230V"</f>
        <v>V-scope VS-100 Package 2 230V</v>
      </c>
      <c r="C184" t="str">
        <f t="shared" ref="C184:C191" si="7">"Active"</f>
        <v>Active</v>
      </c>
    </row>
    <row r="185" spans="1:3" ht="18" customHeight="1">
      <c r="A185" t="str">
        <f>"00-3014-0000"</f>
        <v>00-3014-0000</v>
      </c>
      <c r="B185" t="str">
        <f>"SensorLine - Sensor Technology Training Panel"</f>
        <v>SensorLine - Sensor Technology Training Panel</v>
      </c>
      <c r="C185" t="str">
        <f t="shared" si="7"/>
        <v>Active</v>
      </c>
    </row>
    <row r="186" spans="1:3" ht="18" customHeight="1">
      <c r="A186" t="str">
        <f>"00-3031-0000"</f>
        <v>00-3031-0000</v>
      </c>
      <c r="B186" t="str">
        <f>"PLC A/B Micrologix for HyraFlex/PneuFlex"</f>
        <v>PLC A/B Micrologix for HyraFlex/PneuFlex</v>
      </c>
      <c r="C186" t="str">
        <f t="shared" si="7"/>
        <v>Active</v>
      </c>
    </row>
    <row r="187" spans="1:3" ht="18" customHeight="1">
      <c r="A187" t="str">
        <f>"00-3043-0000"</f>
        <v>00-3043-0000</v>
      </c>
      <c r="B187" t="str">
        <f>"Mechanical Measurement QC Metric Package"</f>
        <v>Mechanical Measurement QC Metric Package</v>
      </c>
      <c r="C187" t="str">
        <f t="shared" si="7"/>
        <v>Active</v>
      </c>
    </row>
    <row r="188" spans="1:3" ht="18" customHeight="1">
      <c r="A188" t="str">
        <f>"00-3043-0001"</f>
        <v>00-3043-0001</v>
      </c>
      <c r="B188" t="str">
        <f>"Shop Floor Coordinate 4.5.4 SF, Brown &amp; sharpe"</f>
        <v>Shop Floor Coordinate 4.5.4 SF, Brown &amp; sharpe</v>
      </c>
      <c r="C188" t="str">
        <f t="shared" si="7"/>
        <v>Active</v>
      </c>
    </row>
    <row r="189" spans="1:3" ht="18" customHeight="1">
      <c r="A189" t="str">
        <f>"00-3053-0000"</f>
        <v>00-3053-0000</v>
      </c>
      <c r="B189" t="str">
        <f>"PLC Line Panel A/B SLC 500, 115V"</f>
        <v>PLC Line Panel A/B SLC 500, 115V</v>
      </c>
      <c r="C189" t="str">
        <f t="shared" si="7"/>
        <v>Active</v>
      </c>
    </row>
    <row r="190" spans="1:3" ht="18" customHeight="1">
      <c r="A190" t="str">
        <f>"00-3054-0000"</f>
        <v>00-3054-0000</v>
      </c>
      <c r="B190" t="str">
        <f>"PLC Line Panel  A/B SLC 500, 230V"</f>
        <v>PLC Line Panel  A/B SLC 500, 230V</v>
      </c>
      <c r="C190" t="str">
        <f t="shared" si="7"/>
        <v>Active</v>
      </c>
    </row>
    <row r="191" spans="1:3" ht="18" customHeight="1">
      <c r="A191" t="str">
        <f>"00-3055-0000"</f>
        <v>00-3055-0000</v>
      </c>
      <c r="B191" t="str">
        <f>"Automated Welding for ER4U (Stand Alone)"</f>
        <v>Automated Welding for ER4U (Stand Alone)</v>
      </c>
      <c r="C191" t="str">
        <f t="shared" si="7"/>
        <v>Active</v>
      </c>
    </row>
    <row r="192" spans="1:3" ht="18" customHeight="1">
      <c r="A192" t="str">
        <f>"00-3071-0000"</f>
        <v>00-3071-0000</v>
      </c>
      <c r="B192" t="str">
        <f>"ProcessLine Level &amp; Flow"</f>
        <v>ProcessLine Level &amp; Flow</v>
      </c>
      <c r="C192" t="str">
        <f>"Not for purc"</f>
        <v>Not for purc</v>
      </c>
    </row>
    <row r="193" spans="1:3" ht="18" customHeight="1">
      <c r="A193" t="str">
        <f>"00-3072-0000"</f>
        <v>00-3072-0000</v>
      </c>
      <c r="B193" t="str">
        <f>"ProcessLine Temperature 230V"</f>
        <v>ProcessLine Temperature 230V</v>
      </c>
      <c r="C193" t="str">
        <f>"Not for purc"</f>
        <v>Not for purc</v>
      </c>
    </row>
    <row r="194" spans="1:3" ht="18" customHeight="1">
      <c r="A194" t="str">
        <f>"00-3073-0000"</f>
        <v>00-3073-0000</v>
      </c>
      <c r="B194" t="str">
        <f>"ProcessLine Pressure"</f>
        <v>ProcessLine Pressure</v>
      </c>
      <c r="C194" t="str">
        <f t="shared" ref="C194:C199" si="8">"Active"</f>
        <v>Active</v>
      </c>
    </row>
    <row r="195" spans="1:3" ht="18" customHeight="1">
      <c r="A195" t="str">
        <f>"00-3074-0000"</f>
        <v>00-3074-0000</v>
      </c>
      <c r="B195" t="str">
        <f>"ProcessLine Temperature (115V)"</f>
        <v>ProcessLine Temperature (115V)</v>
      </c>
      <c r="C195" t="str">
        <f t="shared" si="8"/>
        <v>Active</v>
      </c>
    </row>
    <row r="196" spans="1:3" ht="18" customHeight="1">
      <c r="A196" t="str">
        <f>"00-3075-0000"</f>
        <v>00-3075-0000</v>
      </c>
      <c r="B196" t="str">
        <f>"PLCLine Panel with A/B MicroLogix PLC"</f>
        <v>PLCLine Panel with A/B MicroLogix PLC</v>
      </c>
      <c r="C196" t="str">
        <f t="shared" si="8"/>
        <v>Active</v>
      </c>
    </row>
    <row r="197" spans="1:3" ht="18" customHeight="1">
      <c r="A197" t="str">
        <f>"00-3076-0000"</f>
        <v>00-3076-0000</v>
      </c>
      <c r="B197" t="str">
        <f>"PLCLine Panel with PLC SIEMENS S7-1200"</f>
        <v>PLCLine Panel with PLC SIEMENS S7-1200</v>
      </c>
      <c r="C197" t="str">
        <f t="shared" si="8"/>
        <v>Active</v>
      </c>
    </row>
    <row r="198" spans="1:3" ht="18" customHeight="1">
      <c r="A198" t="str">
        <f>"00-3085-0000"</f>
        <v>00-3085-0000</v>
      </c>
      <c r="B198" t="str">
        <f>"Automated Welding booth for ER9Pro/MH5"</f>
        <v>Automated Welding booth for ER9Pro/MH5</v>
      </c>
      <c r="C198" t="str">
        <f t="shared" si="8"/>
        <v>Active</v>
      </c>
    </row>
    <row r="199" spans="1:3" ht="18" customHeight="1">
      <c r="A199" t="str">
        <f>"00-3086-0000"</f>
        <v>00-3086-0000</v>
      </c>
      <c r="B199" t="str">
        <f>"Automated Process Control"</f>
        <v>Automated Process Control</v>
      </c>
      <c r="C199" t="str">
        <f t="shared" si="8"/>
        <v>Active</v>
      </c>
    </row>
    <row r="200" spans="1:3" ht="18" customHeight="1">
      <c r="A200" t="str">
        <f>"00-3087-0000"</f>
        <v>00-3087-0000</v>
      </c>
      <c r="B200" t="str">
        <f>"SD300 3D Printer Package include 2 Model Kits"</f>
        <v>SD300 3D Printer Package include 2 Model Kits</v>
      </c>
      <c r="C200" t="str">
        <f>"Inactive"</f>
        <v>Inactive</v>
      </c>
    </row>
    <row r="201" spans="1:3" ht="18" customHeight="1">
      <c r="A201" t="str">
        <f>"00-3087-H480"</f>
        <v>00-3087-H480</v>
      </c>
      <c r="B201" t="str">
        <f>"Afinia H480 3D Printer"</f>
        <v>Afinia H480 3D Printer</v>
      </c>
      <c r="C201" t="str">
        <f>"Active"</f>
        <v>Active</v>
      </c>
    </row>
    <row r="202" spans="1:3" ht="18" customHeight="1">
      <c r="A202" t="str">
        <f>"00-3087-H800"</f>
        <v>00-3087-H800</v>
      </c>
      <c r="B202" t="str">
        <f>"Afinia H800 3D Printer"</f>
        <v>Afinia H800 3D Printer</v>
      </c>
      <c r="C202" t="str">
        <f>"Active"</f>
        <v>Active</v>
      </c>
    </row>
    <row r="203" spans="1:3" ht="18" customHeight="1">
      <c r="A203" t="str">
        <f>"00-3088-0000"</f>
        <v>00-3088-0000</v>
      </c>
      <c r="B203" t="str">
        <f>"AutoAgronom System incl. controller"</f>
        <v>AutoAgronom System incl. controller</v>
      </c>
      <c r="C203" t="str">
        <f>"Phase Out"</f>
        <v>Phase Out</v>
      </c>
    </row>
    <row r="204" spans="1:3" ht="18" customHeight="1">
      <c r="A204" t="str">
        <f>"00-3089-0000"</f>
        <v>00-3089-0000</v>
      </c>
      <c r="B204" t="str">
        <f>"SD300 3D Printer Package include 3 Model Kits"</f>
        <v>SD300 3D Printer Package include 3 Model Kits</v>
      </c>
      <c r="C204" t="str">
        <f>"Inactive"</f>
        <v>Inactive</v>
      </c>
    </row>
    <row r="205" spans="1:3" ht="18" customHeight="1">
      <c r="A205" t="str">
        <f>"00-3089-E360"</f>
        <v>00-3089-E360</v>
      </c>
      <c r="B205" t="str">
        <f>"Afinia ES360 3D Scanner"</f>
        <v>Afinia ES360 3D Scanner</v>
      </c>
      <c r="C205" t="str">
        <f t="shared" ref="C205:C218" si="9">"Active"</f>
        <v>Active</v>
      </c>
    </row>
    <row r="206" spans="1:3" ht="18" customHeight="1">
      <c r="A206" t="str">
        <f>"00-3090-0000"</f>
        <v>00-3090-0000</v>
      </c>
      <c r="B206" t="str">
        <f>"LAB Kit - Physics"</f>
        <v>LAB Kit - Physics</v>
      </c>
      <c r="C206" t="str">
        <f t="shared" si="9"/>
        <v>Active</v>
      </c>
    </row>
    <row r="207" spans="1:3" ht="18" customHeight="1">
      <c r="A207" t="str">
        <f>"00-3091-0000"</f>
        <v>00-3091-0000</v>
      </c>
      <c r="B207" t="str">
        <f>"LAB Kit - Biology"</f>
        <v>LAB Kit - Biology</v>
      </c>
      <c r="C207" t="str">
        <f t="shared" si="9"/>
        <v>Active</v>
      </c>
    </row>
    <row r="208" spans="1:3" ht="18" customHeight="1">
      <c r="A208" t="str">
        <f>"00-3092-0000"</f>
        <v>00-3092-0000</v>
      </c>
      <c r="B208" t="str">
        <f>"LAB Kit - Chemistry"</f>
        <v>LAB Kit - Chemistry</v>
      </c>
      <c r="C208" t="str">
        <f t="shared" si="9"/>
        <v>Active</v>
      </c>
    </row>
    <row r="209" spans="1:3" ht="18" customHeight="1">
      <c r="A209" t="str">
        <f>"00-3093-0000"</f>
        <v>00-3093-0000</v>
      </c>
      <c r="B209" t="str">
        <f>"S7-1200 PLC Trainer Package"</f>
        <v>S7-1200 PLC Trainer Package</v>
      </c>
      <c r="C209" t="str">
        <f t="shared" si="9"/>
        <v>Active</v>
      </c>
    </row>
    <row r="210" spans="1:3" ht="18" customHeight="1">
      <c r="A210" t="str">
        <f>"00-4006-0000"</f>
        <v>00-4006-0000</v>
      </c>
      <c r="B210" t="str">
        <f>"Thermoforming Machine 911"</f>
        <v>Thermoforming Machine 911</v>
      </c>
      <c r="C210" t="str">
        <f t="shared" si="9"/>
        <v>Active</v>
      </c>
    </row>
    <row r="211" spans="1:3" ht="18" customHeight="1">
      <c r="A211" t="str">
        <f>"00-4008-0000"</f>
        <v>00-4008-0000</v>
      </c>
      <c r="B211" t="str">
        <f>"Accessories for thermoforming,  AMT"</f>
        <v>Accessories for thermoforming,  AMT</v>
      </c>
      <c r="C211" t="str">
        <f t="shared" si="9"/>
        <v>Active</v>
      </c>
    </row>
    <row r="212" spans="1:3" ht="18" customHeight="1">
      <c r="A212" t="str">
        <f>"00-4014-0000"</f>
        <v>00-4014-0000</v>
      </c>
      <c r="B212" t="str">
        <f>"mechanisms SuitcaseMB-300 &amp; Accessories"</f>
        <v>mechanisms SuitcaseMB-300 &amp; Accessories</v>
      </c>
      <c r="C212" t="str">
        <f t="shared" si="9"/>
        <v>Active</v>
      </c>
    </row>
    <row r="213" spans="1:3" ht="18" customHeight="1">
      <c r="A213" t="str">
        <f>"00-4026-0000"</f>
        <v>00-4026-0000</v>
      </c>
      <c r="B213" t="str">
        <f>"Accessories for ViewFlex, Vision and QC"</f>
        <v>Accessories for ViewFlex, Vision and QC</v>
      </c>
      <c r="C213" t="str">
        <f t="shared" si="9"/>
        <v>Active</v>
      </c>
    </row>
    <row r="214" spans="1:3" ht="18" customHeight="1">
      <c r="A214" t="str">
        <f>"00-4029-0000"</f>
        <v>00-4029-0000</v>
      </c>
      <c r="B214" t="str">
        <f>"MMQC kit, metric"</f>
        <v>MMQC kit, metric</v>
      </c>
      <c r="C214" t="str">
        <f t="shared" si="9"/>
        <v>Active</v>
      </c>
    </row>
    <row r="215" spans="1:3" ht="18" customHeight="1">
      <c r="A215" t="str">
        <f>"00-4039-0000"</f>
        <v>00-4039-0000</v>
      </c>
      <c r="B215" t="str">
        <f>"LSM - Laser Scan Meter"</f>
        <v>LSM - Laser Scan Meter</v>
      </c>
      <c r="C215" t="str">
        <f t="shared" si="9"/>
        <v>Active</v>
      </c>
    </row>
    <row r="216" spans="1:3" ht="18" customHeight="1">
      <c r="A216" t="str">
        <f>"00-4040-0000"</f>
        <v>00-4040-0000</v>
      </c>
      <c r="B216" t="str">
        <f>"Laser Engraver VLS 3.60"</f>
        <v>Laser Engraver VLS 3.60</v>
      </c>
      <c r="C216" t="str">
        <f t="shared" si="9"/>
        <v>Active</v>
      </c>
    </row>
    <row r="217" spans="1:3" ht="18" customHeight="1">
      <c r="A217" t="str">
        <f>"00-5501-0110"</f>
        <v>00-5501-0110</v>
      </c>
      <c r="B217" t="str">
        <f>"CNC ProTurn 9000 AC 110V"</f>
        <v>CNC ProTurn 9000 AC 110V</v>
      </c>
      <c r="C217" t="str">
        <f t="shared" si="9"/>
        <v>Active</v>
      </c>
    </row>
    <row r="218" spans="1:3" ht="18" customHeight="1">
      <c r="A218" t="str">
        <f>"00-5501-0220"</f>
        <v>00-5501-0220</v>
      </c>
      <c r="B218" t="str">
        <f>"CNC ProTurn 9000 AC 220V"</f>
        <v>CNC ProTurn 9000 AC 220V</v>
      </c>
      <c r="C218" t="str">
        <f t="shared" si="9"/>
        <v>Active</v>
      </c>
    </row>
    <row r="219" spans="1:3" ht="18" customHeight="1">
      <c r="A219" t="str">
        <f>"00-5502-0110"</f>
        <v>00-5502-0110</v>
      </c>
      <c r="B219" t="str">
        <f>"CNC ProTurn 9000 110V"</f>
        <v>CNC ProTurn 9000 110V</v>
      </c>
      <c r="C219" t="str">
        <f>"Inactive"</f>
        <v>Inactive</v>
      </c>
    </row>
    <row r="220" spans="1:3" ht="18" customHeight="1">
      <c r="A220" t="str">
        <f>"00-5502-0220"</f>
        <v>00-5502-0220</v>
      </c>
      <c r="B220" t="str">
        <f>"CNC ProTurn 9000 220V"</f>
        <v>CNC ProTurn 9000 220V</v>
      </c>
      <c r="C220" t="str">
        <f>"Inactive"</f>
        <v>Inactive</v>
      </c>
    </row>
    <row r="221" spans="1:3" ht="18" customHeight="1">
      <c r="A221" t="str">
        <f>"00-5503-0110"</f>
        <v>00-5503-0110</v>
      </c>
      <c r="B221" t="str">
        <f>"CNC ProTurn 9000 AC-S 110V &amp; shelf"</f>
        <v>CNC ProTurn 9000 AC-S 110V &amp; shelf</v>
      </c>
      <c r="C221" t="str">
        <f t="shared" ref="C221:C226" si="10">"Active"</f>
        <v>Active</v>
      </c>
    </row>
    <row r="222" spans="1:3" ht="18" customHeight="1">
      <c r="A222" t="str">
        <f>"00-5503-0220"</f>
        <v>00-5503-0220</v>
      </c>
      <c r="B222" t="str">
        <f>"CNC ProTurn 9000 AC-S 220V &amp; shelf"</f>
        <v>CNC ProTurn 9000 AC-S 220V &amp; shelf</v>
      </c>
      <c r="C222" t="str">
        <f t="shared" si="10"/>
        <v>Active</v>
      </c>
    </row>
    <row r="223" spans="1:3" ht="18" customHeight="1">
      <c r="A223" t="str">
        <f>"00-5504-0110"</f>
        <v>00-5504-0110</v>
      </c>
      <c r="B223" t="str">
        <f>"CNC BenchTurn 7000  110V"</f>
        <v>CNC BenchTurn 7000  110V</v>
      </c>
      <c r="C223" t="str">
        <f t="shared" si="10"/>
        <v>Active</v>
      </c>
    </row>
    <row r="224" spans="1:3" ht="18" customHeight="1">
      <c r="A224" t="str">
        <f>"00-5504-0220"</f>
        <v>00-5504-0220</v>
      </c>
      <c r="B224" t="str">
        <f>"CNC BenchTurn 7000 220V"</f>
        <v>CNC BenchTurn 7000 220V</v>
      </c>
      <c r="C224" t="str">
        <f t="shared" si="10"/>
        <v>Active</v>
      </c>
    </row>
    <row r="225" spans="1:3" ht="18" customHeight="1">
      <c r="A225" t="str">
        <f>"00-5505-0110"</f>
        <v>00-5505-0110</v>
      </c>
      <c r="B225" t="str">
        <f>"CNC BenchMILL 6000, 110 VAC"</f>
        <v>CNC BenchMILL 6000, 110 VAC</v>
      </c>
      <c r="C225" t="str">
        <f t="shared" si="10"/>
        <v>Active</v>
      </c>
    </row>
    <row r="226" spans="1:3" ht="18" customHeight="1">
      <c r="A226" t="str">
        <f>"00-5505-0220"</f>
        <v>00-5505-0220</v>
      </c>
      <c r="B226" t="str">
        <f>"CNC BenchMILL 6000, 220 VAC"</f>
        <v>CNC BenchMILL 6000, 220 VAC</v>
      </c>
      <c r="C226" t="str">
        <f t="shared" si="10"/>
        <v>Active</v>
      </c>
    </row>
    <row r="227" spans="1:3" ht="18" customHeight="1">
      <c r="A227" t="str">
        <f>"00-5506-0110"</f>
        <v>00-5506-0110</v>
      </c>
      <c r="B227" t="str">
        <f>"CNC ProMill 8000 110V"</f>
        <v>CNC ProMill 8000 110V</v>
      </c>
      <c r="C227" t="str">
        <f>"Inactive"</f>
        <v>Inactive</v>
      </c>
    </row>
    <row r="228" spans="1:3" ht="18" customHeight="1">
      <c r="A228" t="str">
        <f>"00-5506-0220"</f>
        <v>00-5506-0220</v>
      </c>
      <c r="B228" t="str">
        <f>"CNC ProMill 8000 220V"</f>
        <v>CNC ProMill 8000 220V</v>
      </c>
      <c r="C228" t="str">
        <f>"Inactive"</f>
        <v>Inactive</v>
      </c>
    </row>
    <row r="229" spans="1:3" ht="18" customHeight="1">
      <c r="A229" t="str">
        <f>"00-5507-0110"</f>
        <v>00-5507-0110</v>
      </c>
      <c r="B229" t="str">
        <f>"CNC ProMill 8000 AC 110V"</f>
        <v>CNC ProMill 8000 AC 110V</v>
      </c>
      <c r="C229" t="str">
        <f>"Phase Out"</f>
        <v>Phase Out</v>
      </c>
    </row>
    <row r="230" spans="1:3" ht="18" customHeight="1">
      <c r="A230" t="str">
        <f>"00-5507-0220"</f>
        <v>00-5507-0220</v>
      </c>
      <c r="B230" t="str">
        <f>"CNC ProMill 8000 AC 220V"</f>
        <v>CNC ProMill 8000 AC 220V</v>
      </c>
      <c r="C230" t="str">
        <f>"Phase Out"</f>
        <v>Phase Out</v>
      </c>
    </row>
    <row r="231" spans="1:3" ht="18" customHeight="1">
      <c r="A231" t="str">
        <f>"00-5508-0110"</f>
        <v>00-5508-0110</v>
      </c>
      <c r="B231" t="str">
        <f>"CNC ProMill 8000 AC-S 110V &amp; shelf"</f>
        <v>CNC ProMill 8000 AC-S 110V &amp; shelf</v>
      </c>
      <c r="C231" t="str">
        <f t="shared" ref="C231:C239" si="11">"Active"</f>
        <v>Active</v>
      </c>
    </row>
    <row r="232" spans="1:3" ht="18" customHeight="1">
      <c r="A232" t="str">
        <f>"00-5508-0220"</f>
        <v>00-5508-0220</v>
      </c>
      <c r="B232" t="str">
        <f>"CNC ProMill 8000 AC-S 220V &amp; shelf"</f>
        <v>CNC ProMill 8000 AC-S 220V &amp; shelf</v>
      </c>
      <c r="C232" t="str">
        <f t="shared" si="11"/>
        <v>Active</v>
      </c>
    </row>
    <row r="233" spans="1:3" ht="18" customHeight="1">
      <c r="A233" t="str">
        <f>"00-5509-0110"</f>
        <v>00-5509-0110</v>
      </c>
      <c r="B233" t="str">
        <f>"ProMill 8000 AC with 12 Tool ATC"</f>
        <v>ProMill 8000 AC with 12 Tool ATC</v>
      </c>
      <c r="C233" t="str">
        <f t="shared" si="11"/>
        <v>Active</v>
      </c>
    </row>
    <row r="234" spans="1:3" ht="18" customHeight="1">
      <c r="A234" t="str">
        <f>"00-5509-0220"</f>
        <v>00-5509-0220</v>
      </c>
      <c r="B234" t="str">
        <f>"ProMill 8000 AC with 12 Tool ATC"</f>
        <v>ProMill 8000 AC with 12 Tool ATC</v>
      </c>
      <c r="C234" t="str">
        <f t="shared" si="11"/>
        <v>Active</v>
      </c>
    </row>
    <row r="235" spans="1:3" ht="18" customHeight="1">
      <c r="A235" t="str">
        <f>"00-5510-0000"</f>
        <v>00-5510-0000</v>
      </c>
      <c r="B235" t="str">
        <f>"VG1325 CNC ROUTER-standard configuration"</f>
        <v>VG1325 CNC ROUTER-standard configuration</v>
      </c>
      <c r="C235" t="str">
        <f t="shared" si="11"/>
        <v>Active</v>
      </c>
    </row>
    <row r="236" spans="1:3" ht="18" customHeight="1">
      <c r="A236" t="str">
        <f>"00-5511-0000"</f>
        <v>00-5511-0000</v>
      </c>
      <c r="B236" t="str">
        <f>"sc4 becnh lathe"</f>
        <v>sc4 becnh lathe</v>
      </c>
      <c r="C236" t="str">
        <f t="shared" si="11"/>
        <v>Active</v>
      </c>
    </row>
    <row r="237" spans="1:3" ht="18" customHeight="1">
      <c r="A237" t="str">
        <f>"00-5512-0000"</f>
        <v>00-5512-0000</v>
      </c>
      <c r="B237" t="str">
        <f>"SX4 bench mill"</f>
        <v>SX4 bench mill</v>
      </c>
      <c r="C237" t="str">
        <f t="shared" si="11"/>
        <v>Active</v>
      </c>
    </row>
    <row r="238" spans="1:3" ht="18" customHeight="1">
      <c r="A238" t="str">
        <f>"00-5513-0110"</f>
        <v>00-5513-0110</v>
      </c>
      <c r="B238" t="str">
        <f>"ProMill 8000 AC with 12 Tool SIEME.808D ATC 110V"</f>
        <v>ProMill 8000 AC with 12 Tool SIEME.808D ATC 110V</v>
      </c>
      <c r="C238" t="str">
        <f t="shared" si="11"/>
        <v>Active</v>
      </c>
    </row>
    <row r="239" spans="1:3" ht="18" customHeight="1">
      <c r="A239" t="str">
        <f>"00-5513-0220"</f>
        <v>00-5513-0220</v>
      </c>
      <c r="B239" t="str">
        <f>"ProMill 8000 AC with 12 Tool SIEMEN.808D ATC 220"</f>
        <v>ProMill 8000 AC with 12 Tool SIEMEN.808D ATC 220</v>
      </c>
      <c r="C239" t="str">
        <f t="shared" si="11"/>
        <v>Active</v>
      </c>
    </row>
    <row r="240" spans="1:3" ht="18" customHeight="1">
      <c r="A240" t="str">
        <f>"00-5601-0000"</f>
        <v>00-5601-0000</v>
      </c>
      <c r="B240" t="str">
        <f>"Motor control training system - JM04"</f>
        <v>Motor control training system - JM04</v>
      </c>
      <c r="C240" t="str">
        <f>"New"</f>
        <v>New</v>
      </c>
    </row>
    <row r="241" spans="1:3" ht="18" customHeight="1">
      <c r="A241" t="str">
        <f>"00-5602-0000"</f>
        <v>00-5602-0000</v>
      </c>
      <c r="B241" t="str">
        <f>"Electric and electronic training system - JM06A"</f>
        <v>Electric and electronic training system - JM06A</v>
      </c>
      <c r="C241" t="str">
        <f>"New"</f>
        <v>New</v>
      </c>
    </row>
    <row r="242" spans="1:3" ht="18" customHeight="1">
      <c r="A242" t="str">
        <f>"00-5603-0000"</f>
        <v>00-5603-0000</v>
      </c>
      <c r="B242" t="str">
        <f>"Electric and electronic training system - JM06B"</f>
        <v>Electric and electronic training system - JM06B</v>
      </c>
      <c r="C242" t="str">
        <f>"New"</f>
        <v>New</v>
      </c>
    </row>
    <row r="243" spans="1:3" ht="18" customHeight="1">
      <c r="A243" t="str">
        <f>"00-5604-0000"</f>
        <v>00-5604-0000</v>
      </c>
      <c r="B243" t="str">
        <f>"Electrical Transmission Training System - JM07"</f>
        <v>Electrical Transmission Training System - JM07</v>
      </c>
      <c r="C243" t="str">
        <f>"New"</f>
        <v>New</v>
      </c>
    </row>
    <row r="244" spans="1:3" ht="18" customHeight="1">
      <c r="A244" t="str">
        <f>"00-5605-0000"</f>
        <v>00-5605-0000</v>
      </c>
      <c r="B244" t="str">
        <f>"PLC Training System - JM08"</f>
        <v>PLC Training System - JM08</v>
      </c>
      <c r="C244" t="str">
        <f>"New"</f>
        <v>New</v>
      </c>
    </row>
    <row r="245" spans="1:3" ht="18" customHeight="1">
      <c r="A245" t="str">
        <f>"00-5701-0000"</f>
        <v>00-5701-0000</v>
      </c>
      <c r="B245" t="str">
        <f>"Mechatronics Learning Environment"</f>
        <v>Mechatronics Learning Environment</v>
      </c>
      <c r="C245" t="str">
        <f>"Not for sale"</f>
        <v>Not for sale</v>
      </c>
    </row>
    <row r="246" spans="1:3" ht="18" customHeight="1">
      <c r="A246" t="str">
        <f>"00-5702-0000"</f>
        <v>00-5702-0000</v>
      </c>
      <c r="B246" t="str">
        <f>"Transparent Hydraulic components"</f>
        <v>Transparent Hydraulic components</v>
      </c>
      <c r="C246" t="str">
        <f>"Not for sale"</f>
        <v>Not for sale</v>
      </c>
    </row>
    <row r="247" spans="1:3" ht="18" customHeight="1">
      <c r="A247" t="str">
        <f>"00-5801-0001"</f>
        <v>00-5801-0001</v>
      </c>
      <c r="B247" t="str">
        <f>"SmartHome Trainer Kit (Smart Classroom)"</f>
        <v>SmartHome Trainer Kit (Smart Classroom)</v>
      </c>
      <c r="C247" t="str">
        <f t="shared" ref="C247:C253" si="12">"Active"</f>
        <v>Active</v>
      </c>
    </row>
    <row r="248" spans="1:3" ht="18" customHeight="1">
      <c r="A248" t="str">
        <f>"00-5801-0002"</f>
        <v>00-5801-0002</v>
      </c>
      <c r="B248" t="str">
        <f>"SmartHome Trainer Kit (Suitcase)"</f>
        <v>SmartHome Trainer Kit (Suitcase)</v>
      </c>
      <c r="C248" t="str">
        <f t="shared" si="12"/>
        <v>Active</v>
      </c>
    </row>
    <row r="249" spans="1:3" ht="18" customHeight="1">
      <c r="A249" t="str">
        <f>"00-5801-0003"</f>
        <v>00-5801-0003</v>
      </c>
      <c r="B249" t="str">
        <f>"SmartHome Training Material (Installer)"</f>
        <v>SmartHome Training Material (Installer)</v>
      </c>
      <c r="C249" t="str">
        <f t="shared" si="12"/>
        <v>Active</v>
      </c>
    </row>
    <row r="250" spans="1:3" ht="18" customHeight="1">
      <c r="A250" t="str">
        <f>"00-5801-0004"</f>
        <v>00-5801-0004</v>
      </c>
      <c r="B250" t="str">
        <f>"SmartHome Training Material (Programmer)"</f>
        <v>SmartHome Training Material (Programmer)</v>
      </c>
      <c r="C250" t="str">
        <f t="shared" si="12"/>
        <v>Active</v>
      </c>
    </row>
    <row r="251" spans="1:3" ht="18" customHeight="1">
      <c r="A251" t="str">
        <f>"00-5N60-0110"</f>
        <v>00-5N60-0110</v>
      </c>
      <c r="B251" t="str">
        <f>"CNC BenchMILL 6000, 110 VAC (NFPA)"</f>
        <v>CNC BenchMILL 6000, 110 VAC (NFPA)</v>
      </c>
      <c r="C251" t="str">
        <f t="shared" si="12"/>
        <v>Active</v>
      </c>
    </row>
    <row r="252" spans="1:3" ht="18" customHeight="1">
      <c r="A252" t="str">
        <f>"00-5N60-0220"</f>
        <v>00-5N60-0220</v>
      </c>
      <c r="B252" t="str">
        <f>"CNC BenchMILL 6000, 220 VAC (NFPA)"</f>
        <v>CNC BenchMILL 6000, 220 VAC (NFPA)</v>
      </c>
      <c r="C252" t="str">
        <f t="shared" si="12"/>
        <v>Active</v>
      </c>
    </row>
    <row r="253" spans="1:3" ht="18" customHeight="1">
      <c r="A253" t="str">
        <f>"00-5N70-0110"</f>
        <v>00-5N70-0110</v>
      </c>
      <c r="B253" t="str">
        <f>"CNC BenchTURN 7000, 110 VAC (NFPA)"</f>
        <v>CNC BenchTURN 7000, 110 VAC (NFPA)</v>
      </c>
      <c r="C253" t="str">
        <f t="shared" si="12"/>
        <v>Active</v>
      </c>
    </row>
    <row r="254" spans="1:3" ht="18" customHeight="1">
      <c r="A254" t="str">
        <f>"00-6627-0000"</f>
        <v>00-6627-0000</v>
      </c>
      <c r="B254" t="str">
        <f>"Prec.Pneu.Vise for SLT mi PNU-4707,10-4707-0000,"</f>
        <v>Prec.Pneu.Vise for SLT mi PNU-4707,10-4707-0000,</v>
      </c>
      <c r="C254" t="str">
        <f t="shared" ref="C254:C276" si="13">"Inactive"</f>
        <v>Inactive</v>
      </c>
    </row>
    <row r="255" spans="1:3" ht="18" customHeight="1">
      <c r="A255" t="str">
        <f>"00-7111-0000"</f>
        <v>00-7111-0000</v>
      </c>
      <c r="B255" t="str">
        <f>"H/W for LMate Lab 230V CNC Mill  PLM 1000 Metric"</f>
        <v>H/W for LMate Lab 230V CNC Mill  PLM 1000 Metric</v>
      </c>
      <c r="C255" t="str">
        <f t="shared" si="13"/>
        <v>Inactive</v>
      </c>
    </row>
    <row r="256" spans="1:3" ht="18" customHeight="1">
      <c r="A256" t="str">
        <f>"00-7112-0000"</f>
        <v>00-7112-0000</v>
      </c>
      <c r="B256" t="str">
        <f>"H/W for LMate Lab 230V CNC Mill SLM 0200 Metric"</f>
        <v>H/W for LMate Lab 230V CNC Mill SLM 0200 Metric</v>
      </c>
      <c r="C256" t="str">
        <f t="shared" si="13"/>
        <v>Inactive</v>
      </c>
    </row>
    <row r="257" spans="1:3" ht="18" customHeight="1">
      <c r="A257" t="str">
        <f>"00-7114-0000"</f>
        <v>00-7114-0000</v>
      </c>
      <c r="B257" t="str">
        <f>"H/W for LMate Lab 230V CNC Turning  PLT 3000"</f>
        <v>H/W for LMate Lab 230V CNC Turning  PLT 3000</v>
      </c>
      <c r="C257" t="str">
        <f t="shared" si="13"/>
        <v>Inactive</v>
      </c>
    </row>
    <row r="258" spans="1:3" ht="18" customHeight="1">
      <c r="A258" t="str">
        <f>"00-7115-0000"</f>
        <v>00-7115-0000</v>
      </c>
      <c r="B258" t="str">
        <f>"H/W for LMate Lab 230V CNC Turn SLT 0400"</f>
        <v>H/W for LMate Lab 230V CNC Turn SLT 0400</v>
      </c>
      <c r="C258" t="str">
        <f t="shared" si="13"/>
        <v>Inactive</v>
      </c>
    </row>
    <row r="259" spans="1:3" ht="18" customHeight="1">
      <c r="A259" t="str">
        <f>"00-7116-0000"</f>
        <v>00-7116-0000</v>
      </c>
      <c r="B259" t="str">
        <f>"H/W for LMate Lab  230V Electrical  Systems"</f>
        <v>H/W for LMate Lab  230V Electrical  Systems</v>
      </c>
      <c r="C259" t="str">
        <f t="shared" si="13"/>
        <v>Inactive</v>
      </c>
    </row>
    <row r="260" spans="1:3" ht="18" customHeight="1">
      <c r="A260" t="str">
        <f>"00-7117-0000"</f>
        <v>00-7117-0000</v>
      </c>
      <c r="B260" t="str">
        <f>"H/W - LMate Lab Metric Mechanical Measurement QC"</f>
        <v>H/W - LMate Lab Metric Mechanical Measurement QC</v>
      </c>
      <c r="C260" t="str">
        <f t="shared" si="13"/>
        <v>Inactive</v>
      </c>
    </row>
    <row r="261" spans="1:3" ht="18" customHeight="1">
      <c r="A261" t="str">
        <f>"00-7118-0000"</f>
        <v>00-7118-0000</v>
      </c>
      <c r="B261" t="str">
        <f>"H/W for LMate Lab Mechanisms"</f>
        <v>H/W for LMate Lab Mechanisms</v>
      </c>
      <c r="C261" t="str">
        <f t="shared" si="13"/>
        <v>Inactive</v>
      </c>
    </row>
    <row r="262" spans="1:3" ht="18" customHeight="1">
      <c r="A262" t="str">
        <f>"00-7119-0000"</f>
        <v>00-7119-0000</v>
      </c>
      <c r="B262" t="str">
        <f>"H/W for LMate Lab 230V Plastics Tech (thermo)"</f>
        <v>H/W for LMate Lab 230V Plastics Tech (thermo)</v>
      </c>
      <c r="C262" t="str">
        <f t="shared" si="13"/>
        <v>Inactive</v>
      </c>
    </row>
    <row r="263" spans="1:3" ht="18" customHeight="1">
      <c r="A263" t="str">
        <f>"00-7121-0000"</f>
        <v>00-7121-0000</v>
      </c>
      <c r="B263" t="str">
        <f>"H/W for LMate Lab 230V Hydraulics Technology 1"</f>
        <v>H/W for LMate Lab 230V Hydraulics Technology 1</v>
      </c>
      <c r="C263" t="str">
        <f t="shared" si="13"/>
        <v>Inactive</v>
      </c>
    </row>
    <row r="264" spans="1:3" ht="18" customHeight="1">
      <c r="A264" t="str">
        <f>"00-7122-0000"</f>
        <v>00-7122-0000</v>
      </c>
      <c r="B264" t="str">
        <f>"H/W for LMate Lab 230V FMS ER4U &amp; SLM0200 Metric"</f>
        <v>H/W for LMate Lab 230V FMS ER4U &amp; SLM0200 Metric</v>
      </c>
      <c r="C264" t="str">
        <f t="shared" si="13"/>
        <v>Inactive</v>
      </c>
    </row>
    <row r="265" spans="1:3" ht="18" customHeight="1">
      <c r="A265" t="str">
        <f>"00-7123-0000"</f>
        <v>00-7123-0000</v>
      </c>
      <c r="B265" t="str">
        <f>"H/W for LMate Lab 230V PLC Technology 1 W/SLC500"</f>
        <v>H/W for LMate Lab 230V PLC Technology 1 W/SLC500</v>
      </c>
      <c r="C265" t="str">
        <f t="shared" si="13"/>
        <v>Inactive</v>
      </c>
    </row>
    <row r="266" spans="1:3" ht="18" customHeight="1">
      <c r="A266" t="str">
        <f>"00-7124-0000"</f>
        <v>00-7124-0000</v>
      </c>
      <c r="B266" t="str">
        <f>"H/W for LMate Lab PLC Technology 1  w/M.Logix"</f>
        <v>H/W for LMate Lab PLC Technology 1  w/M.Logix</v>
      </c>
      <c r="C266" t="str">
        <f t="shared" si="13"/>
        <v>Inactive</v>
      </c>
    </row>
    <row r="267" spans="1:3" ht="18" customHeight="1">
      <c r="A267" t="str">
        <f>"00-7127-0000"</f>
        <v>00-7127-0000</v>
      </c>
      <c r="B267" t="str">
        <f>"H/W for LMate Lab Pneumatics Technology 1"</f>
        <v>H/W for LMate Lab Pneumatics Technology 1</v>
      </c>
      <c r="C267" t="str">
        <f t="shared" si="13"/>
        <v>Inactive</v>
      </c>
    </row>
    <row r="268" spans="1:3" ht="18" customHeight="1">
      <c r="A268" t="str">
        <f>"00-7128-0000"</f>
        <v>00-7128-0000</v>
      </c>
      <c r="B268" t="str">
        <f>"H/W for LMate Lab Pneumatics Technology 2"</f>
        <v>H/W for LMate Lab Pneumatics Technology 2</v>
      </c>
      <c r="C268" t="str">
        <f t="shared" si="13"/>
        <v>Inactive</v>
      </c>
    </row>
    <row r="269" spans="1:3" ht="18" customHeight="1">
      <c r="A269" t="str">
        <f>"00-7129-0000"</f>
        <v>00-7129-0000</v>
      </c>
      <c r="B269" t="str">
        <f>"H/W for LMate Lab Pneumatics Technology 3"</f>
        <v>H/W for LMate Lab Pneumatics Technology 3</v>
      </c>
      <c r="C269" t="str">
        <f t="shared" si="13"/>
        <v>Inactive</v>
      </c>
    </row>
    <row r="270" spans="1:3" ht="18" customHeight="1">
      <c r="A270" t="str">
        <f>"00-7130-0000"</f>
        <v>00-7130-0000</v>
      </c>
      <c r="B270" t="str">
        <f>"H/W for LMate Lab RMH 1 with ER4U"</f>
        <v>H/W for LMate Lab RMH 1 with ER4U</v>
      </c>
      <c r="C270" t="str">
        <f t="shared" si="13"/>
        <v>Inactive</v>
      </c>
    </row>
    <row r="271" spans="1:3" ht="18" customHeight="1">
      <c r="A271" t="str">
        <f>"00-7131-0000"</f>
        <v>00-7131-0000</v>
      </c>
      <c r="B271" t="str">
        <f>"H/W for LMate Lab Sensor Technology"</f>
        <v>H/W for LMate Lab Sensor Technology</v>
      </c>
      <c r="C271" t="str">
        <f t="shared" si="13"/>
        <v>Inactive</v>
      </c>
    </row>
    <row r="272" spans="1:3" ht="18" customHeight="1">
      <c r="A272" t="str">
        <f>"00-7132-0000"</f>
        <v>00-7132-0000</v>
      </c>
      <c r="B272" t="str">
        <f>"H/W for LMate Lab Machine Vision &amp; QC"</f>
        <v>H/W for LMate Lab Machine Vision &amp; QC</v>
      </c>
      <c r="C272" t="str">
        <f t="shared" si="13"/>
        <v>Inactive</v>
      </c>
    </row>
    <row r="273" spans="1:3" ht="18" customHeight="1">
      <c r="A273" t="str">
        <f>"00-7133-0000"</f>
        <v>00-7133-0000</v>
      </c>
      <c r="B273" t="str">
        <f>"H/W for LMate Lab Hydraulics Technology 2"</f>
        <v>H/W for LMate Lab Hydraulics Technology 2</v>
      </c>
      <c r="C273" t="str">
        <f t="shared" si="13"/>
        <v>Inactive</v>
      </c>
    </row>
    <row r="274" spans="1:3" ht="18" customHeight="1">
      <c r="A274" t="str">
        <f>"00-7134-0000"</f>
        <v>00-7134-0000</v>
      </c>
      <c r="B274" t="str">
        <f>"H/W for LMate Lab Materials Test ( Buster II )"</f>
        <v>H/W for LMate Lab Materials Test ( Buster II )</v>
      </c>
      <c r="C274" t="str">
        <f t="shared" si="13"/>
        <v>Inactive</v>
      </c>
    </row>
    <row r="275" spans="1:3" ht="18" customHeight="1">
      <c r="A275" t="str">
        <f>"00-7135-0000"</f>
        <v>00-7135-0000</v>
      </c>
      <c r="B275" t="str">
        <f>"H/W for LMate Lab 230V Automated Welding W/ ER4U"</f>
        <v>H/W for LMate Lab 230V Automated Welding W/ ER4U</v>
      </c>
      <c r="C275" t="str">
        <f t="shared" si="13"/>
        <v>Inactive</v>
      </c>
    </row>
    <row r="276" spans="1:3" ht="18" customHeight="1">
      <c r="A276" t="str">
        <f>"00-7136-0000"</f>
        <v>00-7136-0000</v>
      </c>
      <c r="B276" t="str">
        <f>"H/W for LMate Lab 230V CNC eXpert mill VMC-0600"</f>
        <v>H/W for LMate Lab 230V CNC eXpert mill VMC-0600</v>
      </c>
      <c r="C276" t="str">
        <f t="shared" si="13"/>
        <v>Inactive</v>
      </c>
    </row>
    <row r="277" spans="1:3" ht="18" customHeight="1">
      <c r="A277" t="str">
        <f>"00-7401-0000"</f>
        <v>00-7401-0000</v>
      </c>
      <c r="B277" t="str">
        <f>"Polystyrene Sheets700433 Thermoforming Unit"</f>
        <v>Polystyrene Sheets700433 Thermoforming Unit</v>
      </c>
      <c r="C277" t="str">
        <f t="shared" ref="C277:C285" si="14">"Active"</f>
        <v>Active</v>
      </c>
    </row>
    <row r="278" spans="1:3" ht="18" customHeight="1">
      <c r="A278" t="str">
        <f>"00-7402-0000"</f>
        <v>00-7402-0000</v>
      </c>
      <c r="B278" t="str">
        <f>"Polystyrene Sheets700434 Thermoforming Unit"</f>
        <v>Polystyrene Sheets700434 Thermoforming Unit</v>
      </c>
      <c r="C278" t="str">
        <f t="shared" si="14"/>
        <v>Active</v>
      </c>
    </row>
    <row r="279" spans="1:3" ht="18" customHeight="1">
      <c r="A279" t="str">
        <f>"00-7403-0000"</f>
        <v>00-7403-0000</v>
      </c>
      <c r="B279" t="str">
        <f>"Cast acryilic Sheets700435 Thermoforming Unit"</f>
        <v>Cast acryilic Sheets700435 Thermoforming Unit</v>
      </c>
      <c r="C279" t="str">
        <f t="shared" si="14"/>
        <v>Active</v>
      </c>
    </row>
    <row r="280" spans="1:3" ht="18" customHeight="1">
      <c r="A280" t="str">
        <f>"00-7404-0000"</f>
        <v>00-7404-0000</v>
      </c>
      <c r="B280" t="str">
        <f>"Cast acryilic Sheets700436 Thermoforming Unit"</f>
        <v>Cast acryilic Sheets700436 Thermoforming Unit</v>
      </c>
      <c r="C280" t="str">
        <f t="shared" si="14"/>
        <v>Active</v>
      </c>
    </row>
    <row r="281" spans="1:3" ht="18" customHeight="1">
      <c r="A281" t="str">
        <f>"00-7405-0000"</f>
        <v>00-7405-0000</v>
      </c>
      <c r="B281" t="str">
        <f>"Polypropylene Sheets700438 Thermoforming Unit"</f>
        <v>Polypropylene Sheets700438 Thermoforming Unit</v>
      </c>
      <c r="C281" t="str">
        <f t="shared" si="14"/>
        <v>Active</v>
      </c>
    </row>
    <row r="282" spans="1:3" ht="18" customHeight="1">
      <c r="A282" t="str">
        <f>"00-7406-0000"</f>
        <v>00-7406-0000</v>
      </c>
      <c r="B282" t="str">
        <f>"VaccumForming (racer car700439 Thermoform. Unit"</f>
        <v>VaccumForming (racer car700439 Thermoform. Unit</v>
      </c>
      <c r="C282" t="str">
        <f t="shared" si="14"/>
        <v>Active</v>
      </c>
    </row>
    <row r="283" spans="1:3" ht="18" customHeight="1">
      <c r="A283" t="str">
        <f>"00-7407-0000"</f>
        <v>00-7407-0000</v>
      </c>
      <c r="B283" t="str">
        <f>"Vacuum Forming (Desk Orga700440 Thermoform. Unit"</f>
        <v>Vacuum Forming (Desk Orga700440 Thermoform. Unit</v>
      </c>
      <c r="C283" t="str">
        <f t="shared" si="14"/>
        <v>Active</v>
      </c>
    </row>
    <row r="284" spans="1:3" ht="18" customHeight="1">
      <c r="A284" t="str">
        <f>"00-7408-0000"</f>
        <v>00-7408-0000</v>
      </c>
      <c r="B284" t="str">
        <f>"Vise Grip700441 Thermoforming Unit"</f>
        <v>Vise Grip700441 Thermoforming Unit</v>
      </c>
      <c r="C284" t="str">
        <f t="shared" si="14"/>
        <v>Active</v>
      </c>
    </row>
    <row r="285" spans="1:3" ht="18" customHeight="1">
      <c r="A285" t="str">
        <f>"00-7409-0000"</f>
        <v>00-7409-0000</v>
      </c>
      <c r="B285" t="str">
        <f>"Hex Head Screw700442 Thermoforming Unit"</f>
        <v>Hex Head Screw700442 Thermoforming Unit</v>
      </c>
      <c r="C285" t="str">
        <f t="shared" si="14"/>
        <v>Active</v>
      </c>
    </row>
    <row r="286" spans="1:3" ht="18" customHeight="1">
      <c r="A286" t="str">
        <f>"00-7411-0000"</f>
        <v>00-7411-0000</v>
      </c>
      <c r="B286" t="str">
        <f>"Thermoformig Sign703022 Thermoforming Unit"</f>
        <v>Thermoformig Sign703022 Thermoforming Unit</v>
      </c>
      <c r="C286" t="str">
        <f>"Inactive"</f>
        <v>Inactive</v>
      </c>
    </row>
    <row r="287" spans="1:3" ht="18" customHeight="1">
      <c r="A287" t="str">
        <f>"00-7412-0000"</f>
        <v>00-7412-0000</v>
      </c>
      <c r="B287" t="str">
        <f>"Polyethylene Powder4 lbs # 700403"</f>
        <v>Polyethylene Powder4 lbs # 700403</v>
      </c>
      <c r="C287" t="str">
        <f>"Active"</f>
        <v>Active</v>
      </c>
    </row>
    <row r="288" spans="1:3" ht="18" customHeight="1">
      <c r="A288" t="str">
        <f>"00-7413-0000"</f>
        <v>00-7413-0000</v>
      </c>
      <c r="B288" t="str">
        <f>"Polystyrene Granules6 lbs. # 700404"</f>
        <v>Polystyrene Granules6 lbs. # 700404</v>
      </c>
      <c r="C288" t="str">
        <f>"Active"</f>
        <v>Active</v>
      </c>
    </row>
    <row r="289" spans="1:3" ht="18" customHeight="1">
      <c r="A289" t="str">
        <f>"00-M105-E220"</f>
        <v>00-M105-E220</v>
      </c>
      <c r="B289" t="str">
        <f>"EMCO Concept MILL 105 bundle"</f>
        <v>EMCO Concept MILL 105 bundle</v>
      </c>
      <c r="C289" t="str">
        <f>"Active"</f>
        <v>Active</v>
      </c>
    </row>
    <row r="290" spans="1:3" ht="18" customHeight="1">
      <c r="A290" t="str">
        <f>"00-ME10-0000"</f>
        <v>00-ME10-0000</v>
      </c>
      <c r="B290" t="str">
        <f>"Assembly, JM, Mechanical Two-Student Add-on,120V"</f>
        <v>Assembly, JM, Mechanical Two-Student Add-on,120V</v>
      </c>
      <c r="C290" t="str">
        <f>"Active"</f>
        <v>Active</v>
      </c>
    </row>
    <row r="291" spans="1:3" ht="18" customHeight="1">
      <c r="A291" t="str">
        <f>"00-ME10-0002"</f>
        <v>00-ME10-0002</v>
      </c>
      <c r="B291" t="str">
        <f>"Assembly, JM, Mechanical Two-Student Add-on,220V"</f>
        <v>Assembly, JM, Mechanical Two-Student Add-on,220V</v>
      </c>
      <c r="C291" t="str">
        <f>"Active"</f>
        <v>Active</v>
      </c>
    </row>
    <row r="292" spans="1:3" ht="18" customHeight="1">
      <c r="A292" t="str">
        <f>"00-ME10-1000"</f>
        <v>00-ME10-1000</v>
      </c>
      <c r="B292" t="str">
        <f>"Assembly, JM, Mechanical Training Bench, 120V"</f>
        <v>Assembly, JM, Mechanical Training Bench, 120V</v>
      </c>
      <c r="C292" t="str">
        <f>"ECO-N2Buy"</f>
        <v>ECO-N2Buy</v>
      </c>
    </row>
    <row r="293" spans="1:3" ht="18" customHeight="1">
      <c r="A293" t="str">
        <f>"00-ME10-1002"</f>
        <v>00-ME10-1002</v>
      </c>
      <c r="B293" t="str">
        <f>"Assembly, JM, Mechanical Training Bench, 220V"</f>
        <v>Assembly, JM, Mechanical Training Bench, 220V</v>
      </c>
      <c r="C293" t="str">
        <f t="shared" ref="C293:C300" si="15">"Active"</f>
        <v>Active</v>
      </c>
    </row>
    <row r="294" spans="1:3" ht="18" customHeight="1">
      <c r="A294" t="str">
        <f>"00-ME11-1000"</f>
        <v>00-ME11-1000</v>
      </c>
      <c r="B294" t="str">
        <f>"Assembly, JM, Add-on, Laser Alignment Tools"</f>
        <v>Assembly, JM, Add-on, Laser Alignment Tools</v>
      </c>
      <c r="C294" t="str">
        <f t="shared" si="15"/>
        <v>Active</v>
      </c>
    </row>
    <row r="295" spans="1:3" ht="18" customHeight="1">
      <c r="A295" t="str">
        <f>"00-ME12-1000"</f>
        <v>00-ME12-1000</v>
      </c>
      <c r="B295" t="str">
        <f>"Assembly, JM, Add-on, Vibration Analysis Tools"</f>
        <v>Assembly, JM, Add-on, Vibration Analysis Tools</v>
      </c>
      <c r="C295" t="str">
        <f t="shared" si="15"/>
        <v>Active</v>
      </c>
    </row>
    <row r="296" spans="1:3" ht="18" customHeight="1">
      <c r="A296" t="str">
        <f>"00-ME13-0000"</f>
        <v>00-ME13-0000</v>
      </c>
      <c r="B296" t="str">
        <f>"Assembly, JM, Bearing Two-Student Add-on, 120V"</f>
        <v>Assembly, JM, Bearing Two-Student Add-on, 120V</v>
      </c>
      <c r="C296" t="str">
        <f t="shared" si="15"/>
        <v>Active</v>
      </c>
    </row>
    <row r="297" spans="1:3" ht="18" customHeight="1">
      <c r="A297" t="str">
        <f>"00-ME13-0002"</f>
        <v>00-ME13-0002</v>
      </c>
      <c r="B297" t="str">
        <f>"Assembly, JM, Bearing Two-Student Add-on, 220V"</f>
        <v>Assembly, JM, Bearing Two-Student Add-on, 220V</v>
      </c>
      <c r="C297" t="str">
        <f t="shared" si="15"/>
        <v>Active</v>
      </c>
    </row>
    <row r="298" spans="1:3" ht="18" customHeight="1">
      <c r="A298" t="str">
        <f>"00-ME13-1000"</f>
        <v>00-ME13-1000</v>
      </c>
      <c r="B298" t="str">
        <f>"Assembly, JM, Bearing Service Cart, 120V"</f>
        <v>Assembly, JM, Bearing Service Cart, 120V</v>
      </c>
      <c r="C298" t="str">
        <f t="shared" si="15"/>
        <v>Active</v>
      </c>
    </row>
    <row r="299" spans="1:3" ht="18" customHeight="1">
      <c r="A299" t="str">
        <f>"00-ME13-1002"</f>
        <v>00-ME13-1002</v>
      </c>
      <c r="B299" t="str">
        <f>"Assembly, JM, Bearing Service Cart, 220V"</f>
        <v>Assembly, JM, Bearing Service Cart, 220V</v>
      </c>
      <c r="C299" t="str">
        <f t="shared" si="15"/>
        <v>Active</v>
      </c>
    </row>
    <row r="300" spans="1:3" ht="18" customHeight="1">
      <c r="A300" t="str">
        <f>"00-T105-E220"</f>
        <v>00-T105-E220</v>
      </c>
      <c r="B300" t="str">
        <f>"EMCO Concept TURN 105 bundle"</f>
        <v>EMCO Concept TURN 105 bundle</v>
      </c>
      <c r="C300" t="str">
        <f t="shared" si="15"/>
        <v>Active</v>
      </c>
    </row>
    <row r="301" spans="1:3" ht="18" customHeight="1">
      <c r="A301" t="str">
        <f>"000"</f>
        <v>000</v>
      </c>
      <c r="B301" t="str">
        <f>"general part"</f>
        <v>general part</v>
      </c>
      <c r="C301" t="str">
        <f>"Inactive"</f>
        <v>Inactive</v>
      </c>
    </row>
    <row r="302" spans="1:3" ht="18" customHeight="1">
      <c r="A302" t="str">
        <f>"0000"</f>
        <v>0000</v>
      </c>
      <c r="B302" t="str">
        <f>"general part"</f>
        <v>general part</v>
      </c>
      <c r="C302" t="str">
        <f>"Active"</f>
        <v>Active</v>
      </c>
    </row>
    <row r="303" spans="1:3" ht="18" customHeight="1">
      <c r="A303" t="str">
        <f>"0001"</f>
        <v>0001</v>
      </c>
      <c r="B303" t="str">
        <f>"general part no tax"</f>
        <v>general part no tax</v>
      </c>
      <c r="C303" t="str">
        <f>"Active"</f>
        <v>Active</v>
      </c>
    </row>
    <row r="304" spans="1:3" ht="18" customHeight="1">
      <c r="A304" t="str">
        <f>"0003"</f>
        <v>0003</v>
      </c>
      <c r="B304" t="str">
        <f>"I/O BOX, PC 2400"</f>
        <v>I/O BOX, PC 2400</v>
      </c>
      <c r="C304" t="str">
        <f>"New"</f>
        <v>New</v>
      </c>
    </row>
    <row r="305" spans="1:3" ht="18" customHeight="1">
      <c r="A305" t="str">
        <f>"0004"</f>
        <v>0004</v>
      </c>
      <c r="B305" t="str">
        <f>"Switch Push-button, 2NO +2NC Red"</f>
        <v>Switch Push-button, 2NO +2NC Red</v>
      </c>
      <c r="C305" t="str">
        <f>"New"</f>
        <v>New</v>
      </c>
    </row>
    <row r="306" spans="1:3" ht="18" customHeight="1">
      <c r="A306" t="str">
        <f>"0005"</f>
        <v>0005</v>
      </c>
      <c r="B306" t="str">
        <f>"Head Plast. Bearing  2""  8330055,Polyamide Black"</f>
        <v>Head Plast. Bearing  2"  8330055,Polyamide Black</v>
      </c>
      <c r="C306" t="str">
        <f>"New"</f>
        <v>New</v>
      </c>
    </row>
    <row r="307" spans="1:3" ht="18" customHeight="1">
      <c r="A307" t="str">
        <f>"0006"</f>
        <v>0006</v>
      </c>
      <c r="B307" t="str">
        <f>"Stand for Camera, RobotGuide. h=1 ,L=0.4m"</f>
        <v>Stand for Camera, RobotGuide. h=1 ,L=0.4m</v>
      </c>
      <c r="C307" t="str">
        <f>"New"</f>
        <v>New</v>
      </c>
    </row>
    <row r="308" spans="1:3" ht="18" customHeight="1">
      <c r="A308" t="str">
        <f>"0007"</f>
        <v>0007</v>
      </c>
      <c r="B308" t="str">
        <f>"PneuFlex 1 - Pneumatic Trainer w T-slot panel"</f>
        <v>PneuFlex 1 - Pneumatic Trainer w T-slot panel</v>
      </c>
      <c r="C308" t="str">
        <f>"New"</f>
        <v>New</v>
      </c>
    </row>
    <row r="309" spans="1:3" ht="18" customHeight="1">
      <c r="A309" t="str">
        <f>"001199"</f>
        <v>001199</v>
      </c>
      <c r="B309" t="str">
        <f>"/"</f>
        <v>/</v>
      </c>
      <c r="C309" t="str">
        <f>"Not for sale"</f>
        <v>Not for sale</v>
      </c>
    </row>
    <row r="310" spans="1:3" ht="18" customHeight="1">
      <c r="A310" t="str">
        <f>"001237"</f>
        <v>001237</v>
      </c>
      <c r="B310" t="str">
        <f>"EFD for Glue Dispenser TS250+transf. 110-220 v"</f>
        <v>EFD for Glue Dispenser TS250+transf. 110-220 v</v>
      </c>
      <c r="C310" t="str">
        <f t="shared" ref="C310:C328" si="16">"Active"</f>
        <v>Active</v>
      </c>
    </row>
    <row r="311" spans="1:3" ht="18" customHeight="1">
      <c r="A311" t="str">
        <f>"001240"</f>
        <v>001240</v>
      </c>
      <c r="B311" t="str">
        <f>"Screw Driver VSI 110V, FM502H &amp; 5SA-7BQ"</f>
        <v>Screw Driver VSI 110V, FM502H &amp; 5SA-7BQ</v>
      </c>
      <c r="C311" t="str">
        <f t="shared" si="16"/>
        <v>Active</v>
      </c>
    </row>
    <row r="312" spans="1:3" ht="18" customHeight="1">
      <c r="A312" t="str">
        <f>"001292"</f>
        <v>001292</v>
      </c>
      <c r="B312" t="str">
        <f>"Shelf For Mobile Workbench  580x340mm"</f>
        <v>Shelf For Mobile Workbench  580x340mm</v>
      </c>
      <c r="C312" t="str">
        <f t="shared" si="16"/>
        <v>Active</v>
      </c>
    </row>
    <row r="313" spans="1:3" ht="18" customHeight="1">
      <c r="A313" t="str">
        <f>"003022"</f>
        <v>003022</v>
      </c>
      <c r="B313" t="str">
        <f>"Sensor Line Panel"</f>
        <v>Sensor Line Panel</v>
      </c>
      <c r="C313" t="str">
        <f t="shared" si="16"/>
        <v>Active</v>
      </c>
    </row>
    <row r="314" spans="1:3" ht="18" customHeight="1">
      <c r="A314" t="str">
        <f>"010001"</f>
        <v>010001</v>
      </c>
      <c r="B314" t="str">
        <f>"Adapt. Plate for Robot ER3/ER5"</f>
        <v>Adapt. Plate for Robot ER3/ER5</v>
      </c>
      <c r="C314" t="str">
        <f t="shared" si="16"/>
        <v>Active</v>
      </c>
    </row>
    <row r="315" spans="1:3" ht="18" customHeight="1">
      <c r="A315" t="str">
        <f>"010018"</f>
        <v>010018</v>
      </c>
      <c r="B315" t="str">
        <f>"Adapter for Contr. B TP Adapter"</f>
        <v>Adapter for Contr. B TP Adapter</v>
      </c>
      <c r="C315" t="str">
        <f t="shared" si="16"/>
        <v>Active</v>
      </c>
    </row>
    <row r="316" spans="1:3" ht="18" customHeight="1">
      <c r="A316" t="str">
        <f>"010022"</f>
        <v>010022</v>
      </c>
      <c r="B316" t="str">
        <f>"Stand for TP(AC-B-PC)"</f>
        <v>Stand for TP(AC-B-PC)</v>
      </c>
      <c r="C316" t="str">
        <f t="shared" si="16"/>
        <v>Active</v>
      </c>
    </row>
    <row r="317" spans="1:3" ht="18" customHeight="1">
      <c r="A317" t="str">
        <f>"010024"</f>
        <v>010024</v>
      </c>
      <c r="B317" t="str">
        <f>"Distributor- Electrical 5 x2 Common Ports"</f>
        <v>Distributor- Electrical 5 x2 Common Ports</v>
      </c>
      <c r="C317" t="str">
        <f t="shared" si="16"/>
        <v>Active</v>
      </c>
    </row>
    <row r="318" spans="1:3" ht="18" customHeight="1">
      <c r="A318" t="str">
        <f>"010030"</f>
        <v>010030</v>
      </c>
      <c r="B318" t="str">
        <f>"Panel- Side assy. 1018x960mm,ER9/MH5 Weld"</f>
        <v>Panel- Side assy. 1018x960mm,ER9/MH5 Weld</v>
      </c>
      <c r="C318" t="str">
        <f t="shared" si="16"/>
        <v>Active</v>
      </c>
    </row>
    <row r="319" spans="1:3" ht="18" customHeight="1">
      <c r="A319" t="str">
        <f>"010031"</f>
        <v>010031</v>
      </c>
      <c r="B319" t="str">
        <f>"Door- Slide Assy. ER9/MH5 Welding Booth"</f>
        <v>Door- Slide Assy. ER9/MH5 Welding Booth</v>
      </c>
      <c r="C319" t="str">
        <f t="shared" si="16"/>
        <v>Active</v>
      </c>
    </row>
    <row r="320" spans="1:3" ht="18" customHeight="1">
      <c r="A320" t="str">
        <f>"010032"</f>
        <v>010032</v>
      </c>
      <c r="B320" t="str">
        <f>"Microswitch Door- Slide assy. Welding Booth"</f>
        <v>Microswitch Door- Slide assy. Welding Booth</v>
      </c>
      <c r="C320" t="str">
        <f t="shared" si="16"/>
        <v>Active</v>
      </c>
    </row>
    <row r="321" spans="1:3" ht="18" customHeight="1">
      <c r="A321" t="str">
        <f>"010047"</f>
        <v>010047</v>
      </c>
      <c r="B321" t="str">
        <f>"Drawer Keyboard For AMT table"</f>
        <v>Drawer Keyboard For AMT table</v>
      </c>
      <c r="C321" t="str">
        <f t="shared" si="16"/>
        <v>Active</v>
      </c>
    </row>
    <row r="322" spans="1:3" ht="18" customHeight="1">
      <c r="A322" t="str">
        <f>"010050"</f>
        <v>010050</v>
      </c>
      <c r="B322" t="str">
        <f>"Door- Right Welding Booth"</f>
        <v>Door- Right Welding Booth</v>
      </c>
      <c r="C322" t="str">
        <f t="shared" si="16"/>
        <v>Active</v>
      </c>
    </row>
    <row r="323" spans="1:3" ht="18" customHeight="1">
      <c r="A323" t="str">
        <f>"010056"</f>
        <v>010056</v>
      </c>
      <c r="B323" t="str">
        <f>"Wall mounting- Set PLCLine"</f>
        <v>Wall mounting- Set PLCLine</v>
      </c>
      <c r="C323" t="str">
        <f t="shared" si="16"/>
        <v>Active</v>
      </c>
    </row>
    <row r="324" spans="1:3" ht="18" customHeight="1">
      <c r="A324" t="str">
        <f>"010058"</f>
        <v>010058</v>
      </c>
      <c r="B324" t="str">
        <f>"Welding Gun Holder, T Welding Booth"</f>
        <v>Welding Gun Holder, T Welding Booth</v>
      </c>
      <c r="C324" t="str">
        <f t="shared" si="16"/>
        <v>Active</v>
      </c>
    </row>
    <row r="325" spans="1:3" ht="18" customHeight="1">
      <c r="A325" t="str">
        <f>"010059"</f>
        <v>010059</v>
      </c>
      <c r="B325" t="str">
        <f>"Jig for T-welding, Welding Booth"</f>
        <v>Jig for T-welding, Welding Booth</v>
      </c>
      <c r="C325" t="str">
        <f t="shared" si="16"/>
        <v>Active</v>
      </c>
    </row>
    <row r="326" spans="1:3" ht="18" customHeight="1">
      <c r="A326" t="str">
        <f>"010060"</f>
        <v>010060</v>
      </c>
      <c r="B326" t="str">
        <f>"Jig for name plates, Welding Booth"</f>
        <v>Jig for name plates, Welding Booth</v>
      </c>
      <c r="C326" t="str">
        <f t="shared" si="16"/>
        <v>Active</v>
      </c>
    </row>
    <row r="327" spans="1:3" ht="18" customHeight="1">
      <c r="A327" t="str">
        <f>"010061"</f>
        <v>010061</v>
      </c>
      <c r="B327" t="str">
        <f>"Microswitch assy.left/Right Welding"</f>
        <v>Microswitch assy.left/Right Welding</v>
      </c>
      <c r="C327" t="str">
        <f t="shared" si="16"/>
        <v>Active</v>
      </c>
    </row>
    <row r="328" spans="1:3" ht="18" customHeight="1">
      <c r="A328" t="str">
        <f>"010063"</f>
        <v>010063</v>
      </c>
      <c r="B328" t="str">
        <f>"Gun Adapter Assy.  ER4u Welding Booth"</f>
        <v>Gun Adapter Assy.  ER4u Welding Booth</v>
      </c>
      <c r="C328" t="str">
        <f t="shared" si="16"/>
        <v>Active</v>
      </c>
    </row>
    <row r="329" spans="1:3" ht="18" customHeight="1">
      <c r="A329" t="str">
        <f>"010064"</f>
        <v>010064</v>
      </c>
      <c r="B329" t="str">
        <f>"Magnetic strips- Set Welding Booth"</f>
        <v>Magnetic strips- Set Welding Booth</v>
      </c>
      <c r="C329" t="str">
        <f>"Phase Out"</f>
        <v>Phase Out</v>
      </c>
    </row>
    <row r="330" spans="1:3" ht="18" customHeight="1">
      <c r="A330" t="str">
        <f>"010072"</f>
        <v>010072</v>
      </c>
      <c r="B330" t="str">
        <f>"Magnetic strips- set  welding station"</f>
        <v>Magnetic strips- set  welding station</v>
      </c>
      <c r="C330" t="str">
        <f>"Phase Out"</f>
        <v>Phase Out</v>
      </c>
    </row>
    <row r="331" spans="1:3" ht="18" customHeight="1">
      <c r="A331" t="str">
        <f>"010085"</f>
        <v>010085</v>
      </c>
      <c r="B331" t="str">
        <f>"Panel-Side assy. 718x958mm, Welding Booth"</f>
        <v>Panel-Side assy. 718x958mm, Welding Booth</v>
      </c>
      <c r="C331" t="str">
        <f>"ECO-N2Buy"</f>
        <v>ECO-N2Buy</v>
      </c>
    </row>
    <row r="332" spans="1:3" ht="18" customHeight="1">
      <c r="A332" t="str">
        <f>"010086"</f>
        <v>010086</v>
      </c>
      <c r="B332" t="str">
        <f>"Door- Left  Welding Booth"</f>
        <v>Door- Left  Welding Booth</v>
      </c>
      <c r="C332" t="str">
        <f t="shared" ref="C332:C357" si="17">"Active"</f>
        <v>Active</v>
      </c>
    </row>
    <row r="333" spans="1:3" ht="18" customHeight="1">
      <c r="A333" t="str">
        <f>"010087"</f>
        <v>010087</v>
      </c>
      <c r="B333" t="str">
        <f>"Gun Adapter Assy. ER9/MH5 Welding Booth"</f>
        <v>Gun Adapter Assy. ER9/MH5 Welding Booth</v>
      </c>
      <c r="C333" t="str">
        <f t="shared" si="17"/>
        <v>Active</v>
      </c>
    </row>
    <row r="334" spans="1:3" ht="18" customHeight="1">
      <c r="A334" t="str">
        <f>"010092"</f>
        <v>010092</v>
      </c>
      <c r="B334" t="str">
        <f>"Template for Welding Booth"</f>
        <v>Template for Welding Booth</v>
      </c>
      <c r="C334" t="str">
        <f t="shared" si="17"/>
        <v>Active</v>
      </c>
    </row>
    <row r="335" spans="1:3" ht="18" customHeight="1">
      <c r="A335" t="str">
        <f>"010093"</f>
        <v>010093</v>
      </c>
      <c r="B335" t="str">
        <f>"Mounting Set for 2 PLCLines on Mobile JobMaster"</f>
        <v>Mounting Set for 2 PLCLines on Mobile JobMaster</v>
      </c>
      <c r="C335" t="str">
        <f t="shared" si="17"/>
        <v>Active</v>
      </c>
    </row>
    <row r="336" spans="1:3" ht="18" customHeight="1">
      <c r="A336" t="str">
        <f>"010094"</f>
        <v>010094</v>
      </c>
      <c r="B336" t="str">
        <f>"Mounting Set for 2 PneuFlex on LS200 Mobile JM"</f>
        <v>Mounting Set for 2 PneuFlex on LS200 Mobile JM</v>
      </c>
      <c r="C336" t="str">
        <f t="shared" si="17"/>
        <v>Active</v>
      </c>
    </row>
    <row r="337" spans="1:3" ht="18" customHeight="1">
      <c r="A337" t="str">
        <f>"010095"</f>
        <v>010095</v>
      </c>
      <c r="B337" t="str">
        <f>"Mounting Set for 2 HydraFlex on LS200 Mobile JM"</f>
        <v>Mounting Set for 2 HydraFlex on LS200 Mobile JM</v>
      </c>
      <c r="C337" t="str">
        <f t="shared" si="17"/>
        <v>Active</v>
      </c>
    </row>
    <row r="338" spans="1:3" ht="18" customHeight="1">
      <c r="A338" t="str">
        <f>"010096"</f>
        <v>010096</v>
      </c>
      <c r="B338" t="str">
        <f>"Safety Kit Hose Whip Restraint for HydraFlex"</f>
        <v>Safety Kit Hose Whip Restraint for HydraFlex</v>
      </c>
      <c r="C338" t="str">
        <f t="shared" si="17"/>
        <v>Active</v>
      </c>
    </row>
    <row r="339" spans="1:3" ht="18" customHeight="1">
      <c r="A339" t="str">
        <f>"010102"</f>
        <v>010102</v>
      </c>
      <c r="B339" t="str">
        <f>"High Voltage Cover kit"</f>
        <v>High Voltage Cover kit</v>
      </c>
      <c r="C339" t="str">
        <f t="shared" si="17"/>
        <v>Active</v>
      </c>
    </row>
    <row r="340" spans="1:3" ht="18" customHeight="1">
      <c r="A340" t="str">
        <f>"012007"</f>
        <v>012007</v>
      </c>
      <c r="B340" t="str">
        <f>"Set Encoder  ER4Pc/U"</f>
        <v>Set Encoder  ER4Pc/U</v>
      </c>
      <c r="C340" t="str">
        <f t="shared" si="17"/>
        <v>Active</v>
      </c>
    </row>
    <row r="341" spans="1:3" ht="18" customHeight="1">
      <c r="A341" t="str">
        <f>"012501"</f>
        <v>012501</v>
      </c>
      <c r="B341" t="str">
        <f>"CONT B (DRIVER) PULS 3 (GAL/PAL)"</f>
        <v>CONT B (DRIVER) PULS 3 (GAL/PAL)</v>
      </c>
      <c r="C341" t="str">
        <f t="shared" si="17"/>
        <v>Active</v>
      </c>
    </row>
    <row r="342" spans="1:3" ht="18" customHeight="1">
      <c r="A342" t="str">
        <f>"012504"</f>
        <v>012504</v>
      </c>
      <c r="B342" t="str">
        <f>"ER5 CONT. (MB)"</f>
        <v>ER5 CONT. (MB)</v>
      </c>
      <c r="C342" t="str">
        <f t="shared" si="17"/>
        <v>Active</v>
      </c>
    </row>
    <row r="343" spans="1:3" ht="18" customHeight="1">
      <c r="A343" t="str">
        <f>"012512"</f>
        <v>012512</v>
      </c>
      <c r="B343" t="str">
        <f>"CONT. A (MB)"</f>
        <v>CONT. A (MB)</v>
      </c>
      <c r="C343" t="str">
        <f t="shared" si="17"/>
        <v>Active</v>
      </c>
    </row>
    <row r="344" spans="1:3" ht="18" customHeight="1">
      <c r="A344" t="str">
        <f>"012521"</f>
        <v>012521</v>
      </c>
      <c r="B344" t="str">
        <f>"PLD 000 VER-DS, Controller B (MB)"</f>
        <v>PLD 000 VER-DS, Controller B (MB)</v>
      </c>
      <c r="C344" t="str">
        <f t="shared" si="17"/>
        <v>Active</v>
      </c>
    </row>
    <row r="345" spans="1:3" ht="18" customHeight="1">
      <c r="A345" t="str">
        <f>"012546"</f>
        <v>012546</v>
      </c>
      <c r="B345" t="str">
        <f>"Software for TP-USB0"</f>
        <v>Software for TP-USB0</v>
      </c>
      <c r="C345" t="str">
        <f t="shared" si="17"/>
        <v>Active</v>
      </c>
    </row>
    <row r="346" spans="1:3" ht="18" customHeight="1">
      <c r="A346" t="str">
        <f>"012549"</f>
        <v>012549</v>
      </c>
      <c r="B346" t="str">
        <f>"Software - Eprom for V-scope 100,  V-2.09 H"</f>
        <v>Software - Eprom for V-scope 100,  V-2.09 H</v>
      </c>
      <c r="C346" t="str">
        <f t="shared" si="17"/>
        <v>Active</v>
      </c>
    </row>
    <row r="347" spans="1:3" ht="18" customHeight="1">
      <c r="A347" t="str">
        <f>"012550"</f>
        <v>012550</v>
      </c>
      <c r="B347" t="str">
        <f>"Software - Eprom for V-scope 100, V-2.09 L"</f>
        <v>Software - Eprom for V-scope 100, V-2.09 L</v>
      </c>
      <c r="C347" t="str">
        <f t="shared" si="17"/>
        <v>Active</v>
      </c>
    </row>
    <row r="348" spans="1:3" ht="18" customHeight="1">
      <c r="A348" t="str">
        <f>"012551"</f>
        <v>012551</v>
      </c>
      <c r="B348" t="str">
        <f>"PIC burned TP-USB(new) PIC TQFP-44"</f>
        <v>PIC burned TP-USB(new) PIC TQFP-44</v>
      </c>
      <c r="C348" t="str">
        <f t="shared" si="17"/>
        <v>Active</v>
      </c>
    </row>
    <row r="349" spans="1:3" ht="18" customHeight="1">
      <c r="A349" t="str">
        <f>"015005"</f>
        <v>015005</v>
      </c>
      <c r="B349" t="str">
        <f>"Table- Experiment  Assembly"</f>
        <v>Table- Experiment  Assembly</v>
      </c>
      <c r="C349" t="str">
        <f t="shared" si="17"/>
        <v>Active</v>
      </c>
    </row>
    <row r="350" spans="1:3" ht="18" customHeight="1">
      <c r="A350" t="str">
        <f>"015010"</f>
        <v>015010</v>
      </c>
      <c r="B350" t="str">
        <f>"Rotary Table Assembly 24V"</f>
        <v>Rotary Table Assembly 24V</v>
      </c>
      <c r="C350" t="str">
        <f t="shared" si="17"/>
        <v>Active</v>
      </c>
    </row>
    <row r="351" spans="1:3" ht="18" customHeight="1">
      <c r="A351" t="str">
        <f>"015011"</f>
        <v>015011</v>
      </c>
      <c r="B351" t="str">
        <f>"Conveyor Assembly"</f>
        <v>Conveyor Assembly</v>
      </c>
      <c r="C351" t="str">
        <f t="shared" si="17"/>
        <v>Active</v>
      </c>
    </row>
    <row r="352" spans="1:3" ht="18" customHeight="1">
      <c r="A352" t="str">
        <f>"015012"</f>
        <v>015012</v>
      </c>
      <c r="B352" t="str">
        <f>"Open-CIM BoxMechAssembly,L=675,H=960,W=400mm"</f>
        <v>Open-CIM BoxMechAssembly,L=675,H=960,W=400mm</v>
      </c>
      <c r="C352" t="str">
        <f t="shared" si="17"/>
        <v>Active</v>
      </c>
    </row>
    <row r="353" spans="1:3" ht="18" customHeight="1">
      <c r="A353" t="str">
        <f>"015016"</f>
        <v>015016</v>
      </c>
      <c r="B353" t="str">
        <f>"Linear Guide Sys. for LSB,Lower Motor, 322x240mm"</f>
        <v>Linear Guide Sys. for LSB,Lower Motor, 322x240mm</v>
      </c>
      <c r="C353" t="str">
        <f t="shared" si="17"/>
        <v>Active</v>
      </c>
    </row>
    <row r="354" spans="1:3" ht="18" customHeight="1">
      <c r="A354" t="str">
        <f>"015017"</f>
        <v>015017</v>
      </c>
      <c r="B354" t="str">
        <f>"Table Top Al. Slotted, 1500x800mm"</f>
        <v>Table Top Al. Slotted, 1500x800mm</v>
      </c>
      <c r="C354" t="str">
        <f t="shared" si="17"/>
        <v>Active</v>
      </c>
    </row>
    <row r="355" spans="1:3" ht="18" customHeight="1">
      <c r="A355" t="str">
        <f>"015019"</f>
        <v>015019</v>
      </c>
      <c r="B355" t="str">
        <f>"Linear Guide Sys. for LSB,Upper Motor,280x240mm"</f>
        <v>Linear Guide Sys. for LSB,Upper Motor,280x240mm</v>
      </c>
      <c r="C355" t="str">
        <f t="shared" si="17"/>
        <v>Active</v>
      </c>
    </row>
    <row r="356" spans="1:3" ht="18" customHeight="1">
      <c r="A356" t="str">
        <f>"015023"</f>
        <v>015023</v>
      </c>
      <c r="B356" t="str">
        <f>"מכלול פלטה הנעה ל LSB Low Motor Encoder new"</f>
        <v>מכלול פלטה הנעה ל LSB Low Motor Encoder new</v>
      </c>
      <c r="C356" t="str">
        <f t="shared" si="17"/>
        <v>Active</v>
      </c>
    </row>
    <row r="357" spans="1:3" ht="18" customHeight="1">
      <c r="A357" t="str">
        <f>"015026"</f>
        <v>015026</v>
      </c>
      <c r="B357" t="str">
        <f>"Linear Guide System 1.8m, ScrewDriver KGT 20x20"</f>
        <v>Linear Guide System 1.8m, ScrewDriver KGT 20x20</v>
      </c>
      <c r="C357" t="str">
        <f t="shared" si="17"/>
        <v>Active</v>
      </c>
    </row>
    <row r="358" spans="1:3" ht="18" customHeight="1">
      <c r="A358" t="str">
        <f>"015027"</f>
        <v>015027</v>
      </c>
      <c r="B358" t="str">
        <f>"Linear Guide Sys., 1000, ScrewDriverKGT 20x20"</f>
        <v>Linear Guide Sys., 1000, ScrewDriverKGT 20x20</v>
      </c>
      <c r="C358" t="str">
        <f>"ECO-N2Buy"</f>
        <v>ECO-N2Buy</v>
      </c>
    </row>
    <row r="359" spans="1:3" ht="18" customHeight="1">
      <c r="A359" t="str">
        <f>"020007"</f>
        <v>020007</v>
      </c>
      <c r="B359" t="str">
        <f>"Axis Assembly, Scorbot ER4u"</f>
        <v>Axis Assembly, Scorbot ER4u</v>
      </c>
      <c r="C359" t="str">
        <f t="shared" ref="C359:C367" si="18">"Active"</f>
        <v>Active</v>
      </c>
    </row>
    <row r="360" spans="1:3" ht="18" customHeight="1">
      <c r="A360" t="str">
        <f>"020008"</f>
        <v>020008</v>
      </c>
      <c r="B360" t="str">
        <f>"Gripper - Assembly, Scorbot ER4u"</f>
        <v>Gripper - Assembly, Scorbot ER4u</v>
      </c>
      <c r="C360" t="str">
        <f t="shared" si="18"/>
        <v>Active</v>
      </c>
    </row>
    <row r="361" spans="1:3" ht="18" customHeight="1">
      <c r="A361" t="str">
        <f>"020009"</f>
        <v>020009</v>
      </c>
      <c r="B361" t="str">
        <f>"Base - Assembly, Scorbot ER4u"</f>
        <v>Base - Assembly, Scorbot ER4u</v>
      </c>
      <c r="C361" t="str">
        <f t="shared" si="18"/>
        <v>Active</v>
      </c>
    </row>
    <row r="362" spans="1:3" ht="18" customHeight="1">
      <c r="A362" t="str">
        <f>"020010"</f>
        <v>020010</v>
      </c>
      <c r="B362" t="str">
        <f>"SCORBOT-ER 7 Arm"</f>
        <v>SCORBOT-ER 7 Arm</v>
      </c>
      <c r="C362" t="str">
        <f t="shared" si="18"/>
        <v>Active</v>
      </c>
    </row>
    <row r="363" spans="1:3" ht="18" customHeight="1">
      <c r="A363" t="str">
        <f>"020012"</f>
        <v>020012</v>
      </c>
      <c r="B363" t="str">
        <f>"Gripper Plates &amp; Pads, Scorbot ER4u"</f>
        <v>Gripper Plates &amp; Pads, Scorbot ER4u</v>
      </c>
      <c r="C363" t="str">
        <f t="shared" si="18"/>
        <v>Active</v>
      </c>
    </row>
    <row r="364" spans="1:3" ht="18" customHeight="1">
      <c r="A364" t="str">
        <f>"020016"</f>
        <v>020016</v>
      </c>
      <c r="B364" t="str">
        <f>"Z &amp; Roll - Assembly,  SCORA ER14"</f>
        <v>Z &amp; Roll - Assembly,  SCORA ER14</v>
      </c>
      <c r="C364" t="str">
        <f t="shared" si="18"/>
        <v>Active</v>
      </c>
    </row>
    <row r="365" spans="1:3" ht="18" customHeight="1">
      <c r="A365" t="str">
        <f>"020021"</f>
        <v>020021</v>
      </c>
      <c r="B365" t="str">
        <f>"Shaft &amp; Gear Welded - Assembly, Scorbot  ER2u"</f>
        <v>Shaft &amp; Gear Welded - Assembly, Scorbot  ER2u</v>
      </c>
      <c r="C365" t="str">
        <f t="shared" si="18"/>
        <v>Active</v>
      </c>
    </row>
    <row r="366" spans="1:3" ht="18" customHeight="1">
      <c r="A366" t="str">
        <f>"020027"</f>
        <v>020027</v>
      </c>
      <c r="B366" t="str">
        <f>"Plates-Side Blue - Assembly, Scorbot ER4u"</f>
        <v>Plates-Side Blue - Assembly, Scorbot ER4u</v>
      </c>
      <c r="C366" t="str">
        <f t="shared" si="18"/>
        <v>Active</v>
      </c>
    </row>
    <row r="367" spans="1:3" ht="18" customHeight="1">
      <c r="A367" t="str">
        <f>"020030"</f>
        <v>020030</v>
      </c>
      <c r="B367" t="str">
        <f>"Arm - Assembly, Scorbot ER4u"</f>
        <v>Arm - Assembly, Scorbot ER4u</v>
      </c>
      <c r="C367" t="str">
        <f t="shared" si="18"/>
        <v>Active</v>
      </c>
    </row>
    <row r="368" spans="1:3" ht="18" customHeight="1">
      <c r="A368" t="str">
        <f>"020032"</f>
        <v>020032</v>
      </c>
      <c r="B368" t="str">
        <f>"Assembly ARSR72"</f>
        <v>Assembly ARSR72</v>
      </c>
      <c r="C368" t="str">
        <f>"Not for purc"</f>
        <v>Not for purc</v>
      </c>
    </row>
    <row r="369" spans="1:3" ht="18" customHeight="1">
      <c r="A369" t="str">
        <f>"020034"</f>
        <v>020034</v>
      </c>
      <c r="B369" t="str">
        <f>"Unit- End - Assembly,  Scorbot ER2u"</f>
        <v>Unit- End - Assembly,  Scorbot ER2u</v>
      </c>
      <c r="C369" t="str">
        <f t="shared" ref="C369:C374" si="19">"Active"</f>
        <v>Active</v>
      </c>
    </row>
    <row r="370" spans="1:3" ht="18" customHeight="1">
      <c r="A370" t="str">
        <f>"020035"</f>
        <v>020035</v>
      </c>
      <c r="B370" t="str">
        <f>"Arm - Assembly, Scorbot ER2u  DEPCO"</f>
        <v>Arm - Assembly, Scorbot ER2u  DEPCO</v>
      </c>
      <c r="C370" t="str">
        <f t="shared" si="19"/>
        <v>Active</v>
      </c>
    </row>
    <row r="371" spans="1:3" ht="18" customHeight="1">
      <c r="A371" t="str">
        <f>"020036"</f>
        <v>020036</v>
      </c>
      <c r="B371" t="str">
        <f>"Gripper - Assembly,  Scorbot ER2u"</f>
        <v>Gripper - Assembly,  Scorbot ER2u</v>
      </c>
      <c r="C371" t="str">
        <f t="shared" si="19"/>
        <v>Active</v>
      </c>
    </row>
    <row r="372" spans="1:3" ht="18" customHeight="1">
      <c r="A372" t="str">
        <f>"020037"</f>
        <v>020037</v>
      </c>
      <c r="B372" t="str">
        <f>"Stand ASRS-36 - Assembly"</f>
        <v>Stand ASRS-36 - Assembly</v>
      </c>
      <c r="C372" t="str">
        <f t="shared" si="19"/>
        <v>Active</v>
      </c>
    </row>
    <row r="373" spans="1:3" ht="18" customHeight="1">
      <c r="A373" t="str">
        <f>"020038"</f>
        <v>020038</v>
      </c>
      <c r="B373" t="str">
        <f>"Carriage for Profile ITEM 40mm, ASRS-36"</f>
        <v>Carriage for Profile ITEM 40mm, ASRS-36</v>
      </c>
      <c r="C373" t="str">
        <f t="shared" si="19"/>
        <v>Active</v>
      </c>
    </row>
    <row r="374" spans="1:3" ht="18" customHeight="1">
      <c r="A374" t="str">
        <f>"020039"</f>
        <v>020039</v>
      </c>
      <c r="B374" t="str">
        <f>"Structure- Assembly, ASRS-36"</f>
        <v>Structure- Assembly, ASRS-36</v>
      </c>
      <c r="C374" t="str">
        <f t="shared" si="19"/>
        <v>Active</v>
      </c>
    </row>
    <row r="375" spans="1:3" ht="18" customHeight="1">
      <c r="A375" t="str">
        <f>"020040"</f>
        <v>020040</v>
      </c>
      <c r="B375" t="str">
        <f>"Arm - Assembly, Scorbot ER2u"</f>
        <v>Arm - Assembly, Scorbot ER2u</v>
      </c>
      <c r="C375" t="str">
        <f>"ECO-Process"</f>
        <v>ECO-Process</v>
      </c>
    </row>
    <row r="376" spans="1:3" ht="18" customHeight="1">
      <c r="A376" t="str">
        <f>"020041"</f>
        <v>020041</v>
      </c>
      <c r="B376" t="str">
        <f>"Pitch &amp; Roll- Assembly, Scorbot ER9"</f>
        <v>Pitch &amp; Roll- Assembly, Scorbot ER9</v>
      </c>
      <c r="C376" t="str">
        <f>"ECO-N2Buy"</f>
        <v>ECO-N2Buy</v>
      </c>
    </row>
    <row r="377" spans="1:3" ht="18" customHeight="1">
      <c r="A377" t="str">
        <f>"020048"</f>
        <v>020048</v>
      </c>
      <c r="B377" t="str">
        <f>"Robot Mobile- Assembly, ER-400"</f>
        <v>Robot Mobile- Assembly, ER-400</v>
      </c>
      <c r="C377" t="str">
        <f>"Active"</f>
        <v>Active</v>
      </c>
    </row>
    <row r="378" spans="1:3" ht="18" customHeight="1">
      <c r="A378" t="str">
        <f>"020050"</f>
        <v>020050</v>
      </c>
      <c r="B378" t="str">
        <f>"Arm-Mechanical  Assembly, Scorbot ER9-PRO"</f>
        <v>Arm-Mechanical  Assembly, Scorbot ER9-PRO</v>
      </c>
      <c r="C378" t="str">
        <f>"ECO-N2Mnf"</f>
        <v>ECO-N2Mnf</v>
      </c>
    </row>
    <row r="379" spans="1:3" ht="18" customHeight="1">
      <c r="A379" t="str">
        <f>"020051"</f>
        <v>020051</v>
      </c>
      <c r="B379" t="str">
        <f>"Arm-Mechanical  Assembly, SCORA ER14 Pro"</f>
        <v>Arm-Mechanical  Assembly, SCORA ER14 Pro</v>
      </c>
      <c r="C379" t="str">
        <f>"Active"</f>
        <v>Active</v>
      </c>
    </row>
    <row r="380" spans="1:3" ht="18" customHeight="1">
      <c r="A380" t="str">
        <f>"021"</f>
        <v>021</v>
      </c>
      <c r="B380" t="str">
        <f>"Stand for Camera, RobotGuide. h=1 ,L=0.4m"</f>
        <v>Stand for Camera, RobotGuide. h=1 ,L=0.4m</v>
      </c>
      <c r="C380" t="str">
        <f>"New"</f>
        <v>New</v>
      </c>
    </row>
    <row r="381" spans="1:3" ht="18" customHeight="1">
      <c r="A381" t="str">
        <f>"021015"</f>
        <v>021015</v>
      </c>
      <c r="B381" t="str">
        <f>"Pin- Positioning Set,  Alum."</f>
        <v>Pin- Positioning Set,  Alum.</v>
      </c>
      <c r="C381" t="str">
        <f t="shared" ref="C381:C388" si="20">"Active"</f>
        <v>Active</v>
      </c>
    </row>
    <row r="382" spans="1:3" ht="18" customHeight="1">
      <c r="A382" t="str">
        <f>"021016"</f>
        <v>021016</v>
      </c>
      <c r="B382" t="str">
        <f>"Template &amp; Plast Pins Set"</f>
        <v>Template &amp; Plast Pins Set</v>
      </c>
      <c r="C382" t="str">
        <f t="shared" si="20"/>
        <v>Active</v>
      </c>
    </row>
    <row r="383" spans="1:3" ht="18" customHeight="1">
      <c r="A383" t="str">
        <f>"021018"</f>
        <v>021018</v>
      </c>
      <c r="B383" t="str">
        <f>"Box- Parts  Assembly, (Finished)"</f>
        <v>Box- Parts  Assembly, (Finished)</v>
      </c>
      <c r="C383" t="str">
        <f t="shared" si="20"/>
        <v>Active</v>
      </c>
    </row>
    <row r="384" spans="1:3" ht="18" customHeight="1">
      <c r="A384" t="str">
        <f>"021024"</f>
        <v>021024</v>
      </c>
      <c r="B384" t="str">
        <f>"Raw Material Set"</f>
        <v>Raw Material Set</v>
      </c>
      <c r="C384" t="str">
        <f t="shared" si="20"/>
        <v>Active</v>
      </c>
    </row>
    <row r="385" spans="1:3" ht="18" customHeight="1">
      <c r="A385" t="str">
        <f>"021031"</f>
        <v>021031</v>
      </c>
      <c r="B385" t="str">
        <f>"Buffer for Template"</f>
        <v>Buffer for Template</v>
      </c>
      <c r="C385" t="str">
        <f t="shared" si="20"/>
        <v>Active</v>
      </c>
    </row>
    <row r="386" spans="1:3" ht="18" customHeight="1">
      <c r="A386" t="str">
        <f>"021041"</f>
        <v>021041</v>
      </c>
      <c r="B386" t="str">
        <f>"Installation KIT"</f>
        <v>Installation KIT</v>
      </c>
      <c r="C386" t="str">
        <f t="shared" si="20"/>
        <v>Active</v>
      </c>
    </row>
    <row r="387" spans="1:3" ht="18" customHeight="1">
      <c r="A387" t="str">
        <f>"021045"</f>
        <v>021045</v>
      </c>
      <c r="B387" t="str">
        <f>"Mobile Mount. Tables kit,  CIM with ITEM Table"</f>
        <v>Mobile Mount. Tables kit,  CIM with ITEM Table</v>
      </c>
      <c r="C387" t="str">
        <f t="shared" si="20"/>
        <v>Active</v>
      </c>
    </row>
    <row r="388" spans="1:3" ht="18" customHeight="1">
      <c r="A388" t="str">
        <f>"021059"</f>
        <v>021059</v>
      </c>
      <c r="B388" t="str">
        <f>"Holder Kit for Teach Pendant"</f>
        <v>Holder Kit for Teach Pendant</v>
      </c>
      <c r="C388" t="str">
        <f t="shared" si="20"/>
        <v>Active</v>
      </c>
    </row>
    <row r="389" spans="1:3" ht="18" customHeight="1">
      <c r="A389" t="str">
        <f>"021060"</f>
        <v>021060</v>
      </c>
      <c r="B389" t="str">
        <f>"Adapter Mounting Plate for LSB&gt;Industrial Robots"</f>
        <v>Adapter Mounting Plate for LSB&gt;Industrial Robots</v>
      </c>
      <c r="C389" t="str">
        <f>"New"</f>
        <v>New</v>
      </c>
    </row>
    <row r="390" spans="1:3" ht="18" customHeight="1">
      <c r="A390" t="str">
        <f>"021061"</f>
        <v>021061</v>
      </c>
      <c r="B390" t="str">
        <f>"Gear set for assembly application"</f>
        <v>Gear set for assembly application</v>
      </c>
      <c r="C390" t="str">
        <f t="shared" ref="C390:C395" si="21">"Active"</f>
        <v>Active</v>
      </c>
    </row>
    <row r="391" spans="1:3" ht="18" customHeight="1">
      <c r="A391" t="str">
        <f>"021062"</f>
        <v>021062</v>
      </c>
      <c r="B391" t="str">
        <f>"Stand 150mm for assembly application"</f>
        <v>Stand 150mm for assembly application</v>
      </c>
      <c r="C391" t="str">
        <f t="shared" si="21"/>
        <v>Active</v>
      </c>
    </row>
    <row r="392" spans="1:3" ht="18" customHeight="1">
      <c r="A392" t="str">
        <f>"021141"</f>
        <v>021141</v>
      </c>
      <c r="B392" t="str">
        <f>"Axis-Single, X-Y Table/Lin.Posit."</f>
        <v>Axis-Single, X-Y Table/Lin.Posit.</v>
      </c>
      <c r="C392" t="str">
        <f t="shared" si="21"/>
        <v>Active</v>
      </c>
    </row>
    <row r="393" spans="1:3" ht="18" customHeight="1">
      <c r="A393" t="str">
        <f>"021148"</f>
        <v>021148</v>
      </c>
      <c r="B393" t="str">
        <f>"Stand ASRS-36x2 shelf's - Assembly"</f>
        <v>Stand ASRS-36x2 shelf's - Assembly</v>
      </c>
      <c r="C393" t="str">
        <f t="shared" si="21"/>
        <v>Active</v>
      </c>
    </row>
    <row r="394" spans="1:3" ht="18" customHeight="1">
      <c r="A394" t="str">
        <f>"021150"</f>
        <v>021150</v>
      </c>
      <c r="B394" t="str">
        <f>"Welding Booth assy. ER9/MH5, 1200x1100,H=1080mm"</f>
        <v>Welding Booth assy. ER9/MH5, 1200x1100,H=1080mm</v>
      </c>
      <c r="C394" t="str">
        <f t="shared" si="21"/>
        <v>Active</v>
      </c>
    </row>
    <row r="395" spans="1:3" ht="18" customHeight="1">
      <c r="A395" t="str">
        <f>"021152"</f>
        <v>021152</v>
      </c>
      <c r="B395" t="str">
        <f>"Shelf Buffer for CIM conveyor"</f>
        <v>Shelf Buffer for CIM conveyor</v>
      </c>
      <c r="C395" t="str">
        <f t="shared" si="21"/>
        <v>Active</v>
      </c>
    </row>
    <row r="396" spans="1:3" ht="18" customHeight="1">
      <c r="A396" t="str">
        <f>"021153"</f>
        <v>021153</v>
      </c>
      <c r="B396" t="str">
        <f>"PLC Siemens S7-1200"</f>
        <v>PLC Siemens S7-1200</v>
      </c>
      <c r="C396" t="str">
        <f>"New"</f>
        <v>New</v>
      </c>
    </row>
    <row r="397" spans="1:3" ht="18" customHeight="1">
      <c r="A397" t="str">
        <f>"021155"</f>
        <v>021155</v>
      </c>
      <c r="B397" t="str">
        <f>"TRANSMITTER Assembly, Light Barrier FS200"</f>
        <v>TRANSMITTER Assembly, Light Barrier FS200</v>
      </c>
      <c r="C397" t="str">
        <f t="shared" ref="C397:C403" si="22">"Active"</f>
        <v>Active</v>
      </c>
    </row>
    <row r="398" spans="1:3" ht="18" customHeight="1">
      <c r="A398" t="str">
        <f>"021156"</f>
        <v>021156</v>
      </c>
      <c r="B398" t="str">
        <f>"RECEIVER Assembly, Light Barrier FS200"</f>
        <v>RECEIVER Assembly, Light Barrier FS200</v>
      </c>
      <c r="C398" t="str">
        <f t="shared" si="22"/>
        <v>Active</v>
      </c>
    </row>
    <row r="399" spans="1:3" ht="18" customHeight="1">
      <c r="A399" t="str">
        <f>"021157"</f>
        <v>021157</v>
      </c>
      <c r="B399" t="str">
        <f>"MIRROR Assembly, Light Barrier FS200"</f>
        <v>MIRROR Assembly, Light Barrier FS200</v>
      </c>
      <c r="C399" t="str">
        <f t="shared" si="22"/>
        <v>Active</v>
      </c>
    </row>
    <row r="400" spans="1:3" ht="18" customHeight="1">
      <c r="A400" t="str">
        <f>"021159"</f>
        <v>021159</v>
      </c>
      <c r="B400" t="str">
        <f>"Shelf Double Buffer, ER Auto. Process Control"</f>
        <v>Shelf Double Buffer, ER Auto. Process Control</v>
      </c>
      <c r="C400" t="str">
        <f t="shared" si="22"/>
        <v>Active</v>
      </c>
    </row>
    <row r="401" spans="1:3" ht="18" customHeight="1">
      <c r="A401" t="str">
        <f>"021170"</f>
        <v>021170</v>
      </c>
      <c r="B401" t="str">
        <f>"Automatic Caliber Assy., Stationary+ RS232cable"</f>
        <v>Automatic Caliber Assy., Stationary+ RS232cable</v>
      </c>
      <c r="C401" t="str">
        <f t="shared" si="22"/>
        <v>Active</v>
      </c>
    </row>
    <row r="402" spans="1:3" ht="18" customHeight="1">
      <c r="A402" t="str">
        <f>"021172"</f>
        <v>021172</v>
      </c>
      <c r="B402" t="str">
        <f>"30mm Height Adapter -Rack 001110 on table 001249"</f>
        <v>30mm Height Adapter -Rack 001110 on table 001249</v>
      </c>
      <c r="C402" t="str">
        <f t="shared" si="22"/>
        <v>Active</v>
      </c>
    </row>
    <row r="403" spans="1:3" ht="18" customHeight="1">
      <c r="A403" t="str">
        <f>"021173"</f>
        <v>021173</v>
      </c>
      <c r="B403" t="str">
        <f>"Jig with 30mm Height Adapter-gluing on t.001249"</f>
        <v>Jig with 30mm Height Adapter-gluing on t.001249</v>
      </c>
      <c r="C403" t="str">
        <f t="shared" si="22"/>
        <v>Active</v>
      </c>
    </row>
    <row r="404" spans="1:3" ht="18" customHeight="1">
      <c r="A404" t="str">
        <f>"021174"</f>
        <v>021174</v>
      </c>
      <c r="B404" t="str">
        <f>"Stand for Camera, RobotGuide. h=1 ,L=0.4m"</f>
        <v>Stand for Camera, RobotGuide. h=1 ,L=0.4m</v>
      </c>
      <c r="C404" t="str">
        <f>"Phase Out"</f>
        <v>Phase Out</v>
      </c>
    </row>
    <row r="405" spans="1:3" ht="18" customHeight="1">
      <c r="A405" t="str">
        <f>"021175"</f>
        <v>021175</v>
      </c>
      <c r="B405" t="str">
        <f>"Stand for Camera CIM, h=0.4,L=0.22m - Assembly"</f>
        <v>Stand for Camera CIM, h=0.4,L=0.22m - Assembly</v>
      </c>
      <c r="C405" t="str">
        <f>"Phase Out"</f>
        <v>Phase Out</v>
      </c>
    </row>
    <row r="406" spans="1:3" ht="18" customHeight="1">
      <c r="A406" t="str">
        <f>"021177"</f>
        <v>021177</v>
      </c>
      <c r="B406" t="str">
        <f>"30mm Height Adapter -Rack 001110 on formica 19mm"</f>
        <v>30mm Height Adapter -Rack 001110 on formica 19mm</v>
      </c>
      <c r="C406" t="str">
        <f>"Active"</f>
        <v>Active</v>
      </c>
    </row>
    <row r="407" spans="1:3" ht="18" customHeight="1">
      <c r="A407" t="str">
        <f>"021178"</f>
        <v>021178</v>
      </c>
      <c r="B407" t="str">
        <f>"Stand for Camera table, h=0.4,L=0.22m"</f>
        <v>Stand for Camera table, h=0.4,L=0.22m</v>
      </c>
      <c r="C407" t="str">
        <f>"Phase Out"</f>
        <v>Phase Out</v>
      </c>
    </row>
    <row r="408" spans="1:3" ht="18" customHeight="1">
      <c r="A408" t="str">
        <f>"021179"</f>
        <v>021179</v>
      </c>
      <c r="B408" t="str">
        <f>"Stand for Camera, h=1.3m, L=0.7m,  AGV"</f>
        <v>Stand for Camera, h=1.3m, L=0.7m,  AGV</v>
      </c>
      <c r="C408" t="str">
        <f>"Phase Out"</f>
        <v>Phase Out</v>
      </c>
    </row>
    <row r="409" spans="1:3" ht="18" customHeight="1">
      <c r="A409" t="str">
        <f>"021180"</f>
        <v>021180</v>
      </c>
      <c r="B409" t="str">
        <f>"30mm Height Adapter -Rack 001110 on formica 28mm"</f>
        <v>30mm Height Adapter -Rack 001110 on formica 28mm</v>
      </c>
      <c r="C409" t="str">
        <f>"Active"</f>
        <v>Active</v>
      </c>
    </row>
    <row r="410" spans="1:3" ht="18" customHeight="1">
      <c r="A410" t="str">
        <f>"021181"</f>
        <v>021181</v>
      </c>
      <c r="B410" t="str">
        <f>"97mm Height Adapter -Rack 001110 on formica 19mm"</f>
        <v>97mm Height Adapter -Rack 001110 on formica 19mm</v>
      </c>
      <c r="C410" t="str">
        <f>"Active"</f>
        <v>Active</v>
      </c>
    </row>
    <row r="411" spans="1:3" ht="18" customHeight="1">
      <c r="A411" t="str">
        <f>"021182"</f>
        <v>021182</v>
      </c>
      <c r="B411" t="str">
        <f>"97mm Height Adapter"</f>
        <v>97mm Height Adapter</v>
      </c>
      <c r="C411" t="str">
        <f>"Active"</f>
        <v>Active</v>
      </c>
    </row>
    <row r="412" spans="1:3" ht="18" customHeight="1">
      <c r="A412" t="str">
        <f>"021202"</f>
        <v>021202</v>
      </c>
      <c r="B412" t="str">
        <f>"Table Stand for Camera C920-C, h=0.4,L=0.22m"</f>
        <v>Table Stand for Camera C920-C, h=0.4,L=0.22m</v>
      </c>
      <c r="C412" t="str">
        <f>"Active"</f>
        <v>Active</v>
      </c>
    </row>
    <row r="413" spans="1:3" ht="18" customHeight="1">
      <c r="A413" t="str">
        <f>"021206"</f>
        <v>021206</v>
      </c>
      <c r="B413" t="str">
        <f>"C920-C Camera Stand, RobotGuide, h=1m ,L=0.4m"</f>
        <v>C920-C Camera Stand, RobotGuide, h=1m ,L=0.4m</v>
      </c>
      <c r="C413" t="str">
        <f>"Active"</f>
        <v>Active</v>
      </c>
    </row>
    <row r="414" spans="1:3" ht="18" customHeight="1">
      <c r="A414" t="str">
        <f>"021210"</f>
        <v>021210</v>
      </c>
      <c r="B414" t="str">
        <f>"FREE FOR USE"</f>
        <v>FREE FOR USE</v>
      </c>
      <c r="C414" t="str">
        <f>"New"</f>
        <v>New</v>
      </c>
    </row>
    <row r="415" spans="1:3" ht="18" customHeight="1">
      <c r="A415" t="str">
        <f>"023012"</f>
        <v>023012</v>
      </c>
      <c r="B415" t="str">
        <f>"Panel PLCLine &amp; Power Supply  Assembly, 110-220V"</f>
        <v>Panel PLCLine &amp; Power Supply  Assembly, 110-220V</v>
      </c>
      <c r="C415" t="str">
        <f>"Active"</f>
        <v>Active</v>
      </c>
    </row>
    <row r="416" spans="1:3" ht="18" customHeight="1">
      <c r="A416" t="str">
        <f>"023013"</f>
        <v>023013</v>
      </c>
      <c r="B416" t="str">
        <f>"Degem Process Control, Coating System PS2800"</f>
        <v>Degem Process Control, Coating System PS2800</v>
      </c>
      <c r="C416" t="str">
        <f>"Active"</f>
        <v>Active</v>
      </c>
    </row>
    <row r="417" spans="1:3" ht="18" customHeight="1">
      <c r="A417" t="str">
        <f>"023014"</f>
        <v>023014</v>
      </c>
      <c r="B417" t="str">
        <f>"Controller with screen P/N9005 AutoAgronom Assy."</f>
        <v>Controller with screen P/N9005 AutoAgronom Assy.</v>
      </c>
      <c r="C417" t="str">
        <f>"Phase Out"</f>
        <v>Phase Out</v>
      </c>
    </row>
    <row r="418" spans="1:3" ht="18" customHeight="1">
      <c r="A418" t="str">
        <f>"025003"</f>
        <v>025003</v>
      </c>
      <c r="B418" t="str">
        <f>"Harmonic Drive Assembly -HDUF-14 (ROLL)"</f>
        <v>Harmonic Drive Assembly -HDUF-14 (ROLL)</v>
      </c>
      <c r="C418" t="str">
        <f t="shared" ref="C418:C455" si="23">"Active"</f>
        <v>Active</v>
      </c>
    </row>
    <row r="419" spans="1:3" ht="18" customHeight="1">
      <c r="A419" t="str">
        <f>"025004"</f>
        <v>025004</v>
      </c>
      <c r="B419" t="str">
        <f>"Harmonic Drive 1,2,3-Assembly,HDUR-20-160,ER9/14"</f>
        <v>Harmonic Drive 1,2,3-Assembly,HDUR-20-160,ER9/14</v>
      </c>
      <c r="C419" t="str">
        <f t="shared" si="23"/>
        <v>Active</v>
      </c>
    </row>
    <row r="420" spans="1:3" ht="18" customHeight="1">
      <c r="A420" t="str">
        <f>"025005"</f>
        <v>025005</v>
      </c>
      <c r="B420" t="str">
        <f>"Harmonic Drive 4 - Assy, HDUF-14 (Pitch-ER9pro)"</f>
        <v>Harmonic Drive 4 - Assy, HDUF-14 (Pitch-ER9pro)</v>
      </c>
      <c r="C420" t="str">
        <f t="shared" si="23"/>
        <v>Active</v>
      </c>
    </row>
    <row r="421" spans="1:3" ht="18" customHeight="1">
      <c r="A421" t="str">
        <f>"025006"</f>
        <v>025006</v>
      </c>
      <c r="B421" t="str">
        <f>"Harmonic Drive 5 - Assembly, ROLL, ER9pro"</f>
        <v>Harmonic Drive 5 - Assembly, ROLL, ER9pro</v>
      </c>
      <c r="C421" t="str">
        <f t="shared" si="23"/>
        <v>Active</v>
      </c>
    </row>
    <row r="422" spans="1:3" ht="18" customHeight="1">
      <c r="A422" t="str">
        <f>"025007"</f>
        <v>025007</v>
      </c>
      <c r="B422" t="str">
        <f>"Harmonic Drive - Assembly,  HDUF-20 ,ER14"</f>
        <v>Harmonic Drive - Assembly,  HDUF-20 ,ER14</v>
      </c>
      <c r="C422" t="str">
        <f t="shared" si="23"/>
        <v>Active</v>
      </c>
    </row>
    <row r="423" spans="1:3" ht="18" customHeight="1">
      <c r="A423" t="str">
        <f>"025206"</f>
        <v>025206</v>
      </c>
      <c r="B423" t="str">
        <f>"Valve-Pneu. Oper. Assem., Solen.24v,pipe6&amp;Magnet"</f>
        <v>Valve-Pneu. Oper. Assem., Solen.24v,pipe6&amp;Magnet</v>
      </c>
      <c r="C423" t="str">
        <f t="shared" si="23"/>
        <v>Active</v>
      </c>
    </row>
    <row r="424" spans="1:3" ht="18" customHeight="1">
      <c r="A424" t="str">
        <f>"025209"</f>
        <v>025209</v>
      </c>
      <c r="B424" t="str">
        <f>"Piston Station Pneu. -Assembly,  ESHED Conveyor"</f>
        <v>Piston Station Pneu. -Assembly,  ESHED Conveyor</v>
      </c>
      <c r="C424" t="str">
        <f t="shared" si="23"/>
        <v>Active</v>
      </c>
    </row>
    <row r="425" spans="1:3" ht="18" customHeight="1">
      <c r="A425" t="str">
        <f>"025213"</f>
        <v>025213</v>
      </c>
      <c r="B425" t="str">
        <f>"Manifold-5 Valves 6mm,  24VDC Pipe=4mm"</f>
        <v>Manifold-5 Valves 6mm,  24VDC Pipe=4mm</v>
      </c>
      <c r="C425" t="str">
        <f t="shared" si="23"/>
        <v>Active</v>
      </c>
    </row>
    <row r="426" spans="1:3" ht="18" customHeight="1">
      <c r="A426" t="str">
        <f>"025214"</f>
        <v>025214</v>
      </c>
      <c r="B426" t="str">
        <f>"Manifold 4 Solenoids 24V, Pipe=4mm"</f>
        <v>Manifold 4 Solenoids 24V, Pipe=4mm</v>
      </c>
      <c r="C426" t="str">
        <f t="shared" si="23"/>
        <v>Active</v>
      </c>
    </row>
    <row r="427" spans="1:3" ht="18" customHeight="1">
      <c r="A427" t="str">
        <f>"025215"</f>
        <v>025215</v>
      </c>
      <c r="B427" t="str">
        <f>"Vise- Pneumatic Assembly, Single Axis, 110v  CNC"</f>
        <v>Vise- Pneumatic Assembly, Single Axis, 110v  CNC</v>
      </c>
      <c r="C427" t="str">
        <f t="shared" si="23"/>
        <v>Active</v>
      </c>
    </row>
    <row r="428" spans="1:3" ht="18" customHeight="1">
      <c r="A428" t="str">
        <f>"025223"</f>
        <v>025223</v>
      </c>
      <c r="B428" t="str">
        <f>"Automatic Shield Opener for Laser Engraver, 24V"</f>
        <v>Automatic Shield Opener for Laser Engraver, 24V</v>
      </c>
      <c r="C428" t="str">
        <f t="shared" si="23"/>
        <v>Active</v>
      </c>
    </row>
    <row r="429" spans="1:3" ht="18" customHeight="1">
      <c r="A429" t="str">
        <f>"025224"</f>
        <v>025224</v>
      </c>
      <c r="B429" t="str">
        <f>"Valve-Pneu. Oper. Assembly, Solen.24v, Pipe 4mm"</f>
        <v>Valve-Pneu. Oper. Assembly, Solen.24v, Pipe 4mm</v>
      </c>
      <c r="C429" t="str">
        <f t="shared" si="23"/>
        <v>Active</v>
      </c>
    </row>
    <row r="430" spans="1:3" ht="18" customHeight="1">
      <c r="A430" t="str">
        <f>"025225"</f>
        <v>025225</v>
      </c>
      <c r="B430" t="str">
        <f>"Assy, D=25, stroke-5 -(תועצה ןיא) Double. Acting"</f>
        <v>Assy, D=25, stroke-5 -(תועצה ןיא) Double. Acting</v>
      </c>
      <c r="C430" t="str">
        <f t="shared" si="23"/>
        <v>Active</v>
      </c>
    </row>
    <row r="431" spans="1:3" ht="18" customHeight="1">
      <c r="A431" t="str">
        <f>"025226"</f>
        <v>025226</v>
      </c>
      <c r="B431" t="str">
        <f>"Pressure Regul+Gage Assembly, 0-2.5bar (0-35psi)"</f>
        <v>Pressure Regul+Gage Assembly, 0-2.5bar (0-35psi)</v>
      </c>
      <c r="C431" t="str">
        <f t="shared" si="23"/>
        <v>Active</v>
      </c>
    </row>
    <row r="432" spans="1:3" ht="18" customHeight="1">
      <c r="A432" t="str">
        <f>"025229"</f>
        <v>025229</v>
      </c>
      <c r="B432" t="str">
        <f>"Valve-Pneu. Oper. Assy., Solen.12v, Pipe6&gt;&gt;4mm"</f>
        <v>Valve-Pneu. Oper. Assy., Solen.12v, Pipe6&gt;&gt;4mm</v>
      </c>
      <c r="C432" t="str">
        <f t="shared" si="23"/>
        <v>Active</v>
      </c>
    </row>
    <row r="433" spans="1:3" ht="18" customHeight="1">
      <c r="A433" t="str">
        <f>"025231"</f>
        <v>025231</v>
      </c>
      <c r="B433" t="str">
        <f>"Gripper-Pneumatic for HP3, MHF2, Stroke 62mm"</f>
        <v>Gripper-Pneumatic for HP3, MHF2, Stroke 62mm</v>
      </c>
      <c r="C433" t="str">
        <f t="shared" si="23"/>
        <v>Active</v>
      </c>
    </row>
    <row r="434" spans="1:3" ht="18" customHeight="1">
      <c r="A434" t="str">
        <f>"025233"</f>
        <v>025233</v>
      </c>
      <c r="B434" t="str">
        <f>"Flip- Pneumatic  Assembly"</f>
        <v>Flip- Pneumatic  Assembly</v>
      </c>
      <c r="C434" t="str">
        <f t="shared" si="23"/>
        <v>Active</v>
      </c>
    </row>
    <row r="435" spans="1:3" ht="18" customHeight="1">
      <c r="A435" t="str">
        <f>"025235"</f>
        <v>025235</v>
      </c>
      <c r="B435" t="str">
        <f>"Valve 3/2 &amp; Power Supply, 24VDC for Vac. Gripper"</f>
        <v>Valve 3/2 &amp; Power Supply, 24VDC for Vac. Gripper</v>
      </c>
      <c r="C435" t="str">
        <f t="shared" si="23"/>
        <v>Active</v>
      </c>
    </row>
    <row r="436" spans="1:3" ht="18" customHeight="1">
      <c r="A436" t="str">
        <f>"025241"</f>
        <v>025241</v>
      </c>
      <c r="B436" t="str">
        <f>"Gripper- Pneumatic for SV3&amp;HP6, MHF2,Stroke 62mm"</f>
        <v>Gripper- Pneumatic for SV3&amp;HP6, MHF2,Stroke 62mm</v>
      </c>
      <c r="C436" t="str">
        <f t="shared" si="23"/>
        <v>Active</v>
      </c>
    </row>
    <row r="437" spans="1:3" ht="18" customHeight="1">
      <c r="A437" t="str">
        <f>"025242"</f>
        <v>025242</v>
      </c>
      <c r="B437" t="str">
        <f>"Assy. Gripper-Pneum. for small industr. robots"</f>
        <v>Assy. Gripper-Pneum. for small industr. robots</v>
      </c>
      <c r="C437" t="str">
        <f t="shared" si="23"/>
        <v>Active</v>
      </c>
    </row>
    <row r="438" spans="1:3" ht="18" customHeight="1">
      <c r="A438" t="str">
        <f>"025301"</f>
        <v>025301</v>
      </c>
      <c r="B438" t="str">
        <f>"5/2 Air-Air contr.Valve-Bistable"</f>
        <v>5/2 Air-Air contr.Valve-Bistable</v>
      </c>
      <c r="C438" t="str">
        <f t="shared" si="23"/>
        <v>Active</v>
      </c>
    </row>
    <row r="439" spans="1:3" ht="18" customHeight="1">
      <c r="A439" t="str">
        <f>"025302"</f>
        <v>025302</v>
      </c>
      <c r="B439" t="str">
        <f>"Valve-3/2 Push Button Spri Assembly, Mushroom, N"</f>
        <v>Valve-3/2 Push Button Spri Assembly, Mushroom, N</v>
      </c>
      <c r="C439" t="str">
        <f t="shared" si="23"/>
        <v>Active</v>
      </c>
    </row>
    <row r="440" spans="1:3" ht="18" customHeight="1">
      <c r="A440" t="str">
        <f>"025303"</f>
        <v>025303</v>
      </c>
      <c r="B440" t="str">
        <f>"Valve- 3/2 Manual oper lever,  Pneumatic System"</f>
        <v>Valve- 3/2 Manual oper lever,  Pneumatic System</v>
      </c>
      <c r="C440" t="str">
        <f t="shared" si="23"/>
        <v>Active</v>
      </c>
    </row>
    <row r="441" spans="1:3" ht="18" customHeight="1">
      <c r="A441" t="str">
        <f>"025304"</f>
        <v>025304</v>
      </c>
      <c r="B441" t="str">
        <f>"Valve-Two 3/2 Roller  Assembly, Roller N.C."</f>
        <v>Valve-Two 3/2 Roller  Assembly, Roller N.C.</v>
      </c>
      <c r="C441" t="str">
        <f t="shared" si="23"/>
        <v>Active</v>
      </c>
    </row>
    <row r="442" spans="1:3" ht="18" customHeight="1">
      <c r="A442" t="str">
        <f>"025305"</f>
        <v>025305</v>
      </c>
      <c r="B442" t="str">
        <f>"Valve- 3/2 Air-Spring Assembly, Monostable"</f>
        <v>Valve- 3/2 Air-Spring Assembly, Monostable</v>
      </c>
      <c r="C442" t="str">
        <f t="shared" si="23"/>
        <v>Active</v>
      </c>
    </row>
    <row r="443" spans="1:3" ht="18" customHeight="1">
      <c r="A443" t="str">
        <f>"025306"</f>
        <v>025306</v>
      </c>
      <c r="B443" t="str">
        <f>"Manifold 5 Ports - Assembly"</f>
        <v>Manifold 5 Ports - Assembly</v>
      </c>
      <c r="C443" t="str">
        <f t="shared" si="23"/>
        <v>Active</v>
      </c>
    </row>
    <row r="444" spans="1:3" ht="18" customHeight="1">
      <c r="A444" t="str">
        <f>"025307"</f>
        <v>025307</v>
      </c>
      <c r="B444" t="str">
        <f>"Shuttle (Or Gate) Assembly, 60 l/min"</f>
        <v>Shuttle (Or Gate) Assembly, 60 l/min</v>
      </c>
      <c r="C444" t="str">
        <f t="shared" si="23"/>
        <v>Active</v>
      </c>
    </row>
    <row r="445" spans="1:3" ht="18" customHeight="1">
      <c r="A445" t="str">
        <f>"025308"</f>
        <v>025308</v>
      </c>
      <c r="B445" t="str">
        <f>"Shuttle (NOT Gate) Assembly"</f>
        <v>Shuttle (NOT Gate) Assembly</v>
      </c>
      <c r="C445" t="str">
        <f t="shared" si="23"/>
        <v>Active</v>
      </c>
    </row>
    <row r="446" spans="1:3" ht="18" customHeight="1">
      <c r="A446" t="str">
        <f>"025309"</f>
        <v>025309</v>
      </c>
      <c r="B446" t="str">
        <f>"Shuttle (AND Gate) Two pressure Valve, 60 l/min"</f>
        <v>Shuttle (AND Gate) Two pressure Valve, 60 l/min</v>
      </c>
      <c r="C446" t="str">
        <f t="shared" si="23"/>
        <v>Active</v>
      </c>
    </row>
    <row r="447" spans="1:3" ht="18" customHeight="1">
      <c r="A447" t="str">
        <f>"025310"</f>
        <v>025310</v>
      </c>
      <c r="B447" t="str">
        <f>"Unit- Conditioning  Assembly"</f>
        <v>Unit- Conditioning  Assembly</v>
      </c>
      <c r="C447" t="str">
        <f t="shared" si="23"/>
        <v>Active</v>
      </c>
    </row>
    <row r="448" spans="1:3" ht="18" customHeight="1">
      <c r="A448" t="str">
        <f>"025311"</f>
        <v>025311</v>
      </c>
      <c r="B448" t="str">
        <f>"Double Acting W/magnet Assy., D-25, stroke-80mm"</f>
        <v>Double Acting W/magnet Assy., D-25, stroke-80mm</v>
      </c>
      <c r="C448" t="str">
        <f t="shared" si="23"/>
        <v>Active</v>
      </c>
    </row>
    <row r="449" spans="1:3" ht="18" customHeight="1">
      <c r="A449" t="str">
        <f>"025312"</f>
        <v>025312</v>
      </c>
      <c r="B449" t="str">
        <f>"Valve- Single Pilot Assembly, Pulse"</f>
        <v>Valve- Single Pilot Assembly, Pulse</v>
      </c>
      <c r="C449" t="str">
        <f t="shared" si="23"/>
        <v>Active</v>
      </c>
    </row>
    <row r="450" spans="1:3" ht="18" customHeight="1">
      <c r="A450" t="str">
        <f>"025313"</f>
        <v>025313</v>
      </c>
      <c r="B450" t="str">
        <f>"Valve- 3/2 Time delay  No, timing range 0-15 sec"</f>
        <v>Valve- 3/2 Time delay  No, timing range 0-15 sec</v>
      </c>
      <c r="C450" t="str">
        <f t="shared" si="23"/>
        <v>Active</v>
      </c>
    </row>
    <row r="451" spans="1:3" ht="18" customHeight="1">
      <c r="A451" t="str">
        <f>"025314"</f>
        <v>025314</v>
      </c>
      <c r="B451" t="str">
        <f>"Valve- 5/2 Way Double Solen."</f>
        <v>Valve- 5/2 Way Double Solen.</v>
      </c>
      <c r="C451" t="str">
        <f t="shared" si="23"/>
        <v>Active</v>
      </c>
    </row>
    <row r="452" spans="1:3" ht="18" customHeight="1">
      <c r="A452" t="str">
        <f>"025320"</f>
        <v>025320</v>
      </c>
      <c r="B452" t="str">
        <f>"Panel- Slotted Main, 800x700x510"</f>
        <v>Panel- Slotted Main, 800x700x510</v>
      </c>
      <c r="C452" t="str">
        <f t="shared" si="23"/>
        <v>Active</v>
      </c>
    </row>
    <row r="453" spans="1:3" ht="18" customHeight="1">
      <c r="A453" t="str">
        <f>"025321"</f>
        <v>025321</v>
      </c>
      <c r="B453" t="str">
        <f>"Connector- Quick  Assembly, d=1/4"",D=5mm"</f>
        <v>Connector- Quick  Assembly, d=1/4",D=5mm</v>
      </c>
      <c r="C453" t="str">
        <f t="shared" si="23"/>
        <v>Active</v>
      </c>
    </row>
    <row r="454" spans="1:3" ht="18" customHeight="1">
      <c r="A454" t="str">
        <f>"025322"</f>
        <v>025322</v>
      </c>
      <c r="B454" t="str">
        <f>"sensor- Inductive Proximity"</f>
        <v>sensor- Inductive Proximity</v>
      </c>
      <c r="C454" t="str">
        <f t="shared" si="23"/>
        <v>Active</v>
      </c>
    </row>
    <row r="455" spans="1:3" ht="18" customHeight="1">
      <c r="A455" t="str">
        <f>"025323"</f>
        <v>025323</v>
      </c>
      <c r="B455" t="str">
        <f>"sensors-Two magnetic, Hydra/Pneu"</f>
        <v>sensors-Two magnetic, Hydra/Pneu</v>
      </c>
      <c r="C455" t="str">
        <f t="shared" si="23"/>
        <v>Active</v>
      </c>
    </row>
    <row r="456" spans="1:3" ht="18" customHeight="1">
      <c r="A456" t="str">
        <f>"025352"</f>
        <v>025352</v>
      </c>
      <c r="B456" t="str">
        <f>"Electrical Limit Switch w.Adjustable RollerLever"</f>
        <v>Electrical Limit Switch w.Adjustable RollerLever</v>
      </c>
      <c r="C456" t="str">
        <f>"ECO-N2Buy"</f>
        <v>ECO-N2Buy</v>
      </c>
    </row>
    <row r="457" spans="1:3" ht="18" customHeight="1">
      <c r="A457" t="str">
        <f>"025354"</f>
        <v>025354</v>
      </c>
      <c r="B457" t="str">
        <f>"Indicator EL.-4laps+buzzer"</f>
        <v>Indicator EL.-4laps+buzzer</v>
      </c>
      <c r="C457" t="str">
        <f>"Phase Out"</f>
        <v>Phase Out</v>
      </c>
    </row>
    <row r="458" spans="1:3" ht="18" customHeight="1">
      <c r="A458" t="str">
        <f>"025355"</f>
        <v>025355</v>
      </c>
      <c r="B458" t="str">
        <f>"Electr. Push Button 2NO+2NC Green"</f>
        <v>Electr. Push Button 2NO+2NC Green</v>
      </c>
      <c r="C458" t="str">
        <f>"Active"</f>
        <v>Active</v>
      </c>
    </row>
    <row r="459" spans="1:3" ht="18" customHeight="1">
      <c r="A459" t="str">
        <f>"025356"</f>
        <v>025356</v>
      </c>
      <c r="B459" t="str">
        <f>"Electrical Emergency Stop Button"</f>
        <v>Electrical Emergency Stop Button</v>
      </c>
      <c r="C459" t="str">
        <f>"ECO-N2Buy"</f>
        <v>ECO-N2Buy</v>
      </c>
    </row>
    <row r="460" spans="1:3" ht="18" customHeight="1">
      <c r="A460" t="str">
        <f>"025357"</f>
        <v>025357</v>
      </c>
      <c r="B460" t="str">
        <f>"Electrical Distributor, 8 jacks"</f>
        <v>Electrical Distributor, 8 jacks</v>
      </c>
      <c r="C460" t="str">
        <f>"Active"</f>
        <v>Active</v>
      </c>
    </row>
    <row r="461" spans="1:3" ht="18" customHeight="1">
      <c r="A461" t="str">
        <f>"025359"</f>
        <v>025359</v>
      </c>
      <c r="B461" t="str">
        <f>"Relay box -Assembly, 3 Relay 2NO+2NC"</f>
        <v>Relay box -Assembly, 3 Relay 2NO+2NC</v>
      </c>
      <c r="C461" t="str">
        <f>"Inactive"</f>
        <v>Inactive</v>
      </c>
    </row>
    <row r="462" spans="1:3" ht="18" customHeight="1">
      <c r="A462" t="str">
        <f>"025360"</f>
        <v>025360</v>
      </c>
      <c r="B462" t="str">
        <f>"Electrical Timer Relay"</f>
        <v>Electrical Timer Relay</v>
      </c>
      <c r="C462" t="str">
        <f>"Active"</f>
        <v>Active</v>
      </c>
    </row>
    <row r="463" spans="1:3" ht="18" customHeight="1">
      <c r="A463" t="str">
        <f>"025366"</f>
        <v>025366</v>
      </c>
      <c r="B463" t="str">
        <f>"Electrical Counter"</f>
        <v>Electrical Counter</v>
      </c>
      <c r="C463" t="str">
        <f>"Active"</f>
        <v>Active</v>
      </c>
    </row>
    <row r="464" spans="1:3" ht="18" customHeight="1">
      <c r="A464" t="str">
        <f>"025368"</f>
        <v>025368</v>
      </c>
      <c r="B464" t="str">
        <f>"Adapted Vacuum Gripper for robot"</f>
        <v>Adapted Vacuum Gripper for robot</v>
      </c>
      <c r="C464" t="str">
        <f>"Inactive"</f>
        <v>Inactive</v>
      </c>
    </row>
    <row r="465" spans="1:3" ht="18" customHeight="1">
      <c r="A465" t="str">
        <f>"025375"</f>
        <v>025375</v>
      </c>
      <c r="B465" t="str">
        <f>"3 Relays 3NO +1NC assy"</f>
        <v>3 Relays 3NO +1NC assy</v>
      </c>
      <c r="C465" t="str">
        <f>"Active"</f>
        <v>Active</v>
      </c>
    </row>
    <row r="466" spans="1:3" ht="18" customHeight="1">
      <c r="A466" t="str">
        <f>"025376"</f>
        <v>025376</v>
      </c>
      <c r="B466" t="str">
        <f>"Switch Push-button, 2NO +2NC Red"</f>
        <v>Switch Push-button, 2NO +2NC Red</v>
      </c>
      <c r="C466" t="str">
        <f>"ECO-N2Mnf"</f>
        <v>ECO-N2Mnf</v>
      </c>
    </row>
    <row r="467" spans="1:3" ht="18" customHeight="1">
      <c r="A467" t="str">
        <f>"025382"</f>
        <v>025382</v>
      </c>
      <c r="B467" t="str">
        <f>"Valve 3/2 Sol/Spring"</f>
        <v>Valve 3/2 Sol/Spring</v>
      </c>
      <c r="C467" t="str">
        <f>"Inactive"</f>
        <v>Inactive</v>
      </c>
    </row>
    <row r="468" spans="1:3" ht="18" customHeight="1">
      <c r="A468" t="str">
        <f>"025402"</f>
        <v>025402</v>
      </c>
      <c r="B468" t="str">
        <f>"Double acting Cyl. Assembly, D=1-1/8"",stroke 6"""</f>
        <v>Double acting Cyl. Assembly, D=1-1/8",stroke 6"</v>
      </c>
      <c r="C468" t="str">
        <f>"Active"</f>
        <v>Active</v>
      </c>
    </row>
    <row r="469" spans="1:3" ht="18" customHeight="1">
      <c r="A469" t="str">
        <f>"025403"</f>
        <v>025403</v>
      </c>
      <c r="B469" t="str">
        <f>"Valve- 4/3 open cen manual - Assembly"</f>
        <v>Valve- 4/3 open cen manual - Assembly</v>
      </c>
      <c r="C469" t="str">
        <f>"Active"</f>
        <v>Active</v>
      </c>
    </row>
    <row r="470" spans="1:3" ht="18" customHeight="1">
      <c r="A470" t="str">
        <f>"025404"</f>
        <v>025404</v>
      </c>
      <c r="B470" t="str">
        <f>"Valve- Bi-directional flow controller"</f>
        <v>Valve- Bi-directional flow controller</v>
      </c>
      <c r="C470" t="str">
        <f>"Active"</f>
        <v>Active</v>
      </c>
    </row>
    <row r="471" spans="1:3" ht="18" customHeight="1">
      <c r="A471" t="str">
        <f>"025405"</f>
        <v>025405</v>
      </c>
      <c r="B471" t="str">
        <f>"Valve- Unidirectional controller"</f>
        <v>Valve- Unidirectional controller</v>
      </c>
      <c r="C471" t="str">
        <f>"Active"</f>
        <v>Active</v>
      </c>
    </row>
    <row r="472" spans="1:3" ht="18" customHeight="1">
      <c r="A472" t="str">
        <f>"025407"</f>
        <v>025407</v>
      </c>
      <c r="B472" t="str">
        <f>"Non-return check val.Ass."</f>
        <v>Non-return check val.Ass.</v>
      </c>
      <c r="C472" t="str">
        <f>"Phase Out"</f>
        <v>Phase Out</v>
      </c>
    </row>
    <row r="473" spans="1:3" ht="18" customHeight="1">
      <c r="A473" t="str">
        <f>"025408"</f>
        <v>025408</v>
      </c>
      <c r="B473" t="str">
        <f>"Flow meter - Assembly, 0.2-2.5 l /min"</f>
        <v>Flow meter - Assembly, 0.2-2.5 l /min</v>
      </c>
      <c r="C473" t="str">
        <f t="shared" ref="C473:C480" si="24">"Active"</f>
        <v>Active</v>
      </c>
    </row>
    <row r="474" spans="1:3" ht="18" customHeight="1">
      <c r="A474" t="str">
        <f>"025409"</f>
        <v>025409</v>
      </c>
      <c r="B474" t="str">
        <f>"Pressure Gauge, 0-60 bar/0-850 psi"</f>
        <v>Pressure Gauge, 0-60 bar/0-850 psi</v>
      </c>
      <c r="C474" t="str">
        <f t="shared" si="24"/>
        <v>Active</v>
      </c>
    </row>
    <row r="475" spans="1:3" ht="18" customHeight="1">
      <c r="A475" t="str">
        <f>"025410"</f>
        <v>025410</v>
      </c>
      <c r="B475" t="str">
        <f>"Manifold 4 Ports -  Assembly"</f>
        <v>Manifold 4 Ports -  Assembly</v>
      </c>
      <c r="C475" t="str">
        <f t="shared" si="24"/>
        <v>Active</v>
      </c>
    </row>
    <row r="476" spans="1:3" ht="18" customHeight="1">
      <c r="A476" t="str">
        <f>"025411"</f>
        <v>025411</v>
      </c>
      <c r="B476" t="str">
        <f>"Hose- 2m"</f>
        <v>Hose- 2m</v>
      </c>
      <c r="C476" t="str">
        <f t="shared" si="24"/>
        <v>Active</v>
      </c>
    </row>
    <row r="477" spans="1:3" ht="18" customHeight="1">
      <c r="A477" t="str">
        <f>"025412"</f>
        <v>025412</v>
      </c>
      <c r="B477" t="str">
        <f>"Hose- 0.8m"</f>
        <v>Hose- 0.8m</v>
      </c>
      <c r="C477" t="str">
        <f t="shared" si="24"/>
        <v>Active</v>
      </c>
    </row>
    <row r="478" spans="1:3" ht="18" customHeight="1">
      <c r="A478" t="str">
        <f>"025413"</f>
        <v>025413</v>
      </c>
      <c r="B478" t="str">
        <f>"Hose- 0.5m"</f>
        <v>Hose- 0.5m</v>
      </c>
      <c r="C478" t="str">
        <f t="shared" si="24"/>
        <v>Active</v>
      </c>
    </row>
    <row r="479" spans="1:3" ht="18" customHeight="1">
      <c r="A479" t="str">
        <f>"025414"</f>
        <v>025414</v>
      </c>
      <c r="B479" t="str">
        <f>"4/3 Closing center manual valve"</f>
        <v>4/3 Closing center manual valve</v>
      </c>
      <c r="C479" t="str">
        <f t="shared" si="24"/>
        <v>Active</v>
      </c>
    </row>
    <row r="480" spans="1:3" ht="18" customHeight="1">
      <c r="A480" t="str">
        <f>"025415"</f>
        <v>025415</v>
      </c>
      <c r="B480" t="str">
        <f>"Pressure reducing Valve Assembly"</f>
        <v>Pressure reducing Valve Assembly</v>
      </c>
      <c r="C480" t="str">
        <f t="shared" si="24"/>
        <v>Active</v>
      </c>
    </row>
    <row r="481" spans="1:3" ht="18" customHeight="1">
      <c r="A481" t="str">
        <f>"025416"</f>
        <v>025416</v>
      </c>
      <c r="B481" t="str">
        <f>"3-Way Press. Regulat.-Ass  Flow control Valve"</f>
        <v>3-Way Press. Regulat.-Ass  Flow control Valve</v>
      </c>
      <c r="C481" t="str">
        <f>"Phase Out"</f>
        <v>Phase Out</v>
      </c>
    </row>
    <row r="482" spans="1:3" ht="18" customHeight="1">
      <c r="A482" t="str">
        <f>"025419"</f>
        <v>025419</v>
      </c>
      <c r="B482" t="str">
        <f>"Temperature gauge - Assembly, 0-120 C"</f>
        <v>Temperature gauge - Assembly, 0-120 C</v>
      </c>
      <c r="C482" t="str">
        <f>"ECO-N2Buy"</f>
        <v>ECO-N2Buy</v>
      </c>
    </row>
    <row r="483" spans="1:3" ht="18" customHeight="1">
      <c r="A483" t="str">
        <f>"025421"</f>
        <v>025421</v>
      </c>
      <c r="B483" t="str">
        <f>"Valve-4/3 Sol-Sol contr Assy.Tandem cent.El.-Hyd"</f>
        <v>Valve-4/3 Sol-Sol contr Assy.Tandem cent.El.-Hyd</v>
      </c>
      <c r="C483" t="str">
        <f t="shared" ref="C483:C489" si="25">"Active"</f>
        <v>Active</v>
      </c>
    </row>
    <row r="484" spans="1:3" ht="18" customHeight="1">
      <c r="A484" t="str">
        <f>"025422"</f>
        <v>025422</v>
      </c>
      <c r="B484" t="str">
        <f>"Valve- 4/2 Solenoid Spring"</f>
        <v>Valve- 4/2 Solenoid Spring</v>
      </c>
      <c r="C484" t="str">
        <f t="shared" si="25"/>
        <v>Active</v>
      </c>
    </row>
    <row r="485" spans="1:3" ht="18" customHeight="1">
      <c r="A485" t="str">
        <f>"025424"</f>
        <v>025424</v>
      </c>
      <c r="B485" t="str">
        <f>"Connector- T  1/4"""</f>
        <v>Connector- T  1/4"</v>
      </c>
      <c r="C485" t="str">
        <f t="shared" si="25"/>
        <v>Active</v>
      </c>
    </row>
    <row r="486" spans="1:3" ht="18" customHeight="1">
      <c r="A486" t="str">
        <f>"025428"</f>
        <v>025428</v>
      </c>
      <c r="B486" t="str">
        <f>"Coil- Square / Round - Assembly"</f>
        <v>Coil- Square / Round - Assembly</v>
      </c>
      <c r="C486" t="str">
        <f t="shared" si="25"/>
        <v>Active</v>
      </c>
    </row>
    <row r="487" spans="1:3" ht="18" customHeight="1">
      <c r="A487" t="str">
        <f>"025431"</f>
        <v>025431</v>
      </c>
      <c r="B487" t="str">
        <f>"Double acting Cylinder Assembly, D=3/4"",stroke-6"</f>
        <v>Double acting Cylinder Assembly, D=3/4",stroke-6</v>
      </c>
      <c r="C487" t="str">
        <f t="shared" si="25"/>
        <v>Active</v>
      </c>
    </row>
    <row r="488" spans="1:3" ht="18" customHeight="1">
      <c r="A488" t="str">
        <f>"025433"</f>
        <v>025433</v>
      </c>
      <c r="B488" t="str">
        <f>"2/2 Solenoid Spring Valve Assembly"</f>
        <v>2/2 Solenoid Spring Valve Assembly</v>
      </c>
      <c r="C488" t="str">
        <f t="shared" si="25"/>
        <v>Active</v>
      </c>
    </row>
    <row r="489" spans="1:3" ht="18" customHeight="1">
      <c r="A489" t="str">
        <f>"025437"</f>
        <v>025437</v>
      </c>
      <c r="B489" t="str">
        <f>"Safetey Shut-off Valve Pressure Relief-Assy"</f>
        <v>Safetey Shut-off Valve Pressure Relief-Assy</v>
      </c>
      <c r="C489" t="str">
        <f t="shared" si="25"/>
        <v>Active</v>
      </c>
    </row>
    <row r="490" spans="1:3" ht="18" customHeight="1">
      <c r="A490" t="str">
        <f>"025439"</f>
        <v>025439</v>
      </c>
      <c r="B490" t="str">
        <f>"Cross -Connector 1/4"""</f>
        <v>Cross -Connector 1/4"</v>
      </c>
      <c r="C490" t="str">
        <f>"Phase Out"</f>
        <v>Phase Out</v>
      </c>
    </row>
    <row r="491" spans="1:3" ht="18" customHeight="1">
      <c r="A491" t="str">
        <f>"025440"</f>
        <v>025440</v>
      </c>
      <c r="B491" t="str">
        <f>"Valve 2/2 Direct Plunger  0-250 bar, Assembly"</f>
        <v>Valve 2/2 Direct Plunger  0-250 bar, Assembly</v>
      </c>
      <c r="C491" t="str">
        <f>"Active"</f>
        <v>Active</v>
      </c>
    </row>
    <row r="492" spans="1:3" ht="18" customHeight="1">
      <c r="A492" t="str">
        <f>"025442"</f>
        <v>025442</v>
      </c>
      <c r="B492" t="str">
        <f>"Non-Return Pilot Val Assy Non-Return Pilot Val A"</f>
        <v>Non-Return Pilot Val Assy Non-Return Pilot Val A</v>
      </c>
      <c r="C492" t="str">
        <f>"Active"</f>
        <v>Active</v>
      </c>
    </row>
    <row r="493" spans="1:3" ht="18" customHeight="1">
      <c r="A493" t="str">
        <f>"025466"</f>
        <v>025466</v>
      </c>
      <c r="B493" t="str">
        <f>"HydraFlex Double Sided slotted panel"</f>
        <v>HydraFlex Double Sided slotted panel</v>
      </c>
      <c r="C493" t="str">
        <f>"Active"</f>
        <v>Active</v>
      </c>
    </row>
    <row r="494" spans="1:3" ht="18" customHeight="1">
      <c r="A494" t="str">
        <f>"025467"</f>
        <v>025467</v>
      </c>
      <c r="B494" t="str">
        <f>"Flat Slotted Panel for Mobile JM, 800x760mm"</f>
        <v>Flat Slotted Panel for Mobile JM, 800x760mm</v>
      </c>
      <c r="C494" t="str">
        <f>"Active"</f>
        <v>Active</v>
      </c>
    </row>
    <row r="495" spans="1:3" ht="18" customHeight="1">
      <c r="A495" t="str">
        <f>"025468"</f>
        <v>025468</v>
      </c>
      <c r="B495" t="str">
        <f>"Holder Set for Hydro Hoses"</f>
        <v>Holder Set for Hydro Hoses</v>
      </c>
      <c r="C495" t="str">
        <f>"Active"</f>
        <v>Active</v>
      </c>
    </row>
    <row r="496" spans="1:3" ht="18" customHeight="1">
      <c r="A496" t="str">
        <f>"025469"</f>
        <v>025469</v>
      </c>
      <c r="B496" t="str">
        <f>"Slotted Panel One Side, Assy"</f>
        <v>Slotted Panel One Side, Assy</v>
      </c>
      <c r="C496" t="str">
        <f>"New"</f>
        <v>New</v>
      </c>
    </row>
    <row r="497" spans="1:3" ht="18" customHeight="1">
      <c r="A497" t="str">
        <f>"025501"</f>
        <v>025501</v>
      </c>
      <c r="B497" t="str">
        <f>"Power Supply for Pneu/Hydro, 110-220V to 24V"</f>
        <v>Power Supply for Pneu/Hydro, 110-220V to 24V</v>
      </c>
      <c r="C497" t="str">
        <f>"Active"</f>
        <v>Active</v>
      </c>
    </row>
    <row r="498" spans="1:3" ht="18" customHeight="1">
      <c r="A498" t="str">
        <f>"025502"</f>
        <v>025502</v>
      </c>
      <c r="B498" t="str">
        <f>"Relay Module (3 Relays 3NO +1NC)"</f>
        <v>Relay Module (3 Relays 3NO +1NC)</v>
      </c>
      <c r="C498" t="str">
        <f>"Active"</f>
        <v>Active</v>
      </c>
    </row>
    <row r="499" spans="1:3" ht="18" customHeight="1">
      <c r="A499" t="str">
        <f>"025503"</f>
        <v>025503</v>
      </c>
      <c r="B499" t="str">
        <f>"Operational Module (Signal Lamps &amp; Switches)"</f>
        <v>Operational Module (Signal Lamps &amp; Switches)</v>
      </c>
      <c r="C499" t="str">
        <f>"Active"</f>
        <v>Active</v>
      </c>
    </row>
    <row r="500" spans="1:3" ht="18" customHeight="1">
      <c r="A500" t="str">
        <f>"025504"</f>
        <v>025504</v>
      </c>
      <c r="B500" t="str">
        <f>"PLC MODULE"</f>
        <v>PLC MODULE</v>
      </c>
      <c r="C500" t="str">
        <f>"Active"</f>
        <v>Active</v>
      </c>
    </row>
    <row r="501" spans="1:3" ht="18" customHeight="1">
      <c r="A501" t="str">
        <f>"025505"</f>
        <v>025505</v>
      </c>
      <c r="B501" t="str">
        <f>"HMI Module"</f>
        <v>HMI Module</v>
      </c>
      <c r="C501" t="str">
        <f>"Active"</f>
        <v>Active</v>
      </c>
    </row>
    <row r="502" spans="1:3" ht="18" customHeight="1">
      <c r="A502" t="str">
        <f>"025510"</f>
        <v>025510</v>
      </c>
      <c r="B502" t="str">
        <f>"Table Chassis Assy, Mechatronics"</f>
        <v>Table Chassis Assy, Mechatronics</v>
      </c>
      <c r="C502" t="str">
        <f>"New"</f>
        <v>New</v>
      </c>
    </row>
    <row r="503" spans="1:3" ht="18" customHeight="1">
      <c r="A503" t="str">
        <f>"025511"</f>
        <v>025511</v>
      </c>
      <c r="B503" t="str">
        <f>"Drawer Assy, Mechatronics"</f>
        <v>Drawer Assy, Mechatronics</v>
      </c>
      <c r="C503" t="str">
        <f>"New"</f>
        <v>New</v>
      </c>
    </row>
    <row r="504" spans="1:3" ht="18" customHeight="1">
      <c r="A504" t="str">
        <f>"025512"</f>
        <v>025512</v>
      </c>
      <c r="B504" t="str">
        <f>"Door Rigth Assy, Mechatronics"</f>
        <v>Door Rigth Assy, Mechatronics</v>
      </c>
      <c r="C504" t="str">
        <f>"New"</f>
        <v>New</v>
      </c>
    </row>
    <row r="505" spans="1:3" ht="18" customHeight="1">
      <c r="A505" t="str">
        <f>"025513"</f>
        <v>025513</v>
      </c>
      <c r="B505" t="str">
        <f>"Door Left Assy. Mechatrinics"</f>
        <v>Door Left Assy. Mechatrinics</v>
      </c>
      <c r="C505" t="str">
        <f>"New"</f>
        <v>New</v>
      </c>
    </row>
    <row r="506" spans="1:3" ht="18" customHeight="1">
      <c r="A506" t="str">
        <f>"025514"</f>
        <v>025514</v>
      </c>
      <c r="B506" t="str">
        <f>"Quick Fix Spring Adapter Assy"</f>
        <v>Quick Fix Spring Adapter Assy</v>
      </c>
      <c r="C506" t="str">
        <f t="shared" ref="C506:C521" si="26">"Active"</f>
        <v>Active</v>
      </c>
    </row>
    <row r="507" spans="1:3" ht="18" customHeight="1">
      <c r="A507" t="str">
        <f>"030002"</f>
        <v>030002</v>
      </c>
      <c r="B507" t="str">
        <f>"Gear Motor - Assembly, Scorbot ER4u"</f>
        <v>Gear Motor - Assembly, Scorbot ER4u</v>
      </c>
      <c r="C507" t="str">
        <f t="shared" si="26"/>
        <v>Active</v>
      </c>
    </row>
    <row r="508" spans="1:3" ht="18" customHeight="1">
      <c r="A508" t="str">
        <f>"030007"</f>
        <v>030007</v>
      </c>
      <c r="B508" t="str">
        <f>"Driving Axis 1 - Assembly, SCORA ER14"</f>
        <v>Driving Axis 1 - Assembly, SCORA ER14</v>
      </c>
      <c r="C508" t="str">
        <f t="shared" si="26"/>
        <v>Active</v>
      </c>
    </row>
    <row r="509" spans="1:3" ht="18" customHeight="1">
      <c r="A509" t="str">
        <f>"030009"</f>
        <v>030009</v>
      </c>
      <c r="B509" t="str">
        <f>"Motor for Axis 1,2 - Assembly, SCORA ER14"</f>
        <v>Motor for Axis 1,2 - Assembly, SCORA ER14</v>
      </c>
      <c r="C509" t="str">
        <f t="shared" si="26"/>
        <v>Active</v>
      </c>
    </row>
    <row r="510" spans="1:3" ht="18" customHeight="1">
      <c r="A510" t="str">
        <f>"030010"</f>
        <v>030010</v>
      </c>
      <c r="B510" t="str">
        <f>"Driving Axis 2 - Assembly, SCORA ER14"</f>
        <v>Driving Axis 2 - Assembly, SCORA ER14</v>
      </c>
      <c r="C510" t="str">
        <f t="shared" si="26"/>
        <v>Active</v>
      </c>
    </row>
    <row r="511" spans="1:3" ht="18" customHeight="1">
      <c r="A511" t="str">
        <f>"030011"</f>
        <v>030011</v>
      </c>
      <c r="B511" t="str">
        <f>"Motor for Axis 1,2,3 - Assembly, SCORA ER9"</f>
        <v>Motor for Axis 1,2,3 - Assembly, SCORA ER9</v>
      </c>
      <c r="C511" t="str">
        <f t="shared" si="26"/>
        <v>Active</v>
      </c>
    </row>
    <row r="512" spans="1:3" ht="18" customHeight="1">
      <c r="A512" t="str">
        <f>"030012"</f>
        <v>030012</v>
      </c>
      <c r="B512" t="str">
        <f>"Motor for Axis 4 - Assembly, SCORA ER9"</f>
        <v>Motor for Axis 4 - Assembly, SCORA ER9</v>
      </c>
      <c r="C512" t="str">
        <f t="shared" si="26"/>
        <v>Active</v>
      </c>
    </row>
    <row r="513" spans="1:3" ht="18" customHeight="1">
      <c r="A513" t="str">
        <f>"030013"</f>
        <v>030013</v>
      </c>
      <c r="B513" t="str">
        <f>"Motor- Gripper  Assembly, TYPE C Gripper"</f>
        <v>Motor- Gripper  Assembly, TYPE C Gripper</v>
      </c>
      <c r="C513" t="str">
        <f t="shared" si="26"/>
        <v>Active</v>
      </c>
    </row>
    <row r="514" spans="1:3" ht="18" customHeight="1">
      <c r="A514" t="str">
        <f>"030014"</f>
        <v>030014</v>
      </c>
      <c r="B514" t="str">
        <f>"Motor &amp; Encoder - Assembly, ER9/14"</f>
        <v>Motor &amp; Encoder - Assembly, ER9/14</v>
      </c>
      <c r="C514" t="str">
        <f t="shared" si="26"/>
        <v>Active</v>
      </c>
    </row>
    <row r="515" spans="1:3" ht="18" customHeight="1">
      <c r="A515" t="str">
        <f>"030021"</f>
        <v>030021</v>
      </c>
      <c r="B515" t="str">
        <f>"Motor- Gripper - Assembly,  ER2u"</f>
        <v>Motor- Gripper - Assembly,  ER2u</v>
      </c>
      <c r="C515" t="str">
        <f t="shared" si="26"/>
        <v>Active</v>
      </c>
    </row>
    <row r="516" spans="1:3" ht="18" customHeight="1">
      <c r="A516" t="str">
        <f>"030022"</f>
        <v>030022</v>
      </c>
      <c r="B516" t="str">
        <f>"Motor Cable- GM87  Assembly, X-Y table"</f>
        <v>Motor Cable- GM87  Assembly, X-Y table</v>
      </c>
      <c r="C516" t="str">
        <f t="shared" si="26"/>
        <v>Active</v>
      </c>
    </row>
    <row r="517" spans="1:3" ht="18" customHeight="1">
      <c r="A517" t="str">
        <f>"030026"</f>
        <v>030026</v>
      </c>
      <c r="B517" t="str">
        <f>"Motor Cable Assembly, PLC Line"</f>
        <v>Motor Cable Assembly, PLC Line</v>
      </c>
      <c r="C517" t="str">
        <f t="shared" si="26"/>
        <v>Active</v>
      </c>
    </row>
    <row r="518" spans="1:3" ht="18" customHeight="1">
      <c r="A518" t="str">
        <f>"030027"</f>
        <v>030027</v>
      </c>
      <c r="B518" t="str">
        <f>"Motor for Axis 1 - Assembly, ER2u"</f>
        <v>Motor for Axis 1 - Assembly, ER2u</v>
      </c>
      <c r="C518" t="str">
        <f t="shared" si="26"/>
        <v>Active</v>
      </c>
    </row>
    <row r="519" spans="1:3" ht="18" customHeight="1">
      <c r="A519" t="str">
        <f>"030028"</f>
        <v>030028</v>
      </c>
      <c r="B519" t="str">
        <f>"Motor for Axis 2,3 - Assembly, ER2u"</f>
        <v>Motor for Axis 2,3 - Assembly, ER2u</v>
      </c>
      <c r="C519" t="str">
        <f t="shared" si="26"/>
        <v>Active</v>
      </c>
    </row>
    <row r="520" spans="1:3" ht="18" customHeight="1">
      <c r="A520" t="str">
        <f>"030029"</f>
        <v>030029</v>
      </c>
      <c r="B520" t="str">
        <f>"Motor for Axis 4 - Assembly, ER2u"</f>
        <v>Motor for Axis 4 - Assembly, ER2u</v>
      </c>
      <c r="C520" t="str">
        <f t="shared" si="26"/>
        <v>Active</v>
      </c>
    </row>
    <row r="521" spans="1:3" ht="18" customHeight="1">
      <c r="A521" t="str">
        <f>"030030"</f>
        <v>030030</v>
      </c>
      <c r="B521" t="str">
        <f>"Motor for Axis 5 - Assembly, ER2u"</f>
        <v>Motor for Axis 5 - Assembly, ER2u</v>
      </c>
      <c r="C521" t="str">
        <f t="shared" si="26"/>
        <v>Active</v>
      </c>
    </row>
    <row r="522" spans="1:3" ht="18" customHeight="1">
      <c r="A522" t="str">
        <f>"030031"</f>
        <v>030031</v>
      </c>
      <c r="B522" t="str">
        <f>"Motor Cable Assembly, tekDESIGN"</f>
        <v>Motor Cable Assembly, tekDESIGN</v>
      </c>
      <c r="C522" t="str">
        <f>"Inactive"</f>
        <v>Inactive</v>
      </c>
    </row>
    <row r="523" spans="1:3" ht="18" customHeight="1">
      <c r="A523" t="str">
        <f>"030035"</f>
        <v>030035</v>
      </c>
      <c r="B523" t="str">
        <f>"Motor &amp; Gear Assembly, 3 Phase 220/380v on/off"</f>
        <v>Motor &amp; Gear Assembly, 3 Phase 220/380v on/off</v>
      </c>
      <c r="C523" t="str">
        <f>"Phase Out"</f>
        <v>Phase Out</v>
      </c>
    </row>
    <row r="524" spans="1:3" ht="18" customHeight="1">
      <c r="A524" t="str">
        <f>"030037"</f>
        <v>030037</v>
      </c>
      <c r="B524" t="str">
        <f>"GearMotor assy. 3phase 0.25KW, 380V wiring"</f>
        <v>GearMotor assy. 3phase 0.25KW, 380V wiring</v>
      </c>
      <c r="C524" t="str">
        <f>"Active"</f>
        <v>Active</v>
      </c>
    </row>
    <row r="525" spans="1:3" ht="18" customHeight="1">
      <c r="A525" t="str">
        <f>"034002"</f>
        <v>034002</v>
      </c>
      <c r="B525" t="str">
        <f>"Controller A - Assy Controller A for ER5"</f>
        <v>Controller A - Assy Controller A for ER5</v>
      </c>
      <c r="C525" t="str">
        <f>"Not for purc"</f>
        <v>Not for purc</v>
      </c>
    </row>
    <row r="526" spans="1:3" ht="18" customHeight="1">
      <c r="A526" t="str">
        <f>"034004"</f>
        <v>034004</v>
      </c>
      <c r="B526" t="str">
        <f>"Controller B - Assy Controller B"</f>
        <v>Controller B - Assy Controller B</v>
      </c>
      <c r="C526" t="str">
        <f>"Active"</f>
        <v>Active</v>
      </c>
    </row>
    <row r="527" spans="1:3" ht="18" customHeight="1">
      <c r="A527" t="str">
        <f>"034006"</f>
        <v>034006</v>
      </c>
      <c r="B527" t="str">
        <f>"Controller A - Assy Controller A for ER7"</f>
        <v>Controller A - Assy Controller A for ER7</v>
      </c>
      <c r="C527" t="str">
        <f>"Not for purc"</f>
        <v>Not for purc</v>
      </c>
    </row>
    <row r="528" spans="1:3" ht="18" customHeight="1">
      <c r="A528" t="str">
        <f>"034008"</f>
        <v>034008</v>
      </c>
      <c r="B528" t="str">
        <f>"Assy I/O Box for Controller B"</f>
        <v>Assy I/O Box for Controller B</v>
      </c>
      <c r="C528" t="str">
        <f>"Active"</f>
        <v>Active</v>
      </c>
    </row>
    <row r="529" spans="1:3" ht="18" customHeight="1">
      <c r="A529" t="str">
        <f>"034015"</f>
        <v>034015</v>
      </c>
      <c r="B529" t="str">
        <f>"Controller B Assembly for ASRS72"</f>
        <v>Controller B Assembly for ASRS72</v>
      </c>
      <c r="C529" t="str">
        <f>"Not for purc"</f>
        <v>Not for purc</v>
      </c>
    </row>
    <row r="530" spans="1:3" ht="18" customHeight="1">
      <c r="A530" t="str">
        <f>"034016"</f>
        <v>034016</v>
      </c>
      <c r="B530" t="str">
        <f>"Controller  ER4u, 110/230V"</f>
        <v>Controller  ER4u, 110/230V</v>
      </c>
      <c r="C530" t="str">
        <f>"Active"</f>
        <v>Active</v>
      </c>
    </row>
    <row r="531" spans="1:3" ht="18" customHeight="1">
      <c r="A531" t="str">
        <f>"034018"</f>
        <v>034018</v>
      </c>
      <c r="B531" t="str">
        <f>"Controller  ER2u DEPCO, 110/230V - Assembly"</f>
        <v>Controller  ER2u DEPCO, 110/230V - Assembly</v>
      </c>
      <c r="C531" t="str">
        <f>"Active"</f>
        <v>Active</v>
      </c>
    </row>
    <row r="532" spans="1:3" ht="18" customHeight="1">
      <c r="A532" t="str">
        <f>"034020"</f>
        <v>034020</v>
      </c>
      <c r="B532" t="str">
        <f>"Controller-USB PRO"</f>
        <v>Controller-USB PRO</v>
      </c>
      <c r="C532" t="str">
        <f>"ECO-N2Buy"</f>
        <v>ECO-N2Buy</v>
      </c>
    </row>
    <row r="533" spans="1:3" ht="18" customHeight="1">
      <c r="A533" t="str">
        <f>"034021"</f>
        <v>034021</v>
      </c>
      <c r="B533" t="str">
        <f>"I/O Box for Motoman HP3 Controller NXC100"</f>
        <v>I/O Box for Motoman HP3 Controller NXC100</v>
      </c>
      <c r="C533" t="str">
        <f>"Active"</f>
        <v>Active</v>
      </c>
    </row>
    <row r="534" spans="1:3" ht="18" customHeight="1">
      <c r="A534" t="str">
        <f>"034023"</f>
        <v>034023</v>
      </c>
      <c r="B534" t="str">
        <f>"Controller- XtraDrive04, YET driver for LSB/HP3"</f>
        <v>Controller- XtraDrive04, YET driver for LSB/HP3</v>
      </c>
      <c r="C534" t="str">
        <f>"Active"</f>
        <v>Active</v>
      </c>
    </row>
    <row r="535" spans="1:3" ht="18" customHeight="1">
      <c r="A535" t="str">
        <f>"034024"</f>
        <v>034024</v>
      </c>
      <c r="B535" t="str">
        <f>"Control Box- XtraDrive08, YET driver LSB 3000"</f>
        <v>Control Box- XtraDrive08, YET driver LSB 3000</v>
      </c>
      <c r="C535" t="str">
        <f>"Active"</f>
        <v>Active</v>
      </c>
    </row>
    <row r="536" spans="1:3" ht="18" customHeight="1">
      <c r="A536" t="str">
        <f>"034025"</f>
        <v>034025</v>
      </c>
      <c r="B536" t="str">
        <f>"I/O Interface Box for Controller USB-PRO"</f>
        <v>I/O Interface Box for Controller USB-PRO</v>
      </c>
      <c r="C536" t="str">
        <f>"Active"</f>
        <v>Active</v>
      </c>
    </row>
    <row r="537" spans="1:3" ht="18" customHeight="1">
      <c r="A537" t="str">
        <f>"034026"</f>
        <v>034026</v>
      </c>
      <c r="B537" t="str">
        <f>"I/O Box for Robot MH5F &amp; Controller FS100"</f>
        <v>I/O Box for Robot MH5F &amp; Controller FS100</v>
      </c>
      <c r="C537" t="str">
        <f>"Active"</f>
        <v>Active</v>
      </c>
    </row>
    <row r="538" spans="1:3" ht="18" customHeight="1">
      <c r="A538" t="str">
        <f>"034027"</f>
        <v>034027</v>
      </c>
      <c r="B538" t="str">
        <f>"Dual Power Controller for ME10, 115/230V"</f>
        <v>Dual Power Controller for ME10, 115/230V</v>
      </c>
      <c r="C538" t="str">
        <f>"ECO-N2Buy"</f>
        <v>ECO-N2Buy</v>
      </c>
    </row>
    <row r="539" spans="1:3" ht="18" customHeight="1">
      <c r="A539" t="str">
        <f>"035002"</f>
        <v>035002</v>
      </c>
      <c r="B539" t="str">
        <f>"Transformer Assy.110/220v"</f>
        <v>Transformer Assy.110/220v</v>
      </c>
      <c r="C539" t="str">
        <f t="shared" ref="C539:C557" si="27">"Active"</f>
        <v>Active</v>
      </c>
    </row>
    <row r="540" spans="1:3" ht="18" customHeight="1">
      <c r="A540" t="str">
        <f>"035003"</f>
        <v>035003</v>
      </c>
      <c r="B540" t="str">
        <f>"Controller, Coil Assy, Gripper, ER5/ER7"</f>
        <v>Controller, Coil Assy, Gripper, ER5/ER7</v>
      </c>
      <c r="C540" t="str">
        <f t="shared" si="27"/>
        <v>Active</v>
      </c>
    </row>
    <row r="541" spans="1:3" ht="18" customHeight="1">
      <c r="A541" t="str">
        <f>"035018"</f>
        <v>035018</v>
      </c>
      <c r="B541" t="str">
        <f>"Display Panel Assy., Controller B"</f>
        <v>Display Panel Assy., Controller B</v>
      </c>
      <c r="C541" t="str">
        <f t="shared" si="27"/>
        <v>Active</v>
      </c>
    </row>
    <row r="542" spans="1:3" ht="18" customHeight="1">
      <c r="A542" t="str">
        <f>"035022"</f>
        <v>035022</v>
      </c>
      <c r="B542" t="str">
        <f>"Controller B-CHOCK 10micH"</f>
        <v>Controller B-CHOCK 10micH</v>
      </c>
      <c r="C542" t="str">
        <f t="shared" si="27"/>
        <v>Active</v>
      </c>
    </row>
    <row r="543" spans="1:3" ht="18" customHeight="1">
      <c r="A543" t="str">
        <f>"035024"</f>
        <v>035024</v>
      </c>
      <c r="B543" t="str">
        <f>"EMERGENCY BY-PASS PLUG"</f>
        <v>EMERGENCY BY-PASS PLUG</v>
      </c>
      <c r="C543" t="str">
        <f t="shared" si="27"/>
        <v>Active</v>
      </c>
    </row>
    <row r="544" spans="1:3" ht="18" customHeight="1">
      <c r="A544" t="str">
        <f>"035030"</f>
        <v>035030</v>
      </c>
      <c r="B544" t="str">
        <f>"Station box, OPEN CIM"</f>
        <v>Station box, OPEN CIM</v>
      </c>
      <c r="C544" t="str">
        <f t="shared" si="27"/>
        <v>Active</v>
      </c>
    </row>
    <row r="545" spans="1:3" ht="18" customHeight="1">
      <c r="A545" t="str">
        <f>"035031"</f>
        <v>035031</v>
      </c>
      <c r="B545" t="str">
        <f>"Plate- Back  A/B PLC,  5 STATIONS"</f>
        <v>Plate- Back  A/B PLC,  5 STATIONS</v>
      </c>
      <c r="C545" t="str">
        <f t="shared" si="27"/>
        <v>Active</v>
      </c>
    </row>
    <row r="546" spans="1:3" ht="18" customHeight="1">
      <c r="A546" t="str">
        <f>"035032"</f>
        <v>035032</v>
      </c>
      <c r="B546" t="str">
        <f>"Plate- Back OMRON PLC,  5 STATIONS"</f>
        <v>Plate- Back OMRON PLC,  5 STATIONS</v>
      </c>
      <c r="C546" t="str">
        <f t="shared" si="27"/>
        <v>Active</v>
      </c>
    </row>
    <row r="547" spans="1:3" ht="18" customHeight="1">
      <c r="A547" t="str">
        <f>"035033"</f>
        <v>035033</v>
      </c>
      <c r="B547" t="str">
        <f>"Plate- Back OMRON PLC,  8 STATIONS"</f>
        <v>Plate- Back OMRON PLC,  8 STATIONS</v>
      </c>
      <c r="C547" t="str">
        <f t="shared" si="27"/>
        <v>Active</v>
      </c>
    </row>
    <row r="548" spans="1:3" ht="18" customHeight="1">
      <c r="A548" t="str">
        <f>"035034"</f>
        <v>035034</v>
      </c>
      <c r="B548" t="str">
        <f>"Plate- Back A/B PLC,  8 STATIONS"</f>
        <v>Plate- Back A/B PLC,  8 STATIONS</v>
      </c>
      <c r="C548" t="str">
        <f t="shared" si="27"/>
        <v>Active</v>
      </c>
    </row>
    <row r="549" spans="1:3" ht="18" customHeight="1">
      <c r="A549" t="str">
        <f>"035037"</f>
        <v>035037</v>
      </c>
      <c r="B549" t="str">
        <f>"Terminal Block Assembly, PLC Line"</f>
        <v>Terminal Block Assembly, PLC Line</v>
      </c>
      <c r="C549" t="str">
        <f t="shared" si="27"/>
        <v>Active</v>
      </c>
    </row>
    <row r="550" spans="1:3" ht="18" customHeight="1">
      <c r="A550" t="str">
        <f>"035044"</f>
        <v>035044</v>
      </c>
      <c r="B550" t="str">
        <f>"Power supply For Bar-cod, 110~230VAC"</f>
        <v>Power supply For Bar-cod, 110~230VAC</v>
      </c>
      <c r="C550" t="str">
        <f t="shared" si="27"/>
        <v>Active</v>
      </c>
    </row>
    <row r="551" spans="1:3" ht="18" customHeight="1">
      <c r="A551" t="str">
        <f>"035047"</f>
        <v>035047</v>
      </c>
      <c r="B551" t="str">
        <f>"Coil For Axis 5, Length 220 mm  ER2"</f>
        <v>Coil For Axis 5, Length 220 mm  ER2</v>
      </c>
      <c r="C551" t="str">
        <f t="shared" si="27"/>
        <v>Active</v>
      </c>
    </row>
    <row r="552" spans="1:3" ht="18" customHeight="1">
      <c r="A552" t="str">
        <f>"035057"</f>
        <v>035057</v>
      </c>
      <c r="B552" t="str">
        <f>"Controller PLC A/B  Assembly, MicroLogix"</f>
        <v>Controller PLC A/B  Assembly, MicroLogix</v>
      </c>
      <c r="C552" t="str">
        <f t="shared" si="27"/>
        <v>Active</v>
      </c>
    </row>
    <row r="553" spans="1:3" ht="18" customHeight="1">
      <c r="A553" t="str">
        <f>"035061"</f>
        <v>035061</v>
      </c>
      <c r="B553" t="str">
        <f>"Controller A/B SLC5/03 Assembly, 110v (American)"</f>
        <v>Controller A/B SLC5/03 Assembly, 110v (American)</v>
      </c>
      <c r="C553" t="str">
        <f t="shared" si="27"/>
        <v>Active</v>
      </c>
    </row>
    <row r="554" spans="1:3" ht="18" customHeight="1">
      <c r="A554" t="str">
        <f>"035062"</f>
        <v>035062</v>
      </c>
      <c r="B554" t="str">
        <f>"Transformer Assembly 110/220v,  USB Controller"</f>
        <v>Transformer Assembly 110/220v,  USB Controller</v>
      </c>
      <c r="C554" t="str">
        <f t="shared" si="27"/>
        <v>Active</v>
      </c>
    </row>
    <row r="555" spans="1:3" ht="18" customHeight="1">
      <c r="A555" t="str">
        <f>"035063"</f>
        <v>035063</v>
      </c>
      <c r="B555" t="str">
        <f>"Controller A/B Assy, SLC 500, 220v (EUROPE)"</f>
        <v>Controller A/B Assy, SLC 500, 220v (EUROPE)</v>
      </c>
      <c r="C555" t="str">
        <f t="shared" si="27"/>
        <v>Active</v>
      </c>
    </row>
    <row r="556" spans="1:3" ht="18" customHeight="1">
      <c r="A556" t="str">
        <f>"035068"</f>
        <v>035068</v>
      </c>
      <c r="B556" t="str">
        <f>"Plate- Back, PLC Siemens 8 station"</f>
        <v>Plate- Back, PLC Siemens 8 station</v>
      </c>
      <c r="C556" t="str">
        <f t="shared" si="27"/>
        <v>Active</v>
      </c>
    </row>
    <row r="557" spans="1:3" ht="18" customHeight="1">
      <c r="A557" t="str">
        <f>"035069"</f>
        <v>035069</v>
      </c>
      <c r="B557" t="str">
        <f>"Plate- Back, PLC Siemens 5 station"</f>
        <v>Plate- Back, PLC Siemens 5 station</v>
      </c>
      <c r="C557" t="str">
        <f t="shared" si="27"/>
        <v>Active</v>
      </c>
    </row>
    <row r="558" spans="1:3" ht="18" customHeight="1">
      <c r="A558" t="str">
        <f>"035070"</f>
        <v>035070</v>
      </c>
      <c r="B558" t="str">
        <f>"Plate-Back,without PLC"</f>
        <v>Plate-Back,without PLC</v>
      </c>
      <c r="C558" t="str">
        <f>"ECO-N2Mnf"</f>
        <v>ECO-N2Mnf</v>
      </c>
    </row>
    <row r="559" spans="1:3" ht="18" customHeight="1">
      <c r="A559" t="str">
        <f>"035071"</f>
        <v>035071</v>
      </c>
      <c r="B559" t="str">
        <f>"Power supply,  100-240v in. 12v"</f>
        <v>Power supply,  100-240v in. 12v</v>
      </c>
      <c r="C559" t="str">
        <f>"Inactive"</f>
        <v>Inactive</v>
      </c>
    </row>
    <row r="560" spans="1:3" ht="18" customHeight="1">
      <c r="A560" t="str">
        <f>"035072"</f>
        <v>035072</v>
      </c>
      <c r="B560" t="str">
        <f>"Power Supply 110~220 --&gt; 24VDC, 100W"</f>
        <v>Power Supply 110~220 --&gt; 24VDC, 100W</v>
      </c>
      <c r="C560" t="str">
        <f>"Phase Out"</f>
        <v>Phase Out</v>
      </c>
    </row>
    <row r="561" spans="1:3" ht="18" customHeight="1">
      <c r="A561" t="str">
        <f>"035073"</f>
        <v>035073</v>
      </c>
      <c r="B561" t="str">
        <f>"Power Supply 110/220 -&gt; 24VDC"</f>
        <v>Power Supply 110/220 -&gt; 24VDC</v>
      </c>
      <c r="C561" t="str">
        <f>"Phase Out"</f>
        <v>Phase Out</v>
      </c>
    </row>
    <row r="562" spans="1:3" ht="18" customHeight="1">
      <c r="A562" t="str">
        <f>"035074"</f>
        <v>035074</v>
      </c>
      <c r="B562" t="str">
        <f>"Adaptor box, ASRS36\Contr USB"</f>
        <v>Adaptor box, ASRS36\Contr USB</v>
      </c>
      <c r="C562" t="str">
        <f t="shared" ref="C562:C574" si="28">"Active"</f>
        <v>Active</v>
      </c>
    </row>
    <row r="563" spans="1:3" ht="18" customHeight="1">
      <c r="A563" t="str">
        <f>"035075"</f>
        <v>035075</v>
      </c>
      <c r="B563" t="str">
        <f>"Panel- Control, CIM Conveyor"</f>
        <v>Panel- Control, CIM Conveyor</v>
      </c>
      <c r="C563" t="str">
        <f t="shared" si="28"/>
        <v>Active</v>
      </c>
    </row>
    <row r="564" spans="1:3" ht="18" customHeight="1">
      <c r="A564" t="str">
        <f>"035076"</f>
        <v>035076</v>
      </c>
      <c r="B564" t="str">
        <f>"Switch- Button Harness  Wire bundle,  CIM"</f>
        <v>Switch- Button Harness  Wire bundle,  CIM</v>
      </c>
      <c r="C564" t="str">
        <f t="shared" si="28"/>
        <v>Active</v>
      </c>
    </row>
    <row r="565" spans="1:3" ht="18" customHeight="1">
      <c r="A565" t="str">
        <f>"035077"</f>
        <v>035077</v>
      </c>
      <c r="B565" t="str">
        <f>"Control Motor, CIM Conveyor"</f>
        <v>Control Motor, CIM Conveyor</v>
      </c>
      <c r="C565" t="str">
        <f t="shared" si="28"/>
        <v>Active</v>
      </c>
    </row>
    <row r="566" spans="1:3" ht="18" customHeight="1">
      <c r="A566" t="str">
        <f>"035079"</f>
        <v>035079</v>
      </c>
      <c r="B566" t="str">
        <f>"Button Harness EMRG for LSB with HP3/NXC"</f>
        <v>Button Harness EMRG for LSB with HP3/NXC</v>
      </c>
      <c r="C566" t="str">
        <f t="shared" si="28"/>
        <v>Active</v>
      </c>
    </row>
    <row r="567" spans="1:3" ht="18" customHeight="1">
      <c r="A567" t="str">
        <f>"035080"</f>
        <v>035080</v>
      </c>
      <c r="B567" t="str">
        <f>"I/O Box PSU Harness"</f>
        <v>I/O Box PSU Harness</v>
      </c>
      <c r="C567" t="str">
        <f t="shared" si="28"/>
        <v>Active</v>
      </c>
    </row>
    <row r="568" spans="1:3" ht="18" customHeight="1">
      <c r="A568" t="str">
        <f>"035081"</f>
        <v>035081</v>
      </c>
      <c r="B568" t="str">
        <f>"Controller PLC Siemens with HMI, Assembly"</f>
        <v>Controller PLC Siemens with HMI, Assembly</v>
      </c>
      <c r="C568" t="str">
        <f t="shared" si="28"/>
        <v>Active</v>
      </c>
    </row>
    <row r="569" spans="1:3" ht="18" customHeight="1">
      <c r="A569" t="str">
        <f>"035082"</f>
        <v>035082</v>
      </c>
      <c r="B569" t="str">
        <f>"Plate - Back OMRON PLC, 7 STATIONS"</f>
        <v>Plate - Back OMRON PLC, 7 STATIONS</v>
      </c>
      <c r="C569" t="str">
        <f t="shared" si="28"/>
        <v>Active</v>
      </c>
    </row>
    <row r="570" spans="1:3" ht="18" customHeight="1">
      <c r="A570" t="str">
        <f>"035088"</f>
        <v>035088</v>
      </c>
      <c r="B570" t="str">
        <f>"Converter DC  Assembly, ER400"</f>
        <v>Converter DC  Assembly, ER400</v>
      </c>
      <c r="C570" t="str">
        <f t="shared" si="28"/>
        <v>Active</v>
      </c>
    </row>
    <row r="571" spans="1:3" ht="18" customHeight="1">
      <c r="A571" t="str">
        <f>"035089"</f>
        <v>035089</v>
      </c>
      <c r="B571" t="str">
        <f>"Control Box, Light Barrier"</f>
        <v>Control Box, Light Barrier</v>
      </c>
      <c r="C571" t="str">
        <f t="shared" si="28"/>
        <v>Active</v>
      </c>
    </row>
    <row r="572" spans="1:3" ht="18" customHeight="1">
      <c r="A572" t="str">
        <f>"035090"</f>
        <v>035090</v>
      </c>
      <c r="B572" t="str">
        <f>"Flashlight- Emergency  Assembly, Light Barrier"</f>
        <v>Flashlight- Emergency  Assembly, Light Barrier</v>
      </c>
      <c r="C572" t="str">
        <f t="shared" si="28"/>
        <v>Active</v>
      </c>
    </row>
    <row r="573" spans="1:3" ht="18" customHeight="1">
      <c r="A573" t="str">
        <f>"035091"</f>
        <v>035091</v>
      </c>
      <c r="B573" t="str">
        <f>"Power Supply Desktop 24VDC, adapted to Solenoid"</f>
        <v>Power Supply Desktop 24VDC, adapted to Solenoid</v>
      </c>
      <c r="C573" t="str">
        <f t="shared" si="28"/>
        <v>Active</v>
      </c>
    </row>
    <row r="574" spans="1:3" ht="18" customHeight="1">
      <c r="A574" t="str">
        <f>"035092"</f>
        <v>035092</v>
      </c>
      <c r="B574" t="str">
        <f>"Diode Bridge Assembly, AGV"</f>
        <v>Diode Bridge Assembly, AGV</v>
      </c>
      <c r="C574" t="str">
        <f t="shared" si="28"/>
        <v>Active</v>
      </c>
    </row>
    <row r="575" spans="1:3" ht="18" customHeight="1">
      <c r="A575" t="str">
        <f>"035093"</f>
        <v>035093</v>
      </c>
      <c r="B575" t="str">
        <f>"Timer Assembly for Ball Feed"</f>
        <v>Timer Assembly for Ball Feed</v>
      </c>
      <c r="C575" t="str">
        <f>"ECO-N2Mnf"</f>
        <v>ECO-N2Mnf</v>
      </c>
    </row>
    <row r="576" spans="1:3" ht="18" customHeight="1">
      <c r="A576" t="str">
        <f>"035094"</f>
        <v>035094</v>
      </c>
      <c r="B576" t="str">
        <f>"Teach Pendant-USB/USBpro (New model) - Assembly"</f>
        <v>Teach Pendant-USB/USBpro (New model) - Assembly</v>
      </c>
      <c r="C576" t="str">
        <f>"Active"</f>
        <v>Active</v>
      </c>
    </row>
    <row r="577" spans="1:3" ht="18" customHeight="1">
      <c r="A577" t="str">
        <f>"035095"</f>
        <v>035095</v>
      </c>
      <c r="B577" t="str">
        <f>"Fan Fume Extractor, Assembly"</f>
        <v>Fan Fume Extractor, Assembly</v>
      </c>
      <c r="C577" t="str">
        <f>"Inactive"</f>
        <v>Inactive</v>
      </c>
    </row>
    <row r="578" spans="1:3" ht="18" customHeight="1">
      <c r="A578" t="str">
        <f>"035096"</f>
        <v>035096</v>
      </c>
      <c r="B578" t="str">
        <f>"Plate- Back, PLC Siemens PROFIBUS"</f>
        <v>Plate- Back, PLC Siemens PROFIBUS</v>
      </c>
      <c r="C578" t="str">
        <f>"ECO-N2Buy"</f>
        <v>ECO-N2Buy</v>
      </c>
    </row>
    <row r="579" spans="1:3" ht="18" customHeight="1">
      <c r="A579" t="str">
        <f>"035097"</f>
        <v>035097</v>
      </c>
      <c r="B579" t="str">
        <f>"Panel ON/OFF for Hydraulic Power Pack"</f>
        <v>Panel ON/OFF for Hydraulic Power Pack</v>
      </c>
      <c r="C579" t="str">
        <f>"Active"</f>
        <v>Active</v>
      </c>
    </row>
    <row r="580" spans="1:3" ht="18" customHeight="1">
      <c r="A580" t="str">
        <f>"035098"</f>
        <v>035098</v>
      </c>
      <c r="B580" t="str">
        <f>"Plate-Back, PLC S7-1211C, PROFINET"</f>
        <v>Plate-Back, PLC S7-1211C, PROFINET</v>
      </c>
      <c r="C580" t="str">
        <f>"Not for sale"</f>
        <v>Not for sale</v>
      </c>
    </row>
    <row r="581" spans="1:3" ht="18" customHeight="1">
      <c r="A581" t="str">
        <f>"040001"</f>
        <v>040001</v>
      </c>
      <c r="B581" t="str">
        <f>"50 Pin Cable Assy. ER4U"</f>
        <v>50 Pin Cable Assy. ER4U</v>
      </c>
      <c r="C581" t="str">
        <f t="shared" ref="C581:C608" si="29">"Active"</f>
        <v>Active</v>
      </c>
    </row>
    <row r="582" spans="1:3" ht="18" customHeight="1">
      <c r="A582" t="str">
        <f>"040002"</f>
        <v>040002</v>
      </c>
      <c r="B582" t="str">
        <f>"Harness, Motor Gripper, ER3/4u/5/5plus"</f>
        <v>Harness, Motor Gripper, ER3/4u/5/5plus</v>
      </c>
      <c r="C582" t="str">
        <f t="shared" si="29"/>
        <v>Active</v>
      </c>
    </row>
    <row r="583" spans="1:3" ht="18" customHeight="1">
      <c r="A583" t="str">
        <f>"040005"</f>
        <v>040005</v>
      </c>
      <c r="B583" t="str">
        <f>"4 Pin Harness ER5/ER7 Controller"</f>
        <v>4 Pin Harness ER5/ER7 Controller</v>
      </c>
      <c r="C583" t="str">
        <f t="shared" si="29"/>
        <v>Active</v>
      </c>
    </row>
    <row r="584" spans="1:3" ht="18" customHeight="1">
      <c r="A584" t="str">
        <f>"040006"</f>
        <v>040006</v>
      </c>
      <c r="B584" t="str">
        <f>"2 Resistor Harness ER5/ER7 Controller"</f>
        <v>2 Resistor Harness ER5/ER7 Controller</v>
      </c>
      <c r="C584" t="str">
        <f t="shared" si="29"/>
        <v>Active</v>
      </c>
    </row>
    <row r="585" spans="1:3" ht="18" customHeight="1">
      <c r="A585" t="str">
        <f>"040007"</f>
        <v>040007</v>
      </c>
      <c r="B585" t="str">
        <f>"Diode Bridge Harn.-Brown ER5/ER7 Controller"</f>
        <v>Diode Bridge Harn.-Brown ER5/ER7 Controller</v>
      </c>
      <c r="C585" t="str">
        <f t="shared" si="29"/>
        <v>Active</v>
      </c>
    </row>
    <row r="586" spans="1:3" ht="18" customHeight="1">
      <c r="A586" t="str">
        <f>"040008"</f>
        <v>040008</v>
      </c>
      <c r="B586" t="str">
        <f>"Diode Bridge Harn.-Orange ER5/ER7 Controller"</f>
        <v>Diode Bridge Harn.-Orange ER5/ER7 Controller</v>
      </c>
      <c r="C586" t="str">
        <f t="shared" si="29"/>
        <v>Active</v>
      </c>
    </row>
    <row r="587" spans="1:3" ht="18" customHeight="1">
      <c r="A587" t="str">
        <f>"040009"</f>
        <v>040009</v>
      </c>
      <c r="B587" t="str">
        <f>"Transfrm.Cover-Grnd.Cable ER5/ER7 Controller"</f>
        <v>Transfrm.Cover-Grnd.Cable ER5/ER7 Controller</v>
      </c>
      <c r="C587" t="str">
        <f t="shared" si="29"/>
        <v>Active</v>
      </c>
    </row>
    <row r="588" spans="1:3" ht="18" customHeight="1">
      <c r="A588" t="str">
        <f>"040010"</f>
        <v>040010</v>
      </c>
      <c r="B588" t="str">
        <f>"Capacitator Ground Cable ER5/ER7 Controller"</f>
        <v>Capacitator Ground Cable ER5/ER7 Controller</v>
      </c>
      <c r="C588" t="str">
        <f t="shared" si="29"/>
        <v>Active</v>
      </c>
    </row>
    <row r="589" spans="1:3" ht="18" customHeight="1">
      <c r="A589" t="str">
        <f>"040014"</f>
        <v>040014</v>
      </c>
      <c r="B589" t="str">
        <f>"Harness, Diode Bridge  ER3"</f>
        <v>Harness, Diode Bridge  ER3</v>
      </c>
      <c r="C589" t="str">
        <f t="shared" si="29"/>
        <v>Active</v>
      </c>
    </row>
    <row r="590" spans="1:3" ht="18" customHeight="1">
      <c r="A590" t="str">
        <f>"040016"</f>
        <v>040016</v>
      </c>
      <c r="B590" t="str">
        <f>"Cable, Grounding , 310mm ; d=4.5"</f>
        <v>Cable, Grounding , 310mm ; d=4.5</v>
      </c>
      <c r="C590" t="str">
        <f t="shared" si="29"/>
        <v>Active</v>
      </c>
    </row>
    <row r="591" spans="1:3" ht="18" customHeight="1">
      <c r="A591" t="str">
        <f>"040017"</f>
        <v>040017</v>
      </c>
      <c r="B591" t="str">
        <f>"Gripper Jumper Cable  Controller A"</f>
        <v>Gripper Jumper Cable  Controller A</v>
      </c>
      <c r="C591" t="str">
        <f t="shared" si="29"/>
        <v>Active</v>
      </c>
    </row>
    <row r="592" spans="1:3" ht="18" customHeight="1">
      <c r="A592" t="str">
        <f>"040018"</f>
        <v>040018</v>
      </c>
      <c r="B592" t="str">
        <f>"Motor Power Harness ER5"</f>
        <v>Motor Power Harness ER5</v>
      </c>
      <c r="C592" t="str">
        <f t="shared" si="29"/>
        <v>Active</v>
      </c>
    </row>
    <row r="593" spans="1:3" ht="18" customHeight="1">
      <c r="A593" t="str">
        <f>"040019"</f>
        <v>040019</v>
      </c>
      <c r="B593" t="str">
        <f>"Switches Wiring for experiments table"</f>
        <v>Switches Wiring for experiments table</v>
      </c>
      <c r="C593" t="str">
        <f t="shared" si="29"/>
        <v>Active</v>
      </c>
    </row>
    <row r="594" spans="1:3" ht="18" customHeight="1">
      <c r="A594" t="str">
        <f>"040022"</f>
        <v>040022</v>
      </c>
      <c r="B594" t="str">
        <f>"Harness, Motor Power,  ER7 for Motors #1-#5"</f>
        <v>Harness, Motor Power,  ER7 for Motors #1-#5</v>
      </c>
      <c r="C594" t="str">
        <f t="shared" si="29"/>
        <v>Active</v>
      </c>
    </row>
    <row r="595" spans="1:3" ht="18" customHeight="1">
      <c r="A595" t="str">
        <f>"040023"</f>
        <v>040023</v>
      </c>
      <c r="B595" t="str">
        <f>"Harness, ER7 Encoder , Motor #5"</f>
        <v>Harness, ER7 Encoder , Motor #5</v>
      </c>
      <c r="C595" t="str">
        <f t="shared" si="29"/>
        <v>Active</v>
      </c>
    </row>
    <row r="596" spans="1:3" ht="18" customHeight="1">
      <c r="A596" t="str">
        <f>"040025"</f>
        <v>040025</v>
      </c>
      <c r="B596" t="str">
        <f>"Harness, Controller-Arm, ER7"</f>
        <v>Harness, Controller-Arm, ER7</v>
      </c>
      <c r="C596" t="str">
        <f t="shared" si="29"/>
        <v>Active</v>
      </c>
    </row>
    <row r="597" spans="1:3" ht="18" customHeight="1">
      <c r="A597" t="str">
        <f>"040041"</f>
        <v>040041</v>
      </c>
      <c r="B597" t="str">
        <f>"Harness, Gripper Coil, ER7"</f>
        <v>Harness, Gripper Coil, ER7</v>
      </c>
      <c r="C597" t="str">
        <f t="shared" si="29"/>
        <v>Active</v>
      </c>
    </row>
    <row r="598" spans="1:3" ht="18" customHeight="1">
      <c r="A598" t="str">
        <f>"040051"</f>
        <v>040051</v>
      </c>
      <c r="B598" t="str">
        <f>"Cable, Video, 5m, BNC-BNC"</f>
        <v>Cable, Video, 5m, BNC-BNC</v>
      </c>
      <c r="C598" t="str">
        <f t="shared" si="29"/>
        <v>Active</v>
      </c>
    </row>
    <row r="599" spans="1:3" ht="18" customHeight="1">
      <c r="A599" t="str">
        <f>"040075"</f>
        <v>040075</v>
      </c>
      <c r="B599" t="str">
        <f>"Cable RS232 PC to contr A"</f>
        <v>Cable RS232 PC to contr A</v>
      </c>
      <c r="C599" t="str">
        <f t="shared" si="29"/>
        <v>Active</v>
      </c>
    </row>
    <row r="600" spans="1:3" ht="18" customHeight="1">
      <c r="A600" t="str">
        <f>"040077"</f>
        <v>040077</v>
      </c>
      <c r="B600" t="str">
        <f>"Light Warning Assembly, Station&lt;&gt;LIGHT"</f>
        <v>Light Warning Assembly, Station&lt;&gt;LIGHT</v>
      </c>
      <c r="C600" t="str">
        <f t="shared" si="29"/>
        <v>Active</v>
      </c>
    </row>
    <row r="601" spans="1:3" ht="18" customHeight="1">
      <c r="A601" t="str">
        <f>"040081"</f>
        <v>040081</v>
      </c>
      <c r="B601" t="str">
        <f>"Harness, Cabinet, M.Board POWER&lt;&gt;P.SUPPL"</f>
        <v>Harness, Cabinet, M.Board POWER&lt;&gt;P.SUPPL</v>
      </c>
      <c r="C601" t="str">
        <f t="shared" si="29"/>
        <v>Active</v>
      </c>
    </row>
    <row r="602" spans="1:3" ht="18" customHeight="1">
      <c r="A602" t="str">
        <f>"040083"</f>
        <v>040083</v>
      </c>
      <c r="B602" t="str">
        <f>"Cable, Adaptor, D25 (M) &gt;&gt; D9 (F)"</f>
        <v>Cable, Adaptor, D25 (M) &gt;&gt; D9 (F)</v>
      </c>
      <c r="C602" t="str">
        <f t="shared" si="29"/>
        <v>Active</v>
      </c>
    </row>
    <row r="603" spans="1:3" ht="18" customHeight="1">
      <c r="A603" t="str">
        <f>"040089"</f>
        <v>040089</v>
      </c>
      <c r="B603" t="str">
        <f>"Harness, RESET Switch, Controller B"</f>
        <v>Harness, RESET Switch, Controller B</v>
      </c>
      <c r="C603" t="str">
        <f t="shared" si="29"/>
        <v>Active</v>
      </c>
    </row>
    <row r="604" spans="1:3" ht="18" customHeight="1">
      <c r="A604" t="str">
        <f>"040090"</f>
        <v>040090</v>
      </c>
      <c r="B604" t="str">
        <f>"Motor Switch Harness Controller B"</f>
        <v>Motor Switch Harness Controller B</v>
      </c>
      <c r="C604" t="str">
        <f t="shared" si="29"/>
        <v>Active</v>
      </c>
    </row>
    <row r="605" spans="1:3" ht="18" customHeight="1">
      <c r="A605" t="str">
        <f>"040092"</f>
        <v>040092</v>
      </c>
      <c r="B605" t="str">
        <f>"Harness, Motor, Controller B"</f>
        <v>Harness, Motor, Controller B</v>
      </c>
      <c r="C605" t="str">
        <f t="shared" si="29"/>
        <v>Active</v>
      </c>
    </row>
    <row r="606" spans="1:3" ht="18" customHeight="1">
      <c r="A606" t="str">
        <f>"040096"</f>
        <v>040096</v>
      </c>
      <c r="B606" t="str">
        <f>"Harness, Magnetic Reader Assy, OPEN CIM"</f>
        <v>Harness, Magnetic Reader Assy, OPEN CIM</v>
      </c>
      <c r="C606" t="str">
        <f t="shared" si="29"/>
        <v>Active</v>
      </c>
    </row>
    <row r="607" spans="1:3" ht="18" customHeight="1">
      <c r="A607" t="str">
        <f>"040107"</f>
        <v>040107</v>
      </c>
      <c r="B607" t="str">
        <f>"Harness, RS232, Controller B"</f>
        <v>Harness, RS232, Controller B</v>
      </c>
      <c r="C607" t="str">
        <f t="shared" si="29"/>
        <v>Active</v>
      </c>
    </row>
    <row r="608" spans="1:3" ht="18" customHeight="1">
      <c r="A608" t="str">
        <f>"040115"</f>
        <v>040115</v>
      </c>
      <c r="B608" t="str">
        <f>"Cable, Ground, 270mm x DI=4.5d+DI=5d"</f>
        <v>Cable, Ground, 270mm x DI=4.5d+DI=5d</v>
      </c>
      <c r="C608" t="str">
        <f t="shared" si="29"/>
        <v>Active</v>
      </c>
    </row>
    <row r="609" spans="1:3" ht="18" customHeight="1">
      <c r="A609" t="str">
        <f>"040118"</f>
        <v>040118</v>
      </c>
      <c r="B609" t="str">
        <f>"Harness, Turret Shoulder, Scorbot ER9"</f>
        <v>Harness, Turret Shoulder, Scorbot ER9</v>
      </c>
      <c r="C609" t="str">
        <f>"ECO-N2Mnf"</f>
        <v>ECO-N2Mnf</v>
      </c>
    </row>
    <row r="610" spans="1:3" ht="18" customHeight="1">
      <c r="A610" t="str">
        <f>"040119"</f>
        <v>040119</v>
      </c>
      <c r="B610" t="str">
        <f>"Harness, Shoulder Elbow, ER9"</f>
        <v>Harness, Shoulder Elbow, ER9</v>
      </c>
      <c r="C610" t="str">
        <f>"ECO-N2Mnf"</f>
        <v>ECO-N2Mnf</v>
      </c>
    </row>
    <row r="611" spans="1:3" ht="18" customHeight="1">
      <c r="A611" t="str">
        <f>"040120"</f>
        <v>040120</v>
      </c>
      <c r="B611" t="str">
        <f>"Harness, divided,  RS232x2"</f>
        <v>Harness, divided,  RS232x2</v>
      </c>
      <c r="C611" t="str">
        <f t="shared" ref="C611:C624" si="30">"Active"</f>
        <v>Active</v>
      </c>
    </row>
    <row r="612" spans="1:3" ht="18" customHeight="1">
      <c r="A612" t="str">
        <f>"040121"</f>
        <v>040121</v>
      </c>
      <c r="B612" t="str">
        <f>"Harness, Microsw Stand Cable Assy, ScoraER-14"</f>
        <v>Harness, Microsw Stand Cable Assy, ScoraER-14</v>
      </c>
      <c r="C612" t="str">
        <f t="shared" si="30"/>
        <v>Active</v>
      </c>
    </row>
    <row r="613" spans="1:3" ht="18" customHeight="1">
      <c r="A613" t="str">
        <f>"040122"</f>
        <v>040122</v>
      </c>
      <c r="B613" t="str">
        <f>"Harness, Microsw.Ring Assy.-Axis 2, SCORA ER-14"</f>
        <v>Harness, Microsw.Ring Assy.-Axis 2, SCORA ER-14</v>
      </c>
      <c r="C613" t="str">
        <f t="shared" si="30"/>
        <v>Active</v>
      </c>
    </row>
    <row r="614" spans="1:3" ht="18" customHeight="1">
      <c r="A614" t="str">
        <f>"040123"</f>
        <v>040123</v>
      </c>
      <c r="B614" t="str">
        <f>"Harness, Microsw.Ring Assy.-Axis 1, SCORA ER-14"</f>
        <v>Harness, Microsw.Ring Assy.-Axis 1, SCORA ER-14</v>
      </c>
      <c r="C614" t="str">
        <f t="shared" si="30"/>
        <v>Active</v>
      </c>
    </row>
    <row r="615" spans="1:3" ht="18" customHeight="1">
      <c r="A615" t="str">
        <f>"040124"</f>
        <v>040124</v>
      </c>
      <c r="B615" t="str">
        <f>"Cable, Encoder, Axis 1-3, Scorbot ER-9"</f>
        <v>Cable, Encoder, Axis 1-3, Scorbot ER-9</v>
      </c>
      <c r="C615" t="str">
        <f t="shared" si="30"/>
        <v>Active</v>
      </c>
    </row>
    <row r="616" spans="1:3" ht="18" customHeight="1">
      <c r="A616" t="str">
        <f>"040125"</f>
        <v>040125</v>
      </c>
      <c r="B616" t="str">
        <f>"Harness, Limit Switch, ER9  Brown"</f>
        <v>Harness, Limit Switch, ER9  Brown</v>
      </c>
      <c r="C616" t="str">
        <f t="shared" si="30"/>
        <v>Active</v>
      </c>
    </row>
    <row r="617" spans="1:3" ht="18" customHeight="1">
      <c r="A617" t="str">
        <f>"040126"</f>
        <v>040126</v>
      </c>
      <c r="B617" t="str">
        <f>"Harness, Limit Switch, ER9  Black"</f>
        <v>Harness, Limit Switch, ER9  Black</v>
      </c>
      <c r="C617" t="str">
        <f t="shared" si="30"/>
        <v>Active</v>
      </c>
    </row>
    <row r="618" spans="1:3" ht="18" customHeight="1">
      <c r="A618" t="str">
        <f>"040127"</f>
        <v>040127</v>
      </c>
      <c r="B618" t="str">
        <f>"Harness, Microsw.Ring Assy.-Axis 1, Scorbot ER-9"</f>
        <v>Harness, Microsw.Ring Assy.-Axis 1, Scorbot ER-9</v>
      </c>
      <c r="C618" t="str">
        <f t="shared" si="30"/>
        <v>Active</v>
      </c>
    </row>
    <row r="619" spans="1:3" ht="18" customHeight="1">
      <c r="A619" t="str">
        <f>"040128"</f>
        <v>040128</v>
      </c>
      <c r="B619" t="str">
        <f>"Harness, Microsw.Ring Assy.-Axis 2, Scorbot ER-9"</f>
        <v>Harness, Microsw.Ring Assy.-Axis 2, Scorbot ER-9</v>
      </c>
      <c r="C619" t="str">
        <f t="shared" si="30"/>
        <v>Active</v>
      </c>
    </row>
    <row r="620" spans="1:3" ht="18" customHeight="1">
      <c r="A620" t="str">
        <f>"040129"</f>
        <v>040129</v>
      </c>
      <c r="B620" t="str">
        <f>"Harness, Microsw.Ring Assy.-Axis 3, Scorbot ER-9"</f>
        <v>Harness, Microsw.Ring Assy.-Axis 3, Scorbot ER-9</v>
      </c>
      <c r="C620" t="str">
        <f t="shared" si="30"/>
        <v>Active</v>
      </c>
    </row>
    <row r="621" spans="1:3" ht="18" customHeight="1">
      <c r="A621" t="str">
        <f>"040130"</f>
        <v>040130</v>
      </c>
      <c r="B621" t="str">
        <f>"Cable, Encoder, Axis 4, Scorbot ER-9"</f>
        <v>Cable, Encoder, Axis 4, Scorbot ER-9</v>
      </c>
      <c r="C621" t="str">
        <f t="shared" si="30"/>
        <v>Active</v>
      </c>
    </row>
    <row r="622" spans="1:3" ht="18" customHeight="1">
      <c r="A622" t="str">
        <f>"040131"</f>
        <v>040131</v>
      </c>
      <c r="B622" t="str">
        <f>"Harness, Gripper, inside Arm ER9"</f>
        <v>Harness, Gripper, inside Arm ER9</v>
      </c>
      <c r="C622" t="str">
        <f t="shared" si="30"/>
        <v>Active</v>
      </c>
    </row>
    <row r="623" spans="1:3" ht="18" customHeight="1">
      <c r="A623" t="str">
        <f>"040132"</f>
        <v>040132</v>
      </c>
      <c r="B623" t="str">
        <f>"Harness, Switch Cable, For Axis 4 (Pitch) ER9"</f>
        <v>Harness, Switch Cable, For Axis 4 (Pitch) ER9</v>
      </c>
      <c r="C623" t="str">
        <f t="shared" si="30"/>
        <v>Active</v>
      </c>
    </row>
    <row r="624" spans="1:3" ht="18" customHeight="1">
      <c r="A624" t="str">
        <f>"040133"</f>
        <v>040133</v>
      </c>
      <c r="B624" t="str">
        <f>"Harness, Home 4, Scorbot ER9"</f>
        <v>Harness, Home 4, Scorbot ER9</v>
      </c>
      <c r="C624" t="str">
        <f t="shared" si="30"/>
        <v>Active</v>
      </c>
    </row>
    <row r="625" spans="1:3" ht="18" customHeight="1">
      <c r="A625" t="str">
        <f>"040139"</f>
        <v>040139</v>
      </c>
      <c r="B625" t="str">
        <f>"Harness, Arm 1 to Arm 2, SCORA ER-14"</f>
        <v>Harness, Arm 1 to Arm 2, SCORA ER-14</v>
      </c>
      <c r="C625" t="str">
        <f>"ECO-N2Mnf"</f>
        <v>ECO-N2Mnf</v>
      </c>
    </row>
    <row r="626" spans="1:3" ht="18" customHeight="1">
      <c r="A626" t="str">
        <f>"040140"</f>
        <v>040140</v>
      </c>
      <c r="B626" t="str">
        <f>"Harness, Gripper, GRP Type(C) ER7/9/14"</f>
        <v>Harness, Gripper, GRP Type(C) ER7/9/14</v>
      </c>
      <c r="C626" t="str">
        <f t="shared" ref="C626:C657" si="31">"Active"</f>
        <v>Active</v>
      </c>
    </row>
    <row r="627" spans="1:3" ht="18" customHeight="1">
      <c r="A627" t="str">
        <f>"040156"</f>
        <v>040156</v>
      </c>
      <c r="B627" t="str">
        <f>"Harness, Power motors  Axis1, SCORA ER 14PRO"</f>
        <v>Harness, Power motors  Axis1, SCORA ER 14PRO</v>
      </c>
      <c r="C627" t="str">
        <f t="shared" si="31"/>
        <v>Active</v>
      </c>
    </row>
    <row r="628" spans="1:3" ht="18" customHeight="1">
      <c r="A628" t="str">
        <f>"040157"</f>
        <v>040157</v>
      </c>
      <c r="B628" t="str">
        <f>"Harness, Power motors Axis2, SCORA ER 14PRO"</f>
        <v>Harness, Power motors Axis2, SCORA ER 14PRO</v>
      </c>
      <c r="C628" t="str">
        <f t="shared" si="31"/>
        <v>Active</v>
      </c>
    </row>
    <row r="629" spans="1:3" ht="18" customHeight="1">
      <c r="A629" t="str">
        <f>"040158"</f>
        <v>040158</v>
      </c>
      <c r="B629" t="str">
        <f>"Harness, Grounding I/O Box"</f>
        <v>Harness, Grounding I/O Box</v>
      </c>
      <c r="C629" t="str">
        <f t="shared" si="31"/>
        <v>Active</v>
      </c>
    </row>
    <row r="630" spans="1:3" ht="18" customHeight="1">
      <c r="A630" t="str">
        <f>"040159"</f>
        <v>040159</v>
      </c>
      <c r="B630" t="str">
        <f>"Cable, Encoder, Axis 1, SCORA ER 14PRO"</f>
        <v>Cable, Encoder, Axis 1, SCORA ER 14PRO</v>
      </c>
      <c r="C630" t="str">
        <f t="shared" si="31"/>
        <v>Active</v>
      </c>
    </row>
    <row r="631" spans="1:3" ht="18" customHeight="1">
      <c r="A631" t="str">
        <f>"040160"</f>
        <v>040160</v>
      </c>
      <c r="B631" t="str">
        <f>"Harness, Limit Switch Z Axis, SCORA ER 14PRO"</f>
        <v>Harness, Limit Switch Z Axis, SCORA ER 14PRO</v>
      </c>
      <c r="C631" t="str">
        <f t="shared" si="31"/>
        <v>Active</v>
      </c>
    </row>
    <row r="632" spans="1:3" ht="18" customHeight="1">
      <c r="A632" t="str">
        <f>"040161"</f>
        <v>040161</v>
      </c>
      <c r="B632" t="str">
        <f>"Harness, Home Axis ROLL , SCORA ER 14PRO"</f>
        <v>Harness, Home Axis ROLL , SCORA ER 14PRO</v>
      </c>
      <c r="C632" t="str">
        <f t="shared" si="31"/>
        <v>Active</v>
      </c>
    </row>
    <row r="633" spans="1:3" ht="18" customHeight="1">
      <c r="A633" t="str">
        <f>"040162"</f>
        <v>040162</v>
      </c>
      <c r="B633" t="str">
        <f>"Harness, Power motors, ROLL-Z SCORA ER 14PRO"</f>
        <v>Harness, Power motors, ROLL-Z SCORA ER 14PRO</v>
      </c>
      <c r="C633" t="str">
        <f t="shared" si="31"/>
        <v>Active</v>
      </c>
    </row>
    <row r="634" spans="1:3" ht="18" customHeight="1">
      <c r="A634" t="str">
        <f>"040163"</f>
        <v>040163</v>
      </c>
      <c r="B634" t="str">
        <f>"Harness, Warning Light, SCORA ER 14PRO"</f>
        <v>Harness, Warning Light, SCORA ER 14PRO</v>
      </c>
      <c r="C634" t="str">
        <f t="shared" si="31"/>
        <v>Active</v>
      </c>
    </row>
    <row r="635" spans="1:3" ht="18" customHeight="1">
      <c r="A635" t="str">
        <f>"040165"</f>
        <v>040165</v>
      </c>
      <c r="B635" t="str">
        <f>"Cable, Encoder, Axis 2, SCORA ER 14PRO"</f>
        <v>Cable, Encoder, Axis 2, SCORA ER 14PRO</v>
      </c>
      <c r="C635" t="str">
        <f t="shared" si="31"/>
        <v>Active</v>
      </c>
    </row>
    <row r="636" spans="1:3" ht="18" customHeight="1">
      <c r="A636" t="str">
        <f>"040170"</f>
        <v>040170</v>
      </c>
      <c r="B636" t="str">
        <f>"Harness, Grounding, CIM P.L.C CABINET"</f>
        <v>Harness, Grounding, CIM P.L.C CABINET</v>
      </c>
      <c r="C636" t="str">
        <f t="shared" si="31"/>
        <v>Active</v>
      </c>
    </row>
    <row r="637" spans="1:3" ht="18" customHeight="1">
      <c r="A637" t="str">
        <f>"040171"</f>
        <v>040171</v>
      </c>
      <c r="B637" t="str">
        <f>"Assembly. GRP cable(type C) for MK2"</f>
        <v>Assembly. GRP cable(type C) for MK2</v>
      </c>
      <c r="C637" t="str">
        <f t="shared" si="31"/>
        <v>Active</v>
      </c>
    </row>
    <row r="638" spans="1:3" ht="18" customHeight="1">
      <c r="A638" t="str">
        <f>"040175"</f>
        <v>040175</v>
      </c>
      <c r="B638" t="str">
        <f>"Cable Assy, Controller B,X-YTable,LSB"</f>
        <v>Cable Assy, Controller B,X-YTable,LSB</v>
      </c>
      <c r="C638" t="str">
        <f t="shared" si="31"/>
        <v>Active</v>
      </c>
    </row>
    <row r="639" spans="1:3" ht="18" customHeight="1">
      <c r="A639" t="str">
        <f>"040178"</f>
        <v>040178</v>
      </c>
      <c r="B639" t="str">
        <f>"Harness, Emergency/auto"</f>
        <v>Harness, Emergency/auto</v>
      </c>
      <c r="C639" t="str">
        <f t="shared" si="31"/>
        <v>Active</v>
      </c>
    </row>
    <row r="640" spans="1:3" ht="18" customHeight="1">
      <c r="A640" t="str">
        <f>"040186"</f>
        <v>040186</v>
      </c>
      <c r="B640" t="str">
        <f>"Cable, Encoder, Axis 5,  Scorbot ER2U"</f>
        <v>Cable, Encoder, Axis 5,  Scorbot ER2U</v>
      </c>
      <c r="C640" t="str">
        <f t="shared" si="31"/>
        <v>Active</v>
      </c>
    </row>
    <row r="641" spans="1:3" ht="18" customHeight="1">
      <c r="A641" t="str">
        <f>"040187"</f>
        <v>040187</v>
      </c>
      <c r="B641" t="str">
        <f>"Cable, Encoder, Axis 1,  Scorbot ER2U"</f>
        <v>Cable, Encoder, Axis 1,  Scorbot ER2U</v>
      </c>
      <c r="C641" t="str">
        <f t="shared" si="31"/>
        <v>Active</v>
      </c>
    </row>
    <row r="642" spans="1:3" ht="18" customHeight="1">
      <c r="A642" t="str">
        <f>"040188"</f>
        <v>040188</v>
      </c>
      <c r="B642" t="str">
        <f>"Cable, Encoder, Axis 2,  Scorbot ER2U"</f>
        <v>Cable, Encoder, Axis 2,  Scorbot ER2U</v>
      </c>
      <c r="C642" t="str">
        <f t="shared" si="31"/>
        <v>Active</v>
      </c>
    </row>
    <row r="643" spans="1:3" ht="18" customHeight="1">
      <c r="A643" t="str">
        <f>"040189"</f>
        <v>040189</v>
      </c>
      <c r="B643" t="str">
        <f>"Cable, Encoder, Axis 3,  Scorbot ER2U"</f>
        <v>Cable, Encoder, Axis 3,  Scorbot ER2U</v>
      </c>
      <c r="C643" t="str">
        <f t="shared" si="31"/>
        <v>Active</v>
      </c>
    </row>
    <row r="644" spans="1:3" ht="18" customHeight="1">
      <c r="A644" t="str">
        <f>"040190"</f>
        <v>040190</v>
      </c>
      <c r="B644" t="str">
        <f>"Cable, Encoder, Axis 4,  Scorbot ER2U"</f>
        <v>Cable, Encoder, Axis 4,  Scorbot ER2U</v>
      </c>
      <c r="C644" t="str">
        <f t="shared" si="31"/>
        <v>Active</v>
      </c>
    </row>
    <row r="645" spans="1:3" ht="18" customHeight="1">
      <c r="A645" t="str">
        <f>"040191"</f>
        <v>040191</v>
      </c>
      <c r="B645" t="str">
        <f>"Harness, Power motors, Scorbot ER2U"</f>
        <v>Harness, Power motors, Scorbot ER2U</v>
      </c>
      <c r="C645" t="str">
        <f t="shared" si="31"/>
        <v>Active</v>
      </c>
    </row>
    <row r="646" spans="1:3" ht="18" customHeight="1">
      <c r="A646" t="str">
        <f>"040195"</f>
        <v>040195</v>
      </c>
      <c r="B646" t="str">
        <f>"Motor Assembly for Conveyor Belt(24V)"</f>
        <v>Motor Assembly for Conveyor Belt(24V)</v>
      </c>
      <c r="C646" t="str">
        <f t="shared" si="31"/>
        <v>Active</v>
      </c>
    </row>
    <row r="647" spans="1:3" ht="18" customHeight="1">
      <c r="A647" t="str">
        <f>"040196"</f>
        <v>040196</v>
      </c>
      <c r="B647" t="str">
        <f>"Cable, Valve pneumatic, 5/2 Sol."</f>
        <v>Cable, Valve pneumatic, 5/2 Sol.</v>
      </c>
      <c r="C647" t="str">
        <f t="shared" si="31"/>
        <v>Active</v>
      </c>
    </row>
    <row r="648" spans="1:3" ht="18" customHeight="1">
      <c r="A648" t="str">
        <f>"040197"</f>
        <v>040197</v>
      </c>
      <c r="B648" t="str">
        <f>"Cable Assy, Valve , Solenoid-Spring"</f>
        <v>Cable Assy, Valve , Solenoid-Spring</v>
      </c>
      <c r="C648" t="str">
        <f t="shared" si="31"/>
        <v>Active</v>
      </c>
    </row>
    <row r="649" spans="1:3" ht="18" customHeight="1">
      <c r="A649" t="str">
        <f>"040198"</f>
        <v>040198</v>
      </c>
      <c r="B649" t="str">
        <f>"Harness, Sens. Inductive Prox."</f>
        <v>Harness, Sens. Inductive Prox.</v>
      </c>
      <c r="C649" t="str">
        <f t="shared" si="31"/>
        <v>Active</v>
      </c>
    </row>
    <row r="650" spans="1:3" ht="18" customHeight="1">
      <c r="A650" t="str">
        <f>"040221"</f>
        <v>040221</v>
      </c>
      <c r="B650" t="str">
        <f>"Harness, Grounding, 180mm x d=4.5mm"</f>
        <v>Harness, Grounding, 180mm x d=4.5mm</v>
      </c>
      <c r="C650" t="str">
        <f t="shared" si="31"/>
        <v>Active</v>
      </c>
    </row>
    <row r="651" spans="1:3" ht="18" customHeight="1">
      <c r="A651" t="str">
        <f>"040232"</f>
        <v>040232</v>
      </c>
      <c r="B651" t="str">
        <f>"Harness, Sens. magnetic"</f>
        <v>Harness, Sens. magnetic</v>
      </c>
      <c r="C651" t="str">
        <f t="shared" si="31"/>
        <v>Active</v>
      </c>
    </row>
    <row r="652" spans="1:3" ht="18" customHeight="1">
      <c r="A652" t="str">
        <f>"040233"</f>
        <v>040233</v>
      </c>
      <c r="B652" t="str">
        <f>"Cable, Valve, 4/3 Solenoid-  Solenoid"</f>
        <v>Cable, Valve, 4/3 Solenoid-  Solenoid</v>
      </c>
      <c r="C652" t="str">
        <f t="shared" si="31"/>
        <v>Active</v>
      </c>
    </row>
    <row r="653" spans="1:3" ht="18" customHeight="1">
      <c r="A653" t="str">
        <f>"040234"</f>
        <v>040234</v>
      </c>
      <c r="B653" t="str">
        <f>"Cable, Valve, 4/2  Solenoid-Spring"</f>
        <v>Cable, Valve, 4/2  Solenoid-Spring</v>
      </c>
      <c r="C653" t="str">
        <f t="shared" si="31"/>
        <v>Active</v>
      </c>
    </row>
    <row r="654" spans="1:3" ht="18" customHeight="1">
      <c r="A654" t="str">
        <f>"040235"</f>
        <v>040235</v>
      </c>
      <c r="B654" t="str">
        <f>"Cable, Valve, 2/2  Solenoid-Spring"</f>
        <v>Cable, Valve, 2/2  Solenoid-Spring</v>
      </c>
      <c r="C654" t="str">
        <f t="shared" si="31"/>
        <v>Active</v>
      </c>
    </row>
    <row r="655" spans="1:3" ht="18" customHeight="1">
      <c r="A655" t="str">
        <f>"040238"</f>
        <v>040238</v>
      </c>
      <c r="B655" t="str">
        <f>"Motor Cable Assy + Power Supply for Ball Feeder"</f>
        <v>Motor Cable Assy + Power Supply for Ball Feeder</v>
      </c>
      <c r="C655" t="str">
        <f t="shared" si="31"/>
        <v>Active</v>
      </c>
    </row>
    <row r="656" spans="1:3" ht="18" customHeight="1">
      <c r="A656" t="str">
        <f>"040240"</f>
        <v>040240</v>
      </c>
      <c r="B656" t="str">
        <f>"Cable, IN/OUT PLC &lt;&gt; Mother Board"</f>
        <v>Cable, IN/OUT PLC &lt;&gt; Mother Board</v>
      </c>
      <c r="C656" t="str">
        <f t="shared" si="31"/>
        <v>Active</v>
      </c>
    </row>
    <row r="657" spans="1:3" ht="18" customHeight="1">
      <c r="A657" t="str">
        <f>"040242"</f>
        <v>040242</v>
      </c>
      <c r="B657" t="str">
        <f>"Cable, RS232  5m, D-type 9F to 9M"</f>
        <v>Cable, RS232  5m, D-type 9F to 9M</v>
      </c>
      <c r="C657" t="str">
        <f t="shared" si="31"/>
        <v>Active</v>
      </c>
    </row>
    <row r="658" spans="1:3" ht="18" customHeight="1">
      <c r="A658" t="str">
        <f>"040243"</f>
        <v>040243</v>
      </c>
      <c r="B658" t="str">
        <f>"Harness, Control Cabinet PLC &lt;&lt;=&gt;&gt; P.SUPPL"</f>
        <v>Harness, Control Cabinet PLC &lt;&lt;=&gt;&gt; P.SUPPL</v>
      </c>
      <c r="C658" t="str">
        <f>"ECO-N2Buy"</f>
        <v>ECO-N2Buy</v>
      </c>
    </row>
    <row r="659" spans="1:3" ht="18" customHeight="1">
      <c r="A659" t="str">
        <f>"040244"</f>
        <v>040244</v>
      </c>
      <c r="B659" t="str">
        <f>"Cable, Solenoid+ Diode,  0.1 m,  OPEN CIM"</f>
        <v>Cable, Solenoid+ Diode,  0.1 m,  OPEN CIM</v>
      </c>
      <c r="C659" t="str">
        <f t="shared" ref="C659:C690" si="32">"Active"</f>
        <v>Active</v>
      </c>
    </row>
    <row r="660" spans="1:3" ht="18" customHeight="1">
      <c r="A660" t="str">
        <f>"040247"</f>
        <v>040247</v>
      </c>
      <c r="B660" t="str">
        <f>"Cable Assy, Maine, For  X-Y Table."</f>
        <v>Cable Assy, Maine, For  X-Y Table.</v>
      </c>
      <c r="C660" t="str">
        <f t="shared" si="32"/>
        <v>Active</v>
      </c>
    </row>
    <row r="661" spans="1:3" ht="18" customHeight="1">
      <c r="A661" t="str">
        <f>"040248"</f>
        <v>040248</v>
      </c>
      <c r="B661" t="str">
        <f>"Harness, EMERGENCY Switch, PC/USB Controller"</f>
        <v>Harness, EMERGENCY Switch, PC/USB Controller</v>
      </c>
      <c r="C661" t="str">
        <f t="shared" si="32"/>
        <v>Active</v>
      </c>
    </row>
    <row r="662" spans="1:3" ht="18" customHeight="1">
      <c r="A662" t="str">
        <f>"040252"</f>
        <v>040252</v>
      </c>
      <c r="B662" t="str">
        <f>"Cable,  Controller B  RS232, D9F&lt;X&gt;D9F"</f>
        <v>Cable,  Controller B  RS232, D9F&lt;X&gt;D9F</v>
      </c>
      <c r="C662" t="str">
        <f t="shared" si="32"/>
        <v>Active</v>
      </c>
    </row>
    <row r="663" spans="1:3" ht="18" customHeight="1">
      <c r="A663" t="str">
        <f>"040253"</f>
        <v>040253</v>
      </c>
      <c r="B663" t="str">
        <f>"Plug- Shorting  TP input, USB Controller"</f>
        <v>Plug- Shorting  TP input, USB Controller</v>
      </c>
      <c r="C663" t="str">
        <f t="shared" si="32"/>
        <v>Active</v>
      </c>
    </row>
    <row r="664" spans="1:3" ht="18" customHeight="1">
      <c r="A664" t="str">
        <f>"040280"</f>
        <v>040280</v>
      </c>
      <c r="B664" t="str">
        <f>"Cable, SENSOR Photoelectrical"</f>
        <v>Cable, SENSOR Photoelectrical</v>
      </c>
      <c r="C664" t="str">
        <f t="shared" si="32"/>
        <v>Active</v>
      </c>
    </row>
    <row r="665" spans="1:3" ht="18" customHeight="1">
      <c r="A665" t="str">
        <f>"040288"</f>
        <v>040288</v>
      </c>
      <c r="B665" t="str">
        <f>"Cable Assy,  Encoder's/Motor's  , LSB"</f>
        <v>Cable Assy,  Encoder's/Motor's  , LSB</v>
      </c>
      <c r="C665" t="str">
        <f t="shared" si="32"/>
        <v>Active</v>
      </c>
    </row>
    <row r="666" spans="1:3" ht="18" customHeight="1">
      <c r="A666" t="str">
        <f>"040289"</f>
        <v>040289</v>
      </c>
      <c r="B666" t="str">
        <f>"Harness, optical switch, LSB BELT"</f>
        <v>Harness, optical switch, LSB BELT</v>
      </c>
      <c r="C666" t="str">
        <f t="shared" si="32"/>
        <v>Active</v>
      </c>
    </row>
    <row r="667" spans="1:3" ht="18" customHeight="1">
      <c r="A667" t="str">
        <f>"040291"</f>
        <v>040291</v>
      </c>
      <c r="B667" t="str">
        <f>"Cable, Valve, Right, 5/2 Air-Air (Sol-Sol)"</f>
        <v>Cable, Valve, Right, 5/2 Air-Air (Sol-Sol)</v>
      </c>
      <c r="C667" t="str">
        <f t="shared" si="32"/>
        <v>Active</v>
      </c>
    </row>
    <row r="668" spans="1:3" ht="18" customHeight="1">
      <c r="A668" t="str">
        <f>"040292"</f>
        <v>040292</v>
      </c>
      <c r="B668" t="str">
        <f>"Cable, Valve,  Left, 5/2 Air-Air (Sol-Sol)"</f>
        <v>Cable, Valve,  Left, 5/2 Air-Air (Sol-Sol)</v>
      </c>
      <c r="C668" t="str">
        <f t="shared" si="32"/>
        <v>Active</v>
      </c>
    </row>
    <row r="669" spans="1:3" ht="18" customHeight="1">
      <c r="A669" t="str">
        <f>"040296"</f>
        <v>040296</v>
      </c>
      <c r="B669" t="str">
        <f>"Cable, Fiber Optic  200mm, SensorLine"</f>
        <v>Cable, Fiber Optic  200mm, SensorLine</v>
      </c>
      <c r="C669" t="str">
        <f t="shared" si="32"/>
        <v>Active</v>
      </c>
    </row>
    <row r="670" spans="1:3" ht="18" customHeight="1">
      <c r="A670" t="str">
        <f>"040297"</f>
        <v>040297</v>
      </c>
      <c r="B670" t="str">
        <f>"Cable, Main LSB  5 m, Flour-Mounted"</f>
        <v>Cable, Main LSB  5 m, Flour-Mounted</v>
      </c>
      <c r="C670" t="str">
        <f t="shared" si="32"/>
        <v>Active</v>
      </c>
    </row>
    <row r="671" spans="1:3" ht="18" customHeight="1">
      <c r="A671" t="str">
        <f>"040301"</f>
        <v>040301</v>
      </c>
      <c r="B671" t="str">
        <f>"Harness, Red Banana- WAGO Connector 120mm"</f>
        <v>Harness, Red Banana- WAGO Connector 120mm</v>
      </c>
      <c r="C671" t="str">
        <f t="shared" si="32"/>
        <v>Active</v>
      </c>
    </row>
    <row r="672" spans="1:3" ht="18" customHeight="1">
      <c r="A672" t="str">
        <f>"040302"</f>
        <v>040302</v>
      </c>
      <c r="B672" t="str">
        <f>"Harness, Green Banana-WAGO Connector 100mm"</f>
        <v>Harness, Green Banana-WAGO Connector 100mm</v>
      </c>
      <c r="C672" t="str">
        <f t="shared" si="32"/>
        <v>Active</v>
      </c>
    </row>
    <row r="673" spans="1:3" ht="18" customHeight="1">
      <c r="A673" t="str">
        <f>"040303"</f>
        <v>040303</v>
      </c>
      <c r="B673" t="str">
        <f>"Harness, Green Banana-WAGO Connector 450mm, COM"</f>
        <v>Harness, Green Banana-WAGO Connector 450mm, COM</v>
      </c>
      <c r="C673" t="str">
        <f t="shared" si="32"/>
        <v>Active</v>
      </c>
    </row>
    <row r="674" spans="1:3" ht="18" customHeight="1">
      <c r="A674" t="str">
        <f>"040304"</f>
        <v>040304</v>
      </c>
      <c r="B674" t="str">
        <f>"Harness, Red Banana-WAGO Connector 470mm, 24V+"</f>
        <v>Harness, Red Banana-WAGO Connector 470mm, 24V+</v>
      </c>
      <c r="C674" t="str">
        <f t="shared" si="32"/>
        <v>Active</v>
      </c>
    </row>
    <row r="675" spans="1:3" ht="18" customHeight="1">
      <c r="A675" t="str">
        <f>"040305"</f>
        <v>040305</v>
      </c>
      <c r="B675" t="str">
        <f>"Harness, Black Banana-WAGO Connector 470mm, 24V-"</f>
        <v>Harness, Black Banana-WAGO Connector 470mm, 24V-</v>
      </c>
      <c r="C675" t="str">
        <f t="shared" si="32"/>
        <v>Active</v>
      </c>
    </row>
    <row r="676" spans="1:3" ht="18" customHeight="1">
      <c r="A676" t="str">
        <f>"040306"</f>
        <v>040306</v>
      </c>
      <c r="B676" t="str">
        <f>"Harness, Green Banana 100mm"</f>
        <v>Harness, Green Banana 100mm</v>
      </c>
      <c r="C676" t="str">
        <f t="shared" si="32"/>
        <v>Active</v>
      </c>
    </row>
    <row r="677" spans="1:3" ht="18" customHeight="1">
      <c r="A677" t="str">
        <f>"040307"</f>
        <v>040307</v>
      </c>
      <c r="B677" t="str">
        <f>"Harness, Black Cable-WAGO Connectors 150mm"</f>
        <v>Harness, Black Cable-WAGO Connectors 150mm</v>
      </c>
      <c r="C677" t="str">
        <f t="shared" si="32"/>
        <v>Active</v>
      </c>
    </row>
    <row r="678" spans="1:3" ht="18" customHeight="1">
      <c r="A678" t="str">
        <f>"040308"</f>
        <v>040308</v>
      </c>
      <c r="B678" t="str">
        <f>"Harness, Green cable-WAGO Connectors 80mm"</f>
        <v>Harness, Green cable-WAGO Connectors 80mm</v>
      </c>
      <c r="C678" t="str">
        <f t="shared" si="32"/>
        <v>Active</v>
      </c>
    </row>
    <row r="679" spans="1:3" ht="18" customHeight="1">
      <c r="A679" t="str">
        <f>"040309"</f>
        <v>040309</v>
      </c>
      <c r="B679" t="str">
        <f>"Harness, Green Banana-WAGO Connector 100mm"</f>
        <v>Harness, Green Banana-WAGO Connector 100mm</v>
      </c>
      <c r="C679" t="str">
        <f t="shared" si="32"/>
        <v>Active</v>
      </c>
    </row>
    <row r="680" spans="1:3" ht="18" customHeight="1">
      <c r="A680" t="str">
        <f>"040312"</f>
        <v>040312</v>
      </c>
      <c r="B680" t="str">
        <f>"Cable, Sensor Line,  Induct."</f>
        <v>Cable, Sensor Line,  Induct.</v>
      </c>
      <c r="C680" t="str">
        <f t="shared" si="32"/>
        <v>Active</v>
      </c>
    </row>
    <row r="681" spans="1:3" ht="18" customHeight="1">
      <c r="A681" t="str">
        <f>"040313"</f>
        <v>040313</v>
      </c>
      <c r="B681" t="str">
        <f>"Cable,  Transmitter, L=460mm"</f>
        <v>Cable,  Transmitter, L=460mm</v>
      </c>
      <c r="C681" t="str">
        <f t="shared" si="32"/>
        <v>Active</v>
      </c>
    </row>
    <row r="682" spans="1:3" ht="18" customHeight="1">
      <c r="A682" t="str">
        <f>"040314"</f>
        <v>040314</v>
      </c>
      <c r="B682" t="str">
        <f>"Cable,  Receiver, L=300mm"</f>
        <v>Cable,  Receiver, L=300mm</v>
      </c>
      <c r="C682" t="str">
        <f t="shared" si="32"/>
        <v>Active</v>
      </c>
    </row>
    <row r="683" spans="1:3" ht="18" customHeight="1">
      <c r="A683" t="str">
        <f>"040315"</f>
        <v>040315</v>
      </c>
      <c r="B683" t="str">
        <f>"Cable for  potentiometer, 1 KA"</f>
        <v>Cable for  potentiometer, 1 KA</v>
      </c>
      <c r="C683" t="str">
        <f t="shared" si="32"/>
        <v>Active</v>
      </c>
    </row>
    <row r="684" spans="1:3" ht="18" customHeight="1">
      <c r="A684" t="str">
        <f>"040316"</f>
        <v>040316</v>
      </c>
      <c r="B684" t="str">
        <f>"Cable for Potentiometer, 10 KA"</f>
        <v>Cable for Potentiometer, 10 KA</v>
      </c>
      <c r="C684" t="str">
        <f t="shared" si="32"/>
        <v>Active</v>
      </c>
    </row>
    <row r="685" spans="1:3" ht="18" customHeight="1">
      <c r="A685" t="str">
        <f>"040317"</f>
        <v>040317</v>
      </c>
      <c r="B685" t="str">
        <f>"Cable for  Dimmer 3 posit"</f>
        <v>Cable for  Dimmer 3 posit</v>
      </c>
      <c r="C685" t="str">
        <f t="shared" si="32"/>
        <v>Active</v>
      </c>
    </row>
    <row r="686" spans="1:3" ht="18" customHeight="1">
      <c r="A686" t="str">
        <f>"040318"</f>
        <v>040318</v>
      </c>
      <c r="B686" t="str">
        <f>"Cable for Pressure Gauge, Banana"</f>
        <v>Cable for Pressure Gauge, Banana</v>
      </c>
      <c r="C686" t="str">
        <f t="shared" si="32"/>
        <v>Active</v>
      </c>
    </row>
    <row r="687" spans="1:3" ht="18" customHeight="1">
      <c r="A687" t="str">
        <f>"040319"</f>
        <v>040319</v>
      </c>
      <c r="B687" t="str">
        <f>"Cable for  Buzzer + Leds"</f>
        <v>Cable for  Buzzer + Leds</v>
      </c>
      <c r="C687" t="str">
        <f t="shared" si="32"/>
        <v>Active</v>
      </c>
    </row>
    <row r="688" spans="1:3" ht="18" customHeight="1">
      <c r="A688" t="str">
        <f>"040320"</f>
        <v>040320</v>
      </c>
      <c r="B688" t="str">
        <f>"Cable for Fuse"</f>
        <v>Cable for Fuse</v>
      </c>
      <c r="C688" t="str">
        <f t="shared" si="32"/>
        <v>Active</v>
      </c>
    </row>
    <row r="689" spans="1:3" ht="18" customHeight="1">
      <c r="A689" t="str">
        <f>"040321"</f>
        <v>040321</v>
      </c>
      <c r="B689" t="str">
        <f>"Cable,  Pressure Gauge"</f>
        <v>Cable,  Pressure Gauge</v>
      </c>
      <c r="C689" t="str">
        <f t="shared" si="32"/>
        <v>Active</v>
      </c>
    </row>
    <row r="690" spans="1:3" ht="18" customHeight="1">
      <c r="A690" t="str">
        <f>"040322"</f>
        <v>040322</v>
      </c>
      <c r="B690" t="str">
        <f>"Controller A"</f>
        <v>Controller A</v>
      </c>
      <c r="C690" t="str">
        <f t="shared" si="32"/>
        <v>Active</v>
      </c>
    </row>
    <row r="691" spans="1:3" ht="18" customHeight="1">
      <c r="A691" t="str">
        <f>"040323"</f>
        <v>040323</v>
      </c>
      <c r="B691" t="str">
        <f>"Cable for fuse 2A"</f>
        <v>Cable for fuse 2A</v>
      </c>
      <c r="C691" t="str">
        <f t="shared" ref="C691:C709" si="33">"Active"</f>
        <v>Active</v>
      </c>
    </row>
    <row r="692" spans="1:3" ht="18" customHeight="1">
      <c r="A692" t="str">
        <f>"040324"</f>
        <v>040324</v>
      </c>
      <c r="B692" t="str">
        <f>"Cable for SENSOR M30"</f>
        <v>Cable for SENSOR M30</v>
      </c>
      <c r="C692" t="str">
        <f t="shared" si="33"/>
        <v>Active</v>
      </c>
    </row>
    <row r="693" spans="1:3" ht="18" customHeight="1">
      <c r="A693" t="str">
        <f>"040326"</f>
        <v>040326</v>
      </c>
      <c r="B693" t="str">
        <f>"Harness, Red wire PLCLine &lt;--&gt; PLC A/B"</f>
        <v>Harness, Red wire PLCLine &lt;--&gt; PLC A/B</v>
      </c>
      <c r="C693" t="str">
        <f t="shared" si="33"/>
        <v>Active</v>
      </c>
    </row>
    <row r="694" spans="1:3" ht="18" customHeight="1">
      <c r="A694" t="str">
        <f>"040327"</f>
        <v>040327</v>
      </c>
      <c r="B694" t="str">
        <f>"Harness, Black wire PLCLine &lt;--&gt; PLC A/B"</f>
        <v>Harness, Black wire PLCLine &lt;--&gt; PLC A/B</v>
      </c>
      <c r="C694" t="str">
        <f t="shared" si="33"/>
        <v>Active</v>
      </c>
    </row>
    <row r="695" spans="1:3" ht="18" customHeight="1">
      <c r="A695" t="str">
        <f>"040328"</f>
        <v>040328</v>
      </c>
      <c r="B695" t="str">
        <f>"Jumper for PLC A/B-Exits"</f>
        <v>Jumper for PLC A/B-Exits</v>
      </c>
      <c r="C695" t="str">
        <f t="shared" si="33"/>
        <v>Active</v>
      </c>
    </row>
    <row r="696" spans="1:3" ht="18" customHeight="1">
      <c r="A696" t="str">
        <f>"040330"</f>
        <v>040330</v>
      </c>
      <c r="B696" t="str">
        <f>"Cable WAGO Connector White W104 180mm"</f>
        <v>Cable WAGO Connector White W104 180mm</v>
      </c>
      <c r="C696" t="str">
        <f t="shared" si="33"/>
        <v>Active</v>
      </c>
    </row>
    <row r="697" spans="1:3" ht="18" customHeight="1">
      <c r="A697" t="str">
        <f>"040333"</f>
        <v>040333</v>
      </c>
      <c r="B697" t="str">
        <f>"Cable with Diode &amp;WAGO Connector, W103"</f>
        <v>Cable with Diode &amp;WAGO Connector, W103</v>
      </c>
      <c r="C697" t="str">
        <f t="shared" si="33"/>
        <v>Active</v>
      </c>
    </row>
    <row r="698" spans="1:3" ht="18" customHeight="1">
      <c r="A698" t="str">
        <f>"040335"</f>
        <v>040335</v>
      </c>
      <c r="B698" t="str">
        <f>"Cable, Red , 90mm"</f>
        <v>Cable, Red , 90mm</v>
      </c>
      <c r="C698" t="str">
        <f t="shared" si="33"/>
        <v>Active</v>
      </c>
    </row>
    <row r="699" spans="1:3" ht="18" customHeight="1">
      <c r="A699" t="str">
        <f>"040336"</f>
        <v>040336</v>
      </c>
      <c r="B699" t="str">
        <f>"Cable, Black , 90mm"</f>
        <v>Cable, Black , 90mm</v>
      </c>
      <c r="C699" t="str">
        <f t="shared" si="33"/>
        <v>Active</v>
      </c>
    </row>
    <row r="700" spans="1:3" ht="18" customHeight="1">
      <c r="A700" t="str">
        <f>"040337"</f>
        <v>040337</v>
      </c>
      <c r="B700" t="str">
        <f>"Cable, Power, PLC A/B 110v, AmerP.S."</f>
        <v>Cable, Power, PLC A/B 110v, AmerP.S.</v>
      </c>
      <c r="C700" t="str">
        <f t="shared" si="33"/>
        <v>Active</v>
      </c>
    </row>
    <row r="701" spans="1:3" ht="18" customHeight="1">
      <c r="A701" t="str">
        <f>"040338"</f>
        <v>040338</v>
      </c>
      <c r="B701" t="str">
        <f>"Harness Micros., Emergency/ ER4u Welding"</f>
        <v>Harness Micros., Emergency/ ER4u Welding</v>
      </c>
      <c r="C701" t="str">
        <f t="shared" si="33"/>
        <v>Active</v>
      </c>
    </row>
    <row r="702" spans="1:3" ht="18" customHeight="1">
      <c r="A702" t="str">
        <f>"040351"</f>
        <v>040351</v>
      </c>
      <c r="B702" t="str">
        <f>"Harness, Flat, Gripper Motor  ER-2"</f>
        <v>Harness, Flat, Gripper Motor  ER-2</v>
      </c>
      <c r="C702" t="str">
        <f t="shared" si="33"/>
        <v>Active</v>
      </c>
    </row>
    <row r="703" spans="1:3" ht="18" customHeight="1">
      <c r="A703" t="str">
        <f>"040352"</f>
        <v>040352</v>
      </c>
      <c r="B703" t="str">
        <f>"Cable, I/O gluing station"</f>
        <v>Cable, I/O gluing station</v>
      </c>
      <c r="C703" t="str">
        <f t="shared" si="33"/>
        <v>Active</v>
      </c>
    </row>
    <row r="704" spans="1:3" ht="18" customHeight="1">
      <c r="A704" t="str">
        <f>"040356"</f>
        <v>040356</v>
      </c>
      <c r="B704" t="str">
        <f>"Cable Assy. for PLC A/B 220v, Euro PS"</f>
        <v>Cable Assy. for PLC A/B 220v, Euro PS</v>
      </c>
      <c r="C704" t="str">
        <f t="shared" si="33"/>
        <v>Active</v>
      </c>
    </row>
    <row r="705" spans="1:3" ht="18" customHeight="1">
      <c r="A705" t="str">
        <f>"040357"</f>
        <v>040357</v>
      </c>
      <c r="B705" t="str">
        <f>"Microswitch Cable For Gravity Feeder"</f>
        <v>Microswitch Cable For Gravity Feeder</v>
      </c>
      <c r="C705" t="str">
        <f t="shared" si="33"/>
        <v>Active</v>
      </c>
    </row>
    <row r="706" spans="1:3" ht="18" customHeight="1">
      <c r="A706" t="str">
        <f>"040359"</f>
        <v>040359</v>
      </c>
      <c r="B706" t="str">
        <f>"Cable, Power &amp; Motor For Axis Lin., 12V - ASRS36"</f>
        <v>Cable, Power &amp; Motor For Axis Lin., 12V - ASRS36</v>
      </c>
      <c r="C706" t="str">
        <f t="shared" si="33"/>
        <v>Active</v>
      </c>
    </row>
    <row r="707" spans="1:3" ht="18" customHeight="1">
      <c r="A707" t="str">
        <f>"040360"</f>
        <v>040360</v>
      </c>
      <c r="B707" t="str">
        <f>"Cable, Power &amp; Motor For Axis T,  24v - ASRS 36"</f>
        <v>Cable, Power &amp; Motor For Axis T,  24v - ASRS 36</v>
      </c>
      <c r="C707" t="str">
        <f t="shared" si="33"/>
        <v>Active</v>
      </c>
    </row>
    <row r="708" spans="1:3" ht="18" customHeight="1">
      <c r="A708" t="str">
        <f>"040363"</f>
        <v>040363</v>
      </c>
      <c r="B708" t="str">
        <f>"Switches, Magnet (Pair) Cable  for ASRS 36"</f>
        <v>Switches, Magnet (Pair) Cable  for ASRS 36</v>
      </c>
      <c r="C708" t="str">
        <f t="shared" si="33"/>
        <v>Active</v>
      </c>
    </row>
    <row r="709" spans="1:3" ht="18" customHeight="1">
      <c r="A709" t="str">
        <f>"040395"</f>
        <v>040395</v>
      </c>
      <c r="B709" t="str">
        <f>"Cable, Solenoid + Diode  for  L=3,5m"</f>
        <v>Cable, Solenoid + Diode  for  L=3,5m</v>
      </c>
      <c r="C709" t="str">
        <f t="shared" si="33"/>
        <v>Active</v>
      </c>
    </row>
    <row r="710" spans="1:3" ht="18" customHeight="1">
      <c r="A710" t="str">
        <f>"040396"</f>
        <v>040396</v>
      </c>
      <c r="B710" t="str">
        <f>"cable Assy, Red Banana, 0.5m , tekDESIGN"</f>
        <v>cable Assy, Red Banana, 0.5m , tekDESIGN</v>
      </c>
      <c r="C710" t="str">
        <f>"Inactive"</f>
        <v>Inactive</v>
      </c>
    </row>
    <row r="711" spans="1:3" ht="18" customHeight="1">
      <c r="A711" t="str">
        <f>"040398"</f>
        <v>040398</v>
      </c>
      <c r="B711" t="str">
        <f>"Cable Assembly, Switch Magnet , tekDESIGN"</f>
        <v>Cable Assembly, Switch Magnet , tekDESIGN</v>
      </c>
      <c r="C711" t="str">
        <f>"Inactive"</f>
        <v>Inactive</v>
      </c>
    </row>
    <row r="712" spans="1:3" ht="18" customHeight="1">
      <c r="A712" t="str">
        <f>"040399"</f>
        <v>040399</v>
      </c>
      <c r="B712" t="str">
        <f>"Cable Assembly Microswitch , tekDESIGN"</f>
        <v>Cable Assembly Microswitch , tekDESIGN</v>
      </c>
      <c r="C712" t="str">
        <f>"Inactive"</f>
        <v>Inactive</v>
      </c>
    </row>
    <row r="713" spans="1:3" ht="18" customHeight="1">
      <c r="A713" t="str">
        <f>"040401"</f>
        <v>040401</v>
      </c>
      <c r="B713" t="str">
        <f>"Harness, Motor  Axis 5, ER9"</f>
        <v>Harness, Motor  Axis 5, ER9</v>
      </c>
      <c r="C713" t="str">
        <f t="shared" ref="C713:C736" si="34">"Active"</f>
        <v>Active</v>
      </c>
    </row>
    <row r="714" spans="1:3" ht="18" customHeight="1">
      <c r="A714" t="str">
        <f>"040412"</f>
        <v>040412</v>
      </c>
      <c r="B714" t="str">
        <f>"Cable, Grounding , 220mm x d=3 mm"</f>
        <v>Cable, Grounding , 220mm x d=3 mm</v>
      </c>
      <c r="C714" t="str">
        <f t="shared" si="34"/>
        <v>Active</v>
      </c>
    </row>
    <row r="715" spans="1:3" ht="18" customHeight="1">
      <c r="A715" t="str">
        <f>"040413"</f>
        <v>040413</v>
      </c>
      <c r="B715" t="str">
        <f>"Cable, Grounding, 135mm x d=3 mm"</f>
        <v>Cable, Grounding, 135mm x d=3 mm</v>
      </c>
      <c r="C715" t="str">
        <f t="shared" si="34"/>
        <v>Active</v>
      </c>
    </row>
    <row r="716" spans="1:3" ht="18" customHeight="1">
      <c r="A716" t="str">
        <f>"040416"</f>
        <v>040416</v>
      </c>
      <c r="B716" t="str">
        <f>"Harness,  Sens. S/L, LSB1800 for HP3 -3m&amp;1m"</f>
        <v>Harness,  Sens. S/L, LSB1800 for HP3 -3m&amp;1m</v>
      </c>
      <c r="C716" t="str">
        <f t="shared" si="34"/>
        <v>Active</v>
      </c>
    </row>
    <row r="717" spans="1:3" ht="18" customHeight="1">
      <c r="A717" t="str">
        <f>"040419"</f>
        <v>040419</v>
      </c>
      <c r="B717" t="str">
        <f>"Cable Assy, Blue, 220 mm"</f>
        <v>Cable Assy, Blue, 220 mm</v>
      </c>
      <c r="C717" t="str">
        <f t="shared" si="34"/>
        <v>Active</v>
      </c>
    </row>
    <row r="718" spans="1:3" ht="18" customHeight="1">
      <c r="A718" t="str">
        <f>"040420"</f>
        <v>040420</v>
      </c>
      <c r="B718" t="str">
        <f>"Cable Assy, Brown, 220 mm"</f>
        <v>Cable Assy, Brown, 220 mm</v>
      </c>
      <c r="C718" t="str">
        <f t="shared" si="34"/>
        <v>Active</v>
      </c>
    </row>
    <row r="719" spans="1:3" ht="18" customHeight="1">
      <c r="A719" t="str">
        <f>"040421"</f>
        <v>040421</v>
      </c>
      <c r="B719" t="str">
        <f>"Cable Assy, Grounding, Yellow/Green 150mm"</f>
        <v>Cable Assy, Grounding, Yellow/Green 150mm</v>
      </c>
      <c r="C719" t="str">
        <f t="shared" si="34"/>
        <v>Active</v>
      </c>
    </row>
    <row r="720" spans="1:3" ht="18" customHeight="1">
      <c r="A720" t="str">
        <f>"040422"</f>
        <v>040422</v>
      </c>
      <c r="B720" t="str">
        <f>"Cable Assy, Grounding, Yellow/Green 150mm"</f>
        <v>Cable Assy, Grounding, Yellow/Green 150mm</v>
      </c>
      <c r="C720" t="str">
        <f t="shared" si="34"/>
        <v>Active</v>
      </c>
    </row>
    <row r="721" spans="1:3" ht="18" customHeight="1">
      <c r="A721" t="str">
        <f>"040423"</f>
        <v>040423</v>
      </c>
      <c r="B721" t="str">
        <f>"Cable Assy, GND, Yel/Grn, 50mm,dI=5mm,DO=8mm(x2)"</f>
        <v>Cable Assy, GND, Yel/Grn, 50mm,dI=5mm,DO=8mm(x2)</v>
      </c>
      <c r="C721" t="str">
        <f t="shared" si="34"/>
        <v>Active</v>
      </c>
    </row>
    <row r="722" spans="1:3" ht="18" customHeight="1">
      <c r="A722" t="str">
        <f>"040429"</f>
        <v>040429</v>
      </c>
      <c r="B722" t="str">
        <f>"Cable Assy, Encoder's/Motor's , LSB"</f>
        <v>Cable Assy, Encoder's/Motor's , LSB</v>
      </c>
      <c r="C722" t="str">
        <f t="shared" si="34"/>
        <v>Active</v>
      </c>
    </row>
    <row r="723" spans="1:3" ht="18" customHeight="1">
      <c r="A723" t="str">
        <f>"040430"</f>
        <v>040430</v>
      </c>
      <c r="B723" t="str">
        <f>"Cable Assy, Main LSB, 3.6m"</f>
        <v>Cable Assy, Main LSB, 3.6m</v>
      </c>
      <c r="C723" t="str">
        <f t="shared" si="34"/>
        <v>Active</v>
      </c>
    </row>
    <row r="724" spans="1:3" ht="18" customHeight="1">
      <c r="A724" t="str">
        <f>"040431"</f>
        <v>040431</v>
      </c>
      <c r="B724" t="str">
        <f>"Cable, bundle Microsw. Emerg.,ER9/MH5-Welding"</f>
        <v>Cable, bundle Microsw. Emerg.,ER9/MH5-Welding</v>
      </c>
      <c r="C724" t="str">
        <f t="shared" si="34"/>
        <v>Active</v>
      </c>
    </row>
    <row r="725" spans="1:3" ht="18" customHeight="1">
      <c r="A725" t="str">
        <f>"040432"</f>
        <v>040432</v>
      </c>
      <c r="B725" t="str">
        <f>"Cable, Grounding, 0.8 M/ Welding Booth"</f>
        <v>Cable, Grounding, 0.8 M/ Welding Booth</v>
      </c>
      <c r="C725" t="str">
        <f t="shared" si="34"/>
        <v>Active</v>
      </c>
    </row>
    <row r="726" spans="1:3" ht="18" customHeight="1">
      <c r="A726" t="str">
        <f>"040433"</f>
        <v>040433</v>
      </c>
      <c r="B726" t="str">
        <f>"Cable, Control panel To CIM"</f>
        <v>Cable, Control panel To CIM</v>
      </c>
      <c r="C726" t="str">
        <f t="shared" si="34"/>
        <v>Active</v>
      </c>
    </row>
    <row r="727" spans="1:3" ht="18" customHeight="1">
      <c r="A727" t="str">
        <f>"040434"</f>
        <v>040434</v>
      </c>
      <c r="B727" t="str">
        <f>"Harness, Emergency Ext. 1, LSB with HP3/NXC"</f>
        <v>Harness, Emergency Ext. 1, LSB with HP3/NXC</v>
      </c>
      <c r="C727" t="str">
        <f t="shared" si="34"/>
        <v>Active</v>
      </c>
    </row>
    <row r="728" spans="1:3" ht="18" customHeight="1">
      <c r="A728" t="str">
        <f>"040435"</f>
        <v>040435</v>
      </c>
      <c r="B728" t="str">
        <f>"Cable- banana Black  120cm, for A/B PLC"</f>
        <v>Cable- banana Black  120cm, for A/B PLC</v>
      </c>
      <c r="C728" t="str">
        <f t="shared" si="34"/>
        <v>Active</v>
      </c>
    </row>
    <row r="729" spans="1:3" ht="18" customHeight="1">
      <c r="A729" t="str">
        <f>"040436"</f>
        <v>040436</v>
      </c>
      <c r="B729" t="str">
        <f>"Cable, banana Red  120cm, for A/B PLC"</f>
        <v>Cable, banana Red  120cm, for A/B PLC</v>
      </c>
      <c r="C729" t="str">
        <f t="shared" si="34"/>
        <v>Active</v>
      </c>
    </row>
    <row r="730" spans="1:3" ht="18" customHeight="1">
      <c r="A730" t="str">
        <f>"040437"</f>
        <v>040437</v>
      </c>
      <c r="B730" t="str">
        <f>"Jumper for PLC A/B-Enters PLC A/B"</f>
        <v>Jumper for PLC A/B-Enters PLC A/B</v>
      </c>
      <c r="C730" t="str">
        <f t="shared" si="34"/>
        <v>Active</v>
      </c>
    </row>
    <row r="731" spans="1:3" ht="18" customHeight="1">
      <c r="A731" t="str">
        <f>"040439"</f>
        <v>040439</v>
      </c>
      <c r="B731" t="str">
        <f>"Harness, P.S. Cable Control Motor CIM"</f>
        <v>Harness, P.S. Cable Control Motor CIM</v>
      </c>
      <c r="C731" t="str">
        <f t="shared" si="34"/>
        <v>Active</v>
      </c>
    </row>
    <row r="732" spans="1:3" ht="18" customHeight="1">
      <c r="A732" t="str">
        <f>"040440"</f>
        <v>040440</v>
      </c>
      <c r="B732" t="str">
        <f>"Harness, Magnetic Sens. for pneumatic Cylinder"</f>
        <v>Harness, Magnetic Sens. for pneumatic Cylinder</v>
      </c>
      <c r="C732" t="str">
        <f t="shared" si="34"/>
        <v>Active</v>
      </c>
    </row>
    <row r="733" spans="1:3" ht="18" customHeight="1">
      <c r="A733" t="str">
        <f>"040441"</f>
        <v>040441</v>
      </c>
      <c r="B733" t="str">
        <f>"ממ Cable WAGO Connector White W104 230"</f>
        <v>ממ Cable WAGO Connector White W104 230</v>
      </c>
      <c r="C733" t="str">
        <f t="shared" si="34"/>
        <v>Active</v>
      </c>
    </row>
    <row r="734" spans="1:3" ht="18" customHeight="1">
      <c r="A734" t="str">
        <f>"040448"</f>
        <v>040448</v>
      </c>
      <c r="B734" t="str">
        <f>"Cable 36wires for ContrUSB-PRO&lt;&gt;I/O InterfaceBox"</f>
        <v>Cable 36wires for ContrUSB-PRO&lt;&gt;I/O InterfaceBox</v>
      </c>
      <c r="C734" t="str">
        <f t="shared" si="34"/>
        <v>Active</v>
      </c>
    </row>
    <row r="735" spans="1:3" ht="18" customHeight="1">
      <c r="A735" t="str">
        <f>"040462"</f>
        <v>040462</v>
      </c>
      <c r="B735" t="str">
        <f>"Cable, Emergency ASRS 36 with USB controller"</f>
        <v>Cable, Emergency ASRS 36 with USB controller</v>
      </c>
      <c r="C735" t="str">
        <f t="shared" si="34"/>
        <v>Active</v>
      </c>
    </row>
    <row r="736" spans="1:3" ht="18" customHeight="1">
      <c r="A736" t="str">
        <f>"040465"</f>
        <v>040465</v>
      </c>
      <c r="B736" t="str">
        <f>"Harness, Diode For CIM  Motor &amp; Gear Assy."</f>
        <v>Harness, Diode For CIM  Motor &amp; Gear Assy.</v>
      </c>
      <c r="C736" t="str">
        <f t="shared" si="34"/>
        <v>Active</v>
      </c>
    </row>
    <row r="737" spans="1:3" ht="18" customHeight="1">
      <c r="A737" t="str">
        <f>"040466"</f>
        <v>040466</v>
      </c>
      <c r="B737" t="str">
        <f>"Cable Assembly, I/O  for Controller NXC100"</f>
        <v>Cable Assembly, I/O  for Controller NXC100</v>
      </c>
      <c r="C737" t="str">
        <f>"ECO-N2Mnf"</f>
        <v>ECO-N2Mnf</v>
      </c>
    </row>
    <row r="738" spans="1:3" ht="18" customHeight="1">
      <c r="A738" t="str">
        <f>"040467"</f>
        <v>040467</v>
      </c>
      <c r="B738" t="str">
        <f>"Cable Communication RS-232 D9S-D9S, 4m"</f>
        <v>Cable Communication RS-232 D9S-D9S, 4m</v>
      </c>
      <c r="C738" t="str">
        <f t="shared" ref="C738:C744" si="35">"Active"</f>
        <v>Active</v>
      </c>
    </row>
    <row r="739" spans="1:3" ht="18" customHeight="1">
      <c r="A739" t="str">
        <f>"040468"</f>
        <v>040468</v>
      </c>
      <c r="B739" t="str">
        <f>"Cable Power_Connector+Cable"</f>
        <v>Cable Power_Connector+Cable</v>
      </c>
      <c r="C739" t="str">
        <f t="shared" si="35"/>
        <v>Active</v>
      </c>
    </row>
    <row r="740" spans="1:3" ht="18" customHeight="1">
      <c r="A740" t="str">
        <f>"040470"</f>
        <v>040470</v>
      </c>
      <c r="B740" t="str">
        <f>"Cable Assy. Sens. Light Barrier, Length:10m"</f>
        <v>Cable Assy. Sens. Light Barrier, Length:10m</v>
      </c>
      <c r="C740" t="str">
        <f t="shared" si="35"/>
        <v>Active</v>
      </c>
    </row>
    <row r="741" spans="1:3" ht="18" customHeight="1">
      <c r="A741" t="str">
        <f>"040471"</f>
        <v>040471</v>
      </c>
      <c r="B741" t="str">
        <f>"Harness, Filter Input Power Assy. USB-PRO Cont."</f>
        <v>Harness, Filter Input Power Assy. USB-PRO Cont.</v>
      </c>
      <c r="C741" t="str">
        <f t="shared" si="35"/>
        <v>Active</v>
      </c>
    </row>
    <row r="742" spans="1:3" ht="18" customHeight="1">
      <c r="A742" t="str">
        <f>"040472"</f>
        <v>040472</v>
      </c>
      <c r="B742" t="str">
        <f>"Harness, Inter. Power, USB-PRO Controller/Vent"</f>
        <v>Harness, Inter. Power, USB-PRO Controller/Vent</v>
      </c>
      <c r="C742" t="str">
        <f t="shared" si="35"/>
        <v>Active</v>
      </c>
    </row>
    <row r="743" spans="1:3" ht="18" customHeight="1">
      <c r="A743" t="str">
        <f>"040473"</f>
        <v>040473</v>
      </c>
      <c r="B743" t="str">
        <f>"Harness, EMERGENCY Button Assy., USB-PRO Cont."</f>
        <v>Harness, EMERGENCY Button Assy., USB-PRO Cont.</v>
      </c>
      <c r="C743" t="str">
        <f t="shared" si="35"/>
        <v>Active</v>
      </c>
    </row>
    <row r="744" spans="1:3" ht="18" customHeight="1">
      <c r="A744" t="str">
        <f>"040474"</f>
        <v>040474</v>
      </c>
      <c r="B744" t="str">
        <f>"Harness, FUSE  8A"</f>
        <v>Harness, FUSE  8A</v>
      </c>
      <c r="C744" t="str">
        <f t="shared" si="35"/>
        <v>Active</v>
      </c>
    </row>
    <row r="745" spans="1:3" ht="18" customHeight="1">
      <c r="A745" t="str">
        <f>"040476"</f>
        <v>040476</v>
      </c>
      <c r="B745" t="str">
        <f>"Harness, Controller-Arm, Scorbot ER9u NEW"</f>
        <v>Harness, Controller-Arm, Scorbot ER9u NEW</v>
      </c>
      <c r="C745" t="str">
        <f>"ECO-N2Mnf"</f>
        <v>ECO-N2Mnf</v>
      </c>
    </row>
    <row r="746" spans="1:3" ht="18" customHeight="1">
      <c r="A746" t="str">
        <f>"040477"</f>
        <v>040477</v>
      </c>
      <c r="B746" t="str">
        <f>"Harness, Adapter Motors ER9/14 for cont. USB-Pro"</f>
        <v>Harness, Adapter Motors ER9/14 for cont. USB-Pro</v>
      </c>
      <c r="C746" t="str">
        <f>"Active"</f>
        <v>Active</v>
      </c>
    </row>
    <row r="747" spans="1:3" ht="18" customHeight="1">
      <c r="A747" t="str">
        <f>"040478"</f>
        <v>040478</v>
      </c>
      <c r="B747" t="str">
        <f>"Harness, Adapter Encoder ER9/14 for cont.USB-Pro"</f>
        <v>Harness, Adapter Encoder ER9/14 for cont.USB-Pro</v>
      </c>
      <c r="C747" t="str">
        <f>"Active"</f>
        <v>Active</v>
      </c>
    </row>
    <row r="748" spans="1:3" ht="18" customHeight="1">
      <c r="A748" t="str">
        <f>"040481"</f>
        <v>040481</v>
      </c>
      <c r="B748" t="str">
        <f>"Harness, Sens. S/L, LSB3000 for HP3- 6.5m&amp;3.5m"</f>
        <v>Harness, Sens. S/L, LSB3000 for HP3- 6.5m&amp;3.5m</v>
      </c>
      <c r="C748" t="str">
        <f>"Active"</f>
        <v>Active</v>
      </c>
    </row>
    <row r="749" spans="1:3" ht="18" customHeight="1">
      <c r="A749" t="str">
        <f>"040482"</f>
        <v>040482</v>
      </c>
      <c r="B749" t="str">
        <f>"Harness Assy, Controller Arm  ER14 Pro"</f>
        <v>Harness Assy, Controller Arm  ER14 Pro</v>
      </c>
      <c r="C749" t="str">
        <f>"ECO-N2Mnf"</f>
        <v>ECO-N2Mnf</v>
      </c>
    </row>
    <row r="750" spans="1:3" ht="18" customHeight="1">
      <c r="A750" t="str">
        <f>"040483"</f>
        <v>040483</v>
      </c>
      <c r="B750" t="str">
        <f>"Harness, sensor Ball feeder +PCB"</f>
        <v>Harness, sensor Ball feeder +PCB</v>
      </c>
      <c r="C750" t="str">
        <f>"Active"</f>
        <v>Active</v>
      </c>
    </row>
    <row r="751" spans="1:3" ht="18" customHeight="1">
      <c r="A751" t="str">
        <f>"040484"</f>
        <v>040484</v>
      </c>
      <c r="B751" t="str">
        <f>"Harness Extension, Sens for LSB3000 HP3"</f>
        <v>Harness Extension, Sens for LSB3000 HP3</v>
      </c>
      <c r="C751" t="str">
        <f>"Active"</f>
        <v>Active</v>
      </c>
    </row>
    <row r="752" spans="1:3" ht="18" customHeight="1">
      <c r="A752" t="str">
        <f>"040485"</f>
        <v>040485</v>
      </c>
      <c r="B752" t="str">
        <f>"Harness,Extension, Emergency for LSB + MH5/FS100"</f>
        <v>Harness,Extension, Emergency for LSB + MH5/FS100</v>
      </c>
      <c r="C752" t="str">
        <f>"Phase Out"</f>
        <v>Phase Out</v>
      </c>
    </row>
    <row r="753" spans="1:3" ht="18" customHeight="1">
      <c r="A753" t="str">
        <f>"040486"</f>
        <v>040486</v>
      </c>
      <c r="B753" t="str">
        <f>"Harness, Emergency for LSB with MH5/FS100"</f>
        <v>Harness, Emergency for LSB with MH5/FS100</v>
      </c>
      <c r="C753" t="str">
        <f>"ECO-N2Buy"</f>
        <v>ECO-N2Buy</v>
      </c>
    </row>
    <row r="754" spans="1:3" ht="18" customHeight="1">
      <c r="A754" t="str">
        <f>"040487"</f>
        <v>040487</v>
      </c>
      <c r="B754" t="str">
        <f>"Cable, Grounding, XD Motor for LSB with HP3"</f>
        <v>Cable, Grounding, XD Motor for LSB with HP3</v>
      </c>
      <c r="C754" t="str">
        <f>"Active"</f>
        <v>Active</v>
      </c>
    </row>
    <row r="755" spans="1:3" ht="18" customHeight="1">
      <c r="A755" t="str">
        <f>"040488"</f>
        <v>040488</v>
      </c>
      <c r="B755" t="str">
        <f>"Cable, Grounding, L=4m, for LSB HP3"</f>
        <v>Cable, Grounding, L=4m, for LSB HP3</v>
      </c>
      <c r="C755" t="str">
        <f>"Active"</f>
        <v>Active</v>
      </c>
    </row>
    <row r="756" spans="1:3" ht="18" customHeight="1">
      <c r="A756" t="str">
        <f>"040489"</f>
        <v>040489</v>
      </c>
      <c r="B756" t="str">
        <f>"Harness, Switch Upgrade"</f>
        <v>Harness, Switch Upgrade</v>
      </c>
      <c r="C756" t="str">
        <f>"Active"</f>
        <v>Active</v>
      </c>
    </row>
    <row r="757" spans="1:3" ht="18" customHeight="1">
      <c r="A757" t="str">
        <f>"040490"</f>
        <v>040490</v>
      </c>
      <c r="B757" t="str">
        <f>"Cable,Grounding ForRobot-PN canceled on:20/05/12"</f>
        <v>Cable,Grounding ForRobot-PN canceled on:20/05/12</v>
      </c>
      <c r="C757" t="str">
        <f>"Inactive"</f>
        <v>Inactive</v>
      </c>
    </row>
    <row r="758" spans="1:3" ht="18" customHeight="1">
      <c r="A758" t="str">
        <f>"040491"</f>
        <v>040491</v>
      </c>
      <c r="B758" t="str">
        <f>"Emergency/Auto Cable for new TP 80mm"</f>
        <v>Emergency/Auto Cable for new TP 80mm</v>
      </c>
      <c r="C758" t="str">
        <f>"Active"</f>
        <v>Active</v>
      </c>
    </row>
    <row r="759" spans="1:3" ht="18" customHeight="1">
      <c r="A759" t="str">
        <f>"040494"</f>
        <v>040494</v>
      </c>
      <c r="B759" t="str">
        <f>"Cabel Assy. for Simatic PROFIBUS Station"</f>
        <v>Cabel Assy. for Simatic PROFIBUS Station</v>
      </c>
      <c r="C759" t="str">
        <f>"Active"</f>
        <v>Active</v>
      </c>
    </row>
    <row r="760" spans="1:3" ht="18" customHeight="1">
      <c r="A760" t="str">
        <f>"040495"</f>
        <v>040495</v>
      </c>
      <c r="B760" t="str">
        <f>"Robot By-pass plug - USB Pro"</f>
        <v>Robot By-pass plug - USB Pro</v>
      </c>
      <c r="C760" t="str">
        <f>"Active"</f>
        <v>Active</v>
      </c>
    </row>
    <row r="761" spans="1:3" ht="18" customHeight="1">
      <c r="A761" t="str">
        <f>"040496"</f>
        <v>040496</v>
      </c>
      <c r="B761" t="str">
        <f>"Cabel Assy. Simatic S7-1200 to Monitor"</f>
        <v>Cabel Assy. Simatic S7-1200 to Monitor</v>
      </c>
      <c r="C761" t="str">
        <f>"ECO-N2Buy"</f>
        <v>ECO-N2Buy</v>
      </c>
    </row>
    <row r="762" spans="1:3" ht="18" customHeight="1">
      <c r="A762" t="str">
        <f>"040497"</f>
        <v>040497</v>
      </c>
      <c r="B762" t="str">
        <f>"I/O Cable Assembly for Controller FS100"</f>
        <v>I/O Cable Assembly for Controller FS100</v>
      </c>
      <c r="C762" t="str">
        <f>"Active"</f>
        <v>Active</v>
      </c>
    </row>
    <row r="763" spans="1:3" ht="18" customHeight="1">
      <c r="A763" t="str">
        <f>"040498"</f>
        <v>040498</v>
      </c>
      <c r="B763" t="str">
        <f>"Power Cable for Controller FS100 with Robot MH5F"</f>
        <v>Power Cable for Controller FS100 with Robot MH5F</v>
      </c>
      <c r="C763" t="str">
        <f>"Active"</f>
        <v>Active</v>
      </c>
    </row>
    <row r="764" spans="1:3" ht="18" customHeight="1">
      <c r="A764" t="str">
        <f>"040499"</f>
        <v>040499</v>
      </c>
      <c r="B764" t="str">
        <f>"I/O Cable for XDrive"</f>
        <v>I/O Cable for XDrive</v>
      </c>
      <c r="C764" t="str">
        <f>"New"</f>
        <v>New</v>
      </c>
    </row>
    <row r="765" spans="1:3" ht="18" customHeight="1">
      <c r="A765" t="str">
        <f>"040501"</f>
        <v>040501</v>
      </c>
      <c r="B765" t="str">
        <f>"Proximate Shield Inductive Sensor Cable"</f>
        <v>Proximate Shield Inductive Sensor Cable</v>
      </c>
      <c r="C765" t="str">
        <f t="shared" ref="C765:C796" si="36">"Active"</f>
        <v>Active</v>
      </c>
    </row>
    <row r="766" spans="1:3" ht="18" customHeight="1">
      <c r="A766" t="str">
        <f>"040502"</f>
        <v>040502</v>
      </c>
      <c r="B766" t="str">
        <f>"Cable power for HydroPower Pack 220V"</f>
        <v>Cable power for HydroPower Pack 220V</v>
      </c>
      <c r="C766" t="str">
        <f t="shared" si="36"/>
        <v>Active</v>
      </c>
    </row>
    <row r="767" spans="1:3" ht="18" customHeight="1">
      <c r="A767" t="str">
        <f>"040503"</f>
        <v>040503</v>
      </c>
      <c r="B767" t="str">
        <f>"Cable, Interlock - Mechanical Bench Dual Voltage"</f>
        <v>Cable, Interlock - Mechanical Bench Dual Voltage</v>
      </c>
      <c r="C767" t="str">
        <f t="shared" si="36"/>
        <v>Active</v>
      </c>
    </row>
    <row r="768" spans="1:3" ht="18" customHeight="1">
      <c r="A768" t="str">
        <f>"040504"</f>
        <v>040504</v>
      </c>
      <c r="B768" t="str">
        <f>"Harness, Red wire PLCLine &lt;--&gt; PLC Siemens"</f>
        <v>Harness, Red wire PLCLine &lt;--&gt; PLC Siemens</v>
      </c>
      <c r="C768" t="str">
        <f t="shared" si="36"/>
        <v>Active</v>
      </c>
    </row>
    <row r="769" spans="1:3" ht="18" customHeight="1">
      <c r="A769" t="str">
        <f>"040505"</f>
        <v>040505</v>
      </c>
      <c r="B769" t="str">
        <f>"Harness, Black wire PLCLine &lt;--&gt; PLC Siemens"</f>
        <v>Harness, Black wire PLCLine &lt;--&gt; PLC Siemens</v>
      </c>
      <c r="C769" t="str">
        <f t="shared" si="36"/>
        <v>Active</v>
      </c>
    </row>
    <row r="770" spans="1:3" ht="18" customHeight="1">
      <c r="A770" t="str">
        <f>"040506"</f>
        <v>040506</v>
      </c>
      <c r="B770" t="str">
        <f>"Harness, Plate-Back PROFINET, CPU to P.SUPPLY"</f>
        <v>Harness, Plate-Back PROFINET, CPU to P.SUPPLY</v>
      </c>
      <c r="C770" t="str">
        <f t="shared" si="36"/>
        <v>Active</v>
      </c>
    </row>
    <row r="771" spans="1:3" ht="18" customHeight="1">
      <c r="A771" t="str">
        <f>"040507"</f>
        <v>040507</v>
      </c>
      <c r="B771" t="str">
        <f>"Harness, Plate-Back PROFINET, CPU to ET"</f>
        <v>Harness, Plate-Back PROFINET, CPU to ET</v>
      </c>
      <c r="C771" t="str">
        <f t="shared" si="36"/>
        <v>Active</v>
      </c>
    </row>
    <row r="772" spans="1:3" ht="18" customHeight="1">
      <c r="A772" t="str">
        <f>"040508"</f>
        <v>040508</v>
      </c>
      <c r="B772" t="str">
        <f>"Ground cable 6mm2, 2 ring terminals 8mm, 5M"</f>
        <v>Ground cable 6mm2, 2 ring terminals 8mm, 5M</v>
      </c>
      <c r="C772" t="str">
        <f t="shared" si="36"/>
        <v>Active</v>
      </c>
    </row>
    <row r="773" spans="1:3" ht="18" customHeight="1">
      <c r="A773" t="str">
        <f>"045011"</f>
        <v>045011</v>
      </c>
      <c r="B773" t="str">
        <f>"Board Display - PC7300, ER5/7 Controller"</f>
        <v>Board Display - PC7300, ER5/7 Controller</v>
      </c>
      <c r="C773" t="str">
        <f t="shared" si="36"/>
        <v>Active</v>
      </c>
    </row>
    <row r="774" spans="1:3" ht="18" customHeight="1">
      <c r="A774" t="str">
        <f>"045013"</f>
        <v>045013</v>
      </c>
      <c r="B774" t="str">
        <f>"Board I/O - PC7400A, ER7 Controller (new)"</f>
        <v>Board I/O - PC7400A, ER7 Controller (new)</v>
      </c>
      <c r="C774" t="str">
        <f t="shared" si="36"/>
        <v>Active</v>
      </c>
    </row>
    <row r="775" spans="1:3" ht="18" customHeight="1">
      <c r="A775" t="str">
        <f>"045017"</f>
        <v>045017</v>
      </c>
      <c r="B775" t="str">
        <f>"Board Driver - PC7100, ER5/7 Controller"</f>
        <v>Board Driver - PC7100, ER5/7 Controller</v>
      </c>
      <c r="C775" t="str">
        <f t="shared" si="36"/>
        <v>Active</v>
      </c>
    </row>
    <row r="776" spans="1:3" ht="18" customHeight="1">
      <c r="A776" t="str">
        <f>"045018"</f>
        <v>045018</v>
      </c>
      <c r="B776" t="str">
        <f>"Driver-PC7100, Controller A  (2A + 2A)"</f>
        <v>Driver-PC7100, Controller A  (2A + 2A)</v>
      </c>
      <c r="C776" t="str">
        <f t="shared" si="36"/>
        <v>Active</v>
      </c>
    </row>
    <row r="777" spans="1:3" ht="18" customHeight="1">
      <c r="A777" t="str">
        <f>"045019"</f>
        <v>045019</v>
      </c>
      <c r="B777" t="str">
        <f>"Driver (Accs.), Controller A (2A+4A)"</f>
        <v>Driver (Accs.), Controller A (2A+4A)</v>
      </c>
      <c r="C777" t="str">
        <f t="shared" si="36"/>
        <v>Active</v>
      </c>
    </row>
    <row r="778" spans="1:3" ht="18" customHeight="1">
      <c r="A778" t="str">
        <f>"045020"</f>
        <v>045020</v>
      </c>
      <c r="B778" t="str">
        <f>"Driver - PC7100, ER7 Controller (4A + 4A)"</f>
        <v>Driver - PC7100, ER7 Controller (4A + 4A)</v>
      </c>
      <c r="C778" t="str">
        <f t="shared" si="36"/>
        <v>Active</v>
      </c>
    </row>
    <row r="779" spans="1:3" ht="18" customHeight="1">
      <c r="A779" t="str">
        <f>"045023"</f>
        <v>045023</v>
      </c>
      <c r="B779" t="str">
        <f>"Board Power Supply -PC7500, ER5/7 Controller"</f>
        <v>Board Power Supply -PC7500, ER5/7 Controller</v>
      </c>
      <c r="C779" t="str">
        <f t="shared" si="36"/>
        <v>Active</v>
      </c>
    </row>
    <row r="780" spans="1:3" ht="18" customHeight="1">
      <c r="A780" t="str">
        <f>"045024"</f>
        <v>045024</v>
      </c>
      <c r="B780" t="str">
        <f>"ER5/7 TP Board"</f>
        <v>ER5/7 TP Board</v>
      </c>
      <c r="C780" t="str">
        <f t="shared" si="36"/>
        <v>Active</v>
      </c>
    </row>
    <row r="781" spans="1:3" ht="18" customHeight="1">
      <c r="A781" t="str">
        <f>"045025"</f>
        <v>045025</v>
      </c>
      <c r="B781" t="str">
        <f>"Board, Turret, PC8100, ER7 Scorbot"</f>
        <v>Board, Turret, PC8100, ER7 Scorbot</v>
      </c>
      <c r="C781" t="str">
        <f t="shared" si="36"/>
        <v>Active</v>
      </c>
    </row>
    <row r="782" spans="1:3" ht="18" customHeight="1">
      <c r="A782" t="str">
        <f>"045026"</f>
        <v>045026</v>
      </c>
      <c r="B782" t="str">
        <f>"Board, Turret Coil, PC8400, ER7 Scorbot"</f>
        <v>Board, Turret Coil, PC8400, ER7 Scorbot</v>
      </c>
      <c r="C782" t="str">
        <f t="shared" si="36"/>
        <v>Active</v>
      </c>
    </row>
    <row r="783" spans="1:3" ht="18" customHeight="1">
      <c r="A783" t="str">
        <f>"045027"</f>
        <v>045027</v>
      </c>
      <c r="B783" t="str">
        <f>"Board, Shoulder, PC8200, ER7 Scorbot"</f>
        <v>Board, Shoulder, PC8200, ER7 Scorbot</v>
      </c>
      <c r="C783" t="str">
        <f t="shared" si="36"/>
        <v>Active</v>
      </c>
    </row>
    <row r="784" spans="1:3" ht="18" customHeight="1">
      <c r="A784" t="str">
        <f>"045028"</f>
        <v>045028</v>
      </c>
      <c r="B784" t="str">
        <f>"Board, Elbow,I159 PC8300, ER7 Scorbot"</f>
        <v>Board, Elbow,I159 PC8300, ER7 Scorbot</v>
      </c>
      <c r="C784" t="str">
        <f t="shared" si="36"/>
        <v>Active</v>
      </c>
    </row>
    <row r="785" spans="1:3" ht="18" customHeight="1">
      <c r="A785" t="str">
        <f>"045029"</f>
        <v>045029</v>
      </c>
      <c r="B785" t="str">
        <f>"Board, Elbow Coil, PC8500, ER7 Scorbot"</f>
        <v>Board, Elbow Coil, PC8500, ER7 Scorbot</v>
      </c>
      <c r="C785" t="str">
        <f t="shared" si="36"/>
        <v>Active</v>
      </c>
    </row>
    <row r="786" spans="1:3" ht="18" customHeight="1">
      <c r="A786" t="str">
        <f>"045039"</f>
        <v>045039</v>
      </c>
      <c r="B786" t="str">
        <f>"Board Main - PC17000, Controller B"</f>
        <v>Board Main - PC17000, Controller B</v>
      </c>
      <c r="C786" t="str">
        <f t="shared" si="36"/>
        <v>Active</v>
      </c>
    </row>
    <row r="787" spans="1:3" ht="18" customHeight="1">
      <c r="A787" t="str">
        <f>"045040"</f>
        <v>045040</v>
      </c>
      <c r="B787" t="str">
        <f>"Board Leds, ControllerB/AC"</f>
        <v>Board Leds, ControllerB/AC</v>
      </c>
      <c r="C787" t="str">
        <f t="shared" si="36"/>
        <v>Active</v>
      </c>
    </row>
    <row r="788" spans="1:3" ht="18" customHeight="1">
      <c r="A788" t="str">
        <f>"045041"</f>
        <v>045041</v>
      </c>
      <c r="B788" t="str">
        <f>"Board Connectors- PC17600, Controller B"</f>
        <v>Board Connectors- PC17600, Controller B</v>
      </c>
      <c r="C788" t="str">
        <f t="shared" si="36"/>
        <v>Active</v>
      </c>
    </row>
    <row r="789" spans="1:3" ht="18" customHeight="1">
      <c r="A789" t="str">
        <f>"045042"</f>
        <v>045042</v>
      </c>
      <c r="B789" t="str">
        <f>"Board I/O, Controller B"</f>
        <v>Board I/O, Controller B</v>
      </c>
      <c r="C789" t="str">
        <f t="shared" si="36"/>
        <v>Active</v>
      </c>
    </row>
    <row r="790" spans="1:3" ht="18" customHeight="1">
      <c r="A790" t="str">
        <f>"045043"</f>
        <v>045043</v>
      </c>
      <c r="B790" t="str">
        <f>"Board Power Supply- PC17500, Controller B"</f>
        <v>Board Power Supply- PC17500, Controller B</v>
      </c>
      <c r="C790" t="str">
        <f t="shared" si="36"/>
        <v>Active</v>
      </c>
    </row>
    <row r="791" spans="1:3" ht="18" customHeight="1">
      <c r="A791" t="str">
        <f>"045044"</f>
        <v>045044</v>
      </c>
      <c r="B791" t="str">
        <f>"Board C.P.U - PC17050, Controller B"</f>
        <v>Board C.P.U - PC17050, Controller B</v>
      </c>
      <c r="C791" t="str">
        <f t="shared" si="36"/>
        <v>Active</v>
      </c>
    </row>
    <row r="792" spans="1:3" ht="18" customHeight="1">
      <c r="A792" t="str">
        <f>"045045"</f>
        <v>045045</v>
      </c>
      <c r="B792" t="str">
        <f>"Board DRIVER- PC17100, Cont. B (Norm. Power)"</f>
        <v>Board DRIVER- PC17100, Cont. B (Norm. Power)</v>
      </c>
      <c r="C792" t="str">
        <f t="shared" si="36"/>
        <v>Active</v>
      </c>
    </row>
    <row r="793" spans="1:3" ht="18" customHeight="1">
      <c r="A793" t="str">
        <f>"045046"</f>
        <v>045046</v>
      </c>
      <c r="B793" t="str">
        <f>"Board Turret - PC18100, Scorbot ER9 Plus"</f>
        <v>Board Turret - PC18100, Scorbot ER9 Plus</v>
      </c>
      <c r="C793" t="str">
        <f t="shared" si="36"/>
        <v>Active</v>
      </c>
    </row>
    <row r="794" spans="1:3" ht="18" customHeight="1">
      <c r="A794" t="str">
        <f>"045047"</f>
        <v>045047</v>
      </c>
      <c r="B794" t="str">
        <f>"Board Shoulder - PC18200, Scorbot ER9 Plus"</f>
        <v>Board Shoulder - PC18200, Scorbot ER9 Plus</v>
      </c>
      <c r="C794" t="str">
        <f t="shared" si="36"/>
        <v>Active</v>
      </c>
    </row>
    <row r="795" spans="1:3" ht="18" customHeight="1">
      <c r="A795" t="str">
        <f>"045048"</f>
        <v>045048</v>
      </c>
      <c r="B795" t="str">
        <f>"Board Elbow - PC18300, Scorbot ER9 Plus"</f>
        <v>Board Elbow - PC18300, Scorbot ER9 Plus</v>
      </c>
      <c r="C795" t="str">
        <f t="shared" si="36"/>
        <v>Active</v>
      </c>
    </row>
    <row r="796" spans="1:3" ht="18" customHeight="1">
      <c r="A796" t="str">
        <f>"045051"</f>
        <v>045051</v>
      </c>
      <c r="B796" t="str">
        <f>"I/O BOX, PC 2400"</f>
        <v>I/O BOX, PC 2400</v>
      </c>
      <c r="C796" t="str">
        <f t="shared" si="36"/>
        <v>Active</v>
      </c>
    </row>
    <row r="797" spans="1:3" ht="18" customHeight="1">
      <c r="A797" t="str">
        <f>"045052"</f>
        <v>045052</v>
      </c>
      <c r="B797" t="str">
        <f>"Board Connectors Main- PC4000, SCORA ER14"</f>
        <v>Board Connectors Main- PC4000, SCORA ER14</v>
      </c>
      <c r="C797" t="str">
        <f t="shared" ref="C797:C822" si="37">"Active"</f>
        <v>Active</v>
      </c>
    </row>
    <row r="798" spans="1:3" ht="18" customHeight="1">
      <c r="A798" t="str">
        <f>"045053"</f>
        <v>045053</v>
      </c>
      <c r="B798" t="str">
        <f>"Board Optical Switch, ER9/14"</f>
        <v>Board Optical Switch, ER9/14</v>
      </c>
      <c r="C798" t="str">
        <f t="shared" si="37"/>
        <v>Active</v>
      </c>
    </row>
    <row r="799" spans="1:3" ht="18" customHeight="1">
      <c r="A799" t="str">
        <f>"045055"</f>
        <v>045055</v>
      </c>
      <c r="B799" t="str">
        <f>"Board Main - PC7000, ER7 Controller"</f>
        <v>Board Main - PC7000, ER7 Controller</v>
      </c>
      <c r="C799" t="str">
        <f t="shared" si="37"/>
        <v>Active</v>
      </c>
    </row>
    <row r="800" spans="1:3" ht="18" customHeight="1">
      <c r="A800" t="str">
        <f>"045056"</f>
        <v>045056</v>
      </c>
      <c r="B800" t="str">
        <f>"Board Main - PC7000, CIM, ER5/5+ Controller"</f>
        <v>Board Main - PC7000, CIM, ER5/5+ Controller</v>
      </c>
      <c r="C800" t="str">
        <f t="shared" si="37"/>
        <v>Active</v>
      </c>
    </row>
    <row r="801" spans="1:3" ht="18" customHeight="1">
      <c r="A801" t="str">
        <f>"045057"</f>
        <v>045057</v>
      </c>
      <c r="B801" t="str">
        <f>"Board Eye - PC510C"</f>
        <v>Board Eye - PC510C</v>
      </c>
      <c r="C801" t="str">
        <f t="shared" si="37"/>
        <v>Active</v>
      </c>
    </row>
    <row r="802" spans="1:3" ht="18" customHeight="1">
      <c r="A802" t="str">
        <f>"045058"</f>
        <v>045058</v>
      </c>
      <c r="B802" t="str">
        <f>"Board, DRIVER , PC17100, Controller B (High Powe"</f>
        <v>Board, DRIVER , PC17100, Controller B (High Powe</v>
      </c>
      <c r="C802" t="str">
        <f t="shared" si="37"/>
        <v>Active</v>
      </c>
    </row>
    <row r="803" spans="1:3" ht="18" customHeight="1">
      <c r="A803" t="str">
        <f>"045059"</f>
        <v>045059</v>
      </c>
      <c r="B803" t="str">
        <f>"Board Power Supply Fail, Controller B"</f>
        <v>Board Power Supply Fail, Controller B</v>
      </c>
      <c r="C803" t="str">
        <f t="shared" si="37"/>
        <v>Active</v>
      </c>
    </row>
    <row r="804" spans="1:3" ht="18" customHeight="1">
      <c r="A804" t="str">
        <f>"045062"</f>
        <v>045062</v>
      </c>
      <c r="B804" t="str">
        <f>"Board  PC510C"</f>
        <v>Board  PC510C</v>
      </c>
      <c r="C804" t="str">
        <f t="shared" si="37"/>
        <v>Active</v>
      </c>
    </row>
    <row r="805" spans="1:3" ht="18" customHeight="1">
      <c r="A805" t="str">
        <f>"045064"</f>
        <v>045064</v>
      </c>
      <c r="B805" t="str">
        <f>"Board  PC6100 for LSB"</f>
        <v>Board  PC6100 for LSB</v>
      </c>
      <c r="C805" t="str">
        <f t="shared" si="37"/>
        <v>Active</v>
      </c>
    </row>
    <row r="806" spans="1:3" ht="18" customHeight="1">
      <c r="A806" t="str">
        <f>"045066"</f>
        <v>045066</v>
      </c>
      <c r="B806" t="str">
        <f>"Board  PC7771 for TPB"</f>
        <v>Board  PC7771 for TPB</v>
      </c>
      <c r="C806" t="str">
        <f t="shared" si="37"/>
        <v>Active</v>
      </c>
    </row>
    <row r="807" spans="1:3" ht="18" customHeight="1">
      <c r="A807" t="str">
        <f>"045068"</f>
        <v>045068</v>
      </c>
      <c r="B807" t="str">
        <f>"Board Display Card, TP B/PC"</f>
        <v>Board Display Card, TP B/PC</v>
      </c>
      <c r="C807" t="str">
        <f t="shared" si="37"/>
        <v>Active</v>
      </c>
    </row>
    <row r="808" spans="1:3" ht="18" customHeight="1">
      <c r="A808" t="str">
        <f>"045070"</f>
        <v>045070</v>
      </c>
      <c r="B808" t="str">
        <f>"Board, Assm. Incoder, ER1"</f>
        <v>Board, Assm. Incoder, ER1</v>
      </c>
      <c r="C808" t="str">
        <f t="shared" si="37"/>
        <v>Active</v>
      </c>
    </row>
    <row r="809" spans="1:3" ht="18" customHeight="1">
      <c r="A809" t="str">
        <f>"045075"</f>
        <v>045075</v>
      </c>
      <c r="B809" t="str">
        <f>"Board OPEN CIM Station"</f>
        <v>Board OPEN CIM Station</v>
      </c>
      <c r="C809" t="str">
        <f t="shared" si="37"/>
        <v>Active</v>
      </c>
    </row>
    <row r="810" spans="1:3" ht="18" customHeight="1">
      <c r="A810" t="str">
        <f>"045077"</f>
        <v>045077</v>
      </c>
      <c r="B810" t="str">
        <f>"Board OPEN CIM Cabinet Assembly"</f>
        <v>Board OPEN CIM Cabinet Assembly</v>
      </c>
      <c r="C810" t="str">
        <f t="shared" si="37"/>
        <v>Active</v>
      </c>
    </row>
    <row r="811" spans="1:3" ht="18" customHeight="1">
      <c r="A811" t="str">
        <f>"045080"</f>
        <v>045080</v>
      </c>
      <c r="B811" t="str">
        <f>"Board, PIC Driver, PC11000, PC Controller"</f>
        <v>Board, PIC Driver, PC11000, PC Controller</v>
      </c>
      <c r="C811" t="str">
        <f t="shared" si="37"/>
        <v>Active</v>
      </c>
    </row>
    <row r="812" spans="1:3" ht="18" customHeight="1">
      <c r="A812" t="str">
        <f>"045098"</f>
        <v>045098</v>
      </c>
      <c r="B812" t="str">
        <f>"Board Pressure-Transducer CCA, PC30001"</f>
        <v>Board Pressure-Transducer CCA, PC30001</v>
      </c>
      <c r="C812" t="str">
        <f t="shared" si="37"/>
        <v>Active</v>
      </c>
    </row>
    <row r="813" spans="1:3" ht="18" customHeight="1">
      <c r="A813" t="str">
        <f>"045099"</f>
        <v>045099</v>
      </c>
      <c r="B813" t="str">
        <f>"Board Distribution CCA, PC30002 Sensor-Line"</f>
        <v>Board Distribution CCA, PC30002 Sensor-Line</v>
      </c>
      <c r="C813" t="str">
        <f t="shared" si="37"/>
        <v>Active</v>
      </c>
    </row>
    <row r="814" spans="1:3" ht="18" customHeight="1">
      <c r="A814" t="str">
        <f>"045101"</f>
        <v>045101</v>
      </c>
      <c r="B814" t="str">
        <f>"Board Interconnection PCB, ER-2"</f>
        <v>Board Interconnection PCB, ER-2</v>
      </c>
      <c r="C814" t="str">
        <f t="shared" si="37"/>
        <v>Active</v>
      </c>
    </row>
    <row r="815" spans="1:3" ht="18" customHeight="1">
      <c r="A815" t="str">
        <f>"045102"</f>
        <v>045102</v>
      </c>
      <c r="B815" t="str">
        <f>"Encoder Card Assembly for ER-2"</f>
        <v>Encoder Card Assembly for ER-2</v>
      </c>
      <c r="C815" t="str">
        <f t="shared" si="37"/>
        <v>Active</v>
      </c>
    </row>
    <row r="816" spans="1:3" ht="18" customHeight="1">
      <c r="A816" t="str">
        <f>"045107"</f>
        <v>045107</v>
      </c>
      <c r="B816" t="str">
        <f>"Board Front panel - Assembly, ER4u Controller"</f>
        <v>Board Front panel - Assembly, ER4u Controller</v>
      </c>
      <c r="C816" t="str">
        <f t="shared" si="37"/>
        <v>Active</v>
      </c>
    </row>
    <row r="817" spans="1:3" ht="18" customHeight="1">
      <c r="A817" t="str">
        <f>"045108"</f>
        <v>045108</v>
      </c>
      <c r="B817" t="str">
        <f>"Board PWR  Assembly, ER4u Controller"</f>
        <v>Board PWR  Assembly, ER4u Controller</v>
      </c>
      <c r="C817" t="str">
        <f t="shared" si="37"/>
        <v>Active</v>
      </c>
    </row>
    <row r="818" spans="1:3" ht="18" customHeight="1">
      <c r="A818" t="str">
        <f>"045109"</f>
        <v>045109</v>
      </c>
      <c r="B818" t="str">
        <f>"Board I/O Interface Box for Controller USB-PRO"</f>
        <v>Board I/O Interface Box for Controller USB-PRO</v>
      </c>
      <c r="C818" t="str">
        <f t="shared" si="37"/>
        <v>Active</v>
      </c>
    </row>
    <row r="819" spans="1:3" ht="18" customHeight="1">
      <c r="A819" t="str">
        <f>"045119"</f>
        <v>045119</v>
      </c>
      <c r="B819" t="str">
        <f>"Board Adaptor  Assembly, ASRS36 /ER-4u, PC30010"</f>
        <v>Board Adaptor  Assembly, ASRS36 /ER-4u, PC30010</v>
      </c>
      <c r="C819" t="str">
        <f t="shared" si="37"/>
        <v>Active</v>
      </c>
    </row>
    <row r="820" spans="1:3" ht="18" customHeight="1">
      <c r="A820" t="str">
        <f>"045120"</f>
        <v>045120</v>
      </c>
      <c r="B820" t="str">
        <f>"Board Main Assembly, USB-PRO Controller"</f>
        <v>Board Main Assembly, USB-PRO Controller</v>
      </c>
      <c r="C820" t="str">
        <f t="shared" si="37"/>
        <v>Active</v>
      </c>
    </row>
    <row r="821" spans="1:3" ht="18" customHeight="1">
      <c r="A821" t="str">
        <f>"045121"</f>
        <v>045121</v>
      </c>
      <c r="B821" t="str">
        <f>"Board LED  Assembly, USB-PRO Controller"</f>
        <v>Board LED  Assembly, USB-PRO Controller</v>
      </c>
      <c r="C821" t="str">
        <f t="shared" si="37"/>
        <v>Active</v>
      </c>
    </row>
    <row r="822" spans="1:3" ht="18" customHeight="1">
      <c r="A822" t="str">
        <f>"045123"</f>
        <v>045123</v>
      </c>
      <c r="B822" t="str">
        <f>"Teach Pendant PWB Assy."</f>
        <v>Teach Pendant PWB Assy.</v>
      </c>
      <c r="C822" t="str">
        <f t="shared" si="37"/>
        <v>Active</v>
      </c>
    </row>
    <row r="823" spans="1:3" ht="18" customHeight="1">
      <c r="A823" t="str">
        <f>"045124"</f>
        <v>045124</v>
      </c>
      <c r="B823" t="str">
        <f>"Teach Pendant PWB, Assembly-Higher level"</f>
        <v>Teach Pendant PWB, Assembly-Higher level</v>
      </c>
      <c r="C823" t="str">
        <f>"Inactive"</f>
        <v>Inactive</v>
      </c>
    </row>
    <row r="824" spans="1:3" ht="18" customHeight="1">
      <c r="A824" t="str">
        <f>"045125"</f>
        <v>045125</v>
      </c>
      <c r="B824" t="str">
        <f>"JM, Stepper Motor Unipolar Board, Assembly"</f>
        <v>JM, Stepper Motor Unipolar Board, Assembly</v>
      </c>
      <c r="C824" t="str">
        <f>"Active"</f>
        <v>Active</v>
      </c>
    </row>
    <row r="825" spans="1:3" ht="18" customHeight="1">
      <c r="A825" t="str">
        <f>"051101"</f>
        <v>051101</v>
      </c>
      <c r="B825" t="str">
        <f>"L-type frame 1.5M×2 level - JM06B"</f>
        <v>L-type frame 1.5M×2 level - JM06B</v>
      </c>
      <c r="C825" t="str">
        <f>"New"</f>
        <v>New</v>
      </c>
    </row>
    <row r="826" spans="1:3" ht="18" customHeight="1">
      <c r="A826" t="str">
        <f>"051102"</f>
        <v>051102</v>
      </c>
      <c r="B826" t="str">
        <f>"L-type frame 1.5M×3 level - JM04"</f>
        <v>L-type frame 1.5M×3 level - JM04</v>
      </c>
      <c r="C826" t="str">
        <f>"New"</f>
        <v>New</v>
      </c>
    </row>
    <row r="827" spans="1:3" ht="18" customHeight="1">
      <c r="A827" t="str">
        <f>"051103"</f>
        <v>051103</v>
      </c>
      <c r="B827" t="str">
        <f>"Instrument holder L-type"</f>
        <v>Instrument holder L-type</v>
      </c>
      <c r="C827" t="str">
        <f>"Active"</f>
        <v>Active</v>
      </c>
    </row>
    <row r="828" spans="1:3" ht="18" customHeight="1">
      <c r="A828" t="str">
        <f>"051104"</f>
        <v>051104</v>
      </c>
      <c r="B828" t="str">
        <f>"Instrument holder H-type"</f>
        <v>Instrument holder H-type</v>
      </c>
      <c r="C828" t="str">
        <f>"New"</f>
        <v>New</v>
      </c>
    </row>
    <row r="829" spans="1:3" ht="18" customHeight="1">
      <c r="A829" t="str">
        <f>"051105"</f>
        <v>051105</v>
      </c>
      <c r="B829" t="str">
        <f>"BNC connecting lead for Oscilloscope"</f>
        <v>BNC connecting lead for Oscilloscope</v>
      </c>
      <c r="C829" t="str">
        <f>"New"</f>
        <v>New</v>
      </c>
    </row>
    <row r="830" spans="1:3" ht="18" customHeight="1">
      <c r="A830" t="str">
        <f>"051106"</f>
        <v>051106</v>
      </c>
      <c r="B830" t="str">
        <f>"Bridging plug (black) B512"</f>
        <v>Bridging plug (black) B512</v>
      </c>
      <c r="C830" t="str">
        <f>"Active"</f>
        <v>Active</v>
      </c>
    </row>
    <row r="831" spans="1:3" ht="18" customHeight="1">
      <c r="A831" t="str">
        <f>"051107"</f>
        <v>051107</v>
      </c>
      <c r="B831" t="str">
        <f>"Bridging plug (Black) B513"</f>
        <v>Bridging plug (Black) B513</v>
      </c>
      <c r="C831" t="str">
        <f>"New"</f>
        <v>New</v>
      </c>
    </row>
    <row r="832" spans="1:3" ht="18" customHeight="1">
      <c r="A832" t="str">
        <f>"051108"</f>
        <v>051108</v>
      </c>
      <c r="B832" t="str">
        <f>"Safety bridging plug (yellow) B511"</f>
        <v>Safety bridging plug (yellow) B511</v>
      </c>
      <c r="C832" t="str">
        <f>"Active"</f>
        <v>Active</v>
      </c>
    </row>
    <row r="833" spans="1:3" ht="18" customHeight="1">
      <c r="A833" t="str">
        <f>"051109"</f>
        <v>051109</v>
      </c>
      <c r="B833" t="str">
        <f>"Safety bridging plug(black)B511"</f>
        <v>Safety bridging plug(black)B511</v>
      </c>
      <c r="C833" t="str">
        <f>"Active"</f>
        <v>Active</v>
      </c>
    </row>
    <row r="834" spans="1:3" ht="18" customHeight="1">
      <c r="A834" t="str">
        <f>"051110"</f>
        <v>051110</v>
      </c>
      <c r="B834" t="str">
        <f>"Three-phase AC motor"</f>
        <v>Three-phase AC motor</v>
      </c>
      <c r="C834" t="str">
        <f>"New"</f>
        <v>New</v>
      </c>
    </row>
    <row r="835" spans="1:3" ht="18" customHeight="1">
      <c r="A835" t="str">
        <f>"051111"</f>
        <v>051111</v>
      </c>
      <c r="B835" t="str">
        <f>"Speed relay"</f>
        <v>Speed relay</v>
      </c>
      <c r="C835" t="str">
        <f>"New"</f>
        <v>New</v>
      </c>
    </row>
    <row r="836" spans="1:3" ht="18" customHeight="1">
      <c r="A836" t="str">
        <f>"051112"</f>
        <v>051112</v>
      </c>
      <c r="B836" t="str">
        <f>"DC seperately excited motor"</f>
        <v>DC seperately excited motor</v>
      </c>
      <c r="C836" t="str">
        <f>"New"</f>
        <v>New</v>
      </c>
    </row>
    <row r="837" spans="1:3" ht="18" customHeight="1">
      <c r="A837" t="str">
        <f>"051113"</f>
        <v>051113</v>
      </c>
      <c r="B837" t="str">
        <f>"Three-phase asynchronous motor"</f>
        <v>Three-phase asynchronous motor</v>
      </c>
      <c r="C837" t="str">
        <f>"Active"</f>
        <v>Active</v>
      </c>
    </row>
    <row r="838" spans="1:3" ht="18" customHeight="1">
      <c r="A838" t="str">
        <f>"051114"</f>
        <v>051114</v>
      </c>
      <c r="B838" t="str">
        <f>"DC motor"</f>
        <v>DC motor</v>
      </c>
      <c r="C838" t="str">
        <f>"New"</f>
        <v>New</v>
      </c>
    </row>
    <row r="839" spans="1:3" ht="18" customHeight="1">
      <c r="A839" t="str">
        <f>"051115"</f>
        <v>051115</v>
      </c>
      <c r="B839" t="str">
        <f>"Speed testing electricity generator"</f>
        <v>Speed testing electricity generator</v>
      </c>
      <c r="C839" t="str">
        <f>"New"</f>
        <v>New</v>
      </c>
    </row>
    <row r="840" spans="1:3" ht="18" customHeight="1">
      <c r="A840" t="str">
        <f>"051116"</f>
        <v>051116</v>
      </c>
      <c r="B840" t="str">
        <f>"Shaft-coupling"</f>
        <v>Shaft-coupling</v>
      </c>
      <c r="C840" t="str">
        <f>"New"</f>
        <v>New</v>
      </c>
    </row>
    <row r="841" spans="1:3" ht="18" customHeight="1">
      <c r="A841" t="str">
        <f>"051117"</f>
        <v>051117</v>
      </c>
      <c r="B841" t="str">
        <f>"Connecting gear profile"</f>
        <v>Connecting gear profile</v>
      </c>
      <c r="C841" t="str">
        <f>"Active"</f>
        <v>Active</v>
      </c>
    </row>
    <row r="842" spans="1:3" ht="18" customHeight="1">
      <c r="A842" t="str">
        <f>"051118"</f>
        <v>051118</v>
      </c>
      <c r="B842" t="str">
        <f>"Protection cover"</f>
        <v>Protection cover</v>
      </c>
      <c r="C842" t="str">
        <f t="shared" ref="C842:C873" si="38">"New"</f>
        <v>New</v>
      </c>
    </row>
    <row r="843" spans="1:3" ht="18" customHeight="1">
      <c r="A843" t="str">
        <f>"051119"</f>
        <v>051119</v>
      </c>
      <c r="B843" t="str">
        <f>"Hall sensor speed testing device"</f>
        <v>Hall sensor speed testing device</v>
      </c>
      <c r="C843" t="str">
        <f t="shared" si="38"/>
        <v>New</v>
      </c>
    </row>
    <row r="844" spans="1:3" ht="18" customHeight="1">
      <c r="A844" t="str">
        <f>"051120"</f>
        <v>051120</v>
      </c>
      <c r="B844" t="str">
        <f>"Stalling equipment"</f>
        <v>Stalling equipment</v>
      </c>
      <c r="C844" t="str">
        <f t="shared" si="38"/>
        <v>New</v>
      </c>
    </row>
    <row r="845" spans="1:3" ht="18" customHeight="1">
      <c r="A845" t="str">
        <f>"051121"</f>
        <v>051121</v>
      </c>
      <c r="B845" t="str">
        <f>"AC/DC AV meter"</f>
        <v>AC/DC AV meter</v>
      </c>
      <c r="C845" t="str">
        <f t="shared" si="38"/>
        <v>New</v>
      </c>
    </row>
    <row r="846" spans="1:3" ht="18" customHeight="1">
      <c r="A846" t="str">
        <f>"051122"</f>
        <v>051122</v>
      </c>
      <c r="B846" t="str">
        <f>"4 channel isolation amplifier"</f>
        <v>4 channel isolation amplifier</v>
      </c>
      <c r="C846" t="str">
        <f t="shared" si="38"/>
        <v>New</v>
      </c>
    </row>
    <row r="847" spans="1:3" ht="18" customHeight="1">
      <c r="A847" t="str">
        <f>"051123"</f>
        <v>051123</v>
      </c>
      <c r="B847" t="str">
        <f>"MOSFET*4 for JM06A"</f>
        <v>MOSFET*4 for JM06A</v>
      </c>
      <c r="C847" t="str">
        <f t="shared" si="38"/>
        <v>New</v>
      </c>
    </row>
    <row r="848" spans="1:3" ht="18" customHeight="1">
      <c r="A848" t="str">
        <f>"051124"</f>
        <v>051124</v>
      </c>
      <c r="B848" t="str">
        <f>"Three-phase air switch"</f>
        <v>Three-phase air switch</v>
      </c>
      <c r="C848" t="str">
        <f t="shared" si="38"/>
        <v>New</v>
      </c>
    </row>
    <row r="849" spans="1:3" ht="18" customHeight="1">
      <c r="A849" t="str">
        <f>"051125"</f>
        <v>051125</v>
      </c>
      <c r="B849" t="str">
        <f>"Three-phase fuse"</f>
        <v>Three-phase fuse</v>
      </c>
      <c r="C849" t="str">
        <f t="shared" si="38"/>
        <v>New</v>
      </c>
    </row>
    <row r="850" spans="1:3" ht="18" customHeight="1">
      <c r="A850" t="str">
        <f>"051126"</f>
        <v>051126</v>
      </c>
      <c r="B850" t="str">
        <f>"Buttom switch"</f>
        <v>Buttom switch</v>
      </c>
      <c r="C850" t="str">
        <f t="shared" si="38"/>
        <v>New</v>
      </c>
    </row>
    <row r="851" spans="1:3" ht="18" customHeight="1">
      <c r="A851" t="str">
        <f>"051127"</f>
        <v>051127</v>
      </c>
      <c r="B851" t="str">
        <f>"AC contactor"</f>
        <v>AC contactor</v>
      </c>
      <c r="C851" t="str">
        <f t="shared" si="38"/>
        <v>New</v>
      </c>
    </row>
    <row r="852" spans="1:3" ht="18" customHeight="1">
      <c r="A852" t="str">
        <f>"051128"</f>
        <v>051128</v>
      </c>
      <c r="B852" t="str">
        <f>"Thermal relay"</f>
        <v>Thermal relay</v>
      </c>
      <c r="C852" t="str">
        <f t="shared" si="38"/>
        <v>New</v>
      </c>
    </row>
    <row r="853" spans="1:3" ht="18" customHeight="1">
      <c r="A853" t="str">
        <f>"051129"</f>
        <v>051129</v>
      </c>
      <c r="B853" t="str">
        <f>"Time relay"</f>
        <v>Time relay</v>
      </c>
      <c r="C853" t="str">
        <f t="shared" si="38"/>
        <v>New</v>
      </c>
    </row>
    <row r="854" spans="1:3" ht="18" customHeight="1">
      <c r="A854" t="str">
        <f>"051130"</f>
        <v>051130</v>
      </c>
      <c r="B854" t="str">
        <f>"Limit switch"</f>
        <v>Limit switch</v>
      </c>
      <c r="C854" t="str">
        <f t="shared" si="38"/>
        <v>New</v>
      </c>
    </row>
    <row r="855" spans="1:3" ht="18" customHeight="1">
      <c r="A855" t="str">
        <f>"051131"</f>
        <v>051131</v>
      </c>
      <c r="B855" t="str">
        <f>"Current transformer"</f>
        <v>Current transformer</v>
      </c>
      <c r="C855" t="str">
        <f t="shared" si="38"/>
        <v>New</v>
      </c>
    </row>
    <row r="856" spans="1:3" ht="18" customHeight="1">
      <c r="A856" t="str">
        <f>"051132"</f>
        <v>051132</v>
      </c>
      <c r="B856" t="str">
        <f>"Three-phase watt-hour meter"</f>
        <v>Three-phase watt-hour meter</v>
      </c>
      <c r="C856" t="str">
        <f t="shared" si="38"/>
        <v>New</v>
      </c>
    </row>
    <row r="857" spans="1:3" ht="18" customHeight="1">
      <c r="A857" t="str">
        <f>"051133"</f>
        <v>051133</v>
      </c>
      <c r="B857" t="str">
        <f>"Dynamic braking board"</f>
        <v>Dynamic braking board</v>
      </c>
      <c r="C857" t="str">
        <f t="shared" si="38"/>
        <v>New</v>
      </c>
    </row>
    <row r="858" spans="1:3" ht="18" customHeight="1">
      <c r="A858" t="str">
        <f>"051134"</f>
        <v>051134</v>
      </c>
      <c r="B858" t="str">
        <f>"Single-phase watt-hour meter"</f>
        <v>Single-phase watt-hour meter</v>
      </c>
      <c r="C858" t="str">
        <f t="shared" si="38"/>
        <v>New</v>
      </c>
    </row>
    <row r="859" spans="1:3" ht="18" customHeight="1">
      <c r="A859" t="str">
        <f>"051135"</f>
        <v>051135</v>
      </c>
      <c r="B859" t="str">
        <f>"DC stabilized voltage supply"</f>
        <v>DC stabilized voltage supply</v>
      </c>
      <c r="C859" t="str">
        <f t="shared" si="38"/>
        <v>New</v>
      </c>
    </row>
    <row r="860" spans="1:3" ht="18" customHeight="1">
      <c r="A860" t="str">
        <f>"051136"</f>
        <v>051136</v>
      </c>
      <c r="B860" t="str">
        <f>"Stepping motor driver for JM08"</f>
        <v>Stepping motor driver for JM08</v>
      </c>
      <c r="C860" t="str">
        <f t="shared" si="38"/>
        <v>New</v>
      </c>
    </row>
    <row r="861" spans="1:3" ht="18" customHeight="1">
      <c r="A861" t="str">
        <f>"051137"</f>
        <v>051137</v>
      </c>
      <c r="B861" t="str">
        <f>"Stepping motor"</f>
        <v>Stepping motor</v>
      </c>
      <c r="C861" t="str">
        <f t="shared" si="38"/>
        <v>New</v>
      </c>
    </row>
    <row r="862" spans="1:3" ht="18" customHeight="1">
      <c r="A862" t="str">
        <f>"051138"</f>
        <v>051138</v>
      </c>
      <c r="B862" t="str">
        <f>"DC motor control unit"</f>
        <v>DC motor control unit</v>
      </c>
      <c r="C862" t="str">
        <f t="shared" si="38"/>
        <v>New</v>
      </c>
    </row>
    <row r="863" spans="1:3" ht="18" customHeight="1">
      <c r="A863" t="str">
        <f>"051139"</f>
        <v>051139</v>
      </c>
      <c r="B863" t="str">
        <f>"Slide Rheostat 215 Ohm 2A"</f>
        <v>Slide Rheostat 215 Ohm 2A</v>
      </c>
      <c r="C863" t="str">
        <f t="shared" si="38"/>
        <v>New</v>
      </c>
    </row>
    <row r="864" spans="1:3" ht="18" customHeight="1">
      <c r="A864" t="str">
        <f>"051140"</f>
        <v>051140</v>
      </c>
      <c r="B864" t="str">
        <f>"Bulb board"</f>
        <v>Bulb board</v>
      </c>
      <c r="C864" t="str">
        <f t="shared" si="38"/>
        <v>New</v>
      </c>
    </row>
    <row r="865" spans="1:3" ht="18" customHeight="1">
      <c r="A865" t="str">
        <f>"051141"</f>
        <v>051141</v>
      </c>
      <c r="B865" t="str">
        <f>"Rheostat"</f>
        <v>Rheostat</v>
      </c>
      <c r="C865" t="str">
        <f t="shared" si="38"/>
        <v>New</v>
      </c>
    </row>
    <row r="866" spans="1:3" ht="18" customHeight="1">
      <c r="A866" t="str">
        <f>"051142"</f>
        <v>051142</v>
      </c>
      <c r="B866" t="str">
        <f>"DC Adjuster"</f>
        <v>DC Adjuster</v>
      </c>
      <c r="C866" t="str">
        <f t="shared" si="38"/>
        <v>New</v>
      </c>
    </row>
    <row r="867" spans="1:3" ht="18" customHeight="1">
      <c r="A867" t="str">
        <f>"051143"</f>
        <v>051143</v>
      </c>
      <c r="B867" t="str">
        <f>"Diode"</f>
        <v>Diode</v>
      </c>
      <c r="C867" t="str">
        <f t="shared" si="38"/>
        <v>New</v>
      </c>
    </row>
    <row r="868" spans="1:3" ht="18" customHeight="1">
      <c r="A868" t="str">
        <f>"051144"</f>
        <v>051144</v>
      </c>
      <c r="B868" t="str">
        <f>"IGBT"</f>
        <v>IGBT</v>
      </c>
      <c r="C868" t="str">
        <f t="shared" si="38"/>
        <v>New</v>
      </c>
    </row>
    <row r="869" spans="1:3" ht="18" customHeight="1">
      <c r="A869" t="str">
        <f>"051145"</f>
        <v>051145</v>
      </c>
      <c r="B869" t="str">
        <f>"Three-phase rectifier"</f>
        <v>Three-phase rectifier</v>
      </c>
      <c r="C869" t="str">
        <f t="shared" si="38"/>
        <v>New</v>
      </c>
    </row>
    <row r="870" spans="1:3" ht="18" customHeight="1">
      <c r="A870" t="str">
        <f>"051146"</f>
        <v>051146</v>
      </c>
      <c r="B870" t="str">
        <f>"Fuse"</f>
        <v>Fuse</v>
      </c>
      <c r="C870" t="str">
        <f t="shared" si="38"/>
        <v>New</v>
      </c>
    </row>
    <row r="871" spans="1:3" ht="18" customHeight="1">
      <c r="A871" t="str">
        <f>"051147"</f>
        <v>051147</v>
      </c>
      <c r="B871" t="str">
        <f>"control unit two pulse"</f>
        <v>control unit two pulse</v>
      </c>
      <c r="C871" t="str">
        <f t="shared" si="38"/>
        <v>New</v>
      </c>
    </row>
    <row r="872" spans="1:3" ht="18" customHeight="1">
      <c r="A872" t="str">
        <f>"051148"</f>
        <v>051148</v>
      </c>
      <c r="B872" t="str">
        <f>"Trigger point limiter"</f>
        <v>Trigger point limiter</v>
      </c>
      <c r="C872" t="str">
        <f t="shared" si="38"/>
        <v>New</v>
      </c>
    </row>
    <row r="873" spans="1:3" ht="18" customHeight="1">
      <c r="A873" t="str">
        <f>"051149"</f>
        <v>051149</v>
      </c>
      <c r="B873" t="str">
        <f>"Control unit PWW"</f>
        <v>Control unit PWW</v>
      </c>
      <c r="C873" t="str">
        <f t="shared" si="38"/>
        <v>New</v>
      </c>
    </row>
    <row r="874" spans="1:3" ht="18" customHeight="1">
      <c r="A874" t="str">
        <f>"051150"</f>
        <v>051150</v>
      </c>
      <c r="B874" t="str">
        <f>"Filter"</f>
        <v>Filter</v>
      </c>
      <c r="C874" t="str">
        <f t="shared" ref="C874:C904" si="39">"New"</f>
        <v>New</v>
      </c>
    </row>
    <row r="875" spans="1:3" ht="18" customHeight="1">
      <c r="A875" t="str">
        <f>"051151"</f>
        <v>051151</v>
      </c>
      <c r="B875" t="str">
        <f>"Bulb sockets 3 fold(40W)"</f>
        <v>Bulb sockets 3 fold(40W)</v>
      </c>
      <c r="C875" t="str">
        <f t="shared" si="39"/>
        <v>New</v>
      </c>
    </row>
    <row r="876" spans="1:3" ht="18" customHeight="1">
      <c r="A876" t="str">
        <f>"051152"</f>
        <v>051152</v>
      </c>
      <c r="B876" t="str">
        <f>"Chopper load"</f>
        <v>Chopper load</v>
      </c>
      <c r="C876" t="str">
        <f t="shared" si="39"/>
        <v>New</v>
      </c>
    </row>
    <row r="877" spans="1:3" ht="18" customHeight="1">
      <c r="A877" t="str">
        <f>"051153"</f>
        <v>051153</v>
      </c>
      <c r="B877" t="str">
        <f>"SPWM filter"</f>
        <v>SPWM filter</v>
      </c>
      <c r="C877" t="str">
        <f t="shared" si="39"/>
        <v>New</v>
      </c>
    </row>
    <row r="878" spans="1:3" ht="18" customHeight="1">
      <c r="A878" t="str">
        <f>"051154"</f>
        <v>051154</v>
      </c>
      <c r="B878" t="str">
        <f>"Bulb socket(36v bulb)"</f>
        <v>Bulb socket(36v bulb)</v>
      </c>
      <c r="C878" t="str">
        <f t="shared" si="39"/>
        <v>New</v>
      </c>
    </row>
    <row r="879" spans="1:3" ht="18" customHeight="1">
      <c r="A879" t="str">
        <f>"051155"</f>
        <v>051155</v>
      </c>
      <c r="B879" t="str">
        <f>"Bulb socket(110v bulb)"</f>
        <v>Bulb socket(110v bulb)</v>
      </c>
      <c r="C879" t="str">
        <f t="shared" si="39"/>
        <v>New</v>
      </c>
    </row>
    <row r="880" spans="1:3" ht="18" customHeight="1">
      <c r="A880" t="str">
        <f>"051156"</f>
        <v>051156</v>
      </c>
      <c r="B880" t="str">
        <f>"Bulb socket(220v bulb)"</f>
        <v>Bulb socket(220v bulb)</v>
      </c>
      <c r="C880" t="str">
        <f t="shared" si="39"/>
        <v>New</v>
      </c>
    </row>
    <row r="881" spans="1:3" ht="18" customHeight="1">
      <c r="A881" t="str">
        <f>"051157"</f>
        <v>051157</v>
      </c>
      <c r="B881" t="str">
        <f>"Three-phase transformer for JM06A"</f>
        <v>Three-phase transformer for JM06A</v>
      </c>
      <c r="C881" t="str">
        <f t="shared" si="39"/>
        <v>New</v>
      </c>
    </row>
    <row r="882" spans="1:3" ht="18" customHeight="1">
      <c r="A882" t="str">
        <f>"051158"</f>
        <v>051158</v>
      </c>
      <c r="B882" t="str">
        <f>"DC power supply"</f>
        <v>DC power supply</v>
      </c>
      <c r="C882" t="str">
        <f t="shared" si="39"/>
        <v>New</v>
      </c>
    </row>
    <row r="883" spans="1:3" ht="18" customHeight="1">
      <c r="A883" t="str">
        <f>"051159"</f>
        <v>051159</v>
      </c>
      <c r="B883" t="str">
        <f>"Thyristor with quenching circuit"</f>
        <v>Thyristor with quenching circuit</v>
      </c>
      <c r="C883" t="str">
        <f t="shared" si="39"/>
        <v>New</v>
      </c>
    </row>
    <row r="884" spans="1:3" ht="18" customHeight="1">
      <c r="A884" t="str">
        <f>"051160"</f>
        <v>051160</v>
      </c>
      <c r="B884" t="str">
        <f>"Thyristor*6"</f>
        <v>Thyristor*6</v>
      </c>
      <c r="C884" t="str">
        <f t="shared" si="39"/>
        <v>New</v>
      </c>
    </row>
    <row r="885" spans="1:3" ht="18" customHeight="1">
      <c r="A885" t="str">
        <f>"051161"</f>
        <v>051161</v>
      </c>
      <c r="B885" t="str">
        <f>"control unit six pulse"</f>
        <v>control unit six pulse</v>
      </c>
      <c r="C885" t="str">
        <f t="shared" si="39"/>
        <v>New</v>
      </c>
    </row>
    <row r="886" spans="1:3" ht="18" customHeight="1">
      <c r="A886" t="str">
        <f>"051162"</f>
        <v>051162</v>
      </c>
      <c r="B886" t="str">
        <f>"control unit PWM, PFM"</f>
        <v>control unit PWM, PFM</v>
      </c>
      <c r="C886" t="str">
        <f t="shared" si="39"/>
        <v>New</v>
      </c>
    </row>
    <row r="887" spans="1:3" ht="18" customHeight="1">
      <c r="A887" t="str">
        <f>"051163"</f>
        <v>051163</v>
      </c>
      <c r="B887" t="str">
        <f>"Fault simulator phase control"</f>
        <v>Fault simulator phase control</v>
      </c>
      <c r="C887" t="str">
        <f t="shared" si="39"/>
        <v>New</v>
      </c>
    </row>
    <row r="888" spans="1:3" ht="18" customHeight="1">
      <c r="A888" t="str">
        <f>"051164"</f>
        <v>051164</v>
      </c>
      <c r="B888" t="str">
        <f>"Load, resistor"</f>
        <v>Load, resistor</v>
      </c>
      <c r="C888" t="str">
        <f t="shared" si="39"/>
        <v>New</v>
      </c>
    </row>
    <row r="889" spans="1:3" ht="18" customHeight="1">
      <c r="A889" t="str">
        <f>"051165"</f>
        <v>051165</v>
      </c>
      <c r="B889" t="str">
        <f>"Load, R/L/C"</f>
        <v>Load, R/L/C</v>
      </c>
      <c r="C889" t="str">
        <f t="shared" si="39"/>
        <v>New</v>
      </c>
    </row>
    <row r="890" spans="1:3" ht="18" customHeight="1">
      <c r="A890" t="str">
        <f>"051166"</f>
        <v>051166</v>
      </c>
      <c r="B890" t="str">
        <f>"Switching power supply"</f>
        <v>Switching power supply</v>
      </c>
      <c r="C890" t="str">
        <f t="shared" si="39"/>
        <v>New</v>
      </c>
    </row>
    <row r="891" spans="1:3" ht="18" customHeight="1">
      <c r="A891" t="str">
        <f>"051167"</f>
        <v>051167</v>
      </c>
      <c r="B891" t="str">
        <f>"Characteristics of power semiconductor"</f>
        <v>Characteristics of power semiconductor</v>
      </c>
      <c r="C891" t="str">
        <f t="shared" si="39"/>
        <v>New</v>
      </c>
    </row>
    <row r="892" spans="1:3" ht="18" customHeight="1">
      <c r="A892" t="str">
        <f>"051168"</f>
        <v>051168</v>
      </c>
      <c r="B892" t="str">
        <f>"Current detection unit"</f>
        <v>Current detection unit</v>
      </c>
      <c r="C892" t="str">
        <f t="shared" si="39"/>
        <v>New</v>
      </c>
    </row>
    <row r="893" spans="1:3" ht="18" customHeight="1">
      <c r="A893" t="str">
        <f>"051169"</f>
        <v>051169</v>
      </c>
      <c r="B893" t="str">
        <f>"Gain and bias unit"</f>
        <v>Gain and bias unit</v>
      </c>
      <c r="C893" t="str">
        <f t="shared" si="39"/>
        <v>New</v>
      </c>
    </row>
    <row r="894" spans="1:3" ht="18" customHeight="1">
      <c r="A894" t="str">
        <f>"051170"</f>
        <v>051170</v>
      </c>
      <c r="B894" t="str">
        <f>"DC digital display AV meter"</f>
        <v>DC digital display AV meter</v>
      </c>
      <c r="C894" t="str">
        <f t="shared" si="39"/>
        <v>New</v>
      </c>
    </row>
    <row r="895" spans="1:3" ht="18" customHeight="1">
      <c r="A895" t="str">
        <f>"051171"</f>
        <v>051171</v>
      </c>
      <c r="B895" t="str">
        <f>"Motor braking module"</f>
        <v>Motor braking module</v>
      </c>
      <c r="C895" t="str">
        <f t="shared" si="39"/>
        <v>New</v>
      </c>
    </row>
    <row r="896" spans="1:3" ht="18" customHeight="1">
      <c r="A896" t="str">
        <f>"051172"</f>
        <v>051172</v>
      </c>
      <c r="B896" t="str">
        <f>"Speed testing board"</f>
        <v>Speed testing board</v>
      </c>
      <c r="C896" t="str">
        <f t="shared" si="39"/>
        <v>New</v>
      </c>
    </row>
    <row r="897" spans="1:3" ht="18" customHeight="1">
      <c r="A897" t="str">
        <f>"051173"</f>
        <v>051173</v>
      </c>
      <c r="B897" t="str">
        <f>"Three-phase transformer for JM06B/07"</f>
        <v>Three-phase transformer for JM06B/07</v>
      </c>
      <c r="C897" t="str">
        <f t="shared" si="39"/>
        <v>New</v>
      </c>
    </row>
    <row r="898" spans="1:3" ht="18" customHeight="1">
      <c r="A898" t="str">
        <f>"051174"</f>
        <v>051174</v>
      </c>
      <c r="B898" t="str">
        <f>"Drive unit"</f>
        <v>Drive unit</v>
      </c>
      <c r="C898" t="str">
        <f t="shared" si="39"/>
        <v>New</v>
      </c>
    </row>
    <row r="899" spans="1:3" ht="18" customHeight="1">
      <c r="A899" t="str">
        <f>"051175"</f>
        <v>051175</v>
      </c>
      <c r="B899" t="str">
        <f>"PID regulator"</f>
        <v>PID regulator</v>
      </c>
      <c r="C899" t="str">
        <f t="shared" si="39"/>
        <v>New</v>
      </c>
    </row>
    <row r="900" spans="1:3" ht="18" customHeight="1">
      <c r="A900" t="str">
        <f>"051176"</f>
        <v>051176</v>
      </c>
      <c r="B900" t="str">
        <f>"Adaptive PI regulator"</f>
        <v>Adaptive PI regulator</v>
      </c>
      <c r="C900" t="str">
        <f t="shared" si="39"/>
        <v>New</v>
      </c>
    </row>
    <row r="901" spans="1:3" ht="18" customHeight="1">
      <c r="A901" t="str">
        <f>"051177"</f>
        <v>051177</v>
      </c>
      <c r="B901" t="str">
        <f>"Three-phase coulometer"</f>
        <v>Three-phase coulometer</v>
      </c>
      <c r="C901" t="str">
        <f t="shared" si="39"/>
        <v>New</v>
      </c>
    </row>
    <row r="902" spans="1:3" ht="18" customHeight="1">
      <c r="A902" t="str">
        <f>"051178"</f>
        <v>051178</v>
      </c>
      <c r="B902" t="str">
        <f>"IGBT*4"</f>
        <v>IGBT*4</v>
      </c>
      <c r="C902" t="str">
        <f t="shared" si="39"/>
        <v>New</v>
      </c>
    </row>
    <row r="903" spans="1:3" ht="18" customHeight="1">
      <c r="A903" t="str">
        <f>"051179"</f>
        <v>051179</v>
      </c>
      <c r="B903" t="str">
        <f>"Three-phase adjustable power supply"</f>
        <v>Three-phase adjustable power supply</v>
      </c>
      <c r="C903" t="str">
        <f t="shared" si="39"/>
        <v>New</v>
      </c>
    </row>
    <row r="904" spans="1:3" ht="18" customHeight="1">
      <c r="A904" t="str">
        <f>"051180"</f>
        <v>051180</v>
      </c>
      <c r="B904" t="str">
        <f>"Frequency converter"</f>
        <v>Frequency converter</v>
      </c>
      <c r="C904" t="str">
        <f t="shared" si="39"/>
        <v>New</v>
      </c>
    </row>
    <row r="905" spans="1:3" ht="18" customHeight="1">
      <c r="A905" t="str">
        <f>"051181"</f>
        <v>051181</v>
      </c>
      <c r="B905" t="str">
        <f>"Digital input module 1"</f>
        <v>Digital input module 1</v>
      </c>
      <c r="C905" t="str">
        <f>"Active"</f>
        <v>Active</v>
      </c>
    </row>
    <row r="906" spans="1:3" ht="18" customHeight="1">
      <c r="A906" t="str">
        <f>"051182"</f>
        <v>051182</v>
      </c>
      <c r="B906" t="str">
        <f>"Connecting lead (black) 50cm"</f>
        <v>Connecting lead (black) 50cm</v>
      </c>
      <c r="C906" t="str">
        <f>"Active"</f>
        <v>Active</v>
      </c>
    </row>
    <row r="907" spans="1:3" ht="18" customHeight="1">
      <c r="A907" t="str">
        <f>"051183"</f>
        <v>051183</v>
      </c>
      <c r="B907" t="str">
        <f>"Connecting lead (black) 100cm"</f>
        <v>Connecting lead (black) 100cm</v>
      </c>
      <c r="C907" t="str">
        <f>"Active"</f>
        <v>Active</v>
      </c>
    </row>
    <row r="908" spans="1:3" ht="18" customHeight="1">
      <c r="A908" t="str">
        <f>"051184"</f>
        <v>051184</v>
      </c>
      <c r="B908" t="str">
        <f>"Safety connecting lead (green) 30cm"</f>
        <v>Safety connecting lead (green) 30cm</v>
      </c>
      <c r="C908" t="str">
        <f>"Active"</f>
        <v>Active</v>
      </c>
    </row>
    <row r="909" spans="1:3" ht="18" customHeight="1">
      <c r="A909" t="str">
        <f>"051185"</f>
        <v>051185</v>
      </c>
      <c r="B909" t="str">
        <f>"Safety connecting lead (black) 50cm"</f>
        <v>Safety connecting lead (black) 50cm</v>
      </c>
      <c r="C909" t="str">
        <f>"New"</f>
        <v>New</v>
      </c>
    </row>
    <row r="910" spans="1:3" ht="18" customHeight="1">
      <c r="A910" t="str">
        <f>"051186"</f>
        <v>051186</v>
      </c>
      <c r="B910" t="str">
        <f>"Safety connecting lead (black) 100cm"</f>
        <v>Safety connecting lead (black) 100cm</v>
      </c>
      <c r="C910" t="str">
        <f>"New"</f>
        <v>New</v>
      </c>
    </row>
    <row r="911" spans="1:3" ht="18" customHeight="1">
      <c r="A911" t="str">
        <f>"051187"</f>
        <v>051187</v>
      </c>
      <c r="B911" t="str">
        <f>"Safety connecting lead (black) 30cm"</f>
        <v>Safety connecting lead (black) 30cm</v>
      </c>
      <c r="C911" t="str">
        <f>"New"</f>
        <v>New</v>
      </c>
    </row>
    <row r="912" spans="1:3" ht="18" customHeight="1">
      <c r="A912" t="str">
        <f>"051188"</f>
        <v>051188</v>
      </c>
      <c r="B912" t="str">
        <f>"USBLink+13706"</f>
        <v>USBLink+13706</v>
      </c>
      <c r="C912" t="str">
        <f>"Inactive"</f>
        <v>Inactive</v>
      </c>
    </row>
    <row r="913" spans="1:3" ht="18" customHeight="1">
      <c r="A913" t="str">
        <f>"051189"</f>
        <v>051189</v>
      </c>
      <c r="B913" t="str">
        <f>"Fourier Biology Kit"</f>
        <v>Fourier Biology Kit</v>
      </c>
      <c r="C913" t="str">
        <f>"Active"</f>
        <v>Active</v>
      </c>
    </row>
    <row r="914" spans="1:3" ht="18" customHeight="1">
      <c r="A914" t="str">
        <f>"051190"</f>
        <v>051190</v>
      </c>
      <c r="B914" t="str">
        <f>"Fourier Chemistry Kit"</f>
        <v>Fourier Chemistry Kit</v>
      </c>
      <c r="C914" t="str">
        <f>"Active"</f>
        <v>Active</v>
      </c>
    </row>
    <row r="915" spans="1:3" ht="18" customHeight="1">
      <c r="A915" t="str">
        <f>"051191"</f>
        <v>051191</v>
      </c>
      <c r="B915" t="str">
        <f>"Fourier Physics Kit"</f>
        <v>Fourier Physics Kit</v>
      </c>
      <c r="C915" t="str">
        <f>"Inactive"</f>
        <v>Inactive</v>
      </c>
    </row>
    <row r="916" spans="1:3" ht="18" customHeight="1">
      <c r="A916" t="str">
        <f>"051192"</f>
        <v>051192</v>
      </c>
      <c r="B916" t="str">
        <f>"Comprehensive Physics"</f>
        <v>Comprehensive Physics</v>
      </c>
      <c r="C916" t="str">
        <f>"Inactive"</f>
        <v>Inactive</v>
      </c>
    </row>
    <row r="917" spans="1:3" ht="18" customHeight="1">
      <c r="A917" t="str">
        <f>"051193"</f>
        <v>051193</v>
      </c>
      <c r="B917" t="str">
        <f>"Accessories for Biology(Rubinstein)"</f>
        <v>Accessories for Biology(Rubinstein)</v>
      </c>
      <c r="C917" t="str">
        <f>"Active"</f>
        <v>Active</v>
      </c>
    </row>
    <row r="918" spans="1:3" ht="18" customHeight="1">
      <c r="A918" t="str">
        <f>"051194"</f>
        <v>051194</v>
      </c>
      <c r="B918" t="str">
        <f>"Accessories for Chemistry(Rubinstein)"</f>
        <v>Accessories for Chemistry(Rubinstein)</v>
      </c>
      <c r="C918" t="str">
        <f>"Active"</f>
        <v>Active</v>
      </c>
    </row>
    <row r="919" spans="1:3" ht="18" customHeight="1">
      <c r="A919" t="str">
        <f>"051195"</f>
        <v>051195</v>
      </c>
      <c r="B919" t="str">
        <f>"Accessories for Physics(Rubinstein)"</f>
        <v>Accessories for Physics(Rubinstein)</v>
      </c>
      <c r="C919" t="str">
        <f>"Inactive"</f>
        <v>Inactive</v>
      </c>
    </row>
    <row r="920" spans="1:3" ht="18" customHeight="1">
      <c r="A920" t="str">
        <f>"051196"</f>
        <v>051196</v>
      </c>
      <c r="B920" t="str">
        <f>"MOSFET*4 for JM06B"</f>
        <v>MOSFET*4 for JM06B</v>
      </c>
      <c r="C920" t="str">
        <f t="shared" ref="C920:C950" si="40">"New"</f>
        <v>New</v>
      </c>
    </row>
    <row r="921" spans="1:3" ht="18" customHeight="1">
      <c r="A921" t="str">
        <f>"051197"</f>
        <v>051197</v>
      </c>
      <c r="B921" t="str">
        <f>"L-type frame 1.5M×3 level - JM06A"</f>
        <v>L-type frame 1.5M×3 level - JM06A</v>
      </c>
      <c r="C921" t="str">
        <f t="shared" si="40"/>
        <v>New</v>
      </c>
    </row>
    <row r="922" spans="1:3" ht="18" customHeight="1">
      <c r="A922" t="str">
        <f>"051198"</f>
        <v>051198</v>
      </c>
      <c r="B922" t="str">
        <f>"L-type frame 1.5M×2 level - JM07"</f>
        <v>L-type frame 1.5M×2 level - JM07</v>
      </c>
      <c r="C922" t="str">
        <f t="shared" si="40"/>
        <v>New</v>
      </c>
    </row>
    <row r="923" spans="1:3" ht="18" customHeight="1">
      <c r="A923" t="str">
        <f>"051199"</f>
        <v>051199</v>
      </c>
      <c r="B923" t="str">
        <f>"H-type frame 1.5M×2 level - JM07"</f>
        <v>H-type frame 1.5M×2 level - JM07</v>
      </c>
      <c r="C923" t="str">
        <f t="shared" si="40"/>
        <v>New</v>
      </c>
    </row>
    <row r="924" spans="1:3" ht="18" customHeight="1">
      <c r="A924" t="str">
        <f>"051200"</f>
        <v>051200</v>
      </c>
      <c r="B924" t="str">
        <f>"Three-phase air switch for JM08"</f>
        <v>Three-phase air switch for JM08</v>
      </c>
      <c r="C924" t="str">
        <f t="shared" si="40"/>
        <v>New</v>
      </c>
    </row>
    <row r="925" spans="1:3" ht="18" customHeight="1">
      <c r="A925" t="str">
        <f>"051201"</f>
        <v>051201</v>
      </c>
      <c r="B925" t="str">
        <f>"Two-circuit DC power supply 24V"</f>
        <v>Two-circuit DC power supply 24V</v>
      </c>
      <c r="C925" t="str">
        <f t="shared" si="40"/>
        <v>New</v>
      </c>
    </row>
    <row r="926" spans="1:3" ht="18" customHeight="1">
      <c r="A926" t="str">
        <f>"051202"</f>
        <v>051202</v>
      </c>
      <c r="B926" t="str">
        <f>"Digital input module 2"</f>
        <v>Digital input module 2</v>
      </c>
      <c r="C926" t="str">
        <f t="shared" si="40"/>
        <v>New</v>
      </c>
    </row>
    <row r="927" spans="1:3" ht="18" customHeight="1">
      <c r="A927" t="str">
        <f>"051203"</f>
        <v>051203</v>
      </c>
      <c r="B927" t="str">
        <f>"Digital output module 1"</f>
        <v>Digital output module 1</v>
      </c>
      <c r="C927" t="str">
        <f t="shared" si="40"/>
        <v>New</v>
      </c>
    </row>
    <row r="928" spans="1:3" ht="18" customHeight="1">
      <c r="A928" t="str">
        <f>"051204"</f>
        <v>051204</v>
      </c>
      <c r="B928" t="str">
        <f>"Digital output module 2"</f>
        <v>Digital output module 2</v>
      </c>
      <c r="C928" t="str">
        <f t="shared" si="40"/>
        <v>New</v>
      </c>
    </row>
    <row r="929" spans="1:3" ht="18" customHeight="1">
      <c r="A929" t="str">
        <f>"051205"</f>
        <v>051205</v>
      </c>
      <c r="B929" t="str">
        <f>"Analog input module"</f>
        <v>Analog input module</v>
      </c>
      <c r="C929" t="str">
        <f t="shared" si="40"/>
        <v>New</v>
      </c>
    </row>
    <row r="930" spans="1:3" ht="18" customHeight="1">
      <c r="A930" t="str">
        <f>"051206"</f>
        <v>051206</v>
      </c>
      <c r="B930" t="str">
        <f>"Analog output module"</f>
        <v>Analog output module</v>
      </c>
      <c r="C930" t="str">
        <f t="shared" si="40"/>
        <v>New</v>
      </c>
    </row>
    <row r="931" spans="1:3" ht="18" customHeight="1">
      <c r="A931" t="str">
        <f>"051207"</f>
        <v>051207</v>
      </c>
      <c r="B931" t="str">
        <f>"Traffic light module"</f>
        <v>Traffic light module</v>
      </c>
      <c r="C931" t="str">
        <f t="shared" si="40"/>
        <v>New</v>
      </c>
    </row>
    <row r="932" spans="1:3" ht="18" customHeight="1">
      <c r="A932" t="str">
        <f>"051208"</f>
        <v>051208</v>
      </c>
      <c r="B932" t="str">
        <f>"AC contactor module"</f>
        <v>AC contactor module</v>
      </c>
      <c r="C932" t="str">
        <f t="shared" si="40"/>
        <v>New</v>
      </c>
    </row>
    <row r="933" spans="1:3" ht="18" customHeight="1">
      <c r="A933" t="str">
        <f>"051209"</f>
        <v>051209</v>
      </c>
      <c r="B933" t="str">
        <f>"General relay module"</f>
        <v>General relay module</v>
      </c>
      <c r="C933" t="str">
        <f t="shared" si="40"/>
        <v>New</v>
      </c>
    </row>
    <row r="934" spans="1:3" ht="18" customHeight="1">
      <c r="A934" t="str">
        <f>"051210"</f>
        <v>051210</v>
      </c>
      <c r="B934" t="str">
        <f>"MM440 frequency converter"</f>
        <v>MM440 frequency converter</v>
      </c>
      <c r="C934" t="str">
        <f t="shared" si="40"/>
        <v>New</v>
      </c>
    </row>
    <row r="935" spans="1:3" ht="18" customHeight="1">
      <c r="A935" t="str">
        <f>"051211"</f>
        <v>051211</v>
      </c>
      <c r="B935" t="str">
        <f>"Touch screen module"</f>
        <v>Touch screen module</v>
      </c>
      <c r="C935" t="str">
        <f t="shared" si="40"/>
        <v>New</v>
      </c>
    </row>
    <row r="936" spans="1:3" ht="18" customHeight="1">
      <c r="A936" t="str">
        <f>"051212"</f>
        <v>051212</v>
      </c>
      <c r="B936" t="str">
        <f>"Single-phase socket module"</f>
        <v>Single-phase socket module</v>
      </c>
      <c r="C936" t="str">
        <f t="shared" si="40"/>
        <v>New</v>
      </c>
    </row>
    <row r="937" spans="1:3" ht="18" customHeight="1">
      <c r="A937" t="str">
        <f>"051213"</f>
        <v>051213</v>
      </c>
      <c r="B937" t="str">
        <f>"Mechanical arm module"</f>
        <v>Mechanical arm module</v>
      </c>
      <c r="C937" t="str">
        <f t="shared" si="40"/>
        <v>New</v>
      </c>
    </row>
    <row r="938" spans="1:3" ht="18" customHeight="1">
      <c r="A938" t="str">
        <f>"051214"</f>
        <v>051214</v>
      </c>
      <c r="B938" t="str">
        <f>"Drag-on carriage module"</f>
        <v>Drag-on carriage module</v>
      </c>
      <c r="C938" t="str">
        <f t="shared" si="40"/>
        <v>New</v>
      </c>
    </row>
    <row r="939" spans="1:3" ht="18" customHeight="1">
      <c r="A939" t="str">
        <f>"051215"</f>
        <v>051215</v>
      </c>
      <c r="B939" t="str">
        <f>"Neon lights module"</f>
        <v>Neon lights module</v>
      </c>
      <c r="C939" t="str">
        <f t="shared" si="40"/>
        <v>New</v>
      </c>
    </row>
    <row r="940" spans="1:3" ht="18" customHeight="1">
      <c r="A940" t="str">
        <f>"051216"</f>
        <v>051216</v>
      </c>
      <c r="B940" t="str">
        <f>"Conveyer belt module"</f>
        <v>Conveyer belt module</v>
      </c>
      <c r="C940" t="str">
        <f t="shared" si="40"/>
        <v>New</v>
      </c>
    </row>
    <row r="941" spans="1:3" ht="18" customHeight="1">
      <c r="A941" t="str">
        <f>"051217"</f>
        <v>051217</v>
      </c>
      <c r="B941" t="str">
        <f>"Traffic lights module"</f>
        <v>Traffic lights module</v>
      </c>
      <c r="C941" t="str">
        <f t="shared" si="40"/>
        <v>New</v>
      </c>
    </row>
    <row r="942" spans="1:3" ht="18" customHeight="1">
      <c r="A942" t="str">
        <f>"051218"</f>
        <v>051218</v>
      </c>
      <c r="B942" t="str">
        <f>"Mixed Liquor module"</f>
        <v>Mixed Liquor module</v>
      </c>
      <c r="C942" t="str">
        <f t="shared" si="40"/>
        <v>New</v>
      </c>
    </row>
    <row r="943" spans="1:3" ht="18" customHeight="1">
      <c r="A943" t="str">
        <f>"051219"</f>
        <v>051219</v>
      </c>
      <c r="B943" t="str">
        <f>"Permanent magnet DC motor"</f>
        <v>Permanent magnet DC motor</v>
      </c>
      <c r="C943" t="str">
        <f t="shared" si="40"/>
        <v>New</v>
      </c>
    </row>
    <row r="944" spans="1:3" ht="18" customHeight="1">
      <c r="A944" t="str">
        <f>"051220"</f>
        <v>051220</v>
      </c>
      <c r="B944" t="str">
        <f>"Pneumatic module"</f>
        <v>Pneumatic module</v>
      </c>
      <c r="C944" t="str">
        <f t="shared" si="40"/>
        <v>New</v>
      </c>
    </row>
    <row r="945" spans="1:3" ht="18" customHeight="1">
      <c r="A945" t="str">
        <f>"051221"</f>
        <v>051221</v>
      </c>
      <c r="B945" t="str">
        <f>"Air compressor QW60"</f>
        <v>Air compressor QW60</v>
      </c>
      <c r="C945" t="str">
        <f t="shared" si="40"/>
        <v>New</v>
      </c>
    </row>
    <row r="946" spans="1:3" ht="18" customHeight="1">
      <c r="A946" t="str">
        <f>"051222"</f>
        <v>051222</v>
      </c>
      <c r="B946" t="str">
        <f>"Profieldbus connecting lead"</f>
        <v>Profieldbus connecting lead</v>
      </c>
      <c r="C946" t="str">
        <f t="shared" si="40"/>
        <v>New</v>
      </c>
    </row>
    <row r="947" spans="1:3" ht="18" customHeight="1">
      <c r="A947" t="str">
        <f>"051223"</f>
        <v>051223</v>
      </c>
      <c r="B947" t="str">
        <f>"Coder"</f>
        <v>Coder</v>
      </c>
      <c r="C947" t="str">
        <f t="shared" si="40"/>
        <v>New</v>
      </c>
    </row>
    <row r="948" spans="1:3" ht="18" customHeight="1">
      <c r="A948" t="str">
        <f>"051224"</f>
        <v>051224</v>
      </c>
      <c r="B948" t="str">
        <f>"Plug-in board 150*297mm"</f>
        <v>Plug-in board 150*297mm</v>
      </c>
      <c r="C948" t="str">
        <f t="shared" si="40"/>
        <v>New</v>
      </c>
    </row>
    <row r="949" spans="1:3" ht="18" customHeight="1">
      <c r="A949" t="str">
        <f>"051225"</f>
        <v>051225</v>
      </c>
      <c r="B949" t="str">
        <f>"Connecting lead (black) 30cm"</f>
        <v>Connecting lead (black) 30cm</v>
      </c>
      <c r="C949" t="str">
        <f t="shared" si="40"/>
        <v>New</v>
      </c>
    </row>
    <row r="950" spans="1:3" ht="18" customHeight="1">
      <c r="A950" t="str">
        <f>"051226"</f>
        <v>051226</v>
      </c>
      <c r="B950" t="str">
        <f>"Connecting lead (yellow) 30cm"</f>
        <v>Connecting lead (yellow) 30cm</v>
      </c>
      <c r="C950" t="str">
        <f t="shared" si="40"/>
        <v>New</v>
      </c>
    </row>
    <row r="951" spans="1:3" ht="18" customHeight="1">
      <c r="A951" t="str">
        <f>"051227"</f>
        <v>051227</v>
      </c>
      <c r="B951" t="str">
        <f>"Connecting lead (yellow) 50cm"</f>
        <v>Connecting lead (yellow) 50cm</v>
      </c>
      <c r="C951" t="str">
        <f>"Active"</f>
        <v>Active</v>
      </c>
    </row>
    <row r="952" spans="1:3" ht="18" customHeight="1">
      <c r="A952" t="str">
        <f>"051228"</f>
        <v>051228</v>
      </c>
      <c r="B952" t="str">
        <f>"Connecting lead (yellow) 100cm"</f>
        <v>Connecting lead (yellow) 100cm</v>
      </c>
      <c r="C952" t="str">
        <f>"New"</f>
        <v>New</v>
      </c>
    </row>
    <row r="953" spans="1:3" ht="18" customHeight="1">
      <c r="A953" t="str">
        <f>"051229"</f>
        <v>051229</v>
      </c>
      <c r="B953" t="str">
        <f>"Connecting lead (red) 30cm"</f>
        <v>Connecting lead (red) 30cm</v>
      </c>
      <c r="C953" t="str">
        <f>"New"</f>
        <v>New</v>
      </c>
    </row>
    <row r="954" spans="1:3" ht="18" customHeight="1">
      <c r="A954" t="str">
        <f>"051230"</f>
        <v>051230</v>
      </c>
      <c r="B954" t="str">
        <f>"Connecting lead (red) 50cm"</f>
        <v>Connecting lead (red) 50cm</v>
      </c>
      <c r="C954" t="str">
        <f>"Active"</f>
        <v>Active</v>
      </c>
    </row>
    <row r="955" spans="1:3" ht="18" customHeight="1">
      <c r="A955" t="str">
        <f>"051231"</f>
        <v>051231</v>
      </c>
      <c r="B955" t="str">
        <f>"Connecting lead (red) 100cm"</f>
        <v>Connecting lead (red) 100cm</v>
      </c>
      <c r="C955" t="str">
        <f>"Active"</f>
        <v>Active</v>
      </c>
    </row>
    <row r="956" spans="1:3" ht="18" customHeight="1">
      <c r="A956" t="str">
        <f>"051232"</f>
        <v>051232</v>
      </c>
      <c r="B956" t="str">
        <f>"Connecting lead (green) 30cm"</f>
        <v>Connecting lead (green) 30cm</v>
      </c>
      <c r="C956" t="str">
        <f>"New"</f>
        <v>New</v>
      </c>
    </row>
    <row r="957" spans="1:3" ht="18" customHeight="1">
      <c r="A957" t="str">
        <f>"051233"</f>
        <v>051233</v>
      </c>
      <c r="B957" t="str">
        <f>"Connecting lead (green) 50cm"</f>
        <v>Connecting lead (green) 50cm</v>
      </c>
      <c r="C957" t="str">
        <f>"New"</f>
        <v>New</v>
      </c>
    </row>
    <row r="958" spans="1:3" ht="18" customHeight="1">
      <c r="A958" t="str">
        <f>"051234"</f>
        <v>051234</v>
      </c>
      <c r="B958" t="str">
        <f>"Connecting lead (green) 100cm"</f>
        <v>Connecting lead (green) 100cm</v>
      </c>
      <c r="C958" t="str">
        <f>"New"</f>
        <v>New</v>
      </c>
    </row>
    <row r="959" spans="1:3" ht="18" customHeight="1">
      <c r="A959" t="str">
        <f>"051235"</f>
        <v>051235</v>
      </c>
      <c r="B959" t="str">
        <f>"Safety connector to spade connector, (red) 100cm"</f>
        <v>Safety connector to spade connector, (red) 100cm</v>
      </c>
      <c r="C959" t="str">
        <f>"Active"</f>
        <v>Active</v>
      </c>
    </row>
    <row r="960" spans="1:3" ht="18" customHeight="1">
      <c r="A960" t="str">
        <f>"051236"</f>
        <v>051236</v>
      </c>
      <c r="B960" t="str">
        <f>"Safety connecting lead (yellow) 30cm"</f>
        <v>Safety connecting lead (yellow) 30cm</v>
      </c>
      <c r="C960" t="str">
        <f>"New"</f>
        <v>New</v>
      </c>
    </row>
    <row r="961" spans="1:3" ht="18" customHeight="1">
      <c r="A961" t="str">
        <f>"051237"</f>
        <v>051237</v>
      </c>
      <c r="B961" t="str">
        <f>"Safety connecting lead (yellow) 50cm"</f>
        <v>Safety connecting lead (yellow) 50cm</v>
      </c>
      <c r="C961" t="str">
        <f>"Active"</f>
        <v>Active</v>
      </c>
    </row>
    <row r="962" spans="1:3" ht="18" customHeight="1">
      <c r="A962" t="str">
        <f>"051238"</f>
        <v>051238</v>
      </c>
      <c r="B962" t="str">
        <f>"Safety connecting lead (yellow) 100cm"</f>
        <v>Safety connecting lead (yellow) 100cm</v>
      </c>
      <c r="C962" t="str">
        <f>"Active"</f>
        <v>Active</v>
      </c>
    </row>
    <row r="963" spans="1:3" ht="18" customHeight="1">
      <c r="A963" t="str">
        <f>"051239"</f>
        <v>051239</v>
      </c>
      <c r="B963" t="str">
        <f>"Safety connecting lead (yellow) 120cm"</f>
        <v>Safety connecting lead (yellow) 120cm</v>
      </c>
      <c r="C963" t="str">
        <f>"New"</f>
        <v>New</v>
      </c>
    </row>
    <row r="964" spans="1:3" ht="18" customHeight="1">
      <c r="A964" t="str">
        <f>"051240"</f>
        <v>051240</v>
      </c>
      <c r="B964" t="str">
        <f>"Safety connecting lead (yellow green) 50cm"</f>
        <v>Safety connecting lead (yellow green) 50cm</v>
      </c>
      <c r="C964" t="str">
        <f>"New"</f>
        <v>New</v>
      </c>
    </row>
    <row r="965" spans="1:3" ht="18" customHeight="1">
      <c r="A965" t="str">
        <f>"051241"</f>
        <v>051241</v>
      </c>
      <c r="B965" t="str">
        <f>"Safety connecting lead (yellow green) 100cm"</f>
        <v>Safety connecting lead (yellow green) 100cm</v>
      </c>
      <c r="C965" t="str">
        <f>"New"</f>
        <v>New</v>
      </c>
    </row>
    <row r="966" spans="1:3" ht="18" customHeight="1">
      <c r="A966" t="str">
        <f>"051242"</f>
        <v>051242</v>
      </c>
      <c r="B966" t="str">
        <f>"Safety connecting lead (yellow green) 120cm"</f>
        <v>Safety connecting lead (yellow green) 120cm</v>
      </c>
      <c r="C966" t="str">
        <f>"New"</f>
        <v>New</v>
      </c>
    </row>
    <row r="967" spans="1:3" ht="18" customHeight="1">
      <c r="A967" t="str">
        <f>"051243"</f>
        <v>051243</v>
      </c>
      <c r="B967" t="str">
        <f>"Safety connecting lead (red) 30cm"</f>
        <v>Safety connecting lead (red) 30cm</v>
      </c>
      <c r="C967" t="str">
        <f>"New"</f>
        <v>New</v>
      </c>
    </row>
    <row r="968" spans="1:3" ht="18" customHeight="1">
      <c r="A968" t="str">
        <f>"051244"</f>
        <v>051244</v>
      </c>
      <c r="B968" t="str">
        <f>"Safety connecting lead (red) 50cm"</f>
        <v>Safety connecting lead (red) 50cm</v>
      </c>
      <c r="C968" t="str">
        <f>"Active"</f>
        <v>Active</v>
      </c>
    </row>
    <row r="969" spans="1:3" ht="18" customHeight="1">
      <c r="A969" t="str">
        <f>"051245"</f>
        <v>051245</v>
      </c>
      <c r="B969" t="str">
        <f>"Safety connecting lead (red) 100cm"</f>
        <v>Safety connecting lead (red) 100cm</v>
      </c>
      <c r="C969" t="str">
        <f>"Active"</f>
        <v>Active</v>
      </c>
    </row>
    <row r="970" spans="1:3" ht="18" customHeight="1">
      <c r="A970" t="str">
        <f>"051246"</f>
        <v>051246</v>
      </c>
      <c r="B970" t="str">
        <f>"Safety connecting lead (red) 120cm"</f>
        <v>Safety connecting lead (red) 120cm</v>
      </c>
      <c r="C970" t="str">
        <f>"New"</f>
        <v>New</v>
      </c>
    </row>
    <row r="971" spans="1:3" ht="18" customHeight="1">
      <c r="A971" t="str">
        <f>"051247"</f>
        <v>051247</v>
      </c>
      <c r="B971" t="str">
        <f>"Safety connecting lead (green) 50cm"</f>
        <v>Safety connecting lead (green) 50cm</v>
      </c>
      <c r="C971" t="str">
        <f>"Active"</f>
        <v>Active</v>
      </c>
    </row>
    <row r="972" spans="1:3" ht="18" customHeight="1">
      <c r="A972" t="str">
        <f>"051248"</f>
        <v>051248</v>
      </c>
      <c r="B972" t="str">
        <f>"Safety connecting lead (green) 100cm"</f>
        <v>Safety connecting lead (green) 100cm</v>
      </c>
      <c r="C972" t="str">
        <f>"New"</f>
        <v>New</v>
      </c>
    </row>
    <row r="973" spans="1:3" ht="18" customHeight="1">
      <c r="A973" t="str">
        <f>"051249"</f>
        <v>051249</v>
      </c>
      <c r="B973" t="str">
        <f>"Safety connecting lead (green) 120cm"</f>
        <v>Safety connecting lead (green) 120cm</v>
      </c>
      <c r="C973" t="str">
        <f>"New"</f>
        <v>New</v>
      </c>
    </row>
    <row r="974" spans="1:3" ht="18" customHeight="1">
      <c r="A974" t="str">
        <f>"051250"</f>
        <v>051250</v>
      </c>
      <c r="B974" t="str">
        <f>"Stepping motor driver for JM04"</f>
        <v>Stepping motor driver for JM04</v>
      </c>
      <c r="C974" t="str">
        <f>"New"</f>
        <v>New</v>
      </c>
    </row>
    <row r="975" spans="1:3" ht="18" customHeight="1">
      <c r="A975" t="str">
        <f>"06/1006/1006/10"</f>
        <v>06/1006/1006/10</v>
      </c>
      <c r="B975" t="str">
        <f>"Stop Station I/O Cable 15m"</f>
        <v>Stop Station I/O Cable 15m</v>
      </c>
      <c r="C975" t="str">
        <f>"Inactive"</f>
        <v>Inactive</v>
      </c>
    </row>
    <row r="976" spans="1:3" ht="18" customHeight="1">
      <c r="A976" t="str">
        <f>"0E7111"</f>
        <v>0E7111</v>
      </c>
      <c r="B976" t="str">
        <f>"LM_Content SA Lab -E- CNC Milling PLM1000"</f>
        <v>LM_Content SA Lab -E- CNC Milling PLM1000</v>
      </c>
      <c r="C976" t="str">
        <f>"Active"</f>
        <v>Active</v>
      </c>
    </row>
    <row r="977" spans="1:3" ht="18" customHeight="1">
      <c r="A977" t="str">
        <f>"0E7112"</f>
        <v>0E7112</v>
      </c>
      <c r="B977" t="str">
        <f>"LM_Content SA Lab -E- CNC Mill SLM0200"</f>
        <v>LM_Content SA Lab -E- CNC Mill SLM0200</v>
      </c>
      <c r="C977" t="str">
        <f>"Not for purc"</f>
        <v>Not for purc</v>
      </c>
    </row>
    <row r="978" spans="1:3" ht="18" customHeight="1">
      <c r="A978" t="str">
        <f>"0E7113"</f>
        <v>0E7113</v>
      </c>
      <c r="B978" t="str">
        <f>"LMC SA Lab -E- CNC Router"</f>
        <v>LMC SA Lab -E- CNC Router</v>
      </c>
      <c r="C978" t="str">
        <f>"Active"</f>
        <v>Active</v>
      </c>
    </row>
    <row r="979" spans="1:3" ht="18" customHeight="1">
      <c r="A979" t="str">
        <f>"0E7114"</f>
        <v>0E7114</v>
      </c>
      <c r="B979" t="str">
        <f>"LM_Content SA Lab -E- CNC Turning PLT3000"</f>
        <v>LM_Content SA Lab -E- CNC Turning PLT3000</v>
      </c>
      <c r="C979" t="str">
        <f>"Active"</f>
        <v>Active</v>
      </c>
    </row>
    <row r="980" spans="1:3" ht="18" customHeight="1">
      <c r="A980" t="str">
        <f>"0E7115"</f>
        <v>0E7115</v>
      </c>
      <c r="B980" t="str">
        <f>"LM_Content SA Lab -E- CNC Turn SLT0400"</f>
        <v>LM_Content SA Lab -E- CNC Turn SLT0400</v>
      </c>
      <c r="C980" t="str">
        <f>"Not for purc"</f>
        <v>Not for purc</v>
      </c>
    </row>
    <row r="981" spans="1:3" ht="18" customHeight="1">
      <c r="A981" t="str">
        <f>"0E7116"</f>
        <v>0E7116</v>
      </c>
      <c r="B981" t="str">
        <f>"LM_Content SA Lab -E- Electrical Systems"</f>
        <v>LM_Content SA Lab -E- Electrical Systems</v>
      </c>
      <c r="C981" t="str">
        <f>"Not for purc"</f>
        <v>Not for purc</v>
      </c>
    </row>
    <row r="982" spans="1:3" ht="18" customHeight="1">
      <c r="A982" t="str">
        <f>"0E7117"</f>
        <v>0E7117</v>
      </c>
      <c r="B982" t="str">
        <f>"LM_Content SA Lab -E- Mechanical Measurement QC"</f>
        <v>LM_Content SA Lab -E- Mechanical Measurement QC</v>
      </c>
      <c r="C982" t="str">
        <f>"Active"</f>
        <v>Active</v>
      </c>
    </row>
    <row r="983" spans="1:3" ht="18" customHeight="1">
      <c r="A983" t="str">
        <f>"0E7118"</f>
        <v>0E7118</v>
      </c>
      <c r="B983" t="str">
        <f>"LM_Content SA Lab -E- Mechanisms"</f>
        <v>LM_Content SA Lab -E- Mechanisms</v>
      </c>
      <c r="C983" t="str">
        <f>"Not for purc"</f>
        <v>Not for purc</v>
      </c>
    </row>
    <row r="984" spans="1:3" ht="18" customHeight="1">
      <c r="A984" t="str">
        <f>"0E7119"</f>
        <v>0E7119</v>
      </c>
      <c r="B984" t="str">
        <f>"LM_Content SA Lab -Plastics Tech (thermoforming)"</f>
        <v>LM_Content SA Lab -Plastics Tech (thermoforming)</v>
      </c>
      <c r="C984" t="str">
        <f>"Active"</f>
        <v>Active</v>
      </c>
    </row>
    <row r="985" spans="1:3" ht="18" customHeight="1">
      <c r="A985" t="str">
        <f>"0E7121"</f>
        <v>0E7121</v>
      </c>
      <c r="B985" t="str">
        <f>"LM_Content  SA Lab Hydr Technology 1 - Fundam"</f>
        <v>LM_Content  SA Lab Hydr Technology 1 - Fundam</v>
      </c>
      <c r="C985" t="str">
        <f>"Active"</f>
        <v>Active</v>
      </c>
    </row>
    <row r="986" spans="1:3" ht="18" customHeight="1">
      <c r="A986" t="str">
        <f>"0E7122"</f>
        <v>0E7122</v>
      </c>
      <c r="B986" t="str">
        <f>"LM_Content SA Lab- FMS with ER4U &amp; SLM 0200"</f>
        <v>LM_Content SA Lab- FMS with ER4U &amp; SLM 0200</v>
      </c>
      <c r="C986" t="str">
        <f>"Not for purc"</f>
        <v>Not for purc</v>
      </c>
    </row>
    <row r="987" spans="1:3" ht="18" customHeight="1">
      <c r="A987" t="str">
        <f>"0E7123"</f>
        <v>0E7123</v>
      </c>
      <c r="B987" t="str">
        <f>"LM_Content SA Lab PLC Tech.1 w/SLC500 -Fundament"</f>
        <v>LM_Content SA Lab PLC Tech.1 w/SLC500 -Fundament</v>
      </c>
      <c r="C987" t="str">
        <f>"Not for purc"</f>
        <v>Not for purc</v>
      </c>
    </row>
    <row r="988" spans="1:3" ht="18" customHeight="1">
      <c r="A988" t="str">
        <f>"0E7124"</f>
        <v>0E7124</v>
      </c>
      <c r="B988" t="str">
        <f>"LM_Content SA Lab PLC Tech.1 w/M.Logix -Fundam."</f>
        <v>LM_Content SA Lab PLC Tech.1 w/M.Logix -Fundam.</v>
      </c>
      <c r="C988" t="str">
        <f>"Not for purc"</f>
        <v>Not for purc</v>
      </c>
    </row>
    <row r="989" spans="1:3" ht="18" customHeight="1">
      <c r="A989" t="str">
        <f>"0E7125"</f>
        <v>0E7125</v>
      </c>
      <c r="B989" t="str">
        <f>"LM_Content SA Lab  PLC Tech. 2 W/SLC500- Advnced"</f>
        <v>LM_Content SA Lab  PLC Tech. 2 W/SLC500- Advnced</v>
      </c>
      <c r="C989" t="str">
        <f>"Not for purc"</f>
        <v>Not for purc</v>
      </c>
    </row>
    <row r="990" spans="1:3" ht="18" customHeight="1">
      <c r="A990" t="str">
        <f>"0E7126"</f>
        <v>0E7126</v>
      </c>
      <c r="B990" t="str">
        <f>"LM_Content SA Lab PLC Tech. 2 W/M.Logix -Advnced"</f>
        <v>LM_Content SA Lab PLC Tech. 2 W/M.Logix -Advnced</v>
      </c>
      <c r="C990" t="str">
        <f>"Not for purc"</f>
        <v>Not for purc</v>
      </c>
    </row>
    <row r="991" spans="1:3" ht="18" customHeight="1">
      <c r="A991" t="str">
        <f>"0E7127"</f>
        <v>0E7127</v>
      </c>
      <c r="B991" t="str">
        <f>"LM_Content SA LAB- Pneumatics 1 -Fundamentals"</f>
        <v>LM_Content SA LAB- Pneumatics 1 -Fundamentals</v>
      </c>
      <c r="C991" t="str">
        <f>"Active"</f>
        <v>Active</v>
      </c>
    </row>
    <row r="992" spans="1:3" ht="18" customHeight="1">
      <c r="A992" t="str">
        <f>"0E7128"</f>
        <v>0E7128</v>
      </c>
      <c r="B992" t="str">
        <f>"LM_Content SA LAB - Pneumatics 2 - Advanced"</f>
        <v>LM_Content SA LAB - Pneumatics 2 - Advanced</v>
      </c>
      <c r="C992" t="str">
        <f>"Active"</f>
        <v>Active</v>
      </c>
    </row>
    <row r="993" spans="1:3" ht="18" customHeight="1">
      <c r="A993" t="str">
        <f>"0E7129"</f>
        <v>0E7129</v>
      </c>
      <c r="B993" t="str">
        <f>"LM_Content SA Lab-Pneu Technology 3 - Electro P"</f>
        <v>LM_Content SA Lab-Pneu Technology 3 - Electro P</v>
      </c>
      <c r="C993" t="str">
        <f>"Not for purc"</f>
        <v>Not for purc</v>
      </c>
    </row>
    <row r="994" spans="1:3" ht="18" customHeight="1">
      <c r="A994" t="str">
        <f>"0E7131"</f>
        <v>0E7131</v>
      </c>
      <c r="B994" t="str">
        <f>"LM_Content SA Lab -E- Sensor Technology"</f>
        <v>LM_Content SA Lab -E- Sensor Technology</v>
      </c>
      <c r="C994" t="str">
        <f>"Active"</f>
        <v>Active</v>
      </c>
    </row>
    <row r="995" spans="1:3" ht="18" customHeight="1">
      <c r="A995" t="str">
        <f>"0E7132"</f>
        <v>0E7132</v>
      </c>
      <c r="B995" t="str">
        <f>"LM_Content SA Lab -E- Machine Vision &amp; QC"</f>
        <v>LM_Content SA Lab -E- Machine Vision &amp; QC</v>
      </c>
      <c r="C995" t="str">
        <f>"Active"</f>
        <v>Active</v>
      </c>
    </row>
    <row r="996" spans="1:3" ht="18" customHeight="1">
      <c r="A996" t="str">
        <f>"0E7133"</f>
        <v>0E7133</v>
      </c>
      <c r="B996" t="str">
        <f>"LM_Content SA Lab-Hydr Technology 2 -Electro Hyd"</f>
        <v>LM_Content SA Lab-Hydr Technology 2 -Electro Hyd</v>
      </c>
      <c r="C996" t="str">
        <f>"Not for purc"</f>
        <v>Not for purc</v>
      </c>
    </row>
    <row r="997" spans="1:3" ht="18" customHeight="1">
      <c r="A997" t="str">
        <f>"0E7134"</f>
        <v>0E7134</v>
      </c>
      <c r="B997" t="str">
        <f>"LM_Content SA Lab Materials Testing &amp;Buster II"</f>
        <v>LM_Content SA Lab Materials Testing &amp;Buster II</v>
      </c>
      <c r="C997" t="str">
        <f>"Active"</f>
        <v>Active</v>
      </c>
    </row>
    <row r="998" spans="1:3" ht="18" customHeight="1">
      <c r="A998" t="str">
        <f>"0E7136"</f>
        <v>0E7136</v>
      </c>
      <c r="B998" t="str">
        <f>"LM_Content SA Lab -CNC eXpert mill VMC-0600"</f>
        <v>LM_Content SA Lab -CNC eXpert mill VMC-0600</v>
      </c>
      <c r="C998" t="str">
        <f>"Active"</f>
        <v>Active</v>
      </c>
    </row>
    <row r="999" spans="1:3" ht="18" customHeight="1">
      <c r="A999" t="str">
        <f>"0E7137"</f>
        <v>0E7137</v>
      </c>
      <c r="B999" t="str">
        <f>"LM_Content SA Lab-VEX/REC 1-6+ REC TG Semester 1"</f>
        <v>LM_Content SA Lab-VEX/REC 1-6+ REC TG Semester 1</v>
      </c>
      <c r="C999" t="str">
        <f>"Active"</f>
        <v>Active</v>
      </c>
    </row>
    <row r="1000" spans="1:3" ht="18" customHeight="1">
      <c r="A1000" t="str">
        <f>"0E7213"</f>
        <v>0E7213</v>
      </c>
      <c r="B1000" t="str">
        <f>"LM_Content SA Vir.- Automatic Identification Sys"</f>
        <v>LM_Content SA Vir.- Automatic Identification Sys</v>
      </c>
      <c r="C1000" t="str">
        <f>"Not for purc"</f>
        <v>Not for purc</v>
      </c>
    </row>
    <row r="1001" spans="1:3" ht="18" customHeight="1">
      <c r="A1001" t="str">
        <f>"0E7216"</f>
        <v>0E7216</v>
      </c>
      <c r="B1001" t="str">
        <f>"LM_Content SA Vir.- Machine Vision &amp; QC"</f>
        <v>LM_Content SA Vir.- Machine Vision &amp; QC</v>
      </c>
      <c r="C1001" t="str">
        <f>"Not for purc"</f>
        <v>Not for purc</v>
      </c>
    </row>
    <row r="1002" spans="1:3" ht="18" customHeight="1">
      <c r="A1002" t="str">
        <f>"0E7217"</f>
        <v>0E7217</v>
      </c>
      <c r="B1002" t="str">
        <f>"LM_Content SA Vir -E- Fiber Optics"</f>
        <v>LM_Content SA Vir -E- Fiber Optics</v>
      </c>
      <c r="C1002" t="str">
        <f>"Not for purc"</f>
        <v>Not for purc</v>
      </c>
    </row>
    <row r="1003" spans="1:3" ht="18" customHeight="1">
      <c r="A1003" t="str">
        <f>"0E7220"</f>
        <v>0E7220</v>
      </c>
      <c r="B1003" t="str">
        <f>"LM_Content SA Vir. Hydr Technology 1 - Fundament"</f>
        <v>LM_Content SA Vir. Hydr Technology 1 - Fundament</v>
      </c>
      <c r="C1003" t="str">
        <f>"Not for purc"</f>
        <v>Not for purc</v>
      </c>
    </row>
    <row r="1004" spans="1:3" ht="18" customHeight="1">
      <c r="A1004" t="str">
        <f>"0E7221"</f>
        <v>0E7221</v>
      </c>
      <c r="B1004" t="str">
        <f>"LM_Content SA Vir.-Hyd Technology 2 -Electro Hy."</f>
        <v>LM_Content SA Vir.-Hyd Technology 2 -Electro Hy.</v>
      </c>
      <c r="C1004" t="str">
        <f>"Active"</f>
        <v>Active</v>
      </c>
    </row>
    <row r="1005" spans="1:3" ht="18" customHeight="1">
      <c r="A1005" t="str">
        <f>"0E7222"</f>
        <v>0E7222</v>
      </c>
      <c r="B1005" t="str">
        <f>"LM_Cont. SA Vir.-Hydr Technology 3- Adv.Electro"</f>
        <v>LM_Cont. SA Vir.-Hydr Technology 3- Adv.Electro</v>
      </c>
      <c r="C1005" t="str">
        <f t="shared" ref="C1005:C1012" si="41">"Not for purc"</f>
        <v>Not for purc</v>
      </c>
    </row>
    <row r="1006" spans="1:3" ht="18" customHeight="1">
      <c r="A1006" t="str">
        <f>"0E7223"</f>
        <v>0E7223</v>
      </c>
      <c r="B1006" t="str">
        <f>"LM_Content SA Vir.- Machine Vision &amp;Image Prc"</f>
        <v>LM_Content SA Vir.- Machine Vision &amp;Image Prc</v>
      </c>
      <c r="C1006" t="str">
        <f t="shared" si="41"/>
        <v>Not for purc</v>
      </c>
    </row>
    <row r="1007" spans="1:3" ht="18" customHeight="1">
      <c r="A1007" t="str">
        <f>"0E7224"</f>
        <v>0E7224</v>
      </c>
      <c r="B1007" t="str">
        <f>"LM_Content SA Vir. PLC Tech. 1 - Fundamentals"</f>
        <v>LM_Content SA Vir. PLC Tech. 1 - Fundamentals</v>
      </c>
      <c r="C1007" t="str">
        <f t="shared" si="41"/>
        <v>Not for purc</v>
      </c>
    </row>
    <row r="1008" spans="1:3" ht="18" customHeight="1">
      <c r="A1008" t="str">
        <f>"0E7225"</f>
        <v>0E7225</v>
      </c>
      <c r="B1008" t="str">
        <f>"LM_Content SA Vir.-PLC Technology 2 -Advanced"</f>
        <v>LM_Content SA Vir.-PLC Technology 2 -Advanced</v>
      </c>
      <c r="C1008" t="str">
        <f t="shared" si="41"/>
        <v>Not for purc</v>
      </c>
    </row>
    <row r="1009" spans="1:3" ht="18" customHeight="1">
      <c r="A1009" t="str">
        <f>"0E7226"</f>
        <v>0E7226</v>
      </c>
      <c r="B1009" t="str">
        <f>"LM_Content SA Vir .- PLC Technology 3- Pneumatc."</f>
        <v>LM_Content SA Vir .- PLC Technology 3- Pneumatc.</v>
      </c>
      <c r="C1009" t="str">
        <f t="shared" si="41"/>
        <v>Not for purc</v>
      </c>
    </row>
    <row r="1010" spans="1:3" ht="18" customHeight="1">
      <c r="A1010" t="str">
        <f>"0E7227"</f>
        <v>0E7227</v>
      </c>
      <c r="B1010" t="str">
        <f>"LM_Content SA Vir.- PLC Technology 4 -Hydraulic."</f>
        <v>LM_Content SA Vir.- PLC Technology 4 -Hydraulic.</v>
      </c>
      <c r="C1010" t="str">
        <f t="shared" si="41"/>
        <v>Not for purc</v>
      </c>
    </row>
    <row r="1011" spans="1:3" ht="18" customHeight="1">
      <c r="A1011" t="str">
        <f>"0E7228"</f>
        <v>0E7228</v>
      </c>
      <c r="B1011" t="str">
        <f>"LM_Content SA Vir.-Pneu Technology1 -Fundamntals"</f>
        <v>LM_Content SA Vir.-Pneu Technology1 -Fundamntals</v>
      </c>
      <c r="C1011" t="str">
        <f t="shared" si="41"/>
        <v>Not for purc</v>
      </c>
    </row>
    <row r="1012" spans="1:3" ht="18" customHeight="1">
      <c r="A1012" t="str">
        <f>"0E7229"</f>
        <v>0E7229</v>
      </c>
      <c r="B1012" t="str">
        <f>"LM_Content SA Vir- PneuFlx Technology 2 - Advced"</f>
        <v>LM_Content SA Vir- PneuFlx Technology 2 - Advced</v>
      </c>
      <c r="C1012" t="str">
        <f t="shared" si="41"/>
        <v>Not for purc</v>
      </c>
    </row>
    <row r="1013" spans="1:3" ht="18" customHeight="1">
      <c r="A1013" t="str">
        <f>"0E7230"</f>
        <v>0E7230</v>
      </c>
      <c r="B1013" t="str">
        <f>"LM_Content SA Vir.-Pneu Technology 3-Electro Pnu"</f>
        <v>LM_Content SA Vir.-Pneu Technology 3-Electro Pnu</v>
      </c>
      <c r="C1013" t="str">
        <f>"Active"</f>
        <v>Active</v>
      </c>
    </row>
    <row r="1014" spans="1:3" ht="18" customHeight="1">
      <c r="A1014" t="str">
        <f>"0E7231"</f>
        <v>0E7231</v>
      </c>
      <c r="B1014" t="str">
        <f>"LM_Content SA Vir.- Pneumatics Technology  4"</f>
        <v>LM_Content SA Vir.- Pneumatics Technology  4</v>
      </c>
      <c r="C1014" t="str">
        <f t="shared" ref="C1014:C1019" si="42">"Not for purc"</f>
        <v>Not for purc</v>
      </c>
    </row>
    <row r="1015" spans="1:3" ht="18" customHeight="1">
      <c r="A1015" t="str">
        <f>"0E7232"</f>
        <v>0E7232</v>
      </c>
      <c r="B1015" t="str">
        <f>"LM_Content SA Vir -E- Process Control : Flow"</f>
        <v>LM_Content SA Vir -E- Process Control : Flow</v>
      </c>
      <c r="C1015" t="str">
        <f t="shared" si="42"/>
        <v>Not for purc</v>
      </c>
    </row>
    <row r="1016" spans="1:3" ht="18" customHeight="1">
      <c r="A1016" t="str">
        <f>"0E7233"</f>
        <v>0E7233</v>
      </c>
      <c r="B1016" t="str">
        <f>"LM_Content SA Vir -E- Process Control :Level"</f>
        <v>LM_Content SA Vir -E- Process Control :Level</v>
      </c>
      <c r="C1016" t="str">
        <f t="shared" si="42"/>
        <v>Not for purc</v>
      </c>
    </row>
    <row r="1017" spans="1:3" ht="18" customHeight="1">
      <c r="A1017" t="str">
        <f>"0E7234"</f>
        <v>0E7234</v>
      </c>
      <c r="B1017" t="str">
        <f>"LM_Content SA Vir.- Process Control :Pressure"</f>
        <v>LM_Content SA Vir.- Process Control :Pressure</v>
      </c>
      <c r="C1017" t="str">
        <f t="shared" si="42"/>
        <v>Not for purc</v>
      </c>
    </row>
    <row r="1018" spans="1:3" ht="18" customHeight="1">
      <c r="A1018" t="str">
        <f>"0E7235"</f>
        <v>0E7235</v>
      </c>
      <c r="B1018" t="str">
        <f>"LM_Content SA Vir. Process Control Temprature"</f>
        <v>LM_Content SA Vir. Process Control Temprature</v>
      </c>
      <c r="C1018" t="str">
        <f t="shared" si="42"/>
        <v>Not for purc</v>
      </c>
    </row>
    <row r="1019" spans="1:3" ht="18" customHeight="1">
      <c r="A1019" t="str">
        <f>"0E7238"</f>
        <v>0E7238</v>
      </c>
      <c r="B1019" t="str">
        <f>"LM_Content SA Vir -E- Sensor Technology"</f>
        <v>LM_Content SA Vir -E- Sensor Technology</v>
      </c>
      <c r="C1019" t="str">
        <f t="shared" si="42"/>
        <v>Not for purc</v>
      </c>
    </row>
    <row r="1020" spans="1:3" ht="18" customHeight="1">
      <c r="A1020" t="str">
        <f>"0E7239"</f>
        <v>0E7239</v>
      </c>
      <c r="B1020" t="str">
        <f>"LMC SA Vir -E- CAD with AutoCAD 2000"</f>
        <v>LMC SA Vir -E- CAD with AutoCAD 2000</v>
      </c>
      <c r="C1020" t="str">
        <f>"Active"</f>
        <v>Active</v>
      </c>
    </row>
    <row r="1021" spans="1:3" ht="18" customHeight="1">
      <c r="A1021" t="str">
        <f>"0E7240"</f>
        <v>0E7240</v>
      </c>
      <c r="B1021" t="str">
        <f>"LMC SA Vir -E- CAD with AutoCAD 2002"</f>
        <v>LMC SA Vir -E- CAD with AutoCAD 2002</v>
      </c>
      <c r="C1021" t="str">
        <f>"Active"</f>
        <v>Active</v>
      </c>
    </row>
    <row r="1022" spans="1:3" ht="18" customHeight="1">
      <c r="A1022" t="str">
        <f>"0E7241"</f>
        <v>0E7241</v>
      </c>
      <c r="B1022" t="str">
        <f>"LM_Content SA Vir.- CAD &amp; spectraCAD Engraver"</f>
        <v>LM_Content SA Vir.- CAD &amp; spectraCAD Engraver</v>
      </c>
      <c r="C1022" t="str">
        <f>"Active"</f>
        <v>Active</v>
      </c>
    </row>
    <row r="1023" spans="1:3" ht="18" customHeight="1">
      <c r="A1023" t="str">
        <f>"0E7242"</f>
        <v>0E7242</v>
      </c>
      <c r="B1023" t="str">
        <f>"LM_Content SA Vir.- CAM Milling &amp;Mastercam v9"</f>
        <v>LM_Content SA Vir.- CAM Milling &amp;Mastercam v9</v>
      </c>
      <c r="C1023" t="str">
        <f>"Not for purc"</f>
        <v>Not for purc</v>
      </c>
    </row>
    <row r="1024" spans="1:3" ht="18" customHeight="1">
      <c r="A1024" t="str">
        <f>"0E7243"</f>
        <v>0E7243</v>
      </c>
      <c r="B1024" t="str">
        <f>"LM_Content SA Vir.- CAM Milling &amp; spectraCAM"</f>
        <v>LM_Content SA Vir.- CAM Milling &amp; spectraCAM</v>
      </c>
      <c r="C1024" t="str">
        <f>"Active"</f>
        <v>Active</v>
      </c>
    </row>
    <row r="1025" spans="1:3" ht="18" customHeight="1">
      <c r="A1025" t="str">
        <f>"0E7244"</f>
        <v>0E7244</v>
      </c>
      <c r="B1025" t="str">
        <f>"LM_Content SA Vir.- CAM Turn &amp;Master Lathe V9"</f>
        <v>LM_Content SA Vir.- CAM Turn &amp;Master Lathe V9</v>
      </c>
      <c r="C1025" t="str">
        <f>"Not for purc"</f>
        <v>Not for purc</v>
      </c>
    </row>
    <row r="1026" spans="1:3" ht="18" customHeight="1">
      <c r="A1026" t="str">
        <f>"0E7245"</f>
        <v>0E7245</v>
      </c>
      <c r="B1026" t="str">
        <f>"LM_Content SA Vir.- CAM Turn &amp;spectraCAM Turn"</f>
        <v>LM_Content SA Vir.- CAM Turn &amp;spectraCAM Turn</v>
      </c>
      <c r="C1026" t="str">
        <f>"Active"</f>
        <v>Active</v>
      </c>
    </row>
    <row r="1027" spans="1:3" ht="18" customHeight="1">
      <c r="A1027" t="str">
        <f>"0E7248"</f>
        <v>0E7248</v>
      </c>
      <c r="B1027" t="str">
        <f>"LM_Content SA Vir. CNC Mill PLM1000"</f>
        <v>LM_Content SA Vir. CNC Mill PLM1000</v>
      </c>
      <c r="C1027" t="str">
        <f>"Active"</f>
        <v>Active</v>
      </c>
    </row>
    <row r="1028" spans="1:3" ht="18" customHeight="1">
      <c r="A1028" t="str">
        <f>"0E7250"</f>
        <v>0E7250</v>
      </c>
      <c r="B1028" t="str">
        <f>"LM_Content SA Vir.-CNC Program G&amp;M Codes P.T"</f>
        <v>LM_Content SA Vir.-CNC Program G&amp;M Codes P.T</v>
      </c>
      <c r="C1028" t="str">
        <f t="shared" ref="C1028:C1033" si="43">"Not for purc"</f>
        <v>Not for purc</v>
      </c>
    </row>
    <row r="1029" spans="1:3" ht="18" customHeight="1">
      <c r="A1029" t="str">
        <f>"0E7251"</f>
        <v>0E7251</v>
      </c>
      <c r="B1029" t="str">
        <f>"LM_Content SA Vir -E- Electrical  Systems"</f>
        <v>LM_Content SA Vir -E- Electrical  Systems</v>
      </c>
      <c r="C1029" t="str">
        <f t="shared" si="43"/>
        <v>Not for purc</v>
      </c>
    </row>
    <row r="1030" spans="1:3" ht="18" customHeight="1">
      <c r="A1030" t="str">
        <f>"0E7252"</f>
        <v>0E7252</v>
      </c>
      <c r="B1030" t="str">
        <f>"LM_Content SA Vir.- Fundamentals Electronics"</f>
        <v>LM_Content SA Vir.- Fundamentals Electronics</v>
      </c>
      <c r="C1030" t="str">
        <f t="shared" si="43"/>
        <v>Not for purc</v>
      </c>
    </row>
    <row r="1031" spans="1:3" ht="18" customHeight="1">
      <c r="A1031" t="str">
        <f>"0E7253"</f>
        <v>0E7253</v>
      </c>
      <c r="B1031" t="str">
        <f>"LM_Content SA Vir -E- Materials Testing"</f>
        <v>LM_Content SA Vir -E- Materials Testing</v>
      </c>
      <c r="C1031" t="str">
        <f t="shared" si="43"/>
        <v>Not for purc</v>
      </c>
    </row>
    <row r="1032" spans="1:3" ht="18" customHeight="1">
      <c r="A1032" t="str">
        <f>"0E7254"</f>
        <v>0E7254</v>
      </c>
      <c r="B1032" t="str">
        <f>"LM_Content SA Vir.- Mechanisms Technology"</f>
        <v>LM_Content SA Vir.- Mechanisms Technology</v>
      </c>
      <c r="C1032" t="str">
        <f t="shared" si="43"/>
        <v>Not for purc</v>
      </c>
    </row>
    <row r="1033" spans="1:3" ht="18" customHeight="1">
      <c r="A1033" t="str">
        <f>"0E7255"</f>
        <v>0E7255</v>
      </c>
      <c r="B1033" t="str">
        <f>"LM_Content SA Vir.-Plastics Tech (Thermoforming)"</f>
        <v>LM_Content SA Vir.-Plastics Tech (Thermoforming)</v>
      </c>
      <c r="C1033" t="str">
        <f t="shared" si="43"/>
        <v>Not for purc</v>
      </c>
    </row>
    <row r="1034" spans="1:3" ht="18" customHeight="1">
      <c r="A1034" t="str">
        <f>"0E7260"</f>
        <v>0E7260</v>
      </c>
      <c r="B1034" t="str">
        <f>"LM_Content SA Vir.- CNC Mill VMC0600"</f>
        <v>LM_Content SA Vir.- CNC Mill VMC0600</v>
      </c>
      <c r="C1034" t="str">
        <f>"Active"</f>
        <v>Active</v>
      </c>
    </row>
    <row r="1035" spans="1:3" ht="18" customHeight="1">
      <c r="A1035" t="str">
        <f>"0E7261"</f>
        <v>0E7261</v>
      </c>
      <c r="B1035" t="str">
        <f>"LM_Content SA Vir.- Mechanical Measurement QC"</f>
        <v>LM_Content SA Vir.- Mechanical Measurement QC</v>
      </c>
      <c r="C1035" t="str">
        <f>"Not for purc"</f>
        <v>Not for purc</v>
      </c>
    </row>
    <row r="1036" spans="1:3" ht="18" customHeight="1">
      <c r="A1036" t="str">
        <f>"0E7262"</f>
        <v>0E7262</v>
      </c>
      <c r="B1036" t="str">
        <f>"LM_Content SA Vir - Automat Welding With ER9U"</f>
        <v>LM_Content SA Vir - Automat Welding With ER9U</v>
      </c>
      <c r="C1036" t="str">
        <f>"Not for purc"</f>
        <v>Not for purc</v>
      </c>
    </row>
    <row r="1037" spans="1:3" ht="18" customHeight="1">
      <c r="A1037" t="str">
        <f>"0E7265"</f>
        <v>0E7265</v>
      </c>
      <c r="B1037" t="str">
        <f>"LM_Content SA Vir.- CNC Mill SLM0200"</f>
        <v>LM_Content SA Vir.- CNC Mill SLM0200</v>
      </c>
      <c r="C1037" t="str">
        <f>"Active"</f>
        <v>Active</v>
      </c>
    </row>
    <row r="1038" spans="1:3" ht="18" customHeight="1">
      <c r="A1038" t="str">
        <f>"0E7266"</f>
        <v>0E7266</v>
      </c>
      <c r="B1038" t="str">
        <f>"LM_Content SA Vir.- CNC Turn SLT0400"</f>
        <v>LM_Content SA Vir.- CNC Turn SLT0400</v>
      </c>
      <c r="C1038" t="str">
        <f>"Active"</f>
        <v>Active</v>
      </c>
    </row>
    <row r="1039" spans="1:3" ht="18" customHeight="1">
      <c r="A1039" t="str">
        <f>"0E7267"</f>
        <v>0E7267</v>
      </c>
      <c r="B1039" t="str">
        <f>"LM_Content SA Vir -E- Advanced  Electronics"</f>
        <v>LM_Content SA Vir -E- Advanced  Electronics</v>
      </c>
      <c r="C1039" t="str">
        <f>"Not for purc"</f>
        <v>Not for purc</v>
      </c>
    </row>
    <row r="1040" spans="1:3" ht="18" customHeight="1">
      <c r="A1040" t="str">
        <f>"0E7268"</f>
        <v>0E7268</v>
      </c>
      <c r="B1040" t="str">
        <f>"LMC SA Vir -E- CNC Router"</f>
        <v>LMC SA Vir -E- CNC Router</v>
      </c>
      <c r="C1040" t="str">
        <f t="shared" ref="C1040:C1052" si="44">"Active"</f>
        <v>Active</v>
      </c>
    </row>
    <row r="1041" spans="1:3" ht="18" customHeight="1">
      <c r="A1041" t="str">
        <f>"0E7269"</f>
        <v>0E7269</v>
      </c>
      <c r="B1041" t="str">
        <f>"LM_Content SA Vir.-CNC Turn PLT3000"</f>
        <v>LM_Content SA Vir.-CNC Turn PLT3000</v>
      </c>
      <c r="C1041" t="str">
        <f t="shared" si="44"/>
        <v>Active</v>
      </c>
    </row>
    <row r="1042" spans="1:3" ht="18" customHeight="1">
      <c r="A1042" t="str">
        <f>"0E7282"</f>
        <v>0E7282</v>
      </c>
      <c r="B1042" t="str">
        <f>"LM_Content SA Vir.-The Concept of AutoAgronom"</f>
        <v>LM_Content SA Vir.-The Concept of AutoAgronom</v>
      </c>
      <c r="C1042" t="str">
        <f t="shared" si="44"/>
        <v>Active</v>
      </c>
    </row>
    <row r="1043" spans="1:3" ht="18" customHeight="1">
      <c r="A1043" t="str">
        <f>"0E7283"</f>
        <v>0E7283</v>
      </c>
      <c r="B1043" t="str">
        <f>"LM_Content SA Vir.-Using the AutoAgronom Sys"</f>
        <v>LM_Content SA Vir.-Using the AutoAgronom Sys</v>
      </c>
      <c r="C1043" t="str">
        <f t="shared" si="44"/>
        <v>Active</v>
      </c>
    </row>
    <row r="1044" spans="1:3" ht="18" customHeight="1">
      <c r="A1044" t="str">
        <f>"0E7284"</f>
        <v>0E7284</v>
      </c>
      <c r="B1044" t="str">
        <f>"LM_Content SA Vir.-Applications of AutoAgronom"</f>
        <v>LM_Content SA Vir.-Applications of AutoAgronom</v>
      </c>
      <c r="C1044" t="str">
        <f t="shared" si="44"/>
        <v>Active</v>
      </c>
    </row>
    <row r="1045" spans="1:3" ht="18" customHeight="1">
      <c r="A1045" t="str">
        <f>"0E7286"</f>
        <v>0E7286</v>
      </c>
      <c r="B1045" t="str">
        <f>"LM_Content SA Vir.-Intro to SD 300 Printing"</f>
        <v>LM_Content SA Vir.-Intro to SD 300 Printing</v>
      </c>
      <c r="C1045" t="str">
        <f t="shared" si="44"/>
        <v>Active</v>
      </c>
    </row>
    <row r="1046" spans="1:3" ht="18" customHeight="1">
      <c r="A1046" t="str">
        <f>"0E7287"</f>
        <v>0E7287</v>
      </c>
      <c r="B1046" t="str">
        <f>"LM_ContentSA Vir.-IntroTo Advanced Manufacturing"</f>
        <v>LM_ContentSA Vir.-IntroTo Advanced Manufacturing</v>
      </c>
      <c r="C1046" t="str">
        <f t="shared" si="44"/>
        <v>Active</v>
      </c>
    </row>
    <row r="1047" spans="1:3" ht="18" customHeight="1">
      <c r="A1047" t="str">
        <f>"0E7288"</f>
        <v>0E7288</v>
      </c>
      <c r="B1047" t="str">
        <f>"LM_Content SA Vir.- Rapid Prototyping"</f>
        <v>LM_Content SA Vir.- Rapid Prototyping</v>
      </c>
      <c r="C1047" t="str">
        <f t="shared" si="44"/>
        <v>Active</v>
      </c>
    </row>
    <row r="1048" spans="1:3" ht="18" customHeight="1">
      <c r="A1048" t="str">
        <f>"0E8111"</f>
        <v>0E8111</v>
      </c>
      <c r="B1048" t="str">
        <f>"LM_Content LMS Lab -E- CNC Milling PLM1000"</f>
        <v>LM_Content LMS Lab -E- CNC Milling PLM1000</v>
      </c>
      <c r="C1048" t="str">
        <f t="shared" si="44"/>
        <v>Active</v>
      </c>
    </row>
    <row r="1049" spans="1:3" ht="18" customHeight="1">
      <c r="A1049" t="str">
        <f>"0E8112"</f>
        <v>0E8112</v>
      </c>
      <c r="B1049" t="str">
        <f>"LM_Content LMS Lab -E- CNC Mill SLM0200"</f>
        <v>LM_Content LMS Lab -E- CNC Mill SLM0200</v>
      </c>
      <c r="C1049" t="str">
        <f t="shared" si="44"/>
        <v>Active</v>
      </c>
    </row>
    <row r="1050" spans="1:3" ht="18" customHeight="1">
      <c r="A1050" t="str">
        <f>"0E8113"</f>
        <v>0E8113</v>
      </c>
      <c r="B1050" t="str">
        <f>"LMC(Lab)English for Server CNC Router"</f>
        <v>LMC(Lab)English for Server CNC Router</v>
      </c>
      <c r="C1050" t="str">
        <f t="shared" si="44"/>
        <v>Active</v>
      </c>
    </row>
    <row r="1051" spans="1:3" ht="18" customHeight="1">
      <c r="A1051" t="str">
        <f>"0E8114"</f>
        <v>0E8114</v>
      </c>
      <c r="B1051" t="str">
        <f>"LM_Content LMS Lab. CNC Turning with PLT3000"</f>
        <v>LM_Content LMS Lab. CNC Turning with PLT3000</v>
      </c>
      <c r="C1051" t="str">
        <f t="shared" si="44"/>
        <v>Active</v>
      </c>
    </row>
    <row r="1052" spans="1:3" ht="18" customHeight="1">
      <c r="A1052" t="str">
        <f>"0E8115"</f>
        <v>0E8115</v>
      </c>
      <c r="B1052" t="str">
        <f>"LM_Content LMS Lab -E- CNC Turn SLT0400"</f>
        <v>LM_Content LMS Lab -E- CNC Turn SLT0400</v>
      </c>
      <c r="C1052" t="str">
        <f t="shared" si="44"/>
        <v>Active</v>
      </c>
    </row>
    <row r="1053" spans="1:3" ht="18" customHeight="1">
      <c r="A1053" t="str">
        <f>"0E8116"</f>
        <v>0E8116</v>
      </c>
      <c r="B1053" t="str">
        <f>"LM_Content LMS Lab -E- Electrical Systems"</f>
        <v>LM_Content LMS Lab -E- Electrical Systems</v>
      </c>
      <c r="C1053" t="str">
        <f>"Not for purc"</f>
        <v>Not for purc</v>
      </c>
    </row>
    <row r="1054" spans="1:3" ht="18" customHeight="1">
      <c r="A1054" t="str">
        <f>"0E8117"</f>
        <v>0E8117</v>
      </c>
      <c r="B1054" t="str">
        <f>"LM_Content LMS Lab.-Mechanical Measurement QC"</f>
        <v>LM_Content LMS Lab.-Mechanical Measurement QC</v>
      </c>
      <c r="C1054" t="str">
        <f>"Not for purc"</f>
        <v>Not for purc</v>
      </c>
    </row>
    <row r="1055" spans="1:3" ht="18" customHeight="1">
      <c r="A1055" t="str">
        <f>"0E8118"</f>
        <v>0E8118</v>
      </c>
      <c r="B1055" t="str">
        <f>"LM_Content LMS Lab -E- Mechanisms"</f>
        <v>LM_Content LMS Lab -E- Mechanisms</v>
      </c>
      <c r="C1055" t="str">
        <f>"Not for purc"</f>
        <v>Not for purc</v>
      </c>
    </row>
    <row r="1056" spans="1:3" ht="18" customHeight="1">
      <c r="A1056" t="str">
        <f>"0E8119"</f>
        <v>0E8119</v>
      </c>
      <c r="B1056" t="str">
        <f>"LM_Content  LMS Lab.-Plastics Technology(thermo)"</f>
        <v>LM_Content  LMS Lab.-Plastics Technology(thermo)</v>
      </c>
      <c r="C1056" t="str">
        <f>"Active"</f>
        <v>Active</v>
      </c>
    </row>
    <row r="1057" spans="1:3" ht="18" customHeight="1">
      <c r="A1057" t="str">
        <f>"0E8121"</f>
        <v>0E8121</v>
      </c>
      <c r="B1057" t="str">
        <f>"LM_Content LMS Lab.- Hydraulics Technology 1"</f>
        <v>LM_Content LMS Lab.- Hydraulics Technology 1</v>
      </c>
      <c r="C1057" t="str">
        <f>"Active"</f>
        <v>Active</v>
      </c>
    </row>
    <row r="1058" spans="1:3" ht="18" customHeight="1">
      <c r="A1058" t="str">
        <f>"0E8122"</f>
        <v>0E8122</v>
      </c>
      <c r="B1058" t="str">
        <f>"LM_Content LMS Lab.- FMS with ER4U &amp; SLM 0200"</f>
        <v>LM_Content LMS Lab.- FMS with ER4U &amp; SLM 0200</v>
      </c>
      <c r="C1058" t="str">
        <f>"Not for purc"</f>
        <v>Not for purc</v>
      </c>
    </row>
    <row r="1059" spans="1:3" ht="18" customHeight="1">
      <c r="A1059" t="str">
        <f>"0E8123"</f>
        <v>0E8123</v>
      </c>
      <c r="B1059" t="str">
        <f>"LM_Content LMS Lab PLC Technology 1  w/SLC500"</f>
        <v>LM_Content LMS Lab PLC Technology 1  w/SLC500</v>
      </c>
      <c r="C1059" t="str">
        <f>"Not for purc"</f>
        <v>Not for purc</v>
      </c>
    </row>
    <row r="1060" spans="1:3" ht="18" customHeight="1">
      <c r="A1060" t="str">
        <f>"0E8124"</f>
        <v>0E8124</v>
      </c>
      <c r="B1060" t="str">
        <f>"LM_Content LMS Lab PLC Technology 1 w/M.Logix"</f>
        <v>LM_Content LMS Lab PLC Technology 1 w/M.Logix</v>
      </c>
      <c r="C1060" t="str">
        <f>"Active"</f>
        <v>Active</v>
      </c>
    </row>
    <row r="1061" spans="1:3" ht="18" customHeight="1">
      <c r="A1061" t="str">
        <f>"0E8125"</f>
        <v>0E8125</v>
      </c>
      <c r="B1061" t="str">
        <f>"LM_Content LMS Lab -E- PLC Tech. 2 W/SLC500"</f>
        <v>LM_Content LMS Lab -E- PLC Tech. 2 W/SLC500</v>
      </c>
      <c r="C1061" t="str">
        <f>"Not for purc"</f>
        <v>Not for purc</v>
      </c>
    </row>
    <row r="1062" spans="1:3" ht="18" customHeight="1">
      <c r="A1062" t="str">
        <f>"0E8126"</f>
        <v>0E8126</v>
      </c>
      <c r="B1062" t="str">
        <f>"LM_Content LMS Lab -E- PLC Tech. 2 M.Logix"</f>
        <v>LM_Content LMS Lab -E- PLC Tech. 2 M.Logix</v>
      </c>
      <c r="C1062" t="str">
        <f>"Active"</f>
        <v>Active</v>
      </c>
    </row>
    <row r="1063" spans="1:3" ht="18" customHeight="1">
      <c r="A1063" t="str">
        <f>"0E8127"</f>
        <v>0E8127</v>
      </c>
      <c r="B1063" t="str">
        <f>"LM_Content LMS Lab -E- Pneumatics Tech. 1"</f>
        <v>LM_Content LMS Lab -E- Pneumatics Tech. 1</v>
      </c>
      <c r="C1063" t="str">
        <f>"Active"</f>
        <v>Active</v>
      </c>
    </row>
    <row r="1064" spans="1:3" ht="18" customHeight="1">
      <c r="A1064" t="str">
        <f>"0E8128"</f>
        <v>0E8128</v>
      </c>
      <c r="B1064" t="str">
        <f>"LM_Content LMS Lab -E- Pneumatics Tech. 2"</f>
        <v>LM_Content LMS Lab -E- Pneumatics Tech. 2</v>
      </c>
      <c r="C1064" t="str">
        <f>"Active"</f>
        <v>Active</v>
      </c>
    </row>
    <row r="1065" spans="1:3" ht="18" customHeight="1">
      <c r="A1065" t="str">
        <f>"0E8129"</f>
        <v>0E8129</v>
      </c>
      <c r="B1065" t="str">
        <f>"LM_Content LMS Lab -E- Pneumatics Tech. 3"</f>
        <v>LM_Content LMS Lab -E- Pneumatics Tech. 3</v>
      </c>
      <c r="C1065" t="str">
        <f>"Not for purc"</f>
        <v>Not for purc</v>
      </c>
    </row>
    <row r="1066" spans="1:3" ht="18" customHeight="1">
      <c r="A1066" t="str">
        <f>"0E8130"</f>
        <v>0E8130</v>
      </c>
      <c r="B1066" t="str">
        <f>"LM_Content LMS Lab -E- RMH 1 with ER4U"</f>
        <v>LM_Content LMS Lab -E- RMH 1 with ER4U</v>
      </c>
      <c r="C1066" t="str">
        <f>"Active"</f>
        <v>Active</v>
      </c>
    </row>
    <row r="1067" spans="1:3" ht="18" customHeight="1">
      <c r="A1067" t="str">
        <f>"0E8131"</f>
        <v>0E8131</v>
      </c>
      <c r="B1067" t="str">
        <f>"LM_Content LMS Lab -E- Sensor Technology"</f>
        <v>LM_Content LMS Lab -E- Sensor Technology</v>
      </c>
      <c r="C1067" t="str">
        <f>"Not for purc"</f>
        <v>Not for purc</v>
      </c>
    </row>
    <row r="1068" spans="1:3" ht="18" customHeight="1">
      <c r="A1068" t="str">
        <f>"0E8132"</f>
        <v>0E8132</v>
      </c>
      <c r="B1068" t="str">
        <f>"LM_Content LMS Lab - Machine Vision &amp; QC"</f>
        <v>LM_Content LMS Lab - Machine Vision &amp; QC</v>
      </c>
      <c r="C1068" t="str">
        <f>"Active"</f>
        <v>Active</v>
      </c>
    </row>
    <row r="1069" spans="1:3" ht="18" customHeight="1">
      <c r="A1069" t="str">
        <f>"0E8133"</f>
        <v>0E8133</v>
      </c>
      <c r="B1069" t="str">
        <f>"LM_Content LMS Lab -E- Hydraulics Tech. 2"</f>
        <v>LM_Content LMS Lab -E- Hydraulics Tech. 2</v>
      </c>
      <c r="C1069" t="str">
        <f>"Not for purc"</f>
        <v>Not for purc</v>
      </c>
    </row>
    <row r="1070" spans="1:3" ht="18" customHeight="1">
      <c r="A1070" t="str">
        <f>"0E8134"</f>
        <v>0E8134</v>
      </c>
      <c r="B1070" t="str">
        <f>"LM_Content LMS Lab -E- Mate. Test &amp;Buster II"</f>
        <v>LM_Content LMS Lab -E- Mate. Test &amp;Buster II</v>
      </c>
      <c r="C1070" t="str">
        <f>"Active"</f>
        <v>Active</v>
      </c>
    </row>
    <row r="1071" spans="1:3" ht="18" customHeight="1">
      <c r="A1071" t="str">
        <f>"0E8135"</f>
        <v>0E8135</v>
      </c>
      <c r="B1071" t="str">
        <f>"LM_Content LMS Lab -E- Auto. Welding W/ ER4U"</f>
        <v>LM_Content LMS Lab -E- Auto. Welding W/ ER4U</v>
      </c>
      <c r="C1071" t="str">
        <f>"Not for purc"</f>
        <v>Not for purc</v>
      </c>
    </row>
    <row r="1072" spans="1:3" ht="18" customHeight="1">
      <c r="A1072" t="str">
        <f>"0E8136"</f>
        <v>0E8136</v>
      </c>
      <c r="B1072" t="str">
        <f>"LM_Content LMS Lab. CNC Milling with VMC-0600"</f>
        <v>LM_Content LMS Lab. CNC Milling with VMC-0600</v>
      </c>
      <c r="C1072" t="str">
        <f>"Active"</f>
        <v>Active</v>
      </c>
    </row>
    <row r="1073" spans="1:3" ht="18" customHeight="1">
      <c r="A1073" t="str">
        <f>"0E8137"</f>
        <v>0E8137</v>
      </c>
      <c r="B1073" t="str">
        <f>"LM_Content LMS Lab -E- REC1-6+ REC TG Smstr.1"</f>
        <v>LM_Content LMS Lab -E- REC1-6+ REC TG Smstr.1</v>
      </c>
      <c r="C1073" t="str">
        <f>"Active"</f>
        <v>Active</v>
      </c>
    </row>
    <row r="1074" spans="1:3" ht="18" customHeight="1">
      <c r="A1074" t="str">
        <f>"0E8211"</f>
        <v>0E8211</v>
      </c>
      <c r="B1074" t="str">
        <f>"LM_Content LMS Vir -E- Advanced Robotic ER4U"</f>
        <v>LM_Content LMS Vir -E- Advanced Robotic ER4U</v>
      </c>
      <c r="C1074" t="str">
        <f>"Active"</f>
        <v>Active</v>
      </c>
    </row>
    <row r="1075" spans="1:3" ht="18" customHeight="1">
      <c r="A1075" t="str">
        <f>"0E8212"</f>
        <v>0E8212</v>
      </c>
      <c r="B1075" t="str">
        <f>"LM_Content LMS Vir -E- Auto. Welding With ER4U"</f>
        <v>LM_Content LMS Vir -E- Auto. Welding With ER4U</v>
      </c>
      <c r="C1075" t="str">
        <f>"Active"</f>
        <v>Active</v>
      </c>
    </row>
    <row r="1076" spans="1:3" ht="18" customHeight="1">
      <c r="A1076" t="str">
        <f>"0E8213"</f>
        <v>0E8213</v>
      </c>
      <c r="B1076" t="str">
        <f>"LM_Content LMS Vir.- Auto. Identific. System"</f>
        <v>LM_Content LMS Vir.- Auto. Identific. System</v>
      </c>
      <c r="C1076" t="str">
        <f>"Not for purc"</f>
        <v>Not for purc</v>
      </c>
    </row>
    <row r="1077" spans="1:3" ht="18" customHeight="1">
      <c r="A1077" t="str">
        <f>"0E8214"</f>
        <v>0E8214</v>
      </c>
      <c r="B1077" t="str">
        <f>"LM_Content LMS Vir CIM 1"</f>
        <v>LM_Content LMS Vir CIM 1</v>
      </c>
      <c r="C1077" t="str">
        <f>"Active"</f>
        <v>Active</v>
      </c>
    </row>
    <row r="1078" spans="1:3" ht="18" customHeight="1">
      <c r="A1078" t="str">
        <f>"0E8215"</f>
        <v>0E8215</v>
      </c>
      <c r="B1078" t="str">
        <f>"LM_Content LMS Vir CIM 2"</f>
        <v>LM_Content LMS Vir CIM 2</v>
      </c>
      <c r="C1078" t="str">
        <f>"Active"</f>
        <v>Active</v>
      </c>
    </row>
    <row r="1079" spans="1:3" ht="18" customHeight="1">
      <c r="A1079" t="str">
        <f>"0E8216"</f>
        <v>0E8216</v>
      </c>
      <c r="B1079" t="str">
        <f>"LM_Content LMS Vir.- Machine Vision &amp; QC"</f>
        <v>LM_Content LMS Vir.- Machine Vision &amp; QC</v>
      </c>
      <c r="C1079" t="str">
        <f>"Active"</f>
        <v>Active</v>
      </c>
    </row>
    <row r="1080" spans="1:3" ht="18" customHeight="1">
      <c r="A1080" t="str">
        <f>"0E8217"</f>
        <v>0E8217</v>
      </c>
      <c r="B1080" t="str">
        <f>"LM_Content LMS Vir -E- Fiber Optics"</f>
        <v>LM_Content LMS Vir -E- Fiber Optics</v>
      </c>
      <c r="C1080" t="str">
        <f>"Not for purc"</f>
        <v>Not for purc</v>
      </c>
    </row>
    <row r="1081" spans="1:3" ht="18" customHeight="1">
      <c r="A1081" t="str">
        <f>"0E8218"</f>
        <v>0E8218</v>
      </c>
      <c r="B1081" t="str">
        <f>"LM_Content LMS Vir.- Flexible Manuf. Sys(FMS)"</f>
        <v>LM_Content LMS Vir.- Flexible Manuf. Sys(FMS)</v>
      </c>
      <c r="C1081" t="str">
        <f>"Active"</f>
        <v>Active</v>
      </c>
    </row>
    <row r="1082" spans="1:3" ht="18" customHeight="1">
      <c r="A1082" t="str">
        <f>"0E8219"</f>
        <v>0E8219</v>
      </c>
      <c r="B1082" t="str">
        <f>"LM_Content LMS Vir -E- Fundam. Robotic ER4U"</f>
        <v>LM_Content LMS Vir -E- Fundam. Robotic ER4U</v>
      </c>
      <c r="C1082" t="str">
        <f>"Active"</f>
        <v>Active</v>
      </c>
    </row>
    <row r="1083" spans="1:3" ht="18" customHeight="1">
      <c r="A1083" t="str">
        <f>"0E8220"</f>
        <v>0E8220</v>
      </c>
      <c r="B1083" t="str">
        <f>"LM_Content LMS Vir. Hydr Technology 1 - Fundam"</f>
        <v>LM_Content LMS Vir. Hydr Technology 1 - Fundam</v>
      </c>
      <c r="C1083" t="str">
        <f>"Active"</f>
        <v>Active</v>
      </c>
    </row>
    <row r="1084" spans="1:3" ht="18" customHeight="1">
      <c r="A1084" t="str">
        <f>"0E8221"</f>
        <v>0E8221</v>
      </c>
      <c r="B1084" t="str">
        <f>"LM_Content LMS Vir.-Hydr Technlgy 2- Electro Hy."</f>
        <v>LM_Content LMS Vir.-Hydr Technlgy 2- Electro Hy.</v>
      </c>
      <c r="C1084" t="str">
        <f>"Active"</f>
        <v>Active</v>
      </c>
    </row>
    <row r="1085" spans="1:3" ht="18" customHeight="1">
      <c r="A1085" t="str">
        <f>"0E8222"</f>
        <v>0E8222</v>
      </c>
      <c r="B1085" t="str">
        <f>"LM_Content LMS Vir.-Hydr Tech.  3 -Adv. .Electr."</f>
        <v>LM_Content LMS Vir.-Hydr Tech.  3 -Adv. .Electr.</v>
      </c>
      <c r="C1085" t="str">
        <f>"Not for purc"</f>
        <v>Not for purc</v>
      </c>
    </row>
    <row r="1086" spans="1:3" ht="18" customHeight="1">
      <c r="A1086" t="str">
        <f>"0E8223"</f>
        <v>0E8223</v>
      </c>
      <c r="B1086" t="str">
        <f>"LM_Content LMS Vir.- Machine Vision &amp; Image Prc"</f>
        <v>LM_Content LMS Vir.- Machine Vision &amp; Image Prc</v>
      </c>
      <c r="C1086" t="str">
        <f t="shared" ref="C1086:C1093" si="45">"Active"</f>
        <v>Active</v>
      </c>
    </row>
    <row r="1087" spans="1:3" ht="18" customHeight="1">
      <c r="A1087" t="str">
        <f>"0E8224"</f>
        <v>0E8224</v>
      </c>
      <c r="B1087" t="str">
        <f>"LM_Content LMS Vir. PLC Tech. 1- Fundamentals"</f>
        <v>LM_Content LMS Vir. PLC Tech. 1- Fundamentals</v>
      </c>
      <c r="C1087" t="str">
        <f t="shared" si="45"/>
        <v>Active</v>
      </c>
    </row>
    <row r="1088" spans="1:3" ht="18" customHeight="1">
      <c r="A1088" t="str">
        <f>"0E8225"</f>
        <v>0E8225</v>
      </c>
      <c r="B1088" t="str">
        <f>"LM_Content  LMS Vir.-PLC Technology 2 -Advanced"</f>
        <v>LM_Content  LMS Vir.-PLC Technology 2 -Advanced</v>
      </c>
      <c r="C1088" t="str">
        <f t="shared" si="45"/>
        <v>Active</v>
      </c>
    </row>
    <row r="1089" spans="1:3" ht="18" customHeight="1">
      <c r="A1089" t="str">
        <f>"0E8226"</f>
        <v>0E8226</v>
      </c>
      <c r="B1089" t="str">
        <f>"LM_Content LMS Vir .- PLC Technology 3- Pneu."</f>
        <v>LM_Content LMS Vir .- PLC Technology 3- Pneu.</v>
      </c>
      <c r="C1089" t="str">
        <f t="shared" si="45"/>
        <v>Active</v>
      </c>
    </row>
    <row r="1090" spans="1:3" ht="18" customHeight="1">
      <c r="A1090" t="str">
        <f>"0E8227"</f>
        <v>0E8227</v>
      </c>
      <c r="B1090" t="str">
        <f>"LM_Content LMS Vir.- PLC Technology 4 - Hydr."</f>
        <v>LM_Content LMS Vir.- PLC Technology 4 - Hydr.</v>
      </c>
      <c r="C1090" t="str">
        <f t="shared" si="45"/>
        <v>Active</v>
      </c>
    </row>
    <row r="1091" spans="1:3" ht="18" customHeight="1">
      <c r="A1091" t="str">
        <f>"0E8228"</f>
        <v>0E8228</v>
      </c>
      <c r="B1091" t="str">
        <f>"LM_Content  LMS Vir.-Pneu Technology 1-Fundamntl"</f>
        <v>LM_Content  LMS Vir.-Pneu Technology 1-Fundamntl</v>
      </c>
      <c r="C1091" t="str">
        <f t="shared" si="45"/>
        <v>Active</v>
      </c>
    </row>
    <row r="1092" spans="1:3" ht="18" customHeight="1">
      <c r="A1092" t="str">
        <f>"0E8229"</f>
        <v>0E8229</v>
      </c>
      <c r="B1092" t="str">
        <f>"LM_Content LMS Vir-PneuFlx Technology 2 -Adv.Pnu"</f>
        <v>LM_Content LMS Vir-PneuFlx Technology 2 -Adv.Pnu</v>
      </c>
      <c r="C1092" t="str">
        <f t="shared" si="45"/>
        <v>Active</v>
      </c>
    </row>
    <row r="1093" spans="1:3" ht="18" customHeight="1">
      <c r="A1093" t="str">
        <f>"0E8230"</f>
        <v>0E8230</v>
      </c>
      <c r="B1093" t="str">
        <f>"LM_Content  LMS Vir.-Pneu Technology 3 -Electro"</f>
        <v>LM_Content  LMS Vir.-Pneu Technology 3 -Electro</v>
      </c>
      <c r="C1093" t="str">
        <f t="shared" si="45"/>
        <v>Active</v>
      </c>
    </row>
    <row r="1094" spans="1:3" ht="18" customHeight="1">
      <c r="A1094" t="str">
        <f>"0E8231"</f>
        <v>0E8231</v>
      </c>
      <c r="B1094" t="str">
        <f>"LM_Content LMS Vir.- Pneumatics Technology  4"</f>
        <v>LM_Content LMS Vir.- Pneumatics Technology  4</v>
      </c>
      <c r="C1094" t="str">
        <f>"Not for purc"</f>
        <v>Not for purc</v>
      </c>
    </row>
    <row r="1095" spans="1:3" ht="18" customHeight="1">
      <c r="A1095" t="str">
        <f>"0E8232"</f>
        <v>0E8232</v>
      </c>
      <c r="B1095" t="str">
        <f>"LM_Content LMS Vir -E- Process Control : Flow"</f>
        <v>LM_Content LMS Vir -E- Process Control : Flow</v>
      </c>
      <c r="C1095" t="str">
        <f t="shared" ref="C1095:C1103" si="46">"Active"</f>
        <v>Active</v>
      </c>
    </row>
    <row r="1096" spans="1:3" ht="18" customHeight="1">
      <c r="A1096" t="str">
        <f>"0E8233"</f>
        <v>0E8233</v>
      </c>
      <c r="B1096" t="str">
        <f>"LM_Content LMS Vir -E- Process Control :Level"</f>
        <v>LM_Content LMS Vir -E- Process Control :Level</v>
      </c>
      <c r="C1096" t="str">
        <f t="shared" si="46"/>
        <v>Active</v>
      </c>
    </row>
    <row r="1097" spans="1:3" ht="18" customHeight="1">
      <c r="A1097" t="str">
        <f>"0E8234"</f>
        <v>0E8234</v>
      </c>
      <c r="B1097" t="str">
        <f>"LM_Content LMS Vir.- Process Control:Pressure"</f>
        <v>LM_Content LMS Vir.- Process Control:Pressure</v>
      </c>
      <c r="C1097" t="str">
        <f t="shared" si="46"/>
        <v>Active</v>
      </c>
    </row>
    <row r="1098" spans="1:3" ht="18" customHeight="1">
      <c r="A1098" t="str">
        <f>"0E8235"</f>
        <v>0E8235</v>
      </c>
      <c r="B1098" t="str">
        <f>"LM_Content LMS Vir.Process Control Temprature"</f>
        <v>LM_Content LMS Vir.Process Control Temprature</v>
      </c>
      <c r="C1098" t="str">
        <f t="shared" si="46"/>
        <v>Active</v>
      </c>
    </row>
    <row r="1099" spans="1:3" ht="18" customHeight="1">
      <c r="A1099" t="str">
        <f>"0E8236"</f>
        <v>0E8236</v>
      </c>
      <c r="B1099" t="str">
        <f>"LM_Content LMS Vir -E- RMH 2 with ER4U"</f>
        <v>LM_Content LMS Vir -E- RMH 2 with ER4U</v>
      </c>
      <c r="C1099" t="str">
        <f t="shared" si="46"/>
        <v>Active</v>
      </c>
    </row>
    <row r="1100" spans="1:3" ht="18" customHeight="1">
      <c r="A1100" t="str">
        <f>"0E8238"</f>
        <v>0E8238</v>
      </c>
      <c r="B1100" t="str">
        <f>"LM_Content LMS Vir -E- Sensor Technology"</f>
        <v>LM_Content LMS Vir -E- Sensor Technology</v>
      </c>
      <c r="C1100" t="str">
        <f t="shared" si="46"/>
        <v>Active</v>
      </c>
    </row>
    <row r="1101" spans="1:3" ht="18" customHeight="1">
      <c r="A1101" t="str">
        <f>"0E8239"</f>
        <v>0E8239</v>
      </c>
      <c r="B1101" t="str">
        <f>"LMC LS Vir -E-CAD with AutoCAD 2000"</f>
        <v>LMC LS Vir -E-CAD with AutoCAD 2000</v>
      </c>
      <c r="C1101" t="str">
        <f t="shared" si="46"/>
        <v>Active</v>
      </c>
    </row>
    <row r="1102" spans="1:3" ht="18" customHeight="1">
      <c r="A1102" t="str">
        <f>"0E8240"</f>
        <v>0E8240</v>
      </c>
      <c r="B1102" t="str">
        <f>"LMC LS Vir -E-CAD with AutoCAD 2002"</f>
        <v>LMC LS Vir -E-CAD with AutoCAD 2002</v>
      </c>
      <c r="C1102" t="str">
        <f t="shared" si="46"/>
        <v>Active</v>
      </c>
    </row>
    <row r="1103" spans="1:3" ht="18" customHeight="1">
      <c r="A1103" t="str">
        <f>"0E8241"</f>
        <v>0E8241</v>
      </c>
      <c r="B1103" t="str">
        <f>"LM_Content LMS Vir.- CAD &amp; spectraCAD Engraver"</f>
        <v>LM_Content LMS Vir.- CAD &amp; spectraCAD Engraver</v>
      </c>
      <c r="C1103" t="str">
        <f t="shared" si="46"/>
        <v>Active</v>
      </c>
    </row>
    <row r="1104" spans="1:3" ht="18" customHeight="1">
      <c r="A1104" t="str">
        <f>"0E8242"</f>
        <v>0E8242</v>
      </c>
      <c r="B1104" t="str">
        <f>"LM_Content LMS Vir.- CAM Milling &amp;Mstrcam v9"</f>
        <v>LM_Content LMS Vir.- CAM Milling &amp;Mstrcam v9</v>
      </c>
      <c r="C1104" t="str">
        <f>"Not for purc"</f>
        <v>Not for purc</v>
      </c>
    </row>
    <row r="1105" spans="1:3" ht="18" customHeight="1">
      <c r="A1105" t="str">
        <f>"0E8243"</f>
        <v>0E8243</v>
      </c>
      <c r="B1105" t="str">
        <f>"LM_Content LMS Vir.- CAM Milling &amp; spectraCAM"</f>
        <v>LM_Content LMS Vir.- CAM Milling &amp; spectraCAM</v>
      </c>
      <c r="C1105" t="str">
        <f>"Active"</f>
        <v>Active</v>
      </c>
    </row>
    <row r="1106" spans="1:3" ht="18" customHeight="1">
      <c r="A1106" t="str">
        <f>"0E8244"</f>
        <v>0E8244</v>
      </c>
      <c r="B1106" t="str">
        <f>"LM_Content LMS Vir.- CAM Turn &amp;Mstr Lathe V9"</f>
        <v>LM_Content LMS Vir.- CAM Turn &amp;Mstr Lathe V9</v>
      </c>
      <c r="C1106" t="str">
        <f>"Not for purc"</f>
        <v>Not for purc</v>
      </c>
    </row>
    <row r="1107" spans="1:3" ht="18" customHeight="1">
      <c r="A1107" t="str">
        <f>"0E8245"</f>
        <v>0E8245</v>
      </c>
      <c r="B1107" t="str">
        <f>"LM_Content LMS Vir.- CAM Turning &amp; spectraCAM"</f>
        <v>LM_Content LMS Vir.- CAM Turning &amp; spectraCAM</v>
      </c>
      <c r="C1107" t="str">
        <f>"Active"</f>
        <v>Active</v>
      </c>
    </row>
    <row r="1108" spans="1:3" ht="18" customHeight="1">
      <c r="A1108" t="str">
        <f>"0E8248"</f>
        <v>0E8248</v>
      </c>
      <c r="B1108" t="str">
        <f>"LM_Content LMS Vir -E- CNC Milling Super PLT1000"</f>
        <v>LM_Content LMS Vir -E- CNC Milling Super PLT1000</v>
      </c>
      <c r="C1108" t="str">
        <f>"Active"</f>
        <v>Active</v>
      </c>
    </row>
    <row r="1109" spans="1:3" ht="18" customHeight="1">
      <c r="A1109" t="str">
        <f>"0E8250"</f>
        <v>0E8250</v>
      </c>
      <c r="B1109" t="str">
        <f>"LM_Content LMS Vir.- CNC Prog. G&amp;M Codes P.T"</f>
        <v>LM_Content LMS Vir.- CNC Prog. G&amp;M Codes P.T</v>
      </c>
      <c r="C1109" t="str">
        <f>"Active"</f>
        <v>Active</v>
      </c>
    </row>
    <row r="1110" spans="1:3" ht="18" customHeight="1">
      <c r="A1110" t="str">
        <f>"0E8251"</f>
        <v>0E8251</v>
      </c>
      <c r="B1110" t="str">
        <f>"LM_Content LMS Vir -E- Electrical Systems"</f>
        <v>LM_Content LMS Vir -E- Electrical Systems</v>
      </c>
      <c r="C1110" t="str">
        <f>"Not for purc"</f>
        <v>Not for purc</v>
      </c>
    </row>
    <row r="1111" spans="1:3" ht="18" customHeight="1">
      <c r="A1111" t="str">
        <f>"0E8252"</f>
        <v>0E8252</v>
      </c>
      <c r="B1111" t="str">
        <f>"LM_Content LMS Vir.- Fundamentals Electronics"</f>
        <v>LM_Content LMS Vir.- Fundamentals Electronics</v>
      </c>
      <c r="C1111" t="str">
        <f>"Not for purc"</f>
        <v>Not for purc</v>
      </c>
    </row>
    <row r="1112" spans="1:3" ht="18" customHeight="1">
      <c r="A1112" t="str">
        <f>"0E8253"</f>
        <v>0E8253</v>
      </c>
      <c r="B1112" t="str">
        <f>"LM_Content LMS Vir -E- MateriaLMS Testing"</f>
        <v>LM_Content LMS Vir -E- MateriaLMS Testing</v>
      </c>
      <c r="C1112" t="str">
        <f>"Not for purc"</f>
        <v>Not for purc</v>
      </c>
    </row>
    <row r="1113" spans="1:3" ht="18" customHeight="1">
      <c r="A1113" t="str">
        <f>"0E8254"</f>
        <v>0E8254</v>
      </c>
      <c r="B1113" t="str">
        <f>"LM_Content LMS Vir -E- Mechanisms Tchnology"</f>
        <v>LM_Content LMS Vir -E- Mechanisms Tchnology</v>
      </c>
      <c r="C1113" t="str">
        <f>"Active"</f>
        <v>Active</v>
      </c>
    </row>
    <row r="1114" spans="1:3" ht="18" customHeight="1">
      <c r="A1114" t="str">
        <f>"0E8255"</f>
        <v>0E8255</v>
      </c>
      <c r="B1114" t="str">
        <f>"LM_Content LMS Vir Plastics Tech (Thermoforming)"</f>
        <v>LM_Content LMS Vir Plastics Tech (Thermoforming)</v>
      </c>
      <c r="C1114" t="str">
        <f>"Active"</f>
        <v>Active</v>
      </c>
    </row>
    <row r="1115" spans="1:3" ht="18" customHeight="1">
      <c r="A1115" t="str">
        <f>"0E8260"</f>
        <v>0E8260</v>
      </c>
      <c r="B1115" t="str">
        <f>"LM_Content LMS Vir. CNC Milling with VMC-0600"</f>
        <v>LM_Content LMS Vir. CNC Milling with VMC-0600</v>
      </c>
      <c r="C1115" t="str">
        <f>"Active"</f>
        <v>Active</v>
      </c>
    </row>
    <row r="1116" spans="1:3" ht="18" customHeight="1">
      <c r="A1116" t="str">
        <f>"0E8261"</f>
        <v>0E8261</v>
      </c>
      <c r="B1116" t="str">
        <f>"LM_Content LMS Vir -E- Mech. Measurement QC"</f>
        <v>LM_Content LMS Vir -E- Mech. Measurement QC</v>
      </c>
      <c r="C1116" t="str">
        <f>"Not for purc"</f>
        <v>Not for purc</v>
      </c>
    </row>
    <row r="1117" spans="1:3" ht="18" customHeight="1">
      <c r="A1117" t="str">
        <f>"0E8262"</f>
        <v>0E8262</v>
      </c>
      <c r="B1117" t="str">
        <f>"LM_Content LMS Vir -E- Auto. Welding With ER9U"</f>
        <v>LM_Content LMS Vir -E- Auto. Welding With ER9U</v>
      </c>
      <c r="C1117" t="str">
        <f>"Not for purc"</f>
        <v>Not for purc</v>
      </c>
    </row>
    <row r="1118" spans="1:3" ht="18" customHeight="1">
      <c r="A1118" t="str">
        <f>"0E8263"</f>
        <v>0E8263</v>
      </c>
      <c r="B1118" t="str">
        <f>"LM_Content LMS Vir. Fundamental Robotics ER9 PRO"</f>
        <v>LM_Content LMS Vir. Fundamental Robotics ER9 PRO</v>
      </c>
      <c r="C1118" t="str">
        <f>"Active"</f>
        <v>Active</v>
      </c>
    </row>
    <row r="1119" spans="1:3" ht="18" customHeight="1">
      <c r="A1119" t="str">
        <f>"0E8264"</f>
        <v>0E8264</v>
      </c>
      <c r="B1119" t="str">
        <f>"LM_Content LMS Vir. Advanced Robotic Prog ER9PRO"</f>
        <v>LM_Content LMS Vir. Advanced Robotic Prog ER9PRO</v>
      </c>
      <c r="C1119" t="str">
        <f>"Active"</f>
        <v>Active</v>
      </c>
    </row>
    <row r="1120" spans="1:3" ht="18" customHeight="1">
      <c r="A1120" t="str">
        <f>"0E8265"</f>
        <v>0E8265</v>
      </c>
      <c r="B1120" t="str">
        <f>"LM_Content LMS Vir.- CNC Mill  Tech. SLM0200"</f>
        <v>LM_Content LMS Vir.- CNC Mill  Tech. SLM0200</v>
      </c>
      <c r="C1120" t="str">
        <f>"Active"</f>
        <v>Active</v>
      </c>
    </row>
    <row r="1121" spans="1:3" ht="18" customHeight="1">
      <c r="A1121" t="str">
        <f>"0E8266"</f>
        <v>0E8266</v>
      </c>
      <c r="B1121" t="str">
        <f>"LM_Content LMS Vir.- CNC Turn Tech. SLT0400"</f>
        <v>LM_Content LMS Vir.- CNC Turn Tech. SLT0400</v>
      </c>
      <c r="C1121" t="str">
        <f>"Active"</f>
        <v>Active</v>
      </c>
    </row>
    <row r="1122" spans="1:3" ht="18" customHeight="1">
      <c r="A1122" t="str">
        <f>"0E8267"</f>
        <v>0E8267</v>
      </c>
      <c r="B1122" t="str">
        <f>"LM_Content LMS Vir -E- Advanced Electronics"</f>
        <v>LM_Content LMS Vir -E- Advanced Electronics</v>
      </c>
      <c r="C1122" t="str">
        <f>"Not for purc"</f>
        <v>Not for purc</v>
      </c>
    </row>
    <row r="1123" spans="1:3" ht="18" customHeight="1">
      <c r="A1123" t="str">
        <f>"0E8268"</f>
        <v>0E8268</v>
      </c>
      <c r="B1123" t="str">
        <f>"LMC LS Vir -E- CNC Router"</f>
        <v>LMC LS Vir -E- CNC Router</v>
      </c>
      <c r="C1123" t="str">
        <f>"Active"</f>
        <v>Active</v>
      </c>
    </row>
    <row r="1124" spans="1:3" ht="18" customHeight="1">
      <c r="A1124" t="str">
        <f>"0E8269"</f>
        <v>0E8269</v>
      </c>
      <c r="B1124" t="str">
        <f>"LM_Content LMS Vir. CNC Turning with PLT3000"</f>
        <v>LM_Content LMS Vir. CNC Turning with PLT3000</v>
      </c>
      <c r="C1124" t="str">
        <f>"Active"</f>
        <v>Active</v>
      </c>
    </row>
    <row r="1125" spans="1:3" ht="18" customHeight="1">
      <c r="A1125" t="str">
        <f>"0E8270"</f>
        <v>0E8270</v>
      </c>
      <c r="B1125" t="str">
        <f>"LM_Content  LMS Vir-Constructn Tech-Bridge Eng."</f>
        <v>LM_Content  LMS Vir-Constructn Tech-Bridge Eng.</v>
      </c>
      <c r="C1125" t="str">
        <f t="shared" ref="C1125:C1133" si="47">"Not for purc"</f>
        <v>Not for purc</v>
      </c>
    </row>
    <row r="1126" spans="1:3" ht="18" customHeight="1">
      <c r="A1126" t="str">
        <f>"0E8271"</f>
        <v>0E8271</v>
      </c>
      <c r="B1126" t="str">
        <f>"LM_Content  LMS Vir-Constructn Tech: Fluids&amp;Hydr"</f>
        <v>LM_Content  LMS Vir-Constructn Tech: Fluids&amp;Hydr</v>
      </c>
      <c r="C1126" t="str">
        <f t="shared" si="47"/>
        <v>Not for purc</v>
      </c>
    </row>
    <row r="1127" spans="1:3" ht="18" customHeight="1">
      <c r="A1127" t="str">
        <f>"0E8272"</f>
        <v>0E8272</v>
      </c>
      <c r="B1127" t="str">
        <f>"LM_Content LMS Vir Intro to Construction Tech"</f>
        <v>LM_Content LMS Vir Intro to Construction Tech</v>
      </c>
      <c r="C1127" t="str">
        <f t="shared" si="47"/>
        <v>Not for purc</v>
      </c>
    </row>
    <row r="1128" spans="1:3" ht="18" customHeight="1">
      <c r="A1128" t="str">
        <f>"0E8273"</f>
        <v>0E8273</v>
      </c>
      <c r="B1128" t="str">
        <f>"LM_Content  LMS Vir Intro To Environmental Eng."</f>
        <v>LM_Content  LMS Vir Intro To Environmental Eng.</v>
      </c>
      <c r="C1128" t="str">
        <f t="shared" si="47"/>
        <v>Not for purc</v>
      </c>
    </row>
    <row r="1129" spans="1:3" ht="18" customHeight="1">
      <c r="A1129" t="str">
        <f>"0E8274"</f>
        <v>0E8274</v>
      </c>
      <c r="B1129" t="str">
        <f>"LM_Content  LMS Vir.- Introd. Enviro Pollution"</f>
        <v>LM_Content  LMS Vir.- Introd. Enviro Pollution</v>
      </c>
      <c r="C1129" t="str">
        <f t="shared" si="47"/>
        <v>Not for purc</v>
      </c>
    </row>
    <row r="1130" spans="1:3" ht="18" customHeight="1">
      <c r="A1130" t="str">
        <f>"0E8275"</f>
        <v>0E8275</v>
      </c>
      <c r="B1130" t="str">
        <f>"LM_Content LMS Vir.Introd.To Highway Enginrng"</f>
        <v>LM_Content LMS Vir.Introd.To Highway Enginrng</v>
      </c>
      <c r="C1130" t="str">
        <f t="shared" si="47"/>
        <v>Not for purc</v>
      </c>
    </row>
    <row r="1131" spans="1:3" ht="18" customHeight="1">
      <c r="A1131" t="str">
        <f>"0E8276"</f>
        <v>0E8276</v>
      </c>
      <c r="B1131" t="str">
        <f>"LM_Content  LMS Vir- Intro. To Transport. Engi."</f>
        <v>LM_Content  LMS Vir- Intro. To Transport. Engi.</v>
      </c>
      <c r="C1131" t="str">
        <f t="shared" si="47"/>
        <v>Not for purc</v>
      </c>
    </row>
    <row r="1132" spans="1:3" ht="18" customHeight="1">
      <c r="A1132" t="str">
        <f>"0E8277"</f>
        <v>0E8277</v>
      </c>
      <c r="B1132" t="str">
        <f>"LM_Content  LMS Vir. Intro WasteWater Managemnt"</f>
        <v>LM_Content  LMS Vir. Intro WasteWater Managemnt</v>
      </c>
      <c r="C1132" t="str">
        <f t="shared" si="47"/>
        <v>Not for purc</v>
      </c>
    </row>
    <row r="1133" spans="1:3" ht="18" customHeight="1">
      <c r="A1133" t="str">
        <f>"0E8278"</f>
        <v>0E8278</v>
      </c>
      <c r="B1133" t="str">
        <f>"LM_Content LMS Vir Intro To Water Supply Eng."</f>
        <v>LM_Content LMS Vir Intro To Water Supply Eng.</v>
      </c>
      <c r="C1133" t="str">
        <f t="shared" si="47"/>
        <v>Not for purc</v>
      </c>
    </row>
    <row r="1134" spans="1:3" ht="18" customHeight="1">
      <c r="A1134" t="str">
        <f>"0E8279"</f>
        <v>0E8279</v>
      </c>
      <c r="B1134" t="str">
        <f>"LM_Content LMS Vir- Introd to Greenhous Tech"</f>
        <v>LM_Content LMS Vir- Introd to Greenhous Tech</v>
      </c>
      <c r="C1134" t="str">
        <f t="shared" ref="C1134:C1165" si="48">"Active"</f>
        <v>Active</v>
      </c>
    </row>
    <row r="1135" spans="1:3" ht="18" customHeight="1">
      <c r="A1135" t="str">
        <f>"0E8280"</f>
        <v>0E8280</v>
      </c>
      <c r="B1135" t="str">
        <f>"LM_Content LMS Vir -E- Soil and Agriculture"</f>
        <v>LM_Content LMS Vir -E- Soil and Agriculture</v>
      </c>
      <c r="C1135" t="str">
        <f t="shared" si="48"/>
        <v>Active</v>
      </c>
    </row>
    <row r="1136" spans="1:3" ht="18" customHeight="1">
      <c r="A1136" t="str">
        <f>"0E8281"</f>
        <v>0E8281</v>
      </c>
      <c r="B1136" t="str">
        <f>"LM_Content LMS Vir.- Principals of Irrigation"</f>
        <v>LM_Content LMS Vir.- Principals of Irrigation</v>
      </c>
      <c r="C1136" t="str">
        <f t="shared" si="48"/>
        <v>Active</v>
      </c>
    </row>
    <row r="1137" spans="1:3" ht="18" customHeight="1">
      <c r="A1137" t="str">
        <f>"0E8282"</f>
        <v>0E8282</v>
      </c>
      <c r="B1137" t="str">
        <f>"LM_Content  LMS Vir.-The Concept of AutoAgronom"</f>
        <v>LM_Content  LMS Vir.-The Concept of AutoAgronom</v>
      </c>
      <c r="C1137" t="str">
        <f t="shared" si="48"/>
        <v>Active</v>
      </c>
    </row>
    <row r="1138" spans="1:3" ht="18" customHeight="1">
      <c r="A1138" t="str">
        <f>"0E8283"</f>
        <v>0E8283</v>
      </c>
      <c r="B1138" t="str">
        <f>"LM_Content LMS Vir.-Using the AutoAgronom Sys"</f>
        <v>LM_Content LMS Vir.-Using the AutoAgronom Sys</v>
      </c>
      <c r="C1138" t="str">
        <f t="shared" si="48"/>
        <v>Active</v>
      </c>
    </row>
    <row r="1139" spans="1:3" ht="18" customHeight="1">
      <c r="A1139" t="str">
        <f>"0E8284"</f>
        <v>0E8284</v>
      </c>
      <c r="B1139" t="str">
        <f>"LM_Content  LMS Vir-Applications of AutoAgronom"</f>
        <v>LM_Content  LMS Vir-Applications of AutoAgronom</v>
      </c>
      <c r="C1139" t="str">
        <f t="shared" si="48"/>
        <v>Active</v>
      </c>
    </row>
    <row r="1140" spans="1:3" ht="18" customHeight="1">
      <c r="A1140" t="str">
        <f>"0E8285"</f>
        <v>0E8285</v>
      </c>
      <c r="B1140" t="str">
        <f>"LM_Content  LMS Vir- Advancd Irrigation Systems"</f>
        <v>LM_Content  LMS Vir- Advancd Irrigation Systems</v>
      </c>
      <c r="C1140" t="str">
        <f t="shared" si="48"/>
        <v>Active</v>
      </c>
    </row>
    <row r="1141" spans="1:3" ht="18" customHeight="1">
      <c r="A1141" t="str">
        <f>"0E8286"</f>
        <v>0E8286</v>
      </c>
      <c r="B1141" t="str">
        <f>"LM_Content LMS Vir-Intro to 3D Printing W Solido"</f>
        <v>LM_Content LMS Vir-Intro to 3D Printing W Solido</v>
      </c>
      <c r="C1141" t="str">
        <f t="shared" si="48"/>
        <v>Active</v>
      </c>
    </row>
    <row r="1142" spans="1:3" ht="18" customHeight="1">
      <c r="A1142" t="str">
        <f>"0E8287"</f>
        <v>0E8287</v>
      </c>
      <c r="B1142" t="str">
        <f>"LM_ContentLMS Vir.IntroTo Advanced Manufacturing"</f>
        <v>LM_ContentLMS Vir.IntroTo Advanced Manufacturing</v>
      </c>
      <c r="C1142" t="str">
        <f t="shared" si="48"/>
        <v>Active</v>
      </c>
    </row>
    <row r="1143" spans="1:3" ht="18" customHeight="1">
      <c r="A1143" t="str">
        <f>"0E8288"</f>
        <v>0E8288</v>
      </c>
      <c r="B1143" t="str">
        <f>"LM_Content LMS Vir - Rapid Prototyping"</f>
        <v>LM_Content LMS Vir - Rapid Prototyping</v>
      </c>
      <c r="C1143" t="str">
        <f t="shared" si="48"/>
        <v>Active</v>
      </c>
    </row>
    <row r="1144" spans="1:3" ht="18" customHeight="1">
      <c r="A1144" t="str">
        <f>"0H7214"</f>
        <v>0H7214</v>
      </c>
      <c r="B1144" t="str">
        <f>"LM_Content SA Vir -H- CIM 1"</f>
        <v>LM_Content SA Vir -H- CIM 1</v>
      </c>
      <c r="C1144" t="str">
        <f t="shared" si="48"/>
        <v>Active</v>
      </c>
    </row>
    <row r="1145" spans="1:3" ht="18" customHeight="1">
      <c r="A1145" t="str">
        <f>"0H7260"</f>
        <v>0H7260</v>
      </c>
      <c r="B1145" t="str">
        <f>"LMC SA Vir -H- CNC Milling with VMC0600"</f>
        <v>LMC SA Vir -H- CNC Milling with VMC0600</v>
      </c>
      <c r="C1145" t="str">
        <f t="shared" si="48"/>
        <v>Active</v>
      </c>
    </row>
    <row r="1146" spans="1:3" ht="18" customHeight="1">
      <c r="A1146" t="str">
        <f>"0H7263"</f>
        <v>0H7263</v>
      </c>
      <c r="B1146" t="str">
        <f>"LM_Content SA Vir. Fudamental Robotics ER9PRO"</f>
        <v>LM_Content SA Vir. Fudamental Robotics ER9PRO</v>
      </c>
      <c r="C1146" t="str">
        <f t="shared" si="48"/>
        <v>Active</v>
      </c>
    </row>
    <row r="1147" spans="1:3" ht="18" customHeight="1">
      <c r="A1147" t="str">
        <f>"0K8137"</f>
        <v>0K8137</v>
      </c>
      <c r="B1147" t="str">
        <f>"LM_Content LMS Lab- REC1-6 + REC TG Semester1"</f>
        <v>LM_Content LMS Lab- REC1-6 + REC TG Semester1</v>
      </c>
      <c r="C1147" t="str">
        <f t="shared" si="48"/>
        <v>Active</v>
      </c>
    </row>
    <row r="1148" spans="1:3" ht="18" customHeight="1">
      <c r="A1148" t="str">
        <f>"0K8214"</f>
        <v>0K8214</v>
      </c>
      <c r="B1148" t="str">
        <f>"LM_Content LMS Vir -K- CIM 1"</f>
        <v>LM_Content LMS Vir -K- CIM 1</v>
      </c>
      <c r="C1148" t="str">
        <f t="shared" si="48"/>
        <v>Active</v>
      </c>
    </row>
    <row r="1149" spans="1:3" ht="18" customHeight="1">
      <c r="A1149" t="str">
        <f>"0K8219"</f>
        <v>0K8219</v>
      </c>
      <c r="B1149" t="str">
        <f>"LM_Content LMS Vir.- Fundamental Robotic ER4U"</f>
        <v>LM_Content LMS Vir.- Fundamental Robotic ER4U</v>
      </c>
      <c r="C1149" t="str">
        <f t="shared" si="48"/>
        <v>Active</v>
      </c>
    </row>
    <row r="1150" spans="1:3" ht="18" customHeight="1">
      <c r="A1150" t="str">
        <f>"0K8224"</f>
        <v>0K8224</v>
      </c>
      <c r="B1150" t="str">
        <f>"LM_Content LMS Vir. PLC Tech. 1 -Fundamentals"</f>
        <v>LM_Content LMS Vir. PLC Tech. 1 -Fundamentals</v>
      </c>
      <c r="C1150" t="str">
        <f t="shared" si="48"/>
        <v>Active</v>
      </c>
    </row>
    <row r="1151" spans="1:3" ht="18" customHeight="1">
      <c r="A1151" t="str">
        <f>"0K8238"</f>
        <v>0K8238</v>
      </c>
      <c r="B1151" t="str">
        <f>"LM_Content LMS Vir -K- Sensor Technology"</f>
        <v>LM_Content LMS Vir -K- Sensor Technology</v>
      </c>
      <c r="C1151" t="str">
        <f t="shared" si="48"/>
        <v>Active</v>
      </c>
    </row>
    <row r="1152" spans="1:3" ht="18" customHeight="1">
      <c r="A1152" t="str">
        <f>"0K8252"</f>
        <v>0K8252</v>
      </c>
      <c r="B1152" t="str">
        <f>"LM_Content LMS Vir.- Fundamentals Electronics"</f>
        <v>LM_Content LMS Vir.- Fundamentals Electronics</v>
      </c>
      <c r="C1152" t="str">
        <f t="shared" si="48"/>
        <v>Active</v>
      </c>
    </row>
    <row r="1153" spans="1:3" ht="18" customHeight="1">
      <c r="A1153" t="str">
        <f>"0K8261"</f>
        <v>0K8261</v>
      </c>
      <c r="B1153" t="str">
        <f>"LM_Content LMS Vir.-Mechanical Measurement QC"</f>
        <v>LM_Content LMS Vir.-Mechanical Measurement QC</v>
      </c>
      <c r="C1153" t="str">
        <f t="shared" si="48"/>
        <v>Active</v>
      </c>
    </row>
    <row r="1154" spans="1:3" ht="18" customHeight="1">
      <c r="A1154" t="str">
        <f>"0R8112"</f>
        <v>0R8112</v>
      </c>
      <c r="B1154" t="str">
        <f>"LM_Content LMS Lab -R- CNC Mill SLM0200"</f>
        <v>LM_Content LMS Lab -R- CNC Mill SLM0200</v>
      </c>
      <c r="C1154" t="str">
        <f t="shared" si="48"/>
        <v>Active</v>
      </c>
    </row>
    <row r="1155" spans="1:3" ht="18" customHeight="1">
      <c r="A1155" t="str">
        <f>"0R8115"</f>
        <v>0R8115</v>
      </c>
      <c r="B1155" t="str">
        <f>"LM_Content LMS Lab -R- CNC Turn SLT0400"</f>
        <v>LM_Content LMS Lab -R- CNC Turn SLT0400</v>
      </c>
      <c r="C1155" t="str">
        <f t="shared" si="48"/>
        <v>Active</v>
      </c>
    </row>
    <row r="1156" spans="1:3" ht="18" customHeight="1">
      <c r="A1156" t="str">
        <f>"0R8117"</f>
        <v>0R8117</v>
      </c>
      <c r="B1156" t="str">
        <f>"LM_Content LMS Lab- Mechanical Measurement QC"</f>
        <v>LM_Content LMS Lab- Mechanical Measurement QC</v>
      </c>
      <c r="C1156" t="str">
        <f t="shared" si="48"/>
        <v>Active</v>
      </c>
    </row>
    <row r="1157" spans="1:3" ht="18" customHeight="1">
      <c r="A1157" t="str">
        <f>"0R8134"</f>
        <v>0R8134</v>
      </c>
      <c r="B1157" t="str">
        <f>"LM_Content LMS Lab Material Testing &amp;Buster II"</f>
        <v>LM_Content LMS Lab Material Testing &amp;Buster II</v>
      </c>
      <c r="C1157" t="str">
        <f t="shared" si="48"/>
        <v>Active</v>
      </c>
    </row>
    <row r="1158" spans="1:3" ht="18" customHeight="1">
      <c r="A1158" t="str">
        <f>"0R8265"</f>
        <v>0R8265</v>
      </c>
      <c r="B1158" t="str">
        <f>"LM_Content LMS Vir -R- CNC Mill SLM0200"</f>
        <v>LM_Content LMS Vir -R- CNC Mill SLM0200</v>
      </c>
      <c r="C1158" t="str">
        <f t="shared" si="48"/>
        <v>Active</v>
      </c>
    </row>
    <row r="1159" spans="1:3" ht="18" customHeight="1">
      <c r="A1159" t="str">
        <f>"0R8266"</f>
        <v>0R8266</v>
      </c>
      <c r="B1159" t="str">
        <f>"LM_Content LMS Vir -R- CNC Turn SLT0400"</f>
        <v>LM_Content LMS Vir -R- CNC Turn SLT0400</v>
      </c>
      <c r="C1159" t="str">
        <f t="shared" si="48"/>
        <v>Active</v>
      </c>
    </row>
    <row r="1160" spans="1:3" ht="18" customHeight="1">
      <c r="A1160" t="str">
        <f>"0S7212"</f>
        <v>0S7212</v>
      </c>
      <c r="B1160" t="str">
        <f>"LM_Content SA Vir - Automated Welding With ER4U"</f>
        <v>LM_Content SA Vir - Automated Welding With ER4U</v>
      </c>
      <c r="C1160" t="str">
        <f t="shared" si="48"/>
        <v>Active</v>
      </c>
    </row>
    <row r="1161" spans="1:3" ht="18" customHeight="1">
      <c r="A1161" t="str">
        <f>"0S7214"</f>
        <v>0S7214</v>
      </c>
      <c r="B1161" t="str">
        <f>"LM_Content SA Vir -S- CIM 1"</f>
        <v>LM_Content SA Vir -S- CIM 1</v>
      </c>
      <c r="C1161" t="str">
        <f t="shared" si="48"/>
        <v>Active</v>
      </c>
    </row>
    <row r="1162" spans="1:3" ht="18" customHeight="1">
      <c r="A1162" t="str">
        <f>"0S7215"</f>
        <v>0S7215</v>
      </c>
      <c r="B1162" t="str">
        <f>"LM_Content SA Vir -S- CIM 2"</f>
        <v>LM_Content SA Vir -S- CIM 2</v>
      </c>
      <c r="C1162" t="str">
        <f t="shared" si="48"/>
        <v>Active</v>
      </c>
    </row>
    <row r="1163" spans="1:3" ht="18" customHeight="1">
      <c r="A1163" t="str">
        <f>"0S7216"</f>
        <v>0S7216</v>
      </c>
      <c r="B1163" t="str">
        <f>"LM_Content SA Vir -S- Machine Vision &amp; QC"</f>
        <v>LM_Content SA Vir -S- Machine Vision &amp; QC</v>
      </c>
      <c r="C1163" t="str">
        <f t="shared" si="48"/>
        <v>Active</v>
      </c>
    </row>
    <row r="1164" spans="1:3" ht="18" customHeight="1">
      <c r="A1164" t="str">
        <f>"0S7218"</f>
        <v>0S7218</v>
      </c>
      <c r="B1164" t="str">
        <f>"LM_Content SA Vir - Flexible Manufacture System"</f>
        <v>LM_Content SA Vir - Flexible Manufacture System</v>
      </c>
      <c r="C1164" t="str">
        <f t="shared" si="48"/>
        <v>Active</v>
      </c>
    </row>
    <row r="1165" spans="1:3" ht="18" customHeight="1">
      <c r="A1165" t="str">
        <f>"0S7220"</f>
        <v>0S7220</v>
      </c>
      <c r="B1165" t="str">
        <f>"LM_Content SA Vir. Hydr Technology 1- Fundamentl"</f>
        <v>LM_Content SA Vir. Hydr Technology 1- Fundamentl</v>
      </c>
      <c r="C1165" t="str">
        <f t="shared" si="48"/>
        <v>Active</v>
      </c>
    </row>
    <row r="1166" spans="1:3" ht="18" customHeight="1">
      <c r="A1166" t="str">
        <f>"0S7221"</f>
        <v>0S7221</v>
      </c>
      <c r="B1166" t="str">
        <f>"LM_Content SA Vir.SHydTechnology 2 -Electro Hy."</f>
        <v>LM_Content SA Vir.SHydTechnology 2 -Electro Hy.</v>
      </c>
      <c r="C1166" t="str">
        <f t="shared" ref="C1166:C1197" si="49">"Active"</f>
        <v>Active</v>
      </c>
    </row>
    <row r="1167" spans="1:3" ht="18" customHeight="1">
      <c r="A1167" t="str">
        <f>"0S7223"</f>
        <v>0S7223</v>
      </c>
      <c r="B1167" t="str">
        <f>"LM_Content SA Vir.- Machine Vision &amp;Image Prc"</f>
        <v>LM_Content SA Vir.- Machine Vision &amp;Image Prc</v>
      </c>
      <c r="C1167" t="str">
        <f t="shared" si="49"/>
        <v>Active</v>
      </c>
    </row>
    <row r="1168" spans="1:3" ht="18" customHeight="1">
      <c r="A1168" t="str">
        <f>"0S7224"</f>
        <v>0S7224</v>
      </c>
      <c r="B1168" t="str">
        <f>"LM_Content SA Vir. PLC Tech. 1- Fundamentals"</f>
        <v>LM_Content SA Vir. PLC Tech. 1- Fundamentals</v>
      </c>
      <c r="C1168" t="str">
        <f t="shared" si="49"/>
        <v>Active</v>
      </c>
    </row>
    <row r="1169" spans="1:3" ht="18" customHeight="1">
      <c r="A1169" t="str">
        <f>"0S7225"</f>
        <v>0S7225</v>
      </c>
      <c r="B1169" t="str">
        <f>"LM_Content SA Vir.-PLC Technology 2 -Advanced"</f>
        <v>LM_Content SA Vir.-PLC Technology 2 -Advanced</v>
      </c>
      <c r="C1169" t="str">
        <f t="shared" si="49"/>
        <v>Active</v>
      </c>
    </row>
    <row r="1170" spans="1:3" ht="18" customHeight="1">
      <c r="A1170" t="str">
        <f>"0S7228"</f>
        <v>0S7228</v>
      </c>
      <c r="B1170" t="str">
        <f>"LM_Content  SA Vir.-Pneu Technology 1 -Fundamntl"</f>
        <v>LM_Content  SA Vir.-Pneu Technology 1 -Fundamntl</v>
      </c>
      <c r="C1170" t="str">
        <f t="shared" si="49"/>
        <v>Active</v>
      </c>
    </row>
    <row r="1171" spans="1:3" ht="18" customHeight="1">
      <c r="A1171" t="str">
        <f>"0S7229"</f>
        <v>0S7229</v>
      </c>
      <c r="B1171" t="str">
        <f>"LM_Content SA Vir- PneuFlx Technology 2 -Adv Pnu"</f>
        <v>LM_Content SA Vir- PneuFlx Technology 2 -Adv Pnu</v>
      </c>
      <c r="C1171" t="str">
        <f t="shared" si="49"/>
        <v>Active</v>
      </c>
    </row>
    <row r="1172" spans="1:3" ht="18" customHeight="1">
      <c r="A1172" t="str">
        <f>"0S7230"</f>
        <v>0S7230</v>
      </c>
      <c r="B1172" t="str">
        <f>"LM_Content SA Vir.S PneuTechnology 3-Electro Pnu"</f>
        <v>LM_Content SA Vir.S PneuTechnology 3-Electro Pnu</v>
      </c>
      <c r="C1172" t="str">
        <f t="shared" si="49"/>
        <v>Active</v>
      </c>
    </row>
    <row r="1173" spans="1:3" ht="18" customHeight="1">
      <c r="A1173" t="str">
        <f>"0S7232"</f>
        <v>0S7232</v>
      </c>
      <c r="B1173" t="str">
        <f>"LM_Content SA Vir -S- Process Control : Flow"</f>
        <v>LM_Content SA Vir -S- Process Control : Flow</v>
      </c>
      <c r="C1173" t="str">
        <f t="shared" si="49"/>
        <v>Active</v>
      </c>
    </row>
    <row r="1174" spans="1:3" ht="18" customHeight="1">
      <c r="A1174" t="str">
        <f>"0S7234"</f>
        <v>0S7234</v>
      </c>
      <c r="B1174" t="str">
        <f>"LM_Content SA Vir. Process Control :Pressure"</f>
        <v>LM_Content SA Vir. Process Control :Pressure</v>
      </c>
      <c r="C1174" t="str">
        <f t="shared" si="49"/>
        <v>Active</v>
      </c>
    </row>
    <row r="1175" spans="1:3" ht="18" customHeight="1">
      <c r="A1175" t="str">
        <f>"0S7238"</f>
        <v>0S7238</v>
      </c>
      <c r="B1175" t="str">
        <f>"LM_Content SA Vir -S- Sensor Technology"</f>
        <v>LM_Content SA Vir -S- Sensor Technology</v>
      </c>
      <c r="C1175" t="str">
        <f t="shared" si="49"/>
        <v>Active</v>
      </c>
    </row>
    <row r="1176" spans="1:3" ht="18" customHeight="1">
      <c r="A1176" t="str">
        <f>"0S7241"</f>
        <v>0S7241</v>
      </c>
      <c r="B1176" t="str">
        <f>"LM_Content SA Vir.- CAD &amp; spectraCAD Engraver"</f>
        <v>LM_Content SA Vir.- CAD &amp; spectraCAD Engraver</v>
      </c>
      <c r="C1176" t="str">
        <f t="shared" si="49"/>
        <v>Active</v>
      </c>
    </row>
    <row r="1177" spans="1:3" ht="18" customHeight="1">
      <c r="A1177" t="str">
        <f>"0S7243"</f>
        <v>0S7243</v>
      </c>
      <c r="B1177" t="str">
        <f>"LM_Content SA Vir.- CAM Milling &amp; spectraCAM"</f>
        <v>LM_Content SA Vir.- CAM Milling &amp; spectraCAM</v>
      </c>
      <c r="C1177" t="str">
        <f t="shared" si="49"/>
        <v>Active</v>
      </c>
    </row>
    <row r="1178" spans="1:3" ht="18" customHeight="1">
      <c r="A1178" t="str">
        <f>"0S7245"</f>
        <v>0S7245</v>
      </c>
      <c r="B1178" t="str">
        <f>"LM_Content SA Vir.- CAM Turn &amp;spectraCAM Turn"</f>
        <v>LM_Content SA Vir.- CAM Turn &amp;spectraCAM Turn</v>
      </c>
      <c r="C1178" t="str">
        <f t="shared" si="49"/>
        <v>Active</v>
      </c>
    </row>
    <row r="1179" spans="1:3" ht="18" customHeight="1">
      <c r="A1179" t="str">
        <f>"0S7248"</f>
        <v>0S7248</v>
      </c>
      <c r="B1179" t="str">
        <f>"LM_Content SA Vir -S- CNC Milling PLM1000"</f>
        <v>LM_Content SA Vir -S- CNC Milling PLM1000</v>
      </c>
      <c r="C1179" t="str">
        <f t="shared" si="49"/>
        <v>Active</v>
      </c>
    </row>
    <row r="1180" spans="1:3" ht="18" customHeight="1">
      <c r="A1180" t="str">
        <f>"0S7250"</f>
        <v>0S7250</v>
      </c>
      <c r="B1180" t="str">
        <f>"LM_Content SA Vir.- CNC Program G&amp;M Codes P.T"</f>
        <v>LM_Content SA Vir.- CNC Program G&amp;M Codes P.T</v>
      </c>
      <c r="C1180" t="str">
        <f t="shared" si="49"/>
        <v>Active</v>
      </c>
    </row>
    <row r="1181" spans="1:3" ht="18" customHeight="1">
      <c r="A1181" t="str">
        <f>"0S7251"</f>
        <v>0S7251</v>
      </c>
      <c r="B1181" t="str">
        <f>"LM_Content SA Vir -S- Electrical Systems"</f>
        <v>LM_Content SA Vir -S- Electrical Systems</v>
      </c>
      <c r="C1181" t="str">
        <f t="shared" si="49"/>
        <v>Active</v>
      </c>
    </row>
    <row r="1182" spans="1:3" ht="18" customHeight="1">
      <c r="A1182" t="str">
        <f>"0S7252"</f>
        <v>0S7252</v>
      </c>
      <c r="B1182" t="str">
        <f>"LM_Content SA Vir .- Fundamentals Electronics"</f>
        <v>LM_Content SA Vir .- Fundamentals Electronics</v>
      </c>
      <c r="C1182" t="str">
        <f t="shared" si="49"/>
        <v>Active</v>
      </c>
    </row>
    <row r="1183" spans="1:3" ht="18" customHeight="1">
      <c r="A1183" t="str">
        <f>"0S7253"</f>
        <v>0S7253</v>
      </c>
      <c r="B1183" t="str">
        <f>"LM_Content SA Vir -Ensayo de materiales"</f>
        <v>LM_Content SA Vir -Ensayo de materiales</v>
      </c>
      <c r="C1183" t="str">
        <f t="shared" si="49"/>
        <v>Active</v>
      </c>
    </row>
    <row r="1184" spans="1:3" ht="18" customHeight="1">
      <c r="A1184" t="str">
        <f>"0S7254"</f>
        <v>0S7254</v>
      </c>
      <c r="B1184" t="str">
        <f>"LM_Content SA Vir -S- Mechanismos Technology"</f>
        <v>LM_Content SA Vir -S- Mechanismos Technology</v>
      </c>
      <c r="C1184" t="str">
        <f t="shared" si="49"/>
        <v>Active</v>
      </c>
    </row>
    <row r="1185" spans="1:3" ht="18" customHeight="1">
      <c r="A1185" t="str">
        <f>"0S7255"</f>
        <v>0S7255</v>
      </c>
      <c r="B1185" t="str">
        <f>"LM_Content SA Vir.-Plastics Tech (Thermoforming)"</f>
        <v>LM_Content SA Vir.-Plastics Tech (Thermoforming)</v>
      </c>
      <c r="C1185" t="str">
        <f t="shared" si="49"/>
        <v>Active</v>
      </c>
    </row>
    <row r="1186" spans="1:3" ht="18" customHeight="1">
      <c r="A1186" t="str">
        <f>"0S7261"</f>
        <v>0S7261</v>
      </c>
      <c r="B1186" t="str">
        <f>"LM_Content SA Vir.- Mechanical Measurement QC"</f>
        <v>LM_Content SA Vir.- Mechanical Measurement QC</v>
      </c>
      <c r="C1186" t="str">
        <f t="shared" si="49"/>
        <v>Active</v>
      </c>
    </row>
    <row r="1187" spans="1:3" ht="18" customHeight="1">
      <c r="A1187" t="str">
        <f>"0S7263"</f>
        <v>0S7263</v>
      </c>
      <c r="B1187" t="str">
        <f>"LM_Content SA Vir.- Fudamentals Robotics ER9U"</f>
        <v>LM_Content SA Vir.- Fudamentals Robotics ER9U</v>
      </c>
      <c r="C1187" t="str">
        <f t="shared" si="49"/>
        <v>Active</v>
      </c>
    </row>
    <row r="1188" spans="1:3" ht="18" customHeight="1">
      <c r="A1188" t="str">
        <f>"0S7264"</f>
        <v>0S7264</v>
      </c>
      <c r="B1188" t="str">
        <f>"LM_Content SA Vir. Adv. Robotic Prog ER9PRO"</f>
        <v>LM_Content SA Vir. Adv. Robotic Prog ER9PRO</v>
      </c>
      <c r="C1188" t="str">
        <f t="shared" si="49"/>
        <v>Active</v>
      </c>
    </row>
    <row r="1189" spans="1:3" ht="18" customHeight="1">
      <c r="A1189" t="str">
        <f>"0S7267"</f>
        <v>0S7267</v>
      </c>
      <c r="B1189" t="str">
        <f>"LM_Content SA Vir -S- Advanced Electronics"</f>
        <v>LM_Content SA Vir -S- Advanced Electronics</v>
      </c>
      <c r="C1189" t="str">
        <f t="shared" si="49"/>
        <v>Active</v>
      </c>
    </row>
    <row r="1190" spans="1:3" ht="18" customHeight="1">
      <c r="A1190" t="str">
        <f>"0S7269"</f>
        <v>0S7269</v>
      </c>
      <c r="B1190" t="str">
        <f>"LM_Content SA Vir -S- CNC Turn PLT3000"</f>
        <v>LM_Content SA Vir -S- CNC Turn PLT3000</v>
      </c>
      <c r="C1190" t="str">
        <f t="shared" si="49"/>
        <v>Active</v>
      </c>
    </row>
    <row r="1191" spans="1:3" ht="18" customHeight="1">
      <c r="A1191" t="str">
        <f>"0S7279"</f>
        <v>0S7279</v>
      </c>
      <c r="B1191" t="str">
        <f>"Introducción a la agricultura de invernadero"</f>
        <v>Introducción a la agricultura de invernadero</v>
      </c>
      <c r="C1191" t="str">
        <f t="shared" si="49"/>
        <v>Active</v>
      </c>
    </row>
    <row r="1192" spans="1:3" ht="18" customHeight="1">
      <c r="A1192" t="str">
        <f>"0S7280"</f>
        <v>0S7280</v>
      </c>
      <c r="B1192" t="str">
        <f>"El suelo en la agricultura"</f>
        <v>El suelo en la agricultura</v>
      </c>
      <c r="C1192" t="str">
        <f t="shared" si="49"/>
        <v>Active</v>
      </c>
    </row>
    <row r="1193" spans="1:3" ht="18" customHeight="1">
      <c r="A1193" t="str">
        <f>"0S7281"</f>
        <v>0S7281</v>
      </c>
      <c r="B1193" t="str">
        <f>"Introducción a Irrigación"</f>
        <v>Introducción a Irrigación</v>
      </c>
      <c r="C1193" t="str">
        <f t="shared" si="49"/>
        <v>Active</v>
      </c>
    </row>
    <row r="1194" spans="1:3" ht="18" customHeight="1">
      <c r="A1194" t="str">
        <f>"0S7282"</f>
        <v>0S7282</v>
      </c>
      <c r="B1194" t="str">
        <f>"Teoría de AutoAgrónomo"</f>
        <v>Teoría de AutoAgrónomo</v>
      </c>
      <c r="C1194" t="str">
        <f t="shared" si="49"/>
        <v>Active</v>
      </c>
    </row>
    <row r="1195" spans="1:3" ht="18" customHeight="1">
      <c r="A1195" t="str">
        <f>"0S7283"</f>
        <v>0S7283</v>
      </c>
      <c r="B1195" t="str">
        <f>"Utilizando el Sistema AutoAgrónomo"</f>
        <v>Utilizando el Sistema AutoAgrónomo</v>
      </c>
      <c r="C1195" t="str">
        <f t="shared" si="49"/>
        <v>Active</v>
      </c>
    </row>
    <row r="1196" spans="1:3" ht="18" customHeight="1">
      <c r="A1196" t="str">
        <f>"0S7284"</f>
        <v>0S7284</v>
      </c>
      <c r="B1196" t="str">
        <f>"Aplicaciones de AutoAgrónomo"</f>
        <v>Aplicaciones de AutoAgrónomo</v>
      </c>
      <c r="C1196" t="str">
        <f t="shared" si="49"/>
        <v>Active</v>
      </c>
    </row>
    <row r="1197" spans="1:3" ht="18" customHeight="1">
      <c r="A1197" t="str">
        <f>"0S7285"</f>
        <v>0S7285</v>
      </c>
      <c r="B1197" t="str">
        <f>"Irrigación Avanzada"</f>
        <v>Irrigación Avanzada</v>
      </c>
      <c r="C1197" t="str">
        <f t="shared" si="49"/>
        <v>Active</v>
      </c>
    </row>
    <row r="1198" spans="1:3" ht="18" customHeight="1">
      <c r="A1198" t="str">
        <f>"0S7286-2"</f>
        <v>0S7286-2</v>
      </c>
      <c r="B1198" t="str">
        <f>"LM_Content SAVir.S Using Solido sdview software2"</f>
        <v>LM_Content SAVir.S Using Solido sdview software2</v>
      </c>
      <c r="C1198" t="str">
        <f t="shared" ref="C1198:C1229" si="50">"Active"</f>
        <v>Active</v>
      </c>
    </row>
    <row r="1199" spans="1:3" ht="18" customHeight="1">
      <c r="A1199" t="str">
        <f>"0S7287"</f>
        <v>0S7287</v>
      </c>
      <c r="B1199" t="str">
        <f>"LM_ContentSA VirS-IntroTo Advanced Manufacturing"</f>
        <v>LM_ContentSA VirS-IntroTo Advanced Manufacturing</v>
      </c>
      <c r="C1199" t="str">
        <f t="shared" si="50"/>
        <v>Active</v>
      </c>
    </row>
    <row r="1200" spans="1:3" ht="18" customHeight="1">
      <c r="A1200" t="str">
        <f>"0S7288-2"</f>
        <v>0S7288-2</v>
      </c>
      <c r="B1200" t="str">
        <f>"LM_Content SAvir.S-Rapid prototyping processes2"</f>
        <v>LM_Content SAvir.S-Rapid prototyping processes2</v>
      </c>
      <c r="C1200" t="str">
        <f t="shared" si="50"/>
        <v>Active</v>
      </c>
    </row>
    <row r="1201" spans="1:3" ht="18" customHeight="1">
      <c r="A1201" t="str">
        <f>"0S8212"</f>
        <v>0S8212</v>
      </c>
      <c r="B1201" t="str">
        <f>"LM_Content LMS Vir - Soldad. Automat con ER4U"</f>
        <v>LM_Content LMS Vir - Soldad. Automat con ER4U</v>
      </c>
      <c r="C1201" t="str">
        <f t="shared" si="50"/>
        <v>Active</v>
      </c>
    </row>
    <row r="1202" spans="1:3" ht="18" customHeight="1">
      <c r="A1202" t="str">
        <f>"0S8214"</f>
        <v>0S8214</v>
      </c>
      <c r="B1202" t="str">
        <f>"LM_Content LMS Vir -S- CIM 1"</f>
        <v>LM_Content LMS Vir -S- CIM 1</v>
      </c>
      <c r="C1202" t="str">
        <f t="shared" si="50"/>
        <v>Active</v>
      </c>
    </row>
    <row r="1203" spans="1:3" ht="18" customHeight="1">
      <c r="A1203" t="str">
        <f>"0S8214-1"</f>
        <v>0S8214-1</v>
      </c>
      <c r="B1203" t="str">
        <f>"LM_Content LMS Vir -S- CIM 1-1"</f>
        <v>LM_Content LMS Vir -S- CIM 1-1</v>
      </c>
      <c r="C1203" t="str">
        <f t="shared" si="50"/>
        <v>Active</v>
      </c>
    </row>
    <row r="1204" spans="1:3" ht="18" customHeight="1">
      <c r="A1204" t="str">
        <f>"0S8214-2"</f>
        <v>0S8214-2</v>
      </c>
      <c r="B1204" t="str">
        <f>"LM_Content LMS Vir -S- CIM 1-2"</f>
        <v>LM_Content LMS Vir -S- CIM 1-2</v>
      </c>
      <c r="C1204" t="str">
        <f t="shared" si="50"/>
        <v>Active</v>
      </c>
    </row>
    <row r="1205" spans="1:3" ht="18" customHeight="1">
      <c r="A1205" t="str">
        <f>"0S8214-3"</f>
        <v>0S8214-3</v>
      </c>
      <c r="B1205" t="str">
        <f>"LM_Content LMS Vir -S- CIM 1-3"</f>
        <v>LM_Content LMS Vir -S- CIM 1-3</v>
      </c>
      <c r="C1205" t="str">
        <f t="shared" si="50"/>
        <v>Active</v>
      </c>
    </row>
    <row r="1206" spans="1:3" ht="18" customHeight="1">
      <c r="A1206" t="str">
        <f>"0S8215"</f>
        <v>0S8215</v>
      </c>
      <c r="B1206" t="str">
        <f>"LM_Content LMS Vir -S- CIM 2"</f>
        <v>LM_Content LMS Vir -S- CIM 2</v>
      </c>
      <c r="C1206" t="str">
        <f t="shared" si="50"/>
        <v>Active</v>
      </c>
    </row>
    <row r="1207" spans="1:3" ht="18" customHeight="1">
      <c r="A1207" t="str">
        <f>"0S8215-1"</f>
        <v>0S8215-1</v>
      </c>
      <c r="B1207" t="str">
        <f>"LM_Content LMS Vir -S- CIM 2-1"</f>
        <v>LM_Content LMS Vir -S- CIM 2-1</v>
      </c>
      <c r="C1207" t="str">
        <f t="shared" si="50"/>
        <v>Active</v>
      </c>
    </row>
    <row r="1208" spans="1:3" ht="18" customHeight="1">
      <c r="A1208" t="str">
        <f>"0S8215-2"</f>
        <v>0S8215-2</v>
      </c>
      <c r="B1208" t="str">
        <f>"LM_Content LMS Vir -S- CIM 2-2"</f>
        <v>LM_Content LMS Vir -S- CIM 2-2</v>
      </c>
      <c r="C1208" t="str">
        <f t="shared" si="50"/>
        <v>Active</v>
      </c>
    </row>
    <row r="1209" spans="1:3" ht="18" customHeight="1">
      <c r="A1209" t="str">
        <f>"0S8215-3"</f>
        <v>0S8215-3</v>
      </c>
      <c r="B1209" t="str">
        <f>"LM_Content LMS Vir -S- CIM 2-3"</f>
        <v>LM_Content LMS Vir -S- CIM 2-3</v>
      </c>
      <c r="C1209" t="str">
        <f t="shared" si="50"/>
        <v>Active</v>
      </c>
    </row>
    <row r="1210" spans="1:3" ht="18" customHeight="1">
      <c r="A1210" t="str">
        <f>"0S8216"</f>
        <v>0S8216</v>
      </c>
      <c r="B1210" t="str">
        <f>"LM_Content LMS Vir.S - Machine Vision &amp; QC"</f>
        <v>LM_Content LMS Vir.S - Machine Vision &amp; QC</v>
      </c>
      <c r="C1210" t="str">
        <f t="shared" si="50"/>
        <v>Active</v>
      </c>
    </row>
    <row r="1211" spans="1:3" ht="18" customHeight="1">
      <c r="A1211" t="str">
        <f>"0S8216-1"</f>
        <v>0S8216-1</v>
      </c>
      <c r="B1211" t="str">
        <f>"LM_Content LMS Vir.S - Machine Vision &amp; QC - 1"</f>
        <v>LM_Content LMS Vir.S - Machine Vision &amp; QC - 1</v>
      </c>
      <c r="C1211" t="str">
        <f t="shared" si="50"/>
        <v>Active</v>
      </c>
    </row>
    <row r="1212" spans="1:3" ht="18" customHeight="1">
      <c r="A1212" t="str">
        <f>"0S8216-2"</f>
        <v>0S8216-2</v>
      </c>
      <c r="B1212" t="str">
        <f>"LM_Content LMS Vir.S - Machine Vision &amp; QC - 2"</f>
        <v>LM_Content LMS Vir.S - Machine Vision &amp; QC - 2</v>
      </c>
      <c r="C1212" t="str">
        <f t="shared" si="50"/>
        <v>Active</v>
      </c>
    </row>
    <row r="1213" spans="1:3" ht="18" customHeight="1">
      <c r="A1213" t="str">
        <f>"0S8218"</f>
        <v>0S8218</v>
      </c>
      <c r="B1213" t="str">
        <f>"LM_Content LMS Vir.- Flexible Manuf. Sys (FMS)"</f>
        <v>LM_Content LMS Vir.- Flexible Manuf. Sys (FMS)</v>
      </c>
      <c r="C1213" t="str">
        <f t="shared" si="50"/>
        <v>Active</v>
      </c>
    </row>
    <row r="1214" spans="1:3" ht="18" customHeight="1">
      <c r="A1214" t="str">
        <f>"0S8218-1"</f>
        <v>0S8218-1</v>
      </c>
      <c r="B1214" t="str">
        <f>"LM_Content LMS Vir.- Flexible Manuf. Sys(FMS)1"</f>
        <v>LM_Content LMS Vir.- Flexible Manuf. Sys(FMS)1</v>
      </c>
      <c r="C1214" t="str">
        <f t="shared" si="50"/>
        <v>Active</v>
      </c>
    </row>
    <row r="1215" spans="1:3" ht="18" customHeight="1">
      <c r="A1215" t="str">
        <f>"0S8218-2"</f>
        <v>0S8218-2</v>
      </c>
      <c r="B1215" t="str">
        <f>"LM_Content LMS Vir.- Flexible Manuf. Sys(FMS)2"</f>
        <v>LM_Content LMS Vir.- Flexible Manuf. Sys(FMS)2</v>
      </c>
      <c r="C1215" t="str">
        <f t="shared" si="50"/>
        <v>Active</v>
      </c>
    </row>
    <row r="1216" spans="1:3" ht="18" customHeight="1">
      <c r="A1216" t="str">
        <f>"0S8218-3"</f>
        <v>0S8218-3</v>
      </c>
      <c r="B1216" t="str">
        <f>"LM_Content LMS Vir.- Flexible Manuf. Sys(FMS)3"</f>
        <v>LM_Content LMS Vir.- Flexible Manuf. Sys(FMS)3</v>
      </c>
      <c r="C1216" t="str">
        <f t="shared" si="50"/>
        <v>Active</v>
      </c>
    </row>
    <row r="1217" spans="1:3" ht="18" customHeight="1">
      <c r="A1217" t="str">
        <f>"0S8220"</f>
        <v>0S8220</v>
      </c>
      <c r="B1217" t="str">
        <f>"LM_Content  LMS Vir. Hidra Technology 1- Fundam"</f>
        <v>LM_Content  LMS Vir. Hidra Technology 1- Fundam</v>
      </c>
      <c r="C1217" t="str">
        <f t="shared" si="50"/>
        <v>Active</v>
      </c>
    </row>
    <row r="1218" spans="1:3" ht="18" customHeight="1">
      <c r="A1218" t="str">
        <f>"0S8220-1"</f>
        <v>0S8220-1</v>
      </c>
      <c r="B1218" t="str">
        <f>"LM_Content  LMS Vir. Hidra Technology 1- Fundam1"</f>
        <v>LM_Content  LMS Vir. Hidra Technology 1- Fundam1</v>
      </c>
      <c r="C1218" t="str">
        <f t="shared" si="50"/>
        <v>Active</v>
      </c>
    </row>
    <row r="1219" spans="1:3" ht="18" customHeight="1">
      <c r="A1219" t="str">
        <f>"0S8220-2"</f>
        <v>0S8220-2</v>
      </c>
      <c r="B1219" t="str">
        <f>"LM_Content  LMS Vir. Hidra Technology 1- Fundam2"</f>
        <v>LM_Content  LMS Vir. Hidra Technology 1- Fundam2</v>
      </c>
      <c r="C1219" t="str">
        <f t="shared" si="50"/>
        <v>Active</v>
      </c>
    </row>
    <row r="1220" spans="1:3" ht="18" customHeight="1">
      <c r="A1220" t="str">
        <f>"0S8220-3"</f>
        <v>0S8220-3</v>
      </c>
      <c r="B1220" t="str">
        <f>"LM_Content  LMS Vir. Hidra Technology 1- Fundam3"</f>
        <v>LM_Content  LMS Vir. Hidra Technology 1- Fundam3</v>
      </c>
      <c r="C1220" t="str">
        <f t="shared" si="50"/>
        <v>Active</v>
      </c>
    </row>
    <row r="1221" spans="1:3" ht="18" customHeight="1">
      <c r="A1221" t="str">
        <f>"0S8221"</f>
        <v>0S8221</v>
      </c>
      <c r="B1221" t="str">
        <f>"LM_Content LMS Vir.S HydrTechnlgy 2- Electro Hy."</f>
        <v>LM_Content LMS Vir.S HydrTechnlgy 2- Electro Hy.</v>
      </c>
      <c r="C1221" t="str">
        <f t="shared" si="50"/>
        <v>Active</v>
      </c>
    </row>
    <row r="1222" spans="1:3" ht="18" customHeight="1">
      <c r="A1222" t="str">
        <f>"0S8221-1"</f>
        <v>0S8221-1</v>
      </c>
      <c r="B1222" t="str">
        <f>"LM_Content LMS Vir.S HydrTechnlgy 2- ElectroHy.1"</f>
        <v>LM_Content LMS Vir.S HydrTechnlgy 2- ElectroHy.1</v>
      </c>
      <c r="C1222" t="str">
        <f t="shared" si="50"/>
        <v>Active</v>
      </c>
    </row>
    <row r="1223" spans="1:3" ht="18" customHeight="1">
      <c r="A1223" t="str">
        <f>"0S8221-2"</f>
        <v>0S8221-2</v>
      </c>
      <c r="B1223" t="str">
        <f>"LM_Content LMS Vir.S HydrTechnlgy 2- ElectroHy.2"</f>
        <v>LM_Content LMS Vir.S HydrTechnlgy 2- ElectroHy.2</v>
      </c>
      <c r="C1223" t="str">
        <f t="shared" si="50"/>
        <v>Active</v>
      </c>
    </row>
    <row r="1224" spans="1:3" ht="18" customHeight="1">
      <c r="A1224" t="str">
        <f>"0S8221-3"</f>
        <v>0S8221-3</v>
      </c>
      <c r="B1224" t="str">
        <f>"LM_Content LMS Vir.S HydrTechnlgy 2- ElectroHy.3"</f>
        <v>LM_Content LMS Vir.S HydrTechnlgy 2- ElectroHy.3</v>
      </c>
      <c r="C1224" t="str">
        <f t="shared" si="50"/>
        <v>Active</v>
      </c>
    </row>
    <row r="1225" spans="1:3" ht="18" customHeight="1">
      <c r="A1225" t="str">
        <f>"0S8222-1"</f>
        <v>0S8222-1</v>
      </c>
      <c r="B1225" t="str">
        <f>"LM_Content LMS Vir.S HydrTech.  3 -Adv.Electr.1"</f>
        <v>LM_Content LMS Vir.S HydrTech.  3 -Adv.Electr.1</v>
      </c>
      <c r="C1225" t="str">
        <f t="shared" si="50"/>
        <v>Active</v>
      </c>
    </row>
    <row r="1226" spans="1:3" ht="18" customHeight="1">
      <c r="A1226" t="str">
        <f>"0S8223"</f>
        <v>0S8223</v>
      </c>
      <c r="B1226" t="str">
        <f>"LM_Content LMS Vir.-Machine Vision &amp;Image Prc"</f>
        <v>LM_Content LMS Vir.-Machine Vision &amp;Image Prc</v>
      </c>
      <c r="C1226" t="str">
        <f t="shared" si="50"/>
        <v>Active</v>
      </c>
    </row>
    <row r="1227" spans="1:3" ht="18" customHeight="1">
      <c r="A1227" t="str">
        <f>"0S8223-1"</f>
        <v>0S8223-1</v>
      </c>
      <c r="B1227" t="str">
        <f>"LM_Content LMS Vir.-Machine Vision &amp;Image Prc 1"</f>
        <v>LM_Content LMS Vir.-Machine Vision &amp;Image Prc 1</v>
      </c>
      <c r="C1227" t="str">
        <f t="shared" si="50"/>
        <v>Active</v>
      </c>
    </row>
    <row r="1228" spans="1:3" ht="18" customHeight="1">
      <c r="A1228" t="str">
        <f>"0S8223-2"</f>
        <v>0S8223-2</v>
      </c>
      <c r="B1228" t="str">
        <f>"LM_Content LMS Vir.-Machine Vision &amp;Image Prc 2"</f>
        <v>LM_Content LMS Vir.-Machine Vision &amp;Image Prc 2</v>
      </c>
      <c r="C1228" t="str">
        <f t="shared" si="50"/>
        <v>Active</v>
      </c>
    </row>
    <row r="1229" spans="1:3" ht="18" customHeight="1">
      <c r="A1229" t="str">
        <f>"0S8224"</f>
        <v>0S8224</v>
      </c>
      <c r="B1229" t="str">
        <f>"LM_Content LMS Vir. PLC Tech. 1- Fundamentals"</f>
        <v>LM_Content LMS Vir. PLC Tech. 1- Fundamentals</v>
      </c>
      <c r="C1229" t="str">
        <f t="shared" si="50"/>
        <v>Active</v>
      </c>
    </row>
    <row r="1230" spans="1:3" ht="18" customHeight="1">
      <c r="A1230" t="str">
        <f>"0S8224-1"</f>
        <v>0S8224-1</v>
      </c>
      <c r="B1230" t="str">
        <f>"LM_Content LMS Vir. PLC Tech. 1- Fundamentals 1"</f>
        <v>LM_Content LMS Vir. PLC Tech. 1- Fundamentals 1</v>
      </c>
      <c r="C1230" t="str">
        <f t="shared" ref="C1230:C1248" si="51">"Active"</f>
        <v>Active</v>
      </c>
    </row>
    <row r="1231" spans="1:3" ht="18" customHeight="1">
      <c r="A1231" t="str">
        <f>"0S8224-2"</f>
        <v>0S8224-2</v>
      </c>
      <c r="B1231" t="str">
        <f>"LM_Content LMS Vir. PLC Tech. 1- Fundamentals 2"</f>
        <v>LM_Content LMS Vir. PLC Tech. 1- Fundamentals 2</v>
      </c>
      <c r="C1231" t="str">
        <f t="shared" si="51"/>
        <v>Active</v>
      </c>
    </row>
    <row r="1232" spans="1:3" ht="18" customHeight="1">
      <c r="A1232" t="str">
        <f>"0S8224-3"</f>
        <v>0S8224-3</v>
      </c>
      <c r="B1232" t="str">
        <f>"LM_Content LMS Vir. PLC Tech. 1- Fundamentals 3"</f>
        <v>LM_Content LMS Vir. PLC Tech. 1- Fundamentals 3</v>
      </c>
      <c r="C1232" t="str">
        <f t="shared" si="51"/>
        <v>Active</v>
      </c>
    </row>
    <row r="1233" spans="1:3" ht="18" customHeight="1">
      <c r="A1233" t="str">
        <f>"0S8225"</f>
        <v>0S8225</v>
      </c>
      <c r="B1233" t="str">
        <f>"LM_Content  LMS Vir.-PLC Technology 2 -Advanced"</f>
        <v>LM_Content  LMS Vir.-PLC Technology 2 -Advanced</v>
      </c>
      <c r="C1233" t="str">
        <f t="shared" si="51"/>
        <v>Active</v>
      </c>
    </row>
    <row r="1234" spans="1:3" ht="18" customHeight="1">
      <c r="A1234" t="str">
        <f>"0S8225-1"</f>
        <v>0S8225-1</v>
      </c>
      <c r="B1234" t="str">
        <f>"LM_Content  LMS Vir.-PLC Technology 2-Advanced 1"</f>
        <v>LM_Content  LMS Vir.-PLC Technology 2-Advanced 1</v>
      </c>
      <c r="C1234" t="str">
        <f t="shared" si="51"/>
        <v>Active</v>
      </c>
    </row>
    <row r="1235" spans="1:3" ht="18" customHeight="1">
      <c r="A1235" t="str">
        <f>"0S8225-2"</f>
        <v>0S8225-2</v>
      </c>
      <c r="B1235" t="str">
        <f>"LM_Content  LMS Vir.-PLC Technology 2-Advanced 2"</f>
        <v>LM_Content  LMS Vir.-PLC Technology 2-Advanced 2</v>
      </c>
      <c r="C1235" t="str">
        <f t="shared" si="51"/>
        <v>Active</v>
      </c>
    </row>
    <row r="1236" spans="1:3" ht="18" customHeight="1">
      <c r="A1236" t="str">
        <f>"0S8225-3"</f>
        <v>0S8225-3</v>
      </c>
      <c r="B1236" t="str">
        <f>"LM_Content  LMS Vir.-PLC Technology 2-Advanced 3"</f>
        <v>LM_Content  LMS Vir.-PLC Technology 2-Advanced 3</v>
      </c>
      <c r="C1236" t="str">
        <f t="shared" si="51"/>
        <v>Active</v>
      </c>
    </row>
    <row r="1237" spans="1:3" ht="18" customHeight="1">
      <c r="A1237" t="str">
        <f>"0S8228"</f>
        <v>0S8228</v>
      </c>
      <c r="B1237" t="str">
        <f>"LM_Content  LMS Vir.-Pneu Technology 1-Fundamntl"</f>
        <v>LM_Content  LMS Vir.-Pneu Technology 1-Fundamntl</v>
      </c>
      <c r="C1237" t="str">
        <f t="shared" si="51"/>
        <v>Active</v>
      </c>
    </row>
    <row r="1238" spans="1:3" ht="18" customHeight="1">
      <c r="A1238" t="str">
        <f>"0S8228-1"</f>
        <v>0S8228-1</v>
      </c>
      <c r="B1238" t="str">
        <f>"LM_Content  LMS Vir.-Pneu Technology1-Fundamntl1"</f>
        <v>LM_Content  LMS Vir.-Pneu Technology1-Fundamntl1</v>
      </c>
      <c r="C1238" t="str">
        <f t="shared" si="51"/>
        <v>Active</v>
      </c>
    </row>
    <row r="1239" spans="1:3" ht="18" customHeight="1">
      <c r="A1239" t="str">
        <f>"0S8228-2"</f>
        <v>0S8228-2</v>
      </c>
      <c r="B1239" t="str">
        <f>"LM_Content  LMS Vir.-Pneu Technology1-Fundamntl2"</f>
        <v>LM_Content  LMS Vir.-Pneu Technology1-Fundamntl2</v>
      </c>
      <c r="C1239" t="str">
        <f t="shared" si="51"/>
        <v>Active</v>
      </c>
    </row>
    <row r="1240" spans="1:3" ht="18" customHeight="1">
      <c r="A1240" t="str">
        <f>"0S8228-3"</f>
        <v>0S8228-3</v>
      </c>
      <c r="B1240" t="str">
        <f>"LM_Content  LMS Vir.-Pneu Technology1-Fundamntl3"</f>
        <v>LM_Content  LMS Vir.-Pneu Technology1-Fundamntl3</v>
      </c>
      <c r="C1240" t="str">
        <f t="shared" si="51"/>
        <v>Active</v>
      </c>
    </row>
    <row r="1241" spans="1:3" ht="18" customHeight="1">
      <c r="A1241" t="str">
        <f>"0S8229"</f>
        <v>0S8229</v>
      </c>
      <c r="B1241" t="str">
        <f>"LM_Content LMS Vir- PneuFlx Technology 2 -Adv"</f>
        <v>LM_Content LMS Vir- PneuFlx Technology 2 -Adv</v>
      </c>
      <c r="C1241" t="str">
        <f t="shared" si="51"/>
        <v>Active</v>
      </c>
    </row>
    <row r="1242" spans="1:3" ht="18" customHeight="1">
      <c r="A1242" t="str">
        <f>"0S8229-1"</f>
        <v>0S8229-1</v>
      </c>
      <c r="B1242" t="str">
        <f>"LM_Content LMS Vir- PneuFlx Technology 2 -Adv 1"</f>
        <v>LM_Content LMS Vir- PneuFlx Technology 2 -Adv 1</v>
      </c>
      <c r="C1242" t="str">
        <f t="shared" si="51"/>
        <v>Active</v>
      </c>
    </row>
    <row r="1243" spans="1:3" ht="18" customHeight="1">
      <c r="A1243" t="str">
        <f>"0S8229-2"</f>
        <v>0S8229-2</v>
      </c>
      <c r="B1243" t="str">
        <f>"LM_Content LMS Vir- PneuFlx Technology 2 -Adv 2"</f>
        <v>LM_Content LMS Vir- PneuFlx Technology 2 -Adv 2</v>
      </c>
      <c r="C1243" t="str">
        <f t="shared" si="51"/>
        <v>Active</v>
      </c>
    </row>
    <row r="1244" spans="1:3" ht="18" customHeight="1">
      <c r="A1244" t="str">
        <f>"0S8229-3"</f>
        <v>0S8229-3</v>
      </c>
      <c r="B1244" t="str">
        <f>"LM_Content LMS Vir- PneuFlx Technology 2 -Adv 3"</f>
        <v>LM_Content LMS Vir- PneuFlx Technology 2 -Adv 3</v>
      </c>
      <c r="C1244" t="str">
        <f t="shared" si="51"/>
        <v>Active</v>
      </c>
    </row>
    <row r="1245" spans="1:3" ht="18" customHeight="1">
      <c r="A1245" t="str">
        <f>"0S8230"</f>
        <v>0S8230</v>
      </c>
      <c r="B1245" t="str">
        <f>"LM_Content  LMS Vir.S PneuTechnology 3 -Electro"</f>
        <v>LM_Content  LMS Vir.S PneuTechnology 3 -Electro</v>
      </c>
      <c r="C1245" t="str">
        <f t="shared" si="51"/>
        <v>Active</v>
      </c>
    </row>
    <row r="1246" spans="1:3" ht="18" customHeight="1">
      <c r="A1246" t="str">
        <f>"0S8230-1"</f>
        <v>0S8230-1</v>
      </c>
      <c r="B1246" t="str">
        <f>"LM_Content  LMS Vir.S PneuTechnology 3-Electro 1"</f>
        <v>LM_Content  LMS Vir.S PneuTechnology 3-Electro 1</v>
      </c>
      <c r="C1246" t="str">
        <f t="shared" si="51"/>
        <v>Active</v>
      </c>
    </row>
    <row r="1247" spans="1:3" ht="18" customHeight="1">
      <c r="A1247" t="str">
        <f>"0S8230-2"</f>
        <v>0S8230-2</v>
      </c>
      <c r="B1247" t="str">
        <f>"LM_Content  LMS Vir.S PneuTechnology 3-Electro 2"</f>
        <v>LM_Content  LMS Vir.S PneuTechnology 3-Electro 2</v>
      </c>
      <c r="C1247" t="str">
        <f t="shared" si="51"/>
        <v>Active</v>
      </c>
    </row>
    <row r="1248" spans="1:3" ht="18" customHeight="1">
      <c r="A1248" t="str">
        <f>"0S8230-3"</f>
        <v>0S8230-3</v>
      </c>
      <c r="B1248" t="str">
        <f>"LM_Content  LMS Vir.S PneuTechnology 3-Electro 3"</f>
        <v>LM_Content  LMS Vir.S PneuTechnology 3-Electro 3</v>
      </c>
      <c r="C1248" t="str">
        <f t="shared" si="51"/>
        <v>Active</v>
      </c>
    </row>
    <row r="1249" spans="1:3" ht="18" customHeight="1">
      <c r="A1249" t="str">
        <f>"0S8231"</f>
        <v>0S8231</v>
      </c>
      <c r="B1249" t="str">
        <f>"LM_Content LMS Vir.S Pneumatics Technology4"</f>
        <v>LM_Content LMS Vir.S Pneumatics Technology4</v>
      </c>
      <c r="C1249" t="str">
        <f>"Not for purc"</f>
        <v>Not for purc</v>
      </c>
    </row>
    <row r="1250" spans="1:3" ht="18" customHeight="1">
      <c r="A1250" t="str">
        <f>"0S8231-1"</f>
        <v>0S8231-1</v>
      </c>
      <c r="B1250" t="str">
        <f>"LM_Content LMS Vir.S Pneumatics Technology4-1"</f>
        <v>LM_Content LMS Vir.S Pneumatics Technology4-1</v>
      </c>
      <c r="C1250" t="str">
        <f t="shared" ref="C1250:C1281" si="52">"Active"</f>
        <v>Active</v>
      </c>
    </row>
    <row r="1251" spans="1:3" ht="18" customHeight="1">
      <c r="A1251" t="str">
        <f>"0S8231-2"</f>
        <v>0S8231-2</v>
      </c>
      <c r="B1251" t="str">
        <f>"LM_Content LMS Vir.S Pneumatics Technology4-2"</f>
        <v>LM_Content LMS Vir.S Pneumatics Technology4-2</v>
      </c>
      <c r="C1251" t="str">
        <f t="shared" si="52"/>
        <v>Active</v>
      </c>
    </row>
    <row r="1252" spans="1:3" ht="18" customHeight="1">
      <c r="A1252" t="str">
        <f>"0S8231-3"</f>
        <v>0S8231-3</v>
      </c>
      <c r="B1252" t="str">
        <f>"LM_Content LMS Vir.S Pneumatics Technology4-3"</f>
        <v>LM_Content LMS Vir.S Pneumatics Technology4-3</v>
      </c>
      <c r="C1252" t="str">
        <f t="shared" si="52"/>
        <v>Active</v>
      </c>
    </row>
    <row r="1253" spans="1:3" ht="18" customHeight="1">
      <c r="A1253" t="str">
        <f>"0S8232"</f>
        <v>0S8232</v>
      </c>
      <c r="B1253" t="str">
        <f>"LM_Content LMS Vir -S- Process Control : Flow"</f>
        <v>LM_Content LMS Vir -S- Process Control : Flow</v>
      </c>
      <c r="C1253" t="str">
        <f t="shared" si="52"/>
        <v>Active</v>
      </c>
    </row>
    <row r="1254" spans="1:3" ht="18" customHeight="1">
      <c r="A1254" t="str">
        <f>"0S8234"</f>
        <v>0S8234</v>
      </c>
      <c r="B1254" t="str">
        <f>"LM_Content LMS Vir.- Process Control:Pressure"</f>
        <v>LM_Content LMS Vir.- Process Control:Pressure</v>
      </c>
      <c r="C1254" t="str">
        <f t="shared" si="52"/>
        <v>Active</v>
      </c>
    </row>
    <row r="1255" spans="1:3" ht="18" customHeight="1">
      <c r="A1255" t="str">
        <f>"0S8238"</f>
        <v>0S8238</v>
      </c>
      <c r="B1255" t="str">
        <f>"LM_Content LMS Vir -S- Sensor Technology"</f>
        <v>LM_Content LMS Vir -S- Sensor Technology</v>
      </c>
      <c r="C1255" t="str">
        <f t="shared" si="52"/>
        <v>Active</v>
      </c>
    </row>
    <row r="1256" spans="1:3" ht="18" customHeight="1">
      <c r="A1256" t="str">
        <f>"0S8238-1"</f>
        <v>0S8238-1</v>
      </c>
      <c r="B1256" t="str">
        <f>"LM_Content LMS Vir -S- Sensor Technology 1"</f>
        <v>LM_Content LMS Vir -S- Sensor Technology 1</v>
      </c>
      <c r="C1256" t="str">
        <f t="shared" si="52"/>
        <v>Active</v>
      </c>
    </row>
    <row r="1257" spans="1:3" ht="18" customHeight="1">
      <c r="A1257" t="str">
        <f>"0S8238-2"</f>
        <v>0S8238-2</v>
      </c>
      <c r="B1257" t="str">
        <f>"LM_Content LMS Vir -S- Sensor Technology 2"</f>
        <v>LM_Content LMS Vir -S- Sensor Technology 2</v>
      </c>
      <c r="C1257" t="str">
        <f t="shared" si="52"/>
        <v>Active</v>
      </c>
    </row>
    <row r="1258" spans="1:3" ht="18" customHeight="1">
      <c r="A1258" t="str">
        <f>"0S8238-3"</f>
        <v>0S8238-3</v>
      </c>
      <c r="B1258" t="str">
        <f>"LM_Content LMS Vir -S- Sensor Technology 3"</f>
        <v>LM_Content LMS Vir -S- Sensor Technology 3</v>
      </c>
      <c r="C1258" t="str">
        <f t="shared" si="52"/>
        <v>Active</v>
      </c>
    </row>
    <row r="1259" spans="1:3" ht="18" customHeight="1">
      <c r="A1259" t="str">
        <f>"0S8241"</f>
        <v>0S8241</v>
      </c>
      <c r="B1259" t="str">
        <f>"LM_Content LMS Vir.-CAD &amp; spectraCAD Engraver"</f>
        <v>LM_Content LMS Vir.-CAD &amp; spectraCAD Engraver</v>
      </c>
      <c r="C1259" t="str">
        <f t="shared" si="52"/>
        <v>Active</v>
      </c>
    </row>
    <row r="1260" spans="1:3" ht="18" customHeight="1">
      <c r="A1260" t="str">
        <f>"0S8241-1"</f>
        <v>0S8241-1</v>
      </c>
      <c r="B1260" t="str">
        <f>"LM_Content LMS Vir.-CAD &amp; spectraCAD Engraver 1"</f>
        <v>LM_Content LMS Vir.-CAD &amp; spectraCAD Engraver 1</v>
      </c>
      <c r="C1260" t="str">
        <f t="shared" si="52"/>
        <v>Active</v>
      </c>
    </row>
    <row r="1261" spans="1:3" ht="18" customHeight="1">
      <c r="A1261" t="str">
        <f>"0S8241-2"</f>
        <v>0S8241-2</v>
      </c>
      <c r="B1261" t="str">
        <f>"LM_Content LMS Vir.-CAD &amp; spectraCAD Engraver 2"</f>
        <v>LM_Content LMS Vir.-CAD &amp; spectraCAD Engraver 2</v>
      </c>
      <c r="C1261" t="str">
        <f t="shared" si="52"/>
        <v>Active</v>
      </c>
    </row>
    <row r="1262" spans="1:3" ht="18" customHeight="1">
      <c r="A1262" t="str">
        <f>"0S8241-3"</f>
        <v>0S8241-3</v>
      </c>
      <c r="B1262" t="str">
        <f>"LM_Content LMS Vir.-CAD &amp; spectraCAD Engraver 3"</f>
        <v>LM_Content LMS Vir.-CAD &amp; spectraCAD Engraver 3</v>
      </c>
      <c r="C1262" t="str">
        <f t="shared" si="52"/>
        <v>Active</v>
      </c>
    </row>
    <row r="1263" spans="1:3" ht="18" customHeight="1">
      <c r="A1263" t="str">
        <f>"0S8243"</f>
        <v>0S8243</v>
      </c>
      <c r="B1263" t="str">
        <f>"LM_Content LMS Vir.- CAM Milling &amp; spectraCAM"</f>
        <v>LM_Content LMS Vir.- CAM Milling &amp; spectraCAM</v>
      </c>
      <c r="C1263" t="str">
        <f t="shared" si="52"/>
        <v>Active</v>
      </c>
    </row>
    <row r="1264" spans="1:3" ht="18" customHeight="1">
      <c r="A1264" t="str">
        <f>"0S8243-1"</f>
        <v>0S8243-1</v>
      </c>
      <c r="B1264" t="str">
        <f>"LM_Content LMS Vir.- CAM Milling &amp; spectraCAM 1"</f>
        <v>LM_Content LMS Vir.- CAM Milling &amp; spectraCAM 1</v>
      </c>
      <c r="C1264" t="str">
        <f t="shared" si="52"/>
        <v>Active</v>
      </c>
    </row>
    <row r="1265" spans="1:3" ht="18" customHeight="1">
      <c r="A1265" t="str">
        <f>"0S8243-2"</f>
        <v>0S8243-2</v>
      </c>
      <c r="B1265" t="str">
        <f>"LM_Content LMS Vir.- CAM Milling &amp; spectraCAM 2"</f>
        <v>LM_Content LMS Vir.- CAM Milling &amp; spectraCAM 2</v>
      </c>
      <c r="C1265" t="str">
        <f t="shared" si="52"/>
        <v>Active</v>
      </c>
    </row>
    <row r="1266" spans="1:3" ht="18" customHeight="1">
      <c r="A1266" t="str">
        <f>"0S8243-3"</f>
        <v>0S8243-3</v>
      </c>
      <c r="B1266" t="str">
        <f>"LM_Content LMS Vir.- CAM Milling &amp; spectraCAM 3"</f>
        <v>LM_Content LMS Vir.- CAM Milling &amp; spectraCAM 3</v>
      </c>
      <c r="C1266" t="str">
        <f t="shared" si="52"/>
        <v>Active</v>
      </c>
    </row>
    <row r="1267" spans="1:3" ht="18" customHeight="1">
      <c r="A1267" t="str">
        <f>"0S8245"</f>
        <v>0S8245</v>
      </c>
      <c r="B1267" t="str">
        <f>"LM_Content LMS Vir.-CAM Turn &amp;spectraCAM Turn"</f>
        <v>LM_Content LMS Vir.-CAM Turn &amp;spectraCAM Turn</v>
      </c>
      <c r="C1267" t="str">
        <f t="shared" si="52"/>
        <v>Active</v>
      </c>
    </row>
    <row r="1268" spans="1:3" ht="18" customHeight="1">
      <c r="A1268" t="str">
        <f>"0S8245-1"</f>
        <v>0S8245-1</v>
      </c>
      <c r="B1268" t="str">
        <f>"LM_Content LMS Vir.-CAM Turn &amp;spectraCAM Turn 1"</f>
        <v>LM_Content LMS Vir.-CAM Turn &amp;spectraCAM Turn 1</v>
      </c>
      <c r="C1268" t="str">
        <f t="shared" si="52"/>
        <v>Active</v>
      </c>
    </row>
    <row r="1269" spans="1:3" ht="18" customHeight="1">
      <c r="A1269" t="str">
        <f>"0S8245-2"</f>
        <v>0S8245-2</v>
      </c>
      <c r="B1269" t="str">
        <f>"LM_Content LMS Vir.-CAM Turn &amp;spectraCAM Turn 2"</f>
        <v>LM_Content LMS Vir.-CAM Turn &amp;spectraCAM Turn 2</v>
      </c>
      <c r="C1269" t="str">
        <f t="shared" si="52"/>
        <v>Active</v>
      </c>
    </row>
    <row r="1270" spans="1:3" ht="18" customHeight="1">
      <c r="A1270" t="str">
        <f>"0S8248"</f>
        <v>0S8248</v>
      </c>
      <c r="B1270" t="str">
        <f>"LM_Content LMS Vir -S- CNC Milling  PLM1000"</f>
        <v>LM_Content LMS Vir -S- CNC Milling  PLM1000</v>
      </c>
      <c r="C1270" t="str">
        <f t="shared" si="52"/>
        <v>Active</v>
      </c>
    </row>
    <row r="1271" spans="1:3" ht="18" customHeight="1">
      <c r="A1271" t="str">
        <f>"0S8248-1"</f>
        <v>0S8248-1</v>
      </c>
      <c r="B1271" t="str">
        <f>"LM_Content LMS Vir -S- CNC Milling  PLM1000 - 1"</f>
        <v>LM_Content LMS Vir -S- CNC Milling  PLM1000 - 1</v>
      </c>
      <c r="C1271" t="str">
        <f t="shared" si="52"/>
        <v>Active</v>
      </c>
    </row>
    <row r="1272" spans="1:3" ht="18" customHeight="1">
      <c r="A1272" t="str">
        <f>"0S8248-2"</f>
        <v>0S8248-2</v>
      </c>
      <c r="B1272" t="str">
        <f>"LM_Content LMS Vir -S- CNC Milling  PLM1000 - 2"</f>
        <v>LM_Content LMS Vir -S- CNC Milling  PLM1000 - 2</v>
      </c>
      <c r="C1272" t="str">
        <f t="shared" si="52"/>
        <v>Active</v>
      </c>
    </row>
    <row r="1273" spans="1:3" ht="18" customHeight="1">
      <c r="A1273" t="str">
        <f>"0S8248-3"</f>
        <v>0S8248-3</v>
      </c>
      <c r="B1273" t="str">
        <f>"LM_Content LMS Vir -S- CNC Milling  PLM1000 - 3"</f>
        <v>LM_Content LMS Vir -S- CNC Milling  PLM1000 - 3</v>
      </c>
      <c r="C1273" t="str">
        <f t="shared" si="52"/>
        <v>Active</v>
      </c>
    </row>
    <row r="1274" spans="1:3" ht="18" customHeight="1">
      <c r="A1274" t="str">
        <f>"0S8250"</f>
        <v>0S8250</v>
      </c>
      <c r="B1274" t="str">
        <f>"LM_Content LMS Vir.- CNC Prog. G&amp;M Codes P.T"</f>
        <v>LM_Content LMS Vir.- CNC Prog. G&amp;M Codes P.T</v>
      </c>
      <c r="C1274" t="str">
        <f t="shared" si="52"/>
        <v>Active</v>
      </c>
    </row>
    <row r="1275" spans="1:3" ht="18" customHeight="1">
      <c r="A1275" t="str">
        <f>"0S8251"</f>
        <v>0S8251</v>
      </c>
      <c r="B1275" t="str">
        <f>"LM_Content LMS Vir -S- Electrical Systems"</f>
        <v>LM_Content LMS Vir -S- Electrical Systems</v>
      </c>
      <c r="C1275" t="str">
        <f t="shared" si="52"/>
        <v>Active</v>
      </c>
    </row>
    <row r="1276" spans="1:3" ht="18" customHeight="1">
      <c r="A1276" t="str">
        <f>"0S8252"</f>
        <v>0S8252</v>
      </c>
      <c r="B1276" t="str">
        <f>"LM_Content LMS Vir.- Fundamentals Electronics"</f>
        <v>LM_Content LMS Vir.- Fundamentals Electronics</v>
      </c>
      <c r="C1276" t="str">
        <f t="shared" si="52"/>
        <v>Active</v>
      </c>
    </row>
    <row r="1277" spans="1:3" ht="18" customHeight="1">
      <c r="A1277" t="str">
        <f>"0S8252-1"</f>
        <v>0S8252-1</v>
      </c>
      <c r="B1277" t="str">
        <f>"LM_Content LMS Vir.- Fundamentals Electronics 1"</f>
        <v>LM_Content LMS Vir.- Fundamentals Electronics 1</v>
      </c>
      <c r="C1277" t="str">
        <f t="shared" si="52"/>
        <v>Active</v>
      </c>
    </row>
    <row r="1278" spans="1:3" ht="18" customHeight="1">
      <c r="A1278" t="str">
        <f>"0S8252-2"</f>
        <v>0S8252-2</v>
      </c>
      <c r="B1278" t="str">
        <f>"LM_Content LMS Vir.- Fundamentals Electronics 2"</f>
        <v>LM_Content LMS Vir.- Fundamentals Electronics 2</v>
      </c>
      <c r="C1278" t="str">
        <f t="shared" si="52"/>
        <v>Active</v>
      </c>
    </row>
    <row r="1279" spans="1:3" ht="18" customHeight="1">
      <c r="A1279" t="str">
        <f>"0S8252-3"</f>
        <v>0S8252-3</v>
      </c>
      <c r="B1279" t="str">
        <f>"LM_Content LMS Vir.- Fundamentals Electronics 3"</f>
        <v>LM_Content LMS Vir.- Fundamentals Electronics 3</v>
      </c>
      <c r="C1279" t="str">
        <f t="shared" si="52"/>
        <v>Active</v>
      </c>
    </row>
    <row r="1280" spans="1:3" ht="18" customHeight="1">
      <c r="A1280" t="str">
        <f>"0S8253"</f>
        <v>0S8253</v>
      </c>
      <c r="B1280" t="str">
        <f>"LM_Content LMS Vir -Ensayo de materiales"</f>
        <v>LM_Content LMS Vir -Ensayo de materiales</v>
      </c>
      <c r="C1280" t="str">
        <f t="shared" si="52"/>
        <v>Active</v>
      </c>
    </row>
    <row r="1281" spans="1:3" ht="18" customHeight="1">
      <c r="A1281" t="str">
        <f>"0S8254"</f>
        <v>0S8254</v>
      </c>
      <c r="B1281" t="str">
        <f>"LM_Content LMS Vir -S- Mechanisms Tchnology"</f>
        <v>LM_Content LMS Vir -S- Mechanisms Tchnology</v>
      </c>
      <c r="C1281" t="str">
        <f t="shared" si="52"/>
        <v>Active</v>
      </c>
    </row>
    <row r="1282" spans="1:3" ht="18" customHeight="1">
      <c r="A1282" t="str">
        <f>"0S8255"</f>
        <v>0S8255</v>
      </c>
      <c r="B1282" t="str">
        <f>"LM_Content LMS Vir Plastics Tech (Thermoforming)"</f>
        <v>LM_Content LMS Vir Plastics Tech (Thermoforming)</v>
      </c>
      <c r="C1282" t="str">
        <f t="shared" ref="C1282:C1308" si="53">"Active"</f>
        <v>Active</v>
      </c>
    </row>
    <row r="1283" spans="1:3" ht="18" customHeight="1">
      <c r="A1283" t="str">
        <f>"0S8261"</f>
        <v>0S8261</v>
      </c>
      <c r="B1283" t="str">
        <f>"LM_Content LMS Vir -S- Mech. Measurement QC"</f>
        <v>LM_Content LMS Vir -S- Mech. Measurement QC</v>
      </c>
      <c r="C1283" t="str">
        <f t="shared" si="53"/>
        <v>Active</v>
      </c>
    </row>
    <row r="1284" spans="1:3" ht="18" customHeight="1">
      <c r="A1284" t="str">
        <f>"0S8263"</f>
        <v>0S8263</v>
      </c>
      <c r="B1284" t="str">
        <f>"LM_Content LMS Vir. Fudam. Robotics ER9 PRO"</f>
        <v>LM_Content LMS Vir. Fudam. Robotics ER9 PRO</v>
      </c>
      <c r="C1284" t="str">
        <f t="shared" si="53"/>
        <v>Active</v>
      </c>
    </row>
    <row r="1285" spans="1:3" ht="18" customHeight="1">
      <c r="A1285" t="str">
        <f>"0S8263-1"</f>
        <v>0S8263-1</v>
      </c>
      <c r="B1285" t="str">
        <f>"LM_Content LMS Vir. Fudam. Robotics ER9 PRO 1"</f>
        <v>LM_Content LMS Vir. Fudam. Robotics ER9 PRO 1</v>
      </c>
      <c r="C1285" t="str">
        <f t="shared" si="53"/>
        <v>Active</v>
      </c>
    </row>
    <row r="1286" spans="1:3" ht="18" customHeight="1">
      <c r="A1286" t="str">
        <f>"0S8263-2"</f>
        <v>0S8263-2</v>
      </c>
      <c r="B1286" t="str">
        <f>"LM_Content LMS Vir. Fudam. Robotics ER9 PRO 2"</f>
        <v>LM_Content LMS Vir. Fudam. Robotics ER9 PRO 2</v>
      </c>
      <c r="C1286" t="str">
        <f t="shared" si="53"/>
        <v>Active</v>
      </c>
    </row>
    <row r="1287" spans="1:3" ht="18" customHeight="1">
      <c r="A1287" t="str">
        <f>"0S8263-3"</f>
        <v>0S8263-3</v>
      </c>
      <c r="B1287" t="str">
        <f>"LM_Content LMS Vir. Fudam. Robotics ER9 PRO 3"</f>
        <v>LM_Content LMS Vir. Fudam. Robotics ER9 PRO 3</v>
      </c>
      <c r="C1287" t="str">
        <f t="shared" si="53"/>
        <v>Active</v>
      </c>
    </row>
    <row r="1288" spans="1:3" ht="18" customHeight="1">
      <c r="A1288" t="str">
        <f>"0S8264"</f>
        <v>0S8264</v>
      </c>
      <c r="B1288" t="str">
        <f>"LM_Content LMS Vir. Adv. Robotic Prog ER9 PRO"</f>
        <v>LM_Content LMS Vir. Adv. Robotic Prog ER9 PRO</v>
      </c>
      <c r="C1288" t="str">
        <f t="shared" si="53"/>
        <v>Active</v>
      </c>
    </row>
    <row r="1289" spans="1:3" ht="18" customHeight="1">
      <c r="A1289" t="str">
        <f>"0S8264-1"</f>
        <v>0S8264-1</v>
      </c>
      <c r="B1289" t="str">
        <f>"LM_Content LMS Vir. Adv. Robotic Prog ER9 PRO 1"</f>
        <v>LM_Content LMS Vir. Adv. Robotic Prog ER9 PRO 1</v>
      </c>
      <c r="C1289" t="str">
        <f t="shared" si="53"/>
        <v>Active</v>
      </c>
    </row>
    <row r="1290" spans="1:3" ht="18" customHeight="1">
      <c r="A1290" t="str">
        <f>"0S8264-2"</f>
        <v>0S8264-2</v>
      </c>
      <c r="B1290" t="str">
        <f>"LM_Content LMS Vir. Adv. Robotic Prog ER9 PRO 2"</f>
        <v>LM_Content LMS Vir. Adv. Robotic Prog ER9 PRO 2</v>
      </c>
      <c r="C1290" t="str">
        <f t="shared" si="53"/>
        <v>Active</v>
      </c>
    </row>
    <row r="1291" spans="1:3" ht="18" customHeight="1">
      <c r="A1291" t="str">
        <f>"0S8267"</f>
        <v>0S8267</v>
      </c>
      <c r="B1291" t="str">
        <f>"LM_Content LMS Vir -S- Advanced Electronics"</f>
        <v>LM_Content LMS Vir -S- Advanced Electronics</v>
      </c>
      <c r="C1291" t="str">
        <f t="shared" si="53"/>
        <v>Active</v>
      </c>
    </row>
    <row r="1292" spans="1:3" ht="18" customHeight="1">
      <c r="A1292" t="str">
        <f>"0S8269"</f>
        <v>0S8269</v>
      </c>
      <c r="B1292" t="str">
        <f>"LM_Content LMS Vir. CNC Turn Tech. PLT3000"</f>
        <v>LM_Content LMS Vir. CNC Turn Tech. PLT3000</v>
      </c>
      <c r="C1292" t="str">
        <f t="shared" si="53"/>
        <v>Active</v>
      </c>
    </row>
    <row r="1293" spans="1:3" ht="18" customHeight="1">
      <c r="A1293" t="str">
        <f>"0S8269-1"</f>
        <v>0S8269-1</v>
      </c>
      <c r="B1293" t="str">
        <f>"LM_Content LMS Vir. CNC Turn Tech. PLT3000 - 1"</f>
        <v>LM_Content LMS Vir. CNC Turn Tech. PLT3000 - 1</v>
      </c>
      <c r="C1293" t="str">
        <f t="shared" si="53"/>
        <v>Active</v>
      </c>
    </row>
    <row r="1294" spans="1:3" ht="18" customHeight="1">
      <c r="A1294" t="str">
        <f>"0S8269-2"</f>
        <v>0S8269-2</v>
      </c>
      <c r="B1294" t="str">
        <f>"LM_Content LMS Vir. CNC Turn Tech. PLT3000 - 2"</f>
        <v>LM_Content LMS Vir. CNC Turn Tech. PLT3000 - 2</v>
      </c>
      <c r="C1294" t="str">
        <f t="shared" si="53"/>
        <v>Active</v>
      </c>
    </row>
    <row r="1295" spans="1:3" ht="18" customHeight="1">
      <c r="A1295" t="str">
        <f>"0S8269-3"</f>
        <v>0S8269-3</v>
      </c>
      <c r="B1295" t="str">
        <f>"LM_Content LMS Vir. CNC Turn Tech. PLT3000 - 3"</f>
        <v>LM_Content LMS Vir. CNC Turn Tech. PLT3000 - 3</v>
      </c>
      <c r="C1295" t="str">
        <f t="shared" si="53"/>
        <v>Active</v>
      </c>
    </row>
    <row r="1296" spans="1:3" ht="18" customHeight="1">
      <c r="A1296" t="str">
        <f>"0S8279"</f>
        <v>0S8279</v>
      </c>
      <c r="B1296" t="str">
        <f>"LM_Content LMS Vir- Introd to Greenhous Tech"</f>
        <v>LM_Content LMS Vir- Introd to Greenhous Tech</v>
      </c>
      <c r="C1296" t="str">
        <f t="shared" si="53"/>
        <v>Active</v>
      </c>
    </row>
    <row r="1297" spans="1:3" ht="18" customHeight="1">
      <c r="A1297" t="str">
        <f>"0S8280"</f>
        <v>0S8280</v>
      </c>
      <c r="B1297" t="str">
        <f>"LM_Content LMS Vir -S- Soil and Agriculture"</f>
        <v>LM_Content LMS Vir -S- Soil and Agriculture</v>
      </c>
      <c r="C1297" t="str">
        <f t="shared" si="53"/>
        <v>Active</v>
      </c>
    </row>
    <row r="1298" spans="1:3" ht="18" customHeight="1">
      <c r="A1298" t="str">
        <f>"0S8281"</f>
        <v>0S8281</v>
      </c>
      <c r="B1298" t="str">
        <f>"LM_Content LMS Vir.- Principals of Irrigation"</f>
        <v>LM_Content LMS Vir.- Principals of Irrigation</v>
      </c>
      <c r="C1298" t="str">
        <f t="shared" si="53"/>
        <v>Active</v>
      </c>
    </row>
    <row r="1299" spans="1:3" ht="18" customHeight="1">
      <c r="A1299" t="str">
        <f>"0S8282"</f>
        <v>0S8282</v>
      </c>
      <c r="B1299" t="str">
        <f>"LM_Content  LMS Vir.-The Concept of AutoAgronom"</f>
        <v>LM_Content  LMS Vir.-The Concept of AutoAgronom</v>
      </c>
      <c r="C1299" t="str">
        <f t="shared" si="53"/>
        <v>Active</v>
      </c>
    </row>
    <row r="1300" spans="1:3" ht="18" customHeight="1">
      <c r="A1300" t="str">
        <f>"0S8283"</f>
        <v>0S8283</v>
      </c>
      <c r="B1300" t="str">
        <f>"LM_Content LMS Vir.-Using the AutoAgronom Sys"</f>
        <v>LM_Content LMS Vir.-Using the AutoAgronom Sys</v>
      </c>
      <c r="C1300" t="str">
        <f t="shared" si="53"/>
        <v>Active</v>
      </c>
    </row>
    <row r="1301" spans="1:3" ht="18" customHeight="1">
      <c r="A1301" t="str">
        <f>"0S8284"</f>
        <v>0S8284</v>
      </c>
      <c r="B1301" t="str">
        <f>"LM_Content  LMS Vir-Applications of AutoAgronom"</f>
        <v>LM_Content  LMS Vir-Applications of AutoAgronom</v>
      </c>
      <c r="C1301" t="str">
        <f t="shared" si="53"/>
        <v>Active</v>
      </c>
    </row>
    <row r="1302" spans="1:3" ht="18" customHeight="1">
      <c r="A1302" t="str">
        <f>"0S8285"</f>
        <v>0S8285</v>
      </c>
      <c r="B1302" t="str">
        <f>"LM_Content  LMS Vir- Advancd Irrigation Systems"</f>
        <v>LM_Content  LMS Vir- Advancd Irrigation Systems</v>
      </c>
      <c r="C1302" t="str">
        <f t="shared" si="53"/>
        <v>Active</v>
      </c>
    </row>
    <row r="1303" spans="1:3" ht="18" customHeight="1">
      <c r="A1303" t="str">
        <f>"0S8286-2"</f>
        <v>0S8286-2</v>
      </c>
      <c r="B1303" t="str">
        <f>"LM_Content LMSvirS-Using Solido sdview software2"</f>
        <v>LM_Content LMSvirS-Using Solido sdview software2</v>
      </c>
      <c r="C1303" t="str">
        <f t="shared" si="53"/>
        <v>Active</v>
      </c>
    </row>
    <row r="1304" spans="1:3" ht="18" customHeight="1">
      <c r="A1304" t="str">
        <f>"0S8287"</f>
        <v>0S8287</v>
      </c>
      <c r="B1304" t="str">
        <f>"LM_ContentLMS VirS-IntroTo AdvancedManufacturing"</f>
        <v>LM_ContentLMS VirS-IntroTo AdvancedManufacturing</v>
      </c>
      <c r="C1304" t="str">
        <f t="shared" si="53"/>
        <v>Active</v>
      </c>
    </row>
    <row r="1305" spans="1:3" ht="18" customHeight="1">
      <c r="A1305" t="str">
        <f>"0S8287-1"</f>
        <v>0S8287-1</v>
      </c>
      <c r="B1305" t="str">
        <f>"LM_ContentLMS VirS-IntroToAdvancedManufacturing1"</f>
        <v>LM_ContentLMS VirS-IntroToAdvancedManufacturing1</v>
      </c>
      <c r="C1305" t="str">
        <f t="shared" si="53"/>
        <v>Active</v>
      </c>
    </row>
    <row r="1306" spans="1:3" ht="18" customHeight="1">
      <c r="A1306" t="str">
        <f>"0S8287-2"</f>
        <v>0S8287-2</v>
      </c>
      <c r="B1306" t="str">
        <f>"LM_ContentLMS VirS-IntroToAdvancedManufacturing2"</f>
        <v>LM_ContentLMS VirS-IntroToAdvancedManufacturing2</v>
      </c>
      <c r="C1306" t="str">
        <f t="shared" si="53"/>
        <v>Active</v>
      </c>
    </row>
    <row r="1307" spans="1:3" ht="18" customHeight="1">
      <c r="A1307" t="str">
        <f>"0S8287-3"</f>
        <v>0S8287-3</v>
      </c>
      <c r="B1307" t="str">
        <f>"LM_ContentLMS VirS-IntroToAdvancedManufacturing3"</f>
        <v>LM_ContentLMS VirS-IntroToAdvancedManufacturing3</v>
      </c>
      <c r="C1307" t="str">
        <f t="shared" si="53"/>
        <v>Active</v>
      </c>
    </row>
    <row r="1308" spans="1:3" ht="18" customHeight="1">
      <c r="A1308" t="str">
        <f>"0S8288-2"</f>
        <v>0S8288-2</v>
      </c>
      <c r="B1308" t="str">
        <f>"LM_ContentLMS Vir.S-Rapid prototyping processes2"</f>
        <v>LM_ContentLMS Vir.S-Rapid prototyping processes2</v>
      </c>
      <c r="C1308" t="str">
        <f t="shared" si="53"/>
        <v>Active</v>
      </c>
    </row>
    <row r="1309" spans="1:3" ht="18" customHeight="1">
      <c r="A1309" t="str">
        <f>"10-0201-0000"</f>
        <v>10-0201-0000</v>
      </c>
      <c r="B1309" t="str">
        <f>"spectraLIGHT 0200 Mill, 120V"</f>
        <v>spectraLIGHT 0200 Mill, 120V</v>
      </c>
      <c r="C1309" t="str">
        <f>"Phase Out"</f>
        <v>Phase Out</v>
      </c>
    </row>
    <row r="1310" spans="1:3" ht="18" customHeight="1">
      <c r="A1310" t="str">
        <f>"10-0221-0000"</f>
        <v>10-0221-0000</v>
      </c>
      <c r="B1310" t="str">
        <f>"spectraLIGHT 0200 Mill, 240V"</f>
        <v>spectraLIGHT 0200 Mill, 240V</v>
      </c>
      <c r="C1310" t="str">
        <f>"Inactive"</f>
        <v>Inactive</v>
      </c>
    </row>
    <row r="1311" spans="1:3" ht="18" customHeight="1">
      <c r="A1311" t="str">
        <f>"10-0401-0000"</f>
        <v>10-0401-0000</v>
      </c>
      <c r="B1311" t="str">
        <f>"spectraLIGHT 0400 Lathe, 120V"</f>
        <v>spectraLIGHT 0400 Lathe, 120V</v>
      </c>
      <c r="C1311" t="str">
        <f>"Phase Out"</f>
        <v>Phase Out</v>
      </c>
    </row>
    <row r="1312" spans="1:3" ht="18" customHeight="1">
      <c r="A1312" t="str">
        <f>"10-0421-0000"</f>
        <v>10-0421-0000</v>
      </c>
      <c r="B1312" t="str">
        <f>"spectraLIGHT 0400 Lathe, 240V"</f>
        <v>spectraLIGHT 0400 Lathe, 240V</v>
      </c>
      <c r="C1312" t="str">
        <f>"Inactive"</f>
        <v>Inactive</v>
      </c>
    </row>
    <row r="1313" spans="1:3" ht="18" customHeight="1">
      <c r="A1313" t="str">
        <f>"10-0601-1001"</f>
        <v>10-0601-1001</v>
      </c>
      <c r="B1313" t="str">
        <f>"eXpertMill, Standard, Manual Drawbar, 120V"</f>
        <v>eXpertMill, Standard, Manual Drawbar, 120V</v>
      </c>
      <c r="C1313" t="str">
        <f>"Inactive"</f>
        <v>Inactive</v>
      </c>
    </row>
    <row r="1314" spans="1:3" ht="18" customHeight="1">
      <c r="A1314" t="str">
        <f>"10-0601-1201"</f>
        <v>10-0601-1201</v>
      </c>
      <c r="B1314" t="str">
        <f>"eXpertMill, Standard, Manual Drawbar, 240V"</f>
        <v>eXpertMill, Standard, Manual Drawbar, 240V</v>
      </c>
      <c r="C1314" t="str">
        <f>"Active"</f>
        <v>Active</v>
      </c>
    </row>
    <row r="1315" spans="1:3" ht="18" customHeight="1">
      <c r="A1315" t="str">
        <f>"10-0601-3001"</f>
        <v>10-0601-3001</v>
      </c>
      <c r="B1315" t="str">
        <f>"eXpertMill, HP, Manual Drawbar, 120V"</f>
        <v>eXpertMill, HP, Manual Drawbar, 120V</v>
      </c>
      <c r="C1315" t="str">
        <f>"Phase Out"</f>
        <v>Phase Out</v>
      </c>
    </row>
    <row r="1316" spans="1:3" ht="18" customHeight="1">
      <c r="A1316" t="str">
        <f>"10-0601-3003"</f>
        <v>10-0601-3003</v>
      </c>
      <c r="B1316" t="str">
        <f>"eXpertMill, HP, 4 ATC, 120V"</f>
        <v>eXpertMill, HP, 4 ATC, 120V</v>
      </c>
      <c r="C1316" t="str">
        <f>"Phase Out"</f>
        <v>Phase Out</v>
      </c>
    </row>
    <row r="1317" spans="1:3" ht="18" customHeight="1">
      <c r="A1317" t="str">
        <f>"10-0601-3004"</f>
        <v>10-0601-3004</v>
      </c>
      <c r="B1317" t="str">
        <f>"eXpertMill, HP, 12 ATC, 120V"</f>
        <v>eXpertMill, HP, 12 ATC, 120V</v>
      </c>
      <c r="C1317" t="str">
        <f t="shared" ref="C1317:C1323" si="54">"Inactive"</f>
        <v>Inactive</v>
      </c>
    </row>
    <row r="1318" spans="1:3" ht="18" customHeight="1">
      <c r="A1318" t="str">
        <f>"10-0601-3201"</f>
        <v>10-0601-3201</v>
      </c>
      <c r="B1318" t="str">
        <f>"eXpertMill, HP, Manual Drawbar, 240V"</f>
        <v>eXpertMill, HP, Manual Drawbar, 240V</v>
      </c>
      <c r="C1318" t="str">
        <f t="shared" si="54"/>
        <v>Inactive</v>
      </c>
    </row>
    <row r="1319" spans="1:3" ht="18" customHeight="1">
      <c r="A1319" t="str">
        <f>"10-0601-3203"</f>
        <v>10-0601-3203</v>
      </c>
      <c r="B1319" t="str">
        <f>"eXpertMill, HP, 4 ATC, 240V"</f>
        <v>eXpertMill, HP, 4 ATC, 240V</v>
      </c>
      <c r="C1319" t="str">
        <f t="shared" si="54"/>
        <v>Inactive</v>
      </c>
    </row>
    <row r="1320" spans="1:3" ht="18" customHeight="1">
      <c r="A1320" t="str">
        <f>"10-0601-3204"</f>
        <v>10-0601-3204</v>
      </c>
      <c r="B1320" t="str">
        <f>"eXpertMill, HP, 12 ATC, 240V"</f>
        <v>eXpertMill, HP, 12 ATC, 240V</v>
      </c>
      <c r="C1320" t="str">
        <f t="shared" si="54"/>
        <v>Inactive</v>
      </c>
    </row>
    <row r="1321" spans="1:3" ht="18" customHeight="1">
      <c r="A1321" t="str">
        <f>"10-0601-4003"</f>
        <v>10-0601-4003</v>
      </c>
      <c r="B1321" t="str">
        <f>"eXpertMill, 4th Axis Control &amp; Positioner"</f>
        <v>eXpertMill, 4th Axis Control &amp; Positioner</v>
      </c>
      <c r="C1321" t="str">
        <f t="shared" si="54"/>
        <v>Inactive</v>
      </c>
    </row>
    <row r="1322" spans="1:3" ht="18" customHeight="1">
      <c r="A1322" t="str">
        <f>"10-0601-4004"</f>
        <v>10-0601-4004</v>
      </c>
      <c r="B1322" t="str">
        <f>"eXpertMill, HP Control Option, Factory Installed"</f>
        <v>eXpertMill, HP Control Option, Factory Installed</v>
      </c>
      <c r="C1322" t="str">
        <f t="shared" si="54"/>
        <v>Inactive</v>
      </c>
    </row>
    <row r="1323" spans="1:3" ht="18" customHeight="1">
      <c r="A1323" t="str">
        <f>"10-0601-4005"</f>
        <v>10-0601-4005</v>
      </c>
      <c r="B1323" t="str">
        <f>"eXpertMill, 4 ATC Option, Factory Installed"</f>
        <v>eXpertMill, 4 ATC Option, Factory Installed</v>
      </c>
      <c r="C1323" t="str">
        <f t="shared" si="54"/>
        <v>Inactive</v>
      </c>
    </row>
    <row r="1324" spans="1:3" ht="18" customHeight="1">
      <c r="A1324" t="str">
        <f>"10-0601-4006"</f>
        <v>10-0601-4006</v>
      </c>
      <c r="B1324" t="str">
        <f>"eXpertMill, 12 ATC Option,  Factory Installed"</f>
        <v>eXpertMill, 12 ATC Option,  Factory Installed</v>
      </c>
      <c r="C1324" t="str">
        <f>"Active"</f>
        <v>Active</v>
      </c>
    </row>
    <row r="1325" spans="1:3" ht="18" customHeight="1">
      <c r="A1325" t="str">
        <f>"10-1001-3000"</f>
        <v>10-1001-3000</v>
      </c>
      <c r="B1325" t="str">
        <f>"Ruler for Mechanical Arm Calibration(ER3/5's/4')"</f>
        <v>Ruler for Mechanical Arm Calibration(ER3/5's/4')</v>
      </c>
      <c r="C1325" t="str">
        <f>"Active"</f>
        <v>Active</v>
      </c>
    </row>
    <row r="1326" spans="1:3" ht="18" customHeight="1">
      <c r="A1326" t="str">
        <f>"10-1001-3001"</f>
        <v>10-1001-3001</v>
      </c>
      <c r="B1326" t="str">
        <f>"SPLM, HP, Manual Drawbar, 120V"</f>
        <v>SPLM, HP, Manual Drawbar, 120V</v>
      </c>
      <c r="C1326" t="str">
        <f>"Phase Out"</f>
        <v>Phase Out</v>
      </c>
    </row>
    <row r="1327" spans="1:3" ht="18" customHeight="1">
      <c r="A1327" t="str">
        <f>"10-1001-3003"</f>
        <v>10-1001-3003</v>
      </c>
      <c r="B1327" t="str">
        <f>"SPLM, HP, 4 ATC, 120V"</f>
        <v>SPLM, HP, 4 ATC, 120V</v>
      </c>
      <c r="C1327" t="str">
        <f>"Phase Out"</f>
        <v>Phase Out</v>
      </c>
    </row>
    <row r="1328" spans="1:3" ht="18" customHeight="1">
      <c r="A1328" t="str">
        <f>"10-1001-3201"</f>
        <v>10-1001-3201</v>
      </c>
      <c r="B1328" t="str">
        <f>"SPLM, HP, Manual Drawbar, 240V"</f>
        <v>SPLM, HP, Manual Drawbar, 240V</v>
      </c>
      <c r="C1328" t="str">
        <f>"Inactive"</f>
        <v>Inactive</v>
      </c>
    </row>
    <row r="1329" spans="1:3" ht="18" customHeight="1">
      <c r="A1329" t="str">
        <f>"10-1001-3203"</f>
        <v>10-1001-3203</v>
      </c>
      <c r="B1329" t="str">
        <f>"SPLM, HP, 4 ATC, 240V"</f>
        <v>SPLM, HP, 4 ATC, 240V</v>
      </c>
      <c r="C1329" t="str">
        <f>"Inactive"</f>
        <v>Inactive</v>
      </c>
    </row>
    <row r="1330" spans="1:3" ht="18" customHeight="1">
      <c r="A1330" t="str">
        <f>"10-1001-4003"</f>
        <v>10-1001-4003</v>
      </c>
      <c r="B1330" t="str">
        <f>"SPLM, 4th Axis Control &amp; Positioner"</f>
        <v>SPLM, 4th Axis Control &amp; Positioner</v>
      </c>
      <c r="C1330" t="str">
        <f>"Inactive"</f>
        <v>Inactive</v>
      </c>
    </row>
    <row r="1331" spans="1:3" ht="18" customHeight="1">
      <c r="A1331" t="str">
        <f>"10-1001-4004"</f>
        <v>10-1001-4004</v>
      </c>
      <c r="B1331" t="str">
        <f>"SPLM, 4 ATC Option, Factory Installed"</f>
        <v>SPLM, 4 ATC Option, Factory Installed</v>
      </c>
      <c r="C1331" t="str">
        <f>"Inactive"</f>
        <v>Inactive</v>
      </c>
    </row>
    <row r="1332" spans="1:3" ht="18" customHeight="1">
      <c r="A1332" t="str">
        <f>"10-1003-8000"</f>
        <v>10-1003-8000</v>
      </c>
      <c r="B1332" t="str">
        <f>"Stand for table's LSB"</f>
        <v>Stand for table's LSB</v>
      </c>
      <c r="C1332" t="str">
        <f t="shared" ref="C1332:C1339" si="55">"Active"</f>
        <v>Active</v>
      </c>
    </row>
    <row r="1333" spans="1:3" ht="18" customHeight="1">
      <c r="A1333" t="str">
        <f>"10-1007-4000"</f>
        <v>10-1007-4000</v>
      </c>
      <c r="B1333" t="str">
        <f>"Gravity Parts Feeder (with microswitch sensor)"</f>
        <v>Gravity Parts Feeder (with microswitch sensor)</v>
      </c>
      <c r="C1333" t="str">
        <f t="shared" si="55"/>
        <v>Active</v>
      </c>
    </row>
    <row r="1334" spans="1:3" ht="18" customHeight="1">
      <c r="A1334" t="str">
        <f>"10-1010-8000"</f>
        <v>10-1010-8000</v>
      </c>
      <c r="B1334" t="str">
        <f>"Quatro Buffer - 97mm Height Adapter"</f>
        <v>Quatro Buffer - 97mm Height Adapter</v>
      </c>
      <c r="C1334" t="str">
        <f t="shared" si="55"/>
        <v>Active</v>
      </c>
    </row>
    <row r="1335" spans="1:3" ht="18" customHeight="1">
      <c r="A1335" t="str">
        <f>"10-1010-9000"</f>
        <v>10-1010-9000</v>
      </c>
      <c r="B1335" t="str">
        <f>"Adapter Mounting Plate for ER4u"</f>
        <v>Adapter Mounting Plate for ER4u</v>
      </c>
      <c r="C1335" t="str">
        <f t="shared" si="55"/>
        <v>Active</v>
      </c>
    </row>
    <row r="1336" spans="1:3" ht="18" customHeight="1">
      <c r="A1336" t="str">
        <f>"10-1011-0000"</f>
        <v>10-1011-0000</v>
      </c>
      <c r="B1336" t="str">
        <f>"Template-St. ER Process with ER9"</f>
        <v>Template-St. ER Process with ER9</v>
      </c>
      <c r="C1336" t="str">
        <f t="shared" si="55"/>
        <v>Active</v>
      </c>
    </row>
    <row r="1337" spans="1:3" ht="18" customHeight="1">
      <c r="A1337" t="str">
        <f>"10-1011-1000"</f>
        <v>10-1011-1000</v>
      </c>
      <c r="B1337" t="str">
        <f>"Exhaust system for Welding ER9/MH5"</f>
        <v>Exhaust system for Welding ER9/MH5</v>
      </c>
      <c r="C1337" t="str">
        <f t="shared" si="55"/>
        <v>Active</v>
      </c>
    </row>
    <row r="1338" spans="1:3" ht="18" customHeight="1">
      <c r="A1338" t="str">
        <f>"10-1011-1001"</f>
        <v>10-1011-1001</v>
      </c>
      <c r="B1338" t="str">
        <f>"Dual Arm Wall Mount Stationary Weld Fume Filter"</f>
        <v>Dual Arm Wall Mount Stationary Weld Fume Filter</v>
      </c>
      <c r="C1338" t="str">
        <f t="shared" si="55"/>
        <v>Active</v>
      </c>
    </row>
    <row r="1339" spans="1:3" ht="18" customHeight="1">
      <c r="A1339" t="str">
        <f>"10-1011-2000"</f>
        <v>10-1011-2000</v>
      </c>
      <c r="B1339" t="str">
        <f>"Irrigation head complex Basic Set"</f>
        <v>Irrigation head complex Basic Set</v>
      </c>
      <c r="C1339" t="str">
        <f t="shared" si="55"/>
        <v>Active</v>
      </c>
    </row>
    <row r="1340" spans="1:3" ht="18" customHeight="1">
      <c r="A1340" t="str">
        <f>"10-1011-3000"</f>
        <v>10-1011-3000</v>
      </c>
      <c r="B1340" t="str">
        <f>"Accessories Kit"</f>
        <v>Accessories Kit</v>
      </c>
      <c r="C1340" t="str">
        <f>"New"</f>
        <v>New</v>
      </c>
    </row>
    <row r="1341" spans="1:3" ht="18" customHeight="1">
      <c r="A1341" t="str">
        <f>"10-1011-4000"</f>
        <v>10-1011-4000</v>
      </c>
      <c r="B1341" t="str">
        <f>"Height adapter for PT9000 in FMS"</f>
        <v>Height adapter for PT9000 in FMS</v>
      </c>
      <c r="C1341" t="str">
        <f>"ECO-N2Buy"</f>
        <v>ECO-N2Buy</v>
      </c>
    </row>
    <row r="1342" spans="1:3" ht="18" customHeight="1">
      <c r="A1342" t="str">
        <f>"10-1011-4001"</f>
        <v>10-1011-4001</v>
      </c>
      <c r="B1342" t="str">
        <f>"Set of Spacers for Vise"</f>
        <v>Set of Spacers for Vise</v>
      </c>
      <c r="C1342" t="str">
        <f>"New"</f>
        <v>New</v>
      </c>
    </row>
    <row r="1343" spans="1:3" ht="18" customHeight="1">
      <c r="A1343" t="str">
        <f>"10-1021-0000"</f>
        <v>10-1021-0000</v>
      </c>
      <c r="B1343" t="str">
        <f>"PLM-1021 proLIGHT Machining Center,5K, 240V"</f>
        <v>PLM-1021 proLIGHT Machining Center,5K, 240V</v>
      </c>
      <c r="C1343" t="str">
        <f>"Not for sale"</f>
        <v>Not for sale</v>
      </c>
    </row>
    <row r="1344" spans="1:3" ht="18" customHeight="1">
      <c r="A1344" t="str">
        <f>"10-1021-3001"</f>
        <v>10-1021-3001</v>
      </c>
      <c r="B1344" t="str">
        <f>"SPLM, OEM, Motion System, Spindle, No Motors"</f>
        <v>SPLM, OEM, Motion System, Spindle, No Motors</v>
      </c>
      <c r="C1344" t="str">
        <f>"Inactive"</f>
        <v>Inactive</v>
      </c>
    </row>
    <row r="1345" spans="1:3" ht="18" customHeight="1">
      <c r="A1345" t="str">
        <f>"10-1030-1000"</f>
        <v>10-1030-1000</v>
      </c>
      <c r="B1345" t="str">
        <f>"Mod. kit into ER5+ Upgrade ER-5 to ER-5plus"</f>
        <v>Mod. kit into ER5+ Upgrade ER-5 to ER-5plus</v>
      </c>
      <c r="C1345" t="str">
        <f t="shared" ref="C1345:C1353" si="56">"Active"</f>
        <v>Active</v>
      </c>
    </row>
    <row r="1346" spans="1:3" ht="18" customHeight="1">
      <c r="A1346" t="str">
        <f>"10-1031-2000"</f>
        <v>10-1031-2000</v>
      </c>
      <c r="B1346" t="str">
        <f>"Upgrade Package ER 3/5 to ER4u"</f>
        <v>Upgrade Package ER 3/5 to ER4u</v>
      </c>
      <c r="C1346" t="str">
        <f t="shared" si="56"/>
        <v>Active</v>
      </c>
    </row>
    <row r="1347" spans="1:3" ht="18" customHeight="1">
      <c r="A1347" t="str">
        <f>"10-1031-3000"</f>
        <v>10-1031-3000</v>
      </c>
      <c r="B1347" t="str">
        <f>"Upgrade Package ER 4pc/5plus to ER4u"</f>
        <v>Upgrade Package ER 4pc/5plus to ER4u</v>
      </c>
      <c r="C1347" t="str">
        <f t="shared" si="56"/>
        <v>Active</v>
      </c>
    </row>
    <row r="1348" spans="1:3" ht="18" customHeight="1">
      <c r="A1348" t="str">
        <f>"10-1031-4000"</f>
        <v>10-1031-4000</v>
      </c>
      <c r="B1348" t="str">
        <f>"Upgrade LSB1000/1800 Upper motor to LSB-u"</f>
        <v>Upgrade LSB1000/1800 Upper motor to LSB-u</v>
      </c>
      <c r="C1348" t="str">
        <f t="shared" si="56"/>
        <v>Active</v>
      </c>
    </row>
    <row r="1349" spans="1:3" ht="18" customHeight="1">
      <c r="A1349" t="str">
        <f>"10-1031-9000"</f>
        <v>10-1031-9000</v>
      </c>
      <c r="B1349" t="str">
        <f>"Upgrade Package AGV (000423) to AGV (000426)"</f>
        <v>Upgrade Package AGV (000423) to AGV (000426)</v>
      </c>
      <c r="C1349" t="str">
        <f t="shared" si="56"/>
        <v>Active</v>
      </c>
    </row>
    <row r="1350" spans="1:3" ht="18" customHeight="1">
      <c r="A1350" t="str">
        <f>"10-1032-0000"</f>
        <v>10-1032-0000</v>
      </c>
      <c r="B1350" t="str">
        <f>"Upgrade Package ER 9 to ER 9Pro"</f>
        <v>Upgrade Package ER 9 to ER 9Pro</v>
      </c>
      <c r="C1350" t="str">
        <f t="shared" si="56"/>
        <v>Active</v>
      </c>
    </row>
    <row r="1351" spans="1:3" ht="18" customHeight="1">
      <c r="A1351" t="str">
        <f>"10-1032-1000"</f>
        <v>10-1032-1000</v>
      </c>
      <c r="B1351" t="str">
        <f>"Upgrade Package ER 14 to ER 14Pro"</f>
        <v>Upgrade Package ER 14 to ER 14Pro</v>
      </c>
      <c r="C1351" t="str">
        <f t="shared" si="56"/>
        <v>Active</v>
      </c>
    </row>
    <row r="1352" spans="1:3" ht="18" customHeight="1">
      <c r="A1352" t="str">
        <f>"10-1032-2000"</f>
        <v>10-1032-2000</v>
      </c>
      <c r="B1352" t="str">
        <f>"Upgrade Kit for ER9 Pro/ER14 Pro- General"</f>
        <v>Upgrade Kit for ER9 Pro/ER14 Pro- General</v>
      </c>
      <c r="C1352" t="str">
        <f t="shared" si="56"/>
        <v>Active</v>
      </c>
    </row>
    <row r="1353" spans="1:3" ht="18" customHeight="1">
      <c r="A1353" t="str">
        <f>"10-1032-3000"</f>
        <v>10-1032-3000</v>
      </c>
      <c r="B1353" t="str">
        <f>"Upgrade Package ASRS36/72 to ASRS36/72 U"</f>
        <v>Upgrade Package ASRS36/72 to ASRS36/72 U</v>
      </c>
      <c r="C1353" t="str">
        <f t="shared" si="56"/>
        <v>Active</v>
      </c>
    </row>
    <row r="1354" spans="1:3" ht="18" customHeight="1">
      <c r="A1354" t="str">
        <f>"10-1100-3000"</f>
        <v>10-1100-3000</v>
      </c>
      <c r="B1354" t="str">
        <f>"MOTOR - ASMBY AXIS2,3 ER3"</f>
        <v>MOTOR - ASMBY AXIS2,3 ER3</v>
      </c>
      <c r="C1354" t="str">
        <f>"Inactive"</f>
        <v>Inactive</v>
      </c>
    </row>
    <row r="1355" spans="1:3" ht="18" customHeight="1">
      <c r="A1355" t="str">
        <f>"10-1101-5000"</f>
        <v>10-1101-5000</v>
      </c>
      <c r="B1355" t="str">
        <f>"Motor #1 - Spare Part, ER7"</f>
        <v>Motor #1 - Spare Part, ER7</v>
      </c>
      <c r="C1355" t="str">
        <f t="shared" ref="C1355:C1365" si="57">"Active"</f>
        <v>Active</v>
      </c>
    </row>
    <row r="1356" spans="1:3" ht="18" customHeight="1">
      <c r="A1356" t="str">
        <f>"10-1101-6000"</f>
        <v>10-1101-6000</v>
      </c>
      <c r="B1356" t="str">
        <f>"Motor #2 - Spare Part, ER7"</f>
        <v>Motor #2 - Spare Part, ER7</v>
      </c>
      <c r="C1356" t="str">
        <f t="shared" si="57"/>
        <v>Active</v>
      </c>
    </row>
    <row r="1357" spans="1:3" ht="18" customHeight="1">
      <c r="A1357" t="str">
        <f>"10-1101-9000"</f>
        <v>10-1101-9000</v>
      </c>
      <c r="B1357" t="str">
        <f>"Motor #5 - Spare Part ER7"</f>
        <v>Motor #5 - Spare Part ER7</v>
      </c>
      <c r="C1357" t="str">
        <f t="shared" si="57"/>
        <v>Active</v>
      </c>
    </row>
    <row r="1358" spans="1:3" ht="18" customHeight="1">
      <c r="A1358" t="str">
        <f>"10-1102-7000"</f>
        <v>10-1102-7000</v>
      </c>
      <c r="B1358" t="str">
        <f>"Motor Ass. Axis 1 ER3,4,4u,5,5plus - spare part"</f>
        <v>Motor Ass. Axis 1 ER3,4,4u,5,5plus - spare part</v>
      </c>
      <c r="C1358" t="str">
        <f t="shared" si="57"/>
        <v>Active</v>
      </c>
    </row>
    <row r="1359" spans="1:3" ht="18" customHeight="1">
      <c r="A1359" t="str">
        <f>"10-1102-8000"</f>
        <v>10-1102-8000</v>
      </c>
      <c r="B1359" t="str">
        <f>"Motor Ass. Axis 2,3 ER3,5 - spare part"</f>
        <v>Motor Ass. Axis 2,3 ER3,5 - spare part</v>
      </c>
      <c r="C1359" t="str">
        <f t="shared" si="57"/>
        <v>Active</v>
      </c>
    </row>
    <row r="1360" spans="1:3" ht="18" customHeight="1">
      <c r="A1360" t="str">
        <f>"10-1102-9000"</f>
        <v>10-1102-9000</v>
      </c>
      <c r="B1360" t="str">
        <f>"Motor Ass. Axis 4,5 ER3,4,4u,5,5plus-spare part"</f>
        <v>Motor Ass. Axis 4,5 ER3,4,4u,5,5plus-spare part</v>
      </c>
      <c r="C1360" t="str">
        <f t="shared" si="57"/>
        <v>Active</v>
      </c>
    </row>
    <row r="1361" spans="1:3" ht="18" customHeight="1">
      <c r="A1361" t="str">
        <f>"10-1103-0000"</f>
        <v>10-1103-0000</v>
      </c>
      <c r="B1361" t="str">
        <f>"Motor Ass. Axis 2,3 ER4,4u,5plus - spare part"</f>
        <v>Motor Ass. Axis 2,3 ER4,4u,5plus - spare part</v>
      </c>
      <c r="C1361" t="str">
        <f t="shared" si="57"/>
        <v>Active</v>
      </c>
    </row>
    <row r="1362" spans="1:3" ht="18" customHeight="1">
      <c r="A1362" t="str">
        <f>"10-1103-1000"</f>
        <v>10-1103-1000</v>
      </c>
      <c r="B1362" t="str">
        <f>"Feeder Media Seperator 300-5012-02, Solido"</f>
        <v>Feeder Media Seperator 300-5012-02, Solido</v>
      </c>
      <c r="C1362" t="str">
        <f t="shared" si="57"/>
        <v>Active</v>
      </c>
    </row>
    <row r="1363" spans="1:3" ht="18" customHeight="1">
      <c r="A1363" t="str">
        <f>"10-1103-2000"</f>
        <v>10-1103-2000</v>
      </c>
      <c r="B1363" t="str">
        <f>"Modeling Kit Amber for SD 300 Printer"</f>
        <v>Modeling Kit Amber for SD 300 Printer</v>
      </c>
      <c r="C1363" t="str">
        <f t="shared" si="57"/>
        <v>Active</v>
      </c>
    </row>
    <row r="1364" spans="1:3" ht="18" customHeight="1">
      <c r="A1364" t="str">
        <f>"10-1103-3000"</f>
        <v>10-1103-3000</v>
      </c>
      <c r="B1364" t="str">
        <f>"Cutting Knife Assy. 300-3200-00,Solido"</f>
        <v>Cutting Knife Assy. 300-3200-00,Solido</v>
      </c>
      <c r="C1364" t="str">
        <f t="shared" si="57"/>
        <v>Active</v>
      </c>
    </row>
    <row r="1365" spans="1:3" ht="18" customHeight="1">
      <c r="A1365" t="str">
        <f>"10-1103-4000"</f>
        <v>10-1103-4000</v>
      </c>
      <c r="B1365" t="str">
        <f>"Magnet sheet assy.packed ,300-0110-A0, Solido"</f>
        <v>Magnet sheet assy.packed ,300-0110-A0, Solido</v>
      </c>
      <c r="C1365" t="str">
        <f t="shared" si="57"/>
        <v>Active</v>
      </c>
    </row>
    <row r="1366" spans="1:3" ht="18" customHeight="1">
      <c r="A1366" t="str">
        <f>"10-1103-5000"</f>
        <v>10-1103-5000</v>
      </c>
      <c r="B1366" t="str">
        <f>"Modeling Kit Black, 300-BLK0-A0, Solido"</f>
        <v>Modeling Kit Black, 300-BLK0-A0, Solido</v>
      </c>
      <c r="C1366" t="str">
        <f>"Phase Out"</f>
        <v>Phase Out</v>
      </c>
    </row>
    <row r="1367" spans="1:3" ht="18" customHeight="1">
      <c r="A1367" t="str">
        <f>"10-1103-6000"</f>
        <v>10-1103-6000</v>
      </c>
      <c r="B1367" t="str">
        <f>"Modeling Kit Cream, 300-CRM0-A0, Solido"</f>
        <v>Modeling Kit Cream, 300-CRM0-A0, Solido</v>
      </c>
      <c r="C1367" t="str">
        <f>"Phase Out"</f>
        <v>Phase Out</v>
      </c>
    </row>
    <row r="1368" spans="1:3" ht="18" customHeight="1">
      <c r="A1368" t="str">
        <f>"10-1103-7000"</f>
        <v>10-1103-7000</v>
      </c>
      <c r="B1368" t="str">
        <f>"Modeling Kit Dark Blue, 300-BLU0-A0, Solido"</f>
        <v>Modeling Kit Dark Blue, 300-BLU0-A0, Solido</v>
      </c>
      <c r="C1368" t="str">
        <f>"Phase Out"</f>
        <v>Phase Out</v>
      </c>
    </row>
    <row r="1369" spans="1:3" ht="18" customHeight="1">
      <c r="A1369" t="str">
        <f>"10-1103-8000"</f>
        <v>10-1103-8000</v>
      </c>
      <c r="B1369" t="str">
        <f>"Material Kit Red, 300-RED0-A0, Solido"</f>
        <v>Material Kit Red, 300-RED0-A0, Solido</v>
      </c>
      <c r="C1369" t="str">
        <f>"Phase Out"</f>
        <v>Phase Out</v>
      </c>
    </row>
    <row r="1370" spans="1:3" ht="18" customHeight="1">
      <c r="A1370" t="str">
        <f>"10-1103-9000"</f>
        <v>10-1103-9000</v>
      </c>
      <c r="B1370" t="str">
        <f>"Trim Knife knob Assy., 300-3110-01, Solido"</f>
        <v>Trim Knife knob Assy., 300-3110-01, Solido</v>
      </c>
      <c r="C1370" t="str">
        <f t="shared" ref="C1370:C1394" si="58">"Active"</f>
        <v>Active</v>
      </c>
    </row>
    <row r="1371" spans="1:3" ht="18" customHeight="1">
      <c r="A1371" t="str">
        <f>"10-1104-0000"</f>
        <v>10-1104-0000</v>
      </c>
      <c r="B1371" t="str">
        <f>"Trim Knife Blade, 300-3107-07, Solido"</f>
        <v>Trim Knife Blade, 300-3107-07, Solido</v>
      </c>
      <c r="C1371" t="str">
        <f t="shared" si="58"/>
        <v>Active</v>
      </c>
    </row>
    <row r="1372" spans="1:3" ht="18" customHeight="1">
      <c r="A1372" t="str">
        <f>"10-1104-1000"</f>
        <v>10-1104-1000</v>
      </c>
      <c r="B1372" t="str">
        <f>"AG Cart Spring, 300-1066-03, Solido"</f>
        <v>AG Cart Spring, 300-1066-03, Solido</v>
      </c>
      <c r="C1372" t="str">
        <f t="shared" si="58"/>
        <v>Active</v>
      </c>
    </row>
    <row r="1373" spans="1:3" ht="18" customHeight="1">
      <c r="A1373" t="str">
        <f>"10-1104-2000"</f>
        <v>10-1104-2000</v>
      </c>
      <c r="B1373" t="str">
        <f>"Pen Holder, 300-8011-00, Solido"</f>
        <v>Pen Holder, 300-8011-00, Solido</v>
      </c>
      <c r="C1373" t="str">
        <f t="shared" si="58"/>
        <v>Active</v>
      </c>
    </row>
    <row r="1374" spans="1:3" ht="18" customHeight="1">
      <c r="A1374" t="str">
        <f>"10-1104-3000"</f>
        <v>10-1104-3000</v>
      </c>
      <c r="B1374" t="str">
        <f>"Pen Holder Support, 300-8012-01, Solido"</f>
        <v>Pen Holder Support, 300-8012-01, Solido</v>
      </c>
      <c r="C1374" t="str">
        <f t="shared" si="58"/>
        <v>Active</v>
      </c>
    </row>
    <row r="1375" spans="1:3" ht="18" customHeight="1">
      <c r="A1375" t="str">
        <f>"10-1104-4000"</f>
        <v>10-1104-4000</v>
      </c>
      <c r="B1375" t="str">
        <f>"Cut Knife Bayonet, 300-3103-04, Solido"</f>
        <v>Cut Knife Bayonet, 300-3103-04, Solido</v>
      </c>
      <c r="C1375" t="str">
        <f t="shared" si="58"/>
        <v>Active</v>
      </c>
    </row>
    <row r="1376" spans="1:3" ht="18" customHeight="1">
      <c r="A1376" t="str">
        <f>"10-1104-5000"</f>
        <v>10-1104-5000</v>
      </c>
      <c r="B1376" t="str">
        <f>"Cut Knife Spring, 300-3121-00, Solido"</f>
        <v>Cut Knife Spring, 300-3121-00, Solido</v>
      </c>
      <c r="C1376" t="str">
        <f t="shared" si="58"/>
        <v>Active</v>
      </c>
    </row>
    <row r="1377" spans="1:3" ht="18" customHeight="1">
      <c r="A1377" t="str">
        <f>"10-1104-6000"</f>
        <v>10-1104-6000</v>
      </c>
      <c r="B1377" t="str">
        <f>"Packed AG Pens ""A"" 300-8400-A0, Solido"</f>
        <v>Packed AG Pens "A" 300-8400-A0, Solido</v>
      </c>
      <c r="C1377" t="str">
        <f t="shared" si="58"/>
        <v>Active</v>
      </c>
    </row>
    <row r="1378" spans="1:3" ht="18" customHeight="1">
      <c r="A1378" t="str">
        <f>"10-1104-7000"</f>
        <v>10-1104-7000</v>
      </c>
      <c r="B1378" t="str">
        <f>"Start Up Kit (Accessories) 300-0010-A1, Solido"</f>
        <v>Start Up Kit (Accessories) 300-0010-A1, Solido</v>
      </c>
      <c r="C1378" t="str">
        <f t="shared" si="58"/>
        <v>Active</v>
      </c>
    </row>
    <row r="1379" spans="1:3" ht="18" customHeight="1">
      <c r="A1379" t="str">
        <f>"10-1104-8000"</f>
        <v>10-1104-8000</v>
      </c>
      <c r="B1379" t="str">
        <f>"Packed Cutting Knife Assy.300-3210-A0, Solido"</f>
        <v>Packed Cutting Knife Assy.300-3210-A0, Solido</v>
      </c>
      <c r="C1379" t="str">
        <f t="shared" si="58"/>
        <v>Active</v>
      </c>
    </row>
    <row r="1380" spans="1:3" ht="18" customHeight="1">
      <c r="A1380" t="str">
        <f>"10-1104-9000"</f>
        <v>10-1104-9000</v>
      </c>
      <c r="B1380" t="str">
        <f>"Tweezers 300-0117-00, Solido"</f>
        <v>Tweezers 300-0117-00, Solido</v>
      </c>
      <c r="C1380" t="str">
        <f t="shared" si="58"/>
        <v>Active</v>
      </c>
    </row>
    <row r="1381" spans="1:3" ht="18" customHeight="1">
      <c r="A1381" t="str">
        <f>"10-1105-0000"</f>
        <v>10-1105-0000</v>
      </c>
      <c r="B1381" t="str">
        <f>"Media Support PVC Roll Holder,300-7520-00,Solido"</f>
        <v>Media Support PVC Roll Holder,300-7520-00,Solido</v>
      </c>
      <c r="C1381" t="str">
        <f t="shared" si="58"/>
        <v>Active</v>
      </c>
    </row>
    <row r="1382" spans="1:3" ht="18" customHeight="1">
      <c r="A1382" t="str">
        <f>"10-1105-1000"</f>
        <v>10-1105-1000</v>
      </c>
      <c r="B1382" t="str">
        <f>"Height Sensor Assemly, 300-2200-02, Solido"</f>
        <v>Height Sensor Assemly, 300-2200-02, Solido</v>
      </c>
      <c r="C1382" t="str">
        <f t="shared" si="58"/>
        <v>Active</v>
      </c>
    </row>
    <row r="1383" spans="1:3" ht="18" customHeight="1">
      <c r="A1383" t="str">
        <f>"10-1105-2000"</f>
        <v>10-1105-2000</v>
      </c>
      <c r="B1383" t="str">
        <f>"X-Y Head Assembly, 300-3100-02, Solido"</f>
        <v>X-Y Head Assembly, 300-3100-02, Solido</v>
      </c>
      <c r="C1383" t="str">
        <f t="shared" si="58"/>
        <v>Active</v>
      </c>
    </row>
    <row r="1384" spans="1:3" ht="18" customHeight="1">
      <c r="A1384" t="str">
        <f>"10-1105-3000"</f>
        <v>10-1105-3000</v>
      </c>
      <c r="B1384" t="str">
        <f>"Feeder Assembly 300-5000-03, Solido"</f>
        <v>Feeder Assembly 300-5000-03, Solido</v>
      </c>
      <c r="C1384" t="str">
        <f t="shared" si="58"/>
        <v>Active</v>
      </c>
    </row>
    <row r="1385" spans="1:3" ht="18" customHeight="1">
      <c r="A1385" t="str">
        <f>"10-1105-4000"</f>
        <v>10-1105-4000</v>
      </c>
      <c r="B1385" t="str">
        <f>"Heater Assembly 300-6500-00, Solido"</f>
        <v>Heater Assembly 300-6500-00, Solido</v>
      </c>
      <c r="C1385" t="str">
        <f t="shared" si="58"/>
        <v>Active</v>
      </c>
    </row>
    <row r="1386" spans="1:3" ht="18" customHeight="1">
      <c r="A1386" t="str">
        <f>"10-1105-5000"</f>
        <v>10-1105-5000</v>
      </c>
      <c r="B1386" t="str">
        <f>"Computer and monitor attachment"</f>
        <v>Computer and monitor attachment</v>
      </c>
      <c r="C1386" t="str">
        <f t="shared" si="58"/>
        <v>Active</v>
      </c>
    </row>
    <row r="1387" spans="1:3" ht="18" customHeight="1">
      <c r="A1387" t="str">
        <f>"10-1105-6000"</f>
        <v>10-1105-6000</v>
      </c>
      <c r="B1387" t="str">
        <f>"Set of wheels for ProMill/ProTurn"</f>
        <v>Set of wheels for ProMill/ProTurn</v>
      </c>
      <c r="C1387" t="str">
        <f t="shared" si="58"/>
        <v>Active</v>
      </c>
    </row>
    <row r="1388" spans="1:3" ht="18" customHeight="1">
      <c r="A1388" t="str">
        <f>"10-1105-7000"</f>
        <v>10-1105-7000</v>
      </c>
      <c r="B1388" t="str">
        <f>"Drill Chuck for Tailstock"</f>
        <v>Drill Chuck for Tailstock</v>
      </c>
      <c r="C1388" t="str">
        <f t="shared" si="58"/>
        <v>Active</v>
      </c>
    </row>
    <row r="1389" spans="1:3" ht="18" customHeight="1">
      <c r="A1389" t="str">
        <f>"10-1105-8000"</f>
        <v>10-1105-8000</v>
      </c>
      <c r="B1389" t="str">
        <f>"- Face plate"</f>
        <v>- Face plate</v>
      </c>
      <c r="C1389" t="str">
        <f t="shared" si="58"/>
        <v>Active</v>
      </c>
    </row>
    <row r="1390" spans="1:3" ht="18" customHeight="1">
      <c r="A1390" t="str">
        <f>"10-1105-9000"</f>
        <v>10-1105-9000</v>
      </c>
      <c r="B1390" t="str">
        <f>"- 125mm 4 independent jaw chuck"</f>
        <v>- 125mm 4 independent jaw chuck</v>
      </c>
      <c r="C1390" t="str">
        <f t="shared" si="58"/>
        <v>Active</v>
      </c>
    </row>
    <row r="1391" spans="1:3" ht="18" customHeight="1">
      <c r="A1391" t="str">
        <f>"10-1106-0000"</f>
        <v>10-1106-0000</v>
      </c>
      <c r="B1391" t="str">
        <f>"- 11pcs Cutter set 10 x 10mmt"</f>
        <v>- 11pcs Cutter set 10 x 10mmt</v>
      </c>
      <c r="C1391" t="str">
        <f t="shared" si="58"/>
        <v>Active</v>
      </c>
    </row>
    <row r="1392" spans="1:3" ht="18" customHeight="1">
      <c r="A1392" t="str">
        <f>"10-1106-1000"</f>
        <v>10-1106-1000</v>
      </c>
      <c r="B1392" t="str">
        <f>"Raw materials set-quantity of 150 1""X5"""</f>
        <v>Raw materials set-quantity of 150 1"X5"</v>
      </c>
      <c r="C1392" t="str">
        <f t="shared" si="58"/>
        <v>Active</v>
      </c>
    </row>
    <row r="1393" spans="1:3" ht="18" customHeight="1">
      <c r="A1393" t="str">
        <f>"10-1106-2000"</f>
        <v>10-1106-2000</v>
      </c>
      <c r="B1393" t="str">
        <f>"- 11pcs Cutter set 8 x 8mm"</f>
        <v>- 11pcs Cutter set 8 x 8mm</v>
      </c>
      <c r="C1393" t="str">
        <f t="shared" si="58"/>
        <v>Active</v>
      </c>
    </row>
    <row r="1394" spans="1:3" ht="18" customHeight="1">
      <c r="A1394" t="str">
        <f>"10-1106-3000"</f>
        <v>10-1106-3000</v>
      </c>
      <c r="B1394" t="str">
        <f>"- 80mm 4 independent jaw chuck"</f>
        <v>- 80mm 4 independent jaw chuck</v>
      </c>
      <c r="C1394" t="str">
        <f t="shared" si="58"/>
        <v>Active</v>
      </c>
    </row>
    <row r="1395" spans="1:3" ht="18" customHeight="1">
      <c r="A1395" t="str">
        <f>"10-1106-4000"</f>
        <v>10-1106-4000</v>
      </c>
      <c r="B1395" t="str">
        <f>"- Steady rest ProTurn 9000"</f>
        <v>- Steady rest ProTurn 9000</v>
      </c>
      <c r="C1395" t="str">
        <f>"Inactive"</f>
        <v>Inactive</v>
      </c>
    </row>
    <row r="1396" spans="1:3" ht="18" customHeight="1">
      <c r="A1396" t="str">
        <f>"10-1106-5000"</f>
        <v>10-1106-5000</v>
      </c>
      <c r="B1396" t="str">
        <f>"- Follow rest ProTurn 9000"</f>
        <v>- Follow rest ProTurn 9000</v>
      </c>
      <c r="C1396" t="str">
        <f>"Inactive"</f>
        <v>Inactive</v>
      </c>
    </row>
    <row r="1397" spans="1:3" ht="18" customHeight="1">
      <c r="A1397" t="str">
        <f>"10-1106-6000"</f>
        <v>10-1106-6000</v>
      </c>
      <c r="B1397" t="str">
        <f>"- Rolling center"</f>
        <v>- Rolling center</v>
      </c>
      <c r="C1397" t="str">
        <f t="shared" ref="C1397:C1414" si="59">"Active"</f>
        <v>Active</v>
      </c>
    </row>
    <row r="1398" spans="1:3" ht="18" customHeight="1">
      <c r="A1398" t="str">
        <f>"10-1106-7000"</f>
        <v>10-1106-7000</v>
      </c>
      <c r="B1398" t="str">
        <f>"- 100mm 4 independent jaw chuck"</f>
        <v>- 100mm 4 independent jaw chuck</v>
      </c>
      <c r="C1398" t="str">
        <f t="shared" si="59"/>
        <v>Active</v>
      </c>
    </row>
    <row r="1399" spans="1:3" ht="18" customHeight="1">
      <c r="A1399" t="str">
        <f>"10-1106-8000"</f>
        <v>10-1106-8000</v>
      </c>
      <c r="B1399" t="str">
        <f>"100mm quick vice"</f>
        <v>100mm quick vice</v>
      </c>
      <c r="C1399" t="str">
        <f t="shared" si="59"/>
        <v>Active</v>
      </c>
    </row>
    <row r="1400" spans="1:3" ht="18" customHeight="1">
      <c r="A1400" t="str">
        <f>"10-1106-9000"</f>
        <v>10-1106-9000</v>
      </c>
      <c r="B1400" t="str">
        <f>"- MT3 mill chuck set 4,6,8,10,12,1"</f>
        <v>- MT3 mill chuck set 4,6,8,10,12,1</v>
      </c>
      <c r="C1400" t="str">
        <f t="shared" si="59"/>
        <v>Active</v>
      </c>
    </row>
    <row r="1401" spans="1:3" ht="18" customHeight="1">
      <c r="A1401" t="str">
        <f>"10-1107-0000"</f>
        <v>10-1107-0000</v>
      </c>
      <c r="B1401" t="str">
        <f>"- 2 flute HSS end mill set 4,6,8,10,12,14,16mm"</f>
        <v>- 2 flute HSS end mill set 4,6,8,10,12,14,16mm</v>
      </c>
      <c r="C1401" t="str">
        <f t="shared" si="59"/>
        <v>Active</v>
      </c>
    </row>
    <row r="1402" spans="1:3" ht="18" customHeight="1">
      <c r="A1402" t="str">
        <f>"10-1107-1000"</f>
        <v>10-1107-1000</v>
      </c>
      <c r="B1402" t="str">
        <f>"- Vertical slider"</f>
        <v>- Vertical slider</v>
      </c>
      <c r="C1402" t="str">
        <f t="shared" si="59"/>
        <v>Active</v>
      </c>
    </row>
    <row r="1403" spans="1:3" ht="18" customHeight="1">
      <c r="A1403" t="str">
        <f>"10-1107-2000"</f>
        <v>10-1107-2000</v>
      </c>
      <c r="B1403" t="str">
        <f>"- 2 flute HSS end mill set 3,4,5,6,8,10mm"</f>
        <v>- 2 flute HSS end mill set 3,4,5,6,8,10mm</v>
      </c>
      <c r="C1403" t="str">
        <f t="shared" si="59"/>
        <v>Active</v>
      </c>
    </row>
    <row r="1404" spans="1:3" ht="18" customHeight="1">
      <c r="A1404" t="str">
        <f>"10-1107-3000"</f>
        <v>10-1107-3000</v>
      </c>
      <c r="B1404" t="str">
        <f>"- MT2 mill chuck set 3,4,5,6,8,10mm"</f>
        <v>- MT2 mill chuck set 3,4,5,6,8,10mm</v>
      </c>
      <c r="C1404" t="str">
        <f t="shared" si="59"/>
        <v>Active</v>
      </c>
    </row>
    <row r="1405" spans="1:3" ht="18" customHeight="1">
      <c r="A1405" t="str">
        <f>"10-1107-4000"</f>
        <v>10-1107-4000</v>
      </c>
      <c r="B1405" t="str">
        <f>"- Clamping kit 24pcs"</f>
        <v>- Clamping kit 24pcs</v>
      </c>
      <c r="C1405" t="str">
        <f t="shared" si="59"/>
        <v>Active</v>
      </c>
    </row>
    <row r="1406" spans="1:3" ht="18" customHeight="1">
      <c r="A1406" t="str">
        <f>"10-1107-5000"</f>
        <v>10-1107-5000</v>
      </c>
      <c r="B1406" t="str">
        <f>"- 80mm vice"</f>
        <v>- 80mm vice</v>
      </c>
      <c r="C1406" t="str">
        <f t="shared" si="59"/>
        <v>Active</v>
      </c>
    </row>
    <row r="1407" spans="1:3" ht="18" customHeight="1">
      <c r="A1407" t="str">
        <f>"10-1107-6000"</f>
        <v>10-1107-6000</v>
      </c>
      <c r="B1407" t="str">
        <f>"- Machine Stand"</f>
        <v>- Machine Stand</v>
      </c>
      <c r="C1407" t="str">
        <f t="shared" si="59"/>
        <v>Active</v>
      </c>
    </row>
    <row r="1408" spans="1:3" ht="18" customHeight="1">
      <c r="A1408" t="str">
        <f>"10-1107-7000"</f>
        <v>10-1107-7000</v>
      </c>
      <c r="B1408" t="str">
        <f>"- MT2 boring arbor with boring cutter"</f>
        <v>- MT2 boring arbor with boring cutter</v>
      </c>
      <c r="C1408" t="str">
        <f t="shared" si="59"/>
        <v>Active</v>
      </c>
    </row>
    <row r="1409" spans="1:3" ht="18" customHeight="1">
      <c r="A1409" t="str">
        <f>"10-1107-8000"</f>
        <v>10-1107-8000</v>
      </c>
      <c r="B1409" t="str">
        <f>"- MT3 boring cutter with arbor"</f>
        <v>- MT3 boring cutter with arbor</v>
      </c>
      <c r="C1409" t="str">
        <f t="shared" si="59"/>
        <v>Active</v>
      </c>
    </row>
    <row r="1410" spans="1:3" ht="18" customHeight="1">
      <c r="A1410" t="str">
        <f>"10-1107-9000"</f>
        <v>10-1107-9000</v>
      </c>
      <c r="B1410" t="str">
        <f>"- R8 boring cutter with arbor"</f>
        <v>- R8 boring cutter with arbor</v>
      </c>
      <c r="C1410" t="str">
        <f t="shared" si="59"/>
        <v>Active</v>
      </c>
    </row>
    <row r="1411" spans="1:3" ht="18" customHeight="1">
      <c r="A1411" t="str">
        <f>"10-1108-0000"</f>
        <v>10-1108-0000</v>
      </c>
      <c r="B1411" t="str">
        <f>"- 70mm vice with angle adjustment"</f>
        <v>- 70mm vice with angle adjustment</v>
      </c>
      <c r="C1411" t="str">
        <f t="shared" si="59"/>
        <v>Active</v>
      </c>
    </row>
    <row r="1412" spans="1:3" ht="18" customHeight="1">
      <c r="A1412" t="str">
        <f>"10-1108-1110"</f>
        <v>10-1108-1110</v>
      </c>
      <c r="B1412" t="str">
        <f>"- Coolant system 27L - 110V"</f>
        <v>- Coolant system 27L - 110V</v>
      </c>
      <c r="C1412" t="str">
        <f t="shared" si="59"/>
        <v>Active</v>
      </c>
    </row>
    <row r="1413" spans="1:3" ht="18" customHeight="1">
      <c r="A1413" t="str">
        <f>"10-1108-1220"</f>
        <v>10-1108-1220</v>
      </c>
      <c r="B1413" t="str">
        <f>"- Coolant system 27L -220V"</f>
        <v>- Coolant system 27L -220V</v>
      </c>
      <c r="C1413" t="str">
        <f t="shared" si="59"/>
        <v>Active</v>
      </c>
    </row>
    <row r="1414" spans="1:3" ht="18" customHeight="1">
      <c r="A1414" t="str">
        <f>"10-1108-2000"</f>
        <v>10-1108-2000</v>
      </c>
      <c r="B1414" t="str">
        <f>"- 100mm vice with angle adjustment"</f>
        <v>- 100mm vice with angle adjustment</v>
      </c>
      <c r="C1414" t="str">
        <f t="shared" si="59"/>
        <v>Active</v>
      </c>
    </row>
    <row r="1415" spans="1:3" ht="18" customHeight="1">
      <c r="A1415" t="str">
        <f>"10-1108-3000"</f>
        <v>10-1108-3000</v>
      </c>
      <c r="B1415" t="str">
        <f>"- Steady rest BenchTurn 7000"</f>
        <v>- Steady rest BenchTurn 7000</v>
      </c>
      <c r="C1415" t="str">
        <f>"Inactive"</f>
        <v>Inactive</v>
      </c>
    </row>
    <row r="1416" spans="1:3" ht="18" customHeight="1">
      <c r="A1416" t="str">
        <f>"10-1108-4000"</f>
        <v>10-1108-4000</v>
      </c>
      <c r="B1416" t="str">
        <f>"- Follow rest BenchTurn 7000"</f>
        <v>- Follow rest BenchTurn 7000</v>
      </c>
      <c r="C1416" t="str">
        <f>"Inactive"</f>
        <v>Inactive</v>
      </c>
    </row>
    <row r="1417" spans="1:3" ht="18" customHeight="1">
      <c r="A1417" t="str">
        <f>"10-1108-5000"</f>
        <v>10-1108-5000</v>
      </c>
      <c r="B1417" t="str">
        <f>"- Chuck set 4,6,8,10,12,14,16mm"</f>
        <v>- Chuck set 4,6,8,10,12,14,16mm</v>
      </c>
      <c r="C1417" t="str">
        <f>"Active"</f>
        <v>Active</v>
      </c>
    </row>
    <row r="1418" spans="1:3" ht="18" customHeight="1">
      <c r="A1418" t="str">
        <f>"10-1108-6000"</f>
        <v>10-1108-6000</v>
      </c>
      <c r="B1418" t="str">
        <f>"- 6mm engraving tool set"</f>
        <v>- 6mm engraving tool set</v>
      </c>
      <c r="C1418" t="str">
        <f>"Active"</f>
        <v>Active</v>
      </c>
    </row>
    <row r="1419" spans="1:3" ht="18" customHeight="1">
      <c r="A1419" t="str">
        <f>"10-1108-7000"</f>
        <v>10-1108-7000</v>
      </c>
      <c r="B1419" t="str">
        <f>"- PCMCIA parallel card"</f>
        <v>- PCMCIA parallel card</v>
      </c>
      <c r="C1419" t="str">
        <f>"Active"</f>
        <v>Active</v>
      </c>
    </row>
    <row r="1420" spans="1:3" ht="18" customHeight="1">
      <c r="A1420" t="str">
        <f>"10-1108-8000"</f>
        <v>10-1108-8000</v>
      </c>
      <c r="B1420" t="str">
        <f>"- 4th Axis rotary worktable with tailstock"</f>
        <v>- 4th Axis rotary worktable with tailstock</v>
      </c>
      <c r="C1420" t="str">
        <f>"Active"</f>
        <v>Active</v>
      </c>
    </row>
    <row r="1421" spans="1:3" ht="18" customHeight="1">
      <c r="A1421" t="str">
        <f>"10-1108-9000"</f>
        <v>10-1108-9000</v>
      </c>
      <c r="B1421" t="str">
        <f>"- Fanuc panel / Computer stand"</f>
        <v>- Fanuc panel / Computer stand</v>
      </c>
      <c r="C1421" t="str">
        <f>"Active"</f>
        <v>Active</v>
      </c>
    </row>
    <row r="1422" spans="1:3" ht="18" customHeight="1">
      <c r="A1422" t="str">
        <f>"10-1109-0000"</f>
        <v>10-1109-0000</v>
      </c>
      <c r="B1422" t="str">
        <f>"- Integrated computer frame"</f>
        <v>- Integrated computer frame</v>
      </c>
      <c r="C1422" t="str">
        <f>"Inactive"</f>
        <v>Inactive</v>
      </c>
    </row>
    <row r="1423" spans="1:3" ht="18" customHeight="1">
      <c r="A1423" t="str">
        <f>"10-1109-1000"</f>
        <v>10-1109-1000</v>
      </c>
      <c r="B1423" t="str">
        <f>"- ISO30 mill chuck set 3,4,6,8,10,12,14,16mm"</f>
        <v>- ISO30 mill chuck set 3,4,6,8,10,12,14,16mm</v>
      </c>
      <c r="C1423" t="str">
        <f t="shared" ref="C1423:C1444" si="60">"Active"</f>
        <v>Active</v>
      </c>
    </row>
    <row r="1424" spans="1:3" ht="18" customHeight="1">
      <c r="A1424" t="str">
        <f>"10-1109-2000"</f>
        <v>10-1109-2000</v>
      </c>
      <c r="B1424" t="str">
        <f>"- Stand for Benchtop CNC"</f>
        <v>- Stand for Benchtop CNC</v>
      </c>
      <c r="C1424" t="str">
        <f t="shared" si="60"/>
        <v>Active</v>
      </c>
    </row>
    <row r="1425" spans="1:3" ht="18" customHeight="1">
      <c r="A1425" t="str">
        <f>"10-1109-3000"</f>
        <v>10-1109-3000</v>
      </c>
      <c r="B1425" t="str">
        <f>"- 80mm 3-jaw chuck"</f>
        <v>- 80mm 3-jaw chuck</v>
      </c>
      <c r="C1425" t="str">
        <f t="shared" si="60"/>
        <v>Active</v>
      </c>
    </row>
    <row r="1426" spans="1:3" ht="18" customHeight="1">
      <c r="A1426" t="str">
        <f>"10-1109-4000"</f>
        <v>10-1109-4000</v>
      </c>
      <c r="B1426" t="str">
        <f>"- R8 mill chuck set 3,4,6,8,10,12,14,16mm"</f>
        <v>- R8 mill chuck set 3,4,6,8,10,12,14,16mm</v>
      </c>
      <c r="C1426" t="str">
        <f t="shared" si="60"/>
        <v>Active</v>
      </c>
    </row>
    <row r="1427" spans="1:3" ht="18" customHeight="1">
      <c r="A1427" t="str">
        <f>"10-1109-5000"</f>
        <v>10-1109-5000</v>
      </c>
      <c r="B1427" t="str">
        <f>"- R8 drill chuck (16mm)"</f>
        <v>- R8 drill chuck (16mm)</v>
      </c>
      <c r="C1427" t="str">
        <f t="shared" si="60"/>
        <v>Active</v>
      </c>
    </row>
    <row r="1428" spans="1:3" ht="18" customHeight="1">
      <c r="A1428" t="str">
        <f>"10-1109-6000"</f>
        <v>10-1109-6000</v>
      </c>
      <c r="B1428" t="str">
        <f>"- ISO30 drill chuck (13mm)"</f>
        <v>- ISO30 drill chuck (13mm)</v>
      </c>
      <c r="C1428" t="str">
        <f t="shared" si="60"/>
        <v>Active</v>
      </c>
    </row>
    <row r="1429" spans="1:3" ht="18" customHeight="1">
      <c r="A1429" t="str">
        <f>"10-1109-7000"</f>
        <v>10-1109-7000</v>
      </c>
      <c r="B1429" t="str">
        <f>"- MT3 drill chuck (13mm)"</f>
        <v>- MT3 drill chuck (13mm)</v>
      </c>
      <c r="C1429" t="str">
        <f t="shared" si="60"/>
        <v>Active</v>
      </c>
    </row>
    <row r="1430" spans="1:3" ht="18" customHeight="1">
      <c r="A1430" t="str">
        <f>"10-1109-8000"</f>
        <v>10-1109-8000</v>
      </c>
      <c r="B1430" t="str">
        <f>"- MT2 drill chuck (10mm)"</f>
        <v>- MT2 drill chuck (10mm)</v>
      </c>
      <c r="C1430" t="str">
        <f t="shared" si="60"/>
        <v>Active</v>
      </c>
    </row>
    <row r="1431" spans="1:3" ht="18" customHeight="1">
      <c r="A1431" t="str">
        <f>"10-1109-9000"</f>
        <v>10-1109-9000</v>
      </c>
      <c r="B1431" t="str">
        <f>"8 x 8 mm cutter tool holder"</f>
        <v>8 x 8 mm cutter tool holder</v>
      </c>
      <c r="C1431" t="str">
        <f t="shared" si="60"/>
        <v>Active</v>
      </c>
    </row>
    <row r="1432" spans="1:3" ht="18" customHeight="1">
      <c r="A1432" t="str">
        <f>"10-1110-0000"</f>
        <v>10-1110-0000</v>
      </c>
      <c r="B1432" t="str">
        <f>"TiN coated tip for 011099"</f>
        <v>TiN coated tip for 011099</v>
      </c>
      <c r="C1432" t="str">
        <f t="shared" si="60"/>
        <v>Active</v>
      </c>
    </row>
    <row r="1433" spans="1:3" ht="18" customHeight="1">
      <c r="A1433" t="str">
        <f>"10-1110-1000"</f>
        <v>10-1110-1000</v>
      </c>
      <c r="B1433" t="str">
        <f>"10 x 10mm cutter tool holder"</f>
        <v>10 x 10mm cutter tool holder</v>
      </c>
      <c r="C1433" t="str">
        <f t="shared" si="60"/>
        <v>Active</v>
      </c>
    </row>
    <row r="1434" spans="1:3" ht="18" customHeight="1">
      <c r="A1434" t="str">
        <f>"10-1110-2000"</f>
        <v>10-1110-2000</v>
      </c>
      <c r="B1434" t="str">
        <f>"TiN coated tip for 011101"</f>
        <v>TiN coated tip for 011101</v>
      </c>
      <c r="C1434" t="str">
        <f t="shared" si="60"/>
        <v>Active</v>
      </c>
    </row>
    <row r="1435" spans="1:3" ht="18" customHeight="1">
      <c r="A1435" t="str">
        <f>"10-1110-3000"</f>
        <v>10-1110-3000</v>
      </c>
      <c r="B1435" t="str">
        <f>"-- Pneumatic Shield with Sensors (BenchMill 6000"</f>
        <v>-- Pneumatic Shield with Sensors (BenchMill 6000</v>
      </c>
      <c r="C1435" t="str">
        <f t="shared" si="60"/>
        <v>Active</v>
      </c>
    </row>
    <row r="1436" spans="1:3" ht="18" customHeight="1">
      <c r="A1436" t="str">
        <f>"10-1110-4000"</f>
        <v>10-1110-4000</v>
      </c>
      <c r="B1436" t="str">
        <f>"-- Pneumatic Shield (ProMill 8000 for FMS)"</f>
        <v>-- Pneumatic Shield (ProMill 8000 for FMS)</v>
      </c>
      <c r="C1436" t="str">
        <f t="shared" si="60"/>
        <v>Active</v>
      </c>
    </row>
    <row r="1437" spans="1:3" ht="18" customHeight="1">
      <c r="A1437" t="str">
        <f>"10-1110-5000"</f>
        <v>10-1110-5000</v>
      </c>
      <c r="B1437" t="str">
        <f>"-- Pneumatic Shield (BenchTurn 7000 for FMS))"</f>
        <v>-- Pneumatic Shield (BenchTurn 7000 for FMS))</v>
      </c>
      <c r="C1437" t="str">
        <f t="shared" si="60"/>
        <v>Active</v>
      </c>
    </row>
    <row r="1438" spans="1:3" ht="18" customHeight="1">
      <c r="A1438" t="str">
        <f>"10-1110-6000"</f>
        <v>10-1110-6000</v>
      </c>
      <c r="B1438" t="str">
        <f>"-- Pneumatic Shield (ProTurn 9000 for FMS)"</f>
        <v>-- Pneumatic Shield (ProTurn 9000 for FMS)</v>
      </c>
      <c r="C1438" t="str">
        <f t="shared" si="60"/>
        <v>Active</v>
      </c>
    </row>
    <row r="1439" spans="1:3" ht="18" customHeight="1">
      <c r="A1439" t="str">
        <f>"10-1110-7000"</f>
        <v>10-1110-7000</v>
      </c>
      <c r="B1439" t="str">
        <f>"--Dual Axis Vise (for FMS)"</f>
        <v>--Dual Axis Vise (for FMS)</v>
      </c>
      <c r="C1439" t="str">
        <f t="shared" si="60"/>
        <v>Active</v>
      </c>
    </row>
    <row r="1440" spans="1:3" ht="18" customHeight="1">
      <c r="A1440" t="str">
        <f>"10-1110-8000"</f>
        <v>10-1110-8000</v>
      </c>
      <c r="B1440" t="str">
        <f>"-- Single Axis Vise(for FMS)"</f>
        <v>-- Single Axis Vise(for FMS)</v>
      </c>
      <c r="C1440" t="str">
        <f t="shared" si="60"/>
        <v>Active</v>
      </c>
    </row>
    <row r="1441" spans="1:3" ht="18" customHeight="1">
      <c r="A1441" t="str">
        <f>"10-1110-9000"</f>
        <v>10-1110-9000</v>
      </c>
      <c r="B1441" t="str">
        <f>"-- Pneumatic Chuck (BenchTurn 7000 for FMS)"</f>
        <v>-- Pneumatic Chuck (BenchTurn 7000 for FMS)</v>
      </c>
      <c r="C1441" t="str">
        <f t="shared" si="60"/>
        <v>Active</v>
      </c>
    </row>
    <row r="1442" spans="1:3" ht="18" customHeight="1">
      <c r="A1442" t="str">
        <f>"10-1111-0000"</f>
        <v>10-1111-0000</v>
      </c>
      <c r="B1442" t="str">
        <f>"-- Pneumatic Chuck (ProTurn 9000 for FMS)"</f>
        <v>-- Pneumatic Chuck (ProTurn 9000 for FMS)</v>
      </c>
      <c r="C1442" t="str">
        <f t="shared" si="60"/>
        <v>Active</v>
      </c>
    </row>
    <row r="1443" spans="1:3" ht="18" customHeight="1">
      <c r="A1443" t="str">
        <f>"10-1111-1000"</f>
        <v>10-1111-1000</v>
      </c>
      <c r="B1443" t="str">
        <f>"- Handwheel - Manual Control"</f>
        <v>- Handwheel - Manual Control</v>
      </c>
      <c r="C1443" t="str">
        <f t="shared" si="60"/>
        <v>Active</v>
      </c>
    </row>
    <row r="1444" spans="1:3" ht="18" customHeight="1">
      <c r="A1444" t="str">
        <f>"10-1111-2000"</f>
        <v>10-1111-2000</v>
      </c>
      <c r="B1444" t="str">
        <f>"- Clamping kit 42pcs"</f>
        <v>- Clamping kit 42pcs</v>
      </c>
      <c r="C1444" t="str">
        <f t="shared" si="60"/>
        <v>Active</v>
      </c>
    </row>
    <row r="1445" spans="1:3" ht="18" customHeight="1">
      <c r="A1445" t="str">
        <f>"10-1111-3000"</f>
        <v>10-1111-3000</v>
      </c>
      <c r="B1445" t="str">
        <f>"- Fanuc Emulator Panel with software"</f>
        <v>- Fanuc Emulator Panel with software</v>
      </c>
      <c r="C1445" t="str">
        <f>"Phase Out"</f>
        <v>Phase Out</v>
      </c>
    </row>
    <row r="1446" spans="1:3" ht="18" customHeight="1">
      <c r="A1446" t="str">
        <f>"10-1111-4000"</f>
        <v>10-1111-4000</v>
      </c>
      <c r="B1446" t="str">
        <f>"- Hand wheel for Sinumerik 802S controller"</f>
        <v>- Hand wheel for Sinumerik 802S controller</v>
      </c>
      <c r="C1446" t="str">
        <f t="shared" ref="C1446:C1471" si="61">"Active"</f>
        <v>Active</v>
      </c>
    </row>
    <row r="1447" spans="1:3" ht="18" customHeight="1">
      <c r="A1447" t="str">
        <f>"10-1111-5000"</f>
        <v>10-1111-5000</v>
      </c>
      <c r="B1447" t="str">
        <f>"clamping kit 58 pcs set"</f>
        <v>clamping kit 58 pcs set</v>
      </c>
      <c r="C1447" t="str">
        <f t="shared" si="61"/>
        <v>Active</v>
      </c>
    </row>
    <row r="1448" spans="1:3" ht="18" customHeight="1">
      <c r="A1448" t="str">
        <f>"10-1111-6000"</f>
        <v>10-1111-6000</v>
      </c>
      <c r="B1448" t="str">
        <f>"4"" Vise"</f>
        <v>4" Vise</v>
      </c>
      <c r="C1448" t="str">
        <f t="shared" si="61"/>
        <v>Active</v>
      </c>
    </row>
    <row r="1449" spans="1:3" ht="18" customHeight="1">
      <c r="A1449" t="str">
        <f>"10-1111-7000"</f>
        <v>10-1111-7000</v>
      </c>
      <c r="B1449" t="str">
        <f>"- Imperial 4 tool ISO 20 tool holder package"</f>
        <v>- Imperial 4 tool ISO 20 tool holder package</v>
      </c>
      <c r="C1449" t="str">
        <f t="shared" si="61"/>
        <v>Active</v>
      </c>
    </row>
    <row r="1450" spans="1:3" ht="18" customHeight="1">
      <c r="A1450" t="str">
        <f>"10-1111-8000"</f>
        <v>10-1111-8000</v>
      </c>
      <c r="B1450" t="str">
        <f>"- Metric  ISO20 - 4 tool holders"</f>
        <v>- Metric  ISO20 - 4 tool holders</v>
      </c>
      <c r="C1450" t="str">
        <f t="shared" si="61"/>
        <v>Active</v>
      </c>
    </row>
    <row r="1451" spans="1:3" ht="18" customHeight="1">
      <c r="A1451" t="str">
        <f>"10-1111-9000"</f>
        <v>10-1111-9000</v>
      </c>
      <c r="B1451" t="str">
        <f>"ISO 20 tool holder"</f>
        <v>ISO 20 tool holder</v>
      </c>
      <c r="C1451" t="str">
        <f t="shared" si="61"/>
        <v>Active</v>
      </c>
    </row>
    <row r="1452" spans="1:3" ht="18" customHeight="1">
      <c r="A1452" t="str">
        <f>"10-1112-0000"</f>
        <v>10-1112-0000</v>
      </c>
      <c r="B1452" t="str">
        <f>"Wrench for ISO 20 tool holder"</f>
        <v>Wrench for ISO 20 tool holder</v>
      </c>
      <c r="C1452" t="str">
        <f t="shared" si="61"/>
        <v>Active</v>
      </c>
    </row>
    <row r="1453" spans="1:3" ht="18" customHeight="1">
      <c r="A1453" t="str">
        <f>"10-1112-1000"</f>
        <v>10-1112-1000</v>
      </c>
      <c r="B1453" t="str">
        <f>"Storage Rack for ISO 20 tool holders - 8 storage"</f>
        <v>Storage Rack for ISO 20 tool holders - 8 storage</v>
      </c>
      <c r="C1453" t="str">
        <f t="shared" si="61"/>
        <v>Active</v>
      </c>
    </row>
    <row r="1454" spans="1:3" ht="18" customHeight="1">
      <c r="A1454" t="str">
        <f>"10-1112-2000"</f>
        <v>10-1112-2000</v>
      </c>
      <c r="B1454" t="str">
        <f>"ER16 Collet set-8 pieces(3,4,5,6,7,8,9 and 10mm)"</f>
        <v>ER16 Collet set-8 pieces(3,4,5,6,7,8,9 and 10mm)</v>
      </c>
      <c r="C1454" t="str">
        <f t="shared" si="61"/>
        <v>Active</v>
      </c>
    </row>
    <row r="1455" spans="1:3" ht="18" customHeight="1">
      <c r="A1455" t="str">
        <f>"10-1112-3000"</f>
        <v>10-1112-3000</v>
      </c>
      <c r="B1455" t="str">
        <f>"- ER16 Collet - 3mm"</f>
        <v>- ER16 Collet - 3mm</v>
      </c>
      <c r="C1455" t="str">
        <f t="shared" si="61"/>
        <v>Active</v>
      </c>
    </row>
    <row r="1456" spans="1:3" ht="18" customHeight="1">
      <c r="A1456" t="str">
        <f>"10-1112-4000"</f>
        <v>10-1112-4000</v>
      </c>
      <c r="B1456" t="str">
        <f>"- ER16 Collet - 4mm"</f>
        <v>- ER16 Collet - 4mm</v>
      </c>
      <c r="C1456" t="str">
        <f t="shared" si="61"/>
        <v>Active</v>
      </c>
    </row>
    <row r="1457" spans="1:3" ht="18" customHeight="1">
      <c r="A1457" t="str">
        <f>"10-1112-5000"</f>
        <v>10-1112-5000</v>
      </c>
      <c r="B1457" t="str">
        <f>"- ER16 Collet - 5mm"</f>
        <v>- ER16 Collet - 5mm</v>
      </c>
      <c r="C1457" t="str">
        <f t="shared" si="61"/>
        <v>Active</v>
      </c>
    </row>
    <row r="1458" spans="1:3" ht="18" customHeight="1">
      <c r="A1458" t="str">
        <f>"10-1112-6000"</f>
        <v>10-1112-6000</v>
      </c>
      <c r="B1458" t="str">
        <f>"- ER16 Collet - 6mm"</f>
        <v>- ER16 Collet - 6mm</v>
      </c>
      <c r="C1458" t="str">
        <f t="shared" si="61"/>
        <v>Active</v>
      </c>
    </row>
    <row r="1459" spans="1:3" ht="18" customHeight="1">
      <c r="A1459" t="str">
        <f>"10-1112-7000"</f>
        <v>10-1112-7000</v>
      </c>
      <c r="B1459" t="str">
        <f>"- ER16 Collet - 7mm"</f>
        <v>- ER16 Collet - 7mm</v>
      </c>
      <c r="C1459" t="str">
        <f t="shared" si="61"/>
        <v>Active</v>
      </c>
    </row>
    <row r="1460" spans="1:3" ht="18" customHeight="1">
      <c r="A1460" t="str">
        <f>"10-1112-8000"</f>
        <v>10-1112-8000</v>
      </c>
      <c r="B1460" t="str">
        <f>"- ER16 Collet - 8mm"</f>
        <v>- ER16 Collet - 8mm</v>
      </c>
      <c r="C1460" t="str">
        <f t="shared" si="61"/>
        <v>Active</v>
      </c>
    </row>
    <row r="1461" spans="1:3" ht="18" customHeight="1">
      <c r="A1461" t="str">
        <f>"10-1112-9000"</f>
        <v>10-1112-9000</v>
      </c>
      <c r="B1461" t="str">
        <f>"- ER16 Collet - 9mm"</f>
        <v>- ER16 Collet - 9mm</v>
      </c>
      <c r="C1461" t="str">
        <f t="shared" si="61"/>
        <v>Active</v>
      </c>
    </row>
    <row r="1462" spans="1:3" ht="18" customHeight="1">
      <c r="A1462" t="str">
        <f>"10-1113-0000"</f>
        <v>10-1113-0000</v>
      </c>
      <c r="B1462" t="str">
        <f>"- ER16 Collet - 10mm"</f>
        <v>- ER16 Collet - 10mm</v>
      </c>
      <c r="C1462" t="str">
        <f t="shared" si="61"/>
        <v>Active</v>
      </c>
    </row>
    <row r="1463" spans="1:3" ht="18" customHeight="1">
      <c r="A1463" t="str">
        <f>"10-1113-1000"</f>
        <v>10-1113-1000</v>
      </c>
      <c r="B1463" t="str">
        <f>"- 4 Tool  ATC (Table Mounted)"</f>
        <v>- 4 Tool  ATC (Table Mounted)</v>
      </c>
      <c r="C1463" t="str">
        <f t="shared" si="61"/>
        <v>Active</v>
      </c>
    </row>
    <row r="1464" spans="1:3" ht="18" customHeight="1">
      <c r="A1464" t="str">
        <f>"10-1113-2000"</f>
        <v>10-1113-2000</v>
      </c>
      <c r="B1464" t="str">
        <f>"- Metric End Mill Package(2,3,6 mm End mill)"</f>
        <v>- Metric End Mill Package(2,3,6 mm End mill)</v>
      </c>
      <c r="C1464" t="str">
        <f t="shared" si="61"/>
        <v>Active</v>
      </c>
    </row>
    <row r="1465" spans="1:3" ht="18" customHeight="1">
      <c r="A1465" t="str">
        <f>"10-1113-3000"</f>
        <v>10-1113-3000</v>
      </c>
      <c r="B1465" t="str">
        <f>"- Imperial Standard End Mill Package 5530"</f>
        <v>- Imperial Standard End Mill Package 5530</v>
      </c>
      <c r="C1465" t="str">
        <f t="shared" si="61"/>
        <v>Active</v>
      </c>
    </row>
    <row r="1466" spans="1:3" ht="18" customHeight="1">
      <c r="A1466" t="str">
        <f>"10-1113-4000"</f>
        <v>10-1113-4000</v>
      </c>
      <c r="B1466" t="str">
        <f>"Metric End Mill Package(2X 3,6,8,10End,4,6 Ball)"</f>
        <v>Metric End Mill Package(2X 3,6,8,10End,4,6 Ball)</v>
      </c>
      <c r="C1466" t="str">
        <f t="shared" si="61"/>
        <v>Active</v>
      </c>
    </row>
    <row r="1467" spans="1:3" ht="18" customHeight="1">
      <c r="A1467" t="str">
        <f>"10-1113-5000"</f>
        <v>10-1113-5000</v>
      </c>
      <c r="B1467" t="str">
        <f>"Imperial Advanced End Mill Package 5120"</f>
        <v>Imperial Advanced End Mill Package 5120</v>
      </c>
      <c r="C1467" t="str">
        <f t="shared" si="61"/>
        <v>Active</v>
      </c>
    </row>
    <row r="1468" spans="1:3" ht="18" customHeight="1">
      <c r="A1468" t="str">
        <f>"10-1113-6000"</f>
        <v>10-1113-6000</v>
      </c>
      <c r="B1468" t="str">
        <f>"- Metric Engraving Package (1,1.5,2 mm End mill)"</f>
        <v>- Metric Engraving Package (1,1.5,2 mm End mill)</v>
      </c>
      <c r="C1468" t="str">
        <f t="shared" si="61"/>
        <v>Active</v>
      </c>
    </row>
    <row r="1469" spans="1:3" ht="18" customHeight="1">
      <c r="A1469" t="str">
        <f>"10-1113-7000"</f>
        <v>10-1113-7000</v>
      </c>
      <c r="B1469" t="str">
        <f>"- Imperial Engraving Package 5710"</f>
        <v>- Imperial Engraving Package 5710</v>
      </c>
      <c r="C1469" t="str">
        <f t="shared" si="61"/>
        <v>Active</v>
      </c>
    </row>
    <row r="1470" spans="1:3" ht="18" customHeight="1">
      <c r="A1470" t="str">
        <f>"10-1113-8000"</f>
        <v>10-1113-8000</v>
      </c>
      <c r="B1470" t="str">
        <f>"- Jacob's Drill Chuck10mm mounting post forISO20"</f>
        <v>- Jacob's Drill Chuck10mm mounting post forISO20</v>
      </c>
      <c r="C1470" t="str">
        <f t="shared" si="61"/>
        <v>Active</v>
      </c>
    </row>
    <row r="1471" spans="1:3" ht="18" customHeight="1">
      <c r="A1471" t="str">
        <f>"10-1113-9000"</f>
        <v>10-1113-9000</v>
      </c>
      <c r="B1471" t="str">
        <f>"- Tool Height Offset Sensor"</f>
        <v>- Tool Height Offset Sensor</v>
      </c>
      <c r="C1471" t="str">
        <f t="shared" si="61"/>
        <v>Active</v>
      </c>
    </row>
    <row r="1472" spans="1:3" ht="18" customHeight="1">
      <c r="A1472" t="str">
        <f>"10-1114-0000"</f>
        <v>10-1114-0000</v>
      </c>
      <c r="B1472" t="str">
        <f>"Plexiglass Window 300-9202-06, Solido"</f>
        <v>Plexiglass Window 300-9202-06, Solido</v>
      </c>
      <c r="C1472" t="str">
        <f>"New"</f>
        <v>New</v>
      </c>
    </row>
    <row r="1473" spans="1:3" ht="18" customHeight="1">
      <c r="A1473" t="str">
        <f>"10-1114-1000"</f>
        <v>10-1114-1000</v>
      </c>
      <c r="B1473" t="str">
        <f>"Vacuum system with 4KW air cooling vacuum pump"</f>
        <v>Vacuum system with 4KW air cooling vacuum pump</v>
      </c>
      <c r="C1473" t="str">
        <f t="shared" ref="C1473:C1516" si="62">"Active"</f>
        <v>Active</v>
      </c>
    </row>
    <row r="1474" spans="1:3" ht="18" customHeight="1">
      <c r="A1474" t="str">
        <f>"10-1114-2000"</f>
        <v>10-1114-2000</v>
      </c>
      <c r="B1474" t="str">
        <f>"Dust collector system"</f>
        <v>Dust collector system</v>
      </c>
      <c r="C1474" t="str">
        <f t="shared" si="62"/>
        <v>Active</v>
      </c>
    </row>
    <row r="1475" spans="1:3" ht="18" customHeight="1">
      <c r="A1475" t="str">
        <f>"10-1114-3000"</f>
        <v>10-1114-3000</v>
      </c>
      <c r="B1475" t="str">
        <f>"Vice D125mm"</f>
        <v>Vice D125mm</v>
      </c>
      <c r="C1475" t="str">
        <f t="shared" si="62"/>
        <v>Active</v>
      </c>
    </row>
    <row r="1476" spans="1:3" ht="18" customHeight="1">
      <c r="A1476" t="str">
        <f>"10-1114-4000"</f>
        <v>10-1114-4000</v>
      </c>
      <c r="B1476" t="str">
        <f>"Drill bit Tin coated 19 pcs"</f>
        <v>Drill bit Tin coated 19 pcs</v>
      </c>
      <c r="C1476" t="str">
        <f t="shared" si="62"/>
        <v>Active</v>
      </c>
    </row>
    <row r="1477" spans="1:3" ht="18" customHeight="1">
      <c r="A1477" t="str">
        <f>"10-1114-5000"</f>
        <v>10-1114-5000</v>
      </c>
      <c r="B1477" t="str">
        <f>"Flying Cutter MT3 ￠50mm"</f>
        <v>Flying Cutter MT3 ￠50mm</v>
      </c>
      <c r="C1477" t="str">
        <f t="shared" si="62"/>
        <v>Active</v>
      </c>
    </row>
    <row r="1478" spans="1:3" ht="18" customHeight="1">
      <c r="A1478" t="str">
        <f>"10-1114-6000"</f>
        <v>10-1114-6000</v>
      </c>
      <c r="B1478" t="str">
        <f>"Stand for SX4"</f>
        <v>Stand for SX4</v>
      </c>
      <c r="C1478" t="str">
        <f t="shared" si="62"/>
        <v>Active</v>
      </c>
    </row>
    <row r="1479" spans="1:3" ht="18" customHeight="1">
      <c r="A1479" t="str">
        <f>"10-1114-7000"</f>
        <v>10-1114-7000</v>
      </c>
      <c r="B1479" t="str">
        <f>"Power feeder"</f>
        <v>Power feeder</v>
      </c>
      <c r="C1479" t="str">
        <f t="shared" si="62"/>
        <v>Active</v>
      </c>
    </row>
    <row r="1480" spans="1:3" ht="18" customHeight="1">
      <c r="A1480" t="str">
        <f>"10-1114-8000"</f>
        <v>10-1114-8000</v>
      </c>
      <c r="B1480" t="str">
        <f>"Stand for SC4"</f>
        <v>Stand for SC4</v>
      </c>
      <c r="C1480" t="str">
        <f t="shared" si="62"/>
        <v>Active</v>
      </c>
    </row>
    <row r="1481" spans="1:3" ht="18" customHeight="1">
      <c r="A1481" t="str">
        <f>"10-1114-9000"</f>
        <v>10-1114-9000</v>
      </c>
      <c r="B1481" t="str">
        <f>"Quick change cutter rest"</f>
        <v>Quick change cutter rest</v>
      </c>
      <c r="C1481" t="str">
        <f t="shared" si="62"/>
        <v>Active</v>
      </c>
    </row>
    <row r="1482" spans="1:3" ht="18" customHeight="1">
      <c r="A1482" t="str">
        <f>"10-1115-0000"</f>
        <v>10-1115-0000</v>
      </c>
      <c r="B1482" t="str">
        <f>"ER16 Collet set - 2 x (3,6,8,10mm)"</f>
        <v>ER16 Collet set - 2 x (3,6,8,10mm)</v>
      </c>
      <c r="C1482" t="str">
        <f t="shared" si="62"/>
        <v>Active</v>
      </c>
    </row>
    <row r="1483" spans="1:3" ht="18" customHeight="1">
      <c r="A1483" t="str">
        <f>"10-1115-1000"</f>
        <v>10-1115-1000</v>
      </c>
      <c r="B1483" t="str">
        <f>"- Fanuc Emulator panel and stand"</f>
        <v>- Fanuc Emulator panel and stand</v>
      </c>
      <c r="C1483" t="str">
        <f t="shared" si="62"/>
        <v>Active</v>
      </c>
    </row>
    <row r="1484" spans="1:3" ht="18" customHeight="1">
      <c r="A1484" t="str">
        <f>"10-1115-2000"</f>
        <v>10-1115-2000</v>
      </c>
      <c r="B1484" t="str">
        <f>"- Table mounted ATC package"</f>
        <v>- Table mounted ATC package</v>
      </c>
      <c r="C1484" t="str">
        <f t="shared" si="62"/>
        <v>Active</v>
      </c>
    </row>
    <row r="1485" spans="1:3" ht="18" customHeight="1">
      <c r="A1485" t="str">
        <f>"10-1115-3000"</f>
        <v>10-1115-3000</v>
      </c>
      <c r="B1485" t="str">
        <f>"- 4th axis package"</f>
        <v>- 4th axis package</v>
      </c>
      <c r="C1485" t="str">
        <f t="shared" si="62"/>
        <v>Active</v>
      </c>
    </row>
    <row r="1486" spans="1:3" ht="18" customHeight="1">
      <c r="A1486" t="str">
        <f>"10-1115-4000"</f>
        <v>10-1115-4000</v>
      </c>
      <c r="B1486" t="str">
        <f>"iKX3 27*39 Step Block, BM6000,PM8000"</f>
        <v>iKX3 27*39 Step Block, BM6000,PM8000</v>
      </c>
      <c r="C1486" t="str">
        <f t="shared" si="62"/>
        <v>Active</v>
      </c>
    </row>
    <row r="1487" spans="1:3" ht="18" customHeight="1">
      <c r="A1487" t="str">
        <f>"10-1115-5000"</f>
        <v>10-1115-5000</v>
      </c>
      <c r="B1487" t="str">
        <f>"Step Clamp – BM6000, PM8000"</f>
        <v>Step Clamp – BM6000, PM8000</v>
      </c>
      <c r="C1487" t="str">
        <f t="shared" si="62"/>
        <v>Active</v>
      </c>
    </row>
    <row r="1488" spans="1:3" ht="18" customHeight="1">
      <c r="A1488" t="str">
        <f>"10-1115-6000"</f>
        <v>10-1115-6000</v>
      </c>
      <c r="B1488" t="str">
        <f>"iKX3 M10 nut, BM6000,PM8000"</f>
        <v>iKX3 M10 nut, BM6000,PM8000</v>
      </c>
      <c r="C1488" t="str">
        <f t="shared" si="62"/>
        <v>Active</v>
      </c>
    </row>
    <row r="1489" spans="1:3" ht="18" customHeight="1">
      <c r="A1489" t="str">
        <f>"10-1115-7000"</f>
        <v>10-1115-7000</v>
      </c>
      <c r="B1489" t="str">
        <f>"iKX3 M10 Thread Stud, BM6000,PM8000"</f>
        <v>iKX3 M10 Thread Stud, BM6000,PM8000</v>
      </c>
      <c r="C1489" t="str">
        <f t="shared" si="62"/>
        <v>Active</v>
      </c>
    </row>
    <row r="1490" spans="1:3" ht="18" customHeight="1">
      <c r="A1490" t="str">
        <f>"10-1115-8000"</f>
        <v>10-1115-8000</v>
      </c>
      <c r="B1490" t="str">
        <f>"iKX3 M10 T-nut, BM6000,PM8000"</f>
        <v>iKX3 M10 T-nut, BM6000,PM8000</v>
      </c>
      <c r="C1490" t="str">
        <f t="shared" si="62"/>
        <v>Active</v>
      </c>
    </row>
    <row r="1491" spans="1:3" ht="18" customHeight="1">
      <c r="A1491" t="str">
        <f>"10-1115-9000"</f>
        <v>10-1115-9000</v>
      </c>
      <c r="B1491" t="str">
        <f>"Side window,PM8000"</f>
        <v>Side window,PM8000</v>
      </c>
      <c r="C1491" t="str">
        <f t="shared" si="62"/>
        <v>Active</v>
      </c>
    </row>
    <row r="1492" spans="1:3" ht="18" customHeight="1">
      <c r="A1492" t="str">
        <f>"10-1116-0000"</f>
        <v>10-1116-0000</v>
      </c>
      <c r="B1492" t="str">
        <f>"Intelitek logo for Promill 8000, label"</f>
        <v>Intelitek logo for Promill 8000, label</v>
      </c>
      <c r="C1492" t="str">
        <f t="shared" si="62"/>
        <v>Active</v>
      </c>
    </row>
    <row r="1493" spans="1:3" ht="18" customHeight="1">
      <c r="A1493" t="str">
        <f>"10-1116-1000"</f>
        <v>10-1116-1000</v>
      </c>
      <c r="B1493" t="str">
        <f>"Promill 8000, label"</f>
        <v>Promill 8000, label</v>
      </c>
      <c r="C1493" t="str">
        <f t="shared" si="62"/>
        <v>Active</v>
      </c>
    </row>
    <row r="1494" spans="1:3" ht="18" customHeight="1">
      <c r="A1494" t="str">
        <f>"10-1116-2000"</f>
        <v>10-1116-2000</v>
      </c>
      <c r="B1494" t="str">
        <f>"Large high voltage label, BM6K,PM8K,BT7K,PT9K"</f>
        <v>Large high voltage label, BM6K,PM8K,BT7K,PT9K</v>
      </c>
      <c r="C1494" t="str">
        <f t="shared" si="62"/>
        <v>Active</v>
      </c>
    </row>
    <row r="1495" spans="1:3" ht="18" customHeight="1">
      <c r="A1495" t="str">
        <f>"10-1116-3000"</f>
        <v>10-1116-3000</v>
      </c>
      <c r="B1495" t="str">
        <f>"Emergency stop, label, BM6K,PM8K,BT7K,PT9K"</f>
        <v>Emergency stop, label, BM6K,PM8K,BT7K,PT9K</v>
      </c>
      <c r="C1495" t="str">
        <f t="shared" si="62"/>
        <v>Active</v>
      </c>
    </row>
    <row r="1496" spans="1:3" ht="18" customHeight="1">
      <c r="A1496" t="str">
        <f>"10-1116-4000"</f>
        <v>10-1116-4000</v>
      </c>
      <c r="B1496" t="str">
        <f>"iKX3 transformer 220V,PM8000"</f>
        <v>iKX3 transformer 220V,PM8000</v>
      </c>
      <c r="C1496" t="str">
        <f t="shared" si="62"/>
        <v>Active</v>
      </c>
    </row>
    <row r="1497" spans="1:3" ht="18" customHeight="1">
      <c r="A1497" t="str">
        <f>"10-1116-5000"</f>
        <v>10-1116-5000</v>
      </c>
      <c r="B1497" t="str">
        <f>"iKX3 transformer 110V,PM8000"</f>
        <v>iKX3 transformer 110V,PM8000</v>
      </c>
      <c r="C1497" t="str">
        <f t="shared" si="62"/>
        <v>Active</v>
      </c>
    </row>
    <row r="1498" spans="1:3" ht="18" customHeight="1">
      <c r="A1498" t="str">
        <f>"10-1116-6000"</f>
        <v>10-1116-6000</v>
      </c>
      <c r="B1498" t="str">
        <f>"Drawbar  assembly, BM6000,PM8000"</f>
        <v>Drawbar  assembly, BM6000,PM8000</v>
      </c>
      <c r="C1498" t="str">
        <f t="shared" si="62"/>
        <v>Active</v>
      </c>
    </row>
    <row r="1499" spans="1:3" ht="18" customHeight="1">
      <c r="A1499" t="str">
        <f>"10-1116-7000"</f>
        <v>10-1116-7000</v>
      </c>
      <c r="B1499" t="str">
        <f>"Thermistor, BT7000,PT9000"</f>
        <v>Thermistor, BT7000,PT9000</v>
      </c>
      <c r="C1499" t="str">
        <f t="shared" si="62"/>
        <v>Active</v>
      </c>
    </row>
    <row r="1500" spans="1:3" ht="18" customHeight="1">
      <c r="A1500" t="str">
        <f>"10-1116-8000"</f>
        <v>10-1116-8000</v>
      </c>
      <c r="B1500" t="str">
        <f>"Benchturn 7000(Spindle belt set)"</f>
        <v>Benchturn 7000(Spindle belt set)</v>
      </c>
      <c r="C1500" t="str">
        <f t="shared" si="62"/>
        <v>Active</v>
      </c>
    </row>
    <row r="1501" spans="1:3" ht="18" customHeight="1">
      <c r="A1501" t="str">
        <f>"10-1116-9000"</f>
        <v>10-1116-9000</v>
      </c>
      <c r="B1501" t="str">
        <f>"Benchturn 7000(Encoder belt)"</f>
        <v>Benchturn 7000(Encoder belt)</v>
      </c>
      <c r="C1501" t="str">
        <f t="shared" si="62"/>
        <v>Active</v>
      </c>
    </row>
    <row r="1502" spans="1:3" ht="18" customHeight="1">
      <c r="A1502" t="str">
        <f>"10-1117-0000"</f>
        <v>10-1117-0000</v>
      </c>
      <c r="B1502" t="str">
        <f>"Intelitek logo for Benchturn 7000,label"</f>
        <v>Intelitek logo for Benchturn 7000,label</v>
      </c>
      <c r="C1502" t="str">
        <f t="shared" si="62"/>
        <v>Active</v>
      </c>
    </row>
    <row r="1503" spans="1:3" ht="18" customHeight="1">
      <c r="A1503" t="str">
        <f>"10-1117-1000"</f>
        <v>10-1117-1000</v>
      </c>
      <c r="B1503" t="str">
        <f>"Benchturn 7000, label"</f>
        <v>Benchturn 7000, label</v>
      </c>
      <c r="C1503" t="str">
        <f t="shared" si="62"/>
        <v>Active</v>
      </c>
    </row>
    <row r="1504" spans="1:3" ht="18" customHeight="1">
      <c r="A1504" t="str">
        <f>"10-1117-2000"</f>
        <v>10-1117-2000</v>
      </c>
      <c r="B1504" t="str">
        <f>"Door release, label, BM6000,PM8000,BT7000,PT9000"</f>
        <v>Door release, label, BM6000,PM8000,BT7000,PT9000</v>
      </c>
      <c r="C1504" t="str">
        <f t="shared" si="62"/>
        <v>Active</v>
      </c>
    </row>
    <row r="1505" spans="1:3" ht="18" customHeight="1">
      <c r="A1505" t="str">
        <f>"10-1117-3000"</f>
        <v>10-1117-3000</v>
      </c>
      <c r="B1505" t="str">
        <f>"Small high voltage, label, BM6K,PM8K,BT7K,PT9K"</f>
        <v>Small high voltage, label, BM6K,PM8K,BT7K,PT9K</v>
      </c>
      <c r="C1505" t="str">
        <f t="shared" si="62"/>
        <v>Active</v>
      </c>
    </row>
    <row r="1506" spans="1:3" ht="18" customHeight="1">
      <c r="A1506" t="str">
        <f>"10-1117-4000"</f>
        <v>10-1117-4000</v>
      </c>
      <c r="B1506" t="str">
        <f>"KC4S transformer 110V,BT7000"</f>
        <v>KC4S transformer 110V,BT7000</v>
      </c>
      <c r="C1506" t="str">
        <f t="shared" si="62"/>
        <v>Active</v>
      </c>
    </row>
    <row r="1507" spans="1:3" ht="18" customHeight="1">
      <c r="A1507" t="str">
        <f>"10-1117-5000"</f>
        <v>10-1117-5000</v>
      </c>
      <c r="B1507" t="str">
        <f>"KC4S transformer 220V,BT7000"</f>
        <v>KC4S transformer 220V,BT7000</v>
      </c>
      <c r="C1507" t="str">
        <f t="shared" si="62"/>
        <v>Active</v>
      </c>
    </row>
    <row r="1508" spans="1:3" ht="18" customHeight="1">
      <c r="A1508" t="str">
        <f>"10-1117-6000"</f>
        <v>10-1117-6000</v>
      </c>
      <c r="B1508" t="str">
        <f>"Spindle belt (set),PT9000"</f>
        <v>Spindle belt (set),PT9000</v>
      </c>
      <c r="C1508" t="str">
        <f t="shared" si="62"/>
        <v>Active</v>
      </c>
    </row>
    <row r="1509" spans="1:3" ht="18" customHeight="1">
      <c r="A1509" t="str">
        <f>"10-1117-7000"</f>
        <v>10-1117-7000</v>
      </c>
      <c r="B1509" t="str">
        <f>"Encoder belt,PT9000"</f>
        <v>Encoder belt,PT9000</v>
      </c>
      <c r="C1509" t="str">
        <f t="shared" si="62"/>
        <v>Active</v>
      </c>
    </row>
    <row r="1510" spans="1:3" ht="18" customHeight="1">
      <c r="A1510" t="str">
        <f>"10-1117-8000"</f>
        <v>10-1117-8000</v>
      </c>
      <c r="B1510" t="str">
        <f>"Intelitek logo for Proturn 9000, label"</f>
        <v>Intelitek logo for Proturn 9000, label</v>
      </c>
      <c r="C1510" t="str">
        <f t="shared" si="62"/>
        <v>Active</v>
      </c>
    </row>
    <row r="1511" spans="1:3" ht="18" customHeight="1">
      <c r="A1511" t="str">
        <f>"10-1117-9000"</f>
        <v>10-1117-9000</v>
      </c>
      <c r="B1511" t="str">
        <f>"Proturn 9000, label"</f>
        <v>Proturn 9000, label</v>
      </c>
      <c r="C1511" t="str">
        <f t="shared" si="62"/>
        <v>Active</v>
      </c>
    </row>
    <row r="1512" spans="1:3" ht="18" customHeight="1">
      <c r="A1512" t="str">
        <f>"10-1118-0000"</f>
        <v>10-1118-0000</v>
      </c>
      <c r="B1512" t="str">
        <f>"KC6S transformer 110V,PT9000"</f>
        <v>KC6S transformer 110V,PT9000</v>
      </c>
      <c r="C1512" t="str">
        <f t="shared" si="62"/>
        <v>Active</v>
      </c>
    </row>
    <row r="1513" spans="1:3" ht="18" customHeight="1">
      <c r="A1513" t="str">
        <f>"10-1118-1000"</f>
        <v>10-1118-1000</v>
      </c>
      <c r="B1513" t="str">
        <f>"Servo drive, PM8000,PT9000"</f>
        <v>Servo drive, PM8000,PT9000</v>
      </c>
      <c r="C1513" t="str">
        <f t="shared" si="62"/>
        <v>Active</v>
      </c>
    </row>
    <row r="1514" spans="1:3" ht="18" customHeight="1">
      <c r="A1514" t="str">
        <f>"10-1118-2000"</f>
        <v>10-1118-2000</v>
      </c>
      <c r="B1514" t="str">
        <f>"KT510 controller, BM6000,PM8000"</f>
        <v>KT510 controller, BM6000,PM8000</v>
      </c>
      <c r="C1514" t="str">
        <f t="shared" si="62"/>
        <v>Active</v>
      </c>
    </row>
    <row r="1515" spans="1:3" ht="18" customHeight="1">
      <c r="A1515" t="str">
        <f>"10-1118-3000"</f>
        <v>10-1118-3000</v>
      </c>
      <c r="B1515" t="str">
        <f>"KT510 controller,BT7000,PT9000"</f>
        <v>KT510 controller,BT7000,PT9000</v>
      </c>
      <c r="C1515" t="str">
        <f t="shared" si="62"/>
        <v>Active</v>
      </c>
    </row>
    <row r="1516" spans="1:3" ht="18" customHeight="1">
      <c r="A1516" t="str">
        <f>"10-1118-4000"</f>
        <v>10-1118-4000</v>
      </c>
      <c r="B1516" t="str">
        <f>"Ethernet Cable (10 ft., BM6K/BT7K/PM8K/PT9K)"</f>
        <v>Ethernet Cable (10 ft., BM6K/BT7K/PM8K/PT9K)</v>
      </c>
      <c r="C1516" t="str">
        <f t="shared" si="62"/>
        <v>Active</v>
      </c>
    </row>
    <row r="1517" spans="1:3" ht="18" customHeight="1">
      <c r="A1517" t="str">
        <f>"10-1118-4001"</f>
        <v>10-1118-4001</v>
      </c>
      <c r="B1517" t="str">
        <f>"Servo amp to PLC 15 pin one end 26 pins other en"</f>
        <v>Servo amp to PLC 15 pin one end 26 pins other en</v>
      </c>
      <c r="C1517" t="str">
        <f>"New"</f>
        <v>New</v>
      </c>
    </row>
    <row r="1518" spans="1:3" ht="18" customHeight="1">
      <c r="A1518" t="str">
        <f>"10-1118-4002"</f>
        <v>10-1118-4002</v>
      </c>
      <c r="B1518" t="str">
        <f>"Servo amp to servo motor to PLC 15 pin both ends"</f>
        <v>Servo amp to servo motor to PLC 15 pin both ends</v>
      </c>
      <c r="C1518" t="str">
        <f>"New"</f>
        <v>New</v>
      </c>
    </row>
    <row r="1519" spans="1:3" ht="18" customHeight="1">
      <c r="A1519" t="str">
        <f>"10-1118-4003"</f>
        <v>10-1118-4003</v>
      </c>
      <c r="B1519" t="str">
        <f>"4 pin female one end 4 wires with lugs other end"</f>
        <v>4 pin female one end 4 wires with lugs other end</v>
      </c>
      <c r="C1519" t="str">
        <f>"New"</f>
        <v>New</v>
      </c>
    </row>
    <row r="1520" spans="1:3" ht="18" customHeight="1">
      <c r="A1520" t="str">
        <f>"10-1118-5000"</f>
        <v>10-1118-5000</v>
      </c>
      <c r="B1520" t="str">
        <f>"Front window,PM8000"</f>
        <v>Front window,PM8000</v>
      </c>
      <c r="C1520" t="str">
        <f t="shared" ref="C1520:C1533" si="63">"Active"</f>
        <v>Active</v>
      </c>
    </row>
    <row r="1521" spans="1:3" ht="18" customHeight="1">
      <c r="A1521" t="str">
        <f>"10-1118-6110"</f>
        <v>10-1118-6110</v>
      </c>
      <c r="B1521" t="str">
        <f>"Spindle control board, BT7000"</f>
        <v>Spindle control board, BT7000</v>
      </c>
      <c r="C1521" t="str">
        <f t="shared" si="63"/>
        <v>Active</v>
      </c>
    </row>
    <row r="1522" spans="1:3" ht="18" customHeight="1">
      <c r="A1522" t="str">
        <f>"10-1118-6220"</f>
        <v>10-1118-6220</v>
      </c>
      <c r="B1522" t="str">
        <f>"Spindle control board, BT7000"</f>
        <v>Spindle control board, BT7000</v>
      </c>
      <c r="C1522" t="str">
        <f t="shared" si="63"/>
        <v>Active</v>
      </c>
    </row>
    <row r="1523" spans="1:3" ht="18" customHeight="1">
      <c r="A1523" t="str">
        <f>"10-1118-7000"</f>
        <v>10-1118-7000</v>
      </c>
      <c r="B1523" t="str">
        <f>"Emergency switch,BM6000,PM8000"</f>
        <v>Emergency switch,BM6000,PM8000</v>
      </c>
      <c r="C1523" t="str">
        <f t="shared" si="63"/>
        <v>Active</v>
      </c>
    </row>
    <row r="1524" spans="1:3" ht="18" customHeight="1">
      <c r="A1524" t="str">
        <f>"10-1118-8000"</f>
        <v>10-1118-8000</v>
      </c>
      <c r="B1524" t="str">
        <f>"Tool turret, BT7000,PT9000"</f>
        <v>Tool turret, BT7000,PT9000</v>
      </c>
      <c r="C1524" t="str">
        <f t="shared" si="63"/>
        <v>Active</v>
      </c>
    </row>
    <row r="1525" spans="1:3" ht="18" customHeight="1">
      <c r="A1525" t="str">
        <f>"10-1118-9000"</f>
        <v>10-1118-9000</v>
      </c>
      <c r="B1525" t="str">
        <f>"Air regulator, BM6000,PM8000,BT7000,PT9000"</f>
        <v>Air regulator, BM6000,PM8000,BT7000,PT9000</v>
      </c>
      <c r="C1525" t="str">
        <f t="shared" si="63"/>
        <v>Active</v>
      </c>
    </row>
    <row r="1526" spans="1:3" ht="18" customHeight="1">
      <c r="A1526" t="str">
        <f>"10-1119-0000"</f>
        <v>10-1119-0000</v>
      </c>
      <c r="B1526" t="str">
        <f>"Magnetic lock, BT7000"</f>
        <v>Magnetic lock, BT7000</v>
      </c>
      <c r="C1526" t="str">
        <f t="shared" si="63"/>
        <v>Active</v>
      </c>
    </row>
    <row r="1527" spans="1:3" ht="18" customHeight="1">
      <c r="A1527" t="str">
        <f>"10-1119-1000"</f>
        <v>10-1119-1000</v>
      </c>
      <c r="B1527" t="str">
        <f>"Magnetic lock, PM8000,PT9000"</f>
        <v>Magnetic lock, PM8000,PT9000</v>
      </c>
      <c r="C1527" t="str">
        <f t="shared" si="63"/>
        <v>Active</v>
      </c>
    </row>
    <row r="1528" spans="1:3" ht="18" customHeight="1">
      <c r="A1528" t="str">
        <f>"10-1119-2000"</f>
        <v>10-1119-2000</v>
      </c>
      <c r="B1528" t="str">
        <f>"T air fittings (Black), BM7K,PM8K,BT7K,PT9K"</f>
        <v>T air fittings (Black), BM7K,PM8K,BT7K,PT9K</v>
      </c>
      <c r="C1528" t="str">
        <f t="shared" si="63"/>
        <v>Active</v>
      </c>
    </row>
    <row r="1529" spans="1:3" ht="18" customHeight="1">
      <c r="A1529" t="str">
        <f>"10-1119-3000"</f>
        <v>10-1119-3000</v>
      </c>
      <c r="B1529" t="str">
        <f>"T air fittings (Black&amp;Blue),BM6K,PM8K,BT7K,PT9K"</f>
        <v>T air fittings (Black&amp;Blue),BM6K,PM8K,BT7K,PT9K</v>
      </c>
      <c r="C1529" t="str">
        <f t="shared" si="63"/>
        <v>Active</v>
      </c>
    </row>
    <row r="1530" spans="1:3" ht="18" customHeight="1">
      <c r="A1530" t="str">
        <f>"10-1119-4000"</f>
        <v>10-1119-4000</v>
      </c>
      <c r="B1530" t="str">
        <f>"Air tube(black), BM6000,PM8000,BT7000,PT9000"</f>
        <v>Air tube(black), BM6000,PM8000,BT7000,PT9000</v>
      </c>
      <c r="C1530" t="str">
        <f t="shared" si="63"/>
        <v>Active</v>
      </c>
    </row>
    <row r="1531" spans="1:3" ht="18" customHeight="1">
      <c r="A1531" t="str">
        <f>"10-1119-5000"</f>
        <v>10-1119-5000</v>
      </c>
      <c r="B1531" t="str">
        <f>"Air tube(blue), BM6000,PM8000,BT7000,PT9000"</f>
        <v>Air tube(blue), BM6000,PM8000,BT7000,PT9000</v>
      </c>
      <c r="C1531" t="str">
        <f t="shared" si="63"/>
        <v>Active</v>
      </c>
    </row>
    <row r="1532" spans="1:3" ht="18" customHeight="1">
      <c r="A1532" t="str">
        <f>"10-1119-6000"</f>
        <v>10-1119-6000</v>
      </c>
      <c r="B1532" t="str">
        <f>"Air tube(orange), BM6000,PM8000,BT7000,PT9000"</f>
        <v>Air tube(orange), BM6000,PM8000,BT7000,PT9000</v>
      </c>
      <c r="C1532" t="str">
        <f t="shared" si="63"/>
        <v>Active</v>
      </c>
    </row>
    <row r="1533" spans="1:3" ht="18" customHeight="1">
      <c r="A1533" t="str">
        <f>"10-1119-7000"</f>
        <v>10-1119-7000</v>
      </c>
      <c r="B1533" t="str">
        <f>"Door lock, PM8000,BT7000,PT9000"</f>
        <v>Door lock, PM8000,BT7000,PT9000</v>
      </c>
      <c r="C1533" t="str">
        <f t="shared" si="63"/>
        <v>Active</v>
      </c>
    </row>
    <row r="1534" spans="1:3" ht="18" customHeight="1">
      <c r="A1534" t="str">
        <f>"10-1119-9000"</f>
        <v>10-1119-9000</v>
      </c>
      <c r="B1534" t="str">
        <f>"Sockets wrench(3.4.5.6.8.10mm) Sockets wrench(3."</f>
        <v>Sockets wrench(3.4.5.6.8.10mm) Sockets wrench(3.</v>
      </c>
      <c r="C1534" t="str">
        <f>"New"</f>
        <v>New</v>
      </c>
    </row>
    <row r="1535" spans="1:3" ht="18" customHeight="1">
      <c r="A1535" t="str">
        <f>"10-1120-0000"</f>
        <v>10-1120-0000</v>
      </c>
      <c r="B1535" t="str">
        <f>"Spindle wrench Spindle wrench 30"</f>
        <v>Spindle wrench Spindle wrench 30</v>
      </c>
      <c r="C1535" t="str">
        <f t="shared" ref="C1535:C1544" si="64">"Active"</f>
        <v>Active</v>
      </c>
    </row>
    <row r="1536" spans="1:3" ht="18" customHeight="1">
      <c r="A1536" t="str">
        <f>"10-1120-1000"</f>
        <v>10-1120-1000</v>
      </c>
      <c r="B1536" t="str">
        <f>"Spindle motor, BT7000,PT9000"</f>
        <v>Spindle motor, BT7000,PT9000</v>
      </c>
      <c r="C1536" t="str">
        <f t="shared" si="64"/>
        <v>Active</v>
      </c>
    </row>
    <row r="1537" spans="1:3" ht="18" customHeight="1">
      <c r="A1537" t="str">
        <f>"10-1120-2000"</f>
        <v>10-1120-2000</v>
      </c>
      <c r="B1537" t="str">
        <f>"Spindle motor,BM6000,PM8000"</f>
        <v>Spindle motor,BM6000,PM8000</v>
      </c>
      <c r="C1537" t="str">
        <f t="shared" si="64"/>
        <v>Active</v>
      </c>
    </row>
    <row r="1538" spans="1:3" ht="18" customHeight="1">
      <c r="A1538" t="str">
        <f>"10-1120-3000"</f>
        <v>10-1120-3000</v>
      </c>
      <c r="B1538" t="str">
        <f>"Solenoid adapter,BM6000,PM8000"</f>
        <v>Solenoid adapter,BM6000,PM8000</v>
      </c>
      <c r="C1538" t="str">
        <f t="shared" si="64"/>
        <v>Active</v>
      </c>
    </row>
    <row r="1539" spans="1:3" ht="18" customHeight="1">
      <c r="A1539" t="str">
        <f>"10-1120-4000"</f>
        <v>10-1120-4000</v>
      </c>
      <c r="B1539" t="str">
        <f>"Solenoid adapter,BM6000,PM8000"</f>
        <v>Solenoid adapter,BM6000,PM8000</v>
      </c>
      <c r="C1539" t="str">
        <f t="shared" si="64"/>
        <v>Active</v>
      </c>
    </row>
    <row r="1540" spans="1:3" ht="18" customHeight="1">
      <c r="A1540" t="str">
        <f>"10-1120-5000"</f>
        <v>10-1120-5000</v>
      </c>
      <c r="B1540" t="str">
        <f>"Solenoid adapter,BM6000,PM8000"</f>
        <v>Solenoid adapter,BM6000,PM8000</v>
      </c>
      <c r="C1540" t="str">
        <f t="shared" si="64"/>
        <v>Active</v>
      </c>
    </row>
    <row r="1541" spans="1:3" ht="18" customHeight="1">
      <c r="A1541" t="str">
        <f>"10-1120-6000"</f>
        <v>10-1120-6000</v>
      </c>
      <c r="B1541" t="str">
        <f>"Stepper motor, BM6000X,Y,BT7000X"</f>
        <v>Stepper motor, BM6000X,Y,BT7000X</v>
      </c>
      <c r="C1541" t="str">
        <f t="shared" si="64"/>
        <v>Active</v>
      </c>
    </row>
    <row r="1542" spans="1:3" ht="18" customHeight="1">
      <c r="A1542" t="str">
        <f>"10-1120-7000"</f>
        <v>10-1120-7000</v>
      </c>
      <c r="B1542" t="str">
        <f>"Stepper motor, BM6000Z,BT7000Z"</f>
        <v>Stepper motor, BM6000Z,BT7000Z</v>
      </c>
      <c r="C1542" t="str">
        <f t="shared" si="64"/>
        <v>Active</v>
      </c>
    </row>
    <row r="1543" spans="1:3" ht="18" customHeight="1">
      <c r="A1543" t="str">
        <f>"10-1120-9000"</f>
        <v>10-1120-9000</v>
      </c>
      <c r="B1543" t="str">
        <f>"Stepper drive, BM6000,BT7000,4th Axis"</f>
        <v>Stepper drive, BM6000,BT7000,4th Axis</v>
      </c>
      <c r="C1543" t="str">
        <f t="shared" si="64"/>
        <v>Active</v>
      </c>
    </row>
    <row r="1544" spans="1:3" ht="18" customHeight="1">
      <c r="A1544" t="str">
        <f>"10-1121-0001"</f>
        <v>10-1121-0001</v>
      </c>
      <c r="B1544" t="str">
        <f>"Spindle control board,BM6000,PM8000"</f>
        <v>Spindle control board,BM6000,PM8000</v>
      </c>
      <c r="C1544" t="str">
        <f t="shared" si="64"/>
        <v>Active</v>
      </c>
    </row>
    <row r="1545" spans="1:3" ht="18" customHeight="1">
      <c r="A1545" t="str">
        <f>"10-1121-1001"</f>
        <v>10-1121-1001</v>
      </c>
      <c r="B1545" t="str">
        <f>"Promill 8000(Drawbar         (a set))"</f>
        <v>Promill 8000(Drawbar         (a set))</v>
      </c>
      <c r="C1545" t="str">
        <f>"New"</f>
        <v>New</v>
      </c>
    </row>
    <row r="1546" spans="1:3" ht="18" customHeight="1">
      <c r="A1546" t="str">
        <f>"10-1121-2000"</f>
        <v>10-1121-2000</v>
      </c>
      <c r="B1546" t="str">
        <f>"Spindle encoder, BT7000,PT9000"</f>
        <v>Spindle encoder, BT7000,PT9000</v>
      </c>
      <c r="C1546" t="str">
        <f>"Active"</f>
        <v>Active</v>
      </c>
    </row>
    <row r="1547" spans="1:3" ht="18" customHeight="1">
      <c r="A1547" t="str">
        <f>"10-1121-3000"</f>
        <v>10-1121-3000</v>
      </c>
      <c r="B1547" t="str">
        <f>"sense switch of pneumatically door"</f>
        <v>sense switch of pneumatically door</v>
      </c>
      <c r="C1547" t="str">
        <f>"Active"</f>
        <v>Active</v>
      </c>
    </row>
    <row r="1548" spans="1:3" ht="18" customHeight="1">
      <c r="A1548" t="str">
        <f>"10-1121-4000"</f>
        <v>10-1121-4000</v>
      </c>
      <c r="B1548" t="str">
        <f>"sense switch(home )"</f>
        <v>sense switch(home )</v>
      </c>
      <c r="C1548" t="str">
        <f>"Active"</f>
        <v>Active</v>
      </c>
    </row>
    <row r="1549" spans="1:3" ht="18" customHeight="1">
      <c r="A1549" t="str">
        <f>"10-1121-5000"</f>
        <v>10-1121-5000</v>
      </c>
      <c r="B1549" t="str">
        <f>"Promill 8000(Spindle belt     (a set) )"</f>
        <v>Promill 8000(Spindle belt     (a set) )</v>
      </c>
      <c r="C1549" t="str">
        <f>"New"</f>
        <v>New</v>
      </c>
    </row>
    <row r="1550" spans="1:3" ht="18" customHeight="1">
      <c r="A1550" t="str">
        <f>"10-1121-6000"</f>
        <v>10-1121-6000</v>
      </c>
      <c r="B1550" t="str">
        <f>"Promill 8000(Motor belt)"</f>
        <v>Promill 8000(Motor belt)</v>
      </c>
      <c r="C1550" t="str">
        <f>"New"</f>
        <v>New</v>
      </c>
    </row>
    <row r="1551" spans="1:3" ht="18" customHeight="1">
      <c r="A1551" t="str">
        <f>"10-1121-7000"</f>
        <v>10-1121-7000</v>
      </c>
      <c r="B1551" t="str">
        <f>"Side window,BM6000"</f>
        <v>Side window,BM6000</v>
      </c>
      <c r="C1551" t="str">
        <f t="shared" ref="C1551:C1581" si="65">"Active"</f>
        <v>Active</v>
      </c>
    </row>
    <row r="1552" spans="1:3" ht="18" customHeight="1">
      <c r="A1552" t="str">
        <f>"10-1121-8000"</f>
        <v>10-1121-8000</v>
      </c>
      <c r="B1552" t="str">
        <f>"Front shield,BM6000"</f>
        <v>Front shield,BM6000</v>
      </c>
      <c r="C1552" t="str">
        <f t="shared" si="65"/>
        <v>Active</v>
      </c>
    </row>
    <row r="1553" spans="1:3" ht="18" customHeight="1">
      <c r="A1553" t="str">
        <f>"10-1121-9000"</f>
        <v>10-1121-9000</v>
      </c>
      <c r="B1553" t="str">
        <f>"Warning label, BM6000,PM8000,BT7000,PT9000"</f>
        <v>Warning label, BM6000,PM8000,BT7000,PT9000</v>
      </c>
      <c r="C1553" t="str">
        <f t="shared" si="65"/>
        <v>Active</v>
      </c>
    </row>
    <row r="1554" spans="1:3" ht="18" customHeight="1">
      <c r="A1554" t="str">
        <f>"10-1122-0000"</f>
        <v>10-1122-0000</v>
      </c>
      <c r="B1554" t="str">
        <f>"Benchmill 6000, label"</f>
        <v>Benchmill 6000, label</v>
      </c>
      <c r="C1554" t="str">
        <f t="shared" si="65"/>
        <v>Active</v>
      </c>
    </row>
    <row r="1555" spans="1:3" ht="18" customHeight="1">
      <c r="A1555" t="str">
        <f>"10-1122-1000"</f>
        <v>10-1122-1000</v>
      </c>
      <c r="B1555" t="str">
        <f>"Intelitek logo for Benchmill 6000, label"</f>
        <v>Intelitek logo for Benchmill 6000, label</v>
      </c>
      <c r="C1555" t="str">
        <f t="shared" si="65"/>
        <v>Active</v>
      </c>
    </row>
    <row r="1556" spans="1:3" ht="18" customHeight="1">
      <c r="A1556" t="str">
        <f>"10-1122-2000"</f>
        <v>10-1122-2000</v>
      </c>
      <c r="B1556" t="str">
        <f>"iKX1 transformer 220V,BM6000"</f>
        <v>iKX1 transformer 220V,BM6000</v>
      </c>
      <c r="C1556" t="str">
        <f t="shared" si="65"/>
        <v>Active</v>
      </c>
    </row>
    <row r="1557" spans="1:3" ht="18" customHeight="1">
      <c r="A1557" t="str">
        <f>"10-1122-3000"</f>
        <v>10-1122-3000</v>
      </c>
      <c r="B1557" t="str">
        <f>"iKX1 transformer 110V,BM6000"</f>
        <v>iKX1 transformer 110V,BM6000</v>
      </c>
      <c r="C1557" t="str">
        <f t="shared" si="65"/>
        <v>Active</v>
      </c>
    </row>
    <row r="1558" spans="1:3" ht="18" customHeight="1">
      <c r="A1558" t="str">
        <f>"10-1122-4000"</f>
        <v>10-1122-4000</v>
      </c>
      <c r="B1558" t="str">
        <f>"Motor belt, BM6000,PM8000"</f>
        <v>Motor belt, BM6000,PM8000</v>
      </c>
      <c r="C1558" t="str">
        <f t="shared" si="65"/>
        <v>Active</v>
      </c>
    </row>
    <row r="1559" spans="1:3" ht="18" customHeight="1">
      <c r="A1559" t="str">
        <f>"10-1122-5000"</f>
        <v>10-1122-5000</v>
      </c>
      <c r="B1559" t="str">
        <f>"Spindle belt (a set), BM6000,PM8000"</f>
        <v>Spindle belt (a set), BM6000,PM8000</v>
      </c>
      <c r="C1559" t="str">
        <f t="shared" si="65"/>
        <v>Active</v>
      </c>
    </row>
    <row r="1560" spans="1:3" ht="18" customHeight="1">
      <c r="A1560" t="str">
        <f>"10-1122-6000"</f>
        <v>10-1122-6000</v>
      </c>
      <c r="B1560" t="str">
        <f>"6000/8000 standard accessory toolkit iKX1/ iKX3"</f>
        <v>6000/8000 standard accessory toolkit iKX1/ iKX3</v>
      </c>
      <c r="C1560" t="str">
        <f t="shared" si="65"/>
        <v>Active</v>
      </c>
    </row>
    <row r="1561" spans="1:3" ht="18" customHeight="1">
      <c r="A1561" t="str">
        <f>"10-1122-7000"</f>
        <v>10-1122-7000</v>
      </c>
      <c r="B1561" t="str">
        <f>"Sense switch(home),PM8000,Zaxis"</f>
        <v>Sense switch(home),PM8000,Zaxis</v>
      </c>
      <c r="C1561" t="str">
        <f t="shared" si="65"/>
        <v>Active</v>
      </c>
    </row>
    <row r="1562" spans="1:3" ht="18" customHeight="1">
      <c r="A1562" t="str">
        <f>"10-1122-8000"</f>
        <v>10-1122-8000</v>
      </c>
      <c r="B1562" t="str">
        <f>"Sense switch(home ),PM8000,X,Yaxis"</f>
        <v>Sense switch(home ),PM8000,X,Yaxis</v>
      </c>
      <c r="C1562" t="str">
        <f t="shared" si="65"/>
        <v>Active</v>
      </c>
    </row>
    <row r="1563" spans="1:3" ht="18" customHeight="1">
      <c r="A1563" t="str">
        <f>"10-1122-9000"</f>
        <v>10-1122-9000</v>
      </c>
      <c r="B1563" t="str">
        <f>"Sensor Switch GBT1.5-8GM-P2"</f>
        <v>Sensor Switch GBT1.5-8GM-P2</v>
      </c>
      <c r="C1563" t="str">
        <f t="shared" si="65"/>
        <v>Active</v>
      </c>
    </row>
    <row r="1564" spans="1:3" ht="18" customHeight="1">
      <c r="A1564" t="str">
        <f>"10-1123-1000"</f>
        <v>10-1123-1000</v>
      </c>
      <c r="B1564" t="str">
        <f>"Bridge rectifiers, BT7000,PT9000"</f>
        <v>Bridge rectifiers, BT7000,PT9000</v>
      </c>
      <c r="C1564" t="str">
        <f t="shared" si="65"/>
        <v>Active</v>
      </c>
    </row>
    <row r="1565" spans="1:3" ht="18" customHeight="1">
      <c r="A1565" t="str">
        <f>"10-1123-2000"</f>
        <v>10-1123-2000</v>
      </c>
      <c r="B1565" t="str">
        <f>"Capacitor(for tool turret), BT7000,PT9000"</f>
        <v>Capacitor(for tool turret), BT7000,PT9000</v>
      </c>
      <c r="C1565" t="str">
        <f t="shared" si="65"/>
        <v>Active</v>
      </c>
    </row>
    <row r="1566" spans="1:3" ht="18" customHeight="1">
      <c r="A1566" t="str">
        <f>"10-1123-3000"</f>
        <v>10-1123-3000</v>
      </c>
      <c r="B1566" t="str">
        <f>"ER16 Collet wrench, BM6000,PM8000"</f>
        <v>ER16 Collet wrench, BM6000,PM8000</v>
      </c>
      <c r="C1566" t="str">
        <f t="shared" si="65"/>
        <v>Active</v>
      </c>
    </row>
    <row r="1567" spans="1:3" ht="18" customHeight="1">
      <c r="A1567" t="str">
        <f>"10-1123-4000"</f>
        <v>10-1123-4000</v>
      </c>
      <c r="B1567" t="str">
        <f>"Double-ended wrench 8*10mm"</f>
        <v>Double-ended wrench 8*10mm</v>
      </c>
      <c r="C1567" t="str">
        <f t="shared" si="65"/>
        <v>Active</v>
      </c>
    </row>
    <row r="1568" spans="1:3" ht="18" customHeight="1">
      <c r="A1568" t="str">
        <f>"10-1123-5000"</f>
        <v>10-1123-5000</v>
      </c>
      <c r="B1568" t="str">
        <f>"Double-ended wrench 17*19mm"</f>
        <v>Double-ended wrench 17*19mm</v>
      </c>
      <c r="C1568" t="str">
        <f t="shared" si="65"/>
        <v>Active</v>
      </c>
    </row>
    <row r="1569" spans="1:3" ht="18" customHeight="1">
      <c r="A1569" t="str">
        <f>"10-1123-6000"</f>
        <v>10-1123-6000</v>
      </c>
      <c r="B1569" t="str">
        <f>"Sense switch,PM8000,X,Yaxis"</f>
        <v>Sense switch,PM8000,X,Yaxis</v>
      </c>
      <c r="C1569" t="str">
        <f t="shared" si="65"/>
        <v>Active</v>
      </c>
    </row>
    <row r="1570" spans="1:3" ht="18" customHeight="1">
      <c r="A1570" t="str">
        <f>"10-1123-7000"</f>
        <v>10-1123-7000</v>
      </c>
      <c r="B1570" t="str">
        <f>"Power supply for switch, BT7000,PT9000"</f>
        <v>Power supply for switch, BT7000,PT9000</v>
      </c>
      <c r="C1570" t="str">
        <f t="shared" si="65"/>
        <v>Active</v>
      </c>
    </row>
    <row r="1571" spans="1:3" ht="18" customHeight="1">
      <c r="A1571" t="str">
        <f>"10-1123-8000"</f>
        <v>10-1123-8000</v>
      </c>
      <c r="B1571" t="str">
        <f>"Sense switch, pneu. drawbar,BM6K,PM8K"</f>
        <v>Sense switch, pneu. drawbar,BM6K,PM8K</v>
      </c>
      <c r="C1571" t="str">
        <f t="shared" si="65"/>
        <v>Active</v>
      </c>
    </row>
    <row r="1572" spans="1:3" ht="18" customHeight="1">
      <c r="A1572" t="str">
        <f>"10-1123-9000"</f>
        <v>10-1123-9000</v>
      </c>
      <c r="B1572" t="str">
        <f>"Power supply (for Magnetic lock),BT7000,PT9000"</f>
        <v>Power supply (for Magnetic lock),BT7000,PT9000</v>
      </c>
      <c r="C1572" t="str">
        <f t="shared" si="65"/>
        <v>Active</v>
      </c>
    </row>
    <row r="1573" spans="1:3" ht="18" customHeight="1">
      <c r="A1573" t="str">
        <f>"10-1124-0000"</f>
        <v>10-1124-0000</v>
      </c>
      <c r="B1573" t="str">
        <f>"Oil-water separator, BM6000,PM8000,BT7000,PT9000"</f>
        <v>Oil-water separator, BM6000,PM8000,BT7000,PT9000</v>
      </c>
      <c r="C1573" t="str">
        <f t="shared" si="65"/>
        <v>Active</v>
      </c>
    </row>
    <row r="1574" spans="1:3" ht="18" customHeight="1">
      <c r="A1574" t="str">
        <f>"10-1124-1000"</f>
        <v>10-1124-1000</v>
      </c>
      <c r="B1574" t="str">
        <f>"Red button, PM8000"</f>
        <v>Red button, PM8000</v>
      </c>
      <c r="C1574" t="str">
        <f t="shared" si="65"/>
        <v>Active</v>
      </c>
    </row>
    <row r="1575" spans="1:3" ht="18" customHeight="1">
      <c r="A1575" t="str">
        <f>"10-1124-2000"</f>
        <v>10-1124-2000</v>
      </c>
      <c r="B1575" t="str">
        <f>"Servo motor,PM8000,Zaxis"</f>
        <v>Servo motor,PM8000,Zaxis</v>
      </c>
      <c r="C1575" t="str">
        <f t="shared" si="65"/>
        <v>Active</v>
      </c>
    </row>
    <row r="1576" spans="1:3" ht="18" customHeight="1">
      <c r="A1576" t="str">
        <f>"10-1124-3000"</f>
        <v>10-1124-3000</v>
      </c>
      <c r="B1576" t="str">
        <f>"Servo motor, PM8000X,Y,PT9000Z"</f>
        <v>Servo motor, PM8000X,Y,PT9000Z</v>
      </c>
      <c r="C1576" t="str">
        <f t="shared" si="65"/>
        <v>Active</v>
      </c>
    </row>
    <row r="1577" spans="1:3" ht="18" customHeight="1">
      <c r="A1577" t="str">
        <f>"10-1124-4000"</f>
        <v>10-1124-4000</v>
      </c>
      <c r="B1577" t="str">
        <f>"Servo motor, PT9000X"</f>
        <v>Servo motor, PT9000X</v>
      </c>
      <c r="C1577" t="str">
        <f t="shared" si="65"/>
        <v>Active</v>
      </c>
    </row>
    <row r="1578" spans="1:3" ht="18" customHeight="1">
      <c r="A1578" t="str">
        <f>"10-1124-5000"</f>
        <v>10-1124-5000</v>
      </c>
      <c r="B1578" t="str">
        <f>"Relays,PM8000"</f>
        <v>Relays,PM8000</v>
      </c>
      <c r="C1578" t="str">
        <f t="shared" si="65"/>
        <v>Active</v>
      </c>
    </row>
    <row r="1579" spans="1:3" ht="18" customHeight="1">
      <c r="A1579" t="str">
        <f>"10-1124-6000"</f>
        <v>10-1124-6000</v>
      </c>
      <c r="B1579" t="str">
        <f>"Relays,BM6000,PM8000"</f>
        <v>Relays,BM6000,PM8000</v>
      </c>
      <c r="C1579" t="str">
        <f t="shared" si="65"/>
        <v>Active</v>
      </c>
    </row>
    <row r="1580" spans="1:3" ht="18" customHeight="1">
      <c r="A1580" t="str">
        <f>"10-1124-7000"</f>
        <v>10-1124-7000</v>
      </c>
      <c r="B1580" t="str">
        <f>"Dble acting solenoid valve, BM6K,PM8K,BT7K,PT9K"</f>
        <v>Dble acting solenoid valve, BM6K,PM8K,BT7K,PT9K</v>
      </c>
      <c r="C1580" t="str">
        <f t="shared" si="65"/>
        <v>Active</v>
      </c>
    </row>
    <row r="1581" spans="1:3" ht="18" customHeight="1">
      <c r="A1581" t="str">
        <f>"10-1124-8000"</f>
        <v>10-1124-8000</v>
      </c>
      <c r="B1581" t="str">
        <f>"Bleeder valve, BM6000,PM8000,BT7000,PT9000"</f>
        <v>Bleeder valve, BM6000,PM8000,BT7000,PT9000</v>
      </c>
      <c r="C1581" t="str">
        <f t="shared" si="65"/>
        <v>Active</v>
      </c>
    </row>
    <row r="1582" spans="1:3" ht="18" customHeight="1">
      <c r="A1582" t="str">
        <f>"10-1124-9000"</f>
        <v>10-1124-9000</v>
      </c>
      <c r="B1582" t="str">
        <f>"4 flut endmill-3mm"</f>
        <v>4 flut endmill-3mm</v>
      </c>
      <c r="C1582" t="str">
        <f>"New"</f>
        <v>New</v>
      </c>
    </row>
    <row r="1583" spans="1:3" ht="18" customHeight="1">
      <c r="A1583" t="str">
        <f>"10-1125-0000"</f>
        <v>10-1125-0000</v>
      </c>
      <c r="B1583" t="str">
        <f>"4 flut endmill-1/8''"</f>
        <v>4 flut endmill-1/8''</v>
      </c>
      <c r="C1583" t="str">
        <f>"New"</f>
        <v>New</v>
      </c>
    </row>
    <row r="1584" spans="1:3" ht="18" customHeight="1">
      <c r="A1584" t="str">
        <f>"10-1125-1000"</f>
        <v>10-1125-1000</v>
      </c>
      <c r="B1584" t="str">
        <f>"Solenoid pipe,BM6000,PM8000"</f>
        <v>Solenoid pipe,BM6000,PM8000</v>
      </c>
      <c r="C1584" t="str">
        <f>"Active"</f>
        <v>Active</v>
      </c>
    </row>
    <row r="1585" spans="1:3" ht="18" customHeight="1">
      <c r="A1585" t="str">
        <f>"10-1125-2000"</f>
        <v>10-1125-2000</v>
      </c>
      <c r="B1585" t="str">
        <f>"Solenoid pipe,BM6000,PM8000"</f>
        <v>Solenoid pipe,BM6000,PM8000</v>
      </c>
      <c r="C1585" t="str">
        <f>"Active"</f>
        <v>Active</v>
      </c>
    </row>
    <row r="1586" spans="1:3" ht="18" customHeight="1">
      <c r="A1586" t="str">
        <f>"10-1125-3000"</f>
        <v>10-1125-3000</v>
      </c>
      <c r="B1586" t="str">
        <f>"Solenoid pipe,BM6000,PM8000"</f>
        <v>Solenoid pipe,BM6000,PM8000</v>
      </c>
      <c r="C1586" t="str">
        <f>"Active"</f>
        <v>Active</v>
      </c>
    </row>
    <row r="1587" spans="1:3" ht="18" customHeight="1">
      <c r="A1587" t="str">
        <f>"10-1125-4000"</f>
        <v>10-1125-4000</v>
      </c>
      <c r="B1587" t="str">
        <f>"Resistor, BT7000,PT9000"</f>
        <v>Resistor, BT7000,PT9000</v>
      </c>
      <c r="C1587" t="str">
        <f>"Active"</f>
        <v>Active</v>
      </c>
    </row>
    <row r="1588" spans="1:3" ht="18" customHeight="1">
      <c r="A1588" t="str">
        <f>"10-1125-5000"</f>
        <v>10-1125-5000</v>
      </c>
      <c r="B1588" t="str">
        <f>"Capacitor, BT7000,PT9000"</f>
        <v>Capacitor, BT7000,PT9000</v>
      </c>
      <c r="C1588" t="str">
        <f>"Active"</f>
        <v>Active</v>
      </c>
    </row>
    <row r="1589" spans="1:3" ht="18" customHeight="1">
      <c r="A1589" t="str">
        <f>"10-1125-6000"</f>
        <v>10-1125-6000</v>
      </c>
      <c r="B1589" t="str">
        <f>"Double-ended wrench 5.5*7mm"</f>
        <v>Double-ended wrench 5.5*7mm</v>
      </c>
      <c r="C1589" t="str">
        <f>"New"</f>
        <v>New</v>
      </c>
    </row>
    <row r="1590" spans="1:3" ht="18" customHeight="1">
      <c r="A1590" t="str">
        <f>"10-1125-7000"</f>
        <v>10-1125-7000</v>
      </c>
      <c r="B1590" t="str">
        <f>"Double-ended wrench 12*14mm"</f>
        <v>Double-ended wrench 12*14mm</v>
      </c>
      <c r="C1590" t="str">
        <f>"New"</f>
        <v>New</v>
      </c>
    </row>
    <row r="1591" spans="1:3" ht="18" customHeight="1">
      <c r="A1591" t="str">
        <f>"10-1125-8000"</f>
        <v>10-1125-8000</v>
      </c>
      <c r="B1591" t="str">
        <f>"Crescent wrench 55-62"</f>
        <v>Crescent wrench 55-62</v>
      </c>
      <c r="C1591" t="str">
        <f>"New"</f>
        <v>New</v>
      </c>
    </row>
    <row r="1592" spans="1:3" ht="18" customHeight="1">
      <c r="A1592" t="str">
        <f>"10-1125-9000"</f>
        <v>10-1125-9000</v>
      </c>
      <c r="B1592" t="str">
        <f>"Fixed rolling center MT2"</f>
        <v>Fixed rolling center MT2</v>
      </c>
      <c r="C1592" t="str">
        <f>"Active"</f>
        <v>Active</v>
      </c>
    </row>
    <row r="1593" spans="1:3" ht="18" customHeight="1">
      <c r="A1593" t="str">
        <f>"10-1126-0000"</f>
        <v>10-1126-0000</v>
      </c>
      <c r="B1593" t="str">
        <f>"Fixed rolling center MT3"</f>
        <v>Fixed rolling center MT3</v>
      </c>
      <c r="C1593" t="str">
        <f>"Active"</f>
        <v>Active</v>
      </c>
    </row>
    <row r="1594" spans="1:3" ht="18" customHeight="1">
      <c r="A1594" t="str">
        <f>"10-1126-1000"</f>
        <v>10-1126-1000</v>
      </c>
      <c r="B1594" t="str">
        <f>"Sockets wrench(3.4.5.6mm)"</f>
        <v>Sockets wrench(3.4.5.6mm)</v>
      </c>
      <c r="C1594" t="str">
        <f>"New"</f>
        <v>New</v>
      </c>
    </row>
    <row r="1595" spans="1:3" ht="18" customHeight="1">
      <c r="A1595" t="str">
        <f>"10-1126-2000"</f>
        <v>10-1126-2000</v>
      </c>
      <c r="B1595" t="str">
        <f>"Benchturn7000 standard accessory toolkit"</f>
        <v>Benchturn7000 standard accessory toolkit</v>
      </c>
      <c r="C1595" t="str">
        <f>"New"</f>
        <v>New</v>
      </c>
    </row>
    <row r="1596" spans="1:3" ht="18" customHeight="1">
      <c r="A1596" t="str">
        <f>"10-1126-3000"</f>
        <v>10-1126-3000</v>
      </c>
      <c r="B1596" t="str">
        <f>"Proturn9000 standard accessory toolkit"</f>
        <v>Proturn9000 standard accessory toolkit</v>
      </c>
      <c r="C1596" t="str">
        <f>"New"</f>
        <v>New</v>
      </c>
    </row>
    <row r="1597" spans="1:3" ht="18" customHeight="1">
      <c r="A1597" t="str">
        <f>"10-1126-4000"</f>
        <v>10-1126-4000</v>
      </c>
      <c r="B1597" t="str">
        <f>"Sockets wrench(2/2.5/3/4mm)"</f>
        <v>Sockets wrench(2/2.5/3/4mm)</v>
      </c>
      <c r="C1597" t="str">
        <f>"New"</f>
        <v>New</v>
      </c>
    </row>
    <row r="1598" spans="1:3" ht="18" customHeight="1">
      <c r="A1598" t="str">
        <f>"10-1126-5000"</f>
        <v>10-1126-5000</v>
      </c>
      <c r="B1598" t="str">
        <f>"Fan 80*80 for BM6000&amp;BT700"</f>
        <v>Fan 80*80 for BM6000&amp;BT700</v>
      </c>
      <c r="C1598" t="str">
        <f t="shared" ref="C1598:C1622" si="66">"Active"</f>
        <v>Active</v>
      </c>
    </row>
    <row r="1599" spans="1:3" ht="18" customHeight="1">
      <c r="A1599" t="str">
        <f>"10-1126-6000"</f>
        <v>10-1126-6000</v>
      </c>
      <c r="B1599" t="str">
        <f>"Fan 110*110 for PM8000&amp;PT9000"</f>
        <v>Fan 110*110 for PM8000&amp;PT9000</v>
      </c>
      <c r="C1599" t="str">
        <f t="shared" si="66"/>
        <v>Active</v>
      </c>
    </row>
    <row r="1600" spans="1:3" ht="18" customHeight="1">
      <c r="A1600" t="str">
        <f>"10-1126-7000"</f>
        <v>10-1126-7000</v>
      </c>
      <c r="B1600" t="str">
        <f>"Pneumatic Piston"</f>
        <v>Pneumatic Piston</v>
      </c>
      <c r="C1600" t="str">
        <f t="shared" si="66"/>
        <v>Active</v>
      </c>
    </row>
    <row r="1601" spans="1:3" ht="18" customHeight="1">
      <c r="A1601" t="str">
        <f>"10-1126-8000"</f>
        <v>10-1126-8000</v>
      </c>
      <c r="B1601" t="str">
        <f>"Spindle Head Assembly (BM6K, PM8K)"</f>
        <v>Spindle Head Assembly (BM6K, PM8K)</v>
      </c>
      <c r="C1601" t="str">
        <f t="shared" si="66"/>
        <v>Active</v>
      </c>
    </row>
    <row r="1602" spans="1:3" ht="18" customHeight="1">
      <c r="A1602" t="str">
        <f>"10-1126-9000"</f>
        <v>10-1126-9000</v>
      </c>
      <c r="B1602" t="str">
        <f>"LED Light"</f>
        <v>LED Light</v>
      </c>
      <c r="C1602" t="str">
        <f t="shared" si="66"/>
        <v>Active</v>
      </c>
    </row>
    <row r="1603" spans="1:3" ht="18" customHeight="1">
      <c r="A1603" t="str">
        <f>"10-1127-0000"</f>
        <v>10-1127-0000</v>
      </c>
      <c r="B1603" t="str">
        <f>"servo motor for Proturn 9000"</f>
        <v>servo motor for Proturn 9000</v>
      </c>
      <c r="C1603" t="str">
        <f t="shared" si="66"/>
        <v>Active</v>
      </c>
    </row>
    <row r="1604" spans="1:3" ht="18" customHeight="1">
      <c r="A1604" t="str">
        <f>"10-1127-1000"</f>
        <v>10-1127-1000</v>
      </c>
      <c r="B1604" t="str">
        <f>"spindle motor for Proturn 9000"</f>
        <v>spindle motor for Proturn 9000</v>
      </c>
      <c r="C1604" t="str">
        <f t="shared" si="66"/>
        <v>Active</v>
      </c>
    </row>
    <row r="1605" spans="1:3" ht="18" customHeight="1">
      <c r="A1605" t="str">
        <f>"10-1127-2000"</f>
        <v>10-1127-2000</v>
      </c>
      <c r="B1605" t="str">
        <f>"KC6S Chuck key"</f>
        <v>KC6S Chuck key</v>
      </c>
      <c r="C1605" t="str">
        <f t="shared" si="66"/>
        <v>Active</v>
      </c>
    </row>
    <row r="1606" spans="1:3" ht="18" customHeight="1">
      <c r="A1606" t="str">
        <f>"10-1127-3000"</f>
        <v>10-1127-3000</v>
      </c>
      <c r="B1606" t="str">
        <f>"KC4S Chuck key"</f>
        <v>KC4S Chuck key</v>
      </c>
      <c r="C1606" t="str">
        <f t="shared" si="66"/>
        <v>Active</v>
      </c>
    </row>
    <row r="1607" spans="1:3" ht="18" customHeight="1">
      <c r="A1607" t="str">
        <f>"10-1127-4000"</f>
        <v>10-1127-4000</v>
      </c>
      <c r="B1607" t="str">
        <f>"BM z axis piston"</f>
        <v>BM z axis piston</v>
      </c>
      <c r="C1607" t="str">
        <f t="shared" si="66"/>
        <v>Active</v>
      </c>
    </row>
    <row r="1608" spans="1:3" ht="18" customHeight="1">
      <c r="A1608" t="str">
        <f>"10-1127-5000"</f>
        <v>10-1127-5000</v>
      </c>
      <c r="B1608" t="str">
        <f>"Long spring on PM8K"</f>
        <v>Long spring on PM8K</v>
      </c>
      <c r="C1608" t="str">
        <f t="shared" si="66"/>
        <v>Active</v>
      </c>
    </row>
    <row r="1609" spans="1:3" ht="18" customHeight="1">
      <c r="A1609" t="str">
        <f>"10-1127-6000"</f>
        <v>10-1127-6000</v>
      </c>
      <c r="B1609" t="str">
        <f>"L-shape plate on PM8K"</f>
        <v>L-shape plate on PM8K</v>
      </c>
      <c r="C1609" t="str">
        <f t="shared" si="66"/>
        <v>Active</v>
      </c>
    </row>
    <row r="1610" spans="1:3" ht="18" customHeight="1">
      <c r="A1610" t="str">
        <f>"10-1127-7000"</f>
        <v>10-1127-7000</v>
      </c>
      <c r="B1610" t="str">
        <f>"Short Bolt"</f>
        <v>Short Bolt</v>
      </c>
      <c r="C1610" t="str">
        <f t="shared" si="66"/>
        <v>Active</v>
      </c>
    </row>
    <row r="1611" spans="1:3" ht="18" customHeight="1">
      <c r="A1611" t="str">
        <f>"10-1127-8000"</f>
        <v>10-1127-8000</v>
      </c>
      <c r="B1611" t="str">
        <f>"Long Bolt"</f>
        <v>Long Bolt</v>
      </c>
      <c r="C1611" t="str">
        <f t="shared" si="66"/>
        <v>Active</v>
      </c>
    </row>
    <row r="1612" spans="1:3" ht="18" customHeight="1">
      <c r="A1612" t="str">
        <f>"10-1127-9000"</f>
        <v>10-1127-9000</v>
      </c>
      <c r="B1612" t="str">
        <f>"Medium Bolt"</f>
        <v>Medium Bolt</v>
      </c>
      <c r="C1612" t="str">
        <f t="shared" si="66"/>
        <v>Active</v>
      </c>
    </row>
    <row r="1613" spans="1:3" ht="18" customHeight="1">
      <c r="A1613" t="str">
        <f>"10-1128-0000"</f>
        <v>10-1128-0000</v>
      </c>
      <c r="B1613" t="str">
        <f>"PM8K X limit bracket(a set)"</f>
        <v>PM8K X limit bracket(a set)</v>
      </c>
      <c r="C1613" t="str">
        <f t="shared" si="66"/>
        <v>Active</v>
      </c>
    </row>
    <row r="1614" spans="1:3" ht="18" customHeight="1">
      <c r="A1614" t="str">
        <f>"10-1128-1000"</f>
        <v>10-1128-1000</v>
      </c>
      <c r="B1614" t="str">
        <f>"BT7K Z limit bracket(a set)"</f>
        <v>BT7K Z limit bracket(a set)</v>
      </c>
      <c r="C1614" t="str">
        <f t="shared" si="66"/>
        <v>Active</v>
      </c>
    </row>
    <row r="1615" spans="1:3" ht="18" customHeight="1">
      <c r="A1615" t="str">
        <f>"10-1128-2000"</f>
        <v>10-1128-2000</v>
      </c>
      <c r="B1615" t="str">
        <f>"7000 spindle shaft"</f>
        <v>7000 spindle shaft</v>
      </c>
      <c r="C1615" t="str">
        <f t="shared" si="66"/>
        <v>Active</v>
      </c>
    </row>
    <row r="1616" spans="1:3" ht="18" customHeight="1">
      <c r="A1616" t="str">
        <f>"10-1128-3000"</f>
        <v>10-1128-3000</v>
      </c>
      <c r="B1616" t="str">
        <f>"7000 raw spindle head"</f>
        <v>7000 raw spindle head</v>
      </c>
      <c r="C1616" t="str">
        <f t="shared" si="66"/>
        <v>Active</v>
      </c>
    </row>
    <row r="1617" spans="1:3" ht="18" customHeight="1">
      <c r="A1617" t="str">
        <f>"10-1128-4000"</f>
        <v>10-1128-4000</v>
      </c>
      <c r="B1617" t="str">
        <f>"PT9K Z limit bracket(a set)"</f>
        <v>PT9K Z limit bracket(a set)</v>
      </c>
      <c r="C1617" t="str">
        <f t="shared" si="66"/>
        <v>Active</v>
      </c>
    </row>
    <row r="1618" spans="1:3" ht="18" customHeight="1">
      <c r="A1618" t="str">
        <f>"10-1128-5000"</f>
        <v>10-1128-5000</v>
      </c>
      <c r="B1618" t="str">
        <f>"9000 raw spindle head"</f>
        <v>9000 raw spindle head</v>
      </c>
      <c r="C1618" t="str">
        <f t="shared" si="66"/>
        <v>Active</v>
      </c>
    </row>
    <row r="1619" spans="1:3" ht="18" customHeight="1">
      <c r="A1619" t="str">
        <f>"10-1128-6000"</f>
        <v>10-1128-6000</v>
      </c>
      <c r="B1619" t="str">
        <f>"9000 spindle shaft"</f>
        <v>9000 spindle shaft</v>
      </c>
      <c r="C1619" t="str">
        <f t="shared" si="66"/>
        <v>Active</v>
      </c>
    </row>
    <row r="1620" spans="1:3" ht="18" customHeight="1">
      <c r="A1620" t="str">
        <f>"10-1128-7000"</f>
        <v>10-1128-7000</v>
      </c>
      <c r="B1620" t="str">
        <f>"PM8K ATC add on kit"</f>
        <v>PM8K ATC add on kit</v>
      </c>
      <c r="C1620" t="str">
        <f t="shared" si="66"/>
        <v>Active</v>
      </c>
    </row>
    <row r="1621" spans="1:3" ht="18" customHeight="1">
      <c r="A1621" t="str">
        <f>"10-1128-8000"</f>
        <v>10-1128-8000</v>
      </c>
      <c r="B1621" t="str">
        <f>"12 ATC Motor for PM8K"</f>
        <v>12 ATC Motor for PM8K</v>
      </c>
      <c r="C1621" t="str">
        <f t="shared" si="66"/>
        <v>Active</v>
      </c>
    </row>
    <row r="1622" spans="1:3" ht="18" customHeight="1">
      <c r="A1622" t="str">
        <f>"10-1128-9000"</f>
        <v>10-1128-9000</v>
      </c>
      <c r="B1622" t="str">
        <f>"Pump Motor for Coolant 27L, DOB-12A (110or220V)"</f>
        <v>Pump Motor for Coolant 27L, DOB-12A (110or220V)</v>
      </c>
      <c r="C1622" t="str">
        <f t="shared" si="66"/>
        <v>Active</v>
      </c>
    </row>
    <row r="1623" spans="1:3" ht="18" customHeight="1">
      <c r="A1623" t="str">
        <f>"10-1129-0000"</f>
        <v>10-1129-0000</v>
      </c>
      <c r="B1623" t="str">
        <f>"Universal Task Chair Winsted 11760+11769"</f>
        <v>Universal Task Chair Winsted 11760+11769</v>
      </c>
      <c r="C1623" t="str">
        <f>"New"</f>
        <v>New</v>
      </c>
    </row>
    <row r="1624" spans="1:3" ht="18" customHeight="1">
      <c r="A1624" t="str">
        <f>"10-1129-1000"</f>
        <v>10-1129-1000</v>
      </c>
      <c r="B1624" t="str">
        <f>"MT4 to MT3 Adaptor with Drawbar for SX4"</f>
        <v>MT4 to MT3 Adaptor with Drawbar for SX4</v>
      </c>
      <c r="C1624" t="str">
        <f>"Active"</f>
        <v>Active</v>
      </c>
    </row>
    <row r="1625" spans="1:3" ht="18" customHeight="1">
      <c r="A1625" t="str">
        <f>"10-1202-1354"</f>
        <v>10-1202-1354</v>
      </c>
      <c r="B1625" t="str">
        <f>"AFINIA Premium ABS 1.75mm Filament, Natural,700g"</f>
        <v>AFINIA Premium ABS 1.75mm Filament, Natural,700g</v>
      </c>
      <c r="C1625" t="str">
        <f t="shared" ref="C1625:C1630" si="67">"Inactive"</f>
        <v>Inactive</v>
      </c>
    </row>
    <row r="1626" spans="1:3" ht="18" customHeight="1">
      <c r="A1626" t="str">
        <f>"10-1202-1977"</f>
        <v>10-1202-1977</v>
      </c>
      <c r="B1626" t="str">
        <f>"AFINIA Premium ABS 1.75mm filament, Black, 700g"</f>
        <v>AFINIA Premium ABS 1.75mm filament, Black, 700g</v>
      </c>
      <c r="C1626" t="str">
        <f t="shared" si="67"/>
        <v>Inactive</v>
      </c>
    </row>
    <row r="1627" spans="1:3" ht="18" customHeight="1">
      <c r="A1627" t="str">
        <f>"10-1202-1984"</f>
        <v>10-1202-1984</v>
      </c>
      <c r="B1627" t="str">
        <f>"AFINIA Premium ABS 1.75mm filament, Red, 700g"</f>
        <v>AFINIA Premium ABS 1.75mm filament, Red, 700g</v>
      </c>
      <c r="C1627" t="str">
        <f t="shared" si="67"/>
        <v>Inactive</v>
      </c>
    </row>
    <row r="1628" spans="1:3" ht="18" customHeight="1">
      <c r="A1628" t="str">
        <f>"10-1202-1991"</f>
        <v>10-1202-1991</v>
      </c>
      <c r="B1628" t="str">
        <f>"AFINIA Premium ABS 1.75mm filament, Blue, 700g"</f>
        <v>AFINIA Premium ABS 1.75mm filament, Blue, 700g</v>
      </c>
      <c r="C1628" t="str">
        <f t="shared" si="67"/>
        <v>Inactive</v>
      </c>
    </row>
    <row r="1629" spans="1:3" ht="18" customHeight="1">
      <c r="A1629" t="str">
        <f>"10-1202-1998"</f>
        <v>10-1202-1998</v>
      </c>
      <c r="B1629" t="str">
        <f>"AFINIA Premium ABS 1.75mm filament, Yellow, 700g"</f>
        <v>AFINIA Premium ABS 1.75mm filament, Yellow, 700g</v>
      </c>
      <c r="C1629" t="str">
        <f t="shared" si="67"/>
        <v>Inactive</v>
      </c>
    </row>
    <row r="1630" spans="1:3" ht="18" customHeight="1">
      <c r="A1630" t="str">
        <f>"10-1202-2005"</f>
        <v>10-1202-2005</v>
      </c>
      <c r="B1630" t="str">
        <f>"AFINIA Premium ABS 1.75mm filament, Green, 700g"</f>
        <v>AFINIA Premium ABS 1.75mm filament, Green, 700g</v>
      </c>
      <c r="C1630" t="str">
        <f t="shared" si="67"/>
        <v>Inactive</v>
      </c>
    </row>
    <row r="1631" spans="1:3" ht="18" customHeight="1">
      <c r="A1631" t="str">
        <f>"10-1202-2047"</f>
        <v>10-1202-2047</v>
      </c>
      <c r="B1631" t="str">
        <f>"AFINIA Value-line Filament,1.75,Silver,1kg"</f>
        <v>AFINIA Value-line Filament,1.75,Silver,1kg</v>
      </c>
      <c r="C1631" t="str">
        <f t="shared" ref="C1631:C1652" si="68">"Active"</f>
        <v>Active</v>
      </c>
    </row>
    <row r="1632" spans="1:3" ht="18" customHeight="1">
      <c r="A1632" t="str">
        <f>"10-1202-2054"</f>
        <v>10-1202-2054</v>
      </c>
      <c r="B1632" t="str">
        <f>"AFINIA Value-line Filament,1.75,Yellow,1kg"</f>
        <v>AFINIA Value-line Filament,1.75,Yellow,1kg</v>
      </c>
      <c r="C1632" t="str">
        <f t="shared" si="68"/>
        <v>Active</v>
      </c>
    </row>
    <row r="1633" spans="1:3" ht="18" customHeight="1">
      <c r="A1633" t="str">
        <f>"10-1202-2061"</f>
        <v>10-1202-2061</v>
      </c>
      <c r="B1633" t="str">
        <f>"AFINIA Value-line Filament,1.75,Natural,1kg"</f>
        <v>AFINIA Value-line Filament,1.75,Natural,1kg</v>
      </c>
      <c r="C1633" t="str">
        <f t="shared" si="68"/>
        <v>Active</v>
      </c>
    </row>
    <row r="1634" spans="1:3" ht="18" customHeight="1">
      <c r="A1634" t="str">
        <f>"10-1202-2068"</f>
        <v>10-1202-2068</v>
      </c>
      <c r="B1634" t="str">
        <f>"AFINIA Value-line Filament,1.75,Purple,1kg"</f>
        <v>AFINIA Value-line Filament,1.75,Purple,1kg</v>
      </c>
      <c r="C1634" t="str">
        <f t="shared" si="68"/>
        <v>Active</v>
      </c>
    </row>
    <row r="1635" spans="1:3" ht="18" customHeight="1">
      <c r="A1635" t="str">
        <f>"10-1202-2075"</f>
        <v>10-1202-2075</v>
      </c>
      <c r="B1635" t="str">
        <f>"AFINIA Value-line Filament,1.75,Orange,1kg"</f>
        <v>AFINIA Value-line Filament,1.75,Orange,1kg</v>
      </c>
      <c r="C1635" t="str">
        <f t="shared" si="68"/>
        <v>Active</v>
      </c>
    </row>
    <row r="1636" spans="1:3" ht="18" customHeight="1">
      <c r="A1636" t="str">
        <f>"10-1202-2082"</f>
        <v>10-1202-2082</v>
      </c>
      <c r="B1636" t="str">
        <f>"AFINIA Value-line Filament,1.75,Red,1kg"</f>
        <v>AFINIA Value-line Filament,1.75,Red,1kg</v>
      </c>
      <c r="C1636" t="str">
        <f t="shared" si="68"/>
        <v>Active</v>
      </c>
    </row>
    <row r="1637" spans="1:3" ht="18" customHeight="1">
      <c r="A1637" t="str">
        <f>"10-1202-2089"</f>
        <v>10-1202-2089</v>
      </c>
      <c r="B1637" t="str">
        <f>"AFINIA Value-line Filament,1.75,Blue,1kg"</f>
        <v>AFINIA Value-line Filament,1.75,Blue,1kg</v>
      </c>
      <c r="C1637" t="str">
        <f t="shared" si="68"/>
        <v>Active</v>
      </c>
    </row>
    <row r="1638" spans="1:3" ht="18" customHeight="1">
      <c r="A1638" t="str">
        <f>"10-1202-2096"</f>
        <v>10-1202-2096</v>
      </c>
      <c r="B1638" t="str">
        <f>"AFINIA Value-line Filament,1.75,White,1kg"</f>
        <v>AFINIA Value-line Filament,1.75,White,1kg</v>
      </c>
      <c r="C1638" t="str">
        <f t="shared" si="68"/>
        <v>Active</v>
      </c>
    </row>
    <row r="1639" spans="1:3" ht="18" customHeight="1">
      <c r="A1639" t="str">
        <f>"10-1202-2103"</f>
        <v>10-1202-2103</v>
      </c>
      <c r="B1639" t="str">
        <f>"AFINIA Value-line Filament,1.75,Gold,1kg"</f>
        <v>AFINIA Value-line Filament,1.75,Gold,1kg</v>
      </c>
      <c r="C1639" t="str">
        <f t="shared" si="68"/>
        <v>Active</v>
      </c>
    </row>
    <row r="1640" spans="1:3" ht="18" customHeight="1">
      <c r="A1640" t="str">
        <f>"10-1202-2110"</f>
        <v>10-1202-2110</v>
      </c>
      <c r="B1640" t="str">
        <f>"AFINIA Value-line Filament,1.75,Black,1kg"</f>
        <v>AFINIA Value-line Filament,1.75,Black,1kg</v>
      </c>
      <c r="C1640" t="str">
        <f t="shared" si="68"/>
        <v>Active</v>
      </c>
    </row>
    <row r="1641" spans="1:3" ht="18" customHeight="1">
      <c r="A1641" t="str">
        <f>"10-1202-2117"</f>
        <v>10-1202-2117</v>
      </c>
      <c r="B1641" t="str">
        <f>"AFINIA Value-line Filament,1.75,Pink,1kg"</f>
        <v>AFINIA Value-line Filament,1.75,Pink,1kg</v>
      </c>
      <c r="C1641" t="str">
        <f t="shared" si="68"/>
        <v>Active</v>
      </c>
    </row>
    <row r="1642" spans="1:3" ht="18" customHeight="1">
      <c r="A1642" t="str">
        <f>"10-1202-2124"</f>
        <v>10-1202-2124</v>
      </c>
      <c r="B1642" t="str">
        <f>"AFINIA Value-line Filament,1.75,Green,1kg"</f>
        <v>AFINIA Value-line Filament,1.75,Green,1kg</v>
      </c>
      <c r="C1642" t="str">
        <f t="shared" si="68"/>
        <v>Active</v>
      </c>
    </row>
    <row r="1643" spans="1:3" ht="18" customHeight="1">
      <c r="A1643" t="str">
        <f>"10-1202-2131"</f>
        <v>10-1202-2131</v>
      </c>
      <c r="B1643" t="str">
        <f>"Value Filament,1.75,Glow-in-the-dark,Green,1kg"</f>
        <v>Value Filament,1.75,Glow-in-the-dark,Green,1kg</v>
      </c>
      <c r="C1643" t="str">
        <f t="shared" si="68"/>
        <v>Active</v>
      </c>
    </row>
    <row r="1644" spans="1:3" ht="18" customHeight="1">
      <c r="A1644" t="str">
        <f>"10-1202-2138"</f>
        <v>10-1202-2138</v>
      </c>
      <c r="B1644" t="str">
        <f>"Value Filament,1.75,Glow-in-the-dark,Blue,1kg"</f>
        <v>Value Filament,1.75,Glow-in-the-dark,Blue,1kg</v>
      </c>
      <c r="C1644" t="str">
        <f t="shared" si="68"/>
        <v>Active</v>
      </c>
    </row>
    <row r="1645" spans="1:3" ht="18" customHeight="1">
      <c r="A1645" t="str">
        <f>"10-1202-2285"</f>
        <v>10-1202-2285</v>
      </c>
      <c r="B1645" t="str">
        <f>"Cell/Perf Board, Afinia H479"</f>
        <v>Cell/Perf Board, Afinia H479</v>
      </c>
      <c r="C1645" t="str">
        <f t="shared" si="68"/>
        <v>Active</v>
      </c>
    </row>
    <row r="1646" spans="1:3" ht="18" customHeight="1">
      <c r="A1646" t="str">
        <f>"10-1202-2299"</f>
        <v>10-1202-2299</v>
      </c>
      <c r="B1646" t="str">
        <f>"Nozzle 0.4-6corners,Afinia 3d"</f>
        <v>Nozzle 0.4-6corners,Afinia 3d</v>
      </c>
      <c r="C1646" t="str">
        <f t="shared" si="68"/>
        <v>Active</v>
      </c>
    </row>
    <row r="1647" spans="1:3" ht="18" customHeight="1">
      <c r="A1647" t="str">
        <f>"10-1202-2544"</f>
        <v>10-1202-2544</v>
      </c>
      <c r="B1647" t="str">
        <f>"Value Filament,1.75,Transparent,1kg"</f>
        <v>Value Filament,1.75,Transparent,1kg</v>
      </c>
      <c r="C1647" t="str">
        <f t="shared" si="68"/>
        <v>Active</v>
      </c>
    </row>
    <row r="1648" spans="1:3" ht="18" customHeight="1">
      <c r="A1648" t="str">
        <f>"10-1202-2551"</f>
        <v>10-1202-2551</v>
      </c>
      <c r="B1648" t="str">
        <f>"Value Filament,1.75,change Blue to Yellow/Green"</f>
        <v>Value Filament,1.75,change Blue to Yellow/Green</v>
      </c>
      <c r="C1648" t="str">
        <f t="shared" si="68"/>
        <v>Active</v>
      </c>
    </row>
    <row r="1649" spans="1:3" ht="18" customHeight="1">
      <c r="A1649" t="str">
        <f>"10-1202-2558"</f>
        <v>10-1202-2558</v>
      </c>
      <c r="B1649" t="str">
        <f>"Value Filament,1.75, Change,Grey-White,1kg"</f>
        <v>Value Filament,1.75, Change,Grey-White,1kg</v>
      </c>
      <c r="C1649" t="str">
        <f t="shared" si="68"/>
        <v>Active</v>
      </c>
    </row>
    <row r="1650" spans="1:3" ht="18" customHeight="1">
      <c r="A1650" t="str">
        <f>"10-1202-3615"</f>
        <v>10-1202-3615</v>
      </c>
      <c r="B1650" t="str">
        <f>"Borofloat Glass Platform, 140x140mm, H479-H480"</f>
        <v>Borofloat Glass Platform, 140x140mm, H479-H480</v>
      </c>
      <c r="C1650" t="str">
        <f t="shared" si="68"/>
        <v>Active</v>
      </c>
    </row>
    <row r="1651" spans="1:3" ht="18" customHeight="1">
      <c r="A1651" t="str">
        <f>"10-1202-3671"</f>
        <v>10-1202-3671</v>
      </c>
      <c r="B1651" t="str">
        <f>"Borofloat Glass Platf,140x140mm,H479-H480,3-Pack"</f>
        <v>Borofloat Glass Platf,140x140mm,H479-H480,3-Pack</v>
      </c>
      <c r="C1651" t="str">
        <f t="shared" si="68"/>
        <v>Active</v>
      </c>
    </row>
    <row r="1652" spans="1:3" ht="18" customHeight="1">
      <c r="A1652" t="str">
        <f>"10-1202-3727"</f>
        <v>10-1202-3727</v>
      </c>
      <c r="B1652" t="str">
        <f>"BuildTak, H479-H480 platform surfaces-3pk"</f>
        <v>BuildTak, H479-H480 platform surfaces-3pk</v>
      </c>
      <c r="C1652" t="str">
        <f t="shared" si="68"/>
        <v>Active</v>
      </c>
    </row>
    <row r="1653" spans="1:3" ht="18" customHeight="1">
      <c r="A1653" t="str">
        <f>"10-1202-4595"</f>
        <v>10-1202-4595</v>
      </c>
      <c r="B1653" t="str">
        <f>"AFINIA Premium PLA 1.75mm filament, Blue, 700g"</f>
        <v>AFINIA Premium PLA 1.75mm filament, Blue, 700g</v>
      </c>
      <c r="C1653" t="str">
        <f>"Inactive"</f>
        <v>Inactive</v>
      </c>
    </row>
    <row r="1654" spans="1:3" ht="18" customHeight="1">
      <c r="A1654" t="str">
        <f>"10-1202-4609"</f>
        <v>10-1202-4609</v>
      </c>
      <c r="B1654" t="str">
        <f>"AFINIA Premium PLA 1.75mm filament, Green, 700g"</f>
        <v>AFINIA Premium PLA 1.75mm filament, Green, 700g</v>
      </c>
      <c r="C1654" t="str">
        <f>"Inactive"</f>
        <v>Inactive</v>
      </c>
    </row>
    <row r="1655" spans="1:3" ht="18" customHeight="1">
      <c r="A1655" t="str">
        <f>"10-1202-4616"</f>
        <v>10-1202-4616</v>
      </c>
      <c r="B1655" t="str">
        <f>"AFINIA Premium PLA 1.75mm filament, Gray, 700g"</f>
        <v>AFINIA Premium PLA 1.75mm filament, Gray, 700g</v>
      </c>
      <c r="C1655" t="str">
        <f>"Inactive"</f>
        <v>Inactive</v>
      </c>
    </row>
    <row r="1656" spans="1:3" ht="18" customHeight="1">
      <c r="A1656" t="str">
        <f>"10-1202-4644"</f>
        <v>10-1202-4644</v>
      </c>
      <c r="B1656" t="str">
        <f>"Cell/Perf Board, Afinia H480"</f>
        <v>Cell/Perf Board, Afinia H480</v>
      </c>
      <c r="C1656" t="str">
        <f>"Active"</f>
        <v>Active</v>
      </c>
    </row>
    <row r="1657" spans="1:3" ht="18" customHeight="1">
      <c r="A1657" t="str">
        <f>"10-1202-4903"</f>
        <v>10-1202-4903</v>
      </c>
      <c r="B1657" t="str">
        <f>"AFINIA Premium PLA 1.75mm filament, Natural, 700"</f>
        <v>AFINIA Premium PLA 1.75mm filament, Natural, 700</v>
      </c>
      <c r="C1657" t="str">
        <f>"Inactive"</f>
        <v>Inactive</v>
      </c>
    </row>
    <row r="1658" spans="1:3" ht="18" customHeight="1">
      <c r="A1658" t="str">
        <f>"10-1202-5204"</f>
        <v>10-1202-5204</v>
      </c>
      <c r="B1658" t="str">
        <f>"ABS Premium 1.75 Filament,1kg(2x500g),White"</f>
        <v>ABS Premium 1.75 Filament,1kg(2x500g),White</v>
      </c>
      <c r="C1658" t="str">
        <f t="shared" ref="C1658:C1687" si="69">"Active"</f>
        <v>Active</v>
      </c>
    </row>
    <row r="1659" spans="1:3" ht="18" customHeight="1">
      <c r="A1659" t="str">
        <f>"10-1202-5211"</f>
        <v>10-1202-5211</v>
      </c>
      <c r="B1659" t="str">
        <f>"ABS Premium 1.75 Filament,1kg(2x500g),Black"</f>
        <v>ABS Premium 1.75 Filament,1kg(2x500g),Black</v>
      </c>
      <c r="C1659" t="str">
        <f t="shared" si="69"/>
        <v>Active</v>
      </c>
    </row>
    <row r="1660" spans="1:3" ht="18" customHeight="1">
      <c r="A1660" t="str">
        <f>"10-1202-5218"</f>
        <v>10-1202-5218</v>
      </c>
      <c r="B1660" t="str">
        <f>"ABS Premium 1.75 Filament,1kg(2x500g),Red"</f>
        <v>ABS Premium 1.75 Filament,1kg(2x500g),Red</v>
      </c>
      <c r="C1660" t="str">
        <f t="shared" si="69"/>
        <v>Active</v>
      </c>
    </row>
    <row r="1661" spans="1:3" ht="18" customHeight="1">
      <c r="A1661" t="str">
        <f>"10-1202-5225"</f>
        <v>10-1202-5225</v>
      </c>
      <c r="B1661" t="str">
        <f>"ABS Premium 1.75 Filament,1kg(2x500g),Blue"</f>
        <v>ABS Premium 1.75 Filament,1kg(2x500g),Blue</v>
      </c>
      <c r="C1661" t="str">
        <f t="shared" si="69"/>
        <v>Active</v>
      </c>
    </row>
    <row r="1662" spans="1:3" ht="18" customHeight="1">
      <c r="A1662" t="str">
        <f>"10-1202-5232"</f>
        <v>10-1202-5232</v>
      </c>
      <c r="B1662" t="str">
        <f>"ABS Premium 1.75 Filament,1kg(2x500g),Yellow"</f>
        <v>ABS Premium 1.75 Filament,1kg(2x500g),Yellow</v>
      </c>
      <c r="C1662" t="str">
        <f t="shared" si="69"/>
        <v>Active</v>
      </c>
    </row>
    <row r="1663" spans="1:3" ht="18" customHeight="1">
      <c r="A1663" t="str">
        <f>"10-1202-5239"</f>
        <v>10-1202-5239</v>
      </c>
      <c r="B1663" t="str">
        <f>"ABS Premium 1.75 Filament,1kg(2x500g),Green"</f>
        <v>ABS Premium 1.75 Filament,1kg(2x500g),Green</v>
      </c>
      <c r="C1663" t="str">
        <f t="shared" si="69"/>
        <v>Active</v>
      </c>
    </row>
    <row r="1664" spans="1:3" ht="18" customHeight="1">
      <c r="A1664" t="str">
        <f>"10-1202-5246"</f>
        <v>10-1202-5246</v>
      </c>
      <c r="B1664" t="str">
        <f>"PLA Premium 1.75 Flmnt,500g,Gray"</f>
        <v>PLA Premium 1.75 Flmnt,500g,Gray</v>
      </c>
      <c r="C1664" t="str">
        <f t="shared" si="69"/>
        <v>Active</v>
      </c>
    </row>
    <row r="1665" spans="1:3" ht="18" customHeight="1">
      <c r="A1665" t="str">
        <f>"10-1202-5253"</f>
        <v>10-1202-5253</v>
      </c>
      <c r="B1665" t="str">
        <f>"PLA Premium 1.75 Flmnt,500g,Blue"</f>
        <v>PLA Premium 1.75 Flmnt,500g,Blue</v>
      </c>
      <c r="C1665" t="str">
        <f t="shared" si="69"/>
        <v>Active</v>
      </c>
    </row>
    <row r="1666" spans="1:3" ht="18" customHeight="1">
      <c r="A1666" t="str">
        <f>"10-1202-5260"</f>
        <v>10-1202-5260</v>
      </c>
      <c r="B1666" t="str">
        <f>"PLA Premium 1.75 Flmnt,500g,Green"</f>
        <v>PLA Premium 1.75 Flmnt,500g,Green</v>
      </c>
      <c r="C1666" t="str">
        <f t="shared" si="69"/>
        <v>Active</v>
      </c>
    </row>
    <row r="1667" spans="1:3" ht="18" customHeight="1">
      <c r="A1667" t="str">
        <f>"10-1202-5267"</f>
        <v>10-1202-5267</v>
      </c>
      <c r="B1667" t="str">
        <f>"PLA Premium 1.75 Flmnt,500g,Natural"</f>
        <v>PLA Premium 1.75 Flmnt,500g,Natural</v>
      </c>
      <c r="C1667" t="str">
        <f t="shared" si="69"/>
        <v>Active</v>
      </c>
    </row>
    <row r="1668" spans="1:3" ht="18" customHeight="1">
      <c r="A1668" t="str">
        <f>"10-1202-5421"</f>
        <v>10-1202-5421</v>
      </c>
      <c r="B1668" t="str">
        <f>"Nozzle , H480-02 - H800"</f>
        <v>Nozzle , H480-02 - H800</v>
      </c>
      <c r="C1668" t="str">
        <f t="shared" si="69"/>
        <v>Active</v>
      </c>
    </row>
    <row r="1669" spans="1:3" ht="18" customHeight="1">
      <c r="A1669" t="str">
        <f>"10-1202-5470"</f>
        <v>10-1202-5470</v>
      </c>
      <c r="B1669" t="str">
        <f>"Borofloat Glass Platform, 275x215mm, H800"</f>
        <v>Borofloat Glass Platform, 275x215mm, H800</v>
      </c>
      <c r="C1669" t="str">
        <f t="shared" si="69"/>
        <v>Active</v>
      </c>
    </row>
    <row r="1670" spans="1:3" ht="18" customHeight="1">
      <c r="A1670" t="str">
        <f>"10-1202-5477"</f>
        <v>10-1202-5477</v>
      </c>
      <c r="B1670" t="str">
        <f>"Specialty PLA Filament,1.75,Copper-infused,100m"</f>
        <v>Specialty PLA Filament,1.75,Copper-infused,100m</v>
      </c>
      <c r="C1670" t="str">
        <f t="shared" si="69"/>
        <v>Active</v>
      </c>
    </row>
    <row r="1671" spans="1:3" ht="18" customHeight="1">
      <c r="A1671" t="str">
        <f>"10-1202-5484"</f>
        <v>10-1202-5484</v>
      </c>
      <c r="B1671" t="str">
        <f>"Specialty PLA Filament,1.75,Wood-infused,100m"</f>
        <v>Specialty PLA Filament,1.75,Wood-infused,100m</v>
      </c>
      <c r="C1671" t="str">
        <f t="shared" si="69"/>
        <v>Active</v>
      </c>
    </row>
    <row r="1672" spans="1:3" ht="18" customHeight="1">
      <c r="A1672" t="str">
        <f>"10-1202-5568"</f>
        <v>10-1202-5568</v>
      </c>
      <c r="B1672" t="str">
        <f>"BuildTak, H800 platform surfaces-3pk"</f>
        <v>BuildTak, H800 platform surfaces-3pk</v>
      </c>
      <c r="C1672" t="str">
        <f t="shared" si="69"/>
        <v>Active</v>
      </c>
    </row>
    <row r="1673" spans="1:3" ht="18" customHeight="1">
      <c r="A1673" t="str">
        <f>"10-1202-5596"</f>
        <v>10-1202-5596</v>
      </c>
      <c r="B1673" t="str">
        <f>"Cell/Perf Board, Afinia H800"</f>
        <v>Cell/Perf Board, Afinia H800</v>
      </c>
      <c r="C1673" t="str">
        <f t="shared" si="69"/>
        <v>Active</v>
      </c>
    </row>
    <row r="1674" spans="1:3" ht="18" customHeight="1">
      <c r="A1674" t="str">
        <f>"10-1202-5603"</f>
        <v>10-1202-5603</v>
      </c>
      <c r="B1674" t="str">
        <f>"Air Filter, Afinia H800,HEPA 7"</f>
        <v>Air Filter, Afinia H800,HEPA 7</v>
      </c>
      <c r="C1674" t="str">
        <f t="shared" si="69"/>
        <v>Active</v>
      </c>
    </row>
    <row r="1675" spans="1:3" ht="18" customHeight="1">
      <c r="A1675" t="str">
        <f>"10-1202-5610"</f>
        <v>10-1202-5610</v>
      </c>
      <c r="B1675" t="str">
        <f>"ABS PLUS Premium 1.75 Flmnt,500g,6-Pack,Blk,Wht,"</f>
        <v>ABS PLUS Premium 1.75 Flmnt,500g,6-Pack,Blk,Wht,</v>
      </c>
      <c r="C1675" t="str">
        <f t="shared" si="69"/>
        <v>Active</v>
      </c>
    </row>
    <row r="1676" spans="1:3" ht="18" customHeight="1">
      <c r="A1676" t="str">
        <f>"10-1202-5617"</f>
        <v>10-1202-5617</v>
      </c>
      <c r="B1676" t="str">
        <f>"PLA Premium 1.75 Flmnt,500g,4-Pack,Blu,Gry,Grn,N"</f>
        <v>PLA Premium 1.75 Flmnt,500g,4-Pack,Blu,Gry,Grn,N</v>
      </c>
      <c r="C1676" t="str">
        <f t="shared" si="69"/>
        <v>Active</v>
      </c>
    </row>
    <row r="1677" spans="1:3" ht="18" customHeight="1">
      <c r="A1677" t="str">
        <f>"10-1202-5638"</f>
        <v>10-1202-5638</v>
      </c>
      <c r="B1677" t="str">
        <f>"ABS PLUS Premium 1.75 Flmnt,500g,White"</f>
        <v>ABS PLUS Premium 1.75 Flmnt,500g,White</v>
      </c>
      <c r="C1677" t="str">
        <f t="shared" si="69"/>
        <v>Active</v>
      </c>
    </row>
    <row r="1678" spans="1:3" ht="18" customHeight="1">
      <c r="A1678" t="str">
        <f>"10-1202-5645"</f>
        <v>10-1202-5645</v>
      </c>
      <c r="B1678" t="str">
        <f>"ABS PLUS Premium 1.75 Flmnt,500g,Black"</f>
        <v>ABS PLUS Premium 1.75 Flmnt,500g,Black</v>
      </c>
      <c r="C1678" t="str">
        <f t="shared" si="69"/>
        <v>Active</v>
      </c>
    </row>
    <row r="1679" spans="1:3" ht="18" customHeight="1">
      <c r="A1679" t="str">
        <f>"10-1202-5652"</f>
        <v>10-1202-5652</v>
      </c>
      <c r="B1679" t="str">
        <f>"ABS PLUS Premium 1.75 Flmnt,500g,Red"</f>
        <v>ABS PLUS Premium 1.75 Flmnt,500g,Red</v>
      </c>
      <c r="C1679" t="str">
        <f t="shared" si="69"/>
        <v>Active</v>
      </c>
    </row>
    <row r="1680" spans="1:3" ht="18" customHeight="1">
      <c r="A1680" t="str">
        <f>"10-1202-5659"</f>
        <v>10-1202-5659</v>
      </c>
      <c r="B1680" t="str">
        <f>"ABS PLUS Premium 1.75 Flmnt,500g,Blue"</f>
        <v>ABS PLUS Premium 1.75 Flmnt,500g,Blue</v>
      </c>
      <c r="C1680" t="str">
        <f t="shared" si="69"/>
        <v>Active</v>
      </c>
    </row>
    <row r="1681" spans="1:3" ht="18" customHeight="1">
      <c r="A1681" t="str">
        <f>"10-1202-5666"</f>
        <v>10-1202-5666</v>
      </c>
      <c r="B1681" t="str">
        <f>"ABS PLUS Premium 1.75 Flmnt,500g,Yellow"</f>
        <v>ABS PLUS Premium 1.75 Flmnt,500g,Yellow</v>
      </c>
      <c r="C1681" t="str">
        <f t="shared" si="69"/>
        <v>Active</v>
      </c>
    </row>
    <row r="1682" spans="1:3" ht="18" customHeight="1">
      <c r="A1682" t="str">
        <f>"10-1202-5673"</f>
        <v>10-1202-5673</v>
      </c>
      <c r="B1682" t="str">
        <f>"ABS PLUS Premium 1.75 Flmnt,500g,Green"</f>
        <v>ABS PLUS Premium 1.75 Flmnt,500g,Green</v>
      </c>
      <c r="C1682" t="str">
        <f t="shared" si="69"/>
        <v>Active</v>
      </c>
    </row>
    <row r="1683" spans="1:3" ht="18" customHeight="1">
      <c r="A1683" t="str">
        <f>"10-1202-6093"</f>
        <v>10-1202-6093</v>
      </c>
      <c r="B1683" t="str">
        <f>"PLA Premium 1.75 Filament,500g,Burgundy"</f>
        <v>PLA Premium 1.75 Filament,500g,Burgundy</v>
      </c>
      <c r="C1683" t="str">
        <f t="shared" si="69"/>
        <v>Active</v>
      </c>
    </row>
    <row r="1684" spans="1:3" ht="18" customHeight="1">
      <c r="A1684" t="str">
        <f>"10-1202-6100"</f>
        <v>10-1202-6100</v>
      </c>
      <c r="B1684" t="str">
        <f>"PLA Premium 1.75 Filament,500g,Orange"</f>
        <v>PLA Premium 1.75 Filament,500g,Orange</v>
      </c>
      <c r="C1684" t="str">
        <f t="shared" si="69"/>
        <v>Active</v>
      </c>
    </row>
    <row r="1685" spans="1:3" ht="18" customHeight="1">
      <c r="A1685" t="str">
        <f>"10-1202-6128"</f>
        <v>10-1202-6128</v>
      </c>
      <c r="B1685" t="str">
        <f>"PLA Premium 1.75 Filament,500g,Black"</f>
        <v>PLA Premium 1.75 Filament,500g,Black</v>
      </c>
      <c r="C1685" t="str">
        <f t="shared" si="69"/>
        <v>Active</v>
      </c>
    </row>
    <row r="1686" spans="1:3" ht="18" customHeight="1">
      <c r="A1686" t="str">
        <f>"10-1202-6135"</f>
        <v>10-1202-6135</v>
      </c>
      <c r="B1686" t="str">
        <f>"PLA Premium 1.75 Filament,500g,White"</f>
        <v>PLA Premium 1.75 Filament,500g,White</v>
      </c>
      <c r="C1686" t="str">
        <f t="shared" si="69"/>
        <v>Active</v>
      </c>
    </row>
    <row r="1687" spans="1:3" ht="18" customHeight="1">
      <c r="A1687" t="str">
        <f>"10-1600-1000"</f>
        <v>10-1600-1000</v>
      </c>
      <c r="B1687" t="str">
        <f>"EMMC1600 Maintenance Cell, Hardware Package"</f>
        <v>EMMC1600 Maintenance Cell, Hardware Package</v>
      </c>
      <c r="C1687" t="str">
        <f t="shared" si="69"/>
        <v>Active</v>
      </c>
    </row>
    <row r="1688" spans="1:3" ht="18" customHeight="1">
      <c r="A1688" t="str">
        <f>"10-1600-9000"</f>
        <v>10-1600-9000</v>
      </c>
      <c r="B1688" t="str">
        <f>"EMMC1600 Maintenance Cell, SA, Lab Lab"</f>
        <v>EMMC1600 Maintenance Cell, SA, Lab Lab</v>
      </c>
      <c r="C1688" t="str">
        <f>"Inactive"</f>
        <v>Inactive</v>
      </c>
    </row>
    <row r="1689" spans="1:3" ht="18" customHeight="1">
      <c r="A1689" t="str">
        <f>"10-1602-1001"</f>
        <v>10-1602-1001</v>
      </c>
      <c r="B1689" t="str">
        <f>"EMMC1600 Maintenance Cell, Consumable Package"</f>
        <v>EMMC1600 Maintenance Cell, Consumable Package</v>
      </c>
      <c r="C1689" t="str">
        <f>"Active"</f>
        <v>Active</v>
      </c>
    </row>
    <row r="1690" spans="1:3" ht="18" customHeight="1">
      <c r="A1690" t="str">
        <f>"10-1602-1002"</f>
        <v>10-1602-1002</v>
      </c>
      <c r="B1690" t="str">
        <f>"EMMC1600 Maintenance Cell, Tooling Package"</f>
        <v>EMMC1600 Maintenance Cell, Tooling Package</v>
      </c>
      <c r="C1690" t="str">
        <f>"Active"</f>
        <v>Active</v>
      </c>
    </row>
    <row r="1691" spans="1:3" ht="18" customHeight="1">
      <c r="A1691" t="str">
        <f>"10-2001-0000"</f>
        <v>10-2001-0000</v>
      </c>
      <c r="B1691" t="str">
        <f>"Benchman MX, 1 HP, 5K Spindle"</f>
        <v>Benchman MX, 1 HP, 5K Spindle</v>
      </c>
      <c r="C1691" t="str">
        <f>"Not for sale"</f>
        <v>Not for sale</v>
      </c>
    </row>
    <row r="1692" spans="1:3" ht="18" customHeight="1">
      <c r="A1692" t="str">
        <f>"10-2002-0000"</f>
        <v>10-2002-0000</v>
      </c>
      <c r="B1692" t="str">
        <f>"Benchman MX, 1 HP, 10K Spindle"</f>
        <v>Benchman MX, 1 HP, 10K Spindle</v>
      </c>
      <c r="C1692" t="str">
        <f>"Not for sale"</f>
        <v>Not for sale</v>
      </c>
    </row>
    <row r="1693" spans="1:3" ht="18" customHeight="1">
      <c r="A1693" t="str">
        <f>"10-2100-6000"</f>
        <v>10-2100-6000</v>
      </c>
      <c r="B1693" t="str">
        <f>"Pedestal Stand Ass'y for floor mounting robot"</f>
        <v>Pedestal Stand Ass'y for floor mounting robot</v>
      </c>
      <c r="C1693" t="str">
        <f t="shared" ref="C1693:C1699" si="70">"Active"</f>
        <v>Active</v>
      </c>
    </row>
    <row r="1694" spans="1:3" ht="18" customHeight="1">
      <c r="A1694" t="str">
        <f>"10-2104-9000"</f>
        <v>10-2104-9000</v>
      </c>
      <c r="B1694" t="str">
        <f>"Single Buffer for Slotted Table"</f>
        <v>Single Buffer for Slotted Table</v>
      </c>
      <c r="C1694" t="str">
        <f t="shared" si="70"/>
        <v>Active</v>
      </c>
    </row>
    <row r="1695" spans="1:3" ht="18" customHeight="1">
      <c r="A1695" t="str">
        <f>"10-2105-3000"</f>
        <v>10-2105-3000</v>
      </c>
      <c r="B1695" t="str">
        <f>"Awareness Barrier Device"</f>
        <v>Awareness Barrier Device</v>
      </c>
      <c r="C1695" t="str">
        <f t="shared" si="70"/>
        <v>Active</v>
      </c>
    </row>
    <row r="1696" spans="1:3" ht="18" customHeight="1">
      <c r="A1696" t="str">
        <f>"10-2110-1000"</f>
        <v>10-2110-1000</v>
      </c>
      <c r="B1696" t="str">
        <f>"Pallet Conveyor Straight Section 1400mm"</f>
        <v>Pallet Conveyor Straight Section 1400mm</v>
      </c>
      <c r="C1696" t="str">
        <f t="shared" si="70"/>
        <v>Active</v>
      </c>
    </row>
    <row r="1697" spans="1:3" ht="18" customHeight="1">
      <c r="A1697" t="str">
        <f>"10-2110-2000"</f>
        <v>10-2110-2000</v>
      </c>
      <c r="B1697" t="str">
        <f>"Pallet Conveyor Straight Section 760mm"</f>
        <v>Pallet Conveyor Straight Section 760mm</v>
      </c>
      <c r="C1697" t="str">
        <f t="shared" si="70"/>
        <v>Active</v>
      </c>
    </row>
    <row r="1698" spans="1:3" ht="18" customHeight="1">
      <c r="A1698" t="str">
        <f>"10-2110-4000"</f>
        <v>10-2110-4000</v>
      </c>
      <c r="B1698" t="str">
        <f>"Pallet Conveyor Corner Section 90°"</f>
        <v>Pallet Conveyor Corner Section 90°</v>
      </c>
      <c r="C1698" t="str">
        <f t="shared" si="70"/>
        <v>Active</v>
      </c>
    </row>
    <row r="1699" spans="1:3" ht="18" customHeight="1">
      <c r="A1699" t="str">
        <f>"10-2110-5000"</f>
        <v>10-2110-5000</v>
      </c>
      <c r="B1699" t="str">
        <f>"Pallet Conveyor Corner Section 180°"</f>
        <v>Pallet Conveyor Corner Section 180°</v>
      </c>
      <c r="C1699" t="str">
        <f t="shared" si="70"/>
        <v>Active</v>
      </c>
    </row>
    <row r="1700" spans="1:3" ht="18" customHeight="1">
      <c r="A1700" t="str">
        <f>"10-2110-6000"</f>
        <v>10-2110-6000</v>
      </c>
      <c r="B1700" t="str">
        <f>"Motor &amp; Gear Assembly"</f>
        <v>Motor &amp; Gear Assembly</v>
      </c>
      <c r="C1700" t="str">
        <f>"Phase Out"</f>
        <v>Phase Out</v>
      </c>
    </row>
    <row r="1701" spans="1:3" ht="18" customHeight="1">
      <c r="A1701" t="str">
        <f>"10-2110-9000"</f>
        <v>10-2110-9000</v>
      </c>
      <c r="B1701" t="str">
        <f>"Pallet Conveyor Drive Assembly"</f>
        <v>Pallet Conveyor Drive Assembly</v>
      </c>
      <c r="C1701" t="str">
        <f>"Active"</f>
        <v>Active</v>
      </c>
    </row>
    <row r="1702" spans="1:3" ht="18" customHeight="1">
      <c r="A1702" t="str">
        <f>"10-2111-0000"</f>
        <v>10-2111-0000</v>
      </c>
      <c r="B1702" t="str">
        <f>"Pallet Conveyor Middle Leg Assembly"</f>
        <v>Pallet Conveyor Middle Leg Assembly</v>
      </c>
      <c r="C1702" t="str">
        <f>"Active"</f>
        <v>Active</v>
      </c>
    </row>
    <row r="1703" spans="1:3" ht="18" customHeight="1">
      <c r="A1703" t="str">
        <f>"10-2111-3000"</f>
        <v>10-2111-3000</v>
      </c>
      <c r="B1703" t="str">
        <f>"Pallet (with magnetic code)"</f>
        <v>Pallet (with magnetic code)</v>
      </c>
      <c r="C1703" t="str">
        <f>"Active"</f>
        <v>Active</v>
      </c>
    </row>
    <row r="1704" spans="1:3" ht="18" customHeight="1">
      <c r="A1704" t="str">
        <f>"10-2111-9000"</f>
        <v>10-2111-9000</v>
      </c>
      <c r="B1704" t="str">
        <f>"Cable Duct to Ctrl. Cabinet"</f>
        <v>Cable Duct to Ctrl. Cabinet</v>
      </c>
      <c r="C1704" t="str">
        <f>"Active"</f>
        <v>Active</v>
      </c>
    </row>
    <row r="1705" spans="1:3" ht="18" customHeight="1">
      <c r="A1705" t="str">
        <f>"10-2112-0000"</f>
        <v>10-2112-0000</v>
      </c>
      <c r="B1705" t="str">
        <f>"Barcode Scanning System, 115/230V"</f>
        <v>Barcode Scanning System, 115/230V</v>
      </c>
      <c r="C1705" t="str">
        <f>"Phase Out"</f>
        <v>Phase Out</v>
      </c>
    </row>
    <row r="1706" spans="1:3" ht="18" customHeight="1">
      <c r="A1706" t="str">
        <f>"10-2112-2000"</f>
        <v>10-2112-2000</v>
      </c>
      <c r="B1706" t="str">
        <f>"CIM Station Indicator Lights"</f>
        <v>CIM Station Indicator Lights</v>
      </c>
      <c r="C1706" t="str">
        <f t="shared" ref="C1706:C1712" si="71">"Active"</f>
        <v>Active</v>
      </c>
    </row>
    <row r="1707" spans="1:3" ht="18" customHeight="1">
      <c r="A1707" t="str">
        <f>"10-2113-3000"</f>
        <v>10-2113-3000</v>
      </c>
      <c r="B1707" t="str">
        <f>"CIM PLC Cabinet (A/B PLC - 5 Stations)"</f>
        <v>CIM PLC Cabinet (A/B PLC - 5 Stations)</v>
      </c>
      <c r="C1707" t="str">
        <f t="shared" si="71"/>
        <v>Active</v>
      </c>
    </row>
    <row r="1708" spans="1:3" ht="18" customHeight="1">
      <c r="A1708" t="str">
        <f>"10-2113-4000"</f>
        <v>10-2113-4000</v>
      </c>
      <c r="B1708" t="str">
        <f>"CIM PLC Cabinet (OMRON PLC - 5 Stations)"</f>
        <v>CIM PLC Cabinet (OMRON PLC - 5 Stations)</v>
      </c>
      <c r="C1708" t="str">
        <f t="shared" si="71"/>
        <v>Active</v>
      </c>
    </row>
    <row r="1709" spans="1:3" ht="18" customHeight="1">
      <c r="A1709" t="str">
        <f>"10-2113-6000"</f>
        <v>10-2113-6000</v>
      </c>
      <c r="B1709" t="str">
        <f>"Conveyor stop assembly"</f>
        <v>Conveyor stop assembly</v>
      </c>
      <c r="C1709" t="str">
        <f t="shared" si="71"/>
        <v>Active</v>
      </c>
    </row>
    <row r="1710" spans="1:3" ht="18" customHeight="1">
      <c r="A1710" t="str">
        <f>"10-2113-8000"</f>
        <v>10-2113-8000</v>
      </c>
      <c r="B1710" t="str">
        <f>"CIM PLC Cabinet (OMRON PLC - 8 Stations)"</f>
        <v>CIM PLC Cabinet (OMRON PLC - 8 Stations)</v>
      </c>
      <c r="C1710" t="str">
        <f t="shared" si="71"/>
        <v>Active</v>
      </c>
    </row>
    <row r="1711" spans="1:3" ht="18" customHeight="1">
      <c r="A1711" t="str">
        <f>"10-2113-9000"</f>
        <v>10-2113-9000</v>
      </c>
      <c r="B1711" t="str">
        <f>"CIM PLC Cabinet (A/B PLC - 8 Stations)"</f>
        <v>CIM PLC Cabinet (A/B PLC - 8 Stations)</v>
      </c>
      <c r="C1711" t="str">
        <f t="shared" si="71"/>
        <v>Active</v>
      </c>
    </row>
    <row r="1712" spans="1:3" ht="18" customHeight="1">
      <c r="A1712" t="str">
        <f>"10-2114-4000"</f>
        <v>10-2114-4000</v>
      </c>
      <c r="B1712" t="str">
        <f>"CIM PLC Cabinet (Siemens PLC - 5 Stations)"</f>
        <v>CIM PLC Cabinet (Siemens PLC - 5 Stations)</v>
      </c>
      <c r="C1712" t="str">
        <f t="shared" si="71"/>
        <v>Active</v>
      </c>
    </row>
    <row r="1713" spans="1:3" ht="18" customHeight="1">
      <c r="A1713" t="str">
        <f>"10-2114-5000"</f>
        <v>10-2114-5000</v>
      </c>
      <c r="B1713" t="str">
        <f>"CIM PLC Cabinet (w/o PLC)"</f>
        <v>CIM PLC Cabinet (w/o PLC)</v>
      </c>
      <c r="C1713" t="str">
        <f>"ECO-N2Mnf"</f>
        <v>ECO-N2Mnf</v>
      </c>
    </row>
    <row r="1714" spans="1:3" ht="18" customHeight="1">
      <c r="A1714" t="str">
        <f>"10-2114-9000"</f>
        <v>10-2114-9000</v>
      </c>
      <c r="B1714" t="str">
        <f>"CIM PLC Cabinet (Siemens PLC - 8 Stations)"</f>
        <v>CIM PLC Cabinet (Siemens PLC - 8 Stations)</v>
      </c>
      <c r="C1714" t="str">
        <f>"Active"</f>
        <v>Active</v>
      </c>
    </row>
    <row r="1715" spans="1:3" ht="18" customHeight="1">
      <c r="A1715" t="str">
        <f>"10-2115-5000"</f>
        <v>10-2115-5000</v>
      </c>
      <c r="B1715" t="str">
        <f>"CIM PLC Cabinet S7-1211C PROFINET"</f>
        <v>CIM PLC Cabinet S7-1211C PROFINET</v>
      </c>
      <c r="C1715" t="str">
        <f>"Active"</f>
        <v>Active</v>
      </c>
    </row>
    <row r="1716" spans="1:3" ht="18" customHeight="1">
      <c r="A1716" t="str">
        <f>"10-2116-0000"</f>
        <v>10-2116-0000</v>
      </c>
      <c r="B1716" t="str">
        <f>"CIM PLC Cabinet (OMRON PLC-7 Stations)"</f>
        <v>CIM PLC Cabinet (OMRON PLC-7 Stations)</v>
      </c>
      <c r="C1716" t="str">
        <f>"Active"</f>
        <v>Active</v>
      </c>
    </row>
    <row r="1717" spans="1:3" ht="18" customHeight="1">
      <c r="A1717" t="str">
        <f>"10-2116-2000"</f>
        <v>10-2116-2000</v>
      </c>
      <c r="B1717" t="str">
        <f>"Pneumatic Flip Device for 3rd Party CNC Mill"</f>
        <v>Pneumatic Flip Device for 3rd Party CNC Mill</v>
      </c>
      <c r="C1717" t="str">
        <f>"Active"</f>
        <v>Active</v>
      </c>
    </row>
    <row r="1718" spans="1:3" ht="18" customHeight="1">
      <c r="A1718" t="str">
        <f>"10-2116-7000"</f>
        <v>10-2116-7000</v>
      </c>
      <c r="B1718" t="str">
        <f>"Safety Shield 1500x885x,H=1040mm (Table 001249)"</f>
        <v>Safety Shield 1500x885x,H=1040mm (Table 001249)</v>
      </c>
      <c r="C1718" t="str">
        <f>"ECO-N2Buy"</f>
        <v>ECO-N2Buy</v>
      </c>
    </row>
    <row r="1719" spans="1:3" ht="18" customHeight="1">
      <c r="A1719" t="str">
        <f>"10-2117-1000"</f>
        <v>10-2117-1000</v>
      </c>
      <c r="B1719" t="str">
        <f>"Safety shield 1500x1100,H=1000mm/ table 001293"</f>
        <v>Safety shield 1500x1100,H=1000mm/ table 001293</v>
      </c>
      <c r="C1719" t="str">
        <f>"Active"</f>
        <v>Active</v>
      </c>
    </row>
    <row r="1720" spans="1:3" ht="18" customHeight="1">
      <c r="A1720" t="str">
        <f>"10-2117-1001"</f>
        <v>10-2117-1001</v>
      </c>
      <c r="B1720" t="str">
        <f>"Safety Shield 1500x1225x1040mm (Table 001293)"</f>
        <v>Safety Shield 1500x1225x1040mm (Table 001293)</v>
      </c>
      <c r="C1720" t="str">
        <f>"Inactive"</f>
        <v>Inactive</v>
      </c>
    </row>
    <row r="1721" spans="1:3" ht="18" customHeight="1">
      <c r="A1721" t="str">
        <f>"10-2117-6000"</f>
        <v>10-2117-6000</v>
      </c>
      <c r="B1721" t="str">
        <f>"Stop Station Assembly for Siemens PLC"</f>
        <v>Stop Station Assembly for Siemens PLC</v>
      </c>
      <c r="C1721" t="str">
        <f t="shared" ref="C1721:C1727" si="72">"Active"</f>
        <v>Active</v>
      </c>
    </row>
    <row r="1722" spans="1:3" ht="18" customHeight="1">
      <c r="A1722" t="str">
        <f>"10-2118-3000"</f>
        <v>10-2118-3000</v>
      </c>
      <c r="B1722" t="str">
        <f>"CNC Interface with Benchman MX"</f>
        <v>CNC Interface with Benchman MX</v>
      </c>
      <c r="C1722" t="str">
        <f t="shared" si="72"/>
        <v>Active</v>
      </c>
    </row>
    <row r="1723" spans="1:3" ht="18" customHeight="1">
      <c r="A1723" t="str">
        <f>"10-2118-4000"</f>
        <v>10-2118-4000</v>
      </c>
      <c r="B1723" t="str">
        <f>"CNC Interface with Boxford Mill"</f>
        <v>CNC Interface with Boxford Mill</v>
      </c>
      <c r="C1723" t="str">
        <f t="shared" si="72"/>
        <v>Active</v>
      </c>
    </row>
    <row r="1724" spans="1:3" ht="18" customHeight="1">
      <c r="A1724" t="str">
        <f>"10-2118-5000"</f>
        <v>10-2118-5000</v>
      </c>
      <c r="B1724" t="str">
        <f>"CNC Interface with Boxford Turn"</f>
        <v>CNC Interface with Boxford Turn</v>
      </c>
      <c r="C1724" t="str">
        <f t="shared" si="72"/>
        <v>Active</v>
      </c>
    </row>
    <row r="1725" spans="1:3" ht="18" customHeight="1">
      <c r="A1725" t="str">
        <f>"10-2118-6000"</f>
        <v>10-2118-6000</v>
      </c>
      <c r="B1725" t="str">
        <f>"CNC Interface with EMCO MILL"</f>
        <v>CNC Interface with EMCO MILL</v>
      </c>
      <c r="C1725" t="str">
        <f t="shared" si="72"/>
        <v>Active</v>
      </c>
    </row>
    <row r="1726" spans="1:3" ht="18" customHeight="1">
      <c r="A1726" t="str">
        <f>"10-2118-7000"</f>
        <v>10-2118-7000</v>
      </c>
      <c r="B1726" t="str">
        <f>"CNC Interface with EMCO TURN"</f>
        <v>CNC Interface with EMCO TURN</v>
      </c>
      <c r="C1726" t="str">
        <f t="shared" si="72"/>
        <v>Active</v>
      </c>
    </row>
    <row r="1727" spans="1:3" ht="18" customHeight="1">
      <c r="A1727" t="str">
        <f>"10-2118-8000"</f>
        <v>10-2118-8000</v>
      </c>
      <c r="B1727" t="str">
        <f>"CNC Interface Option Relay Box (5OUT/5IN)"</f>
        <v>CNC Interface Option Relay Box (5OUT/5IN)</v>
      </c>
      <c r="C1727" t="str">
        <f t="shared" si="72"/>
        <v>Active</v>
      </c>
    </row>
    <row r="1728" spans="1:3" ht="18" customHeight="1">
      <c r="A1728" t="str">
        <f>"10-2118-9000"</f>
        <v>10-2118-9000</v>
      </c>
      <c r="B1728" t="str">
        <f>"CNC Interface Option USB to I/O"</f>
        <v>CNC Interface Option USB to I/O</v>
      </c>
      <c r="C1728" t="str">
        <f>"ECO-N2Mnf"</f>
        <v>ECO-N2Mnf</v>
      </c>
    </row>
    <row r="1729" spans="1:3" ht="18" customHeight="1">
      <c r="A1729" t="str">
        <f>"10-2119-0000"</f>
        <v>10-2119-0000</v>
      </c>
      <c r="B1729" t="str">
        <f>"CNC Interface with Prolight Turn PLT3000"</f>
        <v>CNC Interface with Prolight Turn PLT3000</v>
      </c>
      <c r="C1729" t="str">
        <f t="shared" ref="C1729:C1750" si="73">"Active"</f>
        <v>Active</v>
      </c>
    </row>
    <row r="1730" spans="1:3" ht="18" customHeight="1">
      <c r="A1730" t="str">
        <f>"10-2119-1000"</f>
        <v>10-2119-1000</v>
      </c>
      <c r="B1730" t="str">
        <f>"CNC Interface with Spectralight Mill SLM0200"</f>
        <v>CNC Interface with Spectralight Mill SLM0200</v>
      </c>
      <c r="C1730" t="str">
        <f t="shared" si="73"/>
        <v>Active</v>
      </c>
    </row>
    <row r="1731" spans="1:3" ht="18" customHeight="1">
      <c r="A1731" t="str">
        <f>"10-2119-2000"</f>
        <v>10-2119-2000</v>
      </c>
      <c r="B1731" t="str">
        <f>"CNC Interface with Spectralight Turn SLT0400"</f>
        <v>CNC Interface with Spectralight Turn SLT0400</v>
      </c>
      <c r="C1731" t="str">
        <f t="shared" si="73"/>
        <v>Active</v>
      </c>
    </row>
    <row r="1732" spans="1:3" ht="18" customHeight="1">
      <c r="A1732" t="str">
        <f>"10-2119-3000"</f>
        <v>10-2119-3000</v>
      </c>
      <c r="B1732" t="str">
        <f>"CNC Interface with Superprolight Mill SPLM1000"</f>
        <v>CNC Interface with Superprolight Mill SPLM1000</v>
      </c>
      <c r="C1732" t="str">
        <f t="shared" si="73"/>
        <v>Active</v>
      </c>
    </row>
    <row r="1733" spans="1:3" ht="18" customHeight="1">
      <c r="A1733" t="str">
        <f>"10-2119-4000"</f>
        <v>10-2119-4000</v>
      </c>
      <c r="B1733" t="str">
        <f>"CNC Interface with Expertmill VMC0600"</f>
        <v>CNC Interface with Expertmill VMC0600</v>
      </c>
      <c r="C1733" t="str">
        <f t="shared" si="73"/>
        <v>Active</v>
      </c>
    </row>
    <row r="1734" spans="1:3" ht="18" customHeight="1">
      <c r="A1734" t="str">
        <f>"10-2119-5000"</f>
        <v>10-2119-5000</v>
      </c>
      <c r="B1734" t="str">
        <f>"CIM PLC Cabinet Siemens PROFIBUS"</f>
        <v>CIM PLC Cabinet Siemens PROFIBUS</v>
      </c>
      <c r="C1734" t="str">
        <f t="shared" si="73"/>
        <v>Active</v>
      </c>
    </row>
    <row r="1735" spans="1:3" ht="18" customHeight="1">
      <c r="A1735" t="str">
        <f>"10-2119-6000"</f>
        <v>10-2119-6000</v>
      </c>
      <c r="B1735" t="str">
        <f>"Stop Station Assembly for PROFIBUS"</f>
        <v>Stop Station Assembly for PROFIBUS</v>
      </c>
      <c r="C1735" t="str">
        <f t="shared" si="73"/>
        <v>Active</v>
      </c>
    </row>
    <row r="1736" spans="1:3" ht="18" customHeight="1">
      <c r="A1736" t="str">
        <f>"10-2119-7000"</f>
        <v>10-2119-7000</v>
      </c>
      <c r="B1736" t="str">
        <f>"Profibus Module (ET200L) for Stop Station"</f>
        <v>Profibus Module (ET200L) for Stop Station</v>
      </c>
      <c r="C1736" t="str">
        <f t="shared" si="73"/>
        <v>Active</v>
      </c>
    </row>
    <row r="1737" spans="1:3" ht="18" customHeight="1">
      <c r="A1737" t="str">
        <f>"10-2119-8000"</f>
        <v>10-2119-8000</v>
      </c>
      <c r="B1737" t="str">
        <f>"RFID Reader System 115/230V"</f>
        <v>RFID Reader System 115/230V</v>
      </c>
      <c r="C1737" t="str">
        <f t="shared" si="73"/>
        <v>Active</v>
      </c>
    </row>
    <row r="1738" spans="1:3" ht="18" customHeight="1">
      <c r="A1738" t="str">
        <f>"10-2119-9000"</f>
        <v>10-2119-9000</v>
      </c>
      <c r="B1738" t="str">
        <f>"Interface with industrial robot"</f>
        <v>Interface with industrial robot</v>
      </c>
      <c r="C1738" t="str">
        <f t="shared" si="73"/>
        <v>Active</v>
      </c>
    </row>
    <row r="1739" spans="1:3" ht="18" customHeight="1">
      <c r="A1739" t="str">
        <f>"10-2120-0000"</f>
        <v>10-2120-0000</v>
      </c>
      <c r="B1739" t="str">
        <f>"CNC Interface with BenchMILL 6000"</f>
        <v>CNC Interface with BenchMILL 6000</v>
      </c>
      <c r="C1739" t="str">
        <f t="shared" si="73"/>
        <v>Active</v>
      </c>
    </row>
    <row r="1740" spans="1:3" ht="18" customHeight="1">
      <c r="A1740" t="str">
        <f>"10-2120-1000"</f>
        <v>10-2120-1000</v>
      </c>
      <c r="B1740" t="str">
        <f>"CNC Interface with BenchTurn 7000"</f>
        <v>CNC Interface with BenchTurn 7000</v>
      </c>
      <c r="C1740" t="str">
        <f t="shared" si="73"/>
        <v>Active</v>
      </c>
    </row>
    <row r="1741" spans="1:3" ht="18" customHeight="1">
      <c r="A1741" t="str">
        <f>"10-2120-2000"</f>
        <v>10-2120-2000</v>
      </c>
      <c r="B1741" t="str">
        <f>"CNC Interface with ProMill 8000"</f>
        <v>CNC Interface with ProMill 8000</v>
      </c>
      <c r="C1741" t="str">
        <f t="shared" si="73"/>
        <v>Active</v>
      </c>
    </row>
    <row r="1742" spans="1:3" ht="18" customHeight="1">
      <c r="A1742" t="str">
        <f>"10-2120-3000"</f>
        <v>10-2120-3000</v>
      </c>
      <c r="B1742" t="str">
        <f>"CNC Interface with ProTurn 9000"</f>
        <v>CNC Interface with ProTurn 9000</v>
      </c>
      <c r="C1742" t="str">
        <f t="shared" si="73"/>
        <v>Active</v>
      </c>
    </row>
    <row r="1743" spans="1:3" ht="18" customHeight="1">
      <c r="A1743" t="str">
        <f>"10-2521-0000"</f>
        <v>10-2521-0000</v>
      </c>
      <c r="B1743" t="str">
        <f>"Pneumatic Feeder for Round products"</f>
        <v>Pneumatic Feeder for Round products</v>
      </c>
      <c r="C1743" t="str">
        <f t="shared" si="73"/>
        <v>Active</v>
      </c>
    </row>
    <row r="1744" spans="1:3" ht="18" customHeight="1">
      <c r="A1744" t="str">
        <f>"10-2521-1000"</f>
        <v>10-2521-1000</v>
      </c>
      <c r="B1744" t="str">
        <f>"3x In-Line Solenoid Valves (Manifold)"</f>
        <v>3x In-Line Solenoid Valves (Manifold)</v>
      </c>
      <c r="C1744" t="str">
        <f t="shared" si="73"/>
        <v>Active</v>
      </c>
    </row>
    <row r="1745" spans="1:3" ht="18" customHeight="1">
      <c r="A1745" t="str">
        <f>"10-2521-7000"</f>
        <v>10-2521-7000</v>
      </c>
      <c r="B1745" t="str">
        <f>"Pneumatic Feeder for Rectangular products"</f>
        <v>Pneumatic Feeder for Rectangular products</v>
      </c>
      <c r="C1745" t="str">
        <f t="shared" si="73"/>
        <v>Active</v>
      </c>
    </row>
    <row r="1746" spans="1:3" ht="18" customHeight="1">
      <c r="A1746" t="str">
        <f>"10-2523-4000"</f>
        <v>10-2523-4000</v>
      </c>
      <c r="B1746" t="str">
        <f>"Solenoid Valve (24V) for Pipe 3 mm"</f>
        <v>Solenoid Valve (24V) for Pipe 3 mm</v>
      </c>
      <c r="C1746" t="str">
        <f t="shared" si="73"/>
        <v>Active</v>
      </c>
    </row>
    <row r="1747" spans="1:3" ht="18" customHeight="1">
      <c r="A1747" t="str">
        <f>"10-2523-6000"</f>
        <v>10-2523-6000</v>
      </c>
      <c r="B1747" t="str">
        <f>"Pneumatic Shifter (155mm stroke w. solenoid 24V)"</f>
        <v>Pneumatic Shifter (155mm stroke w. solenoid 24V)</v>
      </c>
      <c r="C1747" t="str">
        <f t="shared" si="73"/>
        <v>Active</v>
      </c>
    </row>
    <row r="1748" spans="1:3" ht="18" customHeight="1">
      <c r="A1748" t="str">
        <f>"10-2540-1000"</f>
        <v>10-2540-1000</v>
      </c>
      <c r="B1748" t="str">
        <f>"Hydraulic Pump with Oil Tank"</f>
        <v>Hydraulic Pump with Oil Tank</v>
      </c>
      <c r="C1748" t="str">
        <f t="shared" si="73"/>
        <v>Active</v>
      </c>
    </row>
    <row r="1749" spans="1:3" ht="18" customHeight="1">
      <c r="A1749" t="str">
        <f>"10-2542-7000"</f>
        <v>10-2542-7000</v>
      </c>
      <c r="B1749" t="str">
        <f>"Oil collector tray for HydraFlex T-slot panel"</f>
        <v>Oil collector tray for HydraFlex T-slot panel</v>
      </c>
      <c r="C1749" t="str">
        <f t="shared" si="73"/>
        <v>Active</v>
      </c>
    </row>
    <row r="1750" spans="1:3" ht="18" customHeight="1">
      <c r="A1750" t="str">
        <f>"10-2543-4000"</f>
        <v>10-2543-4000</v>
      </c>
      <c r="B1750" t="str">
        <f>"Power unit- Hydra.  Tank 10L,0.75kW,110V"</f>
        <v>Power unit- Hydra.  Tank 10L,0.75kW,110V</v>
      </c>
      <c r="C1750" t="str">
        <f t="shared" si="73"/>
        <v>Active</v>
      </c>
    </row>
    <row r="1751" spans="1:3" ht="18" customHeight="1">
      <c r="A1751" t="str">
        <f>"10-2700-1000"</f>
        <v>10-2700-1000</v>
      </c>
      <c r="B1751" t="str">
        <f>"Yo-Yo, tekDESIGN"</f>
        <v>Yo-Yo, tekDESIGN</v>
      </c>
      <c r="C1751" t="str">
        <f>"Inactive"</f>
        <v>Inactive</v>
      </c>
    </row>
    <row r="1752" spans="1:3" ht="18" customHeight="1">
      <c r="A1752" t="str">
        <f>"10-2700-2000"</f>
        <v>10-2700-2000</v>
      </c>
      <c r="B1752" t="str">
        <f>"Car Elevator , tekDESIGN"</f>
        <v>Car Elevator , tekDESIGN</v>
      </c>
      <c r="C1752" t="str">
        <f>"Phase Out"</f>
        <v>Phase Out</v>
      </c>
    </row>
    <row r="1753" spans="1:3" ht="18" customHeight="1">
      <c r="A1753" t="str">
        <f>"10-2700-3000"</f>
        <v>10-2700-3000</v>
      </c>
      <c r="B1753" t="str">
        <f>"Water Treatment Plant, tekDESIGN"</f>
        <v>Water Treatment Plant, tekDESIGN</v>
      </c>
      <c r="C1753" t="str">
        <f>"Phase Out"</f>
        <v>Phase Out</v>
      </c>
    </row>
    <row r="1754" spans="1:3" ht="18" customHeight="1">
      <c r="A1754" t="str">
        <f>"10-2700-4000"</f>
        <v>10-2700-4000</v>
      </c>
      <c r="B1754" t="str">
        <f>"Pneumatic Feeder, tekDESIGN"</f>
        <v>Pneumatic Feeder, tekDESIGN</v>
      </c>
      <c r="C1754" t="str">
        <f>"Phase Out"</f>
        <v>Phase Out</v>
      </c>
    </row>
    <row r="1755" spans="1:3" ht="18" customHeight="1">
      <c r="A1755" t="str">
        <f>"10-2700-5000"</f>
        <v>10-2700-5000</v>
      </c>
      <c r="B1755" t="str">
        <f>"Shape-sorter, tekDESIGN"</f>
        <v>Shape-sorter, tekDESIGN</v>
      </c>
      <c r="C1755" t="str">
        <f>"Phase Out"</f>
        <v>Phase Out</v>
      </c>
    </row>
    <row r="1756" spans="1:3" ht="18" customHeight="1">
      <c r="A1756" t="str">
        <f>"10-2700-6000"</f>
        <v>10-2700-6000</v>
      </c>
      <c r="B1756" t="str">
        <f>"Ruler"</f>
        <v>Ruler</v>
      </c>
      <c r="C1756" t="str">
        <f>"Inactive"</f>
        <v>Inactive</v>
      </c>
    </row>
    <row r="1757" spans="1:3" ht="18" customHeight="1">
      <c r="A1757" t="str">
        <f>"10-2700-7000"</f>
        <v>10-2700-7000</v>
      </c>
      <c r="B1757" t="str">
        <f>"Golf Putter"</f>
        <v>Golf Putter</v>
      </c>
      <c r="C1757" t="str">
        <f>"Inactive"</f>
        <v>Inactive</v>
      </c>
    </row>
    <row r="1758" spans="1:3" ht="18" customHeight="1">
      <c r="A1758" t="str">
        <f>"10-2700-8000"</f>
        <v>10-2700-8000</v>
      </c>
      <c r="B1758" t="str">
        <f>"Resource Tool Kit Components for tekDESIGN"</f>
        <v>Resource Tool Kit Components for tekDESIGN</v>
      </c>
      <c r="C1758" t="str">
        <f>"Phase Out"</f>
        <v>Phase Out</v>
      </c>
    </row>
    <row r="1759" spans="1:3" ht="18" customHeight="1">
      <c r="A1759" t="str">
        <f>"10-2701-0000"</f>
        <v>10-2701-0000</v>
      </c>
      <c r="B1759" t="str">
        <f>"Seat Belt Tester, tekDESIGN"</f>
        <v>Seat Belt Tester, tekDESIGN</v>
      </c>
      <c r="C1759" t="str">
        <f>"Phase Out"</f>
        <v>Phase Out</v>
      </c>
    </row>
    <row r="1760" spans="1:3" ht="18" customHeight="1">
      <c r="A1760" t="str">
        <f>"10-2701-1000"</f>
        <v>10-2701-1000</v>
      </c>
      <c r="B1760" t="str">
        <f>"Can Crusher, tekDESIGN"</f>
        <v>Can Crusher, tekDESIGN</v>
      </c>
      <c r="C1760" t="str">
        <f>"Phase Out"</f>
        <v>Phase Out</v>
      </c>
    </row>
    <row r="1761" spans="1:3" ht="18" customHeight="1">
      <c r="A1761" t="str">
        <f>"10-2701-2000"</f>
        <v>10-2701-2000</v>
      </c>
      <c r="B1761" t="str">
        <f>"Vacuum Gripper, tekDESIGN"</f>
        <v>Vacuum Gripper, tekDESIGN</v>
      </c>
      <c r="C1761" t="str">
        <f>"Phase Out"</f>
        <v>Phase Out</v>
      </c>
    </row>
    <row r="1762" spans="1:3" ht="18" customHeight="1">
      <c r="A1762" t="str">
        <f>"10-2701-4000"</f>
        <v>10-2701-4000</v>
      </c>
      <c r="B1762" t="str">
        <f>"Safe Deposit Box"</f>
        <v>Safe Deposit Box</v>
      </c>
      <c r="C1762" t="str">
        <f>"Inactive"</f>
        <v>Inactive</v>
      </c>
    </row>
    <row r="1763" spans="1:3" ht="18" customHeight="1">
      <c r="A1763" t="str">
        <f>"10-2701-6000"</f>
        <v>10-2701-6000</v>
      </c>
      <c r="B1763" t="str">
        <f>"CO2 Car"</f>
        <v>CO2 Car</v>
      </c>
      <c r="C1763" t="str">
        <f>"Inactive"</f>
        <v>Inactive</v>
      </c>
    </row>
    <row r="1764" spans="1:3" ht="18" customHeight="1">
      <c r="A1764" t="str">
        <f>"10-3001-0000"</f>
        <v>10-3001-0000</v>
      </c>
      <c r="B1764" t="str">
        <f>"proLIGHT 3000 Lathe, 120V"</f>
        <v>proLIGHT 3000 Lathe, 120V</v>
      </c>
      <c r="C1764" t="str">
        <f>"Phase Out"</f>
        <v>Phase Out</v>
      </c>
    </row>
    <row r="1765" spans="1:3" ht="18" customHeight="1">
      <c r="A1765" t="str">
        <f>"10-3001-2000"</f>
        <v>10-3001-2000</v>
      </c>
      <c r="B1765" t="str">
        <f>"proLIGHT 3000 Lathe w/ Tailstock, 120V"</f>
        <v>proLIGHT 3000 Lathe w/ Tailstock, 120V</v>
      </c>
      <c r="C1765" t="str">
        <f>"Inactive"</f>
        <v>Inactive</v>
      </c>
    </row>
    <row r="1766" spans="1:3" ht="18" customHeight="1">
      <c r="A1766" t="str">
        <f>"10-3003-0000"</f>
        <v>10-3003-0000</v>
      </c>
      <c r="B1766" t="str">
        <f>"4 Station Table-mounted ATC"</f>
        <v>4 Station Table-mounted ATC</v>
      </c>
      <c r="C1766" t="str">
        <f>"Active"</f>
        <v>Active</v>
      </c>
    </row>
    <row r="1767" spans="1:3" ht="18" customHeight="1">
      <c r="A1767" t="str">
        <f>"10-3021-0000"</f>
        <v>10-3021-0000</v>
      </c>
      <c r="B1767" t="str">
        <f>"proLIGHT 3000 Lathe, 240V"</f>
        <v>proLIGHT 3000 Lathe, 240V</v>
      </c>
      <c r="C1767" t="str">
        <f>"Inactive"</f>
        <v>Inactive</v>
      </c>
    </row>
    <row r="1768" spans="1:3" ht="18" customHeight="1">
      <c r="A1768" t="str">
        <f>"10-3021-2000"</f>
        <v>10-3021-2000</v>
      </c>
      <c r="B1768" t="str">
        <f>"proLIGHT 3000 Lathe w/ Tailstock, 240V"</f>
        <v>proLIGHT 3000 Lathe w/ Tailstock, 240V</v>
      </c>
      <c r="C1768" t="str">
        <f>"Inactive"</f>
        <v>Inactive</v>
      </c>
    </row>
    <row r="1769" spans="1:3" ht="18" customHeight="1">
      <c r="A1769" t="str">
        <f>"10-3021-3000"</f>
        <v>10-3021-3000</v>
      </c>
      <c r="B1769" t="str">
        <f>"PLT, OEM, Motion System, Spindle, No Motors"</f>
        <v>PLT, OEM, Motion System, Spindle, No Motors</v>
      </c>
      <c r="C1769" t="str">
        <f>"Inactive"</f>
        <v>Inactive</v>
      </c>
    </row>
    <row r="1770" spans="1:3" ht="18" customHeight="1">
      <c r="A1770" t="str">
        <f>"10-4001-0000"</f>
        <v>10-4001-0000</v>
      </c>
      <c r="B1770" t="str">
        <f>"Full Machine Enclosure, 12"" Slide, Benchman MX"</f>
        <v>Full Machine Enclosure, 12" Slide, Benchman MX</v>
      </c>
      <c r="C1770" t="str">
        <f>"Inactive"</f>
        <v>Inactive</v>
      </c>
    </row>
    <row r="1771" spans="1:3" ht="18" customHeight="1">
      <c r="A1771" t="str">
        <f>"10-4024-1000"</f>
        <v>10-4024-1000</v>
      </c>
      <c r="B1771" t="str">
        <f>"6m Stop Station I/O Cable"</f>
        <v>6m Stop Station I/O Cable</v>
      </c>
      <c r="C1771" t="str">
        <f t="shared" ref="C1771:C1777" si="74">"Active"</f>
        <v>Active</v>
      </c>
    </row>
    <row r="1772" spans="1:3" ht="18" customHeight="1">
      <c r="A1772" t="str">
        <f>"10-4024-5000"</f>
        <v>10-4024-5000</v>
      </c>
      <c r="B1772" t="str">
        <f>"9m Stop Station I/O Cable"</f>
        <v>9m Stop Station I/O Cable</v>
      </c>
      <c r="C1772" t="str">
        <f t="shared" si="74"/>
        <v>Active</v>
      </c>
    </row>
    <row r="1773" spans="1:3" ht="18" customHeight="1">
      <c r="A1773" t="str">
        <f>"10-4029-3000"</f>
        <v>10-4029-3000</v>
      </c>
      <c r="B1773" t="str">
        <f>"Sensor, Capacitive NPN,  SensorLine"</f>
        <v>Sensor, Capacitive NPN,  SensorLine</v>
      </c>
      <c r="C1773" t="str">
        <f t="shared" si="74"/>
        <v>Active</v>
      </c>
    </row>
    <row r="1774" spans="1:3" ht="18" customHeight="1">
      <c r="A1774" t="str">
        <f>"10-4029-4000"</f>
        <v>10-4029-4000</v>
      </c>
      <c r="B1774" t="str">
        <f>"Sensor, Optic diffuse NPN,  SensorLine"</f>
        <v>Sensor, Optic diffuse NPN,  SensorLine</v>
      </c>
      <c r="C1774" t="str">
        <f t="shared" si="74"/>
        <v>Active</v>
      </c>
    </row>
    <row r="1775" spans="1:3" ht="18" customHeight="1">
      <c r="A1775" t="str">
        <f>"10-4029-5000"</f>
        <v>10-4029-5000</v>
      </c>
      <c r="B1775" t="str">
        <f>"Temp.Sensor, Assembly, SensorLine"</f>
        <v>Temp.Sensor, Assembly, SensorLine</v>
      </c>
      <c r="C1775" t="str">
        <f t="shared" si="74"/>
        <v>Active</v>
      </c>
    </row>
    <row r="1776" spans="1:3" ht="18" customHeight="1">
      <c r="A1776" t="str">
        <f>"10-4049-2000"</f>
        <v>10-4049-2000</v>
      </c>
      <c r="B1776" t="str">
        <f>"12m Stop Station I/O Cable"</f>
        <v>12m Stop Station I/O Cable</v>
      </c>
      <c r="C1776" t="str">
        <f t="shared" si="74"/>
        <v>Active</v>
      </c>
    </row>
    <row r="1777" spans="1:3" ht="18" customHeight="1">
      <c r="A1777" t="str">
        <f>"10-4049-3000"</f>
        <v>10-4049-3000</v>
      </c>
      <c r="B1777" t="str">
        <f>"15m Stop Station I/O Cable"</f>
        <v>15m Stop Station I/O Cable</v>
      </c>
      <c r="C1777" t="str">
        <f t="shared" si="74"/>
        <v>Active</v>
      </c>
    </row>
    <row r="1778" spans="1:3" ht="18" customHeight="1">
      <c r="A1778" t="str">
        <f>"10-4110-0000"</f>
        <v>10-4110-0000</v>
      </c>
      <c r="B1778" t="str">
        <f>"Pneumatic Control, Benchman MX"</f>
        <v>Pneumatic Control, Benchman MX</v>
      </c>
      <c r="C1778" t="str">
        <f>"Inactive"</f>
        <v>Inactive</v>
      </c>
    </row>
    <row r="1779" spans="1:3" ht="18" customHeight="1">
      <c r="A1779" t="str">
        <f>"10-4112-0000"</f>
        <v>10-4112-0000</v>
      </c>
      <c r="B1779" t="str">
        <f>"Pneumatic Control 230V for MX"</f>
        <v>Pneumatic Control 230V for MX</v>
      </c>
      <c r="C1779" t="str">
        <f>"Active"</f>
        <v>Active</v>
      </c>
    </row>
    <row r="1780" spans="1:3" ht="18" customHeight="1">
      <c r="A1780" t="str">
        <f>"10-4204-0000"</f>
        <v>10-4204-0000</v>
      </c>
      <c r="B1780" t="str">
        <f>"Unist Mist System,  240V, w/ Solenoids"</f>
        <v>Unist Mist System,  240V, w/ Solenoids</v>
      </c>
      <c r="C1780" t="str">
        <f>"Active"</f>
        <v>Active</v>
      </c>
    </row>
    <row r="1781" spans="1:3" ht="18" customHeight="1">
      <c r="A1781" t="str">
        <f>"10-4205-0000"</f>
        <v>10-4205-0000</v>
      </c>
      <c r="B1781" t="str">
        <f>"Unist Mist System, 12V, SPLM/EXM"</f>
        <v>Unist Mist System, 12V, SPLM/EXM</v>
      </c>
      <c r="C1781" t="str">
        <f>"Inactive"</f>
        <v>Inactive</v>
      </c>
    </row>
    <row r="1782" spans="1:3" ht="18" customHeight="1">
      <c r="A1782" t="str">
        <f>"10-4207-0000"</f>
        <v>10-4207-0000</v>
      </c>
      <c r="B1782" t="str">
        <f>"Air Blast, 12V,w/ Solenoid"</f>
        <v>Air Blast, 12V,w/ Solenoid</v>
      </c>
      <c r="C1782" t="str">
        <f>"Inactive"</f>
        <v>Inactive</v>
      </c>
    </row>
    <row r="1783" spans="1:3" ht="18" customHeight="1">
      <c r="A1783" t="str">
        <f>"10-4208-0000"</f>
        <v>10-4208-0000</v>
      </c>
      <c r="B1783" t="str">
        <f>"Air Blast , 220V w/ 12V Solenoid, Power Supply"</f>
        <v>Air Blast , 220V w/ 12V Solenoid, Power Supply</v>
      </c>
      <c r="C1783" t="str">
        <f>"Inactive"</f>
        <v>Inactive</v>
      </c>
    </row>
    <row r="1784" spans="1:3" ht="18" customHeight="1">
      <c r="A1784" t="str">
        <f>"10-4315-0000"</f>
        <v>10-4315-0000</v>
      </c>
      <c r="B1784" t="str">
        <f>"Pneumatic Shield Opener,  PLT, 120V"</f>
        <v>Pneumatic Shield Opener,  PLT, 120V</v>
      </c>
      <c r="C1784" t="str">
        <f>"Inactive"</f>
        <v>Inactive</v>
      </c>
    </row>
    <row r="1785" spans="1:3" ht="18" customHeight="1">
      <c r="A1785" t="str">
        <f>"10-4316-0000"</f>
        <v>10-4316-0000</v>
      </c>
      <c r="B1785" t="str">
        <f>"Pneumatic Shield Opener, PLT, 240V"</f>
        <v>Pneumatic Shield Opener, PLT, 240V</v>
      </c>
      <c r="C1785" t="str">
        <f>"Inactive"</f>
        <v>Inactive</v>
      </c>
    </row>
    <row r="1786" spans="1:3" ht="18" customHeight="1">
      <c r="A1786" t="str">
        <f>"10-4317-0000"</f>
        <v>10-4317-0000</v>
      </c>
      <c r="B1786" t="str">
        <f>"Pneumatic Shield Opener w/Sensors, PLT, 120V"</f>
        <v>Pneumatic Shield Opener w/Sensors, PLT, 120V</v>
      </c>
      <c r="C1786" t="str">
        <f>"Phase Out"</f>
        <v>Phase Out</v>
      </c>
    </row>
    <row r="1787" spans="1:3" ht="18" customHeight="1">
      <c r="A1787" t="str">
        <f>"10-4318-0000"</f>
        <v>10-4318-0000</v>
      </c>
      <c r="B1787" t="str">
        <f>"Pneumatic Shield Opener w/Sensors, PLT, 240V"</f>
        <v>Pneumatic Shield Opener w/Sensors, PLT, 240V</v>
      </c>
      <c r="C1787" t="str">
        <f>"Inactive"</f>
        <v>Inactive</v>
      </c>
    </row>
    <row r="1788" spans="1:3" ht="18" customHeight="1">
      <c r="A1788" t="str">
        <f>"10-4335-0000"</f>
        <v>10-4335-0000</v>
      </c>
      <c r="B1788" t="str">
        <f>"Air Chuck w/ Robotic Interface, PLT, 120V"</f>
        <v>Air Chuck w/ Robotic Interface, PLT, 120V</v>
      </c>
      <c r="C1788" t="str">
        <f>"Inactive"</f>
        <v>Inactive</v>
      </c>
    </row>
    <row r="1789" spans="1:3" ht="18" customHeight="1">
      <c r="A1789" t="str">
        <f>"10-4336-0000"</f>
        <v>10-4336-0000</v>
      </c>
      <c r="B1789" t="str">
        <f>"Air Chuck w/ Robotic Interface, PLT, 240V"</f>
        <v>Air Chuck w/ Robotic Interface, PLT, 240V</v>
      </c>
      <c r="C1789" t="str">
        <f>"Inactive"</f>
        <v>Inactive</v>
      </c>
    </row>
    <row r="1790" spans="1:3" ht="18" customHeight="1">
      <c r="A1790" t="str">
        <f>"10-4512-5000"</f>
        <v>10-4512-5000</v>
      </c>
      <c r="B1790" t="str">
        <f>"2 Phase Driver Board (NF), 300-6020-00,Solido"</f>
        <v>2 Phase Driver Board (NF), 300-6020-00,Solido</v>
      </c>
      <c r="C1790" t="str">
        <f>"Active"</f>
        <v>Active</v>
      </c>
    </row>
    <row r="1791" spans="1:3" ht="18" customHeight="1">
      <c r="A1791" t="str">
        <f>"10-4512-6000"</f>
        <v>10-4512-6000</v>
      </c>
      <c r="B1791" t="str">
        <f>"2 Phase Driver Board (LP), 300-6050-00,Solido"</f>
        <v>2 Phase Driver Board (LP), 300-6050-00,Solido</v>
      </c>
      <c r="C1791" t="str">
        <f>"Active"</f>
        <v>Active</v>
      </c>
    </row>
    <row r="1792" spans="1:3" ht="18" customHeight="1">
      <c r="A1792" t="str">
        <f>"10-4526-0000"</f>
        <v>10-4526-0000</v>
      </c>
      <c r="B1792" t="str">
        <f>"Basic Compressor &amp; Conditioning System"</f>
        <v>Basic Compressor &amp; Conditioning System</v>
      </c>
      <c r="C1792" t="str">
        <f>"Active"</f>
        <v>Active</v>
      </c>
    </row>
    <row r="1793" spans="1:3" ht="18" customHeight="1">
      <c r="A1793" t="str">
        <f>"10-4527-0000"</f>
        <v>10-4527-0000</v>
      </c>
      <c r="B1793" t="str">
        <f>"Industrial Compressor &amp; Conditioning System"</f>
        <v>Industrial Compressor &amp; Conditioning System</v>
      </c>
      <c r="C1793" t="str">
        <f>"Active"</f>
        <v>Active</v>
      </c>
    </row>
    <row r="1794" spans="1:3" ht="18" customHeight="1">
      <c r="A1794" t="str">
        <f>"10-4601-0000"</f>
        <v>10-4601-0000</v>
      </c>
      <c r="B1794" t="str">
        <f>"Shield Opener, eXpertMill, 12V"</f>
        <v>Shield Opener, eXpertMill, 12V</v>
      </c>
      <c r="C1794" t="str">
        <f>"Phase Out"</f>
        <v>Phase Out</v>
      </c>
    </row>
    <row r="1795" spans="1:3" ht="18" customHeight="1">
      <c r="A1795" t="str">
        <f>"10-4602-0000"</f>
        <v>10-4602-0000</v>
      </c>
      <c r="B1795" t="str">
        <f>"Shield Opener w/ Sensors, eXpertMill, 12V"</f>
        <v>Shield Opener w/ Sensors, eXpertMill, 12V</v>
      </c>
      <c r="C1795" t="str">
        <f>"Phase Out"</f>
        <v>Phase Out</v>
      </c>
    </row>
    <row r="1796" spans="1:3" ht="18" customHeight="1">
      <c r="A1796" t="str">
        <f>"10-4615-0000"</f>
        <v>10-4615-0000</v>
      </c>
      <c r="B1796" t="str">
        <f>"Air Chuck Robotic Interface, SLT, 120V"</f>
        <v>Air Chuck Robotic Interface, SLT, 120V</v>
      </c>
      <c r="C1796" t="str">
        <f>"Inactive"</f>
        <v>Inactive</v>
      </c>
    </row>
    <row r="1797" spans="1:3" ht="18" customHeight="1">
      <c r="A1797" t="str">
        <f>"10-4616-0000"</f>
        <v>10-4616-0000</v>
      </c>
      <c r="B1797" t="str">
        <f>"Air Chuck Robotic Interface, SLT, 240V"</f>
        <v>Air Chuck Robotic Interface, SLT, 240V</v>
      </c>
      <c r="C1797" t="str">
        <f>"Inactive"</f>
        <v>Inactive</v>
      </c>
    </row>
    <row r="1798" spans="1:3" ht="18" customHeight="1">
      <c r="A1798" t="str">
        <f>"10-4625-0000"</f>
        <v>10-4625-0000</v>
      </c>
      <c r="B1798" t="str">
        <f>"Pneumatic Shield Opener, SLT, 120V"</f>
        <v>Pneumatic Shield Opener, SLT, 120V</v>
      </c>
      <c r="C1798" t="str">
        <f>"Phase Out"</f>
        <v>Phase Out</v>
      </c>
    </row>
    <row r="1799" spans="1:3" ht="18" customHeight="1">
      <c r="A1799" t="str">
        <f>"10-4626-0000"</f>
        <v>10-4626-0000</v>
      </c>
      <c r="B1799" t="str">
        <f>"Pneumatic Shield Opener, SLT, 240V"</f>
        <v>Pneumatic Shield Opener, SLT, 240V</v>
      </c>
      <c r="C1799" t="str">
        <f>"Phase Out"</f>
        <v>Phase Out</v>
      </c>
    </row>
    <row r="1800" spans="1:3" ht="18" customHeight="1">
      <c r="A1800" t="str">
        <f>"10-4700-0000"</f>
        <v>10-4700-0000</v>
      </c>
      <c r="B1800" t="str">
        <f>"Dual Axis Air Vise, PLM/SLM, 120V"</f>
        <v>Dual Axis Air Vise, PLM/SLM, 120V</v>
      </c>
      <c r="C1800" t="str">
        <f>"Inactive"</f>
        <v>Inactive</v>
      </c>
    </row>
    <row r="1801" spans="1:3" ht="18" customHeight="1">
      <c r="A1801" t="str">
        <f>"10-4701-0000"</f>
        <v>10-4701-0000</v>
      </c>
      <c r="B1801" t="str">
        <f>"Dual Axis Vise for proLIGHT 230 V"</f>
        <v>Dual Axis Vise for proLIGHT 230 V</v>
      </c>
      <c r="C1801" t="str">
        <f>"Active"</f>
        <v>Active</v>
      </c>
    </row>
    <row r="1802" spans="1:3" ht="18" customHeight="1">
      <c r="A1802" t="str">
        <f>"10-4702-0000"</f>
        <v>10-4702-0000</v>
      </c>
      <c r="B1802" t="str">
        <f>"Precision Air Vise for Matrix Table, 12V"</f>
        <v>Precision Air Vise for Matrix Table, 12V</v>
      </c>
      <c r="C1802" t="str">
        <f>"Phase Out"</f>
        <v>Phase Out</v>
      </c>
    </row>
    <row r="1803" spans="1:3" ht="18" customHeight="1">
      <c r="A1803" t="str">
        <f>"10-4704-0000"</f>
        <v>10-4704-0000</v>
      </c>
      <c r="B1803" t="str">
        <f>"Precision Air Vise, PLM, 110V"</f>
        <v>Precision Air Vise, PLM, 110V</v>
      </c>
      <c r="C1803" t="str">
        <f>"Phase Out"</f>
        <v>Phase Out</v>
      </c>
    </row>
    <row r="1804" spans="1:3" ht="18" customHeight="1">
      <c r="A1804" t="str">
        <f>"10-4705-0000"</f>
        <v>10-4705-0000</v>
      </c>
      <c r="B1804" t="str">
        <f>"Precision Pneumatic Vise for proLIGHT 220 V"</f>
        <v>Precision Pneumatic Vise for proLIGHT 220 V</v>
      </c>
      <c r="C1804" t="str">
        <f>"Inactive"</f>
        <v>Inactive</v>
      </c>
    </row>
    <row r="1805" spans="1:3" ht="18" customHeight="1">
      <c r="A1805" t="str">
        <f>"10-4706-0000"</f>
        <v>10-4706-0000</v>
      </c>
      <c r="B1805" t="str">
        <f>"Precision Air Vise, SLM, 110V"</f>
        <v>Precision Air Vise, SLM, 110V</v>
      </c>
      <c r="C1805" t="str">
        <f>"Phase Out"</f>
        <v>Phase Out</v>
      </c>
    </row>
    <row r="1806" spans="1:3" ht="18" customHeight="1">
      <c r="A1806" t="str">
        <f>"10-4707-0000"</f>
        <v>10-4707-0000</v>
      </c>
      <c r="B1806" t="str">
        <f>"Precision Pneumatic Vise, SLM, 220V"</f>
        <v>Precision Pneumatic Vise, SLM, 220V</v>
      </c>
      <c r="C1806" t="str">
        <f>"Phase Out"</f>
        <v>Phase Out</v>
      </c>
    </row>
    <row r="1807" spans="1:3" ht="18" customHeight="1">
      <c r="A1807" t="str">
        <f>"10-4708-0000"</f>
        <v>10-4708-0000</v>
      </c>
      <c r="B1807" t="str">
        <f>"Precision Air Vise for Matrix table, 24V"</f>
        <v>Precision Air Vise for Matrix table, 24V</v>
      </c>
      <c r="C1807" t="str">
        <f>"Inactive"</f>
        <v>Inactive</v>
      </c>
    </row>
    <row r="1808" spans="1:3" ht="18" customHeight="1">
      <c r="A1808" t="str">
        <f>"10-4709-0000"</f>
        <v>10-4709-0000</v>
      </c>
      <c r="B1808" t="str">
        <f>"Dual Axis Air Vise, 12V Solenoid"</f>
        <v>Dual Axis Air Vise, 12V Solenoid</v>
      </c>
      <c r="C1808" t="str">
        <f>"Phase Out"</f>
        <v>Phase Out</v>
      </c>
    </row>
    <row r="1809" spans="1:3" ht="18" customHeight="1">
      <c r="A1809" t="str">
        <f>"10-4710-0000"</f>
        <v>10-4710-0000</v>
      </c>
      <c r="B1809" t="str">
        <f>"Dual Axis Air Vise, 220V"</f>
        <v>Dual Axis Air Vise, 220V</v>
      </c>
      <c r="C1809" t="str">
        <f>"Inactive"</f>
        <v>Inactive</v>
      </c>
    </row>
    <row r="1810" spans="1:3" ht="18" customHeight="1">
      <c r="A1810" t="str">
        <f>"10-5001-0000"</f>
        <v>10-5001-0000</v>
      </c>
      <c r="B1810" t="str">
        <f>"4th Axis Control, MX"</f>
        <v>4th Axis Control, MX</v>
      </c>
      <c r="C1810" t="str">
        <f>"Inactive"</f>
        <v>Inactive</v>
      </c>
    </row>
    <row r="1811" spans="1:3" ht="18" customHeight="1">
      <c r="A1811" t="str">
        <f>"10-5002-0000"</f>
        <v>10-5002-0000</v>
      </c>
      <c r="B1811" t="str">
        <f>"Light for Machine Enclosure, Benchman MX"</f>
        <v>Light for Machine Enclosure, Benchman MX</v>
      </c>
      <c r="C1811" t="str">
        <f>"Inactive"</f>
        <v>Inactive</v>
      </c>
    </row>
    <row r="1812" spans="1:3" ht="18" customHeight="1">
      <c r="A1812" t="str">
        <f>"10-5003-0000"</f>
        <v>10-5003-0000</v>
      </c>
      <c r="B1812" t="str">
        <f>"Shield Opener for Fully Enclosed Machine MX"</f>
        <v>Shield Opener for Fully Enclosed Machine MX</v>
      </c>
      <c r="C1812" t="str">
        <f>"Active"</f>
        <v>Active</v>
      </c>
    </row>
    <row r="1813" spans="1:3" ht="18" customHeight="1">
      <c r="A1813" t="str">
        <f>"10-5110-0000"</f>
        <v>10-5110-0000</v>
      </c>
      <c r="B1813" t="str">
        <f>"ACC-5110 proLIGHT Machining"</f>
        <v>ACC-5110 proLIGHT Machining</v>
      </c>
      <c r="C1813" t="str">
        <f>"Inactive"</f>
        <v>Inactive</v>
      </c>
    </row>
    <row r="1814" spans="1:3" ht="18" customHeight="1">
      <c r="A1814" t="str">
        <f>"10-5121-0000"</f>
        <v>10-5121-0000</v>
      </c>
      <c r="B1814" t="str">
        <f>"End Mill Package, Advanced, Metric, 12 pcs"</f>
        <v>End Mill Package, Advanced, Metric, 12 pcs</v>
      </c>
      <c r="C1814" t="str">
        <f>"Active"</f>
        <v>Active</v>
      </c>
    </row>
    <row r="1815" spans="1:3" ht="18" customHeight="1">
      <c r="A1815" t="str">
        <f>"10-5122-0000"</f>
        <v>10-5122-0000</v>
      </c>
      <c r="B1815" t="str">
        <f>"End Mill Package, Long Flute, Imperial"</f>
        <v>End Mill Package, Long Flute, Imperial</v>
      </c>
      <c r="C1815" t="str">
        <f>"Active"</f>
        <v>Active</v>
      </c>
    </row>
    <row r="1816" spans="1:3" ht="18" customHeight="1">
      <c r="A1816" t="str">
        <f>"10-5130-0000"</f>
        <v>10-5130-0000</v>
      </c>
      <c r="B1816" t="str">
        <f>"ACC-5130 Jacob's J6 Drill"</f>
        <v>ACC-5130 Jacob's J6 Drill</v>
      </c>
      <c r="C1816" t="str">
        <f>"Inactive"</f>
        <v>Inactive</v>
      </c>
    </row>
    <row r="1817" spans="1:3" ht="18" customHeight="1">
      <c r="A1817" t="str">
        <f>"10-5155-0000"</f>
        <v>10-5155-0000</v>
      </c>
      <c r="B1817" t="str">
        <f>"Quick Change Tool Holder, PLM, J2"</f>
        <v>Quick Change Tool Holder, PLM, J2</v>
      </c>
      <c r="C1817" t="str">
        <f>"Active"</f>
        <v>Active</v>
      </c>
    </row>
    <row r="1818" spans="1:3" ht="18" customHeight="1">
      <c r="A1818" t="str">
        <f>"10-5158-0000"</f>
        <v>10-5158-0000</v>
      </c>
      <c r="B1818" t="str">
        <f>"Quick Change Tool Holder, PLM, ER20"</f>
        <v>Quick Change Tool Holder, PLM, ER20</v>
      </c>
      <c r="C1818" t="str">
        <f>"Active"</f>
        <v>Active</v>
      </c>
    </row>
    <row r="1819" spans="1:3" ht="18" customHeight="1">
      <c r="A1819" t="str">
        <f>"10-5159-0000"</f>
        <v>10-5159-0000</v>
      </c>
      <c r="B1819" t="str">
        <f>"Quick Change Tool Holder, PLM, ER16"</f>
        <v>Quick Change Tool Holder, PLM, ER16</v>
      </c>
      <c r="C1819" t="str">
        <f>"Active"</f>
        <v>Active</v>
      </c>
    </row>
    <row r="1820" spans="1:3" ht="18" customHeight="1">
      <c r="A1820" t="str">
        <f>"10-5170-0000"</f>
        <v>10-5170-0000</v>
      </c>
      <c r="B1820" t="str">
        <f>"ATC Tool Holder, PLM, ER20"</f>
        <v>ATC Tool Holder, PLM, ER20</v>
      </c>
      <c r="C1820" t="str">
        <f>"Active"</f>
        <v>Active</v>
      </c>
    </row>
    <row r="1821" spans="1:3" ht="18" customHeight="1">
      <c r="A1821" t="str">
        <f>"10-5172-0000"</f>
        <v>10-5172-0000</v>
      </c>
      <c r="B1821" t="str">
        <f>"ATC Tool Holder Package, PLM"</f>
        <v>ATC Tool Holder Package, PLM</v>
      </c>
      <c r="C1821" t="str">
        <f>"Active"</f>
        <v>Active</v>
      </c>
    </row>
    <row r="1822" spans="1:3" ht="18" customHeight="1">
      <c r="A1822" t="str">
        <f>"10-5180-0000"</f>
        <v>10-5180-0000</v>
      </c>
      <c r="B1822" t="str">
        <f>"Low Profile Clamping Kit"</f>
        <v>Low Profile Clamping Kit</v>
      </c>
      <c r="C1822" t="str">
        <f>"Inactive"</f>
        <v>Inactive</v>
      </c>
    </row>
    <row r="1823" spans="1:3" ht="18" customHeight="1">
      <c r="A1823" t="str">
        <f>"10-5181-0000"</f>
        <v>10-5181-0000</v>
      </c>
      <c r="B1823" t="str">
        <f>"Vise w/ Hold Down Set"</f>
        <v>Vise w/ Hold Down Set</v>
      </c>
      <c r="C1823" t="str">
        <f>"Active"</f>
        <v>Active</v>
      </c>
    </row>
    <row r="1824" spans="1:3" ht="18" customHeight="1">
      <c r="A1824" t="str">
        <f>"10-5182-0000"</f>
        <v>10-5182-0000</v>
      </c>
      <c r="B1824" t="str">
        <f>"6"" x 8"" Pallet System"</f>
        <v>6" x 8" Pallet System</v>
      </c>
      <c r="C1824" t="str">
        <f>"Inactive"</f>
        <v>Inactive</v>
      </c>
    </row>
    <row r="1825" spans="1:3" ht="18" customHeight="1">
      <c r="A1825" t="str">
        <f>"10-5183-0000"</f>
        <v>10-5183-0000</v>
      </c>
      <c r="B1825" t="str">
        <f>"6"" x 8"" Additional Pallet"</f>
        <v>6" x 8" Additional Pallet</v>
      </c>
      <c r="C1825" t="str">
        <f>"Inactive"</f>
        <v>Inactive</v>
      </c>
    </row>
    <row r="1826" spans="1:3" ht="18" customHeight="1">
      <c r="A1826" t="str">
        <f>"10-5185-0000"</f>
        <v>10-5185-0000</v>
      </c>
      <c r="B1826" t="str">
        <f>"58 Piece Hold Down Set and Vise"</f>
        <v>58 Piece Hold Down Set and Vise</v>
      </c>
      <c r="C1826" t="str">
        <f t="shared" ref="C1826:C1831" si="75">"Active"</f>
        <v>Active</v>
      </c>
    </row>
    <row r="1827" spans="1:3" ht="18" customHeight="1">
      <c r="A1827" t="str">
        <f>"10-5190-0000"</f>
        <v>10-5190-0000</v>
      </c>
      <c r="B1827" t="str">
        <f>"Machinist Kit, SPLM and eXpertMill"</f>
        <v>Machinist Kit, SPLM and eXpertMill</v>
      </c>
      <c r="C1827" t="str">
        <f t="shared" si="75"/>
        <v>Active</v>
      </c>
    </row>
    <row r="1828" spans="1:3" ht="18" customHeight="1">
      <c r="A1828" t="str">
        <f>"10-5224-0000"</f>
        <v>10-5224-0000</v>
      </c>
      <c r="B1828" t="str">
        <f>"4th Axis 5C Rotary Table, MX"</f>
        <v>4th Axis 5C Rotary Table, MX</v>
      </c>
      <c r="C1828" t="str">
        <f t="shared" si="75"/>
        <v>Active</v>
      </c>
    </row>
    <row r="1829" spans="1:3" ht="18" customHeight="1">
      <c r="A1829" t="str">
        <f>"10-5235-0000"</f>
        <v>10-5235-0000</v>
      </c>
      <c r="B1829" t="str">
        <f>"CAN Bus I/O Module, MX"</f>
        <v>CAN Bus I/O Module, MX</v>
      </c>
      <c r="C1829" t="str">
        <f t="shared" si="75"/>
        <v>Active</v>
      </c>
    </row>
    <row r="1830" spans="1:3" ht="18" customHeight="1">
      <c r="A1830" t="str">
        <f>"10-5241-0000"</f>
        <v>10-5241-0000</v>
      </c>
      <c r="B1830" t="str">
        <f>"Quick Change Tooling Package (metric)"</f>
        <v>Quick Change Tooling Package (metric)</v>
      </c>
      <c r="C1830" t="str">
        <f t="shared" si="75"/>
        <v>Active</v>
      </c>
    </row>
    <row r="1831" spans="1:3" ht="18" customHeight="1">
      <c r="A1831" t="str">
        <f>"10-5243-0000"</f>
        <v>10-5243-0000</v>
      </c>
      <c r="B1831" t="str">
        <f>"3 mm Quick Change Tool Holder"</f>
        <v>3 mm Quick Change Tool Holder</v>
      </c>
      <c r="C1831" t="str">
        <f t="shared" si="75"/>
        <v>Active</v>
      </c>
    </row>
    <row r="1832" spans="1:3" ht="18" customHeight="1">
      <c r="A1832" t="str">
        <f>"10-5269-0000"</f>
        <v>10-5269-0000</v>
      </c>
      <c r="B1832" t="str">
        <f>"Tool Length Offset Probe, MX"</f>
        <v>Tool Length Offset Probe, MX</v>
      </c>
      <c r="C1832" t="str">
        <f>"Inactive"</f>
        <v>Inactive</v>
      </c>
    </row>
    <row r="1833" spans="1:3" ht="18" customHeight="1">
      <c r="A1833" t="str">
        <f>"10-5272-0000"</f>
        <v>10-5272-0000</v>
      </c>
      <c r="B1833" t="str">
        <f>"Laser Calibration, MX"</f>
        <v>Laser Calibration, MX</v>
      </c>
      <c r="C1833" t="str">
        <f>"Active"</f>
        <v>Active</v>
      </c>
    </row>
    <row r="1834" spans="1:3" ht="18" customHeight="1">
      <c r="A1834" t="str">
        <f>"10-5273-0000"</f>
        <v>10-5273-0000</v>
      </c>
      <c r="B1834" t="str">
        <f>"Digitizing Package SPLM/eXpertMill"</f>
        <v>Digitizing Package SPLM/eXpertMill</v>
      </c>
      <c r="C1834" t="str">
        <f>"Inactive"</f>
        <v>Inactive</v>
      </c>
    </row>
    <row r="1835" spans="1:3" ht="18" customHeight="1">
      <c r="A1835" t="str">
        <f>"10-5310-0000"</f>
        <v>10-5310-0000</v>
      </c>
      <c r="B1835" t="str">
        <f>"Quick Change Tooling Package, PLT"</f>
        <v>Quick Change Tooling Package, PLT</v>
      </c>
      <c r="C1835" t="str">
        <f>"Active"</f>
        <v>Active</v>
      </c>
    </row>
    <row r="1836" spans="1:3" ht="18" customHeight="1">
      <c r="A1836" t="str">
        <f>"10-5311-0000"</f>
        <v>10-5311-0000</v>
      </c>
      <c r="B1836" t="str">
        <f>"Quick Change Profiling Tool, PLT"</f>
        <v>Quick Change Profiling Tool, PLT</v>
      </c>
      <c r="C1836" t="str">
        <f>"Active"</f>
        <v>Active</v>
      </c>
    </row>
    <row r="1837" spans="1:3" ht="18" customHeight="1">
      <c r="A1837" t="str">
        <f>"10-5351-0000"</f>
        <v>10-5351-0000</v>
      </c>
      <c r="B1837" t="str">
        <f>"Automatic Tool Turret w/ Tools, PLT"</f>
        <v>Automatic Tool Turret w/ Tools, PLT</v>
      </c>
      <c r="C1837" t="str">
        <f>"Active"</f>
        <v>Active</v>
      </c>
    </row>
    <row r="1838" spans="1:3" ht="18" customHeight="1">
      <c r="A1838" t="str">
        <f>"10-5355-0000"</f>
        <v>10-5355-0000</v>
      </c>
      <c r="B1838" t="str">
        <f>"Automatic Tool Turret Tooling Package, PLT"</f>
        <v>Automatic Tool Turret Tooling Package, PLT</v>
      </c>
      <c r="C1838" t="str">
        <f>"Active"</f>
        <v>Active</v>
      </c>
    </row>
    <row r="1839" spans="1:3" ht="18" customHeight="1">
      <c r="A1839" t="str">
        <f>"10-5371-0000"</f>
        <v>10-5371-0000</v>
      </c>
      <c r="B1839" t="str">
        <f>"5-C Collet Set for Rotary Positioner  - (Metric)"</f>
        <v>5-C Collet Set for Rotary Positioner  - (Metric)</v>
      </c>
      <c r="C1839" t="str">
        <f>"Active"</f>
        <v>Active</v>
      </c>
    </row>
    <row r="1840" spans="1:3" ht="18" customHeight="1">
      <c r="A1840" t="str">
        <f>"10-5372-0000"</f>
        <v>10-5372-0000</v>
      </c>
      <c r="B1840" t="str">
        <f>"5-C 3   3-jaw Chuck for 4th Axis Rotary Positio"</f>
        <v>5-C 3   3-jaw Chuck for 4th Axis Rotary Positio</v>
      </c>
      <c r="C1840" t="str">
        <f t="shared" ref="C1840:C1846" si="76">"Inactive"</f>
        <v>Inactive</v>
      </c>
    </row>
    <row r="1841" spans="1:3" ht="18" customHeight="1">
      <c r="A1841" t="str">
        <f>"10-5381-0000"</f>
        <v>10-5381-0000</v>
      </c>
      <c r="B1841" t="str">
        <f>"Collet Set, ER20"</f>
        <v>Collet Set, ER20</v>
      </c>
      <c r="C1841" t="str">
        <f t="shared" si="76"/>
        <v>Inactive</v>
      </c>
    </row>
    <row r="1842" spans="1:3" ht="18" customHeight="1">
      <c r="A1842" t="str">
        <f>"10-5387-0000"</f>
        <v>10-5387-0000</v>
      </c>
      <c r="B1842" t="str">
        <f>"converted to bundle"</f>
        <v>converted to bundle</v>
      </c>
      <c r="C1842" t="str">
        <f t="shared" si="76"/>
        <v>Inactive</v>
      </c>
    </row>
    <row r="1843" spans="1:3" ht="18" customHeight="1">
      <c r="A1843" t="str">
        <f>"10-5388-0000"</f>
        <v>10-5388-0000</v>
      </c>
      <c r="B1843" t="str">
        <f>"3/16    4 - 5 mm ER-20 Collet"</f>
        <v>3/16    4 - 5 mm ER-20 Collet</v>
      </c>
      <c r="C1843" t="str">
        <f t="shared" si="76"/>
        <v>Inactive</v>
      </c>
    </row>
    <row r="1844" spans="1:3" ht="18" customHeight="1">
      <c r="A1844" t="str">
        <f>"10-5389-0000"</f>
        <v>10-5389-0000</v>
      </c>
      <c r="B1844" t="str">
        <f>"converted to bundle"</f>
        <v>converted to bundle</v>
      </c>
      <c r="C1844" t="str">
        <f t="shared" si="76"/>
        <v>Inactive</v>
      </c>
    </row>
    <row r="1845" spans="1:3" ht="18" customHeight="1">
      <c r="A1845" t="str">
        <f>"10-5390-0000"</f>
        <v>10-5390-0000</v>
      </c>
      <c r="B1845" t="str">
        <f>"converted to bundle"</f>
        <v>converted to bundle</v>
      </c>
      <c r="C1845" t="str">
        <f t="shared" si="76"/>
        <v>Inactive</v>
      </c>
    </row>
    <row r="1846" spans="1:3" ht="18" customHeight="1">
      <c r="A1846" t="str">
        <f>"10-5391-0000"</f>
        <v>10-5391-0000</v>
      </c>
      <c r="B1846" t="str">
        <f>"converted to bundle"</f>
        <v>converted to bundle</v>
      </c>
      <c r="C1846" t="str">
        <f t="shared" si="76"/>
        <v>Inactive</v>
      </c>
    </row>
    <row r="1847" spans="1:3" ht="18" customHeight="1">
      <c r="A1847" t="str">
        <f>"10-5392-0000"</f>
        <v>10-5392-0000</v>
      </c>
      <c r="B1847" t="str">
        <f>"Wrench, ER20"</f>
        <v>Wrench, ER20</v>
      </c>
      <c r="C1847" t="str">
        <f>"Active"</f>
        <v>Active</v>
      </c>
    </row>
    <row r="1848" spans="1:3" ht="18" customHeight="1">
      <c r="A1848" t="str">
        <f>"10-5393-0000"</f>
        <v>10-5393-0000</v>
      </c>
      <c r="B1848" t="str">
        <f>"Electronic Height Offset Sensor"</f>
        <v>Electronic Height Offset Sensor</v>
      </c>
      <c r="C1848" t="str">
        <f>"Active"</f>
        <v>Active</v>
      </c>
    </row>
    <row r="1849" spans="1:3" ht="18" customHeight="1">
      <c r="A1849" t="str">
        <f>"10-5394-0000"</f>
        <v>10-5394-0000</v>
      </c>
      <c r="B1849" t="str">
        <f>"5C Collet Block for ATC tooling"</f>
        <v>5C Collet Block for ATC tooling</v>
      </c>
      <c r="C1849" t="str">
        <f>"Inactive"</f>
        <v>Inactive</v>
      </c>
    </row>
    <row r="1850" spans="1:3" ht="18" customHeight="1">
      <c r="A1850" t="str">
        <f>"10-5395-0000"</f>
        <v>10-5395-0000</v>
      </c>
      <c r="B1850" t="str">
        <f>"Collet, 5C, 3/4"""</f>
        <v>Collet, 5C, 3/4"</v>
      </c>
      <c r="C1850" t="str">
        <f>"Inactive"</f>
        <v>Inactive</v>
      </c>
    </row>
    <row r="1851" spans="1:3" ht="18" customHeight="1">
      <c r="A1851" t="str">
        <f>"10-5510-0000"</f>
        <v>10-5510-0000</v>
      </c>
      <c r="B1851" t="str">
        <f>"Fixture and Tooling Kit, SLM, Imperial"</f>
        <v>Fixture and Tooling Kit, SLM, Imperial</v>
      </c>
      <c r="C1851" t="str">
        <f>"Active"</f>
        <v>Active</v>
      </c>
    </row>
    <row r="1852" spans="1:3" ht="18" customHeight="1">
      <c r="A1852" t="str">
        <f>"10-5511-0000"</f>
        <v>10-5511-0000</v>
      </c>
      <c r="B1852" t="str">
        <f>"Fixture and Tooling Kit, SLM, Metric"</f>
        <v>Fixture and Tooling Kit, SLM, Metric</v>
      </c>
      <c r="C1852" t="str">
        <f>"Active"</f>
        <v>Active</v>
      </c>
    </row>
    <row r="1853" spans="1:3" ht="18" customHeight="1">
      <c r="A1853" t="str">
        <f>"10-5530-0000"</f>
        <v>10-5530-0000</v>
      </c>
      <c r="B1853" t="str">
        <f>"End Mill Set, Standard, Imperial"</f>
        <v>End Mill Set, Standard, Imperial</v>
      </c>
      <c r="C1853" t="str">
        <f>"Active"</f>
        <v>Active</v>
      </c>
    </row>
    <row r="1854" spans="1:3" ht="18" customHeight="1">
      <c r="A1854" t="str">
        <f>"10-5531-0000"</f>
        <v>10-5531-0000</v>
      </c>
      <c r="B1854" t="str">
        <f>"End Mill Set, Standard, Metric"</f>
        <v>End Mill Set, Standard, Metric</v>
      </c>
      <c r="C1854" t="str">
        <f>"Active"</f>
        <v>Active</v>
      </c>
    </row>
    <row r="1855" spans="1:3" ht="18" customHeight="1">
      <c r="A1855" t="str">
        <f>"10-5532-0000"</f>
        <v>10-5532-0000</v>
      </c>
      <c r="B1855" t="str">
        <f>"End Mill Package, Long Flute, Imperial, SLM"</f>
        <v>End Mill Package, Long Flute, Imperial, SLM</v>
      </c>
      <c r="C1855" t="str">
        <f>"Active"</f>
        <v>Active</v>
      </c>
    </row>
    <row r="1856" spans="1:3" ht="18" customHeight="1">
      <c r="A1856" t="str">
        <f>"10-5540-0000"</f>
        <v>10-5540-0000</v>
      </c>
      <c r="B1856" t="str">
        <f>"End Mill Set, Imperial, SLM"</f>
        <v>End Mill Set, Imperial, SLM</v>
      </c>
      <c r="C1856" t="str">
        <f>"Inactive"</f>
        <v>Inactive</v>
      </c>
    </row>
    <row r="1857" spans="1:3" ht="18" customHeight="1">
      <c r="A1857" t="str">
        <f>"10-5541-0000"</f>
        <v>10-5541-0000</v>
      </c>
      <c r="B1857" t="str">
        <f>"Engraving Tool and Tool Holder, Metric, SLM"</f>
        <v>Engraving Tool and Tool Holder, Metric, SLM</v>
      </c>
      <c r="C1857" t="str">
        <f t="shared" ref="C1857:C1863" si="77">"Active"</f>
        <v>Active</v>
      </c>
    </row>
    <row r="1858" spans="1:3" ht="18" customHeight="1">
      <c r="A1858" t="str">
        <f>"10-5560-0000"</f>
        <v>10-5560-0000</v>
      </c>
      <c r="B1858" t="str">
        <f>"Multiple Tool Change Kit, Imperial, SLM"</f>
        <v>Multiple Tool Change Kit, Imperial, SLM</v>
      </c>
      <c r="C1858" t="str">
        <f t="shared" si="77"/>
        <v>Active</v>
      </c>
    </row>
    <row r="1859" spans="1:3" ht="18" customHeight="1">
      <c r="A1859" t="str">
        <f>"10-5561-0000"</f>
        <v>10-5561-0000</v>
      </c>
      <c r="B1859" t="str">
        <f>"Multiple Tool Change Kit, Metric, SLM"</f>
        <v>Multiple Tool Change Kit, Metric, SLM</v>
      </c>
      <c r="C1859" t="str">
        <f t="shared" si="77"/>
        <v>Active</v>
      </c>
    </row>
    <row r="1860" spans="1:3" ht="18" customHeight="1">
      <c r="A1860" t="str">
        <f>"10-5590-0000"</f>
        <v>10-5590-0000</v>
      </c>
      <c r="B1860" t="str">
        <f>"Mobile Workstation, 5ft, Cabinet Style"</f>
        <v>Mobile Workstation, 5ft, Cabinet Style</v>
      </c>
      <c r="C1860" t="str">
        <f t="shared" si="77"/>
        <v>Active</v>
      </c>
    </row>
    <row r="1861" spans="1:3" ht="18" customHeight="1">
      <c r="A1861" t="str">
        <f>"10-5591-0000"</f>
        <v>10-5591-0000</v>
      </c>
      <c r="B1861" t="str">
        <f>"Mobile Workstation, 5ft, Desk Style"</f>
        <v>Mobile Workstation, 5ft, Desk Style</v>
      </c>
      <c r="C1861" t="str">
        <f t="shared" si="77"/>
        <v>Active</v>
      </c>
    </row>
    <row r="1862" spans="1:3" ht="18" customHeight="1">
      <c r="A1862" t="str">
        <f>"10-5592-0000"</f>
        <v>10-5592-0000</v>
      </c>
      <c r="B1862" t="str">
        <f>"Mobile Workstation, 8ft, Desk Style, Wood Top"</f>
        <v>Mobile Workstation, 8ft, Desk Style, Wood Top</v>
      </c>
      <c r="C1862" t="str">
        <f t="shared" si="77"/>
        <v>Active</v>
      </c>
    </row>
    <row r="1863" spans="1:3" ht="18" customHeight="1">
      <c r="A1863" t="str">
        <f>"10-5594-0000"</f>
        <v>10-5594-0000</v>
      </c>
      <c r="B1863" t="str">
        <f>"Mobile Workstation, 6ft, Desk Style, Wood Top"</f>
        <v>Mobile Workstation, 6ft, Desk Style, Wood Top</v>
      </c>
      <c r="C1863" t="str">
        <f t="shared" si="77"/>
        <v>Active</v>
      </c>
    </row>
    <row r="1864" spans="1:3" ht="18" customHeight="1">
      <c r="A1864" t="str">
        <f>"10-5601-0000"</f>
        <v>10-5601-0000</v>
      </c>
      <c r="B1864" t="str">
        <f>"Automatic Tool Turret w/ Tools, SLT"</f>
        <v>Automatic Tool Turret w/ Tools, SLT</v>
      </c>
      <c r="C1864" t="str">
        <f>"Phase Out"</f>
        <v>Phase Out</v>
      </c>
    </row>
    <row r="1865" spans="1:3" ht="18" customHeight="1">
      <c r="A1865" t="str">
        <f>"10-5605-0000"</f>
        <v>10-5605-0000</v>
      </c>
      <c r="B1865" t="str">
        <f>"Automatic Tool Turret Tooling Package, SLT"</f>
        <v>Automatic Tool Turret Tooling Package, SLT</v>
      </c>
      <c r="C1865" t="str">
        <f t="shared" ref="C1865:C1875" si="78">"Active"</f>
        <v>Active</v>
      </c>
    </row>
    <row r="1866" spans="1:3" ht="18" customHeight="1">
      <c r="A1866" t="str">
        <f>"10-5611-0000"</f>
        <v>10-5611-0000</v>
      </c>
      <c r="B1866" t="str">
        <f>"Turning Center Fixture Kit, Metric, SLT"</f>
        <v>Turning Center Fixture Kit, Metric, SLT</v>
      </c>
      <c r="C1866" t="str">
        <f t="shared" si="78"/>
        <v>Active</v>
      </c>
    </row>
    <row r="1867" spans="1:3" ht="18" customHeight="1">
      <c r="A1867" t="str">
        <f>"10-5623-0000"</f>
        <v>10-5623-0000</v>
      </c>
      <c r="B1867" t="str">
        <f>"Tool Holder w/ Draw Stud, ISO 20, 1/2"""</f>
        <v>Tool Holder w/ Draw Stud, ISO 20, 1/2"</v>
      </c>
      <c r="C1867" t="str">
        <f t="shared" si="78"/>
        <v>Active</v>
      </c>
    </row>
    <row r="1868" spans="1:3" ht="18" customHeight="1">
      <c r="A1868" t="str">
        <f>"10-5627-0000"</f>
        <v>10-5627-0000</v>
      </c>
      <c r="B1868" t="str">
        <f>"Tool Holder Set, ISO 20, 6 Tools, Rapid Change"</f>
        <v>Tool Holder Set, ISO 20, 6 Tools, Rapid Change</v>
      </c>
      <c r="C1868" t="str">
        <f t="shared" si="78"/>
        <v>Active</v>
      </c>
    </row>
    <row r="1869" spans="1:3" ht="18" customHeight="1">
      <c r="A1869" t="str">
        <f>"10-5630-0000"</f>
        <v>10-5630-0000</v>
      </c>
      <c r="B1869" t="str">
        <f>"Insert Set, Carbide, SLT"</f>
        <v>Insert Set, Carbide, SLT</v>
      </c>
      <c r="C1869" t="str">
        <f t="shared" si="78"/>
        <v>Active</v>
      </c>
    </row>
    <row r="1870" spans="1:3" ht="18" customHeight="1">
      <c r="A1870" t="str">
        <f>"10-5640-0000"</f>
        <v>10-5640-0000</v>
      </c>
      <c r="B1870" t="str">
        <f>"Tool Holder, Carbide Insert, Indexable, SLT"</f>
        <v>Tool Holder, Carbide Insert, Indexable, SLT</v>
      </c>
      <c r="C1870" t="str">
        <f t="shared" si="78"/>
        <v>Active</v>
      </c>
    </row>
    <row r="1871" spans="1:3" ht="18" customHeight="1">
      <c r="A1871" t="str">
        <f>"10-5650-0000"</f>
        <v>10-5650-0000</v>
      </c>
      <c r="B1871" t="str">
        <f>"Tool Post and Tools, SLT"</f>
        <v>Tool Post and Tools, SLT</v>
      </c>
      <c r="C1871" t="str">
        <f t="shared" si="78"/>
        <v>Active</v>
      </c>
    </row>
    <row r="1872" spans="1:3" ht="18" customHeight="1">
      <c r="A1872" t="str">
        <f>"10-5661-0000"</f>
        <v>10-5661-0000</v>
      </c>
      <c r="B1872" t="str">
        <f>"Tool Holder w/ Draw Stud, ISO 20, 3 mm"</f>
        <v>Tool Holder w/ Draw Stud, ISO 20, 3 mm</v>
      </c>
      <c r="C1872" t="str">
        <f t="shared" si="78"/>
        <v>Active</v>
      </c>
    </row>
    <row r="1873" spans="1:3" ht="18" customHeight="1">
      <c r="A1873" t="str">
        <f>"10-5662-0000"</f>
        <v>10-5662-0000</v>
      </c>
      <c r="B1873" t="str">
        <f>"Tool Holder w/ Draw Stud, ISO 20, 6 mm"</f>
        <v>Tool Holder w/ Draw Stud, ISO 20, 6 mm</v>
      </c>
      <c r="C1873" t="str">
        <f t="shared" si="78"/>
        <v>Active</v>
      </c>
    </row>
    <row r="1874" spans="1:3" ht="18" customHeight="1">
      <c r="A1874" t="str">
        <f>"10-5663-0000"</f>
        <v>10-5663-0000</v>
      </c>
      <c r="B1874" t="str">
        <f>"Tool Holder w/ Draw Stud, ISO 20, 8 mm"</f>
        <v>Tool Holder w/ Draw Stud, ISO 20, 8 mm</v>
      </c>
      <c r="C1874" t="str">
        <f t="shared" si="78"/>
        <v>Active</v>
      </c>
    </row>
    <row r="1875" spans="1:3" ht="18" customHeight="1">
      <c r="A1875" t="str">
        <f>"10-5664-0000"</f>
        <v>10-5664-0000</v>
      </c>
      <c r="B1875" t="str">
        <f>"Tool Holder w/ Draw Stud, ISO 20, 10 mm"</f>
        <v>Tool Holder w/ Draw Stud, ISO 20, 10 mm</v>
      </c>
      <c r="C1875" t="str">
        <f t="shared" si="78"/>
        <v>Active</v>
      </c>
    </row>
    <row r="1876" spans="1:3" ht="18" customHeight="1">
      <c r="A1876" t="str">
        <f>"10-5665-0000"</f>
        <v>10-5665-0000</v>
      </c>
      <c r="B1876" t="str">
        <f>"Tool Holder Set, ISO 20, 4 Tools, Metric"</f>
        <v>Tool Holder Set, ISO 20, 4 Tools, Metric</v>
      </c>
      <c r="C1876" t="str">
        <f>"Phase Out"</f>
        <v>Phase Out</v>
      </c>
    </row>
    <row r="1877" spans="1:3" ht="18" customHeight="1">
      <c r="A1877" t="str">
        <f>"10-5666-0000"</f>
        <v>10-5666-0000</v>
      </c>
      <c r="B1877" t="str">
        <f>"Tool Holder Set, ISO 20, 12 Tools, Metric"</f>
        <v>Tool Holder Set, ISO 20, 12 Tools, Metric</v>
      </c>
      <c r="C1877" t="str">
        <f>"Inactive"</f>
        <v>Inactive</v>
      </c>
    </row>
    <row r="1878" spans="1:3" ht="18" customHeight="1">
      <c r="A1878" t="str">
        <f>"10-5667-0000"</f>
        <v>10-5667-0000</v>
      </c>
      <c r="B1878" t="str">
        <f>"Tool Holder Set, ISO 20, Rapid Change, Metric"</f>
        <v>Tool Holder Set, ISO 20, Rapid Change, Metric</v>
      </c>
      <c r="C1878" t="str">
        <f>"Inactive"</f>
        <v>Inactive</v>
      </c>
    </row>
    <row r="1879" spans="1:3" ht="18" customHeight="1">
      <c r="A1879" t="str">
        <f>"10-5711-0000"</f>
        <v>10-5711-0000</v>
      </c>
      <c r="B1879" t="str">
        <f>"Engraving Tool Set, Metric"</f>
        <v>Engraving Tool Set, Metric</v>
      </c>
      <c r="C1879" t="str">
        <f>"Phase Out"</f>
        <v>Phase Out</v>
      </c>
    </row>
    <row r="1880" spans="1:3" ht="18" customHeight="1">
      <c r="A1880" t="str">
        <f>"10-5740-0000"</f>
        <v>10-5740-0000</v>
      </c>
      <c r="B1880" t="str">
        <f>"Vacuum System, 120V, SLM"</f>
        <v>Vacuum System, 120V, SLM</v>
      </c>
      <c r="C1880" t="str">
        <f>"Inactive"</f>
        <v>Inactive</v>
      </c>
    </row>
    <row r="1881" spans="1:3" ht="18" customHeight="1">
      <c r="A1881" t="str">
        <f>"10-5801-0000"</f>
        <v>10-5801-0000</v>
      </c>
      <c r="B1881" t="str">
        <f>"Gravity Feeder w/ Part Present Switch"</f>
        <v>Gravity Feeder w/ Part Present Switch</v>
      </c>
      <c r="C1881" t="str">
        <f>"Active"</f>
        <v>Active</v>
      </c>
    </row>
    <row r="1882" spans="1:3" ht="18" customHeight="1">
      <c r="A1882" t="str">
        <f>"10-5803-0000"</f>
        <v>10-5803-0000</v>
      </c>
      <c r="B1882" t="str">
        <f>"Linear Conveyor-24V w/ Power Supply and Sensor"</f>
        <v>Linear Conveyor-24V w/ Power Supply and Sensor</v>
      </c>
      <c r="C1882" t="str">
        <f>"Active"</f>
        <v>Active</v>
      </c>
    </row>
    <row r="1883" spans="1:3" ht="18" customHeight="1">
      <c r="A1883" t="str">
        <f>"10-5804-0000"</f>
        <v>10-5804-0000</v>
      </c>
      <c r="B1883" t="str">
        <f>"Rotary Table w/Sensor"</f>
        <v>Rotary Table w/Sensor</v>
      </c>
      <c r="C1883" t="str">
        <f>"Active"</f>
        <v>Active</v>
      </c>
    </row>
    <row r="1884" spans="1:3" ht="18" customHeight="1">
      <c r="A1884" t="str">
        <f>"10-5805-0000"</f>
        <v>10-5805-0000</v>
      </c>
      <c r="B1884" t="str">
        <f>"RMH Packaging Pallet Tote w/ Dividers"</f>
        <v>RMH Packaging Pallet Tote w/ Dividers</v>
      </c>
      <c r="C1884" t="str">
        <f>"Active"</f>
        <v>Active</v>
      </c>
    </row>
    <row r="1885" spans="1:3" ht="18" customHeight="1">
      <c r="A1885" t="str">
        <f>"10-5810-0000"</f>
        <v>10-5810-0000</v>
      </c>
      <c r="B1885" t="str">
        <f>"Machinist Kit - BenchMill and ProMill"</f>
        <v>Machinist Kit - BenchMill and ProMill</v>
      </c>
      <c r="C1885" t="str">
        <f>"Active"</f>
        <v>Active</v>
      </c>
    </row>
    <row r="1886" spans="1:3" ht="18" customHeight="1">
      <c r="A1886" t="str">
        <f>"10-6701-0000"</f>
        <v>10-6701-0000</v>
      </c>
      <c r="B1886" t="str">
        <f>"spectraCAM Milling &amp; Turning, First Copy"</f>
        <v>spectraCAM Milling &amp; Turning, First Copy</v>
      </c>
      <c r="C1886" t="str">
        <f t="shared" ref="C1886:C1893" si="79">"Inactive"</f>
        <v>Inactive</v>
      </c>
    </row>
    <row r="1887" spans="1:3" ht="18" customHeight="1">
      <c r="A1887" t="str">
        <f>"10-6711-0000"</f>
        <v>10-6711-0000</v>
      </c>
      <c r="B1887" t="str">
        <f>"spectraCAM Milling &amp; Turning, Additional Seats"</f>
        <v>spectraCAM Milling &amp; Turning, Additional Seats</v>
      </c>
      <c r="C1887" t="str">
        <f t="shared" si="79"/>
        <v>Inactive</v>
      </c>
    </row>
    <row r="1888" spans="1:3" ht="18" customHeight="1">
      <c r="A1888" t="str">
        <f>"10-6721-0000"</f>
        <v>10-6721-0000</v>
      </c>
      <c r="B1888" t="str">
        <f>"spectraCAM Milling, First Copy"</f>
        <v>spectraCAM Milling, First Copy</v>
      </c>
      <c r="C1888" t="str">
        <f t="shared" si="79"/>
        <v>Inactive</v>
      </c>
    </row>
    <row r="1889" spans="1:3" ht="18" customHeight="1">
      <c r="A1889" t="str">
        <f>"10-6723-0000"</f>
        <v>10-6723-0000</v>
      </c>
      <c r="B1889" t="str">
        <f>"spectraCAD Engraver"</f>
        <v>spectraCAD Engraver</v>
      </c>
      <c r="C1889" t="str">
        <f t="shared" si="79"/>
        <v>Inactive</v>
      </c>
    </row>
    <row r="1890" spans="1:3" ht="18" customHeight="1">
      <c r="A1890" t="str">
        <f>"10-6731-0000"</f>
        <v>10-6731-0000</v>
      </c>
      <c r="B1890" t="str">
        <f>"spectraCAM Milling, Additional Seats"</f>
        <v>spectraCAM Milling, Additional Seats</v>
      </c>
      <c r="C1890" t="str">
        <f t="shared" si="79"/>
        <v>Inactive</v>
      </c>
    </row>
    <row r="1891" spans="1:3" ht="18" customHeight="1">
      <c r="A1891" t="str">
        <f>"10-6741-0000"</f>
        <v>10-6741-0000</v>
      </c>
      <c r="B1891" t="str">
        <f>"spectraCAM Turning, First Copy"</f>
        <v>spectraCAM Turning, First Copy</v>
      </c>
      <c r="C1891" t="str">
        <f t="shared" si="79"/>
        <v>Inactive</v>
      </c>
    </row>
    <row r="1892" spans="1:3" ht="18" customHeight="1">
      <c r="A1892" t="str">
        <f>"10-6743-0000"</f>
        <v>10-6743-0000</v>
      </c>
      <c r="B1892" t="str">
        <f>"spectraCAM Turning, Downloaded Upgrade"</f>
        <v>spectraCAM Turning, Downloaded Upgrade</v>
      </c>
      <c r="C1892" t="str">
        <f t="shared" si="79"/>
        <v>Inactive</v>
      </c>
    </row>
    <row r="1893" spans="1:3" ht="18" customHeight="1">
      <c r="A1893" t="str">
        <f>"10-6751-0000"</f>
        <v>10-6751-0000</v>
      </c>
      <c r="B1893" t="str">
        <f>"spectraCAM Turning Additional Seats"</f>
        <v>spectraCAM Turning Additional Seats</v>
      </c>
      <c r="C1893" t="str">
        <f t="shared" si="79"/>
        <v>Inactive</v>
      </c>
    </row>
    <row r="1894" spans="1:3" ht="18" customHeight="1">
      <c r="A1894" t="str">
        <f>"10-7001-1001"</f>
        <v>10-7001-1001</v>
      </c>
      <c r="B1894" t="str">
        <f>"Project, Yo-Yo, Components"</f>
        <v>Project, Yo-Yo, Components</v>
      </c>
      <c r="C1894" t="str">
        <f>"Active"</f>
        <v>Active</v>
      </c>
    </row>
    <row r="1895" spans="1:3" ht="18" customHeight="1">
      <c r="A1895" t="str">
        <f>"10-7006-1000"</f>
        <v>10-7006-1000</v>
      </c>
      <c r="B1895" t="str">
        <f>"Project, Precision Measuring Device, LMS"</f>
        <v>Project, Precision Measuring Device, LMS</v>
      </c>
      <c r="C1895" t="str">
        <f>"Inactive"</f>
        <v>Inactive</v>
      </c>
    </row>
    <row r="1896" spans="1:3" ht="18" customHeight="1">
      <c r="A1896" t="str">
        <f>"10-7006-1001"</f>
        <v>10-7006-1001</v>
      </c>
      <c r="B1896" t="str">
        <f>"Project, Precision Measuring Device, Components"</f>
        <v>Project, Precision Measuring Device, Components</v>
      </c>
      <c r="C1896" t="str">
        <f t="shared" ref="C1896:C1905" si="80">"Active"</f>
        <v>Active</v>
      </c>
    </row>
    <row r="1897" spans="1:3" ht="18" customHeight="1">
      <c r="A1897" t="str">
        <f>"10-7007-1000"</f>
        <v>10-7007-1000</v>
      </c>
      <c r="B1897" t="str">
        <f>"Project, Golf Putter, LMS"</f>
        <v>Project, Golf Putter, LMS</v>
      </c>
      <c r="C1897" t="str">
        <f t="shared" si="80"/>
        <v>Active</v>
      </c>
    </row>
    <row r="1898" spans="1:3" ht="18" customHeight="1">
      <c r="A1898" t="str">
        <f>"10-7007-1001"</f>
        <v>10-7007-1001</v>
      </c>
      <c r="B1898" t="str">
        <f>"Project, Golf Putter, Components"</f>
        <v>Project, Golf Putter, Components</v>
      </c>
      <c r="C1898" t="str">
        <f t="shared" si="80"/>
        <v>Active</v>
      </c>
    </row>
    <row r="1899" spans="1:3" ht="18" customHeight="1">
      <c r="A1899" t="str">
        <f>"10-7016-1000"</f>
        <v>10-7016-1000</v>
      </c>
      <c r="B1899" t="str">
        <f>"Project, CO2 Car, LMS"</f>
        <v>Project, CO2 Car, LMS</v>
      </c>
      <c r="C1899" t="str">
        <f t="shared" si="80"/>
        <v>Active</v>
      </c>
    </row>
    <row r="1900" spans="1:3" ht="18" customHeight="1">
      <c r="A1900" t="str">
        <f>"10-7016-1001"</f>
        <v>10-7016-1001</v>
      </c>
      <c r="B1900" t="str">
        <f>"Project, CO2 Car, Components"</f>
        <v>Project, CO2 Car, Components</v>
      </c>
      <c r="C1900" t="str">
        <f t="shared" si="80"/>
        <v>Active</v>
      </c>
    </row>
    <row r="1901" spans="1:3" ht="18" customHeight="1">
      <c r="A1901" t="str">
        <f>"10-7017-1000"</f>
        <v>10-7017-1000</v>
      </c>
      <c r="B1901" t="str">
        <f>"Project, Robotics &amp; Automation, LMS, w/ER4U hdwr"</f>
        <v>Project, Robotics &amp; Automation, LMS, w/ER4U hdwr</v>
      </c>
      <c r="C1901" t="str">
        <f t="shared" si="80"/>
        <v>Active</v>
      </c>
    </row>
    <row r="1902" spans="1:3" ht="18" customHeight="1">
      <c r="A1902" t="str">
        <f>"10-7018-1001"</f>
        <v>10-7018-1001</v>
      </c>
      <c r="B1902" t="str">
        <f>"Project, Robotics &amp; Automation, Components"</f>
        <v>Project, Robotics &amp; Automation, Components</v>
      </c>
      <c r="C1902" t="str">
        <f t="shared" si="80"/>
        <v>Active</v>
      </c>
    </row>
    <row r="1903" spans="1:3" ht="18" customHeight="1">
      <c r="A1903" t="str">
        <f>"10-7023-9000"</f>
        <v>10-7023-9000</v>
      </c>
      <c r="B1903" t="str">
        <f>"Project, Planetary Gear Box, SA"</f>
        <v>Project, Planetary Gear Box, SA</v>
      </c>
      <c r="C1903" t="str">
        <f t="shared" si="80"/>
        <v>Active</v>
      </c>
    </row>
    <row r="1904" spans="1:3" ht="18" customHeight="1">
      <c r="A1904" t="str">
        <f>"10-7024-1001"</f>
        <v>10-7024-1001</v>
      </c>
      <c r="B1904" t="str">
        <f>"Project, Cone Zone"</f>
        <v>Project, Cone Zone</v>
      </c>
      <c r="C1904" t="str">
        <f t="shared" si="80"/>
        <v>Active</v>
      </c>
    </row>
    <row r="1905" spans="1:3" ht="18" customHeight="1">
      <c r="A1905" t="str">
        <f>"10-7024-1002"</f>
        <v>10-7024-1002</v>
      </c>
      <c r="B1905" t="str">
        <f>"Project, Puck Pileup"</f>
        <v>Project, Puck Pileup</v>
      </c>
      <c r="C1905" t="str">
        <f t="shared" si="80"/>
        <v>Active</v>
      </c>
    </row>
    <row r="1906" spans="1:3" ht="18" customHeight="1">
      <c r="A1906" t="str">
        <f>"10-7024-1003"</f>
        <v>10-7024-1003</v>
      </c>
      <c r="B1906" t="str">
        <f>"Project, Safe Cracker"</f>
        <v>Project, Safe Cracker</v>
      </c>
      <c r="C1906" t="str">
        <f>"Inactive"</f>
        <v>Inactive</v>
      </c>
    </row>
    <row r="1907" spans="1:3" ht="18" customHeight="1">
      <c r="A1907" t="str">
        <f>"10-7025-1001"</f>
        <v>10-7025-1001</v>
      </c>
      <c r="B1907" t="str">
        <f>"Project, Involution"</f>
        <v>Project, Involution</v>
      </c>
      <c r="C1907" t="str">
        <f>"Active"</f>
        <v>Active</v>
      </c>
    </row>
    <row r="1908" spans="1:3" ht="18" customHeight="1">
      <c r="A1908" t="str">
        <f>"10-7025-1002"</f>
        <v>10-7025-1002</v>
      </c>
      <c r="B1908" t="str">
        <f>"Project, Full Pull"</f>
        <v>Project, Full Pull</v>
      </c>
      <c r="C1908" t="str">
        <f>"Active"</f>
        <v>Active</v>
      </c>
    </row>
    <row r="1909" spans="1:3" ht="18" customHeight="1">
      <c r="A1909" t="str">
        <f>"10-7025-1003"</f>
        <v>10-7025-1003</v>
      </c>
      <c r="B1909" t="str">
        <f>"Project, Cube Conundrum"</f>
        <v>Project, Cube Conundrum</v>
      </c>
      <c r="C1909" t="str">
        <f>"Active"</f>
        <v>Active</v>
      </c>
    </row>
    <row r="1910" spans="1:3" ht="18" customHeight="1">
      <c r="A1910" t="str">
        <f>"10-7025-2002"</f>
        <v>10-7025-2002</v>
      </c>
      <c r="B1910" t="str">
        <f>"Project, Full Pull XL"</f>
        <v>Project, Full Pull XL</v>
      </c>
      <c r="C1910" t="str">
        <f>"New"</f>
        <v>New</v>
      </c>
    </row>
    <row r="1911" spans="1:3" ht="18" customHeight="1">
      <c r="A1911" t="str">
        <f>"10-7026-1001"</f>
        <v>10-7026-1001</v>
      </c>
      <c r="B1911" t="str">
        <f>"Project, Green Street"</f>
        <v>Project, Green Street</v>
      </c>
      <c r="C1911" t="str">
        <f>"Active"</f>
        <v>Active</v>
      </c>
    </row>
    <row r="1912" spans="1:3" ht="18" customHeight="1">
      <c r="A1912" t="str">
        <f>"10-7027-1001"</f>
        <v>10-7027-1001</v>
      </c>
      <c r="B1912" t="str">
        <f>"Project, Marbelous"</f>
        <v>Project, Marbelous</v>
      </c>
      <c r="C1912" t="str">
        <f>"Inactive"</f>
        <v>Inactive</v>
      </c>
    </row>
    <row r="1913" spans="1:3" ht="18" customHeight="1">
      <c r="A1913" t="str">
        <f>"10-7027-1002"</f>
        <v>10-7027-1002</v>
      </c>
      <c r="B1913" t="str">
        <f>"Project, Pick &amp; Place"</f>
        <v>Project, Pick &amp; Place</v>
      </c>
      <c r="C1913" t="str">
        <f>"Inactive"</f>
        <v>Inactive</v>
      </c>
    </row>
    <row r="1914" spans="1:3" ht="18" customHeight="1">
      <c r="A1914" t="str">
        <f>"10-7027-1003"</f>
        <v>10-7027-1003</v>
      </c>
      <c r="B1914" t="str">
        <f>"Project, Vertigo"</f>
        <v>Project, Vertigo</v>
      </c>
      <c r="C1914" t="str">
        <f>"Inactive"</f>
        <v>Inactive</v>
      </c>
    </row>
    <row r="1915" spans="1:3" ht="18" customHeight="1">
      <c r="A1915" t="str">
        <f>"10-7027-1030"</f>
        <v>10-7027-1030</v>
      </c>
      <c r="B1915" t="str">
        <f>"Engineering Application Series Mat. 30 Pack"</f>
        <v>Engineering Application Series Mat. 30 Pack</v>
      </c>
      <c r="C1915" t="str">
        <f t="shared" ref="C1915:C1921" si="81">"Active"</f>
        <v>Active</v>
      </c>
    </row>
    <row r="1916" spans="1:3" ht="18" customHeight="1">
      <c r="A1916" t="str">
        <f>"10-7030-1001"</f>
        <v>10-7030-1001</v>
      </c>
      <c r="B1916" t="str">
        <f>"Game-in-a-Box, Safe Cracker"</f>
        <v>Game-in-a-Box, Safe Cracker</v>
      </c>
      <c r="C1916" t="str">
        <f t="shared" si="81"/>
        <v>Active</v>
      </c>
    </row>
    <row r="1917" spans="1:3" ht="18" customHeight="1">
      <c r="A1917" t="str">
        <f>"10-7551-0000"</f>
        <v>10-7551-0000</v>
      </c>
      <c r="B1917" t="str">
        <f>"Project, Chess Set"</f>
        <v>Project, Chess Set</v>
      </c>
      <c r="C1917" t="str">
        <f t="shared" si="81"/>
        <v>Active</v>
      </c>
    </row>
    <row r="1918" spans="1:3" ht="18" customHeight="1">
      <c r="A1918" t="str">
        <f>"10-8110-1002"</f>
        <v>10-8110-1002</v>
      </c>
      <c r="B1918" t="str">
        <f>"Green Tech. Curriculum (GTC) Course Mat. 2 Pack"</f>
        <v>Green Tech. Curriculum (GTC) Course Mat. 2 Pack</v>
      </c>
      <c r="C1918" t="str">
        <f t="shared" si="81"/>
        <v>Active</v>
      </c>
    </row>
    <row r="1919" spans="1:3" ht="18" customHeight="1">
      <c r="A1919" t="str">
        <f>"10-8110-1010"</f>
        <v>10-8110-1010</v>
      </c>
      <c r="B1919" t="str">
        <f>"Green Tech. Curriculum (GTC) Course Mat. 10 Pack"</f>
        <v>Green Tech. Curriculum (GTC) Course Mat. 10 Pack</v>
      </c>
      <c r="C1919" t="str">
        <f t="shared" si="81"/>
        <v>Active</v>
      </c>
    </row>
    <row r="1920" spans="1:3" ht="18" customHeight="1">
      <c r="A1920" t="str">
        <f>"10-8110-1020"</f>
        <v>10-8110-1020</v>
      </c>
      <c r="B1920" t="str">
        <f>"Green Tech. Curriculum (GTC) Course Mat. 20 Pack"</f>
        <v>Green Tech. Curriculum (GTC) Course Mat. 20 Pack</v>
      </c>
      <c r="C1920" t="str">
        <f t="shared" si="81"/>
        <v>Active</v>
      </c>
    </row>
    <row r="1921" spans="1:3" ht="18" customHeight="1">
      <c r="A1921" t="str">
        <f>"10-8110-1030"</f>
        <v>10-8110-1030</v>
      </c>
      <c r="B1921" t="str">
        <f>"Green Tech. Curriculum (GTC) Course Mat. 30 Pack"</f>
        <v>Green Tech. Curriculum (GTC) Course Mat. 30 Pack</v>
      </c>
      <c r="C1921" t="str">
        <f t="shared" si="81"/>
        <v>Active</v>
      </c>
    </row>
    <row r="1922" spans="1:3" ht="18" customHeight="1">
      <c r="A1922" t="str">
        <f>"10-8135-0000"</f>
        <v>10-8135-0000</v>
      </c>
      <c r="B1922" t="str">
        <f>"Engineering Hydraulics Trainer"</f>
        <v>Engineering Hydraulics Trainer</v>
      </c>
      <c r="C1922" t="str">
        <f>"Inactive"</f>
        <v>Inactive</v>
      </c>
    </row>
    <row r="1923" spans="1:3" ht="18" customHeight="1">
      <c r="A1923" t="str">
        <f>"10-8136-1002"</f>
        <v>10-8136-1002</v>
      </c>
      <c r="B1923" t="str">
        <f>"Transportation Curriculum Course Mat. 2 Pack"</f>
        <v>Transportation Curriculum Course Mat. 2 Pack</v>
      </c>
      <c r="C1923" t="str">
        <f t="shared" ref="C1923:C1961" si="82">"Active"</f>
        <v>Active</v>
      </c>
    </row>
    <row r="1924" spans="1:3" ht="18" customHeight="1">
      <c r="A1924" t="str">
        <f>"10-8136-1010"</f>
        <v>10-8136-1010</v>
      </c>
      <c r="B1924" t="str">
        <f>"Transportation Curriculum Course Mat. 10 Pack"</f>
        <v>Transportation Curriculum Course Mat. 10 Pack</v>
      </c>
      <c r="C1924" t="str">
        <f t="shared" si="82"/>
        <v>Active</v>
      </c>
    </row>
    <row r="1925" spans="1:3" ht="18" customHeight="1">
      <c r="A1925" t="str">
        <f>"10-8136-1020"</f>
        <v>10-8136-1020</v>
      </c>
      <c r="B1925" t="str">
        <f>"Transportation Curriculum Course Mat. 20 Pack"</f>
        <v>Transportation Curriculum Course Mat. 20 Pack</v>
      </c>
      <c r="C1925" t="str">
        <f t="shared" si="82"/>
        <v>Active</v>
      </c>
    </row>
    <row r="1926" spans="1:3" ht="18" customHeight="1">
      <c r="A1926" t="str">
        <f>"10-8136-1030"</f>
        <v>10-8136-1030</v>
      </c>
      <c r="B1926" t="str">
        <f>"Transportation Curriculum Course Mat. 30 Pack"</f>
        <v>Transportation Curriculum Course Mat. 30 Pack</v>
      </c>
      <c r="C1926" t="str">
        <f t="shared" si="82"/>
        <v>Active</v>
      </c>
    </row>
    <row r="1927" spans="1:3" ht="18" customHeight="1">
      <c r="A1927" t="str">
        <f>"10-8137-1002"</f>
        <v>10-8137-1002</v>
      </c>
      <c r="B1927" t="str">
        <f>"Biotechnology Curriculum Course Mat. 2 Pack"</f>
        <v>Biotechnology Curriculum Course Mat. 2 Pack</v>
      </c>
      <c r="C1927" t="str">
        <f t="shared" si="82"/>
        <v>Active</v>
      </c>
    </row>
    <row r="1928" spans="1:3" ht="18" customHeight="1">
      <c r="A1928" t="str">
        <f>"10-8137-1010"</f>
        <v>10-8137-1010</v>
      </c>
      <c r="B1928" t="str">
        <f>"Biotechnology Curriculum Course Mat. 10 Pack"</f>
        <v>Biotechnology Curriculum Course Mat. 10 Pack</v>
      </c>
      <c r="C1928" t="str">
        <f t="shared" si="82"/>
        <v>Active</v>
      </c>
    </row>
    <row r="1929" spans="1:3" ht="18" customHeight="1">
      <c r="A1929" t="str">
        <f>"10-8137-1020"</f>
        <v>10-8137-1020</v>
      </c>
      <c r="B1929" t="str">
        <f>"Biotechnology Curriculum Course Mat. 20 Pack"</f>
        <v>Biotechnology Curriculum Course Mat. 20 Pack</v>
      </c>
      <c r="C1929" t="str">
        <f t="shared" si="82"/>
        <v>Active</v>
      </c>
    </row>
    <row r="1930" spans="1:3" ht="18" customHeight="1">
      <c r="A1930" t="str">
        <f>"10-8137-1030"</f>
        <v>10-8137-1030</v>
      </c>
      <c r="B1930" t="str">
        <f>"Biotechnology Curriculum Course Mat. 30 Pack"</f>
        <v>Biotechnology Curriculum Course Mat. 30 Pack</v>
      </c>
      <c r="C1930" t="str">
        <f t="shared" si="82"/>
        <v>Active</v>
      </c>
    </row>
    <row r="1931" spans="1:3" ht="18" customHeight="1">
      <c r="A1931" t="str">
        <f>"10-8138-1002"</f>
        <v>10-8138-1002</v>
      </c>
      <c r="B1931" t="str">
        <f>"Health Care Curriculum Course Mat. 2 Pack"</f>
        <v>Health Care Curriculum Course Mat. 2 Pack</v>
      </c>
      <c r="C1931" t="str">
        <f t="shared" si="82"/>
        <v>Active</v>
      </c>
    </row>
    <row r="1932" spans="1:3" ht="18" customHeight="1">
      <c r="A1932" t="str">
        <f>"10-8138-1010"</f>
        <v>10-8138-1010</v>
      </c>
      <c r="B1932" t="str">
        <f>"Health Care Curriculum Course Mat. 10 Pack"</f>
        <v>Health Care Curriculum Course Mat. 10 Pack</v>
      </c>
      <c r="C1932" t="str">
        <f t="shared" si="82"/>
        <v>Active</v>
      </c>
    </row>
    <row r="1933" spans="1:3" ht="18" customHeight="1">
      <c r="A1933" t="str">
        <f>"10-8138-1020"</f>
        <v>10-8138-1020</v>
      </c>
      <c r="B1933" t="str">
        <f>"Health Care Curriculum Course Mat. 20 Pack"</f>
        <v>Health Care Curriculum Course Mat. 20 Pack</v>
      </c>
      <c r="C1933" t="str">
        <f t="shared" si="82"/>
        <v>Active</v>
      </c>
    </row>
    <row r="1934" spans="1:3" ht="18" customHeight="1">
      <c r="A1934" t="str">
        <f>"10-8138-1030"</f>
        <v>10-8138-1030</v>
      </c>
      <c r="B1934" t="str">
        <f>"Health Care Curriculum Course Mat. 30 Pack"</f>
        <v>Health Care Curriculum Course Mat. 30 Pack</v>
      </c>
      <c r="C1934" t="str">
        <f t="shared" si="82"/>
        <v>Active</v>
      </c>
    </row>
    <row r="1935" spans="1:3" ht="18" customHeight="1">
      <c r="A1935" t="str">
        <f>"10-8150-1002"</f>
        <v>10-8150-1002</v>
      </c>
      <c r="B1935" t="str">
        <f>"Exploring Communications Course Mat. 10 Pack"</f>
        <v>Exploring Communications Course Mat. 10 Pack</v>
      </c>
      <c r="C1935" t="str">
        <f t="shared" si="82"/>
        <v>Active</v>
      </c>
    </row>
    <row r="1936" spans="1:3" ht="18" customHeight="1">
      <c r="A1936" t="str">
        <f>"10-8150-1010"</f>
        <v>10-8150-1010</v>
      </c>
      <c r="B1936" t="str">
        <f>"Exploring Communications Course Mat. 10 Pack"</f>
        <v>Exploring Communications Course Mat. 10 Pack</v>
      </c>
      <c r="C1936" t="str">
        <f t="shared" si="82"/>
        <v>Active</v>
      </c>
    </row>
    <row r="1937" spans="1:3" ht="18" customHeight="1">
      <c r="A1937" t="str">
        <f>"10-8150-1020"</f>
        <v>10-8150-1020</v>
      </c>
      <c r="B1937" t="str">
        <f>"Exploring Communications Course Mat. 20 Pack"</f>
        <v>Exploring Communications Course Mat. 20 Pack</v>
      </c>
      <c r="C1937" t="str">
        <f t="shared" si="82"/>
        <v>Active</v>
      </c>
    </row>
    <row r="1938" spans="1:3" ht="18" customHeight="1">
      <c r="A1938" t="str">
        <f>"10-8150-1030"</f>
        <v>10-8150-1030</v>
      </c>
      <c r="B1938" t="str">
        <f>"Exploring Communications Course Mat. 30 Pack"</f>
        <v>Exploring Communications Course Mat. 30 Pack</v>
      </c>
      <c r="C1938" t="str">
        <f t="shared" si="82"/>
        <v>Active</v>
      </c>
    </row>
    <row r="1939" spans="1:3" ht="18" customHeight="1">
      <c r="A1939" t="str">
        <f>"10-8151-1002"</f>
        <v>10-8151-1002</v>
      </c>
      <c r="B1939" t="str">
        <f>"Digital Video Editing Course Mat. 2 Pack"</f>
        <v>Digital Video Editing Course Mat. 2 Pack</v>
      </c>
      <c r="C1939" t="str">
        <f t="shared" si="82"/>
        <v>Active</v>
      </c>
    </row>
    <row r="1940" spans="1:3" ht="18" customHeight="1">
      <c r="A1940" t="str">
        <f>"10-8152-1002"</f>
        <v>10-8152-1002</v>
      </c>
      <c r="B1940" t="str">
        <f>"Digital Photo Editing Course Mat. 2 Pack"</f>
        <v>Digital Photo Editing Course Mat. 2 Pack</v>
      </c>
      <c r="C1940" t="str">
        <f t="shared" si="82"/>
        <v>Active</v>
      </c>
    </row>
    <row r="1941" spans="1:3" ht="18" customHeight="1">
      <c r="A1941" t="str">
        <f>"10-8153-1002"</f>
        <v>10-8153-1002</v>
      </c>
      <c r="B1941" t="str">
        <f>"Graphic Design Course Materials 2 Pack"</f>
        <v>Graphic Design Course Materials 2 Pack</v>
      </c>
      <c r="C1941" t="str">
        <f t="shared" si="82"/>
        <v>Active</v>
      </c>
    </row>
    <row r="1942" spans="1:3" ht="18" customHeight="1">
      <c r="A1942" t="str">
        <f>"10-8154-1030"</f>
        <v>10-8154-1030</v>
      </c>
      <c r="B1942" t="str">
        <f>"Intro. to Industrial Design Course Mat. 30 Pack"</f>
        <v>Intro. to Industrial Design Course Mat. 30 Pack</v>
      </c>
      <c r="C1942" t="str">
        <f t="shared" si="82"/>
        <v>Active</v>
      </c>
    </row>
    <row r="1943" spans="1:3" ht="18" customHeight="1">
      <c r="A1943" t="str">
        <f>"10-8155-1030"</f>
        <v>10-8155-1030</v>
      </c>
      <c r="B1943" t="str">
        <f>"Intro. to Mechanisms, Materials, 30 Pack"</f>
        <v>Intro. to Mechanisms, Materials, 30 Pack</v>
      </c>
      <c r="C1943" t="str">
        <f t="shared" si="82"/>
        <v>Active</v>
      </c>
    </row>
    <row r="1944" spans="1:3" ht="18" customHeight="1">
      <c r="A1944" t="str">
        <f>"10-8801-0000"</f>
        <v>10-8801-0000</v>
      </c>
      <c r="B1944" t="str">
        <f>"LMR-8801, Benchtop CNC Router"</f>
        <v>LMR-8801, Benchtop CNC Router</v>
      </c>
      <c r="C1944" t="str">
        <f t="shared" si="82"/>
        <v>Active</v>
      </c>
    </row>
    <row r="1945" spans="1:3" ht="18" customHeight="1">
      <c r="A1945" t="str">
        <f>"10-9110-0000"</f>
        <v>10-9110-0000</v>
      </c>
      <c r="B1945" t="str">
        <f>"Stock Package, Machinable Wax, Mill, 2""x4""x8"""</f>
        <v>Stock Package, Machinable Wax, Mill, 2"x4"x8"</v>
      </c>
      <c r="C1945" t="str">
        <f t="shared" si="82"/>
        <v>Active</v>
      </c>
    </row>
    <row r="1946" spans="1:3" ht="18" customHeight="1">
      <c r="A1946" t="str">
        <f>"10-9120-0000"</f>
        <v>10-9120-0000</v>
      </c>
      <c r="B1946" t="str">
        <f>"Stock Package, Wax, 3” x 2” x 1.5”– 50 Pcs"</f>
        <v>Stock Package, Wax, 3” x 2” x 1.5”– 50 Pcs</v>
      </c>
      <c r="C1946" t="str">
        <f t="shared" si="82"/>
        <v>Active</v>
      </c>
    </row>
    <row r="1947" spans="1:3" ht="18" customHeight="1">
      <c r="A1947" t="str">
        <f>"10-9130-0000"</f>
        <v>10-9130-0000</v>
      </c>
      <c r="B1947" t="str">
        <f>"Stock Package, Aluminum, Mill"</f>
        <v>Stock Package, Aluminum, Mill</v>
      </c>
      <c r="C1947" t="str">
        <f t="shared" si="82"/>
        <v>Active</v>
      </c>
    </row>
    <row r="1948" spans="1:3" ht="18" customHeight="1">
      <c r="A1948" t="str">
        <f>"10-9140-0000"</f>
        <v>10-9140-0000</v>
      </c>
      <c r="B1948" t="str">
        <f>"Stock Package, Brass, Turn"</f>
        <v>Stock Package, Brass, Turn</v>
      </c>
      <c r="C1948" t="str">
        <f t="shared" si="82"/>
        <v>Active</v>
      </c>
    </row>
    <row r="1949" spans="1:3" ht="18" customHeight="1">
      <c r="A1949" t="str">
        <f>"10-9160-0000"</f>
        <v>10-9160-0000</v>
      </c>
      <c r="B1949" t="str">
        <f>"Stock Package, Name Badge, Engrave"</f>
        <v>Stock Package, Name Badge, Engrave</v>
      </c>
      <c r="C1949" t="str">
        <f t="shared" si="82"/>
        <v>Active</v>
      </c>
    </row>
    <row r="1950" spans="1:3" ht="18" customHeight="1">
      <c r="A1950" t="str">
        <f>"10-9170-0000"</f>
        <v>10-9170-0000</v>
      </c>
      <c r="B1950" t="str">
        <f>"Stock Package, Name Plate, Engrave"</f>
        <v>Stock Package, Name Plate, Engrave</v>
      </c>
      <c r="C1950" t="str">
        <f t="shared" si="82"/>
        <v>Active</v>
      </c>
    </row>
    <row r="1951" spans="1:3" ht="18" customHeight="1">
      <c r="A1951" t="str">
        <f>"10-9190-0000"</f>
        <v>10-9190-0000</v>
      </c>
      <c r="B1951" t="str">
        <f>"Stock Package, Machinable Wax, Mill, 7""x2""x1.5"""</f>
        <v>Stock Package, Machinable Wax, Mill, 7"x2"x1.5"</v>
      </c>
      <c r="C1951" t="str">
        <f t="shared" si="82"/>
        <v>Active</v>
      </c>
    </row>
    <row r="1952" spans="1:3" ht="18" customHeight="1">
      <c r="A1952" t="str">
        <f>"10-9301-0000"</f>
        <v>10-9301-0000</v>
      </c>
      <c r="B1952" t="str">
        <f>"Consumable Package, CO2 Car Project"</f>
        <v>Consumable Package, CO2 Car Project</v>
      </c>
      <c r="C1952" t="str">
        <f t="shared" si="82"/>
        <v>Active</v>
      </c>
    </row>
    <row r="1953" spans="1:3" ht="18" customHeight="1">
      <c r="A1953" t="str">
        <f>"10-9302-0000"</f>
        <v>10-9302-0000</v>
      </c>
      <c r="B1953" t="str">
        <f>"Consumable Package, Golf Putter Project"</f>
        <v>Consumable Package, Golf Putter Project</v>
      </c>
      <c r="C1953" t="str">
        <f t="shared" si="82"/>
        <v>Active</v>
      </c>
    </row>
    <row r="1954" spans="1:3" ht="18" customHeight="1">
      <c r="A1954" t="str">
        <f>"10-9304-0000"</f>
        <v>10-9304-0000</v>
      </c>
      <c r="B1954" t="str">
        <f>"Consumable Package,Precision Measurement Project"</f>
        <v>Consumable Package,Precision Measurement Project</v>
      </c>
      <c r="C1954" t="str">
        <f t="shared" si="82"/>
        <v>Active</v>
      </c>
    </row>
    <row r="1955" spans="1:3" ht="18" customHeight="1">
      <c r="A1955" t="str">
        <f>"10-9307-0000"</f>
        <v>10-9307-0000</v>
      </c>
      <c r="B1955" t="str">
        <f>"Brass Cannon Project Raw Materials Kit"</f>
        <v>Brass Cannon Project Raw Materials Kit</v>
      </c>
      <c r="C1955" t="str">
        <f t="shared" si="82"/>
        <v>Active</v>
      </c>
    </row>
    <row r="1956" spans="1:3" ht="18" customHeight="1">
      <c r="A1956" t="str">
        <f>"10-9307-0001"</f>
        <v>10-9307-0001</v>
      </c>
      <c r="B1956" t="str">
        <f>"Brass Cannon Project Assembled Kit"</f>
        <v>Brass Cannon Project Assembled Kit</v>
      </c>
      <c r="C1956" t="str">
        <f t="shared" si="82"/>
        <v>Active</v>
      </c>
    </row>
    <row r="1957" spans="1:3" ht="18" customHeight="1">
      <c r="A1957" t="str">
        <f>"10-9310-0000"</f>
        <v>10-9310-0000</v>
      </c>
      <c r="B1957" t="str">
        <f>"Stock Package, Combo Material and Sizes, Turn"</f>
        <v>Stock Package, Combo Material and Sizes, Turn</v>
      </c>
      <c r="C1957" t="str">
        <f t="shared" si="82"/>
        <v>Active</v>
      </c>
    </row>
    <row r="1958" spans="1:3" ht="18" customHeight="1">
      <c r="A1958" t="str">
        <f>"10-9320-0000"</f>
        <v>10-9320-0000</v>
      </c>
      <c r="B1958" t="str">
        <f>"Stock Package, Aluminum, Turn, Assorted Sizes"</f>
        <v>Stock Package, Aluminum, Turn, Assorted Sizes</v>
      </c>
      <c r="C1958" t="str">
        <f t="shared" si="82"/>
        <v>Active</v>
      </c>
    </row>
    <row r="1959" spans="1:3" ht="18" customHeight="1">
      <c r="A1959" t="str">
        <f>"10-9330-0000"</f>
        <v>10-9330-0000</v>
      </c>
      <c r="B1959" t="str">
        <f>"Stock Package, Delrin, Turn, 3/4""x3"""</f>
        <v>Stock Package, Delrin, Turn, 3/4"x3"</v>
      </c>
      <c r="C1959" t="str">
        <f t="shared" si="82"/>
        <v>Active</v>
      </c>
    </row>
    <row r="1960" spans="1:3" ht="18" customHeight="1">
      <c r="A1960" t="str">
        <f>"10-9340-0000"</f>
        <v>10-9340-0000</v>
      </c>
      <c r="B1960" t="str">
        <f>"Stock Package, Delrin, Turn, Assorted Sizes"</f>
        <v>Stock Package, Delrin, Turn, Assorted Sizes</v>
      </c>
      <c r="C1960" t="str">
        <f t="shared" si="82"/>
        <v>Active</v>
      </c>
    </row>
    <row r="1961" spans="1:3" ht="18" customHeight="1">
      <c r="A1961" t="str">
        <f>"10-9350-0000"</f>
        <v>10-9350-0000</v>
      </c>
      <c r="B1961" t="str">
        <f>"Stock Package, Machinable Wax, Turn, 1""x 12"""</f>
        <v>Stock Package, Machinable Wax, Turn, 1"x 12"</v>
      </c>
      <c r="C1961" t="str">
        <f t="shared" si="82"/>
        <v>Active</v>
      </c>
    </row>
    <row r="1962" spans="1:3" ht="18" customHeight="1">
      <c r="A1962" t="str">
        <f>"10-9360-0000"</f>
        <v>10-9360-0000</v>
      </c>
      <c r="B1962" t="str">
        <f>"Stock Package, Chess Set Stock"</f>
        <v>Stock Package, Chess Set Stock</v>
      </c>
      <c r="C1962" t="str">
        <f>"Inactive"</f>
        <v>Inactive</v>
      </c>
    </row>
    <row r="1963" spans="1:3" ht="18" customHeight="1">
      <c r="A1963" t="str">
        <f>"10-9401-0000"</f>
        <v>10-9401-0000</v>
      </c>
      <c r="B1963" t="str">
        <f>"Polystyrene Sheet, 12""x12""x1/16"", (20-Pack)"</f>
        <v>Polystyrene Sheet, 12"x12"x1/16", (20-Pack)</v>
      </c>
      <c r="C1963" t="str">
        <f t="shared" ref="C1963:C1975" si="83">"Active"</f>
        <v>Active</v>
      </c>
    </row>
    <row r="1964" spans="1:3" ht="18" customHeight="1">
      <c r="A1964" t="str">
        <f>"10-9402-0000"</f>
        <v>10-9402-0000</v>
      </c>
      <c r="B1964" t="str">
        <f>"Polystyrene Sheet, 12""x6""x1/16"", (20-Pack)"</f>
        <v>Polystyrene Sheet, 12"x6"x1/16", (20-Pack)</v>
      </c>
      <c r="C1964" t="str">
        <f t="shared" si="83"/>
        <v>Active</v>
      </c>
    </row>
    <row r="1965" spans="1:3" ht="18" customHeight="1">
      <c r="A1965" t="str">
        <f>"10-9403-0000"</f>
        <v>10-9403-0000</v>
      </c>
      <c r="B1965" t="str">
        <f>"Cast Acrylic Sheet, Clear,  8""x8""x1/8"", (2-Pack)"</f>
        <v>Cast Acrylic Sheet, Clear,  8"x8"x1/8", (2-Pack)</v>
      </c>
      <c r="C1965" t="str">
        <f t="shared" si="83"/>
        <v>Active</v>
      </c>
    </row>
    <row r="1966" spans="1:3" ht="18" customHeight="1">
      <c r="A1966" t="str">
        <f>"10-9404-0000"</f>
        <v>10-9404-0000</v>
      </c>
      <c r="B1966" t="str">
        <f>"Cast Acrylic Sheet, Clear,  11""x11""x1/8,(2-Pack)"</f>
        <v>Cast Acrylic Sheet, Clear,  11"x11"x1/8,(2-Pack)</v>
      </c>
      <c r="C1966" t="str">
        <f t="shared" si="83"/>
        <v>Active</v>
      </c>
    </row>
    <row r="1967" spans="1:3" ht="18" customHeight="1">
      <c r="A1967" t="str">
        <f>"10-9405-0000"</f>
        <v>10-9405-0000</v>
      </c>
      <c r="B1967" t="str">
        <f>"Cast Acrylic Sheet, Clear, 14""x14""x1/8"",(2-Pack)"</f>
        <v>Cast Acrylic Sheet, Clear, 14"x14"x1/8",(2-Pack)</v>
      </c>
      <c r="C1967" t="str">
        <f t="shared" si="83"/>
        <v>Active</v>
      </c>
    </row>
    <row r="1968" spans="1:3" ht="18" customHeight="1">
      <c r="A1968" t="str">
        <f>"10-9406-0000"</f>
        <v>10-9406-0000</v>
      </c>
      <c r="B1968" t="str">
        <f>"Polypropylene Sheet, 7""x3""x1/4"", (25-Pack)"</f>
        <v>Polypropylene Sheet, 7"x3"x1/4", (25-Pack)</v>
      </c>
      <c r="C1968" t="str">
        <f t="shared" si="83"/>
        <v>Active</v>
      </c>
    </row>
    <row r="1969" spans="1:3" ht="18" customHeight="1">
      <c r="A1969" t="str">
        <f>"10-9407-0000"</f>
        <v>10-9407-0000</v>
      </c>
      <c r="B1969" t="str">
        <f>"Polypropylene Rod,  3mm Diameter, 4 lbs."</f>
        <v>Polypropylene Rod,  3mm Diameter, 4 lbs.</v>
      </c>
      <c r="C1969" t="str">
        <f t="shared" si="83"/>
        <v>Active</v>
      </c>
    </row>
    <row r="1970" spans="1:3" ht="18" customHeight="1">
      <c r="A1970" t="str">
        <f>"10-9408-0000"</f>
        <v>10-9408-0000</v>
      </c>
      <c r="B1970" t="str">
        <f>"Polystyrene Granules, 4 lbs., Extrusion"</f>
        <v>Polystyrene Granules, 4 lbs., Extrusion</v>
      </c>
      <c r="C1970" t="str">
        <f t="shared" si="83"/>
        <v>Active</v>
      </c>
    </row>
    <row r="1971" spans="1:3" ht="18" customHeight="1">
      <c r="A1971" t="str">
        <f>"10-9409-0000"</f>
        <v>10-9409-0000</v>
      </c>
      <c r="B1971" t="str">
        <f>"Nylon Powder, Yellow, 4 lbs, Dip Coating"</f>
        <v>Nylon Powder, Yellow, 4 lbs, Dip Coating</v>
      </c>
      <c r="C1971" t="str">
        <f t="shared" si="83"/>
        <v>Active</v>
      </c>
    </row>
    <row r="1972" spans="1:3" ht="18" customHeight="1">
      <c r="A1972" t="str">
        <f>"10-9409-0000P"</f>
        <v>10-9409-0000P</v>
      </c>
      <c r="B1972" t="str">
        <f>"Nylon Powder, Yellow, Bulk"</f>
        <v>Nylon Powder, Yellow, Bulk</v>
      </c>
      <c r="C1972" t="str">
        <f t="shared" si="83"/>
        <v>Active</v>
      </c>
    </row>
    <row r="1973" spans="1:3" ht="18" customHeight="1">
      <c r="A1973" t="str">
        <f>"10-9410-0000"</f>
        <v>10-9410-0000</v>
      </c>
      <c r="B1973" t="str">
        <f>"Mechanical Measurement &amp; QC, Hardware"</f>
        <v>Mechanical Measurement &amp; QC, Hardware</v>
      </c>
      <c r="C1973" t="str">
        <f t="shared" si="83"/>
        <v>Active</v>
      </c>
    </row>
    <row r="1974" spans="1:3" ht="18" customHeight="1">
      <c r="A1974" t="str">
        <f>"10-9411-0000"</f>
        <v>10-9411-0000</v>
      </c>
      <c r="B1974" t="str">
        <f>"Polyethylene Powder, 4 lbs, Injection Molding"</f>
        <v>Polyethylene Powder, 4 lbs, Injection Molding</v>
      </c>
      <c r="C1974" t="str">
        <f t="shared" si="83"/>
        <v>Active</v>
      </c>
    </row>
    <row r="1975" spans="1:3" ht="18" customHeight="1">
      <c r="A1975" t="str">
        <f>"10-9411-0000P"</f>
        <v>10-9411-0000P</v>
      </c>
      <c r="B1975" t="str">
        <f>"Polyethylene Powder,  20Kg Bulk"</f>
        <v>Polyethylene Powder,  20Kg Bulk</v>
      </c>
      <c r="C1975" t="str">
        <f t="shared" si="83"/>
        <v>Active</v>
      </c>
    </row>
    <row r="1976" spans="1:3" ht="18" customHeight="1">
      <c r="A1976" t="str">
        <f>"10-9501-0010"</f>
        <v>10-9501-0010</v>
      </c>
      <c r="B1976" t="str">
        <f>"REC 1, PIC/Cortex, Service Package, 10 Students"</f>
        <v>REC 1, PIC/Cortex, Service Package, 10 Students</v>
      </c>
      <c r="C1976" t="str">
        <f t="shared" ref="C1976:C1981" si="84">"Inactive"</f>
        <v>Inactive</v>
      </c>
    </row>
    <row r="1977" spans="1:3" ht="18" customHeight="1">
      <c r="A1977" t="str">
        <f>"10-9501-0020"</f>
        <v>10-9501-0020</v>
      </c>
      <c r="B1977" t="str">
        <f>"REC 1, PIC/Cortex, Service Package, 20 Students"</f>
        <v>REC 1, PIC/Cortex, Service Package, 20 Students</v>
      </c>
      <c r="C1977" t="str">
        <f t="shared" si="84"/>
        <v>Inactive</v>
      </c>
    </row>
    <row r="1978" spans="1:3" ht="18" customHeight="1">
      <c r="A1978" t="str">
        <f>"10-9501-0030"</f>
        <v>10-9501-0030</v>
      </c>
      <c r="B1978" t="str">
        <f>"REC 1, PIC/Cortex, Service Package, 30 Students"</f>
        <v>REC 1, PIC/Cortex, Service Package, 30 Students</v>
      </c>
      <c r="C1978" t="str">
        <f t="shared" si="84"/>
        <v>Inactive</v>
      </c>
    </row>
    <row r="1979" spans="1:3" ht="18" customHeight="1">
      <c r="A1979" t="str">
        <f>"10-9502-0010"</f>
        <v>10-9502-0010</v>
      </c>
      <c r="B1979" t="str">
        <f>"REC 2, PIC, Service Package, 10 Students"</f>
        <v>REC 2, PIC, Service Package, 10 Students</v>
      </c>
      <c r="C1979" t="str">
        <f t="shared" si="84"/>
        <v>Inactive</v>
      </c>
    </row>
    <row r="1980" spans="1:3" ht="18" customHeight="1">
      <c r="A1980" t="str">
        <f>"10-9502-0020"</f>
        <v>10-9502-0020</v>
      </c>
      <c r="B1980" t="str">
        <f>"REC 2, PIC, Service Package, 20 Students"</f>
        <v>REC 2, PIC, Service Package, 20 Students</v>
      </c>
      <c r="C1980" t="str">
        <f t="shared" si="84"/>
        <v>Inactive</v>
      </c>
    </row>
    <row r="1981" spans="1:3" ht="18" customHeight="1">
      <c r="A1981" t="str">
        <f>"10-9502-0030"</f>
        <v>10-9502-0030</v>
      </c>
      <c r="B1981" t="str">
        <f>"REC 2, PIC, Service Package, 30 Students"</f>
        <v>REC 2, PIC, Service Package, 30 Students</v>
      </c>
      <c r="C1981" t="str">
        <f t="shared" si="84"/>
        <v>Inactive</v>
      </c>
    </row>
    <row r="1982" spans="1:3" ht="18" customHeight="1">
      <c r="A1982" t="str">
        <f>"10-9603-0000"</f>
        <v>10-9603-0000</v>
      </c>
      <c r="B1982" t="str">
        <f>"Sterling Engine Project Raw Materials Kit"</f>
        <v>Sterling Engine Project Raw Materials Kit</v>
      </c>
      <c r="C1982" t="str">
        <f t="shared" ref="C1982:C1987" si="85">"Active"</f>
        <v>Active</v>
      </c>
    </row>
    <row r="1983" spans="1:3" ht="18" customHeight="1">
      <c r="A1983" t="str">
        <f>"10-9603-0001"</f>
        <v>10-9603-0001</v>
      </c>
      <c r="B1983" t="str">
        <f>"Sterling Engine Project Machined Kit"</f>
        <v>Sterling Engine Project Machined Kit</v>
      </c>
      <c r="C1983" t="str">
        <f t="shared" si="85"/>
        <v>Active</v>
      </c>
    </row>
    <row r="1984" spans="1:3" ht="18" customHeight="1">
      <c r="A1984" t="str">
        <f>"10-9603-0002"</f>
        <v>10-9603-0002</v>
      </c>
      <c r="B1984" t="str">
        <f>"Sterling Engine Project Assembled Kit"</f>
        <v>Sterling Engine Project Assembled Kit</v>
      </c>
      <c r="C1984" t="str">
        <f t="shared" si="85"/>
        <v>Active</v>
      </c>
    </row>
    <row r="1985" spans="1:3" ht="18" customHeight="1">
      <c r="A1985" t="str">
        <f>"10-BA04-0000"</f>
        <v>10-BA04-0000</v>
      </c>
      <c r="B1985" t="str">
        <f>"Fasteners, BA04, Hardware Only"</f>
        <v>Fasteners, BA04, Hardware Only</v>
      </c>
      <c r="C1985" t="str">
        <f t="shared" si="85"/>
        <v>Active</v>
      </c>
    </row>
    <row r="1986" spans="1:3" ht="18" customHeight="1">
      <c r="A1986" t="str">
        <f>"10-BA05-0000"</f>
        <v>10-BA05-0000</v>
      </c>
      <c r="B1986" t="str">
        <f>"Hand Tools, BA05, Hardware Only"</f>
        <v>Hand Tools, BA05, Hardware Only</v>
      </c>
      <c r="C1986" t="str">
        <f t="shared" si="85"/>
        <v>Active</v>
      </c>
    </row>
    <row r="1987" spans="1:3" ht="18" customHeight="1">
      <c r="A1987" t="str">
        <f>"10-BA06-0000"</f>
        <v>10-BA06-0000</v>
      </c>
      <c r="B1987" t="str">
        <f>"Power Tools, BA06,Hardware Only"</f>
        <v>Power Tools, BA06,Hardware Only</v>
      </c>
      <c r="C1987" t="str">
        <f t="shared" si="85"/>
        <v>Active</v>
      </c>
    </row>
    <row r="1988" spans="1:3" ht="18" customHeight="1">
      <c r="A1988" t="str">
        <f>"10-BSC1-0000"</f>
        <v>10-BSC1-0000</v>
      </c>
      <c r="B1988" t="str">
        <f>"Greystone, Bearing Service Cart"</f>
        <v>Greystone, Bearing Service Cart</v>
      </c>
      <c r="C1988" t="str">
        <f>"Inactive"</f>
        <v>Inactive</v>
      </c>
    </row>
    <row r="1989" spans="1:3" ht="18" customHeight="1">
      <c r="A1989" t="str">
        <f>"10-BSC1-0002"</f>
        <v>10-BSC1-0002</v>
      </c>
      <c r="B1989" t="str">
        <f>"Greystone, Bearing Service Cart, 220V ready"</f>
        <v>Greystone, Bearing Service Cart, 220V ready</v>
      </c>
      <c r="C1989" t="str">
        <f>"Inactive"</f>
        <v>Inactive</v>
      </c>
    </row>
    <row r="1990" spans="1:3" ht="18" customHeight="1">
      <c r="A1990" t="str">
        <f>"10-BSC1-TSA1"</f>
        <v>10-BSC1-TSA1</v>
      </c>
      <c r="B1990" t="str">
        <f>"Greystone,2 Student Add-on,Bearing Service Cart"</f>
        <v>Greystone,2 Student Add-on,Bearing Service Cart</v>
      </c>
      <c r="C1990" t="str">
        <f>"Active"</f>
        <v>Active</v>
      </c>
    </row>
    <row r="1991" spans="1:3" ht="18" customHeight="1">
      <c r="A1991" t="str">
        <f>"10-BSC1-TSA2"</f>
        <v>10-BSC1-TSA2</v>
      </c>
      <c r="B1991" t="str">
        <f>"Greystone,2 Stu. Add-on,Bearing Service, 220V"</f>
        <v>Greystone,2 Stu. Add-on,Bearing Service, 220V</v>
      </c>
      <c r="C1991" t="str">
        <f>"Inactive"</f>
        <v>Inactive</v>
      </c>
    </row>
    <row r="1992" spans="1:3" ht="18" customHeight="1">
      <c r="A1992" t="str">
        <f>"10-EA20-0000"</f>
        <v>10-EA20-0000</v>
      </c>
      <c r="B1992" t="str">
        <f>"Basic PLC Allen Bradley SLC 500 - EA20- Lab -"</f>
        <v>Basic PLC Allen Bradley SLC 500 - EA20- Lab -</v>
      </c>
      <c r="C1992" t="str">
        <f>"Active"</f>
        <v>Active</v>
      </c>
    </row>
    <row r="1993" spans="1:3" ht="18" customHeight="1">
      <c r="A1993" t="str">
        <f>"10-HVAC-0001"</f>
        <v>10-HVAC-0001</v>
      </c>
      <c r="B1993" t="str">
        <f>"Greystone, HVAC-1, Electric Controls for HVAC"</f>
        <v>Greystone, HVAC-1, Electric Controls for HVAC</v>
      </c>
      <c r="C1993" t="str">
        <f t="shared" ref="C1993:C2007" si="86">"Inactive"</f>
        <v>Inactive</v>
      </c>
    </row>
    <row r="1994" spans="1:3" ht="18" customHeight="1">
      <c r="A1994" t="str">
        <f>"10-HVAC-0002"</f>
        <v>10-HVAC-0002</v>
      </c>
      <c r="B1994" t="str">
        <f>"Greystone, HVAC-2, Controls for Electric Furnace"</f>
        <v>Greystone, HVAC-2, Controls for Electric Furnace</v>
      </c>
      <c r="C1994" t="str">
        <f t="shared" si="86"/>
        <v>Inactive</v>
      </c>
    </row>
    <row r="1995" spans="1:3" ht="18" customHeight="1">
      <c r="A1995" t="str">
        <f>"10-HVAC-0003"</f>
        <v>10-HVAC-0003</v>
      </c>
      <c r="B1995" t="str">
        <f>"Greystone, HVAC-3, Controls for Gas Furnace"</f>
        <v>Greystone, HVAC-3, Controls for Gas Furnace</v>
      </c>
      <c r="C1995" t="str">
        <f t="shared" si="86"/>
        <v>Inactive</v>
      </c>
    </row>
    <row r="1996" spans="1:3" ht="18" customHeight="1">
      <c r="A1996" t="str">
        <f>"10-HVAC-TB01"</f>
        <v>10-HVAC-TB01</v>
      </c>
      <c r="B1996" t="str">
        <f>"Greystone, Textbook, HVAC 1,2 and 3"</f>
        <v>Greystone, Textbook, HVAC 1,2 and 3</v>
      </c>
      <c r="C1996" t="str">
        <f t="shared" si="86"/>
        <v>Inactive</v>
      </c>
    </row>
    <row r="1997" spans="1:3" ht="18" customHeight="1">
      <c r="A1997" t="str">
        <f>"10-IMC1-0000"</f>
        <v>10-IMC1-0000</v>
      </c>
      <c r="B1997" t="str">
        <f>"Greystone, IMC1, Basic Power Electricity"</f>
        <v>Greystone, IMC1, Basic Power Electricity</v>
      </c>
      <c r="C1997" t="str">
        <f t="shared" si="86"/>
        <v>Inactive</v>
      </c>
    </row>
    <row r="1998" spans="1:3" ht="18" customHeight="1">
      <c r="A1998" t="str">
        <f>"10-IMC1-IG01"</f>
        <v>10-IMC1-IG01</v>
      </c>
      <c r="B1998" t="str">
        <f>"Greystone, Instructor's Guide, IMC1"</f>
        <v>Greystone, Instructor's Guide, IMC1</v>
      </c>
      <c r="C1998" t="str">
        <f t="shared" si="86"/>
        <v>Inactive</v>
      </c>
    </row>
    <row r="1999" spans="1:3" ht="18" customHeight="1">
      <c r="A1999" t="str">
        <f>"10-IMC1-TB01"</f>
        <v>10-IMC1-TB01</v>
      </c>
      <c r="B1999" t="str">
        <f>"Greystone, Textbook, IMC1"</f>
        <v>Greystone, Textbook, IMC1</v>
      </c>
      <c r="C1999" t="str">
        <f t="shared" si="86"/>
        <v>Inactive</v>
      </c>
    </row>
    <row r="2000" spans="1:3" ht="18" customHeight="1">
      <c r="A2000" t="str">
        <f>"10-IMC2-0000"</f>
        <v>10-IMC2-0000</v>
      </c>
      <c r="B2000" t="str">
        <f>"Greystone, IMC2, Industrial Motor Control"</f>
        <v>Greystone, IMC2, Industrial Motor Control</v>
      </c>
      <c r="C2000" t="str">
        <f t="shared" si="86"/>
        <v>Inactive</v>
      </c>
    </row>
    <row r="2001" spans="1:3" ht="18" customHeight="1">
      <c r="A2001" t="str">
        <f>"10-IMC2-IG01"</f>
        <v>10-IMC2-IG01</v>
      </c>
      <c r="B2001" t="str">
        <f>"Greystone, Instructor's Guide, IMC2"</f>
        <v>Greystone, Instructor's Guide, IMC2</v>
      </c>
      <c r="C2001" t="str">
        <f t="shared" si="86"/>
        <v>Inactive</v>
      </c>
    </row>
    <row r="2002" spans="1:3" ht="18" customHeight="1">
      <c r="A2002" t="str">
        <f>"10-IMC2-TB01"</f>
        <v>10-IMC2-TB01</v>
      </c>
      <c r="B2002" t="str">
        <f>"Greystone, Textbook, IMC2"</f>
        <v>Greystone, Textbook, IMC2</v>
      </c>
      <c r="C2002" t="str">
        <f t="shared" si="86"/>
        <v>Inactive</v>
      </c>
    </row>
    <row r="2003" spans="1:3" ht="18" customHeight="1">
      <c r="A2003" t="str">
        <f>"10-IMC3-0000"</f>
        <v>10-IMC3-0000</v>
      </c>
      <c r="B2003" t="str">
        <f>"Greystone, IMC3, Sensors"</f>
        <v>Greystone, IMC3, Sensors</v>
      </c>
      <c r="C2003" t="str">
        <f t="shared" si="86"/>
        <v>Inactive</v>
      </c>
    </row>
    <row r="2004" spans="1:3" ht="18" customHeight="1">
      <c r="A2004" t="str">
        <f>"10-IMC4-0000"</f>
        <v>10-IMC4-0000</v>
      </c>
      <c r="B2004" t="str">
        <f>"Greystone, IMC4, Electric Motor Control Drives"</f>
        <v>Greystone, IMC4, Electric Motor Control Drives</v>
      </c>
      <c r="C2004" t="str">
        <f t="shared" si="86"/>
        <v>Inactive</v>
      </c>
    </row>
    <row r="2005" spans="1:3" ht="18" customHeight="1">
      <c r="A2005" t="str">
        <f>"10-IMC4-IG01"</f>
        <v>10-IMC4-IG01</v>
      </c>
      <c r="B2005" t="str">
        <f>"Greystone, Instructor's Guide, IMC4"</f>
        <v>Greystone, Instructor's Guide, IMC4</v>
      </c>
      <c r="C2005" t="str">
        <f t="shared" si="86"/>
        <v>Inactive</v>
      </c>
    </row>
    <row r="2006" spans="1:3" ht="18" customHeight="1">
      <c r="A2006" t="str">
        <f>"10-IMC4-TB01"</f>
        <v>10-IMC4-TB01</v>
      </c>
      <c r="B2006" t="str">
        <f>"Greystone, Textbook, IMC4"</f>
        <v>Greystone, Textbook, IMC4</v>
      </c>
      <c r="C2006" t="str">
        <f t="shared" si="86"/>
        <v>Inactive</v>
      </c>
    </row>
    <row r="2007" spans="1:3" ht="18" customHeight="1">
      <c r="A2007" t="str">
        <f>"10-IMC8-0000"</f>
        <v>10-IMC8-0000</v>
      </c>
      <c r="B2007" t="str">
        <f>"Greystone, IMC8, Industrial Electric Motors"</f>
        <v>Greystone, IMC8, Industrial Electric Motors</v>
      </c>
      <c r="C2007" t="str">
        <f t="shared" si="86"/>
        <v>Inactive</v>
      </c>
    </row>
    <row r="2008" spans="1:3" ht="18" customHeight="1">
      <c r="A2008" t="str">
        <f>"10-IMC8-TB01"</f>
        <v>10-IMC8-TB01</v>
      </c>
      <c r="B2008" t="str">
        <f>"Greystone, Textbook, IMC8"</f>
        <v>Greystone, Textbook, IMC8</v>
      </c>
      <c r="C2008" t="str">
        <f>"Active"</f>
        <v>Active</v>
      </c>
    </row>
    <row r="2009" spans="1:3" ht="18" customHeight="1">
      <c r="A2009" t="str">
        <f>"10-IMC8-TG01"</f>
        <v>10-IMC8-TG01</v>
      </c>
      <c r="B2009" t="str">
        <f>"Answer Key for Troubleshooting Electric Motors"</f>
        <v>Answer Key for Troubleshooting Electric Motors</v>
      </c>
      <c r="C2009" t="str">
        <f>"Active"</f>
        <v>Active</v>
      </c>
    </row>
    <row r="2010" spans="1:3" ht="18" customHeight="1">
      <c r="A2010" t="str">
        <f>"10-IMP1-0006"</f>
        <v>10-IMP1-0006</v>
      </c>
      <c r="B2010" t="str">
        <f>"Greystone,  IMP1,  Mechanical Training Bench"</f>
        <v>Greystone,  IMP1,  Mechanical Training Bench</v>
      </c>
      <c r="C2010" t="str">
        <f>"Inactive"</f>
        <v>Inactive</v>
      </c>
    </row>
    <row r="2011" spans="1:3" ht="18" customHeight="1">
      <c r="A2011" t="str">
        <f>"10-IMP1-0007"</f>
        <v>10-IMP1-0007</v>
      </c>
      <c r="B2011" t="str">
        <f>"Greystone,  IMP1,  Mech. Training Bench, 220V"</f>
        <v>Greystone,  IMP1,  Mech. Training Bench, 220V</v>
      </c>
      <c r="C2011" t="str">
        <f>"Inactive"</f>
        <v>Inactive</v>
      </c>
    </row>
    <row r="2012" spans="1:3" ht="18" customHeight="1">
      <c r="A2012" t="str">
        <f>"10-IMP1-LAT1"</f>
        <v>10-IMP1-LAT1</v>
      </c>
      <c r="B2012" t="str">
        <f>"Greystone, IMP1 Add-on, Laser Alignment"</f>
        <v>Greystone, IMP1 Add-on, Laser Alignment</v>
      </c>
      <c r="C2012" t="str">
        <f>"Inactive"</f>
        <v>Inactive</v>
      </c>
    </row>
    <row r="2013" spans="1:3" ht="18" customHeight="1">
      <c r="A2013" t="str">
        <f>"10-IMP1-TSA1"</f>
        <v>10-IMP1-TSA1</v>
      </c>
      <c r="B2013" t="str">
        <f>"Greystone, 2 Student Add-on, Mech Training Bench"</f>
        <v>Greystone, 2 Student Add-on, Mech Training Bench</v>
      </c>
      <c r="C2013" t="str">
        <f>"Inactive"</f>
        <v>Inactive</v>
      </c>
    </row>
    <row r="2014" spans="1:3" ht="18" customHeight="1">
      <c r="A2014" t="str">
        <f>"10-IMP1-TSA2"</f>
        <v>10-IMP1-TSA2</v>
      </c>
      <c r="B2014" t="str">
        <f>"Greystone, 2 Stud. Add-on, Mech Bench, 220V"</f>
        <v>Greystone, 2 Stud. Add-on, Mech Bench, 220V</v>
      </c>
      <c r="C2014" t="str">
        <f>"Inactive"</f>
        <v>Inactive</v>
      </c>
    </row>
    <row r="2015" spans="1:3" ht="18" customHeight="1">
      <c r="A2015" t="str">
        <f>"10-IMP1-VAT1"</f>
        <v>10-IMP1-VAT1</v>
      </c>
      <c r="B2015" t="str">
        <f>"Greystone, IMP1 Add-on, Vibration Analysis"</f>
        <v>Greystone, IMP1 Add-on, Vibration Analysis</v>
      </c>
      <c r="C2015" t="str">
        <f>"Active"</f>
        <v>Active</v>
      </c>
    </row>
    <row r="2016" spans="1:3" ht="18" customHeight="1">
      <c r="A2016" t="str">
        <f>"10-LS00-0200"</f>
        <v>10-LS00-0200</v>
      </c>
      <c r="B2016" t="str">
        <f>"LS200:Jobmaster 2-Sided Mobile Learning Station"</f>
        <v>LS200:Jobmaster 2-Sided Mobile Learning Station</v>
      </c>
      <c r="C2016" t="str">
        <f>"Active"</f>
        <v>Active</v>
      </c>
    </row>
    <row r="2017" spans="1:3" ht="18" customHeight="1">
      <c r="A2017" t="str">
        <f>"10-PC04-0000"</f>
        <v>10-PC04-0000</v>
      </c>
      <c r="B2017" t="str">
        <f>"JM, Panel PC04, 120VAC Power Control"</f>
        <v>JM, Panel PC04, 120VAC Power Control</v>
      </c>
      <c r="C2017" t="str">
        <f>"Active"</f>
        <v>Active</v>
      </c>
    </row>
    <row r="2018" spans="1:3" ht="18" customHeight="1">
      <c r="A2018" t="str">
        <f>"10-PC06-0000"</f>
        <v>10-PC06-0000</v>
      </c>
      <c r="B2018" t="str">
        <f>"JM, Panel PC06, 220VAC Three Phase Power Control"</f>
        <v>JM, Panel PC06, 220VAC Three Phase Power Control</v>
      </c>
      <c r="C2018" t="str">
        <f>"Active"</f>
        <v>Active</v>
      </c>
    </row>
    <row r="2019" spans="1:3" ht="18" customHeight="1">
      <c r="A2019" t="str">
        <f>"10-PC09-0000"</f>
        <v>10-PC09-0000</v>
      </c>
      <c r="B2019" t="str">
        <f>"JM, PC09, Inter. Transformer Pack, LS200 Bench"</f>
        <v>JM, PC09, Inter. Transformer Pack, LS200 Bench</v>
      </c>
      <c r="C2019" t="str">
        <f>"Active"</f>
        <v>Active</v>
      </c>
    </row>
    <row r="2020" spans="1:3" ht="18" customHeight="1">
      <c r="A2020" t="str">
        <f>"10-PC10-0000"</f>
        <v>10-PC10-0000</v>
      </c>
      <c r="B2020" t="str">
        <f>"JM, PC10, Inter. Transformer Pack, EMMC1600"</f>
        <v>JM, PC10, Inter. Transformer Pack, EMMC1600</v>
      </c>
      <c r="C2020" t="str">
        <f>"Inactive"</f>
        <v>Inactive</v>
      </c>
    </row>
    <row r="2021" spans="1:3" ht="18" customHeight="1">
      <c r="A2021" t="str">
        <f>"10-PPSU-0001"</f>
        <v>10-PPSU-0001</v>
      </c>
      <c r="B2021" t="str">
        <f>"JM, Portable Panel Storage Unit"</f>
        <v>JM, Portable Panel Storage Unit</v>
      </c>
      <c r="C2021" t="str">
        <f>"Active"</f>
        <v>Active</v>
      </c>
    </row>
    <row r="2022" spans="1:3" ht="18" customHeight="1">
      <c r="A2022" t="str">
        <f>"10-RWAC-0000"</f>
        <v>10-RWAC-0000</v>
      </c>
      <c r="B2022" t="str">
        <f>"Residential Wiring and Controls (RWAC-1)"</f>
        <v>Residential Wiring and Controls (RWAC-1)</v>
      </c>
      <c r="C2022" t="str">
        <f>"Inactive"</f>
        <v>Inactive</v>
      </c>
    </row>
    <row r="2023" spans="1:3" ht="18" customHeight="1">
      <c r="A2023" t="str">
        <f>"10-RWAC-IG01"</f>
        <v>10-RWAC-IG01</v>
      </c>
      <c r="B2023" t="str">
        <f>"Greystone, Instructor's Guide, RWAC-1"</f>
        <v>Greystone, Instructor's Guide, RWAC-1</v>
      </c>
      <c r="C2023" t="str">
        <f>"Active"</f>
        <v>Active</v>
      </c>
    </row>
    <row r="2024" spans="1:3" ht="18" customHeight="1">
      <c r="A2024" t="str">
        <f>"10-RWAC-NEC1"</f>
        <v>10-RWAC-NEC1</v>
      </c>
      <c r="B2024" t="str">
        <f>"Greystone, Textbook, National Electrical Code"</f>
        <v>Greystone, Textbook, National Electrical Code</v>
      </c>
      <c r="C2024" t="str">
        <f>"Inactive"</f>
        <v>Inactive</v>
      </c>
    </row>
    <row r="2025" spans="1:3" ht="18" customHeight="1">
      <c r="A2025" t="str">
        <f>"10-RWAC-TB01"</f>
        <v>10-RWAC-TB01</v>
      </c>
      <c r="B2025" t="str">
        <f>"Greystone, Textbook, RWAC-1"</f>
        <v>Greystone, Textbook, RWAC-1</v>
      </c>
      <c r="C2025" t="str">
        <f>"Inactive"</f>
        <v>Inactive</v>
      </c>
    </row>
    <row r="2026" spans="1:3" ht="18" customHeight="1">
      <c r="A2026" t="str">
        <f>"100017"</f>
        <v>100017</v>
      </c>
      <c r="B2026" t="str">
        <f>"User's Manual SCORBOT-ER VII"</f>
        <v>User's Manual SCORBOT-ER VII</v>
      </c>
      <c r="C2026" t="str">
        <f t="shared" ref="C2026:C2033" si="87">"ECO-N2Buy"</f>
        <v>ECO-N2Buy</v>
      </c>
    </row>
    <row r="2027" spans="1:3" ht="18" customHeight="1">
      <c r="A2027" t="str">
        <f>"100051"</f>
        <v>100051</v>
      </c>
      <c r="B2027" t="str">
        <f>"User's manual ACLoff-line"</f>
        <v>User's manual ACLoff-line</v>
      </c>
      <c r="C2027" t="str">
        <f t="shared" si="87"/>
        <v>ECO-N2Buy</v>
      </c>
    </row>
    <row r="2028" spans="1:3" ht="18" customHeight="1">
      <c r="A2028" t="str">
        <f>"100065"</f>
        <v>100065</v>
      </c>
      <c r="B2028" t="str">
        <f>"User's Manual Controller-B"</f>
        <v>User's Manual Controller-B</v>
      </c>
      <c r="C2028" t="str">
        <f t="shared" si="87"/>
        <v>ECO-N2Buy</v>
      </c>
    </row>
    <row r="2029" spans="1:3" ht="18" customHeight="1">
      <c r="A2029" t="str">
        <f>"100066"</f>
        <v>100066</v>
      </c>
      <c r="B2029" t="str">
        <f>"User's Manual SCORBOT-ER IX"</f>
        <v>User's Manual SCORBOT-ER IX</v>
      </c>
      <c r="C2029" t="str">
        <f t="shared" si="87"/>
        <v>ECO-N2Buy</v>
      </c>
    </row>
    <row r="2030" spans="1:3" ht="18" customHeight="1">
      <c r="A2030" t="str">
        <f>"100077"</f>
        <v>100077</v>
      </c>
      <c r="B2030" t="str">
        <f>"Installation Guide DC Servo Gripper"</f>
        <v>Installation Guide DC Servo Gripper</v>
      </c>
      <c r="C2030" t="str">
        <f t="shared" si="87"/>
        <v>ECO-N2Buy</v>
      </c>
    </row>
    <row r="2031" spans="1:3" ht="18" customHeight="1">
      <c r="A2031" t="str">
        <f>"100080"</f>
        <v>100080</v>
      </c>
      <c r="B2031" t="str">
        <f>"Textbook: CIM Technology"</f>
        <v>Textbook: CIM Technology</v>
      </c>
      <c r="C2031" t="str">
        <f t="shared" si="87"/>
        <v>ECO-N2Buy</v>
      </c>
    </row>
    <row r="2032" spans="1:3" ht="18" customHeight="1">
      <c r="A2032" t="str">
        <f>"100085"</f>
        <v>100085</v>
      </c>
      <c r="B2032" t="str">
        <f>"Reference Guide ACL for Controller-B"</f>
        <v>Reference Guide ACL for Controller-B</v>
      </c>
      <c r="C2032" t="str">
        <f t="shared" si="87"/>
        <v>ECO-N2Buy</v>
      </c>
    </row>
    <row r="2033" spans="1:3" ht="18" customHeight="1">
      <c r="A2033" t="str">
        <f>"100086"</f>
        <v>100086</v>
      </c>
      <c r="B2033" t="str">
        <f>"Reference Guide ATS for Controller-B"</f>
        <v>Reference Guide ATS for Controller-B</v>
      </c>
      <c r="C2033" t="str">
        <f t="shared" si="87"/>
        <v>ECO-N2Buy</v>
      </c>
    </row>
    <row r="2034" spans="1:3" ht="18" customHeight="1">
      <c r="A2034" t="str">
        <f>"100094"</f>
        <v>100094</v>
      </c>
      <c r="B2034" t="str">
        <f>"User's Manual Open CIM"</f>
        <v>User's Manual Open CIM</v>
      </c>
      <c r="C2034" t="str">
        <f>"Active"</f>
        <v>Active</v>
      </c>
    </row>
    <row r="2035" spans="1:3" ht="18" customHeight="1">
      <c r="A2035" t="str">
        <f>"100094-ES-EN"</f>
        <v>100094-ES-EN</v>
      </c>
      <c r="B2035" t="str">
        <f>"User Manual open CIM, ES-EN"</f>
        <v>User Manual open CIM, ES-EN</v>
      </c>
      <c r="C2035" t="str">
        <f>"New"</f>
        <v>New</v>
      </c>
    </row>
    <row r="2036" spans="1:3" ht="18" customHeight="1">
      <c r="A2036" t="str">
        <f>"100097"</f>
        <v>100097</v>
      </c>
      <c r="B2036" t="str">
        <f>"Reference Guide SCORBASE for Ctrlr-B"</f>
        <v>Reference Guide SCORBASE for Ctrlr-B</v>
      </c>
      <c r="C2036" t="str">
        <f>"ECO-N2Buy"</f>
        <v>ECO-N2Buy</v>
      </c>
    </row>
    <row r="2037" spans="1:3" ht="18" customHeight="1">
      <c r="A2037" t="str">
        <f>"100115"</f>
        <v>100115</v>
      </c>
      <c r="B2037" t="str">
        <f>"User's Manual  V-scope System"</f>
        <v>User's Manual  V-scope System</v>
      </c>
      <c r="C2037" t="str">
        <f>"ECO-N2Buy"</f>
        <v>ECO-N2Buy</v>
      </c>
    </row>
    <row r="2038" spans="1:3" ht="18" customHeight="1">
      <c r="A2038" t="str">
        <f>"100116"</f>
        <v>100116</v>
      </c>
      <c r="B2038" t="str">
        <f>"User Manual V-scope System     HEBREW"</f>
        <v>User Manual V-scope System     HEBREW</v>
      </c>
      <c r="C2038" t="str">
        <f>"ECO-N2Buy"</f>
        <v>ECO-N2Buy</v>
      </c>
    </row>
    <row r="2039" spans="1:3" ht="18" customHeight="1">
      <c r="A2039" t="str">
        <f>"100119"</f>
        <v>100119</v>
      </c>
      <c r="B2039" t="str">
        <f>"User's Manual TeachPend &gt; Cotrol. USB/USB-Pro"</f>
        <v>User's Manual TeachPend &gt; Cotrol. USB/USB-Pro</v>
      </c>
      <c r="C2039" t="str">
        <f>"Active"</f>
        <v>Active</v>
      </c>
    </row>
    <row r="2040" spans="1:3" ht="18" customHeight="1">
      <c r="A2040" t="str">
        <f>"100124"</f>
        <v>100124</v>
      </c>
      <c r="B2040" t="str">
        <f>"User's Manual PneuLine"</f>
        <v>User's Manual PneuLine</v>
      </c>
      <c r="C2040" t="str">
        <f>"ECO-N2Buy"</f>
        <v>ECO-N2Buy</v>
      </c>
    </row>
    <row r="2041" spans="1:3" ht="18" customHeight="1">
      <c r="A2041" t="str">
        <f>"100125"</f>
        <v>100125</v>
      </c>
      <c r="B2041" t="str">
        <f>"User's Manual PLCLine"</f>
        <v>User's Manual PLCLine</v>
      </c>
      <c r="C2041" t="str">
        <f>"Active"</f>
        <v>Active</v>
      </c>
    </row>
    <row r="2042" spans="1:3" ht="18" customHeight="1">
      <c r="A2042" t="str">
        <f>"100125-ES-EN"</f>
        <v>100125-ES-EN</v>
      </c>
      <c r="B2042" t="str">
        <f>"User's Manual PLCLine, ES-EN"</f>
        <v>User's Manual PLCLine, ES-EN</v>
      </c>
      <c r="C2042" t="str">
        <f>"Active"</f>
        <v>Active</v>
      </c>
    </row>
    <row r="2043" spans="1:3" ht="18" customHeight="1">
      <c r="A2043" t="str">
        <f>"100128"</f>
        <v>100128</v>
      </c>
      <c r="B2043" t="str">
        <f>"User's Manual PneuFlex"</f>
        <v>User's Manual PneuFlex</v>
      </c>
      <c r="C2043" t="str">
        <f>"Active"</f>
        <v>Active</v>
      </c>
    </row>
    <row r="2044" spans="1:3" ht="18" customHeight="1">
      <c r="A2044" t="str">
        <f>"100128-ES"</f>
        <v>100128-ES</v>
      </c>
      <c r="B2044" t="str">
        <f>"User's Manual PneuFlex, ES"</f>
        <v>User's Manual PneuFlex, ES</v>
      </c>
      <c r="C2044" t="str">
        <f>"ECO-N2Buy"</f>
        <v>ECO-N2Buy</v>
      </c>
    </row>
    <row r="2045" spans="1:3" ht="18" customHeight="1">
      <c r="A2045" t="str">
        <f>"100129"</f>
        <v>100129</v>
      </c>
      <c r="B2045" t="str">
        <f>"User's Manual HydraFlex"</f>
        <v>User's Manual HydraFlex</v>
      </c>
      <c r="C2045" t="str">
        <f>"Active"</f>
        <v>Active</v>
      </c>
    </row>
    <row r="2046" spans="1:3" ht="18" customHeight="1">
      <c r="A2046" t="str">
        <f>"100129-ES"</f>
        <v>100129-ES</v>
      </c>
      <c r="B2046" t="str">
        <f>"User's Manual HydraFlex, ES"</f>
        <v>User's Manual HydraFlex, ES</v>
      </c>
      <c r="C2046" t="str">
        <f>"New"</f>
        <v>New</v>
      </c>
    </row>
    <row r="2047" spans="1:3" ht="18" customHeight="1">
      <c r="A2047" t="str">
        <f>"100130"</f>
        <v>100130</v>
      </c>
      <c r="B2047" t="str">
        <f>"User's Manual SCORBASE Win 4pc"</f>
        <v>User's Manual SCORBASE Win 4pc</v>
      </c>
      <c r="C2047" t="str">
        <f>"ECO-N2Buy"</f>
        <v>ECO-N2Buy</v>
      </c>
    </row>
    <row r="2048" spans="1:3" ht="18" customHeight="1">
      <c r="A2048" t="str">
        <f>"100136"</f>
        <v>100136</v>
      </c>
      <c r="B2048" t="str">
        <f>"User's Manual SensorLine"</f>
        <v>User's Manual SensorLine</v>
      </c>
      <c r="C2048" t="str">
        <f>"Active"</f>
        <v>Active</v>
      </c>
    </row>
    <row r="2049" spans="1:3" ht="18" customHeight="1">
      <c r="A2049" t="str">
        <f>"100137"</f>
        <v>100137</v>
      </c>
      <c r="B2049" t="str">
        <f>"User's Manual PneuMotion"</f>
        <v>User's Manual PneuMotion</v>
      </c>
      <c r="C2049" t="str">
        <f>"Active"</f>
        <v>Active</v>
      </c>
    </row>
    <row r="2050" spans="1:3" ht="18" customHeight="1">
      <c r="A2050" t="str">
        <f>"100137-ES"</f>
        <v>100137-ES</v>
      </c>
      <c r="B2050" t="str">
        <f>"User's Manual PneuMotion, ES"</f>
        <v>User's Manual PneuMotion, ES</v>
      </c>
      <c r="C2050" t="str">
        <f>"Active"</f>
        <v>Active</v>
      </c>
    </row>
    <row r="2051" spans="1:3" ht="18" customHeight="1">
      <c r="A2051" t="str">
        <f>"100137-ES-EN"</f>
        <v>100137-ES-EN</v>
      </c>
      <c r="B2051" t="str">
        <f>"User Manual PneuMotion, ES-EN"</f>
        <v>User Manual PneuMotion, ES-EN</v>
      </c>
      <c r="C2051" t="str">
        <f>"New"</f>
        <v>New</v>
      </c>
    </row>
    <row r="2052" spans="1:3" ht="18" customHeight="1">
      <c r="A2052" t="str">
        <f>"100147"</f>
        <v>100147</v>
      </c>
      <c r="B2052" t="str">
        <f>"Operation Manual Bar Code Reader - English"</f>
        <v>Operation Manual Bar Code Reader - English</v>
      </c>
      <c r="C2052" t="str">
        <f>"ECO-N2Buy"</f>
        <v>ECO-N2Buy</v>
      </c>
    </row>
    <row r="2053" spans="1:3" ht="18" customHeight="1">
      <c r="A2053" t="str">
        <f>"100149"</f>
        <v>100149</v>
      </c>
      <c r="B2053" t="str">
        <f>"Operation Manual Conv&amp;PalletsTrackSys - English"</f>
        <v>Operation Manual Conv&amp;PalletsTrackSys - English</v>
      </c>
      <c r="C2053" t="str">
        <f>"Active"</f>
        <v>Active</v>
      </c>
    </row>
    <row r="2054" spans="1:3" ht="18" customHeight="1">
      <c r="A2054" t="str">
        <f>"100166"</f>
        <v>100166</v>
      </c>
      <c r="B2054" t="str">
        <f>"User's Manual RoboCell"</f>
        <v>User's Manual RoboCell</v>
      </c>
      <c r="C2054" t="str">
        <f>"ECO-N2Buy"</f>
        <v>ECO-N2Buy</v>
      </c>
    </row>
    <row r="2055" spans="1:3" ht="18" customHeight="1">
      <c r="A2055" t="str">
        <f>"100167"</f>
        <v>100167</v>
      </c>
      <c r="B2055" t="str">
        <f>"User's Manual SCORBASE Win"</f>
        <v>User's Manual SCORBASE Win</v>
      </c>
      <c r="C2055" t="str">
        <f>"ECO-N2Buy"</f>
        <v>ECO-N2Buy</v>
      </c>
    </row>
    <row r="2056" spans="1:3" ht="18" customHeight="1">
      <c r="A2056" t="str">
        <f>"100201"</f>
        <v>100201</v>
      </c>
      <c r="B2056" t="str">
        <f>"User's Manual HydraMotion"</f>
        <v>User's Manual HydraMotion</v>
      </c>
      <c r="C2056" t="str">
        <f>"Active"</f>
        <v>Active</v>
      </c>
    </row>
    <row r="2057" spans="1:3" ht="18" customHeight="1">
      <c r="A2057" t="str">
        <f>"100201-ES"</f>
        <v>100201-ES</v>
      </c>
      <c r="B2057" t="str">
        <f>"User's Manual HydraMotion, ES"</f>
        <v>User's Manual HydraMotion, ES</v>
      </c>
      <c r="C2057" t="str">
        <f>"Active"</f>
        <v>Active</v>
      </c>
    </row>
    <row r="2058" spans="1:3" ht="18" customHeight="1">
      <c r="A2058" t="str">
        <f>"100201-ES-EN"</f>
        <v>100201-ES-EN</v>
      </c>
      <c r="B2058" t="str">
        <f>"User Manual HydraMotion, ES-EN"</f>
        <v>User Manual HydraMotion, ES-EN</v>
      </c>
      <c r="C2058" t="str">
        <f>"New"</f>
        <v>New</v>
      </c>
    </row>
    <row r="2059" spans="1:3" ht="18" customHeight="1">
      <c r="A2059" t="str">
        <f>"100299"</f>
        <v>100299</v>
      </c>
      <c r="B2059" t="str">
        <f>"User's Manual ViewFlex"</f>
        <v>User's Manual ViewFlex</v>
      </c>
      <c r="C2059" t="str">
        <f>"Active"</f>
        <v>Active</v>
      </c>
    </row>
    <row r="2060" spans="1:3" ht="18" customHeight="1">
      <c r="A2060" t="str">
        <f>"100299-ES-EN"</f>
        <v>100299-ES-EN</v>
      </c>
      <c r="B2060" t="str">
        <f>"User Manual ViewFlex, ES-EN"</f>
        <v>User Manual ViewFlex, ES-EN</v>
      </c>
      <c r="C2060" t="str">
        <f>"New"</f>
        <v>New</v>
      </c>
    </row>
    <row r="2061" spans="1:3" ht="18" customHeight="1">
      <c r="A2061" t="str">
        <f>"100307"</f>
        <v>100307</v>
      </c>
      <c r="B2061" t="str">
        <f>"Student's cards recreate Car Elevator"</f>
        <v>Student's cards recreate Car Elevator</v>
      </c>
      <c r="C2061" t="str">
        <f>"ECO-N2Buy"</f>
        <v>ECO-N2Buy</v>
      </c>
    </row>
    <row r="2062" spans="1:3" ht="18" customHeight="1">
      <c r="A2062" t="str">
        <f>"100308"</f>
        <v>100308</v>
      </c>
      <c r="B2062" t="str">
        <f>"Teacher's Guide ticker Car Elevator"</f>
        <v>Teacher's Guide ticker Car Elevator</v>
      </c>
      <c r="C2062" t="str">
        <f>"Inactive"</f>
        <v>Inactive</v>
      </c>
    </row>
    <row r="2063" spans="1:3" ht="18" customHeight="1">
      <c r="A2063" t="str">
        <f>"100309"</f>
        <v>100309</v>
      </c>
      <c r="B2063" t="str">
        <f>"Student's cards recreate Water Treatment Plant"</f>
        <v>Student's cards recreate Water Treatment Plant</v>
      </c>
      <c r="C2063" t="str">
        <f>"ECO-N2Buy"</f>
        <v>ECO-N2Buy</v>
      </c>
    </row>
    <row r="2064" spans="1:3" ht="18" customHeight="1">
      <c r="A2064" t="str">
        <f>"100310"</f>
        <v>100310</v>
      </c>
      <c r="B2064" t="str">
        <f>"Teacher's Guide ticker Water Treatment Plant"</f>
        <v>Teacher's Guide ticker Water Treatment Plant</v>
      </c>
      <c r="C2064" t="str">
        <f>"Inactive"</f>
        <v>Inactive</v>
      </c>
    </row>
    <row r="2065" spans="1:3" ht="18" customHeight="1">
      <c r="A2065" t="str">
        <f>"100311"</f>
        <v>100311</v>
      </c>
      <c r="B2065" t="str">
        <f>"Student's cards recreate Pneumatic Feeder"</f>
        <v>Student's cards recreate Pneumatic Feeder</v>
      </c>
      <c r="C2065" t="str">
        <f>"ECO-N2Buy"</f>
        <v>ECO-N2Buy</v>
      </c>
    </row>
    <row r="2066" spans="1:3" ht="18" customHeight="1">
      <c r="A2066" t="str">
        <f>"100312"</f>
        <v>100312</v>
      </c>
      <c r="B2066" t="str">
        <f>"Teacher's Guide ticker Pneumatic Feeder"</f>
        <v>Teacher's Guide ticker Pneumatic Feeder</v>
      </c>
      <c r="C2066" t="str">
        <f>"ECO-N2Buy"</f>
        <v>ECO-N2Buy</v>
      </c>
    </row>
    <row r="2067" spans="1:3" ht="18" customHeight="1">
      <c r="A2067" t="str">
        <f>"100313"</f>
        <v>100313</v>
      </c>
      <c r="B2067" t="str">
        <f>"Student's cards recreate Shape-sorter"</f>
        <v>Student's cards recreate Shape-sorter</v>
      </c>
      <c r="C2067" t="str">
        <f>"ECO-N2Buy"</f>
        <v>ECO-N2Buy</v>
      </c>
    </row>
    <row r="2068" spans="1:3" ht="18" customHeight="1">
      <c r="A2068" t="str">
        <f>"100314"</f>
        <v>100314</v>
      </c>
      <c r="B2068" t="str">
        <f>"Teacher's Guide tekCREA Shape-sorter"</f>
        <v>Teacher's Guide tekCREA Shape-sorter</v>
      </c>
      <c r="C2068" t="str">
        <f>"Inactive"</f>
        <v>Inactive</v>
      </c>
    </row>
    <row r="2069" spans="1:3" ht="18" customHeight="1">
      <c r="A2069" t="str">
        <f>"100315"</f>
        <v>100315</v>
      </c>
      <c r="B2069" t="str">
        <f>"Student's cards recreate Safety Belt Tester"</f>
        <v>Student's cards recreate Safety Belt Tester</v>
      </c>
      <c r="C2069" t="str">
        <f>"Inactive"</f>
        <v>Inactive</v>
      </c>
    </row>
    <row r="2070" spans="1:3" ht="18" customHeight="1">
      <c r="A2070" t="str">
        <f>"100316"</f>
        <v>100316</v>
      </c>
      <c r="B2070" t="str">
        <f>"Safety Belt Tester (תועצה ןיא) Teacher's Guide"</f>
        <v>Safety Belt Tester (תועצה ןיא) Teacher's Guide</v>
      </c>
      <c r="C2070" t="str">
        <f>"Inactive"</f>
        <v>Inactive</v>
      </c>
    </row>
    <row r="2071" spans="1:3" ht="18" customHeight="1">
      <c r="A2071" t="str">
        <f>"100317"</f>
        <v>100317</v>
      </c>
      <c r="B2071" t="str">
        <f>"Student's cards recreate Can Crusher"</f>
        <v>Student's cards recreate Can Crusher</v>
      </c>
      <c r="C2071" t="str">
        <f>"Phase Out"</f>
        <v>Phase Out</v>
      </c>
    </row>
    <row r="2072" spans="1:3" ht="18" customHeight="1">
      <c r="A2072" t="str">
        <f>"100318"</f>
        <v>100318</v>
      </c>
      <c r="B2072" t="str">
        <f>"Teacher's Guide TekCREATE Can Crusher"</f>
        <v>Teacher's Guide TekCREATE Can Crusher</v>
      </c>
      <c r="C2072" t="str">
        <f>"Inactive"</f>
        <v>Inactive</v>
      </c>
    </row>
    <row r="2073" spans="1:3" ht="18" customHeight="1">
      <c r="A2073" t="str">
        <f>"100322"</f>
        <v>100322</v>
      </c>
      <c r="B2073" t="str">
        <f>"Activities Book-  Process c Level &amp; Flow"</f>
        <v>Activities Book-  Process c Level &amp; Flow</v>
      </c>
      <c r="C2073" t="str">
        <f>"Active"</f>
        <v>Active</v>
      </c>
    </row>
    <row r="2074" spans="1:3" ht="18" customHeight="1">
      <c r="A2074" t="str">
        <f>"100337"</f>
        <v>100337</v>
      </c>
      <c r="B2074" t="str">
        <f>"Student's cards tekDESIGN  Vacuum Gripper"</f>
        <v>Student's cards tekDESIGN  Vacuum Gripper</v>
      </c>
      <c r="C2074" t="str">
        <f>"Inactive"</f>
        <v>Inactive</v>
      </c>
    </row>
    <row r="2075" spans="1:3" ht="18" customHeight="1">
      <c r="A2075" t="str">
        <f>"100338"</f>
        <v>100338</v>
      </c>
      <c r="B2075" t="str">
        <f>"Teacher's Guide-tekDESIGN Vacuum Gripper"</f>
        <v>Teacher's Guide-tekDESIGN Vacuum Gripper</v>
      </c>
      <c r="C2075" t="str">
        <f>"Inactive"</f>
        <v>Inactive</v>
      </c>
    </row>
    <row r="2076" spans="1:3" ht="18" customHeight="1">
      <c r="A2076" t="str">
        <f>"100341"</f>
        <v>100341</v>
      </c>
      <c r="B2076" t="str">
        <f>"User's Manual Controller USB"</f>
        <v>User's Manual Controller USB</v>
      </c>
      <c r="C2076" t="str">
        <f>"Active"</f>
        <v>Active</v>
      </c>
    </row>
    <row r="2077" spans="1:3" ht="18" customHeight="1">
      <c r="A2077" t="str">
        <f>"100342"</f>
        <v>100342</v>
      </c>
      <c r="B2077" t="str">
        <f>"User Manual SCORBASE -ER4u"</f>
        <v>User Manual SCORBASE -ER4u</v>
      </c>
      <c r="C2077" t="str">
        <f>"Active"</f>
        <v>Active</v>
      </c>
    </row>
    <row r="2078" spans="1:3" ht="18" customHeight="1">
      <c r="A2078" t="str">
        <f>"100342-ES-EN"</f>
        <v>100342-ES-EN</v>
      </c>
      <c r="B2078" t="str">
        <f>"User Manual SCORBASE -ER4u, ES-EN"</f>
        <v>User Manual SCORBASE -ER4u, ES-EN</v>
      </c>
      <c r="C2078" t="str">
        <f>"New"</f>
        <v>New</v>
      </c>
    </row>
    <row r="2079" spans="1:3" ht="18" customHeight="1">
      <c r="A2079" t="str">
        <f>"100343"</f>
        <v>100343</v>
      </c>
      <c r="B2079" t="str">
        <f>"User's Manual SCORBOT-ER4u"</f>
        <v>User's Manual SCORBOT-ER4u</v>
      </c>
      <c r="C2079" t="str">
        <f>"Active"</f>
        <v>Active</v>
      </c>
    </row>
    <row r="2080" spans="1:3" ht="18" customHeight="1">
      <c r="A2080" t="str">
        <f>"100346"</f>
        <v>100346</v>
      </c>
      <c r="B2080" t="str">
        <f>"User Manual RoboCell ER4u2u"</f>
        <v>User Manual RoboCell ER4u2u</v>
      </c>
      <c r="C2080" t="str">
        <f>"Active"</f>
        <v>Active</v>
      </c>
    </row>
    <row r="2081" spans="1:3" ht="18" customHeight="1">
      <c r="A2081" t="str">
        <f>"100361"</f>
        <v>100361</v>
      </c>
      <c r="B2081" t="str">
        <f>"User's Manual SCORBOT-ER 2u"</f>
        <v>User's Manual SCORBOT-ER 2u</v>
      </c>
      <c r="C2081" t="str">
        <f>"ECO-N2Buy"</f>
        <v>ECO-N2Buy</v>
      </c>
    </row>
    <row r="2082" spans="1:3" ht="18" customHeight="1">
      <c r="A2082" t="str">
        <f>"100393"</f>
        <v>100393</v>
      </c>
      <c r="B2082" t="str">
        <f>"Operation Manual ASRS36u for Controller USB"</f>
        <v>Operation Manual ASRS36u for Controller USB</v>
      </c>
      <c r="C2082" t="str">
        <f>"Active"</f>
        <v>Active</v>
      </c>
    </row>
    <row r="2083" spans="1:3" ht="18" customHeight="1">
      <c r="A2083" t="str">
        <f>"100394"</f>
        <v>100394</v>
      </c>
      <c r="B2083" t="str">
        <f>"Operation Manual Mobile Robot ER-400"</f>
        <v>Operation Manual Mobile Robot ER-400</v>
      </c>
      <c r="C2083" t="str">
        <f>"ECO-N2Buy"</f>
        <v>ECO-N2Buy</v>
      </c>
    </row>
    <row r="2084" spans="1:3" ht="18" customHeight="1">
      <c r="A2084" t="str">
        <f>"100399"</f>
        <v>100399</v>
      </c>
      <c r="B2084" t="str">
        <f>"User's Manual ER Automated Process Control"</f>
        <v>User's Manual ER Automated Process Control</v>
      </c>
      <c r="C2084" t="str">
        <f>"ECO-N2Buy"</f>
        <v>ECO-N2Buy</v>
      </c>
    </row>
    <row r="2085" spans="1:3" ht="18" customHeight="1">
      <c r="A2085" t="str">
        <f>"100402"</f>
        <v>100402</v>
      </c>
      <c r="B2085" t="str">
        <f>"Installation Motor-B Kit for Controller USB-Pro"</f>
        <v>Installation Motor-B Kit for Controller USB-Pro</v>
      </c>
      <c r="C2085" t="str">
        <f>"ECO-N2Buy"</f>
        <v>ECO-N2Buy</v>
      </c>
    </row>
    <row r="2086" spans="1:3" ht="18" customHeight="1">
      <c r="A2086" t="str">
        <f>"100407"</f>
        <v>100407</v>
      </c>
      <c r="B2086" t="str">
        <f>"Assy. Instruc. Slotted Panel with Oil Coll. Tray"</f>
        <v>Assy. Instruc. Slotted Panel with Oil Coll. Tray</v>
      </c>
      <c r="C2086" t="str">
        <f>"New"</f>
        <v>New</v>
      </c>
    </row>
    <row r="2087" spans="1:3" ht="18" customHeight="1">
      <c r="A2087" t="str">
        <f>"100409"</f>
        <v>100409</v>
      </c>
      <c r="B2087" t="str">
        <f>"Installation Hydraulic Power Pack"</f>
        <v>Installation Hydraulic Power Pack</v>
      </c>
      <c r="C2087" t="str">
        <f>"ECO-N2Buy"</f>
        <v>ECO-N2Buy</v>
      </c>
    </row>
    <row r="2088" spans="1:3" ht="18" customHeight="1">
      <c r="A2088" t="str">
        <f>"100412"</f>
        <v>100412</v>
      </c>
      <c r="B2088" t="str">
        <f>"Installation Photoelectric Sensor(Belt Conveyor)"</f>
        <v>Installation Photoelectric Sensor(Belt Conveyor)</v>
      </c>
      <c r="C2088" t="str">
        <f>"ECO-N2Buy"</f>
        <v>ECO-N2Buy</v>
      </c>
    </row>
    <row r="2089" spans="1:3" ht="18" customHeight="1">
      <c r="A2089" t="str">
        <f>"100413"</f>
        <v>100413</v>
      </c>
      <c r="B2089" t="str">
        <f>"Installation Magnetic Sensor (PneuHyd)"</f>
        <v>Installation Magnetic Sensor (PneuHyd)</v>
      </c>
      <c r="C2089" t="str">
        <f>"ECO-N2Buy"</f>
        <v>ECO-N2Buy</v>
      </c>
    </row>
    <row r="2090" spans="1:3" ht="18" customHeight="1">
      <c r="A2090" t="str">
        <f>"100415"</f>
        <v>100415</v>
      </c>
      <c r="B2090" t="str">
        <f>"Assy. techn.Instruction Workbench 800x1500,h=750"</f>
        <v>Assy. techn.Instruction Workbench 800x1500,h=750</v>
      </c>
      <c r="C2090" t="str">
        <f>"ECO-N2Buy"</f>
        <v>ECO-N2Buy</v>
      </c>
    </row>
    <row r="2091" spans="1:3" ht="18" customHeight="1">
      <c r="A2091" t="str">
        <f>"100417"</f>
        <v>100417</v>
      </c>
      <c r="B2091" t="str">
        <f>"Assy. Instruc.(tech.) Belt Slidebase Ctrlr.-A/PC"</f>
        <v>Assy. Instruc.(tech.) Belt Slidebase Ctrlr.-A/PC</v>
      </c>
      <c r="C2091" t="str">
        <f>"ECO-N2Buy"</f>
        <v>ECO-N2Buy</v>
      </c>
    </row>
    <row r="2092" spans="1:3" ht="18" customHeight="1">
      <c r="A2092" t="str">
        <f>"100419"</f>
        <v>100419</v>
      </c>
      <c r="B2092" t="str">
        <f>"Installation Guide Temperature Probe -SnsLin"</f>
        <v>Installation Guide Temperature Probe -SnsLin</v>
      </c>
      <c r="C2092" t="str">
        <f>"Inactive"</f>
        <v>Inactive</v>
      </c>
    </row>
    <row r="2093" spans="1:3" ht="18" customHeight="1">
      <c r="A2093" t="str">
        <f>"100420"</f>
        <v>100420</v>
      </c>
      <c r="B2093" t="str">
        <f>"Assy. Instruc. (tech.) Slotted Aluminum Table"</f>
        <v>Assy. Instruc. (tech.) Slotted Aluminum Table</v>
      </c>
      <c r="C2093" t="str">
        <f>"ECO-N2Buy"</f>
        <v>ECO-N2Buy</v>
      </c>
    </row>
    <row r="2094" spans="1:3" ht="18" customHeight="1">
      <c r="A2094" t="str">
        <f>"100421"</f>
        <v>100421</v>
      </c>
      <c r="B2094" t="str">
        <f>"Assy. Instruc. (technician) Management Table"</f>
        <v>Assy. Instruc. (technician) Management Table</v>
      </c>
      <c r="C2094" t="str">
        <f>"ECO-N2Buy"</f>
        <v>ECO-N2Buy</v>
      </c>
    </row>
    <row r="2095" spans="1:3" ht="18" customHeight="1">
      <c r="A2095" t="str">
        <f>"100422"</f>
        <v>100422</v>
      </c>
      <c r="B2095" t="str">
        <f>"Assy TechInstruction Belt Slidebase Flow Mounted"</f>
        <v>Assy TechInstruction Belt Slidebase Flow Mounted</v>
      </c>
      <c r="C2095" t="str">
        <f>"Active"</f>
        <v>Active</v>
      </c>
    </row>
    <row r="2096" spans="1:3" ht="18" customHeight="1">
      <c r="A2096" t="str">
        <f>"100425"</f>
        <v>100425</v>
      </c>
      <c r="B2096" t="str">
        <f>"Installation Wiring PLCLine-AB SLC-503"</f>
        <v>Installation Wiring PLCLine-AB SLC-503</v>
      </c>
      <c r="C2096" t="str">
        <f>"Active"</f>
        <v>Active</v>
      </c>
    </row>
    <row r="2097" spans="1:3" ht="18" customHeight="1">
      <c r="A2097" t="str">
        <f>"100428"</f>
        <v>100428</v>
      </c>
      <c r="B2097" t="str">
        <f>"Assy. Instruc. (tech.) WeldingBooth ER4-st.alon"</f>
        <v>Assy. Instruc. (tech.) WeldingBooth ER4-st.alon</v>
      </c>
      <c r="C2097" t="str">
        <f t="shared" ref="C2097:C2106" si="88">"ECO-N2Buy"</f>
        <v>ECO-N2Buy</v>
      </c>
    </row>
    <row r="2098" spans="1:3" ht="18" customHeight="1">
      <c r="A2098" t="str">
        <f>"100430"</f>
        <v>100430</v>
      </c>
      <c r="B2098" t="str">
        <f>"Assy. Instruc. (technician) Wall-Mounted PLCLine"</f>
        <v>Assy. Instruc. (technician) Wall-Mounted PLCLine</v>
      </c>
      <c r="C2098" t="str">
        <f t="shared" si="88"/>
        <v>ECO-N2Buy</v>
      </c>
    </row>
    <row r="2099" spans="1:3" ht="18" customHeight="1">
      <c r="A2099" t="str">
        <f>"100433"</f>
        <v>100433</v>
      </c>
      <c r="B2099" t="str">
        <f>"Assy. Instruc. Automatic Screw Driver"</f>
        <v>Assy. Instruc. Automatic Screw Driver</v>
      </c>
      <c r="C2099" t="str">
        <f t="shared" si="88"/>
        <v>ECO-N2Buy</v>
      </c>
    </row>
    <row r="2100" spans="1:3" ht="18" customHeight="1">
      <c r="A2100" t="str">
        <f>"100434"</f>
        <v>100434</v>
      </c>
      <c r="B2100" t="str">
        <f>"Assy. Instruc. (technician) Gluing station"</f>
        <v>Assy. Instruc. (technician) Gluing station</v>
      </c>
      <c r="C2100" t="str">
        <f t="shared" si="88"/>
        <v>ECO-N2Buy</v>
      </c>
    </row>
    <row r="2101" spans="1:3" ht="18" customHeight="1">
      <c r="A2101" t="str">
        <f>"100441"</f>
        <v>100441</v>
      </c>
      <c r="B2101" t="str">
        <f>"Assy. Instruc. (Custom) PLCLine+A/B wall mount"</f>
        <v>Assy. Instruc. (Custom) PLCLine+A/B wall mount</v>
      </c>
      <c r="C2101" t="str">
        <f t="shared" si="88"/>
        <v>ECO-N2Buy</v>
      </c>
    </row>
    <row r="2102" spans="1:3" ht="18" customHeight="1">
      <c r="A2102" t="str">
        <f>"100444"</f>
        <v>100444</v>
      </c>
      <c r="B2102" t="str">
        <f>"Assy. Instruc. for TableShelf 800X600"</f>
        <v>Assy. Instruc. for TableShelf 800X600</v>
      </c>
      <c r="C2102" t="str">
        <f t="shared" si="88"/>
        <v>ECO-N2Buy</v>
      </c>
    </row>
    <row r="2103" spans="1:3" ht="18" customHeight="1">
      <c r="A2103" t="str">
        <f>"100445"</f>
        <v>100445</v>
      </c>
      <c r="B2103" t="str">
        <f>"Assy. Instruc. TableForCNC1800x900x800"</f>
        <v>Assy. Instruc. TableForCNC1800x900x800</v>
      </c>
      <c r="C2103" t="str">
        <f t="shared" si="88"/>
        <v>ECO-N2Buy</v>
      </c>
    </row>
    <row r="2104" spans="1:3" ht="18" customHeight="1">
      <c r="A2104" t="str">
        <f>"100450"</f>
        <v>100450</v>
      </c>
      <c r="B2104" t="str">
        <f>"Upgrade (technician) Modify ERIII --&gt; ER4u"</f>
        <v>Upgrade (technician) Modify ERIII --&gt; ER4u</v>
      </c>
      <c r="C2104" t="str">
        <f t="shared" si="88"/>
        <v>ECO-N2Buy</v>
      </c>
    </row>
    <row r="2105" spans="1:3" ht="18" customHeight="1">
      <c r="A2105" t="str">
        <f>"100451"</f>
        <v>100451</v>
      </c>
      <c r="B2105" t="str">
        <f>"Upgrade (technician) Modify LSB --&gt; LSB-u"</f>
        <v>Upgrade (technician) Modify LSB --&gt; LSB-u</v>
      </c>
      <c r="C2105" t="str">
        <f t="shared" si="88"/>
        <v>ECO-N2Buy</v>
      </c>
    </row>
    <row r="2106" spans="1:3" ht="18" customHeight="1">
      <c r="A2106" t="str">
        <f>"100453"</f>
        <v>100453</v>
      </c>
      <c r="B2106" t="str">
        <f>"Assy. Instruc. for Perpend Shelf for Table"</f>
        <v>Assy. Instruc. for Perpend Shelf for Table</v>
      </c>
      <c r="C2106" t="str">
        <f t="shared" si="88"/>
        <v>ECO-N2Buy</v>
      </c>
    </row>
    <row r="2107" spans="1:3" ht="18" customHeight="1">
      <c r="A2107" t="str">
        <f>"100454"</f>
        <v>100454</v>
      </c>
      <c r="B2107" t="str">
        <f>"Assy. Instruc. (technician) LSB2.5,3,3.5Floor"</f>
        <v>Assy. Instruc. (technician) LSB2.5,3,3.5Floor</v>
      </c>
      <c r="C2107" t="str">
        <f>"Active"</f>
        <v>Active</v>
      </c>
    </row>
    <row r="2108" spans="1:3" ht="18" customHeight="1">
      <c r="A2108" t="str">
        <f>"100457"</f>
        <v>100457</v>
      </c>
      <c r="B2108" t="str">
        <f>"Assy. Instruc. Pneu.Gripper for SV3/HP3"</f>
        <v>Assy. Instruc. Pneu.Gripper for SV3/HP3</v>
      </c>
      <c r="C2108" t="str">
        <f>"Inactive"</f>
        <v>Inactive</v>
      </c>
    </row>
    <row r="2109" spans="1:3" ht="18" customHeight="1">
      <c r="A2109" t="str">
        <f>"100459"</f>
        <v>100459</v>
      </c>
      <c r="B2109" t="str">
        <f>"Assy. Instruc. Tool Changer for ER14"</f>
        <v>Assy. Instruc. Tool Changer for ER14</v>
      </c>
      <c r="C2109" t="str">
        <f>"ECO-N2Buy"</f>
        <v>ECO-N2Buy</v>
      </c>
    </row>
    <row r="2110" spans="1:3" ht="18" customHeight="1">
      <c r="A2110" t="str">
        <f>"100461"</f>
        <v>100461</v>
      </c>
      <c r="B2110" t="str">
        <f>"Install. Instruct. Auto. Welding ER9/HP3"</f>
        <v>Install. Instruct. Auto. Welding ER9/HP3</v>
      </c>
      <c r="C2110" t="str">
        <f>"Active"</f>
        <v>Active</v>
      </c>
    </row>
    <row r="2111" spans="1:3" ht="18" customHeight="1">
      <c r="A2111" t="str">
        <f>"100464"</f>
        <v>100464</v>
      </c>
      <c r="B2111" t="str">
        <f>"Assy. Instruc. (technician) MobTab1500x800x750"</f>
        <v>Assy. Instruc. (technician) MobTab1500x800x750</v>
      </c>
      <c r="C2111" t="str">
        <f>"ECO-N2Buy"</f>
        <v>ECO-N2Buy</v>
      </c>
    </row>
    <row r="2112" spans="1:3" ht="18" customHeight="1">
      <c r="A2112" t="str">
        <f>"100465"</f>
        <v>100465</v>
      </c>
      <c r="B2112" t="str">
        <f>"Assy. Instruc. PC Table/630x800,h=760"</f>
        <v>Assy. Instruc. PC Table/630x800,h=760</v>
      </c>
      <c r="C2112" t="str">
        <f>"ECO-N2Buy"</f>
        <v>ECO-N2Buy</v>
      </c>
    </row>
    <row r="2113" spans="1:3" ht="18" customHeight="1">
      <c r="A2113" t="str">
        <f>"100470"</f>
        <v>100470</v>
      </c>
      <c r="B2113" t="str">
        <f>"Assy. Instruc. (Custom) High Volt Cover Kit, eng"</f>
        <v>Assy. Instruc. (Custom) High Volt Cover Kit, eng</v>
      </c>
      <c r="C2113" t="str">
        <f>"ECO-N2Buy"</f>
        <v>ECO-N2Buy</v>
      </c>
    </row>
    <row r="2114" spans="1:3" ht="18" customHeight="1">
      <c r="A2114" t="str">
        <f>"100471"</f>
        <v>100471</v>
      </c>
      <c r="B2114" t="str">
        <f>"Assy. Instruc. (Custom) High Volt Cover Kit Port"</f>
        <v>Assy. Instruc. (Custom) High Volt Cover Kit Port</v>
      </c>
      <c r="C2114" t="str">
        <f>"ECO-N2Buy"</f>
        <v>ECO-N2Buy</v>
      </c>
    </row>
    <row r="2115" spans="1:3" ht="18" customHeight="1">
      <c r="A2115" t="str">
        <f>"100474"</f>
        <v>100474</v>
      </c>
      <c r="B2115" t="str">
        <f>"Assy. Instruc. (Custom) Shelf+Stand HP3+Table"</f>
        <v>Assy. Instruc. (Custom) Shelf+Stand HP3+Table</v>
      </c>
      <c r="C2115" t="str">
        <f>"Inactive"</f>
        <v>Inactive</v>
      </c>
    </row>
    <row r="2116" spans="1:3" ht="18" customHeight="1">
      <c r="A2116" t="str">
        <f>"100475"</f>
        <v>100475</v>
      </c>
      <c r="B2116" t="str">
        <f>"Assy. Instruc. for TableShelf 900x800"</f>
        <v>Assy. Instruc. for TableShelf 900x800</v>
      </c>
      <c r="C2116" t="str">
        <f>"ECO-N2Buy"</f>
        <v>ECO-N2Buy</v>
      </c>
    </row>
    <row r="2117" spans="1:3" ht="18" customHeight="1">
      <c r="A2117" t="str">
        <f>"100477"</f>
        <v>100477</v>
      </c>
      <c r="B2117" t="str">
        <f>"Assy. Instruc. for  Pn. Adaptor kit/GripperSV3"</f>
        <v>Assy. Instruc. for  Pn. Adaptor kit/GripperSV3</v>
      </c>
      <c r="C2117" t="str">
        <f>"ECO-N2Buy"</f>
        <v>ECO-N2Buy</v>
      </c>
    </row>
    <row r="2118" spans="1:3" ht="18" customHeight="1">
      <c r="A2118" t="str">
        <f>"100478"</f>
        <v>100478</v>
      </c>
      <c r="B2118" t="str">
        <f>"table/(תועצה ןיא) Assy. Instruc. for  Mobile"</f>
        <v>table/(תועצה ןיא) Assy. Instruc. for  Mobile</v>
      </c>
      <c r="C2118" t="str">
        <f>"ECO-N2Buy"</f>
        <v>ECO-N2Buy</v>
      </c>
    </row>
    <row r="2119" spans="1:3" ht="18" customHeight="1">
      <c r="A2119" t="str">
        <f>"100484"</f>
        <v>100484</v>
      </c>
      <c r="B2119" t="str">
        <f>"Assy. Instruc.Custom)Belt Slidebase Contr.USB-Pr"</f>
        <v>Assy. Instruc.Custom)Belt Slidebase Contr.USB-Pr</v>
      </c>
      <c r="C2119" t="str">
        <f>"New"</f>
        <v>New</v>
      </c>
    </row>
    <row r="2120" spans="1:3" ht="18" customHeight="1">
      <c r="A2120" t="str">
        <f>"100485"</f>
        <v>100485</v>
      </c>
      <c r="B2120" t="str">
        <f>"Assy. Instruc. (technician) BallFeeder-Proximity"</f>
        <v>Assy. Instruc. (technician) BallFeeder-Proximity</v>
      </c>
      <c r="C2120" t="str">
        <f t="shared" ref="C2120:C2125" si="89">"ECO-N2Buy"</f>
        <v>ECO-N2Buy</v>
      </c>
    </row>
    <row r="2121" spans="1:3" ht="18" customHeight="1">
      <c r="A2121" t="str">
        <f>"100486"</f>
        <v>100486</v>
      </c>
      <c r="B2121" t="str">
        <f>"Assy. Instruc. (technician) PnFeedSqPrts-CapProx"</f>
        <v>Assy. Instruc. (technician) PnFeedSqPrts-CapProx</v>
      </c>
      <c r="C2121" t="str">
        <f t="shared" si="89"/>
        <v>ECO-N2Buy</v>
      </c>
    </row>
    <row r="2122" spans="1:3" ht="18" customHeight="1">
      <c r="A2122" t="str">
        <f>"100487"</f>
        <v>100487</v>
      </c>
      <c r="B2122" t="str">
        <f>"Assy. Instruc.(technician) PnFeedSqPrts-CapProx"</f>
        <v>Assy. Instruc.(technician) PnFeedSqPrts-CapProx</v>
      </c>
      <c r="C2122" t="str">
        <f t="shared" si="89"/>
        <v>ECO-N2Buy</v>
      </c>
    </row>
    <row r="2123" spans="1:3" ht="18" customHeight="1">
      <c r="A2123" t="str">
        <f>"100488"</f>
        <v>100488</v>
      </c>
      <c r="B2123" t="str">
        <f>"Assy. Instruc. for Pneumatic Flip- ER9/CNC"</f>
        <v>Assy. Instruc. for Pneumatic Flip- ER9/CNC</v>
      </c>
      <c r="C2123" t="str">
        <f t="shared" si="89"/>
        <v>ECO-N2Buy</v>
      </c>
    </row>
    <row r="2124" spans="1:3" ht="18" customHeight="1">
      <c r="A2124" t="str">
        <f>"100493"</f>
        <v>100493</v>
      </c>
      <c r="B2124" t="str">
        <f>"Assy. Instruct. Tool Changer for ER9"</f>
        <v>Assy. Instruct. Tool Changer for ER9</v>
      </c>
      <c r="C2124" t="str">
        <f t="shared" si="89"/>
        <v>ECO-N2Buy</v>
      </c>
    </row>
    <row r="2125" spans="1:3" ht="18" customHeight="1">
      <c r="A2125" t="str">
        <f>"100499"</f>
        <v>100499</v>
      </c>
      <c r="B2125" t="str">
        <f>"Assy. Instruc. (Custom) Pan,Tilt Camera/ER400"</f>
        <v>Assy. Instruc. (Custom) Pan,Tilt Camera/ER400</v>
      </c>
      <c r="C2125" t="str">
        <f t="shared" si="89"/>
        <v>ECO-N2Buy</v>
      </c>
    </row>
    <row r="2126" spans="1:3" ht="18" customHeight="1">
      <c r="A2126" t="str">
        <f>"100510"</f>
        <v>100510</v>
      </c>
      <c r="B2126" t="str">
        <f>"Brochure SCORBOT-ER Vplus"</f>
        <v>Brochure SCORBOT-ER Vplus</v>
      </c>
      <c r="C2126" t="str">
        <f>"Active"</f>
        <v>Active</v>
      </c>
    </row>
    <row r="2127" spans="1:3" ht="18" customHeight="1">
      <c r="A2127" t="str">
        <f>"100526"</f>
        <v>100526</v>
      </c>
      <c r="B2127" t="str">
        <f>"Brochure SCORBOT-ER IX"</f>
        <v>Brochure SCORBOT-ER IX</v>
      </c>
      <c r="C2127" t="str">
        <f>"Active"</f>
        <v>Active</v>
      </c>
    </row>
    <row r="2128" spans="1:3" ht="18" customHeight="1">
      <c r="A2128" t="str">
        <f>"100543"</f>
        <v>100543</v>
      </c>
      <c r="B2128" t="str">
        <f>"Brochure TEAM general brochure 16p"</f>
        <v>Brochure TEAM general brochure 16p</v>
      </c>
      <c r="C2128" t="str">
        <f>"ECO-N2Buy"</f>
        <v>ECO-N2Buy</v>
      </c>
    </row>
    <row r="2129" spans="1:3" ht="18" customHeight="1">
      <c r="A2129" t="str">
        <f>"100545"</f>
        <v>100545</v>
      </c>
      <c r="B2129" t="str">
        <f>"Brochure FMS"</f>
        <v>Brochure FMS</v>
      </c>
      <c r="C2129" t="str">
        <f>"ECO-N2Buy"</f>
        <v>ECO-N2Buy</v>
      </c>
    </row>
    <row r="2130" spans="1:3" ht="18" customHeight="1">
      <c r="A2130" t="str">
        <f>"100549"</f>
        <v>100549</v>
      </c>
      <c r="B2130" t="str">
        <f>"Brochure RoboCell"</f>
        <v>Brochure RoboCell</v>
      </c>
      <c r="C2130" t="str">
        <f>"ECO-N2Buy"</f>
        <v>ECO-N2Buy</v>
      </c>
    </row>
    <row r="2131" spans="1:3" ht="18" customHeight="1">
      <c r="A2131" t="str">
        <f>"100584"</f>
        <v>100584</v>
      </c>
      <c r="B2131" t="str">
        <f>"Brochure ViewFlex Vision System"</f>
        <v>Brochure ViewFlex Vision System</v>
      </c>
      <c r="C2131" t="str">
        <f>"Active"</f>
        <v>Active</v>
      </c>
    </row>
    <row r="2132" spans="1:3" ht="18" customHeight="1">
      <c r="A2132" t="str">
        <f>"100589"</f>
        <v>100589</v>
      </c>
      <c r="B2132" t="str">
        <f>"Brochure ProcessLine- Level &amp; Flow"</f>
        <v>Brochure ProcessLine- Level &amp; Flow</v>
      </c>
      <c r="C2132" t="str">
        <f>"Active"</f>
        <v>Active</v>
      </c>
    </row>
    <row r="2133" spans="1:3" ht="18" customHeight="1">
      <c r="A2133" t="str">
        <f>"100590"</f>
        <v>100590</v>
      </c>
      <c r="B2133" t="str">
        <f>"Brochure ProcessLine - Pressure"</f>
        <v>Brochure ProcessLine - Pressure</v>
      </c>
      <c r="C2133" t="str">
        <f>"Active"</f>
        <v>Active</v>
      </c>
    </row>
    <row r="2134" spans="1:3" ht="18" customHeight="1">
      <c r="A2134" t="str">
        <f>"100591"</f>
        <v>100591</v>
      </c>
      <c r="B2134" t="str">
        <f>"Brochure ProcessLine - Temperature"</f>
        <v>Brochure ProcessLine - Temperature</v>
      </c>
      <c r="C2134" t="str">
        <f>"Active"</f>
        <v>Active</v>
      </c>
    </row>
    <row r="2135" spans="1:3" ht="18" customHeight="1">
      <c r="A2135" t="str">
        <f>"100593"</f>
        <v>100593</v>
      </c>
      <c r="B2135" t="str">
        <f>"Brochure Robotics product line"</f>
        <v>Brochure Robotics product line</v>
      </c>
      <c r="C2135" t="str">
        <f>"ECO-N2Buy"</f>
        <v>ECO-N2Buy</v>
      </c>
    </row>
    <row r="2136" spans="1:3" ht="18" customHeight="1">
      <c r="A2136" t="str">
        <f>"100594"</f>
        <v>100594</v>
      </c>
      <c r="B2136" t="str">
        <f>"Brochure CNC product line"</f>
        <v>Brochure CNC product line</v>
      </c>
      <c r="C2136" t="str">
        <f>"Active"</f>
        <v>Active</v>
      </c>
    </row>
    <row r="2137" spans="1:3" ht="18" customHeight="1">
      <c r="A2137" t="str">
        <f>"100596"</f>
        <v>100596</v>
      </c>
      <c r="B2137" t="str">
        <f>"Brochure Mechatronics"</f>
        <v>Brochure Mechatronics</v>
      </c>
      <c r="C2137" t="str">
        <f>"ECO-N2Buy"</f>
        <v>ECO-N2Buy</v>
      </c>
    </row>
    <row r="2138" spans="1:3" ht="18" customHeight="1">
      <c r="A2138" t="str">
        <f>"100647"</f>
        <v>100647</v>
      </c>
      <c r="B2138" t="str">
        <f>"Brochure LearnMate LMS"</f>
        <v>Brochure LearnMate LMS</v>
      </c>
      <c r="C2138" t="str">
        <f>"ECO-N2Buy"</f>
        <v>ECO-N2Buy</v>
      </c>
    </row>
    <row r="2139" spans="1:3" ht="18" customHeight="1">
      <c r="A2139" t="str">
        <f>"100648"</f>
        <v>100648</v>
      </c>
      <c r="B2139" t="str">
        <f>"Brochure LearnMate Content"</f>
        <v>Brochure LearnMate Content</v>
      </c>
      <c r="C2139" t="str">
        <f>"ECO-N2Buy"</f>
        <v>ECO-N2Buy</v>
      </c>
    </row>
    <row r="2140" spans="1:3" ht="18" customHeight="1">
      <c r="A2140" t="str">
        <f>"100649"</f>
        <v>100649</v>
      </c>
      <c r="B2140" t="str">
        <f>"Brochure LearnMate Live"</f>
        <v>Brochure LearnMate Live</v>
      </c>
      <c r="C2140" t="str">
        <f>"ECO-N2Buy"</f>
        <v>ECO-N2Buy</v>
      </c>
    </row>
    <row r="2141" spans="1:3" ht="18" customHeight="1">
      <c r="A2141" t="str">
        <f>"100651"</f>
        <v>100651</v>
      </c>
      <c r="B2141" t="str">
        <f>"Brochure  CNC MOTION"</f>
        <v>Brochure  CNC MOTION</v>
      </c>
      <c r="C2141" t="str">
        <f>"Active"</f>
        <v>Active</v>
      </c>
    </row>
    <row r="2142" spans="1:3" ht="18" customHeight="1">
      <c r="A2142" t="str">
        <f>"100652"</f>
        <v>100652</v>
      </c>
      <c r="B2142" t="str">
        <f>"Brochure expertmill vmc 0600"</f>
        <v>Brochure expertmill vmc 0600</v>
      </c>
      <c r="C2142" t="str">
        <f>"Active"</f>
        <v>Active</v>
      </c>
    </row>
    <row r="2143" spans="1:3" ht="18" customHeight="1">
      <c r="A2143" t="str">
        <f>"100653"</f>
        <v>100653</v>
      </c>
      <c r="B2143" t="str">
        <f>"Brochure Benchman-MX CNC Machine"</f>
        <v>Brochure Benchman-MX CNC Machine</v>
      </c>
      <c r="C2143" t="str">
        <f>"Active"</f>
        <v>Active</v>
      </c>
    </row>
    <row r="2144" spans="1:3" ht="18" customHeight="1">
      <c r="A2144" t="str">
        <f>"100654"</f>
        <v>100654</v>
      </c>
      <c r="B2144" t="str">
        <f>"Brochure OpenCIM software"</f>
        <v>Brochure OpenCIM software</v>
      </c>
      <c r="C2144" t="str">
        <f>"ECO-N2Buy"</f>
        <v>ECO-N2Buy</v>
      </c>
    </row>
    <row r="2145" spans="1:3" ht="18" customHeight="1">
      <c r="A2145" t="str">
        <f>"100656"</f>
        <v>100656</v>
      </c>
      <c r="B2145" t="str">
        <f>"Brochure eXpertMill VMC-0600&amp;ER4U"</f>
        <v>Brochure eXpertMill VMC-0600&amp;ER4U</v>
      </c>
      <c r="C2145" t="str">
        <f>"ECO-N2Buy"</f>
        <v>ECO-N2Buy</v>
      </c>
    </row>
    <row r="2146" spans="1:3" ht="18" customHeight="1">
      <c r="A2146" t="str">
        <f>"100657"</f>
        <v>100657</v>
      </c>
      <c r="B2146" t="str">
        <f>"Brochure &amp;Super proLIGHT1000&amp;ER4u"</f>
        <v>Brochure &amp;Super proLIGHT1000&amp;ER4u</v>
      </c>
      <c r="C2146" t="str">
        <f>"ECO-N2Buy"</f>
        <v>ECO-N2Buy</v>
      </c>
    </row>
    <row r="2147" spans="1:3" ht="18" customHeight="1">
      <c r="A2147" t="str">
        <f>"100659"</f>
        <v>100659</v>
      </c>
      <c r="B2147" t="str">
        <f>"Brochure LearnMate Projects"</f>
        <v>Brochure LearnMate Projects</v>
      </c>
      <c r="C2147" t="str">
        <f>"ECO-N2Buy"</f>
        <v>ECO-N2Buy</v>
      </c>
    </row>
    <row r="2148" spans="1:3" ht="18" customHeight="1">
      <c r="A2148" t="str">
        <f>"100660"</f>
        <v>100660</v>
      </c>
      <c r="B2148" t="str">
        <f>"Brochure Vert.Mach.Cent. Super proLIGHT1000"</f>
        <v>Brochure Vert.Mach.Cent. Super proLIGHT1000</v>
      </c>
      <c r="C2148" t="str">
        <f>"Active"</f>
        <v>Active</v>
      </c>
    </row>
    <row r="2149" spans="1:3" ht="18" customHeight="1">
      <c r="A2149" t="str">
        <f>"100665"</f>
        <v>100665</v>
      </c>
      <c r="B2149" t="str">
        <f>"Brochure proLIGHTtm3000 Turning Center"</f>
        <v>Brochure proLIGHTtm3000 Turning Center</v>
      </c>
      <c r="C2149" t="str">
        <f>"ECO-N2Buy"</f>
        <v>ECO-N2Buy</v>
      </c>
    </row>
    <row r="2150" spans="1:3" ht="18" customHeight="1">
      <c r="A2150" t="str">
        <f>"100668"</f>
        <v>100668</v>
      </c>
      <c r="B2150" t="str">
        <f>"Brochure Upgrade to ER 9Pro"</f>
        <v>Brochure Upgrade to ER 9Pro</v>
      </c>
      <c r="C2150" t="str">
        <f>"ECO-N2Buy"</f>
        <v>ECO-N2Buy</v>
      </c>
    </row>
    <row r="2151" spans="1:3" ht="18" customHeight="1">
      <c r="A2151" t="str">
        <f>"100669"</f>
        <v>100669</v>
      </c>
      <c r="B2151" t="str">
        <f>"Brochure Upgrade to ER 14Pro"</f>
        <v>Brochure Upgrade to ER 14Pro</v>
      </c>
      <c r="C2151" t="str">
        <f>"ECO-N2Buy"</f>
        <v>ECO-N2Buy</v>
      </c>
    </row>
    <row r="2152" spans="1:3" ht="18" customHeight="1">
      <c r="A2152" t="str">
        <f>"100672"</f>
        <v>100672</v>
      </c>
      <c r="B2152" t="str">
        <f>"Brochure Intelitek CNC ProTurn 9000 AC"</f>
        <v>Brochure Intelitek CNC ProTurn 9000 AC</v>
      </c>
      <c r="C2152" t="str">
        <f t="shared" ref="C2152:C2199" si="90">"New"</f>
        <v>New</v>
      </c>
    </row>
    <row r="2153" spans="1:3" ht="18" customHeight="1">
      <c r="A2153" t="str">
        <f>"100673"</f>
        <v>100673</v>
      </c>
      <c r="B2153" t="str">
        <f>"Brochure Intelitek CNC ProTurn 9000 AC-S"</f>
        <v>Brochure Intelitek CNC ProTurn 9000 AC-S</v>
      </c>
      <c r="C2153" t="str">
        <f t="shared" si="90"/>
        <v>New</v>
      </c>
    </row>
    <row r="2154" spans="1:3" ht="18" customHeight="1">
      <c r="A2154" t="str">
        <f>"100675"</f>
        <v>100675</v>
      </c>
      <c r="B2154" t="str">
        <f>"Brochure Intelitek CNC ProMill 8000"</f>
        <v>Brochure Intelitek CNC ProMill 8000</v>
      </c>
      <c r="C2154" t="str">
        <f t="shared" si="90"/>
        <v>New</v>
      </c>
    </row>
    <row r="2155" spans="1:3" ht="18" customHeight="1">
      <c r="A2155" t="str">
        <f>"100677"</f>
        <v>100677</v>
      </c>
      <c r="B2155" t="str">
        <f>"Brochure Intelitek CNC ProMill 8000 AC-S"</f>
        <v>Brochure Intelitek CNC ProMill 8000 AC-S</v>
      </c>
      <c r="C2155" t="str">
        <f t="shared" si="90"/>
        <v>New</v>
      </c>
    </row>
    <row r="2156" spans="1:3" ht="18" customHeight="1">
      <c r="A2156" t="str">
        <f>"100678"</f>
        <v>100678</v>
      </c>
      <c r="B2156" t="str">
        <f>"Brochure JM04_Mtr_Cntrl_TrainingSys"</f>
        <v>Brochure JM04_Mtr_Cntrl_TrainingSys</v>
      </c>
      <c r="C2156" t="str">
        <f t="shared" si="90"/>
        <v>New</v>
      </c>
    </row>
    <row r="2157" spans="1:3" ht="18" customHeight="1">
      <c r="A2157" t="str">
        <f>"100679"</f>
        <v>100679</v>
      </c>
      <c r="B2157" t="str">
        <f>"Brochure JM06A_Electric_Electronic_TrainingSys"</f>
        <v>Brochure JM06A_Electric_Electronic_TrainingSys</v>
      </c>
      <c r="C2157" t="str">
        <f t="shared" si="90"/>
        <v>New</v>
      </c>
    </row>
    <row r="2158" spans="1:3" ht="18" customHeight="1">
      <c r="A2158" t="str">
        <f>"100680"</f>
        <v>100680</v>
      </c>
      <c r="B2158" t="str">
        <f>"Brochure JM06B_Electric_Electronic_TrainingSys"</f>
        <v>Brochure JM06B_Electric_Electronic_TrainingSys</v>
      </c>
      <c r="C2158" t="str">
        <f t="shared" si="90"/>
        <v>New</v>
      </c>
    </row>
    <row r="2159" spans="1:3" ht="18" customHeight="1">
      <c r="A2159" t="str">
        <f>"100681"</f>
        <v>100681</v>
      </c>
      <c r="B2159" t="str">
        <f>"BrochureJM07_Electrical_Transmission_TrainingSys"</f>
        <v>BrochureJM07_Electrical_Transmission_TrainingSys</v>
      </c>
      <c r="C2159" t="str">
        <f t="shared" si="90"/>
        <v>New</v>
      </c>
    </row>
    <row r="2160" spans="1:3" ht="18" customHeight="1">
      <c r="A2160" t="str">
        <f>"100682"</f>
        <v>100682</v>
      </c>
      <c r="B2160" t="str">
        <f>"Brochure JM08_PLC_TrainingSys"</f>
        <v>Brochure JM08_PLC_TrainingSys</v>
      </c>
      <c r="C2160" t="str">
        <f t="shared" si="90"/>
        <v>New</v>
      </c>
    </row>
    <row r="2161" spans="1:3" ht="18" customHeight="1">
      <c r="A2161" t="str">
        <f>"100683"</f>
        <v>100683</v>
      </c>
      <c r="B2161" t="str">
        <f>"BrochureCNC_Turning_Tech_LMcntnt"</f>
        <v>BrochureCNC_Turning_Tech_LMcntnt</v>
      </c>
      <c r="C2161" t="str">
        <f t="shared" si="90"/>
        <v>New</v>
      </c>
    </row>
    <row r="2162" spans="1:3" ht="18" customHeight="1">
      <c r="A2162" t="str">
        <f>"100684"</f>
        <v>100684</v>
      </c>
      <c r="B2162" t="str">
        <f>"BrochureAutoID_LMcntnt"</f>
        <v>BrochureAutoID_LMcntnt</v>
      </c>
      <c r="C2162" t="str">
        <f t="shared" si="90"/>
        <v>New</v>
      </c>
    </row>
    <row r="2163" spans="1:3" ht="18" customHeight="1">
      <c r="A2163" t="str">
        <f>"100685"</f>
        <v>100685</v>
      </c>
      <c r="B2163" t="str">
        <f>"BrochureCIM2_LMcntnt"</f>
        <v>BrochureCIM2_LMcntnt</v>
      </c>
      <c r="C2163" t="str">
        <f t="shared" si="90"/>
        <v>New</v>
      </c>
    </row>
    <row r="2164" spans="1:3" ht="18" customHeight="1">
      <c r="A2164" t="str">
        <f>"100686"</f>
        <v>100686</v>
      </c>
      <c r="B2164" t="str">
        <f>"BrochureCAM _Turning_spectraCAM_LMcntnt"</f>
        <v>BrochureCAM _Turning_spectraCAM_LMcntnt</v>
      </c>
      <c r="C2164" t="str">
        <f t="shared" si="90"/>
        <v>New</v>
      </c>
    </row>
    <row r="2165" spans="1:3" ht="18" customHeight="1">
      <c r="A2165" t="str">
        <f>"100687"</f>
        <v>100687</v>
      </c>
      <c r="B2165" t="str">
        <f>"BrochureCIM1_LMcntnt"</f>
        <v>BrochureCIM1_LMcntnt</v>
      </c>
      <c r="C2165" t="str">
        <f t="shared" si="90"/>
        <v>New</v>
      </c>
    </row>
    <row r="2166" spans="1:3" ht="18" customHeight="1">
      <c r="A2166" t="str">
        <f>"100688"</f>
        <v>100688</v>
      </c>
      <c r="B2166" t="str">
        <f>"BrochureCADspectraCADEngraver_LMcntnt"</f>
        <v>BrochureCADspectraCADEngraver_LMcntnt</v>
      </c>
      <c r="C2166" t="str">
        <f t="shared" si="90"/>
        <v>New</v>
      </c>
    </row>
    <row r="2167" spans="1:3" ht="18" customHeight="1">
      <c r="A2167" t="str">
        <f>"100690"</f>
        <v>100690</v>
      </c>
      <c r="B2167" t="str">
        <f>"BrochureCAM_TurningMastercamLathe9_LMcntnt"</f>
        <v>BrochureCAM_TurningMastercamLathe9_LMcntnt</v>
      </c>
      <c r="C2167" t="str">
        <f t="shared" si="90"/>
        <v>New</v>
      </c>
    </row>
    <row r="2168" spans="1:3" ht="18" customHeight="1">
      <c r="A2168" t="str">
        <f>"100691"</f>
        <v>100691</v>
      </c>
      <c r="B2168" t="str">
        <f>"BrochureCAM_MillingMastercam_Millv9_LMcntnt"</f>
        <v>BrochureCAM_MillingMastercam_Millv9_LMcntnt</v>
      </c>
      <c r="C2168" t="str">
        <f t="shared" si="90"/>
        <v>New</v>
      </c>
    </row>
    <row r="2169" spans="1:3" ht="18" customHeight="1">
      <c r="A2169" t="str">
        <f>"100694"</f>
        <v>100694</v>
      </c>
      <c r="B2169" t="str">
        <f>"BrochureFMS_LMcntnt"</f>
        <v>BrochureFMS_LMcntnt</v>
      </c>
      <c r="C2169" t="str">
        <f t="shared" si="90"/>
        <v>New</v>
      </c>
    </row>
    <row r="2170" spans="1:3" ht="18" customHeight="1">
      <c r="A2170" t="str">
        <f>"100695"</f>
        <v>100695</v>
      </c>
      <c r="B2170" t="str">
        <f>"BrochureCAM_Milling_spectraCAM_Milling_LMcntnt"</f>
        <v>BrochureCAM_Milling_spectraCAM_Milling_LMcntnt</v>
      </c>
      <c r="C2170" t="str">
        <f t="shared" si="90"/>
        <v>New</v>
      </c>
    </row>
    <row r="2171" spans="1:3" ht="18" customHeight="1">
      <c r="A2171" t="str">
        <f>"100698"</f>
        <v>100698</v>
      </c>
      <c r="B2171" t="str">
        <f>"BrochureCNC Programming_Tech_LMcntnt"</f>
        <v>BrochureCNC Programming_Tech_LMcntnt</v>
      </c>
      <c r="C2171" t="str">
        <f t="shared" si="90"/>
        <v>New</v>
      </c>
    </row>
    <row r="2172" spans="1:3" ht="18" customHeight="1">
      <c r="A2172" t="str">
        <f>"100699"</f>
        <v>100699</v>
      </c>
      <c r="B2172" t="str">
        <f>"BrochureCNC_Milling_Tech_LMcntnt"</f>
        <v>BrochureCNC_Milling_Tech_LMcntnt</v>
      </c>
      <c r="C2172" t="str">
        <f t="shared" si="90"/>
        <v>New</v>
      </c>
    </row>
    <row r="2173" spans="1:3" ht="18" customHeight="1">
      <c r="A2173" t="str">
        <f>"100700"</f>
        <v>100700</v>
      </c>
      <c r="B2173" t="str">
        <f>"BrochureElectro-pneumatics_LMcntnt"</f>
        <v>BrochureElectro-pneumatics_LMcntnt</v>
      </c>
      <c r="C2173" t="str">
        <f t="shared" si="90"/>
        <v>New</v>
      </c>
    </row>
    <row r="2174" spans="1:3" ht="18" customHeight="1">
      <c r="A2174" t="str">
        <f>"100710"</f>
        <v>100710</v>
      </c>
      <c r="B2174" t="str">
        <f>"BrochureElectro-Hydraulics_LMcntnt"</f>
        <v>BrochureElectro-Hydraulics_LMcntnt</v>
      </c>
      <c r="C2174" t="str">
        <f t="shared" si="90"/>
        <v>New</v>
      </c>
    </row>
    <row r="2175" spans="1:3" ht="18" customHeight="1">
      <c r="A2175" t="str">
        <f>"100711"</f>
        <v>100711</v>
      </c>
      <c r="B2175" t="str">
        <f>"BrochureMechanicalMeasurement_QC_LMcntnt"</f>
        <v>BrochureMechanicalMeasurement_QC_LMcntnt</v>
      </c>
      <c r="C2175" t="str">
        <f t="shared" si="90"/>
        <v>New</v>
      </c>
    </row>
    <row r="2176" spans="1:3" ht="18" customHeight="1">
      <c r="A2176" t="str">
        <f>"100713"</f>
        <v>100713</v>
      </c>
      <c r="B2176" t="str">
        <f>"BrochureMaterials Testing_LMcntnt"</f>
        <v>BrochureMaterials Testing_LMcntnt</v>
      </c>
      <c r="C2176" t="str">
        <f t="shared" si="90"/>
        <v>New</v>
      </c>
    </row>
    <row r="2177" spans="1:3" ht="18" customHeight="1">
      <c r="A2177" t="str">
        <f>"100714"</f>
        <v>100714</v>
      </c>
      <c r="B2177" t="str">
        <f>"BrochureSensorTechnology _LMcntnt"</f>
        <v>BrochureSensorTechnology _LMcntnt</v>
      </c>
      <c r="C2177" t="str">
        <f t="shared" si="90"/>
        <v>New</v>
      </c>
    </row>
    <row r="2178" spans="1:3" ht="18" customHeight="1">
      <c r="A2178" t="str">
        <f>"100715"</f>
        <v>100715</v>
      </c>
      <c r="B2178" t="str">
        <f>"BrochurePLCTechnology _LMcntnt"</f>
        <v>BrochurePLCTechnology _LMcntnt</v>
      </c>
      <c r="C2178" t="str">
        <f t="shared" si="90"/>
        <v>New</v>
      </c>
    </row>
    <row r="2179" spans="1:3" ht="18" customHeight="1">
      <c r="A2179" t="str">
        <f>"100716"</f>
        <v>100716</v>
      </c>
      <c r="B2179" t="str">
        <f>"BrochureFundamentalsElectronics_LMcntnt"</f>
        <v>BrochureFundamentalsElectronics_LMcntnt</v>
      </c>
      <c r="C2179" t="str">
        <f t="shared" si="90"/>
        <v>New</v>
      </c>
    </row>
    <row r="2180" spans="1:3" ht="18" customHeight="1">
      <c r="A2180" t="str">
        <f>"100718"</f>
        <v>100718</v>
      </c>
      <c r="B2180" t="str">
        <f>"BrochureCnstrctTechWastewaterTreatment_LMcntnt"</f>
        <v>BrochureCnstrctTechWastewaterTreatment_LMcntnt</v>
      </c>
      <c r="C2180" t="str">
        <f t="shared" si="90"/>
        <v>New</v>
      </c>
    </row>
    <row r="2181" spans="1:3" ht="18" customHeight="1">
      <c r="A2181" t="str">
        <f>"100719"</f>
        <v>100719</v>
      </c>
      <c r="B2181" t="str">
        <f>"BrochureCnstrctTechTransportationEng_LMcntnt"</f>
        <v>BrochureCnstrctTechTransportationEng_LMcntnt</v>
      </c>
      <c r="C2181" t="str">
        <f t="shared" si="90"/>
        <v>New</v>
      </c>
    </row>
    <row r="2182" spans="1:3" ht="18" customHeight="1">
      <c r="A2182" t="str">
        <f>"100720"</f>
        <v>100720</v>
      </c>
      <c r="B2182" t="str">
        <f>"BrochureCnstrctTechIntro_LMcntnt"</f>
        <v>BrochureCnstrctTechIntro_LMcntnt</v>
      </c>
      <c r="C2182" t="str">
        <f t="shared" si="90"/>
        <v>New</v>
      </c>
    </row>
    <row r="2183" spans="1:3" ht="18" customHeight="1">
      <c r="A2183" t="str">
        <f>"100722"</f>
        <v>100722</v>
      </c>
      <c r="B2183" t="str">
        <f>"BrochureCnstrctTechEnvironPollution_LMcntnt"</f>
        <v>BrochureCnstrctTechEnvironPollution_LMcntnt</v>
      </c>
      <c r="C2183" t="str">
        <f t="shared" si="90"/>
        <v>New</v>
      </c>
    </row>
    <row r="2184" spans="1:3" ht="18" customHeight="1">
      <c r="A2184" t="str">
        <f>"100723"</f>
        <v>100723</v>
      </c>
      <c r="B2184" t="str">
        <f>"BrochureCnstrctTechFluids_LMcntnt"</f>
        <v>BrochureCnstrctTechFluids_LMcntnt</v>
      </c>
      <c r="C2184" t="str">
        <f t="shared" si="90"/>
        <v>New</v>
      </c>
    </row>
    <row r="2185" spans="1:3" ht="18" customHeight="1">
      <c r="A2185" t="str">
        <f>"100725"</f>
        <v>100725</v>
      </c>
      <c r="B2185" t="str">
        <f>"BrochureCnstrctTechHighwayEng_LMcntnt"</f>
        <v>BrochureCnstrctTechHighwayEng_LMcntnt</v>
      </c>
      <c r="C2185" t="str">
        <f t="shared" si="90"/>
        <v>New</v>
      </c>
    </row>
    <row r="2186" spans="1:3" ht="18" customHeight="1">
      <c r="A2186" t="str">
        <f>"100726"</f>
        <v>100726</v>
      </c>
      <c r="B2186" t="str">
        <f>"BrochureCnstrctTechBridges_LMcntnt"</f>
        <v>BrochureCnstrctTechBridges_LMcntnt</v>
      </c>
      <c r="C2186" t="str">
        <f t="shared" si="90"/>
        <v>New</v>
      </c>
    </row>
    <row r="2187" spans="1:3" ht="18" customHeight="1">
      <c r="A2187" t="str">
        <f>"100727"</f>
        <v>100727</v>
      </c>
      <c r="B2187" t="str">
        <f>"Brochure Pneumatics Technology"</f>
        <v>Brochure Pneumatics Technology</v>
      </c>
      <c r="C2187" t="str">
        <f t="shared" si="90"/>
        <v>New</v>
      </c>
    </row>
    <row r="2188" spans="1:3" ht="18" customHeight="1">
      <c r="A2188" t="str">
        <f>"100728"</f>
        <v>100728</v>
      </c>
      <c r="B2188" t="str">
        <f>"Brochure ASRS-36u"</f>
        <v>Brochure ASRS-36u</v>
      </c>
      <c r="C2188" t="str">
        <f t="shared" si="90"/>
        <v>New</v>
      </c>
    </row>
    <row r="2189" spans="1:3" ht="18" customHeight="1">
      <c r="A2189" t="str">
        <f>"100729"</f>
        <v>100729</v>
      </c>
      <c r="B2189" t="str">
        <f>"Brochure ASRS-36u_RFID"</f>
        <v>Brochure ASRS-36u_RFID</v>
      </c>
      <c r="C2189" t="str">
        <f t="shared" si="90"/>
        <v>New</v>
      </c>
    </row>
    <row r="2190" spans="1:3" ht="18" customHeight="1">
      <c r="A2190" t="str">
        <f>"100730"</f>
        <v>100730</v>
      </c>
      <c r="B2190" t="str">
        <f>"Brochure ASRS-36uX2"</f>
        <v>Brochure ASRS-36uX2</v>
      </c>
      <c r="C2190" t="str">
        <f t="shared" si="90"/>
        <v>New</v>
      </c>
    </row>
    <row r="2191" spans="1:3" ht="18" customHeight="1">
      <c r="A2191" t="str">
        <f>"100731"</f>
        <v>100731</v>
      </c>
      <c r="B2191" t="str">
        <f>"Brochure CIM Conveyor"</f>
        <v>Brochure CIM Conveyor</v>
      </c>
      <c r="C2191" t="str">
        <f t="shared" si="90"/>
        <v>New</v>
      </c>
    </row>
    <row r="2192" spans="1:3" ht="18" customHeight="1">
      <c r="A2192" t="str">
        <f>"100737"</f>
        <v>100737</v>
      </c>
      <c r="B2192" t="str">
        <f>"Brochure PLCMotion"</f>
        <v>Brochure PLCMotion</v>
      </c>
      <c r="C2192" t="str">
        <f t="shared" si="90"/>
        <v>New</v>
      </c>
    </row>
    <row r="2193" spans="1:3" ht="18" customHeight="1">
      <c r="A2193" t="str">
        <f>"100739"</f>
        <v>100739</v>
      </c>
      <c r="B2193" t="str">
        <f>"Brochure Qcsensorline"</f>
        <v>Brochure Qcsensorline</v>
      </c>
      <c r="C2193" t="str">
        <f t="shared" si="90"/>
        <v>New</v>
      </c>
    </row>
    <row r="2194" spans="1:3" ht="18" customHeight="1">
      <c r="A2194" t="str">
        <f>"100740"</f>
        <v>100740</v>
      </c>
      <c r="B2194" t="str">
        <f>"Presentation Eng_automation"</f>
        <v>Presentation Eng_automation</v>
      </c>
      <c r="C2194" t="str">
        <f t="shared" si="90"/>
        <v>New</v>
      </c>
    </row>
    <row r="2195" spans="1:3" ht="18" customHeight="1">
      <c r="A2195" t="str">
        <f>"100741"</f>
        <v>100741</v>
      </c>
      <c r="B2195" t="str">
        <f>"Presentation JobMaster"</f>
        <v>Presentation JobMaster</v>
      </c>
      <c r="C2195" t="str">
        <f t="shared" si="90"/>
        <v>New</v>
      </c>
    </row>
    <row r="2196" spans="1:3" ht="18" customHeight="1">
      <c r="A2196" t="str">
        <f>"100742"</f>
        <v>100742</v>
      </c>
      <c r="B2196" t="str">
        <f>"Presentation Mechatronics"</f>
        <v>Presentation Mechatronics</v>
      </c>
      <c r="C2196" t="str">
        <f t="shared" si="90"/>
        <v>New</v>
      </c>
    </row>
    <row r="2197" spans="1:3" ht="18" customHeight="1">
      <c r="A2197" t="str">
        <f>"100743"</f>
        <v>100743</v>
      </c>
      <c r="B2197" t="str">
        <f>"Booklet Fundamental Science"</f>
        <v>Booklet Fundamental Science</v>
      </c>
      <c r="C2197" t="str">
        <f t="shared" si="90"/>
        <v>New</v>
      </c>
    </row>
    <row r="2198" spans="1:3" ht="18" customHeight="1">
      <c r="A2198" t="str">
        <f>"100745"</f>
        <v>100745</v>
      </c>
      <c r="B2198" t="str">
        <f>"Presentation Pneumatics"</f>
        <v>Presentation Pneumatics</v>
      </c>
      <c r="C2198" t="str">
        <f t="shared" si="90"/>
        <v>New</v>
      </c>
    </row>
    <row r="2199" spans="1:3" ht="18" customHeight="1">
      <c r="A2199" t="str">
        <f>"100746"</f>
        <v>100746</v>
      </c>
      <c r="B2199" t="str">
        <f>"Presentation sample media LearnMate v5 Sales"</f>
        <v>Presentation sample media LearnMate v5 Sales</v>
      </c>
      <c r="C2199" t="str">
        <f t="shared" si="90"/>
        <v>New</v>
      </c>
    </row>
    <row r="2200" spans="1:3" ht="18" customHeight="1">
      <c r="A2200" t="str">
        <f>"100747"</f>
        <v>100747</v>
      </c>
      <c r="B2200" t="str">
        <f>"InnovationAfrica2013_CS_DigitalCitizen"</f>
        <v>InnovationAfrica2013_CS_DigitalCitizen</v>
      </c>
      <c r="C2200" t="str">
        <f t="shared" ref="C2200:C2231" si="91">"Active"</f>
        <v>Active</v>
      </c>
    </row>
    <row r="2201" spans="1:3" ht="18" customHeight="1">
      <c r="A2201" t="str">
        <f>"100748"</f>
        <v>100748</v>
      </c>
      <c r="B2201" t="str">
        <f>"InnovationAfrica2013_CS_India"</f>
        <v>InnovationAfrica2013_CS_India</v>
      </c>
      <c r="C2201" t="str">
        <f t="shared" si="91"/>
        <v>Active</v>
      </c>
    </row>
    <row r="2202" spans="1:3" ht="18" customHeight="1">
      <c r="A2202" t="str">
        <f>"100749"</f>
        <v>100749</v>
      </c>
      <c r="B2202" t="str">
        <f>"InnovationAfrica2013_CS_IndustrialProjectAfrica"</f>
        <v>InnovationAfrica2013_CS_IndustrialProjectAfrica</v>
      </c>
      <c r="C2202" t="str">
        <f t="shared" si="91"/>
        <v>Active</v>
      </c>
    </row>
    <row r="2203" spans="1:3" ht="18" customHeight="1">
      <c r="A2203" t="str">
        <f>"100750"</f>
        <v>100750</v>
      </c>
      <c r="B2203" t="str">
        <f>"HRD_InnovationAfrica2013"</f>
        <v>HRD_InnovationAfrica2013</v>
      </c>
      <c r="C2203" t="str">
        <f t="shared" si="91"/>
        <v>Active</v>
      </c>
    </row>
    <row r="2204" spans="1:3" ht="18" customHeight="1">
      <c r="A2204" t="str">
        <f>"100751"</f>
        <v>100751</v>
      </c>
      <c r="B2204" t="str">
        <f>"InnovationAfrica_poster1"</f>
        <v>InnovationAfrica_poster1</v>
      </c>
      <c r="C2204" t="str">
        <f t="shared" si="91"/>
        <v>Active</v>
      </c>
    </row>
    <row r="2205" spans="1:3" ht="18" customHeight="1">
      <c r="A2205" t="str">
        <f>"100752"</f>
        <v>100752</v>
      </c>
      <c r="B2205" t="str">
        <f>"InnovationAfrica_poster2"</f>
        <v>InnovationAfrica_poster2</v>
      </c>
      <c r="C2205" t="str">
        <f t="shared" si="91"/>
        <v>Active</v>
      </c>
    </row>
    <row r="2206" spans="1:3" ht="18" customHeight="1">
      <c r="A2206" t="str">
        <f>"100901"</f>
        <v>100901</v>
      </c>
      <c r="B2206" t="str">
        <f>"PVC File -4 Ring, 30x25 D4 25, PVC40, 30.8x25"</f>
        <v>PVC File -4 Ring, 30x25 D4 25, PVC40, 30.8x25</v>
      </c>
      <c r="C2206" t="str">
        <f t="shared" si="91"/>
        <v>Active</v>
      </c>
    </row>
    <row r="2207" spans="1:3" ht="18" customHeight="1">
      <c r="A2207" t="str">
        <f>"100980"</f>
        <v>100980</v>
      </c>
      <c r="B2207" t="str">
        <f>"Package for  S\W pack 260mm X 360mm"</f>
        <v>Package for  S\W pack 260mm X 360mm</v>
      </c>
      <c r="C2207" t="str">
        <f t="shared" si="91"/>
        <v>Active</v>
      </c>
    </row>
    <row r="2208" spans="1:3" ht="18" customHeight="1">
      <c r="A2208" t="str">
        <f>"101101"</f>
        <v>101101</v>
      </c>
      <c r="B2208" t="str">
        <f>"Software PneuMotion  For Windows (Master)"</f>
        <v>Software PneuMotion  For Windows (Master)</v>
      </c>
      <c r="C2208" t="str">
        <f t="shared" si="91"/>
        <v>Active</v>
      </c>
    </row>
    <row r="2209" spans="1:3" ht="18" customHeight="1">
      <c r="A2209" t="str">
        <f>"101102"</f>
        <v>101102</v>
      </c>
      <c r="B2209" t="str">
        <f>"CD-Software HydraMotion For Windows (Master)"</f>
        <v>CD-Software HydraMotion For Windows (Master)</v>
      </c>
      <c r="C2209" t="str">
        <f t="shared" si="91"/>
        <v>Active</v>
      </c>
    </row>
    <row r="2210" spans="1:3" ht="18" customHeight="1">
      <c r="A2210" t="str">
        <f>"101104"</f>
        <v>101104</v>
      </c>
      <c r="B2210" t="str">
        <f>"PLCMotion Software For CPC2000 &amp; SLC500"</f>
        <v>PLCMotion Software For CPC2000 &amp; SLC500</v>
      </c>
      <c r="C2210" t="str">
        <f t="shared" si="91"/>
        <v>Active</v>
      </c>
    </row>
    <row r="2211" spans="1:3" ht="18" customHeight="1">
      <c r="A2211" t="str">
        <f>"101107"</f>
        <v>101107</v>
      </c>
      <c r="B2211" t="str">
        <f>"ATS SBW RoboCell ER5 software (Master)"</f>
        <v>ATS SBW RoboCell ER5 software (Master)</v>
      </c>
      <c r="C2211" t="str">
        <f t="shared" si="91"/>
        <v>Active</v>
      </c>
    </row>
    <row r="2212" spans="1:3" ht="18" customHeight="1">
      <c r="A2212" t="str">
        <f>"101111"</f>
        <v>101111</v>
      </c>
      <c r="B2212" t="str">
        <f>"Generator Stand Alone Includes SA Runtime"</f>
        <v>Generator Stand Alone Includes SA Runtime</v>
      </c>
      <c r="C2212" t="str">
        <f t="shared" si="91"/>
        <v>Active</v>
      </c>
    </row>
    <row r="2213" spans="1:3" ht="18" customHeight="1">
      <c r="A2213" t="str">
        <f>"101162"</f>
        <v>101162</v>
      </c>
      <c r="B2213" t="str">
        <f>"CD-OpenCIM Software (Master)"</f>
        <v>CD-OpenCIM Software (Master)</v>
      </c>
      <c r="C2213" t="str">
        <f t="shared" si="91"/>
        <v>Active</v>
      </c>
    </row>
    <row r="2214" spans="1:3" ht="18" customHeight="1">
      <c r="A2214" t="str">
        <f>"101164"</f>
        <v>101164</v>
      </c>
      <c r="B2214" t="str">
        <f>"CD-Robotic Software for Controller USB (Master)"</f>
        <v>CD-Robotic Software for Controller USB (Master)</v>
      </c>
      <c r="C2214" t="str">
        <f t="shared" si="91"/>
        <v>Active</v>
      </c>
    </row>
    <row r="2215" spans="1:3" ht="18" customHeight="1">
      <c r="A2215" t="str">
        <f>"101165"</f>
        <v>101165</v>
      </c>
      <c r="B2215" t="str">
        <f>"Robotic S\W ER-7 For Windows (Master)"</f>
        <v>Robotic S\W ER-7 For Windows (Master)</v>
      </c>
      <c r="C2215" t="str">
        <f t="shared" si="91"/>
        <v>Active</v>
      </c>
    </row>
    <row r="2216" spans="1:3" ht="18" customHeight="1">
      <c r="A2216" t="str">
        <f>"101169"</f>
        <v>101169</v>
      </c>
      <c r="B2216" t="str">
        <f>"CD-ProcessMotion Software (Master)"</f>
        <v>CD-ProcessMotion Software (Master)</v>
      </c>
      <c r="C2216" t="str">
        <f t="shared" si="91"/>
        <v>Active</v>
      </c>
    </row>
    <row r="2217" spans="1:3" ht="18" customHeight="1">
      <c r="A2217" t="str">
        <f>"101170"</f>
        <v>101170</v>
      </c>
      <c r="B2217" t="str">
        <f>"CD-Robotic Software for ER579 (Master)"</f>
        <v>CD-Robotic Software for ER579 (Master)</v>
      </c>
      <c r="C2217" t="str">
        <f t="shared" si="91"/>
        <v>Active</v>
      </c>
    </row>
    <row r="2218" spans="1:3" ht="18" customHeight="1">
      <c r="A2218" t="str">
        <f>"101171"</f>
        <v>101171</v>
      </c>
      <c r="B2218" t="str">
        <f>"CD-PLCMotion Software For A/B"</f>
        <v>CD-PLCMotion Software For A/B</v>
      </c>
      <c r="C2218" t="str">
        <f t="shared" si="91"/>
        <v>Active</v>
      </c>
    </row>
    <row r="2219" spans="1:3" ht="18" customHeight="1">
      <c r="A2219" t="str">
        <f>"101171-C"</f>
        <v>101171-C</v>
      </c>
      <c r="B2219" t="str">
        <f>"PLCMotion Software Simplified Chinese Edition"</f>
        <v>PLCMotion Software Simplified Chinese Edition</v>
      </c>
      <c r="C2219" t="str">
        <f t="shared" si="91"/>
        <v>Active</v>
      </c>
    </row>
    <row r="2220" spans="1:3" ht="18" customHeight="1">
      <c r="A2220" t="str">
        <f>"101172"</f>
        <v>101172</v>
      </c>
      <c r="B2220" t="str">
        <f>"SCORBASE for FS100 and XtraDrive controllers"</f>
        <v>SCORBASE for FS100 and XtraDrive controllers</v>
      </c>
      <c r="C2220" t="str">
        <f t="shared" si="91"/>
        <v>Active</v>
      </c>
    </row>
    <row r="2221" spans="1:3" ht="18" customHeight="1">
      <c r="A2221" t="str">
        <f>"101193"</f>
        <v>101193</v>
      </c>
      <c r="B2221" t="str">
        <f>"CD-Robotic Software for Controller USB-Pro"</f>
        <v>CD-Robotic Software for Controller USB-Pro</v>
      </c>
      <c r="C2221" t="str">
        <f t="shared" si="91"/>
        <v>Active</v>
      </c>
    </row>
    <row r="2222" spans="1:3" ht="18" customHeight="1">
      <c r="A2222" t="str">
        <f>"101194"</f>
        <v>101194</v>
      </c>
      <c r="B2222" t="str">
        <f>"SCORBASE Pro for Robot Integration"</f>
        <v>SCORBASE Pro for Robot Integration</v>
      </c>
      <c r="C2222" t="str">
        <f t="shared" si="91"/>
        <v>Active</v>
      </c>
    </row>
    <row r="2223" spans="1:3" ht="18" customHeight="1">
      <c r="A2223" t="str">
        <f>"101259"</f>
        <v>101259</v>
      </c>
      <c r="B2223" t="str">
        <f>"CD-Software ATS  for Contr.B"</f>
        <v>CD-Software ATS  for Contr.B</v>
      </c>
      <c r="C2223" t="str">
        <f t="shared" si="91"/>
        <v>Active</v>
      </c>
    </row>
    <row r="2224" spans="1:3" ht="18" customHeight="1">
      <c r="A2224" t="str">
        <f>"101351"</f>
        <v>101351</v>
      </c>
      <c r="B2224" t="str">
        <f>"TrainNet Server Software"</f>
        <v>TrainNet Server Software</v>
      </c>
      <c r="C2224" t="str">
        <f t="shared" si="91"/>
        <v>Active</v>
      </c>
    </row>
    <row r="2225" spans="1:3" ht="18" customHeight="1">
      <c r="A2225" t="str">
        <f>"101352"</f>
        <v>101352</v>
      </c>
      <c r="B2225" t="str">
        <f>"TrainNet Student Software"</f>
        <v>TrainNet Student Software</v>
      </c>
      <c r="C2225" t="str">
        <f t="shared" si="91"/>
        <v>Active</v>
      </c>
    </row>
    <row r="2226" spans="1:3" ht="18" customHeight="1">
      <c r="A2226" t="str">
        <f>"101353"</f>
        <v>101353</v>
      </c>
      <c r="B2226" t="str">
        <f>"TrainNet Teacher Software"</f>
        <v>TrainNet Teacher Software</v>
      </c>
      <c r="C2226" t="str">
        <f t="shared" si="91"/>
        <v>Active</v>
      </c>
    </row>
    <row r="2227" spans="1:3" ht="18" customHeight="1">
      <c r="A2227" t="str">
        <f>"101398"</f>
        <v>101398</v>
      </c>
      <c r="B2227" t="str">
        <f>"CD-ViewFlex Software"</f>
        <v>CD-ViewFlex Software</v>
      </c>
      <c r="C2227" t="str">
        <f t="shared" si="91"/>
        <v>Active</v>
      </c>
    </row>
    <row r="2228" spans="1:3" ht="18" customHeight="1">
      <c r="A2228" t="str">
        <f>"101401"</f>
        <v>101401</v>
      </c>
      <c r="B2228" t="str">
        <f>"CD-Software Puls 3 CONT B (DRIVER)"</f>
        <v>CD-Software Puls 3 CONT B (DRIVER)</v>
      </c>
      <c r="C2228" t="str">
        <f t="shared" si="91"/>
        <v>Active</v>
      </c>
    </row>
    <row r="2229" spans="1:3" ht="18" customHeight="1">
      <c r="A2229" t="str">
        <f>"101431"</f>
        <v>101431</v>
      </c>
      <c r="B2229" t="str">
        <f>"CD-Software PLC A/B SLC 8 stations OPEN CIM"</f>
        <v>CD-Software PLC A/B SLC 8 stations OPEN CIM</v>
      </c>
      <c r="C2229" t="str">
        <f t="shared" si="91"/>
        <v>Active</v>
      </c>
    </row>
    <row r="2230" spans="1:3" ht="18" customHeight="1">
      <c r="A2230" t="str">
        <f>"101432"</f>
        <v>101432</v>
      </c>
      <c r="B2230" t="str">
        <f>"0MicroCIM &amp; OPEN CIM"</f>
        <v>0MicroCIM &amp; OPEN CIM</v>
      </c>
      <c r="C2230" t="str">
        <f t="shared" si="91"/>
        <v>Active</v>
      </c>
    </row>
    <row r="2231" spans="1:3" ht="18" customHeight="1">
      <c r="A2231" t="str">
        <f>"101446"</f>
        <v>101446</v>
      </c>
      <c r="B2231" t="str">
        <f>"TP-USB Software"</f>
        <v>TP-USB Software</v>
      </c>
      <c r="C2231" t="str">
        <f t="shared" si="91"/>
        <v>Active</v>
      </c>
    </row>
    <row r="2232" spans="1:3" ht="18" customHeight="1">
      <c r="A2232" t="str">
        <f>"101458"</f>
        <v>101458</v>
      </c>
      <c r="B2232" t="str">
        <f>"Program for PLC Omron SYSMAC CPM2A-60CDR-D"</f>
        <v>Program for PLC Omron SYSMAC CPM2A-60CDR-D</v>
      </c>
      <c r="C2232" t="str">
        <f>"Not for sale"</f>
        <v>Not for sale</v>
      </c>
    </row>
    <row r="2233" spans="1:3" ht="18" customHeight="1">
      <c r="A2233" t="str">
        <f>"101901"</f>
        <v>101901</v>
      </c>
      <c r="B2233" t="str">
        <f>"Assy. Instruc. Pneu.Gripper for MH5"</f>
        <v>Assy. Instruc. Pneu.Gripper for MH5</v>
      </c>
      <c r="C2233" t="str">
        <f t="shared" ref="C2233:C2239" si="92">"Active"</f>
        <v>Active</v>
      </c>
    </row>
    <row r="2234" spans="1:3" ht="18" customHeight="1">
      <c r="A2234" t="str">
        <f>"101902"</f>
        <v>101902</v>
      </c>
      <c r="B2234" t="str">
        <f>"Assy. Instruc.(Custom) SafetyIntegrLight Barrier"</f>
        <v>Assy. Instruc.(Custom) SafetyIntegrLight Barrier</v>
      </c>
      <c r="C2234" t="str">
        <f t="shared" si="92"/>
        <v>Active</v>
      </c>
    </row>
    <row r="2235" spans="1:3" ht="18" customHeight="1">
      <c r="A2235" t="str">
        <f>"101903"</f>
        <v>101903</v>
      </c>
      <c r="B2235" t="str">
        <f>"Assy. Instruc. LSB/HP3 Screw XtraDrive"</f>
        <v>Assy. Instruc. LSB/HP3 Screw XtraDrive</v>
      </c>
      <c r="C2235" t="str">
        <f t="shared" si="92"/>
        <v>Active</v>
      </c>
    </row>
    <row r="2236" spans="1:3" ht="18" customHeight="1">
      <c r="A2236" t="str">
        <f>"101905"</f>
        <v>101905</v>
      </c>
      <c r="B2236" t="str">
        <f>"Assembly Instruction(Custom)4 Templates ER4u/AGV"</f>
        <v>Assembly Instruction(Custom)4 Templates ER4u/AGV</v>
      </c>
      <c r="C2236" t="str">
        <f t="shared" si="92"/>
        <v>Active</v>
      </c>
    </row>
    <row r="2237" spans="1:3" ht="18" customHeight="1">
      <c r="A2237" t="str">
        <f>"101906"</f>
        <v>101906</v>
      </c>
      <c r="B2237" t="str">
        <f>"Assy. Instruc. Automat.StationaryCalipper"</f>
        <v>Assy. Instruc. Automat.StationaryCalipper</v>
      </c>
      <c r="C2237" t="str">
        <f t="shared" si="92"/>
        <v>Active</v>
      </c>
    </row>
    <row r="2238" spans="1:3" ht="18" customHeight="1">
      <c r="A2238" t="str">
        <f>"101907"</f>
        <v>101907</v>
      </c>
      <c r="B2238" t="str">
        <f>"Assy. Instruc. SafetyShield-Rob.ER14/ER9"</f>
        <v>Assy. Instruc. SafetyShield-Rob.ER14/ER9</v>
      </c>
      <c r="C2238" t="str">
        <f t="shared" si="92"/>
        <v>Active</v>
      </c>
    </row>
    <row r="2239" spans="1:3" ht="18" customHeight="1">
      <c r="A2239" t="str">
        <f>"101909"</f>
        <v>101909</v>
      </c>
      <c r="B2239" t="str">
        <f>"Assy. Instruc. TP holder for HP3"</f>
        <v>Assy. Instruc. TP holder for HP3</v>
      </c>
      <c r="C2239" t="str">
        <f t="shared" si="92"/>
        <v>Active</v>
      </c>
    </row>
    <row r="2240" spans="1:3" ht="18" customHeight="1">
      <c r="A2240" t="str">
        <f>"101910"</f>
        <v>101910</v>
      </c>
      <c r="B2240" t="str">
        <f>"Assy. Instruc. LSB4500 for Fanuc 6i"</f>
        <v>Assy. Instruc. LSB4500 for Fanuc 6i</v>
      </c>
      <c r="C2240" t="str">
        <f>"New"</f>
        <v>New</v>
      </c>
    </row>
    <row r="2241" spans="1:3" ht="18" customHeight="1">
      <c r="A2241" t="str">
        <f>"101911"</f>
        <v>101911</v>
      </c>
      <c r="B2241" t="str">
        <f>"Assembly instruction LSBfor HP3-ConnectDiagram"</f>
        <v>Assembly instruction LSBfor HP3-ConnectDiagram</v>
      </c>
      <c r="C2241" t="str">
        <f>"Active"</f>
        <v>Active</v>
      </c>
    </row>
    <row r="2242" spans="1:3" ht="18" customHeight="1">
      <c r="A2242" t="str">
        <f>"101913"</f>
        <v>101913</v>
      </c>
      <c r="B2242" t="str">
        <f>"Assy. Instruc. LSB/HP 3m Belt XtraDrive"</f>
        <v>Assy. Instruc. LSB/HP 3m Belt XtraDrive</v>
      </c>
      <c r="C2242" t="str">
        <f>"Active"</f>
        <v>Active</v>
      </c>
    </row>
    <row r="2243" spans="1:3" ht="18" customHeight="1">
      <c r="A2243" t="str">
        <f>"101914"</f>
        <v>101914</v>
      </c>
      <c r="B2243" t="str">
        <f>"Assembly instruction Weld Fume Extractor"</f>
        <v>Assembly instruction Weld Fume Extractor</v>
      </c>
      <c r="C2243" t="str">
        <f>"Inactive"</f>
        <v>Inactive</v>
      </c>
    </row>
    <row r="2244" spans="1:3" ht="18" customHeight="1">
      <c r="A2244" t="str">
        <f>"101915"</f>
        <v>101915</v>
      </c>
      <c r="B2244" t="str">
        <f>"Assy.Instruc.(Custom)Logitech Camera Stand"</f>
        <v>Assy.Instruc.(Custom)Logitech Camera Stand</v>
      </c>
      <c r="C2244" t="str">
        <f>"ECO-N2Buy"</f>
        <v>ECO-N2Buy</v>
      </c>
    </row>
    <row r="2245" spans="1:3" ht="18" customHeight="1">
      <c r="A2245" t="str">
        <f>"101916"</f>
        <v>101916</v>
      </c>
      <c r="B2245" t="str">
        <f>"Assy. Instruc. TableForCNC1800x900x700mm"</f>
        <v>Assy. Instruc. TableForCNC1800x900x700mm</v>
      </c>
      <c r="C2245" t="str">
        <f t="shared" ref="C2245:C2251" si="93">"Active"</f>
        <v>Active</v>
      </c>
    </row>
    <row r="2246" spans="1:3" ht="18" customHeight="1">
      <c r="A2246" t="str">
        <f>"101917"</f>
        <v>101917</v>
      </c>
      <c r="B2246" t="str">
        <f>"Assy. Instruc. Pneu.Gripper for HP6"</f>
        <v>Assy. Instruc. Pneu.Gripper for HP6</v>
      </c>
      <c r="C2246" t="str">
        <f t="shared" si="93"/>
        <v>Active</v>
      </c>
    </row>
    <row r="2247" spans="1:3" ht="18" customHeight="1">
      <c r="A2247" t="str">
        <f>"101918"</f>
        <v>101918</v>
      </c>
      <c r="B2247" t="str">
        <f>"Assembly instruction AutoAgronom Set"</f>
        <v>Assembly instruction AutoAgronom Set</v>
      </c>
      <c r="C2247" t="str">
        <f t="shared" si="93"/>
        <v>Active</v>
      </c>
    </row>
    <row r="2248" spans="1:3" ht="18" customHeight="1">
      <c r="A2248" t="str">
        <f>"101919"</f>
        <v>101919</v>
      </c>
      <c r="B2248" t="str">
        <f>"Assembly (technician)Welding Booth ER4u"</f>
        <v>Assembly (technician)Welding Booth ER4u</v>
      </c>
      <c r="C2248" t="str">
        <f t="shared" si="93"/>
        <v>Active</v>
      </c>
    </row>
    <row r="2249" spans="1:3" ht="18" customHeight="1">
      <c r="A2249" t="str">
        <f>"101920"</f>
        <v>101920</v>
      </c>
      <c r="B2249" t="str">
        <f>"Assy. Instruc. SafetyShield-Rob. MH5"</f>
        <v>Assy. Instruc. SafetyShield-Rob. MH5</v>
      </c>
      <c r="C2249" t="str">
        <f t="shared" si="93"/>
        <v>Active</v>
      </c>
    </row>
    <row r="2250" spans="1:3" ht="18" customHeight="1">
      <c r="A2250" t="str">
        <f>"101921"</f>
        <v>101921</v>
      </c>
      <c r="B2250" t="str">
        <f>"Assy. Instr. Pn.Gripper for small industr. robot"</f>
        <v>Assy. Instr. Pn.Gripper for small industr. robot</v>
      </c>
      <c r="C2250" t="str">
        <f t="shared" si="93"/>
        <v>Active</v>
      </c>
    </row>
    <row r="2251" spans="1:3" ht="18" customHeight="1">
      <c r="A2251" t="str">
        <f>"101922"</f>
        <v>101922</v>
      </c>
      <c r="B2251" t="str">
        <f>"Robot Pedestal Welded ER9/MH5 (Assy. instruct.)"</f>
        <v>Robot Pedestal Welded ER9/MH5 (Assy. instruct.)</v>
      </c>
      <c r="C2251" t="str">
        <f t="shared" si="93"/>
        <v>Active</v>
      </c>
    </row>
    <row r="2252" spans="1:3" ht="18" customHeight="1">
      <c r="A2252" t="str">
        <f>"101923"</f>
        <v>101923</v>
      </c>
      <c r="B2252" t="str">
        <f>"Assy. Instr. LSB 1.8M &gt;industr. robots &lt;35kg"</f>
        <v>Assy. Instr. LSB 1.8M &gt;industr. robots &lt;35kg</v>
      </c>
      <c r="C2252" t="str">
        <f>"ECO-N2Buy"</f>
        <v>ECO-N2Buy</v>
      </c>
    </row>
    <row r="2253" spans="1:3" ht="18" customHeight="1">
      <c r="A2253" t="str">
        <f>"101924"</f>
        <v>101924</v>
      </c>
      <c r="B2253" t="str">
        <f>"Assy. Instr. Welding Booth for ER9/MH5"</f>
        <v>Assy. Instr. Welding Booth for ER9/MH5</v>
      </c>
      <c r="C2253" t="str">
        <f>"Active"</f>
        <v>Active</v>
      </c>
    </row>
    <row r="2254" spans="1:3" ht="18" customHeight="1">
      <c r="A2254" t="str">
        <f>"101925"</f>
        <v>101925</v>
      </c>
      <c r="B2254" t="str">
        <f>"Assy. Instr. ITEM Profiles Stand for ER9"</f>
        <v>Assy. Instr. ITEM Profiles Stand for ER9</v>
      </c>
      <c r="C2254" t="str">
        <f>"Not for sale"</f>
        <v>Not for sale</v>
      </c>
    </row>
    <row r="2255" spans="1:3" ht="18" customHeight="1">
      <c r="A2255" t="str">
        <f>"101926"</f>
        <v>101926</v>
      </c>
      <c r="B2255" t="str">
        <f>"Assy. Instr. Pn. Cylinder stroke 300mm assy."</f>
        <v>Assy. Instr. Pn. Cylinder stroke 300mm assy.</v>
      </c>
      <c r="C2255" t="str">
        <f>"Active"</f>
        <v>Active</v>
      </c>
    </row>
    <row r="2256" spans="1:3" ht="18" customHeight="1">
      <c r="A2256" t="str">
        <f>"101927"</f>
        <v>101927</v>
      </c>
      <c r="B2256" t="str">
        <f>"Assy. Instr. I/O interface Box for USB-Pro Contr"</f>
        <v>Assy. Instr. I/O interface Box for USB-Pro Contr</v>
      </c>
      <c r="C2256" t="str">
        <f>"Active"</f>
        <v>Active</v>
      </c>
    </row>
    <row r="2257" spans="1:3" ht="18" customHeight="1">
      <c r="A2257" t="str">
        <f>"101928"</f>
        <v>101928</v>
      </c>
      <c r="B2257" t="str">
        <f>"Assy. Instr.VG1325 CNC ROUTER-StandardConfig."</f>
        <v>Assy. Instr.VG1325 CNC ROUTER-StandardConfig.</v>
      </c>
      <c r="C2257" t="str">
        <f>"New"</f>
        <v>New</v>
      </c>
    </row>
    <row r="2258" spans="1:3" ht="18" customHeight="1">
      <c r="A2258" t="str">
        <f>"101929"</f>
        <v>101929</v>
      </c>
      <c r="B2258" t="str">
        <f>"Assy. Instr.Vacuum system with 4KW vacuum pump"</f>
        <v>Assy. Instr.Vacuum system with 4KW vacuum pump</v>
      </c>
      <c r="C2258" t="str">
        <f>"New"</f>
        <v>New</v>
      </c>
    </row>
    <row r="2259" spans="1:3" ht="18" customHeight="1">
      <c r="A2259" t="str">
        <f>"101930"</f>
        <v>101930</v>
      </c>
      <c r="B2259" t="str">
        <f>"Assy. Instr. Dust collector system"</f>
        <v>Assy. Instr. Dust collector system</v>
      </c>
      <c r="C2259" t="str">
        <f>"New"</f>
        <v>New</v>
      </c>
    </row>
    <row r="2260" spans="1:3" ht="18" customHeight="1">
      <c r="A2260" t="str">
        <f>"101931"</f>
        <v>101931</v>
      </c>
      <c r="B2260" t="str">
        <f>"Assy. Instr. I/O Experiment Table"</f>
        <v>Assy. Instr. I/O Experiment Table</v>
      </c>
      <c r="C2260" t="str">
        <f>"Active"</f>
        <v>Active</v>
      </c>
    </row>
    <row r="2261" spans="1:3" ht="18" customHeight="1">
      <c r="A2261" t="str">
        <f>"101932"</f>
        <v>101932</v>
      </c>
      <c r="B2261" t="str">
        <f>"Assy. Instr.CNC Interface Option USB Relay Box"</f>
        <v>Assy. Instr.CNC Interface Option USB Relay Box</v>
      </c>
      <c r="C2261" t="str">
        <f>"ECO-N2Buy"</f>
        <v>ECO-N2Buy</v>
      </c>
    </row>
    <row r="2262" spans="1:3" ht="18" customHeight="1">
      <c r="A2262" t="str">
        <f>"101933"</f>
        <v>101933</v>
      </c>
      <c r="B2262" t="str">
        <f>"Assy. Instr. Green Robot Rotary Application"</f>
        <v>Assy. Instr. Green Robot Rotary Application</v>
      </c>
      <c r="C2262" t="str">
        <f>"New"</f>
        <v>New</v>
      </c>
    </row>
    <row r="2263" spans="1:3" ht="18" customHeight="1">
      <c r="A2263" t="str">
        <f>"101934"</f>
        <v>101934</v>
      </c>
      <c r="B2263" t="str">
        <f>"Installation Guide for Hand wheel"</f>
        <v>Installation Guide for Hand wheel</v>
      </c>
      <c r="C2263" t="str">
        <f t="shared" ref="C2263:C2271" si="94">"Active"</f>
        <v>Active</v>
      </c>
    </row>
    <row r="2264" spans="1:3" ht="18" customHeight="1">
      <c r="A2264" t="str">
        <f>"101935"</f>
        <v>101935</v>
      </c>
      <c r="B2264" t="str">
        <f>"Installation Guide for 4th Axis"</f>
        <v>Installation Guide for 4th Axis</v>
      </c>
      <c r="C2264" t="str">
        <f t="shared" si="94"/>
        <v>Active</v>
      </c>
    </row>
    <row r="2265" spans="1:3" ht="18" customHeight="1">
      <c r="A2265" t="str">
        <f>"101936"</f>
        <v>101936</v>
      </c>
      <c r="B2265" t="str">
        <f>"Installation Guide for Air Chuck-BenchTurn 7000"</f>
        <v>Installation Guide for Air Chuck-BenchTurn 7000</v>
      </c>
      <c r="C2265" t="str">
        <f t="shared" si="94"/>
        <v>Active</v>
      </c>
    </row>
    <row r="2266" spans="1:3" ht="18" customHeight="1">
      <c r="A2266" t="str">
        <f>"101937"</f>
        <v>101937</v>
      </c>
      <c r="B2266" t="str">
        <f>"Install.Guide Autom.Shield Opener-BenchTurn7000"</f>
        <v>Install.Guide Autom.Shield Opener-BenchTurn7000</v>
      </c>
      <c r="C2266" t="str">
        <f t="shared" si="94"/>
        <v>Active</v>
      </c>
    </row>
    <row r="2267" spans="1:3" ht="18" customHeight="1">
      <c r="A2267" t="str">
        <f>"101938"</f>
        <v>101938</v>
      </c>
      <c r="B2267" t="str">
        <f>"InstallationGuideForAutoShieldOpenerProMill 8000"</f>
        <v>InstallationGuideForAutoShieldOpenerProMill 8000</v>
      </c>
      <c r="C2267" t="str">
        <f t="shared" si="94"/>
        <v>Active</v>
      </c>
    </row>
    <row r="2268" spans="1:3" ht="18" customHeight="1">
      <c r="A2268" t="str">
        <f>"101939"</f>
        <v>101939</v>
      </c>
      <c r="B2268" t="str">
        <f>"Installation Guide for Air Chuck - ProTurn 9000"</f>
        <v>Installation Guide for Air Chuck - ProTurn 9000</v>
      </c>
      <c r="C2268" t="str">
        <f t="shared" si="94"/>
        <v>Active</v>
      </c>
    </row>
    <row r="2269" spans="1:3" ht="18" customHeight="1">
      <c r="A2269" t="str">
        <f>"101940"</f>
        <v>101940</v>
      </c>
      <c r="B2269" t="str">
        <f>"Install.GuideForAutomat.ShieldOpener-ProTurn9000"</f>
        <v>Install.GuideForAutomat.ShieldOpener-ProTurn9000</v>
      </c>
      <c r="C2269" t="str">
        <f t="shared" si="94"/>
        <v>Active</v>
      </c>
    </row>
    <row r="2270" spans="1:3" ht="18" customHeight="1">
      <c r="A2270" t="str">
        <f>"101941"</f>
        <v>101941</v>
      </c>
      <c r="B2270" t="str">
        <f>"Installation Guide for Air Vise"</f>
        <v>Installation Guide for Air Vise</v>
      </c>
      <c r="C2270" t="str">
        <f t="shared" si="94"/>
        <v>Active</v>
      </c>
    </row>
    <row r="2271" spans="1:3" ht="18" customHeight="1">
      <c r="A2271" t="str">
        <f>"101942"</f>
        <v>101942</v>
      </c>
      <c r="B2271" t="str">
        <f>"Installation Guide for Coolant Pump"</f>
        <v>Installation Guide for Coolant Pump</v>
      </c>
      <c r="C2271" t="str">
        <f t="shared" si="94"/>
        <v>Active</v>
      </c>
    </row>
    <row r="2272" spans="1:3" ht="18" customHeight="1">
      <c r="A2272" t="str">
        <f>"101943"</f>
        <v>101943</v>
      </c>
      <c r="B2272" t="str">
        <f>"Installation Guide for FANUC Panel"</f>
        <v>Installation Guide for FANUC Panel</v>
      </c>
      <c r="C2272" t="str">
        <f>"New"</f>
        <v>New</v>
      </c>
    </row>
    <row r="2273" spans="1:3" ht="18" customHeight="1">
      <c r="A2273" t="str">
        <f>"101944"</f>
        <v>101944</v>
      </c>
      <c r="B2273" t="str">
        <f>"Installation Guide for Automated Tool Changer"</f>
        <v>Installation Guide for Automated Tool Changer</v>
      </c>
      <c r="C2273" t="str">
        <f t="shared" ref="C2273:C2279" si="95">"Active"</f>
        <v>Active</v>
      </c>
    </row>
    <row r="2274" spans="1:3" ht="18" customHeight="1">
      <c r="A2274" t="str">
        <f>"101945"</f>
        <v>101945</v>
      </c>
      <c r="B2274" t="str">
        <f>"Installation_HydraFlex Double Sided slot.panel"</f>
        <v>Installation_HydraFlex Double Sided slot.panel</v>
      </c>
      <c r="C2274" t="str">
        <f t="shared" si="95"/>
        <v>Active</v>
      </c>
    </row>
    <row r="2275" spans="1:3" ht="18" customHeight="1">
      <c r="A2275" t="str">
        <f>"101946"</f>
        <v>101946</v>
      </c>
      <c r="B2275" t="str">
        <f>"Installation for LSB 3m Belt for Indust.Robot"</f>
        <v>Installation for LSB 3m Belt for Indust.Robot</v>
      </c>
      <c r="C2275" t="str">
        <f t="shared" si="95"/>
        <v>Active</v>
      </c>
    </row>
    <row r="2276" spans="1:3" ht="18" customHeight="1">
      <c r="A2276" t="str">
        <f>"101947"</f>
        <v>101947</v>
      </c>
      <c r="B2276" t="str">
        <f>"Installation of Slotted Panel for Mobile JM"</f>
        <v>Installation of Slotted Panel for Mobile JM</v>
      </c>
      <c r="C2276" t="str">
        <f t="shared" si="95"/>
        <v>Active</v>
      </c>
    </row>
    <row r="2277" spans="1:3" ht="18" customHeight="1">
      <c r="A2277" t="str">
        <f>"101948"</f>
        <v>101948</v>
      </c>
      <c r="B2277" t="str">
        <f>"Installation for HydroFlex on Mobile JM"</f>
        <v>Installation for HydroFlex on Mobile JM</v>
      </c>
      <c r="C2277" t="str">
        <f t="shared" si="95"/>
        <v>Active</v>
      </c>
    </row>
    <row r="2278" spans="1:3" ht="18" customHeight="1">
      <c r="A2278" t="str">
        <f>"101949"</f>
        <v>101949</v>
      </c>
      <c r="B2278" t="str">
        <f>"Installation PLCLine on Mobile JM"</f>
        <v>Installation PLCLine on Mobile JM</v>
      </c>
      <c r="C2278" t="str">
        <f t="shared" si="95"/>
        <v>Active</v>
      </c>
    </row>
    <row r="2279" spans="1:3" ht="18" customHeight="1">
      <c r="A2279" t="str">
        <f>"101950"</f>
        <v>101950</v>
      </c>
      <c r="B2279" t="str">
        <f>"Installation PneuFlex on Mobile JM"</f>
        <v>Installation PneuFlex on Mobile JM</v>
      </c>
      <c r="C2279" t="str">
        <f t="shared" si="95"/>
        <v>Active</v>
      </c>
    </row>
    <row r="2280" spans="1:3" ht="18" customHeight="1">
      <c r="A2280" t="str">
        <f>"101951"</f>
        <v>101951</v>
      </c>
      <c r="B2280" t="str">
        <f>"Instal.Guide for ASRS expansion from 36 to 72bay"</f>
        <v>Instal.Guide for ASRS expansion from 36 to 72bay</v>
      </c>
      <c r="C2280" t="str">
        <f>"ECO-N2Buy"</f>
        <v>ECO-N2Buy</v>
      </c>
    </row>
    <row r="2281" spans="1:3" ht="18" customHeight="1">
      <c r="A2281" t="str">
        <f>"101952"</f>
        <v>101952</v>
      </c>
      <c r="B2281" t="str">
        <f>"Install. Guide for Hydraulic Power Unit 220V"</f>
        <v>Install. Guide for Hydraulic Power Unit 220V</v>
      </c>
      <c r="C2281" t="str">
        <f>"Active"</f>
        <v>Active</v>
      </c>
    </row>
    <row r="2282" spans="1:3" ht="18" customHeight="1">
      <c r="A2282" t="str">
        <f>"101953"</f>
        <v>101953</v>
      </c>
      <c r="B2282" t="str">
        <f>"Install. Guide for Hydra Hoses Whip Restraint"</f>
        <v>Install. Guide for Hydra Hoses Whip Restraint</v>
      </c>
      <c r="C2282" t="str">
        <f>"Active"</f>
        <v>Active</v>
      </c>
    </row>
    <row r="2283" spans="1:3" ht="18" customHeight="1">
      <c r="A2283" t="str">
        <f>"102002"</f>
        <v>102002</v>
      </c>
      <c r="B2283" t="str">
        <f>"Sticker SCORBOT Arm Pack 304 x 180 Vanil PVC"</f>
        <v>Sticker SCORBOT Arm Pack 304 x 180 Vanil PVC</v>
      </c>
      <c r="C2283" t="str">
        <f>"Active"</f>
        <v>Active</v>
      </c>
    </row>
    <row r="2284" spans="1:3" ht="18" customHeight="1">
      <c r="A2284" t="str">
        <f>"102005"</f>
        <v>102005</v>
      </c>
      <c r="B2284" t="str">
        <f>"Sticker BarCode Roll 128x19mmx400 for CIM"</f>
        <v>Sticker BarCode Roll 128x19mmx400 for CIM</v>
      </c>
      <c r="C2284" t="str">
        <f>"ECO-N2Buy"</f>
        <v>ECO-N2Buy</v>
      </c>
    </row>
    <row r="2285" spans="1:3" ht="18" customHeight="1">
      <c r="A2285" t="str">
        <f>"102006"</f>
        <v>102006</v>
      </c>
      <c r="B2285" t="str">
        <f>"Tag Product - White"</f>
        <v>Tag Product - White</v>
      </c>
      <c r="C2285" t="str">
        <f>"Not for purc"</f>
        <v>Not for purc</v>
      </c>
    </row>
    <row r="2286" spans="1:3" ht="18" customHeight="1">
      <c r="A2286" t="str">
        <f>"102015"</f>
        <v>102015</v>
      </c>
      <c r="B2286" t="str">
        <f>"Sticker LSR-Wht 105x35/2"</f>
        <v>Sticker LSR-Wht 105x35/2</v>
      </c>
      <c r="C2286" t="str">
        <f>"Active"</f>
        <v>Active</v>
      </c>
    </row>
    <row r="2287" spans="1:3" ht="18" customHeight="1">
      <c r="A2287" t="str">
        <f>"102016"</f>
        <v>102016</v>
      </c>
      <c r="B2287" t="str">
        <f>"Sticker Paper -up/ breakable/ wetness"</f>
        <v>Sticker Paper -up/ breakable/ wetness</v>
      </c>
      <c r="C2287" t="str">
        <f>"Active"</f>
        <v>Active</v>
      </c>
    </row>
    <row r="2288" spans="1:3" ht="18" customHeight="1">
      <c r="A2288" t="str">
        <f>"102020"</f>
        <v>102020</v>
      </c>
      <c r="B2288" t="str">
        <f>"Robotic Coordinate Grid with lamination"</f>
        <v>Robotic Coordinate Grid with lamination</v>
      </c>
      <c r="C2288" t="str">
        <f>"Phase Out"</f>
        <v>Phase Out</v>
      </c>
    </row>
    <row r="2289" spans="1:3" ht="18" customHeight="1">
      <c r="A2289" t="str">
        <f>"102027"</f>
        <v>102027</v>
      </c>
      <c r="B2289" t="str">
        <f>"Sticker Warning for L.S.B"</f>
        <v>Sticker Warning for L.S.B</v>
      </c>
      <c r="C2289" t="str">
        <f t="shared" ref="C2289:C2294" si="96">"Active"</f>
        <v>Active</v>
      </c>
    </row>
    <row r="2290" spans="1:3" ht="18" customHeight="1">
      <c r="A2290" t="str">
        <f>"102036"</f>
        <v>102036</v>
      </c>
      <c r="B2290" t="str">
        <f>"Sticker LSR - Yellow  70 x 35 x 3 mm"</f>
        <v>Sticker LSR - Yellow  70 x 35 x 3 mm</v>
      </c>
      <c r="C2290" t="str">
        <f t="shared" si="96"/>
        <v>Active</v>
      </c>
    </row>
    <row r="2291" spans="1:3" ht="18" customHeight="1">
      <c r="A2291" t="str">
        <f>"102037"</f>
        <v>102037</v>
      </c>
      <c r="B2291" t="str">
        <f>"Sticker - White 105 x 140 x 2 mm"</f>
        <v>Sticker - White 105 x 140 x 2 mm</v>
      </c>
      <c r="C2291" t="str">
        <f t="shared" si="96"/>
        <v>Active</v>
      </c>
    </row>
    <row r="2292" spans="1:3" ht="18" customHeight="1">
      <c r="A2292" t="str">
        <f>"102039"</f>
        <v>102039</v>
      </c>
      <c r="B2292" t="str">
        <f>"Poster Worldleader Intelitek poster"</f>
        <v>Poster Worldleader Intelitek poster</v>
      </c>
      <c r="C2292" t="str">
        <f t="shared" si="96"/>
        <v>Active</v>
      </c>
    </row>
    <row r="2293" spans="1:3" ht="18" customHeight="1">
      <c r="A2293" t="str">
        <f>"102040"</f>
        <v>102040</v>
      </c>
      <c r="B2293" t="str">
        <f>"CIMflex poster CIMflex poster"</f>
        <v>CIMflex poster CIMflex poster</v>
      </c>
      <c r="C2293" t="str">
        <f t="shared" si="96"/>
        <v>Active</v>
      </c>
    </row>
    <row r="2294" spans="1:3" ht="18" customHeight="1">
      <c r="A2294" t="str">
        <f>"102126"</f>
        <v>102126</v>
      </c>
      <c r="B2294" t="str">
        <f>"Sticker ASRS-36x2 (260x45mm)"</f>
        <v>Sticker ASRS-36x2 (260x45mm)</v>
      </c>
      <c r="C2294" t="str">
        <f t="shared" si="96"/>
        <v>Active</v>
      </c>
    </row>
    <row r="2295" spans="1:3" ht="18" customHeight="1">
      <c r="A2295" t="str">
        <f>"102168"</f>
        <v>102168</v>
      </c>
      <c r="B2295" t="str">
        <f>"Lable No.2 (Silver), Polyester   22x44"</f>
        <v>Lable No.2 (Silver), Polyester   22x44</v>
      </c>
      <c r="C2295" t="str">
        <f>"Phase Out"</f>
        <v>Phase Out</v>
      </c>
    </row>
    <row r="2296" spans="1:3" ht="18" customHeight="1">
      <c r="A2296" t="str">
        <f>"102169"</f>
        <v>102169</v>
      </c>
      <c r="B2296" t="str">
        <f>"Lable No.3 Fluores.Yellow"</f>
        <v>Lable No.3 Fluores.Yellow</v>
      </c>
      <c r="C2296" t="str">
        <f t="shared" ref="C2296:C2321" si="97">"Active"</f>
        <v>Active</v>
      </c>
    </row>
    <row r="2297" spans="1:3" ht="18" customHeight="1">
      <c r="A2297" t="str">
        <f>"102188"</f>
        <v>102188</v>
      </c>
      <c r="B2297" t="str">
        <f>"Crystal Dome intelitek logo 35x9 white,blk,red)"</f>
        <v>Crystal Dome intelitek logo 35x9 white,blk,red)</v>
      </c>
      <c r="C2297" t="str">
        <f t="shared" si="97"/>
        <v>Active</v>
      </c>
    </row>
    <row r="2298" spans="1:3" ht="18" customHeight="1">
      <c r="A2298" t="str">
        <f>"102189"</f>
        <v>102189</v>
      </c>
      <c r="B2298" t="str">
        <f>"Crystal domed lable-intelitek-78x18 Blk.Red,Wht."</f>
        <v>Crystal domed lable-intelitek-78x18 Blk.Red,Wht.</v>
      </c>
      <c r="C2298" t="str">
        <f t="shared" si="97"/>
        <v>Active</v>
      </c>
    </row>
    <row r="2299" spans="1:3" ht="18" customHeight="1">
      <c r="A2299" t="str">
        <f>"102190"</f>
        <v>102190</v>
      </c>
      <c r="B2299" t="str">
        <f>"Sticker Info. for PLC Cabinet Silver 55x75mm"</f>
        <v>Sticker Info. for PLC Cabinet Silver 55x75mm</v>
      </c>
      <c r="C2299" t="str">
        <f t="shared" si="97"/>
        <v>Active</v>
      </c>
    </row>
    <row r="2300" spans="1:3" ht="18" customHeight="1">
      <c r="A2300" t="str">
        <f>"102191"</f>
        <v>102191</v>
      </c>
      <c r="B2300" t="str">
        <f>"Sticker Info. for CIM Silver 45x75mm"</f>
        <v>Sticker Info. for CIM Silver 45x75mm</v>
      </c>
      <c r="C2300" t="str">
        <f t="shared" si="97"/>
        <v>Active</v>
      </c>
    </row>
    <row r="2301" spans="1:3" ht="18" customHeight="1">
      <c r="A2301" t="str">
        <f>"102194"</f>
        <v>102194</v>
      </c>
      <c r="B2301" t="str">
        <f>"Sticker Dtype connect dis. Adaptor ASRS/ER4 44x2"</f>
        <v>Sticker Dtype connect dis. Adaptor ASRS/ER4 44x2</v>
      </c>
      <c r="C2301" t="str">
        <f t="shared" si="97"/>
        <v>Active</v>
      </c>
    </row>
    <row r="2302" spans="1:3" ht="18" customHeight="1">
      <c r="A2302" t="str">
        <f>"102195"</f>
        <v>102195</v>
      </c>
      <c r="B2302" t="str">
        <f>"Sticker Axis 1 for ASRS"</f>
        <v>Sticker Axis 1 for ASRS</v>
      </c>
      <c r="C2302" t="str">
        <f t="shared" si="97"/>
        <v>Active</v>
      </c>
    </row>
    <row r="2303" spans="1:3" ht="18" customHeight="1">
      <c r="A2303" t="str">
        <f>"102196"</f>
        <v>102196</v>
      </c>
      <c r="B2303" t="str">
        <f>"Sticker Axis 2 for ASRS"</f>
        <v>Sticker Axis 2 for ASRS</v>
      </c>
      <c r="C2303" t="str">
        <f t="shared" si="97"/>
        <v>Active</v>
      </c>
    </row>
    <row r="2304" spans="1:3" ht="18" customHeight="1">
      <c r="A2304" t="str">
        <f>"102197"</f>
        <v>102197</v>
      </c>
      <c r="B2304" t="str">
        <f>"Sticker Axis 3 for ASRS"</f>
        <v>Sticker Axis 3 for ASRS</v>
      </c>
      <c r="C2304" t="str">
        <f t="shared" si="97"/>
        <v>Active</v>
      </c>
    </row>
    <row r="2305" spans="1:3" ht="18" customHeight="1">
      <c r="A2305" t="str">
        <f>"102198"</f>
        <v>102198</v>
      </c>
      <c r="B2305" t="str">
        <f>"Sticker Axis 4 for ASRS"</f>
        <v>Sticker Axis 4 for ASRS</v>
      </c>
      <c r="C2305" t="str">
        <f t="shared" si="97"/>
        <v>Active</v>
      </c>
    </row>
    <row r="2306" spans="1:3" ht="18" customHeight="1">
      <c r="A2306" t="str">
        <f>"102200"</f>
        <v>102200</v>
      </c>
      <c r="B2306" t="str">
        <f>"Sticker Installation 94X20"</f>
        <v>Sticker Installation 94X20</v>
      </c>
      <c r="C2306" t="str">
        <f t="shared" si="97"/>
        <v>Active</v>
      </c>
    </row>
    <row r="2307" spans="1:3" ht="18" customHeight="1">
      <c r="A2307" t="str">
        <f>"102201"</f>
        <v>102201</v>
      </c>
      <c r="B2307" t="str">
        <f>"Sticker Fuse 250v 0.5A"</f>
        <v>Sticker Fuse 250v 0.5A</v>
      </c>
      <c r="C2307" t="str">
        <f t="shared" si="97"/>
        <v>Active</v>
      </c>
    </row>
    <row r="2308" spans="1:3" ht="18" customHeight="1">
      <c r="A2308" t="str">
        <f>"102202"</f>
        <v>102202</v>
      </c>
      <c r="B2308" t="str">
        <f>"Sticker DO NOT STACK 100 X 70mm"</f>
        <v>Sticker DO NOT STACK 100 X 70mm</v>
      </c>
      <c r="C2308" t="str">
        <f t="shared" si="97"/>
        <v>Active</v>
      </c>
    </row>
    <row r="2309" spans="1:3" ht="18" customHeight="1">
      <c r="A2309" t="str">
        <f>"102203"</f>
        <v>102203</v>
      </c>
      <c r="B2309" t="str">
        <f>"Sticker White paper 210 X 140 mm"</f>
        <v>Sticker White paper 210 X 140 mm</v>
      </c>
      <c r="C2309" t="str">
        <f t="shared" si="97"/>
        <v>Active</v>
      </c>
    </row>
    <row r="2310" spans="1:3" ht="18" customHeight="1">
      <c r="A2310" t="str">
        <f>"102204"</f>
        <v>102204</v>
      </c>
      <c r="B2310" t="str">
        <f>"Sticker Set for Welding Booth"</f>
        <v>Sticker Set for Welding Booth</v>
      </c>
      <c r="C2310" t="str">
        <f t="shared" si="97"/>
        <v>Active</v>
      </c>
    </row>
    <row r="2311" spans="1:3" ht="18" customHeight="1">
      <c r="A2311" t="str">
        <f>"102310"</f>
        <v>102310</v>
      </c>
      <c r="B2311" t="str">
        <f>"Sticker Silver REMOVE BEFORE USE, 35x60 mm"</f>
        <v>Sticker Silver REMOVE BEFORE USE, 35x60 mm</v>
      </c>
      <c r="C2311" t="str">
        <f t="shared" si="97"/>
        <v>Active</v>
      </c>
    </row>
    <row r="2312" spans="1:3" ht="18" customHeight="1">
      <c r="A2312" t="str">
        <f>"102311"</f>
        <v>102311</v>
      </c>
      <c r="B2312" t="str">
        <f>"Sticker Alum.-HIGH VOLTAGE 220v-60 x 70mm"</f>
        <v>Sticker Alum.-HIGH VOLTAGE 220v-60 x 70mm</v>
      </c>
      <c r="C2312" t="str">
        <f t="shared" si="97"/>
        <v>Active</v>
      </c>
    </row>
    <row r="2313" spans="1:3" ht="18" customHeight="1">
      <c r="A2313" t="str">
        <f>"102313"</f>
        <v>102313</v>
      </c>
      <c r="B2313" t="str">
        <f>"Sticker Alum. - 110v AC 15 x 20 mm"</f>
        <v>Sticker Alum. - 110v AC 15 x 20 mm</v>
      </c>
      <c r="C2313" t="str">
        <f t="shared" si="97"/>
        <v>Active</v>
      </c>
    </row>
    <row r="2314" spans="1:3" ht="18" customHeight="1">
      <c r="A2314" t="str">
        <f>"102321"</f>
        <v>102321</v>
      </c>
      <c r="B2314" t="str">
        <f>"Lable 90x50, Do not enter robot work area"</f>
        <v>Lable 90x50, Do not enter robot work area</v>
      </c>
      <c r="C2314" t="str">
        <f t="shared" si="97"/>
        <v>Active</v>
      </c>
    </row>
    <row r="2315" spans="1:3" ht="18" customHeight="1">
      <c r="A2315" t="str">
        <f>"102324"</f>
        <v>102324</v>
      </c>
      <c r="B2315" t="str">
        <f>"Lable PolyasterSt-for FuseT2.5A L=22mm x H=15mm"</f>
        <v>Lable PolyasterSt-for FuseT2.5A L=22mm x H=15mm</v>
      </c>
      <c r="C2315" t="str">
        <f t="shared" si="97"/>
        <v>Active</v>
      </c>
    </row>
    <row r="2316" spans="1:3" ht="18" customHeight="1">
      <c r="A2316" t="str">
        <f>"102329"</f>
        <v>102329</v>
      </c>
      <c r="B2316" t="str">
        <f>"Sticker Warning Autom.Door   150x40mm, Polyester"</f>
        <v>Sticker Warning Autom.Door   150x40mm, Polyester</v>
      </c>
      <c r="C2316" t="str">
        <f t="shared" si="97"/>
        <v>Active</v>
      </c>
    </row>
    <row r="2317" spans="1:3" ht="18" customHeight="1">
      <c r="A2317" t="str">
        <f>"102331"</f>
        <v>102331</v>
      </c>
      <c r="B2317" t="str">
        <f>"Sticker White -Polyester  GND, D=9mm"</f>
        <v>Sticker White -Polyester  GND, D=9mm</v>
      </c>
      <c r="C2317" t="str">
        <f t="shared" si="97"/>
        <v>Active</v>
      </c>
    </row>
    <row r="2318" spans="1:3" ht="18" customHeight="1">
      <c r="A2318" t="str">
        <f>"102333"</f>
        <v>102333</v>
      </c>
      <c r="B2318" t="str">
        <f>"Stickers Silver To 15x28x2 100-120V/220-240V"</f>
        <v>Stickers Silver To 15x28x2 100-120V/220-240V</v>
      </c>
      <c r="C2318" t="str">
        <f t="shared" si="97"/>
        <v>Active</v>
      </c>
    </row>
    <row r="2319" spans="1:3" ht="18" customHeight="1">
      <c r="A2319" t="str">
        <f>"102335"</f>
        <v>102335</v>
      </c>
      <c r="B2319" t="str">
        <f>"Sticker -Polyester ER-400 Mobile_ D=31mm"</f>
        <v>Sticker -Polyester ER-400 Mobile_ D=31mm</v>
      </c>
      <c r="C2319" t="str">
        <f t="shared" si="97"/>
        <v>Active</v>
      </c>
    </row>
    <row r="2320" spans="1:3" ht="18" customHeight="1">
      <c r="A2320" t="str">
        <f>"102338"</f>
        <v>102338</v>
      </c>
      <c r="B2320" t="str">
        <f>"Sticker Arrow -Polyester  8x17mm"</f>
        <v>Sticker Arrow -Polyester  8x17mm</v>
      </c>
      <c r="C2320" t="str">
        <f t="shared" si="97"/>
        <v>Active</v>
      </c>
    </row>
    <row r="2321" spans="1:3" ht="18" customHeight="1">
      <c r="A2321" t="str">
        <f>"102339"</f>
        <v>102339</v>
      </c>
      <c r="B2321" t="str">
        <f>"Sticker View Flex For ER400   64x74mm"</f>
        <v>Sticker View Flex For ER400   64x74mm</v>
      </c>
      <c r="C2321" t="str">
        <f t="shared" si="97"/>
        <v>Active</v>
      </c>
    </row>
    <row r="2322" spans="1:3" ht="18" customHeight="1">
      <c r="A2322" t="str">
        <f>"102340"</f>
        <v>102340</v>
      </c>
      <c r="B2322" t="str">
        <f>"Sticker PolyCarbBlue for USB-PRO Contr, 5 colors"</f>
        <v>Sticker PolyCarbBlue for USB-PRO Contr, 5 colors</v>
      </c>
      <c r="C2322" t="str">
        <f>"ECO-N2Buy"</f>
        <v>ECO-N2Buy</v>
      </c>
    </row>
    <row r="2323" spans="1:3" ht="18" customHeight="1">
      <c r="A2323" t="str">
        <f>"102342"</f>
        <v>102342</v>
      </c>
      <c r="B2323" t="str">
        <f>"Labels(L,R) Batteries, Cat.# 35087"</f>
        <v>Labels(L,R) Batteries, Cat.# 35087</v>
      </c>
      <c r="C2323" t="str">
        <f t="shared" ref="C2323:C2330" si="98">"Active"</f>
        <v>Active</v>
      </c>
    </row>
    <row r="2324" spans="1:3" ht="18" customHeight="1">
      <c r="A2324" t="str">
        <f>"102343"</f>
        <v>102343</v>
      </c>
      <c r="B2324" t="str">
        <f>"Label Camera AGV Cable"</f>
        <v>Label Camera AGV Cable</v>
      </c>
      <c r="C2324" t="str">
        <f t="shared" si="98"/>
        <v>Active</v>
      </c>
    </row>
    <row r="2325" spans="1:3" ht="18" customHeight="1">
      <c r="A2325" t="str">
        <f>"102344"</f>
        <v>102344</v>
      </c>
      <c r="B2325" t="str">
        <f>"Label Assy. PSU AGV   Cat.# 35088"</f>
        <v>Label Assy. PSU AGV   Cat.# 35088</v>
      </c>
      <c r="C2325" t="str">
        <f t="shared" si="98"/>
        <v>Active</v>
      </c>
    </row>
    <row r="2326" spans="1:3" ht="18" customHeight="1">
      <c r="A2326" t="str">
        <f>"102345"</f>
        <v>102345</v>
      </c>
      <c r="B2326" t="str">
        <f>"Label Table wires conct I/O box USB, 210x140mm"</f>
        <v>Label Table wires conct I/O box USB, 210x140mm</v>
      </c>
      <c r="C2326" t="str">
        <f t="shared" si="98"/>
        <v>Active</v>
      </c>
    </row>
    <row r="2327" spans="1:3" ht="18" customHeight="1">
      <c r="A2327" t="str">
        <f>"102346"</f>
        <v>102346</v>
      </c>
      <c r="B2327" t="str">
        <f>"Sticker I/O Block A/C, B/D 20x14mm, white"</f>
        <v>Sticker I/O Block A/C, B/D 20x14mm, white</v>
      </c>
      <c r="C2327" t="str">
        <f t="shared" si="98"/>
        <v>Active</v>
      </c>
    </row>
    <row r="2328" spans="1:3" ht="18" customHeight="1">
      <c r="A2328" t="str">
        <f>"102347"</f>
        <v>102347</v>
      </c>
      <c r="B2328" t="str">
        <f>"Sticker I/O Numbers,white 1-10,11-18,19-28,29-36"</f>
        <v>Sticker I/O Numbers,white 1-10,11-18,19-28,29-36</v>
      </c>
      <c r="C2328" t="str">
        <f t="shared" si="98"/>
        <v>Active</v>
      </c>
    </row>
    <row r="2329" spans="1:3" ht="18" customHeight="1">
      <c r="A2329" t="str">
        <f>"102348"</f>
        <v>102348</v>
      </c>
      <c r="B2329" t="str">
        <f>"Label for Ballfeeder Sensor YET P/N 720000"</f>
        <v>Label for Ballfeeder Sensor YET P/N 720000</v>
      </c>
      <c r="C2329" t="str">
        <f t="shared" si="98"/>
        <v>Active</v>
      </c>
    </row>
    <row r="2330" spans="1:3" ht="18" customHeight="1">
      <c r="A2330" t="str">
        <f>"102349"</f>
        <v>102349</v>
      </c>
      <c r="B2330" t="str">
        <f>"Label for Ballfeeder Cable YET P/N 720000"</f>
        <v>Label for Ballfeeder Cable YET P/N 720000</v>
      </c>
      <c r="C2330" t="str">
        <f t="shared" si="98"/>
        <v>Active</v>
      </c>
    </row>
    <row r="2331" spans="1:3" ht="18" customHeight="1">
      <c r="A2331" t="str">
        <f>"102350"</f>
        <v>102350</v>
      </c>
      <c r="B2331" t="str">
        <f>"sticker - Chemical warning  for AutoAgronom"</f>
        <v>sticker - Chemical warning  for AutoAgronom</v>
      </c>
      <c r="C2331" t="str">
        <f>"New"</f>
        <v>New</v>
      </c>
    </row>
    <row r="2332" spans="1:3" ht="18" customHeight="1">
      <c r="A2332" t="str">
        <f>"102351"</f>
        <v>102351</v>
      </c>
      <c r="B2332" t="str">
        <f>"Label Polyester White with Numbers 1-80"</f>
        <v>Label Polyester White with Numbers 1-80</v>
      </c>
      <c r="C2332" t="str">
        <f>"ECO-N2Buy"</f>
        <v>ECO-N2Buy</v>
      </c>
    </row>
    <row r="2333" spans="1:3" ht="18" customHeight="1">
      <c r="A2333" t="str">
        <f>"102352"</f>
        <v>102352</v>
      </c>
      <c r="B2333" t="str">
        <f>"Label Printed Polyester ID Numbers"</f>
        <v>Label Printed Polyester ID Numbers</v>
      </c>
      <c r="C2333" t="str">
        <f>"ECO-N2Buy"</f>
        <v>ECO-N2Buy</v>
      </c>
    </row>
    <row r="2334" spans="1:3" ht="18" customHeight="1">
      <c r="A2334" t="str">
        <f>"102401"</f>
        <v>102401</v>
      </c>
      <c r="B2334" t="str">
        <f>"Label Coil Round/Square 20x60mm   English"</f>
        <v>Label Coil Round/Square 20x60mm   English</v>
      </c>
      <c r="C2334" t="str">
        <f t="shared" ref="C2334:C2351" si="99">"Active"</f>
        <v>Active</v>
      </c>
    </row>
    <row r="2335" spans="1:3" ht="18" customHeight="1">
      <c r="A2335" t="str">
        <f>"102402"</f>
        <v>102402</v>
      </c>
      <c r="B2335" t="str">
        <f>"Label SOL-SPRING 2/2 VALVE 20x40  English"</f>
        <v>Label SOL-SPRING 2/2 VALVE 20x40  English</v>
      </c>
      <c r="C2335" t="str">
        <f t="shared" si="99"/>
        <v>Active</v>
      </c>
    </row>
    <row r="2336" spans="1:3" ht="18" customHeight="1">
      <c r="A2336" t="str">
        <f>"102404"</f>
        <v>102404</v>
      </c>
      <c r="B2336" t="str">
        <f>"Label   NOT GATE 20x25mm  English"</f>
        <v>Label   NOT GATE 20x25mm  English</v>
      </c>
      <c r="C2336" t="str">
        <f t="shared" si="99"/>
        <v>Active</v>
      </c>
    </row>
    <row r="2337" spans="1:3" ht="18" customHeight="1">
      <c r="A2337" t="str">
        <f>"102405"</f>
        <v>102405</v>
      </c>
      <c r="B2337" t="str">
        <f>"Label OR GATE 20x25mm English"</f>
        <v>Label OR GATE 20x25mm English</v>
      </c>
      <c r="C2337" t="str">
        <f t="shared" si="99"/>
        <v>Active</v>
      </c>
    </row>
    <row r="2338" spans="1:3" ht="18" customHeight="1">
      <c r="A2338" t="str">
        <f>"102406"</f>
        <v>102406</v>
      </c>
      <c r="B2338" t="str">
        <f>"Label AND GATE 20x25mm  English"</f>
        <v>Label AND GATE 20x25mm  English</v>
      </c>
      <c r="C2338" t="str">
        <f t="shared" si="99"/>
        <v>Active</v>
      </c>
    </row>
    <row r="2339" spans="1:3" ht="18" customHeight="1">
      <c r="A2339" t="str">
        <f>"102407"</f>
        <v>102407</v>
      </c>
      <c r="B2339" t="str">
        <f>"Label Single Pilot Valve 20x40mm  English"</f>
        <v>Label Single Pilot Valve 20x40mm  English</v>
      </c>
      <c r="C2339" t="str">
        <f t="shared" si="99"/>
        <v>Active</v>
      </c>
    </row>
    <row r="2340" spans="1:3" ht="18" customHeight="1">
      <c r="A2340" t="str">
        <f>"102408"</f>
        <v>102408</v>
      </c>
      <c r="B2340" t="str">
        <f>"Label Hydraulic Power Unity 35x96mm  English"</f>
        <v>Label Hydraulic Power Unity 35x96mm  English</v>
      </c>
      <c r="C2340" t="str">
        <f t="shared" si="99"/>
        <v>Active</v>
      </c>
    </row>
    <row r="2341" spans="1:3" ht="18" customHeight="1">
      <c r="A2341" t="str">
        <f>"102409"</f>
        <v>102409</v>
      </c>
      <c r="B2341" t="str">
        <f>"Label 5/2 Valve Air Air 20x40mm  English"</f>
        <v>Label 5/2 Valve Air Air 20x40mm  English</v>
      </c>
      <c r="C2341" t="str">
        <f t="shared" si="99"/>
        <v>Active</v>
      </c>
    </row>
    <row r="2342" spans="1:3" ht="18" customHeight="1">
      <c r="A2342" t="str">
        <f>"102410"</f>
        <v>102410</v>
      </c>
      <c r="B2342" t="str">
        <f>"Label 3/2 Valve Push-Butt 20x40mm  English"</f>
        <v>Label 3/2 Valve Push-Butt 20x40mm  English</v>
      </c>
      <c r="C2342" t="str">
        <f t="shared" si="99"/>
        <v>Active</v>
      </c>
    </row>
    <row r="2343" spans="1:3" ht="18" customHeight="1">
      <c r="A2343" t="str">
        <f>"102411"</f>
        <v>102411</v>
      </c>
      <c r="B2343" t="str">
        <f>"Label 3/2 Valve Manual Op 20x40mm  English"</f>
        <v>Label 3/2 Valve Manual Op 20x40mm  English</v>
      </c>
      <c r="C2343" t="str">
        <f t="shared" si="99"/>
        <v>Active</v>
      </c>
    </row>
    <row r="2344" spans="1:3" ht="18" customHeight="1">
      <c r="A2344" t="str">
        <f>"102412"</f>
        <v>102412</v>
      </c>
      <c r="B2344" t="str">
        <f>"Label 3/2 Roller Valve 20x40mm  English"</f>
        <v>Label 3/2 Roller Valve 20x40mm  English</v>
      </c>
      <c r="C2344" t="str">
        <f t="shared" si="99"/>
        <v>Active</v>
      </c>
    </row>
    <row r="2345" spans="1:3" ht="18" customHeight="1">
      <c r="A2345" t="str">
        <f>"102414"</f>
        <v>102414</v>
      </c>
      <c r="B2345" t="str">
        <f>"Label Emergency   16 RAFIX 576204 403"</f>
        <v>Label Emergency   16 RAFIX 576204 403</v>
      </c>
      <c r="C2345" t="str">
        <f t="shared" si="99"/>
        <v>Active</v>
      </c>
    </row>
    <row r="2346" spans="1:3" ht="18" customHeight="1">
      <c r="A2346" t="str">
        <f>"102415"</f>
        <v>102415</v>
      </c>
      <c r="B2346" t="str">
        <f>"Lable Panel Control"</f>
        <v>Lable Panel Control</v>
      </c>
      <c r="C2346" t="str">
        <f t="shared" si="99"/>
        <v>Active</v>
      </c>
    </row>
    <row r="2347" spans="1:3" ht="18" customHeight="1">
      <c r="A2347" t="str">
        <f>"102416"</f>
        <v>102416</v>
      </c>
      <c r="B2347" t="str">
        <f>"Label for TB 8x231"</f>
        <v>Label for TB 8x231</v>
      </c>
      <c r="C2347" t="str">
        <f t="shared" si="99"/>
        <v>Active</v>
      </c>
    </row>
    <row r="2348" spans="1:3" ht="18" customHeight="1">
      <c r="A2348" t="str">
        <f>"102417"</f>
        <v>102417</v>
      </c>
      <c r="B2348" t="str">
        <f>"Sticker ER-MicroCIM, 54x460mm"</f>
        <v>Sticker ER-MicroCIM, 54x460mm</v>
      </c>
      <c r="C2348" t="str">
        <f t="shared" si="99"/>
        <v>Active</v>
      </c>
    </row>
    <row r="2349" spans="1:3" ht="18" customHeight="1">
      <c r="A2349" t="str">
        <f>"102419"</f>
        <v>102419</v>
      </c>
      <c r="B2349" t="str">
        <f>"Sticker Eshed Robotec, 54x780mm ** Not In Use **"</f>
        <v>Sticker Eshed Robotec, 54x780mm ** Not In Use **</v>
      </c>
      <c r="C2349" t="str">
        <f t="shared" si="99"/>
        <v>Active</v>
      </c>
    </row>
    <row r="2350" spans="1:3" ht="18" customHeight="1">
      <c r="A2350" t="str">
        <f>"102420"</f>
        <v>102420</v>
      </c>
      <c r="B2350" t="str">
        <f>"Sticker PVC for Stat.Box OPEN CIM"</f>
        <v>Sticker PVC for Stat.Box OPEN CIM</v>
      </c>
      <c r="C2350" t="str">
        <f t="shared" si="99"/>
        <v>Active</v>
      </c>
    </row>
    <row r="2351" spans="1:3" ht="18" customHeight="1">
      <c r="A2351" t="str">
        <f>"102421"</f>
        <v>102421</v>
      </c>
      <c r="B2351" t="str">
        <f>"Sticker PVC -Stat.Box Cover OPEN CIM"</f>
        <v>Sticker PVC -Stat.Box Cover OPEN CIM</v>
      </c>
      <c r="C2351" t="str">
        <f t="shared" si="99"/>
        <v>Active</v>
      </c>
    </row>
    <row r="2352" spans="1:3" ht="18" customHeight="1">
      <c r="A2352" t="str">
        <f>"102423"</f>
        <v>102423</v>
      </c>
      <c r="B2352" t="str">
        <f>"Label CN2/Safety"</f>
        <v>Label CN2/Safety</v>
      </c>
      <c r="C2352" t="str">
        <f>"New"</f>
        <v>New</v>
      </c>
    </row>
    <row r="2353" spans="1:3" ht="18" customHeight="1">
      <c r="A2353" t="str">
        <f>"102427"</f>
        <v>102427</v>
      </c>
      <c r="B2353" t="str">
        <f>"Sticker X X-Y TABLE  20x15"</f>
        <v>Sticker X X-Y TABLE  20x15</v>
      </c>
      <c r="C2353" t="str">
        <f t="shared" ref="C2353:C2399" si="100">"Active"</f>
        <v>Active</v>
      </c>
    </row>
    <row r="2354" spans="1:3" ht="18" customHeight="1">
      <c r="A2354" t="str">
        <f>"102428"</f>
        <v>102428</v>
      </c>
      <c r="B2354" t="str">
        <f>"Sticker Y X-Y TABLE  20x15"</f>
        <v>Sticker Y X-Y TABLE  20x15</v>
      </c>
      <c r="C2354" t="str">
        <f t="shared" si="100"/>
        <v>Active</v>
      </c>
    </row>
    <row r="2355" spans="1:3" ht="18" customHeight="1">
      <c r="A2355" t="str">
        <f>"102430"</f>
        <v>102430</v>
      </c>
      <c r="B2355" t="str">
        <f>"cable stck. EPC RBW10F         NORTEC"</f>
        <v>cable stck. EPC RBW10F         NORTEC</v>
      </c>
      <c r="C2355" t="str">
        <f t="shared" si="100"/>
        <v>Active</v>
      </c>
    </row>
    <row r="2356" spans="1:3" ht="18" customHeight="1">
      <c r="A2356" t="str">
        <f>"102445"</f>
        <v>102445</v>
      </c>
      <c r="B2356" t="str">
        <f>"Label Input 12VDC 20x40  English"</f>
        <v>Label Input 12VDC 20x40  English</v>
      </c>
      <c r="C2356" t="str">
        <f t="shared" si="100"/>
        <v>Active</v>
      </c>
    </row>
    <row r="2357" spans="1:3" ht="18" customHeight="1">
      <c r="A2357" t="str">
        <f>"102469"</f>
        <v>102469</v>
      </c>
      <c r="B2357" t="str">
        <f>"Label for Condition. Unit 20x40  English"</f>
        <v>Label for Condition. Unit 20x40  English</v>
      </c>
      <c r="C2357" t="str">
        <f t="shared" si="100"/>
        <v>Active</v>
      </c>
    </row>
    <row r="2358" spans="1:3" ht="18" customHeight="1">
      <c r="A2358" t="str">
        <f>"102473"</f>
        <v>102473</v>
      </c>
      <c r="B2358" t="str">
        <f>"Label for Autom.Welding, Silver 250x50"</f>
        <v>Label for Autom.Welding, Silver 250x50</v>
      </c>
      <c r="C2358" t="str">
        <f t="shared" si="100"/>
        <v>Active</v>
      </c>
    </row>
    <row r="2359" spans="1:3" ht="18" customHeight="1">
      <c r="A2359" t="str">
        <f>"102474"</f>
        <v>102474</v>
      </c>
      <c r="B2359" t="str">
        <f>"Sticker Danger (English) Welding Booth"</f>
        <v>Sticker Danger (English) Welding Booth</v>
      </c>
      <c r="C2359" t="str">
        <f t="shared" si="100"/>
        <v>Active</v>
      </c>
    </row>
    <row r="2360" spans="1:3" ht="18" customHeight="1">
      <c r="A2360" t="str">
        <f>"102477"</f>
        <v>102477</v>
      </c>
      <c r="B2360" t="str">
        <f>"Label silver Polyester 64x42"</f>
        <v>Label silver Polyester 64x42</v>
      </c>
      <c r="C2360" t="str">
        <f t="shared" si="100"/>
        <v>Active</v>
      </c>
    </row>
    <row r="2361" spans="1:3" ht="18" customHeight="1">
      <c r="A2361" t="str">
        <f>"102478"</f>
        <v>102478</v>
      </c>
      <c r="B2361" t="str">
        <f>"Sticker PolyCarbBlue for USB 5 colors, 303x102mm"</f>
        <v>Sticker PolyCarbBlue for USB 5 colors, 303x102mm</v>
      </c>
      <c r="C2361" t="str">
        <f t="shared" si="100"/>
        <v>Active</v>
      </c>
    </row>
    <row r="2362" spans="1:3" ht="18" customHeight="1">
      <c r="A2362" t="str">
        <f>"102480"</f>
        <v>102480</v>
      </c>
      <c r="B2362" t="str">
        <f>"Label 3/2 Valve Sol Spring 20x40  English"</f>
        <v>Label 3/2 Valve Sol Spring 20x40  English</v>
      </c>
      <c r="C2362" t="str">
        <f t="shared" si="100"/>
        <v>Active</v>
      </c>
    </row>
    <row r="2363" spans="1:3" ht="18" customHeight="1">
      <c r="A2363" t="str">
        <f>"102483"</f>
        <v>102483</v>
      </c>
      <c r="B2363" t="str">
        <f>"Sticker ASRS-36u, 220x45mm"</f>
        <v>Sticker ASRS-36u, 220x45mm</v>
      </c>
      <c r="C2363" t="str">
        <f t="shared" si="100"/>
        <v>Active</v>
      </c>
    </row>
    <row r="2364" spans="1:3" ht="18" customHeight="1">
      <c r="A2364" t="str">
        <f>"102484"</f>
        <v>102484</v>
      </c>
      <c r="B2364" t="str">
        <f>"Sticker X,Y,Z,T  White"</f>
        <v>Sticker X,Y,Z,T  White</v>
      </c>
      <c r="C2364" t="str">
        <f t="shared" si="100"/>
        <v>Active</v>
      </c>
    </row>
    <row r="2365" spans="1:3" ht="18" customHeight="1">
      <c r="A2365" t="str">
        <f>"102488"</f>
        <v>102488</v>
      </c>
      <c r="B2365" t="str">
        <f>"Sticker PolyContER-2uDEPCO 4 colors, 303x102mm"</f>
        <v>Sticker PolyContER-2uDEPCO 4 colors, 303x102mm</v>
      </c>
      <c r="C2365" t="str">
        <f t="shared" si="100"/>
        <v>Active</v>
      </c>
    </row>
    <row r="2366" spans="1:3" ht="18" customHeight="1">
      <c r="A2366" t="str">
        <f>"102491"</f>
        <v>102491</v>
      </c>
      <c r="B2366" t="str">
        <f>"StickerUpgrade to ER-4u 109 x 15 mm"</f>
        <v>StickerUpgrade to ER-4u 109 x 15 mm</v>
      </c>
      <c r="C2366" t="str">
        <f t="shared" si="100"/>
        <v>Active</v>
      </c>
    </row>
    <row r="2367" spans="1:3" ht="18" customHeight="1">
      <c r="A2367" t="str">
        <f>"102494"</f>
        <v>102494</v>
      </c>
      <c r="B2367" t="str">
        <f>"Label for TB for Dig.Inpu 8x112TranspPVC"</f>
        <v>Label for TB for Dig.Inpu 8x112TranspPVC</v>
      </c>
      <c r="C2367" t="str">
        <f t="shared" si="100"/>
        <v>Active</v>
      </c>
    </row>
    <row r="2368" spans="1:3" ht="18" customHeight="1">
      <c r="A2368" t="str">
        <f>"102495"</f>
        <v>102495</v>
      </c>
      <c r="B2368" t="str">
        <f>"Label for TB for RelayOutp 8x56TranspPVC"</f>
        <v>Label for TB for RelayOutp 8x56TranspPVC</v>
      </c>
      <c r="C2368" t="str">
        <f t="shared" si="100"/>
        <v>Active</v>
      </c>
    </row>
    <row r="2369" spans="1:3" ht="18" customHeight="1">
      <c r="A2369" t="str">
        <f>"102501"</f>
        <v>102501</v>
      </c>
      <c r="B2369" t="str">
        <f>"Sticker Poly Carb. Set, ER5 Cont.(5 Gray+1 Blk.)"</f>
        <v>Sticker Poly Carb. Set, ER5 Cont.(5 Gray+1 Blk.)</v>
      </c>
      <c r="C2369" t="str">
        <f t="shared" si="100"/>
        <v>Active</v>
      </c>
    </row>
    <row r="2370" spans="1:3" ht="18" customHeight="1">
      <c r="A2370" t="str">
        <f>"102503"</f>
        <v>102503</v>
      </c>
      <c r="B2370" t="str">
        <f>"Sticker Round  - Blk.  D=31.5mm,d=9.5mm"</f>
        <v>Sticker Round  - Blk.  D=31.5mm,d=9.5mm</v>
      </c>
      <c r="C2370" t="str">
        <f t="shared" si="100"/>
        <v>Active</v>
      </c>
    </row>
    <row r="2371" spans="1:3" ht="18" customHeight="1">
      <c r="A2371" t="str">
        <f>"102515"</f>
        <v>102515</v>
      </c>
      <c r="B2371" t="str">
        <f>"Stick strip PVC black  1.5x12"</f>
        <v>Stick strip PVC black  1.5x12</v>
      </c>
      <c r="C2371" t="str">
        <f t="shared" si="100"/>
        <v>Active</v>
      </c>
    </row>
    <row r="2372" spans="1:3" ht="18" customHeight="1">
      <c r="A2372" t="str">
        <f>"102518"</f>
        <v>102518</v>
      </c>
      <c r="B2372" t="str">
        <f>"Back Panel Sticker Controller B NIU"</f>
        <v>Back Panel Sticker Controller B NIU</v>
      </c>
      <c r="C2372" t="str">
        <f t="shared" si="100"/>
        <v>Active</v>
      </c>
    </row>
    <row r="2373" spans="1:3" ht="18" customHeight="1">
      <c r="A2373" t="str">
        <f>"102527"</f>
        <v>102527</v>
      </c>
      <c r="B2373" t="str">
        <f>"Label Valve 5/2 Air Air, 20 x 40"</f>
        <v>Label Valve 5/2 Air Air, 20 x 40</v>
      </c>
      <c r="C2373" t="str">
        <f t="shared" si="100"/>
        <v>Active</v>
      </c>
    </row>
    <row r="2374" spans="1:3" ht="18" customHeight="1">
      <c r="A2374" t="str">
        <f>"102532"</f>
        <v>102532</v>
      </c>
      <c r="B2374" t="str">
        <f>"Label For Mainfold Strip, 20 x 40"</f>
        <v>Label For Mainfold Strip, 20 x 40</v>
      </c>
      <c r="C2374" t="str">
        <f t="shared" si="100"/>
        <v>Active</v>
      </c>
    </row>
    <row r="2375" spans="1:3" ht="18" customHeight="1">
      <c r="A2375" t="str">
        <f>"102563"</f>
        <v>102563</v>
      </c>
      <c r="B2375" t="str">
        <f>"Label For Delay Valve 20x40"</f>
        <v>Label For Delay Valve 20x40</v>
      </c>
      <c r="C2375" t="str">
        <f t="shared" si="100"/>
        <v>Active</v>
      </c>
    </row>
    <row r="2376" spans="1:3" ht="18" customHeight="1">
      <c r="A2376" t="str">
        <f>"102564"</f>
        <v>102564</v>
      </c>
      <c r="B2376" t="str">
        <f>"Label Hydraulic Power Pack 41x102mm"</f>
        <v>Label Hydraulic Power Pack 41x102mm</v>
      </c>
      <c r="C2376" t="str">
        <f t="shared" si="100"/>
        <v>Active</v>
      </c>
    </row>
    <row r="2377" spans="1:3" ht="18" customHeight="1">
      <c r="A2377" t="str">
        <f>"102565"</f>
        <v>102565</v>
      </c>
      <c r="B2377" t="str">
        <f>"Label ON/OFF 18x18"</f>
        <v>Label ON/OFF 18x18</v>
      </c>
      <c r="C2377" t="str">
        <f t="shared" si="100"/>
        <v>Active</v>
      </c>
    </row>
    <row r="2378" spans="1:3" ht="18" customHeight="1">
      <c r="A2378" t="str">
        <f>"102568"</f>
        <v>102568</v>
      </c>
      <c r="B2378" t="str">
        <f>"Label + -  10x28"</f>
        <v>Label + -  10x28</v>
      </c>
      <c r="C2378" t="str">
        <f t="shared" si="100"/>
        <v>Active</v>
      </c>
    </row>
    <row r="2379" spans="1:3" ht="18" customHeight="1">
      <c r="A2379" t="str">
        <f>"102569"</f>
        <v>102569</v>
      </c>
      <c r="B2379" t="str">
        <f>"Label + - + 10x40"</f>
        <v>Label + - + 10x40</v>
      </c>
      <c r="C2379" t="str">
        <f t="shared" si="100"/>
        <v>Active</v>
      </c>
    </row>
    <row r="2380" spans="1:3" ht="18" customHeight="1">
      <c r="A2380" t="str">
        <f>"102571"</f>
        <v>102571</v>
      </c>
      <c r="B2380" t="str">
        <f>"Label Warning L.S.B"</f>
        <v>Label Warning L.S.B</v>
      </c>
      <c r="C2380" t="str">
        <f t="shared" si="100"/>
        <v>Active</v>
      </c>
    </row>
    <row r="2381" spans="1:3" ht="18" customHeight="1">
      <c r="A2381" t="str">
        <f>"102574"</f>
        <v>102574</v>
      </c>
      <c r="B2381" t="str">
        <f>"Label OUT + -  10x40"</f>
        <v>Label OUT + -  10x40</v>
      </c>
      <c r="C2381" t="str">
        <f t="shared" si="100"/>
        <v>Active</v>
      </c>
    </row>
    <row r="2382" spans="1:3" ht="18" customHeight="1">
      <c r="A2382" t="str">
        <f>"102576"</f>
        <v>102576</v>
      </c>
      <c r="B2382" t="str">
        <f>"Label 3/2 Valve Air Spring 20x40  English"</f>
        <v>Label 3/2 Valve Air Spring 20x40  English</v>
      </c>
      <c r="C2382" t="str">
        <f t="shared" si="100"/>
        <v>Active</v>
      </c>
    </row>
    <row r="2383" spans="1:3" ht="18" customHeight="1">
      <c r="A2383" t="str">
        <f>"102577"</f>
        <v>102577</v>
      </c>
      <c r="B2383" t="str">
        <f>"Label For Mainfold Strip 20x40  English"</f>
        <v>Label For Mainfold Strip 20x40  English</v>
      </c>
      <c r="C2383" t="str">
        <f t="shared" si="100"/>
        <v>Active</v>
      </c>
    </row>
    <row r="2384" spans="1:3" ht="18" customHeight="1">
      <c r="A2384" t="str">
        <f>"102579"</f>
        <v>102579</v>
      </c>
      <c r="B2384" t="str">
        <f>"Label-Double Acting Cylin 20x40  English"</f>
        <v>Label-Double Acting Cylin 20x40  English</v>
      </c>
      <c r="C2384" t="str">
        <f t="shared" si="100"/>
        <v>Active</v>
      </c>
    </row>
    <row r="2385" spans="1:3" ht="18" customHeight="1">
      <c r="A2385" t="str">
        <f>"102580"</f>
        <v>102580</v>
      </c>
      <c r="B2385" t="str">
        <f>"Label Single Pilot Valve 20x40  English"</f>
        <v>Label Single Pilot Valve 20x40  English</v>
      </c>
      <c r="C2385" t="str">
        <f t="shared" si="100"/>
        <v>Active</v>
      </c>
    </row>
    <row r="2386" spans="1:3" ht="18" customHeight="1">
      <c r="A2386" t="str">
        <f>"102581"</f>
        <v>102581</v>
      </c>
      <c r="B2386" t="str">
        <f>"Label For Delay Valve 20x40  English"</f>
        <v>Label For Delay Valve 20x40  English</v>
      </c>
      <c r="C2386" t="str">
        <f t="shared" si="100"/>
        <v>Active</v>
      </c>
    </row>
    <row r="2387" spans="1:3" ht="18" customHeight="1">
      <c r="A2387" t="str">
        <f>"102582"</f>
        <v>102582</v>
      </c>
      <c r="B2387" t="str">
        <f>"Label 5/2 Valve Sol  sol 20x40  English"</f>
        <v>Label 5/2 Valve Sol  sol 20x40  English</v>
      </c>
      <c r="C2387" t="str">
        <f t="shared" si="100"/>
        <v>Active</v>
      </c>
    </row>
    <row r="2388" spans="1:3" ht="18" customHeight="1">
      <c r="A2388" t="str">
        <f>"102585"</f>
        <v>102585</v>
      </c>
      <c r="B2388" t="str">
        <f>"Label VALVE 4/3 OPEN CENT 20x40  English"</f>
        <v>Label VALVE 4/3 OPEN CENT 20x40  English</v>
      </c>
      <c r="C2388" t="str">
        <f t="shared" si="100"/>
        <v>Active</v>
      </c>
    </row>
    <row r="2389" spans="1:3" ht="18" customHeight="1">
      <c r="A2389" t="str">
        <f>"102586"</f>
        <v>102586</v>
      </c>
      <c r="B2389" t="str">
        <f>"Label Bi-Directional Valve 20x30  English"</f>
        <v>Label Bi-Directional Valve 20x30  English</v>
      </c>
      <c r="C2389" t="str">
        <f t="shared" si="100"/>
        <v>Active</v>
      </c>
    </row>
    <row r="2390" spans="1:3" ht="18" customHeight="1">
      <c r="A2390" t="str">
        <f>"102587"</f>
        <v>102587</v>
      </c>
      <c r="B2390" t="str">
        <f>"Label Uni-directional Valve 20x30  English"</f>
        <v>Label Uni-directional Valve 20x30  English</v>
      </c>
      <c r="C2390" t="str">
        <f t="shared" si="100"/>
        <v>Active</v>
      </c>
    </row>
    <row r="2391" spans="1:3" ht="18" customHeight="1">
      <c r="A2391" t="str">
        <f>"102588"</f>
        <v>102588</v>
      </c>
      <c r="B2391" t="str">
        <f>"Label Pressure Relief Val 40x40  English"</f>
        <v>Label Pressure Relief Val 40x40  English</v>
      </c>
      <c r="C2391" t="str">
        <f t="shared" si="100"/>
        <v>Active</v>
      </c>
    </row>
    <row r="2392" spans="1:3" ht="18" customHeight="1">
      <c r="A2392" t="str">
        <f>"102589"</f>
        <v>102589</v>
      </c>
      <c r="B2392" t="str">
        <f>"Label For Flow Meter 20x40  English"</f>
        <v>Label For Flow Meter 20x40  English</v>
      </c>
      <c r="C2392" t="str">
        <f t="shared" si="100"/>
        <v>Active</v>
      </c>
    </row>
    <row r="2393" spans="1:3" ht="18" customHeight="1">
      <c r="A2393" t="str">
        <f>"102590"</f>
        <v>102590</v>
      </c>
      <c r="B2393" t="str">
        <f>"Label For Pressure gauge 12x40  English"</f>
        <v>Label For Pressure gauge 12x40  English</v>
      </c>
      <c r="C2393" t="str">
        <f t="shared" si="100"/>
        <v>Active</v>
      </c>
    </row>
    <row r="2394" spans="1:3" ht="18" customHeight="1">
      <c r="A2394" t="str">
        <f>"102591"</f>
        <v>102591</v>
      </c>
      <c r="B2394" t="str">
        <f>"Label For Mainfold 20x40  English"</f>
        <v>Label For Mainfold 20x40  English</v>
      </c>
      <c r="C2394" t="str">
        <f t="shared" si="100"/>
        <v>Active</v>
      </c>
    </row>
    <row r="2395" spans="1:3" ht="18" customHeight="1">
      <c r="A2395" t="str">
        <f>"102592"</f>
        <v>102592</v>
      </c>
      <c r="B2395" t="str">
        <f>"Label 4/3 Valve Close Cen 40x40  English"</f>
        <v>Label 4/3 Valve Close Cen 40x40  English</v>
      </c>
      <c r="C2395" t="str">
        <f t="shared" si="100"/>
        <v>Active</v>
      </c>
    </row>
    <row r="2396" spans="1:3" ht="18" customHeight="1">
      <c r="A2396" t="str">
        <f>"102593"</f>
        <v>102593</v>
      </c>
      <c r="B2396" t="str">
        <f>"Label Press Reducing Valve 40x40  English"</f>
        <v>Label Press Reducing Valve 40x40  English</v>
      </c>
      <c r="C2396" t="str">
        <f t="shared" si="100"/>
        <v>Active</v>
      </c>
    </row>
    <row r="2397" spans="1:3" ht="18" customHeight="1">
      <c r="A2397" t="str">
        <f>"102595"</f>
        <v>102595</v>
      </c>
      <c r="B2397" t="str">
        <f>"Label 4/3 Valve  Sol Sol 40x40  English"</f>
        <v>Label 4/3 Valve  Sol Sol 40x40  English</v>
      </c>
      <c r="C2397" t="str">
        <f t="shared" si="100"/>
        <v>Active</v>
      </c>
    </row>
    <row r="2398" spans="1:3" ht="18" customHeight="1">
      <c r="A2398" t="str">
        <f>"102597"</f>
        <v>102597</v>
      </c>
      <c r="B2398" t="str">
        <f>"Label 4/2 Valve Sol Spring 40x40  English"</f>
        <v>Label 4/2 Valve Sol Spring 40x40  English</v>
      </c>
      <c r="C2398" t="str">
        <f t="shared" si="100"/>
        <v>Active</v>
      </c>
    </row>
    <row r="2399" spans="1:3" ht="18" customHeight="1">
      <c r="A2399" t="str">
        <f>"102599"</f>
        <v>102599</v>
      </c>
      <c r="B2399" t="str">
        <f>"Label Temperature Gauge 20x40  English"</f>
        <v>Label Temperature Gauge 20x40  English</v>
      </c>
      <c r="C2399" t="str">
        <f t="shared" si="100"/>
        <v>Active</v>
      </c>
    </row>
    <row r="2400" spans="1:3" ht="18" customHeight="1">
      <c r="A2400" t="str">
        <f>"102601"</f>
        <v>102601</v>
      </c>
      <c r="B2400" t="str">
        <f>"Membrane Touch Panel for ER3"</f>
        <v>Membrane Touch Panel for ER3</v>
      </c>
      <c r="C2400" t="str">
        <f>"Phase Out"</f>
        <v>Phase Out</v>
      </c>
    </row>
    <row r="2401" spans="1:3" ht="18" customHeight="1">
      <c r="A2401" t="str">
        <f>"102602"</f>
        <v>102602</v>
      </c>
      <c r="B2401" t="str">
        <f>"Membrane Touch Panel TN70-06QM   TEACH PENDANT"</f>
        <v>Membrane Touch Panel TN70-06QM   TEACH PENDANT</v>
      </c>
      <c r="C2401" t="str">
        <f>"Phase Out"</f>
        <v>Phase Out</v>
      </c>
    </row>
    <row r="2402" spans="1:3" ht="18" customHeight="1">
      <c r="A2402" t="str">
        <f>"102604"</f>
        <v>102604</v>
      </c>
      <c r="B2402" t="str">
        <f>"Membrane Touch Panel TN70-02QZ TECHNOR MOLEX"</f>
        <v>Membrane Touch Panel TN70-02QZ TECHNOR MOLEX</v>
      </c>
      <c r="C2402" t="str">
        <f>"Phase Out"</f>
        <v>Phase Out</v>
      </c>
    </row>
    <row r="2403" spans="1:3" ht="18" customHeight="1">
      <c r="A2403" t="str">
        <f>"102607"</f>
        <v>102607</v>
      </c>
      <c r="B2403" t="str">
        <f>"Membrane Touch Panel for TeachPend 00-1710-0000"</f>
        <v>Membrane Touch Panel for TeachPend 00-1710-0000</v>
      </c>
      <c r="C2403" t="str">
        <f>"ECO-N2Buy"</f>
        <v>ECO-N2Buy</v>
      </c>
    </row>
    <row r="2404" spans="1:3" ht="18" customHeight="1">
      <c r="A2404" t="str">
        <f>"102608"</f>
        <v>102608</v>
      </c>
      <c r="B2404" t="str">
        <f>"Set of 12 Tags AutoAgronom"</f>
        <v>Set of 12 Tags AutoAgronom</v>
      </c>
      <c r="C2404" t="str">
        <f>"Active"</f>
        <v>Active</v>
      </c>
    </row>
    <row r="2405" spans="1:3" ht="18" customHeight="1">
      <c r="A2405" t="str">
        <f>"102609"</f>
        <v>102609</v>
      </c>
      <c r="B2405" t="str">
        <f>"Sticker for fuse&amp;input""FUSE 2A 250V&amp;INPUT 24VDC"""</f>
        <v>Sticker for fuse&amp;input"FUSE 2A 250V&amp;INPUT 24VDC"</v>
      </c>
      <c r="C2405" t="str">
        <f>"Active"</f>
        <v>Active</v>
      </c>
    </row>
    <row r="2406" spans="1:3" ht="18" customHeight="1">
      <c r="A2406" t="str">
        <f>"102610"</f>
        <v>102610</v>
      </c>
      <c r="B2406" t="str">
        <f>"Sticker for plug 040495"</f>
        <v>Sticker for plug 040495</v>
      </c>
      <c r="C2406" t="str">
        <f>"New"</f>
        <v>New</v>
      </c>
    </row>
    <row r="2407" spans="1:3" ht="18" customHeight="1">
      <c r="A2407" t="str">
        <f>"102611"</f>
        <v>102611</v>
      </c>
      <c r="B2407" t="str">
        <f>"label for product tag"</f>
        <v>label for product tag</v>
      </c>
      <c r="C2407" t="str">
        <f>"Active"</f>
        <v>Active</v>
      </c>
    </row>
    <row r="2408" spans="1:3" ht="18" customHeight="1">
      <c r="A2408" t="str">
        <f>"102612"</f>
        <v>102612</v>
      </c>
      <c r="B2408" t="str">
        <f>"Sticker for Input ""INPUT 24VDC 2.5A"""</f>
        <v>Sticker for Input "INPUT 24VDC 2.5A"</v>
      </c>
      <c r="C2408" t="str">
        <f>"Active"</f>
        <v>Active</v>
      </c>
    </row>
    <row r="2409" spans="1:3" ht="18" customHeight="1">
      <c r="A2409" t="str">
        <f>"103001"</f>
        <v>103001</v>
      </c>
      <c r="B2409" t="str">
        <f>"Carton Thr.Wall -ER7 Arm, 930 x 625 x 510(mm)"</f>
        <v>Carton Thr.Wall -ER7 Arm, 930 x 625 x 510(mm)</v>
      </c>
      <c r="C2409" t="str">
        <f>"Active"</f>
        <v>Active</v>
      </c>
    </row>
    <row r="2410" spans="1:3" ht="18" customHeight="1">
      <c r="A2410" t="str">
        <f>"103002"</f>
        <v>103002</v>
      </c>
      <c r="B2410" t="str">
        <f>"Carton Dbl.Wall -ER5/7 Con 720x645x355 (mm)"</f>
        <v>Carton Dbl.Wall -ER5/7 Con 720x645x355 (mm)</v>
      </c>
      <c r="C2410" t="str">
        <f>"Active"</f>
        <v>Active</v>
      </c>
    </row>
    <row r="2411" spans="1:3" ht="18" customHeight="1">
      <c r="A2411" t="str">
        <f>"103003"</f>
        <v>103003</v>
      </c>
      <c r="B2411" t="str">
        <f>"Carton Thr.Wall for ER4U, 700x500x380mm"</f>
        <v>Carton Thr.Wall for ER4U, 700x500x380mm</v>
      </c>
      <c r="C2411" t="str">
        <f>"New"</f>
        <v>New</v>
      </c>
    </row>
    <row r="2412" spans="1:3" ht="18" customHeight="1">
      <c r="A2412" t="str">
        <f>"103004"</f>
        <v>103004</v>
      </c>
      <c r="B2412" t="str">
        <f>"Padding Carton for TP 230x200x100mm"</f>
        <v>Padding Carton for TP 230x200x100mm</v>
      </c>
      <c r="C2412" t="str">
        <f t="shared" ref="C2412:C2418" si="101">"Active"</f>
        <v>Active</v>
      </c>
    </row>
    <row r="2413" spans="1:3" ht="18" customHeight="1">
      <c r="A2413" t="str">
        <f>"103005"</f>
        <v>103005</v>
      </c>
      <c r="B2413" t="str">
        <f>"Carton Dbl.Wall -Conveyor 890x305x165mm"</f>
        <v>Carton Dbl.Wall -Conveyor 890x305x165mm</v>
      </c>
      <c r="C2413" t="str">
        <f t="shared" si="101"/>
        <v>Active</v>
      </c>
    </row>
    <row r="2414" spans="1:3" ht="18" customHeight="1">
      <c r="A2414" t="str">
        <f>"103006"</f>
        <v>103006</v>
      </c>
      <c r="B2414" t="str">
        <f>"Carton Single Wall Rotary Table 380x380x295 mm"</f>
        <v>Carton Single Wall Rotary Table 380x380x295 mm</v>
      </c>
      <c r="C2414" t="str">
        <f t="shared" si="101"/>
        <v>Active</v>
      </c>
    </row>
    <row r="2415" spans="1:3" ht="18" customHeight="1">
      <c r="A2415" t="str">
        <f>"103007"</f>
        <v>103007</v>
      </c>
      <c r="B2415" t="str">
        <f>"Carton Sgl.Wall 245x155x90 mm"</f>
        <v>Carton Sgl.Wall 245x155x90 mm</v>
      </c>
      <c r="C2415" t="str">
        <f t="shared" si="101"/>
        <v>Active</v>
      </c>
    </row>
    <row r="2416" spans="1:3" ht="18" customHeight="1">
      <c r="A2416" t="str">
        <f>"103008"</f>
        <v>103008</v>
      </c>
      <c r="B2416" t="str">
        <f>"Carton Sgl.Wall -MS/GV 360x230x170mm"</f>
        <v>Carton Sgl.Wall -MS/GV 360x230x170mm</v>
      </c>
      <c r="C2416" t="str">
        <f t="shared" si="101"/>
        <v>Active</v>
      </c>
    </row>
    <row r="2417" spans="1:3" ht="18" customHeight="1">
      <c r="A2417" t="str">
        <f>"103014"</f>
        <v>103014</v>
      </c>
      <c r="B2417" t="str">
        <f>"Carton Dbl.Wall 540x420x180 mm"</f>
        <v>Carton Dbl.Wall 540x420x180 mm</v>
      </c>
      <c r="C2417" t="str">
        <f t="shared" si="101"/>
        <v>Active</v>
      </c>
    </row>
    <row r="2418" spans="1:3" ht="18" customHeight="1">
      <c r="A2418" t="str">
        <f>"103015"</f>
        <v>103015</v>
      </c>
      <c r="B2418" t="str">
        <f>"Carton Dbl.Wall 430x280x160 mm"</f>
        <v>Carton Dbl.Wall 430x280x160 mm</v>
      </c>
      <c r="C2418" t="str">
        <f t="shared" si="101"/>
        <v>Active</v>
      </c>
    </row>
    <row r="2419" spans="1:3" ht="18" customHeight="1">
      <c r="A2419" t="str">
        <f>"103029"</f>
        <v>103029</v>
      </c>
      <c r="B2419" t="str">
        <f>"Carton Thr.Wall for LSB1000 ScrewDr 2000x450x300"</f>
        <v>Carton Thr.Wall for LSB1000 ScrewDr 2000x450x300</v>
      </c>
      <c r="C2419" t="str">
        <f>"ECO-N2Buy"</f>
        <v>ECO-N2Buy</v>
      </c>
    </row>
    <row r="2420" spans="1:3" ht="18" customHeight="1">
      <c r="A2420" t="str">
        <f>"103031"</f>
        <v>103031</v>
      </c>
      <c r="B2420" t="str">
        <f>"Carton for Softwares For 10x1.44"" or CD+2"</f>
        <v>Carton for Softwares For 10x1.44" or CD+2</v>
      </c>
      <c r="C2420" t="str">
        <f t="shared" ref="C2420:C2433" si="102">"Active"</f>
        <v>Active</v>
      </c>
    </row>
    <row r="2421" spans="1:3" ht="18" customHeight="1">
      <c r="A2421" t="str">
        <f>"103032"</f>
        <v>103032</v>
      </c>
      <c r="B2421" t="str">
        <f>"Carton Sgl.Wall  200x130x70 (mm)"</f>
        <v>Carton Sgl.Wall  200x130x70 (mm)</v>
      </c>
      <c r="C2421" t="str">
        <f t="shared" si="102"/>
        <v>Active</v>
      </c>
    </row>
    <row r="2422" spans="1:3" ht="18" customHeight="1">
      <c r="A2422" t="str">
        <f>"103033"</f>
        <v>103033</v>
      </c>
      <c r="B2422" t="str">
        <f>"Carton Sgl.Wall  145x95x75 (mm)"</f>
        <v>Carton Sgl.Wall  145x95x75 (mm)</v>
      </c>
      <c r="C2422" t="str">
        <f t="shared" si="102"/>
        <v>Active</v>
      </c>
    </row>
    <row r="2423" spans="1:3" ht="18" customHeight="1">
      <c r="A2423" t="str">
        <f>"103034"</f>
        <v>103034</v>
      </c>
      <c r="B2423" t="str">
        <f>"Carton Sgl.Wall  150x150x80 (mm)"</f>
        <v>Carton Sgl.Wall  150x150x80 (mm)</v>
      </c>
      <c r="C2423" t="str">
        <f t="shared" si="102"/>
        <v>Active</v>
      </c>
    </row>
    <row r="2424" spans="1:3" ht="18" customHeight="1">
      <c r="A2424" t="str">
        <f>"103035"</f>
        <v>103035</v>
      </c>
      <c r="B2424" t="str">
        <f>"Carton Sgl.Wall  300x120x120 (mm)"</f>
        <v>Carton Sgl.Wall  300x120x120 (mm)</v>
      </c>
      <c r="C2424" t="str">
        <f t="shared" si="102"/>
        <v>Active</v>
      </c>
    </row>
    <row r="2425" spans="1:3" ht="18" customHeight="1">
      <c r="A2425" t="str">
        <f>"103036"</f>
        <v>103036</v>
      </c>
      <c r="B2425" t="str">
        <f>"Carton Sgl.Wall  200x200x130 (mm)"</f>
        <v>Carton Sgl.Wall  200x200x130 (mm)</v>
      </c>
      <c r="C2425" t="str">
        <f t="shared" si="102"/>
        <v>Active</v>
      </c>
    </row>
    <row r="2426" spans="1:3" ht="18" customHeight="1">
      <c r="A2426" t="str">
        <f>"103037"</f>
        <v>103037</v>
      </c>
      <c r="B2426" t="str">
        <f>"Sgl.Wall Carton a=230, b=120, h=100mm"</f>
        <v>Sgl.Wall Carton a=230, b=120, h=100mm</v>
      </c>
      <c r="C2426" t="str">
        <f t="shared" si="102"/>
        <v>Active</v>
      </c>
    </row>
    <row r="2427" spans="1:3" ht="18" customHeight="1">
      <c r="A2427" t="str">
        <f>"103038"</f>
        <v>103038</v>
      </c>
      <c r="B2427" t="str">
        <f>"Carton Sgl.Wall  240x180x140 mm"</f>
        <v>Carton Sgl.Wall  240x180x140 mm</v>
      </c>
      <c r="C2427" t="str">
        <f t="shared" si="102"/>
        <v>Active</v>
      </c>
    </row>
    <row r="2428" spans="1:3" ht="18" customHeight="1">
      <c r="A2428" t="str">
        <f>"103039"</f>
        <v>103039</v>
      </c>
      <c r="B2428" t="str">
        <f>"Carton Sgl.Wall  560x130x130 (mm)"</f>
        <v>Carton Sgl.Wall  560x130x130 (mm)</v>
      </c>
      <c r="C2428" t="str">
        <f t="shared" si="102"/>
        <v>Active</v>
      </c>
    </row>
    <row r="2429" spans="1:3" ht="18" customHeight="1">
      <c r="A2429" t="str">
        <f>"103040"</f>
        <v>103040</v>
      </c>
      <c r="B2429" t="str">
        <f>"Carton Sgl.Wall  170x120x110 (mm)"</f>
        <v>Carton Sgl.Wall  170x120x110 (mm)</v>
      </c>
      <c r="C2429" t="str">
        <f t="shared" si="102"/>
        <v>Active</v>
      </c>
    </row>
    <row r="2430" spans="1:3" ht="18" customHeight="1">
      <c r="A2430" t="str">
        <f>"103041"</f>
        <v>103041</v>
      </c>
      <c r="B2430" t="str">
        <f>"Carton Sgl.Wall  300x300x200 (mm)"</f>
        <v>Carton Sgl.Wall  300x300x200 (mm)</v>
      </c>
      <c r="C2430" t="str">
        <f t="shared" si="102"/>
        <v>Active</v>
      </c>
    </row>
    <row r="2431" spans="1:3" ht="18" customHeight="1">
      <c r="A2431" t="str">
        <f>"103042"</f>
        <v>103042</v>
      </c>
      <c r="B2431" t="str">
        <f>"Carton Thr.Wall &amp;Pallet 550x650x700mm, TP1000"</f>
        <v>Carton Thr.Wall &amp;Pallet 550x650x700mm, TP1000</v>
      </c>
      <c r="C2431" t="str">
        <f t="shared" si="102"/>
        <v>Active</v>
      </c>
    </row>
    <row r="2432" spans="1:3" ht="18" customHeight="1">
      <c r="A2432" t="str">
        <f>"103043"</f>
        <v>103043</v>
      </c>
      <c r="B2432" t="str">
        <f>"Carton Thr.Wall 770x830x100 mm"</f>
        <v>Carton Thr.Wall 770x830x100 mm</v>
      </c>
      <c r="C2432" t="str">
        <f t="shared" si="102"/>
        <v>Active</v>
      </c>
    </row>
    <row r="2433" spans="1:3" ht="18" customHeight="1">
      <c r="A2433" t="str">
        <f>"103044"</f>
        <v>103044</v>
      </c>
      <c r="B2433" t="str">
        <f>"Carton Three Wall 660x600x200 mm"</f>
        <v>Carton Three Wall 660x600x200 mm</v>
      </c>
      <c r="C2433" t="str">
        <f t="shared" si="102"/>
        <v>Active</v>
      </c>
    </row>
    <row r="2434" spans="1:3" ht="18" customHeight="1">
      <c r="A2434" t="str">
        <f>"103045"</f>
        <v>103045</v>
      </c>
      <c r="B2434" t="str">
        <f>"Carton Thr.Wall  Open-CIM cabinet 700x1020x500mm"</f>
        <v>Carton Thr.Wall  Open-CIM cabinet 700x1020x500mm</v>
      </c>
      <c r="C2434" t="str">
        <f>"ECO-N2Buy"</f>
        <v>ECO-N2Buy</v>
      </c>
    </row>
    <row r="2435" spans="1:3" ht="18" customHeight="1">
      <c r="A2435" t="str">
        <f>"103047"</f>
        <v>103047</v>
      </c>
      <c r="B2435" t="str">
        <f>"Carton Doubl.Wall 500x325x310mm /Contr. USB"</f>
        <v>Carton Doubl.Wall 500x325x310mm /Contr. USB</v>
      </c>
      <c r="C2435" t="str">
        <f>"Active"</f>
        <v>Active</v>
      </c>
    </row>
    <row r="2436" spans="1:3" ht="18" customHeight="1">
      <c r="A2436" t="str">
        <f>"103050"</f>
        <v>103050</v>
      </c>
      <c r="B2436" t="str">
        <f>"Carton Thr.Wall LSB1000 Table Top 1340x350x230mm"</f>
        <v>Carton Thr.Wall LSB1000 Table Top 1340x350x230mm</v>
      </c>
      <c r="C2436" t="str">
        <f>"Not for sale"</f>
        <v>Not for sale</v>
      </c>
    </row>
    <row r="2437" spans="1:3" ht="18" customHeight="1">
      <c r="A2437" t="str">
        <f>"103052"</f>
        <v>103052</v>
      </c>
      <c r="B2437" t="str">
        <f>"Carton Thr.Wall 1600x1000x150 mm (Table1500)"</f>
        <v>Carton Thr.Wall 1600x1000x150 mm (Table1500)</v>
      </c>
      <c r="C2437" t="str">
        <f t="shared" ref="C2437:C2461" si="103">"Active"</f>
        <v>Active</v>
      </c>
    </row>
    <row r="2438" spans="1:3" ht="18" customHeight="1">
      <c r="A2438" t="str">
        <f>"103053"</f>
        <v>103053</v>
      </c>
      <c r="B2438" t="str">
        <f>"Carton Thr.Wall 1900x1000x150mm (Table1800)"</f>
        <v>Carton Thr.Wall 1900x1000x150mm (Table1800)</v>
      </c>
      <c r="C2438" t="str">
        <f t="shared" si="103"/>
        <v>Active</v>
      </c>
    </row>
    <row r="2439" spans="1:3" ht="18" customHeight="1">
      <c r="A2439" t="str">
        <f>"103054"</f>
        <v>103054</v>
      </c>
      <c r="B2439" t="str">
        <f>"Pading Carton Thr.Wall+Hands, 1430x410,H=220mm"</f>
        <v>Pading Carton Thr.Wall+Hands, 1430x410,H=220mm</v>
      </c>
      <c r="C2439" t="str">
        <f t="shared" si="103"/>
        <v>Active</v>
      </c>
    </row>
    <row r="2440" spans="1:3" ht="18" customHeight="1">
      <c r="A2440" t="str">
        <f>"103055"</f>
        <v>103055</v>
      </c>
      <c r="B2440" t="str">
        <f>"Carton Thr.Wall LSB1800 Floor mnt 2200x400x230mm"</f>
        <v>Carton Thr.Wall LSB1800 Floor mnt 2200x400x230mm</v>
      </c>
      <c r="C2440" t="str">
        <f t="shared" si="103"/>
        <v>Active</v>
      </c>
    </row>
    <row r="2441" spans="1:3" ht="18" customHeight="1">
      <c r="A2441" t="str">
        <f>"103056"</f>
        <v>103056</v>
      </c>
      <c r="B2441" t="str">
        <f>"Carton Thr.Wall  850x700x300  (mm)"</f>
        <v>Carton Thr.Wall  850x700x300  (mm)</v>
      </c>
      <c r="C2441" t="str">
        <f t="shared" si="103"/>
        <v>Active</v>
      </c>
    </row>
    <row r="2442" spans="1:3" ht="18" customHeight="1">
      <c r="A2442" t="str">
        <f>"103062"</f>
        <v>103062</v>
      </c>
      <c r="B2442" t="str">
        <f>"Carton for ASRS36 1600x790x1500 mm"</f>
        <v>Carton for ASRS36 1600x790x1500 mm</v>
      </c>
      <c r="C2442" t="str">
        <f t="shared" si="103"/>
        <v>Active</v>
      </c>
    </row>
    <row r="2443" spans="1:3" ht="18" customHeight="1">
      <c r="A2443" t="str">
        <f>"103071"</f>
        <v>103071</v>
      </c>
      <c r="B2443" t="str">
        <f>"Carton LSB2500  2900x400x230 (mm),TP700"</f>
        <v>Carton LSB2500  2900x400x230 (mm),TP700</v>
      </c>
      <c r="C2443" t="str">
        <f t="shared" si="103"/>
        <v>Active</v>
      </c>
    </row>
    <row r="2444" spans="1:3" ht="18" customHeight="1">
      <c r="A2444" t="str">
        <f>"103073"</f>
        <v>103073</v>
      </c>
      <c r="B2444" t="str">
        <f>"Carton Thr.Wall LSB3000 Floor mnt 3400x400x230mm"</f>
        <v>Carton Thr.Wall LSB3000 Floor mnt 3400x400x230mm</v>
      </c>
      <c r="C2444" t="str">
        <f t="shared" si="103"/>
        <v>Active</v>
      </c>
    </row>
    <row r="2445" spans="1:3" ht="18" customHeight="1">
      <c r="A2445" t="str">
        <f>"103074"</f>
        <v>103074</v>
      </c>
      <c r="B2445" t="str">
        <f>"Carton for ASRS 36x2  1600x1100x1530 (mm)"</f>
        <v>Carton for ASRS 36x2  1600x1100x1530 (mm)</v>
      </c>
      <c r="C2445" t="str">
        <f t="shared" si="103"/>
        <v>Active</v>
      </c>
    </row>
    <row r="2446" spans="1:3" ht="18" customHeight="1">
      <c r="A2446" t="str">
        <f>"103075"</f>
        <v>103075</v>
      </c>
      <c r="B2446" t="str">
        <f>"3-LayCarton &amp; Wood. Plat720x560x1000mm for Stand"</f>
        <v>3-LayCarton &amp; Wood. Plat720x560x1000mm for Stand</v>
      </c>
      <c r="C2446" t="str">
        <f t="shared" si="103"/>
        <v>Active</v>
      </c>
    </row>
    <row r="2447" spans="1:3" ht="18" customHeight="1">
      <c r="A2447" t="str">
        <f>"103076"</f>
        <v>103076</v>
      </c>
      <c r="B2447" t="str">
        <f>"Carton for Weld. Booth 1380x1280x1200mm"</f>
        <v>Carton for Weld. Booth 1380x1280x1200mm</v>
      </c>
      <c r="C2447" t="str">
        <f t="shared" si="103"/>
        <v>Active</v>
      </c>
    </row>
    <row r="2448" spans="1:3" ht="18" customHeight="1">
      <c r="A2448" t="str">
        <f>"103077"</f>
        <v>103077</v>
      </c>
      <c r="B2448" t="str">
        <f>"Carton PK1003 340x250x110mm"</f>
        <v>Carton PK1003 340x250x110mm</v>
      </c>
      <c r="C2448" t="str">
        <f t="shared" si="103"/>
        <v>Active</v>
      </c>
    </row>
    <row r="2449" spans="1:3" ht="18" customHeight="1">
      <c r="A2449" t="str">
        <f>"103078"</f>
        <v>103078</v>
      </c>
      <c r="B2449" t="str">
        <f>"Carton for CIM Motor Assy  730x730x450mm, TP1000"</f>
        <v>Carton for CIM Motor Assy  730x730x450mm, TP1000</v>
      </c>
      <c r="C2449" t="str">
        <f t="shared" si="103"/>
        <v>Active</v>
      </c>
    </row>
    <row r="2450" spans="1:3" ht="18" customHeight="1">
      <c r="A2450" t="str">
        <f>"103079"</f>
        <v>103079</v>
      </c>
      <c r="B2450" t="str">
        <f>"Carton for CIM parts 1730x410x190mm, TP700"</f>
        <v>Carton for CIM parts 1730x410x190mm, TP700</v>
      </c>
      <c r="C2450" t="str">
        <f t="shared" si="103"/>
        <v>Active</v>
      </c>
    </row>
    <row r="2451" spans="1:3" ht="18" customHeight="1">
      <c r="A2451" t="str">
        <f>"103080"</f>
        <v>103080</v>
      </c>
      <c r="B2451" t="str">
        <f>"Carton Thr.Wall for CIM leg 550x610x1080mm,TP700"</f>
        <v>Carton Thr.Wall for CIM leg 550x610x1080mm,TP700</v>
      </c>
      <c r="C2451" t="str">
        <f t="shared" si="103"/>
        <v>Active</v>
      </c>
    </row>
    <row r="2452" spans="1:3" ht="18" customHeight="1">
      <c r="A2452" t="str">
        <f>"103081"</f>
        <v>103081</v>
      </c>
      <c r="B2452" t="str">
        <f>"Carton Padding for ER4U 700x500x380mm"</f>
        <v>Carton Padding for ER4U 700x500x380mm</v>
      </c>
      <c r="C2452" t="str">
        <f t="shared" si="103"/>
        <v>Active</v>
      </c>
    </row>
    <row r="2453" spans="1:3" ht="18" customHeight="1">
      <c r="A2453" t="str">
        <f>"103084"</f>
        <v>103084</v>
      </c>
      <c r="B2453" t="str">
        <f>"Carton Dbl.Wall -ER400 Rob 610x490x640 (mm)"</f>
        <v>Carton Dbl.Wall -ER400 Rob 610x490x640 (mm)</v>
      </c>
      <c r="C2453" t="str">
        <f t="shared" si="103"/>
        <v>Active</v>
      </c>
    </row>
    <row r="2454" spans="1:3" ht="18" customHeight="1">
      <c r="A2454" t="str">
        <f>"103085"</f>
        <v>103085</v>
      </c>
      <c r="B2454" t="str">
        <f>"Carton Thr.Wall for CIM leg 1080x610x320mm,TP700"</f>
        <v>Carton Thr.Wall for CIM leg 1080x610x320mm,TP700</v>
      </c>
      <c r="C2454" t="str">
        <f t="shared" si="103"/>
        <v>Active</v>
      </c>
    </row>
    <row r="2455" spans="1:3" ht="18" customHeight="1">
      <c r="A2455" t="str">
        <f>"103086"</f>
        <v>103086</v>
      </c>
      <c r="B2455" t="str">
        <f>"Carton for Weld. Booth ER4, 1300x1000x1300 (mm)"</f>
        <v>Carton for Weld. Booth ER4, 1300x1000x1300 (mm)</v>
      </c>
      <c r="C2455" t="str">
        <f t="shared" si="103"/>
        <v>Active</v>
      </c>
    </row>
    <row r="2456" spans="1:3" ht="18" customHeight="1">
      <c r="A2456" t="str">
        <f>"103087"</f>
        <v>103087</v>
      </c>
      <c r="B2456" t="str">
        <f>"Carton Dbl.Wall for Controller USB 400x310x300mm"</f>
        <v>Carton Dbl.Wall for Controller USB 400x310x300mm</v>
      </c>
      <c r="C2456" t="str">
        <f t="shared" si="103"/>
        <v>Active</v>
      </c>
    </row>
    <row r="2457" spans="1:3" ht="18" customHeight="1">
      <c r="A2457" t="str">
        <f>"103088"</f>
        <v>103088</v>
      </c>
      <c r="B2457" t="str">
        <f>"Carton Dbl.Wall RSC DW-182 405x260,H=180 mm"</f>
        <v>Carton Dbl.Wall RSC DW-182 405x260,H=180 mm</v>
      </c>
      <c r="C2457" t="str">
        <f t="shared" si="103"/>
        <v>Active</v>
      </c>
    </row>
    <row r="2458" spans="1:3" ht="18" customHeight="1">
      <c r="A2458" t="str">
        <f>"103089"</f>
        <v>103089</v>
      </c>
      <c r="B2458" t="str">
        <f>"Carton for Accesories  350x295x75 (mm)"</f>
        <v>Carton for Accesories  350x295x75 (mm)</v>
      </c>
      <c r="C2458" t="str">
        <f t="shared" si="103"/>
        <v>Active</v>
      </c>
    </row>
    <row r="2459" spans="1:3" ht="18" customHeight="1">
      <c r="A2459" t="str">
        <f>"103090"</f>
        <v>103090</v>
      </c>
      <c r="B2459" t="str">
        <f>"Carton Dbl.Wall 450x320x180mm"</f>
        <v>Carton Dbl.Wall 450x320x180mm</v>
      </c>
      <c r="C2459" t="str">
        <f t="shared" si="103"/>
        <v>Active</v>
      </c>
    </row>
    <row r="2460" spans="1:3" ht="18" customHeight="1">
      <c r="A2460" t="str">
        <f>"103091"</f>
        <v>103091</v>
      </c>
      <c r="B2460" t="str">
        <f>"Carton Dbl.Wall for Contr. USB 1350x260x220mm"</f>
        <v>Carton Dbl.Wall for Contr. USB 1350x260x220mm</v>
      </c>
      <c r="C2460" t="str">
        <f t="shared" si="103"/>
        <v>Active</v>
      </c>
    </row>
    <row r="2461" spans="1:3" ht="18" customHeight="1">
      <c r="A2461" t="str">
        <f>"103092"</f>
        <v>103092</v>
      </c>
      <c r="B2461" t="str">
        <f>"Carton Dbl.Wall Contrl.USB-Pro, 560x338x245mm"</f>
        <v>Carton Dbl.Wall Contrl.USB-Pro, 560x338x245mm</v>
      </c>
      <c r="C2461" t="str">
        <f t="shared" si="103"/>
        <v>Active</v>
      </c>
    </row>
    <row r="2462" spans="1:3" ht="18" customHeight="1">
      <c r="A2462" t="str">
        <f>"103093"</f>
        <v>103093</v>
      </c>
      <c r="B2462" t="str">
        <f>"Carton Padding for ER14, 1100x610x590mm"</f>
        <v>Carton Padding for ER14, 1100x610x590mm</v>
      </c>
      <c r="C2462" t="str">
        <f>"ECO-N2Buy"</f>
        <v>ECO-N2Buy</v>
      </c>
    </row>
    <row r="2463" spans="1:3" ht="18" customHeight="1">
      <c r="A2463" t="str">
        <f>"103094"</f>
        <v>103094</v>
      </c>
      <c r="B2463" t="str">
        <f>"Carton Thr.Wall Padding for ER2u 600x500x470mm"</f>
        <v>Carton Thr.Wall Padding for ER2u 600x500x470mm</v>
      </c>
      <c r="C2463" t="str">
        <f t="shared" ref="C2463:C2469" si="104">"Active"</f>
        <v>Active</v>
      </c>
    </row>
    <row r="2464" spans="1:3" ht="18" customHeight="1">
      <c r="A2464" t="str">
        <f>"103096"</f>
        <v>103096</v>
      </c>
      <c r="B2464" t="str">
        <f>"Carton Thr.Wall 1600x1150x150 mm (Safety Frame)"</f>
        <v>Carton Thr.Wall 1600x1150x150 mm (Safety Frame)</v>
      </c>
      <c r="C2464" t="str">
        <f t="shared" si="104"/>
        <v>Active</v>
      </c>
    </row>
    <row r="2465" spans="1:3" ht="18" customHeight="1">
      <c r="A2465" t="str">
        <f>"103097"</f>
        <v>103097</v>
      </c>
      <c r="B2465" t="str">
        <f>"CartonForUpgrateKit010314 DW400RSC 383x340x280"</f>
        <v>CartonForUpgrateKit010314 DW400RSC 383x340x280</v>
      </c>
      <c r="C2465" t="str">
        <f t="shared" si="104"/>
        <v>Active</v>
      </c>
    </row>
    <row r="2466" spans="1:3" ht="18" customHeight="1">
      <c r="A2466" t="str">
        <f>"103099"</f>
        <v>103099</v>
      </c>
      <c r="B2466" t="str">
        <f>"Carton Thr.Wall ER9-PRO+Contr. 1000x800x700 (mm)"</f>
        <v>Carton Thr.Wall ER9-PRO+Contr. 1000x800x700 (mm)</v>
      </c>
      <c r="C2466" t="str">
        <f t="shared" si="104"/>
        <v>Active</v>
      </c>
    </row>
    <row r="2467" spans="1:3" ht="18" customHeight="1">
      <c r="A2467" t="str">
        <f>"103102"</f>
        <v>103102</v>
      </c>
      <c r="B2467" t="str">
        <f>"Carton Thr.Wall LSB MH5  2600x800x950 mm"</f>
        <v>Carton Thr.Wall LSB MH5  2600x800x950 mm</v>
      </c>
      <c r="C2467" t="str">
        <f t="shared" si="104"/>
        <v>Active</v>
      </c>
    </row>
    <row r="2468" spans="1:3" ht="18" customHeight="1">
      <c r="A2468" t="str">
        <f>"103103"</f>
        <v>103103</v>
      </c>
      <c r="B2468" t="str">
        <f>"Pack LSB 3000 HP3  4000x900x800  (mm)"</f>
        <v>Pack LSB 3000 HP3  4000x900x800  (mm)</v>
      </c>
      <c r="C2468" t="str">
        <f t="shared" si="104"/>
        <v>Active</v>
      </c>
    </row>
    <row r="2469" spans="1:3" ht="18" customHeight="1">
      <c r="A2469" t="str">
        <f>"103104"</f>
        <v>103104</v>
      </c>
      <c r="B2469" t="str">
        <f>"Carton 1360x1260, h=620mm"</f>
        <v>Carton 1360x1260, h=620mm</v>
      </c>
      <c r="C2469" t="str">
        <f t="shared" si="104"/>
        <v>Active</v>
      </c>
    </row>
    <row r="2470" spans="1:3" ht="18" customHeight="1">
      <c r="A2470" t="str">
        <f>"103105"</f>
        <v>103105</v>
      </c>
      <c r="B2470" t="str">
        <f>"Pack LSB 4500 HP3 5400x800x800 mm"</f>
        <v>Pack LSB 4500 HP3 5400x800x800 mm</v>
      </c>
      <c r="C2470" t="str">
        <f>"ECO-N2Buy"</f>
        <v>ECO-N2Buy</v>
      </c>
    </row>
    <row r="2471" spans="1:3" ht="18" customHeight="1">
      <c r="A2471" t="str">
        <f>"103106"</f>
        <v>103106</v>
      </c>
      <c r="B2471" t="str">
        <f>"Pack for TP new   230x150mm,h=110mm"</f>
        <v>Pack for TP new   230x150mm,h=110mm</v>
      </c>
      <c r="C2471" t="str">
        <f>"New"</f>
        <v>New</v>
      </c>
    </row>
    <row r="2472" spans="1:3" ht="18" customHeight="1">
      <c r="A2472" t="str">
        <f>"103107"</f>
        <v>103107</v>
      </c>
      <c r="B2472" t="str">
        <f>"Carton Sgl. Wall-MS/GV, 325x250,height 125mm"</f>
        <v>Carton Sgl. Wall-MS/GV, 325x250,height 125mm</v>
      </c>
      <c r="C2472" t="str">
        <f t="shared" ref="C2472:C2479" si="105">"Active"</f>
        <v>Active</v>
      </c>
    </row>
    <row r="2473" spans="1:3" ht="18" customHeight="1">
      <c r="A2473" t="str">
        <f>"103108"</f>
        <v>103108</v>
      </c>
      <c r="B2473" t="str">
        <f>"Carton package for BT7000"</f>
        <v>Carton package for BT7000</v>
      </c>
      <c r="C2473" t="str">
        <f t="shared" si="105"/>
        <v>Active</v>
      </c>
    </row>
    <row r="2474" spans="1:3" ht="18" customHeight="1">
      <c r="A2474" t="str">
        <f>"103109"</f>
        <v>103109</v>
      </c>
      <c r="B2474" t="str">
        <f>"Carton package for PT9000"</f>
        <v>Carton package for PT9000</v>
      </c>
      <c r="C2474" t="str">
        <f t="shared" si="105"/>
        <v>Active</v>
      </c>
    </row>
    <row r="2475" spans="1:3" ht="18" customHeight="1">
      <c r="A2475" t="str">
        <f>"103110"</f>
        <v>103110</v>
      </c>
      <c r="B2475" t="str">
        <f>"Carton package for BM6000"</f>
        <v>Carton package for BM6000</v>
      </c>
      <c r="C2475" t="str">
        <f t="shared" si="105"/>
        <v>Active</v>
      </c>
    </row>
    <row r="2476" spans="1:3" ht="18" customHeight="1">
      <c r="A2476" t="str">
        <f>"103111"</f>
        <v>103111</v>
      </c>
      <c r="B2476" t="str">
        <f>"Carton package for PM8000"</f>
        <v>Carton package for PM8000</v>
      </c>
      <c r="C2476" t="str">
        <f t="shared" si="105"/>
        <v>Active</v>
      </c>
    </row>
    <row r="2477" spans="1:3" ht="18" customHeight="1">
      <c r="A2477" t="str">
        <f>"103112"</f>
        <v>103112</v>
      </c>
      <c r="B2477" t="str">
        <f>"Carton Three Wall+Cover+Foam 660x660x280mm"</f>
        <v>Carton Three Wall+Cover+Foam 660x660x280mm</v>
      </c>
      <c r="C2477" t="str">
        <f t="shared" si="105"/>
        <v>Active</v>
      </c>
    </row>
    <row r="2478" spans="1:3" ht="18" customHeight="1">
      <c r="A2478" t="str">
        <f>"103113"</f>
        <v>103113</v>
      </c>
      <c r="B2478" t="str">
        <f>"Three layer carton &amp; wood pallet 650x450,h=620mm"</f>
        <v>Three layer carton &amp; wood pallet 650x450,h=620mm</v>
      </c>
      <c r="C2478" t="str">
        <f t="shared" si="105"/>
        <v>Active</v>
      </c>
    </row>
    <row r="2479" spans="1:3" ht="18" customHeight="1">
      <c r="A2479" t="str">
        <f>"103114"</f>
        <v>103114</v>
      </c>
      <c r="B2479" t="str">
        <f>"Carton 300x260x180 mm"</f>
        <v>Carton 300x260x180 mm</v>
      </c>
      <c r="C2479" t="str">
        <f t="shared" si="105"/>
        <v>Active</v>
      </c>
    </row>
    <row r="2480" spans="1:3" ht="18" customHeight="1">
      <c r="A2480" t="str">
        <f>"103207"</f>
        <v>103207</v>
      </c>
      <c r="B2480" t="str">
        <f>"Pack Foam Set-Motorkit 2 pieces"</f>
        <v>Pack Foam Set-Motorkit 2 pieces</v>
      </c>
      <c r="C2480" t="str">
        <f>"Phase Out"</f>
        <v>Phase Out</v>
      </c>
    </row>
    <row r="2481" spans="1:3" ht="18" customHeight="1">
      <c r="A2481" t="str">
        <f>"103212"</f>
        <v>103212</v>
      </c>
      <c r="B2481" t="str">
        <f>"Styrafoam Profile 35mm L=800mm"</f>
        <v>Styrafoam Profile 35mm L=800mm</v>
      </c>
      <c r="C2481" t="str">
        <f>"Active"</f>
        <v>Active</v>
      </c>
    </row>
    <row r="2482" spans="1:3" ht="18" customHeight="1">
      <c r="A2482" t="str">
        <f>"103222"</f>
        <v>103222</v>
      </c>
      <c r="B2482" t="str">
        <f>"Pack Foam Set-Processline 2 pieces"</f>
        <v>Pack Foam Set-Processline 2 pieces</v>
      </c>
      <c r="C2482" t="str">
        <f>"Active"</f>
        <v>Active</v>
      </c>
    </row>
    <row r="2483" spans="1:3" ht="18" customHeight="1">
      <c r="A2483" t="str">
        <f>"103225"</f>
        <v>103225</v>
      </c>
      <c r="B2483" t="str">
        <f>"Angle Support Polyethylene GA400AS,100x100x100mm"</f>
        <v>Angle Support Polyethylene GA400AS,100x100x100mm</v>
      </c>
      <c r="C2483" t="str">
        <f>"Active"</f>
        <v>Active</v>
      </c>
    </row>
    <row r="2484" spans="1:3" ht="18" customHeight="1">
      <c r="A2484" t="str">
        <f>"103227"</f>
        <v>103227</v>
      </c>
      <c r="B2484" t="str">
        <f>"Angle Support Polyethelen GA400AS"</f>
        <v>Angle Support Polyethelen GA400AS</v>
      </c>
      <c r="C2484" t="str">
        <f>"Active"</f>
        <v>Active</v>
      </c>
    </row>
    <row r="2485" spans="1:3" ht="18" customHeight="1">
      <c r="A2485" t="str">
        <f>"103229"</f>
        <v>103229</v>
      </c>
      <c r="B2485" t="str">
        <f>"Base package for Rotary Table"</f>
        <v>Base package for Rotary Table</v>
      </c>
      <c r="C2485" t="str">
        <f>"Active"</f>
        <v>Active</v>
      </c>
    </row>
    <row r="2486" spans="1:3" ht="18" customHeight="1">
      <c r="A2486" t="str">
        <f>"103230"</f>
        <v>103230</v>
      </c>
      <c r="B2486" t="str">
        <f>"Base Polyetile Package for ER4u"</f>
        <v>Base Polyetile Package for ER4u</v>
      </c>
      <c r="C2486" t="str">
        <f>"New"</f>
        <v>New</v>
      </c>
    </row>
    <row r="2487" spans="1:3" ht="18" customHeight="1">
      <c r="A2487" t="str">
        <f>"103231"</f>
        <v>103231</v>
      </c>
      <c r="B2487" t="str">
        <f>"Cover Polyetile Package for ER4u"</f>
        <v>Cover Polyetile Package for ER4u</v>
      </c>
      <c r="C2487" t="str">
        <f>"New"</f>
        <v>New</v>
      </c>
    </row>
    <row r="2488" spans="1:3" ht="18" customHeight="1">
      <c r="A2488" t="str">
        <f>"103232"</f>
        <v>103232</v>
      </c>
      <c r="B2488" t="str">
        <f>"Gripper Polyetile Package for ER4u"</f>
        <v>Gripper Polyetile Package for ER4u</v>
      </c>
      <c r="C2488" t="str">
        <f>"New"</f>
        <v>New</v>
      </c>
    </row>
    <row r="2489" spans="1:3" ht="18" customHeight="1">
      <c r="A2489" t="str">
        <f>"103233"</f>
        <v>103233</v>
      </c>
      <c r="B2489" t="str">
        <f>"Support 256x156x80 Polyethylene GA400AS"</f>
        <v>Support 256x156x80 Polyethylene GA400AS</v>
      </c>
      <c r="C2489" t="str">
        <f t="shared" ref="C2489:C2496" si="106">"Active"</f>
        <v>Active</v>
      </c>
    </row>
    <row r="2490" spans="1:3" ht="18" customHeight="1">
      <c r="A2490" t="str">
        <f>"103234"</f>
        <v>103234</v>
      </c>
      <c r="B2490" t="str">
        <f>"Support 150x90x70mm Polyethylene GA400AS"</f>
        <v>Support 150x90x70mm Polyethylene GA400AS</v>
      </c>
      <c r="C2490" t="str">
        <f t="shared" si="106"/>
        <v>Active</v>
      </c>
    </row>
    <row r="2491" spans="1:3" ht="18" customHeight="1">
      <c r="A2491" t="str">
        <f>"103401"</f>
        <v>103401</v>
      </c>
      <c r="B2491" t="str">
        <f>"Arm Cover - Plastic ER4u"</f>
        <v>Arm Cover - Plastic ER4u</v>
      </c>
      <c r="C2491" t="str">
        <f t="shared" si="106"/>
        <v>Active</v>
      </c>
    </row>
    <row r="2492" spans="1:3" ht="18" customHeight="1">
      <c r="A2492" t="str">
        <f>"103402"</f>
        <v>103402</v>
      </c>
      <c r="B2492" t="str">
        <f>"Cover -Plastic For Controller 32 x 33 x 12 cm"</f>
        <v>Cover -Plastic For Controller 32 x 33 x 12 cm</v>
      </c>
      <c r="C2492" t="str">
        <f t="shared" si="106"/>
        <v>Active</v>
      </c>
    </row>
    <row r="2493" spans="1:3" ht="18" customHeight="1">
      <c r="A2493" t="str">
        <f>"103403"</f>
        <v>103403</v>
      </c>
      <c r="B2493" t="str">
        <f>"Cover -Plastic For Controller 50 x 46 x 15 cm"</f>
        <v>Cover -Plastic For Controller 50 x 46 x 15 cm</v>
      </c>
      <c r="C2493" t="str">
        <f t="shared" si="106"/>
        <v>Active</v>
      </c>
    </row>
    <row r="2494" spans="1:3" ht="18" customHeight="1">
      <c r="A2494" t="str">
        <f>"105001"</f>
        <v>105001</v>
      </c>
      <c r="B2494" t="str">
        <f>"Encoder Disc - 3 Slot Scorbot ER3/5"</f>
        <v>Encoder Disc - 3 Slot Scorbot ER3/5</v>
      </c>
      <c r="C2494" t="str">
        <f t="shared" si="106"/>
        <v>Active</v>
      </c>
    </row>
    <row r="2495" spans="1:3" ht="18" customHeight="1">
      <c r="A2495" t="str">
        <f>"105001-10"</f>
        <v>105001-10</v>
      </c>
      <c r="C2495" t="str">
        <f t="shared" si="106"/>
        <v>Active</v>
      </c>
    </row>
    <row r="2496" spans="1:3" ht="18" customHeight="1">
      <c r="A2496" t="str">
        <f>"105002"</f>
        <v>105002</v>
      </c>
      <c r="B2496" t="str">
        <f>"Disc Encoder - 6 Slot Scorbot ER3/5"</f>
        <v>Disc Encoder - 6 Slot Scorbot ER3/5</v>
      </c>
      <c r="C2496" t="str">
        <f t="shared" si="106"/>
        <v>Active</v>
      </c>
    </row>
    <row r="2497" spans="1:3" ht="18" customHeight="1">
      <c r="A2497" t="str">
        <f>"105002-10"</f>
        <v>105002-10</v>
      </c>
      <c r="C2497" t="str">
        <f>"Not for sale"</f>
        <v>Not for sale</v>
      </c>
    </row>
    <row r="2498" spans="1:3" ht="18" customHeight="1">
      <c r="A2498" t="str">
        <f>"105003"</f>
        <v>105003</v>
      </c>
      <c r="B2498" t="str">
        <f>"Disc Encoder - 20 Slot ER4u/ASRS36/X-Y/RotaryTab"</f>
        <v>Disc Encoder - 20 Slot ER4u/ASRS36/X-Y/RotaryTab</v>
      </c>
      <c r="C2498" t="str">
        <f t="shared" ref="C2498:C2524" si="107">"Active"</f>
        <v>Active</v>
      </c>
    </row>
    <row r="2499" spans="1:3" ht="18" customHeight="1">
      <c r="A2499" t="str">
        <f>"105010"</f>
        <v>105010</v>
      </c>
      <c r="B2499" t="str">
        <f>"Base - Unmachined Scorbot ER9, AL 356"</f>
        <v>Base - Unmachined Scorbot ER9, AL 356</v>
      </c>
      <c r="C2499" t="str">
        <f t="shared" si="107"/>
        <v>Active</v>
      </c>
    </row>
    <row r="2500" spans="1:3" ht="18" customHeight="1">
      <c r="A2500" t="str">
        <f>"105011"</f>
        <v>105011</v>
      </c>
      <c r="B2500" t="str">
        <f>"Turret Mech.Hous'n-Unmachined Scorbot ER9,AL 356"</f>
        <v>Turret Mech.Hous'n-Unmachined Scorbot ER9,AL 356</v>
      </c>
      <c r="C2500" t="str">
        <f t="shared" si="107"/>
        <v>Active</v>
      </c>
    </row>
    <row r="2501" spans="1:3" ht="18" customHeight="1">
      <c r="A2501" t="str">
        <f>"105012"</f>
        <v>105012</v>
      </c>
      <c r="B2501" t="str">
        <f>"Turret Cover - Unmachined Scorbot ER9"</f>
        <v>Turret Cover - Unmachined Scorbot ER9</v>
      </c>
      <c r="C2501" t="str">
        <f t="shared" si="107"/>
        <v>Active</v>
      </c>
    </row>
    <row r="2502" spans="1:3" ht="18" customHeight="1">
      <c r="A2502" t="str">
        <f>"105013"</f>
        <v>105013</v>
      </c>
      <c r="B2502" t="str">
        <f>"Arm Long - Unmachined Scorbot ER9"</f>
        <v>Arm Long - Unmachined Scorbot ER9</v>
      </c>
      <c r="C2502" t="str">
        <f t="shared" si="107"/>
        <v>Active</v>
      </c>
    </row>
    <row r="2503" spans="1:3" ht="18" customHeight="1">
      <c r="A2503" t="str">
        <f>"105014"</f>
        <v>105014</v>
      </c>
      <c r="B2503" t="str">
        <f>"Arm Short - Unmachined Scorbot ER9"</f>
        <v>Arm Short - Unmachined Scorbot ER9</v>
      </c>
      <c r="C2503" t="str">
        <f t="shared" si="107"/>
        <v>Active</v>
      </c>
    </row>
    <row r="2504" spans="1:3" ht="18" customHeight="1">
      <c r="A2504" t="str">
        <f>"105015"</f>
        <v>105015</v>
      </c>
      <c r="B2504" t="str">
        <f>"Cover Transmission Gear SCORA ER14"</f>
        <v>Cover Transmission Gear SCORA ER14</v>
      </c>
      <c r="C2504" t="str">
        <f t="shared" si="107"/>
        <v>Active</v>
      </c>
    </row>
    <row r="2505" spans="1:3" ht="18" customHeight="1">
      <c r="A2505" t="str">
        <f>"105016"</f>
        <v>105016</v>
      </c>
      <c r="B2505" t="str">
        <f>"Arm 1st - SCORA ER14"</f>
        <v>Arm 1st - SCORA ER14</v>
      </c>
      <c r="C2505" t="str">
        <f t="shared" si="107"/>
        <v>Active</v>
      </c>
    </row>
    <row r="2506" spans="1:3" ht="18" customHeight="1">
      <c r="A2506" t="str">
        <f>"105017"</f>
        <v>105017</v>
      </c>
      <c r="B2506" t="str">
        <f>"Arm 2nd - SCORA ER14"</f>
        <v>Arm 2nd - SCORA ER14</v>
      </c>
      <c r="C2506" t="str">
        <f t="shared" si="107"/>
        <v>Active</v>
      </c>
    </row>
    <row r="2507" spans="1:3" ht="18" customHeight="1">
      <c r="A2507" t="str">
        <f>"105018"</f>
        <v>105018</v>
      </c>
      <c r="B2507" t="str">
        <f>"Base - SCORA ER14"</f>
        <v>Base - SCORA ER14</v>
      </c>
      <c r="C2507" t="str">
        <f t="shared" si="107"/>
        <v>Active</v>
      </c>
    </row>
    <row r="2508" spans="1:3" ht="18" customHeight="1">
      <c r="A2508" t="str">
        <f>"105020"</f>
        <v>105020</v>
      </c>
      <c r="B2508" t="str">
        <f>"Flange Motor Pitman"</f>
        <v>Flange Motor Pitman</v>
      </c>
      <c r="C2508" t="str">
        <f t="shared" si="107"/>
        <v>Active</v>
      </c>
    </row>
    <row r="2509" spans="1:3" ht="18" customHeight="1">
      <c r="A2509" t="str">
        <f>"105022"</f>
        <v>105022</v>
      </c>
      <c r="B2509" t="str">
        <f>"Base Stator - ER2u"</f>
        <v>Base Stator - ER2u</v>
      </c>
      <c r="C2509" t="str">
        <f t="shared" si="107"/>
        <v>Active</v>
      </c>
    </row>
    <row r="2510" spans="1:3" ht="18" customHeight="1">
      <c r="A2510" t="str">
        <f>"105023"</f>
        <v>105023</v>
      </c>
      <c r="B2510" t="str">
        <f>"Base Rotor - ER2u"</f>
        <v>Base Rotor - ER2u</v>
      </c>
      <c r="C2510" t="str">
        <f t="shared" si="107"/>
        <v>Active</v>
      </c>
    </row>
    <row r="2511" spans="1:3" ht="18" customHeight="1">
      <c r="A2511" t="str">
        <f>"105024"</f>
        <v>105024</v>
      </c>
      <c r="B2511" t="str">
        <f>"Arm 1st - ER2u"</f>
        <v>Arm 1st - ER2u</v>
      </c>
      <c r="C2511" t="str">
        <f t="shared" si="107"/>
        <v>Active</v>
      </c>
    </row>
    <row r="2512" spans="1:3" ht="18" customHeight="1">
      <c r="A2512" t="str">
        <f>"105025"</f>
        <v>105025</v>
      </c>
      <c r="B2512" t="str">
        <f>"Arm 2nd,3rd - ER2u"</f>
        <v>Arm 2nd,3rd - ER2u</v>
      </c>
      <c r="C2512" t="str">
        <f t="shared" si="107"/>
        <v>Active</v>
      </c>
    </row>
    <row r="2513" spans="1:3" ht="18" customHeight="1">
      <c r="A2513" t="str">
        <f>"107001"</f>
        <v>107001</v>
      </c>
      <c r="B2513" t="str">
        <f>"Spacer Elbow Shaft  Scorbot ER4u"</f>
        <v>Spacer Elbow Shaft  Scorbot ER4u</v>
      </c>
      <c r="C2513" t="str">
        <f t="shared" si="107"/>
        <v>Active</v>
      </c>
    </row>
    <row r="2514" spans="1:3" ht="18" customHeight="1">
      <c r="A2514" t="str">
        <f>"107002"</f>
        <v>107002</v>
      </c>
      <c r="B2514" t="str">
        <f>"Flat Washer OD=12.7, ID=6.5, h=0.6 mm"</f>
        <v>Flat Washer OD=12.7, ID=6.5, h=0.6 mm</v>
      </c>
      <c r="C2514" t="str">
        <f t="shared" si="107"/>
        <v>Active</v>
      </c>
    </row>
    <row r="2515" spans="1:3" ht="18" customHeight="1">
      <c r="A2515" t="str">
        <f>"107002-10"</f>
        <v>107002-10</v>
      </c>
      <c r="B2515" t="str">
        <f>"Disc D 12.7 x d 6.5 x 0.6 mm"</f>
        <v>Disc D 12.7 x d 6.5 x 0.6 mm</v>
      </c>
      <c r="C2515" t="str">
        <f t="shared" si="107"/>
        <v>Active</v>
      </c>
    </row>
    <row r="2516" spans="1:3" ht="18" customHeight="1">
      <c r="A2516" t="str">
        <f>"107003"</f>
        <v>107003</v>
      </c>
      <c r="B2516" t="str">
        <f>"Disc Scorbot ER4u"</f>
        <v>Disc Scorbot ER4u</v>
      </c>
      <c r="C2516" t="str">
        <f t="shared" si="107"/>
        <v>Active</v>
      </c>
    </row>
    <row r="2517" spans="1:3" ht="18" customHeight="1">
      <c r="A2517" t="str">
        <f>"107004"</f>
        <v>107004</v>
      </c>
      <c r="B2517" t="str">
        <f>"Disc - St.St D 12 x d 4 x 0.5 mm"</f>
        <v>Disc - St.St D 12 x d 4 x 0.5 mm</v>
      </c>
      <c r="C2517" t="str">
        <f t="shared" si="107"/>
        <v>Active</v>
      </c>
    </row>
    <row r="2518" spans="1:3" ht="18" customHeight="1">
      <c r="A2518" t="str">
        <f>"107005"</f>
        <v>107005</v>
      </c>
      <c r="B2518" t="str">
        <f>"Disc - St.St D 24.1 x d 12.1 x 1.0 mm"</f>
        <v>Disc - St.St D 24.1 x d 12.1 x 1.0 mm</v>
      </c>
      <c r="C2518" t="str">
        <f t="shared" si="107"/>
        <v>Active</v>
      </c>
    </row>
    <row r="2519" spans="1:3" ht="18" customHeight="1">
      <c r="A2519" t="str">
        <f>"107006"</f>
        <v>107006</v>
      </c>
      <c r="B2519" t="str">
        <f>"Disc - St.St D 24.1 x d 10.1 x 1 mm"</f>
        <v>Disc - St.St D 24.1 x d 10.1 x 1 mm</v>
      </c>
      <c r="C2519" t="str">
        <f t="shared" si="107"/>
        <v>Active</v>
      </c>
    </row>
    <row r="2520" spans="1:3" ht="18" customHeight="1">
      <c r="A2520" t="str">
        <f>"107007"</f>
        <v>107007</v>
      </c>
      <c r="B2520" t="str">
        <f>"Disc - Teflon D 12.7 x d 6.35 x 0.5 mm"</f>
        <v>Disc - Teflon D 12.7 x d 6.35 x 0.5 mm</v>
      </c>
      <c r="C2520" t="str">
        <f t="shared" si="107"/>
        <v>Active</v>
      </c>
    </row>
    <row r="2521" spans="1:3" ht="18" customHeight="1">
      <c r="A2521" t="str">
        <f>"107008"</f>
        <v>107008</v>
      </c>
      <c r="B2521" t="str">
        <f>"Disc - Teflon D 9.5 x d 6.35 x 0.5 mm"</f>
        <v>Disc - Teflon D 9.5 x d 6.35 x 0.5 mm</v>
      </c>
      <c r="C2521" t="str">
        <f t="shared" si="107"/>
        <v>Active</v>
      </c>
    </row>
    <row r="2522" spans="1:3" ht="18" customHeight="1">
      <c r="A2522" t="str">
        <f>"107009"</f>
        <v>107009</v>
      </c>
      <c r="B2522" t="str">
        <f>"Disc - Copper D 32 x d 25 x 0.2 mm"</f>
        <v>Disc - Copper D 32 x d 25 x 0.2 mm</v>
      </c>
      <c r="C2522" t="str">
        <f t="shared" si="107"/>
        <v>Active</v>
      </c>
    </row>
    <row r="2523" spans="1:3" ht="18" customHeight="1">
      <c r="A2523" t="str">
        <f>"107010"</f>
        <v>107010</v>
      </c>
      <c r="B2523" t="str">
        <f>"Disc - for PG16"</f>
        <v>Disc - for PG16</v>
      </c>
      <c r="C2523" t="str">
        <f t="shared" si="107"/>
        <v>Active</v>
      </c>
    </row>
    <row r="2524" spans="1:3" ht="18" customHeight="1">
      <c r="A2524" t="str">
        <f>"107011"</f>
        <v>107011</v>
      </c>
      <c r="B2524" t="str">
        <f>"Disc Flat - Blk. D 14 x d 5 x 1.5 mm"</f>
        <v>Disc Flat - Blk. D 14 x d 5 x 1.5 mm</v>
      </c>
      <c r="C2524" t="str">
        <f t="shared" si="107"/>
        <v>Active</v>
      </c>
    </row>
    <row r="2525" spans="1:3" ht="18" customHeight="1">
      <c r="A2525" t="str">
        <f>"107011-10"</f>
        <v>107011-10</v>
      </c>
      <c r="B2525" t="str">
        <f>"Disc Flat - Blk. D 14 x d 5 x 1.5 mm"</f>
        <v>Disc Flat - Blk. D 14 x d 5 x 1.5 mm</v>
      </c>
      <c r="C2525" t="str">
        <f>"Not for sale"</f>
        <v>Not for sale</v>
      </c>
    </row>
    <row r="2526" spans="1:3" ht="18" customHeight="1">
      <c r="A2526" t="str">
        <f>"107013"</f>
        <v>107013</v>
      </c>
      <c r="B2526" t="str">
        <f>"Disc Axis 4 - D 21 x d 18 x 1 mm"</f>
        <v>Disc Axis 4 - D 21 x d 18 x 1 mm</v>
      </c>
      <c r="C2526" t="str">
        <f t="shared" ref="C2526:C2532" si="108">"Active"</f>
        <v>Active</v>
      </c>
    </row>
    <row r="2527" spans="1:3" ht="18" customHeight="1">
      <c r="A2527" t="str">
        <f>"107201"</f>
        <v>107201</v>
      </c>
      <c r="B2527" t="str">
        <f>"Bracket For Driver - Black,  ER7 Controller"</f>
        <v>Bracket For Driver - Black,  ER7 Controller</v>
      </c>
      <c r="C2527" t="str">
        <f t="shared" si="108"/>
        <v>Active</v>
      </c>
    </row>
    <row r="2528" spans="1:3" ht="18" customHeight="1">
      <c r="A2528" t="str">
        <f>"107203"</f>
        <v>107203</v>
      </c>
      <c r="B2528" t="str">
        <f>"Bracket For Driver - Nickel ER4 Controller"</f>
        <v>Bracket For Driver - Nickel ER4 Controller</v>
      </c>
      <c r="C2528" t="str">
        <f t="shared" si="108"/>
        <v>Active</v>
      </c>
    </row>
    <row r="2529" spans="1:3" ht="18" customHeight="1">
      <c r="A2529" t="str">
        <f>"107204"</f>
        <v>107204</v>
      </c>
      <c r="B2529" t="str">
        <f>"Slot Cover Bracket-Nickel ER5/7 Controller"</f>
        <v>Slot Cover Bracket-Nickel ER5/7 Controller</v>
      </c>
      <c r="C2529" t="str">
        <f t="shared" si="108"/>
        <v>Active</v>
      </c>
    </row>
    <row r="2530" spans="1:3" ht="18" customHeight="1">
      <c r="A2530" t="str">
        <f>"107207"</f>
        <v>107207</v>
      </c>
      <c r="B2530" t="str">
        <f>"Bracket 30x10 mm"</f>
        <v>Bracket 30x10 mm</v>
      </c>
      <c r="C2530" t="str">
        <f t="shared" si="108"/>
        <v>Active</v>
      </c>
    </row>
    <row r="2531" spans="1:3" ht="18" customHeight="1">
      <c r="A2531" t="str">
        <f>"107212"</f>
        <v>107212</v>
      </c>
      <c r="B2531" t="str">
        <f>"Bracket DriverCard - Nickel, ER9 Controller B"</f>
        <v>Bracket DriverCard - Nickel, ER9 Controller B</v>
      </c>
      <c r="C2531" t="str">
        <f t="shared" si="108"/>
        <v>Active</v>
      </c>
    </row>
    <row r="2532" spans="1:3" ht="18" customHeight="1">
      <c r="A2532" t="str">
        <f>"107213"</f>
        <v>107213</v>
      </c>
      <c r="B2532" t="str">
        <f>"Bracket For Driver ER9 Controller B"</f>
        <v>Bracket For Driver ER9 Controller B</v>
      </c>
      <c r="C2532" t="str">
        <f t="shared" si="108"/>
        <v>Active</v>
      </c>
    </row>
    <row r="2533" spans="1:3" ht="18" customHeight="1">
      <c r="A2533" t="str">
        <f>"107240"</f>
        <v>107240</v>
      </c>
      <c r="B2533" t="str">
        <f>"Bracket  - 55 holes tekDESIGN"</f>
        <v>Bracket  - 55 holes tekDESIGN</v>
      </c>
      <c r="C2533" t="str">
        <f>"Phase Out"</f>
        <v>Phase Out</v>
      </c>
    </row>
    <row r="2534" spans="1:3" ht="18" customHeight="1">
      <c r="A2534" t="str">
        <f>"107241"</f>
        <v>107241</v>
      </c>
      <c r="B2534" t="str">
        <f>"Bracket Rule - 11 holes tekDESIGN"</f>
        <v>Bracket Rule - 11 holes tekDESIGN</v>
      </c>
      <c r="C2534" t="str">
        <f>"Phase Out"</f>
        <v>Phase Out</v>
      </c>
    </row>
    <row r="2535" spans="1:3" ht="18" customHeight="1">
      <c r="A2535" t="str">
        <f>"107242"</f>
        <v>107242</v>
      </c>
      <c r="B2535" t="str">
        <f>"Bracket Angle - 22 holes tekDESIGN"</f>
        <v>Bracket Angle - 22 holes tekDESIGN</v>
      </c>
      <c r="C2535" t="str">
        <f>"Inactive"</f>
        <v>Inactive</v>
      </c>
    </row>
    <row r="2536" spans="1:3" ht="18" customHeight="1">
      <c r="A2536" t="str">
        <f>"107246"</f>
        <v>107246</v>
      </c>
      <c r="B2536" t="str">
        <f>"Bracket Angle- 10 holes tekDESIGN"</f>
        <v>Bracket Angle- 10 holes tekDESIGN</v>
      </c>
      <c r="C2536" t="str">
        <f>"Inactive"</f>
        <v>Inactive</v>
      </c>
    </row>
    <row r="2537" spans="1:3" ht="18" customHeight="1">
      <c r="A2537" t="str">
        <f>"107262"</f>
        <v>107262</v>
      </c>
      <c r="B2537" t="str">
        <f>"Bracket for Power Supply 170x80x2 mm"</f>
        <v>Bracket for Power Supply 170x80x2 mm</v>
      </c>
      <c r="C2537" t="str">
        <f t="shared" ref="C2537:C2542" si="109">"Active"</f>
        <v>Active</v>
      </c>
    </row>
    <row r="2538" spans="1:3" ht="18" customHeight="1">
      <c r="A2538" t="str">
        <f>"107264"</f>
        <v>107264</v>
      </c>
      <c r="B2538" t="str">
        <f>"Bracket 8, flat40 ITEM 00196.86"</f>
        <v>Bracket 8, flat40 ITEM 00196.86</v>
      </c>
      <c r="C2538" t="str">
        <f t="shared" si="109"/>
        <v>Active</v>
      </c>
    </row>
    <row r="2539" spans="1:3" ht="18" customHeight="1">
      <c r="A2539" t="str">
        <f>"107266"</f>
        <v>107266</v>
      </c>
      <c r="B2539" t="str">
        <f>"In-Line Liquid Flow meter for D 25, h=35 mm"</f>
        <v>In-Line Liquid Flow meter for D 25, h=35 mm</v>
      </c>
      <c r="C2539" t="str">
        <f t="shared" si="109"/>
        <v>Active</v>
      </c>
    </row>
    <row r="2540" spans="1:3" ht="18" customHeight="1">
      <c r="A2540" t="str">
        <f>"107267"</f>
        <v>107267</v>
      </c>
      <c r="B2540" t="str">
        <f>"Bracket for Magnet"</f>
        <v>Bracket for Magnet</v>
      </c>
      <c r="C2540" t="str">
        <f t="shared" si="109"/>
        <v>Active</v>
      </c>
    </row>
    <row r="2541" spans="1:3" ht="18" customHeight="1">
      <c r="A2541" t="str">
        <f>"107269"</f>
        <v>107269</v>
      </c>
      <c r="B2541" t="str">
        <f>"Support DIN 35 Machining 125 mm"</f>
        <v>Support DIN 35 Machining 125 mm</v>
      </c>
      <c r="C2541" t="str">
        <f t="shared" si="109"/>
        <v>Active</v>
      </c>
    </row>
    <row r="2542" spans="1:3" ht="18" customHeight="1">
      <c r="A2542" t="str">
        <f>"107270"</f>
        <v>107270</v>
      </c>
      <c r="B2542" t="str">
        <f>"Bracket Angle  100x80x2 mm"</f>
        <v>Bracket Angle  100x80x2 mm</v>
      </c>
      <c r="C2542" t="str">
        <f t="shared" si="109"/>
        <v>Active</v>
      </c>
    </row>
    <row r="2543" spans="1:3" ht="18" customHeight="1">
      <c r="A2543" t="str">
        <f>"107274"</f>
        <v>107274</v>
      </c>
      <c r="B2543" t="str">
        <f>"Bracket Support ER-400"</f>
        <v>Bracket Support ER-400</v>
      </c>
      <c r="C2543" t="str">
        <f>"ECO-N2Buy"</f>
        <v>ECO-N2Buy</v>
      </c>
    </row>
    <row r="2544" spans="1:3" ht="18" customHeight="1">
      <c r="A2544" t="str">
        <f>"107275"</f>
        <v>107275</v>
      </c>
      <c r="B2544" t="str">
        <f>"Bracket for Power Supply I/O Box for NXC100"</f>
        <v>Bracket for Power Supply I/O Box for NXC100</v>
      </c>
      <c r="C2544" t="str">
        <f t="shared" ref="C2544:C2553" si="110">"Active"</f>
        <v>Active</v>
      </c>
    </row>
    <row r="2545" spans="1:3" ht="18" customHeight="1">
      <c r="A2545" t="str">
        <f>"107276"</f>
        <v>107276</v>
      </c>
      <c r="B2545" t="str">
        <f>"Angle Bracket, ER9 pack"</f>
        <v>Angle Bracket, ER9 pack</v>
      </c>
      <c r="C2545" t="str">
        <f t="shared" si="110"/>
        <v>Active</v>
      </c>
    </row>
    <row r="2546" spans="1:3" ht="18" customHeight="1">
      <c r="A2546" t="str">
        <f>"107278"</f>
        <v>107278</v>
      </c>
      <c r="B2546" t="str">
        <f>"Bracket Support SIEMENS 3RG7848-2BC"</f>
        <v>Bracket Support SIEMENS 3RG7848-2BC</v>
      </c>
      <c r="C2546" t="str">
        <f t="shared" si="110"/>
        <v>Active</v>
      </c>
    </row>
    <row r="2547" spans="1:3" ht="18" customHeight="1">
      <c r="A2547" t="str">
        <f>"107280"</f>
        <v>107280</v>
      </c>
      <c r="B2547" t="str">
        <f>"Bracket Elbow 20x42x40mm, ME10 JM"</f>
        <v>Bracket Elbow 20x42x40mm, ME10 JM</v>
      </c>
      <c r="C2547" t="str">
        <f t="shared" si="110"/>
        <v>Active</v>
      </c>
    </row>
    <row r="2548" spans="1:3" ht="18" customHeight="1">
      <c r="A2548" t="str">
        <f>"107284"</f>
        <v>107284</v>
      </c>
      <c r="B2548" t="str">
        <f>"Bracket for Power Suplly 115x50x2mm, I/O Box"</f>
        <v>Bracket for Power Suplly 115x50x2mm, I/O Box</v>
      </c>
      <c r="C2548" t="str">
        <f t="shared" si="110"/>
        <v>Active</v>
      </c>
    </row>
    <row r="2549" spans="1:3" ht="18" customHeight="1">
      <c r="A2549" t="str">
        <f>"107285"</f>
        <v>107285</v>
      </c>
      <c r="B2549" t="str">
        <f>"Bracket elbow 20x25, L=50mm"</f>
        <v>Bracket elbow 20x25, L=50mm</v>
      </c>
      <c r="C2549" t="str">
        <f t="shared" si="110"/>
        <v>Active</v>
      </c>
    </row>
    <row r="2550" spans="1:3" ht="18" customHeight="1">
      <c r="A2550" t="str">
        <f>"107289"</f>
        <v>107289</v>
      </c>
      <c r="B2550" t="str">
        <f>"Support DIN 35 Machining 230mm"</f>
        <v>Support DIN 35 Machining 230mm</v>
      </c>
      <c r="C2550" t="str">
        <f t="shared" si="110"/>
        <v>Active</v>
      </c>
    </row>
    <row r="2551" spans="1:3" ht="18" customHeight="1">
      <c r="A2551" t="str">
        <f>"107290"</f>
        <v>107290</v>
      </c>
      <c r="B2551" t="str">
        <f>"Support DIN 35 Machining 160mm"</f>
        <v>Support DIN 35 Machining 160mm</v>
      </c>
      <c r="C2551" t="str">
        <f t="shared" si="110"/>
        <v>Active</v>
      </c>
    </row>
    <row r="2552" spans="1:3" ht="18" customHeight="1">
      <c r="A2552" t="str">
        <f>"107291"</f>
        <v>107291</v>
      </c>
      <c r="B2552" t="str">
        <f>"Bracket adapter for Double slotted Panel"</f>
        <v>Bracket adapter for Double slotted Panel</v>
      </c>
      <c r="C2552" t="str">
        <f t="shared" si="110"/>
        <v>Active</v>
      </c>
    </row>
    <row r="2553" spans="1:3" ht="18" customHeight="1">
      <c r="A2553" t="str">
        <f>"107292"</f>
        <v>107292</v>
      </c>
      <c r="B2553" t="str">
        <f>"Bracket Lower for Double slotted Panel"</f>
        <v>Bracket Lower for Double slotted Panel</v>
      </c>
      <c r="C2553" t="str">
        <f t="shared" si="110"/>
        <v>Active</v>
      </c>
    </row>
    <row r="2554" spans="1:3" ht="18" customHeight="1">
      <c r="A2554" t="str">
        <f>"107293"</f>
        <v>107293</v>
      </c>
      <c r="B2554" t="str">
        <f>"Bracket Upper for PLCLine/ Mobile JM"</f>
        <v>Bracket Upper for PLCLine/ Mobile JM</v>
      </c>
      <c r="C2554" t="str">
        <f>"ECO-N2Buy"</f>
        <v>ECO-N2Buy</v>
      </c>
    </row>
    <row r="2555" spans="1:3" ht="18" customHeight="1">
      <c r="A2555" t="str">
        <f>"107294"</f>
        <v>107294</v>
      </c>
      <c r="B2555" t="str">
        <f>"Bracket Lower for Slotted Panel Hydro, JM"</f>
        <v>Bracket Lower for Slotted Panel Hydro, JM</v>
      </c>
      <c r="C2555" t="str">
        <f t="shared" ref="C2555:C2561" si="111">"Active"</f>
        <v>Active</v>
      </c>
    </row>
    <row r="2556" spans="1:3" ht="18" customHeight="1">
      <c r="A2556" t="str">
        <f>"107295"</f>
        <v>107295</v>
      </c>
      <c r="B2556" t="str">
        <f>"Bracket Upper for Slotted Panel Hydro, JM"</f>
        <v>Bracket Upper for Slotted Panel Hydro, JM</v>
      </c>
      <c r="C2556" t="str">
        <f t="shared" si="111"/>
        <v>Active</v>
      </c>
    </row>
    <row r="2557" spans="1:3" ht="18" customHeight="1">
      <c r="A2557" t="str">
        <f>"107296"</f>
        <v>107296</v>
      </c>
      <c r="B2557" t="str">
        <f>"Bracket Lower for PLCLine/Mobile JM"</f>
        <v>Bracket Lower for PLCLine/Mobile JM</v>
      </c>
      <c r="C2557" t="str">
        <f t="shared" si="111"/>
        <v>Active</v>
      </c>
    </row>
    <row r="2558" spans="1:3" ht="18" customHeight="1">
      <c r="A2558" t="str">
        <f>"107297"</f>
        <v>107297</v>
      </c>
      <c r="B2558" t="str">
        <f>"Bracket 205x360x20 mm"</f>
        <v>Bracket 205x360x20 mm</v>
      </c>
      <c r="C2558" t="str">
        <f t="shared" si="111"/>
        <v>Active</v>
      </c>
    </row>
    <row r="2559" spans="1:3" ht="18" customHeight="1">
      <c r="A2559" t="str">
        <f>"107298"</f>
        <v>107298</v>
      </c>
      <c r="B2559" t="str">
        <f>"Bracket Elbow 37x37x80mm, ME10 JM"</f>
        <v>Bracket Elbow 37x37x80mm, ME10 JM</v>
      </c>
      <c r="C2559" t="str">
        <f t="shared" si="111"/>
        <v>Active</v>
      </c>
    </row>
    <row r="2560" spans="1:3" ht="18" customHeight="1">
      <c r="A2560" t="str">
        <f>"107299"</f>
        <v>107299</v>
      </c>
      <c r="B2560" t="str">
        <f>"Bracket Elbow 56x40x138 mm, ME10 JM"</f>
        <v>Bracket Elbow 56x40x138 mm, ME10 JM</v>
      </c>
      <c r="C2560" t="str">
        <f t="shared" si="111"/>
        <v>Active</v>
      </c>
    </row>
    <row r="2561" spans="1:3" ht="18" customHeight="1">
      <c r="A2561" t="str">
        <f>"11-1121-0000"</f>
        <v>11-1121-0000</v>
      </c>
      <c r="B2561" t="str">
        <f>"Upper enclosure for BM 6000"</f>
        <v>Upper enclosure for BM 6000</v>
      </c>
      <c r="C2561" t="str">
        <f t="shared" si="111"/>
        <v>Active</v>
      </c>
    </row>
    <row r="2562" spans="1:3" ht="18" customHeight="1">
      <c r="A2562" t="str">
        <f>"110214"</f>
        <v>110214</v>
      </c>
      <c r="B2562" t="str">
        <f>"Arm Lower Right-Unpainted"</f>
        <v>Arm Lower Right-Unpainted</v>
      </c>
      <c r="C2562" t="str">
        <f>"Phase Out"</f>
        <v>Phase Out</v>
      </c>
    </row>
    <row r="2563" spans="1:3" ht="18" customHeight="1">
      <c r="A2563" t="str">
        <f>"110219"</f>
        <v>110219</v>
      </c>
      <c r="B2563" t="str">
        <f>"Arm Lower Left -Unpainted"</f>
        <v>Arm Lower Left -Unpainted</v>
      </c>
      <c r="C2563" t="str">
        <f>"Phase Out"</f>
        <v>Phase Out</v>
      </c>
    </row>
    <row r="2564" spans="1:3" ht="18" customHeight="1">
      <c r="A2564" t="str">
        <f>"110229"</f>
        <v>110229</v>
      </c>
      <c r="B2564" t="str">
        <f>"Base Gripper Motor  SCORBOT ER4u"</f>
        <v>Base Gripper Motor  SCORBOT ER4u</v>
      </c>
      <c r="C2564" t="str">
        <f>"Active"</f>
        <v>Active</v>
      </c>
    </row>
    <row r="2565" spans="1:3" ht="18" customHeight="1">
      <c r="A2565" t="str">
        <f>"110233"</f>
        <v>110233</v>
      </c>
      <c r="B2565" t="str">
        <f>"Cover Side Support-Unpainted"</f>
        <v>Cover Side Support-Unpainted</v>
      </c>
      <c r="C2565" t="str">
        <f>"Inactive"</f>
        <v>Inactive</v>
      </c>
    </row>
    <row r="2566" spans="1:3" ht="18" customHeight="1">
      <c r="A2566" t="str">
        <f>"110234"</f>
        <v>110234</v>
      </c>
      <c r="B2566" t="str">
        <f>"Black Cover Support for ER4u-Painting"</f>
        <v>Black Cover Support for ER4u-Painting</v>
      </c>
      <c r="C2566" t="str">
        <f>"Active"</f>
        <v>Active</v>
      </c>
    </row>
    <row r="2567" spans="1:3" ht="18" customHeight="1">
      <c r="A2567" t="str">
        <f>"110234-10"</f>
        <v>110234-10</v>
      </c>
      <c r="B2567" t="str">
        <f>"Cover Support SCORBOT ER4u-Machining"</f>
        <v>Cover Support SCORBOT ER4u-Machining</v>
      </c>
      <c r="C2567" t="str">
        <f>"Not for sale"</f>
        <v>Not for sale</v>
      </c>
    </row>
    <row r="2568" spans="1:3" ht="18" customHeight="1">
      <c r="A2568" t="str">
        <f>"110239"</f>
        <v>110239</v>
      </c>
      <c r="B2568" t="str">
        <f>"Roll to Base Attachment, SCORBOT ER7/9"</f>
        <v>Roll to Base Attachment, SCORBOT ER7/9</v>
      </c>
      <c r="C2568" t="str">
        <f>"Active"</f>
        <v>Active</v>
      </c>
    </row>
    <row r="2569" spans="1:3" ht="18" customHeight="1">
      <c r="A2569" t="str">
        <f>"110240"</f>
        <v>110240</v>
      </c>
      <c r="B2569" t="str">
        <f>"Cover Elbow Sw. Housing, SCORBOT ER7"</f>
        <v>Cover Elbow Sw. Housing, SCORBOT ER7</v>
      </c>
      <c r="C2569" t="str">
        <f>"Active"</f>
        <v>Active</v>
      </c>
    </row>
    <row r="2570" spans="1:3" ht="18" customHeight="1">
      <c r="A2570" t="str">
        <f>"110244"</f>
        <v>110244</v>
      </c>
      <c r="B2570" t="str">
        <f>"Template Lower Base CIM"</f>
        <v>Template Lower Base CIM</v>
      </c>
      <c r="C2570" t="str">
        <f>"Active"</f>
        <v>Active</v>
      </c>
    </row>
    <row r="2571" spans="1:3" ht="18" customHeight="1">
      <c r="A2571" t="str">
        <f>"110246"</f>
        <v>110246</v>
      </c>
      <c r="B2571" t="str">
        <f>"S7-1200 Support"</f>
        <v>S7-1200 Support</v>
      </c>
      <c r="C2571" t="str">
        <f>"New"</f>
        <v>New</v>
      </c>
    </row>
    <row r="2572" spans="1:3" ht="18" customHeight="1">
      <c r="A2572" t="str">
        <f>"110248"</f>
        <v>110248</v>
      </c>
      <c r="B2572" t="str">
        <f>"Cover Pallet Magnet CIM"</f>
        <v>Cover Pallet Magnet CIM</v>
      </c>
      <c r="C2572" t="str">
        <f t="shared" ref="C2572:C2598" si="112">"Active"</f>
        <v>Active</v>
      </c>
    </row>
    <row r="2573" spans="1:3" ht="18" customHeight="1">
      <c r="A2573" t="str">
        <f>"110249"</f>
        <v>110249</v>
      </c>
      <c r="B2573" t="str">
        <f>"Cover Template Metal CIM"</f>
        <v>Cover Template Metal CIM</v>
      </c>
      <c r="C2573" t="str">
        <f t="shared" si="112"/>
        <v>Active</v>
      </c>
    </row>
    <row r="2574" spans="1:3" ht="18" customHeight="1">
      <c r="A2574" t="str">
        <f>"110250"</f>
        <v>110250</v>
      </c>
      <c r="B2574" t="str">
        <f>"Cover Conveyor Corner CIM"</f>
        <v>Cover Conveyor Corner CIM</v>
      </c>
      <c r="C2574" t="str">
        <f t="shared" si="112"/>
        <v>Active</v>
      </c>
    </row>
    <row r="2575" spans="1:3" ht="18" customHeight="1">
      <c r="A2575" t="str">
        <f>"110253"</f>
        <v>110253</v>
      </c>
      <c r="B2575" t="str">
        <f>"Cover top Conveyor Drive Assy. CIM"</f>
        <v>Cover top Conveyor Drive Assy. CIM</v>
      </c>
      <c r="C2575" t="str">
        <f t="shared" si="112"/>
        <v>Active</v>
      </c>
    </row>
    <row r="2576" spans="1:3" ht="18" customHeight="1">
      <c r="A2576" t="str">
        <f>"110254"</f>
        <v>110254</v>
      </c>
      <c r="B2576" t="str">
        <f>"Cover Top Transmission Gear  SCORA ER14"</f>
        <v>Cover Top Transmission Gear  SCORA ER14</v>
      </c>
      <c r="C2576" t="str">
        <f t="shared" si="112"/>
        <v>Active</v>
      </c>
    </row>
    <row r="2577" spans="1:3" ht="18" customHeight="1">
      <c r="A2577" t="str">
        <f>"110255"</f>
        <v>110255</v>
      </c>
      <c r="B2577" t="str">
        <f>"Holder Cover Axis 3 SCORA ER14"</f>
        <v>Holder Cover Axis 3 SCORA ER14</v>
      </c>
      <c r="C2577" t="str">
        <f t="shared" si="112"/>
        <v>Active</v>
      </c>
    </row>
    <row r="2578" spans="1:3" ht="18" customHeight="1">
      <c r="A2578" t="str">
        <f>"110256"</f>
        <v>110256</v>
      </c>
      <c r="B2578" t="str">
        <f>"Holder Connector SCORA ER14"</f>
        <v>Holder Connector SCORA ER14</v>
      </c>
      <c r="C2578" t="str">
        <f t="shared" si="112"/>
        <v>Active</v>
      </c>
    </row>
    <row r="2579" spans="1:3" ht="18" customHeight="1">
      <c r="A2579" t="str">
        <f>"110257"</f>
        <v>110257</v>
      </c>
      <c r="B2579" t="str">
        <f>"Cable Holder 1-1/4"" SCORA ER14"</f>
        <v>Cable Holder 1-1/4" SCORA ER14</v>
      </c>
      <c r="C2579" t="str">
        <f t="shared" si="112"/>
        <v>Active</v>
      </c>
    </row>
    <row r="2580" spans="1:3" ht="18" customHeight="1">
      <c r="A2580" t="str">
        <f>"110258"</f>
        <v>110258</v>
      </c>
      <c r="B2580" t="str">
        <f>"Support Switches - Axis 3 SCORA ER14"</f>
        <v>Support Switches - Axis 3 SCORA ER14</v>
      </c>
      <c r="C2580" t="str">
        <f t="shared" si="112"/>
        <v>Active</v>
      </c>
    </row>
    <row r="2581" spans="1:3" ht="18" customHeight="1">
      <c r="A2581" t="str">
        <f>"110259"</f>
        <v>110259</v>
      </c>
      <c r="B2581" t="str">
        <f>"Cover Motor Axis 1 Scorbot ER9"</f>
        <v>Cover Motor Axis 1 Scorbot ER9</v>
      </c>
      <c r="C2581" t="str">
        <f t="shared" si="112"/>
        <v>Active</v>
      </c>
    </row>
    <row r="2582" spans="1:3" ht="18" customHeight="1">
      <c r="A2582" t="str">
        <f>"110261"</f>
        <v>110261</v>
      </c>
      <c r="B2582" t="str">
        <f>"Plate Axis 3 Scorbot ER14"</f>
        <v>Plate Axis 3 Scorbot ER14</v>
      </c>
      <c r="C2582" t="str">
        <f t="shared" si="112"/>
        <v>Active</v>
      </c>
    </row>
    <row r="2583" spans="1:3" ht="18" customHeight="1">
      <c r="A2583" t="str">
        <f>"110262"</f>
        <v>110262</v>
      </c>
      <c r="B2583" t="str">
        <f>"Cover Axis 3 Scorbot ER14"</f>
        <v>Cover Axis 3 Scorbot ER14</v>
      </c>
      <c r="C2583" t="str">
        <f t="shared" si="112"/>
        <v>Active</v>
      </c>
    </row>
    <row r="2584" spans="1:3" ht="18" customHeight="1">
      <c r="A2584" t="str">
        <f>"110264"</f>
        <v>110264</v>
      </c>
      <c r="B2584" t="str">
        <f>"Bridge TP"</f>
        <v>Bridge TP</v>
      </c>
      <c r="C2584" t="str">
        <f t="shared" si="112"/>
        <v>Active</v>
      </c>
    </row>
    <row r="2585" spans="1:3" ht="18" customHeight="1">
      <c r="A2585" t="str">
        <f>"110265"</f>
        <v>110265</v>
      </c>
      <c r="B2585" t="str">
        <f>"Stand TP(AC-B-PC)"</f>
        <v>Stand TP(AC-B-PC)</v>
      </c>
      <c r="C2585" t="str">
        <f t="shared" si="112"/>
        <v>Active</v>
      </c>
    </row>
    <row r="2586" spans="1:3" ht="18" customHeight="1">
      <c r="A2586" t="str">
        <f>"110266"</f>
        <v>110266</v>
      </c>
      <c r="B2586" t="str">
        <f>"Cartridge Gripper Scorbot ER2u"</f>
        <v>Cartridge Gripper Scorbot ER2u</v>
      </c>
      <c r="C2586" t="str">
        <f t="shared" si="112"/>
        <v>Active</v>
      </c>
    </row>
    <row r="2587" spans="1:3" ht="18" customHeight="1">
      <c r="A2587" t="str">
        <f>"110267"</f>
        <v>110267</v>
      </c>
      <c r="B2587" t="str">
        <f>"Arm Angle Scorbot ER2u"</f>
        <v>Arm Angle Scorbot ER2u</v>
      </c>
      <c r="C2587" t="str">
        <f t="shared" si="112"/>
        <v>Active</v>
      </c>
    </row>
    <row r="2588" spans="1:3" ht="18" customHeight="1">
      <c r="A2588" t="str">
        <f>"110268"</f>
        <v>110268</v>
      </c>
      <c r="B2588" t="str">
        <f>"Arm Scorbot ER2u"</f>
        <v>Arm Scorbot ER2u</v>
      </c>
      <c r="C2588" t="str">
        <f t="shared" si="112"/>
        <v>Active</v>
      </c>
    </row>
    <row r="2589" spans="1:3" ht="18" customHeight="1">
      <c r="A2589" t="str">
        <f>"110269"</f>
        <v>110269</v>
      </c>
      <c r="B2589" t="str">
        <f>"Base Gripper  Scorbot ER2u"</f>
        <v>Base Gripper  Scorbot ER2u</v>
      </c>
      <c r="C2589" t="str">
        <f t="shared" si="112"/>
        <v>Active</v>
      </c>
    </row>
    <row r="2590" spans="1:3" ht="18" customHeight="1">
      <c r="A2590" t="str">
        <f>"110270"</f>
        <v>110270</v>
      </c>
      <c r="B2590" t="str">
        <f>"Cover for Housing Motor  Axis 5 Scorbot ER2u"</f>
        <v>Cover for Housing Motor  Axis 5 Scorbot ER2u</v>
      </c>
      <c r="C2590" t="str">
        <f t="shared" si="112"/>
        <v>Active</v>
      </c>
    </row>
    <row r="2591" spans="1:3" ht="18" customHeight="1">
      <c r="A2591" t="str">
        <f>"110274"</f>
        <v>110274</v>
      </c>
      <c r="B2591" t="str">
        <f>"Cover Base Scorbot ER2u"</f>
        <v>Cover Base Scorbot ER2u</v>
      </c>
      <c r="C2591" t="str">
        <f t="shared" si="112"/>
        <v>Active</v>
      </c>
    </row>
    <row r="2592" spans="1:3" ht="18" customHeight="1">
      <c r="A2592" t="str">
        <f>"110277"</f>
        <v>110277</v>
      </c>
      <c r="B2592" t="str">
        <f>"Box for Conveyor Station CIM"</f>
        <v>Box for Conveyor Station CIM</v>
      </c>
      <c r="C2592" t="str">
        <f t="shared" si="112"/>
        <v>Active</v>
      </c>
    </row>
    <row r="2593" spans="1:3" ht="18" customHeight="1">
      <c r="A2593" t="str">
        <f>"110278"</f>
        <v>110278</v>
      </c>
      <c r="B2593" t="str">
        <f>"Cover for Conveyor Station's Box OPEN-CIM"</f>
        <v>Cover for Conveyor Station's Box OPEN-CIM</v>
      </c>
      <c r="C2593" t="str">
        <f t="shared" si="112"/>
        <v>Active</v>
      </c>
    </row>
    <row r="2594" spans="1:3" ht="18" customHeight="1">
      <c r="A2594" t="str">
        <f>"110279"</f>
        <v>110279</v>
      </c>
      <c r="B2594" t="str">
        <f>"Support for Power Supply OPEN CIM"</f>
        <v>Support for Power Supply OPEN CIM</v>
      </c>
      <c r="C2594" t="str">
        <f t="shared" si="112"/>
        <v>Active</v>
      </c>
    </row>
    <row r="2595" spans="1:3" ht="18" customHeight="1">
      <c r="A2595" t="str">
        <f>"110280"</f>
        <v>110280</v>
      </c>
      <c r="B2595" t="str">
        <f>"Back Plate For CIM OPEN CIM"</f>
        <v>Back Plate For CIM OPEN CIM</v>
      </c>
      <c r="C2595" t="str">
        <f t="shared" si="112"/>
        <v>Active</v>
      </c>
    </row>
    <row r="2596" spans="1:3" ht="18" customHeight="1">
      <c r="A2596" t="str">
        <f>"110282"</f>
        <v>110282</v>
      </c>
      <c r="B2596" t="str">
        <f>"Bracket Support Heating PC Controller"</f>
        <v>Bracket Support Heating PC Controller</v>
      </c>
      <c r="C2596" t="str">
        <f t="shared" si="112"/>
        <v>Active</v>
      </c>
    </row>
    <row r="2597" spans="1:3" ht="18" customHeight="1">
      <c r="A2597" t="str">
        <f>"110285"</f>
        <v>110285</v>
      </c>
      <c r="B2597" t="str">
        <f>"Bracket Heating  Controller USB"</f>
        <v>Bracket Heating  Controller USB</v>
      </c>
      <c r="C2597" t="str">
        <f t="shared" si="112"/>
        <v>Active</v>
      </c>
    </row>
    <row r="2598" spans="1:3" ht="18" customHeight="1">
      <c r="A2598" t="str">
        <f>"110286"</f>
        <v>110286</v>
      </c>
      <c r="B2598" t="str">
        <f>"Blue Right Support SCORBOT ER4u-painting"</f>
        <v>Blue Right Support SCORBOT ER4u-painting</v>
      </c>
      <c r="C2598" t="str">
        <f t="shared" si="112"/>
        <v>Active</v>
      </c>
    </row>
    <row r="2599" spans="1:3" ht="18" customHeight="1">
      <c r="A2599" t="str">
        <f>"110286-10"</f>
        <v>110286-10</v>
      </c>
      <c r="B2599" t="str">
        <f>"Right Support SCORBOT ER4u-machining"</f>
        <v>Right Support SCORBOT ER4u-machining</v>
      </c>
      <c r="C2599" t="str">
        <f>"ECO-N2Buy"</f>
        <v>ECO-N2Buy</v>
      </c>
    </row>
    <row r="2600" spans="1:3" ht="18" customHeight="1">
      <c r="A2600" t="str">
        <f>"110287"</f>
        <v>110287</v>
      </c>
      <c r="B2600" t="str">
        <f>"Blue Left Support SCORBOT ER4u-Painting"</f>
        <v>Blue Left Support SCORBOT ER4u-Painting</v>
      </c>
      <c r="C2600" t="str">
        <f>"Active"</f>
        <v>Active</v>
      </c>
    </row>
    <row r="2601" spans="1:3" ht="18" customHeight="1">
      <c r="A2601" t="str">
        <f>"110287-10"</f>
        <v>110287-10</v>
      </c>
      <c r="B2601" t="str">
        <f>"Left Support SCORBOT ER4u-Machining"</f>
        <v>Left Support SCORBOT ER4u-Machining</v>
      </c>
      <c r="C2601" t="str">
        <f>"Not for sale"</f>
        <v>Not for sale</v>
      </c>
    </row>
    <row r="2602" spans="1:3" ht="18" customHeight="1">
      <c r="A2602" t="str">
        <f>"110291"</f>
        <v>110291</v>
      </c>
      <c r="B2602" t="str">
        <f>"Blue Arm Cover SCORBOT ER4u-Painting"</f>
        <v>Blue Arm Cover SCORBOT ER4u-Painting</v>
      </c>
      <c r="C2602" t="str">
        <f t="shared" ref="C2602:C2607" si="113">"Active"</f>
        <v>Active</v>
      </c>
    </row>
    <row r="2603" spans="1:3" ht="18" customHeight="1">
      <c r="A2603" t="str">
        <f>"110291-10"</f>
        <v>110291-10</v>
      </c>
      <c r="B2603" t="str">
        <f>"Arm Cover SCORBOT ER4u-Machining"</f>
        <v>Arm Cover SCORBOT ER4u-Machining</v>
      </c>
      <c r="C2603" t="str">
        <f t="shared" si="113"/>
        <v>Active</v>
      </c>
    </row>
    <row r="2604" spans="1:3" ht="18" customHeight="1">
      <c r="A2604" t="str">
        <f>"110293"</f>
        <v>110293</v>
      </c>
      <c r="B2604" t="str">
        <f>"Flag Optical Sensor Home ER14"</f>
        <v>Flag Optical Sensor Home ER14</v>
      </c>
      <c r="C2604" t="str">
        <f t="shared" si="113"/>
        <v>Active</v>
      </c>
    </row>
    <row r="2605" spans="1:3" ht="18" customHeight="1">
      <c r="A2605" t="str">
        <f>"110294"</f>
        <v>110294</v>
      </c>
      <c r="B2605" t="str">
        <f>"Support Stand For AMT Line"</f>
        <v>Support Stand For AMT Line</v>
      </c>
      <c r="C2605" t="str">
        <f t="shared" si="113"/>
        <v>Active</v>
      </c>
    </row>
    <row r="2606" spans="1:3" ht="18" customHeight="1">
      <c r="A2606" t="str">
        <f>"110296"</f>
        <v>110296</v>
      </c>
      <c r="B2606" t="str">
        <f>"Holder for D=33mm"</f>
        <v>Holder for D=33mm</v>
      </c>
      <c r="C2606" t="str">
        <f t="shared" si="113"/>
        <v>Active</v>
      </c>
    </row>
    <row r="2607" spans="1:3" ht="18" customHeight="1">
      <c r="A2607" t="str">
        <f>"110297"</f>
        <v>110297</v>
      </c>
      <c r="B2607" t="str">
        <f>"Bracket Holding Sensor-Line"</f>
        <v>Bracket Holding Sensor-Line</v>
      </c>
      <c r="C2607" t="str">
        <f t="shared" si="113"/>
        <v>Active</v>
      </c>
    </row>
    <row r="2608" spans="1:3" ht="18" customHeight="1">
      <c r="A2608" t="str">
        <f>"110298"</f>
        <v>110298</v>
      </c>
      <c r="B2608" t="str">
        <f>"Metal table top ER4u Welding Booth"</f>
        <v>Metal table top ER4u Welding Booth</v>
      </c>
      <c r="C2608" t="str">
        <f>"ECO-N2Buy"</f>
        <v>ECO-N2Buy</v>
      </c>
    </row>
    <row r="2609" spans="1:3" ht="18" customHeight="1">
      <c r="A2609" t="str">
        <f>"110299"</f>
        <v>110299</v>
      </c>
      <c r="B2609" t="str">
        <f>"Metal Shelf ER4u Welding Booth"</f>
        <v>Metal Shelf ER4u Welding Booth</v>
      </c>
      <c r="C2609" t="str">
        <f t="shared" ref="C2609:C2641" si="114">"Active"</f>
        <v>Active</v>
      </c>
    </row>
    <row r="2610" spans="1:3" ht="18" customHeight="1">
      <c r="A2610" t="str">
        <f>"110302"</f>
        <v>110302</v>
      </c>
      <c r="B2610" t="str">
        <f>"Short Foot For Gravity Feeder"</f>
        <v>Short Foot For Gravity Feeder</v>
      </c>
      <c r="C2610" t="str">
        <f t="shared" si="114"/>
        <v>Active</v>
      </c>
    </row>
    <row r="2611" spans="1:3" ht="18" customHeight="1">
      <c r="A2611" t="str">
        <f>"110303"</f>
        <v>110303</v>
      </c>
      <c r="B2611" t="str">
        <f>"Base for Gravity Feeder"</f>
        <v>Base for Gravity Feeder</v>
      </c>
      <c r="C2611" t="str">
        <f t="shared" si="114"/>
        <v>Active</v>
      </c>
    </row>
    <row r="2612" spans="1:3" ht="18" customHeight="1">
      <c r="A2612" t="str">
        <f>"110304"</f>
        <v>110304</v>
      </c>
      <c r="B2612" t="str">
        <f>"Guide Rail - Right for Gravity Feeder"</f>
        <v>Guide Rail - Right for Gravity Feeder</v>
      </c>
      <c r="C2612" t="str">
        <f t="shared" si="114"/>
        <v>Active</v>
      </c>
    </row>
    <row r="2613" spans="1:3" ht="18" customHeight="1">
      <c r="A2613" t="str">
        <f>"110305"</f>
        <v>110305</v>
      </c>
      <c r="B2613" t="str">
        <f>"Guide Rail - Left for Gravity Feeder"</f>
        <v>Guide Rail - Left for Gravity Feeder</v>
      </c>
      <c r="C2613" t="str">
        <f t="shared" si="114"/>
        <v>Active</v>
      </c>
    </row>
    <row r="2614" spans="1:3" ht="18" customHeight="1">
      <c r="A2614" t="str">
        <f>"110306"</f>
        <v>110306</v>
      </c>
      <c r="B2614" t="str">
        <f>"Microswitch holder"</f>
        <v>Microswitch holder</v>
      </c>
      <c r="C2614" t="str">
        <f t="shared" si="114"/>
        <v>Active</v>
      </c>
    </row>
    <row r="2615" spans="1:3" ht="18" customHeight="1">
      <c r="A2615" t="str">
        <f>"110307"</f>
        <v>110307</v>
      </c>
      <c r="B2615" t="str">
        <f>"Elbow For Gravity Feeder"</f>
        <v>Elbow For Gravity Feeder</v>
      </c>
      <c r="C2615" t="str">
        <f t="shared" si="114"/>
        <v>Active</v>
      </c>
    </row>
    <row r="2616" spans="1:3" ht="18" customHeight="1">
      <c r="A2616" t="str">
        <f>"110308"</f>
        <v>110308</v>
      </c>
      <c r="B2616" t="str">
        <f>"Long Foot for Gravity Feeder"</f>
        <v>Long Foot for Gravity Feeder</v>
      </c>
      <c r="C2616" t="str">
        <f t="shared" si="114"/>
        <v>Active</v>
      </c>
    </row>
    <row r="2617" spans="1:3" ht="18" customHeight="1">
      <c r="A2617" t="str">
        <f>"110309"</f>
        <v>110309</v>
      </c>
      <c r="B2617" t="str">
        <f>"Blue Right Arm SCORBOT ER4u-Painting&amp;Printing"</f>
        <v>Blue Right Arm SCORBOT ER4u-Painting&amp;Printing</v>
      </c>
      <c r="C2617" t="str">
        <f t="shared" si="114"/>
        <v>Active</v>
      </c>
    </row>
    <row r="2618" spans="1:3" ht="18" customHeight="1">
      <c r="A2618" t="str">
        <f>"110309-10"</f>
        <v>110309-10</v>
      </c>
      <c r="B2618" t="str">
        <f>"Right Arm SCORBOT ER4u-Machining"</f>
        <v>Right Arm SCORBOT ER4u-Machining</v>
      </c>
      <c r="C2618" t="str">
        <f t="shared" si="114"/>
        <v>Active</v>
      </c>
    </row>
    <row r="2619" spans="1:3" ht="18" customHeight="1">
      <c r="A2619" t="str">
        <f>"110310"</f>
        <v>110310</v>
      </c>
      <c r="B2619" t="str">
        <f>"Blue Left Arm SCORBOT ER4u-Painting&amp;Printing"</f>
        <v>Blue Left Arm SCORBOT ER4u-Painting&amp;Printing</v>
      </c>
      <c r="C2619" t="str">
        <f t="shared" si="114"/>
        <v>Active</v>
      </c>
    </row>
    <row r="2620" spans="1:3" ht="18" customHeight="1">
      <c r="A2620" t="str">
        <f>"110310-10"</f>
        <v>110310-10</v>
      </c>
      <c r="B2620" t="str">
        <f>"Left Arm SCORBOT ER4u-Machining"</f>
        <v>Left Arm SCORBOT ER4u-Machining</v>
      </c>
      <c r="C2620" t="str">
        <f t="shared" si="114"/>
        <v>Active</v>
      </c>
    </row>
    <row r="2621" spans="1:3" ht="18" customHeight="1">
      <c r="A2621" t="str">
        <f>"110311"</f>
        <v>110311</v>
      </c>
      <c r="B2621" t="str">
        <f>"Blue Forearm SCORBOT ER4u-Paint&amp;Printing"</f>
        <v>Blue Forearm SCORBOT ER4u-Paint&amp;Printing</v>
      </c>
      <c r="C2621" t="str">
        <f t="shared" si="114"/>
        <v>Active</v>
      </c>
    </row>
    <row r="2622" spans="1:3" ht="18" customHeight="1">
      <c r="A2622" t="str">
        <f>"110311-10"</f>
        <v>110311-10</v>
      </c>
      <c r="B2622" t="str">
        <f>"Forearm SCORBOT ER4U-Machining"</f>
        <v>Forearm SCORBOT ER4U-Machining</v>
      </c>
      <c r="C2622" t="str">
        <f t="shared" si="114"/>
        <v>Active</v>
      </c>
    </row>
    <row r="2623" spans="1:3" ht="18" customHeight="1">
      <c r="A2623" t="str">
        <f>"110313"</f>
        <v>110313</v>
      </c>
      <c r="B2623" t="str">
        <f>"Metal Shelf for Welding ER9/MH5"</f>
        <v>Metal Shelf for Welding ER9/MH5</v>
      </c>
      <c r="C2623" t="str">
        <f t="shared" si="114"/>
        <v>Active</v>
      </c>
    </row>
    <row r="2624" spans="1:3" ht="18" customHeight="1">
      <c r="A2624" t="str">
        <f>"110314"</f>
        <v>110314</v>
      </c>
      <c r="B2624" t="str">
        <f>"Metal Upper Plate for Welding ER9/MH5"</f>
        <v>Metal Upper Plate for Welding ER9/MH5</v>
      </c>
      <c r="C2624" t="str">
        <f t="shared" si="114"/>
        <v>Active</v>
      </c>
    </row>
    <row r="2625" spans="1:3" ht="18" customHeight="1">
      <c r="A2625" t="str">
        <f>"110317"</f>
        <v>110317</v>
      </c>
      <c r="B2625" t="str">
        <f>"Cover High Voltage SLC500"</f>
        <v>Cover High Voltage SLC500</v>
      </c>
      <c r="C2625" t="str">
        <f t="shared" si="114"/>
        <v>Active</v>
      </c>
    </row>
    <row r="2626" spans="1:3" ht="18" customHeight="1">
      <c r="A2626" t="str">
        <f>"110318"</f>
        <v>110318</v>
      </c>
      <c r="B2626" t="str">
        <f>"Base For Adaptor ASRS36/ER4u"</f>
        <v>Base For Adaptor ASRS36/ER4u</v>
      </c>
      <c r="C2626" t="str">
        <f t="shared" si="114"/>
        <v>Active</v>
      </c>
    </row>
    <row r="2627" spans="1:3" ht="18" customHeight="1">
      <c r="A2627" t="str">
        <f>"110319"</f>
        <v>110319</v>
      </c>
      <c r="B2627" t="str">
        <f>"Cover For Adaptor ASRS36/ER4u"</f>
        <v>Cover For Adaptor ASRS36/ER4u</v>
      </c>
      <c r="C2627" t="str">
        <f t="shared" si="114"/>
        <v>Active</v>
      </c>
    </row>
    <row r="2628" spans="1:3" ht="18" customHeight="1">
      <c r="A2628" t="str">
        <f>"110321"</f>
        <v>110321</v>
      </c>
      <c r="B2628" t="str">
        <f>"Base, USB-PRO Controller"</f>
        <v>Base, USB-PRO Controller</v>
      </c>
      <c r="C2628" t="str">
        <f t="shared" si="114"/>
        <v>Active</v>
      </c>
    </row>
    <row r="2629" spans="1:3" ht="18" customHeight="1">
      <c r="A2629" t="str">
        <f>"110322"</f>
        <v>110322</v>
      </c>
      <c r="B2629" t="str">
        <f>"Cover for USB-Pro Controller"</f>
        <v>Cover for USB-Pro Controller</v>
      </c>
      <c r="C2629" t="str">
        <f t="shared" si="114"/>
        <v>Active</v>
      </c>
    </row>
    <row r="2630" spans="1:3" ht="18" customHeight="1">
      <c r="A2630" t="str">
        <f>"110323"</f>
        <v>110323</v>
      </c>
      <c r="B2630" t="str">
        <f>"Cover for Mobile ER-400"</f>
        <v>Cover for Mobile ER-400</v>
      </c>
      <c r="C2630" t="str">
        <f t="shared" si="114"/>
        <v>Active</v>
      </c>
    </row>
    <row r="2631" spans="1:3" ht="18" customHeight="1">
      <c r="A2631" t="str">
        <f>"110324"</f>
        <v>110324</v>
      </c>
      <c r="B2631" t="str">
        <f>"Panel Front USB-PRO Controller"</f>
        <v>Panel Front USB-PRO Controller</v>
      </c>
      <c r="C2631" t="str">
        <f t="shared" si="114"/>
        <v>Active</v>
      </c>
    </row>
    <row r="2632" spans="1:3" ht="18" customHeight="1">
      <c r="A2632" t="str">
        <f>"110325"</f>
        <v>110325</v>
      </c>
      <c r="B2632" t="str">
        <f>"Panel Back USB-PRO Controller"</f>
        <v>Panel Back USB-PRO Controller</v>
      </c>
      <c r="C2632" t="str">
        <f t="shared" si="114"/>
        <v>Active</v>
      </c>
    </row>
    <row r="2633" spans="1:3" ht="18" customHeight="1">
      <c r="A2633" t="str">
        <f>"110326"</f>
        <v>110326</v>
      </c>
      <c r="B2633" t="str">
        <f>"Support Board USB-PRO Controller"</f>
        <v>Support Board USB-PRO Controller</v>
      </c>
      <c r="C2633" t="str">
        <f t="shared" si="114"/>
        <v>Active</v>
      </c>
    </row>
    <row r="2634" spans="1:3" ht="18" customHeight="1">
      <c r="A2634" t="str">
        <f>"110328"</f>
        <v>110328</v>
      </c>
      <c r="B2634" t="str">
        <f>"Cover High Voltage USB-PRO Controller"</f>
        <v>Cover High Voltage USB-PRO Controller</v>
      </c>
      <c r="C2634" t="str">
        <f t="shared" si="114"/>
        <v>Active</v>
      </c>
    </row>
    <row r="2635" spans="1:3" ht="18" customHeight="1">
      <c r="A2635" t="str">
        <f>"110329"</f>
        <v>110329</v>
      </c>
      <c r="B2635" t="str">
        <f>"Support Camera &amp;Templete ER-400"</f>
        <v>Support Camera &amp;Templete ER-400</v>
      </c>
      <c r="C2635" t="str">
        <f t="shared" si="114"/>
        <v>Active</v>
      </c>
    </row>
    <row r="2636" spans="1:3" ht="18" customHeight="1">
      <c r="A2636" t="str">
        <f>"110330"</f>
        <v>110330</v>
      </c>
      <c r="B2636" t="str">
        <f>"Bracket For Camera ER-400"</f>
        <v>Bracket For Camera ER-400</v>
      </c>
      <c r="C2636" t="str">
        <f t="shared" si="114"/>
        <v>Active</v>
      </c>
    </row>
    <row r="2637" spans="1:3" ht="18" customHeight="1">
      <c r="A2637" t="str">
        <f>"110331"</f>
        <v>110331</v>
      </c>
      <c r="B2637" t="str">
        <f>"Base for NXC100 I/O Box, 280x200mm"</f>
        <v>Base for NXC100 I/O Box, 280x200mm</v>
      </c>
      <c r="C2637" t="str">
        <f t="shared" si="114"/>
        <v>Active</v>
      </c>
    </row>
    <row r="2638" spans="1:3" ht="18" customHeight="1">
      <c r="A2638" t="str">
        <f>"110332"</f>
        <v>110332</v>
      </c>
      <c r="B2638" t="str">
        <f>"Cover for NXC100 I/O Box"</f>
        <v>Cover for NXC100 I/O Box</v>
      </c>
      <c r="C2638" t="str">
        <f t="shared" si="114"/>
        <v>Active</v>
      </c>
    </row>
    <row r="2639" spans="1:3" ht="18" customHeight="1">
      <c r="A2639" t="str">
        <f>"110335"</f>
        <v>110335</v>
      </c>
      <c r="B2639" t="str">
        <f>"Support for 4 Templetes 300x400x1.2mm"</f>
        <v>Support for 4 Templetes 300x400x1.2mm</v>
      </c>
      <c r="C2639" t="str">
        <f t="shared" si="114"/>
        <v>Active</v>
      </c>
    </row>
    <row r="2640" spans="1:3" ht="18" customHeight="1">
      <c r="A2640" t="str">
        <f>"110336"</f>
        <v>110336</v>
      </c>
      <c r="B2640" t="str">
        <f>"Cover for Box Light Barrier"</f>
        <v>Cover for Box Light Barrier</v>
      </c>
      <c r="C2640" t="str">
        <f t="shared" si="114"/>
        <v>Active</v>
      </c>
    </row>
    <row r="2641" spans="1:3" ht="18" customHeight="1">
      <c r="A2641" t="str">
        <f>"110337"</f>
        <v>110337</v>
      </c>
      <c r="B2641" t="str">
        <f>"Base for Template Process Station"</f>
        <v>Base for Template Process Station</v>
      </c>
      <c r="C2641" t="str">
        <f t="shared" si="114"/>
        <v>Active</v>
      </c>
    </row>
    <row r="2642" spans="1:3" ht="18" customHeight="1">
      <c r="A2642" t="str">
        <f>"110338"</f>
        <v>110338</v>
      </c>
      <c r="B2642" t="str">
        <f>"Base for Lamp Light Barrier"</f>
        <v>Base for Lamp Light Barrier</v>
      </c>
      <c r="C2642" t="str">
        <f>"ECO-N2Buy"</f>
        <v>ECO-N2Buy</v>
      </c>
    </row>
    <row r="2643" spans="1:3" ht="18" customHeight="1">
      <c r="A2643" t="str">
        <f>"110339"</f>
        <v>110339</v>
      </c>
      <c r="B2643" t="str">
        <f>"Holder for Hydro Hoses"</f>
        <v>Holder for Hydro Hoses</v>
      </c>
      <c r="C2643" t="str">
        <f>"Active"</f>
        <v>Active</v>
      </c>
    </row>
    <row r="2644" spans="1:3" ht="18" customHeight="1">
      <c r="A2644" t="str">
        <f>"110340"</f>
        <v>110340</v>
      </c>
      <c r="B2644" t="str">
        <f>"Base for Power Supply JM ME10"</f>
        <v>Base for Power Supply JM ME10</v>
      </c>
      <c r="C2644" t="str">
        <f>"New"</f>
        <v>New</v>
      </c>
    </row>
    <row r="2645" spans="1:3" ht="18" customHeight="1">
      <c r="A2645" t="str">
        <f>"110341"</f>
        <v>110341</v>
      </c>
      <c r="B2645" t="str">
        <f>"Cover for Power Supply JM ME10"</f>
        <v>Cover for Power Supply JM ME10</v>
      </c>
      <c r="C2645" t="str">
        <f>"New"</f>
        <v>New</v>
      </c>
    </row>
    <row r="2646" spans="1:3" ht="18" customHeight="1">
      <c r="A2646" t="str">
        <f>"110342"</f>
        <v>110342</v>
      </c>
      <c r="B2646" t="str">
        <f>"Base for Dual Power Controller ME10, JM"</f>
        <v>Base for Dual Power Controller ME10, JM</v>
      </c>
      <c r="C2646" t="str">
        <f>"Active"</f>
        <v>Active</v>
      </c>
    </row>
    <row r="2647" spans="1:3" ht="18" customHeight="1">
      <c r="A2647" t="str">
        <f>"110343"</f>
        <v>110343</v>
      </c>
      <c r="B2647" t="str">
        <f>"Cover for Dual Power Controller ME10, JM"</f>
        <v>Cover for Dual Power Controller ME10, JM</v>
      </c>
      <c r="C2647" t="str">
        <f>"Active"</f>
        <v>Active</v>
      </c>
    </row>
    <row r="2648" spans="1:3" ht="18" customHeight="1">
      <c r="A2648" t="str">
        <f>"110344"</f>
        <v>110344</v>
      </c>
      <c r="B2648" t="str">
        <f>"Support for SIMATIC HMI"</f>
        <v>Support for SIMATIC HMI</v>
      </c>
      <c r="C2648" t="str">
        <f>"Active"</f>
        <v>Active</v>
      </c>
    </row>
    <row r="2649" spans="1:3" ht="18" customHeight="1">
      <c r="A2649" t="str">
        <f>"110345"</f>
        <v>110345</v>
      </c>
      <c r="B2649" t="str">
        <f>"MPP3 Welded Booth 1700x1500x2300mm"</f>
        <v>MPP3 Welded Booth 1700x1500x2300mm</v>
      </c>
      <c r="C2649" t="str">
        <f t="shared" ref="C2649:C2655" si="115">"New"</f>
        <v>New</v>
      </c>
    </row>
    <row r="2650" spans="1:3" ht="18" customHeight="1">
      <c r="A2650" t="str">
        <f>"110346"</f>
        <v>110346</v>
      </c>
      <c r="B2650" t="str">
        <f>"Support for Table Extention, Omega"</f>
        <v>Support for Table Extention, Omega</v>
      </c>
      <c r="C2650" t="str">
        <f t="shared" si="115"/>
        <v>New</v>
      </c>
    </row>
    <row r="2651" spans="1:3" ht="18" customHeight="1">
      <c r="A2651" t="str">
        <f>"110347"</f>
        <v>110347</v>
      </c>
      <c r="B2651" t="str">
        <f>"Support for Display"</f>
        <v>Support for Display</v>
      </c>
      <c r="C2651" t="str">
        <f t="shared" si="115"/>
        <v>New</v>
      </c>
    </row>
    <row r="2652" spans="1:3" ht="18" customHeight="1">
      <c r="A2652" t="str">
        <f>"110348"</f>
        <v>110348</v>
      </c>
      <c r="B2652" t="str">
        <f>"Handle"</f>
        <v>Handle</v>
      </c>
      <c r="C2652" t="str">
        <f t="shared" si="115"/>
        <v>New</v>
      </c>
    </row>
    <row r="2653" spans="1:3" ht="18" customHeight="1">
      <c r="A2653" t="str">
        <f>"110349"</f>
        <v>110349</v>
      </c>
      <c r="B2653" t="str">
        <f>"Table Middle Partition"</f>
        <v>Table Middle Partition</v>
      </c>
      <c r="C2653" t="str">
        <f t="shared" si="115"/>
        <v>New</v>
      </c>
    </row>
    <row r="2654" spans="1:3" ht="18" customHeight="1">
      <c r="A2654" t="str">
        <f>"110350"</f>
        <v>110350</v>
      </c>
      <c r="B2654" t="str">
        <f>"Table Shelf"</f>
        <v>Table Shelf</v>
      </c>
      <c r="C2654" t="str">
        <f t="shared" si="115"/>
        <v>New</v>
      </c>
    </row>
    <row r="2655" spans="1:3" ht="18" customHeight="1">
      <c r="A2655" t="str">
        <f>"110351"</f>
        <v>110351</v>
      </c>
      <c r="B2655" t="str">
        <f>"Bracket for AC inlet"</f>
        <v>Bracket for AC inlet</v>
      </c>
      <c r="C2655" t="str">
        <f t="shared" si="115"/>
        <v>New</v>
      </c>
    </row>
    <row r="2656" spans="1:3" ht="18" customHeight="1">
      <c r="A2656" t="str">
        <f>"110401"</f>
        <v>110401</v>
      </c>
      <c r="B2656" t="str">
        <f>"Plate for Switch 40x30x6"</f>
        <v>Plate for Switch 40x30x6</v>
      </c>
      <c r="C2656" t="str">
        <f t="shared" ref="C2656:C2667" si="116">"Active"</f>
        <v>Active</v>
      </c>
    </row>
    <row r="2657" spans="1:3" ht="18" customHeight="1">
      <c r="A2657" t="str">
        <f>"110403"</f>
        <v>110403</v>
      </c>
      <c r="B2657" t="str">
        <f>"Holding Sensor BALL FEEDER"</f>
        <v>Holding Sensor BALL FEEDER</v>
      </c>
      <c r="C2657" t="str">
        <f t="shared" si="116"/>
        <v>Active</v>
      </c>
    </row>
    <row r="2658" spans="1:3" ht="18" customHeight="1">
      <c r="A2658" t="str">
        <f>"110404"</f>
        <v>110404</v>
      </c>
      <c r="B2658" t="str">
        <f>"Cover BALL FEEDER"</f>
        <v>Cover BALL FEEDER</v>
      </c>
      <c r="C2658" t="str">
        <f t="shared" si="116"/>
        <v>Active</v>
      </c>
    </row>
    <row r="2659" spans="1:3" ht="18" customHeight="1">
      <c r="A2659" t="str">
        <f>"110405"</f>
        <v>110405</v>
      </c>
      <c r="B2659" t="str">
        <f>"Bracket Alum. for MMQC delink"</f>
        <v>Bracket Alum. for MMQC delink</v>
      </c>
      <c r="C2659" t="str">
        <f t="shared" si="116"/>
        <v>Active</v>
      </c>
    </row>
    <row r="2660" spans="1:3" ht="18" customHeight="1">
      <c r="A2660" t="str">
        <f>"110602"</f>
        <v>110602</v>
      </c>
      <c r="B2660" t="str">
        <f>"Support for Template Welding Booth"</f>
        <v>Support for Template Welding Booth</v>
      </c>
      <c r="C2660" t="str">
        <f t="shared" si="116"/>
        <v>Active</v>
      </c>
    </row>
    <row r="2661" spans="1:3" ht="18" customHeight="1">
      <c r="A2661" t="str">
        <f>"110603"</f>
        <v>110603</v>
      </c>
      <c r="B2661" t="str">
        <f>"Angle Bracket 65x20"</f>
        <v>Angle Bracket 65x20</v>
      </c>
      <c r="C2661" t="str">
        <f t="shared" si="116"/>
        <v>Active</v>
      </c>
    </row>
    <row r="2662" spans="1:3" ht="18" customHeight="1">
      <c r="A2662" t="str">
        <f>"110604"</f>
        <v>110604</v>
      </c>
      <c r="B2662" t="str">
        <f>"Door Slide ER9/MH5 Welding"</f>
        <v>Door Slide ER9/MH5 Welding</v>
      </c>
      <c r="C2662" t="str">
        <f t="shared" si="116"/>
        <v>Active</v>
      </c>
    </row>
    <row r="2663" spans="1:3" ht="18" customHeight="1">
      <c r="A2663" t="str">
        <f>"110605"</f>
        <v>110605</v>
      </c>
      <c r="B2663" t="str">
        <f>"Cover Back for ER9/MH5 Welding"</f>
        <v>Cover Back for ER9/MH5 Welding</v>
      </c>
      <c r="C2663" t="str">
        <f t="shared" si="116"/>
        <v>Active</v>
      </c>
    </row>
    <row r="2664" spans="1:3" ht="18" customHeight="1">
      <c r="A2664" t="str">
        <f>"110606"</f>
        <v>110606</v>
      </c>
      <c r="B2664" t="str">
        <f>"Base (stock) Welding Station"</f>
        <v>Base (stock) Welding Station</v>
      </c>
      <c r="C2664" t="str">
        <f t="shared" si="116"/>
        <v>Active</v>
      </c>
    </row>
    <row r="2665" spans="1:3" ht="18" customHeight="1">
      <c r="A2665" t="str">
        <f>"110607"</f>
        <v>110607</v>
      </c>
      <c r="B2665" t="str">
        <f>"Profile Square (material for welding)"</f>
        <v>Profile Square (material for welding)</v>
      </c>
      <c r="C2665" t="str">
        <f t="shared" si="116"/>
        <v>Active</v>
      </c>
    </row>
    <row r="2666" spans="1:3" ht="18" customHeight="1">
      <c r="A2666" t="str">
        <f>"110608"</f>
        <v>110608</v>
      </c>
      <c r="B2666" t="str">
        <f>"Side plate for ER9/MH5 Welding"</f>
        <v>Side plate for ER9/MH5 Welding</v>
      </c>
      <c r="C2666" t="str">
        <f t="shared" si="116"/>
        <v>Active</v>
      </c>
    </row>
    <row r="2667" spans="1:3" ht="18" customHeight="1">
      <c r="A2667" t="str">
        <f>"110609"</f>
        <v>110609</v>
      </c>
      <c r="B2667" t="str">
        <f>"Elbow Support Microswitch Welding"</f>
        <v>Elbow Support Microswitch Welding</v>
      </c>
      <c r="C2667" t="str">
        <f t="shared" si="116"/>
        <v>Active</v>
      </c>
    </row>
    <row r="2668" spans="1:3" ht="18" customHeight="1">
      <c r="A2668" t="str">
        <f>"110615"</f>
        <v>110615</v>
      </c>
      <c r="B2668" t="str">
        <f>"Box for switch 110/220v 58x55x25"</f>
        <v>Box for switch 110/220v 58x55x25</v>
      </c>
      <c r="C2668" t="str">
        <f>"ECO-N2Buy"</f>
        <v>ECO-N2Buy</v>
      </c>
    </row>
    <row r="2669" spans="1:3" ht="18" customHeight="1">
      <c r="A2669" t="str">
        <f>"110616"</f>
        <v>110616</v>
      </c>
      <c r="B2669" t="str">
        <f>"Cover Motor  GM87"</f>
        <v>Cover Motor  GM87</v>
      </c>
      <c r="C2669" t="str">
        <f>"Active"</f>
        <v>Active</v>
      </c>
    </row>
    <row r="2670" spans="1:3" ht="18" customHeight="1">
      <c r="A2670" t="str">
        <f>"110619"</f>
        <v>110619</v>
      </c>
      <c r="B2670" t="str">
        <f>"Cover for Plate Welding"</f>
        <v>Cover for Plate Welding</v>
      </c>
      <c r="C2670" t="str">
        <f>"Active"</f>
        <v>Active</v>
      </c>
    </row>
    <row r="2671" spans="1:3" ht="18" customHeight="1">
      <c r="A2671" t="str">
        <f>"110620"</f>
        <v>110620</v>
      </c>
      <c r="B2671" t="str">
        <f>"Cover Cables XY Motion"</f>
        <v>Cover Cables XY Motion</v>
      </c>
      <c r="C2671" t="str">
        <f>"Active"</f>
        <v>Active</v>
      </c>
    </row>
    <row r="2672" spans="1:3" ht="18" customHeight="1">
      <c r="A2672" t="str">
        <f>"110621"</f>
        <v>110621</v>
      </c>
      <c r="B2672" t="str">
        <f>"cover  width 880 ASRS 36x2"</f>
        <v>cover  width 880 ASRS 36x2</v>
      </c>
      <c r="C2672" t="str">
        <f>"Active"</f>
        <v>Active</v>
      </c>
    </row>
    <row r="2673" spans="1:3" ht="18" customHeight="1">
      <c r="A2673" t="str">
        <f>"110624"</f>
        <v>110624</v>
      </c>
      <c r="B2673" t="str">
        <f>"Havy duty stand for Robot MH5"</f>
        <v>Havy duty stand for Robot MH5</v>
      </c>
      <c r="C2673" t="str">
        <f>"Active"</f>
        <v>Active</v>
      </c>
    </row>
    <row r="2674" spans="1:3" ht="18" customHeight="1">
      <c r="A2674" t="str">
        <f>"110629"</f>
        <v>110629</v>
      </c>
      <c r="B2674" t="str">
        <f>"Bracket Clamp"</f>
        <v>Bracket Clamp</v>
      </c>
      <c r="C2674" t="str">
        <f>"ECO-N2Buy"</f>
        <v>ECO-N2Buy</v>
      </c>
    </row>
    <row r="2675" spans="1:3" ht="18" customHeight="1">
      <c r="A2675" t="str">
        <f>"110630"</f>
        <v>110630</v>
      </c>
      <c r="B2675" t="str">
        <f>"Cover Cables Welding"</f>
        <v>Cover Cables Welding</v>
      </c>
      <c r="C2675" t="str">
        <f>"Active"</f>
        <v>Active</v>
      </c>
    </row>
    <row r="2676" spans="1:3" ht="18" customHeight="1">
      <c r="A2676" t="str">
        <f>"110631"</f>
        <v>110631</v>
      </c>
      <c r="B2676" t="str">
        <f>"Box for CIM Drive Motor 172x172x75mm"</f>
        <v>Box for CIM Drive Motor 172x172x75mm</v>
      </c>
      <c r="C2676" t="str">
        <f>"Active"</f>
        <v>Active</v>
      </c>
    </row>
    <row r="2677" spans="1:3" ht="18" customHeight="1">
      <c r="A2677" t="str">
        <f>"110632"</f>
        <v>110632</v>
      </c>
      <c r="B2677" t="str">
        <f>"Cover for CIM Drive control Box"</f>
        <v>Cover for CIM Drive control Box</v>
      </c>
      <c r="C2677" t="str">
        <f>"Active"</f>
        <v>Active</v>
      </c>
    </row>
    <row r="2678" spans="1:3" ht="18" customHeight="1">
      <c r="A2678" t="str">
        <f>"110633"</f>
        <v>110633</v>
      </c>
      <c r="B2678" t="str">
        <f>"Emergency Switch Support for CIM"</f>
        <v>Emergency Switch Support for CIM</v>
      </c>
      <c r="C2678" t="str">
        <f>"Active"</f>
        <v>Active</v>
      </c>
    </row>
    <row r="2679" spans="1:3" ht="18" customHeight="1">
      <c r="A2679" t="str">
        <f>"110634"</f>
        <v>110634</v>
      </c>
      <c r="B2679" t="str">
        <f>"Adaptor plate for Switch and Cabinet"</f>
        <v>Adaptor plate for Switch and Cabinet</v>
      </c>
      <c r="C2679" t="str">
        <f>"Active"</f>
        <v>Active</v>
      </c>
    </row>
    <row r="2680" spans="1:3" ht="18" customHeight="1">
      <c r="A2680" t="str">
        <f>"110635"</f>
        <v>110635</v>
      </c>
      <c r="B2680" t="str">
        <f>"Cover Chain CIM"</f>
        <v>Cover Chain CIM</v>
      </c>
      <c r="C2680" t="str">
        <f>"ECO-N2Buy"</f>
        <v>ECO-N2Buy</v>
      </c>
    </row>
    <row r="2681" spans="1:3" ht="18" customHeight="1">
      <c r="A2681" t="str">
        <f>"110637"</f>
        <v>110637</v>
      </c>
      <c r="B2681" t="str">
        <f>"Base for Template Welding Station"</f>
        <v>Base for Template Welding Station</v>
      </c>
      <c r="C2681" t="str">
        <f>"Active"</f>
        <v>Active</v>
      </c>
    </row>
    <row r="2682" spans="1:3" ht="18" customHeight="1">
      <c r="A2682" t="str">
        <f>"110644"</f>
        <v>110644</v>
      </c>
      <c r="B2682" t="str">
        <f>"Stand Arm Robot ABB IRB140"</f>
        <v>Stand Arm Robot ABB IRB140</v>
      </c>
      <c r="C2682" t="str">
        <f>"Active"</f>
        <v>Active</v>
      </c>
    </row>
    <row r="2683" spans="1:3" ht="18" customHeight="1">
      <c r="A2683" t="str">
        <f>"110645"</f>
        <v>110645</v>
      </c>
      <c r="B2683" t="str">
        <f>"Driving unit Cover for CIM"</f>
        <v>Driving unit Cover for CIM</v>
      </c>
      <c r="C2683" t="str">
        <f>"Active"</f>
        <v>Active</v>
      </c>
    </row>
    <row r="2684" spans="1:3" ht="18" customHeight="1">
      <c r="A2684" t="str">
        <f>"110646"</f>
        <v>110646</v>
      </c>
      <c r="B2684" t="str">
        <f>"Chain cover for CIM"</f>
        <v>Chain cover for CIM</v>
      </c>
      <c r="C2684" t="str">
        <f>"Active"</f>
        <v>Active</v>
      </c>
    </row>
    <row r="2685" spans="1:3" ht="18" customHeight="1">
      <c r="A2685" t="str">
        <f>"110647"</f>
        <v>110647</v>
      </c>
      <c r="B2685" t="str">
        <f>"Base for experiments table"</f>
        <v>Base for experiments table</v>
      </c>
      <c r="C2685" t="str">
        <f>"Active"</f>
        <v>Active</v>
      </c>
    </row>
    <row r="2686" spans="1:3" ht="18" customHeight="1">
      <c r="A2686" t="str">
        <f>"110648"</f>
        <v>110648</v>
      </c>
      <c r="B2686" t="str">
        <f>"Cover for experiment table"</f>
        <v>Cover for experiment table</v>
      </c>
      <c r="C2686" t="str">
        <f>"Not for sale"</f>
        <v>Not for sale</v>
      </c>
    </row>
    <row r="2687" spans="1:3" ht="18" customHeight="1">
      <c r="A2687" t="str">
        <f>"110649"</f>
        <v>110649</v>
      </c>
      <c r="B2687" t="str">
        <f>"Panel for 3 Relays, 3NO +1NC"</f>
        <v>Panel for 3 Relays, 3NO +1NC</v>
      </c>
      <c r="C2687" t="str">
        <f>"Active"</f>
        <v>Active</v>
      </c>
    </row>
    <row r="2688" spans="1:3" ht="18" customHeight="1">
      <c r="A2688" t="str">
        <f>"110650"</f>
        <v>110650</v>
      </c>
      <c r="B2688" t="str">
        <f>"Stock Plate for Welding 50x50x5mm"</f>
        <v>Stock Plate for Welding 50x50x5mm</v>
      </c>
      <c r="C2688" t="str">
        <f>"Active"</f>
        <v>Active</v>
      </c>
    </row>
    <row r="2689" spans="1:3" ht="18" customHeight="1">
      <c r="A2689" t="str">
        <f>"110651"</f>
        <v>110651</v>
      </c>
      <c r="B2689" t="str">
        <f>"Metal Pipe D=30, L=30mm"</f>
        <v>Metal Pipe D=30, L=30mm</v>
      </c>
      <c r="C2689" t="str">
        <f>"Active"</f>
        <v>Active</v>
      </c>
    </row>
    <row r="2690" spans="1:3" ht="18" customHeight="1">
      <c r="A2690" t="str">
        <f>"110652"</f>
        <v>110652</v>
      </c>
      <c r="B2690" t="str">
        <f>"Front panel for 0066+0087"</f>
        <v>Front panel for 0066+0087</v>
      </c>
      <c r="C2690" t="str">
        <f>"New"</f>
        <v>New</v>
      </c>
    </row>
    <row r="2691" spans="1:3" ht="18" customHeight="1">
      <c r="A2691" t="str">
        <f>"110653"</f>
        <v>110653</v>
      </c>
      <c r="B2691" t="str">
        <f>"Box for El. Pneu/Hydro 220x220x77"</f>
        <v>Box for El. Pneu/Hydro 220x220x77</v>
      </c>
      <c r="C2691" t="str">
        <f t="shared" ref="C2691:C2697" si="117">"Active"</f>
        <v>Active</v>
      </c>
    </row>
    <row r="2692" spans="1:3" ht="18" customHeight="1">
      <c r="A2692" t="str">
        <f>"110654"</f>
        <v>110654</v>
      </c>
      <c r="B2692" t="str">
        <f>"Front panel 220x220 for Power Supply 110/220V"</f>
        <v>Front panel 220x220 for Power Supply 110/220V</v>
      </c>
      <c r="C2692" t="str">
        <f t="shared" si="117"/>
        <v>Active</v>
      </c>
    </row>
    <row r="2693" spans="1:3" ht="18" customHeight="1">
      <c r="A2693" t="str">
        <f>"110655"</f>
        <v>110655</v>
      </c>
      <c r="B2693" t="str">
        <f>"Front panel 260x220 for HMI Module"</f>
        <v>Front panel 260x220 for HMI Module</v>
      </c>
      <c r="C2693" t="str">
        <f t="shared" si="117"/>
        <v>Active</v>
      </c>
    </row>
    <row r="2694" spans="1:3" ht="18" customHeight="1">
      <c r="A2694" t="str">
        <f>"110656"</f>
        <v>110656</v>
      </c>
      <c r="B2694" t="str">
        <f>"Front panel 260X220 for PLC Module"</f>
        <v>Front panel 260X220 for PLC Module</v>
      </c>
      <c r="C2694" t="str">
        <f t="shared" si="117"/>
        <v>Active</v>
      </c>
    </row>
    <row r="2695" spans="1:3" ht="18" customHeight="1">
      <c r="A2695" t="str">
        <f>"110657"</f>
        <v>110657</v>
      </c>
      <c r="B2695" t="str">
        <f>"Front panel for Operation Module 220x220mmm"</f>
        <v>Front panel for Operation Module 220x220mmm</v>
      </c>
      <c r="C2695" t="str">
        <f t="shared" si="117"/>
        <v>Active</v>
      </c>
    </row>
    <row r="2696" spans="1:3" ht="18" customHeight="1">
      <c r="A2696" t="str">
        <f>"110658"</f>
        <v>110658</v>
      </c>
      <c r="B2696" t="str">
        <f>"Front panel 220X220mm for 3 Relays Pneu/Hydro"</f>
        <v>Front panel 220X220mm for 3 Relays Pneu/Hydro</v>
      </c>
      <c r="C2696" t="str">
        <f t="shared" si="117"/>
        <v>Active</v>
      </c>
    </row>
    <row r="2697" spans="1:3" ht="18" customHeight="1">
      <c r="A2697" t="str">
        <f>"110659"</f>
        <v>110659</v>
      </c>
      <c r="B2697" t="str">
        <f>"Box for El. Pneu/Hydro 260x220x77mm"</f>
        <v>Box for El. Pneu/Hydro 260x220x77mm</v>
      </c>
      <c r="C2697" t="str">
        <f t="shared" si="117"/>
        <v>Active</v>
      </c>
    </row>
    <row r="2698" spans="1:3" ht="18" customHeight="1">
      <c r="A2698" t="str">
        <f>"110666"</f>
        <v>110666</v>
      </c>
      <c r="B2698" t="str">
        <f>"Shelf Storage"</f>
        <v>Shelf Storage</v>
      </c>
      <c r="C2698" t="str">
        <f t="shared" ref="C2698:C2726" si="118">"New"</f>
        <v>New</v>
      </c>
    </row>
    <row r="2699" spans="1:3" ht="18" customHeight="1">
      <c r="A2699" t="str">
        <f>"110667"</f>
        <v>110667</v>
      </c>
      <c r="B2699" t="str">
        <f>"Lower Shelf, Storage"</f>
        <v>Lower Shelf, Storage</v>
      </c>
      <c r="C2699" t="str">
        <f t="shared" si="118"/>
        <v>New</v>
      </c>
    </row>
    <row r="2700" spans="1:3" ht="18" customHeight="1">
      <c r="A2700" t="str">
        <f>"110668"</f>
        <v>110668</v>
      </c>
      <c r="B2700" t="str">
        <f>"Profiles Support, Storage"</f>
        <v>Profiles Support, Storage</v>
      </c>
      <c r="C2700" t="str">
        <f t="shared" si="118"/>
        <v>New</v>
      </c>
    </row>
    <row r="2701" spans="1:3" ht="18" customHeight="1">
      <c r="A2701" t="str">
        <f>"110669"</f>
        <v>110669</v>
      </c>
      <c r="B2701" t="str">
        <f>"Bracket for Hydraulic Pipes"</f>
        <v>Bracket for Hydraulic Pipes</v>
      </c>
      <c r="C2701" t="str">
        <f t="shared" si="118"/>
        <v>New</v>
      </c>
    </row>
    <row r="2702" spans="1:3" ht="18" customHeight="1">
      <c r="A2702" t="str">
        <f>"110670"</f>
        <v>110670</v>
      </c>
      <c r="B2702" t="str">
        <f>"Table Hydraulic Cover"</f>
        <v>Table Hydraulic Cover</v>
      </c>
      <c r="C2702" t="str">
        <f t="shared" si="118"/>
        <v>New</v>
      </c>
    </row>
    <row r="2703" spans="1:3" ht="18" customHeight="1">
      <c r="A2703" t="str">
        <f>"110671"</f>
        <v>110671</v>
      </c>
      <c r="B2703" t="str">
        <f>"Table Pneumatic Cover"</f>
        <v>Table Pneumatic Cover</v>
      </c>
      <c r="C2703" t="str">
        <f t="shared" si="118"/>
        <v>New</v>
      </c>
    </row>
    <row r="2704" spans="1:3" ht="18" customHeight="1">
      <c r="A2704" t="str">
        <f>"110672"</f>
        <v>110672</v>
      </c>
      <c r="B2704" t="str">
        <f>"Table Lower Shelf"</f>
        <v>Table Lower Shelf</v>
      </c>
      <c r="C2704" t="str">
        <f t="shared" si="118"/>
        <v>New</v>
      </c>
    </row>
    <row r="2705" spans="1:3" ht="18" customHeight="1">
      <c r="A2705" t="str">
        <f>"110673"</f>
        <v>110673</v>
      </c>
      <c r="B2705" t="str">
        <f>"Table Vertical Partition"</f>
        <v>Table Vertical Partition</v>
      </c>
      <c r="C2705" t="str">
        <f t="shared" si="118"/>
        <v>New</v>
      </c>
    </row>
    <row r="2706" spans="1:3" ht="18" customHeight="1">
      <c r="A2706" t="str">
        <f>"110674"</f>
        <v>110674</v>
      </c>
      <c r="B2706" t="str">
        <f>"Bracket Pump"</f>
        <v>Bracket Pump</v>
      </c>
      <c r="C2706" t="str">
        <f t="shared" si="118"/>
        <v>New</v>
      </c>
    </row>
    <row r="2707" spans="1:3" ht="18" customHeight="1">
      <c r="A2707" t="str">
        <f>"110675"</f>
        <v>110675</v>
      </c>
      <c r="B2707" t="str">
        <f>"Drawer Slide, Right Support"</f>
        <v>Drawer Slide, Right Support</v>
      </c>
      <c r="C2707" t="str">
        <f t="shared" si="118"/>
        <v>New</v>
      </c>
    </row>
    <row r="2708" spans="1:3" ht="18" customHeight="1">
      <c r="A2708" t="str">
        <f>"110676"</f>
        <v>110676</v>
      </c>
      <c r="B2708" t="str">
        <f>"Drawer Left Stopper"</f>
        <v>Drawer Left Stopper</v>
      </c>
      <c r="C2708" t="str">
        <f t="shared" si="118"/>
        <v>New</v>
      </c>
    </row>
    <row r="2709" spans="1:3" ht="18" customHeight="1">
      <c r="A2709" t="str">
        <f>"110677"</f>
        <v>110677</v>
      </c>
      <c r="B2709" t="str">
        <f>"Drawer Slide Left Support"</f>
        <v>Drawer Slide Left Support</v>
      </c>
      <c r="C2709" t="str">
        <f t="shared" si="118"/>
        <v>New</v>
      </c>
    </row>
    <row r="2710" spans="1:3" ht="18" customHeight="1">
      <c r="A2710" t="str">
        <f>"110678"</f>
        <v>110678</v>
      </c>
      <c r="B2710" t="str">
        <f>"Wheel Flange"</f>
        <v>Wheel Flange</v>
      </c>
      <c r="C2710" t="str">
        <f t="shared" si="118"/>
        <v>New</v>
      </c>
    </row>
    <row r="2711" spans="1:3" ht="18" customHeight="1">
      <c r="A2711" t="str">
        <f>"110679"</f>
        <v>110679</v>
      </c>
      <c r="B2711" t="str">
        <f>"Table Side Cover Right"</f>
        <v>Table Side Cover Right</v>
      </c>
      <c r="C2711" t="str">
        <f t="shared" si="118"/>
        <v>New</v>
      </c>
    </row>
    <row r="2712" spans="1:3" ht="18" customHeight="1">
      <c r="A2712" t="str">
        <f>"110680"</f>
        <v>110680</v>
      </c>
      <c r="B2712" t="str">
        <f>"Door Hingle Support"</f>
        <v>Door Hingle Support</v>
      </c>
      <c r="C2712" t="str">
        <f t="shared" si="118"/>
        <v>New</v>
      </c>
    </row>
    <row r="2713" spans="1:3" ht="18" customHeight="1">
      <c r="A2713" t="str">
        <f>"110681"</f>
        <v>110681</v>
      </c>
      <c r="B2713" t="str">
        <f>"Bracket for Hydraulic Pipes, Bench"</f>
        <v>Bracket for Hydraulic Pipes, Bench</v>
      </c>
      <c r="C2713" t="str">
        <f t="shared" si="118"/>
        <v>New</v>
      </c>
    </row>
    <row r="2714" spans="1:3" ht="18" customHeight="1">
      <c r="A2714" t="str">
        <f>"110682"</f>
        <v>110682</v>
      </c>
      <c r="B2714" t="str">
        <f>"Side Table Plate"</f>
        <v>Side Table Plate</v>
      </c>
      <c r="C2714" t="str">
        <f t="shared" si="118"/>
        <v>New</v>
      </c>
    </row>
    <row r="2715" spans="1:3" ht="18" customHeight="1">
      <c r="A2715" t="str">
        <f>"110683"</f>
        <v>110683</v>
      </c>
      <c r="B2715" t="str">
        <f>"Side Table Hingle Left"</f>
        <v>Side Table Hingle Left</v>
      </c>
      <c r="C2715" t="str">
        <f t="shared" si="118"/>
        <v>New</v>
      </c>
    </row>
    <row r="2716" spans="1:3" ht="18" customHeight="1">
      <c r="A2716" t="str">
        <f>"110684"</f>
        <v>110684</v>
      </c>
      <c r="B2716" t="str">
        <f>"Side Table Hingle Right"</f>
        <v>Side Table Hingle Right</v>
      </c>
      <c r="C2716" t="str">
        <f t="shared" si="118"/>
        <v>New</v>
      </c>
    </row>
    <row r="2717" spans="1:3" ht="18" customHeight="1">
      <c r="A2717" t="str">
        <f>"110685"</f>
        <v>110685</v>
      </c>
      <c r="B2717" t="str">
        <f>"Table Support Bar"</f>
        <v>Table Support Bar</v>
      </c>
      <c r="C2717" t="str">
        <f t="shared" si="118"/>
        <v>New</v>
      </c>
    </row>
    <row r="2718" spans="1:3" ht="18" customHeight="1">
      <c r="A2718" t="str">
        <f>"110686"</f>
        <v>110686</v>
      </c>
      <c r="B2718" t="str">
        <f>"Table Side Cover Left"</f>
        <v>Table Side Cover Left</v>
      </c>
      <c r="C2718" t="str">
        <f t="shared" si="118"/>
        <v>New</v>
      </c>
    </row>
    <row r="2719" spans="1:3" ht="18" customHeight="1">
      <c r="A2719" t="str">
        <f>"110687"</f>
        <v>110687</v>
      </c>
      <c r="B2719" t="str">
        <f>"Double Side End Cover"</f>
        <v>Double Side End Cover</v>
      </c>
      <c r="C2719" t="str">
        <f t="shared" si="118"/>
        <v>New</v>
      </c>
    </row>
    <row r="2720" spans="1:3" ht="18" customHeight="1">
      <c r="A2720" t="str">
        <f>"110688"</f>
        <v>110688</v>
      </c>
      <c r="B2720" t="str">
        <f>"Spaser for Distance"</f>
        <v>Spaser for Distance</v>
      </c>
      <c r="C2720" t="str">
        <f t="shared" si="118"/>
        <v>New</v>
      </c>
    </row>
    <row r="2721" spans="1:3" ht="18" customHeight="1">
      <c r="A2721" t="str">
        <f>"110691"</f>
        <v>110691</v>
      </c>
      <c r="B2721" t="str">
        <f>"Top and End Cover with Print"</f>
        <v>Top and End Cover with Print</v>
      </c>
      <c r="C2721" t="str">
        <f t="shared" si="118"/>
        <v>New</v>
      </c>
    </row>
    <row r="2722" spans="1:3" ht="18" customHeight="1">
      <c r="A2722" t="str">
        <f>"110694"</f>
        <v>110694</v>
      </c>
      <c r="B2722" t="str">
        <f>"Drawer"</f>
        <v>Drawer</v>
      </c>
      <c r="C2722" t="str">
        <f t="shared" si="118"/>
        <v>New</v>
      </c>
    </row>
    <row r="2723" spans="1:3" ht="18" customHeight="1">
      <c r="A2723" t="str">
        <f>"110696"</f>
        <v>110696</v>
      </c>
      <c r="B2723" t="str">
        <f>"Door Chassis"</f>
        <v>Door Chassis</v>
      </c>
      <c r="C2723" t="str">
        <f t="shared" si="118"/>
        <v>New</v>
      </c>
    </row>
    <row r="2724" spans="1:3" ht="18" customHeight="1">
      <c r="A2724" t="str">
        <f>"110697"</f>
        <v>110697</v>
      </c>
      <c r="B2724" t="str">
        <f>"Door Axis Holder"</f>
        <v>Door Axis Holder</v>
      </c>
      <c r="C2724" t="str">
        <f t="shared" si="118"/>
        <v>New</v>
      </c>
    </row>
    <row r="2725" spans="1:3" ht="18" customHeight="1">
      <c r="A2725" t="str">
        <f>"110698"</f>
        <v>110698</v>
      </c>
      <c r="B2725" t="str">
        <f>"Top End Cover"</f>
        <v>Top End Cover</v>
      </c>
      <c r="C2725" t="str">
        <f t="shared" si="118"/>
        <v>New</v>
      </c>
    </row>
    <row r="2726" spans="1:3" ht="18" customHeight="1">
      <c r="A2726" t="str">
        <f>"110699"</f>
        <v>110699</v>
      </c>
      <c r="B2726" t="str">
        <f>"Side Cover, Storage"</f>
        <v>Side Cover, Storage</v>
      </c>
      <c r="C2726" t="str">
        <f t="shared" si="118"/>
        <v>New</v>
      </c>
    </row>
    <row r="2727" spans="1:3" ht="18" customHeight="1">
      <c r="A2727" t="str">
        <f>"110701"</f>
        <v>110701</v>
      </c>
      <c r="B2727" t="str">
        <f>"Holder Bearing SCORBOT ER4u"</f>
        <v>Holder Bearing SCORBOT ER4u</v>
      </c>
      <c r="C2727" t="str">
        <f t="shared" ref="C2727:C2738" si="119">"Active"</f>
        <v>Active</v>
      </c>
    </row>
    <row r="2728" spans="1:3" ht="18" customHeight="1">
      <c r="A2728" t="str">
        <f>"110703"</f>
        <v>110703</v>
      </c>
      <c r="B2728" t="str">
        <f>"Plate Gripper Jaw SCORBOT ER4u"</f>
        <v>Plate Gripper Jaw SCORBOT ER4u</v>
      </c>
      <c r="C2728" t="str">
        <f t="shared" si="119"/>
        <v>Active</v>
      </c>
    </row>
    <row r="2729" spans="1:3" ht="18" customHeight="1">
      <c r="A2729" t="str">
        <f>"110705"</f>
        <v>110705</v>
      </c>
      <c r="B2729" t="str">
        <f>"Holder Microswitch SCORBOT ER4u"</f>
        <v>Holder Microswitch SCORBOT ER4u</v>
      </c>
      <c r="C2729" t="str">
        <f t="shared" si="119"/>
        <v>Active</v>
      </c>
    </row>
    <row r="2730" spans="1:3" ht="18" customHeight="1">
      <c r="A2730" t="str">
        <f>"110717"</f>
        <v>110717</v>
      </c>
      <c r="B2730" t="str">
        <f>"Upper Metal Case ER5/7 Controller"</f>
        <v>Upper Metal Case ER5/7 Controller</v>
      </c>
      <c r="C2730" t="str">
        <f t="shared" si="119"/>
        <v>Active</v>
      </c>
    </row>
    <row r="2731" spans="1:3" ht="18" customHeight="1">
      <c r="A2731" t="str">
        <f>"110722"</f>
        <v>110722</v>
      </c>
      <c r="B2731" t="str">
        <f>"Lower Metal Case Controller A"</f>
        <v>Lower Metal Case Controller A</v>
      </c>
      <c r="C2731" t="str">
        <f t="shared" si="119"/>
        <v>Active</v>
      </c>
    </row>
    <row r="2732" spans="1:3" ht="18" customHeight="1">
      <c r="A2732" t="str">
        <f>"110723"</f>
        <v>110723</v>
      </c>
      <c r="B2732" t="str">
        <f>"Holder Coil Controller ER4/ER7"</f>
        <v>Holder Coil Controller ER4/ER7</v>
      </c>
      <c r="C2732" t="str">
        <f t="shared" si="119"/>
        <v>Active</v>
      </c>
    </row>
    <row r="2733" spans="1:3" ht="18" customHeight="1">
      <c r="A2733" t="str">
        <f>"110725"</f>
        <v>110725</v>
      </c>
      <c r="B2733" t="str">
        <f>"Support Driver Board, ER5/7 Controller"</f>
        <v>Support Driver Board, ER5/7 Controller</v>
      </c>
      <c r="C2733" t="str">
        <f t="shared" si="119"/>
        <v>Active</v>
      </c>
    </row>
    <row r="2734" spans="1:3" ht="18" customHeight="1">
      <c r="A2734" t="str">
        <f>"110730"</f>
        <v>110730</v>
      </c>
      <c r="B2734" t="str">
        <f>"Bracket Switch POWER AC Controller"</f>
        <v>Bracket Switch POWER AC Controller</v>
      </c>
      <c r="C2734" t="str">
        <f t="shared" si="119"/>
        <v>Active</v>
      </c>
    </row>
    <row r="2735" spans="1:3" ht="18" customHeight="1">
      <c r="A2735" t="str">
        <f>"110734"</f>
        <v>110734</v>
      </c>
      <c r="B2735" t="str">
        <f>"High Powers Cover  Controller A"</f>
        <v>High Powers Cover  Controller A</v>
      </c>
      <c r="C2735" t="str">
        <f t="shared" si="119"/>
        <v>Active</v>
      </c>
    </row>
    <row r="2736" spans="1:3" ht="18" customHeight="1">
      <c r="A2736" t="str">
        <f>"110735"</f>
        <v>110735</v>
      </c>
      <c r="B2736" t="str">
        <f>"Holder for Sensor D=18 mm"</f>
        <v>Holder for Sensor D=18 mm</v>
      </c>
      <c r="C2736" t="str">
        <f t="shared" si="119"/>
        <v>Active</v>
      </c>
    </row>
    <row r="2737" spans="1:3" ht="18" customHeight="1">
      <c r="A2737" t="str">
        <f>"110742"</f>
        <v>110742</v>
      </c>
      <c r="B2737" t="str">
        <f>"Holder Elbow Motor, SCORBOT ER7"</f>
        <v>Holder Elbow Motor, SCORBOT ER7</v>
      </c>
      <c r="C2737" t="str">
        <f t="shared" si="119"/>
        <v>Active</v>
      </c>
    </row>
    <row r="2738" spans="1:3" ht="18" customHeight="1">
      <c r="A2738" t="str">
        <f>"110743"</f>
        <v>110743</v>
      </c>
      <c r="B2738" t="str">
        <f>"Cover Roll Motor, SCORBOT ER7"</f>
        <v>Cover Roll Motor, SCORBOT ER7</v>
      </c>
      <c r="C2738" t="str">
        <f t="shared" si="119"/>
        <v>Active</v>
      </c>
    </row>
    <row r="2739" spans="1:3" ht="18" customHeight="1">
      <c r="A2739" t="str">
        <f>"110744"</f>
        <v>110744</v>
      </c>
      <c r="B2739" t="str">
        <f>"Round Cover for ER9-pro"</f>
        <v>Round Cover for ER9-pro</v>
      </c>
      <c r="C2739" t="str">
        <f>"ECO-N2Buy"</f>
        <v>ECO-N2Buy</v>
      </c>
    </row>
    <row r="2740" spans="1:3" ht="18" customHeight="1">
      <c r="A2740" t="str">
        <f>"110745"</f>
        <v>110745</v>
      </c>
      <c r="B2740" t="str">
        <f>"Cover Rectangular, SCORBOT ER7"</f>
        <v>Cover Rectangular, SCORBOT ER7</v>
      </c>
      <c r="C2740" t="str">
        <f t="shared" ref="C2740:C2746" si="120">"Active"</f>
        <v>Active</v>
      </c>
    </row>
    <row r="2741" spans="1:3" ht="18" customHeight="1">
      <c r="A2741" t="str">
        <f>"110746"</f>
        <v>110746</v>
      </c>
      <c r="B2741" t="str">
        <f>"Cover Turret Belt, SCORBOT ER7"</f>
        <v>Cover Turret Belt, SCORBOT ER7</v>
      </c>
      <c r="C2741" t="str">
        <f t="shared" si="120"/>
        <v>Active</v>
      </c>
    </row>
    <row r="2742" spans="1:3" ht="18" customHeight="1">
      <c r="A2742" t="str">
        <f>"110747"</f>
        <v>110747</v>
      </c>
      <c r="B2742" t="str">
        <f>"Support Belt Cover, SCORBOT ER7"</f>
        <v>Support Belt Cover, SCORBOT ER7</v>
      </c>
      <c r="C2742" t="str">
        <f t="shared" si="120"/>
        <v>Active</v>
      </c>
    </row>
    <row r="2743" spans="1:3" ht="18" customHeight="1">
      <c r="A2743" t="str">
        <f>"110752"</f>
        <v>110752</v>
      </c>
      <c r="B2743" t="str">
        <f>"Shelf Buffer  CIM"</f>
        <v>Shelf Buffer  CIM</v>
      </c>
      <c r="C2743" t="str">
        <f t="shared" si="120"/>
        <v>Active</v>
      </c>
    </row>
    <row r="2744" spans="1:3" ht="18" customHeight="1">
      <c r="A2744" t="str">
        <f>"110761"</f>
        <v>110761</v>
      </c>
      <c r="B2744" t="str">
        <f>"Cover Motor 48"" LSB"</f>
        <v>Cover Motor 48" LSB</v>
      </c>
      <c r="C2744" t="str">
        <f t="shared" si="120"/>
        <v>Active</v>
      </c>
    </row>
    <row r="2745" spans="1:3" ht="18" customHeight="1">
      <c r="A2745" t="str">
        <f>"110762"</f>
        <v>110762</v>
      </c>
      <c r="B2745" t="str">
        <f>"Adaptor Motor Cover 48"" LSB"</f>
        <v>Adaptor Motor Cover 48" LSB</v>
      </c>
      <c r="C2745" t="str">
        <f t="shared" si="120"/>
        <v>Active</v>
      </c>
    </row>
    <row r="2746" spans="1:3" ht="18" customHeight="1">
      <c r="A2746" t="str">
        <f>"110763"</f>
        <v>110763</v>
      </c>
      <c r="B2746" t="str">
        <f>"Driver Card Supprt-DALLAS ER5/7 Controller"</f>
        <v>Driver Card Supprt-DALLAS ER5/7 Controller</v>
      </c>
      <c r="C2746" t="str">
        <f t="shared" si="120"/>
        <v>Active</v>
      </c>
    </row>
    <row r="2747" spans="1:3" ht="18" customHeight="1">
      <c r="A2747" t="str">
        <f>"110768"</f>
        <v>110768</v>
      </c>
      <c r="B2747" t="str">
        <f>"Cover Driving Unit CIM"</f>
        <v>Cover Driving Unit CIM</v>
      </c>
      <c r="C2747" t="str">
        <f>"ECO-N2Buy"</f>
        <v>ECO-N2Buy</v>
      </c>
    </row>
    <row r="2748" spans="1:3" ht="18" customHeight="1">
      <c r="A2748" t="str">
        <f>"110770"</f>
        <v>110770</v>
      </c>
      <c r="B2748" t="str">
        <f>"Cables Holder for CIM Conveyor"</f>
        <v>Cables Holder for CIM Conveyor</v>
      </c>
      <c r="C2748" t="str">
        <f t="shared" ref="C2748:C2768" si="121">"Active"</f>
        <v>Active</v>
      </c>
    </row>
    <row r="2749" spans="1:3" ht="18" customHeight="1">
      <c r="A2749" t="str">
        <f>"110771"</f>
        <v>110771</v>
      </c>
      <c r="B2749" t="str">
        <f>"Box Duct Connecting CIM"</f>
        <v>Box Duct Connecting CIM</v>
      </c>
      <c r="C2749" t="str">
        <f t="shared" si="121"/>
        <v>Active</v>
      </c>
    </row>
    <row r="2750" spans="1:3" ht="18" customHeight="1">
      <c r="A2750" t="str">
        <f>"110772"</f>
        <v>110772</v>
      </c>
      <c r="B2750" t="str">
        <f>"Bracket Duct Connecting"</f>
        <v>Bracket Duct Connecting</v>
      </c>
      <c r="C2750" t="str">
        <f t="shared" si="121"/>
        <v>Active</v>
      </c>
    </row>
    <row r="2751" spans="1:3" ht="18" customHeight="1">
      <c r="A2751" t="str">
        <f>"110774"</f>
        <v>110774</v>
      </c>
      <c r="B2751" t="str">
        <f>"Cover Transformer, Controller-B (ER9)"</f>
        <v>Cover Transformer, Controller-B (ER9)</v>
      </c>
      <c r="C2751" t="str">
        <f t="shared" si="121"/>
        <v>Active</v>
      </c>
    </row>
    <row r="2752" spans="1:3" ht="18" customHeight="1">
      <c r="A2752" t="str">
        <f>"110776"</f>
        <v>110776</v>
      </c>
      <c r="B2752" t="str">
        <f>"Lower Metal Case Controller B (ER-9)"</f>
        <v>Lower Metal Case Controller B (ER-9)</v>
      </c>
      <c r="C2752" t="str">
        <f t="shared" si="121"/>
        <v>Active</v>
      </c>
    </row>
    <row r="2753" spans="1:3" ht="18" customHeight="1">
      <c r="A2753" t="str">
        <f>"110777"</f>
        <v>110777</v>
      </c>
      <c r="B2753" t="str">
        <f>"Upper Metal Case Controller B  (ER-9)"</f>
        <v>Upper Metal Case Controller B  (ER-9)</v>
      </c>
      <c r="C2753" t="str">
        <f t="shared" si="121"/>
        <v>Active</v>
      </c>
    </row>
    <row r="2754" spans="1:3" ht="18" customHeight="1">
      <c r="A2754" t="str">
        <f>"110779"</f>
        <v>110779</v>
      </c>
      <c r="B2754" t="str">
        <f>"Bracket For Plug ON/OFF ER9 Controller"</f>
        <v>Bracket For Plug ON/OFF ER9 Controller</v>
      </c>
      <c r="C2754" t="str">
        <f t="shared" si="121"/>
        <v>Active</v>
      </c>
    </row>
    <row r="2755" spans="1:3" ht="18" customHeight="1">
      <c r="A2755" t="str">
        <f>"110780"</f>
        <v>110780</v>
      </c>
      <c r="B2755" t="str">
        <f>"ER9 Controller"</f>
        <v>ER9 Controller</v>
      </c>
      <c r="C2755" t="str">
        <f t="shared" si="121"/>
        <v>Active</v>
      </c>
    </row>
    <row r="2756" spans="1:3" ht="18" customHeight="1">
      <c r="A2756" t="str">
        <f>"110781"</f>
        <v>110781</v>
      </c>
      <c r="B2756" t="str">
        <f>"Panel connector Scora ER14"</f>
        <v>Panel connector Scora ER14</v>
      </c>
      <c r="C2756" t="str">
        <f t="shared" si="121"/>
        <v>Active</v>
      </c>
    </row>
    <row r="2757" spans="1:3" ht="18" customHeight="1">
      <c r="A2757" t="str">
        <f>"110782"</f>
        <v>110782</v>
      </c>
      <c r="B2757" t="str">
        <f>"I/O box base for CIM"</f>
        <v>I/O box base for CIM</v>
      </c>
      <c r="C2757" t="str">
        <f t="shared" si="121"/>
        <v>Active</v>
      </c>
    </row>
    <row r="2758" spans="1:3" ht="18" customHeight="1">
      <c r="A2758" t="str">
        <f>"110783"</f>
        <v>110783</v>
      </c>
      <c r="B2758" t="str">
        <f>"Cover for I/O Box CIM"</f>
        <v>Cover for I/O Box CIM</v>
      </c>
      <c r="C2758" t="str">
        <f t="shared" si="121"/>
        <v>Active</v>
      </c>
    </row>
    <row r="2759" spans="1:3" ht="18" customHeight="1">
      <c r="A2759" t="str">
        <f>"110784"</f>
        <v>110784</v>
      </c>
      <c r="B2759" t="str">
        <f>"ROLL Cover Plate, ER9"</f>
        <v>ROLL Cover Plate, ER9</v>
      </c>
      <c r="C2759" t="str">
        <f t="shared" si="121"/>
        <v>Active</v>
      </c>
    </row>
    <row r="2760" spans="1:3" ht="18" customHeight="1">
      <c r="A2760" t="str">
        <f>"110785"</f>
        <v>110785</v>
      </c>
      <c r="B2760" t="str">
        <f>"Operator Optical Sensor Axis 4 for ER9"</f>
        <v>Operator Optical Sensor Axis 4 for ER9</v>
      </c>
      <c r="C2760" t="str">
        <f t="shared" si="121"/>
        <v>Active</v>
      </c>
    </row>
    <row r="2761" spans="1:3" ht="18" customHeight="1">
      <c r="A2761" t="str">
        <f>"110791"</f>
        <v>110791</v>
      </c>
      <c r="B2761" t="str">
        <f>"Base for Motor axis 4 Scorbot ER2u"</f>
        <v>Base for Motor axis 4 Scorbot ER2u</v>
      </c>
      <c r="C2761" t="str">
        <f t="shared" si="121"/>
        <v>Active</v>
      </c>
    </row>
    <row r="2762" spans="1:3" ht="18" customHeight="1">
      <c r="A2762" t="str">
        <f>"110794"</f>
        <v>110794</v>
      </c>
      <c r="B2762" t="str">
        <f>"Cover for 3 Plugs"</f>
        <v>Cover for 3 Plugs</v>
      </c>
      <c r="C2762" t="str">
        <f t="shared" si="121"/>
        <v>Active</v>
      </c>
    </row>
    <row r="2763" spans="1:3" ht="18" customHeight="1">
      <c r="A2763" t="str">
        <f>"110795"</f>
        <v>110795</v>
      </c>
      <c r="B2763" t="str">
        <f>"Support for 3 Plugs"</f>
        <v>Support for 3 Plugs</v>
      </c>
      <c r="C2763" t="str">
        <f t="shared" si="121"/>
        <v>Active</v>
      </c>
    </row>
    <row r="2764" spans="1:3" ht="18" customHeight="1">
      <c r="A2764" t="str">
        <f>"110796"</f>
        <v>110796</v>
      </c>
      <c r="B2764" t="str">
        <f>"Cover For 2 Plugs"</f>
        <v>Cover For 2 Plugs</v>
      </c>
      <c r="C2764" t="str">
        <f t="shared" si="121"/>
        <v>Active</v>
      </c>
    </row>
    <row r="2765" spans="1:3" ht="18" customHeight="1">
      <c r="A2765" t="str">
        <f>"110797"</f>
        <v>110797</v>
      </c>
      <c r="B2765" t="str">
        <f>"Support For 2 Plugs"</f>
        <v>Support For 2 Plugs</v>
      </c>
      <c r="C2765" t="str">
        <f t="shared" si="121"/>
        <v>Active</v>
      </c>
    </row>
    <row r="2766" spans="1:3" ht="18" customHeight="1">
      <c r="A2766" t="str">
        <f>"110809"</f>
        <v>110809</v>
      </c>
      <c r="B2766" t="str">
        <f>"Cover for USB Controller"</f>
        <v>Cover for USB Controller</v>
      </c>
      <c r="C2766" t="str">
        <f t="shared" si="121"/>
        <v>Active</v>
      </c>
    </row>
    <row r="2767" spans="1:3" ht="18" customHeight="1">
      <c r="A2767" t="str">
        <f>"110810"</f>
        <v>110810</v>
      </c>
      <c r="B2767" t="str">
        <f>"Cover for transformer"</f>
        <v>Cover for transformer</v>
      </c>
      <c r="C2767" t="str">
        <f t="shared" si="121"/>
        <v>Active</v>
      </c>
    </row>
    <row r="2768" spans="1:3" ht="18" customHeight="1">
      <c r="A2768" t="str">
        <f>"110811"</f>
        <v>110811</v>
      </c>
      <c r="B2768" t="str">
        <f>"Adapter for V-SCOPE"</f>
        <v>Adapter for V-SCOPE</v>
      </c>
      <c r="C2768" t="str">
        <f t="shared" si="121"/>
        <v>Active</v>
      </c>
    </row>
    <row r="2769" spans="1:3" ht="18" customHeight="1">
      <c r="A2769" t="str">
        <f>"110833"</f>
        <v>110833</v>
      </c>
      <c r="B2769" t="str">
        <f>"Front Panel PneuLine"</f>
        <v>Front Panel PneuLine</v>
      </c>
      <c r="C2769" t="str">
        <f>"ECO-N2Buy"</f>
        <v>ECO-N2Buy</v>
      </c>
    </row>
    <row r="2770" spans="1:3" ht="18" customHeight="1">
      <c r="A2770" t="str">
        <f>"110834"</f>
        <v>110834</v>
      </c>
      <c r="B2770" t="str">
        <f>"Plate Back for AMT Line Series"</f>
        <v>Plate Back for AMT Line Series</v>
      </c>
      <c r="C2770" t="str">
        <f>"Active"</f>
        <v>Active</v>
      </c>
    </row>
    <row r="2771" spans="1:3" ht="18" customHeight="1">
      <c r="A2771" t="str">
        <f>"110835"</f>
        <v>110835</v>
      </c>
      <c r="B2771" t="str">
        <f>"Front Panel for Sensor Line"</f>
        <v>Front Panel for Sensor Line</v>
      </c>
      <c r="C2771" t="str">
        <f>"ECO-N2Buy"</f>
        <v>ECO-N2Buy</v>
      </c>
    </row>
    <row r="2772" spans="1:3" ht="18" customHeight="1">
      <c r="A2772" t="str">
        <f>"110836"</f>
        <v>110836</v>
      </c>
      <c r="B2772" t="str">
        <f>"Cover side PCB LSB"</f>
        <v>Cover side PCB LSB</v>
      </c>
      <c r="C2772" t="str">
        <f>"Active"</f>
        <v>Active</v>
      </c>
    </row>
    <row r="2773" spans="1:3" ht="18" customHeight="1">
      <c r="A2773" t="str">
        <f>"110837"</f>
        <v>110837</v>
      </c>
      <c r="B2773" t="str">
        <f>"Cover side Motor LSB"</f>
        <v>Cover side Motor LSB</v>
      </c>
      <c r="C2773" t="str">
        <f>"Active"</f>
        <v>Active</v>
      </c>
    </row>
    <row r="2774" spans="1:3" ht="18" customHeight="1">
      <c r="A2774" t="str">
        <f>"110838"</f>
        <v>110838</v>
      </c>
      <c r="B2774" t="str">
        <f>"Shelf for drag. cable LSB BELT"</f>
        <v>Shelf for drag. cable LSB BELT</v>
      </c>
      <c r="C2774" t="str">
        <f>"Active"</f>
        <v>Active</v>
      </c>
    </row>
    <row r="2775" spans="1:3" ht="18" customHeight="1">
      <c r="A2775" t="str">
        <f>"110839"</f>
        <v>110839</v>
      </c>
      <c r="B2775" t="str">
        <f>"Box for Manifold Electrical"</f>
        <v>Box for Manifold Electrical</v>
      </c>
      <c r="C2775" t="str">
        <f>"ECO-N2Buy"</f>
        <v>ECO-N2Buy</v>
      </c>
    </row>
    <row r="2776" spans="1:3" ht="18" customHeight="1">
      <c r="A2776" t="str">
        <f>"110840"</f>
        <v>110840</v>
      </c>
      <c r="B2776" t="str">
        <f>"Front Panel PLC Line"</f>
        <v>Front Panel PLC Line</v>
      </c>
      <c r="C2776" t="str">
        <f t="shared" ref="C2776:C2785" si="122">"Active"</f>
        <v>Active</v>
      </c>
    </row>
    <row r="2777" spans="1:3" ht="18" customHeight="1">
      <c r="A2777" t="str">
        <f>"110841"</f>
        <v>110841</v>
      </c>
      <c r="B2777" t="str">
        <f>"Cover for Motor LSB"</f>
        <v>Cover for Motor LSB</v>
      </c>
      <c r="C2777" t="str">
        <f t="shared" si="122"/>
        <v>Active</v>
      </c>
    </row>
    <row r="2778" spans="1:3" ht="18" customHeight="1">
      <c r="A2778" t="str">
        <f>"110842"</f>
        <v>110842</v>
      </c>
      <c r="B2778" t="str">
        <f>"Tubular Solenoids Holder, PLCLine"</f>
        <v>Tubular Solenoids Holder, PLCLine</v>
      </c>
      <c r="C2778" t="str">
        <f t="shared" si="122"/>
        <v>Active</v>
      </c>
    </row>
    <row r="2779" spans="1:3" ht="18" customHeight="1">
      <c r="A2779" t="str">
        <f>"110843"</f>
        <v>110843</v>
      </c>
      <c r="B2779" t="str">
        <f>"Bracket for Motor PLCLine"</f>
        <v>Bracket for Motor PLCLine</v>
      </c>
      <c r="C2779" t="str">
        <f t="shared" si="122"/>
        <v>Active</v>
      </c>
    </row>
    <row r="2780" spans="1:3" ht="18" customHeight="1">
      <c r="A2780" t="str">
        <f>"110844"</f>
        <v>110844</v>
      </c>
      <c r="B2780" t="str">
        <f>"Support Sensors PLC Line"</f>
        <v>Support Sensors PLC Line</v>
      </c>
      <c r="C2780" t="str">
        <f t="shared" si="122"/>
        <v>Active</v>
      </c>
    </row>
    <row r="2781" spans="1:3" ht="18" customHeight="1">
      <c r="A2781" t="str">
        <f>"110845"</f>
        <v>110845</v>
      </c>
      <c r="B2781" t="str">
        <f>"Support Angle Relay PLCLine"</f>
        <v>Support Angle Relay PLCLine</v>
      </c>
      <c r="C2781" t="str">
        <f t="shared" si="122"/>
        <v>Active</v>
      </c>
    </row>
    <row r="2782" spans="1:3" ht="18" customHeight="1">
      <c r="A2782" t="str">
        <f>"110846"</f>
        <v>110846</v>
      </c>
      <c r="B2782" t="str">
        <f>"Support For Table Plate"</f>
        <v>Support For Table Plate</v>
      </c>
      <c r="C2782" t="str">
        <f t="shared" si="122"/>
        <v>Active</v>
      </c>
    </row>
    <row r="2783" spans="1:3" ht="18" customHeight="1">
      <c r="A2783" t="str">
        <f>"110848"</f>
        <v>110848</v>
      </c>
      <c r="B2783" t="str">
        <f>"Support DIN 35 Machining 100mm"</f>
        <v>Support DIN 35 Machining 100mm</v>
      </c>
      <c r="C2783" t="str">
        <f t="shared" si="122"/>
        <v>Active</v>
      </c>
    </row>
    <row r="2784" spans="1:3" ht="18" customHeight="1">
      <c r="A2784" t="str">
        <f>"110849"</f>
        <v>110849</v>
      </c>
      <c r="B2784" t="str">
        <f>"Washer ER2u"</f>
        <v>Washer ER2u</v>
      </c>
      <c r="C2784" t="str">
        <f t="shared" si="122"/>
        <v>Active</v>
      </c>
    </row>
    <row r="2785" spans="1:3" ht="18" customHeight="1">
      <c r="A2785" t="str">
        <f>"110850"</f>
        <v>110850</v>
      </c>
      <c r="B2785" t="str">
        <f>"Support for Sensor"</f>
        <v>Support for Sensor</v>
      </c>
      <c r="C2785" t="str">
        <f t="shared" si="122"/>
        <v>Active</v>
      </c>
    </row>
    <row r="2786" spans="1:3" ht="18" customHeight="1">
      <c r="A2786" t="str">
        <f>"110851"</f>
        <v>110851</v>
      </c>
      <c r="B2786" t="str">
        <f>"Panel for elect distributor, 188x106x1.5mm"</f>
        <v>Panel for elect distributor, 188x106x1.5mm</v>
      </c>
      <c r="C2786" t="str">
        <f>"ECO-N2Buy"</f>
        <v>ECO-N2Buy</v>
      </c>
    </row>
    <row r="2787" spans="1:3" ht="18" customHeight="1">
      <c r="A2787" t="str">
        <f>"110852"</f>
        <v>110852</v>
      </c>
      <c r="B2787" t="str">
        <f>"Panel for 4 Lamps 188x106x1.5mm"</f>
        <v>Panel for 4 Lamps 188x106x1.5mm</v>
      </c>
      <c r="C2787" t="str">
        <f>"ECO-N2Buy"</f>
        <v>ECO-N2Buy</v>
      </c>
    </row>
    <row r="2788" spans="1:3" ht="18" customHeight="1">
      <c r="A2788" t="str">
        <f>"110856"</f>
        <v>110856</v>
      </c>
      <c r="B2788" t="str">
        <f>"Adapter PLCLine to PLC A/B 7 Slot"</f>
        <v>Adapter PLCLine to PLC A/B 7 Slot</v>
      </c>
      <c r="C2788" t="str">
        <f>"Active"</f>
        <v>Active</v>
      </c>
    </row>
    <row r="2789" spans="1:3" ht="18" customHeight="1">
      <c r="A2789" t="str">
        <f>"110860"</f>
        <v>110860</v>
      </c>
      <c r="B2789" t="str">
        <f>"Panel for Push-Buttons, 2NO+2NC"</f>
        <v>Panel for Push-Buttons, 2NO+2NC</v>
      </c>
      <c r="C2789" t="str">
        <f>"Active"</f>
        <v>Active</v>
      </c>
    </row>
    <row r="2790" spans="1:3" ht="18" customHeight="1">
      <c r="A2790" t="str">
        <f>"110861"</f>
        <v>110861</v>
      </c>
      <c r="B2790" t="str">
        <f>"Box for Relays 2NO+2NC with print"</f>
        <v>Box for Relays 2NO+2NC with print</v>
      </c>
      <c r="C2790" t="str">
        <f>"ECO-N2Buy"</f>
        <v>ECO-N2Buy</v>
      </c>
    </row>
    <row r="2791" spans="1:3" ht="18" customHeight="1">
      <c r="A2791" t="str">
        <f>"110867"</f>
        <v>110867</v>
      </c>
      <c r="B2791" t="str">
        <f>"Support for Power Supply"</f>
        <v>Support for Power Supply</v>
      </c>
      <c r="C2791" t="str">
        <f>"Active"</f>
        <v>Active</v>
      </c>
    </row>
    <row r="2792" spans="1:3" ht="18" customHeight="1">
      <c r="A2792" t="str">
        <f>"110869"</f>
        <v>110869</v>
      </c>
      <c r="B2792" t="str">
        <f>"Door Welded for Welding Booth"</f>
        <v>Door Welded for Welding Booth</v>
      </c>
      <c r="C2792" t="str">
        <f>"Active"</f>
        <v>Active</v>
      </c>
    </row>
    <row r="2793" spans="1:3" ht="18" customHeight="1">
      <c r="A2793" t="str">
        <f>"110870"</f>
        <v>110870</v>
      </c>
      <c r="B2793" t="str">
        <f>"Window Frame for Welding"</f>
        <v>Window Frame for Welding</v>
      </c>
      <c r="C2793" t="str">
        <f>"Active"</f>
        <v>Active</v>
      </c>
    </row>
    <row r="2794" spans="1:3" ht="18" customHeight="1">
      <c r="A2794" t="str">
        <f>"110871"</f>
        <v>110871</v>
      </c>
      <c r="B2794" t="str">
        <f>"Window Frame with Pressnuts, Welding"</f>
        <v>Window Frame with Pressnuts, Welding</v>
      </c>
      <c r="C2794" t="str">
        <f>"Active"</f>
        <v>Active</v>
      </c>
    </row>
    <row r="2795" spans="1:3" ht="18" customHeight="1">
      <c r="A2795" t="str">
        <f>"110872"</f>
        <v>110872</v>
      </c>
      <c r="B2795" t="str">
        <f>"Cover Side Welding Booth ER4"</f>
        <v>Cover Side Welding Booth ER4</v>
      </c>
      <c r="C2795" t="str">
        <f>"Active"</f>
        <v>Active</v>
      </c>
    </row>
    <row r="2796" spans="1:3" ht="18" customHeight="1">
      <c r="A2796" t="str">
        <f>"110873"</f>
        <v>110873</v>
      </c>
      <c r="B2796" t="str">
        <f>"Bracket Angle for Microswitch Welding Booth"</f>
        <v>Bracket Angle for Microswitch Welding Booth</v>
      </c>
      <c r="C2796" t="str">
        <f>"ECO-N2Buy"</f>
        <v>ECO-N2Buy</v>
      </c>
    </row>
    <row r="2797" spans="1:3" ht="18" customHeight="1">
      <c r="A2797" t="str">
        <f>"110874"</f>
        <v>110874</v>
      </c>
      <c r="B2797" t="str">
        <f>"Steel plate 300x100mm for Welding"</f>
        <v>Steel plate 300x100mm for Welding</v>
      </c>
      <c r="C2797" t="str">
        <f t="shared" ref="C2797:C2809" si="123">"Active"</f>
        <v>Active</v>
      </c>
    </row>
    <row r="2798" spans="1:3" ht="18" customHeight="1">
      <c r="A2798" t="str">
        <f>"110875"</f>
        <v>110875</v>
      </c>
      <c r="B2798" t="str">
        <f>"Plate for T-weld, 38x88mm"</f>
        <v>Plate for T-weld, 38x88mm</v>
      </c>
      <c r="C2798" t="str">
        <f t="shared" si="123"/>
        <v>Active</v>
      </c>
    </row>
    <row r="2799" spans="1:3" ht="18" customHeight="1">
      <c r="A2799" t="str">
        <f>"110877"</f>
        <v>110877</v>
      </c>
      <c r="B2799" t="str">
        <f>"Avi machsanx20 without welding station"</f>
        <v>Avi machsanx20 without welding station</v>
      </c>
      <c r="C2799" t="str">
        <f t="shared" si="123"/>
        <v>Active</v>
      </c>
    </row>
    <row r="2800" spans="1:3" ht="18" customHeight="1">
      <c r="A2800" t="str">
        <f>"110879"</f>
        <v>110879</v>
      </c>
      <c r="B2800" t="str">
        <f>"Support for PLC Line"</f>
        <v>Support for PLC Line</v>
      </c>
      <c r="C2800" t="str">
        <f t="shared" si="123"/>
        <v>Active</v>
      </c>
    </row>
    <row r="2801" spans="1:3" ht="18" customHeight="1">
      <c r="A2801" t="str">
        <f>"110881"</f>
        <v>110881</v>
      </c>
      <c r="B2801" t="str">
        <f>"Support for front Panel Controller B (ER-9)"</f>
        <v>Support for front Panel Controller B (ER-9)</v>
      </c>
      <c r="C2801" t="str">
        <f t="shared" si="123"/>
        <v>Active</v>
      </c>
    </row>
    <row r="2802" spans="1:3" ht="18" customHeight="1">
      <c r="A2802" t="str">
        <f>"110882"</f>
        <v>110882</v>
      </c>
      <c r="B2802" t="str">
        <f>"Front Panel Controller B"</f>
        <v>Front Panel Controller B</v>
      </c>
      <c r="C2802" t="str">
        <f t="shared" si="123"/>
        <v>Active</v>
      </c>
    </row>
    <row r="2803" spans="1:3" ht="18" customHeight="1">
      <c r="A2803" t="str">
        <f>"110883"</f>
        <v>110883</v>
      </c>
      <c r="B2803" t="str">
        <f>"Door Seal Welding Booth"</f>
        <v>Door Seal Welding Booth</v>
      </c>
      <c r="C2803" t="str">
        <f t="shared" si="123"/>
        <v>Active</v>
      </c>
    </row>
    <row r="2804" spans="1:3" ht="18" customHeight="1">
      <c r="A2804" t="str">
        <f>"110885"</f>
        <v>110885</v>
      </c>
      <c r="B2804" t="str">
        <f>"shelf for ASRS 36 cells 1230x148"</f>
        <v>shelf for ASRS 36 cells 1230x148</v>
      </c>
      <c r="C2804" t="str">
        <f t="shared" si="123"/>
        <v>Active</v>
      </c>
    </row>
    <row r="2805" spans="1:3" ht="18" customHeight="1">
      <c r="A2805" t="str">
        <f>"110888"</f>
        <v>110888</v>
      </c>
      <c r="B2805" t="str">
        <f>"Support Controller ASRS 36 520x450mm"</f>
        <v>Support Controller ASRS 36 520x450mm</v>
      </c>
      <c r="C2805" t="str">
        <f t="shared" si="123"/>
        <v>Active</v>
      </c>
    </row>
    <row r="2806" spans="1:3" ht="18" customHeight="1">
      <c r="A2806" t="str">
        <f>"110891"</f>
        <v>110891</v>
      </c>
      <c r="B2806" t="str">
        <f>"Cover Arm no.1 ER2u Depco"</f>
        <v>Cover Arm no.1 ER2u Depco</v>
      </c>
      <c r="C2806" t="str">
        <f t="shared" si="123"/>
        <v>Active</v>
      </c>
    </row>
    <row r="2807" spans="1:3" ht="18" customHeight="1">
      <c r="A2807" t="str">
        <f>"110891-10"</f>
        <v>110891-10</v>
      </c>
      <c r="B2807" t="str">
        <f>"Cover Arm no.1 ER2u"</f>
        <v>Cover Arm no.1 ER2u</v>
      </c>
      <c r="C2807" t="str">
        <f t="shared" si="123"/>
        <v>Active</v>
      </c>
    </row>
    <row r="2808" spans="1:3" ht="18" customHeight="1">
      <c r="A2808" t="str">
        <f>"110892"</f>
        <v>110892</v>
      </c>
      <c r="B2808" t="str">
        <f>"Cover Arm no.2 ER2u Depco"</f>
        <v>Cover Arm no.2 ER2u Depco</v>
      </c>
      <c r="C2808" t="str">
        <f t="shared" si="123"/>
        <v>Active</v>
      </c>
    </row>
    <row r="2809" spans="1:3" ht="18" customHeight="1">
      <c r="A2809" t="str">
        <f>"110893"</f>
        <v>110893</v>
      </c>
      <c r="B2809" t="str">
        <f>"Cover Arm no.3 ER2u Depco"</f>
        <v>Cover Arm no.3 ER2u Depco</v>
      </c>
      <c r="C2809" t="str">
        <f t="shared" si="123"/>
        <v>Active</v>
      </c>
    </row>
    <row r="2810" spans="1:3" ht="18" customHeight="1">
      <c r="A2810" t="str">
        <f>"110894"</f>
        <v>110894</v>
      </c>
      <c r="B2810" t="str">
        <f>"Cover Arm no.2 Printed Intelitek&gt;&gt; - ER2u"</f>
        <v>Cover Arm no.2 Printed Intelitek&gt;&gt; - ER2u</v>
      </c>
      <c r="C2810" t="str">
        <f>"ECO-N2Buy"</f>
        <v>ECO-N2Buy</v>
      </c>
    </row>
    <row r="2811" spans="1:3" ht="18" customHeight="1">
      <c r="A2811" t="str">
        <f>"110894-10"</f>
        <v>110894-10</v>
      </c>
      <c r="B2811" t="str">
        <f>"Cover Arm no.2 Printed Intelitek&gt;&gt; - ER2u"</f>
        <v>Cover Arm no.2 Printed Intelitek&gt;&gt; - ER2u</v>
      </c>
      <c r="C2811" t="str">
        <f t="shared" ref="C2811:C2817" si="124">"Active"</f>
        <v>Active</v>
      </c>
    </row>
    <row r="2812" spans="1:3" ht="18" customHeight="1">
      <c r="A2812" t="str">
        <f>"110895"</f>
        <v>110895</v>
      </c>
      <c r="B2812" t="str">
        <f>"Cover Arm no.2 Printed ER2u Depco"</f>
        <v>Cover Arm no.2 Printed ER2u Depco</v>
      </c>
      <c r="C2812" t="str">
        <f t="shared" si="124"/>
        <v>Active</v>
      </c>
    </row>
    <row r="2813" spans="1:3" ht="18" customHeight="1">
      <c r="A2813" t="str">
        <f>"110895-10"</f>
        <v>110895-10</v>
      </c>
      <c r="B2813" t="str">
        <f>"Cover Arm no.2 Painted ER2u Depco"</f>
        <v>Cover Arm no.2 Painted ER2u Depco</v>
      </c>
      <c r="C2813" t="str">
        <f t="shared" si="124"/>
        <v>Active</v>
      </c>
    </row>
    <row r="2814" spans="1:3" ht="18" customHeight="1">
      <c r="A2814" t="str">
        <f>"110896"</f>
        <v>110896</v>
      </c>
      <c r="B2814" t="str">
        <f>"Cover Arm no.3 Printed Intelitek&gt;&gt; - ER2u"</f>
        <v>Cover Arm no.3 Printed Intelitek&gt;&gt; - ER2u</v>
      </c>
      <c r="C2814" t="str">
        <f t="shared" si="124"/>
        <v>Active</v>
      </c>
    </row>
    <row r="2815" spans="1:3" ht="18" customHeight="1">
      <c r="A2815" t="str">
        <f>"110896-10"</f>
        <v>110896-10</v>
      </c>
      <c r="B2815" t="str">
        <f>"Cover Arm no.3 Painted Intelitek&gt;&gt; - ER2u"</f>
        <v>Cover Arm no.3 Painted Intelitek&gt;&gt; - ER2u</v>
      </c>
      <c r="C2815" t="str">
        <f t="shared" si="124"/>
        <v>Active</v>
      </c>
    </row>
    <row r="2816" spans="1:3" ht="18" customHeight="1">
      <c r="A2816" t="str">
        <f>"110897"</f>
        <v>110897</v>
      </c>
      <c r="B2816" t="str">
        <f>"Cover Arm no. 3 Printed ER2u Depco"</f>
        <v>Cover Arm no. 3 Printed ER2u Depco</v>
      </c>
      <c r="C2816" t="str">
        <f t="shared" si="124"/>
        <v>Active</v>
      </c>
    </row>
    <row r="2817" spans="1:3" ht="18" customHeight="1">
      <c r="A2817" t="str">
        <f>"110897-10"</f>
        <v>110897-10</v>
      </c>
      <c r="B2817" t="str">
        <f>"Cover Arm no. 3 Painted ER2u Depco"</f>
        <v>Cover Arm no. 3 Painted ER2u Depco</v>
      </c>
      <c r="C2817" t="str">
        <f t="shared" si="124"/>
        <v>Active</v>
      </c>
    </row>
    <row r="2818" spans="1:3" ht="18" customHeight="1">
      <c r="A2818" t="str">
        <f>"110899"</f>
        <v>110899</v>
      </c>
      <c r="B2818" t="str">
        <f>"Support Linear Drive"</f>
        <v>Support Linear Drive</v>
      </c>
      <c r="C2818" t="str">
        <f>"ECO-N2Buy"</f>
        <v>ECO-N2Buy</v>
      </c>
    </row>
    <row r="2819" spans="1:3" ht="18" customHeight="1">
      <c r="A2819" t="str">
        <f>"110904"</f>
        <v>110904</v>
      </c>
      <c r="B2819" t="str">
        <f>"Adjustor Conveyor Height"</f>
        <v>Adjustor Conveyor Height</v>
      </c>
      <c r="C2819" t="str">
        <f t="shared" ref="C2819:C2824" si="125">"Active"</f>
        <v>Active</v>
      </c>
    </row>
    <row r="2820" spans="1:3" ht="18" customHeight="1">
      <c r="A2820" t="str">
        <f>"110905"</f>
        <v>110905</v>
      </c>
      <c r="B2820" t="str">
        <f>"Plate Metal Gripper Jaw   for ER7,ER9,ER14"</f>
        <v>Plate Metal Gripper Jaw   for ER7,ER9,ER14</v>
      </c>
      <c r="C2820" t="str">
        <f t="shared" si="125"/>
        <v>Active</v>
      </c>
    </row>
    <row r="2821" spans="1:3" ht="18" customHeight="1">
      <c r="A2821" t="str">
        <f>"110922"</f>
        <v>110922</v>
      </c>
      <c r="B2821" t="str">
        <f>"Support Motor Axis 1, ER9-Pro"</f>
        <v>Support Motor Axis 1, ER9-Pro</v>
      </c>
      <c r="C2821" t="str">
        <f t="shared" si="125"/>
        <v>Active</v>
      </c>
    </row>
    <row r="2822" spans="1:3" ht="18" customHeight="1">
      <c r="A2822" t="str">
        <f>"110925"</f>
        <v>110925</v>
      </c>
      <c r="B2822" t="str">
        <f>"Corner Holder for Sensor D 18 mm"</f>
        <v>Corner Holder for Sensor D 18 mm</v>
      </c>
      <c r="C2822" t="str">
        <f t="shared" si="125"/>
        <v>Active</v>
      </c>
    </row>
    <row r="2823" spans="1:3" ht="18" customHeight="1">
      <c r="A2823" t="str">
        <f>"110926"</f>
        <v>110926</v>
      </c>
      <c r="B2823" t="str">
        <f>"Clamp for cable L.S.B"</f>
        <v>Clamp for cable L.S.B</v>
      </c>
      <c r="C2823" t="str">
        <f t="shared" si="125"/>
        <v>Active</v>
      </c>
    </row>
    <row r="2824" spans="1:3" ht="18" customHeight="1">
      <c r="A2824" t="str">
        <f>"110931"</f>
        <v>110931</v>
      </c>
      <c r="B2824" t="str">
        <f>"Support Conveyor Body-Gray"</f>
        <v>Support Conveyor Body-Gray</v>
      </c>
      <c r="C2824" t="str">
        <f t="shared" si="125"/>
        <v>Active</v>
      </c>
    </row>
    <row r="2825" spans="1:3" ht="18" customHeight="1">
      <c r="A2825" t="str">
        <f>"110932"</f>
        <v>110932</v>
      </c>
      <c r="B2825" t="str">
        <f>"Adaptor For BarCode Scanner LS1220 CIM"</f>
        <v>Adaptor For BarCode Scanner LS1220 CIM</v>
      </c>
      <c r="C2825" t="str">
        <f>"ECO-N2Buy"</f>
        <v>ECO-N2Buy</v>
      </c>
    </row>
    <row r="2826" spans="1:3" ht="18" customHeight="1">
      <c r="A2826" t="str">
        <f>"110935"</f>
        <v>110935</v>
      </c>
      <c r="B2826" t="str">
        <f>"Adapter Plate for Feet ITEM 80x40"</f>
        <v>Adapter Plate for Feet ITEM 80x40</v>
      </c>
      <c r="C2826" t="str">
        <f t="shared" ref="C2826:C2837" si="126">"Active"</f>
        <v>Active</v>
      </c>
    </row>
    <row r="2827" spans="1:3" ht="18" customHeight="1">
      <c r="A2827" t="str">
        <f>"110944"</f>
        <v>110944</v>
      </c>
      <c r="B2827" t="str">
        <f>"Support Left MicroASRS 6 cells"</f>
        <v>Support Left MicroASRS 6 cells</v>
      </c>
      <c r="C2827" t="str">
        <f t="shared" si="126"/>
        <v>Active</v>
      </c>
    </row>
    <row r="2828" spans="1:3" ht="18" customHeight="1">
      <c r="A2828" t="str">
        <f>"110945"</f>
        <v>110945</v>
      </c>
      <c r="B2828" t="str">
        <f>"Right Support MicroASRS 6 cells"</f>
        <v>Right Support MicroASRS 6 cells</v>
      </c>
      <c r="C2828" t="str">
        <f t="shared" si="126"/>
        <v>Active</v>
      </c>
    </row>
    <row r="2829" spans="1:3" ht="18" customHeight="1">
      <c r="A2829" t="str">
        <f>"110946"</f>
        <v>110946</v>
      </c>
      <c r="B2829" t="str">
        <f>"Shelf for ASRS 6 cells"</f>
        <v>Shelf for ASRS 6 cells</v>
      </c>
      <c r="C2829" t="str">
        <f t="shared" si="126"/>
        <v>Active</v>
      </c>
    </row>
    <row r="2830" spans="1:3" ht="18" customHeight="1">
      <c r="A2830" t="str">
        <f>"110947"</f>
        <v>110947</v>
      </c>
      <c r="B2830" t="str">
        <f>"Mounting Frame for Electr. Assy. Pneu/Hydo"</f>
        <v>Mounting Frame for Electr. Assy. Pneu/Hydo</v>
      </c>
      <c r="C2830" t="str">
        <f t="shared" si="126"/>
        <v>Active</v>
      </c>
    </row>
    <row r="2831" spans="1:3" ht="18" customHeight="1">
      <c r="A2831" t="str">
        <f>"110968"</f>
        <v>110968</v>
      </c>
      <c r="B2831" t="str">
        <f>"Cover width, 514mm ASRS36u"</f>
        <v>Cover width, 514mm ASRS36u</v>
      </c>
      <c r="C2831" t="str">
        <f t="shared" si="126"/>
        <v>Active</v>
      </c>
    </row>
    <row r="2832" spans="1:3" ht="18" customHeight="1">
      <c r="A2832" t="str">
        <f>"110969"</f>
        <v>110969</v>
      </c>
      <c r="B2832" t="str">
        <f>"Cover length 1315mm, ASRS36u"</f>
        <v>Cover length 1315mm, ASRS36u</v>
      </c>
      <c r="C2832" t="str">
        <f t="shared" si="126"/>
        <v>Active</v>
      </c>
    </row>
    <row r="2833" spans="1:3" ht="18" customHeight="1">
      <c r="A2833" t="str">
        <f>"110971"</f>
        <v>110971</v>
      </c>
      <c r="B2833" t="str">
        <f>"Front Panel, Procces Control Temperatur"</f>
        <v>Front Panel, Procces Control Temperatur</v>
      </c>
      <c r="C2833" t="str">
        <f t="shared" si="126"/>
        <v>Active</v>
      </c>
    </row>
    <row r="2834" spans="1:3" ht="18" customHeight="1">
      <c r="A2834" t="str">
        <f>"110996"</f>
        <v>110996</v>
      </c>
      <c r="B2834" t="str">
        <f>"Base For ER4u Controller"</f>
        <v>Base For ER4u Controller</v>
      </c>
      <c r="C2834" t="str">
        <f t="shared" si="126"/>
        <v>Active</v>
      </c>
    </row>
    <row r="2835" spans="1:3" ht="18" customHeight="1">
      <c r="A2835" t="str">
        <f>"110997"</f>
        <v>110997</v>
      </c>
      <c r="B2835" t="str">
        <f>"Support Motor's   tekDESIGN"</f>
        <v>Support Motor's   tekDESIGN</v>
      </c>
      <c r="C2835" t="str">
        <f t="shared" si="126"/>
        <v>Active</v>
      </c>
    </row>
    <row r="2836" spans="1:3" ht="18" customHeight="1">
      <c r="A2836" t="str">
        <f>"110998"</f>
        <v>110998</v>
      </c>
      <c r="B2836" t="str">
        <f>"Frame Front For USB Controller"</f>
        <v>Frame Front For USB Controller</v>
      </c>
      <c r="C2836" t="str">
        <f t="shared" si="126"/>
        <v>Active</v>
      </c>
    </row>
    <row r="2837" spans="1:3" ht="18" customHeight="1">
      <c r="A2837" t="str">
        <f>"110999"</f>
        <v>110999</v>
      </c>
      <c r="B2837" t="str">
        <f>"Elbow Heating ER4u Controller"</f>
        <v>Elbow Heating ER4u Controller</v>
      </c>
      <c r="C2837" t="str">
        <f t="shared" si="126"/>
        <v>Active</v>
      </c>
    </row>
    <row r="2838" spans="1:3" ht="18" customHeight="1">
      <c r="A2838" t="str">
        <f>"111341"</f>
        <v>111341</v>
      </c>
      <c r="B2838" t="str">
        <f>"Cover for Power Supply JM ME10"</f>
        <v>Cover for Power Supply JM ME10</v>
      </c>
      <c r="C2838" t="str">
        <f>"New"</f>
        <v>New</v>
      </c>
    </row>
    <row r="2839" spans="1:3" ht="18" customHeight="1">
      <c r="A2839" t="str">
        <f>"111401"</f>
        <v>111401</v>
      </c>
      <c r="B2839" t="str">
        <f>"Shaft Main (Base) SCORBOT ER4u"</f>
        <v>Shaft Main (Base) SCORBOT ER4u</v>
      </c>
      <c r="C2839" t="str">
        <f t="shared" ref="C2839:C2848" si="127">"Active"</f>
        <v>Active</v>
      </c>
    </row>
    <row r="2840" spans="1:3" ht="18" customHeight="1">
      <c r="A2840" t="str">
        <f>"111402"</f>
        <v>111402</v>
      </c>
      <c r="B2840" t="str">
        <f>"Shaft Shoulder SCORBOT ER4u"</f>
        <v>Shaft Shoulder SCORBOT ER4u</v>
      </c>
      <c r="C2840" t="str">
        <f t="shared" si="127"/>
        <v>Active</v>
      </c>
    </row>
    <row r="2841" spans="1:3" ht="18" customHeight="1">
      <c r="A2841" t="str">
        <f>"111403"</f>
        <v>111403</v>
      </c>
      <c r="B2841" t="str">
        <f>"Shaft Elbow SCORBOT ER4u"</f>
        <v>Shaft Elbow SCORBOT ER4u</v>
      </c>
      <c r="C2841" t="str">
        <f t="shared" si="127"/>
        <v>Active</v>
      </c>
    </row>
    <row r="2842" spans="1:3" ht="18" customHeight="1">
      <c r="A2842" t="str">
        <f>"111404"</f>
        <v>111404</v>
      </c>
      <c r="B2842" t="str">
        <f>"Shaft Differential Gear SCORBOT ER4u"</f>
        <v>Shaft Differential Gear SCORBOT ER4u</v>
      </c>
      <c r="C2842" t="str">
        <f t="shared" si="127"/>
        <v>Active</v>
      </c>
    </row>
    <row r="2843" spans="1:3" ht="18" customHeight="1">
      <c r="A2843" t="str">
        <f>"111405"</f>
        <v>111405</v>
      </c>
      <c r="B2843" t="str">
        <f>"Shaft for Sngl.Pulley-Long SCORBOT ER4u"</f>
        <v>Shaft for Sngl.Pulley-Long SCORBOT ER4u</v>
      </c>
      <c r="C2843" t="str">
        <f t="shared" si="127"/>
        <v>Active</v>
      </c>
    </row>
    <row r="2844" spans="1:3" ht="18" customHeight="1">
      <c r="A2844" t="str">
        <f>"111406"</f>
        <v>111406</v>
      </c>
      <c r="B2844" t="str">
        <f>"Shaft for 2 Pulleys-Short SCORBOT ER4u"</f>
        <v>Shaft for 2 Pulleys-Short SCORBOT ER4u</v>
      </c>
      <c r="C2844" t="str">
        <f t="shared" si="127"/>
        <v>Active</v>
      </c>
    </row>
    <row r="2845" spans="1:3" ht="18" customHeight="1">
      <c r="A2845" t="str">
        <f>"111407"</f>
        <v>111407</v>
      </c>
      <c r="B2845" t="str">
        <f>"Shaft for 2 Pulleys-Long SCORBOT ER4u"</f>
        <v>Shaft for 2 Pulleys-Long SCORBOT ER4u</v>
      </c>
      <c r="C2845" t="str">
        <f t="shared" si="127"/>
        <v>Active</v>
      </c>
    </row>
    <row r="2846" spans="1:3" ht="18" customHeight="1">
      <c r="A2846" t="str">
        <f>"111408"</f>
        <v>111408</v>
      </c>
      <c r="B2846" t="str">
        <f>"Shaft Guide System SCORBOT ER4u"</f>
        <v>Shaft Guide System SCORBOT ER4u</v>
      </c>
      <c r="C2846" t="str">
        <f t="shared" si="127"/>
        <v>Active</v>
      </c>
    </row>
    <row r="2847" spans="1:3" ht="18" customHeight="1">
      <c r="A2847" t="str">
        <f>"111409"</f>
        <v>111409</v>
      </c>
      <c r="B2847" t="str">
        <f>"Pin 1/8"" for Gripper SCORBOT ER4u"</f>
        <v>Pin 1/8" for Gripper SCORBOT ER4u</v>
      </c>
      <c r="C2847" t="str">
        <f t="shared" si="127"/>
        <v>Active</v>
      </c>
    </row>
    <row r="2848" spans="1:3" ht="18" customHeight="1">
      <c r="A2848" t="str">
        <f>"111413"</f>
        <v>111413</v>
      </c>
      <c r="B2848" t="str">
        <f>"Shaft-Wrist Harm.Dr.Input SCORBOT ER9/ER14"</f>
        <v>Shaft-Wrist Harm.Dr.Input SCORBOT ER9/ER14</v>
      </c>
      <c r="C2848" t="str">
        <f t="shared" si="127"/>
        <v>Active</v>
      </c>
    </row>
    <row r="2849" spans="1:3" ht="18" customHeight="1">
      <c r="A2849" t="str">
        <f>"111414"</f>
        <v>111414</v>
      </c>
      <c r="B2849" t="str">
        <f>"Shaft Fastening L=185mm"</f>
        <v>Shaft Fastening L=185mm</v>
      </c>
      <c r="C2849" t="str">
        <f>"Phase Out"</f>
        <v>Phase Out</v>
      </c>
    </row>
    <row r="2850" spans="1:3" ht="18" customHeight="1">
      <c r="A2850" t="str">
        <f>"111415"</f>
        <v>111415</v>
      </c>
      <c r="B2850" t="str">
        <f>"Shaft D20, L=173mm for CIM Conveyor"</f>
        <v>Shaft D20, L=173mm for CIM Conveyor</v>
      </c>
      <c r="C2850" t="str">
        <f t="shared" ref="C2850:C2864" si="128">"Active"</f>
        <v>Active</v>
      </c>
    </row>
    <row r="2851" spans="1:3" ht="18" customHeight="1">
      <c r="A2851" t="str">
        <f>"111416"</f>
        <v>111416</v>
      </c>
      <c r="B2851" t="str">
        <f>"Shaft Main Driving Unit"</f>
        <v>Shaft Main Driving Unit</v>
      </c>
      <c r="C2851" t="str">
        <f t="shared" si="128"/>
        <v>Active</v>
      </c>
    </row>
    <row r="2852" spans="1:3" ht="18" customHeight="1">
      <c r="A2852" t="str">
        <f>"111417"</f>
        <v>111417</v>
      </c>
      <c r="B2852" t="str">
        <f>"Pin for Plate Pulley"</f>
        <v>Pin for Plate Pulley</v>
      </c>
      <c r="C2852" t="str">
        <f t="shared" si="128"/>
        <v>Active</v>
      </c>
    </row>
    <row r="2853" spans="1:3" ht="18" customHeight="1">
      <c r="A2853" t="str">
        <f>"111418"</f>
        <v>111418</v>
      </c>
      <c r="B2853" t="str">
        <f>"Shaft-Wrist transmission gear  1,2,3"</f>
        <v>Shaft-Wrist transmission gear  1,2,3</v>
      </c>
      <c r="C2853" t="str">
        <f t="shared" si="128"/>
        <v>Active</v>
      </c>
    </row>
    <row r="2854" spans="1:3" ht="18" customHeight="1">
      <c r="A2854" t="str">
        <f>"111419"</f>
        <v>111419</v>
      </c>
      <c r="B2854" t="str">
        <f>"Shaft-Wrist Transmission Gear Roll"</f>
        <v>Shaft-Wrist Transmission Gear Roll</v>
      </c>
      <c r="C2854" t="str">
        <f t="shared" si="128"/>
        <v>Active</v>
      </c>
    </row>
    <row r="2855" spans="1:3" ht="18" customHeight="1">
      <c r="A2855" t="str">
        <f>"111420"</f>
        <v>111420</v>
      </c>
      <c r="B2855" t="str">
        <f>"Shaft Spline Axis 3,4 SCORA ER14"</f>
        <v>Shaft Spline Axis 3,4 SCORA ER14</v>
      </c>
      <c r="C2855" t="str">
        <f t="shared" si="128"/>
        <v>Active</v>
      </c>
    </row>
    <row r="2856" spans="1:3" ht="18" customHeight="1">
      <c r="A2856" t="str">
        <f>"111421"</f>
        <v>111421</v>
      </c>
      <c r="B2856" t="str">
        <f>"Shaft Gear Axis 2 Scorbot ER9"</f>
        <v>Shaft Gear Axis 2 Scorbot ER9</v>
      </c>
      <c r="C2856" t="str">
        <f t="shared" si="128"/>
        <v>Active</v>
      </c>
    </row>
    <row r="2857" spans="1:3" ht="18" customHeight="1">
      <c r="A2857" t="str">
        <f>"111424"</f>
        <v>111424</v>
      </c>
      <c r="B2857" t="str">
        <f>"Shaft D 9 LSB BELT"</f>
        <v>Shaft D 9 LSB BELT</v>
      </c>
      <c r="C2857" t="str">
        <f t="shared" si="128"/>
        <v>Active</v>
      </c>
    </row>
    <row r="2858" spans="1:3" ht="18" customHeight="1">
      <c r="A2858" t="str">
        <f>"111425"</f>
        <v>111425</v>
      </c>
      <c r="B2858" t="str">
        <f>"Shaft Central  LSB BELT"</f>
        <v>Shaft Central  LSB BELT</v>
      </c>
      <c r="C2858" t="str">
        <f t="shared" si="128"/>
        <v>Active</v>
      </c>
    </row>
    <row r="2859" spans="1:3" ht="18" customHeight="1">
      <c r="A2859" t="str">
        <f>"111426"</f>
        <v>111426</v>
      </c>
      <c r="B2859" t="str">
        <f>"Eccentric Shaft LSB BELT"</f>
        <v>Eccentric Shaft LSB BELT</v>
      </c>
      <c r="C2859" t="str">
        <f t="shared" si="128"/>
        <v>Active</v>
      </c>
    </row>
    <row r="2860" spans="1:3" ht="18" customHeight="1">
      <c r="A2860" t="str">
        <f>"111427"</f>
        <v>111427</v>
      </c>
      <c r="B2860" t="str">
        <f>"Shaft Pulley LSB BELT"</f>
        <v>Shaft Pulley LSB BELT</v>
      </c>
      <c r="C2860" t="str">
        <f t="shared" si="128"/>
        <v>Active</v>
      </c>
    </row>
    <row r="2861" spans="1:3" ht="18" customHeight="1">
      <c r="A2861" t="str">
        <f>"111428"</f>
        <v>111428</v>
      </c>
      <c r="B2861" t="str">
        <f>"Shaft For Drive Sys. Pulleys LSB BELT"</f>
        <v>Shaft For Drive Sys. Pulleys LSB BELT</v>
      </c>
      <c r="C2861" t="str">
        <f t="shared" si="128"/>
        <v>Active</v>
      </c>
    </row>
    <row r="2862" spans="1:3" ht="18" customHeight="1">
      <c r="A2862" t="str">
        <f>"111433"</f>
        <v>111433</v>
      </c>
      <c r="B2862" t="str">
        <f>"Shaft GM D18, L=160, For CIM"</f>
        <v>Shaft GM D18, L=160, For CIM</v>
      </c>
      <c r="C2862" t="str">
        <f t="shared" si="128"/>
        <v>Active</v>
      </c>
    </row>
    <row r="2863" spans="1:3" ht="18" customHeight="1">
      <c r="A2863" t="str">
        <f>"111434"</f>
        <v>111434</v>
      </c>
      <c r="B2863" t="str">
        <f>"Pin - D=3, L=22mm"</f>
        <v>Pin - D=3, L=22mm</v>
      </c>
      <c r="C2863" t="str">
        <f t="shared" si="128"/>
        <v>Active</v>
      </c>
    </row>
    <row r="2864" spans="1:3" ht="18" customHeight="1">
      <c r="A2864" t="str">
        <f>"111435"</f>
        <v>111435</v>
      </c>
      <c r="B2864" t="str">
        <f>"Shaft D=25 for Gear Motor 0.25KW"</f>
        <v>Shaft D=25 for Gear Motor 0.25KW</v>
      </c>
      <c r="C2864" t="str">
        <f t="shared" si="128"/>
        <v>Active</v>
      </c>
    </row>
    <row r="2865" spans="1:3" ht="18" customHeight="1">
      <c r="A2865" t="str">
        <f>"111436"</f>
        <v>111436</v>
      </c>
      <c r="B2865" t="str">
        <f>"Oil level indicator 100mm"</f>
        <v>Oil level indicator 100mm</v>
      </c>
      <c r="C2865" t="str">
        <f>"New"</f>
        <v>New</v>
      </c>
    </row>
    <row r="2866" spans="1:3" ht="18" customHeight="1">
      <c r="A2866" t="str">
        <f>"111601"</f>
        <v>111601</v>
      </c>
      <c r="B2866" t="str">
        <f>"Shaft Main Conveyor"</f>
        <v>Shaft Main Conveyor</v>
      </c>
      <c r="C2866" t="str">
        <f t="shared" ref="C2866:C2875" si="129">"Active"</f>
        <v>Active</v>
      </c>
    </row>
    <row r="2867" spans="1:3" ht="18" customHeight="1">
      <c r="A2867" t="str">
        <f>"111603"</f>
        <v>111603</v>
      </c>
      <c r="B2867" t="str">
        <f>"Shaft Plastic Pulley Conveyor"</f>
        <v>Shaft Plastic Pulley Conveyor</v>
      </c>
      <c r="C2867" t="str">
        <f t="shared" si="129"/>
        <v>Active</v>
      </c>
    </row>
    <row r="2868" spans="1:3" ht="18" customHeight="1">
      <c r="A2868" t="str">
        <f>"111614"</f>
        <v>111614</v>
      </c>
      <c r="B2868" t="str">
        <f>"Shaft Fastening Short for Slotted Panel"</f>
        <v>Shaft Fastening Short for Slotted Panel</v>
      </c>
      <c r="C2868" t="str">
        <f t="shared" si="129"/>
        <v>Active</v>
      </c>
    </row>
    <row r="2869" spans="1:3" ht="18" customHeight="1">
      <c r="A2869" t="str">
        <f>"111615"</f>
        <v>111615</v>
      </c>
      <c r="B2869" t="str">
        <f>"Foot for Board Pneumatic/Hydraulic"</f>
        <v>Foot for Board Pneumatic/Hydraulic</v>
      </c>
      <c r="C2869" t="str">
        <f t="shared" si="129"/>
        <v>Active</v>
      </c>
    </row>
    <row r="2870" spans="1:3" ht="18" customHeight="1">
      <c r="A2870" t="str">
        <f>"111616"</f>
        <v>111616</v>
      </c>
      <c r="B2870" t="str">
        <f>"Shaft Fastening table Pneumatic/Hydraulic"</f>
        <v>Shaft Fastening table Pneumatic/Hydraulic</v>
      </c>
      <c r="C2870" t="str">
        <f t="shared" si="129"/>
        <v>Active</v>
      </c>
    </row>
    <row r="2871" spans="1:3" ht="18" customHeight="1">
      <c r="A2871" t="str">
        <f>"111617"</f>
        <v>111617</v>
      </c>
      <c r="B2871" t="str">
        <f>"Shaft D6 x 20"</f>
        <v>Shaft D6 x 20</v>
      </c>
      <c r="C2871" t="str">
        <f t="shared" si="129"/>
        <v>Active</v>
      </c>
    </row>
    <row r="2872" spans="1:3" ht="18" customHeight="1">
      <c r="A2872" t="str">
        <f>"111618"</f>
        <v>111618</v>
      </c>
      <c r="B2872" t="str">
        <f>"Shaft BALL FEEDER"</f>
        <v>Shaft BALL FEEDER</v>
      </c>
      <c r="C2872" t="str">
        <f t="shared" si="129"/>
        <v>Active</v>
      </c>
    </row>
    <row r="2873" spans="1:3" ht="18" customHeight="1">
      <c r="A2873" t="str">
        <f>"111619"</f>
        <v>111619</v>
      </c>
      <c r="B2873" t="str">
        <f>"Stand Rail - AMT Line"</f>
        <v>Stand Rail - AMT Line</v>
      </c>
      <c r="C2873" t="str">
        <f t="shared" si="129"/>
        <v>Active</v>
      </c>
    </row>
    <row r="2874" spans="1:3" ht="18" customHeight="1">
      <c r="A2874" t="str">
        <f>"111620"</f>
        <v>111620</v>
      </c>
      <c r="B2874" t="str">
        <f>"Shaft Fit PLC Line"</f>
        <v>Shaft Fit PLC Line</v>
      </c>
      <c r="C2874" t="str">
        <f t="shared" si="129"/>
        <v>Active</v>
      </c>
    </row>
    <row r="2875" spans="1:3" ht="18" customHeight="1">
      <c r="A2875" t="str">
        <f>"111627"</f>
        <v>111627</v>
      </c>
      <c r="B2875" t="str">
        <f>"Pin For Gripper st.st D 3"</f>
        <v>Pin For Gripper st.st D 3</v>
      </c>
      <c r="C2875" t="str">
        <f t="shared" si="129"/>
        <v>Active</v>
      </c>
    </row>
    <row r="2876" spans="1:3" ht="18" customHeight="1">
      <c r="A2876" t="str">
        <f>"111630"</f>
        <v>111630</v>
      </c>
      <c r="B2876" t="str">
        <f>"Pulley for Cable D=24;d=14;L=22mm"</f>
        <v>Pulley for Cable D=24;d=14;L=22mm</v>
      </c>
      <c r="C2876" t="str">
        <f>"Phase Out"</f>
        <v>Phase Out</v>
      </c>
    </row>
    <row r="2877" spans="1:3" ht="18" customHeight="1">
      <c r="A2877" t="str">
        <f>"111631"</f>
        <v>111631</v>
      </c>
      <c r="B2877" t="str">
        <f>"D=19;d=10;L=130mm (תועצה ןיא) Extension for"</f>
        <v>D=19;d=10;L=130mm (תועצה ןיא) Extension for</v>
      </c>
      <c r="C2877" t="str">
        <f>"Phase Out"</f>
        <v>Phase Out</v>
      </c>
    </row>
    <row r="2878" spans="1:3" ht="18" customHeight="1">
      <c r="A2878" t="str">
        <f>"111632"</f>
        <v>111632</v>
      </c>
      <c r="B2878" t="str">
        <f>"Adapt. Cub Pneu. for Piston, M10x1.25-x1; M4-x24"</f>
        <v>Adapt. Cub Pneu. for Piston, M10x1.25-x1; M4-x24</v>
      </c>
      <c r="C2878" t="str">
        <f>"Inactive"</f>
        <v>Inactive</v>
      </c>
    </row>
    <row r="2879" spans="1:3" ht="18" customHeight="1">
      <c r="A2879" t="str">
        <f>"111633"</f>
        <v>111633</v>
      </c>
      <c r="B2879" t="str">
        <f>"Adapt. Cub Hyd. for Piston, 3/8""-24(x1); M4(x24)"</f>
        <v>Adapt. Cub Hyd. for Piston, 3/8"-24(x1); M4(x24)</v>
      </c>
      <c r="C2879" t="str">
        <f>"Inactive"</f>
        <v>Inactive</v>
      </c>
    </row>
    <row r="2880" spans="1:3" ht="18" customHeight="1">
      <c r="A2880" t="str">
        <f>"111634"</f>
        <v>111634</v>
      </c>
      <c r="B2880" t="str">
        <f>"Pulley mechanism D=10;d=4.2;L=13mm"</f>
        <v>Pulley mechanism D=10;d=4.2;L=13mm</v>
      </c>
      <c r="C2880" t="str">
        <f>"Phase Out"</f>
        <v>Phase Out</v>
      </c>
    </row>
    <row r="2881" spans="1:3" ht="18" customHeight="1">
      <c r="A2881" t="str">
        <f>"111635"</f>
        <v>111635</v>
      </c>
      <c r="B2881" t="str">
        <f>"Shaft For Driving Wheel Conveyor"</f>
        <v>Shaft For Driving Wheel Conveyor</v>
      </c>
      <c r="C2881" t="str">
        <f>"Active"</f>
        <v>Active</v>
      </c>
    </row>
    <row r="2882" spans="1:3" ht="18" customHeight="1">
      <c r="A2882" t="str">
        <f>"111637"</f>
        <v>111637</v>
      </c>
      <c r="B2882" t="str">
        <f>"Shaft For Coupling D16_d17, LSB4500"</f>
        <v>Shaft For Coupling D16_d17, LSB4500</v>
      </c>
      <c r="C2882" t="str">
        <f>"Active"</f>
        <v>Active</v>
      </c>
    </row>
    <row r="2883" spans="1:3" ht="18" customHeight="1">
      <c r="A2883" t="str">
        <f>"111638"</f>
        <v>111638</v>
      </c>
      <c r="B2883" t="str">
        <f>"Shaft D3 x 19mm"</f>
        <v>Shaft D3 x 19mm</v>
      </c>
      <c r="C2883" t="str">
        <f>"Active"</f>
        <v>Active</v>
      </c>
    </row>
    <row r="2884" spans="1:3" ht="18" customHeight="1">
      <c r="A2884" t="str">
        <f>"111901"</f>
        <v>111901</v>
      </c>
      <c r="B2884" t="str">
        <f>"Gear Middle- B.L  24T P.D=1"",SCORBOT ER4u"</f>
        <v>Gear Middle- B.L  24T P.D=1",SCORBOT ER4u</v>
      </c>
      <c r="C2884" t="str">
        <f>"Active"</f>
        <v>Active</v>
      </c>
    </row>
    <row r="2885" spans="1:3" ht="18" customHeight="1">
      <c r="A2885" t="str">
        <f>"111902"</f>
        <v>111902</v>
      </c>
      <c r="B2885" t="str">
        <f>"Gear Upper- B.L  24T P.D=1"",SCORBOT ER4u"</f>
        <v>Gear Upper- B.L  24T P.D=1",SCORBOT ER4u</v>
      </c>
      <c r="C2885" t="str">
        <f>"ECO-N2Buy"</f>
        <v>ECO-N2Buy</v>
      </c>
    </row>
    <row r="2886" spans="1:3" ht="18" customHeight="1">
      <c r="A2886" t="str">
        <f>"111903"</f>
        <v>111903</v>
      </c>
      <c r="B2886" t="str">
        <f>"Gear Lower- B.L  24T P.D=1"",SCORBOT ER4u"</f>
        <v>Gear Lower- B.L  24T P.D=1",SCORBOT ER4u</v>
      </c>
      <c r="C2886" t="str">
        <f>"ECO-N2Buy"</f>
        <v>ECO-N2Buy</v>
      </c>
    </row>
    <row r="2887" spans="1:3" ht="18" customHeight="1">
      <c r="A2887" t="str">
        <f>"111904"</f>
        <v>111904</v>
      </c>
      <c r="B2887" t="str">
        <f>"Gear Shoulder- Right  72T P.D=24, SCORBOT ER4u"</f>
        <v>Gear Shoulder- Right  72T P.D=24, SCORBOT ER4u</v>
      </c>
      <c r="C2887" t="str">
        <f>"ECO-N2Buy"</f>
        <v>ECO-N2Buy</v>
      </c>
    </row>
    <row r="2888" spans="1:3" ht="18" customHeight="1">
      <c r="A2888" t="str">
        <f>"111905"</f>
        <v>111905</v>
      </c>
      <c r="B2888" t="str">
        <f>"Gear Elbow- Left  72T P.D=24, SCORBOT ER4u"</f>
        <v>Gear Elbow- Left  72T P.D=24, SCORBOT ER4u</v>
      </c>
      <c r="C2888" t="str">
        <f>"ECO-N2Buy"</f>
        <v>ECO-N2Buy</v>
      </c>
    </row>
    <row r="2889" spans="1:3" ht="18" customHeight="1">
      <c r="A2889" t="str">
        <f>"111906"</f>
        <v>111906</v>
      </c>
      <c r="B2889" t="str">
        <f>"Gear Base 120T P.D=24,SCORBOT ER4u"</f>
        <v>Gear Base 120T P.D=24,SCORBOT ER4u</v>
      </c>
      <c r="C2889" t="str">
        <f t="shared" ref="C2889:C2896" si="130">"Active"</f>
        <v>Active</v>
      </c>
    </row>
    <row r="2890" spans="1:3" ht="18" customHeight="1">
      <c r="A2890" t="str">
        <f>"111907"</f>
        <v>111907</v>
      </c>
      <c r="B2890" t="str">
        <f>"Gear Base Motor 24T P.D=1"",SCORBOT ER4u"</f>
        <v>Gear Base Motor 24T P.D=1",SCORBOT ER4u</v>
      </c>
      <c r="C2890" t="str">
        <f t="shared" si="130"/>
        <v>Active</v>
      </c>
    </row>
    <row r="2891" spans="1:3" ht="18" customHeight="1">
      <c r="A2891" t="str">
        <f>"111908"</f>
        <v>111908</v>
      </c>
      <c r="B2891" t="str">
        <f>"Gear-Blk.18T+Screws SCORBOT ER4u"</f>
        <v>Gear-Blk.18T+Screws SCORBOT ER4u</v>
      </c>
      <c r="C2891" t="str">
        <f t="shared" si="130"/>
        <v>Active</v>
      </c>
    </row>
    <row r="2892" spans="1:3" ht="18" customHeight="1">
      <c r="A2892" t="str">
        <f>"111913"</f>
        <v>111913</v>
      </c>
      <c r="B2892" t="str">
        <f>"Pulley Timing - 54T  P=0.08""  ID=8mm"</f>
        <v>Pulley Timing - 54T  P=0.08"  ID=8mm</v>
      </c>
      <c r="C2892" t="str">
        <f t="shared" si="130"/>
        <v>Active</v>
      </c>
    </row>
    <row r="2893" spans="1:3" ht="18" customHeight="1">
      <c r="A2893" t="str">
        <f>"111919"</f>
        <v>111919</v>
      </c>
      <c r="B2893" t="str">
        <f>"Gear  Driver 10T w/o Key"</f>
        <v>Gear  Driver 10T w/o Key</v>
      </c>
      <c r="C2893" t="str">
        <f t="shared" si="130"/>
        <v>Active</v>
      </c>
    </row>
    <row r="2894" spans="1:3" ht="18" customHeight="1">
      <c r="A2894" t="str">
        <f>"111920"</f>
        <v>111920</v>
      </c>
      <c r="B2894" t="str">
        <f>"Gear  Driver 10T w. Key"</f>
        <v>Gear  Driver 10T w. Key</v>
      </c>
      <c r="C2894" t="str">
        <f t="shared" si="130"/>
        <v>Active</v>
      </c>
    </row>
    <row r="2895" spans="1:3" ht="18" customHeight="1">
      <c r="A2895" t="str">
        <f>"111922"</f>
        <v>111922</v>
      </c>
      <c r="B2895" t="str">
        <f>"Gear Drive BS-08B 22 Teath machining"</f>
        <v>Gear Drive BS-08B 22 Teath machining</v>
      </c>
      <c r="C2895" t="str">
        <f t="shared" si="130"/>
        <v>Active</v>
      </c>
    </row>
    <row r="2896" spans="1:3" ht="18" customHeight="1">
      <c r="A2896" t="str">
        <f>"111922-10"</f>
        <v>111922-10</v>
      </c>
      <c r="B2896" t="str">
        <f>"Gear  DrivER2u2T"</f>
        <v>Gear  DrivER2u2T</v>
      </c>
      <c r="C2896" t="str">
        <f t="shared" si="130"/>
        <v>Active</v>
      </c>
    </row>
    <row r="2897" spans="1:3" ht="18" customHeight="1">
      <c r="A2897" t="str">
        <f>"111924"</f>
        <v>111924</v>
      </c>
      <c r="B2897" t="str">
        <f>"MXL Timing Pulley w.Flanges 54T P=0.08"" ID=8mm"</f>
        <v>MXL Timing Pulley w.Flanges 54T P=0.08" ID=8mm</v>
      </c>
      <c r="C2897" t="str">
        <f>"Not for purc"</f>
        <v>Not for purc</v>
      </c>
    </row>
    <row r="2898" spans="1:3" ht="18" customHeight="1">
      <c r="A2898" t="str">
        <f>"111926"</f>
        <v>111926</v>
      </c>
      <c r="B2898" t="str">
        <f>"Gear Worm for SCORA ER14"</f>
        <v>Gear Worm for SCORA ER14</v>
      </c>
      <c r="C2898" t="str">
        <f t="shared" ref="C2898:C2906" si="131">"Active"</f>
        <v>Active</v>
      </c>
    </row>
    <row r="2899" spans="1:3" ht="18" customHeight="1">
      <c r="A2899" t="str">
        <f>"111927"</f>
        <v>111927</v>
      </c>
      <c r="B2899" t="str">
        <f>"Gear Worm Wheel for SCORA ER14"</f>
        <v>Gear Worm Wheel for SCORA ER14</v>
      </c>
      <c r="C2899" t="str">
        <f t="shared" si="131"/>
        <v>Active</v>
      </c>
    </row>
    <row r="2900" spans="1:3" ht="18" customHeight="1">
      <c r="A2900" t="str">
        <f>"111928"</f>
        <v>111928</v>
      </c>
      <c r="B2900" t="str">
        <f>"Pulley Timing  80T  P=0.08""  ID=6.35mm"</f>
        <v>Pulley Timing  80T  P=0.08"  ID=6.35mm</v>
      </c>
      <c r="C2900" t="str">
        <f t="shared" si="131"/>
        <v>Active</v>
      </c>
    </row>
    <row r="2901" spans="1:3" ht="18" customHeight="1">
      <c r="A2901" t="str">
        <f>"111929"</f>
        <v>111929</v>
      </c>
      <c r="B2901" t="str">
        <f>"Pulley Timing  21T  P=0.08""  ID=5mm"</f>
        <v>Pulley Timing  21T  P=0.08"  ID=5mm</v>
      </c>
      <c r="C2901" t="str">
        <f t="shared" si="131"/>
        <v>Active</v>
      </c>
    </row>
    <row r="2902" spans="1:3" ht="18" customHeight="1">
      <c r="A2902" t="str">
        <f>"111930"</f>
        <v>111930</v>
      </c>
      <c r="B2902" t="str">
        <f>"Pulley Timing w/o Flanges 18T  P=1/5""  ID=3/8"""</f>
        <v>Pulley Timing w/o Flanges 18T  P=1/5"  ID=3/8"</v>
      </c>
      <c r="C2902" t="str">
        <f t="shared" si="131"/>
        <v>Active</v>
      </c>
    </row>
    <row r="2903" spans="1:3" ht="18" customHeight="1">
      <c r="A2903" t="str">
        <f>"111931"</f>
        <v>111931</v>
      </c>
      <c r="B2903" t="str">
        <f>"Pulley Timing w. Flanges  24T  P=1/5""  ID=8mm"</f>
        <v>Pulley Timing w. Flanges  24T  P=1/5"  ID=8mm</v>
      </c>
      <c r="C2903" t="str">
        <f t="shared" si="131"/>
        <v>Active</v>
      </c>
    </row>
    <row r="2904" spans="1:3" ht="18" customHeight="1">
      <c r="A2904" t="str">
        <f>"111932"</f>
        <v>111932</v>
      </c>
      <c r="B2904" t="str">
        <f>"Pulley Timing w. Flan.  XL1/5Pitch P=1/5"" d 3/8"</f>
        <v>Pulley Timing w. Flan.  XL1/5Pitch P=1/5" d 3/8</v>
      </c>
      <c r="C2904" t="str">
        <f t="shared" si="131"/>
        <v>Active</v>
      </c>
    </row>
    <row r="2905" spans="1:3" ht="18" customHeight="1">
      <c r="A2905" t="str">
        <f>"111934"</f>
        <v>111934</v>
      </c>
      <c r="B2905" t="str">
        <f>"Gear Z=34T  m=0.5"</f>
        <v>Gear Z=34T  m=0.5</v>
      </c>
      <c r="C2905" t="str">
        <f t="shared" si="131"/>
        <v>Active</v>
      </c>
    </row>
    <row r="2906" spans="1:3" ht="18" customHeight="1">
      <c r="A2906" t="str">
        <f>"111935"</f>
        <v>111935</v>
      </c>
      <c r="B2906" t="str">
        <f>"Pulley Timing 21T GRP Type C"</f>
        <v>Pulley Timing 21T GRP Type C</v>
      </c>
      <c r="C2906" t="str">
        <f t="shared" si="131"/>
        <v>Active</v>
      </c>
    </row>
    <row r="2907" spans="1:3" ht="18" customHeight="1">
      <c r="A2907" t="str">
        <f>"111936"</f>
        <v>111936</v>
      </c>
      <c r="B2907" t="str">
        <f>"Pulley Timing 30 Grooves, Pitch 2.03mm/Axis4 ER9"</f>
        <v>Pulley Timing 30 Grooves, Pitch 2.03mm/Axis4 ER9</v>
      </c>
      <c r="C2907" t="str">
        <f>"ECO-N2Buy"</f>
        <v>ECO-N2Buy</v>
      </c>
    </row>
    <row r="2908" spans="1:3" ht="18" customHeight="1">
      <c r="A2908" t="str">
        <f>"111937"</f>
        <v>111937</v>
      </c>
      <c r="B2908" t="str">
        <f>"Gear Rotary Table 72T P.D=24"</f>
        <v>Gear Rotary Table 72T P.D=24</v>
      </c>
      <c r="C2908" t="str">
        <f>"Active"</f>
        <v>Active</v>
      </c>
    </row>
    <row r="2909" spans="1:3" ht="18" customHeight="1">
      <c r="A2909" t="str">
        <f>"111937-10"</f>
        <v>111937-10</v>
      </c>
      <c r="B2909" t="str">
        <f>"Gear Rotary Table 72T P.D=24"</f>
        <v>Gear Rotary Table 72T P.D=24</v>
      </c>
      <c r="C2909" t="str">
        <f>"Not for sale"</f>
        <v>Not for sale</v>
      </c>
    </row>
    <row r="2910" spans="1:3" ht="18" customHeight="1">
      <c r="A2910" t="str">
        <f>"111938"</f>
        <v>111938</v>
      </c>
      <c r="B2910" t="str">
        <f>"Spur Gear 10T, Pitch 24, Gripper ER2u"</f>
        <v>Spur Gear 10T, Pitch 24, Gripper ER2u</v>
      </c>
      <c r="C2910" t="str">
        <f>"Active"</f>
        <v>Active</v>
      </c>
    </row>
    <row r="2911" spans="1:3" ht="18" customHeight="1">
      <c r="A2911" t="str">
        <f>"111939"</f>
        <v>111939</v>
      </c>
      <c r="B2911" t="str">
        <f>"Spur Gear 10T, 24 Pitch,Long for Gripper ER2u"</f>
        <v>Spur Gear 10T, 24 Pitch,Long for Gripper ER2u</v>
      </c>
      <c r="C2911" t="str">
        <f>"Active"</f>
        <v>Active</v>
      </c>
    </row>
    <row r="2912" spans="1:3" ht="18" customHeight="1">
      <c r="A2912" t="str">
        <f>"111940"</f>
        <v>111940</v>
      </c>
      <c r="B2912" t="str">
        <f>"Gear 30T Scorbot ER2u"</f>
        <v>Gear 30T Scorbot ER2u</v>
      </c>
      <c r="C2912" t="str">
        <f>"Active"</f>
        <v>Active</v>
      </c>
    </row>
    <row r="2913" spans="1:3" ht="18" customHeight="1">
      <c r="A2913" t="str">
        <f>"111941"</f>
        <v>111941</v>
      </c>
      <c r="B2913" t="str">
        <f>"Spur Gear 10T, Pitch 24/ Motor Gripper ER2"</f>
        <v>Spur Gear 10T, Pitch 24/ Motor Gripper ER2</v>
      </c>
      <c r="C2913" t="str">
        <f>"ECO-N2Buy"</f>
        <v>ECO-N2Buy</v>
      </c>
    </row>
    <row r="2914" spans="1:3" ht="18" customHeight="1">
      <c r="A2914" t="str">
        <f>"111942"</f>
        <v>111942</v>
      </c>
      <c r="B2914" t="str">
        <f>"Gear 120T Scorbot ER2u"</f>
        <v>Gear 120T Scorbot ER2u</v>
      </c>
      <c r="C2914" t="str">
        <f t="shared" ref="C2914:C2934" si="132">"Active"</f>
        <v>Active</v>
      </c>
    </row>
    <row r="2915" spans="1:3" ht="18" customHeight="1">
      <c r="A2915" t="str">
        <f>"111943"</f>
        <v>111943</v>
      </c>
      <c r="B2915" t="str">
        <f>"Gear  72T- Axis 4  Scorbot ER2u"</f>
        <v>Gear  72T- Axis 4  Scorbot ER2u</v>
      </c>
      <c r="C2915" t="str">
        <f t="shared" si="132"/>
        <v>Active</v>
      </c>
    </row>
    <row r="2916" spans="1:3" ht="18" customHeight="1">
      <c r="A2916" t="str">
        <f>"111946"</f>
        <v>111946</v>
      </c>
      <c r="B2916" t="str">
        <f>"Spur Gear 10T, 24 pitch, PD=0.4167"</f>
        <v>Spur Gear 10T, 24 pitch, PD=0.4167</v>
      </c>
      <c r="C2916" t="str">
        <f t="shared" si="132"/>
        <v>Active</v>
      </c>
    </row>
    <row r="2917" spans="1:3" ht="18" customHeight="1">
      <c r="A2917" t="str">
        <f>"111948"</f>
        <v>111948</v>
      </c>
      <c r="B2917" t="str">
        <f>"Pulley Timing Belt  MXL, pitch 2.03 (0.08)"</f>
        <v>Pulley Timing Belt  MXL, pitch 2.03 (0.08)</v>
      </c>
      <c r="C2917" t="str">
        <f t="shared" si="132"/>
        <v>Active</v>
      </c>
    </row>
    <row r="2918" spans="1:3" ht="18" customHeight="1">
      <c r="A2918" t="str">
        <f>"111961"</f>
        <v>111961</v>
      </c>
      <c r="B2918" t="str">
        <f>"Pulley Timing 14T Machined  LSB BELT"</f>
        <v>Pulley Timing 14T Machined  LSB BELT</v>
      </c>
      <c r="C2918" t="str">
        <f t="shared" si="132"/>
        <v>Active</v>
      </c>
    </row>
    <row r="2919" spans="1:3" ht="18" customHeight="1">
      <c r="A2919" t="str">
        <f>"111962"</f>
        <v>111962</v>
      </c>
      <c r="B2919" t="str">
        <f>"Pulley Timing 56T Machined  HTD 3 mm  LSB BELT"</f>
        <v>Pulley Timing 56T Machined  HTD 3 mm  LSB BELT</v>
      </c>
      <c r="C2919" t="str">
        <f t="shared" si="132"/>
        <v>Active</v>
      </c>
    </row>
    <row r="2920" spans="1:3" ht="18" customHeight="1">
      <c r="A2920" t="str">
        <f>"111963"</f>
        <v>111963</v>
      </c>
      <c r="B2920" t="str">
        <f>"Pulley Timing For Gear 56T  HTD 3 mm  LSB BELT"</f>
        <v>Pulley Timing For Gear 56T  HTD 3 mm  LSB BELT</v>
      </c>
      <c r="C2920" t="str">
        <f t="shared" si="132"/>
        <v>Active</v>
      </c>
    </row>
    <row r="2921" spans="1:3" ht="18" customHeight="1">
      <c r="A2921" t="str">
        <f>"111964"</f>
        <v>111964</v>
      </c>
      <c r="B2921" t="str">
        <f>"Pulley Timing 21 Grooves HDT 3mm, for Motor"</f>
        <v>Pulley Timing 21 Grooves HDT 3mm, for Motor</v>
      </c>
      <c r="C2921" t="str">
        <f t="shared" si="132"/>
        <v>Active</v>
      </c>
    </row>
    <row r="2922" spans="1:3" ht="18" customHeight="1">
      <c r="A2922" t="str">
        <f>"111965"</f>
        <v>111965</v>
      </c>
      <c r="B2922" t="str">
        <f>"Pulley Timing 21 Grooves HTD 3mm, for Gear"</f>
        <v>Pulley Timing 21 Grooves HTD 3mm, for Gear</v>
      </c>
      <c r="C2922" t="str">
        <f t="shared" si="132"/>
        <v>Active</v>
      </c>
    </row>
    <row r="2923" spans="1:3" ht="18" customHeight="1">
      <c r="A2923" t="str">
        <f>"111967"</f>
        <v>111967</v>
      </c>
      <c r="B2923" t="str">
        <f>"Gear  72T- Axis 3  Scorbot ER2"</f>
        <v>Gear  72T- Axis 3  Scorbot ER2</v>
      </c>
      <c r="C2923" t="str">
        <f t="shared" si="132"/>
        <v>Active</v>
      </c>
    </row>
    <row r="2924" spans="1:3" ht="18" customHeight="1">
      <c r="A2924" t="str">
        <f>"111968"</f>
        <v>111968</v>
      </c>
      <c r="B2924" t="str">
        <f>"Gear  96T   Scorbot ER2"</f>
        <v>Gear  96T   Scorbot ER2</v>
      </c>
      <c r="C2924" t="str">
        <f t="shared" si="132"/>
        <v>Active</v>
      </c>
    </row>
    <row r="2925" spans="1:3" ht="18" customHeight="1">
      <c r="A2925" t="str">
        <f>"111970"</f>
        <v>111970</v>
      </c>
      <c r="B2925" t="str">
        <f>"Housing Lower  For y Axis 80 grooves, pitch 2.04"</f>
        <v>Housing Lower  For y Axis 80 grooves, pitch 2.04</v>
      </c>
      <c r="C2925" t="str">
        <f t="shared" si="132"/>
        <v>Active</v>
      </c>
    </row>
    <row r="2926" spans="1:3" ht="18" customHeight="1">
      <c r="A2926" t="str">
        <f>"111971"</f>
        <v>111971</v>
      </c>
      <c r="B2926" t="str">
        <f>"Pulley Timing 21T  pitch 2.03,  ASRS 36"</f>
        <v>Pulley Timing 21T  pitch 2.03,  ASRS 36</v>
      </c>
      <c r="C2926" t="str">
        <f t="shared" si="132"/>
        <v>Active</v>
      </c>
    </row>
    <row r="2927" spans="1:3" ht="18" customHeight="1">
      <c r="A2927" t="str">
        <f>"111972"</f>
        <v>111972</v>
      </c>
      <c r="B2927" t="str">
        <f>"Pulley Timing  17T, Pitch=3/8"""</f>
        <v>Pulley Timing  17T, Pitch=3/8"</v>
      </c>
      <c r="C2927" t="str">
        <f t="shared" si="132"/>
        <v>Active</v>
      </c>
    </row>
    <row r="2928" spans="1:3" ht="18" customHeight="1">
      <c r="A2928" t="str">
        <f>"111973"</f>
        <v>111973</v>
      </c>
      <c r="B2928" t="str">
        <f>"Pulley Timing 23T, Pitch=5.08mm"</f>
        <v>Pulley Timing 23T, Pitch=5.08mm</v>
      </c>
      <c r="C2928" t="str">
        <f t="shared" si="132"/>
        <v>Active</v>
      </c>
    </row>
    <row r="2929" spans="1:3" ht="18" customHeight="1">
      <c r="A2929" t="str">
        <f>"111974"</f>
        <v>111974</v>
      </c>
      <c r="B2929" t="str">
        <f>"Pulley Timing Belt 55T ASRS 36"</f>
        <v>Pulley Timing Belt 55T ASRS 36</v>
      </c>
      <c r="C2929" t="str">
        <f t="shared" si="132"/>
        <v>Active</v>
      </c>
    </row>
    <row r="2930" spans="1:3" ht="18" customHeight="1">
      <c r="A2930" t="str">
        <f>"111975"</f>
        <v>111975</v>
      </c>
      <c r="B2930" t="str">
        <f>"Pulley Timing 55T Pitch 2.03,  ASRS 36"</f>
        <v>Pulley Timing 55T Pitch 2.03,  ASRS 36</v>
      </c>
      <c r="C2930" t="str">
        <f t="shared" si="132"/>
        <v>Active</v>
      </c>
    </row>
    <row r="2931" spans="1:3" ht="18" customHeight="1">
      <c r="A2931" t="str">
        <f>"111976"</f>
        <v>111976</v>
      </c>
      <c r="B2931" t="str">
        <f>"Pulley Timing 21T Pitch 2.03, ASRS36"</f>
        <v>Pulley Timing 21T Pitch 2.03, ASRS36</v>
      </c>
      <c r="C2931" t="str">
        <f t="shared" si="132"/>
        <v>Active</v>
      </c>
    </row>
    <row r="2932" spans="1:3" ht="18" customHeight="1">
      <c r="A2932" t="str">
        <f>"111977"</f>
        <v>111977</v>
      </c>
      <c r="B2932" t="str">
        <f>"Pulley Timing for Motor 21T Pitch 2.03,  ASRS36"</f>
        <v>Pulley Timing for Motor 21T Pitch 2.03,  ASRS36</v>
      </c>
      <c r="C2932" t="str">
        <f t="shared" si="132"/>
        <v>Active</v>
      </c>
    </row>
    <row r="2933" spans="1:3" ht="18" customHeight="1">
      <c r="A2933" t="str">
        <f>"111978"</f>
        <v>111978</v>
      </c>
      <c r="B2933" t="str">
        <f>"Pulley Timing 16T ,pitch T5, ASRS-36"</f>
        <v>Pulley Timing 16T ,pitch T5, ASRS-36</v>
      </c>
      <c r="C2933" t="str">
        <f t="shared" si="132"/>
        <v>Active</v>
      </c>
    </row>
    <row r="2934" spans="1:3" ht="18" customHeight="1">
      <c r="A2934" t="str">
        <f>"111979"</f>
        <v>111979</v>
      </c>
      <c r="B2934" t="str">
        <f>"Pulley Timing For Motor 21T ASRS 36"</f>
        <v>Pulley Timing For Motor 21T ASRS 36</v>
      </c>
      <c r="C2934" t="str">
        <f t="shared" si="132"/>
        <v>Active</v>
      </c>
    </row>
    <row r="2935" spans="1:3" ht="18" customHeight="1">
      <c r="A2935" t="str">
        <f>"111981"</f>
        <v>111981</v>
      </c>
      <c r="B2935" t="str">
        <f>"Sprocket 26T 1/2 08B1, id=35mm mashining"</f>
        <v>Sprocket 26T 1/2 08B1, id=35mm mashining</v>
      </c>
      <c r="C2935" t="str">
        <f>"Phase Out"</f>
        <v>Phase Out</v>
      </c>
    </row>
    <row r="2936" spans="1:3" ht="18" customHeight="1">
      <c r="A2936" t="str">
        <f>"111982"</f>
        <v>111982</v>
      </c>
      <c r="B2936" t="str">
        <f>"Sprocket 26T machining"</f>
        <v>Sprocket 26T machining</v>
      </c>
      <c r="C2936" t="str">
        <f t="shared" ref="C2936:C2967" si="133">"Active"</f>
        <v>Active</v>
      </c>
    </row>
    <row r="2937" spans="1:3" ht="18" customHeight="1">
      <c r="A2937" t="str">
        <f>"112105"</f>
        <v>112105</v>
      </c>
      <c r="B2937" t="str">
        <f>"Housing Harmonic Drive, SCORBOT ER7"</f>
        <v>Housing Harmonic Drive, SCORBOT ER7</v>
      </c>
      <c r="C2937" t="str">
        <f t="shared" si="133"/>
        <v>Active</v>
      </c>
    </row>
    <row r="2938" spans="1:3" ht="18" customHeight="1">
      <c r="A2938" t="str">
        <f>"112107"</f>
        <v>112107</v>
      </c>
      <c r="B2938" t="str">
        <f>"Middle Ring - Harmonic Drive Assy. SCORBOT ER7"</f>
        <v>Middle Ring - Harmonic Drive Assy. SCORBOT ER7</v>
      </c>
      <c r="C2938" t="str">
        <f t="shared" si="133"/>
        <v>Active</v>
      </c>
    </row>
    <row r="2939" spans="1:3" ht="18" customHeight="1">
      <c r="A2939" t="str">
        <f>"112108"</f>
        <v>112108</v>
      </c>
      <c r="B2939" t="str">
        <f>"Pulley Drive Conveyor"</f>
        <v>Pulley Drive Conveyor</v>
      </c>
      <c r="C2939" t="str">
        <f t="shared" si="133"/>
        <v>Active</v>
      </c>
    </row>
    <row r="2940" spans="1:3" ht="18" customHeight="1">
      <c r="A2940" t="str">
        <f>"112110"</f>
        <v>112110</v>
      </c>
      <c r="B2940" t="str">
        <f>"Bushing - Large Conveyor"</f>
        <v>Bushing - Large Conveyor</v>
      </c>
      <c r="C2940" t="str">
        <f t="shared" si="133"/>
        <v>Active</v>
      </c>
    </row>
    <row r="2941" spans="1:3" ht="18" customHeight="1">
      <c r="A2941" t="str">
        <f>"112113"</f>
        <v>112113</v>
      </c>
      <c r="B2941" t="str">
        <f>"Support Jaw SCORBOT ER4u"</f>
        <v>Support Jaw SCORBOT ER4u</v>
      </c>
      <c r="C2941" t="str">
        <f t="shared" si="133"/>
        <v>Active</v>
      </c>
    </row>
    <row r="2942" spans="1:3" ht="18" customHeight="1">
      <c r="A2942" t="str">
        <f>"112114"</f>
        <v>112114</v>
      </c>
      <c r="B2942" t="str">
        <f>"Flange Fastening SCORBOT ER4u"</f>
        <v>Flange Fastening SCORBOT ER4u</v>
      </c>
      <c r="C2942" t="str">
        <f t="shared" si="133"/>
        <v>Active</v>
      </c>
    </row>
    <row r="2943" spans="1:3" ht="18" customHeight="1">
      <c r="A2943" t="str">
        <f>"112115"</f>
        <v>112115</v>
      </c>
      <c r="B2943" t="str">
        <f>"Housing Bearing SCORBOT ER4u"</f>
        <v>Housing Bearing SCORBOT ER4u</v>
      </c>
      <c r="C2943" t="str">
        <f t="shared" si="133"/>
        <v>Active</v>
      </c>
    </row>
    <row r="2944" spans="1:3" ht="18" customHeight="1">
      <c r="A2944" t="str">
        <f>"112116"</f>
        <v>112116</v>
      </c>
      <c r="B2944" t="str">
        <f>"Cover Housing Bearing SCORBOT ER4u"</f>
        <v>Cover Housing Bearing SCORBOT ER4u</v>
      </c>
      <c r="C2944" t="str">
        <f t="shared" si="133"/>
        <v>Active</v>
      </c>
    </row>
    <row r="2945" spans="1:3" ht="18" customHeight="1">
      <c r="A2945" t="str">
        <f>"112117"</f>
        <v>112117</v>
      </c>
      <c r="B2945" t="str">
        <f>"Bridge Gripper SCORBOT ER4"</f>
        <v>Bridge Gripper SCORBOT ER4</v>
      </c>
      <c r="C2945" t="str">
        <f t="shared" si="133"/>
        <v>Active</v>
      </c>
    </row>
    <row r="2946" spans="1:3" ht="18" customHeight="1">
      <c r="A2946" t="str">
        <f>"112118"</f>
        <v>112118</v>
      </c>
      <c r="B2946" t="str">
        <f>"Arm Gripper 1 - Angular SCORBOT ER4u"</f>
        <v>Arm Gripper 1 - Angular SCORBOT ER4u</v>
      </c>
      <c r="C2946" t="str">
        <f t="shared" si="133"/>
        <v>Active</v>
      </c>
    </row>
    <row r="2947" spans="1:3" ht="18" customHeight="1">
      <c r="A2947" t="str">
        <f>"112119"</f>
        <v>112119</v>
      </c>
      <c r="B2947" t="str">
        <f>"Arm GrippER2u - Long SCORBOT ER4u"</f>
        <v>Arm GrippER2u - Long SCORBOT ER4u</v>
      </c>
      <c r="C2947" t="str">
        <f t="shared" si="133"/>
        <v>Active</v>
      </c>
    </row>
    <row r="2948" spans="1:3" ht="18" customHeight="1">
      <c r="A2948" t="str">
        <f>"112120"</f>
        <v>112120</v>
      </c>
      <c r="B2948" t="str">
        <f>"Arm Gripper 3 - Short SCORBOT ER4u"</f>
        <v>Arm Gripper 3 - Short SCORBOT ER4u</v>
      </c>
      <c r="C2948" t="str">
        <f t="shared" si="133"/>
        <v>Active</v>
      </c>
    </row>
    <row r="2949" spans="1:3" ht="18" customHeight="1">
      <c r="A2949" t="str">
        <f>"112121"</f>
        <v>112121</v>
      </c>
      <c r="B2949" t="str">
        <f>"Support Motor GM921, Axis 3 ER4u"</f>
        <v>Support Motor GM921, Axis 3 ER4u</v>
      </c>
      <c r="C2949" t="str">
        <f t="shared" si="133"/>
        <v>Active</v>
      </c>
    </row>
    <row r="2950" spans="1:3" ht="18" customHeight="1">
      <c r="A2950" t="str">
        <f>"112122"</f>
        <v>112122</v>
      </c>
      <c r="B2950" t="str">
        <f>"Support Motor GM921, Axis 2 ER4u"</f>
        <v>Support Motor GM921, Axis 2 ER4u</v>
      </c>
      <c r="C2950" t="str">
        <f t="shared" si="133"/>
        <v>Active</v>
      </c>
    </row>
    <row r="2951" spans="1:3" ht="18" customHeight="1">
      <c r="A2951" t="str">
        <f>"112126"</f>
        <v>112126</v>
      </c>
      <c r="B2951" t="str">
        <f>"Mount Roll Microswitch, SCORBOT ER7"</f>
        <v>Mount Roll Microswitch, SCORBOT ER7</v>
      </c>
      <c r="C2951" t="str">
        <f t="shared" si="133"/>
        <v>Active</v>
      </c>
    </row>
    <row r="2952" spans="1:3" ht="18" customHeight="1">
      <c r="A2952" t="str">
        <f>"112127"</f>
        <v>112127</v>
      </c>
      <c r="B2952" t="str">
        <f>"Mount Holder Roll Microswitch, SCORBOT ER7"</f>
        <v>Mount Holder Roll Microswitch, SCORBOT ER7</v>
      </c>
      <c r="C2952" t="str">
        <f t="shared" si="133"/>
        <v>Active</v>
      </c>
    </row>
    <row r="2953" spans="1:3" ht="18" customHeight="1">
      <c r="A2953" t="str">
        <f>"112131"</f>
        <v>112131</v>
      </c>
      <c r="B2953" t="str">
        <f>"Spacer Wrist H.D-Ext. Ring Big, SCORBOT ER9/14"</f>
        <v>Spacer Wrist H.D-Ext. Ring Big, SCORBOT ER9/14</v>
      </c>
      <c r="C2953" t="str">
        <f t="shared" si="133"/>
        <v>Active</v>
      </c>
    </row>
    <row r="2954" spans="1:3" ht="18" customHeight="1">
      <c r="A2954" t="str">
        <f>"112132"</f>
        <v>112132</v>
      </c>
      <c r="B2954" t="str">
        <f>"Spacer Wrist H.D-Int Ring Small, SCORBOTER9+ER14"</f>
        <v>Spacer Wrist H.D-Int Ring Small, SCORBOTER9+ER14</v>
      </c>
      <c r="C2954" t="str">
        <f t="shared" si="133"/>
        <v>Active</v>
      </c>
    </row>
    <row r="2955" spans="1:3" ht="18" customHeight="1">
      <c r="A2955" t="str">
        <f>"112139"</f>
        <v>112139</v>
      </c>
      <c r="B2955" t="str">
        <f>"Adaptor Pneumatic Valve"</f>
        <v>Adaptor Pneumatic Valve</v>
      </c>
      <c r="C2955" t="str">
        <f t="shared" si="133"/>
        <v>Active</v>
      </c>
    </row>
    <row r="2956" spans="1:3" ht="18" customHeight="1">
      <c r="A2956" t="str">
        <f>"112141"</f>
        <v>112141</v>
      </c>
      <c r="B2956" t="str">
        <f>"Home Scorbot ER3/5/5plus"</f>
        <v>Home Scorbot ER3/5/5plus</v>
      </c>
      <c r="C2956" t="str">
        <f t="shared" si="133"/>
        <v>Active</v>
      </c>
    </row>
    <row r="2957" spans="1:3" ht="18" customHeight="1">
      <c r="A2957" t="str">
        <f>"112142"</f>
        <v>112142</v>
      </c>
      <c r="B2957" t="str">
        <f>"Guide Station Piston"</f>
        <v>Guide Station Piston</v>
      </c>
      <c r="C2957" t="str">
        <f t="shared" si="133"/>
        <v>Active</v>
      </c>
    </row>
    <row r="2958" spans="1:3" ht="18" customHeight="1">
      <c r="A2958" t="str">
        <f>"112143"</f>
        <v>112143</v>
      </c>
      <c r="B2958" t="str">
        <f>"Shaft Main- Station Piston Sleeve"</f>
        <v>Shaft Main- Station Piston Sleeve</v>
      </c>
      <c r="C2958" t="str">
        <f t="shared" si="133"/>
        <v>Active</v>
      </c>
    </row>
    <row r="2959" spans="1:3" ht="18" customHeight="1">
      <c r="A2959" t="str">
        <f>"112144"</f>
        <v>112144</v>
      </c>
      <c r="B2959" t="str">
        <f>"Support for Guide Station Piston"</f>
        <v>Support for Guide Station Piston</v>
      </c>
      <c r="C2959" t="str">
        <f t="shared" si="133"/>
        <v>Active</v>
      </c>
    </row>
    <row r="2960" spans="1:3" ht="18" customHeight="1">
      <c r="A2960" t="str">
        <f>"112145"</f>
        <v>112145</v>
      </c>
      <c r="B2960" t="str">
        <f>"Guide for Shaft Main- Station Piston Sleeve"</f>
        <v>Guide for Shaft Main- Station Piston Sleeve</v>
      </c>
      <c r="C2960" t="str">
        <f t="shared" si="133"/>
        <v>Active</v>
      </c>
    </row>
    <row r="2961" spans="1:3" ht="18" customHeight="1">
      <c r="A2961" t="str">
        <f>"112146"</f>
        <v>112146</v>
      </c>
      <c r="B2961" t="str">
        <f>"Gripper for Piston"</f>
        <v>Gripper for Piston</v>
      </c>
      <c r="C2961" t="str">
        <f t="shared" si="133"/>
        <v>Active</v>
      </c>
    </row>
    <row r="2962" spans="1:3" ht="18" customHeight="1">
      <c r="A2962" t="str">
        <f>"112147"</f>
        <v>112147</v>
      </c>
      <c r="B2962" t="str">
        <f>"House H.D. for 1,2,3 Arms Scorbot ER9"</f>
        <v>House H.D. for 1,2,3 Arms Scorbot ER9</v>
      </c>
      <c r="C2962" t="str">
        <f t="shared" si="133"/>
        <v>Active</v>
      </c>
    </row>
    <row r="2963" spans="1:3" ht="18" customHeight="1">
      <c r="A2963" t="str">
        <f>"112148"</f>
        <v>112148</v>
      </c>
      <c r="B2963" t="str">
        <f>"Support H.D. for 1,2,3 Arms Scorbot ER9"</f>
        <v>Support H.D. for 1,2,3 Arms Scorbot ER9</v>
      </c>
      <c r="C2963" t="str">
        <f t="shared" si="133"/>
        <v>Active</v>
      </c>
    </row>
    <row r="2964" spans="1:3" ht="18" customHeight="1">
      <c r="A2964" t="str">
        <f>"112149"</f>
        <v>112149</v>
      </c>
      <c r="B2964" t="str">
        <f>"House Bearing H.D. for 1,2,3 Arms Scorbot ER9"</f>
        <v>House Bearing H.D. for 1,2,3 Arms Scorbot ER9</v>
      </c>
      <c r="C2964" t="str">
        <f t="shared" si="133"/>
        <v>Active</v>
      </c>
    </row>
    <row r="2965" spans="1:3" ht="18" customHeight="1">
      <c r="A2965" t="str">
        <f>"112150"</f>
        <v>112150</v>
      </c>
      <c r="B2965" t="str">
        <f>"Shaft Exit H.D. for 1,2,3 Arms Scorbot ER9"</f>
        <v>Shaft Exit H.D. for 1,2,3 Arms Scorbot ER9</v>
      </c>
      <c r="C2965" t="str">
        <f t="shared" si="133"/>
        <v>Active</v>
      </c>
    </row>
    <row r="2966" spans="1:3" ht="18" customHeight="1">
      <c r="A2966" t="str">
        <f>"112151"</f>
        <v>112151</v>
      </c>
      <c r="B2966" t="str">
        <f>"House H.D. for PITCH  Scorbot ER9,"</f>
        <v>House H.D. for PITCH  Scorbot ER9,</v>
      </c>
      <c r="C2966" t="str">
        <f t="shared" si="133"/>
        <v>Active</v>
      </c>
    </row>
    <row r="2967" spans="1:3" ht="18" customHeight="1">
      <c r="A2967" t="str">
        <f>"112152"</f>
        <v>112152</v>
      </c>
      <c r="B2967" t="str">
        <f>"Shaft Exit H.D. for PITCH  Scorbot ER9, Tamar"</f>
        <v>Shaft Exit H.D. for PITCH  Scorbot ER9, Tamar</v>
      </c>
      <c r="C2967" t="str">
        <f t="shared" si="133"/>
        <v>Active</v>
      </c>
    </row>
    <row r="2968" spans="1:3" ht="18" customHeight="1">
      <c r="A2968" t="str">
        <f>"112154"</f>
        <v>112154</v>
      </c>
      <c r="B2968" t="str">
        <f>"Shaft Exit H.D. for ROLL  Scorbot ER9"</f>
        <v>Shaft Exit H.D. for ROLL  Scorbot ER9</v>
      </c>
      <c r="C2968" t="str">
        <f>"Not for sale"</f>
        <v>Not for sale</v>
      </c>
    </row>
    <row r="2969" spans="1:3" ht="18" customHeight="1">
      <c r="A2969" t="str">
        <f>"112157"</f>
        <v>112157</v>
      </c>
      <c r="B2969" t="str">
        <f>"House H.D. for ROLL  Scorbot ER9"</f>
        <v>House H.D. for ROLL  Scorbot ER9</v>
      </c>
      <c r="C2969" t="str">
        <f t="shared" ref="C2969:C3008" si="134">"Active"</f>
        <v>Active</v>
      </c>
    </row>
    <row r="2970" spans="1:3" ht="18" customHeight="1">
      <c r="A2970" t="str">
        <f>"112158"</f>
        <v>112158</v>
      </c>
      <c r="B2970" t="str">
        <f>"House for Motor ROLL,  Scorbot ER9"</f>
        <v>House for Motor ROLL,  Scorbot ER9</v>
      </c>
      <c r="C2970" t="str">
        <f t="shared" si="134"/>
        <v>Active</v>
      </c>
    </row>
    <row r="2971" spans="1:3" ht="18" customHeight="1">
      <c r="A2971" t="str">
        <f>"112160"</f>
        <v>112160</v>
      </c>
      <c r="B2971" t="str">
        <f>"Limiter Upper Range, SCORA ER14"</f>
        <v>Limiter Upper Range, SCORA ER14</v>
      </c>
      <c r="C2971" t="str">
        <f t="shared" si="134"/>
        <v>Active</v>
      </c>
    </row>
    <row r="2972" spans="1:3" ht="18" customHeight="1">
      <c r="A2972" t="str">
        <f>"112161"</f>
        <v>112161</v>
      </c>
      <c r="B2972" t="str">
        <f>"Ring Tightening- Axis 4, SCORA ER14"</f>
        <v>Ring Tightening- Axis 4, SCORA ER14</v>
      </c>
      <c r="C2972" t="str">
        <f t="shared" si="134"/>
        <v>Active</v>
      </c>
    </row>
    <row r="2973" spans="1:3" ht="18" customHeight="1">
      <c r="A2973" t="str">
        <f>"112162"</f>
        <v>112162</v>
      </c>
      <c r="B2973" t="str">
        <f>"Base Garmoshca- Axis 3, SCORA ER14"</f>
        <v>Base Garmoshca- Axis 3, SCORA ER14</v>
      </c>
      <c r="C2973" t="str">
        <f t="shared" si="134"/>
        <v>Active</v>
      </c>
    </row>
    <row r="2974" spans="1:3" ht="18" customHeight="1">
      <c r="A2974" t="str">
        <f>"112163"</f>
        <v>112163</v>
      </c>
      <c r="B2974" t="str">
        <f>"Support SPLINE, SCORA ER14"</f>
        <v>Support SPLINE, SCORA ER14</v>
      </c>
      <c r="C2974" t="str">
        <f t="shared" si="134"/>
        <v>Active</v>
      </c>
    </row>
    <row r="2975" spans="1:3" ht="18" customHeight="1">
      <c r="A2975" t="str">
        <f>"112164"</f>
        <v>112164</v>
      </c>
      <c r="B2975" t="str">
        <f>"Spacer Axis 4 (low), SCORA ER14"</f>
        <v>Spacer Axis 4 (low), SCORA ER14</v>
      </c>
      <c r="C2975" t="str">
        <f t="shared" si="134"/>
        <v>Active</v>
      </c>
    </row>
    <row r="2976" spans="1:3" ht="18" customHeight="1">
      <c r="A2976" t="str">
        <f>"112165"</f>
        <v>112165</v>
      </c>
      <c r="B2976" t="str">
        <f>"Spacer Axis 3 (high), SCORA ER14"</f>
        <v>Spacer Axis 3 (high), SCORA ER14</v>
      </c>
      <c r="C2976" t="str">
        <f t="shared" si="134"/>
        <v>Active</v>
      </c>
    </row>
    <row r="2977" spans="1:3" ht="18" customHeight="1">
      <c r="A2977" t="str">
        <f>"112166"</f>
        <v>112166</v>
      </c>
      <c r="B2977" t="str">
        <f>"House Assembly Axis 3,4, SCORA ER14"</f>
        <v>House Assembly Axis 3,4, SCORA ER14</v>
      </c>
      <c r="C2977" t="str">
        <f t="shared" si="134"/>
        <v>Active</v>
      </c>
    </row>
    <row r="2978" spans="1:3" ht="18" customHeight="1">
      <c r="A2978" t="str">
        <f>"112167"</f>
        <v>112167</v>
      </c>
      <c r="B2978" t="str">
        <f>"House Bearing  Axis 3,4, SCORA ER14"</f>
        <v>House Bearing  Axis 3,4, SCORA ER14</v>
      </c>
      <c r="C2978" t="str">
        <f t="shared" si="134"/>
        <v>Active</v>
      </c>
    </row>
    <row r="2979" spans="1:3" ht="18" customHeight="1">
      <c r="A2979" t="str">
        <f>"112168"</f>
        <v>112168</v>
      </c>
      <c r="B2979" t="str">
        <f>"Cover Bearing lower, Axis 3, SCORA ER14"</f>
        <v>Cover Bearing lower, Axis 3, SCORA ER14</v>
      </c>
      <c r="C2979" t="str">
        <f t="shared" si="134"/>
        <v>Active</v>
      </c>
    </row>
    <row r="2980" spans="1:3" ht="18" customHeight="1">
      <c r="A2980" t="str">
        <f>"112169"</f>
        <v>112169</v>
      </c>
      <c r="B2980" t="str">
        <f>"Cover Bearing Upper, Axis 3, SCORA ER14"</f>
        <v>Cover Bearing Upper, Axis 3, SCORA ER14</v>
      </c>
      <c r="C2980" t="str">
        <f t="shared" si="134"/>
        <v>Active</v>
      </c>
    </row>
    <row r="2981" spans="1:3" ht="18" customHeight="1">
      <c r="A2981" t="str">
        <f>"112170"</f>
        <v>112170</v>
      </c>
      <c r="B2981" t="str">
        <f>"Gripper Mount for Axis 4, SCORA ER14"</f>
        <v>Gripper Mount for Axis 4, SCORA ER14</v>
      </c>
      <c r="C2981" t="str">
        <f t="shared" si="134"/>
        <v>Active</v>
      </c>
    </row>
    <row r="2982" spans="1:3" ht="18" customHeight="1">
      <c r="A2982" t="str">
        <f>"112171"</f>
        <v>112171</v>
      </c>
      <c r="B2982" t="str">
        <f>"Cover Bearing axis 4, SCORA ER14"</f>
        <v>Cover Bearing axis 4, SCORA ER14</v>
      </c>
      <c r="C2982" t="str">
        <f t="shared" si="134"/>
        <v>Active</v>
      </c>
    </row>
    <row r="2983" spans="1:3" ht="18" customHeight="1">
      <c r="A2983" t="str">
        <f>"112172"</f>
        <v>112172</v>
      </c>
      <c r="B2983" t="str">
        <f>"Cover Bearing axis 4, SCORA ER14"</f>
        <v>Cover Bearing axis 4, SCORA ER14</v>
      </c>
      <c r="C2983" t="str">
        <f t="shared" si="134"/>
        <v>Active</v>
      </c>
    </row>
    <row r="2984" spans="1:3" ht="18" customHeight="1">
      <c r="A2984" t="str">
        <f>"112173"</f>
        <v>112173</v>
      </c>
      <c r="B2984" t="str">
        <f>"Support  Motor Axis 4, SCORA ER14"</f>
        <v>Support  Motor Axis 4, SCORA ER14</v>
      </c>
      <c r="C2984" t="str">
        <f t="shared" si="134"/>
        <v>Active</v>
      </c>
    </row>
    <row r="2985" spans="1:3" ht="18" customHeight="1">
      <c r="A2985" t="str">
        <f>"112174"</f>
        <v>112174</v>
      </c>
      <c r="B2985" t="str">
        <f>"Support  Motor Axis 1,2, SCORA ER14"</f>
        <v>Support  Motor Axis 1,2, SCORA ER14</v>
      </c>
      <c r="C2985" t="str">
        <f t="shared" si="134"/>
        <v>Active</v>
      </c>
    </row>
    <row r="2986" spans="1:3" ht="18" customHeight="1">
      <c r="A2986" t="str">
        <f>"112175"</f>
        <v>112175</v>
      </c>
      <c r="B2986" t="str">
        <f>"Adapter  Motor Axis 1,2, SCORA ER14"</f>
        <v>Adapter  Motor Axis 1,2, SCORA ER14</v>
      </c>
      <c r="C2986" t="str">
        <f t="shared" si="134"/>
        <v>Active</v>
      </c>
    </row>
    <row r="2987" spans="1:3" ht="18" customHeight="1">
      <c r="A2987" t="str">
        <f>"112176"</f>
        <v>112176</v>
      </c>
      <c r="B2987" t="str">
        <f>"Shaft Exit Axis 1, SCORA ER14"</f>
        <v>Shaft Exit Axis 1, SCORA ER14</v>
      </c>
      <c r="C2987" t="str">
        <f t="shared" si="134"/>
        <v>Active</v>
      </c>
    </row>
    <row r="2988" spans="1:3" ht="18" customHeight="1">
      <c r="A2988" t="str">
        <f>"112177"</f>
        <v>112177</v>
      </c>
      <c r="B2988" t="str">
        <f>"Shaft Exit Axis 2, SCORA ER14"</f>
        <v>Shaft Exit Axis 2, SCORA ER14</v>
      </c>
      <c r="C2988" t="str">
        <f t="shared" si="134"/>
        <v>Active</v>
      </c>
    </row>
    <row r="2989" spans="1:3" ht="18" customHeight="1">
      <c r="A2989" t="str">
        <f>"112178"</f>
        <v>112178</v>
      </c>
      <c r="B2989" t="str">
        <f>"Flange For Pittman Motor"</f>
        <v>Flange For Pittman Motor</v>
      </c>
      <c r="C2989" t="str">
        <f t="shared" si="134"/>
        <v>Active</v>
      </c>
    </row>
    <row r="2990" spans="1:3" ht="18" customHeight="1">
      <c r="A2990" t="str">
        <f>"112179"</f>
        <v>112179</v>
      </c>
      <c r="B2990" t="str">
        <f>"Spacer for Microswitches for Axis 3, Scorbot ER9"</f>
        <v>Spacer for Microswitches for Axis 3, Scorbot ER9</v>
      </c>
      <c r="C2990" t="str">
        <f t="shared" si="134"/>
        <v>Active</v>
      </c>
    </row>
    <row r="2991" spans="1:3" ht="18" customHeight="1">
      <c r="A2991" t="str">
        <f>"112180"</f>
        <v>112180</v>
      </c>
      <c r="B2991" t="str">
        <f>"Spacer for Microswitches for Axis 1, Scorbot ER9"</f>
        <v>Spacer for Microswitches for Axis 1, Scorbot ER9</v>
      </c>
      <c r="C2991" t="str">
        <f t="shared" si="134"/>
        <v>Active</v>
      </c>
    </row>
    <row r="2992" spans="1:3" ht="18" customHeight="1">
      <c r="A2992" t="str">
        <f>"112181"</f>
        <v>112181</v>
      </c>
      <c r="B2992" t="str">
        <f>"Ring Tightening- Arm, SCORA ER9"</f>
        <v>Ring Tightening- Arm, SCORA ER9</v>
      </c>
      <c r="C2992" t="str">
        <f t="shared" si="134"/>
        <v>Active</v>
      </c>
    </row>
    <row r="2993" spans="1:3" ht="18" customHeight="1">
      <c r="A2993" t="str">
        <f>"112182"</f>
        <v>112182</v>
      </c>
      <c r="B2993" t="str">
        <f>"Ring Tightening Gear- Axis 1, SCORA ER9"</f>
        <v>Ring Tightening Gear- Axis 1, SCORA ER9</v>
      </c>
      <c r="C2993" t="str">
        <f t="shared" si="134"/>
        <v>Active</v>
      </c>
    </row>
    <row r="2994" spans="1:3" ht="18" customHeight="1">
      <c r="A2994" t="str">
        <f>"112183"</f>
        <v>112183</v>
      </c>
      <c r="B2994" t="str">
        <f>"Spacer for Microswitches for Axis 2, Scorbot ER9"</f>
        <v>Spacer for Microswitches for Axis 2, Scorbot ER9</v>
      </c>
      <c r="C2994" t="str">
        <f t="shared" si="134"/>
        <v>Active</v>
      </c>
    </row>
    <row r="2995" spans="1:3" ht="18" customHeight="1">
      <c r="A2995" t="str">
        <f>"112184"</f>
        <v>112184</v>
      </c>
      <c r="B2995" t="str">
        <f>"Body U Gripper  Type C"</f>
        <v>Body U Gripper  Type C</v>
      </c>
      <c r="C2995" t="str">
        <f t="shared" si="134"/>
        <v>Active</v>
      </c>
    </row>
    <row r="2996" spans="1:3" ht="18" customHeight="1">
      <c r="A2996" t="str">
        <f>"112185"</f>
        <v>112185</v>
      </c>
      <c r="B2996" t="str">
        <f>"Wall Side Gripper  Type C"</f>
        <v>Wall Side Gripper  Type C</v>
      </c>
      <c r="C2996" t="str">
        <f t="shared" si="134"/>
        <v>Active</v>
      </c>
    </row>
    <row r="2997" spans="1:3" ht="18" customHeight="1">
      <c r="A2997" t="str">
        <f>"112186"</f>
        <v>112186</v>
      </c>
      <c r="B2997" t="str">
        <f>"Adapter for HDUF SCORA ER14"</f>
        <v>Adapter for HDUF SCORA ER14</v>
      </c>
      <c r="C2997" t="str">
        <f t="shared" si="134"/>
        <v>Active</v>
      </c>
    </row>
    <row r="2998" spans="1:3" ht="18" customHeight="1">
      <c r="A2998" t="str">
        <f>"112187"</f>
        <v>112187</v>
      </c>
      <c r="B2998" t="str">
        <f>"Adapter for Rotary Table"</f>
        <v>Adapter for Rotary Table</v>
      </c>
      <c r="C2998" t="str">
        <f t="shared" si="134"/>
        <v>Active</v>
      </c>
    </row>
    <row r="2999" spans="1:3" ht="18" customHeight="1">
      <c r="A2999" t="str">
        <f>"112190"</f>
        <v>112190</v>
      </c>
      <c r="B2999" t="str">
        <f>"Base for Motor Gripper Scoriae ER2u"</f>
        <v>Base for Motor Gripper Scoriae ER2u</v>
      </c>
      <c r="C2999" t="str">
        <f t="shared" si="134"/>
        <v>Active</v>
      </c>
    </row>
    <row r="3000" spans="1:3" ht="18" customHeight="1">
      <c r="A3000" t="str">
        <f>"112191"</f>
        <v>112191</v>
      </c>
      <c r="B3000" t="str">
        <f>"Base for Gripper Bearing ER2u"</f>
        <v>Base for Gripper Bearing ER2u</v>
      </c>
      <c r="C3000" t="str">
        <f t="shared" si="134"/>
        <v>Active</v>
      </c>
    </row>
    <row r="3001" spans="1:3" ht="18" customHeight="1">
      <c r="A3001" t="str">
        <f>"112192"</f>
        <v>112192</v>
      </c>
      <c r="B3001" t="str">
        <f>"Cover Motor  Scoriae ER2u"</f>
        <v>Cover Motor  Scoriae ER2u</v>
      </c>
      <c r="C3001" t="str">
        <f t="shared" si="134"/>
        <v>Active</v>
      </c>
    </row>
    <row r="3002" spans="1:3" ht="18" customHeight="1">
      <c r="A3002" t="str">
        <f>"112193"</f>
        <v>112193</v>
      </c>
      <c r="B3002" t="str">
        <f>"Disc Bearing  Scoriae ER2u"</f>
        <v>Disc Bearing  Scoriae ER2u</v>
      </c>
      <c r="C3002" t="str">
        <f t="shared" si="134"/>
        <v>Active</v>
      </c>
    </row>
    <row r="3003" spans="1:3" ht="18" customHeight="1">
      <c r="A3003" t="str">
        <f>"112194"</f>
        <v>112194</v>
      </c>
      <c r="B3003" t="str">
        <f>"Plate for Rotary Table"</f>
        <v>Plate for Rotary Table</v>
      </c>
      <c r="C3003" t="str">
        <f t="shared" si="134"/>
        <v>Active</v>
      </c>
    </row>
    <row r="3004" spans="1:3" ht="18" customHeight="1">
      <c r="A3004" t="str">
        <f>"112195"</f>
        <v>112195</v>
      </c>
      <c r="B3004" t="str">
        <f>"Support for Motor Rotary Table"</f>
        <v>Support for Motor Rotary Table</v>
      </c>
      <c r="C3004" t="str">
        <f t="shared" si="134"/>
        <v>Active</v>
      </c>
    </row>
    <row r="3005" spans="1:3" ht="18" customHeight="1">
      <c r="A3005" t="str">
        <f>"112196"</f>
        <v>112196</v>
      </c>
      <c r="B3005" t="str">
        <f>"Encoder disk 20 slots Changed on # 105003"</f>
        <v>Encoder disk 20 slots Changed on # 105003</v>
      </c>
      <c r="C3005" t="str">
        <f t="shared" si="134"/>
        <v>Active</v>
      </c>
    </row>
    <row r="3006" spans="1:3" ht="18" customHeight="1">
      <c r="A3006" t="str">
        <f>"112199"</f>
        <v>112199</v>
      </c>
      <c r="B3006" t="str">
        <f>"Blue Base Plate SCORBOT ER4u-Painting"</f>
        <v>Blue Base Plate SCORBOT ER4u-Painting</v>
      </c>
      <c r="C3006" t="str">
        <f t="shared" si="134"/>
        <v>Active</v>
      </c>
    </row>
    <row r="3007" spans="1:3" ht="18" customHeight="1">
      <c r="A3007" t="str">
        <f>"112199-10"</f>
        <v>112199-10</v>
      </c>
      <c r="B3007" t="str">
        <f>"Base Plate SCORBOT ER4u-Machining"</f>
        <v>Base Plate SCORBOT ER4u-Machining</v>
      </c>
      <c r="C3007" t="str">
        <f t="shared" si="134"/>
        <v>Active</v>
      </c>
    </row>
    <row r="3008" spans="1:3" ht="18" customHeight="1">
      <c r="A3008" t="str">
        <f>"112202"</f>
        <v>112202</v>
      </c>
      <c r="B3008" t="str">
        <f>"Panel Control  CIM"</f>
        <v>Panel Control  CIM</v>
      </c>
      <c r="C3008" t="str">
        <f t="shared" si="134"/>
        <v>Active</v>
      </c>
    </row>
    <row r="3009" spans="1:3" ht="18" customHeight="1">
      <c r="A3009" t="str">
        <f>"112202-10"</f>
        <v>112202-10</v>
      </c>
      <c r="B3009" t="str">
        <f>"Panel Control  CIM"</f>
        <v>Panel Control  CIM</v>
      </c>
      <c r="C3009" t="str">
        <f>"Not for sale"</f>
        <v>Not for sale</v>
      </c>
    </row>
    <row r="3010" spans="1:3" ht="18" customHeight="1">
      <c r="A3010" t="str">
        <f>"112206"</f>
        <v>112206</v>
      </c>
      <c r="B3010" t="str">
        <f>"Adaptor Plate LSB&gt; MH5, Fanuc200ic, ABB-IRB"</f>
        <v>Adaptor Plate LSB&gt; MH5, Fanuc200ic, ABB-IRB</v>
      </c>
      <c r="C3010" t="str">
        <f t="shared" ref="C3010:C3024" si="135">"Active"</f>
        <v>Active</v>
      </c>
    </row>
    <row r="3011" spans="1:3" ht="18" customHeight="1">
      <c r="A3011" t="str">
        <f>"112207"</f>
        <v>112207</v>
      </c>
      <c r="B3011" t="str">
        <f>"Adaptor Base ER4u/SlottedTable,240x240"</f>
        <v>Adaptor Base ER4u/SlottedTable,240x240</v>
      </c>
      <c r="C3011" t="str">
        <f t="shared" si="135"/>
        <v>Active</v>
      </c>
    </row>
    <row r="3012" spans="1:3" ht="18" customHeight="1">
      <c r="A3012" t="str">
        <f>"112209"</f>
        <v>112209</v>
      </c>
      <c r="B3012" t="str">
        <f>"Support for Motor 400W"</f>
        <v>Support for Motor 400W</v>
      </c>
      <c r="C3012" t="str">
        <f t="shared" si="135"/>
        <v>Active</v>
      </c>
    </row>
    <row r="3013" spans="1:3" ht="18" customHeight="1">
      <c r="A3013" t="str">
        <f>"112212"</f>
        <v>112212</v>
      </c>
      <c r="B3013" t="str">
        <f>"Support side Servo400W Motor"</f>
        <v>Support side Servo400W Motor</v>
      </c>
      <c r="C3013" t="str">
        <f t="shared" si="135"/>
        <v>Active</v>
      </c>
    </row>
    <row r="3014" spans="1:3" ht="18" customHeight="1">
      <c r="A3014" t="str">
        <f>"112213"</f>
        <v>112213</v>
      </c>
      <c r="B3014" t="str">
        <f>"Support Top Gear/Motor 800w ,ITEM LSB3000 HP3"</f>
        <v>Support Top Gear/Motor 800w ,ITEM LSB3000 HP3</v>
      </c>
      <c r="C3014" t="str">
        <f t="shared" si="135"/>
        <v>Active</v>
      </c>
    </row>
    <row r="3015" spans="1:3" ht="18" customHeight="1">
      <c r="A3015" t="str">
        <f>"112214"</f>
        <v>112214</v>
      </c>
      <c r="B3015" t="str">
        <f>"Support Gear/Motor Base 200x80x16  ITEM LSB3000"</f>
        <v>Support Gear/Motor Base 200x80x16  ITEM LSB3000</v>
      </c>
      <c r="C3015" t="str">
        <f t="shared" si="135"/>
        <v>Active</v>
      </c>
    </row>
    <row r="3016" spans="1:3" ht="18" customHeight="1">
      <c r="A3016" t="str">
        <f>"112215"</f>
        <v>112215</v>
      </c>
      <c r="B3016" t="str">
        <f>"Frame for front panel USB-PRO Controller"</f>
        <v>Frame for front panel USB-PRO Controller</v>
      </c>
      <c r="C3016" t="str">
        <f t="shared" si="135"/>
        <v>Active</v>
      </c>
    </row>
    <row r="3017" spans="1:3" ht="18" customHeight="1">
      <c r="A3017" t="str">
        <f>"112217"</f>
        <v>112217</v>
      </c>
      <c r="B3017" t="str">
        <f>"Support Top Motor 400W, ITEM LSB for HP3"</f>
        <v>Support Top Motor 400W, ITEM LSB for HP3</v>
      </c>
      <c r="C3017" t="str">
        <f t="shared" si="135"/>
        <v>Active</v>
      </c>
    </row>
    <row r="3018" spans="1:3" ht="18" customHeight="1">
      <c r="A3018" t="str">
        <f>"112218"</f>
        <v>112218</v>
      </c>
      <c r="B3018" t="str">
        <f>"Support Side short ITEM LSB 3000 for HP3"</f>
        <v>Support Side short ITEM LSB 3000 for HP3</v>
      </c>
      <c r="C3018" t="str">
        <f t="shared" si="135"/>
        <v>Active</v>
      </c>
    </row>
    <row r="3019" spans="1:3" ht="18" customHeight="1">
      <c r="A3019" t="str">
        <f>"112219"</f>
        <v>112219</v>
      </c>
      <c r="B3019" t="str">
        <f>"Support Side Long ITEM LSB 3000 for HP3"</f>
        <v>Support Side Long ITEM LSB 3000 for HP3</v>
      </c>
      <c r="C3019" t="str">
        <f t="shared" si="135"/>
        <v>Active</v>
      </c>
    </row>
    <row r="3020" spans="1:3" ht="18" customHeight="1">
      <c r="A3020" t="str">
        <f>"112220"</f>
        <v>112220</v>
      </c>
      <c r="B3020" t="str">
        <f>"Support For Motor Assy. 200x80x16  LSB3000, HP3"</f>
        <v>Support For Motor Assy. 200x80x16  LSB3000, HP3</v>
      </c>
      <c r="C3020" t="str">
        <f t="shared" si="135"/>
        <v>Active</v>
      </c>
    </row>
    <row r="3021" spans="1:3" ht="18" customHeight="1">
      <c r="A3021" t="str">
        <f>"112222"</f>
        <v>112222</v>
      </c>
      <c r="B3021" t="str">
        <f>"Support Motor/Gear 1.2kw 150x150"</f>
        <v>Support Motor/Gear 1.2kw 150x150</v>
      </c>
      <c r="C3021" t="str">
        <f t="shared" si="135"/>
        <v>Active</v>
      </c>
    </row>
    <row r="3022" spans="1:3" ht="18" customHeight="1">
      <c r="A3022" t="str">
        <f>"112224"</f>
        <v>112224</v>
      </c>
      <c r="B3022" t="str">
        <f>"Support Motor/Gear 1/4kw"</f>
        <v>Support Motor/Gear 1/4kw</v>
      </c>
      <c r="C3022" t="str">
        <f t="shared" si="135"/>
        <v>Active</v>
      </c>
    </row>
    <row r="3023" spans="1:3" ht="18" customHeight="1">
      <c r="A3023" t="str">
        <f>"112225"</f>
        <v>112225</v>
      </c>
      <c r="B3023" t="str">
        <f>"Support for Gear Motor 0.25Kw"</f>
        <v>Support for Gear Motor 0.25Kw</v>
      </c>
      <c r="C3023" t="str">
        <f t="shared" si="135"/>
        <v>Active</v>
      </c>
    </row>
    <row r="3024" spans="1:3" ht="18" customHeight="1">
      <c r="A3024" t="str">
        <f>"112226"</f>
        <v>112226</v>
      </c>
      <c r="B3024" t="str">
        <f>"Support for Motor CIM"</f>
        <v>Support for Motor CIM</v>
      </c>
      <c r="C3024" t="str">
        <f t="shared" si="135"/>
        <v>Active</v>
      </c>
    </row>
    <row r="3025" spans="1:3" ht="18" customHeight="1">
      <c r="A3025" t="str">
        <f>"112227"</f>
        <v>112227</v>
      </c>
      <c r="B3025" t="str">
        <f>"Angle wrench 41mm"</f>
        <v>Angle wrench 41mm</v>
      </c>
      <c r="C3025" t="str">
        <f>"New"</f>
        <v>New</v>
      </c>
    </row>
    <row r="3026" spans="1:3" ht="18" customHeight="1">
      <c r="A3026" t="str">
        <f>"112228"</f>
        <v>112228</v>
      </c>
      <c r="B3026" t="str">
        <f>"Plate for MH5 Profiles Stand, 330mm x330mm"</f>
        <v>Plate for MH5 Profiles Stand, 330mm x330mm</v>
      </c>
      <c r="C3026" t="str">
        <f>"New"</f>
        <v>New</v>
      </c>
    </row>
    <row r="3027" spans="1:3" ht="18" customHeight="1">
      <c r="A3027" t="str">
        <f>"112229"</f>
        <v>112229</v>
      </c>
      <c r="B3027" t="str">
        <f>"Support for Hydro Hoses"</f>
        <v>Support for Hydro Hoses</v>
      </c>
      <c r="C3027" t="str">
        <f>"New"</f>
        <v>New</v>
      </c>
    </row>
    <row r="3028" spans="1:3" ht="18" customHeight="1">
      <c r="A3028" t="str">
        <f>"112401"</f>
        <v>112401</v>
      </c>
      <c r="B3028" t="str">
        <f>"Support Motor #4-#5 SCORBOT ER4u"</f>
        <v>Support Motor #4-#5 SCORBOT ER4u</v>
      </c>
      <c r="C3028" t="str">
        <f t="shared" ref="C3028:C3035" si="136">"Active"</f>
        <v>Active</v>
      </c>
    </row>
    <row r="3029" spans="1:3" ht="18" customHeight="1">
      <c r="A3029" t="str">
        <f>"112402"</f>
        <v>112402</v>
      </c>
      <c r="B3029" t="str">
        <f>"Support Motor #4-#5  SCORBOT ER4u"</f>
        <v>Support Motor #4-#5  SCORBOT ER4u</v>
      </c>
      <c r="C3029" t="str">
        <f t="shared" si="136"/>
        <v>Active</v>
      </c>
    </row>
    <row r="3030" spans="1:3" ht="18" customHeight="1">
      <c r="A3030" t="str">
        <f>"112403"</f>
        <v>112403</v>
      </c>
      <c r="B3030" t="str">
        <f>"Clamp Motor SCORBOT ER4u"</f>
        <v>Clamp Motor SCORBOT ER4u</v>
      </c>
      <c r="C3030" t="str">
        <f t="shared" si="136"/>
        <v>Active</v>
      </c>
    </row>
    <row r="3031" spans="1:3" ht="18" customHeight="1">
      <c r="A3031" t="str">
        <f>"112405"</f>
        <v>112405</v>
      </c>
      <c r="B3031" t="str">
        <f>"Support Motor #2, SCORBOT ER4"</f>
        <v>Support Motor #2, SCORBOT ER4</v>
      </c>
      <c r="C3031" t="str">
        <f t="shared" si="136"/>
        <v>Active</v>
      </c>
    </row>
    <row r="3032" spans="1:3" ht="18" customHeight="1">
      <c r="A3032" t="str">
        <f>"112406"</f>
        <v>112406</v>
      </c>
      <c r="B3032" t="str">
        <f>"Holder Arm - Left SCORBOT ER4u"</f>
        <v>Holder Arm - Left SCORBOT ER4u</v>
      </c>
      <c r="C3032" t="str">
        <f t="shared" si="136"/>
        <v>Active</v>
      </c>
    </row>
    <row r="3033" spans="1:3" ht="18" customHeight="1">
      <c r="A3033" t="str">
        <f>"112407"</f>
        <v>112407</v>
      </c>
      <c r="B3033" t="str">
        <f>"Holder Arm - Right SCORBOT ER4u"</f>
        <v>Holder Arm - Right SCORBOT ER4u</v>
      </c>
      <c r="C3033" t="str">
        <f t="shared" si="136"/>
        <v>Active</v>
      </c>
    </row>
    <row r="3034" spans="1:3" ht="18" customHeight="1">
      <c r="A3034" t="str">
        <f>"112408"</f>
        <v>112408</v>
      </c>
      <c r="B3034" t="str">
        <f>"Gripper Motor Mount SCORBOT ER4u"</f>
        <v>Gripper Motor Mount SCORBOT ER4u</v>
      </c>
      <c r="C3034" t="str">
        <f t="shared" si="136"/>
        <v>Active</v>
      </c>
    </row>
    <row r="3035" spans="1:3" ht="18" customHeight="1">
      <c r="A3035" t="str">
        <f>"112412"</f>
        <v>112412</v>
      </c>
      <c r="B3035" t="str">
        <f>"Support Shoulder Motor, SCORBOT ER7"</f>
        <v>Support Shoulder Motor, SCORBOT ER7</v>
      </c>
      <c r="C3035" t="str">
        <f t="shared" si="136"/>
        <v>Active</v>
      </c>
    </row>
    <row r="3036" spans="1:3" ht="18" customHeight="1">
      <c r="A3036" t="str">
        <f>"112419"</f>
        <v>112419</v>
      </c>
      <c r="B3036" t="str">
        <f>"Body  1 Suction Pad"</f>
        <v>Body  1 Suction Pad</v>
      </c>
      <c r="C3036" t="str">
        <f>"ECO-N2Buy"</f>
        <v>ECO-N2Buy</v>
      </c>
    </row>
    <row r="3037" spans="1:3" ht="18" customHeight="1">
      <c r="A3037" t="str">
        <f>"112421"</f>
        <v>112421</v>
      </c>
      <c r="B3037" t="str">
        <f>"Holder 3 Suction Pad"</f>
        <v>Holder 3 Suction Pad</v>
      </c>
      <c r="C3037" t="str">
        <f>"ECO-N2Buy"</f>
        <v>ECO-N2Buy</v>
      </c>
    </row>
    <row r="3038" spans="1:3" ht="18" customHeight="1">
      <c r="A3038" t="str">
        <f>"112423"</f>
        <v>112423</v>
      </c>
      <c r="B3038" t="str">
        <f>"Body for 3 Suction Pad"</f>
        <v>Body for 3 Suction Pad</v>
      </c>
      <c r="C3038" t="str">
        <f>"ECO-N2Buy"</f>
        <v>ECO-N2Buy</v>
      </c>
    </row>
    <row r="3039" spans="1:3" ht="18" customHeight="1">
      <c r="A3039" t="str">
        <f>"112425"</f>
        <v>112425</v>
      </c>
      <c r="B3039" t="str">
        <f>"Adaptor Airbrush Gripper"</f>
        <v>Adaptor Airbrush Gripper</v>
      </c>
      <c r="C3039" t="str">
        <f>"Active"</f>
        <v>Active</v>
      </c>
    </row>
    <row r="3040" spans="1:3" ht="18" customHeight="1">
      <c r="A3040" t="str">
        <f>"112427"</f>
        <v>112427</v>
      </c>
      <c r="B3040" t="str">
        <f>"Adaptor Robot&lt;=&gt;Dispenser"</f>
        <v>Adaptor Robot&lt;=&gt;Dispenser</v>
      </c>
      <c r="C3040" t="str">
        <f>"Active"</f>
        <v>Active</v>
      </c>
    </row>
    <row r="3041" spans="1:3" ht="18" customHeight="1">
      <c r="A3041" t="str">
        <f>"112433"</f>
        <v>112433</v>
      </c>
      <c r="B3041" t="str">
        <f>"Plate Belt Tension Conveyor"</f>
        <v>Plate Belt Tension Conveyor</v>
      </c>
      <c r="C3041" t="str">
        <f>"Active"</f>
        <v>Active</v>
      </c>
    </row>
    <row r="3042" spans="1:3" ht="18" customHeight="1">
      <c r="A3042" t="str">
        <f>"112439"</f>
        <v>112439</v>
      </c>
      <c r="B3042" t="str">
        <f>"Stop Differential SCORBOT ER4u"</f>
        <v>Stop Differential SCORBOT ER4u</v>
      </c>
      <c r="C3042" t="str">
        <f>"Active"</f>
        <v>Active</v>
      </c>
    </row>
    <row r="3043" spans="1:3" ht="18" customHeight="1">
      <c r="A3043" t="str">
        <f>"112440"</f>
        <v>112440</v>
      </c>
      <c r="B3043" t="str">
        <f>"Plate for Sensor Holder-Accomplished"</f>
        <v>Plate for Sensor Holder-Accomplished</v>
      </c>
      <c r="C3043" t="str">
        <f>"Active"</f>
        <v>Active</v>
      </c>
    </row>
    <row r="3044" spans="1:3" ht="18" customHeight="1">
      <c r="A3044" t="str">
        <f>"112440-10"</f>
        <v>112440-10</v>
      </c>
      <c r="B3044" t="str">
        <f>"Plate for Sensor Holder - Machining"</f>
        <v>Plate for Sensor Holder - Machining</v>
      </c>
      <c r="C3044" t="str">
        <f>"Not for sale"</f>
        <v>Not for sale</v>
      </c>
    </row>
    <row r="3045" spans="1:3" ht="18" customHeight="1">
      <c r="A3045" t="str">
        <f>"112442"</f>
        <v>112442</v>
      </c>
      <c r="B3045" t="str">
        <f>"Stand Pole for Robot"</f>
        <v>Stand Pole for Robot</v>
      </c>
      <c r="C3045" t="str">
        <f>"Active"</f>
        <v>Active</v>
      </c>
    </row>
    <row r="3046" spans="1:3" ht="18" customHeight="1">
      <c r="A3046" t="str">
        <f>"112442-10"</f>
        <v>112442-10</v>
      </c>
      <c r="B3046" t="str">
        <f>"Stand Pole for Robot"</f>
        <v>Stand Pole for Robot</v>
      </c>
      <c r="C3046" t="str">
        <f>"Not for sale"</f>
        <v>Not for sale</v>
      </c>
    </row>
    <row r="3047" spans="1:3" ht="18" customHeight="1">
      <c r="A3047" t="str">
        <f>"112443"</f>
        <v>112443</v>
      </c>
      <c r="B3047" t="str">
        <f>"Base Welded"</f>
        <v>Base Welded</v>
      </c>
      <c r="C3047" t="str">
        <f>"ECO-N2Buy"</f>
        <v>ECO-N2Buy</v>
      </c>
    </row>
    <row r="3048" spans="1:3" ht="18" customHeight="1">
      <c r="A3048" t="str">
        <f>"112447"</f>
        <v>112447</v>
      </c>
      <c r="B3048" t="str">
        <f>"Clamp Motor SCORBOT ER7+ER9"</f>
        <v>Clamp Motor SCORBOT ER7+ER9</v>
      </c>
      <c r="C3048" t="str">
        <f>"Active"</f>
        <v>Active</v>
      </c>
    </row>
    <row r="3049" spans="1:3" ht="18" customHeight="1">
      <c r="A3049" t="str">
        <f>"112448"</f>
        <v>112448</v>
      </c>
      <c r="B3049" t="str">
        <f>"Adaptor for Encoder H.P, SCORBOT ER7"</f>
        <v>Adaptor for Encoder H.P, SCORBOT ER7</v>
      </c>
      <c r="C3049" t="str">
        <f>"Active"</f>
        <v>Active</v>
      </c>
    </row>
    <row r="3050" spans="1:3" ht="18" customHeight="1">
      <c r="A3050" t="str">
        <f>"112465"</f>
        <v>112465</v>
      </c>
      <c r="B3050" t="str">
        <f>"Adaptor Threaded Base - Turret 1"" Swivel-M24x1"</f>
        <v>Adaptor Threaded Base - Turret 1" Swivel-M24x1</v>
      </c>
      <c r="C3050" t="str">
        <f>"Active"</f>
        <v>Active</v>
      </c>
    </row>
    <row r="3051" spans="1:3" ht="18" customHeight="1">
      <c r="A3051" t="str">
        <f>"112466"</f>
        <v>112466</v>
      </c>
      <c r="B3051" t="str">
        <f>"Adaptor Flex.Tube -Turret  1"" Swivel"</f>
        <v>Adaptor Flex.Tube -Turret  1" Swivel</v>
      </c>
      <c r="C3051" t="str">
        <f>"Not for sale"</f>
        <v>Not for sale</v>
      </c>
    </row>
    <row r="3052" spans="1:3" ht="18" customHeight="1">
      <c r="A3052" t="str">
        <f>"112468"</f>
        <v>112468</v>
      </c>
      <c r="B3052" t="str">
        <f>"Gripper Jaw for CIM ER4u"</f>
        <v>Gripper Jaw for CIM ER4u</v>
      </c>
      <c r="C3052" t="str">
        <f>"Active"</f>
        <v>Active</v>
      </c>
    </row>
    <row r="3053" spans="1:3" ht="18" customHeight="1">
      <c r="A3053" t="str">
        <f>"112470"</f>
        <v>112470</v>
      </c>
      <c r="B3053" t="str">
        <f>"Disc Fastening Turret For Base, SCORBOT ER7"</f>
        <v>Disc Fastening Turret For Base, SCORBOT ER7</v>
      </c>
      <c r="C3053" t="str">
        <f>"Phase Out"</f>
        <v>Phase Out</v>
      </c>
    </row>
    <row r="3054" spans="1:3" ht="18" customHeight="1">
      <c r="A3054" t="str">
        <f>"112471"</f>
        <v>112471</v>
      </c>
      <c r="B3054" t="str">
        <f>"Shaft Fastening Turret Cover, SCORBOT ER7"</f>
        <v>Shaft Fastening Turret Cover, SCORBOT ER7</v>
      </c>
      <c r="C3054" t="str">
        <f>"Active"</f>
        <v>Active</v>
      </c>
    </row>
    <row r="3055" spans="1:3" ht="18" customHeight="1">
      <c r="A3055" t="str">
        <f>"112472"</f>
        <v>112472</v>
      </c>
      <c r="B3055" t="str">
        <f>"Bar Fastening Arm Cover SCORBOT ER7+ER9"</f>
        <v>Bar Fastening Arm Cover SCORBOT ER7+ER9</v>
      </c>
      <c r="C3055" t="str">
        <f>"Active"</f>
        <v>Active</v>
      </c>
    </row>
    <row r="3056" spans="1:3" ht="18" customHeight="1">
      <c r="A3056" t="str">
        <f>"112473"</f>
        <v>112473</v>
      </c>
      <c r="B3056" t="str">
        <f>"Cover Spacer Microswitch, SCORBOT ER7"</f>
        <v>Cover Spacer Microswitch, SCORBOT ER7</v>
      </c>
      <c r="C3056" t="str">
        <f>"Phase Out"</f>
        <v>Phase Out</v>
      </c>
    </row>
    <row r="3057" spans="1:3" ht="18" customHeight="1">
      <c r="A3057" t="str">
        <f>"112474"</f>
        <v>112474</v>
      </c>
      <c r="B3057" t="str">
        <f>"Holder Cable d1"" SCORBOT ER7+ER9"</f>
        <v>Holder Cable d1" SCORBOT ER7+ER9</v>
      </c>
      <c r="C3057" t="str">
        <f>"Active"</f>
        <v>Active</v>
      </c>
    </row>
    <row r="3058" spans="1:3" ht="18" customHeight="1">
      <c r="A3058" t="str">
        <f>"112475"</f>
        <v>112475</v>
      </c>
      <c r="B3058" t="str">
        <f>"Base Holder Cable d1""  SCORBOT ER7+ER9"</f>
        <v>Base Holder Cable d1"  SCORBOT ER7+ER9</v>
      </c>
      <c r="C3058" t="str">
        <f>"Active"</f>
        <v>Active</v>
      </c>
    </row>
    <row r="3059" spans="1:3" ht="18" customHeight="1">
      <c r="A3059" t="str">
        <f>"112486"</f>
        <v>112486</v>
      </c>
      <c r="B3059" t="str">
        <f>"Holder Shoulder Proxim.Sw. SCORBOT ER7"</f>
        <v>Holder Shoulder Proxim.Sw. SCORBOT ER7</v>
      </c>
      <c r="C3059" t="str">
        <f>"Phase Out"</f>
        <v>Phase Out</v>
      </c>
    </row>
    <row r="3060" spans="1:3" ht="18" customHeight="1">
      <c r="A3060" t="str">
        <f>"112491"</f>
        <v>112491</v>
      </c>
      <c r="B3060" t="str">
        <f>"Pin for Template D=8.8, Aluminum"</f>
        <v>Pin for Template D=8.8, Aluminum</v>
      </c>
      <c r="C3060" t="str">
        <f t="shared" ref="C3060:C3069" si="137">"Active"</f>
        <v>Active</v>
      </c>
    </row>
    <row r="3061" spans="1:3" ht="18" customHeight="1">
      <c r="A3061" t="str">
        <f>"112492"</f>
        <v>112492</v>
      </c>
      <c r="B3061" t="str">
        <f>"Pin for Template D=10.1,  Aluminum (d1.5 Bore)"</f>
        <v>Pin for Template D=10.1,  Aluminum (d1.5 Bore)</v>
      </c>
      <c r="C3061" t="str">
        <f t="shared" si="137"/>
        <v>Active</v>
      </c>
    </row>
    <row r="3062" spans="1:3" ht="18" customHeight="1">
      <c r="A3062" t="str">
        <f>"112493"</f>
        <v>112493</v>
      </c>
      <c r="B3062" t="str">
        <f>"Pin for Template D=11.4, Aluminum"</f>
        <v>Pin for Template D=11.4, Aluminum</v>
      </c>
      <c r="C3062" t="str">
        <f t="shared" si="137"/>
        <v>Active</v>
      </c>
    </row>
    <row r="3063" spans="1:3" ht="18" customHeight="1">
      <c r="A3063" t="str">
        <f>"112494"</f>
        <v>112494</v>
      </c>
      <c r="B3063" t="str">
        <f>"Pin for Template D=12.7, Aluminum (d3 Bore)"</f>
        <v>Pin for Template D=12.7, Aluminum (d3 Bore)</v>
      </c>
      <c r="C3063" t="str">
        <f t="shared" si="137"/>
        <v>Active</v>
      </c>
    </row>
    <row r="3064" spans="1:3" ht="18" customHeight="1">
      <c r="A3064" t="str">
        <f>"112495"</f>
        <v>112495</v>
      </c>
      <c r="B3064" t="str">
        <f>"Pin for Template D=15.2, Aluminum"</f>
        <v>Pin for Template D=15.2, Aluminum</v>
      </c>
      <c r="C3064" t="str">
        <f t="shared" si="137"/>
        <v>Active</v>
      </c>
    </row>
    <row r="3065" spans="1:3" ht="18" customHeight="1">
      <c r="A3065" t="str">
        <f>"112496"</f>
        <v>112496</v>
      </c>
      <c r="B3065" t="str">
        <f>"Raw Material - Brass  Rod"</f>
        <v>Raw Material - Brass  Rod</v>
      </c>
      <c r="C3065" t="str">
        <f t="shared" si="137"/>
        <v>Active</v>
      </c>
    </row>
    <row r="3066" spans="1:3" ht="18" customHeight="1">
      <c r="A3066" t="str">
        <f>"112502"</f>
        <v>112502</v>
      </c>
      <c r="B3066" t="str">
        <f>"Ring Base RT Sensor Holder"</f>
        <v>Ring Base RT Sensor Holder</v>
      </c>
      <c r="C3066" t="str">
        <f t="shared" si="137"/>
        <v>Active</v>
      </c>
    </row>
    <row r="3067" spans="1:3" ht="18" customHeight="1">
      <c r="A3067" t="str">
        <f>"112503"</f>
        <v>112503</v>
      </c>
      <c r="B3067" t="str">
        <f>"Strip Vertical RT Sensor Holder"</f>
        <v>Strip Vertical RT Sensor Holder</v>
      </c>
      <c r="C3067" t="str">
        <f t="shared" si="137"/>
        <v>Active</v>
      </c>
    </row>
    <row r="3068" spans="1:3" ht="18" customHeight="1">
      <c r="A3068" t="str">
        <f>"112514"</f>
        <v>112514</v>
      </c>
      <c r="B3068" t="str">
        <f>"Adaptor Threaded Base - Arm 1"" Swivel - PG16"</f>
        <v>Adaptor Threaded Base - Arm 1" Swivel - PG16</v>
      </c>
      <c r="C3068" t="str">
        <f t="shared" si="137"/>
        <v>Active</v>
      </c>
    </row>
    <row r="3069" spans="1:3" ht="18" customHeight="1">
      <c r="A3069" t="str">
        <f>"112531"</f>
        <v>112531</v>
      </c>
      <c r="B3069" t="str">
        <f>"Boxsa For Centering Bearing"</f>
        <v>Boxsa For Centering Bearing</v>
      </c>
      <c r="C3069" t="str">
        <f t="shared" si="137"/>
        <v>Active</v>
      </c>
    </row>
    <row r="3070" spans="1:3" ht="18" customHeight="1">
      <c r="A3070" t="str">
        <f>"112532"</f>
        <v>112532</v>
      </c>
      <c r="B3070" t="str">
        <f>"Support Main Left CIM"</f>
        <v>Support Main Left CIM</v>
      </c>
      <c r="C3070" t="str">
        <f t="shared" ref="C3070:C3075" si="138">"Phase Out"</f>
        <v>Phase Out</v>
      </c>
    </row>
    <row r="3071" spans="1:3" ht="18" customHeight="1">
      <c r="A3071" t="str">
        <f>"112533"</f>
        <v>112533</v>
      </c>
      <c r="B3071" t="str">
        <f>"Support Right for Motor CIM"</f>
        <v>Support Right for Motor CIM</v>
      </c>
      <c r="C3071" t="str">
        <f t="shared" si="138"/>
        <v>Phase Out</v>
      </c>
    </row>
    <row r="3072" spans="1:3" ht="18" customHeight="1">
      <c r="A3072" t="str">
        <f>"112534"</f>
        <v>112534</v>
      </c>
      <c r="B3072" t="str">
        <f>"Support Top Motor CIM M10_M10"</f>
        <v>Support Top Motor CIM M10_M10</v>
      </c>
      <c r="C3072" t="str">
        <f t="shared" si="138"/>
        <v>Phase Out</v>
      </c>
    </row>
    <row r="3073" spans="1:3" ht="18" customHeight="1">
      <c r="A3073" t="str">
        <f>"112535"</f>
        <v>112535</v>
      </c>
      <c r="B3073" t="str">
        <f>"Support Low Motor CIM M8_M10"</f>
        <v>Support Low Motor CIM M8_M10</v>
      </c>
      <c r="C3073" t="str">
        <f t="shared" si="138"/>
        <v>Phase Out</v>
      </c>
    </row>
    <row r="3074" spans="1:3" ht="18" customHeight="1">
      <c r="A3074" t="str">
        <f>"112536"</f>
        <v>112536</v>
      </c>
      <c r="B3074" t="str">
        <f>"Holder Arm  BarCode Scan.,Warn'n Lamp"</f>
        <v>Holder Arm  BarCode Scan.,Warn'n Lamp</v>
      </c>
      <c r="C3074" t="str">
        <f t="shared" si="138"/>
        <v>Phase Out</v>
      </c>
    </row>
    <row r="3075" spans="1:3" ht="18" customHeight="1">
      <c r="A3075" t="str">
        <f>"112537"</f>
        <v>112537</v>
      </c>
      <c r="B3075" t="str">
        <f>"Holder Arm  BarCode No.1"</f>
        <v>Holder Arm  BarCode No.1</v>
      </c>
      <c r="C3075" t="str">
        <f t="shared" si="138"/>
        <v>Phase Out</v>
      </c>
    </row>
    <row r="3076" spans="1:3" ht="18" customHeight="1">
      <c r="A3076" t="str">
        <f>"112538"</f>
        <v>112538</v>
      </c>
      <c r="B3076" t="str">
        <f>"Holder Arm  BarCode No.2"</f>
        <v>Holder Arm  BarCode No.2</v>
      </c>
      <c r="C3076" t="str">
        <f>"ECO-N2Buy"</f>
        <v>ECO-N2Buy</v>
      </c>
    </row>
    <row r="3077" spans="1:3" ht="18" customHeight="1">
      <c r="A3077" t="str">
        <f>"112539"</f>
        <v>112539</v>
      </c>
      <c r="B3077" t="str">
        <f>"Base For Lamp"</f>
        <v>Base For Lamp</v>
      </c>
      <c r="C3077" t="str">
        <f>"Phase Out"</f>
        <v>Phase Out</v>
      </c>
    </row>
    <row r="3078" spans="1:3" ht="18" customHeight="1">
      <c r="A3078" t="str">
        <f>"112540"</f>
        <v>112540</v>
      </c>
      <c r="B3078" t="str">
        <f>"Disc Base Lamp"</f>
        <v>Disc Base Lamp</v>
      </c>
      <c r="C3078" t="str">
        <f>"Inactive"</f>
        <v>Inactive</v>
      </c>
    </row>
    <row r="3079" spans="1:3" ht="18" customHeight="1">
      <c r="A3079" t="str">
        <f>"112541"</f>
        <v>112541</v>
      </c>
      <c r="B3079" t="str">
        <f>"Base Corner Conveyor 180"</f>
        <v>Base Corner Conveyor 180</v>
      </c>
      <c r="C3079" t="str">
        <f t="shared" ref="C3079:C3084" si="139">"Active"</f>
        <v>Active</v>
      </c>
    </row>
    <row r="3080" spans="1:3" ht="18" customHeight="1">
      <c r="A3080" t="str">
        <f>"112542"</f>
        <v>112542</v>
      </c>
      <c r="B3080" t="str">
        <f>"Base Corner Conveyor CIM"</f>
        <v>Base Corner Conveyor CIM</v>
      </c>
      <c r="C3080" t="str">
        <f t="shared" si="139"/>
        <v>Active</v>
      </c>
    </row>
    <row r="3081" spans="1:3" ht="18" customHeight="1">
      <c r="A3081" t="str">
        <f>"112543"</f>
        <v>112543</v>
      </c>
      <c r="B3081" t="str">
        <f>"Clamp for conveyor 2""  CIM"</f>
        <v>Clamp for conveyor 2"  CIM</v>
      </c>
      <c r="C3081" t="str">
        <f t="shared" si="139"/>
        <v>Active</v>
      </c>
    </row>
    <row r="3082" spans="1:3" ht="18" customHeight="1">
      <c r="A3082" t="str">
        <f>"112544"</f>
        <v>112544</v>
      </c>
      <c r="B3082" t="str">
        <f>"Clamp for conveyor  1¼"" CIM"</f>
        <v>Clamp for conveyor  1¼" CIM</v>
      </c>
      <c r="C3082" t="str">
        <f t="shared" si="139"/>
        <v>Active</v>
      </c>
    </row>
    <row r="3083" spans="1:3" ht="18" customHeight="1">
      <c r="A3083" t="str">
        <f>"112545"</f>
        <v>112545</v>
      </c>
      <c r="B3083" t="str">
        <f>"Connector  For Leg Conveyor   CIM"</f>
        <v>Connector  For Leg Conveyor   CIM</v>
      </c>
      <c r="C3083" t="str">
        <f t="shared" si="139"/>
        <v>Active</v>
      </c>
    </row>
    <row r="3084" spans="1:3" ht="18" customHeight="1">
      <c r="A3084" t="str">
        <f>"112546"</f>
        <v>112546</v>
      </c>
      <c r="B3084" t="str">
        <f>"Support for Conveyor CIM feet"</f>
        <v>Support for Conveyor CIM feet</v>
      </c>
      <c r="C3084" t="str">
        <f t="shared" si="139"/>
        <v>Active</v>
      </c>
    </row>
    <row r="3085" spans="1:3" ht="18" customHeight="1">
      <c r="A3085" t="str">
        <f>"112547"</f>
        <v>112547</v>
      </c>
      <c r="B3085" t="str">
        <f>"Guide for Template"</f>
        <v>Guide for Template</v>
      </c>
      <c r="C3085" t="str">
        <f>"Not for sale"</f>
        <v>Not for sale</v>
      </c>
    </row>
    <row r="3086" spans="1:3" ht="18" customHeight="1">
      <c r="A3086" t="str">
        <f>"112548"</f>
        <v>112548</v>
      </c>
      <c r="B3086" t="str">
        <f>"Torque Adjustment Wrench, CIM Conveyor"</f>
        <v>Torque Adjustment Wrench, CIM Conveyor</v>
      </c>
      <c r="C3086" t="str">
        <f>"ECO-N2Buy"</f>
        <v>ECO-N2Buy</v>
      </c>
    </row>
    <row r="3087" spans="1:3" ht="18" customHeight="1">
      <c r="A3087" t="str">
        <f>"112549"</f>
        <v>112549</v>
      </c>
      <c r="B3087" t="str">
        <f>"Support for Canal Cables"</f>
        <v>Support for Canal Cables</v>
      </c>
      <c r="C3087" t="str">
        <f>"Active"</f>
        <v>Active</v>
      </c>
    </row>
    <row r="3088" spans="1:3" ht="18" customHeight="1">
      <c r="A3088" t="str">
        <f>"112553"</f>
        <v>112553</v>
      </c>
      <c r="B3088" t="str">
        <f>"Heat Sink - Machined  ER9 Driver"</f>
        <v>Heat Sink - Machined  ER9 Driver</v>
      </c>
      <c r="C3088" t="str">
        <f>"Active"</f>
        <v>Active</v>
      </c>
    </row>
    <row r="3089" spans="1:3" ht="18" customHeight="1">
      <c r="A3089" t="str">
        <f>"112556"</f>
        <v>112556</v>
      </c>
      <c r="B3089" t="str">
        <f>"Plate Separate  172x50x10"</f>
        <v>Plate Separate  172x50x10</v>
      </c>
      <c r="C3089" t="str">
        <f>"ECO-N2Buy"</f>
        <v>ECO-N2Buy</v>
      </c>
    </row>
    <row r="3090" spans="1:3" ht="18" customHeight="1">
      <c r="A3090" t="str">
        <f>"112557"</f>
        <v>112557</v>
      </c>
      <c r="B3090" t="str">
        <f>"Sleeve (small) H.D Axis 1,2,3, Scorbot ER9"</f>
        <v>Sleeve (small) H.D Axis 1,2,3, Scorbot ER9</v>
      </c>
      <c r="C3090" t="str">
        <f>"Active"</f>
        <v>Active</v>
      </c>
    </row>
    <row r="3091" spans="1:3" ht="18" customHeight="1">
      <c r="A3091" t="str">
        <f>"112558"</f>
        <v>112558</v>
      </c>
      <c r="B3091" t="str">
        <f>"Sleeve (big) H.D Axis 1,2,3, Scorbot ER9"</f>
        <v>Sleeve (big) H.D Axis 1,2,3, Scorbot ER9</v>
      </c>
      <c r="C3091" t="str">
        <f>"Active"</f>
        <v>Active</v>
      </c>
    </row>
    <row r="3092" spans="1:3" ht="18" customHeight="1">
      <c r="A3092" t="str">
        <f>"112559"</f>
        <v>112559</v>
      </c>
      <c r="B3092" t="str">
        <f>"Support Cables for Roll, Scorbot ER9"</f>
        <v>Support Cables for Roll, Scorbot ER9</v>
      </c>
      <c r="C3092" t="str">
        <f>"Active"</f>
        <v>Active</v>
      </c>
    </row>
    <row r="3093" spans="1:3" ht="18" customHeight="1">
      <c r="A3093" t="str">
        <f>"112560"</f>
        <v>112560</v>
      </c>
      <c r="B3093" t="str">
        <f>"Push button 4 Level, Scorbot ER9"</f>
        <v>Push button 4 Level, Scorbot ER9</v>
      </c>
      <c r="C3093" t="str">
        <f>"Not for purc"</f>
        <v>Not for purc</v>
      </c>
    </row>
    <row r="3094" spans="1:3" ht="18" customHeight="1">
      <c r="A3094" t="str">
        <f>"112561"</f>
        <v>112561</v>
      </c>
      <c r="B3094" t="str">
        <f>"Cover For Optical Sensor Axis 5, Scorbot ER9"</f>
        <v>Cover For Optical Sensor Axis 5, Scorbot ER9</v>
      </c>
      <c r="C3094" t="str">
        <f>"Active"</f>
        <v>Active</v>
      </c>
    </row>
    <row r="3095" spans="1:3" ht="18" customHeight="1">
      <c r="A3095" t="str">
        <f>"112562"</f>
        <v>112562</v>
      </c>
      <c r="B3095" t="str">
        <f>"Base Robot, Scorbot ER9Pro"</f>
        <v>Base Robot, Scorbot ER9Pro</v>
      </c>
      <c r="C3095" t="str">
        <f>"Active"</f>
        <v>Active</v>
      </c>
    </row>
    <row r="3096" spans="1:3" ht="18" customHeight="1">
      <c r="A3096" t="str">
        <f>"112562-10"</f>
        <v>112562-10</v>
      </c>
      <c r="B3096" t="str">
        <f>"Base Robot, Scorbot ER9Pro"</f>
        <v>Base Robot, Scorbot ER9Pro</v>
      </c>
      <c r="C3096" t="str">
        <f>"Not for sale"</f>
        <v>Not for sale</v>
      </c>
    </row>
    <row r="3097" spans="1:3" ht="18" customHeight="1">
      <c r="A3097" t="str">
        <f>"112563"</f>
        <v>112563</v>
      </c>
      <c r="B3097" t="str">
        <f>"Turret Mechanism Housing, Scorbot ER9Pro"</f>
        <v>Turret Mechanism Housing, Scorbot ER9Pro</v>
      </c>
      <c r="C3097" t="str">
        <f>"Active"</f>
        <v>Active</v>
      </c>
    </row>
    <row r="3098" spans="1:3" ht="18" customHeight="1">
      <c r="A3098" t="str">
        <f>"112563-10"</f>
        <v>112563-10</v>
      </c>
      <c r="B3098" t="str">
        <f>"Turret Mechanism Housing, Scorbot ER9Pro"</f>
        <v>Turret Mechanism Housing, Scorbot ER9Pro</v>
      </c>
      <c r="C3098" t="str">
        <f>"Not for sale"</f>
        <v>Not for sale</v>
      </c>
    </row>
    <row r="3099" spans="1:3" ht="18" customHeight="1">
      <c r="A3099" t="str">
        <f>"112564"</f>
        <v>112564</v>
      </c>
      <c r="B3099" t="str">
        <f>"Cover Turret, Scorbot ER9Pro"</f>
        <v>Cover Turret, Scorbot ER9Pro</v>
      </c>
      <c r="C3099" t="str">
        <f>"Active"</f>
        <v>Active</v>
      </c>
    </row>
    <row r="3100" spans="1:3" ht="18" customHeight="1">
      <c r="A3100" t="str">
        <f>"112564-10"</f>
        <v>112564-10</v>
      </c>
      <c r="B3100" t="str">
        <f>"Cover Turret, Scorbot ER9Pro"</f>
        <v>Cover Turret, Scorbot ER9Pro</v>
      </c>
      <c r="C3100" t="str">
        <f>"Not for sale"</f>
        <v>Not for sale</v>
      </c>
    </row>
    <row r="3101" spans="1:3" ht="18" customHeight="1">
      <c r="A3101" t="str">
        <f>"112564-20"</f>
        <v>112564-20</v>
      </c>
      <c r="B3101" t="str">
        <f>"Cover Turret, Scorbot ER9Pro"</f>
        <v>Cover Turret, Scorbot ER9Pro</v>
      </c>
      <c r="C3101" t="str">
        <f>"Not for sale"</f>
        <v>Not for sale</v>
      </c>
    </row>
    <row r="3102" spans="1:3" ht="18" customHeight="1">
      <c r="A3102" t="str">
        <f>"112565"</f>
        <v>112565</v>
      </c>
      <c r="B3102" t="str">
        <f>"Arm Mechanism Housing-Long, Scorbot ER9"</f>
        <v>Arm Mechanism Housing-Long, Scorbot ER9</v>
      </c>
      <c r="C3102" t="str">
        <f>"Active"</f>
        <v>Active</v>
      </c>
    </row>
    <row r="3103" spans="1:3" ht="18" customHeight="1">
      <c r="A3103" t="str">
        <f>"112565-10"</f>
        <v>112565-10</v>
      </c>
      <c r="B3103" t="str">
        <f>"Arm Mechanism Housing-Long, Scorbot ER9"</f>
        <v>Arm Mechanism Housing-Long, Scorbot ER9</v>
      </c>
      <c r="C3103" t="str">
        <f>"Not for sale"</f>
        <v>Not for sale</v>
      </c>
    </row>
    <row r="3104" spans="1:3" ht="18" customHeight="1">
      <c r="A3104" t="str">
        <f>"112566"</f>
        <v>112566</v>
      </c>
      <c r="B3104" t="str">
        <f>"Cover Arm -Long, Scorbot ER9Pro"</f>
        <v>Cover Arm -Long, Scorbot ER9Pro</v>
      </c>
      <c r="C3104" t="str">
        <f>"Active"</f>
        <v>Active</v>
      </c>
    </row>
    <row r="3105" spans="1:3" ht="18" customHeight="1">
      <c r="A3105" t="str">
        <f>"112566-10"</f>
        <v>112566-10</v>
      </c>
      <c r="B3105" t="str">
        <f>"Cover Arm -Long, Scorbot ER9Pro"</f>
        <v>Cover Arm -Long, Scorbot ER9Pro</v>
      </c>
      <c r="C3105" t="str">
        <f>"Not for sale"</f>
        <v>Not for sale</v>
      </c>
    </row>
    <row r="3106" spans="1:3" ht="18" customHeight="1">
      <c r="A3106" t="str">
        <f>"112567"</f>
        <v>112567</v>
      </c>
      <c r="B3106" t="str">
        <f>"Arm Mechanism Housing-Short, Scorbot ER9Pro"</f>
        <v>Arm Mechanism Housing-Short, Scorbot ER9Pro</v>
      </c>
      <c r="C3106" t="str">
        <f>"Active"</f>
        <v>Active</v>
      </c>
    </row>
    <row r="3107" spans="1:3" ht="18" customHeight="1">
      <c r="A3107" t="str">
        <f>"112567-10"</f>
        <v>112567-10</v>
      </c>
      <c r="B3107" t="str">
        <f>"Arm Mechanism Housing-Short, Scorbot ER9Pro"</f>
        <v>Arm Mechanism Housing-Short, Scorbot ER9Pro</v>
      </c>
      <c r="C3107" t="str">
        <f>"Not for sale"</f>
        <v>Not for sale</v>
      </c>
    </row>
    <row r="3108" spans="1:3" ht="18" customHeight="1">
      <c r="A3108" t="str">
        <f>"112570"</f>
        <v>112570</v>
      </c>
      <c r="B3108" t="str">
        <f>"Operant For Optical Sensor Axis 4,Scora ER14"</f>
        <v>Operant For Optical Sensor Axis 4,Scora ER14</v>
      </c>
      <c r="C3108" t="str">
        <f t="shared" ref="C3108:C3116" si="140">"Active"</f>
        <v>Active</v>
      </c>
    </row>
    <row r="3109" spans="1:3" ht="18" customHeight="1">
      <c r="A3109" t="str">
        <f>"112571"</f>
        <v>112571</v>
      </c>
      <c r="B3109" t="str">
        <f>"Cover Bearing Axis 3,4, SCORA ER14"</f>
        <v>Cover Bearing Axis 3,4, SCORA ER14</v>
      </c>
      <c r="C3109" t="str">
        <f t="shared" si="140"/>
        <v>Active</v>
      </c>
    </row>
    <row r="3110" spans="1:3" ht="18" customHeight="1">
      <c r="A3110" t="str">
        <f>"112572"</f>
        <v>112572</v>
      </c>
      <c r="B3110" t="str">
        <f>"Microswitch Axis 3, SCORA ER14"</f>
        <v>Microswitch Axis 3, SCORA ER14</v>
      </c>
      <c r="C3110" t="str">
        <f t="shared" si="140"/>
        <v>Active</v>
      </c>
    </row>
    <row r="3111" spans="1:3" ht="18" customHeight="1">
      <c r="A3111" t="str">
        <f>"112573"</f>
        <v>112573</v>
      </c>
      <c r="B3111" t="str">
        <f>"Holder For Optical Sensor Axis 4,Scora ER14"</f>
        <v>Holder For Optical Sensor Axis 4,Scora ER14</v>
      </c>
      <c r="C3111" t="str">
        <f t="shared" si="140"/>
        <v>Active</v>
      </c>
    </row>
    <row r="3112" spans="1:3" ht="18" customHeight="1">
      <c r="A3112" t="str">
        <f>"112574"</f>
        <v>112574</v>
      </c>
      <c r="B3112" t="str">
        <f>"Operant For Optical Sensor Axis 3,Scora ER14"</f>
        <v>Operant For Optical Sensor Axis 3,Scora ER14</v>
      </c>
      <c r="C3112" t="str">
        <f t="shared" si="140"/>
        <v>Active</v>
      </c>
    </row>
    <row r="3113" spans="1:3" ht="18" customHeight="1">
      <c r="A3113" t="str">
        <f>"112575"</f>
        <v>112575</v>
      </c>
      <c r="B3113" t="str">
        <f>"Base For Optical Sensor Axis 3,Scora ER14"</f>
        <v>Base For Optical Sensor Axis 3,Scora ER14</v>
      </c>
      <c r="C3113" t="str">
        <f t="shared" si="140"/>
        <v>Active</v>
      </c>
    </row>
    <row r="3114" spans="1:3" ht="18" customHeight="1">
      <c r="A3114" t="str">
        <f>"112576"</f>
        <v>112576</v>
      </c>
      <c r="B3114" t="str">
        <f>"Support , SCORA ER14"</f>
        <v>Support , SCORA ER14</v>
      </c>
      <c r="C3114" t="str">
        <f t="shared" si="140"/>
        <v>Active</v>
      </c>
    </row>
    <row r="3115" spans="1:3" ht="18" customHeight="1">
      <c r="A3115" t="str">
        <f>"112577"</f>
        <v>112577</v>
      </c>
      <c r="B3115" t="str">
        <f>"Base for Gripper Harness 1-1/4"", SCORA ER14"</f>
        <v>Base for Gripper Harness 1-1/4", SCORA ER14</v>
      </c>
      <c r="C3115" t="str">
        <f t="shared" si="140"/>
        <v>Active</v>
      </c>
    </row>
    <row r="3116" spans="1:3" ht="18" customHeight="1">
      <c r="A3116" t="str">
        <f>"112578"</f>
        <v>112578</v>
      </c>
      <c r="B3116" t="str">
        <f>"Cover Harmonic Transmission Gear, SCORA ER14Pro"</f>
        <v>Cover Harmonic Transmission Gear, SCORA ER14Pro</v>
      </c>
      <c r="C3116" t="str">
        <f t="shared" si="140"/>
        <v>Active</v>
      </c>
    </row>
    <row r="3117" spans="1:3" ht="18" customHeight="1">
      <c r="A3117" t="str">
        <f>"112578-10"</f>
        <v>112578-10</v>
      </c>
      <c r="B3117" t="str">
        <f>"Cover Harmonic Transmission Gear, SCORA ER14Pro"</f>
        <v>Cover Harmonic Transmission Gear, SCORA ER14Pro</v>
      </c>
      <c r="C3117" t="str">
        <f>"Not for sale"</f>
        <v>Not for sale</v>
      </c>
    </row>
    <row r="3118" spans="1:3" ht="18" customHeight="1">
      <c r="A3118" t="str">
        <f>"112579"</f>
        <v>112579</v>
      </c>
      <c r="B3118" t="str">
        <f>"Arm First, SCORA ER14Pro"</f>
        <v>Arm First, SCORA ER14Pro</v>
      </c>
      <c r="C3118" t="str">
        <f>"Active"</f>
        <v>Active</v>
      </c>
    </row>
    <row r="3119" spans="1:3" ht="18" customHeight="1">
      <c r="A3119" t="str">
        <f>"112579-10"</f>
        <v>112579-10</v>
      </c>
      <c r="B3119" t="str">
        <f>"Arm First, SCORA ER14Pro"</f>
        <v>Arm First, SCORA ER14Pro</v>
      </c>
      <c r="C3119" t="str">
        <f>"Not for sale"</f>
        <v>Not for sale</v>
      </c>
    </row>
    <row r="3120" spans="1:3" ht="18" customHeight="1">
      <c r="A3120" t="str">
        <f>"112580"</f>
        <v>112580</v>
      </c>
      <c r="B3120" t="str">
        <f>"Arm Second, SCORA ER14Pro"</f>
        <v>Arm Second, SCORA ER14Pro</v>
      </c>
      <c r="C3120" t="str">
        <f>"Active"</f>
        <v>Active</v>
      </c>
    </row>
    <row r="3121" spans="1:3" ht="18" customHeight="1">
      <c r="A3121" t="str">
        <f>"112580-10"</f>
        <v>112580-10</v>
      </c>
      <c r="B3121" t="str">
        <f>"Arm Second, SCORA ER14Pro"</f>
        <v>Arm Second, SCORA ER14Pro</v>
      </c>
      <c r="C3121" t="str">
        <f>"Not for sale"</f>
        <v>Not for sale</v>
      </c>
    </row>
    <row r="3122" spans="1:3" ht="18" customHeight="1">
      <c r="A3122" t="str">
        <f>"112581"</f>
        <v>112581</v>
      </c>
      <c r="B3122" t="str">
        <f>"Base For Robot, SCORA ER14Pro"</f>
        <v>Base For Robot, SCORA ER14Pro</v>
      </c>
      <c r="C3122" t="str">
        <f>"Active"</f>
        <v>Active</v>
      </c>
    </row>
    <row r="3123" spans="1:3" ht="18" customHeight="1">
      <c r="A3123" t="str">
        <f>"112581-10"</f>
        <v>112581-10</v>
      </c>
      <c r="B3123" t="str">
        <f>"Base For Robot, SCORA ER14Pro"</f>
        <v>Base For Robot, SCORA ER14Pro</v>
      </c>
      <c r="C3123" t="str">
        <f>"Not for sale"</f>
        <v>Not for sale</v>
      </c>
    </row>
    <row r="3124" spans="1:3" ht="18" customHeight="1">
      <c r="A3124" t="str">
        <f>"112582"</f>
        <v>112582</v>
      </c>
      <c r="B3124" t="str">
        <f>"Support Cable, SCORA ER14"</f>
        <v>Support Cable, SCORA ER14</v>
      </c>
      <c r="C3124" t="str">
        <f>"Active"</f>
        <v>Active</v>
      </c>
    </row>
    <row r="3125" spans="1:3" ht="18" customHeight="1">
      <c r="A3125" t="str">
        <f>"112583"</f>
        <v>112583</v>
      </c>
      <c r="B3125" t="str">
        <f>"Column Welder, SCORA ER14Pro"</f>
        <v>Column Welder, SCORA ER14Pro</v>
      </c>
      <c r="C3125" t="str">
        <f>"Active"</f>
        <v>Active</v>
      </c>
    </row>
    <row r="3126" spans="1:3" ht="18" customHeight="1">
      <c r="A3126" t="str">
        <f>"112583-10"</f>
        <v>112583-10</v>
      </c>
      <c r="B3126" t="str">
        <f>"Column Welder, SCORA ER14Pro"</f>
        <v>Column Welder, SCORA ER14Pro</v>
      </c>
      <c r="C3126" t="str">
        <f>"Not for sale"</f>
        <v>Not for sale</v>
      </c>
    </row>
    <row r="3127" spans="1:3" ht="18" customHeight="1">
      <c r="A3127" t="str">
        <f>"112584"</f>
        <v>112584</v>
      </c>
      <c r="B3127" t="str">
        <f>"Adaptor Motor Axis 3, SCORA ER14"</f>
        <v>Adaptor Motor Axis 3, SCORA ER14</v>
      </c>
      <c r="C3127" t="str">
        <f>"Active"</f>
        <v>Active</v>
      </c>
    </row>
    <row r="3128" spans="1:3" ht="18" customHeight="1">
      <c r="A3128" t="str">
        <f>"112585"</f>
        <v>112585</v>
      </c>
      <c r="B3128" t="str">
        <f>"Disc Pressure Lower, SCORA ER14"</f>
        <v>Disc Pressure Lower, SCORA ER14</v>
      </c>
      <c r="C3128" t="str">
        <f>"Active"</f>
        <v>Active</v>
      </c>
    </row>
    <row r="3129" spans="1:3" ht="18" customHeight="1">
      <c r="A3129" t="str">
        <f>"112586"</f>
        <v>112586</v>
      </c>
      <c r="B3129" t="str">
        <f>"Disc Pressure Upper, SCORA ER14"</f>
        <v>Disc Pressure Upper, SCORA ER14</v>
      </c>
      <c r="C3129" t="str">
        <f>"Active"</f>
        <v>Active</v>
      </c>
    </row>
    <row r="3130" spans="1:3" ht="18" customHeight="1">
      <c r="A3130" t="str">
        <f>"112587"</f>
        <v>112587</v>
      </c>
      <c r="B3130" t="str">
        <f>"Ring Axis 1, ER14"</f>
        <v>Ring Axis 1, ER14</v>
      </c>
      <c r="C3130" t="str">
        <f>"Active"</f>
        <v>Active</v>
      </c>
    </row>
    <row r="3131" spans="1:3" ht="18" customHeight="1">
      <c r="A3131" t="str">
        <f>"112588"</f>
        <v>112588</v>
      </c>
      <c r="B3131" t="str">
        <f>"Ring Axis 2, SCORA ER14"</f>
        <v>Ring Axis 2, SCORA ER14</v>
      </c>
      <c r="C3131" t="str">
        <f>"Active"</f>
        <v>Active</v>
      </c>
    </row>
    <row r="3132" spans="1:3" ht="18" customHeight="1">
      <c r="A3132" t="str">
        <f>"112589"</f>
        <v>112589</v>
      </c>
      <c r="B3132" t="str">
        <f>"Holder Optical Sensor 1-2, ER14"</f>
        <v>Holder Optical Sensor 1-2, ER14</v>
      </c>
      <c r="C3132" t="str">
        <f>"Not for sale"</f>
        <v>Not for sale</v>
      </c>
    </row>
    <row r="3133" spans="1:3" ht="18" customHeight="1">
      <c r="A3133" t="str">
        <f>"112591"</f>
        <v>112591</v>
      </c>
      <c r="B3133" t="str">
        <f>"Holder Optical Sensor 1-2-3, ER9"</f>
        <v>Holder Optical Sensor 1-2-3, ER9</v>
      </c>
      <c r="C3133" t="str">
        <f t="shared" ref="C3133:C3162" si="141">"Active"</f>
        <v>Active</v>
      </c>
    </row>
    <row r="3134" spans="1:3" ht="18" customHeight="1">
      <c r="A3134" t="str">
        <f>"112592"</f>
        <v>112592</v>
      </c>
      <c r="B3134" t="str">
        <f>"Corner Holder for Optical Sensor, ER9"</f>
        <v>Corner Holder for Optical Sensor, ER9</v>
      </c>
      <c r="C3134" t="str">
        <f t="shared" si="141"/>
        <v>Active</v>
      </c>
    </row>
    <row r="3135" spans="1:3" ht="18" customHeight="1">
      <c r="A3135" t="str">
        <f>"112593"</f>
        <v>112593</v>
      </c>
      <c r="B3135" t="str">
        <f>"Disc Pressure Joint 2, SCORA ER14"</f>
        <v>Disc Pressure Joint 2, SCORA ER14</v>
      </c>
      <c r="C3135" t="str">
        <f t="shared" si="141"/>
        <v>Active</v>
      </c>
    </row>
    <row r="3136" spans="1:3" ht="18" customHeight="1">
      <c r="A3136" t="str">
        <f>"112594"</f>
        <v>112594</v>
      </c>
      <c r="B3136" t="str">
        <f>"Shaft Turret &amp; Cover, Scorbot ER9"</f>
        <v>Shaft Turret &amp; Cover, Scorbot ER9</v>
      </c>
      <c r="C3136" t="str">
        <f t="shared" si="141"/>
        <v>Active</v>
      </c>
    </row>
    <row r="3137" spans="1:3" ht="18" customHeight="1">
      <c r="A3137" t="str">
        <f>"112595"</f>
        <v>112595</v>
      </c>
      <c r="B3137" t="str">
        <f>"Support Motor Axis 2, Scorbot ER9"</f>
        <v>Support Motor Axis 2, Scorbot ER9</v>
      </c>
      <c r="C3137" t="str">
        <f t="shared" si="141"/>
        <v>Active</v>
      </c>
    </row>
    <row r="3138" spans="1:3" ht="18" customHeight="1">
      <c r="A3138" t="str">
        <f>"112596"</f>
        <v>112596</v>
      </c>
      <c r="B3138" t="str">
        <f>"Support Motor Axis 3, Scorbot ER9"</f>
        <v>Support Motor Axis 3, Scorbot ER9</v>
      </c>
      <c r="C3138" t="str">
        <f t="shared" si="141"/>
        <v>Active</v>
      </c>
    </row>
    <row r="3139" spans="1:3" ht="18" customHeight="1">
      <c r="A3139" t="str">
        <f>"112597"</f>
        <v>112597</v>
      </c>
      <c r="B3139" t="str">
        <f>"Gripper Motor Axis 2, Scorbot ER9"</f>
        <v>Gripper Motor Axis 2, Scorbot ER9</v>
      </c>
      <c r="C3139" t="str">
        <f t="shared" si="141"/>
        <v>Active</v>
      </c>
    </row>
    <row r="3140" spans="1:3" ht="18" customHeight="1">
      <c r="A3140" t="str">
        <f>"112598"</f>
        <v>112598</v>
      </c>
      <c r="B3140" t="str">
        <f>"Cover Axis 3, Scorbot ER9"</f>
        <v>Cover Axis 3, Scorbot ER9</v>
      </c>
      <c r="C3140" t="str">
        <f t="shared" si="141"/>
        <v>Active</v>
      </c>
    </row>
    <row r="3141" spans="1:3" ht="18" customHeight="1">
      <c r="A3141" t="str">
        <f>"112599"</f>
        <v>112599</v>
      </c>
      <c r="B3141" t="str">
        <f>"Cover Axis 2, Scorbot ER9"</f>
        <v>Cover Axis 2, Scorbot ER9</v>
      </c>
      <c r="C3141" t="str">
        <f t="shared" si="141"/>
        <v>Active</v>
      </c>
    </row>
    <row r="3142" spans="1:3" ht="18" customHeight="1">
      <c r="A3142" t="str">
        <f>"112601"</f>
        <v>112601</v>
      </c>
      <c r="B3142" t="str">
        <f>"Support Cover Arm &amp; Joint, Scorbot ER9"</f>
        <v>Support Cover Arm &amp; Joint, Scorbot ER9</v>
      </c>
      <c r="C3142" t="str">
        <f t="shared" si="141"/>
        <v>Active</v>
      </c>
    </row>
    <row r="3143" spans="1:3" ht="18" customHeight="1">
      <c r="A3143" t="str">
        <f>"112602"</f>
        <v>112602</v>
      </c>
      <c r="B3143" t="str">
        <f>"Support Cable Pitch, Scorbot ER9"</f>
        <v>Support Cable Pitch, Scorbot ER9</v>
      </c>
      <c r="C3143" t="str">
        <f t="shared" si="141"/>
        <v>Active</v>
      </c>
    </row>
    <row r="3144" spans="1:3" ht="18" customHeight="1">
      <c r="A3144" t="str">
        <f>"112603"</f>
        <v>112603</v>
      </c>
      <c r="B3144" t="str">
        <f>"Balk Switch Pitch - Home, Scorbot ER9"</f>
        <v>Balk Switch Pitch - Home, Scorbot ER9</v>
      </c>
      <c r="C3144" t="str">
        <f t="shared" si="141"/>
        <v>Active</v>
      </c>
    </row>
    <row r="3145" spans="1:3" ht="18" customHeight="1">
      <c r="A3145" t="str">
        <f>"112605"</f>
        <v>112605</v>
      </c>
      <c r="B3145" t="str">
        <f>"Base Switch Level 4, Scorbot ER9"</f>
        <v>Base Switch Level 4, Scorbot ER9</v>
      </c>
      <c r="C3145" t="str">
        <f t="shared" si="141"/>
        <v>Active</v>
      </c>
    </row>
    <row r="3146" spans="1:3" ht="18" customHeight="1">
      <c r="A3146" t="str">
        <f>"112606"</f>
        <v>112606</v>
      </c>
      <c r="B3146" t="str">
        <f>"Spacer Cover Microswitch  SCORBOT ER9"</f>
        <v>Spacer Cover Microswitch  SCORBOT ER9</v>
      </c>
      <c r="C3146" t="str">
        <f t="shared" si="141"/>
        <v>Active</v>
      </c>
    </row>
    <row r="3147" spans="1:3" ht="18" customHeight="1">
      <c r="A3147" t="str">
        <f>"112609"</f>
        <v>112609</v>
      </c>
      <c r="B3147" t="str">
        <f>"Cover Gripper Type C"</f>
        <v>Cover Gripper Type C</v>
      </c>
      <c r="C3147" t="str">
        <f t="shared" si="141"/>
        <v>Active</v>
      </c>
    </row>
    <row r="3148" spans="1:3" ht="18" customHeight="1">
      <c r="A3148" t="str">
        <f>"112610"</f>
        <v>112610</v>
      </c>
      <c r="B3148" t="str">
        <f>"Support Gripper Motor Type C"</f>
        <v>Support Gripper Motor Type C</v>
      </c>
      <c r="C3148" t="str">
        <f t="shared" si="141"/>
        <v>Active</v>
      </c>
    </row>
    <row r="3149" spans="1:3" ht="18" customHeight="1">
      <c r="A3149" t="str">
        <f>"112611"</f>
        <v>112611</v>
      </c>
      <c r="B3149" t="str">
        <f>"Jaw Right GRP Type C"</f>
        <v>Jaw Right GRP Type C</v>
      </c>
      <c r="C3149" t="str">
        <f t="shared" si="141"/>
        <v>Active</v>
      </c>
    </row>
    <row r="3150" spans="1:3" ht="18" customHeight="1">
      <c r="A3150" t="str">
        <f>"112612"</f>
        <v>112612</v>
      </c>
      <c r="B3150" t="str">
        <f>"Jaw Left GRP Type C"</f>
        <v>Jaw Left GRP Type C</v>
      </c>
      <c r="C3150" t="str">
        <f t="shared" si="141"/>
        <v>Active</v>
      </c>
    </row>
    <row r="3151" spans="1:3" ht="18" customHeight="1">
      <c r="A3151" t="str">
        <f>"112618"</f>
        <v>112618</v>
      </c>
      <c r="B3151" t="str">
        <f>"Spacer for HDUF"</f>
        <v>Spacer for HDUF</v>
      </c>
      <c r="C3151" t="str">
        <f t="shared" si="141"/>
        <v>Active</v>
      </c>
    </row>
    <row r="3152" spans="1:3" ht="18" customHeight="1">
      <c r="A3152" t="str">
        <f>"112619"</f>
        <v>112619</v>
      </c>
      <c r="B3152" t="str">
        <f>"Jaw 75mm   GRP Type C"</f>
        <v>Jaw 75mm   GRP Type C</v>
      </c>
      <c r="C3152" t="str">
        <f t="shared" si="141"/>
        <v>Active</v>
      </c>
    </row>
    <row r="3153" spans="1:3" ht="18" customHeight="1">
      <c r="A3153" t="str">
        <f>"112621"</f>
        <v>112621</v>
      </c>
      <c r="B3153" t="str">
        <f>"Base Harness For Arm 2, SCORA ER14-Accomplished"</f>
        <v>Base Harness For Arm 2, SCORA ER14-Accomplished</v>
      </c>
      <c r="C3153" t="str">
        <f t="shared" si="141"/>
        <v>Active</v>
      </c>
    </row>
    <row r="3154" spans="1:3" ht="18" customHeight="1">
      <c r="A3154" t="str">
        <f>"112621-10"</f>
        <v>112621-10</v>
      </c>
      <c r="B3154" t="str">
        <f>"Base Harness For Arm 2, SCORA ER14-Machining"</f>
        <v>Base Harness For Arm 2, SCORA ER14-Machining</v>
      </c>
      <c r="C3154" t="str">
        <f t="shared" si="141"/>
        <v>Active</v>
      </c>
    </row>
    <row r="3155" spans="1:3" ht="18" customHeight="1">
      <c r="A3155" t="str">
        <f>"112622"</f>
        <v>112622</v>
      </c>
      <c r="B3155" t="str">
        <f>"Spacer For Holder Cable Scora ER14"</f>
        <v>Spacer For Holder Cable Scora ER14</v>
      </c>
      <c r="C3155" t="str">
        <f t="shared" si="141"/>
        <v>Active</v>
      </c>
    </row>
    <row r="3156" spans="1:3" ht="18" customHeight="1">
      <c r="A3156" t="str">
        <f>"112623"</f>
        <v>112623</v>
      </c>
      <c r="B3156" t="str">
        <f>"Plate for Valves 140x100 Pneumatic Assy"</f>
        <v>Plate for Valves 140x100 Pneumatic Assy</v>
      </c>
      <c r="C3156" t="str">
        <f t="shared" si="141"/>
        <v>Active</v>
      </c>
    </row>
    <row r="3157" spans="1:3" ht="18" customHeight="1">
      <c r="A3157" t="str">
        <f>"112624"</f>
        <v>112624</v>
      </c>
      <c r="B3157" t="str">
        <f>"Pneumatic System For Microswitch"</f>
        <v>Pneumatic System For Microswitch</v>
      </c>
      <c r="C3157" t="str">
        <f t="shared" si="141"/>
        <v>Active</v>
      </c>
    </row>
    <row r="3158" spans="1:3" ht="18" customHeight="1">
      <c r="A3158" t="str">
        <f>"112625"</f>
        <v>112625</v>
      </c>
      <c r="B3158" t="str">
        <f>"Flange for Manifold PneuFlex"</f>
        <v>Flange for Manifold PneuFlex</v>
      </c>
      <c r="C3158" t="str">
        <f t="shared" si="141"/>
        <v>Active</v>
      </c>
    </row>
    <row r="3159" spans="1:3" ht="18" customHeight="1">
      <c r="A3159" t="str">
        <f>"112627"</f>
        <v>112627</v>
      </c>
      <c r="B3159" t="str">
        <f>"Flange For Pap Switch"</f>
        <v>Flange For Pap Switch</v>
      </c>
      <c r="C3159" t="str">
        <f t="shared" si="141"/>
        <v>Active</v>
      </c>
    </row>
    <row r="3160" spans="1:3" ht="18" customHeight="1">
      <c r="A3160" t="str">
        <f>"112629"</f>
        <v>112629</v>
      </c>
      <c r="B3160" t="str">
        <f>"Head For Pneumatic Piston, D=19, M10x1.25"</f>
        <v>Head For Pneumatic Piston, D=19, M10x1.25</v>
      </c>
      <c r="C3160" t="str">
        <f t="shared" si="141"/>
        <v>Active</v>
      </c>
    </row>
    <row r="3161" spans="1:3" ht="18" customHeight="1">
      <c r="A3161" t="str">
        <f>"112630"</f>
        <v>112630</v>
      </c>
      <c r="B3161" t="str">
        <f>"Plate For Clippard"</f>
        <v>Plate For Clippard</v>
      </c>
      <c r="C3161" t="str">
        <f t="shared" si="141"/>
        <v>Active</v>
      </c>
    </row>
    <row r="3162" spans="1:3" ht="18" customHeight="1">
      <c r="A3162" t="str">
        <f>"112631"</f>
        <v>112631</v>
      </c>
      <c r="B3162" t="str">
        <f>"Plate for Delay  Valve"</f>
        <v>Plate for Delay  Valve</v>
      </c>
      <c r="C3162" t="str">
        <f t="shared" si="141"/>
        <v>Active</v>
      </c>
    </row>
    <row r="3163" spans="1:3" ht="18" customHeight="1">
      <c r="A3163" t="str">
        <f>"112636"</f>
        <v>112636</v>
      </c>
      <c r="B3163" t="str">
        <f>"Base for Flow Meter 108x150 Change 112623/38"</f>
        <v>Base for Flow Meter 108x150 Change 112623/38</v>
      </c>
      <c r="C3163" t="str">
        <f>"Phase Out"</f>
        <v>Phase Out</v>
      </c>
    </row>
    <row r="3164" spans="1:3" ht="18" customHeight="1">
      <c r="A3164" t="str">
        <f>"112637"</f>
        <v>112637</v>
      </c>
      <c r="B3164" t="str">
        <f>"Spacer  38x12x6mm"</f>
        <v>Spacer  38x12x6mm</v>
      </c>
      <c r="C3164" t="str">
        <f t="shared" ref="C3164:C3179" si="142">"Active"</f>
        <v>Active</v>
      </c>
    </row>
    <row r="3165" spans="1:3" ht="18" customHeight="1">
      <c r="A3165" t="str">
        <f>"112638"</f>
        <v>112638</v>
      </c>
      <c r="B3165" t="str">
        <f>"Base For Hydraulic Assy. 150x100"</f>
        <v>Base For Hydraulic Assy. 150x100</v>
      </c>
      <c r="C3165" t="str">
        <f t="shared" si="142"/>
        <v>Active</v>
      </c>
    </row>
    <row r="3166" spans="1:3" ht="18" customHeight="1">
      <c r="A3166" t="str">
        <f>"112639"</f>
        <v>112639</v>
      </c>
      <c r="B3166" t="str">
        <f>"Holder for Press. Regulator"</f>
        <v>Holder for Press. Regulator</v>
      </c>
      <c r="C3166" t="str">
        <f t="shared" si="142"/>
        <v>Active</v>
      </c>
    </row>
    <row r="3167" spans="1:3" ht="18" customHeight="1">
      <c r="A3167" t="str">
        <f>"112640"</f>
        <v>112640</v>
      </c>
      <c r="B3167" t="str">
        <f>"Manifold   pressure gauge"</f>
        <v>Manifold   pressure gauge</v>
      </c>
      <c r="C3167" t="str">
        <f t="shared" si="142"/>
        <v>Active</v>
      </c>
    </row>
    <row r="3168" spans="1:3" ht="18" customHeight="1">
      <c r="A3168" t="str">
        <f>"112643"</f>
        <v>112643</v>
      </c>
      <c r="B3168" t="str">
        <f>"Mainfold"</f>
        <v>Mainfold</v>
      </c>
      <c r="C3168" t="str">
        <f t="shared" si="142"/>
        <v>Active</v>
      </c>
    </row>
    <row r="3169" spans="1:3" ht="18" customHeight="1">
      <c r="A3169" t="str">
        <f>"112645"</f>
        <v>112645</v>
      </c>
      <c r="B3169" t="str">
        <f>"Stand For Gage Temperature"</f>
        <v>Stand For Gage Temperature</v>
      </c>
      <c r="C3169" t="str">
        <f t="shared" si="142"/>
        <v>Active</v>
      </c>
    </row>
    <row r="3170" spans="1:3" ht="18" customHeight="1">
      <c r="A3170" t="str">
        <f>"112646"</f>
        <v>112646</v>
      </c>
      <c r="B3170" t="str">
        <f>"Base Small 110x75 Pneu./Hyd. Assy."</f>
        <v>Base Small 110x75 Pneu./Hyd. Assy.</v>
      </c>
      <c r="C3170" t="str">
        <f t="shared" si="142"/>
        <v>Active</v>
      </c>
    </row>
    <row r="3171" spans="1:3" ht="18" customHeight="1">
      <c r="A3171" t="str">
        <f>"112647"</f>
        <v>112647</v>
      </c>
      <c r="B3171" t="str">
        <f>"Base for Valve  110x70"</f>
        <v>Base for Valve  110x70</v>
      </c>
      <c r="C3171" t="str">
        <f t="shared" si="142"/>
        <v>Active</v>
      </c>
    </row>
    <row r="3172" spans="1:3" ht="18" customHeight="1">
      <c r="A3172" t="str">
        <f>"112648"</f>
        <v>112648</v>
      </c>
      <c r="B3172" t="str">
        <f>"Plate for hydraulic valves, 230x110"</f>
        <v>Plate for hydraulic valves, 230x110</v>
      </c>
      <c r="C3172" t="str">
        <f t="shared" si="142"/>
        <v>Active</v>
      </c>
    </row>
    <row r="3173" spans="1:3" ht="18" customHeight="1">
      <c r="A3173" t="str">
        <f>"112650"</f>
        <v>112650</v>
      </c>
      <c r="B3173" t="str">
        <f>"Support of Panel Slotted L=800mm"</f>
        <v>Support of Panel Slotted L=800mm</v>
      </c>
      <c r="C3173" t="str">
        <f t="shared" si="142"/>
        <v>Active</v>
      </c>
    </row>
    <row r="3174" spans="1:3" ht="18" customHeight="1">
      <c r="A3174" t="str">
        <f>"112651"</f>
        <v>112651</v>
      </c>
      <c r="B3174" t="str">
        <f>"Top Support for Slotted Panel"</f>
        <v>Top Support for Slotted Panel</v>
      </c>
      <c r="C3174" t="str">
        <f t="shared" si="142"/>
        <v>Active</v>
      </c>
    </row>
    <row r="3175" spans="1:3" ht="18" customHeight="1">
      <c r="A3175" t="str">
        <f>"112652"</f>
        <v>112652</v>
      </c>
      <c r="B3175" t="str">
        <f>"Clamp For Leg for Slotted Panel"</f>
        <v>Clamp For Leg for Slotted Panel</v>
      </c>
      <c r="C3175" t="str">
        <f t="shared" si="142"/>
        <v>Active</v>
      </c>
    </row>
    <row r="3176" spans="1:3" ht="18" customHeight="1">
      <c r="A3176" t="str">
        <f>"112653"</f>
        <v>112653</v>
      </c>
      <c r="B3176" t="str">
        <f>"Shaft for Panel Pneu/HydraFlex"</f>
        <v>Shaft for Panel Pneu/HydraFlex</v>
      </c>
      <c r="C3176" t="str">
        <f t="shared" si="142"/>
        <v>Active</v>
      </c>
    </row>
    <row r="3177" spans="1:3" ht="18" customHeight="1">
      <c r="A3177" t="str">
        <f>"112654"</f>
        <v>112654</v>
      </c>
      <c r="B3177" t="str">
        <f>"Lock-Bracket for Slotted Panel"</f>
        <v>Lock-Bracket for Slotted Panel</v>
      </c>
      <c r="C3177" t="str">
        <f t="shared" si="142"/>
        <v>Active</v>
      </c>
    </row>
    <row r="3178" spans="1:3" ht="18" customHeight="1">
      <c r="A3178" t="str">
        <f>"112655"</f>
        <v>112655</v>
      </c>
      <c r="B3178" t="str">
        <f>"Gripper for Shaft"</f>
        <v>Gripper for Shaft</v>
      </c>
      <c r="C3178" t="str">
        <f t="shared" si="142"/>
        <v>Active</v>
      </c>
    </row>
    <row r="3179" spans="1:3" ht="18" customHeight="1">
      <c r="A3179" t="str">
        <f>"112657"</f>
        <v>112657</v>
      </c>
      <c r="B3179" t="str">
        <f>"Plate Slotted with holes-Accomplished"</f>
        <v>Plate Slotted with holes-Accomplished</v>
      </c>
      <c r="C3179" t="str">
        <f t="shared" si="142"/>
        <v>Active</v>
      </c>
    </row>
    <row r="3180" spans="1:3" ht="18" customHeight="1">
      <c r="A3180" t="str">
        <f>"112657-10"</f>
        <v>112657-10</v>
      </c>
      <c r="B3180" t="str">
        <f>"Plate Slotted with holes"</f>
        <v>Plate Slotted with holes</v>
      </c>
      <c r="C3180" t="str">
        <f>"Not for sale"</f>
        <v>Not for sale</v>
      </c>
    </row>
    <row r="3181" spans="1:3" ht="18" customHeight="1">
      <c r="A3181" t="str">
        <f>"112658"</f>
        <v>112658</v>
      </c>
      <c r="B3181" t="str">
        <f>"Top Support for Panel Pneu/HydraFlex"</f>
        <v>Top Support for Panel Pneu/HydraFlex</v>
      </c>
      <c r="C3181" t="str">
        <f>"Active"</f>
        <v>Active</v>
      </c>
    </row>
    <row r="3182" spans="1:3" ht="18" customHeight="1">
      <c r="A3182" t="str">
        <f>"112659"</f>
        <v>112659</v>
      </c>
      <c r="B3182" t="str">
        <f>"Plate Slotted without holes-Accomplished"</f>
        <v>Plate Slotted without holes-Accomplished</v>
      </c>
      <c r="C3182" t="str">
        <f>"Active"</f>
        <v>Active</v>
      </c>
    </row>
    <row r="3183" spans="1:3" ht="18" customHeight="1">
      <c r="A3183" t="str">
        <f>"112659-10"</f>
        <v>112659-10</v>
      </c>
      <c r="B3183" t="str">
        <f>"Plate Slotted without holes"</f>
        <v>Plate Slotted without holes</v>
      </c>
      <c r="C3183" t="str">
        <f>"Not for sale"</f>
        <v>Not for sale</v>
      </c>
    </row>
    <row r="3184" spans="1:3" ht="18" customHeight="1">
      <c r="A3184" t="str">
        <f>"112660"</f>
        <v>112660</v>
      </c>
      <c r="B3184" t="str">
        <f>"Plate Full of Holes For Rotary Table"</f>
        <v>Plate Full of Holes For Rotary Table</v>
      </c>
      <c r="C3184" t="str">
        <f t="shared" ref="C3184:C3189" si="143">"Active"</f>
        <v>Active</v>
      </c>
    </row>
    <row r="3185" spans="1:3" ht="18" customHeight="1">
      <c r="A3185" t="str">
        <f>"112661"</f>
        <v>112661</v>
      </c>
      <c r="B3185" t="str">
        <f>"Gripper Adaptor for small industrial robot"</f>
        <v>Gripper Adaptor for small industrial robot</v>
      </c>
      <c r="C3185" t="str">
        <f t="shared" si="143"/>
        <v>Active</v>
      </c>
    </row>
    <row r="3186" spans="1:3" ht="18" customHeight="1">
      <c r="A3186" t="str">
        <f>"112663"</f>
        <v>112663</v>
      </c>
      <c r="B3186" t="str">
        <f>"Plate for Cable L.S.B"</f>
        <v>Plate for Cable L.S.B</v>
      </c>
      <c r="C3186" t="str">
        <f t="shared" si="143"/>
        <v>Active</v>
      </c>
    </row>
    <row r="3187" spans="1:3" ht="18" customHeight="1">
      <c r="A3187" t="str">
        <f>"112669"</f>
        <v>112669</v>
      </c>
      <c r="B3187" t="str">
        <f>"Base for Clamp T.P."</f>
        <v>Base for Clamp T.P.</v>
      </c>
      <c r="C3187" t="str">
        <f t="shared" si="143"/>
        <v>Active</v>
      </c>
    </row>
    <row r="3188" spans="1:3" ht="18" customHeight="1">
      <c r="A3188" t="str">
        <f>"112670"</f>
        <v>112670</v>
      </c>
      <c r="B3188" t="str">
        <f>"Stand Magnet  T.P  B-PC-AC"</f>
        <v>Stand Magnet  T.P  B-PC-AC</v>
      </c>
      <c r="C3188" t="str">
        <f t="shared" si="143"/>
        <v>Active</v>
      </c>
    </row>
    <row r="3189" spans="1:3" ht="18" customHeight="1">
      <c r="A3189" t="str">
        <f>"112671"</f>
        <v>112671</v>
      </c>
      <c r="B3189" t="str">
        <f>"Base fixed ER2u,DEPCO"</f>
        <v>Base fixed ER2u,DEPCO</v>
      </c>
      <c r="C3189" t="str">
        <f t="shared" si="143"/>
        <v>Active</v>
      </c>
    </row>
    <row r="3190" spans="1:3" ht="18" customHeight="1">
      <c r="A3190" t="str">
        <f>"112671-10"</f>
        <v>112671-10</v>
      </c>
      <c r="B3190" t="str">
        <f>"Base fixed ER2u,DEPCO"</f>
        <v>Base fixed ER2u,DEPCO</v>
      </c>
      <c r="C3190" t="str">
        <f>"Not for sale"</f>
        <v>Not for sale</v>
      </c>
    </row>
    <row r="3191" spans="1:3" ht="18" customHeight="1">
      <c r="A3191" t="str">
        <f>"112672"</f>
        <v>112672</v>
      </c>
      <c r="B3191" t="str">
        <f>"Base Rotor  ER2u,DEPCO"</f>
        <v>Base Rotor  ER2u,DEPCO</v>
      </c>
      <c r="C3191" t="str">
        <f>"Active"</f>
        <v>Active</v>
      </c>
    </row>
    <row r="3192" spans="1:3" ht="18" customHeight="1">
      <c r="A3192" t="str">
        <f>"112672-10"</f>
        <v>112672-10</v>
      </c>
      <c r="B3192" t="str">
        <f>"Base Rotor  ER2u,DEPCO"</f>
        <v>Base Rotor  ER2u,DEPCO</v>
      </c>
      <c r="C3192" t="str">
        <f>"Not for sale"</f>
        <v>Not for sale</v>
      </c>
    </row>
    <row r="3193" spans="1:3" ht="18" customHeight="1">
      <c r="A3193" t="str">
        <f>"112679"</f>
        <v>112679</v>
      </c>
      <c r="B3193" t="str">
        <f>"Stopper ROLL  Scorbot ER2u"</f>
        <v>Stopper ROLL  Scorbot ER2u</v>
      </c>
      <c r="C3193" t="str">
        <f>"Active"</f>
        <v>Active</v>
      </c>
    </row>
    <row r="3194" spans="1:3" ht="18" customHeight="1">
      <c r="A3194" t="str">
        <f>"112680"</f>
        <v>112680</v>
      </c>
      <c r="B3194" t="str">
        <f>"Spacer Axis 5  Scorbot ER2u"</f>
        <v>Spacer Axis 5  Scorbot ER2u</v>
      </c>
      <c r="C3194" t="str">
        <f>"Active"</f>
        <v>Active</v>
      </c>
    </row>
    <row r="3195" spans="1:3" ht="18" customHeight="1">
      <c r="A3195" t="str">
        <f>"112681"</f>
        <v>112681</v>
      </c>
      <c r="B3195" t="str">
        <f>"Bracket Upper For screw-cutter"</f>
        <v>Bracket Upper For screw-cutter</v>
      </c>
      <c r="C3195" t="str">
        <f>"ECO-N2Buy"</f>
        <v>ECO-N2Buy</v>
      </c>
    </row>
    <row r="3196" spans="1:3" ht="18" customHeight="1">
      <c r="A3196" t="str">
        <f>"112682"</f>
        <v>112682</v>
      </c>
      <c r="B3196" t="str">
        <f>"Slide 16 x 106"</f>
        <v>Slide 16 x 106</v>
      </c>
      <c r="C3196" t="str">
        <f>"Active"</f>
        <v>Active</v>
      </c>
    </row>
    <row r="3197" spans="1:3" ht="18" customHeight="1">
      <c r="A3197" t="str">
        <f>"112683"</f>
        <v>112683</v>
      </c>
      <c r="B3197" t="str">
        <f>"Support For Cylinder(Pneu) 180x100"</f>
        <v>Support For Cylinder(Pneu) 180x100</v>
      </c>
      <c r="C3197" t="str">
        <f>"Active"</f>
        <v>Active</v>
      </c>
    </row>
    <row r="3198" spans="1:3" ht="18" customHeight="1">
      <c r="A3198" t="str">
        <f>"112684"</f>
        <v>112684</v>
      </c>
      <c r="B3198" t="str">
        <f>"Holder For Magnetic Sensor"</f>
        <v>Holder For Magnetic Sensor</v>
      </c>
      <c r="C3198" t="str">
        <f>"Active"</f>
        <v>Active</v>
      </c>
    </row>
    <row r="3199" spans="1:3" ht="18" customHeight="1">
      <c r="A3199" t="str">
        <f>"112685"</f>
        <v>112685</v>
      </c>
      <c r="B3199" t="str">
        <f>"Base Front For Cylinder"</f>
        <v>Base Front For Cylinder</v>
      </c>
      <c r="C3199" t="str">
        <f>"Phase Out"</f>
        <v>Phase Out</v>
      </c>
    </row>
    <row r="3200" spans="1:3" ht="18" customHeight="1">
      <c r="A3200" t="str">
        <f>"112686"</f>
        <v>112686</v>
      </c>
      <c r="B3200" t="str">
        <f>"Spacer For Cylinder Hydraulic accessory"</f>
        <v>Spacer For Cylinder Hydraulic accessory</v>
      </c>
      <c r="C3200" t="str">
        <f>"Active"</f>
        <v>Active</v>
      </c>
    </row>
    <row r="3201" spans="1:3" ht="18" customHeight="1">
      <c r="A3201" t="str">
        <f>"112687"</f>
        <v>112687</v>
      </c>
      <c r="B3201" t="str">
        <f>"Head Cylinder 3/4"</f>
        <v>Head Cylinder 3/4</v>
      </c>
      <c r="C3201" t="str">
        <f>"Active"</f>
        <v>Active</v>
      </c>
    </row>
    <row r="3202" spans="1:3" ht="18" customHeight="1">
      <c r="A3202" t="str">
        <f>"112688"</f>
        <v>112688</v>
      </c>
      <c r="B3202" t="str">
        <f>"Slide 16 x 174"</f>
        <v>Slide 16 x 174</v>
      </c>
      <c r="C3202" t="str">
        <f>"Active"</f>
        <v>Active</v>
      </c>
    </row>
    <row r="3203" spans="1:3" ht="18" customHeight="1">
      <c r="A3203" t="str">
        <f>"112689"</f>
        <v>112689</v>
      </c>
      <c r="B3203" t="str">
        <f>"Head Cylinder 1 1/8"""</f>
        <v>Head Cylinder 1 1/8"</v>
      </c>
      <c r="C3203" t="str">
        <f>"Active"</f>
        <v>Active</v>
      </c>
    </row>
    <row r="3204" spans="1:3" ht="18" customHeight="1">
      <c r="A3204" t="str">
        <f>"112690"</f>
        <v>112690</v>
      </c>
      <c r="B3204" t="str">
        <f>"Base"</f>
        <v>Base</v>
      </c>
      <c r="C3204" t="str">
        <f>"ECO-N2Buy"</f>
        <v>ECO-N2Buy</v>
      </c>
    </row>
    <row r="3205" spans="1:3" ht="18" customHeight="1">
      <c r="A3205" t="str">
        <f>"112691"</f>
        <v>112691</v>
      </c>
      <c r="B3205" t="str">
        <f>"Spacer 50x50x5"</f>
        <v>Spacer 50x50x5</v>
      </c>
      <c r="C3205" t="str">
        <f>"ECO-N2Buy"</f>
        <v>ECO-N2Buy</v>
      </c>
    </row>
    <row r="3206" spans="1:3" ht="18" customHeight="1">
      <c r="A3206" t="str">
        <f>"112692"</f>
        <v>112692</v>
      </c>
      <c r="B3206" t="str">
        <f>"Base 150x108"</f>
        <v>Base 150x108</v>
      </c>
      <c r="C3206" t="str">
        <f>"ECO-N2Buy"</f>
        <v>ECO-N2Buy</v>
      </c>
    </row>
    <row r="3207" spans="1:3" ht="18" customHeight="1">
      <c r="A3207" t="str">
        <f>"112693"</f>
        <v>112693</v>
      </c>
      <c r="B3207" t="str">
        <f>"Fixer for Coils"</f>
        <v>Fixer for Coils</v>
      </c>
      <c r="C3207" t="str">
        <f>"Active"</f>
        <v>Active</v>
      </c>
    </row>
    <row r="3208" spans="1:3" ht="18" customHeight="1">
      <c r="A3208" t="str">
        <f>"112694"</f>
        <v>112694</v>
      </c>
      <c r="B3208" t="str">
        <f>"Plate For Coils 390 x 108"</f>
        <v>Plate For Coils 390 x 108</v>
      </c>
      <c r="C3208" t="str">
        <f>"Active"</f>
        <v>Active</v>
      </c>
    </row>
    <row r="3209" spans="1:3" ht="18" customHeight="1">
      <c r="A3209" t="str">
        <f>"112695"</f>
        <v>112695</v>
      </c>
      <c r="B3209" t="str">
        <f>"Wall Side - Coils Assy."</f>
        <v>Wall Side - Coils Assy.</v>
      </c>
      <c r="C3209" t="str">
        <f>"Active"</f>
        <v>Active</v>
      </c>
    </row>
    <row r="3210" spans="1:3" ht="18" customHeight="1">
      <c r="A3210" t="str">
        <f>"112696"</f>
        <v>112696</v>
      </c>
      <c r="B3210" t="str">
        <f>"Base for Cylinder Hydraulic 230x108"</f>
        <v>Base for Cylinder Hydraulic 230x108</v>
      </c>
      <c r="C3210" t="str">
        <f>"Active"</f>
        <v>Active</v>
      </c>
    </row>
    <row r="3211" spans="1:3" ht="18" customHeight="1">
      <c r="A3211" t="str">
        <f>"112697"</f>
        <v>112697</v>
      </c>
      <c r="B3211" t="str">
        <f>"Base 170 x 108"</f>
        <v>Base 170 x 108</v>
      </c>
      <c r="C3211" t="str">
        <f>"ECO-N2Buy"</f>
        <v>ECO-N2Buy</v>
      </c>
    </row>
    <row r="3212" spans="1:3" ht="18" customHeight="1">
      <c r="A3212" t="str">
        <f>"112703"</f>
        <v>112703</v>
      </c>
      <c r="B3212" t="str">
        <f>"Base Pneumatic Feeder"</f>
        <v>Base Pneumatic Feeder</v>
      </c>
      <c r="C3212" t="str">
        <f>"Active"</f>
        <v>Active</v>
      </c>
    </row>
    <row r="3213" spans="1:3" ht="18" customHeight="1">
      <c r="A3213" t="str">
        <f>"112704"</f>
        <v>112704</v>
      </c>
      <c r="B3213" t="str">
        <f>"Prism Drive  Pneu Feeder"</f>
        <v>Prism Drive  Pneu Feeder</v>
      </c>
      <c r="C3213" t="str">
        <f>"Active"</f>
        <v>Active</v>
      </c>
    </row>
    <row r="3214" spans="1:3" ht="18" customHeight="1">
      <c r="A3214" t="str">
        <f>"112705"</f>
        <v>112705</v>
      </c>
      <c r="B3214" t="str">
        <f>"Prism Support"</f>
        <v>Prism Support</v>
      </c>
      <c r="C3214" t="str">
        <f>"Active"</f>
        <v>Active</v>
      </c>
    </row>
    <row r="3215" spans="1:3" ht="18" customHeight="1">
      <c r="A3215" t="str">
        <f>"112706"</f>
        <v>112706</v>
      </c>
      <c r="B3215" t="str">
        <f>"Support Pneu Feeder"</f>
        <v>Support Pneu Feeder</v>
      </c>
      <c r="C3215" t="str">
        <f>"Active"</f>
        <v>Active</v>
      </c>
    </row>
    <row r="3216" spans="1:3" ht="18" customHeight="1">
      <c r="A3216" t="str">
        <f>"112707"</f>
        <v>112707</v>
      </c>
      <c r="B3216" t="str">
        <f>"Angle Pneu Feeder"</f>
        <v>Angle Pneu Feeder</v>
      </c>
      <c r="C3216" t="str">
        <f>"ECO-N2Buy"</f>
        <v>ECO-N2Buy</v>
      </c>
    </row>
    <row r="3217" spans="1:3" ht="18" customHeight="1">
      <c r="A3217" t="str">
        <f>"112708"</f>
        <v>112708</v>
      </c>
      <c r="B3217" t="str">
        <f>"Adaptor For Cylinder"</f>
        <v>Adaptor For Cylinder</v>
      </c>
      <c r="C3217" t="str">
        <f>"Active"</f>
        <v>Active</v>
      </c>
    </row>
    <row r="3218" spans="1:3" ht="18" customHeight="1">
      <c r="A3218" t="str">
        <f>"112713"</f>
        <v>112713</v>
      </c>
      <c r="B3218" t="str">
        <f>"Marked Aluminum Cylinder"</f>
        <v>Marked Aluminum Cylinder</v>
      </c>
      <c r="C3218" t="str">
        <f>"Active"</f>
        <v>Active</v>
      </c>
    </row>
    <row r="3219" spans="1:3" ht="18" customHeight="1">
      <c r="A3219" t="str">
        <f>"112714"</f>
        <v>112714</v>
      </c>
      <c r="B3219" t="str">
        <f>"Base location"</f>
        <v>Base location</v>
      </c>
      <c r="C3219" t="str">
        <f>"Active"</f>
        <v>Active</v>
      </c>
    </row>
    <row r="3220" spans="1:3" ht="18" customHeight="1">
      <c r="A3220" t="str">
        <f>"112727"</f>
        <v>112727</v>
      </c>
      <c r="B3220" t="str">
        <f>"Bracket for band Cylinder"</f>
        <v>Bracket for band Cylinder</v>
      </c>
      <c r="C3220" t="str">
        <f>"ECO-N2Buy"</f>
        <v>ECO-N2Buy</v>
      </c>
    </row>
    <row r="3221" spans="1:3" ht="18" customHeight="1">
      <c r="A3221" t="str">
        <f>"112730"</f>
        <v>112730</v>
      </c>
      <c r="B3221" t="str">
        <f>"Plate For PLC OMRON"</f>
        <v>Plate For PLC OMRON</v>
      </c>
      <c r="C3221" t="str">
        <f>"Active"</f>
        <v>Active</v>
      </c>
    </row>
    <row r="3222" spans="1:3" ht="18" customHeight="1">
      <c r="A3222" t="str">
        <f>"112732"</f>
        <v>112732</v>
      </c>
      <c r="B3222" t="str">
        <f>"Control Panel MicroCIM"</f>
        <v>Control Panel MicroCIM</v>
      </c>
      <c r="C3222" t="str">
        <f>"Active"</f>
        <v>Active</v>
      </c>
    </row>
    <row r="3223" spans="1:3" ht="18" customHeight="1">
      <c r="A3223" t="str">
        <f>"112733"</f>
        <v>112733</v>
      </c>
      <c r="B3223" t="str">
        <f>"Base For Panel 200mm, CIM/MicroCIM"</f>
        <v>Base For Panel 200mm, CIM/MicroCIM</v>
      </c>
      <c r="C3223" t="str">
        <f>"Active"</f>
        <v>Active</v>
      </c>
    </row>
    <row r="3224" spans="1:3" ht="18" customHeight="1">
      <c r="A3224" t="str">
        <f>"112738"</f>
        <v>112738</v>
      </c>
      <c r="B3224" t="str">
        <f>"DIN Rail 35mm"</f>
        <v>DIN Rail 35mm</v>
      </c>
      <c r="C3224" t="str">
        <f>"Active"</f>
        <v>Active</v>
      </c>
    </row>
    <row r="3225" spans="1:3" ht="18" customHeight="1">
      <c r="A3225" t="str">
        <f>"112749"</f>
        <v>112749</v>
      </c>
      <c r="B3225" t="str">
        <f>"Base for Ball Feeder  100x60"</f>
        <v>Base for Ball Feeder  100x60</v>
      </c>
      <c r="C3225" t="str">
        <f>"Phase Out"</f>
        <v>Phase Out</v>
      </c>
    </row>
    <row r="3226" spans="1:3" ht="18" customHeight="1">
      <c r="A3226" t="str">
        <f>"112750"</f>
        <v>112750</v>
      </c>
      <c r="B3226" t="str">
        <f>"Stand For GageBall Feeder\ M5"</f>
        <v>Stand For GageBall Feeder\ M5</v>
      </c>
      <c r="C3226" t="str">
        <f>"ECO-N2Buy"</f>
        <v>ECO-N2Buy</v>
      </c>
    </row>
    <row r="3227" spans="1:3" ht="18" customHeight="1">
      <c r="A3227" t="str">
        <f>"112751"</f>
        <v>112751</v>
      </c>
      <c r="B3227" t="str">
        <f>"Distribution plate for Ball Feeder"</f>
        <v>Distribution plate for Ball Feeder</v>
      </c>
      <c r="C3227" t="str">
        <f t="shared" ref="C3227:C3237" si="144">"Active"</f>
        <v>Active</v>
      </c>
    </row>
    <row r="3228" spans="1:3" ht="18" customHeight="1">
      <c r="A3228" t="str">
        <f>"112752"</f>
        <v>112752</v>
      </c>
      <c r="B3228" t="str">
        <f>"Box for Ball Feeder"</f>
        <v>Box for Ball Feeder</v>
      </c>
      <c r="C3228" t="str">
        <f t="shared" si="144"/>
        <v>Active</v>
      </c>
    </row>
    <row r="3229" spans="1:3" ht="18" customHeight="1">
      <c r="A3229" t="str">
        <f>"112753"</f>
        <v>112753</v>
      </c>
      <c r="B3229" t="str">
        <f>"Pulley Motor Ball Feeder"</f>
        <v>Pulley Motor Ball Feeder</v>
      </c>
      <c r="C3229" t="str">
        <f t="shared" si="144"/>
        <v>Active</v>
      </c>
    </row>
    <row r="3230" spans="1:3" ht="18" customHeight="1">
      <c r="A3230" t="str">
        <f>"112754"</f>
        <v>112754</v>
      </c>
      <c r="B3230" t="str">
        <f>"Disc 4 Holes Ball Feeder"</f>
        <v>Disc 4 Holes Ball Feeder</v>
      </c>
      <c r="C3230" t="str">
        <f t="shared" si="144"/>
        <v>Active</v>
      </c>
    </row>
    <row r="3231" spans="1:3" ht="18" customHeight="1">
      <c r="A3231" t="str">
        <f>"112756"</f>
        <v>112756</v>
      </c>
      <c r="B3231" t="str">
        <f>"Shaft For Holder Pen"</f>
        <v>Shaft For Holder Pen</v>
      </c>
      <c r="C3231" t="str">
        <f t="shared" si="144"/>
        <v>Active</v>
      </c>
    </row>
    <row r="3232" spans="1:3" ht="18" customHeight="1">
      <c r="A3232" t="str">
        <f>"112758"</f>
        <v>112758</v>
      </c>
      <c r="B3232" t="str">
        <f>"Gripper For Wain, X-Y TABLE"</f>
        <v>Gripper For Wain, X-Y TABLE</v>
      </c>
      <c r="C3232" t="str">
        <f t="shared" si="144"/>
        <v>Active</v>
      </c>
    </row>
    <row r="3233" spans="1:3" ht="18" customHeight="1">
      <c r="A3233" t="str">
        <f>"112759"</f>
        <v>112759</v>
      </c>
      <c r="B3233" t="str">
        <f>"Gripper For Timing lock, X-Y TABLE"</f>
        <v>Gripper For Timing lock, X-Y TABLE</v>
      </c>
      <c r="C3233" t="str">
        <f t="shared" si="144"/>
        <v>Active</v>
      </c>
    </row>
    <row r="3234" spans="1:3" ht="18" customHeight="1">
      <c r="A3234" t="str">
        <f>"112760"</f>
        <v>112760</v>
      </c>
      <c r="B3234" t="str">
        <f>"Cover For Bearing, X-Y TABLE"</f>
        <v>Cover For Bearing, X-Y TABLE</v>
      </c>
      <c r="C3234" t="str">
        <f t="shared" si="144"/>
        <v>Active</v>
      </c>
    </row>
    <row r="3235" spans="1:3" ht="18" customHeight="1">
      <c r="A3235" t="str">
        <f>"112761"</f>
        <v>112761</v>
      </c>
      <c r="B3235" t="str">
        <f>"Spacer, X-Y TABLE"</f>
        <v>Spacer, X-Y TABLE</v>
      </c>
      <c r="C3235" t="str">
        <f t="shared" si="144"/>
        <v>Active</v>
      </c>
    </row>
    <row r="3236" spans="1:3" ht="18" customHeight="1">
      <c r="A3236" t="str">
        <f>"112762"</f>
        <v>112762</v>
      </c>
      <c r="B3236" t="str">
        <f>"Fix Panel, X-Y TABLE"</f>
        <v>Fix Panel, X-Y TABLE</v>
      </c>
      <c r="C3236" t="str">
        <f t="shared" si="144"/>
        <v>Active</v>
      </c>
    </row>
    <row r="3237" spans="1:3" ht="18" customHeight="1">
      <c r="A3237" t="str">
        <f>"112763"</f>
        <v>112763</v>
      </c>
      <c r="B3237" t="str">
        <f>"Home Bearing Back, X-Y TABLE"</f>
        <v>Home Bearing Back, X-Y TABLE</v>
      </c>
      <c r="C3237" t="str">
        <f t="shared" si="144"/>
        <v>Active</v>
      </c>
    </row>
    <row r="3238" spans="1:3" ht="18" customHeight="1">
      <c r="A3238" t="str">
        <f>"112772"</f>
        <v>112772</v>
      </c>
      <c r="B3238" t="str">
        <f>"Plate for Robots, 330x330mm, ER9/14, MH5"</f>
        <v>Plate for Robots, 330x330mm, ER9/14, MH5</v>
      </c>
      <c r="C3238" t="str">
        <f>"ECO-N2Buy"</f>
        <v>ECO-N2Buy</v>
      </c>
    </row>
    <row r="3239" spans="1:3" ht="18" customHeight="1">
      <c r="A3239" t="str">
        <f>"112828"</f>
        <v>112828</v>
      </c>
      <c r="B3239" t="str">
        <f>"Shield For Gear"</f>
        <v>Shield For Gear</v>
      </c>
      <c r="C3239" t="str">
        <f>"Active"</f>
        <v>Active</v>
      </c>
    </row>
    <row r="3240" spans="1:3" ht="18" customHeight="1">
      <c r="A3240" t="str">
        <f>"112831"</f>
        <v>112831</v>
      </c>
      <c r="B3240" t="str">
        <f>"Base for Gluing"</f>
        <v>Base for Gluing</v>
      </c>
      <c r="C3240" t="str">
        <f>"Active"</f>
        <v>Active</v>
      </c>
    </row>
    <row r="3241" spans="1:3" ht="18" customHeight="1">
      <c r="A3241" t="str">
        <f>"112833"</f>
        <v>112833</v>
      </c>
      <c r="B3241" t="str">
        <f>"Support For Gluing station"</f>
        <v>Support For Gluing station</v>
      </c>
      <c r="C3241" t="str">
        <f>"Active"</f>
        <v>Active</v>
      </c>
    </row>
    <row r="3242" spans="1:3" ht="18" customHeight="1">
      <c r="A3242" t="str">
        <f>"112834"</f>
        <v>112834</v>
      </c>
      <c r="B3242" t="str">
        <f>"Base for products, 100x80x8mm"</f>
        <v>Base for products, 100x80x8mm</v>
      </c>
      <c r="C3242" t="str">
        <f>"Active"</f>
        <v>Active</v>
      </c>
    </row>
    <row r="3243" spans="1:3" ht="18" customHeight="1">
      <c r="A3243" t="str">
        <f>"112835"</f>
        <v>112835</v>
      </c>
      <c r="B3243" t="str">
        <f>"Glue receptacle"</f>
        <v>Glue receptacle</v>
      </c>
      <c r="C3243" t="str">
        <f>"Active"</f>
        <v>Active</v>
      </c>
    </row>
    <row r="3244" spans="1:3" ht="18" customHeight="1">
      <c r="A3244" t="str">
        <f>"112843"</f>
        <v>112843</v>
      </c>
      <c r="B3244" t="str">
        <f>"Base for Leg, Tool Changer"</f>
        <v>Base for Leg, Tool Changer</v>
      </c>
      <c r="C3244" t="str">
        <f>"ECO-N2Buy"</f>
        <v>ECO-N2Buy</v>
      </c>
    </row>
    <row r="3245" spans="1:3" ht="18" customHeight="1">
      <c r="A3245" t="str">
        <f>"112844"</f>
        <v>112844</v>
      </c>
      <c r="B3245" t="str">
        <f>"Base for Camera Stand, 180x180x8mm"</f>
        <v>Base for Camera Stand, 180x180x8mm</v>
      </c>
      <c r="C3245" t="str">
        <f>"Active"</f>
        <v>Active</v>
      </c>
    </row>
    <row r="3246" spans="1:3" ht="18" customHeight="1">
      <c r="A3246" t="str">
        <f>"112845"</f>
        <v>112845</v>
      </c>
      <c r="B3246" t="str">
        <f>"Head Cylinder 3/8""-24 , (d=2.5mm)"</f>
        <v>Head Cylinder 3/8"-24 , (d=2.5mm)</v>
      </c>
      <c r="C3246" t="str">
        <f>"Phase Out"</f>
        <v>Phase Out</v>
      </c>
    </row>
    <row r="3247" spans="1:3" ht="18" customHeight="1">
      <c r="A3247" t="str">
        <f>"112853"</f>
        <v>112853</v>
      </c>
      <c r="B3247" t="str">
        <f>"Wheel LSB BELT"</f>
        <v>Wheel LSB BELT</v>
      </c>
      <c r="C3247" t="str">
        <f t="shared" ref="C3247:C3256" si="145">"Active"</f>
        <v>Active</v>
      </c>
    </row>
    <row r="3248" spans="1:3" ht="18" customHeight="1">
      <c r="A3248" t="str">
        <f>"112854"</f>
        <v>112854</v>
      </c>
      <c r="B3248" t="str">
        <f>"Motion Block Upper Motor, LSB 80"</f>
        <v>Motion Block Upper Motor, LSB 80</v>
      </c>
      <c r="C3248" t="str">
        <f t="shared" si="145"/>
        <v>Active</v>
      </c>
    </row>
    <row r="3249" spans="1:3" ht="18" customHeight="1">
      <c r="A3249" t="str">
        <f>"112855"</f>
        <v>112855</v>
      </c>
      <c r="B3249" t="str">
        <f>"Support Wheels, LSB BELT"</f>
        <v>Support Wheels, LSB BELT</v>
      </c>
      <c r="C3249" t="str">
        <f t="shared" si="145"/>
        <v>Active</v>
      </c>
    </row>
    <row r="3250" spans="1:3" ht="18" customHeight="1">
      <c r="A3250" t="str">
        <f>"112856"</f>
        <v>112856</v>
      </c>
      <c r="B3250" t="str">
        <f>"Plate Transmission, LSB BELT"</f>
        <v>Plate Transmission, LSB BELT</v>
      </c>
      <c r="C3250" t="str">
        <f t="shared" si="145"/>
        <v>Active</v>
      </c>
    </row>
    <row r="3251" spans="1:3" ht="18" customHeight="1">
      <c r="A3251" t="str">
        <f>"112857"</f>
        <v>112857</v>
      </c>
      <c r="B3251" t="str">
        <f>"Holder Sensor, LSB BELT"</f>
        <v>Holder Sensor, LSB BELT</v>
      </c>
      <c r="C3251" t="str">
        <f t="shared" si="145"/>
        <v>Active</v>
      </c>
    </row>
    <row r="3252" spans="1:3" ht="18" customHeight="1">
      <c r="A3252" t="str">
        <f>"112858"</f>
        <v>112858</v>
      </c>
      <c r="B3252" t="str">
        <f>"Stopper Block, LSB BELT"</f>
        <v>Stopper Block, LSB BELT</v>
      </c>
      <c r="C3252" t="str">
        <f t="shared" si="145"/>
        <v>Active</v>
      </c>
    </row>
    <row r="3253" spans="1:3" ht="18" customHeight="1">
      <c r="A3253" t="str">
        <f>"112859"</f>
        <v>112859</v>
      </c>
      <c r="B3253" t="str">
        <f>"Adapter for LSB BELT"</f>
        <v>Adapter for LSB BELT</v>
      </c>
      <c r="C3253" t="str">
        <f t="shared" si="145"/>
        <v>Active</v>
      </c>
    </row>
    <row r="3254" spans="1:3" ht="18" customHeight="1">
      <c r="A3254" t="str">
        <f>"112861"</f>
        <v>112861</v>
      </c>
      <c r="B3254" t="str">
        <f>"sleeve, ER5"</f>
        <v>sleeve, ER5</v>
      </c>
      <c r="C3254" t="str">
        <f t="shared" si="145"/>
        <v>Active</v>
      </c>
    </row>
    <row r="3255" spans="1:3" ht="18" customHeight="1">
      <c r="A3255" t="str">
        <f>"112862"</f>
        <v>112862</v>
      </c>
      <c r="B3255" t="str">
        <f>"Adapter Limit Switch, PneuLine"</f>
        <v>Adapter Limit Switch, PneuLine</v>
      </c>
      <c r="C3255" t="str">
        <f t="shared" si="145"/>
        <v>Active</v>
      </c>
    </row>
    <row r="3256" spans="1:3" ht="18" customHeight="1">
      <c r="A3256" t="str">
        <f>"112863"</f>
        <v>112863</v>
      </c>
      <c r="B3256" t="str">
        <f>"Support Front, Tool changer"</f>
        <v>Support Front, Tool changer</v>
      </c>
      <c r="C3256" t="str">
        <f t="shared" si="145"/>
        <v>Active</v>
      </c>
    </row>
    <row r="3257" spans="1:3" ht="18" customHeight="1">
      <c r="A3257" t="str">
        <f>"112864"</f>
        <v>112864</v>
      </c>
      <c r="B3257" t="str">
        <f>"Support Back for Tool changer"</f>
        <v>Support Back for Tool changer</v>
      </c>
      <c r="C3257" t="str">
        <f>"ECO-N2Buy"</f>
        <v>ECO-N2Buy</v>
      </c>
    </row>
    <row r="3258" spans="1:3" ht="18" customHeight="1">
      <c r="A3258" t="str">
        <f>"112867"</f>
        <v>112867</v>
      </c>
      <c r="B3258" t="str">
        <f>"Spacer for Gripper-ER14, L=92mm"</f>
        <v>Spacer for Gripper-ER14, L=92mm</v>
      </c>
      <c r="C3258" t="str">
        <f>"Active"</f>
        <v>Active</v>
      </c>
    </row>
    <row r="3259" spans="1:3" ht="18" customHeight="1">
      <c r="A3259" t="str">
        <f>"112868"</f>
        <v>112868</v>
      </c>
      <c r="B3259" t="str">
        <f>"Support For Vacuum Nipple, Tool changer"</f>
        <v>Support For Vacuum Nipple, Tool changer</v>
      </c>
      <c r="C3259" t="str">
        <f>"Active"</f>
        <v>Active</v>
      </c>
    </row>
    <row r="3260" spans="1:3" ht="18" customHeight="1">
      <c r="A3260" t="str">
        <f>"112869"</f>
        <v>112869</v>
      </c>
      <c r="B3260" t="str">
        <f>"Flange Photo-Sensor , PLC Line"</f>
        <v>Flange Photo-Sensor , PLC Line</v>
      </c>
      <c r="C3260" t="str">
        <f>"Active"</f>
        <v>Active</v>
      </c>
    </row>
    <row r="3261" spans="1:3" ht="18" customHeight="1">
      <c r="A3261" t="str">
        <f>"112870"</f>
        <v>112870</v>
      </c>
      <c r="B3261" t="str">
        <f>"Ruler St.St. 15cm (mm , inch)"</f>
        <v>Ruler St.St. 15cm (mm , inch)</v>
      </c>
      <c r="C3261" t="str">
        <f>"ECO-N2Buy"</f>
        <v>ECO-N2Buy</v>
      </c>
    </row>
    <row r="3262" spans="1:3" ht="18" customHeight="1">
      <c r="A3262" t="str">
        <f>"112870-10"</f>
        <v>112870-10</v>
      </c>
      <c r="B3262" t="str">
        <f>"Ruler St.St. 15cm (mm , inch)"</f>
        <v>Ruler St.St. 15cm (mm , inch)</v>
      </c>
      <c r="C3262" t="str">
        <f t="shared" ref="C3262:C3268" si="146">"Active"</f>
        <v>Active</v>
      </c>
    </row>
    <row r="3263" spans="1:3" ht="18" customHeight="1">
      <c r="A3263" t="str">
        <f>"112871"</f>
        <v>112871</v>
      </c>
      <c r="B3263" t="str">
        <f>"Bar Round  AL D=30"</f>
        <v>Bar Round  AL D=30</v>
      </c>
      <c r="C3263" t="str">
        <f t="shared" si="146"/>
        <v>Active</v>
      </c>
    </row>
    <row r="3264" spans="1:3" ht="18" customHeight="1">
      <c r="A3264" t="str">
        <f>"112872"</f>
        <v>112872</v>
      </c>
      <c r="B3264" t="str">
        <f>"Bar Round Steel, D=30"</f>
        <v>Bar Round Steel, D=30</v>
      </c>
      <c r="C3264" t="str">
        <f t="shared" si="146"/>
        <v>Active</v>
      </c>
    </row>
    <row r="3265" spans="1:3" ht="18" customHeight="1">
      <c r="A3265" t="str">
        <f>"112873"</f>
        <v>112873</v>
      </c>
      <c r="B3265" t="str">
        <f>"Bar Round Stee,  D=10"</f>
        <v>Bar Round Stee,  D=10</v>
      </c>
      <c r="C3265" t="str">
        <f t="shared" si="146"/>
        <v>Active</v>
      </c>
    </row>
    <row r="3266" spans="1:3" ht="18" customHeight="1">
      <c r="A3266" t="str">
        <f>"112875"</f>
        <v>112875</v>
      </c>
      <c r="B3266" t="str">
        <f>"Support for Felt LSB"</f>
        <v>Support for Felt LSB</v>
      </c>
      <c r="C3266" t="str">
        <f t="shared" si="146"/>
        <v>Active</v>
      </c>
    </row>
    <row r="3267" spans="1:3" ht="18" customHeight="1">
      <c r="A3267" t="str">
        <f>"112876"</f>
        <v>112876</v>
      </c>
      <c r="B3267" t="str">
        <f>"Motion Block Low Motor, LSB120"</f>
        <v>Motion Block Low Motor, LSB120</v>
      </c>
      <c r="C3267" t="str">
        <f t="shared" si="146"/>
        <v>Active</v>
      </c>
    </row>
    <row r="3268" spans="1:3" ht="18" customHeight="1">
      <c r="A3268" t="str">
        <f>"112877"</f>
        <v>112877</v>
      </c>
      <c r="B3268" t="str">
        <f>"Base For Injector, gluing station"</f>
        <v>Base For Injector, gluing station</v>
      </c>
      <c r="C3268" t="str">
        <f t="shared" si="146"/>
        <v>Active</v>
      </c>
    </row>
    <row r="3269" spans="1:3" ht="18" customHeight="1">
      <c r="A3269" t="str">
        <f>"112878"</f>
        <v>112878</v>
      </c>
      <c r="B3269" t="str">
        <f>"Support for Gripper"</f>
        <v>Support for Gripper</v>
      </c>
      <c r="C3269" t="str">
        <f>"Not for sale"</f>
        <v>Not for sale</v>
      </c>
    </row>
    <row r="3270" spans="1:3" ht="18" customHeight="1">
      <c r="A3270" t="str">
        <f>"112879"</f>
        <v>112879</v>
      </c>
      <c r="B3270" t="str">
        <f>"Holder gluing station"</f>
        <v>Holder gluing station</v>
      </c>
      <c r="C3270" t="str">
        <f>"Active"</f>
        <v>Active</v>
      </c>
    </row>
    <row r="3271" spans="1:3" ht="18" customHeight="1">
      <c r="A3271" t="str">
        <f>"112880"</f>
        <v>112880</v>
      </c>
      <c r="B3271" t="str">
        <f>"Adaptor ScrewDriver/Cylind"</f>
        <v>Adaptor ScrewDriver/Cylind</v>
      </c>
      <c r="C3271" t="str">
        <f>"Active"</f>
        <v>Active</v>
      </c>
    </row>
    <row r="3272" spans="1:3" ht="18" customHeight="1">
      <c r="A3272" t="str">
        <f>"112881"</f>
        <v>112881</v>
      </c>
      <c r="B3272" t="str">
        <f>"Rack Small Square 150x90mm for XY Table"</f>
        <v>Rack Small Square 150x90mm for XY Table</v>
      </c>
      <c r="C3272" t="str">
        <f>"Active"</f>
        <v>Active</v>
      </c>
    </row>
    <row r="3273" spans="1:3" ht="18" customHeight="1">
      <c r="A3273" t="str">
        <f>"112882"</f>
        <v>112882</v>
      </c>
      <c r="B3273" t="str">
        <f>"Pin Conic"</f>
        <v>Pin Conic</v>
      </c>
      <c r="C3273" t="str">
        <f>"Active"</f>
        <v>Active</v>
      </c>
    </row>
    <row r="3274" spans="1:3" ht="18" customHeight="1">
      <c r="A3274" t="str">
        <f>"112883"</f>
        <v>112883</v>
      </c>
      <c r="B3274" t="str">
        <f>"Spacer Lock   ER14"</f>
        <v>Spacer Lock   ER14</v>
      </c>
      <c r="C3274" t="str">
        <f>"Active"</f>
        <v>Active</v>
      </c>
    </row>
    <row r="3275" spans="1:3" ht="18" customHeight="1">
      <c r="A3275" t="str">
        <f>"112884"</f>
        <v>112884</v>
      </c>
      <c r="B3275" t="str">
        <f>"Plate Small  70 x 108"</f>
        <v>Plate Small  70 x 108</v>
      </c>
      <c r="C3275" t="str">
        <f>"Phase Out"</f>
        <v>Phase Out</v>
      </c>
    </row>
    <row r="3276" spans="1:3" ht="18" customHeight="1">
      <c r="A3276" t="str">
        <f>"112886"</f>
        <v>112886</v>
      </c>
      <c r="B3276" t="str">
        <f>"Arm The Second  ER2u,DEPCO"</f>
        <v>Arm The Second  ER2u,DEPCO</v>
      </c>
      <c r="C3276" t="str">
        <f>"Active"</f>
        <v>Active</v>
      </c>
    </row>
    <row r="3277" spans="1:3" ht="18" customHeight="1">
      <c r="A3277" t="str">
        <f>"112886-10"</f>
        <v>112886-10</v>
      </c>
      <c r="B3277" t="str">
        <f>"Arm The Second  ER2u,DEPCO"</f>
        <v>Arm The Second  ER2u,DEPCO</v>
      </c>
      <c r="C3277" t="str">
        <f>"Not for sale"</f>
        <v>Not for sale</v>
      </c>
    </row>
    <row r="3278" spans="1:3" ht="18" customHeight="1">
      <c r="A3278" t="str">
        <f>"112887"</f>
        <v>112887</v>
      </c>
      <c r="B3278" t="str">
        <f>"Arm TheThird  ER2u,DEPCO"</f>
        <v>Arm TheThird  ER2u,DEPCO</v>
      </c>
      <c r="C3278" t="str">
        <f>"Active"</f>
        <v>Active</v>
      </c>
    </row>
    <row r="3279" spans="1:3" ht="18" customHeight="1">
      <c r="A3279" t="str">
        <f>"112887-10"</f>
        <v>112887-10</v>
      </c>
      <c r="B3279" t="str">
        <f>"Arm TheThird  ER2u,DEPCO"</f>
        <v>Arm TheThird  ER2u,DEPCO</v>
      </c>
      <c r="C3279" t="str">
        <f>"Not for sale"</f>
        <v>Not for sale</v>
      </c>
    </row>
    <row r="3280" spans="1:3" ht="18" customHeight="1">
      <c r="A3280" t="str">
        <f>"112888"</f>
        <v>112888</v>
      </c>
      <c r="B3280" t="str">
        <f>"Bar Round  AL  D 46x28"</f>
        <v>Bar Round  AL  D 46x28</v>
      </c>
      <c r="C3280" t="str">
        <f>"Active"</f>
        <v>Active</v>
      </c>
    </row>
    <row r="3281" spans="1:3" ht="18" customHeight="1">
      <c r="A3281" t="str">
        <f>"112898"</f>
        <v>112898</v>
      </c>
      <c r="B3281" t="str">
        <f>"Mounting plate 230x132mm"</f>
        <v>Mounting plate 230x132mm</v>
      </c>
      <c r="C3281" t="str">
        <f>"Active"</f>
        <v>Active</v>
      </c>
    </row>
    <row r="3282" spans="1:3" ht="18" customHeight="1">
      <c r="A3282" t="str">
        <f>"112899"</f>
        <v>112899</v>
      </c>
      <c r="B3282" t="str">
        <f>"Ring Tightening PITCH"</f>
        <v>Ring Tightening PITCH</v>
      </c>
      <c r="C3282" t="str">
        <f>"Active"</f>
        <v>Active</v>
      </c>
    </row>
    <row r="3283" spans="1:3" ht="18" customHeight="1">
      <c r="A3283" t="str">
        <f>"112901"</f>
        <v>112901</v>
      </c>
      <c r="B3283" t="str">
        <f>"Support ROLL"</f>
        <v>Support ROLL</v>
      </c>
      <c r="C3283" t="str">
        <f>"Active"</f>
        <v>Active</v>
      </c>
    </row>
    <row r="3284" spans="1:3" ht="18" customHeight="1">
      <c r="A3284" t="str">
        <f>"112902"</f>
        <v>112902</v>
      </c>
      <c r="B3284" t="str">
        <f>"Support Harmonic Transmission, ROLL H.D"</f>
        <v>Support Harmonic Transmission, ROLL H.D</v>
      </c>
      <c r="C3284" t="str">
        <f>"Active"</f>
        <v>Active</v>
      </c>
    </row>
    <row r="3285" spans="1:3" ht="18" customHeight="1">
      <c r="A3285" t="str">
        <f>"112903"</f>
        <v>112903</v>
      </c>
      <c r="B3285" t="str">
        <f>"Ring Tightening ROLL - H.D"</f>
        <v>Ring Tightening ROLL - H.D</v>
      </c>
      <c r="C3285" t="str">
        <f>"Not for sale"</f>
        <v>Not for sale</v>
      </c>
    </row>
    <row r="3286" spans="1:3" ht="18" customHeight="1">
      <c r="A3286" t="str">
        <f>"112912"</f>
        <v>112912</v>
      </c>
      <c r="B3286" t="str">
        <f>"Base for name Plate, Welding Booth"</f>
        <v>Base for name Plate, Welding Booth</v>
      </c>
      <c r="C3286" t="str">
        <f>"Active"</f>
        <v>Active</v>
      </c>
    </row>
    <row r="3287" spans="1:3" ht="18" customHeight="1">
      <c r="A3287" t="str">
        <f>"112913"</f>
        <v>112913</v>
      </c>
      <c r="B3287" t="str">
        <f>"Guide pin- Plastic, Welding Booth"</f>
        <v>Guide pin- Plastic, Welding Booth</v>
      </c>
      <c r="C3287" t="str">
        <f>"Active"</f>
        <v>Active</v>
      </c>
    </row>
    <row r="3288" spans="1:3" ht="18" customHeight="1">
      <c r="A3288" t="str">
        <f>"112914"</f>
        <v>112914</v>
      </c>
      <c r="B3288" t="str">
        <f>"Adaptor Right for Weld Gun ER4u"</f>
        <v>Adaptor Right for Weld Gun ER4u</v>
      </c>
      <c r="C3288" t="str">
        <f>"ECO-N2Buy"</f>
        <v>ECO-N2Buy</v>
      </c>
    </row>
    <row r="3289" spans="1:3" ht="18" customHeight="1">
      <c r="A3289" t="str">
        <f>"112915"</f>
        <v>112915</v>
      </c>
      <c r="B3289" t="str">
        <f>"Adaptor Left for Weld Gun ER4u"</f>
        <v>Adaptor Left for Weld Gun ER4u</v>
      </c>
      <c r="C3289" t="str">
        <f>"ECO-N2Buy"</f>
        <v>ECO-N2Buy</v>
      </c>
    </row>
    <row r="3290" spans="1:3" ht="18" customHeight="1">
      <c r="A3290" t="str">
        <f>"112916"</f>
        <v>112916</v>
      </c>
      <c r="B3290" t="str">
        <f>"Adaptor for Gripper  Welding Station"</f>
        <v>Adaptor for Gripper  Welding Station</v>
      </c>
      <c r="C3290" t="str">
        <f t="shared" ref="C3290:C3299" si="147">"Active"</f>
        <v>Active</v>
      </c>
    </row>
    <row r="3291" spans="1:3" ht="18" customHeight="1">
      <c r="A3291" t="str">
        <f>"112917"</f>
        <v>112917</v>
      </c>
      <c r="B3291" t="str">
        <f>"Direct Gun  Welding Both"</f>
        <v>Direct Gun  Welding Both</v>
      </c>
      <c r="C3291" t="str">
        <f t="shared" si="147"/>
        <v>Active</v>
      </c>
    </row>
    <row r="3292" spans="1:3" ht="18" customHeight="1">
      <c r="A3292" t="str">
        <f>"112918"</f>
        <v>112918</v>
      </c>
      <c r="B3292" t="str">
        <f>"Base for Welding Gun/ Ball Feeder, 100x60"</f>
        <v>Base for Welding Gun/ Ball Feeder, 100x60</v>
      </c>
      <c r="C3292" t="str">
        <f t="shared" si="147"/>
        <v>Active</v>
      </c>
    </row>
    <row r="3293" spans="1:3" ht="18" customHeight="1">
      <c r="A3293" t="str">
        <f>"112919"</f>
        <v>112919</v>
      </c>
      <c r="B3293" t="str">
        <f>"Welding Gun holder"</f>
        <v>Welding Gun holder</v>
      </c>
      <c r="C3293" t="str">
        <f t="shared" si="147"/>
        <v>Active</v>
      </c>
    </row>
    <row r="3294" spans="1:3" ht="18" customHeight="1">
      <c r="A3294" t="str">
        <f>"112920"</f>
        <v>112920</v>
      </c>
      <c r="B3294" t="str">
        <f>"Limit Plate Welding Booth"</f>
        <v>Limit Plate Welding Booth</v>
      </c>
      <c r="C3294" t="str">
        <f t="shared" si="147"/>
        <v>Active</v>
      </c>
    </row>
    <row r="3295" spans="1:3" ht="18" customHeight="1">
      <c r="A3295" t="str">
        <f>"112921"</f>
        <v>112921</v>
      </c>
      <c r="B3295" t="str">
        <f>"Support for Plate  Welding Booth"</f>
        <v>Support for Plate  Welding Booth</v>
      </c>
      <c r="C3295" t="str">
        <f t="shared" si="147"/>
        <v>Active</v>
      </c>
    </row>
    <row r="3296" spans="1:3" ht="18" customHeight="1">
      <c r="A3296" t="str">
        <f>"112922"</f>
        <v>112922</v>
      </c>
      <c r="B3296" t="str">
        <f>"Phenolic Plate for Welding Booth"</f>
        <v>Phenolic Plate for Welding Booth</v>
      </c>
      <c r="C3296" t="str">
        <f t="shared" si="147"/>
        <v>Active</v>
      </c>
    </row>
    <row r="3297" spans="1:3" ht="18" customHeight="1">
      <c r="A3297" t="str">
        <f>"112923"</f>
        <v>112923</v>
      </c>
      <c r="B3297" t="str">
        <f>"Base Gripper ER2u"</f>
        <v>Base Gripper ER2u</v>
      </c>
      <c r="C3297" t="str">
        <f t="shared" si="147"/>
        <v>Active</v>
      </c>
    </row>
    <row r="3298" spans="1:3" ht="18" customHeight="1">
      <c r="A3298" t="str">
        <f>"112924"</f>
        <v>112924</v>
      </c>
      <c r="B3298" t="str">
        <f>"Cover Base Gripper ER2u"</f>
        <v>Cover Base Gripper ER2u</v>
      </c>
      <c r="C3298" t="str">
        <f t="shared" si="147"/>
        <v>Active</v>
      </c>
    </row>
    <row r="3299" spans="1:3" ht="18" customHeight="1">
      <c r="A3299" t="str">
        <f>"112940"</f>
        <v>112940</v>
      </c>
      <c r="B3299" t="str">
        <f>"Arm First  ER2u Depco"</f>
        <v>Arm First  ER2u Depco</v>
      </c>
      <c r="C3299" t="str">
        <f t="shared" si="147"/>
        <v>Active</v>
      </c>
    </row>
    <row r="3300" spans="1:3" ht="18" customHeight="1">
      <c r="A3300" t="str">
        <f>"112940-10"</f>
        <v>112940-10</v>
      </c>
      <c r="B3300" t="str">
        <f>"Arm First  ER2u Depco"</f>
        <v>Arm First  ER2u Depco</v>
      </c>
      <c r="C3300" t="str">
        <f>"Not for sale"</f>
        <v>Not for sale</v>
      </c>
    </row>
    <row r="3301" spans="1:3" ht="18" customHeight="1">
      <c r="A3301" t="str">
        <f>"112942"</f>
        <v>112942</v>
      </c>
      <c r="B3301" t="str">
        <f>"Spacer Triangular, ASRS 36"</f>
        <v>Spacer Triangular, ASRS 36</v>
      </c>
      <c r="C3301" t="str">
        <f t="shared" ref="C3301:C3321" si="148">"Active"</f>
        <v>Active</v>
      </c>
    </row>
    <row r="3302" spans="1:3" ht="18" customHeight="1">
      <c r="A3302" t="str">
        <f>"112943"</f>
        <v>112943</v>
      </c>
      <c r="B3302" t="str">
        <f>"Plate Top Rotation,  ASRS 36"</f>
        <v>Plate Top Rotation,  ASRS 36</v>
      </c>
      <c r="C3302" t="str">
        <f t="shared" si="148"/>
        <v>Active</v>
      </c>
    </row>
    <row r="3303" spans="1:3" ht="18" customHeight="1">
      <c r="A3303" t="str">
        <f>"112944"</f>
        <v>112944</v>
      </c>
      <c r="B3303" t="str">
        <f>"Axis  Teta,   ASRS 36"</f>
        <v>Axis  Teta,   ASRS 36</v>
      </c>
      <c r="C3303" t="str">
        <f t="shared" si="148"/>
        <v>Active</v>
      </c>
    </row>
    <row r="3304" spans="1:3" ht="18" customHeight="1">
      <c r="A3304" t="str">
        <f>"112945"</f>
        <v>112945</v>
      </c>
      <c r="B3304" t="str">
        <f>"Beam bearing housing Axis Y,  ASRS 36"</f>
        <v>Beam bearing housing Axis Y,  ASRS 36</v>
      </c>
      <c r="C3304" t="str">
        <f t="shared" si="148"/>
        <v>Active</v>
      </c>
    </row>
    <row r="3305" spans="1:3" ht="18" customHeight="1">
      <c r="A3305" t="str">
        <f>"112946"</f>
        <v>112946</v>
      </c>
      <c r="B3305" t="str">
        <f>"Limiter ASRS 36"</f>
        <v>Limiter ASRS 36</v>
      </c>
      <c r="C3305" t="str">
        <f t="shared" si="148"/>
        <v>Active</v>
      </c>
    </row>
    <row r="3306" spans="1:3" ht="18" customHeight="1">
      <c r="A3306" t="str">
        <f>"112947"</f>
        <v>112947</v>
      </c>
      <c r="B3306" t="str">
        <f>"Clamp Belt  ASRS 36"</f>
        <v>Clamp Belt  ASRS 36</v>
      </c>
      <c r="C3306" t="str">
        <f t="shared" si="148"/>
        <v>Active</v>
      </c>
    </row>
    <row r="3307" spans="1:3" ht="18" customHeight="1">
      <c r="A3307" t="str">
        <f>"112948"</f>
        <v>112948</v>
      </c>
      <c r="B3307" t="str">
        <f>"Adapter For Profile Axis X,   ASRS 36"</f>
        <v>Adapter For Profile Axis X,   ASRS 36</v>
      </c>
      <c r="C3307" t="str">
        <f t="shared" si="148"/>
        <v>Active</v>
      </c>
    </row>
    <row r="3308" spans="1:3" ht="18" customHeight="1">
      <c r="A3308" t="str">
        <f>"112949"</f>
        <v>112949</v>
      </c>
      <c r="B3308" t="str">
        <f>"Plate Foot,  ASRS 36"</f>
        <v>Plate Foot,  ASRS 36</v>
      </c>
      <c r="C3308" t="str">
        <f t="shared" si="148"/>
        <v>Active</v>
      </c>
    </row>
    <row r="3309" spans="1:3" ht="18" customHeight="1">
      <c r="A3309" t="str">
        <f>"112950"</f>
        <v>112950</v>
      </c>
      <c r="B3309" t="str">
        <f>"Holder Template,  ASRS 36"</f>
        <v>Holder Template,  ASRS 36</v>
      </c>
      <c r="C3309" t="str">
        <f t="shared" si="148"/>
        <v>Active</v>
      </c>
    </row>
    <row r="3310" spans="1:3" ht="18" customHeight="1">
      <c r="A3310" t="str">
        <f>"112952"</f>
        <v>112952</v>
      </c>
      <c r="B3310" t="str">
        <f>"Plate Back Axis Z, ASRS 36 (faze 2x45)"</f>
        <v>Plate Back Axis Z, ASRS 36 (faze 2x45)</v>
      </c>
      <c r="C3310" t="str">
        <f t="shared" si="148"/>
        <v>Active</v>
      </c>
    </row>
    <row r="3311" spans="1:3" ht="18" customHeight="1">
      <c r="A3311" t="str">
        <f>"112953"</f>
        <v>112953</v>
      </c>
      <c r="B3311" t="str">
        <f>"Moustache Right,  ASRS 36"</f>
        <v>Moustache Right,  ASRS 36</v>
      </c>
      <c r="C3311" t="str">
        <f t="shared" si="148"/>
        <v>Active</v>
      </c>
    </row>
    <row r="3312" spans="1:3" ht="18" customHeight="1">
      <c r="A3312" t="str">
        <f>"112954"</f>
        <v>112954</v>
      </c>
      <c r="B3312" t="str">
        <f>"Moustache Left, ASRS-36"</f>
        <v>Moustache Left, ASRS-36</v>
      </c>
      <c r="C3312" t="str">
        <f t="shared" si="148"/>
        <v>Active</v>
      </c>
    </row>
    <row r="3313" spans="1:3" ht="18" customHeight="1">
      <c r="A3313" t="str">
        <f>"112955"</f>
        <v>112955</v>
      </c>
      <c r="B3313" t="str">
        <f>"Plate Axis X  ASRS 36, change IGUS"</f>
        <v>Plate Axis X  ASRS 36, change IGUS</v>
      </c>
      <c r="C3313" t="str">
        <f t="shared" si="148"/>
        <v>Active</v>
      </c>
    </row>
    <row r="3314" spans="1:3" ht="18" customHeight="1">
      <c r="A3314" t="str">
        <f>"112956"</f>
        <v>112956</v>
      </c>
      <c r="B3314" t="str">
        <f>"base Gear teat,  ASRS 36"</f>
        <v>base Gear teat,  ASRS 36</v>
      </c>
      <c r="C3314" t="str">
        <f t="shared" si="148"/>
        <v>Active</v>
      </c>
    </row>
    <row r="3315" spans="1:3" ht="18" customHeight="1">
      <c r="A3315" t="str">
        <f>"112957"</f>
        <v>112957</v>
      </c>
      <c r="B3315" t="str">
        <f>"Cover Gear teat, ASRS 36"</f>
        <v>Cover Gear teat, ASRS 36</v>
      </c>
      <c r="C3315" t="str">
        <f t="shared" si="148"/>
        <v>Active</v>
      </c>
    </row>
    <row r="3316" spans="1:3" ht="18" customHeight="1">
      <c r="A3316" t="str">
        <f>"112958"</f>
        <v>112958</v>
      </c>
      <c r="B3316" t="str">
        <f>"Plate carriage,   ASRS 36"</f>
        <v>Plate carriage,   ASRS 36</v>
      </c>
      <c r="C3316" t="str">
        <f t="shared" si="148"/>
        <v>Active</v>
      </c>
    </row>
    <row r="3317" spans="1:3" ht="18" customHeight="1">
      <c r="A3317" t="str">
        <f>"112959"</f>
        <v>112959</v>
      </c>
      <c r="B3317" t="str">
        <f>"Pulley Timing Belt, ASRS 36"</f>
        <v>Pulley Timing Belt, ASRS 36</v>
      </c>
      <c r="C3317" t="str">
        <f t="shared" si="148"/>
        <v>Active</v>
      </c>
    </row>
    <row r="3318" spans="1:3" ht="18" customHeight="1">
      <c r="A3318" t="str">
        <f>"112960"</f>
        <v>112960</v>
      </c>
      <c r="B3318" t="str">
        <f>"Cover Gear for Carriage  ASRS 36"</f>
        <v>Cover Gear for Carriage  ASRS 36</v>
      </c>
      <c r="C3318" t="str">
        <f t="shared" si="148"/>
        <v>Active</v>
      </c>
    </row>
    <row r="3319" spans="1:3" ht="18" customHeight="1">
      <c r="A3319" t="str">
        <f>"112961"</f>
        <v>112961</v>
      </c>
      <c r="B3319" t="str">
        <f>"Shaft D 10,  ASRS 36"</f>
        <v>Shaft D 10,  ASRS 36</v>
      </c>
      <c r="C3319" t="str">
        <f t="shared" si="148"/>
        <v>Active</v>
      </c>
    </row>
    <row r="3320" spans="1:3" ht="18" customHeight="1">
      <c r="A3320" t="str">
        <f>"112962"</f>
        <v>112962</v>
      </c>
      <c r="B3320" t="str">
        <f>"Adapter string 1,  ASRS 36"</f>
        <v>Adapter string 1,  ASRS 36</v>
      </c>
      <c r="C3320" t="str">
        <f t="shared" si="148"/>
        <v>Active</v>
      </c>
    </row>
    <row r="3321" spans="1:3" ht="18" customHeight="1">
      <c r="A3321" t="str">
        <f>"112963"</f>
        <v>112963</v>
      </c>
      <c r="B3321" t="str">
        <f>"Adapter string 2,  ASRS 36"</f>
        <v>Adapter string 2,  ASRS 36</v>
      </c>
      <c r="C3321" t="str">
        <f t="shared" si="148"/>
        <v>Active</v>
      </c>
    </row>
    <row r="3322" spans="1:3" ht="18" customHeight="1">
      <c r="A3322" t="str">
        <f>"112964"</f>
        <v>112964</v>
      </c>
      <c r="B3322" t="str">
        <f>"Plate 150x108 tekDESIGN"</f>
        <v>Plate 150x108 tekDESIGN</v>
      </c>
      <c r="C3322" t="str">
        <f>"Inactive"</f>
        <v>Inactive</v>
      </c>
    </row>
    <row r="3323" spans="1:3" ht="18" customHeight="1">
      <c r="A3323" t="str">
        <f>"112975"</f>
        <v>112975</v>
      </c>
      <c r="B3323" t="str">
        <f>"Support Cable, ER 9"</f>
        <v>Support Cable, ER 9</v>
      </c>
      <c r="C3323" t="str">
        <f>"Active"</f>
        <v>Active</v>
      </c>
    </row>
    <row r="3324" spans="1:3" ht="18" customHeight="1">
      <c r="A3324" t="str">
        <f>"112976"</f>
        <v>112976</v>
      </c>
      <c r="B3324" t="str">
        <f>"Part For Support Cable, ER 9"</f>
        <v>Part For Support Cable, ER 9</v>
      </c>
      <c r="C3324" t="str">
        <f>"Active"</f>
        <v>Active</v>
      </c>
    </row>
    <row r="3325" spans="1:3" ht="18" customHeight="1">
      <c r="A3325" t="str">
        <f>"112978"</f>
        <v>112978</v>
      </c>
      <c r="B3325" t="str">
        <f>"Support Right For Stand Desk"</f>
        <v>Support Right For Stand Desk</v>
      </c>
      <c r="C3325" t="str">
        <f>"Phase Out"</f>
        <v>Phase Out</v>
      </c>
    </row>
    <row r="3326" spans="1:3" ht="18" customHeight="1">
      <c r="A3326" t="str">
        <f>"112979"</f>
        <v>112979</v>
      </c>
      <c r="B3326" t="str">
        <f>"Support Left For Stand Desk"</f>
        <v>Support Left For Stand Desk</v>
      </c>
      <c r="C3326" t="str">
        <f>"Phase Out"</f>
        <v>Phase Out</v>
      </c>
    </row>
    <row r="3327" spans="1:3" ht="18" customHeight="1">
      <c r="A3327" t="str">
        <f>"112980"</f>
        <v>112980</v>
      </c>
      <c r="B3327" t="str">
        <f>"Support Right side"</f>
        <v>Support Right side</v>
      </c>
      <c r="C3327" t="str">
        <f>"Inactive"</f>
        <v>Inactive</v>
      </c>
    </row>
    <row r="3328" spans="1:3" ht="18" customHeight="1">
      <c r="A3328" t="str">
        <f>"112981"</f>
        <v>112981</v>
      </c>
      <c r="B3328" t="str">
        <f>"Support Left side"</f>
        <v>Support Left side</v>
      </c>
      <c r="C3328" t="str">
        <f>"Inactive"</f>
        <v>Inactive</v>
      </c>
    </row>
    <row r="3329" spans="1:3" ht="18" customHeight="1">
      <c r="A3329" t="str">
        <f>"112982"</f>
        <v>112982</v>
      </c>
      <c r="B3329" t="str">
        <f>"Cover Arm -Short SCORBOT ER9Pro"</f>
        <v>Cover Arm -Short SCORBOT ER9Pro</v>
      </c>
      <c r="C3329" t="str">
        <f>"Active"</f>
        <v>Active</v>
      </c>
    </row>
    <row r="3330" spans="1:3" ht="18" customHeight="1">
      <c r="A3330" t="str">
        <f>"112982-10"</f>
        <v>112982-10</v>
      </c>
      <c r="B3330" t="str">
        <f>"Cover Arm -Short SCORBOT ER9Pro"</f>
        <v>Cover Arm -Short SCORBOT ER9Pro</v>
      </c>
      <c r="C3330" t="str">
        <f>"Not for sale"</f>
        <v>Not for sale</v>
      </c>
    </row>
    <row r="3331" spans="1:3" ht="18" customHeight="1">
      <c r="A3331" t="str">
        <f>"112983"</f>
        <v>112983</v>
      </c>
      <c r="B3331" t="str">
        <f>"Adaptor For Robot tekDESIGN"</f>
        <v>Adaptor For Robot tekDESIGN</v>
      </c>
      <c r="C3331" t="str">
        <f>"Active"</f>
        <v>Active</v>
      </c>
    </row>
    <row r="3332" spans="1:3" ht="18" customHeight="1">
      <c r="A3332" t="str">
        <f>"112988"</f>
        <v>112988</v>
      </c>
      <c r="B3332" t="str">
        <f>"Plate For Valve sol."</f>
        <v>Plate For Valve sol.</v>
      </c>
      <c r="C3332" t="str">
        <f>"ECO-N2Buy"</f>
        <v>ECO-N2Buy</v>
      </c>
    </row>
    <row r="3333" spans="1:3" ht="18" customHeight="1">
      <c r="A3333" t="str">
        <f>"112989"</f>
        <v>112989</v>
      </c>
      <c r="B3333" t="str">
        <f>"Support for Elbow  Pn. Feeder square/Parts"</f>
        <v>Support for Elbow  Pn. Feeder square/Parts</v>
      </c>
      <c r="C3333" t="str">
        <f t="shared" ref="C3333:C3344" si="149">"Active"</f>
        <v>Active</v>
      </c>
    </row>
    <row r="3334" spans="1:3" ht="18" customHeight="1">
      <c r="A3334" t="str">
        <f>"112990"</f>
        <v>112990</v>
      </c>
      <c r="B3334" t="str">
        <f>"Elbow 30x30x200mm"</f>
        <v>Elbow 30x30x200mm</v>
      </c>
      <c r="C3334" t="str">
        <f t="shared" si="149"/>
        <v>Active</v>
      </c>
    </row>
    <row r="3335" spans="1:3" ht="18" customHeight="1">
      <c r="A3335" t="str">
        <f>"112994"</f>
        <v>112994</v>
      </c>
      <c r="B3335" t="str">
        <f>"House Motors GM87"</f>
        <v>House Motors GM87</v>
      </c>
      <c r="C3335" t="str">
        <f t="shared" si="149"/>
        <v>Active</v>
      </c>
    </row>
    <row r="3336" spans="1:3" ht="18" customHeight="1">
      <c r="A3336" t="str">
        <f>"113001"</f>
        <v>113001</v>
      </c>
      <c r="B3336" t="str">
        <f>"Base Robot - Polyurethane  SCORBOT ER4u"</f>
        <v>Base Robot - Polyurethane  SCORBOT ER4u</v>
      </c>
      <c r="C3336" t="str">
        <f t="shared" si="149"/>
        <v>Active</v>
      </c>
    </row>
    <row r="3337" spans="1:3" ht="18" customHeight="1">
      <c r="A3337" t="str">
        <f>"113004"</f>
        <v>113004</v>
      </c>
      <c r="B3337" t="str">
        <f>"Plate Base Plastic  SCORBOT ER4u"</f>
        <v>Plate Base Plastic  SCORBOT ER4u</v>
      </c>
      <c r="C3337" t="str">
        <f t="shared" si="149"/>
        <v>Active</v>
      </c>
    </row>
    <row r="3338" spans="1:3" ht="18" customHeight="1">
      <c r="A3338" t="str">
        <f>"113005"</f>
        <v>113005</v>
      </c>
      <c r="B3338" t="str">
        <f>"Housing Encoder SCORBOT ER4u"</f>
        <v>Housing Encoder SCORBOT ER4u</v>
      </c>
      <c r="C3338" t="str">
        <f t="shared" si="149"/>
        <v>Active</v>
      </c>
    </row>
    <row r="3339" spans="1:3" ht="18" customHeight="1">
      <c r="A3339" t="str">
        <f>"113006"</f>
        <v>113006</v>
      </c>
      <c r="B3339" t="str">
        <f>"Snap Rivet Nylon 12.7d,  SCORBOT ER4u"</f>
        <v>Snap Rivet Nylon 12.7d,  SCORBOT ER4u</v>
      </c>
      <c r="C3339" t="str">
        <f t="shared" si="149"/>
        <v>Active</v>
      </c>
    </row>
    <row r="3340" spans="1:3" ht="18" customHeight="1">
      <c r="A3340" t="str">
        <f>"113007"</f>
        <v>113007</v>
      </c>
      <c r="B3340" t="str">
        <f>"KeySlot Circ.Board Support KSLBN-4-01 RichcoAC00"</f>
        <v>KeySlot Circ.Board Support KSLBN-4-01 RichcoAC00</v>
      </c>
      <c r="C3340" t="str">
        <f t="shared" si="149"/>
        <v>Active</v>
      </c>
    </row>
    <row r="3341" spans="1:3" ht="18" customHeight="1">
      <c r="A3341" t="str">
        <f>"113008"</f>
        <v>113008</v>
      </c>
      <c r="B3341" t="str">
        <f>"Gear Bevel Plastic  SCORBOT ER4u"</f>
        <v>Gear Bevel Plastic  SCORBOT ER4u</v>
      </c>
      <c r="C3341" t="str">
        <f t="shared" si="149"/>
        <v>Active</v>
      </c>
    </row>
    <row r="3342" spans="1:3" ht="18" customHeight="1">
      <c r="A3342" t="str">
        <f>"113009"</f>
        <v>113009</v>
      </c>
      <c r="B3342" t="str">
        <f>"Gear Bevel Plastic  w/Fork  SCORBOT ER4u"</f>
        <v>Gear Bevel Plastic  w/Fork  SCORBOT ER4u</v>
      </c>
      <c r="C3342" t="str">
        <f t="shared" si="149"/>
        <v>Active</v>
      </c>
    </row>
    <row r="3343" spans="1:3" ht="18" customHeight="1">
      <c r="A3343" t="str">
        <f>"113010"</f>
        <v>113010</v>
      </c>
      <c r="B3343" t="str">
        <f>"Wheel AKULON Conveyor"</f>
        <v>Wheel AKULON Conveyor</v>
      </c>
      <c r="C3343" t="str">
        <f t="shared" si="149"/>
        <v>Active</v>
      </c>
    </row>
    <row r="3344" spans="1:3" ht="18" customHeight="1">
      <c r="A3344" t="str">
        <f>"113012"</f>
        <v>113012</v>
      </c>
      <c r="B3344" t="str">
        <f>"Cover Plastic For Bearing"</f>
        <v>Cover Plastic For Bearing</v>
      </c>
      <c r="C3344" t="str">
        <f t="shared" si="149"/>
        <v>Active</v>
      </c>
    </row>
    <row r="3345" spans="1:3" ht="18" customHeight="1">
      <c r="A3345" t="str">
        <f>"113013"</f>
        <v>113013</v>
      </c>
      <c r="B3345" t="str">
        <f>"Pulley Tension -1/2"" Belt SCORBOT ER4u"</f>
        <v>Pulley Tension -1/2" Belt SCORBOT ER4u</v>
      </c>
      <c r="C3345" t="str">
        <f>"ECO-N2Buy"</f>
        <v>ECO-N2Buy</v>
      </c>
    </row>
    <row r="3346" spans="1:3" ht="18" customHeight="1">
      <c r="A3346" t="str">
        <f>"113014"</f>
        <v>113014</v>
      </c>
      <c r="B3346" t="str">
        <f>"Pulley Tension- 3/8"" Belt SCORBOT ER4u"</f>
        <v>Pulley Tension- 3/8" Belt SCORBOT ER4u</v>
      </c>
      <c r="C3346" t="str">
        <f t="shared" ref="C3346:C3375" si="150">"Active"</f>
        <v>Active</v>
      </c>
    </row>
    <row r="3347" spans="1:3" ht="18" customHeight="1">
      <c r="A3347" t="str">
        <f>"113016"</f>
        <v>113016</v>
      </c>
      <c r="B3347" t="str">
        <f>"Spacer AKULON D10.5 x d4 x 2 mm"</f>
        <v>Spacer AKULON D10.5 x d4 x 2 mm</v>
      </c>
      <c r="C3347" t="str">
        <f t="shared" si="150"/>
        <v>Active</v>
      </c>
    </row>
    <row r="3348" spans="1:3" ht="18" customHeight="1">
      <c r="A3348" t="str">
        <f>"113018"</f>
        <v>113018</v>
      </c>
      <c r="B3348" t="str">
        <f>"Bar Round PVC - Gray Ø25±2 x 28mm"</f>
        <v>Bar Round PVC - Gray Ø25±2 x 28mm</v>
      </c>
      <c r="C3348" t="str">
        <f t="shared" si="150"/>
        <v>Active</v>
      </c>
    </row>
    <row r="3349" spans="1:3" ht="18" customHeight="1">
      <c r="A3349" t="str">
        <f>"113019"</f>
        <v>113019</v>
      </c>
      <c r="B3349" t="str">
        <f>"Bar Round PVC - Gray d35 x 28mm"</f>
        <v>Bar Round PVC - Gray d35 x 28mm</v>
      </c>
      <c r="C3349" t="str">
        <f t="shared" si="150"/>
        <v>Active</v>
      </c>
    </row>
    <row r="3350" spans="1:3" ht="18" customHeight="1">
      <c r="A3350" t="str">
        <f>"113020"</f>
        <v>113020</v>
      </c>
      <c r="B3350" t="str">
        <f>"Bar Round PVC - Gray d46 x 28mm"</f>
        <v>Bar Round PVC - Gray d46 x 28mm</v>
      </c>
      <c r="C3350" t="str">
        <f t="shared" si="150"/>
        <v>Active</v>
      </c>
    </row>
    <row r="3351" spans="1:3" ht="18" customHeight="1">
      <c r="A3351" t="str">
        <f>"113021"</f>
        <v>113021</v>
      </c>
      <c r="B3351" t="str">
        <f>"Green Plastic Square Prism 28x28mm, h=25mm"</f>
        <v>Green Plastic Square Prism 28x28mm, h=25mm</v>
      </c>
      <c r="C3351" t="str">
        <f t="shared" si="150"/>
        <v>Active</v>
      </c>
    </row>
    <row r="3352" spans="1:3" ht="18" customHeight="1">
      <c r="A3352" t="str">
        <f>"113022"</f>
        <v>113022</v>
      </c>
      <c r="B3352" t="str">
        <f>"Green Plastic Square Prism 28x28mm, h=35mm"</f>
        <v>Green Plastic Square Prism 28x28mm, h=35mm</v>
      </c>
      <c r="C3352" t="str">
        <f t="shared" si="150"/>
        <v>Active</v>
      </c>
    </row>
    <row r="3353" spans="1:3" ht="18" customHeight="1">
      <c r="A3353" t="str">
        <f>"113023"</f>
        <v>113023</v>
      </c>
      <c r="B3353" t="str">
        <f>"Green Plastic Square Prism 28x28mm, h=45mm"</f>
        <v>Green Plastic Square Prism 28x28mm, h=45mm</v>
      </c>
      <c r="C3353" t="str">
        <f t="shared" si="150"/>
        <v>Active</v>
      </c>
    </row>
    <row r="3354" spans="1:3" ht="18" customHeight="1">
      <c r="A3354" t="str">
        <f>"113024"</f>
        <v>113024</v>
      </c>
      <c r="B3354" t="str">
        <f>"Cover Belt - Blk. SCORBOT ER7+ER9"</f>
        <v>Cover Belt - Blk. SCORBOT ER7+ER9</v>
      </c>
      <c r="C3354" t="str">
        <f t="shared" si="150"/>
        <v>Active</v>
      </c>
    </row>
    <row r="3355" spans="1:3" ht="18" customHeight="1">
      <c r="A3355" t="str">
        <f>"113025"</f>
        <v>113025</v>
      </c>
      <c r="B3355" t="str">
        <f>"Cover Belt -Blk.  Machined, SCORBOT ER7"</f>
        <v>Cover Belt -Blk.  Machined, SCORBOT ER7</v>
      </c>
      <c r="C3355" t="str">
        <f t="shared" si="150"/>
        <v>Active</v>
      </c>
    </row>
    <row r="3356" spans="1:3" ht="18" customHeight="1">
      <c r="A3356" t="str">
        <f>"113029"</f>
        <v>113029</v>
      </c>
      <c r="B3356" t="str">
        <f>"Box Plastic - Gray No. 3   FMS"</f>
        <v>Box Plastic - Gray No. 3   FMS</v>
      </c>
      <c r="C3356" t="str">
        <f t="shared" si="150"/>
        <v>Active</v>
      </c>
    </row>
    <row r="3357" spans="1:3" ht="18" customHeight="1">
      <c r="A3357" t="str">
        <f>"113030"</f>
        <v>113030</v>
      </c>
      <c r="B3357" t="str">
        <f>"Base Plast. Template -Blk. ABS, PA-766"</f>
        <v>Base Plast. Template -Blk. ABS, PA-766</v>
      </c>
      <c r="C3357" t="str">
        <f t="shared" si="150"/>
        <v>Active</v>
      </c>
    </row>
    <row r="3358" spans="1:3" ht="18" customHeight="1">
      <c r="A3358" t="str">
        <f>"113031"</f>
        <v>113031</v>
      </c>
      <c r="B3358" t="str">
        <f>"Adaptor Plastic Template -Black  CIM"</f>
        <v>Adaptor Plastic Template -Black  CIM</v>
      </c>
      <c r="C3358" t="str">
        <f t="shared" si="150"/>
        <v>Active</v>
      </c>
    </row>
    <row r="3359" spans="1:3" ht="18" customHeight="1">
      <c r="A3359" t="str">
        <f>"113032"</f>
        <v>113032</v>
      </c>
      <c r="B3359" t="str">
        <f>"Pin Plastic Small Black Template CIM"</f>
        <v>Pin Plastic Small Black Template CIM</v>
      </c>
      <c r="C3359" t="str">
        <f t="shared" si="150"/>
        <v>Active</v>
      </c>
    </row>
    <row r="3360" spans="1:3" ht="18" customHeight="1">
      <c r="A3360" t="str">
        <f>"113033"</f>
        <v>113033</v>
      </c>
      <c r="B3360" t="str">
        <f>"Pin Plastic Big Black Template CIM"</f>
        <v>Pin Plastic Big Black Template CIM</v>
      </c>
      <c r="C3360" t="str">
        <f t="shared" si="150"/>
        <v>Active</v>
      </c>
    </row>
    <row r="3361" spans="1:3" ht="18" customHeight="1">
      <c r="A3361" t="str">
        <f>"113034"</f>
        <v>113034</v>
      </c>
      <c r="B3361" t="str">
        <f>"Raw Material - Perspex Block"</f>
        <v>Raw Material - Perspex Block</v>
      </c>
      <c r="C3361" t="str">
        <f t="shared" si="150"/>
        <v>Active</v>
      </c>
    </row>
    <row r="3362" spans="1:3" ht="18" customHeight="1">
      <c r="A3362" t="str">
        <f>"113036"</f>
        <v>113036</v>
      </c>
      <c r="B3362" t="str">
        <f>"Syringe - 30cc, d1"""</f>
        <v>Syringe - 30cc, d1"</v>
      </c>
      <c r="C3362" t="str">
        <f t="shared" si="150"/>
        <v>Active</v>
      </c>
    </row>
    <row r="3363" spans="1:3" ht="18" customHeight="1">
      <c r="A3363" t="str">
        <f>"113037"</f>
        <v>113037</v>
      </c>
      <c r="B3363" t="str">
        <f>"Assy. Head  for Syringe 1"""</f>
        <v>Assy. Head  for Syringe 1"</v>
      </c>
      <c r="C3363" t="str">
        <f t="shared" si="150"/>
        <v>Active</v>
      </c>
    </row>
    <row r="3364" spans="1:3" ht="18" customHeight="1">
      <c r="A3364" t="str">
        <f>"113038"</f>
        <v>113038</v>
      </c>
      <c r="B3364" t="str">
        <f>"Corner Jig Template  -Black"</f>
        <v>Corner Jig Template  -Black</v>
      </c>
      <c r="C3364" t="str">
        <f t="shared" si="150"/>
        <v>Active</v>
      </c>
    </row>
    <row r="3365" spans="1:3" ht="18" customHeight="1">
      <c r="A3365" t="str">
        <f>"113039"</f>
        <v>113039</v>
      </c>
      <c r="B3365" t="str">
        <f>"Insulating Panel Bushing D=22 d=16"</f>
        <v>Insulating Panel Bushing D=22 d=16</v>
      </c>
      <c r="C3365" t="str">
        <f t="shared" si="150"/>
        <v>Active</v>
      </c>
    </row>
    <row r="3366" spans="1:3" ht="18" customHeight="1">
      <c r="A3366" t="str">
        <f>"113040"</f>
        <v>113040</v>
      </c>
      <c r="B3366" t="str">
        <f>"Nylon Rivet Snap ford=Ø3.8 mm-Black, 27SR0018"</f>
        <v>Nylon Rivet Snap ford=Ø3.8 mm-Black, 27SR0018</v>
      </c>
      <c r="C3366" t="str">
        <f t="shared" si="150"/>
        <v>Active</v>
      </c>
    </row>
    <row r="3367" spans="1:3" ht="18" customHeight="1">
      <c r="A3367" t="str">
        <f>"113045"</f>
        <v>113045</v>
      </c>
      <c r="B3367" t="str">
        <f>"Bushing Insulating  Black d= 8mm"</f>
        <v>Bushing Insulating  Black d= 8mm</v>
      </c>
      <c r="C3367" t="str">
        <f t="shared" si="150"/>
        <v>Active</v>
      </c>
    </row>
    <row r="3368" spans="1:3" ht="18" customHeight="1">
      <c r="A3368" t="str">
        <f>"113046"</f>
        <v>113046</v>
      </c>
      <c r="B3368" t="str">
        <f>"Leg Bridge Plastic Corner Black"</f>
        <v>Leg Bridge Plastic Corner Black</v>
      </c>
      <c r="C3368" t="str">
        <f t="shared" si="150"/>
        <v>Active</v>
      </c>
    </row>
    <row r="3369" spans="1:3" ht="18" customHeight="1">
      <c r="A3369" t="str">
        <f>"113047"</f>
        <v>113047</v>
      </c>
      <c r="B3369" t="str">
        <f>"Support Base PA FV, D60.8+0.2, Marbet, Machined"</f>
        <v>Support Base PA FV, D60.8+0.2, Marbet, Machined</v>
      </c>
      <c r="C3369" t="str">
        <f t="shared" si="150"/>
        <v>Active</v>
      </c>
    </row>
    <row r="3370" spans="1:3" ht="18" customHeight="1">
      <c r="A3370" t="str">
        <f>"113047-10"</f>
        <v>113047-10</v>
      </c>
      <c r="B3370" t="str">
        <f>"Support Base PA FV, D60.3, Marbet S0618, 638832,"</f>
        <v>Support Base PA FV, D60.3, Marbet S0618, 638832,</v>
      </c>
      <c r="C3370" t="str">
        <f t="shared" si="150"/>
        <v>Active</v>
      </c>
    </row>
    <row r="3371" spans="1:3" ht="18" customHeight="1">
      <c r="A3371" t="str">
        <f>"113048"</f>
        <v>113048</v>
      </c>
      <c r="B3371" t="str">
        <f>"Foot Plastic Articulated Black M16+Nut,L70,D80mm"</f>
        <v>Foot Plastic Articulated Black M16+Nut,L70,D80mm</v>
      </c>
      <c r="C3371" t="str">
        <f t="shared" si="150"/>
        <v>Active</v>
      </c>
    </row>
    <row r="3372" spans="1:3" ht="18" customHeight="1">
      <c r="A3372" t="str">
        <f>"113049"</f>
        <v>113049</v>
      </c>
      <c r="B3372" t="str">
        <f>"Clamp Plastic Connecting 2'', Polyamide Black"</f>
        <v>Clamp Plastic Connecting 2'', Polyamide Black</v>
      </c>
      <c r="C3372" t="str">
        <f t="shared" si="150"/>
        <v>Active</v>
      </c>
    </row>
    <row r="3373" spans="1:3" ht="18" customHeight="1">
      <c r="A3373" t="str">
        <f>"113050"</f>
        <v>113050</v>
      </c>
      <c r="B3373" t="str">
        <f>"Bracket Plastic Side Top Polyamide Black S0168"</f>
        <v>Bracket Plastic Side Top Polyamide Black S0168</v>
      </c>
      <c r="C3373" t="str">
        <f t="shared" si="150"/>
        <v>Active</v>
      </c>
    </row>
    <row r="3374" spans="1:3" ht="18" customHeight="1">
      <c r="A3374" t="str">
        <f>"113052"</f>
        <v>113052</v>
      </c>
      <c r="B3374" t="str">
        <f>"Polyamide Support Head,ID=60.8, machining"</f>
        <v>Polyamide Support Head,ID=60.8, machining</v>
      </c>
      <c r="C3374" t="str">
        <f t="shared" si="150"/>
        <v>Active</v>
      </c>
    </row>
    <row r="3375" spans="1:3" ht="18" customHeight="1">
      <c r="A3375" t="str">
        <f>"113052-10"</f>
        <v>113052-10</v>
      </c>
      <c r="B3375" t="str">
        <f>"Head Plast. Bearing  2""  8330055,Polyamide Black"</f>
        <v>Head Plast. Bearing  2"  8330055,Polyamide Black</v>
      </c>
      <c r="C3375" t="str">
        <f t="shared" si="150"/>
        <v>Active</v>
      </c>
    </row>
    <row r="3376" spans="1:3" ht="18" customHeight="1">
      <c r="A3376" t="str">
        <f>"113053"</f>
        <v>113053</v>
      </c>
      <c r="B3376" t="str">
        <f>"Cover for CIM Conveyor, PVC Black, L=1540mm"</f>
        <v>Cover for CIM Conveyor, PVC Black, L=1540mm</v>
      </c>
      <c r="C3376" t="str">
        <f>"ECO-N2Buy"</f>
        <v>ECO-N2Buy</v>
      </c>
    </row>
    <row r="3377" spans="1:3" ht="18" customHeight="1">
      <c r="A3377" t="str">
        <f>"113054"</f>
        <v>113054</v>
      </c>
      <c r="B3377" t="str">
        <f>"Disc Black Dalerin"</f>
        <v>Disc Black Dalerin</v>
      </c>
      <c r="C3377" t="str">
        <f>"Active"</f>
        <v>Active</v>
      </c>
    </row>
    <row r="3378" spans="1:3" ht="18" customHeight="1">
      <c r="A3378" t="str">
        <f>"113055"</f>
        <v>113055</v>
      </c>
      <c r="B3378" t="str">
        <f>"RollerPolyamide 8010236 ID20,D=41x70mm machinin"</f>
        <v>RollerPolyamide 8010236 ID20,D=41x70mm machinin</v>
      </c>
      <c r="C3378" t="str">
        <f>"ECO-N2Buy"</f>
        <v>ECO-N2Buy</v>
      </c>
    </row>
    <row r="3379" spans="1:3" ht="18" customHeight="1">
      <c r="A3379" t="str">
        <f>"113056"</f>
        <v>113056</v>
      </c>
      <c r="B3379" t="str">
        <f>"Hight voltage cover"</f>
        <v>Hight voltage cover</v>
      </c>
      <c r="C3379" t="str">
        <f>"ECO-N2Buy"</f>
        <v>ECO-N2Buy</v>
      </c>
    </row>
    <row r="3380" spans="1:3" ht="18" customHeight="1">
      <c r="A3380" t="str">
        <f>"113057"</f>
        <v>113057</v>
      </c>
      <c r="B3380" t="str">
        <f>"Wheel Support for Template"</f>
        <v>Wheel Support for Template</v>
      </c>
      <c r="C3380" t="str">
        <f>"Not for sale"</f>
        <v>Not for sale</v>
      </c>
    </row>
    <row r="3381" spans="1:3" ht="18" customHeight="1">
      <c r="A3381" t="str">
        <f>"113058"</f>
        <v>113058</v>
      </c>
      <c r="B3381" t="str">
        <f>"Wheel For Plat"</f>
        <v>Wheel For Plat</v>
      </c>
      <c r="C3381" t="str">
        <f>"Active"</f>
        <v>Active</v>
      </c>
    </row>
    <row r="3382" spans="1:3" ht="18" customHeight="1">
      <c r="A3382" t="str">
        <f>"113059"</f>
        <v>113059</v>
      </c>
      <c r="B3382" t="str">
        <f>"Forging Plat For Conveyor ASED"</f>
        <v>Forging Plat For Conveyor ASED</v>
      </c>
      <c r="C3382" t="str">
        <f>"Active"</f>
        <v>Active</v>
      </c>
    </row>
    <row r="3383" spans="1:3" ht="18" customHeight="1">
      <c r="A3383" t="str">
        <f>"113060"</f>
        <v>113060</v>
      </c>
      <c r="B3383" t="str">
        <f>"Corner For Conveyor"</f>
        <v>Corner For Conveyor</v>
      </c>
      <c r="C3383" t="str">
        <f>"Active"</f>
        <v>Active</v>
      </c>
    </row>
    <row r="3384" spans="1:3" ht="18" customHeight="1">
      <c r="A3384" t="str">
        <f>"113062"</f>
        <v>113062</v>
      </c>
      <c r="B3384" t="str">
        <f>"Pulley Tension For Conveyor, Black Dalerin"</f>
        <v>Pulley Tension For Conveyor, Black Dalerin</v>
      </c>
      <c r="C3384" t="str">
        <f>"ECO-N2Buy"</f>
        <v>ECO-N2Buy</v>
      </c>
    </row>
    <row r="3385" spans="1:3" ht="18" customHeight="1">
      <c r="A3385" t="str">
        <f>"113063"</f>
        <v>113063</v>
      </c>
      <c r="B3385" t="str">
        <f>"Pulley Coupling For Conveyor, Black Dalerin"</f>
        <v>Pulley Coupling For Conveyor, Black Dalerin</v>
      </c>
      <c r="C3385" t="str">
        <f>"ECO-N2Buy"</f>
        <v>ECO-N2Buy</v>
      </c>
    </row>
    <row r="3386" spans="1:3" ht="18" customHeight="1">
      <c r="A3386" t="str">
        <f>"113064"</f>
        <v>113064</v>
      </c>
      <c r="B3386" t="str">
        <f>"Cover Encoder axis 3, SCORBOT ER9Pro"</f>
        <v>Cover Encoder axis 3, SCORBOT ER9Pro</v>
      </c>
      <c r="C3386" t="str">
        <f>"Active"</f>
        <v>Active</v>
      </c>
    </row>
    <row r="3387" spans="1:3" ht="18" customHeight="1">
      <c r="A3387" t="str">
        <f>"113064-10"</f>
        <v>113064-10</v>
      </c>
      <c r="B3387" t="str">
        <f>"Cover Encoder axis 3, SCORBOT ER9Pro"</f>
        <v>Cover Encoder axis 3, SCORBOT ER9Pro</v>
      </c>
      <c r="C3387" t="str">
        <f>"Not for sale"</f>
        <v>Not for sale</v>
      </c>
    </row>
    <row r="3388" spans="1:3" ht="18" customHeight="1">
      <c r="A3388" t="str">
        <f>"113065"</f>
        <v>113065</v>
      </c>
      <c r="B3388" t="str">
        <f>"Cover Lower - 2nd Arm Scora-ER14Pro"</f>
        <v>Cover Lower - 2nd Arm Scora-ER14Pro</v>
      </c>
      <c r="C3388" t="str">
        <f>"ECO-N2Buy"</f>
        <v>ECO-N2Buy</v>
      </c>
    </row>
    <row r="3389" spans="1:3" ht="18" customHeight="1">
      <c r="A3389" t="str">
        <f>"113065-10"</f>
        <v>113065-10</v>
      </c>
      <c r="B3389" t="str">
        <f>"Cover Lower - 2nd Arm Scora-ER14Pro"</f>
        <v>Cover Lower - 2nd Arm Scora-ER14Pro</v>
      </c>
      <c r="C3389" t="str">
        <f>"Not for sale"</f>
        <v>Not for sale</v>
      </c>
    </row>
    <row r="3390" spans="1:3" ht="18" customHeight="1">
      <c r="A3390" t="str">
        <f>"113066"</f>
        <v>113066</v>
      </c>
      <c r="B3390" t="str">
        <f>"Cover Upper - 2nd Arm Scora ER14"</f>
        <v>Cover Upper - 2nd Arm Scora ER14</v>
      </c>
      <c r="C3390" t="str">
        <f>"Active"</f>
        <v>Active</v>
      </c>
    </row>
    <row r="3391" spans="1:3" ht="18" customHeight="1">
      <c r="A3391" t="str">
        <f>"113067"</f>
        <v>113067</v>
      </c>
      <c r="B3391" t="str">
        <f>"Cover - 1st Arm Scora ER-14"</f>
        <v>Cover - 1st Arm Scora ER-14</v>
      </c>
      <c r="C3391" t="str">
        <f>"Active"</f>
        <v>Active</v>
      </c>
    </row>
    <row r="3392" spans="1:3" ht="18" customHeight="1">
      <c r="A3392" t="str">
        <f>"113069"</f>
        <v>113069</v>
      </c>
      <c r="B3392" t="str">
        <f>"Cover Belt -Blk. Axis 3  Machined Scorbot ER9Pro"</f>
        <v>Cover Belt -Blk. Axis 3  Machined Scorbot ER9Pro</v>
      </c>
      <c r="C3392" t="str">
        <f>"Active"</f>
        <v>Active</v>
      </c>
    </row>
    <row r="3393" spans="1:3" ht="18" customHeight="1">
      <c r="A3393" t="str">
        <f>"113069-10"</f>
        <v>113069-10</v>
      </c>
      <c r="B3393" t="str">
        <f>"Cover Belt -Blk. Axis 3  Machined Scorbot ER9Pro"</f>
        <v>Cover Belt -Blk. Axis 3  Machined Scorbot ER9Pro</v>
      </c>
      <c r="C3393" t="str">
        <f>"Not for sale"</f>
        <v>Not for sale</v>
      </c>
    </row>
    <row r="3394" spans="1:3" ht="18" customHeight="1">
      <c r="A3394" t="str">
        <f>"113070"</f>
        <v>113070</v>
      </c>
      <c r="B3394" t="str">
        <f>"Cover Belt - Blk. Arm Machined  Scorbot ER9"</f>
        <v>Cover Belt - Blk. Arm Machined  Scorbot ER9</v>
      </c>
      <c r="C3394" t="str">
        <f>"Active"</f>
        <v>Active</v>
      </c>
    </row>
    <row r="3395" spans="1:3" ht="18" customHeight="1">
      <c r="A3395" t="str">
        <f>"113070-10"</f>
        <v>113070-10</v>
      </c>
      <c r="B3395" t="str">
        <f>"Cover Belt - Blk. Arm Machined  Scorbot ER9"</f>
        <v>Cover Belt - Blk. Arm Machined  Scorbot ER9</v>
      </c>
      <c r="C3395" t="str">
        <f>"Not for sale"</f>
        <v>Not for sale</v>
      </c>
    </row>
    <row r="3396" spans="1:3" ht="18" customHeight="1">
      <c r="A3396" t="str">
        <f>"113071"</f>
        <v>113071</v>
      </c>
      <c r="B3396" t="str">
        <f>"Raw Perspex Material 70x51x6 mm"</f>
        <v>Raw Perspex Material 70x51x6 mm</v>
      </c>
      <c r="C3396" t="str">
        <f t="shared" ref="C3396:C3401" si="151">"Active"</f>
        <v>Active</v>
      </c>
    </row>
    <row r="3397" spans="1:3" ht="18" customHeight="1">
      <c r="A3397" t="str">
        <f>"113075"</f>
        <v>113075</v>
      </c>
      <c r="B3397" t="str">
        <f>"Cover for Game Parts  70x51x6 mm"</f>
        <v>Cover for Game Parts  70x51x6 mm</v>
      </c>
      <c r="C3397" t="str">
        <f t="shared" si="151"/>
        <v>Active</v>
      </c>
    </row>
    <row r="3398" spans="1:3" ht="18" customHeight="1">
      <c r="A3398" t="str">
        <f>"113076"</f>
        <v>113076</v>
      </c>
      <c r="B3398" t="str">
        <f>"Base for Game Parts  70x51x20 mm"</f>
        <v>Base for Game Parts  70x51x20 mm</v>
      </c>
      <c r="C3398" t="str">
        <f t="shared" si="151"/>
        <v>Active</v>
      </c>
    </row>
    <row r="3399" spans="1:3" ht="18" customHeight="1">
      <c r="A3399" t="str">
        <f>"113077"</f>
        <v>113077</v>
      </c>
      <c r="B3399" t="str">
        <f>"Nut forPneumatic Hydraulic Syste"</f>
        <v>Nut forPneumatic Hydraulic Syste</v>
      </c>
      <c r="C3399" t="str">
        <f t="shared" si="151"/>
        <v>Active</v>
      </c>
    </row>
    <row r="3400" spans="1:3" ht="18" customHeight="1">
      <c r="A3400" t="str">
        <f>"113078"</f>
        <v>113078</v>
      </c>
      <c r="B3400" t="str">
        <f>"Leg for Slotted Panel Pneu/HydraFlex"</f>
        <v>Leg for Slotted Panel Pneu/HydraFlex</v>
      </c>
      <c r="C3400" t="str">
        <f t="shared" si="151"/>
        <v>Active</v>
      </c>
    </row>
    <row r="3401" spans="1:3" ht="18" customHeight="1">
      <c r="A3401" t="str">
        <f>"113079"</f>
        <v>113079</v>
      </c>
      <c r="B3401" t="str">
        <f>"ABS Base Nut 5/16 Pneu/Hydro Flex"</f>
        <v>ABS Base Nut 5/16 Pneu/Hydro Flex</v>
      </c>
      <c r="C3401" t="str">
        <f t="shared" si="151"/>
        <v>Active</v>
      </c>
    </row>
    <row r="3402" spans="1:3" ht="18" customHeight="1">
      <c r="A3402" t="str">
        <f>"113080"</f>
        <v>113080</v>
      </c>
      <c r="B3402" t="str">
        <f>"Mobil-Box Datec, OKW Machined"</f>
        <v>Mobil-Box Datec, OKW Machined</v>
      </c>
      <c r="C3402" t="str">
        <f>"ECO-N2Buy"</f>
        <v>ECO-N2Buy</v>
      </c>
    </row>
    <row r="3403" spans="1:3" ht="18" customHeight="1">
      <c r="A3403" t="str">
        <f>"113082"</f>
        <v>113082</v>
      </c>
      <c r="B3403" t="str">
        <f>"Window Perspex for TP 23x62x4"</f>
        <v>Window Perspex for TP 23x62x4</v>
      </c>
      <c r="C3403" t="str">
        <f t="shared" ref="C3403:C3439" si="152">"Active"</f>
        <v>Active</v>
      </c>
    </row>
    <row r="3404" spans="1:3" ht="18" customHeight="1">
      <c r="A3404" t="str">
        <f>"113085"</f>
        <v>113085</v>
      </c>
      <c r="B3404" t="str">
        <f>"Ring Back, Scorbot ER1"</f>
        <v>Ring Back, Scorbot ER1</v>
      </c>
      <c r="C3404" t="str">
        <f t="shared" si="152"/>
        <v>Active</v>
      </c>
    </row>
    <row r="3405" spans="1:3" ht="18" customHeight="1">
      <c r="A3405" t="str">
        <f>"113088"</f>
        <v>113088</v>
      </c>
      <c r="B3405" t="str">
        <f>"Disc Bearing Axis 1  Scorbot ER2u"</f>
        <v>Disc Bearing Axis 1  Scorbot ER2u</v>
      </c>
      <c r="C3405" t="str">
        <f t="shared" si="152"/>
        <v>Active</v>
      </c>
    </row>
    <row r="3406" spans="1:3" ht="18" customHeight="1">
      <c r="A3406" t="str">
        <f>"113089"</f>
        <v>113089</v>
      </c>
      <c r="B3406" t="str">
        <f>"Bearing Ertlyte  Scorbot ER2u"</f>
        <v>Bearing Ertlyte  Scorbot ER2u</v>
      </c>
      <c r="C3406" t="str">
        <f t="shared" si="152"/>
        <v>Active</v>
      </c>
    </row>
    <row r="3407" spans="1:3" ht="18" customHeight="1">
      <c r="A3407" t="str">
        <f>"113090"</f>
        <v>113090</v>
      </c>
      <c r="B3407" t="str">
        <f>"Nylon Locking Hole Plug for D 8mm"</f>
        <v>Nylon Locking Hole Plug for D 8mm</v>
      </c>
      <c r="C3407" t="str">
        <f t="shared" si="152"/>
        <v>Active</v>
      </c>
    </row>
    <row r="3408" spans="1:3" ht="18" customHeight="1">
      <c r="A3408" t="str">
        <f>"113093"</f>
        <v>113093</v>
      </c>
      <c r="B3408" t="str">
        <f>"Round push for Pn. Feeder"</f>
        <v>Round push for Pn. Feeder</v>
      </c>
      <c r="C3408" t="str">
        <f t="shared" si="152"/>
        <v>Active</v>
      </c>
    </row>
    <row r="3409" spans="1:3" ht="18" customHeight="1">
      <c r="A3409" t="str">
        <f>"113094"</f>
        <v>113094</v>
      </c>
      <c r="B3409" t="str">
        <f>"Cover Plexiglass for Pn. Feeder"</f>
        <v>Cover Plexiglass for Pn. Feeder</v>
      </c>
      <c r="C3409" t="str">
        <f t="shared" si="152"/>
        <v>Active</v>
      </c>
    </row>
    <row r="3410" spans="1:3" ht="18" customHeight="1">
      <c r="A3410" t="str">
        <f>"113095"</f>
        <v>113095</v>
      </c>
      <c r="B3410" t="str">
        <f>"Fixing For Pneu Feeder"</f>
        <v>Fixing For Pneu Feeder</v>
      </c>
      <c r="C3410" t="str">
        <f t="shared" si="152"/>
        <v>Active</v>
      </c>
    </row>
    <row r="3411" spans="1:3" ht="18" customHeight="1">
      <c r="A3411" t="str">
        <f>"113096"</f>
        <v>113096</v>
      </c>
      <c r="B3411" t="str">
        <f>"Plexiglass Cylinders Base"</f>
        <v>Plexiglass Cylinders Base</v>
      </c>
      <c r="C3411" t="str">
        <f t="shared" si="152"/>
        <v>Active</v>
      </c>
    </row>
    <row r="3412" spans="1:3" ht="18" customHeight="1">
      <c r="A3412" t="str">
        <f>"113097"</f>
        <v>113097</v>
      </c>
      <c r="B3412" t="str">
        <f>"Cap8, 80x40,ITEM 00026.02"</f>
        <v>Cap8, 80x40,ITEM 00026.02</v>
      </c>
      <c r="C3412" t="str">
        <f t="shared" si="152"/>
        <v>Active</v>
      </c>
    </row>
    <row r="3413" spans="1:3" ht="18" customHeight="1">
      <c r="A3413" t="str">
        <f>"113099"</f>
        <v>113099</v>
      </c>
      <c r="B3413" t="str">
        <f>"Cap Set Conduit 160x80-20gr. IT0.0.406.67"</f>
        <v>Cap Set Conduit 160x80-20gr. IT0.0.406.67</v>
      </c>
      <c r="C3413" t="str">
        <f t="shared" si="152"/>
        <v>Active</v>
      </c>
    </row>
    <row r="3414" spans="1:3" ht="18" customHeight="1">
      <c r="A3414" t="str">
        <f>"113101"</f>
        <v>113101</v>
      </c>
      <c r="B3414" t="str">
        <f>"Cover MicroCIM"</f>
        <v>Cover MicroCIM</v>
      </c>
      <c r="C3414" t="str">
        <f t="shared" si="152"/>
        <v>Active</v>
      </c>
    </row>
    <row r="3415" spans="1:3" ht="18" customHeight="1">
      <c r="A3415" t="str">
        <f>"113103"</f>
        <v>113103</v>
      </c>
      <c r="B3415" t="str">
        <f>"Unit Pass For Grey Cable, diam.=60mm"</f>
        <v>Unit Pass For Grey Cable, diam.=60mm</v>
      </c>
      <c r="C3415" t="str">
        <f t="shared" si="152"/>
        <v>Active</v>
      </c>
    </row>
    <row r="3416" spans="1:3" ht="18" customHeight="1">
      <c r="A3416" t="str">
        <f>"113106"</f>
        <v>113106</v>
      </c>
      <c r="B3416" t="str">
        <f>"Cap for Profile 8 40x40 IT00026.01"</f>
        <v>Cap for Profile 8 40x40 IT00026.01</v>
      </c>
      <c r="C3416" t="str">
        <f t="shared" si="152"/>
        <v>Active</v>
      </c>
    </row>
    <row r="3417" spans="1:3" ht="18" customHeight="1">
      <c r="A3417" t="str">
        <f>"113108"</f>
        <v>113108</v>
      </c>
      <c r="B3417" t="str">
        <f>"Cover Profile 8 AL  IT0026550"</f>
        <v>Cover Profile 8 AL  IT0026550</v>
      </c>
      <c r="C3417" t="str">
        <f t="shared" si="152"/>
        <v>Active</v>
      </c>
    </row>
    <row r="3418" spans="1:3" ht="18" customHeight="1">
      <c r="A3418" t="str">
        <f>"113111"</f>
        <v>113111</v>
      </c>
      <c r="B3418" t="str">
        <f>"Base for Encoder  ER2u"</f>
        <v>Base for Encoder  ER2u</v>
      </c>
      <c r="C3418" t="str">
        <f t="shared" si="152"/>
        <v>Active</v>
      </c>
    </row>
    <row r="3419" spans="1:3" ht="18" customHeight="1">
      <c r="A3419" t="str">
        <f>"113112"</f>
        <v>113112</v>
      </c>
      <c r="B3419" t="str">
        <f>"Cover for Encoder  ER2u"</f>
        <v>Cover for Encoder  ER2u</v>
      </c>
      <c r="C3419" t="str">
        <f t="shared" si="152"/>
        <v>Active</v>
      </c>
    </row>
    <row r="3420" spans="1:3" ht="18" customHeight="1">
      <c r="A3420" t="str">
        <f>"113113"</f>
        <v>113113</v>
      </c>
      <c r="B3420" t="str">
        <f>"Cap &amp; Lubr 5\6  IT0039012"</f>
        <v>Cap &amp; Lubr 5\6  IT0039012</v>
      </c>
      <c r="C3420" t="str">
        <f t="shared" si="152"/>
        <v>Active</v>
      </c>
    </row>
    <row r="3421" spans="1:3" ht="18" customHeight="1">
      <c r="A3421" t="str">
        <f>"113114"</f>
        <v>113114</v>
      </c>
      <c r="B3421" t="str">
        <f>"Cap for Profile 5  20x20 IT00370.09"</f>
        <v>Cap for Profile 5  20x20 IT00370.09</v>
      </c>
      <c r="C3421" t="str">
        <f t="shared" si="152"/>
        <v>Active</v>
      </c>
    </row>
    <row r="3422" spans="1:3" ht="18" customHeight="1">
      <c r="A3422" t="str">
        <f>"113115"</f>
        <v>113115</v>
      </c>
      <c r="B3422" t="str">
        <f>"Cover For Groove  A/B  76-1746-N2"</f>
        <v>Cover For Groove  A/B  76-1746-N2</v>
      </c>
      <c r="C3422" t="str">
        <f t="shared" si="152"/>
        <v>Active</v>
      </c>
    </row>
    <row r="3423" spans="1:3" ht="18" customHeight="1">
      <c r="A3423" t="str">
        <f>"113123"</f>
        <v>113123</v>
      </c>
      <c r="B3423" t="str">
        <f>"Rivet Snap Nylon Black d 16    62MP0625"</f>
        <v>Rivet Snap Nylon Black d 16    62MP0625</v>
      </c>
      <c r="C3423" t="str">
        <f t="shared" si="152"/>
        <v>Active</v>
      </c>
    </row>
    <row r="3424" spans="1:3" ht="18" customHeight="1">
      <c r="A3424" t="str">
        <f>"113125"</f>
        <v>113125</v>
      </c>
      <c r="B3424" t="str">
        <f>"Stand Green PVC (300) 25x25mm"</f>
        <v>Stand Green PVC (300) 25x25mm</v>
      </c>
      <c r="C3424" t="str">
        <f t="shared" si="152"/>
        <v>Active</v>
      </c>
    </row>
    <row r="3425" spans="1:3" ht="18" customHeight="1">
      <c r="A3425" t="str">
        <f>"113126"</f>
        <v>113126</v>
      </c>
      <c r="B3425" t="str">
        <f>"Stand Green PVC (300) 28x28mm"</f>
        <v>Stand Green PVC (300) 28x28mm</v>
      </c>
      <c r="C3425" t="str">
        <f t="shared" si="152"/>
        <v>Active</v>
      </c>
    </row>
    <row r="3426" spans="1:3" ht="18" customHeight="1">
      <c r="A3426" t="str">
        <f>"113127"</f>
        <v>113127</v>
      </c>
      <c r="B3426" t="str">
        <f>"Base Presure Meter  Sensor-Line"</f>
        <v>Base Presure Meter  Sensor-Line</v>
      </c>
      <c r="C3426" t="str">
        <f t="shared" si="152"/>
        <v>Active</v>
      </c>
    </row>
    <row r="3427" spans="1:3" ht="18" customHeight="1">
      <c r="A3427" t="str">
        <f>"113128"</f>
        <v>113128</v>
      </c>
      <c r="B3427" t="str">
        <f>"Base Holder LED  Sensor-Line"</f>
        <v>Base Holder LED  Sensor-Line</v>
      </c>
      <c r="C3427" t="str">
        <f t="shared" si="152"/>
        <v>Active</v>
      </c>
    </row>
    <row r="3428" spans="1:3" ht="18" customHeight="1">
      <c r="A3428" t="str">
        <f>"113129"</f>
        <v>113129</v>
      </c>
      <c r="B3428" t="str">
        <f>"Holder Led Sensor-Line"</f>
        <v>Holder Led Sensor-Line</v>
      </c>
      <c r="C3428" t="str">
        <f t="shared" si="152"/>
        <v>Active</v>
      </c>
    </row>
    <row r="3429" spans="1:3" ht="18" customHeight="1">
      <c r="A3429" t="str">
        <f>"113130"</f>
        <v>113130</v>
      </c>
      <c r="B3429" t="str">
        <f>"Cover Holder Led Sensor-Line"</f>
        <v>Cover Holder Led Sensor-Line</v>
      </c>
      <c r="C3429" t="str">
        <f t="shared" si="152"/>
        <v>Active</v>
      </c>
    </row>
    <row r="3430" spans="1:3" ht="18" customHeight="1">
      <c r="A3430" t="str">
        <f>"113131"</f>
        <v>113131</v>
      </c>
      <c r="B3430" t="str">
        <f>"Cover Perspex  Sensor-Line"</f>
        <v>Cover Perspex  Sensor-Line</v>
      </c>
      <c r="C3430" t="str">
        <f t="shared" si="152"/>
        <v>Active</v>
      </c>
    </row>
    <row r="3431" spans="1:3" ht="18" customHeight="1">
      <c r="A3431" t="str">
        <f>"113132"</f>
        <v>113132</v>
      </c>
      <c r="B3431" t="str">
        <f>"Cap 8 for Profile 80x80 ITEM0.0.026.37"</f>
        <v>Cap 8 for Profile 80x80 ITEM0.0.026.37</v>
      </c>
      <c r="C3431" t="str">
        <f t="shared" si="152"/>
        <v>Active</v>
      </c>
    </row>
    <row r="3432" spans="1:3" ht="18" customHeight="1">
      <c r="A3432" t="str">
        <f>"113133"</f>
        <v>113133</v>
      </c>
      <c r="B3432" t="str">
        <f>"Button Black  BN-14NL"</f>
        <v>Button Black  BN-14NL</v>
      </c>
      <c r="C3432" t="str">
        <f t="shared" si="152"/>
        <v>Active</v>
      </c>
    </row>
    <row r="3433" spans="1:3" ht="18" customHeight="1">
      <c r="A3433" t="str">
        <f>"113134"</f>
        <v>113134</v>
      </c>
      <c r="B3433" t="str">
        <f>"Cover Button  TF114"</f>
        <v>Cover Button  TF114</v>
      </c>
      <c r="C3433" t="str">
        <f t="shared" si="152"/>
        <v>Active</v>
      </c>
    </row>
    <row r="3434" spans="1:3" ht="18" customHeight="1">
      <c r="A3434" t="str">
        <f>"113136"</f>
        <v>113136</v>
      </c>
      <c r="B3434" t="str">
        <f>"Pole Support  PLCLine"</f>
        <v>Pole Support  PLCLine</v>
      </c>
      <c r="C3434" t="str">
        <f t="shared" si="152"/>
        <v>Active</v>
      </c>
    </row>
    <row r="3435" spans="1:3" ht="18" customHeight="1">
      <c r="A3435" t="str">
        <f>"113138"</f>
        <v>113138</v>
      </c>
      <c r="B3435" t="str">
        <f>"Groove 60x60 L=2M VD 2246"</f>
        <v>Groove 60x60 L=2M VD 2246</v>
      </c>
      <c r="C3435" t="str">
        <f t="shared" si="152"/>
        <v>Active</v>
      </c>
    </row>
    <row r="3436" spans="1:3" ht="18" customHeight="1">
      <c r="A3436" t="str">
        <f>"113139"</f>
        <v>113139</v>
      </c>
      <c r="B3436" t="str">
        <f>"Connect Simple Fiber Optic HFBR-4501,Simplex Gra"</f>
        <v>Connect Simple Fiber Optic HFBR-4501,Simplex Gra</v>
      </c>
      <c r="C3436" t="str">
        <f t="shared" si="152"/>
        <v>Active</v>
      </c>
    </row>
    <row r="3437" spans="1:3" ht="18" customHeight="1">
      <c r="A3437" t="str">
        <f>"113140"</f>
        <v>113140</v>
      </c>
      <c r="B3437" t="str">
        <f>"Rivet Snap Nylon - Blk. D 6.4"</f>
        <v>Rivet Snap Nylon - Blk. D 6.4</v>
      </c>
      <c r="C3437" t="str">
        <f t="shared" si="152"/>
        <v>Active</v>
      </c>
    </row>
    <row r="3438" spans="1:3" ht="18" customHeight="1">
      <c r="A3438" t="str">
        <f>"113141"</f>
        <v>113141</v>
      </c>
      <c r="B3438" t="str">
        <f>"Tinted Perspex Brown  70x51x6 mm"</f>
        <v>Tinted Perspex Brown  70x51x6 mm</v>
      </c>
      <c r="C3438" t="str">
        <f t="shared" si="152"/>
        <v>Active</v>
      </c>
    </row>
    <row r="3439" spans="1:3" ht="18" customHeight="1">
      <c r="A3439" t="str">
        <f>"113142"</f>
        <v>113142</v>
      </c>
      <c r="B3439" t="str">
        <f>"Cap 8 for Profile 120x80 IT0.0.418.57"</f>
        <v>Cap 8 for Profile 120x80 IT0.0.418.57</v>
      </c>
      <c r="C3439" t="str">
        <f t="shared" si="152"/>
        <v>Active</v>
      </c>
    </row>
    <row r="3440" spans="1:3" ht="18" customHeight="1">
      <c r="A3440" t="str">
        <f>"113143"</f>
        <v>113143</v>
      </c>
      <c r="B3440" t="str">
        <f>"Feet L-based 8 non adjust. ITEM 00265.44"</f>
        <v>Feet L-based 8 non adjust. ITEM 00265.44</v>
      </c>
      <c r="C3440" t="str">
        <f>"ECO-N2Buy"</f>
        <v>ECO-N2Buy</v>
      </c>
    </row>
    <row r="3441" spans="1:3" ht="18" customHeight="1">
      <c r="A3441" t="str">
        <f>"113144"</f>
        <v>113144</v>
      </c>
      <c r="B3441" t="str">
        <f>"Bar Round PVC - Gray  D 41x28mm"</f>
        <v>Bar Round PVC - Gray  D 41x28mm</v>
      </c>
      <c r="C3441" t="str">
        <f>"Phase Out"</f>
        <v>Phase Out</v>
      </c>
    </row>
    <row r="3442" spans="1:3" ht="18" customHeight="1">
      <c r="A3442" t="str">
        <f>"113146"</f>
        <v>113146</v>
      </c>
      <c r="B3442" t="str">
        <f>"Plate Infra guard Welding 10, 4.5""x5.25"""</f>
        <v>Plate Infra guard Welding 10, 4.5"x5.25"</v>
      </c>
      <c r="C3442" t="str">
        <f>"Active"</f>
        <v>Active</v>
      </c>
    </row>
    <row r="3443" spans="1:3" ht="18" customHeight="1">
      <c r="A3443" t="str">
        <f>"113152"</f>
        <v>113152</v>
      </c>
      <c r="B3443" t="str">
        <f>"Wheel for Wagon  D=35mm"</f>
        <v>Wheel for Wagon  D=35mm</v>
      </c>
      <c r="C3443" t="str">
        <f>"Phase Out"</f>
        <v>Phase Out</v>
      </c>
    </row>
    <row r="3444" spans="1:3" ht="18" customHeight="1">
      <c r="A3444" t="str">
        <f>"113153"</f>
        <v>113153</v>
      </c>
      <c r="B3444" t="str">
        <f>"Box Tool 32x17.5x13.2cm, Keter"</f>
        <v>Box Tool 32x17.5x13.2cm, Keter</v>
      </c>
      <c r="C3444" t="str">
        <f>"Inactive"</f>
        <v>Inactive</v>
      </c>
    </row>
    <row r="3445" spans="1:3" ht="18" customHeight="1">
      <c r="A3445" t="str">
        <f>"113161"</f>
        <v>113161</v>
      </c>
      <c r="B3445" t="str">
        <f>"Rivet Snap Nylon - Blk.  D 11   62MP0437"</f>
        <v>Rivet Snap Nylon - Blk.  D 11   62MP0437</v>
      </c>
      <c r="C3445" t="str">
        <f>"Active"</f>
        <v>Active</v>
      </c>
    </row>
    <row r="3446" spans="1:3" ht="18" customHeight="1">
      <c r="A3446" t="str">
        <f>"113165"</f>
        <v>113165</v>
      </c>
      <c r="B3446" t="str">
        <f>"Foot Black door buffer Skiffy, d=7,H=25"</f>
        <v>Foot Black door buffer Skiffy, d=7,H=25</v>
      </c>
      <c r="C3446" t="str">
        <f>"Active"</f>
        <v>Active</v>
      </c>
    </row>
    <row r="3447" spans="1:3" ht="18" customHeight="1">
      <c r="A3447" t="str">
        <f>"113167"</f>
        <v>113167</v>
      </c>
      <c r="B3447" t="str">
        <f>"Side Clear  ASRS 36"</f>
        <v>Side Clear  ASRS 36</v>
      </c>
      <c r="C3447" t="str">
        <f>"Active"</f>
        <v>Active</v>
      </c>
    </row>
    <row r="3448" spans="1:3" ht="18" customHeight="1">
      <c r="A3448" t="str">
        <f>"113168"</f>
        <v>113168</v>
      </c>
      <c r="B3448" t="str">
        <f>"Door Clear  930x592x6, ASRS 36"</f>
        <v>Door Clear  930x592x6, ASRS 36</v>
      </c>
      <c r="C3448" t="str">
        <f>"Active"</f>
        <v>Active</v>
      </c>
    </row>
    <row r="3449" spans="1:3" ht="18" customHeight="1">
      <c r="A3449" t="str">
        <f>"113171"</f>
        <v>113171</v>
      </c>
      <c r="B3449" t="str">
        <f>"Part for Feeder Gray PVC 56x56x20mm"</f>
        <v>Part for Feeder Gray PVC 56x56x20mm</v>
      </c>
      <c r="C3449" t="str">
        <f>"Inactive"</f>
        <v>Inactive</v>
      </c>
    </row>
    <row r="3450" spans="1:3" ht="18" customHeight="1">
      <c r="A3450" t="str">
        <f>"113172"</f>
        <v>113172</v>
      </c>
      <c r="B3450" t="str">
        <f>"Float h=140,d=80,b=70"</f>
        <v>Float h=140,d=80,b=70</v>
      </c>
      <c r="C3450" t="str">
        <f>"Phase Out"</f>
        <v>Phase Out</v>
      </c>
    </row>
    <row r="3451" spans="1:3" ht="18" customHeight="1">
      <c r="A3451" t="str">
        <f>"113173"</f>
        <v>113173</v>
      </c>
      <c r="B3451" t="str">
        <f>"Tank-Plastic 380x325x162, H.D.P.E."</f>
        <v>Tank-Plastic 380x325x162, H.D.P.E.</v>
      </c>
      <c r="C3451" t="str">
        <f>"Inactive"</f>
        <v>Inactive</v>
      </c>
    </row>
    <row r="3452" spans="1:3" ht="18" customHeight="1">
      <c r="A3452" t="str">
        <f>"113177"</f>
        <v>113177</v>
      </c>
      <c r="B3452" t="str">
        <f>"Insulating Panel Bushing d=10, D=15 ,Black"</f>
        <v>Insulating Panel Bushing d=10, D=15 ,Black</v>
      </c>
      <c r="C3452" t="str">
        <f>"Active"</f>
        <v>Active</v>
      </c>
    </row>
    <row r="3453" spans="1:3" ht="18" customHeight="1">
      <c r="A3453" t="str">
        <f>"113178"</f>
        <v>113178</v>
      </c>
      <c r="B3453" t="str">
        <f>"Cover for Cables Axis 5 Scorbot ER9Pro"</f>
        <v>Cover for Cables Axis 5 Scorbot ER9Pro</v>
      </c>
      <c r="C3453" t="str">
        <f>"Active"</f>
        <v>Active</v>
      </c>
    </row>
    <row r="3454" spans="1:3" ht="18" customHeight="1">
      <c r="A3454" t="str">
        <f>"113178-10"</f>
        <v>113178-10</v>
      </c>
      <c r="B3454" t="str">
        <f>"Cover for Cables Axis 5 Scorbot ER9Pro"</f>
        <v>Cover for Cables Axis 5 Scorbot ER9Pro</v>
      </c>
      <c r="C3454" t="str">
        <f>"Not for sale"</f>
        <v>Not for sale</v>
      </c>
    </row>
    <row r="3455" spans="1:3" ht="18" customHeight="1">
      <c r="A3455" t="str">
        <f>"113186"</f>
        <v>113186</v>
      </c>
      <c r="B3455" t="str">
        <f>"Driver for Square Parts"</f>
        <v>Driver for Square Parts</v>
      </c>
      <c r="C3455" t="str">
        <f t="shared" ref="C3455:C3479" si="153">"Active"</f>
        <v>Active</v>
      </c>
    </row>
    <row r="3456" spans="1:3" ht="18" customHeight="1">
      <c r="A3456" t="str">
        <f>"113187"</f>
        <v>113187</v>
      </c>
      <c r="B3456" t="str">
        <f>"Cover Profile PP/TPE Black, L=2m, IT00370.80"</f>
        <v>Cover Profile PP/TPE Black, L=2m, IT00370.80</v>
      </c>
      <c r="C3456" t="str">
        <f t="shared" si="153"/>
        <v>Active</v>
      </c>
    </row>
    <row r="3457" spans="1:3" ht="18" customHeight="1">
      <c r="A3457" t="str">
        <f>"113188"</f>
        <v>113188</v>
      </c>
      <c r="B3457" t="str">
        <f>"Pipe PVC Capped for MMQC delink"</f>
        <v>Pipe PVC Capped for MMQC delink</v>
      </c>
      <c r="C3457" t="str">
        <f t="shared" si="153"/>
        <v>Active</v>
      </c>
    </row>
    <row r="3458" spans="1:3" ht="18" customHeight="1">
      <c r="A3458" t="str">
        <f>"113191"</f>
        <v>113191</v>
      </c>
      <c r="B3458" t="str">
        <f>"Cap 5 for Profile 40x20, IT00370.11"</f>
        <v>Cap 5 for Profile 40x20, IT00370.11</v>
      </c>
      <c r="C3458" t="str">
        <f t="shared" si="153"/>
        <v>Active</v>
      </c>
    </row>
    <row r="3459" spans="1:3" ht="18" customHeight="1">
      <c r="A3459" t="str">
        <f>"113194"</f>
        <v>113194</v>
      </c>
      <c r="B3459" t="str">
        <f>"Basefor  Box  Adapter for Cont. B"</f>
        <v>Basefor  Box  Adapter for Cont. B</v>
      </c>
      <c r="C3459" t="str">
        <f t="shared" si="153"/>
        <v>Active</v>
      </c>
    </row>
    <row r="3460" spans="1:3" ht="18" customHeight="1">
      <c r="A3460" t="str">
        <f>"113195"</f>
        <v>113195</v>
      </c>
      <c r="B3460" t="str">
        <f>"Box Cover Adapter for Cont.B"</f>
        <v>Box Cover Adapter for Cont.B</v>
      </c>
      <c r="C3460" t="str">
        <f t="shared" si="153"/>
        <v>Active</v>
      </c>
    </row>
    <row r="3461" spans="1:3" ht="18" customHeight="1">
      <c r="A3461" t="str">
        <f>"113196"</f>
        <v>113196</v>
      </c>
      <c r="B3461" t="str">
        <f>"Side Clear  add ASRS 36x2"</f>
        <v>Side Clear  add ASRS 36x2</v>
      </c>
      <c r="C3461" t="str">
        <f t="shared" si="153"/>
        <v>Active</v>
      </c>
    </row>
    <row r="3462" spans="1:3" ht="18" customHeight="1">
      <c r="A3462" t="str">
        <f>"113197"</f>
        <v>113197</v>
      </c>
      <c r="B3462" t="str">
        <f>"Adjustable leg D=30mm,black SOLIDO 300-1060-00"</f>
        <v>Adjustable leg D=30mm,black SOLIDO 300-1060-00</v>
      </c>
      <c r="C3462" t="str">
        <f t="shared" si="153"/>
        <v>Active</v>
      </c>
    </row>
    <row r="3463" spans="1:3" ht="18" customHeight="1">
      <c r="A3463" t="str">
        <f>"113201"</f>
        <v>113201</v>
      </c>
      <c r="B3463" t="str">
        <f>"Rubber Gripper Pad 20x15x3.5 mm"</f>
        <v>Rubber Gripper Pad 20x15x3.5 mm</v>
      </c>
      <c r="C3463" t="str">
        <f t="shared" si="153"/>
        <v>Active</v>
      </c>
    </row>
    <row r="3464" spans="1:3" ht="18" customHeight="1">
      <c r="A3464" t="str">
        <f>"113202"</f>
        <v>113202</v>
      </c>
      <c r="B3464" t="str">
        <f>"O-ring   D12 x d3 mm"</f>
        <v>O-ring   D12 x d3 mm</v>
      </c>
      <c r="C3464" t="str">
        <f t="shared" si="153"/>
        <v>Active</v>
      </c>
    </row>
    <row r="3465" spans="1:3" ht="18" customHeight="1">
      <c r="A3465" t="str">
        <f>"113203"</f>
        <v>113203</v>
      </c>
      <c r="B3465" t="str">
        <f>"Rubber Bushing D8.5 x d3 mm"</f>
        <v>Rubber Bushing D8.5 x d3 mm</v>
      </c>
      <c r="C3465" t="str">
        <f t="shared" si="153"/>
        <v>Active</v>
      </c>
    </row>
    <row r="3466" spans="1:3" ht="18" customHeight="1">
      <c r="A3466" t="str">
        <f>"113204"</f>
        <v>113204</v>
      </c>
      <c r="B3466" t="str">
        <f>"Rubber Stopper D18 x d10 mm x 10"</f>
        <v>Rubber Stopper D18 x d10 mm x 10</v>
      </c>
      <c r="C3466" t="str">
        <f t="shared" si="153"/>
        <v>Active</v>
      </c>
    </row>
    <row r="3467" spans="1:3" ht="18" customHeight="1">
      <c r="A3467" t="str">
        <f>"113207"</f>
        <v>113207</v>
      </c>
      <c r="B3467" t="str">
        <f>"Rubber Bushing d 7 mm"</f>
        <v>Rubber Bushing d 7 mm</v>
      </c>
      <c r="C3467" t="str">
        <f t="shared" si="153"/>
        <v>Active</v>
      </c>
    </row>
    <row r="3468" spans="1:3" ht="18" customHeight="1">
      <c r="A3468" t="str">
        <f>"113208"</f>
        <v>113208</v>
      </c>
      <c r="B3468" t="str">
        <f>"Rubber Stopper-1"" Syringe"</f>
        <v>Rubber Stopper-1" Syringe</v>
      </c>
      <c r="C3468" t="str">
        <f t="shared" si="153"/>
        <v>Active</v>
      </c>
    </row>
    <row r="3469" spans="1:3" ht="18" customHeight="1">
      <c r="A3469" t="str">
        <f>"113212"</f>
        <v>113212</v>
      </c>
      <c r="B3469" t="str">
        <f>"O-Ring   D14 x d1 mm"</f>
        <v>O-Ring   D14 x d1 mm</v>
      </c>
      <c r="C3469" t="str">
        <f t="shared" si="153"/>
        <v>Active</v>
      </c>
    </row>
    <row r="3470" spans="1:3" ht="18" customHeight="1">
      <c r="A3470" t="str">
        <f>"113213"</f>
        <v>113213</v>
      </c>
      <c r="B3470" t="str">
        <f>"Rubber Cover d=1-1/8 D=2-1/8  GortiflexProtector"</f>
        <v>Rubber Cover d=1-1/8 D=2-1/8  GortiflexProtector</v>
      </c>
      <c r="C3470" t="str">
        <f t="shared" si="153"/>
        <v>Active</v>
      </c>
    </row>
    <row r="3471" spans="1:3" ht="18" customHeight="1">
      <c r="A3471" t="str">
        <f>"113214"</f>
        <v>113214</v>
      </c>
      <c r="B3471" t="str">
        <f>"Rubber For Foot, d=5mm Controller B"</f>
        <v>Rubber For Foot, d=5mm Controller B</v>
      </c>
      <c r="C3471" t="str">
        <f t="shared" si="153"/>
        <v>Active</v>
      </c>
    </row>
    <row r="3472" spans="1:3" ht="18" customHeight="1">
      <c r="A3472" t="str">
        <f>"113215"</f>
        <v>113215</v>
      </c>
      <c r="B3472" t="str">
        <f>"Feet Casing  3M-SJ-5008"</f>
        <v>Feet Casing  3M-SJ-5008</v>
      </c>
      <c r="C3472" t="str">
        <f t="shared" si="153"/>
        <v>Active</v>
      </c>
    </row>
    <row r="3473" spans="1:3" ht="18" customHeight="1">
      <c r="A3473" t="str">
        <f>"113216"</f>
        <v>113216</v>
      </c>
      <c r="B3473" t="str">
        <f>"Fibroflex Green   D=16;L=5mm"</f>
        <v>Fibroflex Green   D=16;L=5mm</v>
      </c>
      <c r="C3473" t="str">
        <f t="shared" si="153"/>
        <v>Active</v>
      </c>
    </row>
    <row r="3474" spans="1:3" ht="18" customHeight="1">
      <c r="A3474" t="str">
        <f>"113220"</f>
        <v>113220</v>
      </c>
      <c r="B3474" t="str">
        <f>"O-ring  D8 x d3 mm NBR"</f>
        <v>O-ring  D8 x d3 mm NBR</v>
      </c>
      <c r="C3474" t="str">
        <f t="shared" si="153"/>
        <v>Active</v>
      </c>
    </row>
    <row r="3475" spans="1:3" ht="18" customHeight="1">
      <c r="A3475" t="str">
        <f>"113226"</f>
        <v>113226</v>
      </c>
      <c r="B3475" t="str">
        <f>"Sterip Poly. Coarse Green, PU3"</f>
        <v>Sterip Poly. Coarse Green, PU3</v>
      </c>
      <c r="C3475" t="str">
        <f t="shared" si="153"/>
        <v>Active</v>
      </c>
    </row>
    <row r="3476" spans="1:3" ht="18" customHeight="1">
      <c r="A3476" t="str">
        <f>"113227"</f>
        <v>113227</v>
      </c>
      <c r="B3476" t="str">
        <f>"Fibroflex  D=10mm 253.6.010"</f>
        <v>Fibroflex  D=10mm 253.6.010</v>
      </c>
      <c r="C3476" t="str">
        <f t="shared" si="153"/>
        <v>Active</v>
      </c>
    </row>
    <row r="3477" spans="1:3" ht="18" customHeight="1">
      <c r="A3477" t="str">
        <f>"113228"</f>
        <v>113228</v>
      </c>
      <c r="B3477" t="str">
        <f>"Polished Mirror  50 x 130mm"</f>
        <v>Polished Mirror  50 x 130mm</v>
      </c>
      <c r="C3477" t="str">
        <f t="shared" si="153"/>
        <v>Active</v>
      </c>
    </row>
    <row r="3478" spans="1:3" ht="18" customHeight="1">
      <c r="A3478" t="str">
        <f>"113229"</f>
        <v>113229</v>
      </c>
      <c r="B3478" t="str">
        <f>"Felt For Oiling LSB"</f>
        <v>Felt For Oiling LSB</v>
      </c>
      <c r="C3478" t="str">
        <f t="shared" si="153"/>
        <v>Active</v>
      </c>
    </row>
    <row r="3479" spans="1:3" ht="18" customHeight="1">
      <c r="A3479" t="str">
        <f>"113230"</f>
        <v>113230</v>
      </c>
      <c r="B3479" t="str">
        <f>"Feet Casing  GG  D=13 H=10mm"</f>
        <v>Feet Casing  GG  D=13 H=10mm</v>
      </c>
      <c r="C3479" t="str">
        <f t="shared" si="153"/>
        <v>Active</v>
      </c>
    </row>
    <row r="3480" spans="1:3" ht="18" customHeight="1">
      <c r="A3480" t="str">
        <f>"113234"</f>
        <v>113234</v>
      </c>
      <c r="B3480" t="str">
        <f>"O-Ring, ID=18mm, d=2 mm"</f>
        <v>O-Ring, ID=18mm, d=2 mm</v>
      </c>
      <c r="C3480" t="str">
        <f>"New"</f>
        <v>New</v>
      </c>
    </row>
    <row r="3481" spans="1:3" ht="18" customHeight="1">
      <c r="A3481" t="str">
        <f>"113247"</f>
        <v>113247</v>
      </c>
      <c r="B3481" t="str">
        <f>"Fibroflex  D=6mm  253.6.006"</f>
        <v>Fibroflex  D=6mm  253.6.006</v>
      </c>
      <c r="C3481" t="str">
        <f>"Active"</f>
        <v>Active</v>
      </c>
    </row>
    <row r="3482" spans="1:3" ht="18" customHeight="1">
      <c r="A3482" t="str">
        <f>"113248"</f>
        <v>113248</v>
      </c>
      <c r="B3482" t="str">
        <f>"Spacer -Brake Fibroflex D=16, L=10mm"</f>
        <v>Spacer -Brake Fibroflex D=16, L=10mm</v>
      </c>
      <c r="C3482" t="str">
        <f>"Active"</f>
        <v>Active</v>
      </c>
    </row>
    <row r="3483" spans="1:3" ht="18" customHeight="1">
      <c r="A3483" t="str">
        <f>"113251"</f>
        <v>113251</v>
      </c>
      <c r="B3483" t="str">
        <f>"Felt Lubrication  1300x1000X5mm"</f>
        <v>Felt Lubrication  1300x1000X5mm</v>
      </c>
      <c r="C3483" t="str">
        <f>"Active"</f>
        <v>Active</v>
      </c>
    </row>
    <row r="3484" spans="1:3" ht="18" customHeight="1">
      <c r="A3484" t="str">
        <f>"113252"</f>
        <v>113252</v>
      </c>
      <c r="B3484" t="str">
        <f>"Rubber Band 12mm"</f>
        <v>Rubber Band 12mm</v>
      </c>
      <c r="C3484" t="str">
        <f>"Active"</f>
        <v>Active</v>
      </c>
    </row>
    <row r="3485" spans="1:3" ht="18" customHeight="1">
      <c r="A3485" t="str">
        <f>"113253"</f>
        <v>113253</v>
      </c>
      <c r="B3485" t="str">
        <f>"Rubber Band D=25, d=12, h=4 mm"</f>
        <v>Rubber Band D=25, d=12, h=4 mm</v>
      </c>
      <c r="C3485" t="str">
        <f>"Active"</f>
        <v>Active</v>
      </c>
    </row>
    <row r="3486" spans="1:3" ht="18" customHeight="1">
      <c r="A3486" t="str">
        <f>"113301"</f>
        <v>113301</v>
      </c>
      <c r="B3486" t="str">
        <f>"Box Wooden  Experiment Table"</f>
        <v>Box Wooden  Experiment Table</v>
      </c>
      <c r="C3486" t="str">
        <f>"Phase Out"</f>
        <v>Phase Out</v>
      </c>
    </row>
    <row r="3487" spans="1:3" ht="18" customHeight="1">
      <c r="A3487" t="str">
        <f>"113303"</f>
        <v>113303</v>
      </c>
      <c r="B3487" t="str">
        <f>"Mount Wooden Microswich  40x20x10"</f>
        <v>Mount Wooden Microswich  40x20x10</v>
      </c>
      <c r="C3487" t="str">
        <f>"ECO-N2Buy"</f>
        <v>ECO-N2Buy</v>
      </c>
    </row>
    <row r="3488" spans="1:3" ht="18" customHeight="1">
      <c r="A3488" t="str">
        <f>"113304"</f>
        <v>113304</v>
      </c>
      <c r="B3488" t="str">
        <f>"Cover Wooden Lower  Experiment Table"</f>
        <v>Cover Wooden Lower  Experiment Table</v>
      </c>
      <c r="C3488" t="str">
        <f>"ECO-N2Buy"</f>
        <v>ECO-N2Buy</v>
      </c>
    </row>
    <row r="3489" spans="1:3" ht="18" customHeight="1">
      <c r="A3489" t="str">
        <f>"113316"</f>
        <v>113316</v>
      </c>
      <c r="B3489" t="str">
        <f>"Parts Bin"</f>
        <v>Parts Bin</v>
      </c>
      <c r="C3489" t="str">
        <f t="shared" ref="C3489:C3516" si="154">"Active"</f>
        <v>Active</v>
      </c>
    </row>
    <row r="3490" spans="1:3" ht="18" customHeight="1">
      <c r="A3490" t="str">
        <f>"113322"</f>
        <v>113322</v>
      </c>
      <c r="B3490" t="str">
        <f>"‡…ˆ€ a=1200, b=800, h-140 (mm)"</f>
        <v>‡…ˆ€ a=1200, b=800, h-140 (mm)</v>
      </c>
      <c r="C3490" t="str">
        <f t="shared" si="154"/>
        <v>Active</v>
      </c>
    </row>
    <row r="3491" spans="1:3" ht="18" customHeight="1">
      <c r="A3491" t="str">
        <f>"113325"</f>
        <v>113325</v>
      </c>
      <c r="B3491" t="str">
        <f>"Plate Back for table1800, 1718x400x17mm"</f>
        <v>Plate Back for table1800, 1718x400x17mm</v>
      </c>
      <c r="C3491" t="str">
        <f t="shared" si="154"/>
        <v>Active</v>
      </c>
    </row>
    <row r="3492" spans="1:3" ht="18" customHeight="1">
      <c r="A3492" t="str">
        <f>"113326"</f>
        <v>113326</v>
      </c>
      <c r="B3492" t="str">
        <f>"Plate Upper for Table 1800, 1720x720x17mm"</f>
        <v>Plate Upper for Table 1800, 1720x720x17mm</v>
      </c>
      <c r="C3492" t="str">
        <f t="shared" si="154"/>
        <v>Active</v>
      </c>
    </row>
    <row r="3493" spans="1:3" ht="18" customHeight="1">
      <c r="A3493" t="str">
        <f>"113327"</f>
        <v>113327</v>
      </c>
      <c r="B3493" t="str">
        <f>"Shelf for Table 1800, 1720x480x17mm"</f>
        <v>Shelf for Table 1800, 1720x480x17mm</v>
      </c>
      <c r="C3493" t="str">
        <f t="shared" si="154"/>
        <v>Active</v>
      </c>
    </row>
    <row r="3494" spans="1:3" ht="18" customHeight="1">
      <c r="A3494" t="str">
        <f>"113328"</f>
        <v>113328</v>
      </c>
      <c r="B3494" t="str">
        <f>"Plate Top Table  1420x720x17mm"</f>
        <v>Plate Top Table  1420x720x17mm</v>
      </c>
      <c r="C3494" t="str">
        <f t="shared" si="154"/>
        <v>Active</v>
      </c>
    </row>
    <row r="3495" spans="1:3" ht="18" customHeight="1">
      <c r="A3495" t="str">
        <f>"113329"</f>
        <v>113329</v>
      </c>
      <c r="B3495" t="str">
        <f>"Shelf for Table  1420x480x17mm"</f>
        <v>Shelf for Table  1420x480x17mm</v>
      </c>
      <c r="C3495" t="str">
        <f t="shared" si="154"/>
        <v>Active</v>
      </c>
    </row>
    <row r="3496" spans="1:3" ht="18" customHeight="1">
      <c r="A3496" t="str">
        <f>"113330"</f>
        <v>113330</v>
      </c>
      <c r="B3496" t="str">
        <f>"Plate Back for Table 1500  1418x400x17mm"</f>
        <v>Plate Back for Table 1500  1418x400x17mm</v>
      </c>
      <c r="C3496" t="str">
        <f t="shared" si="154"/>
        <v>Active</v>
      </c>
    </row>
    <row r="3497" spans="1:3" ht="18" customHeight="1">
      <c r="A3497" t="str">
        <f>"113336"</f>
        <v>113336</v>
      </c>
      <c r="B3497" t="str">
        <f>"Cube for Table 50x50x28 mm"</f>
        <v>Cube for Table 50x50x28 mm</v>
      </c>
      <c r="C3497" t="str">
        <f t="shared" si="154"/>
        <v>Active</v>
      </c>
    </row>
    <row r="3498" spans="1:3" ht="18" customHeight="1">
      <c r="A3498" t="str">
        <f>"113338"</f>
        <v>113338</v>
      </c>
      <c r="B3498" t="str">
        <f>"Plate for Table Ext.Shelf  599x719x17mm"</f>
        <v>Plate for Table Ext.Shelf  599x719x17mm</v>
      </c>
      <c r="C3498" t="str">
        <f t="shared" si="154"/>
        <v>Active</v>
      </c>
    </row>
    <row r="3499" spans="1:3" ht="18" customHeight="1">
      <c r="A3499" t="str">
        <f>"113339"</f>
        <v>113339</v>
      </c>
      <c r="B3499" t="str">
        <f>"Plate Upper for Table1800 1718x820x28mm"</f>
        <v>Plate Upper for Table1800 1718x820x28mm</v>
      </c>
      <c r="C3499" t="str">
        <f t="shared" si="154"/>
        <v>Active</v>
      </c>
    </row>
    <row r="3500" spans="1:3" ht="18" customHeight="1">
      <c r="A3500" t="str">
        <f>"113340"</f>
        <v>113340</v>
      </c>
      <c r="B3500" t="str">
        <f>"Shelf for Table1800  1718x600x28mm"</f>
        <v>Shelf for Table1800  1718x600x28mm</v>
      </c>
      <c r="C3500" t="str">
        <f t="shared" si="154"/>
        <v>Active</v>
      </c>
    </row>
    <row r="3501" spans="1:3" ht="18" customHeight="1">
      <c r="A3501" t="str">
        <f>"113341"</f>
        <v>113341</v>
      </c>
      <c r="B3501" t="str">
        <f>"Plate Back for Table 1800  809x430x7mm"</f>
        <v>Plate Back for Table 1800  809x430x7mm</v>
      </c>
      <c r="C3501" t="str">
        <f t="shared" si="154"/>
        <v>Active</v>
      </c>
    </row>
    <row r="3502" spans="1:3" ht="18" customHeight="1">
      <c r="A3502" t="str">
        <f>"113351"</f>
        <v>113351</v>
      </c>
      <c r="B3502" t="str">
        <f>"Shelf  PC for ITEM Table  599x819x17mm"</f>
        <v>Shelf  PC for ITEM Table  599x819x17mm</v>
      </c>
      <c r="C3502" t="str">
        <f t="shared" si="154"/>
        <v>Active</v>
      </c>
    </row>
    <row r="3503" spans="1:3" ht="18" customHeight="1">
      <c r="A3503" t="str">
        <f>"113361"</f>
        <v>113361</v>
      </c>
      <c r="B3503" t="str">
        <f>"Plate Back  1116x400x17mm"</f>
        <v>Plate Back  1116x400x17mm</v>
      </c>
      <c r="C3503" t="str">
        <f t="shared" si="154"/>
        <v>Active</v>
      </c>
    </row>
    <row r="3504" spans="1:3" ht="18" customHeight="1">
      <c r="A3504" t="str">
        <f>"113362"</f>
        <v>113362</v>
      </c>
      <c r="B3504" t="str">
        <f>"Shelf for LSB  498x298x17mm"</f>
        <v>Shelf for LSB  498x298x17mm</v>
      </c>
      <c r="C3504" t="str">
        <f t="shared" si="154"/>
        <v>Active</v>
      </c>
    </row>
    <row r="3505" spans="1:3" ht="18" customHeight="1">
      <c r="A3505" t="str">
        <f>"113363"</f>
        <v>113363</v>
      </c>
      <c r="B3505" t="str">
        <f>"Flat- Cub 4 Entrance sterile, 1360x 1000x150(mm)"</f>
        <v>Flat- Cub 4 Entrance sterile, 1360x 1000x150(mm)</v>
      </c>
      <c r="C3505" t="str">
        <f t="shared" si="154"/>
        <v>Active</v>
      </c>
    </row>
    <row r="3506" spans="1:3" ht="18" customHeight="1">
      <c r="A3506" t="str">
        <f>"113364"</f>
        <v>113364</v>
      </c>
      <c r="B3506" t="str">
        <f>"Flat- Cub 4 Entrance sterile, 1950x1050x160 mm"</f>
        <v>Flat- Cub 4 Entrance sterile, 1950x1050x160 mm</v>
      </c>
      <c r="C3506" t="str">
        <f t="shared" si="154"/>
        <v>Active</v>
      </c>
    </row>
    <row r="3507" spans="1:3" ht="18" customHeight="1">
      <c r="A3507" t="str">
        <f>"113366"</f>
        <v>113366</v>
      </c>
      <c r="B3507" t="str">
        <f>"Plate Back for Table 1800  809x330x7mm"</f>
        <v>Plate Back for Table 1800  809x330x7mm</v>
      </c>
      <c r="C3507" t="str">
        <f t="shared" si="154"/>
        <v>Active</v>
      </c>
    </row>
    <row r="3508" spans="1:3" ht="18" customHeight="1">
      <c r="A3508" t="str">
        <f>"113367"</f>
        <v>113367</v>
      </c>
      <c r="B3508" t="str">
        <f>"Pallete-Cub 4 Entrance sterile 1650x1050x160mm"</f>
        <v>Pallete-Cub 4 Entrance sterile 1650x1050x160mm</v>
      </c>
      <c r="C3508" t="str">
        <f t="shared" si="154"/>
        <v>Active</v>
      </c>
    </row>
    <row r="3509" spans="1:3" ht="18" customHeight="1">
      <c r="A3509" t="str">
        <f>"113408"</f>
        <v>113408</v>
      </c>
      <c r="B3509" t="str">
        <f>"Storage Block  for PLC Wires"</f>
        <v>Storage Block  for PLC Wires</v>
      </c>
      <c r="C3509" t="str">
        <f t="shared" si="154"/>
        <v>Active</v>
      </c>
    </row>
    <row r="3510" spans="1:3" ht="18" customHeight="1">
      <c r="A3510" t="str">
        <f>"113412"</f>
        <v>113412</v>
      </c>
      <c r="B3510" t="str">
        <f>"Cover Safety High Voltage  OPEN CIM"</f>
        <v>Cover Safety High Voltage  OPEN CIM</v>
      </c>
      <c r="C3510" t="str">
        <f t="shared" si="154"/>
        <v>Active</v>
      </c>
    </row>
    <row r="3511" spans="1:3" ht="18" customHeight="1">
      <c r="A3511" t="str">
        <f>"113414"</f>
        <v>113414</v>
      </c>
      <c r="B3511" t="str">
        <f>"Cover Safety for Control Box  160x240x4mm"</f>
        <v>Cover Safety for Control Box  160x240x4mm</v>
      </c>
      <c r="C3511" t="str">
        <f t="shared" si="154"/>
        <v>Active</v>
      </c>
    </row>
    <row r="3512" spans="1:3" ht="18" customHeight="1">
      <c r="A3512" t="str">
        <f>"113415"</f>
        <v>113415</v>
      </c>
      <c r="B3512" t="str">
        <f>"Side Back   50x60x4mm"</f>
        <v>Side Back   50x60x4mm</v>
      </c>
      <c r="C3512" t="str">
        <f t="shared" si="154"/>
        <v>Active</v>
      </c>
    </row>
    <row r="3513" spans="1:3" ht="18" customHeight="1">
      <c r="A3513" t="str">
        <f>"113416"</f>
        <v>113416</v>
      </c>
      <c r="B3513" t="str">
        <f>"Raw Material Stock - Perspex  Rod"</f>
        <v>Raw Material Stock - Perspex  Rod</v>
      </c>
      <c r="C3513" t="str">
        <f t="shared" si="154"/>
        <v>Active</v>
      </c>
    </row>
    <row r="3514" spans="1:3" ht="18" customHeight="1">
      <c r="A3514" t="str">
        <f>"113417"</f>
        <v>113417</v>
      </c>
      <c r="B3514" t="str">
        <f>"Base for Game Parts Perspex 70x51x20mm BallGame"</f>
        <v>Base for Game Parts Perspex 70x51x20mm BallGame</v>
      </c>
      <c r="C3514" t="str">
        <f t="shared" si="154"/>
        <v>Active</v>
      </c>
    </row>
    <row r="3515" spans="1:3" ht="18" customHeight="1">
      <c r="A3515" t="str">
        <f>"113418"</f>
        <v>113418</v>
      </c>
      <c r="B3515" t="str">
        <f>"Cover for Game Parts  Perspex 70x51x5 Ball Game"</f>
        <v>Cover for Game Parts  Perspex 70x51x5 Ball Game</v>
      </c>
      <c r="C3515" t="str">
        <f t="shared" si="154"/>
        <v>Active</v>
      </c>
    </row>
    <row r="3516" spans="1:3" ht="18" customHeight="1">
      <c r="A3516" t="str">
        <f>"113421"</f>
        <v>113421</v>
      </c>
      <c r="B3516" t="str">
        <f>"Tube Plast+2 Plastic Bearing  D 40 x d 10 x 92mm"</f>
        <v>Tube Plast+2 Plastic Bearing  D 40 x d 10 x 92mm</v>
      </c>
      <c r="C3516" t="str">
        <f t="shared" si="154"/>
        <v>Active</v>
      </c>
    </row>
    <row r="3517" spans="1:3" ht="18" customHeight="1">
      <c r="A3517" t="str">
        <f>"113422"</f>
        <v>113422</v>
      </c>
      <c r="B3517" t="str">
        <f>"Holder Camera for Logitech Camera Pro9000"</f>
        <v>Holder Camera for Logitech Camera Pro9000</v>
      </c>
      <c r="C3517" t="str">
        <f>"Phase Out"</f>
        <v>Phase Out</v>
      </c>
    </row>
    <row r="3518" spans="1:3" ht="18" customHeight="1">
      <c r="A3518" t="str">
        <f>"113424"</f>
        <v>113424</v>
      </c>
      <c r="B3518" t="str">
        <f>"Holder Camera C920"</f>
        <v>Holder Camera C920</v>
      </c>
      <c r="C3518" t="str">
        <f>"Active"</f>
        <v>Active</v>
      </c>
    </row>
    <row r="3519" spans="1:3" ht="18" customHeight="1">
      <c r="A3519" t="str">
        <f>"113425"</f>
        <v>113425</v>
      </c>
      <c r="B3519" t="str">
        <f>"Hole Plug"</f>
        <v>Hole Plug</v>
      </c>
      <c r="C3519" t="str">
        <f>"New"</f>
        <v>New</v>
      </c>
    </row>
    <row r="3520" spans="1:3" ht="18" customHeight="1">
      <c r="A3520" t="str">
        <f>"113426"</f>
        <v>113426</v>
      </c>
      <c r="B3520" t="str">
        <f>"Oil Tray (vaccum forming) Plastic"</f>
        <v>Oil Tray (vaccum forming) Plastic</v>
      </c>
      <c r="C3520" t="str">
        <f>"New"</f>
        <v>New</v>
      </c>
    </row>
    <row r="3521" spans="1:3" ht="18" customHeight="1">
      <c r="A3521" t="str">
        <f>"113427"</f>
        <v>113427</v>
      </c>
      <c r="B3521" t="str">
        <f>"Support for PLC SIMATIC"</f>
        <v>Support for PLC SIMATIC</v>
      </c>
      <c r="C3521" t="str">
        <f>"Active"</f>
        <v>Active</v>
      </c>
    </row>
    <row r="3522" spans="1:3" ht="18" customHeight="1">
      <c r="A3522" t="str">
        <f>"113428"</f>
        <v>113428</v>
      </c>
      <c r="B3522" t="str">
        <f>"Hole Plug Rectangular"</f>
        <v>Hole Plug Rectangular</v>
      </c>
      <c r="C3522" t="str">
        <f>"New"</f>
        <v>New</v>
      </c>
    </row>
    <row r="3523" spans="1:3" ht="18" customHeight="1">
      <c r="A3523" t="str">
        <f>"113501"</f>
        <v>113501</v>
      </c>
      <c r="B3523" t="str">
        <f>"Spring Anti-Backlash SCORBOT ER4u, DIN17223C"</f>
        <v>Spring Anti-Backlash SCORBOT ER4u, DIN17223C</v>
      </c>
      <c r="C3523" t="str">
        <f t="shared" ref="C3523:C3530" si="155">"Active"</f>
        <v>Active</v>
      </c>
    </row>
    <row r="3524" spans="1:3" ht="18" customHeight="1">
      <c r="A3524" t="str">
        <f>"113503"</f>
        <v>113503</v>
      </c>
      <c r="B3524" t="str">
        <f>"Spring Compression -120gr"</f>
        <v>Spring Compression -120gr</v>
      </c>
      <c r="C3524" t="str">
        <f t="shared" si="155"/>
        <v>Active</v>
      </c>
    </row>
    <row r="3525" spans="1:3" ht="18" customHeight="1">
      <c r="A3525" t="str">
        <f>"113504"</f>
        <v>113504</v>
      </c>
      <c r="B3525" t="str">
        <f>"Compression Spring -170gr"</f>
        <v>Compression Spring -170gr</v>
      </c>
      <c r="C3525" t="str">
        <f t="shared" si="155"/>
        <v>Active</v>
      </c>
    </row>
    <row r="3526" spans="1:3" ht="18" customHeight="1">
      <c r="A3526" t="str">
        <f>"113505"</f>
        <v>113505</v>
      </c>
      <c r="B3526" t="str">
        <f>"Spring Compression D=9,d=0.65,L=7"</f>
        <v>Spring Compression D=9,d=0.65,L=7</v>
      </c>
      <c r="C3526" t="str">
        <f t="shared" si="155"/>
        <v>Active</v>
      </c>
    </row>
    <row r="3527" spans="1:3" ht="18" customHeight="1">
      <c r="A3527" t="str">
        <f>"113507"</f>
        <v>113507</v>
      </c>
      <c r="B3527" t="str">
        <f>"Spring  d=32.2,W=3.7,P=6 mm"</f>
        <v>Spring  d=32.2,W=3.7,P=6 mm</v>
      </c>
      <c r="C3527" t="str">
        <f t="shared" si="155"/>
        <v>Active</v>
      </c>
    </row>
    <row r="3528" spans="1:3" ht="18" customHeight="1">
      <c r="A3528" t="str">
        <f>"113508"</f>
        <v>113508</v>
      </c>
      <c r="B3528" t="str">
        <f>"Spring 200g  D=5.6,d=0.4,L=14.3,l=6.3"</f>
        <v>Spring 200g  D=5.6,d=0.4,L=14.3,l=6.3</v>
      </c>
      <c r="C3528" t="str">
        <f t="shared" si="155"/>
        <v>Active</v>
      </c>
    </row>
    <row r="3529" spans="1:3" ht="18" customHeight="1">
      <c r="A3529" t="str">
        <f>"113511"</f>
        <v>113511</v>
      </c>
      <c r="B3529" t="str">
        <f>"Spring 50g  d=0.7, D= 8.5,L=20,L1=7"</f>
        <v>Spring 50g  d=0.7, D= 8.5,L=20,L1=7</v>
      </c>
      <c r="C3529" t="str">
        <f t="shared" si="155"/>
        <v>Active</v>
      </c>
    </row>
    <row r="3530" spans="1:3" ht="18" customHeight="1">
      <c r="A3530" t="str">
        <f>"113515"</f>
        <v>113515</v>
      </c>
      <c r="B3530" t="str">
        <f>"Spring d=1mm"</f>
        <v>Spring d=1mm</v>
      </c>
      <c r="C3530" t="str">
        <f t="shared" si="155"/>
        <v>Active</v>
      </c>
    </row>
    <row r="3531" spans="1:3" ht="18" customHeight="1">
      <c r="A3531" t="str">
        <f>"113516"</f>
        <v>113516</v>
      </c>
      <c r="B3531" t="str">
        <f>"Spring Compression D=5.6,d=0.4mm,L=10,l=3"</f>
        <v>Spring Compression D=5.6,d=0.4mm,L=10,l=3</v>
      </c>
      <c r="C3531" t="str">
        <f>"New"</f>
        <v>New</v>
      </c>
    </row>
    <row r="3532" spans="1:3" ht="18" customHeight="1">
      <c r="A3532" t="str">
        <f>"113517"</f>
        <v>113517</v>
      </c>
      <c r="B3532" t="str">
        <f>"Spring Compression OD=5.8,d=0.8, L=36mm"</f>
        <v>Spring Compression OD=5.8,d=0.8, L=36mm</v>
      </c>
      <c r="C3532" t="str">
        <f t="shared" ref="C3532:C3538" si="156">"Active"</f>
        <v>Active</v>
      </c>
    </row>
    <row r="3533" spans="1:3" ht="18" customHeight="1">
      <c r="A3533" t="str">
        <f>"113601"</f>
        <v>113601</v>
      </c>
      <c r="B3533" t="str">
        <f>"Wire Protecting Pipe - 1"""</f>
        <v>Wire Protecting Pipe - 1"</v>
      </c>
      <c r="C3533" t="str">
        <f t="shared" si="156"/>
        <v>Active</v>
      </c>
    </row>
    <row r="3534" spans="1:3" ht="18" customHeight="1">
      <c r="A3534" t="str">
        <f>"113602"</f>
        <v>113602</v>
      </c>
      <c r="B3534" t="str">
        <f>"Wire Protecting Pipe-1.25"""</f>
        <v>Wire Protecting Pipe-1.25"</v>
      </c>
      <c r="C3534" t="str">
        <f t="shared" si="156"/>
        <v>Active</v>
      </c>
    </row>
    <row r="3535" spans="1:3" ht="18" customHeight="1">
      <c r="A3535" t="str">
        <f>"113706"</f>
        <v>113706</v>
      </c>
      <c r="B3535" t="str">
        <f>"Leg Bridge Plastic PolyAmid  Marbet 618, 624302"</f>
        <v>Leg Bridge Plastic PolyAmid  Marbet 618, 624302</v>
      </c>
      <c r="C3535" t="str">
        <f t="shared" si="156"/>
        <v>Active</v>
      </c>
    </row>
    <row r="3536" spans="1:3" ht="18" customHeight="1">
      <c r="A3536" t="str">
        <f>"113707"</f>
        <v>113707</v>
      </c>
      <c r="B3536" t="str">
        <f>"Clamp Plastic Connecting 1.5'', Polyamide Black"</f>
        <v>Clamp Plastic Connecting 1.5'', Polyamide Black</v>
      </c>
      <c r="C3536" t="str">
        <f t="shared" si="156"/>
        <v>Active</v>
      </c>
    </row>
    <row r="3537" spans="1:3" ht="18" customHeight="1">
      <c r="A3537" t="str">
        <f>"113708"</f>
        <v>113708</v>
      </c>
      <c r="B3537" t="str">
        <f>"Cap 5 for Profile 40x40, ITEM 370.13"</f>
        <v>Cap 5 for Profile 40x40, ITEM 370.13</v>
      </c>
      <c r="C3537" t="str">
        <f t="shared" si="156"/>
        <v>Active</v>
      </c>
    </row>
    <row r="3538" spans="1:3" ht="18" customHeight="1">
      <c r="A3538" t="str">
        <f>"113709"</f>
        <v>113709</v>
      </c>
      <c r="B3538" t="str">
        <f>"Set Cap Grip Rail   PA-GF,L/R, black 0432.28"</f>
        <v>Set Cap Grip Rail   PA-GF,L/R, black 0432.28</v>
      </c>
      <c r="C3538" t="str">
        <f t="shared" si="156"/>
        <v>Active</v>
      </c>
    </row>
    <row r="3539" spans="1:3" ht="18" customHeight="1">
      <c r="A3539" t="str">
        <f>"113710"</f>
        <v>113710</v>
      </c>
      <c r="B3539" t="str">
        <f>"Box Robust OKW  240x120x90mm"</f>
        <v>Box Robust OKW  240x120x90mm</v>
      </c>
      <c r="C3539" t="str">
        <f>"ECO-N2Buy"</f>
        <v>ECO-N2Buy</v>
      </c>
    </row>
    <row r="3540" spans="1:3" ht="18" customHeight="1">
      <c r="A3540" t="str">
        <f>"113711"</f>
        <v>113711</v>
      </c>
      <c r="B3540" t="str">
        <f>"TP Plastic Box 4 pieces"</f>
        <v>TP Plastic Box 4 pieces</v>
      </c>
      <c r="C3540" t="str">
        <f t="shared" ref="C3540:C3560" si="157">"Active"</f>
        <v>Active</v>
      </c>
    </row>
    <row r="3541" spans="1:3" ht="18" customHeight="1">
      <c r="A3541" t="str">
        <f>"113712"</f>
        <v>113712</v>
      </c>
      <c r="B3541" t="str">
        <f>"Base for TP Box"</f>
        <v>Base for TP Box</v>
      </c>
      <c r="C3541" t="str">
        <f t="shared" si="157"/>
        <v>Active</v>
      </c>
    </row>
    <row r="3542" spans="1:3" ht="18" customHeight="1">
      <c r="A3542" t="str">
        <f>"113713"</f>
        <v>113713</v>
      </c>
      <c r="B3542" t="str">
        <f>"Cover for TP BOX"</f>
        <v>Cover for TP BOX</v>
      </c>
      <c r="C3542" t="str">
        <f t="shared" si="157"/>
        <v>Active</v>
      </c>
    </row>
    <row r="3543" spans="1:3" ht="18" customHeight="1">
      <c r="A3543" t="str">
        <f>"113714"</f>
        <v>113714</v>
      </c>
      <c r="B3543" t="str">
        <f>"Trigger for TP Box"</f>
        <v>Trigger for TP Box</v>
      </c>
      <c r="C3543" t="str">
        <f t="shared" si="157"/>
        <v>Active</v>
      </c>
    </row>
    <row r="3544" spans="1:3" ht="18" customHeight="1">
      <c r="A3544" t="str">
        <f>"113715"</f>
        <v>113715</v>
      </c>
      <c r="B3544" t="str">
        <f>"Holder for TP Box"</f>
        <v>Holder for TP Box</v>
      </c>
      <c r="C3544" t="str">
        <f t="shared" si="157"/>
        <v>Active</v>
      </c>
    </row>
    <row r="3545" spans="1:3" ht="18" customHeight="1">
      <c r="A3545" t="str">
        <f>"113716"</f>
        <v>113716</v>
      </c>
      <c r="B3545" t="str">
        <f>"Electric Box BI-3-130 250x180x130mm"</f>
        <v>Electric Box BI-3-130 250x180x130mm</v>
      </c>
      <c r="C3545" t="str">
        <f t="shared" si="157"/>
        <v>Active</v>
      </c>
    </row>
    <row r="3546" spans="1:3" ht="18" customHeight="1">
      <c r="A3546" t="str">
        <f>"113801"</f>
        <v>113801</v>
      </c>
      <c r="B3546" t="str">
        <f>"Lead Sfrew for Gripper ER4u"</f>
        <v>Lead Sfrew for Gripper ER4u</v>
      </c>
      <c r="C3546" t="str">
        <f t="shared" si="157"/>
        <v>Active</v>
      </c>
    </row>
    <row r="3547" spans="1:3" ht="18" customHeight="1">
      <c r="A3547" t="str">
        <f>"113802"</f>
        <v>113802</v>
      </c>
      <c r="B3547" t="str">
        <f>"Nut - Bronze SCORBOT ER4u"</f>
        <v>Nut - Bronze SCORBOT ER4u</v>
      </c>
      <c r="C3547" t="str">
        <f t="shared" si="157"/>
        <v>Active</v>
      </c>
    </row>
    <row r="3548" spans="1:3" ht="18" customHeight="1">
      <c r="A3548" t="str">
        <f>"113804"</f>
        <v>113804</v>
      </c>
      <c r="B3548" t="str">
        <f>"Nut for Swivel PG16"</f>
        <v>Nut for Swivel PG16</v>
      </c>
      <c r="C3548" t="str">
        <f t="shared" si="157"/>
        <v>Active</v>
      </c>
    </row>
    <row r="3549" spans="1:3" ht="18" customHeight="1">
      <c r="A3549" t="str">
        <f>"113806"</f>
        <v>113806</v>
      </c>
      <c r="B3549" t="str">
        <f>"Screw  Leveling  Machined M12x30"</f>
        <v>Screw  Leveling  Machined M12x30</v>
      </c>
      <c r="C3549" t="str">
        <f t="shared" si="157"/>
        <v>Active</v>
      </c>
    </row>
    <row r="3550" spans="1:3" ht="18" customHeight="1">
      <c r="A3550" t="str">
        <f>"113807"</f>
        <v>113807</v>
      </c>
      <c r="B3550" t="str">
        <f>"Ball Screw BLK1616DZZ-395L, DWG #113807"</f>
        <v>Ball Screw BLK1616DZZ-395L, DWG #113807</v>
      </c>
      <c r="C3550" t="str">
        <f t="shared" si="157"/>
        <v>Active</v>
      </c>
    </row>
    <row r="3551" spans="1:3" ht="18" customHeight="1">
      <c r="A3551" t="str">
        <f>"113810"</f>
        <v>113810</v>
      </c>
      <c r="B3551" t="str">
        <f>"Screw Lead Gripper   1/4"" x 55mm"</f>
        <v>Screw Lead Gripper   1/4" x 55mm</v>
      </c>
      <c r="C3551" t="str">
        <f t="shared" si="157"/>
        <v>Active</v>
      </c>
    </row>
    <row r="3552" spans="1:3" ht="18" customHeight="1">
      <c r="A3552" t="str">
        <f>"113812"</f>
        <v>113812</v>
      </c>
      <c r="B3552" t="str">
        <f>"Nut Hex. - M17 x 1 x h=4 mm"</f>
        <v>Nut Hex. - M17 x 1 x h=4 mm</v>
      </c>
      <c r="C3552" t="str">
        <f t="shared" si="157"/>
        <v>Active</v>
      </c>
    </row>
    <row r="3553" spans="1:3" ht="18" customHeight="1">
      <c r="A3553" t="str">
        <f>"113814"</f>
        <v>113814</v>
      </c>
      <c r="B3553" t="str">
        <f>"Screw Activating Scorbot ER2u"</f>
        <v>Screw Activating Scorbot ER2u</v>
      </c>
      <c r="C3553" t="str">
        <f t="shared" si="157"/>
        <v>Active</v>
      </c>
    </row>
    <row r="3554" spans="1:3" ht="18" customHeight="1">
      <c r="A3554" t="str">
        <f>"113815"</f>
        <v>113815</v>
      </c>
      <c r="B3554" t="str">
        <f>"Nut Activating Scorbot ER2u"</f>
        <v>Nut Activating Scorbot ER2u</v>
      </c>
      <c r="C3554" t="str">
        <f t="shared" si="157"/>
        <v>Active</v>
      </c>
    </row>
    <row r="3555" spans="1:3" ht="18" customHeight="1">
      <c r="A3555" t="str">
        <f>"113821"</f>
        <v>113821</v>
      </c>
      <c r="B3555" t="str">
        <f>"Screw Ball Bearing  M12x1.75"</f>
        <v>Screw Ball Bearing  M12x1.75</v>
      </c>
      <c r="C3555" t="str">
        <f t="shared" si="157"/>
        <v>Active</v>
      </c>
    </row>
    <row r="3556" spans="1:3" ht="18" customHeight="1">
      <c r="A3556" t="str">
        <f>"113822"</f>
        <v>113822</v>
      </c>
      <c r="B3556" t="str">
        <f>"Nut for Screw M12x1.75"</f>
        <v>Nut for Screw M12x1.75</v>
      </c>
      <c r="C3556" t="str">
        <f t="shared" si="157"/>
        <v>Active</v>
      </c>
    </row>
    <row r="3557" spans="1:3" ht="18" customHeight="1">
      <c r="A3557" t="str">
        <f>"113823"</f>
        <v>113823</v>
      </c>
      <c r="B3557" t="str">
        <f>"Screw Gripper Type C"</f>
        <v>Screw Gripper Type C</v>
      </c>
      <c r="C3557" t="str">
        <f t="shared" si="157"/>
        <v>Active</v>
      </c>
    </row>
    <row r="3558" spans="1:3" ht="18" customHeight="1">
      <c r="A3558" t="str">
        <f>"113824"</f>
        <v>113824</v>
      </c>
      <c r="B3558" t="str">
        <f>"Nut Gripper Type C"</f>
        <v>Nut Gripper Type C</v>
      </c>
      <c r="C3558" t="str">
        <f t="shared" si="157"/>
        <v>Active</v>
      </c>
    </row>
    <row r="3559" spans="1:3" ht="18" customHeight="1">
      <c r="A3559" t="str">
        <f>"113904"</f>
        <v>113904</v>
      </c>
      <c r="B3559" t="str">
        <f>"Strip Velcro  D=22 mm HOOK-male"</f>
        <v>Strip Velcro  D=22 mm HOOK-male</v>
      </c>
      <c r="C3559" t="str">
        <f t="shared" si="157"/>
        <v>Active</v>
      </c>
    </row>
    <row r="3560" spans="1:3" ht="18" customHeight="1">
      <c r="A3560" t="str">
        <f>"113905"</f>
        <v>113905</v>
      </c>
      <c r="B3560" t="str">
        <f>"Strip Velcro  D=22 mm HOOK-female"</f>
        <v>Strip Velcro  D=22 mm HOOK-female</v>
      </c>
      <c r="C3560" t="str">
        <f t="shared" si="157"/>
        <v>Active</v>
      </c>
    </row>
    <row r="3561" spans="1:3" ht="18" customHeight="1">
      <c r="A3561" t="str">
        <f>"113908"</f>
        <v>113908</v>
      </c>
      <c r="B3561" t="str">
        <f>"String  D=1.4 mm"</f>
        <v>String  D=1.4 mm</v>
      </c>
      <c r="C3561" t="str">
        <f>"Inactive"</f>
        <v>Inactive</v>
      </c>
    </row>
    <row r="3562" spans="1:3" ht="18" customHeight="1">
      <c r="A3562" t="str">
        <f>"114001"</f>
        <v>114001</v>
      </c>
      <c r="B3562" t="str">
        <f>"Profile for CIM conveyer  503579 DWG,  1.57 m"</f>
        <v>Profile for CIM conveyer  503579 DWG,  1.57 m</v>
      </c>
      <c r="C3562" t="str">
        <f>"ECO-N2Buy"</f>
        <v>ECO-N2Buy</v>
      </c>
    </row>
    <row r="3563" spans="1:3" ht="18" customHeight="1">
      <c r="A3563" t="str">
        <f>"114002"</f>
        <v>114002</v>
      </c>
      <c r="B3563" t="str">
        <f>"Profile for CIM conveyor L=300mm Anodize+Teflon"</f>
        <v>Profile for CIM conveyor L=300mm Anodize+Teflon</v>
      </c>
      <c r="C3563" t="str">
        <f>"Active"</f>
        <v>Active</v>
      </c>
    </row>
    <row r="3564" spans="1:3" ht="18" customHeight="1">
      <c r="A3564" t="str">
        <f>"114002-10"</f>
        <v>114002-10</v>
      </c>
      <c r="B3564" t="str">
        <f>"Profile for CIM conveyor, L=300mm machining"</f>
        <v>Profile for CIM conveyor, L=300mm machining</v>
      </c>
      <c r="C3564" t="str">
        <f>"Not for sale"</f>
        <v>Not for sale</v>
      </c>
    </row>
    <row r="3565" spans="1:3" ht="18" customHeight="1">
      <c r="A3565" t="str">
        <f>"114002-20"</f>
        <v>114002-20</v>
      </c>
      <c r="B3565" t="str">
        <f>"Profile for CIM conveyor-503579, L=300mm"</f>
        <v>Profile for CIM conveyor-503579, L=300mm</v>
      </c>
      <c r="C3565" t="str">
        <f>"Not for sale"</f>
        <v>Not for sale</v>
      </c>
    </row>
    <row r="3566" spans="1:3" ht="18" customHeight="1">
      <c r="A3566" t="str">
        <f>"114003"</f>
        <v>114003</v>
      </c>
      <c r="B3566" t="str">
        <f>"Profile for CIM Conveyor L=858mm,Anodize+Teflon"</f>
        <v>Profile for CIM Conveyor L=858mm,Anodize+Teflon</v>
      </c>
      <c r="C3566" t="str">
        <f>"Active"</f>
        <v>Active</v>
      </c>
    </row>
    <row r="3567" spans="1:3" ht="18" customHeight="1">
      <c r="A3567" t="str">
        <f>"114003-10"</f>
        <v>114003-10</v>
      </c>
      <c r="B3567" t="str">
        <f>"Profile for CIM conveyor L=858mm, machining"</f>
        <v>Profile for CIM conveyor L=858mm, machining</v>
      </c>
      <c r="C3567" t="str">
        <f>"Not for sale"</f>
        <v>Not for sale</v>
      </c>
    </row>
    <row r="3568" spans="1:3" ht="18" customHeight="1">
      <c r="A3568" t="str">
        <f>"114003-20"</f>
        <v>114003-20</v>
      </c>
      <c r="B3568" t="str">
        <f>"Profile for CIM conveyor-503579, L=858mm"</f>
        <v>Profile for CIM conveyor-503579, L=858mm</v>
      </c>
      <c r="C3568" t="str">
        <f>"Not for sale"</f>
        <v>Not for sale</v>
      </c>
    </row>
    <row r="3569" spans="1:3" ht="18" customHeight="1">
      <c r="A3569" t="str">
        <f>"114004"</f>
        <v>114004</v>
      </c>
      <c r="B3569" t="str">
        <f>"Profile for CIM conveyor,L=60mm, Anodize+Teflon"</f>
        <v>Profile for CIM conveyor,L=60mm, Anodize+Teflon</v>
      </c>
      <c r="C3569" t="str">
        <f>"Active"</f>
        <v>Active</v>
      </c>
    </row>
    <row r="3570" spans="1:3" ht="18" customHeight="1">
      <c r="A3570" t="str">
        <f>"114004-10"</f>
        <v>114004-10</v>
      </c>
      <c r="B3570" t="str">
        <f>"Profile for CIM conveyor 60mm, Machining"</f>
        <v>Profile for CIM conveyor 60mm, Machining</v>
      </c>
      <c r="C3570" t="str">
        <f>"Not for sale"</f>
        <v>Not for sale</v>
      </c>
    </row>
    <row r="3571" spans="1:3" ht="18" customHeight="1">
      <c r="A3571" t="str">
        <f>"114004-20"</f>
        <v>114004-20</v>
      </c>
      <c r="B3571" t="str">
        <f>"Profile for CIM conveyor-503579, L=60mm"</f>
        <v>Profile for CIM conveyor-503579, L=60mm</v>
      </c>
      <c r="C3571" t="str">
        <f>"Not for sale"</f>
        <v>Not for sale</v>
      </c>
    </row>
    <row r="3572" spans="1:3" ht="18" customHeight="1">
      <c r="A3572" t="str">
        <f>"114005-20"</f>
        <v>114005-20</v>
      </c>
      <c r="B3572" t="str">
        <f>"Profile for CIM conveyor-503579, L=240mm"</f>
        <v>Profile for CIM conveyor-503579, L=240mm</v>
      </c>
      <c r="C3572" t="str">
        <f>"New"</f>
        <v>New</v>
      </c>
    </row>
    <row r="3573" spans="1:3" ht="18" customHeight="1">
      <c r="A3573" t="str">
        <f>"114006"</f>
        <v>114006</v>
      </c>
      <c r="B3573" t="str">
        <f>"Profile for CIM conveyor 760mm, Anodize+Teflon"</f>
        <v>Profile for CIM conveyor 760mm, Anodize+Teflon</v>
      </c>
      <c r="C3573" t="str">
        <f>"Active"</f>
        <v>Active</v>
      </c>
    </row>
    <row r="3574" spans="1:3" ht="18" customHeight="1">
      <c r="A3574" t="str">
        <f>"114006-10"</f>
        <v>114006-10</v>
      </c>
      <c r="B3574" t="str">
        <f>"Profile for CIM conveyor 760mm, machining"</f>
        <v>Profile for CIM conveyor 760mm, machining</v>
      </c>
      <c r="C3574" t="str">
        <f>"Not for sale"</f>
        <v>Not for sale</v>
      </c>
    </row>
    <row r="3575" spans="1:3" ht="18" customHeight="1">
      <c r="A3575" t="str">
        <f>"114006-20"</f>
        <v>114006-20</v>
      </c>
      <c r="B3575" t="str">
        <f>"Profile for CIM conveyor-503579, L=760mm"</f>
        <v>Profile for CIM conveyor-503579, L=760mm</v>
      </c>
      <c r="C3575" t="str">
        <f>"Not for sale"</f>
        <v>Not for sale</v>
      </c>
    </row>
    <row r="3576" spans="1:3" ht="18" customHeight="1">
      <c r="A3576" t="str">
        <f>"114007"</f>
        <v>114007</v>
      </c>
      <c r="B3576" t="str">
        <f>"Profile for CIM conveyoer 1400mm, Anodize+Teflon"</f>
        <v>Profile for CIM conveyoer 1400mm, Anodize+Teflon</v>
      </c>
      <c r="C3576" t="str">
        <f>"Active"</f>
        <v>Active</v>
      </c>
    </row>
    <row r="3577" spans="1:3" ht="18" customHeight="1">
      <c r="A3577" t="str">
        <f>"114007-10"</f>
        <v>114007-10</v>
      </c>
      <c r="B3577" t="str">
        <f>"Profile for CIM conveyor 1400mm, machining"</f>
        <v>Profile for CIM conveyor 1400mm, machining</v>
      </c>
      <c r="C3577" t="str">
        <f>"Not for sale"</f>
        <v>Not for sale</v>
      </c>
    </row>
    <row r="3578" spans="1:3" ht="18" customHeight="1">
      <c r="A3578" t="str">
        <f>"114007-20"</f>
        <v>114007-20</v>
      </c>
      <c r="B3578" t="str">
        <f>"Profile for CIM conveyor-503579, L=1400mm"</f>
        <v>Profile for CIM conveyor-503579, L=1400mm</v>
      </c>
      <c r="C3578" t="str">
        <f>"Not for sale"</f>
        <v>Not for sale</v>
      </c>
    </row>
    <row r="3579" spans="1:3" ht="18" customHeight="1">
      <c r="A3579" t="str">
        <f>"114008"</f>
        <v>114008</v>
      </c>
      <c r="B3579" t="str">
        <f>"Profile Cable Duct-Blank L=800mm"</f>
        <v>Profile Cable Duct-Blank L=800mm</v>
      </c>
      <c r="C3579" t="str">
        <f>"Active"</f>
        <v>Active</v>
      </c>
    </row>
    <row r="3580" spans="1:3" ht="18" customHeight="1">
      <c r="A3580" t="str">
        <f>"114010"</f>
        <v>114010</v>
      </c>
      <c r="B3580" t="str">
        <f>"Box for Cables for CIM"</f>
        <v>Box for Cables for CIM</v>
      </c>
      <c r="C3580" t="str">
        <f>"Active"</f>
        <v>Active</v>
      </c>
    </row>
    <row r="3581" spans="1:3" ht="18" customHeight="1">
      <c r="A3581" t="str">
        <f>"114010-10"</f>
        <v>114010-10</v>
      </c>
      <c r="B3581" t="str">
        <f>"Profile Cable Duct - machining"</f>
        <v>Profile Cable Duct - machining</v>
      </c>
      <c r="C3581" t="str">
        <f>"New"</f>
        <v>New</v>
      </c>
    </row>
    <row r="3582" spans="1:3" ht="18" customHeight="1">
      <c r="A3582" t="str">
        <f>"114011"</f>
        <v>114011</v>
      </c>
      <c r="B3582" t="str">
        <f>"Profile AL. for Heat Sink Controller B - Blank"</f>
        <v>Profile AL. for Heat Sink Controller B - Blank</v>
      </c>
      <c r="C3582" t="str">
        <f>"Active"</f>
        <v>Active</v>
      </c>
    </row>
    <row r="3583" spans="1:3" ht="18" customHeight="1">
      <c r="A3583" t="str">
        <f>"114012"</f>
        <v>114012</v>
      </c>
      <c r="B3583" t="str">
        <f>"Profile for Table 725mm Pneumatic/Hydraulic Sys."</f>
        <v>Profile for Table 725mm Pneumatic/Hydraulic Sys.</v>
      </c>
      <c r="C3583" t="str">
        <f>"Active"</f>
        <v>Active</v>
      </c>
    </row>
    <row r="3584" spans="1:3" ht="18" customHeight="1">
      <c r="A3584" t="str">
        <f>"114013"</f>
        <v>114013</v>
      </c>
      <c r="B3584" t="str">
        <f>"Profile 700mm"</f>
        <v>Profile 700mm</v>
      </c>
      <c r="C3584" t="str">
        <f>"Phase Out"</f>
        <v>Phase Out</v>
      </c>
    </row>
    <row r="3585" spans="1:3" ht="18" customHeight="1">
      <c r="A3585" t="str">
        <f>"114014"</f>
        <v>114014</v>
      </c>
      <c r="B3585" t="str">
        <f>"Profile 785mm  Pneumatic/Hydraulic System"</f>
        <v>Profile 785mm  Pneumatic/Hydraulic System</v>
      </c>
      <c r="C3585" t="str">
        <f t="shared" ref="C3585:C3618" si="158">"Active"</f>
        <v>Active</v>
      </c>
    </row>
    <row r="3586" spans="1:3" ht="18" customHeight="1">
      <c r="A3586" t="str">
        <f>"114015"</f>
        <v>114015</v>
      </c>
      <c r="B3586" t="str">
        <f>"Profile 5, 16x8.5, ITEM ITOO26591"</f>
        <v>Profile 5, 16x8.5, ITEM ITOO26591</v>
      </c>
      <c r="C3586" t="str">
        <f t="shared" si="158"/>
        <v>Active</v>
      </c>
    </row>
    <row r="3587" spans="1:3" ht="18" customHeight="1">
      <c r="A3587" t="str">
        <f>"114016"</f>
        <v>114016</v>
      </c>
      <c r="B3587" t="str">
        <f>"Profile 8,80x40 light, ITEM IT 0.0.02634 L=364mm"</f>
        <v>Profile 8,80x40 light, ITEM IT 0.0.02634 L=364mm</v>
      </c>
      <c r="C3587" t="str">
        <f t="shared" si="158"/>
        <v>Active</v>
      </c>
    </row>
    <row r="3588" spans="1:3" ht="18" customHeight="1">
      <c r="A3588" t="str">
        <f>"114017"</f>
        <v>114017</v>
      </c>
      <c r="B3588" t="str">
        <f>"Profile Support 160-20, IT00.404.81,L=200mm"</f>
        <v>Profile Support 160-20, IT00.404.81,L=200mm</v>
      </c>
      <c r="C3588" t="str">
        <f t="shared" si="158"/>
        <v>Active</v>
      </c>
    </row>
    <row r="3589" spans="1:3" ht="18" customHeight="1">
      <c r="A3589" t="str">
        <f>"114018"</f>
        <v>114018</v>
      </c>
      <c r="B3589" t="str">
        <f>"ProfileSupport 160, ITEM 00.265.84 , 200mm"</f>
        <v>ProfileSupport 160, ITEM 00.265.84 , 200mm</v>
      </c>
      <c r="C3589" t="str">
        <f t="shared" si="158"/>
        <v>Active</v>
      </c>
    </row>
    <row r="3590" spans="1:3" ht="18" customHeight="1">
      <c r="A3590" t="str">
        <f>"114019"</f>
        <v>114019</v>
      </c>
      <c r="B3590" t="str">
        <f>"Profile Support  40,  IT 00019639,  200mm"</f>
        <v>Profile Support  40,  IT 00019639,  200mm</v>
      </c>
      <c r="C3590" t="str">
        <f t="shared" si="158"/>
        <v>Active</v>
      </c>
    </row>
    <row r="3591" spans="1:3" ht="18" customHeight="1">
      <c r="A3591" t="str">
        <f>"114020"</f>
        <v>114020</v>
      </c>
      <c r="B3591" t="str">
        <f>"Wall Profil 80 IT OOO19642,L=200mm"</f>
        <v>Wall Profil 80 IT OOO19642,L=200mm</v>
      </c>
      <c r="C3591" t="str">
        <f t="shared" si="158"/>
        <v>Active</v>
      </c>
    </row>
    <row r="3592" spans="1:3" ht="18" customHeight="1">
      <c r="A3592" t="str">
        <f>"114021"</f>
        <v>114021</v>
      </c>
      <c r="B3592" t="str">
        <f>"Profile 5, 520x80, ITEM IT 0037086"</f>
        <v>Profile 5, 520x80, ITEM IT 0037086</v>
      </c>
      <c r="C3592" t="str">
        <f t="shared" si="158"/>
        <v>Active</v>
      </c>
    </row>
    <row r="3593" spans="1:3" ht="18" customHeight="1">
      <c r="A3593" t="str">
        <f>"114023"</f>
        <v>114023</v>
      </c>
      <c r="B3593" t="str">
        <f>"Profile 5, 20X20, IT 0037003, L=146"</f>
        <v>Profile 5, 20X20, IT 0037003, L=146</v>
      </c>
      <c r="C3593" t="str">
        <f t="shared" si="158"/>
        <v>Active</v>
      </c>
    </row>
    <row r="3594" spans="1:3" ht="18" customHeight="1">
      <c r="A3594" t="str">
        <f>"114024"</f>
        <v>114024</v>
      </c>
      <c r="B3594" t="str">
        <f>"Support Profile, IT026.34 ,80x40, L=720mm"</f>
        <v>Support Profile, IT026.34 ,80x40, L=720mm</v>
      </c>
      <c r="C3594" t="str">
        <f t="shared" si="158"/>
        <v>Active</v>
      </c>
    </row>
    <row r="3595" spans="1:3" ht="18" customHeight="1">
      <c r="A3595" t="str">
        <f>"114025"</f>
        <v>114025</v>
      </c>
      <c r="B3595" t="str">
        <f>"Profile with Shaft, 80x20, L=400, X-Y"</f>
        <v>Profile with Shaft, 80x20, L=400, X-Y</v>
      </c>
      <c r="C3595" t="str">
        <f t="shared" si="158"/>
        <v>Active</v>
      </c>
    </row>
    <row r="3596" spans="1:3" ht="18" customHeight="1">
      <c r="A3596" t="str">
        <f>"114027"</f>
        <v>114027</v>
      </c>
      <c r="B3596" t="str">
        <f>"Double Bearing Unit 5D6 Centric, IT0039017"</f>
        <v>Double Bearing Unit 5D6 Centric, IT0039017</v>
      </c>
      <c r="C3596" t="str">
        <f t="shared" si="158"/>
        <v>Active</v>
      </c>
    </row>
    <row r="3597" spans="1:3" ht="18" customHeight="1">
      <c r="A3597" t="str">
        <f>"114028"</f>
        <v>114028</v>
      </c>
      <c r="B3597" t="str">
        <f>"Double Bearing, 5D6 Eccentric, IT0039018"</f>
        <v>Double Bearing, 5D6 Eccentric, IT0039018</v>
      </c>
      <c r="C3597" t="str">
        <f t="shared" si="158"/>
        <v>Active</v>
      </c>
    </row>
    <row r="3598" spans="1:3" ht="18" customHeight="1">
      <c r="A3598" t="str">
        <f>"114029"</f>
        <v>114029</v>
      </c>
      <c r="B3598" t="str">
        <f>"Profile 8, 40x40E, IT 7.0.000.09,  L=100mm"</f>
        <v>Profile 8, 40x40E, IT 7.0.000.09,  L=100mm</v>
      </c>
      <c r="C3598" t="str">
        <f t="shared" si="158"/>
        <v>Active</v>
      </c>
    </row>
    <row r="3599" spans="1:3" ht="18" customHeight="1">
      <c r="A3599" t="str">
        <f>"114031"</f>
        <v>114031</v>
      </c>
      <c r="B3599" t="str">
        <f>"Multiblock 8PA, ITEM 026.72"</f>
        <v>Multiblock 8PA, ITEM 026.72</v>
      </c>
      <c r="C3599" t="str">
        <f t="shared" si="158"/>
        <v>Active</v>
      </c>
    </row>
    <row r="3600" spans="1:3" ht="18" customHeight="1">
      <c r="A3600" t="str">
        <f>"114035"</f>
        <v>114035</v>
      </c>
      <c r="B3600" t="str">
        <f>"Profile 40x80E, IT700026, L=280mm"</f>
        <v>Profile 40x80E, IT700026, L=280mm</v>
      </c>
      <c r="C3600" t="str">
        <f t="shared" si="158"/>
        <v>Active</v>
      </c>
    </row>
    <row r="3601" spans="1:3" ht="18" customHeight="1">
      <c r="A3601" t="str">
        <f>"114039"</f>
        <v>114039</v>
      </c>
      <c r="B3601" t="str">
        <f>"Profile 8, 40x80E, IT700026, L=600mm,"</f>
        <v>Profile 8, 40x80E, IT700026, L=600mm,</v>
      </c>
      <c r="C3601" t="str">
        <f t="shared" si="158"/>
        <v>Active</v>
      </c>
    </row>
    <row r="3602" spans="1:3" ht="18" customHeight="1">
      <c r="A3602" t="str">
        <f>"114041"</f>
        <v>114041</v>
      </c>
      <c r="B3602" t="str">
        <f>"Profile LSB, ITEM  L=1300, 80x80"</f>
        <v>Profile LSB, ITEM  L=1300, 80x80</v>
      </c>
      <c r="C3602" t="str">
        <f t="shared" si="158"/>
        <v>Active</v>
      </c>
    </row>
    <row r="3603" spans="1:3" ht="18" customHeight="1">
      <c r="A3603" t="str">
        <f>"114043"</f>
        <v>114043</v>
      </c>
      <c r="B3603" t="str">
        <f>"Profile LSB, ITEM  L=2100, 80x80"</f>
        <v>Profile LSB, ITEM  L=2100, 80x80</v>
      </c>
      <c r="C3603" t="str">
        <f t="shared" si="158"/>
        <v>Active</v>
      </c>
    </row>
    <row r="3604" spans="1:3" ht="18" customHeight="1">
      <c r="A3604" t="str">
        <f>"114044"</f>
        <v>114044</v>
      </c>
      <c r="B3604" t="str">
        <f>"Profile 8 Rebate ,ITEM 411.14"</f>
        <v>Profile 8 Rebate ,ITEM 411.14</v>
      </c>
      <c r="C3604" t="str">
        <f t="shared" si="158"/>
        <v>Active</v>
      </c>
    </row>
    <row r="3605" spans="1:3" ht="18" customHeight="1">
      <c r="A3605" t="str">
        <f>"114045"</f>
        <v>114045</v>
      </c>
      <c r="B3605" t="str">
        <f>"Profile 8 Feet for LSB, 80x120L, 416.65, L=600"</f>
        <v>Profile 8 Feet for LSB, 80x120L, 416.65, L=600</v>
      </c>
      <c r="C3605" t="str">
        <f t="shared" si="158"/>
        <v>Active</v>
      </c>
    </row>
    <row r="3606" spans="1:3" ht="18" customHeight="1">
      <c r="A3606" t="str">
        <f>"114046"</f>
        <v>114046</v>
      </c>
      <c r="B3606" t="str">
        <f>"Profile 8 Support LSB, 80x80L, 265.80, L=500"</f>
        <v>Profile 8 Support LSB, 80x80L, 265.80, L=500</v>
      </c>
      <c r="C3606" t="str">
        <f t="shared" si="158"/>
        <v>Active</v>
      </c>
    </row>
    <row r="3607" spans="1:3" ht="18" customHeight="1">
      <c r="A3607" t="str">
        <f>"114047"</f>
        <v>114047</v>
      </c>
      <c r="B3607" t="str">
        <f>"Profile 8 40x40E/ Ligth, 120mm"</f>
        <v>Profile 8 40x40E/ Ligth, 120mm</v>
      </c>
      <c r="C3607" t="str">
        <f t="shared" si="158"/>
        <v>Active</v>
      </c>
    </row>
    <row r="3608" spans="1:3" ht="18" customHeight="1">
      <c r="A3608" t="str">
        <f>"114048"</f>
        <v>114048</v>
      </c>
      <c r="B3608" t="str">
        <f>"Profile 5, 20x20, IT 0037003, L=97mm"</f>
        <v>Profile 5, 20x20, IT 0037003, L=97mm</v>
      </c>
      <c r="C3608" t="str">
        <f t="shared" si="158"/>
        <v>Active</v>
      </c>
    </row>
    <row r="3609" spans="1:3" ht="18" customHeight="1">
      <c r="A3609" t="str">
        <f>"114049"</f>
        <v>114049</v>
      </c>
      <c r="B3609" t="str">
        <f>"Profile 5, 20x20, IT 0037003, L=80mm"</f>
        <v>Profile 5, 20x20, IT 0037003, L=80mm</v>
      </c>
      <c r="C3609" t="str">
        <f t="shared" si="158"/>
        <v>Active</v>
      </c>
    </row>
    <row r="3610" spans="1:3" ht="18" customHeight="1">
      <c r="A3610" t="str">
        <f>"114050"</f>
        <v>114050</v>
      </c>
      <c r="B3610" t="str">
        <f>"Profile 8, 40x80E, IT7000026, L=800"</f>
        <v>Profile 8, 40x80E, IT7000026, L=800</v>
      </c>
      <c r="C3610" t="str">
        <f t="shared" si="158"/>
        <v>Active</v>
      </c>
    </row>
    <row r="3611" spans="1:3" ht="18" customHeight="1">
      <c r="A3611" t="str">
        <f>"114051"</f>
        <v>114051</v>
      </c>
      <c r="B3611" t="str">
        <f>"Profile AL-slotted 160x1420,cat.no.5263,Anodized"</f>
        <v>Profile AL-slotted 160x1420,cat.no.5263,Anodized</v>
      </c>
      <c r="C3611" t="str">
        <f t="shared" si="158"/>
        <v>Active</v>
      </c>
    </row>
    <row r="3612" spans="1:3" ht="18" customHeight="1">
      <c r="A3612" t="str">
        <f>"114051-10"</f>
        <v>114051-10</v>
      </c>
      <c r="B3612" t="str">
        <f>"Profile AL-Slotted, 160x1430, Extrus.no 5263"</f>
        <v>Profile AL-Slotted, 160x1430, Extrus.no 5263</v>
      </c>
      <c r="C3612" t="str">
        <f t="shared" si="158"/>
        <v>Active</v>
      </c>
    </row>
    <row r="3613" spans="1:3" ht="18" customHeight="1">
      <c r="A3613" t="str">
        <f>"114051-20"</f>
        <v>114051-20</v>
      </c>
      <c r="B3613" t="str">
        <f>"Al. Profile for Sloted Table 160x1420(Machining)"</f>
        <v>Al. Profile for Sloted Table 160x1420(Machining)</v>
      </c>
      <c r="C3613" t="str">
        <f t="shared" si="158"/>
        <v>Active</v>
      </c>
    </row>
    <row r="3614" spans="1:3" ht="18" customHeight="1">
      <c r="A3614" t="str">
        <f>"114052"</f>
        <v>114052</v>
      </c>
      <c r="B3614" t="str">
        <f>"Profile 8 Cover, ITEM 265.50, L=800"</f>
        <v>Profile 8 Cover, ITEM 265.50, L=800</v>
      </c>
      <c r="C3614" t="str">
        <f t="shared" si="158"/>
        <v>Active</v>
      </c>
    </row>
    <row r="3615" spans="1:3" ht="18" customHeight="1">
      <c r="A3615" t="str">
        <f>"114054"</f>
        <v>114054</v>
      </c>
      <c r="B3615" t="str">
        <f>"Profile, ITEM8, 80x120, L=1300 with Chafts d14"</f>
        <v>Profile, ITEM8, 80x120, L=1300 with Chafts d14</v>
      </c>
      <c r="C3615" t="str">
        <f t="shared" si="158"/>
        <v>Active</v>
      </c>
    </row>
    <row r="3616" spans="1:3" ht="18" customHeight="1">
      <c r="A3616" t="str">
        <f>"114055"</f>
        <v>114055</v>
      </c>
      <c r="B3616" t="str">
        <f>"Profile, ITEM8, 80x120, L=2100"</f>
        <v>Profile, ITEM8, 80x120, L=2100</v>
      </c>
      <c r="C3616" t="str">
        <f t="shared" si="158"/>
        <v>Active</v>
      </c>
    </row>
    <row r="3617" spans="1:3" ht="18" customHeight="1">
      <c r="A3617" t="str">
        <f>"114056"</f>
        <v>114056</v>
      </c>
      <c r="B3617" t="str">
        <f>"Profile ITEM, IT0037003, 20x20, L=160mm"</f>
        <v>Profile ITEM, IT0037003, 20x20, L=160mm</v>
      </c>
      <c r="C3617" t="str">
        <f t="shared" si="158"/>
        <v>Active</v>
      </c>
    </row>
    <row r="3618" spans="1:3" ht="18" customHeight="1">
      <c r="A3618" t="str">
        <f>"114057"</f>
        <v>114057</v>
      </c>
      <c r="B3618" t="str">
        <f>"Side for Table, IT026.33,40x40,L=1720"</f>
        <v>Side for Table, IT026.33,40x40,L=1720</v>
      </c>
      <c r="C3618" t="str">
        <f t="shared" si="158"/>
        <v>Active</v>
      </c>
    </row>
    <row r="3619" spans="1:3" ht="18" customHeight="1">
      <c r="A3619" t="str">
        <f>"114059"</f>
        <v>114059</v>
      </c>
      <c r="B3619" t="str">
        <f>"Side Support Table, 800x750mm, ITEM8 40x40E"</f>
        <v>Side Support Table, 800x750mm, ITEM8 40x40E</v>
      </c>
      <c r="C3619" t="str">
        <f>"Not for sale"</f>
        <v>Not for sale</v>
      </c>
    </row>
    <row r="3620" spans="1:3" ht="18" customHeight="1">
      <c r="A3620" t="str">
        <f>"114060"</f>
        <v>114060</v>
      </c>
      <c r="B3620" t="str">
        <f>"Table Support, IT7000026, 80x40E, L=1420mm"</f>
        <v>Table Support, IT7000026, 80x40E, L=1420mm</v>
      </c>
      <c r="C3620" t="str">
        <f>"Active"</f>
        <v>Active</v>
      </c>
    </row>
    <row r="3621" spans="1:3" ht="18" customHeight="1">
      <c r="A3621" t="str">
        <f>"114061"</f>
        <v>114061</v>
      </c>
      <c r="B3621" t="str">
        <f>"Table Support, IT7000009, 40x40E, L=1420mm"</f>
        <v>Table Support, IT7000009, 40x40E, L=1420mm</v>
      </c>
      <c r="C3621" t="str">
        <f>"Active"</f>
        <v>Active</v>
      </c>
    </row>
    <row r="3622" spans="1:3" ht="18" customHeight="1">
      <c r="A3622" t="str">
        <f>"114062"</f>
        <v>114062</v>
      </c>
      <c r="B3622" t="str">
        <f>"Table Support &amp; Wheels, 800x750mm, 40x40,26.33"</f>
        <v>Table Support &amp; Wheels, 800x750mm, 40x40,26.33</v>
      </c>
      <c r="C3622" t="str">
        <f>"Active"</f>
        <v>Active</v>
      </c>
    </row>
    <row r="3623" spans="1:3" ht="18" customHeight="1">
      <c r="A3623" t="str">
        <f>"114064"</f>
        <v>114064</v>
      </c>
      <c r="B3623" t="str">
        <f>"Slotted Table side, ITEM8 80x40E, 7.0.000.26"</f>
        <v>Slotted Table side, ITEM8 80x40E, 7.0.000.26</v>
      </c>
      <c r="C3623" t="str">
        <f>"Active"</f>
        <v>Active</v>
      </c>
    </row>
    <row r="3624" spans="1:3" ht="18" customHeight="1">
      <c r="A3624" t="str">
        <f>"114065"</f>
        <v>114065</v>
      </c>
      <c r="B3624" t="str">
        <f>"Profile Support LSB, 80x80L, 265.80, L=600"</f>
        <v>Profile Support LSB, 80x80L, 265.80, L=600</v>
      </c>
      <c r="C3624" t="str">
        <f>"Active"</f>
        <v>Active</v>
      </c>
    </row>
    <row r="3625" spans="1:3" ht="18" customHeight="1">
      <c r="A3625" t="str">
        <f>"114067"</f>
        <v>114067</v>
      </c>
      <c r="B3625" t="str">
        <f>"Frame Welding Both/ER4, 1850x1200x800mm+8Magnet"</f>
        <v>Frame Welding Both/ER4, 1850x1200x800mm+8Magnet</v>
      </c>
      <c r="C3625" t="str">
        <f>"ECO-N2Buy"</f>
        <v>ECO-N2Buy</v>
      </c>
    </row>
    <row r="3626" spans="1:3" ht="18" customHeight="1">
      <c r="A3626" t="str">
        <f>"114068"</f>
        <v>114068</v>
      </c>
      <c r="B3626" t="str">
        <f>"Profile 5, 20x20, IT 0037003,  L=80"</f>
        <v>Profile 5, 20x20, IT 0037003,  L=80</v>
      </c>
      <c r="C3626" t="str">
        <f>"Active"</f>
        <v>Active</v>
      </c>
    </row>
    <row r="3627" spans="1:3" ht="18" customHeight="1">
      <c r="A3627" t="str">
        <f>"114070"</f>
        <v>114070</v>
      </c>
      <c r="B3627" t="str">
        <f>"Table Side Support, L900,h=750mm,ITEM8 80x40E"</f>
        <v>Table Side Support, L900,h=750mm,ITEM8 80x40E</v>
      </c>
      <c r="C3627" t="str">
        <f>"Not for sale"</f>
        <v>Not for sale</v>
      </c>
    </row>
    <row r="3628" spans="1:3" ht="18" customHeight="1">
      <c r="A3628" t="str">
        <f>"114073"</f>
        <v>114073</v>
      </c>
      <c r="B3628" t="str">
        <f>"Profile Y +Shaft, ITEM5, 40x40, L=962mm"</f>
        <v>Profile Y +Shaft, ITEM5, 40x40, L=962mm</v>
      </c>
      <c r="C3628" t="str">
        <f t="shared" ref="C3628:C3642" si="159">"Active"</f>
        <v>Active</v>
      </c>
    </row>
    <row r="3629" spans="1:3" ht="18" customHeight="1">
      <c r="A3629" t="str">
        <f>"114074"</f>
        <v>114074</v>
      </c>
      <c r="B3629" t="str">
        <f>"Profile X +Shaft, ITEM5, 40x40, L=1210mm"</f>
        <v>Profile X +Shaft, ITEM5, 40x40, L=1210mm</v>
      </c>
      <c r="C3629" t="str">
        <f t="shared" si="159"/>
        <v>Active</v>
      </c>
    </row>
    <row r="3630" spans="1:3" ht="18" customHeight="1">
      <c r="A3630" t="str">
        <f>"114075"</f>
        <v>114075</v>
      </c>
      <c r="B3630" t="str">
        <f>"Stand for 6 Shelves, ASRS36"</f>
        <v>Stand for 6 Shelves, ASRS36</v>
      </c>
      <c r="C3630" t="str">
        <f t="shared" si="159"/>
        <v>Active</v>
      </c>
    </row>
    <row r="3631" spans="1:3" ht="18" customHeight="1">
      <c r="A3631" t="str">
        <f>"114078"</f>
        <v>114078</v>
      </c>
      <c r="B3631" t="str">
        <f>"Profile Z + Shaft, ITEM5, 40x40, L=325mm"</f>
        <v>Profile Z + Shaft, ITEM5, 40x40, L=325mm</v>
      </c>
      <c r="C3631" t="str">
        <f t="shared" si="159"/>
        <v>Active</v>
      </c>
    </row>
    <row r="3632" spans="1:3" ht="18" customHeight="1">
      <c r="A3632" t="str">
        <f>"114079"</f>
        <v>114079</v>
      </c>
      <c r="B3632" t="str">
        <f>"Ball Screw unit LSB /HP3, KGT20x20"</f>
        <v>Ball Screw unit LSB /HP3, KGT20x20</v>
      </c>
      <c r="C3632" t="str">
        <f t="shared" si="159"/>
        <v>Active</v>
      </c>
    </row>
    <row r="3633" spans="1:3" ht="18" customHeight="1">
      <c r="A3633" t="str">
        <f>"114080"</f>
        <v>114080</v>
      </c>
      <c r="B3633" t="str">
        <f>"Clamp Multiblock, 8PA, ITEM 0.0.196.63"</f>
        <v>Clamp Multiblock, 8PA, ITEM 0.0.196.63</v>
      </c>
      <c r="C3633" t="str">
        <f t="shared" si="159"/>
        <v>Active</v>
      </c>
    </row>
    <row r="3634" spans="1:3" ht="18" customHeight="1">
      <c r="A3634" t="str">
        <f>"114081"</f>
        <v>114081</v>
      </c>
      <c r="B3634" t="str">
        <f>"Multiblock 5PA, ITEM 370.71"</f>
        <v>Multiblock 5PA, ITEM 370.71</v>
      </c>
      <c r="C3634" t="str">
        <f t="shared" si="159"/>
        <v>Active</v>
      </c>
    </row>
    <row r="3635" spans="1:3" ht="18" customHeight="1">
      <c r="A3635" t="str">
        <f>"114082"</f>
        <v>114082</v>
      </c>
      <c r="B3635" t="str">
        <f>"Hinge For Door 5PA, ITEM 370.18"</f>
        <v>Hinge For Door 5PA, ITEM 370.18</v>
      </c>
      <c r="C3635" t="str">
        <f t="shared" si="159"/>
        <v>Active</v>
      </c>
    </row>
    <row r="3636" spans="1:3" ht="18" customHeight="1">
      <c r="A3636" t="str">
        <f>"114085"</f>
        <v>114085</v>
      </c>
      <c r="B3636" t="str">
        <f>"Support PC-Table, IT700026, 80x40E, L=600mm"</f>
        <v>Support PC-Table, IT700026, 80x40E, L=600mm</v>
      </c>
      <c r="C3636" t="str">
        <f t="shared" si="159"/>
        <v>Active</v>
      </c>
    </row>
    <row r="3637" spans="1:3" ht="18" customHeight="1">
      <c r="A3637" t="str">
        <f>"114086"</f>
        <v>114086</v>
      </c>
      <c r="B3637" t="str">
        <f>"Beam Shelf, IT700026,80x40E, L=800mm"</f>
        <v>Beam Shelf, IT700026,80x40E, L=800mm</v>
      </c>
      <c r="C3637" t="str">
        <f t="shared" si="159"/>
        <v>Active</v>
      </c>
    </row>
    <row r="3638" spans="1:3" ht="18" customHeight="1">
      <c r="A3638" t="str">
        <f>"114088"</f>
        <v>114088</v>
      </c>
      <c r="B3638" t="str">
        <f>"Support Table, IT026.34 ,80x40, L=440mm"</f>
        <v>Support Table, IT026.34 ,80x40, L=440mm</v>
      </c>
      <c r="C3638" t="str">
        <f t="shared" si="159"/>
        <v>Active</v>
      </c>
    </row>
    <row r="3639" spans="1:3" ht="18" customHeight="1">
      <c r="A3639" t="str">
        <f>"114089"</f>
        <v>114089</v>
      </c>
      <c r="B3639" t="str">
        <f>"Support Table Short, IT026.34 ,80x40, L=150mm"</f>
        <v>Support Table Short, IT026.34 ,80x40, L=150mm</v>
      </c>
      <c r="C3639" t="str">
        <f t="shared" si="159"/>
        <v>Active</v>
      </c>
    </row>
    <row r="3640" spans="1:3" ht="18" customHeight="1">
      <c r="A3640" t="str">
        <f>"114090"</f>
        <v>114090</v>
      </c>
      <c r="B3640" t="str">
        <f>"Support Back Table, IT026.34 ,80x40, L=1720mm"</f>
        <v>Support Back Table, IT026.34 ,80x40, L=1720mm</v>
      </c>
      <c r="C3640" t="str">
        <f t="shared" si="159"/>
        <v>Active</v>
      </c>
    </row>
    <row r="3641" spans="1:3" ht="18" customHeight="1">
      <c r="A3641" t="str">
        <f>"114091"</f>
        <v>114091</v>
      </c>
      <c r="B3641" t="str">
        <f>"Castors, ITEM 8PA"</f>
        <v>Castors, ITEM 8PA</v>
      </c>
      <c r="C3641" t="str">
        <f t="shared" si="159"/>
        <v>Active</v>
      </c>
    </row>
    <row r="3642" spans="1:3" ht="18" customHeight="1">
      <c r="A3642" t="str">
        <f>"114102"</f>
        <v>114102</v>
      </c>
      <c r="B3642" t="str">
        <f>"Profile 8, 1120mm, ,40x40E"</f>
        <v>Profile 8, 1120mm, ,40x40E</v>
      </c>
      <c r="C3642" t="str">
        <f t="shared" si="159"/>
        <v>Active</v>
      </c>
    </row>
    <row r="3643" spans="1:3" ht="18" customHeight="1">
      <c r="A3643" t="str">
        <f>"114103"</f>
        <v>114103</v>
      </c>
      <c r="B3643" t="str">
        <f>"Stand for RFID Reader"</f>
        <v>Stand for RFID Reader</v>
      </c>
      <c r="C3643" t="str">
        <f>"New"</f>
        <v>New</v>
      </c>
    </row>
    <row r="3644" spans="1:3" ht="18" customHeight="1">
      <c r="A3644" t="str">
        <f>"114105"</f>
        <v>114105</v>
      </c>
      <c r="B3644" t="str">
        <f>"Beam Shelf, IT700026 ,80x40E, L=900mm"</f>
        <v>Beam Shelf, IT700026 ,80x40E, L=900mm</v>
      </c>
      <c r="C3644" t="str">
        <f t="shared" ref="C3644:C3649" si="160">"Active"</f>
        <v>Active</v>
      </c>
    </row>
    <row r="3645" spans="1:3" ht="18" customHeight="1">
      <c r="A3645" t="str">
        <f>"114106"</f>
        <v>114106</v>
      </c>
      <c r="B3645" t="str">
        <f>"Stand for PLC S7-1200 Siemens"</f>
        <v>Stand for PLC S7-1200 Siemens</v>
      </c>
      <c r="C3645" t="str">
        <f t="shared" si="160"/>
        <v>Active</v>
      </c>
    </row>
    <row r="3646" spans="1:3" ht="18" customHeight="1">
      <c r="A3646" t="str">
        <f>"114119"</f>
        <v>114119</v>
      </c>
      <c r="B3646" t="str">
        <f>"Upper Table Support IT026.34 ,80x40, L=2420mm"</f>
        <v>Upper Table Support IT026.34 ,80x40, L=2420mm</v>
      </c>
      <c r="C3646" t="str">
        <f t="shared" si="160"/>
        <v>Active</v>
      </c>
    </row>
    <row r="3647" spans="1:3" ht="18" customHeight="1">
      <c r="A3647" t="str">
        <f>"114124"</f>
        <v>114124</v>
      </c>
      <c r="B3647" t="str">
        <f>"Beam Perpendicul. Shelf, IT700026, 80x40E,600mm"</f>
        <v>Beam Perpendicul. Shelf, IT700026, 80x40E,600mm</v>
      </c>
      <c r="C3647" t="str">
        <f t="shared" si="160"/>
        <v>Active</v>
      </c>
    </row>
    <row r="3648" spans="1:3" ht="18" customHeight="1">
      <c r="A3648" t="str">
        <f>"114125"</f>
        <v>114125</v>
      </c>
      <c r="B3648" t="str">
        <f>"Profile 8 Guiding Shaft, 120x80L, L=2800mm"</f>
        <v>Profile 8 Guiding Shaft, 120x80L, L=2800mm</v>
      </c>
      <c r="C3648" t="str">
        <f t="shared" si="160"/>
        <v>Active</v>
      </c>
    </row>
    <row r="3649" spans="1:3" ht="18" customHeight="1">
      <c r="A3649" t="str">
        <f>"114126"</f>
        <v>114126</v>
      </c>
      <c r="B3649" t="str">
        <f>"Profile machining IT037.003 ,20x20,L=150mm"</f>
        <v>Profile machining IT037.003 ,20x20,L=150mm</v>
      </c>
      <c r="C3649" t="str">
        <f t="shared" si="160"/>
        <v>Active</v>
      </c>
    </row>
    <row r="3650" spans="1:3" ht="18" customHeight="1">
      <c r="A3650" t="str">
        <f>"114127"</f>
        <v>114127</v>
      </c>
      <c r="B3650" t="str">
        <f>"Safety Frame with plexig doors, 1500x1100,h=1000"</f>
        <v>Safety Frame with plexig doors, 1500x1100,h=1000</v>
      </c>
      <c r="C3650" t="str">
        <f>"ECO-N2Buy"</f>
        <v>ECO-N2Buy</v>
      </c>
    </row>
    <row r="3651" spans="1:3" ht="18" customHeight="1">
      <c r="A3651" t="str">
        <f>"114128"</f>
        <v>114128</v>
      </c>
      <c r="B3651" t="str">
        <f>"Add For 6 Shelf stand, ITEM5, ASRS 36x2"</f>
        <v>Add For 6 Shelf stand, ITEM5, ASRS 36x2</v>
      </c>
      <c r="C3651" t="str">
        <f t="shared" ref="C3651:C3662" si="161">"Active"</f>
        <v>Active</v>
      </c>
    </row>
    <row r="3652" spans="1:3" ht="18" customHeight="1">
      <c r="A3652" t="str">
        <f>"114129"</f>
        <v>114129</v>
      </c>
      <c r="B3652" t="str">
        <f>"Profile 8L Guiding Shaft, 120x80, L=3300mm"</f>
        <v>Profile 8L Guiding Shaft, 120x80, L=3300mm</v>
      </c>
      <c r="C3652" t="str">
        <f t="shared" si="161"/>
        <v>Active</v>
      </c>
    </row>
    <row r="3653" spans="1:3" ht="18" customHeight="1">
      <c r="A3653" t="str">
        <f>"114145"</f>
        <v>114145</v>
      </c>
      <c r="B3653" t="str">
        <f>"Profile machining IT037.003 ,20x20,L=150mm"</f>
        <v>Profile machining IT037.003 ,20x20,L=150mm</v>
      </c>
      <c r="C3653" t="str">
        <f t="shared" si="161"/>
        <v>Active</v>
      </c>
    </row>
    <row r="3654" spans="1:3" ht="18" customHeight="1">
      <c r="A3654" t="str">
        <f>"114147"</f>
        <v>114147</v>
      </c>
      <c r="B3654" t="str">
        <f>"Bracket Angle 8 , St. Black ITEM 0.0.196.87"</f>
        <v>Bracket Angle 8 , St. Black ITEM 0.0.196.87</v>
      </c>
      <c r="C3654" t="str">
        <f t="shared" si="161"/>
        <v>Active</v>
      </c>
    </row>
    <row r="3655" spans="1:3" ht="18" customHeight="1">
      <c r="A3655" t="str">
        <f>"114148"</f>
        <v>114148</v>
      </c>
      <c r="B3655" t="str">
        <f>"Profile Grip Rail, IT432.09,  L=50mm"</f>
        <v>Profile Grip Rail, IT432.09,  L=50mm</v>
      </c>
      <c r="C3655" t="str">
        <f t="shared" si="161"/>
        <v>Active</v>
      </c>
    </row>
    <row r="3656" spans="1:3" ht="18" customHeight="1">
      <c r="A3656" t="str">
        <f>"114158"</f>
        <v>114158</v>
      </c>
      <c r="B3656" t="str">
        <f>"Profile 8, 80x40E, IT 70.000.26, L=1720"</f>
        <v>Profile 8, 80x40E, IT 70.000.26, L=1720</v>
      </c>
      <c r="C3656" t="str">
        <f t="shared" si="161"/>
        <v>Active</v>
      </c>
    </row>
    <row r="3657" spans="1:3" ht="18" customHeight="1">
      <c r="A3657" t="str">
        <f>"114161"</f>
        <v>114161</v>
      </c>
      <c r="B3657" t="str">
        <f>"Welding Box for ER9/MH5,1200x1100,H=1080mm"</f>
        <v>Welding Box for ER9/MH5,1200x1100,H=1080mm</v>
      </c>
      <c r="C3657" t="str">
        <f t="shared" si="161"/>
        <v>Active</v>
      </c>
    </row>
    <row r="3658" spans="1:3" ht="18" customHeight="1">
      <c r="A3658" t="str">
        <f>"114163"</f>
        <v>114163</v>
      </c>
      <c r="B3658" t="str">
        <f>"Support for Welding Box 1100x760mm, IT8,40x40L"</f>
        <v>Support for Welding Box 1100x760mm, IT8,40x40L</v>
      </c>
      <c r="C3658" t="str">
        <f t="shared" si="161"/>
        <v>Active</v>
      </c>
    </row>
    <row r="3659" spans="1:3" ht="18" customHeight="1">
      <c r="A3659" t="str">
        <f>"114165"</f>
        <v>114165</v>
      </c>
      <c r="B3659" t="str">
        <f>"Support Weld Booth 1020mm ITEM8,40x40E"</f>
        <v>Support Weld Booth 1020mm ITEM8,40x40E</v>
      </c>
      <c r="C3659" t="str">
        <f t="shared" si="161"/>
        <v>Active</v>
      </c>
    </row>
    <row r="3660" spans="1:3" ht="18" customHeight="1">
      <c r="A3660" t="str">
        <f>"114166"</f>
        <v>114166</v>
      </c>
      <c r="B3660" t="str">
        <f>"Profile Spacer IT0370.03 ,20x20,L=25mm"</f>
        <v>Profile Spacer IT0370.03 ,20x20,L=25mm</v>
      </c>
      <c r="C3660" t="str">
        <f t="shared" si="161"/>
        <v>Active</v>
      </c>
    </row>
    <row r="3661" spans="1:3" ht="18" customHeight="1">
      <c r="A3661" t="str">
        <f>"114169"</f>
        <v>114169</v>
      </c>
      <c r="B3661" t="str">
        <f>"SIMATIC S7-300, RAIL L=445MM"</f>
        <v>SIMATIC S7-300, RAIL L=445MM</v>
      </c>
      <c r="C3661" t="str">
        <f t="shared" si="161"/>
        <v>Active</v>
      </c>
    </row>
    <row r="3662" spans="1:3" ht="18" customHeight="1">
      <c r="A3662" t="str">
        <f>"114176"</f>
        <v>114176</v>
      </c>
      <c r="B3662" t="str">
        <f>"Beam Shelf, IT700009 ,40x40E, L=580mm"</f>
        <v>Beam Shelf, IT700009 ,40x40E, L=580mm</v>
      </c>
      <c r="C3662" t="str">
        <f t="shared" si="161"/>
        <v>Active</v>
      </c>
    </row>
    <row r="3663" spans="1:3" ht="18" customHeight="1">
      <c r="A3663" t="str">
        <f>"114177"</f>
        <v>114177</v>
      </c>
      <c r="B3663" t="str">
        <f>"Support Shelf, IT7000009 ,40x40E,L=300mm"</f>
        <v>Support Shelf, IT7000009 ,40x40E,L=300mm</v>
      </c>
      <c r="C3663" t="str">
        <f>"Not for sale"</f>
        <v>Not for sale</v>
      </c>
    </row>
    <row r="3664" spans="1:3" ht="18" customHeight="1">
      <c r="A3664" t="str">
        <f>"114178"</f>
        <v>114178</v>
      </c>
      <c r="B3664" t="str">
        <f>"Table PC &amp; key shelf  630x800, h=760mm"</f>
        <v>Table PC &amp; key shelf  630x800, h=760mm</v>
      </c>
      <c r="C3664" t="str">
        <f>"Active"</f>
        <v>Active</v>
      </c>
    </row>
    <row r="3665" spans="1:3" ht="18" customHeight="1">
      <c r="A3665" t="str">
        <f>"114179"</f>
        <v>114179</v>
      </c>
      <c r="B3665" t="str">
        <f>"Profile Stand 40x40 L=500mm   IT700370.05"</f>
        <v>Profile Stand 40x40 L=500mm   IT700370.05</v>
      </c>
      <c r="C3665" t="str">
        <f>"Active"</f>
        <v>Active</v>
      </c>
    </row>
    <row r="3666" spans="1:3" ht="18" customHeight="1">
      <c r="A3666" t="str">
        <f>"114183"</f>
        <v>114183</v>
      </c>
      <c r="B3666" t="str">
        <f>"Stand &amp; Plexiglas Shelf ER-400"</f>
        <v>Stand &amp; Plexiglas Shelf ER-400</v>
      </c>
      <c r="C3666" t="str">
        <f>"ECO-N2Buy"</f>
        <v>ECO-N2Buy</v>
      </c>
    </row>
    <row r="3667" spans="1:3" ht="18" customHeight="1">
      <c r="A3667" t="str">
        <f>"114185"</f>
        <v>114185</v>
      </c>
      <c r="B3667" t="str">
        <f>"Profile Spacer   20x20 L=15mm  IT0370.03"</f>
        <v>Profile Spacer   20x20 L=15mm  IT0370.03</v>
      </c>
      <c r="C3667" t="str">
        <f>"Active"</f>
        <v>Active</v>
      </c>
    </row>
    <row r="3668" spans="1:3" ht="18" customHeight="1">
      <c r="A3668" t="str">
        <f>"114187"</f>
        <v>114187</v>
      </c>
      <c r="B3668" t="str">
        <f>"Profile 8 40x40E, IT 7.00009, 220mm"</f>
        <v>Profile 8 40x40E, IT 7.00009, 220mm</v>
      </c>
      <c r="C3668" t="str">
        <f>"Active"</f>
        <v>Active</v>
      </c>
    </row>
    <row r="3669" spans="1:3" ht="18" customHeight="1">
      <c r="A3669" t="str">
        <f>"114189"</f>
        <v>114189</v>
      </c>
      <c r="B3669" t="str">
        <f>"Beam 5, IT037.004 ,40x20,L=700mm"</f>
        <v>Beam 5, IT037.004 ,40x20,L=700mm</v>
      </c>
      <c r="C3669" t="str">
        <f>"Active"</f>
        <v>Active</v>
      </c>
    </row>
    <row r="3670" spans="1:3" ht="18" customHeight="1">
      <c r="A3670" t="str">
        <f>"114190"</f>
        <v>114190</v>
      </c>
      <c r="B3670" t="str">
        <f>"Profile 5, 40x40, IT 370.05,L=1300mm"</f>
        <v>Profile 5, 40x40, IT 370.05,L=1300mm</v>
      </c>
      <c r="C3670" t="str">
        <f>"Active"</f>
        <v>Active</v>
      </c>
    </row>
    <row r="3671" spans="1:3" ht="18" customHeight="1">
      <c r="A3671" t="str">
        <f>"114191"</f>
        <v>114191</v>
      </c>
      <c r="B3671" t="str">
        <f>"Profile 5 Support, IT0370.03, 20x20, L=220mm"</f>
        <v>Profile 5 Support, IT0370.03, 20x20, L=220mm</v>
      </c>
      <c r="C3671" t="str">
        <f>"ECO-N2Buy"</f>
        <v>ECO-N2Buy</v>
      </c>
    </row>
    <row r="3672" spans="1:3" ht="18" customHeight="1">
      <c r="A3672" t="str">
        <f>"114192"</f>
        <v>114192</v>
      </c>
      <c r="B3672" t="str">
        <f>"Beam Profile ITEM 8, 40x80L, L=640mm"</f>
        <v>Beam Profile ITEM 8, 40x80L, L=640mm</v>
      </c>
      <c r="C3672" t="str">
        <f>"Active"</f>
        <v>Active</v>
      </c>
    </row>
    <row r="3673" spans="1:3" ht="18" customHeight="1">
      <c r="A3673" t="str">
        <f>"114193"</f>
        <v>114193</v>
      </c>
      <c r="B3673" t="str">
        <f>"Safety Frame+doors ER14/9, 1500x885,h=1040"</f>
        <v>Safety Frame+doors ER14/9, 1500x885,h=1040</v>
      </c>
      <c r="C3673" t="str">
        <f>"ECO-N2Buy"</f>
        <v>ECO-N2Buy</v>
      </c>
    </row>
    <row r="3674" spans="1:3" ht="18" customHeight="1">
      <c r="A3674" t="str">
        <f>"114195"</f>
        <v>114195</v>
      </c>
      <c r="B3674" t="str">
        <f>"Beam ITEM5, IT037.004 ,40x20,L=400mm"</f>
        <v>Beam ITEM5, IT037.004 ,40x20,L=400mm</v>
      </c>
      <c r="C3674" t="str">
        <f>"Active"</f>
        <v>Active</v>
      </c>
    </row>
    <row r="3675" spans="1:3" ht="18" customHeight="1">
      <c r="A3675" t="str">
        <f>"114196"</f>
        <v>114196</v>
      </c>
      <c r="B3675" t="str">
        <f>"Profile Spacer, IT037.003 ,20x20, L=20mm"</f>
        <v>Profile Spacer, IT037.003 ,20x20, L=20mm</v>
      </c>
      <c r="C3675" t="str">
        <f>"Active"</f>
        <v>Active</v>
      </c>
    </row>
    <row r="3676" spans="1:3" ht="18" customHeight="1">
      <c r="A3676" t="str">
        <f>"114197"</f>
        <v>114197</v>
      </c>
      <c r="B3676" t="str">
        <f>"Profile 5, 40x40, IT 370.05,L=1000mm"</f>
        <v>Profile 5, 40x40, IT 370.05,L=1000mm</v>
      </c>
      <c r="C3676" t="str">
        <f>"Active"</f>
        <v>Active</v>
      </c>
    </row>
    <row r="3677" spans="1:3" ht="18" customHeight="1">
      <c r="A3677" t="str">
        <f>"114198"</f>
        <v>114198</v>
      </c>
      <c r="B3677" t="str">
        <f>"Beam ITEM5, IT037.004 ,40x20,L=400mm"</f>
        <v>Beam ITEM5, IT037.004 ,40x20,L=400mm</v>
      </c>
      <c r="C3677" t="str">
        <f>"ECO-N2Buy"</f>
        <v>ECO-N2Buy</v>
      </c>
    </row>
    <row r="3678" spans="1:3" ht="18" customHeight="1">
      <c r="A3678" t="str">
        <f>"114199"</f>
        <v>114199</v>
      </c>
      <c r="B3678" t="str">
        <f>"Beam ITEM5, IT037.004 ,40x20,L=150mm"</f>
        <v>Beam ITEM5, IT037.004 ,40x20,L=150mm</v>
      </c>
      <c r="C3678" t="str">
        <f>"Not for sale"</f>
        <v>Not for sale</v>
      </c>
    </row>
    <row r="3679" spans="1:3" ht="18" customHeight="1">
      <c r="A3679" t="str">
        <f>"114201"</f>
        <v>114201</v>
      </c>
      <c r="B3679" t="str">
        <f>"Rod Vertical - Conveyer, D=60.3mm ,L=800mm"</f>
        <v>Rod Vertical - Conveyer, D=60.3mm ,L=800mm</v>
      </c>
      <c r="C3679" t="str">
        <f>"Active"</f>
        <v>Active</v>
      </c>
    </row>
    <row r="3680" spans="1:3" ht="18" customHeight="1">
      <c r="A3680" t="str">
        <f>"114201-10"</f>
        <v>114201-10</v>
      </c>
      <c r="B3680" t="str">
        <f>"Rod Vertical - Conveyer, D=60.3mm ,L=800mm"</f>
        <v>Rod Vertical - Conveyer, D=60.3mm ,L=800mm</v>
      </c>
      <c r="C3680" t="str">
        <f>"Not for sale"</f>
        <v>Not for sale</v>
      </c>
    </row>
    <row r="3681" spans="1:3" ht="18" customHeight="1">
      <c r="A3681" t="str">
        <f>"114202"</f>
        <v>114202</v>
      </c>
      <c r="B3681" t="str">
        <f>"Rod Horizontal - Conveyer, D=42mm ,L=290mm"</f>
        <v>Rod Horizontal - Conveyer, D=42mm ,L=290mm</v>
      </c>
      <c r="C3681" t="str">
        <f>"Active"</f>
        <v>Active</v>
      </c>
    </row>
    <row r="3682" spans="1:3" ht="18" customHeight="1">
      <c r="A3682" t="str">
        <f>"114202-10"</f>
        <v>114202-10</v>
      </c>
      <c r="B3682" t="str">
        <f>"Rod Horizontal - Conveyer, D=42mm ,L=290mm"</f>
        <v>Rod Horizontal - Conveyer, D=42mm ,L=290mm</v>
      </c>
      <c r="C3682" t="str">
        <f>"Not for sale"</f>
        <v>Not for sale</v>
      </c>
    </row>
    <row r="3683" spans="1:3" ht="18" customHeight="1">
      <c r="A3683" t="str">
        <f>"114204"</f>
        <v>114204</v>
      </c>
      <c r="B3683" t="str">
        <f>"Rod Horizontal - Conveyer, D=42mm ,L=990mm"</f>
        <v>Rod Horizontal - Conveyer, D=42mm ,L=990mm</v>
      </c>
      <c r="C3683" t="str">
        <f>"Active"</f>
        <v>Active</v>
      </c>
    </row>
    <row r="3684" spans="1:3" ht="18" customHeight="1">
      <c r="A3684" t="str">
        <f>"114204-10"</f>
        <v>114204-10</v>
      </c>
      <c r="B3684" t="str">
        <f>"Rod Horizontal - Conveyer, D=42mm ,L=990mm"</f>
        <v>Rod Horizontal - Conveyer, D=42mm ,L=990mm</v>
      </c>
      <c r="C3684" t="str">
        <f>"Not for sale"</f>
        <v>Not for sale</v>
      </c>
    </row>
    <row r="3685" spans="1:3" ht="18" customHeight="1">
      <c r="A3685" t="str">
        <f>"114205"</f>
        <v>114205</v>
      </c>
      <c r="B3685" t="str">
        <f>"Rod Horizontal - Conveyer, D=42mm ,L=1630mm"</f>
        <v>Rod Horizontal - Conveyer, D=42mm ,L=1630mm</v>
      </c>
      <c r="C3685" t="str">
        <f>"Active"</f>
        <v>Active</v>
      </c>
    </row>
    <row r="3686" spans="1:3" ht="18" customHeight="1">
      <c r="A3686" t="str">
        <f>"114205-10"</f>
        <v>114205-10</v>
      </c>
      <c r="B3686" t="str">
        <f>"Rod Horizontal - Conveyer, D=42mm ,L=1630mm"</f>
        <v>Rod Horizontal - Conveyer, D=42mm ,L=1630mm</v>
      </c>
      <c r="C3686" t="str">
        <f>"Not for sale"</f>
        <v>Not for sale</v>
      </c>
    </row>
    <row r="3687" spans="1:3" ht="18" customHeight="1">
      <c r="A3687" t="str">
        <f>"114206"</f>
        <v>114206</v>
      </c>
      <c r="B3687" t="str">
        <f>"Rod Horizontal  - Conveyor , 42 x 410 mm"</f>
        <v>Rod Horizontal  - Conveyor , 42 x 410 mm</v>
      </c>
      <c r="C3687" t="str">
        <f>"Active"</f>
        <v>Active</v>
      </c>
    </row>
    <row r="3688" spans="1:3" ht="18" customHeight="1">
      <c r="A3688" t="str">
        <f>"114207"</f>
        <v>114207</v>
      </c>
      <c r="B3688" t="str">
        <f>"Rod Horizontal  - Conveyor, 48 x 540 mm"</f>
        <v>Rod Horizontal  - Conveyor, 48 x 540 mm</v>
      </c>
      <c r="C3688" t="str">
        <f>"Active"</f>
        <v>Active</v>
      </c>
    </row>
    <row r="3689" spans="1:3" ht="18" customHeight="1">
      <c r="A3689" t="str">
        <f>"114208"</f>
        <v>114208</v>
      </c>
      <c r="B3689" t="str">
        <f>"Rod Horizontal - Conveyer, D=42mm, L=500mm"</f>
        <v>Rod Horizontal - Conveyer, D=42mm, L=500mm</v>
      </c>
      <c r="C3689" t="str">
        <f>"Active"</f>
        <v>Active</v>
      </c>
    </row>
    <row r="3690" spans="1:3" ht="18" customHeight="1">
      <c r="A3690" t="str">
        <f>"114208-10"</f>
        <v>114208-10</v>
      </c>
      <c r="B3690" t="str">
        <f>"Rod Horizontal - Conveyer, D=42mm, L=500mm"</f>
        <v>Rod Horizontal - Conveyer, D=42mm, L=500mm</v>
      </c>
      <c r="C3690" t="str">
        <f>"Not for sale"</f>
        <v>Not for sale</v>
      </c>
    </row>
    <row r="3691" spans="1:3" ht="18" customHeight="1">
      <c r="A3691" t="str">
        <f>"114209"</f>
        <v>114209</v>
      </c>
      <c r="B3691" t="str">
        <f>"Rod Horizontal - Conveyer, D=48mm, L=760mm"</f>
        <v>Rod Horizontal - Conveyer, D=48mm, L=760mm</v>
      </c>
      <c r="C3691" t="str">
        <f>"Active"</f>
        <v>Active</v>
      </c>
    </row>
    <row r="3692" spans="1:3" ht="18" customHeight="1">
      <c r="A3692" t="str">
        <f>"114209-10"</f>
        <v>114209-10</v>
      </c>
      <c r="B3692" t="str">
        <f>"Rod Horizontal - Conveyer, D=48mm, L=760mm"</f>
        <v>Rod Horizontal - Conveyer, D=48mm, L=760mm</v>
      </c>
      <c r="C3692" t="str">
        <f>"Not for sale"</f>
        <v>Not for sale</v>
      </c>
    </row>
    <row r="3693" spans="1:3" ht="18" customHeight="1">
      <c r="A3693" t="str">
        <f>"114210"</f>
        <v>114210</v>
      </c>
      <c r="B3693" t="str">
        <f>"Profile 40x40E, L=400mm"</f>
        <v>Profile 40x40E, L=400mm</v>
      </c>
      <c r="C3693" t="str">
        <f>"Active"</f>
        <v>Active</v>
      </c>
    </row>
    <row r="3694" spans="1:3" ht="18" customHeight="1">
      <c r="A3694" t="str">
        <f>"114211"</f>
        <v>114211</v>
      </c>
      <c r="B3694" t="str">
        <f>"FREE FOR USE"</f>
        <v>FREE FOR USE</v>
      </c>
      <c r="C3694" t="str">
        <f>"New"</f>
        <v>New</v>
      </c>
    </row>
    <row r="3695" spans="1:3" ht="18" customHeight="1">
      <c r="A3695" t="str">
        <f>"114305"</f>
        <v>114305</v>
      </c>
      <c r="B3695" t="str">
        <f>"Profiles Stand for industrial robots max 100kg"</f>
        <v>Profiles Stand for industrial robots max 100kg</v>
      </c>
      <c r="C3695" t="str">
        <f>"ECO-N2Buy"</f>
        <v>ECO-N2Buy</v>
      </c>
    </row>
    <row r="3696" spans="1:3" ht="18" customHeight="1">
      <c r="A3696" t="str">
        <f>"114306"</f>
        <v>114306</v>
      </c>
      <c r="B3696" t="str">
        <f>"Welding Booth Funnel,1200x1100,h=485, scobont"</f>
        <v>Welding Booth Funnel,1200x1100,h=485, scobont</v>
      </c>
      <c r="C3696" t="str">
        <f>"Active"</f>
        <v>Active</v>
      </c>
    </row>
    <row r="3697" spans="1:3" ht="18" customHeight="1">
      <c r="A3697" t="str">
        <f>"114307"</f>
        <v>114307</v>
      </c>
      <c r="B3697" t="str">
        <f>"Ball Screw unit LSB /HP3 1300mm"</f>
        <v>Ball Screw unit LSB /HP3 1300mm</v>
      </c>
      <c r="C3697" t="str">
        <f>"ECO-N2Buy"</f>
        <v>ECO-N2Buy</v>
      </c>
    </row>
    <row r="3698" spans="1:3" ht="18" customHeight="1">
      <c r="A3698" t="str">
        <f>"114308"</f>
        <v>114308</v>
      </c>
      <c r="B3698" t="str">
        <f>"Cover plastic Profile 8, IT00422.24 IS, 8x4mm"</f>
        <v>Cover plastic Profile 8, IT00422.24 IS, 8x4mm</v>
      </c>
      <c r="C3698" t="str">
        <f>"Active"</f>
        <v>Active</v>
      </c>
    </row>
    <row r="3699" spans="1:3" ht="18" customHeight="1">
      <c r="A3699" t="str">
        <f>"114309"</f>
        <v>114309</v>
      </c>
      <c r="B3699" t="str">
        <f>"Belt Drive unit LSB/HP3 3200-285+ROULV28+4-ROU28"</f>
        <v>Belt Drive unit LSB/HP3 3200-285+ROULV28+4-ROU28</v>
      </c>
      <c r="C3699" t="str">
        <f>"Active"</f>
        <v>Active</v>
      </c>
    </row>
    <row r="3700" spans="1:3" ht="18" customHeight="1">
      <c r="A3700" t="str">
        <f>"114310"</f>
        <v>114310</v>
      </c>
      <c r="B3700" t="str">
        <f>"Belt Drive Unit 5200-285+ROULV28+4-ROU28"</f>
        <v>Belt Drive Unit 5200-285+ROULV28+4-ROU28</v>
      </c>
      <c r="C3700" t="str">
        <f>"New"</f>
        <v>New</v>
      </c>
    </row>
    <row r="3701" spans="1:3" ht="18" customHeight="1">
      <c r="A3701" t="str">
        <f>"114312"</f>
        <v>114312</v>
      </c>
      <c r="B3701" t="str">
        <f>"Support Table Side, L900,h=650mm,ITEM8 80x40E"</f>
        <v>Support Table Side, L900,h=650mm,ITEM8 80x40E</v>
      </c>
      <c r="C3701" t="str">
        <f>"Active"</f>
        <v>Active</v>
      </c>
    </row>
    <row r="3702" spans="1:3" ht="18" customHeight="1">
      <c r="A3702" t="str">
        <f>"114313"</f>
        <v>114313</v>
      </c>
      <c r="B3702" t="str">
        <f>"Support Table, IT026.34 ,80x40, L=340mm"</f>
        <v>Support Table, IT026.34 ,80x40, L=340mm</v>
      </c>
      <c r="C3702" t="str">
        <f>"Active"</f>
        <v>Active</v>
      </c>
    </row>
    <row r="3703" spans="1:3" ht="18" customHeight="1">
      <c r="A3703" t="str">
        <f>"114314"</f>
        <v>114314</v>
      </c>
      <c r="B3703" t="str">
        <f>"Support Motor 1.2Kw Kit + 2 fetes, 7 Axis"</f>
        <v>Support Motor 1.2Kw Kit + 2 fetes, 7 Axis</v>
      </c>
      <c r="C3703" t="str">
        <f>"Active"</f>
        <v>Active</v>
      </c>
    </row>
    <row r="3704" spans="1:3" ht="18" customHeight="1">
      <c r="A3704" t="str">
        <f>"114315"</f>
        <v>114315</v>
      </c>
      <c r="B3704" t="str">
        <f>"Support For AutoAgronom"</f>
        <v>Support For AutoAgronom</v>
      </c>
      <c r="C3704" t="str">
        <f>"New"</f>
        <v>New</v>
      </c>
    </row>
    <row r="3705" spans="1:3" ht="18" customHeight="1">
      <c r="A3705" t="str">
        <f>"114316"</f>
        <v>114316</v>
      </c>
      <c r="B3705" t="str">
        <f>"Profile elevation, IT037.003,20x20,L=30mm"</f>
        <v>Profile elevation, IT037.003,20x20,L=30mm</v>
      </c>
      <c r="C3705" t="str">
        <f>"Active"</f>
        <v>Active</v>
      </c>
    </row>
    <row r="3706" spans="1:3" ht="18" customHeight="1">
      <c r="A3706" t="str">
        <f>"114317"</f>
        <v>114317</v>
      </c>
      <c r="B3706" t="str">
        <f>"RFID Stand profiles 20X20"</f>
        <v>RFID Stand profiles 20X20</v>
      </c>
      <c r="C3706" t="str">
        <f>"New"</f>
        <v>New</v>
      </c>
    </row>
    <row r="3707" spans="1:3" ht="18" customHeight="1">
      <c r="A3707" t="str">
        <f>"114318"</f>
        <v>114318</v>
      </c>
      <c r="B3707" t="str">
        <f>"Profile ITEM 416.65, 80x120, L=700mm"</f>
        <v>Profile ITEM 416.65, 80x120, L=700mm</v>
      </c>
      <c r="C3707" t="str">
        <f>"ECO-N2Buy"</f>
        <v>ECO-N2Buy</v>
      </c>
    </row>
    <row r="3708" spans="1:3" ht="18" customHeight="1">
      <c r="A3708" t="str">
        <f>"114319"</f>
        <v>114319</v>
      </c>
      <c r="B3708" t="str">
        <f>"Profile ITEM 26.34, 80x40, L=255mm"</f>
        <v>Profile ITEM 26.34, 80x40, L=255mm</v>
      </c>
      <c r="C3708" t="str">
        <f>"New"</f>
        <v>New</v>
      </c>
    </row>
    <row r="3709" spans="1:3" ht="18" customHeight="1">
      <c r="A3709" t="str">
        <f>"114320"</f>
        <v>114320</v>
      </c>
      <c r="B3709" t="str">
        <f>"Profile ITEM 0.0.026.33,40x40, L=1204mm"</f>
        <v>Profile ITEM 0.0.026.33,40x40, L=1204mm</v>
      </c>
      <c r="C3709" t="str">
        <f>"New"</f>
        <v>New</v>
      </c>
    </row>
    <row r="3710" spans="1:3" ht="18" customHeight="1">
      <c r="A3710" t="str">
        <f>"114321"</f>
        <v>114321</v>
      </c>
      <c r="B3710" t="str">
        <f>"Profile ITEM 0.0.026.33,40x40, L=696mm"</f>
        <v>Profile ITEM 0.0.026.33,40x40, L=696mm</v>
      </c>
      <c r="C3710" t="str">
        <f>"New"</f>
        <v>New</v>
      </c>
    </row>
    <row r="3711" spans="1:3" ht="18" customHeight="1">
      <c r="A3711" t="str">
        <f>"114322"</f>
        <v>114322</v>
      </c>
      <c r="B3711" t="str">
        <f>"Profile ITEM 0.0.026.33,40x40, L=647mm"</f>
        <v>Profile ITEM 0.0.026.33,40x40, L=647mm</v>
      </c>
      <c r="C3711" t="str">
        <f>"New"</f>
        <v>New</v>
      </c>
    </row>
    <row r="3712" spans="1:3" ht="18" customHeight="1">
      <c r="A3712" t="str">
        <f>"114405"</f>
        <v>114405</v>
      </c>
      <c r="B3712" t="str">
        <f>"Base for Hydraulic Power system"</f>
        <v>Base for Hydraulic Power system</v>
      </c>
      <c r="C3712" t="str">
        <f t="shared" ref="C3712:C3724" si="162">"Active"</f>
        <v>Active</v>
      </c>
    </row>
    <row r="3713" spans="1:3" ht="18" customHeight="1">
      <c r="A3713" t="str">
        <f>"114406"</f>
        <v>114406</v>
      </c>
      <c r="B3713" t="str">
        <f>"Covet Net for Oil Collector Tray"</f>
        <v>Covet Net for Oil Collector Tray</v>
      </c>
      <c r="C3713" t="str">
        <f t="shared" si="162"/>
        <v>Active</v>
      </c>
    </row>
    <row r="3714" spans="1:3" ht="18" customHeight="1">
      <c r="A3714" t="str">
        <f>"114408"</f>
        <v>114408</v>
      </c>
      <c r="B3714" t="str">
        <f>"Oil Tray, Hydraulic"</f>
        <v>Oil Tray, Hydraulic</v>
      </c>
      <c r="C3714" t="str">
        <f t="shared" si="162"/>
        <v>Active</v>
      </c>
    </row>
    <row r="3715" spans="1:3" ht="18" customHeight="1">
      <c r="A3715" t="str">
        <f>"115101"</f>
        <v>115101</v>
      </c>
      <c r="B3715" t="str">
        <f>"Adaptor For Tool changer - ER14,L=52"</f>
        <v>Adaptor For Tool changer - ER14,L=52</v>
      </c>
      <c r="C3715" t="str">
        <f t="shared" si="162"/>
        <v>Active</v>
      </c>
    </row>
    <row r="3716" spans="1:3" ht="18" customHeight="1">
      <c r="A3716" t="str">
        <f>"115102"</f>
        <v>115102</v>
      </c>
      <c r="B3716" t="str">
        <f>"Prism M12x1  Feeder Square part"</f>
        <v>Prism M12x1  Feeder Square part</v>
      </c>
      <c r="C3716" t="str">
        <f t="shared" si="162"/>
        <v>Active</v>
      </c>
    </row>
    <row r="3717" spans="1:3" ht="18" customHeight="1">
      <c r="A3717" t="str">
        <f>"115108"</f>
        <v>115108</v>
      </c>
      <c r="B3717" t="str">
        <f>"Right Holder for Welding Gun ER9/MH5"</f>
        <v>Right Holder for Welding Gun ER9/MH5</v>
      </c>
      <c r="C3717" t="str">
        <f t="shared" si="162"/>
        <v>Active</v>
      </c>
    </row>
    <row r="3718" spans="1:3" ht="18" customHeight="1">
      <c r="A3718" t="str">
        <f>"115109"</f>
        <v>115109</v>
      </c>
      <c r="B3718" t="str">
        <f>"Left Holder for Welding Gun ER9/MH5"</f>
        <v>Left Holder for Welding Gun ER9/MH5</v>
      </c>
      <c r="C3718" t="str">
        <f t="shared" si="162"/>
        <v>Active</v>
      </c>
    </row>
    <row r="3719" spans="1:3" ht="18" customHeight="1">
      <c r="A3719" t="str">
        <f>"115110"</f>
        <v>115110</v>
      </c>
      <c r="B3719" t="str">
        <f>"Direct for Welding Gun ER9/HP3"</f>
        <v>Direct for Welding Gun ER9/HP3</v>
      </c>
      <c r="C3719" t="str">
        <f t="shared" si="162"/>
        <v>Active</v>
      </c>
    </row>
    <row r="3720" spans="1:3" ht="18" customHeight="1">
      <c r="A3720" t="str">
        <f>"115111"</f>
        <v>115111</v>
      </c>
      <c r="B3720" t="str">
        <f>"Adaptor Gripper /Welding Gun Support ER9/HP3"</f>
        <v>Adaptor Gripper /Welding Gun Support ER9/HP3</v>
      </c>
      <c r="C3720" t="str">
        <f t="shared" si="162"/>
        <v>Active</v>
      </c>
    </row>
    <row r="3721" spans="1:3" ht="18" customHeight="1">
      <c r="A3721" t="str">
        <f>"115112"</f>
        <v>115112</v>
      </c>
      <c r="B3721" t="str">
        <f>"Adaptor Gripper finger  SV3,ER9 pneum. tool set"</f>
        <v>Adaptor Gripper finger  SV3,ER9 pneum. tool set</v>
      </c>
      <c r="C3721" t="str">
        <f t="shared" si="162"/>
        <v>Active</v>
      </c>
    </row>
    <row r="3722" spans="1:3" ht="18" customHeight="1">
      <c r="A3722" t="str">
        <f>"115113"</f>
        <v>115113</v>
      </c>
      <c r="B3722" t="str">
        <f>"Holder Templete Welding Booth"</f>
        <v>Holder Templete Welding Booth</v>
      </c>
      <c r="C3722" t="str">
        <f t="shared" si="162"/>
        <v>Active</v>
      </c>
    </row>
    <row r="3723" spans="1:3" ht="18" customHeight="1">
      <c r="A3723" t="str">
        <f>"115114"</f>
        <v>115114</v>
      </c>
      <c r="B3723" t="str">
        <f>"Adaptor Templete Welding Booth"</f>
        <v>Adaptor Templete Welding Booth</v>
      </c>
      <c r="C3723" t="str">
        <f t="shared" si="162"/>
        <v>Active</v>
      </c>
    </row>
    <row r="3724" spans="1:3" ht="18" customHeight="1">
      <c r="A3724" t="str">
        <f>"115115"</f>
        <v>115115</v>
      </c>
      <c r="B3724" t="str">
        <f>"Base for Stand ER-400"</f>
        <v>Base for Stand ER-400</v>
      </c>
      <c r="C3724" t="str">
        <f t="shared" si="162"/>
        <v>Active</v>
      </c>
    </row>
    <row r="3725" spans="1:3" ht="18" customHeight="1">
      <c r="A3725" t="str">
        <f>"115116"</f>
        <v>115116</v>
      </c>
      <c r="B3725" t="str">
        <f>"Support Weight for Stand ER-400"</f>
        <v>Support Weight for Stand ER-400</v>
      </c>
      <c r="C3725" t="str">
        <f>"ECO-N2Buy"</f>
        <v>ECO-N2Buy</v>
      </c>
    </row>
    <row r="3726" spans="1:3" ht="18" customHeight="1">
      <c r="A3726" t="str">
        <f>"115117"</f>
        <v>115117</v>
      </c>
      <c r="B3726" t="str">
        <f>"Support plate USBadapter ’… 24/12/08"</f>
        <v>Support plate USBadapter ’… 24/12/08</v>
      </c>
      <c r="C3726" t="str">
        <f>"Active"</f>
        <v>Active</v>
      </c>
    </row>
    <row r="3727" spans="1:3" ht="18" customHeight="1">
      <c r="A3727" t="str">
        <f>"115118"</f>
        <v>115118</v>
      </c>
      <c r="B3727" t="str">
        <f>"Adaptor Round Pneu.Gripper to ER9"</f>
        <v>Adaptor Round Pneu.Gripper to ER9</v>
      </c>
      <c r="C3727" t="str">
        <f>"Active"</f>
        <v>Active</v>
      </c>
    </row>
    <row r="3728" spans="1:3" ht="18" customHeight="1">
      <c r="A3728" t="str">
        <f>"115119"</f>
        <v>115119</v>
      </c>
      <c r="B3728" t="str">
        <f>"Finger 56mm Pneum. Gripper stroke 64"</f>
        <v>Finger 56mm Pneum. Gripper stroke 64</v>
      </c>
      <c r="C3728" t="str">
        <f>"Active"</f>
        <v>Active</v>
      </c>
    </row>
    <row r="3729" spans="1:3" ht="18" customHeight="1">
      <c r="A3729" t="str">
        <f>"115120"</f>
        <v>115120</v>
      </c>
      <c r="B3729" t="str">
        <f>"Support for Logitech Camera Pro9000"</f>
        <v>Support for Logitech Camera Pro9000</v>
      </c>
      <c r="C3729" t="str">
        <f>"Phase Out"</f>
        <v>Phase Out</v>
      </c>
    </row>
    <row r="3730" spans="1:3" ht="18" customHeight="1">
      <c r="A3730" t="str">
        <f>"115129"</f>
        <v>115129</v>
      </c>
      <c r="B3730" t="str">
        <f>"Tray For Raw Materials, Pneu Flip"</f>
        <v>Tray For Raw Materials, Pneu Flip</v>
      </c>
      <c r="C3730" t="str">
        <f>"Active"</f>
        <v>Active</v>
      </c>
    </row>
    <row r="3731" spans="1:3" ht="18" customHeight="1">
      <c r="A3731" t="str">
        <f>"115130"</f>
        <v>115130</v>
      </c>
      <c r="B3731" t="str">
        <f>"Base For Elevator, Pneu Flip"</f>
        <v>Base For Elevator, Pneu Flip</v>
      </c>
      <c r="C3731" t="str">
        <f>"Active"</f>
        <v>Active</v>
      </c>
    </row>
    <row r="3732" spans="1:3" ht="18" customHeight="1">
      <c r="A3732" t="str">
        <f>"115131"</f>
        <v>115131</v>
      </c>
      <c r="B3732" t="str">
        <f>"Adaptor for Camera C920 Stand"</f>
        <v>Adaptor for Camera C920 Stand</v>
      </c>
      <c r="C3732" t="str">
        <f>"Active"</f>
        <v>Active</v>
      </c>
    </row>
    <row r="3733" spans="1:3" ht="18" customHeight="1">
      <c r="A3733" t="str">
        <f>"115133"</f>
        <v>115133</v>
      </c>
      <c r="B3733" t="str">
        <f>"Support for Camera Camera Stand, new camera"</f>
        <v>Support for Camera Camera Stand, new camera</v>
      </c>
      <c r="C3733" t="str">
        <f>"Active"</f>
        <v>Active</v>
      </c>
    </row>
    <row r="3734" spans="1:3" ht="18" customHeight="1">
      <c r="A3734" t="str">
        <f>"115134"</f>
        <v>115134</v>
      </c>
      <c r="B3734" t="str">
        <f>"Support for Camera Welding booth!NOT IN USE!"</f>
        <v>Support for Camera Welding booth!NOT IN USE!</v>
      </c>
      <c r="C3734" t="str">
        <f>"Active"</f>
        <v>Active</v>
      </c>
    </row>
    <row r="3735" spans="1:3" ht="18" customHeight="1">
      <c r="A3735" t="str">
        <f>"115135"</f>
        <v>115135</v>
      </c>
      <c r="B3735" t="str">
        <f>"Foot Clamps for CNC ExpertMill"</f>
        <v>Foot Clamps for CNC ExpertMill</v>
      </c>
      <c r="C3735" t="str">
        <f>"ECO-N2Buy"</f>
        <v>ECO-N2Buy</v>
      </c>
    </row>
    <row r="3736" spans="1:3" ht="18" customHeight="1">
      <c r="A3736" t="str">
        <f>"115137"</f>
        <v>115137</v>
      </c>
      <c r="B3736" t="str">
        <f>"Caliper  Support Automatic,420202"</f>
        <v>Caliper  Support Automatic,420202</v>
      </c>
      <c r="C3736" t="str">
        <f t="shared" ref="C3736:C3741" si="163">"Active"</f>
        <v>Active</v>
      </c>
    </row>
    <row r="3737" spans="1:3" ht="18" customHeight="1">
      <c r="A3737" t="str">
        <f>"115138"</f>
        <v>115138</v>
      </c>
      <c r="B3737" t="str">
        <f>"Adaptor Caliper Support"</f>
        <v>Adaptor Caliper Support</v>
      </c>
      <c r="C3737" t="str">
        <f t="shared" si="163"/>
        <v>Active</v>
      </c>
    </row>
    <row r="3738" spans="1:3" ht="18" customHeight="1">
      <c r="A3738" t="str">
        <f>"115139"</f>
        <v>115139</v>
      </c>
      <c r="B3738" t="str">
        <f>"Base for Caliper, 180x100x8mm"</f>
        <v>Base for Caliper, 180x100x8mm</v>
      </c>
      <c r="C3738" t="str">
        <f t="shared" si="163"/>
        <v>Active</v>
      </c>
    </row>
    <row r="3739" spans="1:3" ht="18" customHeight="1">
      <c r="A3739" t="str">
        <f>"115140"</f>
        <v>115140</v>
      </c>
      <c r="B3739" t="str">
        <f>"Adaptor for Prism, Caliper"</f>
        <v>Adaptor for Prism, Caliper</v>
      </c>
      <c r="C3739" t="str">
        <f t="shared" si="163"/>
        <v>Active</v>
      </c>
    </row>
    <row r="3740" spans="1:3" ht="18" customHeight="1">
      <c r="A3740" t="str">
        <f>"115141"</f>
        <v>115141</v>
      </c>
      <c r="B3740" t="str">
        <f>"Weight Equilibration 11.5kg, ER9"</f>
        <v>Weight Equilibration 11.5kg, ER9</v>
      </c>
      <c r="C3740" t="str">
        <f t="shared" si="163"/>
        <v>Active</v>
      </c>
    </row>
    <row r="3741" spans="1:3" ht="18" customHeight="1">
      <c r="A3741" t="str">
        <f>"115145"</f>
        <v>115145</v>
      </c>
      <c r="B3741" t="str">
        <f>"Spacer round foot - CNC to CIM"</f>
        <v>Spacer round foot - CNC to CIM</v>
      </c>
      <c r="C3741" t="str">
        <f t="shared" si="163"/>
        <v>Active</v>
      </c>
    </row>
    <row r="3742" spans="1:3" ht="18" customHeight="1">
      <c r="A3742" t="str">
        <f>"115146"</f>
        <v>115146</v>
      </c>
      <c r="B3742" t="str">
        <f>"Stopper  Screw XtraDrive LSB/HP3"</f>
        <v>Stopper  Screw XtraDrive LSB/HP3</v>
      </c>
      <c r="C3742" t="str">
        <f>"Not for purc"</f>
        <v>Not for purc</v>
      </c>
    </row>
    <row r="3743" spans="1:3" ht="18" customHeight="1">
      <c r="A3743" t="str">
        <f>"115147"</f>
        <v>115147</v>
      </c>
      <c r="B3743" t="str">
        <f>"Support for LSB for HP3"</f>
        <v>Support for LSB for HP3</v>
      </c>
      <c r="C3743" t="str">
        <f t="shared" ref="C3743:C3749" si="164">"Active"</f>
        <v>Active</v>
      </c>
    </row>
    <row r="3744" spans="1:3" ht="18" customHeight="1">
      <c r="A3744" t="str">
        <f>"115148"</f>
        <v>115148</v>
      </c>
      <c r="B3744" t="str">
        <f>"Support for"</f>
        <v>Support for</v>
      </c>
      <c r="C3744" t="str">
        <f t="shared" si="164"/>
        <v>Active</v>
      </c>
    </row>
    <row r="3745" spans="1:3" ht="18" customHeight="1">
      <c r="A3745" t="str">
        <f>"115151"</f>
        <v>115151</v>
      </c>
      <c r="B3745" t="str">
        <f>"Adaptor Pneu Gripper&lt;--&gt;HP6"</f>
        <v>Adaptor Pneu Gripper&lt;--&gt;HP6</v>
      </c>
      <c r="C3745" t="str">
        <f t="shared" si="164"/>
        <v>Active</v>
      </c>
    </row>
    <row r="3746" spans="1:3" ht="18" customHeight="1">
      <c r="A3746" t="str">
        <f>"115152"</f>
        <v>115152</v>
      </c>
      <c r="B3746" t="str">
        <f>"Clamp for Tube Flex 32mm ER14-Pro, Like 110257"</f>
        <v>Clamp for Tube Flex 32mm ER14-Pro, Like 110257</v>
      </c>
      <c r="C3746" t="str">
        <f t="shared" si="164"/>
        <v>Active</v>
      </c>
    </row>
    <row r="3747" spans="1:3" ht="18" customHeight="1">
      <c r="A3747" t="str">
        <f>"115153"</f>
        <v>115153</v>
      </c>
      <c r="B3747" t="str">
        <f>"Support for Tube Flex 1.25""  ER14-Pro"</f>
        <v>Support for Tube Flex 1.25"  ER14-Pro</v>
      </c>
      <c r="C3747" t="str">
        <f t="shared" si="164"/>
        <v>Active</v>
      </c>
    </row>
    <row r="3748" spans="1:3" ht="18" customHeight="1">
      <c r="A3748" t="str">
        <f>"115154"</f>
        <v>115154</v>
      </c>
      <c r="B3748" t="str">
        <f>"Support for Warning Lamp CIM Conveyor"</f>
        <v>Support for Warning Lamp CIM Conveyor</v>
      </c>
      <c r="C3748" t="str">
        <f t="shared" si="164"/>
        <v>Active</v>
      </c>
    </row>
    <row r="3749" spans="1:3" ht="18" customHeight="1">
      <c r="A3749" t="str">
        <f>"115155"</f>
        <v>115155</v>
      </c>
      <c r="B3749" t="str">
        <f>"Spaser for Gripper MH5"</f>
        <v>Spaser for Gripper MH5</v>
      </c>
      <c r="C3749" t="str">
        <f t="shared" si="164"/>
        <v>Active</v>
      </c>
    </row>
    <row r="3750" spans="1:3" ht="18" customHeight="1">
      <c r="A3750" t="str">
        <f>"115156"</f>
        <v>115156</v>
      </c>
      <c r="B3750" t="str">
        <f>"Adaptor for Gripper on Robot MH12"</f>
        <v>Adaptor for Gripper on Robot MH12</v>
      </c>
      <c r="C3750" t="str">
        <f>"New"</f>
        <v>New</v>
      </c>
    </row>
    <row r="3751" spans="1:3" ht="18" customHeight="1">
      <c r="A3751" t="str">
        <f>"115157"</f>
        <v>115157</v>
      </c>
      <c r="B3751" t="str">
        <f>"Pin for Welding Template D=9.5 mm"</f>
        <v>Pin for Welding Template D=9.5 mm</v>
      </c>
      <c r="C3751" t="str">
        <f>"Active"</f>
        <v>Active</v>
      </c>
    </row>
    <row r="3752" spans="1:3" ht="18" customHeight="1">
      <c r="A3752" t="str">
        <f>"115158"</f>
        <v>115158</v>
      </c>
      <c r="B3752" t="str">
        <f>"Profile Slotted Machining 160x16, L=1200mm"</f>
        <v>Profile Slotted Machining 160x16, L=1200mm</v>
      </c>
      <c r="C3752" t="str">
        <f>"New"</f>
        <v>New</v>
      </c>
    </row>
    <row r="3753" spans="1:3" ht="18" customHeight="1">
      <c r="A3753" t="str">
        <f>"115158-10"</f>
        <v>115158-10</v>
      </c>
      <c r="B3753" t="str">
        <f>"Extrusion AL Profile Slotted 160x16, L=1210mm"</f>
        <v>Extrusion AL Profile Slotted 160x16, L=1210mm</v>
      </c>
      <c r="C3753" t="str">
        <f>"Active"</f>
        <v>Active</v>
      </c>
    </row>
    <row r="3754" spans="1:3" ht="18" customHeight="1">
      <c r="A3754" t="str">
        <f>"115159"</f>
        <v>115159</v>
      </c>
      <c r="B3754" t="str">
        <f>"Profile Slotted Macining 60x16, L=800mm"</f>
        <v>Profile Slotted Macining 60x16, L=800mm</v>
      </c>
      <c r="C3754" t="str">
        <f>"New"</f>
        <v>New</v>
      </c>
    </row>
    <row r="3755" spans="1:3" ht="18" customHeight="1">
      <c r="A3755" t="str">
        <f>"115159-10"</f>
        <v>115159-10</v>
      </c>
      <c r="B3755" t="str">
        <f>"Extrusion AL Profile Slotted 160x16, L=810mm"</f>
        <v>Extrusion AL Profile Slotted 160x16, L=810mm</v>
      </c>
      <c r="C3755" t="str">
        <f>"Active"</f>
        <v>Active</v>
      </c>
    </row>
    <row r="3756" spans="1:3" ht="18" customHeight="1">
      <c r="A3756" t="str">
        <f>"115160"</f>
        <v>115160</v>
      </c>
      <c r="B3756" t="str">
        <f>"Plate, Fix Adapter"</f>
        <v>Plate, Fix Adapter</v>
      </c>
      <c r="C3756" t="str">
        <f>"Active"</f>
        <v>Active</v>
      </c>
    </row>
    <row r="3757" spans="1:3" ht="18" customHeight="1">
      <c r="A3757" t="str">
        <f>"115161"</f>
        <v>115161</v>
      </c>
      <c r="B3757" t="str">
        <f>"Clamp, Fix Adapter"</f>
        <v>Clamp, Fix Adapter</v>
      </c>
      <c r="C3757" t="str">
        <f>"Active"</f>
        <v>Active</v>
      </c>
    </row>
    <row r="3758" spans="1:3" ht="18" customHeight="1">
      <c r="A3758" t="str">
        <f>"12-3001-9000"</f>
        <v>12-3001-9000</v>
      </c>
      <c r="B3758" t="str">
        <f>"LM_Content SA Vir - Automat Welding With ER4U"</f>
        <v>LM_Content SA Vir - Automat Welding With ER4U</v>
      </c>
      <c r="C3758" t="str">
        <f>"Not for purc"</f>
        <v>Not for purc</v>
      </c>
    </row>
    <row r="3759" spans="1:3" ht="18" customHeight="1">
      <c r="A3759" t="str">
        <f>"12-3012-9000"</f>
        <v>12-3012-9000</v>
      </c>
      <c r="B3759" t="str">
        <f>"SA3.3 Content, Virtual, CNC Turning w/PLT"</f>
        <v>SA3.3 Content, Virtual, CNC Turning w/PLT</v>
      </c>
      <c r="C3759" t="str">
        <f>"Active"</f>
        <v>Active</v>
      </c>
    </row>
    <row r="3760" spans="1:3" ht="18" customHeight="1">
      <c r="A3760" t="str">
        <f>"12-3015-9000"</f>
        <v>12-3015-9000</v>
      </c>
      <c r="B3760" t="str">
        <f>"LM_Content SA Vir -E- CIM 1"</f>
        <v>LM_Content SA Vir -E- CIM 1</v>
      </c>
      <c r="C3760" t="str">
        <f>"Active"</f>
        <v>Active</v>
      </c>
    </row>
    <row r="3761" spans="1:3" ht="18" customHeight="1">
      <c r="A3761" t="str">
        <f>"12-3016-9000"</f>
        <v>12-3016-9000</v>
      </c>
      <c r="B3761" t="str">
        <f>"LM_Content SA Vir -E- CIM 2"</f>
        <v>LM_Content SA Vir -E- CIM 2</v>
      </c>
      <c r="C3761" t="str">
        <f>"Active"</f>
        <v>Active</v>
      </c>
    </row>
    <row r="3762" spans="1:3" ht="18" customHeight="1">
      <c r="A3762" t="str">
        <f>"12-3022-9000"</f>
        <v>12-3022-9000</v>
      </c>
      <c r="B3762" t="str">
        <f>"LM_Content SA Vir.- Flexible Manufacture System"</f>
        <v>LM_Content SA Vir.- Flexible Manufacture System</v>
      </c>
      <c r="C3762" t="str">
        <f>"Not for purc"</f>
        <v>Not for purc</v>
      </c>
    </row>
    <row r="3763" spans="1:3" ht="18" customHeight="1">
      <c r="A3763" t="str">
        <f>"12-3027-0000"</f>
        <v>12-3027-0000</v>
      </c>
      <c r="B3763" t="str">
        <f>"LM3.3 Content,Virtual,Vision &amp; Image Processing"</f>
        <v>LM3.3 Content,Virtual,Vision &amp; Image Processing</v>
      </c>
      <c r="C3763" t="str">
        <f>"Active"</f>
        <v>Active</v>
      </c>
    </row>
    <row r="3764" spans="1:3" ht="18" customHeight="1">
      <c r="A3764" t="str">
        <f>"12-3046-9000"</f>
        <v>12-3046-9000</v>
      </c>
      <c r="B3764" t="str">
        <f>"LM_Content SA Vir.- Fundamentals of Robotic ER4U"</f>
        <v>LM_Content SA Vir.- Fundamentals of Robotic ER4U</v>
      </c>
      <c r="C3764" t="str">
        <f>"Not for purc"</f>
        <v>Not for purc</v>
      </c>
    </row>
    <row r="3765" spans="1:3" ht="18" customHeight="1">
      <c r="A3765" t="str">
        <f>"12-3047-9000"</f>
        <v>12-3047-9000</v>
      </c>
      <c r="B3765" t="str">
        <f>"LM_Content SA Vir - Fundamental Robotics ER9PRO"</f>
        <v>LM_Content SA Vir - Fundamental Robotics ER9PRO</v>
      </c>
      <c r="C3765" t="str">
        <f>"Active"</f>
        <v>Active</v>
      </c>
    </row>
    <row r="3766" spans="1:3" ht="18" customHeight="1">
      <c r="A3766" t="str">
        <f>"12-3048-9000"</f>
        <v>12-3048-9000</v>
      </c>
      <c r="B3766" t="str">
        <f>"LM_Content SA Vir.Advanced Robotic program. ER4U"</f>
        <v>LM_Content SA Vir.Advanced Robotic program. ER4U</v>
      </c>
      <c r="C3766" t="str">
        <f>"Not for purc"</f>
        <v>Not for purc</v>
      </c>
    </row>
    <row r="3767" spans="1:3" ht="18" customHeight="1">
      <c r="A3767" t="str">
        <f>"12-3049-9000"</f>
        <v>12-3049-9000</v>
      </c>
      <c r="B3767" t="str">
        <f>"LM_Content SA Vir - Adv. Robotic Prog ER9PRO"</f>
        <v>LM_Content SA Vir - Adv. Robotic Prog ER9PRO</v>
      </c>
      <c r="C3767" t="str">
        <f>"Active"</f>
        <v>Active</v>
      </c>
    </row>
    <row r="3768" spans="1:3" ht="18" customHeight="1">
      <c r="A3768" t="str">
        <f>"12-3052-9000"</f>
        <v>12-3052-9000</v>
      </c>
      <c r="B3768" t="str">
        <f>"LM_Content SA Vir Introd to Construction Tech"</f>
        <v>LM_Content SA Vir Introd to Construction Tech</v>
      </c>
      <c r="C3768" t="str">
        <f t="shared" ref="C3768:C3776" si="165">"Not for purc"</f>
        <v>Not for purc</v>
      </c>
    </row>
    <row r="3769" spans="1:3" ht="18" customHeight="1">
      <c r="A3769" t="str">
        <f>"12-3053-9000"</f>
        <v>12-3053-9000</v>
      </c>
      <c r="B3769" t="str">
        <f>"LM_Content SA Vir.-Construction Tech-Bridge Eng."</f>
        <v>LM_Content SA Vir.-Construction Tech-Bridge Eng.</v>
      </c>
      <c r="C3769" t="str">
        <f t="shared" si="165"/>
        <v>Not for purc</v>
      </c>
    </row>
    <row r="3770" spans="1:3" ht="18" customHeight="1">
      <c r="A3770" t="str">
        <f>"12-3054-9000"</f>
        <v>12-3054-9000</v>
      </c>
      <c r="B3770" t="str">
        <f>"LM_Content SA Vir.-Constructn Tech: Fluids &amp;Hydr"</f>
        <v>LM_Content SA Vir.-Constructn Tech: Fluids &amp;Hydr</v>
      </c>
      <c r="C3770" t="str">
        <f t="shared" si="165"/>
        <v>Not for purc</v>
      </c>
    </row>
    <row r="3771" spans="1:3" ht="18" customHeight="1">
      <c r="A3771" t="str">
        <f>"12-3055-9000"</f>
        <v>12-3055-9000</v>
      </c>
      <c r="B3771" t="str">
        <f>"LM_Content SA Vir.Introd.To Highway Enginrng"</f>
        <v>LM_Content SA Vir.Introd.To Highway Enginrng</v>
      </c>
      <c r="C3771" t="str">
        <f t="shared" si="165"/>
        <v>Not for purc</v>
      </c>
    </row>
    <row r="3772" spans="1:3" ht="18" customHeight="1">
      <c r="A3772" t="str">
        <f>"12-3056-9000"</f>
        <v>12-3056-9000</v>
      </c>
      <c r="B3772" t="str">
        <f>"LM_Content SA Vir- Introd. To Transport. Engi."</f>
        <v>LM_Content SA Vir- Introd. To Transport. Engi.</v>
      </c>
      <c r="C3772" t="str">
        <f t="shared" si="165"/>
        <v>Not for purc</v>
      </c>
    </row>
    <row r="3773" spans="1:3" ht="18" customHeight="1">
      <c r="A3773" t="str">
        <f>"12-3057-9000"</f>
        <v>12-3057-9000</v>
      </c>
      <c r="B3773" t="str">
        <f>"LM_Content SA Vir Introd To Environmental Engin."</f>
        <v>LM_Content SA Vir Introd To Environmental Engin.</v>
      </c>
      <c r="C3773" t="str">
        <f t="shared" si="165"/>
        <v>Not for purc</v>
      </c>
    </row>
    <row r="3774" spans="1:3" ht="18" customHeight="1">
      <c r="A3774" t="str">
        <f>"12-3058-9000"</f>
        <v>12-3058-9000</v>
      </c>
      <c r="B3774" t="str">
        <f>"LM_Content SA Vir.-Introd. WasteWater Managemnt"</f>
        <v>LM_Content SA Vir.-Introd. WasteWater Managemnt</v>
      </c>
      <c r="C3774" t="str">
        <f t="shared" si="165"/>
        <v>Not for purc</v>
      </c>
    </row>
    <row r="3775" spans="1:3" ht="18" customHeight="1">
      <c r="A3775" t="str">
        <f>"12-3059-9000"</f>
        <v>12-3059-9000</v>
      </c>
      <c r="B3775" t="str">
        <f>"LM_Content SA Vir Introd To Water Supply Eng."</f>
        <v>LM_Content SA Vir Introd To Water Supply Eng.</v>
      </c>
      <c r="C3775" t="str">
        <f t="shared" si="165"/>
        <v>Not for purc</v>
      </c>
    </row>
    <row r="3776" spans="1:3" ht="18" customHeight="1">
      <c r="A3776" t="str">
        <f>"12-3060-9000"</f>
        <v>12-3060-9000</v>
      </c>
      <c r="B3776" t="str">
        <f>"LM_Content SA Vir.- Introd to Enviro Pollution"</f>
        <v>LM_Content SA Vir.- Introd to Enviro Pollution</v>
      </c>
      <c r="C3776" t="str">
        <f t="shared" si="165"/>
        <v>Not for purc</v>
      </c>
    </row>
    <row r="3777" spans="1:3" ht="18" customHeight="1">
      <c r="A3777" t="str">
        <f>"12-3090-0000"</f>
        <v>12-3090-0000</v>
      </c>
      <c r="B3777" t="str">
        <f>"LM3.3 Content, Virtual, CNC Milling w/EXM"</f>
        <v>LM3.3 Content, Virtual, CNC Milling w/EXM</v>
      </c>
      <c r="C3777" t="str">
        <f t="shared" ref="C3777:C3783" si="166">"Active"</f>
        <v>Active</v>
      </c>
    </row>
    <row r="3778" spans="1:3" ht="18" customHeight="1">
      <c r="A3778" t="str">
        <f>"12-3090-9000"</f>
        <v>12-3090-9000</v>
      </c>
      <c r="B3778" t="str">
        <f>"SA3.3 Content, Virtual, CNC Milling w/EXM"</f>
        <v>SA3.3 Content, Virtual, CNC Milling w/EXM</v>
      </c>
      <c r="C3778" t="str">
        <f t="shared" si="166"/>
        <v>Active</v>
      </c>
    </row>
    <row r="3779" spans="1:3" ht="18" customHeight="1">
      <c r="A3779" t="str">
        <f>"12-3095-9000"</f>
        <v>12-3095-9000</v>
      </c>
      <c r="B3779" t="str">
        <f>"SA3.3 Content, Virtual, Intro to Engineering"</f>
        <v>SA3.3 Content, Virtual, Intro to Engineering</v>
      </c>
      <c r="C3779" t="str">
        <f t="shared" si="166"/>
        <v>Active</v>
      </c>
    </row>
    <row r="3780" spans="1:3" ht="18" customHeight="1">
      <c r="A3780" t="str">
        <f>"12-3101-9000"</f>
        <v>12-3101-9000</v>
      </c>
      <c r="B3780" t="str">
        <f>"LM_Content SA Vir- Introd to Greenhous Technolgy"</f>
        <v>LM_Content SA Vir- Introd to Greenhous Technolgy</v>
      </c>
      <c r="C3780" t="str">
        <f t="shared" si="166"/>
        <v>Active</v>
      </c>
    </row>
    <row r="3781" spans="1:3" ht="18" customHeight="1">
      <c r="A3781" t="str">
        <f>"12-3102-9000"</f>
        <v>12-3102-9000</v>
      </c>
      <c r="B3781" t="str">
        <f>"LM_Content SA Vir -E- Soil and Agriculture"</f>
        <v>LM_Content SA Vir -E- Soil and Agriculture</v>
      </c>
      <c r="C3781" t="str">
        <f t="shared" si="166"/>
        <v>Active</v>
      </c>
    </row>
    <row r="3782" spans="1:3" ht="18" customHeight="1">
      <c r="A3782" t="str">
        <f>"12-3103-9000"</f>
        <v>12-3103-9000</v>
      </c>
      <c r="B3782" t="str">
        <f>"LM_Content SA Vir.- Principals of Irrigation"</f>
        <v>LM_Content SA Vir.- Principals of Irrigation</v>
      </c>
      <c r="C3782" t="str">
        <f t="shared" si="166"/>
        <v>Active</v>
      </c>
    </row>
    <row r="3783" spans="1:3" ht="18" customHeight="1">
      <c r="A3783" t="str">
        <f>"12-3104-9000"</f>
        <v>12-3104-9000</v>
      </c>
      <c r="B3783" t="str">
        <f>"LM_Content SA Vir.- Advancd Irrigation Systems"</f>
        <v>LM_Content SA Vir.- Advancd Irrigation Systems</v>
      </c>
      <c r="C3783" t="str">
        <f t="shared" si="166"/>
        <v>Active</v>
      </c>
    </row>
    <row r="3784" spans="1:3" ht="18" customHeight="1">
      <c r="A3784" t="str">
        <f>"12-8030-9000"</f>
        <v>12-8030-9000</v>
      </c>
      <c r="B3784" t="str">
        <f>"LM_Content SA Lab  Automated Welding W/ ER4U"</f>
        <v>LM_Content SA Lab  Automated Welding W/ ER4U</v>
      </c>
      <c r="C3784" t="str">
        <f>"Not for purc"</f>
        <v>Not for purc</v>
      </c>
    </row>
    <row r="3785" spans="1:3" ht="18" customHeight="1">
      <c r="A3785" t="str">
        <f>"12-8082-9000"</f>
        <v>12-8082-9000</v>
      </c>
      <c r="B3785" t="str">
        <f>"LM_Content SA Lab -E- RMH 1 with ER4U"</f>
        <v>LM_Content SA Lab -E- RMH 1 with ER4U</v>
      </c>
      <c r="C3785" t="str">
        <f>"Not for purc"</f>
        <v>Not for purc</v>
      </c>
    </row>
    <row r="3786" spans="1:3" ht="18" customHeight="1">
      <c r="A3786" t="str">
        <f>"12-8083-9000"</f>
        <v>12-8083-9000</v>
      </c>
      <c r="B3786" t="str">
        <f>"LM_Content SA Vir -E- RMH 2 with ER4U"</f>
        <v>LM_Content SA Vir -E- RMH 2 with ER4U</v>
      </c>
      <c r="C3786" t="str">
        <f>"Not for purc"</f>
        <v>Not for purc</v>
      </c>
    </row>
    <row r="3787" spans="1:3" ht="18" customHeight="1">
      <c r="A3787" t="str">
        <f>"12-8097-1000"</f>
        <v>12-8097-1000</v>
      </c>
      <c r="B3787" t="str">
        <f>"LM3.3 Content, Lab, FMS w/ER4U &amp; eXpertMill"</f>
        <v>LM3.3 Content, Lab, FMS w/ER4U &amp; eXpertMill</v>
      </c>
      <c r="C3787" t="str">
        <f t="shared" ref="C3787:C3794" si="167">"Active"</f>
        <v>Active</v>
      </c>
    </row>
    <row r="3788" spans="1:3" ht="18" customHeight="1">
      <c r="A3788" t="str">
        <f>"12-8105-9000"</f>
        <v>12-8105-9000</v>
      </c>
      <c r="B3788" t="str">
        <f>"SA3.3 Content, Lab,  REC 1, Cortex, TG"</f>
        <v>SA3.3 Content, Lab,  REC 1, Cortex, TG</v>
      </c>
      <c r="C3788" t="str">
        <f t="shared" si="167"/>
        <v>Active</v>
      </c>
    </row>
    <row r="3789" spans="1:3" ht="18" customHeight="1">
      <c r="A3789" t="str">
        <f>"12-8105-9001"</f>
        <v>12-8105-9001</v>
      </c>
      <c r="B3789" t="str">
        <f>"SA3.3 Content, Lab,  REC 1, Cortex, Unit 1"</f>
        <v>SA3.3 Content, Lab,  REC 1, Cortex, Unit 1</v>
      </c>
      <c r="C3789" t="str">
        <f t="shared" si="167"/>
        <v>Active</v>
      </c>
    </row>
    <row r="3790" spans="1:3" ht="18" customHeight="1">
      <c r="A3790" t="str">
        <f>"12-8105-9002"</f>
        <v>12-8105-9002</v>
      </c>
      <c r="B3790" t="str">
        <f>"SA3.3 Content, Lab,  REC 1, Cortex, Unit 2"</f>
        <v>SA3.3 Content, Lab,  REC 1, Cortex, Unit 2</v>
      </c>
      <c r="C3790" t="str">
        <f t="shared" si="167"/>
        <v>Active</v>
      </c>
    </row>
    <row r="3791" spans="1:3" ht="18" customHeight="1">
      <c r="A3791" t="str">
        <f>"12-8105-9003"</f>
        <v>12-8105-9003</v>
      </c>
      <c r="B3791" t="str">
        <f>"SA3.3 Content, Lab,  REC 1, Cortex, Unit 3"</f>
        <v>SA3.3 Content, Lab,  REC 1, Cortex, Unit 3</v>
      </c>
      <c r="C3791" t="str">
        <f t="shared" si="167"/>
        <v>Active</v>
      </c>
    </row>
    <row r="3792" spans="1:3" ht="18" customHeight="1">
      <c r="A3792" t="str">
        <f>"12-8105-9004"</f>
        <v>12-8105-9004</v>
      </c>
      <c r="B3792" t="str">
        <f>"SA3.3 Content, Lab,  REC 1, Cortex, Unit 4"</f>
        <v>SA3.3 Content, Lab,  REC 1, Cortex, Unit 4</v>
      </c>
      <c r="C3792" t="str">
        <f t="shared" si="167"/>
        <v>Active</v>
      </c>
    </row>
    <row r="3793" spans="1:3" ht="18" customHeight="1">
      <c r="A3793" t="str">
        <f>"12-8105-9005"</f>
        <v>12-8105-9005</v>
      </c>
      <c r="B3793" t="str">
        <f>"SA3.3 Content, Lab,  REC 1, Cortex, Unit 5"</f>
        <v>SA3.3 Content, Lab,  REC 1, Cortex, Unit 5</v>
      </c>
      <c r="C3793" t="str">
        <f t="shared" si="167"/>
        <v>Active</v>
      </c>
    </row>
    <row r="3794" spans="1:3" ht="18" customHeight="1">
      <c r="A3794" t="str">
        <f>"12-8105-9006"</f>
        <v>12-8105-9006</v>
      </c>
      <c r="B3794" t="str">
        <f>"SA3.3 Content, Lab,  REC 1, Cortex, Unit 6"</f>
        <v>SA3.3 Content, Lab,  REC 1, Cortex, Unit 6</v>
      </c>
      <c r="C3794" t="str">
        <f t="shared" si="167"/>
        <v>Active</v>
      </c>
    </row>
    <row r="3795" spans="1:3" ht="18" customHeight="1">
      <c r="A3795" t="str">
        <f>"12-BA01A-9000"</f>
        <v>12-BA01A-9000</v>
      </c>
      <c r="B3795" t="str">
        <f>"SA3.3 Content, JM, Math for Technicians I"</f>
        <v>SA3.3 Content, JM, Math for Technicians I</v>
      </c>
      <c r="C3795" t="str">
        <f t="shared" ref="C3795:C3801" si="168">"Inactive"</f>
        <v>Inactive</v>
      </c>
    </row>
    <row r="3796" spans="1:3" ht="18" customHeight="1">
      <c r="A3796" t="str">
        <f>"12-BA01B-9000"</f>
        <v>12-BA01B-9000</v>
      </c>
      <c r="B3796" t="str">
        <f>"SA3.3 Content, JM, Math For Technicians II"</f>
        <v>SA3.3 Content, JM, Math For Technicians II</v>
      </c>
      <c r="C3796" t="str">
        <f t="shared" si="168"/>
        <v>Inactive</v>
      </c>
    </row>
    <row r="3797" spans="1:3" ht="18" customHeight="1">
      <c r="A3797" t="str">
        <f>"12-BA02-9000"</f>
        <v>12-BA02-9000</v>
      </c>
      <c r="B3797" t="str">
        <f>"SA3.3 Content, JM, Blue Print Reading"</f>
        <v>SA3.3 Content, JM, Blue Print Reading</v>
      </c>
      <c r="C3797" t="str">
        <f t="shared" si="168"/>
        <v>Inactive</v>
      </c>
    </row>
    <row r="3798" spans="1:3" ht="18" customHeight="1">
      <c r="A3798" t="str">
        <f>"12-BA03-9000"</f>
        <v>12-BA03-9000</v>
      </c>
      <c r="B3798" t="str">
        <f>"SA3.3 Content, JM, Lubrication for Technicians"</f>
        <v>SA3.3 Content, JM, Lubrication for Technicians</v>
      </c>
      <c r="C3798" t="str">
        <f t="shared" si="168"/>
        <v>Inactive</v>
      </c>
    </row>
    <row r="3799" spans="1:3" ht="18" customHeight="1">
      <c r="A3799" t="str">
        <f>"12-BA04-9000"</f>
        <v>12-BA04-9000</v>
      </c>
      <c r="B3799" t="str">
        <f>"SA3.3 Content, JM, Fasteners"</f>
        <v>SA3.3 Content, JM, Fasteners</v>
      </c>
      <c r="C3799" t="str">
        <f t="shared" si="168"/>
        <v>Inactive</v>
      </c>
    </row>
    <row r="3800" spans="1:3" ht="18" customHeight="1">
      <c r="A3800" t="str">
        <f>"12-BA05-9000"</f>
        <v>12-BA05-9000</v>
      </c>
      <c r="B3800" t="str">
        <f>"SA3.3 Content, JM, Hand Tools"</f>
        <v>SA3.3 Content, JM, Hand Tools</v>
      </c>
      <c r="C3800" t="str">
        <f t="shared" si="168"/>
        <v>Inactive</v>
      </c>
    </row>
    <row r="3801" spans="1:3" ht="18" customHeight="1">
      <c r="A3801" t="str">
        <f>"12-BA06-9000"</f>
        <v>12-BA06-9000</v>
      </c>
      <c r="B3801" t="str">
        <f>"SA3.3 Content, JM, Power Tools"</f>
        <v>SA3.3 Content, JM, Power Tools</v>
      </c>
      <c r="C3801" t="str">
        <f t="shared" si="168"/>
        <v>Inactive</v>
      </c>
    </row>
    <row r="3802" spans="1:3" ht="18" customHeight="1">
      <c r="A3802" t="str">
        <f>"12-EA01A-0000"</f>
        <v>12-EA01A-0000</v>
      </c>
      <c r="B3802" t="str">
        <f>"LM3.3 Content, JM, Electrical Circuits"</f>
        <v>LM3.3 Content, JM, Electrical Circuits</v>
      </c>
      <c r="C3802" t="str">
        <f>"Active"</f>
        <v>Active</v>
      </c>
    </row>
    <row r="3803" spans="1:3" ht="18" customHeight="1">
      <c r="A3803" t="str">
        <f>"12-EA01A-9000"</f>
        <v>12-EA01A-9000</v>
      </c>
      <c r="B3803" t="str">
        <f>"SA3.3 Content, JM, Electrical Circuits"</f>
        <v>SA3.3 Content, JM, Electrical Circuits</v>
      </c>
      <c r="C3803" t="str">
        <f>"Inactive"</f>
        <v>Inactive</v>
      </c>
    </row>
    <row r="3804" spans="1:3" ht="18" customHeight="1">
      <c r="A3804" t="str">
        <f>"12-EA01B-0000"</f>
        <v>12-EA01B-0000</v>
      </c>
      <c r="B3804" t="str">
        <f>"LM3.3 Content, JM, Resistors &amp; Conductors"</f>
        <v>LM3.3 Content, JM, Resistors &amp; Conductors</v>
      </c>
      <c r="C3804" t="str">
        <f>"Active"</f>
        <v>Active</v>
      </c>
    </row>
    <row r="3805" spans="1:3" ht="18" customHeight="1">
      <c r="A3805" t="str">
        <f>"12-EA01B-9000"</f>
        <v>12-EA01B-9000</v>
      </c>
      <c r="B3805" t="str">
        <f>"SA3.3 Content, JM, Resistors &amp; Conductors"</f>
        <v>SA3.3 Content, JM, Resistors &amp; Conductors</v>
      </c>
      <c r="C3805" t="str">
        <f>"Inactive"</f>
        <v>Inactive</v>
      </c>
    </row>
    <row r="3806" spans="1:3" ht="18" customHeight="1">
      <c r="A3806" t="str">
        <f>"12-EA01C-0000"</f>
        <v>12-EA01C-0000</v>
      </c>
      <c r="B3806" t="str">
        <f>"LM3.3 Content,  JM, LCR Circuits"</f>
        <v>LM3.3 Content,  JM, LCR Circuits</v>
      </c>
      <c r="C3806" t="str">
        <f>"Active"</f>
        <v>Active</v>
      </c>
    </row>
    <row r="3807" spans="1:3" ht="18" customHeight="1">
      <c r="A3807" t="str">
        <f>"12-EA01C-9000"</f>
        <v>12-EA01C-9000</v>
      </c>
      <c r="B3807" t="str">
        <f>"SA3.3 Content,  JM, LCR Circuits"</f>
        <v>SA3.3 Content,  JM, LCR Circuits</v>
      </c>
      <c r="C3807" t="str">
        <f>"Inactive"</f>
        <v>Inactive</v>
      </c>
    </row>
    <row r="3808" spans="1:3" ht="18" customHeight="1">
      <c r="A3808" t="str">
        <f>"12-EA01D-0000"</f>
        <v>12-EA01D-0000</v>
      </c>
      <c r="B3808" t="str">
        <f>"LM3.3 Content,  JM, Motors &amp; Generators"</f>
        <v>LM3.3 Content,  JM, Motors &amp; Generators</v>
      </c>
      <c r="C3808" t="str">
        <f>"Active"</f>
        <v>Active</v>
      </c>
    </row>
    <row r="3809" spans="1:3" ht="18" customHeight="1">
      <c r="A3809" t="str">
        <f>"12-EA01D-9000"</f>
        <v>12-EA01D-9000</v>
      </c>
      <c r="B3809" t="str">
        <f>"SA3.3 Content,  JM, Motors &amp; Generators"</f>
        <v>SA3.3 Content,  JM, Motors &amp; Generators</v>
      </c>
      <c r="C3809" t="str">
        <f>"Active"</f>
        <v>Active</v>
      </c>
    </row>
    <row r="3810" spans="1:3" ht="18" customHeight="1">
      <c r="A3810" t="str">
        <f>"12-EA02-0000"</f>
        <v>12-EA02-0000</v>
      </c>
      <c r="B3810" t="str">
        <f>"LM3.3 Content,  JM, Electric Circuit Protection"</f>
        <v>LM3.3 Content,  JM, Electric Circuit Protection</v>
      </c>
      <c r="C3810" t="str">
        <f>"Active"</f>
        <v>Active</v>
      </c>
    </row>
    <row r="3811" spans="1:3" ht="18" customHeight="1">
      <c r="A3811" t="str">
        <f>"12-EA02-9000"</f>
        <v>12-EA02-9000</v>
      </c>
      <c r="B3811" t="str">
        <f>"SA3.3 Content,  JM, Electric Circuit Protection"</f>
        <v>SA3.3 Content,  JM, Electric Circuit Protection</v>
      </c>
      <c r="C3811" t="str">
        <f>"Inactive"</f>
        <v>Inactive</v>
      </c>
    </row>
    <row r="3812" spans="1:3" ht="18" customHeight="1">
      <c r="A3812" t="str">
        <f>"12-EA03-0000"</f>
        <v>12-EA03-0000</v>
      </c>
      <c r="B3812" t="str">
        <f>"LM3.3 Content,  JM, 3 Phase Transformers"</f>
        <v>LM3.3 Content,  JM, 3 Phase Transformers</v>
      </c>
      <c r="C3812" t="str">
        <f>"Active"</f>
        <v>Active</v>
      </c>
    </row>
    <row r="3813" spans="1:3" ht="18" customHeight="1">
      <c r="A3813" t="str">
        <f>"12-EA03-9000"</f>
        <v>12-EA03-9000</v>
      </c>
      <c r="B3813" t="str">
        <f>"SA3.3 Content,  JM, 3 Phase Transformers"</f>
        <v>SA3.3 Content,  JM, 3 Phase Transformers</v>
      </c>
      <c r="C3813" t="str">
        <f>"Inactive"</f>
        <v>Inactive</v>
      </c>
    </row>
    <row r="3814" spans="1:3" ht="18" customHeight="1">
      <c r="A3814" t="str">
        <f>"12-EA04-0000"</f>
        <v>12-EA04-0000</v>
      </c>
      <c r="B3814" t="str">
        <f>"LM3.3 Content,  JM, Electric Motors"</f>
        <v>LM3.3 Content,  JM, Electric Motors</v>
      </c>
      <c r="C3814" t="str">
        <f>"Active"</f>
        <v>Active</v>
      </c>
    </row>
    <row r="3815" spans="1:3" ht="18" customHeight="1">
      <c r="A3815" t="str">
        <f>"12-EA04-9000"</f>
        <v>12-EA04-9000</v>
      </c>
      <c r="B3815" t="str">
        <f>"SA3.3 Content,  JM, Electric Motors"</f>
        <v>SA3.3 Content,  JM, Electric Motors</v>
      </c>
      <c r="C3815" t="str">
        <f>"Inactive"</f>
        <v>Inactive</v>
      </c>
    </row>
    <row r="3816" spans="1:3" ht="18" customHeight="1">
      <c r="A3816" t="str">
        <f>"12-EA07-0000"</f>
        <v>12-EA07-0000</v>
      </c>
      <c r="B3816" t="str">
        <f>"LM3.3 Content, JM, Electromagnetic Starters"</f>
        <v>LM3.3 Content, JM, Electromagnetic Starters</v>
      </c>
      <c r="C3816" t="str">
        <f>"Active"</f>
        <v>Active</v>
      </c>
    </row>
    <row r="3817" spans="1:3" ht="18" customHeight="1">
      <c r="A3817" t="str">
        <f>"12-EA07-9000"</f>
        <v>12-EA07-9000</v>
      </c>
      <c r="B3817" t="str">
        <f>"SA3.3 Content, JM, Electromagnetic Starters"</f>
        <v>SA3.3 Content, JM, Electromagnetic Starters</v>
      </c>
      <c r="C3817" t="str">
        <f>"Inactive"</f>
        <v>Inactive</v>
      </c>
    </row>
    <row r="3818" spans="1:3" ht="18" customHeight="1">
      <c r="A3818" t="str">
        <f>"12-EA08-0000"</f>
        <v>12-EA08-0000</v>
      </c>
      <c r="B3818" t="str">
        <f>"LM3.3 Content, JM, Relays and Timers"</f>
        <v>LM3.3 Content, JM, Relays and Timers</v>
      </c>
      <c r="C3818" t="str">
        <f>"Active"</f>
        <v>Active</v>
      </c>
    </row>
    <row r="3819" spans="1:3" ht="18" customHeight="1">
      <c r="A3819" t="str">
        <f>"12-EA08-9000"</f>
        <v>12-EA08-9000</v>
      </c>
      <c r="B3819" t="str">
        <f>"SA3.3 Content, JM, Relays and Timers"</f>
        <v>SA3.3 Content, JM, Relays and Timers</v>
      </c>
      <c r="C3819" t="str">
        <f>"Inactive"</f>
        <v>Inactive</v>
      </c>
    </row>
    <row r="3820" spans="1:3" ht="18" customHeight="1">
      <c r="A3820" t="str">
        <f>"12-EA09-0000"</f>
        <v>12-EA09-0000</v>
      </c>
      <c r="B3820" t="str">
        <f>"LM3.3 Content, JM, Electronic Sensors"</f>
        <v>LM3.3 Content, JM, Electronic Sensors</v>
      </c>
      <c r="C3820" t="str">
        <f>"Active"</f>
        <v>Active</v>
      </c>
    </row>
    <row r="3821" spans="1:3" ht="18" customHeight="1">
      <c r="A3821" t="str">
        <f>"12-EA09-9000"</f>
        <v>12-EA09-9000</v>
      </c>
      <c r="B3821" t="str">
        <f>"SA3.3 Content, JM, Electronic Sensors"</f>
        <v>SA3.3 Content, JM, Electronic Sensors</v>
      </c>
      <c r="C3821" t="str">
        <f>"Inactive"</f>
        <v>Inactive</v>
      </c>
    </row>
    <row r="3822" spans="1:3" ht="18" customHeight="1">
      <c r="A3822" t="str">
        <f>"12-EA11-0000"</f>
        <v>12-EA11-0000</v>
      </c>
      <c r="B3822" t="str">
        <f>"LM3.3 Content,  JM, Solid State Voltage Starter"</f>
        <v>LM3.3 Content,  JM, Solid State Voltage Starter</v>
      </c>
      <c r="C3822" t="str">
        <f>"Active"</f>
        <v>Active</v>
      </c>
    </row>
    <row r="3823" spans="1:3" ht="18" customHeight="1">
      <c r="A3823" t="str">
        <f>"12-EA11-9000"</f>
        <v>12-EA11-9000</v>
      </c>
      <c r="B3823" t="str">
        <f>"SA3.3 Content,  JM, Solid State Voltage Starter"</f>
        <v>SA3.3 Content,  JM, Solid State Voltage Starter</v>
      </c>
      <c r="C3823" t="str">
        <f>"Inactive"</f>
        <v>Inactive</v>
      </c>
    </row>
    <row r="3824" spans="1:3" ht="18" customHeight="1">
      <c r="A3824" t="str">
        <f>"12-EA12-0000"</f>
        <v>12-EA12-0000</v>
      </c>
      <c r="B3824" t="str">
        <f>"LM3.3 Content, JM, Variable Frequency Drive"</f>
        <v>LM3.3 Content, JM, Variable Frequency Drive</v>
      </c>
      <c r="C3824" t="str">
        <f>"Active"</f>
        <v>Active</v>
      </c>
    </row>
    <row r="3825" spans="1:3" ht="18" customHeight="1">
      <c r="A3825" t="str">
        <f>"12-EA12-9000"</f>
        <v>12-EA12-9000</v>
      </c>
      <c r="B3825" t="str">
        <f>"SA3.3 Content, JM, Variable Frequency Drive"</f>
        <v>SA3.3 Content, JM, Variable Frequency Drive</v>
      </c>
      <c r="C3825" t="str">
        <f>"Inactive"</f>
        <v>Inactive</v>
      </c>
    </row>
    <row r="3826" spans="1:3" ht="18" customHeight="1">
      <c r="A3826" t="str">
        <f>"12-EA16-0000"</f>
        <v>12-EA16-0000</v>
      </c>
      <c r="B3826" t="str">
        <f>"LM3.3 Content,  JM, DC Motor Drives"</f>
        <v>LM3.3 Content,  JM, DC Motor Drives</v>
      </c>
      <c r="C3826" t="str">
        <f>"Active"</f>
        <v>Active</v>
      </c>
    </row>
    <row r="3827" spans="1:3" ht="18" customHeight="1">
      <c r="A3827" t="str">
        <f>"12-EA16-9000"</f>
        <v>12-EA16-9000</v>
      </c>
      <c r="B3827" t="str">
        <f>"SA3.3 Content,  JM, DC Motor Drives"</f>
        <v>SA3.3 Content,  JM, DC Motor Drives</v>
      </c>
      <c r="C3827" t="str">
        <f>"Inactive"</f>
        <v>Inactive</v>
      </c>
    </row>
    <row r="3828" spans="1:3" ht="18" customHeight="1">
      <c r="A3828" t="str">
        <f>"12-EB01A-0000"</f>
        <v>12-EB01A-0000</v>
      </c>
      <c r="B3828" t="str">
        <f>"LM3.3 Content, JM, Oscilloscope"</f>
        <v>LM3.3 Content, JM, Oscilloscope</v>
      </c>
      <c r="C3828" t="str">
        <f>"Active"</f>
        <v>Active</v>
      </c>
    </row>
    <row r="3829" spans="1:3" ht="18" customHeight="1">
      <c r="A3829" t="str">
        <f>"12-EB01A-9000"</f>
        <v>12-EB01A-9000</v>
      </c>
      <c r="B3829" t="str">
        <f>"SA3.3 Content, JM, Oscilloscope"</f>
        <v>SA3.3 Content, JM, Oscilloscope</v>
      </c>
      <c r="C3829" t="str">
        <f>"Inactive"</f>
        <v>Inactive</v>
      </c>
    </row>
    <row r="3830" spans="1:3" ht="18" customHeight="1">
      <c r="A3830" t="str">
        <f>"12-EB01B-0000"</f>
        <v>12-EB01B-0000</v>
      </c>
      <c r="B3830" t="str">
        <f>"LM3.3 Content, JM, Digital Multimeter"</f>
        <v>LM3.3 Content, JM, Digital Multimeter</v>
      </c>
      <c r="C3830" t="str">
        <f>"Active"</f>
        <v>Active</v>
      </c>
    </row>
    <row r="3831" spans="1:3" ht="18" customHeight="1">
      <c r="A3831" t="str">
        <f>"12-EB01B-9000"</f>
        <v>12-EB01B-9000</v>
      </c>
      <c r="B3831" t="str">
        <f>"SA3.3 Content, JM, Digital Multimeter"</f>
        <v>SA3.3 Content, JM, Digital Multimeter</v>
      </c>
      <c r="C3831" t="str">
        <f>"Inactive"</f>
        <v>Inactive</v>
      </c>
    </row>
    <row r="3832" spans="1:3" ht="18" customHeight="1">
      <c r="A3832" t="str">
        <f>"12-EB01C-0000"</f>
        <v>12-EB01C-0000</v>
      </c>
      <c r="B3832" t="str">
        <f>"LM3.3 Content, JM, Digital Oscilloscope"</f>
        <v>LM3.3 Content, JM, Digital Oscilloscope</v>
      </c>
      <c r="C3832" t="str">
        <f>"Active"</f>
        <v>Active</v>
      </c>
    </row>
    <row r="3833" spans="1:3" ht="18" customHeight="1">
      <c r="A3833" t="str">
        <f>"12-EB01C-9000"</f>
        <v>12-EB01C-9000</v>
      </c>
      <c r="B3833" t="str">
        <f>"SA3.3 Content, JM, Digital Oscilloscope"</f>
        <v>SA3.3 Content, JM, Digital Oscilloscope</v>
      </c>
      <c r="C3833" t="str">
        <f>"Inactive"</f>
        <v>Inactive</v>
      </c>
    </row>
    <row r="3834" spans="1:3" ht="18" customHeight="1">
      <c r="A3834" t="str">
        <f>"12-EB02A-0000"</f>
        <v>12-EB02A-0000</v>
      </c>
      <c r="B3834" t="str">
        <f>"LM3.3 Content, JM, DC Power Supplies"</f>
        <v>LM3.3 Content, JM, DC Power Supplies</v>
      </c>
      <c r="C3834" t="str">
        <f>"Active"</f>
        <v>Active</v>
      </c>
    </row>
    <row r="3835" spans="1:3" ht="18" customHeight="1">
      <c r="A3835" t="str">
        <f>"12-EB02A-9000"</f>
        <v>12-EB02A-9000</v>
      </c>
      <c r="B3835" t="str">
        <f>"SA3.3 Content, JM, DC Power Supplies"</f>
        <v>SA3.3 Content, JM, DC Power Supplies</v>
      </c>
      <c r="C3835" t="str">
        <f>"Inactive"</f>
        <v>Inactive</v>
      </c>
    </row>
    <row r="3836" spans="1:3" ht="18" customHeight="1">
      <c r="A3836" t="str">
        <f>"12-EB02B-0000"</f>
        <v>12-EB02B-0000</v>
      </c>
      <c r="B3836" t="str">
        <f>"LM3.3 Content, JM,Single &amp; 3 Phase Power Supply"</f>
        <v>LM3.3 Content, JM,Single &amp; 3 Phase Power Supply</v>
      </c>
      <c r="C3836" t="str">
        <f>"Active"</f>
        <v>Active</v>
      </c>
    </row>
    <row r="3837" spans="1:3" ht="18" customHeight="1">
      <c r="A3837" t="str">
        <f>"12-EB02B-9000"</f>
        <v>12-EB02B-9000</v>
      </c>
      <c r="B3837" t="str">
        <f>"SA3.3 Content, JM,Single &amp; 3 Phase Power Supply"</f>
        <v>SA3.3 Content, JM,Single &amp; 3 Phase Power Supply</v>
      </c>
      <c r="C3837" t="str">
        <f>"Inactive"</f>
        <v>Inactive</v>
      </c>
    </row>
    <row r="3838" spans="1:3" ht="18" customHeight="1">
      <c r="A3838" t="str">
        <f>"12-EB03-0000"</f>
        <v>12-EB03-0000</v>
      </c>
      <c r="B3838" t="str">
        <f>"LM3.3 Content, JM, Thyristor Motor Drives"</f>
        <v>LM3.3 Content, JM, Thyristor Motor Drives</v>
      </c>
      <c r="C3838" t="str">
        <f>"Active"</f>
        <v>Active</v>
      </c>
    </row>
    <row r="3839" spans="1:3" ht="18" customHeight="1">
      <c r="A3839" t="str">
        <f>"12-EB03-9000"</f>
        <v>12-EB03-9000</v>
      </c>
      <c r="B3839" t="str">
        <f>"SA3.3 Content, JM, Thyristor Motor Drives"</f>
        <v>SA3.3 Content, JM, Thyristor Motor Drives</v>
      </c>
      <c r="C3839" t="str">
        <f t="shared" ref="C3839:C3845" si="169">"Inactive"</f>
        <v>Inactive</v>
      </c>
    </row>
    <row r="3840" spans="1:3" ht="18" customHeight="1">
      <c r="A3840" t="str">
        <f>"12-EB04-0000"</f>
        <v>12-EB04-0000</v>
      </c>
      <c r="B3840" t="str">
        <f>"LM3.3 Content, JM, Electronic Timers &amp; Triggers"</f>
        <v>LM3.3 Content, JM, Electronic Timers &amp; Triggers</v>
      </c>
      <c r="C3840" t="str">
        <f t="shared" si="169"/>
        <v>Inactive</v>
      </c>
    </row>
    <row r="3841" spans="1:3" ht="18" customHeight="1">
      <c r="A3841" t="str">
        <f>"12-EB04-9000"</f>
        <v>12-EB04-9000</v>
      </c>
      <c r="B3841" t="str">
        <f>"SA3.3 Content, JM, Electronic Timers &amp; Triggers"</f>
        <v>SA3.3 Content, JM, Electronic Timers &amp; Triggers</v>
      </c>
      <c r="C3841" t="str">
        <f t="shared" si="169"/>
        <v>Inactive</v>
      </c>
    </row>
    <row r="3842" spans="1:3" ht="18" customHeight="1">
      <c r="A3842" t="str">
        <f>"12-EB05-0000"</f>
        <v>12-EB05-0000</v>
      </c>
      <c r="B3842" t="str">
        <f>"LM3.3 Content, JM, Basic Stepper Motors &amp; Drives"</f>
        <v>LM3.3 Content, JM, Basic Stepper Motors &amp; Drives</v>
      </c>
      <c r="C3842" t="str">
        <f t="shared" si="169"/>
        <v>Inactive</v>
      </c>
    </row>
    <row r="3843" spans="1:3" ht="18" customHeight="1">
      <c r="A3843" t="str">
        <f>"12-EB05-9000"</f>
        <v>12-EB05-9000</v>
      </c>
      <c r="B3843" t="str">
        <f>"SA3.3 Content, JM, Basic Stepper Motors &amp; Drives"</f>
        <v>SA3.3 Content, JM, Basic Stepper Motors &amp; Drives</v>
      </c>
      <c r="C3843" t="str">
        <f t="shared" si="169"/>
        <v>Inactive</v>
      </c>
    </row>
    <row r="3844" spans="1:3" ht="18" customHeight="1">
      <c r="A3844" t="str">
        <f>"12-EB06-0000"</f>
        <v>12-EB06-0000</v>
      </c>
      <c r="B3844" t="str">
        <f>"LM3.3 Content, JM, Basic Servo Motor Drives"</f>
        <v>LM3.3 Content, JM, Basic Servo Motor Drives</v>
      </c>
      <c r="C3844" t="str">
        <f t="shared" si="169"/>
        <v>Inactive</v>
      </c>
    </row>
    <row r="3845" spans="1:3" ht="18" customHeight="1">
      <c r="A3845" t="str">
        <f>"12-EB06-9000"</f>
        <v>12-EB06-9000</v>
      </c>
      <c r="B3845" t="str">
        <f>"SA3.3 Content, JM, Basic Servo Motor Drives"</f>
        <v>SA3.3 Content, JM, Basic Servo Motor Drives</v>
      </c>
      <c r="C3845" t="str">
        <f t="shared" si="169"/>
        <v>Inactive</v>
      </c>
    </row>
    <row r="3846" spans="1:3" ht="18" customHeight="1">
      <c r="A3846" t="str">
        <f>"12-EMMC-0000"</f>
        <v>12-EMMC-0000</v>
      </c>
      <c r="B3846" t="str">
        <f>"LM3.3 Content,  JM, Instructor's Guide"</f>
        <v>LM3.3 Content,  JM, Instructor's Guide</v>
      </c>
      <c r="C3846" t="str">
        <f>"Active"</f>
        <v>Active</v>
      </c>
    </row>
    <row r="3847" spans="1:3" ht="18" customHeight="1">
      <c r="A3847" t="str">
        <f>"12-EMMC-9000"</f>
        <v>12-EMMC-9000</v>
      </c>
      <c r="B3847" t="str">
        <f>"SA3.3 Content,  JM, Instructor's Guide"</f>
        <v>SA3.3 Content,  JM, Instructor's Guide</v>
      </c>
      <c r="C3847" t="str">
        <f>"Active"</f>
        <v>Active</v>
      </c>
    </row>
    <row r="3848" spans="1:3" ht="18" customHeight="1">
      <c r="A3848" t="str">
        <f>"12-LOTO-0000"</f>
        <v>12-LOTO-0000</v>
      </c>
      <c r="B3848" t="str">
        <f>"LM3.3 Content, JM, Safety, Lock Out/Tag Out"</f>
        <v>LM3.3 Content, JM, Safety, Lock Out/Tag Out</v>
      </c>
      <c r="C3848" t="str">
        <f>"Active"</f>
        <v>Active</v>
      </c>
    </row>
    <row r="3849" spans="1:3" ht="18" customHeight="1">
      <c r="A3849" t="str">
        <f>"12-LOTO-9000"</f>
        <v>12-LOTO-9000</v>
      </c>
      <c r="B3849" t="str">
        <f>"SA3.3 Content, JM, Safety, Lock Out/Tag Out"</f>
        <v>SA3.3 Content, JM, Safety, Lock Out/Tag Out</v>
      </c>
      <c r="C3849" t="str">
        <f>"Inactive"</f>
        <v>Inactive</v>
      </c>
    </row>
    <row r="3850" spans="1:3" ht="18" customHeight="1">
      <c r="A3850" t="str">
        <f>"12-ZA01-0000"</f>
        <v>12-ZA01-0000</v>
      </c>
      <c r="B3850" t="str">
        <f>"LM3.3 Content,  JM, Basic Maintenance Cell"</f>
        <v>LM3.3 Content,  JM, Basic Maintenance Cell</v>
      </c>
      <c r="C3850" t="str">
        <f t="shared" ref="C3850:C3864" si="170">"Active"</f>
        <v>Active</v>
      </c>
    </row>
    <row r="3851" spans="1:3" ht="18" customHeight="1">
      <c r="A3851" t="str">
        <f>"12-ZA01-9000"</f>
        <v>12-ZA01-9000</v>
      </c>
      <c r="B3851" t="str">
        <f>"SA3.3 Content,  JM, Basic Maintenance Cell"</f>
        <v>SA3.3 Content,  JM, Basic Maintenance Cell</v>
      </c>
      <c r="C3851" t="str">
        <f t="shared" si="170"/>
        <v>Active</v>
      </c>
    </row>
    <row r="3852" spans="1:3" ht="18" customHeight="1">
      <c r="A3852" t="str">
        <f>"12-ZA02-0000"</f>
        <v>12-ZA02-0000</v>
      </c>
      <c r="B3852" t="str">
        <f>"LM3.3 Content,  JM, Conveyor, Drive and Control"</f>
        <v>LM3.3 Content,  JM, Conveyor, Drive and Control</v>
      </c>
      <c r="C3852" t="str">
        <f t="shared" si="170"/>
        <v>Active</v>
      </c>
    </row>
    <row r="3853" spans="1:3" ht="18" customHeight="1">
      <c r="A3853" t="str">
        <f>"12-ZA02-9000"</f>
        <v>12-ZA02-9000</v>
      </c>
      <c r="B3853" t="str">
        <f>"SA3.3 Content,  JM, Conveyor, Drive and Control"</f>
        <v>SA3.3 Content,  JM, Conveyor, Drive and Control</v>
      </c>
      <c r="C3853" t="str">
        <f t="shared" si="170"/>
        <v>Active</v>
      </c>
    </row>
    <row r="3854" spans="1:3" ht="18" customHeight="1">
      <c r="A3854" t="str">
        <f>"12-ZA03-0000"</f>
        <v>12-ZA03-0000</v>
      </c>
      <c r="B3854" t="str">
        <f>"LM3.3 Content,  JM, Part Manipulation"</f>
        <v>LM3.3 Content,  JM, Part Manipulation</v>
      </c>
      <c r="C3854" t="str">
        <f t="shared" si="170"/>
        <v>Active</v>
      </c>
    </row>
    <row r="3855" spans="1:3" ht="18" customHeight="1">
      <c r="A3855" t="str">
        <f>"12-ZA03-9000"</f>
        <v>12-ZA03-9000</v>
      </c>
      <c r="B3855" t="str">
        <f>"SA3.3 Content,  JM, Part Manipulation"</f>
        <v>SA3.3 Content,  JM, Part Manipulation</v>
      </c>
      <c r="C3855" t="str">
        <f t="shared" si="170"/>
        <v>Active</v>
      </c>
    </row>
    <row r="3856" spans="1:3" ht="18" customHeight="1">
      <c r="A3856" t="str">
        <f>"12-ZA04-0000"</f>
        <v>12-ZA04-0000</v>
      </c>
      <c r="B3856" t="str">
        <f>"LM3.3 Content,  JM, Industrial Lighting"</f>
        <v>LM3.3 Content,  JM, Industrial Lighting</v>
      </c>
      <c r="C3856" t="str">
        <f t="shared" si="170"/>
        <v>Active</v>
      </c>
    </row>
    <row r="3857" spans="1:3" ht="18" customHeight="1">
      <c r="A3857" t="str">
        <f>"12-ZA04-9000"</f>
        <v>12-ZA04-9000</v>
      </c>
      <c r="B3857" t="str">
        <f>"SA3.3 Content,  JM, Industrial Lighting"</f>
        <v>SA3.3 Content,  JM, Industrial Lighting</v>
      </c>
      <c r="C3857" t="str">
        <f t="shared" si="170"/>
        <v>Active</v>
      </c>
    </row>
    <row r="3858" spans="1:3" ht="18" customHeight="1">
      <c r="A3858" t="str">
        <f>"12-ZA05-0000"</f>
        <v>12-ZA05-0000</v>
      </c>
      <c r="B3858" t="str">
        <f>"LM3.3 Content,  JM, Variable Frequency Drive"</f>
        <v>LM3.3 Content,  JM, Variable Frequency Drive</v>
      </c>
      <c r="C3858" t="str">
        <f t="shared" si="170"/>
        <v>Active</v>
      </c>
    </row>
    <row r="3859" spans="1:3" ht="18" customHeight="1">
      <c r="A3859" t="str">
        <f>"12-ZA05-9000"</f>
        <v>12-ZA05-9000</v>
      </c>
      <c r="B3859" t="str">
        <f>"SA3.3 Content,  JM, Variable Frequency Drive"</f>
        <v>SA3.3 Content,  JM, Variable Frequency Drive</v>
      </c>
      <c r="C3859" t="str">
        <f t="shared" si="170"/>
        <v>Active</v>
      </c>
    </row>
    <row r="3860" spans="1:3" ht="18" customHeight="1">
      <c r="A3860" t="str">
        <f>"12-ZA06-0000"</f>
        <v>12-ZA06-0000</v>
      </c>
      <c r="B3860" t="str">
        <f>"LM3.3 Content,  JM, DC Motor Drive"</f>
        <v>LM3.3 Content,  JM, DC Motor Drive</v>
      </c>
      <c r="C3860" t="str">
        <f t="shared" si="170"/>
        <v>Active</v>
      </c>
    </row>
    <row r="3861" spans="1:3" ht="18" customHeight="1">
      <c r="A3861" t="str">
        <f>"12-ZA06-9000"</f>
        <v>12-ZA06-9000</v>
      </c>
      <c r="B3861" t="str">
        <f>"SA3.3 Content,  JM, DC Motor Drive"</f>
        <v>SA3.3 Content,  JM, DC Motor Drive</v>
      </c>
      <c r="C3861" t="str">
        <f t="shared" si="170"/>
        <v>Active</v>
      </c>
    </row>
    <row r="3862" spans="1:3" ht="18" customHeight="1">
      <c r="A3862" t="str">
        <f>"12-ZA07-0000"</f>
        <v>12-ZA07-0000</v>
      </c>
      <c r="B3862" t="str">
        <f>"LM3.3 Content,  JM, Fault Insertion System"</f>
        <v>LM3.3 Content,  JM, Fault Insertion System</v>
      </c>
      <c r="C3862" t="str">
        <f t="shared" si="170"/>
        <v>Active</v>
      </c>
    </row>
    <row r="3863" spans="1:3" ht="18" customHeight="1">
      <c r="A3863" t="str">
        <f>"12-ZA07-9000"</f>
        <v>12-ZA07-9000</v>
      </c>
      <c r="B3863" t="str">
        <f>"SA3.3 Content,  JM, Fault Insertion System"</f>
        <v>SA3.3 Content,  JM, Fault Insertion System</v>
      </c>
      <c r="C3863" t="str">
        <f t="shared" si="170"/>
        <v>Active</v>
      </c>
    </row>
    <row r="3864" spans="1:3" ht="18" customHeight="1">
      <c r="A3864" t="str">
        <f>"130654"</f>
        <v>130654</v>
      </c>
      <c r="B3864" t="str">
        <f>"Cable, Robotic Integration"</f>
        <v>Cable, Robotic Integration</v>
      </c>
      <c r="C3864" t="str">
        <f t="shared" si="170"/>
        <v>Active</v>
      </c>
    </row>
    <row r="3865" spans="1:3" ht="18" customHeight="1">
      <c r="A3865" t="str">
        <f>"14-8092-1010"</f>
        <v>14-8092-1010</v>
      </c>
      <c r="B3865" t="str">
        <f>"REC Program 10 Students Year 1- Semester 1- Lab"</f>
        <v>REC Program 10 Students Year 1- Semester 1- Lab</v>
      </c>
      <c r="C3865" t="str">
        <f t="shared" ref="C3865:C3902" si="171">"Inactive"</f>
        <v>Inactive</v>
      </c>
    </row>
    <row r="3866" spans="1:3" ht="18" customHeight="1">
      <c r="A3866" t="str">
        <f>"14-8092-1020"</f>
        <v>14-8092-1020</v>
      </c>
      <c r="B3866" t="str">
        <f>"REC Program 20 Students Year 1- Semester 1- Lab"</f>
        <v>REC Program 20 Students Year 1- Semester 1- Lab</v>
      </c>
      <c r="C3866" t="str">
        <f t="shared" si="171"/>
        <v>Inactive</v>
      </c>
    </row>
    <row r="3867" spans="1:3" ht="18" customHeight="1">
      <c r="A3867" t="str">
        <f>"14-8092-1030"</f>
        <v>14-8092-1030</v>
      </c>
      <c r="B3867" t="str">
        <f>"REC Program 30 Students Year 1- Semester 1- Lab"</f>
        <v>REC Program 30 Students Year 1- Semester 1- Lab</v>
      </c>
      <c r="C3867" t="str">
        <f t="shared" si="171"/>
        <v>Inactive</v>
      </c>
    </row>
    <row r="3868" spans="1:3" ht="18" customHeight="1">
      <c r="A3868" t="str">
        <f>"14-8092-9010"</f>
        <v>14-8092-9010</v>
      </c>
      <c r="B3868" t="str">
        <f>"REC Program 10 Students Year 1- Semester 1- Lab"</f>
        <v>REC Program 10 Students Year 1- Semester 1- Lab</v>
      </c>
      <c r="C3868" t="str">
        <f t="shared" si="171"/>
        <v>Inactive</v>
      </c>
    </row>
    <row r="3869" spans="1:3" ht="18" customHeight="1">
      <c r="A3869" t="str">
        <f>"14-8092-9020"</f>
        <v>14-8092-9020</v>
      </c>
      <c r="B3869" t="str">
        <f>"REC Program 20 Students Year 1- Semester 1- Lab"</f>
        <v>REC Program 20 Students Year 1- Semester 1- Lab</v>
      </c>
      <c r="C3869" t="str">
        <f t="shared" si="171"/>
        <v>Inactive</v>
      </c>
    </row>
    <row r="3870" spans="1:3" ht="18" customHeight="1">
      <c r="A3870" t="str">
        <f>"14-8092-9030"</f>
        <v>14-8092-9030</v>
      </c>
      <c r="B3870" t="str">
        <f>"REC Program 30 Students Year 1- Semester 1- Lab"</f>
        <v>REC Program 30 Students Year 1- Semester 1- Lab</v>
      </c>
      <c r="C3870" t="str">
        <f t="shared" si="171"/>
        <v>Inactive</v>
      </c>
    </row>
    <row r="3871" spans="1:3" ht="18" customHeight="1">
      <c r="A3871" t="str">
        <f>"14-8093-1010"</f>
        <v>14-8093-1010</v>
      </c>
      <c r="B3871" t="str">
        <f>"REC Program 10 Students Year 1- Semester 2- Lab"</f>
        <v>REC Program 10 Students Year 1- Semester 2- Lab</v>
      </c>
      <c r="C3871" t="str">
        <f t="shared" si="171"/>
        <v>Inactive</v>
      </c>
    </row>
    <row r="3872" spans="1:3" ht="18" customHeight="1">
      <c r="A3872" t="str">
        <f>"14-8093-1020"</f>
        <v>14-8093-1020</v>
      </c>
      <c r="B3872" t="str">
        <f>"REC Program 20 Students Year 1- Semester 2- Lab"</f>
        <v>REC Program 20 Students Year 1- Semester 2- Lab</v>
      </c>
      <c r="C3872" t="str">
        <f t="shared" si="171"/>
        <v>Inactive</v>
      </c>
    </row>
    <row r="3873" spans="1:3" ht="18" customHeight="1">
      <c r="A3873" t="str">
        <f>"14-8093-1030"</f>
        <v>14-8093-1030</v>
      </c>
      <c r="B3873" t="str">
        <f>"REC Program 30 Students Year 1- Semester 2- Lab"</f>
        <v>REC Program 30 Students Year 1- Semester 2- Lab</v>
      </c>
      <c r="C3873" t="str">
        <f t="shared" si="171"/>
        <v>Inactive</v>
      </c>
    </row>
    <row r="3874" spans="1:3" ht="18" customHeight="1">
      <c r="A3874" t="str">
        <f>"14-8093-9010"</f>
        <v>14-8093-9010</v>
      </c>
      <c r="B3874" t="str">
        <f>"REC Program 10 Students Year 1- Semester 2- Lab"</f>
        <v>REC Program 10 Students Year 1- Semester 2- Lab</v>
      </c>
      <c r="C3874" t="str">
        <f t="shared" si="171"/>
        <v>Inactive</v>
      </c>
    </row>
    <row r="3875" spans="1:3" ht="18" customHeight="1">
      <c r="A3875" t="str">
        <f>"14-8093-9020"</f>
        <v>14-8093-9020</v>
      </c>
      <c r="B3875" t="str">
        <f>"REC Program 20 Students Year 1- Semester 2- Lab"</f>
        <v>REC Program 20 Students Year 1- Semester 2- Lab</v>
      </c>
      <c r="C3875" t="str">
        <f t="shared" si="171"/>
        <v>Inactive</v>
      </c>
    </row>
    <row r="3876" spans="1:3" ht="18" customHeight="1">
      <c r="A3876" t="str">
        <f>"14-8093-9030"</f>
        <v>14-8093-9030</v>
      </c>
      <c r="B3876" t="str">
        <f>"REC Program 30 Students Year 1- Semester 2- Lab"</f>
        <v>REC Program 30 Students Year 1- Semester 2- Lab</v>
      </c>
      <c r="C3876" t="str">
        <f t="shared" si="171"/>
        <v>Inactive</v>
      </c>
    </row>
    <row r="3877" spans="1:3" ht="18" customHeight="1">
      <c r="A3877" t="str">
        <f>"14-BA01A-0000"</f>
        <v>14-BA01A-0000</v>
      </c>
      <c r="B3877" t="str">
        <f>"Math For Technicians I - BA01A -"</f>
        <v>Math For Technicians I - BA01A -</v>
      </c>
      <c r="C3877" t="str">
        <f t="shared" si="171"/>
        <v>Inactive</v>
      </c>
    </row>
    <row r="3878" spans="1:3" ht="18" customHeight="1">
      <c r="A3878" t="str">
        <f>"14-BA01B-0000"</f>
        <v>14-BA01B-0000</v>
      </c>
      <c r="B3878" t="str">
        <f>"Math For Technicians II - BA01B -"</f>
        <v>Math For Technicians II - BA01B -</v>
      </c>
      <c r="C3878" t="str">
        <f t="shared" si="171"/>
        <v>Inactive</v>
      </c>
    </row>
    <row r="3879" spans="1:3" ht="18" customHeight="1">
      <c r="A3879" t="str">
        <f>"14-BA02-0000"</f>
        <v>14-BA02-0000</v>
      </c>
      <c r="B3879" t="str">
        <f>"Blue Print Reading - BA02 - Virtual - LMS Format"</f>
        <v>Blue Print Reading - BA02 - Virtual - LMS Format</v>
      </c>
      <c r="C3879" t="str">
        <f t="shared" si="171"/>
        <v>Inactive</v>
      </c>
    </row>
    <row r="3880" spans="1:3" ht="18" customHeight="1">
      <c r="A3880" t="str">
        <f>"14-BA03-0000"</f>
        <v>14-BA03-0000</v>
      </c>
      <c r="B3880" t="str">
        <f>"Lubrication Technologies - BA03 -"</f>
        <v>Lubrication Technologies - BA03 -</v>
      </c>
      <c r="C3880" t="str">
        <f t="shared" si="171"/>
        <v>Inactive</v>
      </c>
    </row>
    <row r="3881" spans="1:3" ht="18" customHeight="1">
      <c r="A3881" t="str">
        <f>"14-BA04-0000"</f>
        <v>14-BA04-0000</v>
      </c>
      <c r="B3881" t="str">
        <f>"Fasteners - BA04-Content only -"</f>
        <v>Fasteners - BA04-Content only -</v>
      </c>
      <c r="C3881" t="str">
        <f t="shared" si="171"/>
        <v>Inactive</v>
      </c>
    </row>
    <row r="3882" spans="1:3" ht="18" customHeight="1">
      <c r="A3882" t="str">
        <f>"14-BA05-0000"</f>
        <v>14-BA05-0000</v>
      </c>
      <c r="B3882" t="str">
        <f>"Hand Tools - BA05 - Content only -"</f>
        <v>Hand Tools - BA05 - Content only -</v>
      </c>
      <c r="C3882" t="str">
        <f t="shared" si="171"/>
        <v>Inactive</v>
      </c>
    </row>
    <row r="3883" spans="1:3" ht="18" customHeight="1">
      <c r="A3883" t="str">
        <f>"14-BA06-0000"</f>
        <v>14-BA06-0000</v>
      </c>
      <c r="B3883" t="str">
        <f>"Power Tools BA06 - Content only -"</f>
        <v>Power Tools BA06 - Content only -</v>
      </c>
      <c r="C3883" t="str">
        <f t="shared" si="171"/>
        <v>Inactive</v>
      </c>
    </row>
    <row r="3884" spans="1:3" ht="18" customHeight="1">
      <c r="A3884" t="str">
        <f>"14-EA01A-1000"</f>
        <v>14-EA01A-1000</v>
      </c>
      <c r="B3884" t="str">
        <f>"Electrical Circuits - EA01A - Lab - LMS Format"</f>
        <v>Electrical Circuits - EA01A - Lab - LMS Format</v>
      </c>
      <c r="C3884" t="str">
        <f t="shared" si="171"/>
        <v>Inactive</v>
      </c>
    </row>
    <row r="3885" spans="1:3" ht="18" customHeight="1">
      <c r="A3885" t="str">
        <f>"14-EA01B-1000"</f>
        <v>14-EA01B-1000</v>
      </c>
      <c r="B3885" t="str">
        <f>"Resistors and Conductors - EA01B -"</f>
        <v>Resistors and Conductors - EA01B -</v>
      </c>
      <c r="C3885" t="str">
        <f t="shared" si="171"/>
        <v>Inactive</v>
      </c>
    </row>
    <row r="3886" spans="1:3" ht="18" customHeight="1">
      <c r="A3886" t="str">
        <f>"14-EA01C-1000"</f>
        <v>14-EA01C-1000</v>
      </c>
      <c r="B3886" t="str">
        <f>"LCR Circuits - EA01C - Lab - LMS Format"</f>
        <v>LCR Circuits - EA01C - Lab - LMS Format</v>
      </c>
      <c r="C3886" t="str">
        <f t="shared" si="171"/>
        <v>Inactive</v>
      </c>
    </row>
    <row r="3887" spans="1:3" ht="18" customHeight="1">
      <c r="A3887" t="str">
        <f>"14-EA01D-0000"</f>
        <v>14-EA01D-0000</v>
      </c>
      <c r="B3887" t="str">
        <f>"Motors and Generators - EA01D -"</f>
        <v>Motors and Generators - EA01D -</v>
      </c>
      <c r="C3887" t="str">
        <f t="shared" si="171"/>
        <v>Inactive</v>
      </c>
    </row>
    <row r="3888" spans="1:3" ht="18" customHeight="1">
      <c r="A3888" t="str">
        <f>"14-EA04-1000"</f>
        <v>14-EA04-1000</v>
      </c>
      <c r="B3888" t="str">
        <f>"AC Electric Motors - EA04"</f>
        <v>AC Electric Motors - EA04</v>
      </c>
      <c r="C3888" t="str">
        <f t="shared" si="171"/>
        <v>Inactive</v>
      </c>
    </row>
    <row r="3889" spans="1:3" ht="18" customHeight="1">
      <c r="A3889" t="str">
        <f>"14-EA07-1000"</f>
        <v>14-EA07-1000</v>
      </c>
      <c r="B3889" t="str">
        <f>"AC Electromagnetic Motor Control  - EA07-"</f>
        <v>AC Electromagnetic Motor Control  - EA07-</v>
      </c>
      <c r="C3889" t="str">
        <f t="shared" si="171"/>
        <v>Inactive</v>
      </c>
    </row>
    <row r="3890" spans="1:3" ht="18" customHeight="1">
      <c r="A3890" t="str">
        <f>"14-EA08-1000"</f>
        <v>14-EA08-1000</v>
      </c>
      <c r="B3890" t="str">
        <f>"Timers and Timer-Delay Relays"</f>
        <v>Timers and Timer-Delay Relays</v>
      </c>
      <c r="C3890" t="str">
        <f t="shared" si="171"/>
        <v>Inactive</v>
      </c>
    </row>
    <row r="3891" spans="1:3" ht="18" customHeight="1">
      <c r="A3891" t="str">
        <f>"14-EA09-1000"</f>
        <v>14-EA09-1000</v>
      </c>
      <c r="B3891" t="str">
        <f>"Electrical/Electronic Sensors"</f>
        <v>Electrical/Electronic Sensors</v>
      </c>
      <c r="C3891" t="str">
        <f t="shared" si="171"/>
        <v>Inactive</v>
      </c>
    </row>
    <row r="3892" spans="1:3" ht="18" customHeight="1">
      <c r="A3892" t="str">
        <f>"14-EA12-1000"</f>
        <v>14-EA12-1000</v>
      </c>
      <c r="B3892" t="str">
        <f>"Variable Frequency Drive"</f>
        <v>Variable Frequency Drive</v>
      </c>
      <c r="C3892" t="str">
        <f t="shared" si="171"/>
        <v>Inactive</v>
      </c>
    </row>
    <row r="3893" spans="1:3" ht="18" customHeight="1">
      <c r="A3893" t="str">
        <f>"14-EB01A-1000"</f>
        <v>14-EB01A-1000</v>
      </c>
      <c r="B3893" t="str">
        <f>"Power Electronics Test Equipment -Oscilloscope -"</f>
        <v>Power Electronics Test Equipment -Oscilloscope -</v>
      </c>
      <c r="C3893" t="str">
        <f t="shared" si="171"/>
        <v>Inactive</v>
      </c>
    </row>
    <row r="3894" spans="1:3" ht="18" customHeight="1">
      <c r="A3894" t="str">
        <f>"14-EB01B-1000"</f>
        <v>14-EB01B-1000</v>
      </c>
      <c r="B3894" t="str">
        <f>"Power Electronics Test Equipment -"</f>
        <v>Power Electronics Test Equipment -</v>
      </c>
      <c r="C3894" t="str">
        <f t="shared" si="171"/>
        <v>Inactive</v>
      </c>
    </row>
    <row r="3895" spans="1:3" ht="18" customHeight="1">
      <c r="A3895" t="str">
        <f>"14-EB01C-1000"</f>
        <v>14-EB01C-1000</v>
      </c>
      <c r="B3895" t="str">
        <f>"Power Electronics Test Equipment"</f>
        <v>Power Electronics Test Equipment</v>
      </c>
      <c r="C3895" t="str">
        <f t="shared" si="171"/>
        <v>Inactive</v>
      </c>
    </row>
    <row r="3896" spans="1:3" ht="18" customHeight="1">
      <c r="A3896" t="str">
        <f>"14-EB02A-1000"</f>
        <v>14-EB02A-1000</v>
      </c>
      <c r="B3896" t="str">
        <f>"DC Power Supplies - EB02A - Lab - LMS Format"</f>
        <v>DC Power Supplies - EB02A - Lab - LMS Format</v>
      </c>
      <c r="C3896" t="str">
        <f t="shared" si="171"/>
        <v>Inactive</v>
      </c>
    </row>
    <row r="3897" spans="1:3" ht="18" customHeight="1">
      <c r="A3897" t="str">
        <f>"14-EB02B-1000"</f>
        <v>14-EB02B-1000</v>
      </c>
      <c r="B3897" t="str">
        <f>"Single-Phase and Three-Phase Power Supplies -"</f>
        <v>Single-Phase and Three-Phase Power Supplies -</v>
      </c>
      <c r="C3897" t="str">
        <f t="shared" si="171"/>
        <v>Inactive</v>
      </c>
    </row>
    <row r="3898" spans="1:3" ht="18" customHeight="1">
      <c r="A3898" t="str">
        <f>"14-EB03-1000"</f>
        <v>14-EB03-1000</v>
      </c>
      <c r="B3898" t="str">
        <f>"Thyristor Electric Motor Drives - EB03 - Lab -"</f>
        <v>Thyristor Electric Motor Drives - EB03 - Lab -</v>
      </c>
      <c r="C3898" t="str">
        <f t="shared" si="171"/>
        <v>Inactive</v>
      </c>
    </row>
    <row r="3899" spans="1:3" ht="18" customHeight="1">
      <c r="A3899" t="str">
        <f>"14-EB04-1000"</f>
        <v>14-EB04-1000</v>
      </c>
      <c r="B3899" t="str">
        <f>"Electronic Timers and Triggers - EB04 - Lab -"</f>
        <v>Electronic Timers and Triggers - EB04 - Lab -</v>
      </c>
      <c r="C3899" t="str">
        <f t="shared" si="171"/>
        <v>Inactive</v>
      </c>
    </row>
    <row r="3900" spans="1:3" ht="18" customHeight="1">
      <c r="A3900" t="str">
        <f>"14-EB05-1000"</f>
        <v>14-EB05-1000</v>
      </c>
      <c r="B3900" t="str">
        <f>"Basic Stepper Motors and Drives - EB05 - Lab -"</f>
        <v>Basic Stepper Motors and Drives - EB05 - Lab -</v>
      </c>
      <c r="C3900" t="str">
        <f t="shared" si="171"/>
        <v>Inactive</v>
      </c>
    </row>
    <row r="3901" spans="1:3" ht="18" customHeight="1">
      <c r="A3901" t="str">
        <f>"14-EB06-1000"</f>
        <v>14-EB06-1000</v>
      </c>
      <c r="B3901" t="str">
        <f>"Basic Servo Motor Drives - EB06 - Lab -"</f>
        <v>Basic Servo Motor Drives - EB06 - Lab -</v>
      </c>
      <c r="C3901" t="str">
        <f t="shared" si="171"/>
        <v>Inactive</v>
      </c>
    </row>
    <row r="3902" spans="1:3" ht="18" customHeight="1">
      <c r="A3902" t="str">
        <f>"14-LOTO-0000"</f>
        <v>14-LOTO-0000</v>
      </c>
      <c r="B3902" t="str">
        <f>"Safety-Lock Out Tag Out - LOCTAG99 -"</f>
        <v>Safety-Lock Out Tag Out - LOCTAG99 -</v>
      </c>
      <c r="C3902" t="str">
        <f t="shared" si="171"/>
        <v>Inactive</v>
      </c>
    </row>
    <row r="3903" spans="1:3" ht="18" customHeight="1">
      <c r="A3903" t="str">
        <f>"17-1200-0000"</f>
        <v>17-1200-0000</v>
      </c>
      <c r="B3903" t="str">
        <f>"Learnmate Server 5.X"</f>
        <v>Learnmate Server 5.X</v>
      </c>
      <c r="C3903" t="str">
        <f>"Active"</f>
        <v>Active</v>
      </c>
    </row>
    <row r="3904" spans="1:3" ht="18" customHeight="1">
      <c r="A3904" t="str">
        <f>"17-1200-0001"</f>
        <v>17-1200-0001</v>
      </c>
      <c r="B3904" t="str">
        <f>"Learnmate 5.X Course Importer"</f>
        <v>Learnmate 5.X Course Importer</v>
      </c>
      <c r="C3904" t="str">
        <f>"Active"</f>
        <v>Active</v>
      </c>
    </row>
    <row r="3905" spans="1:3" ht="18" customHeight="1">
      <c r="A3905" t="str">
        <f>"17-1200-2500"</f>
        <v>17-1200-2500</v>
      </c>
      <c r="B3905" t="str">
        <f>"Learnmate Server 5.X for Middle School"</f>
        <v>Learnmate Server 5.X for Middle School</v>
      </c>
      <c r="C3905" t="str">
        <f>"Inactive"</f>
        <v>Inactive</v>
      </c>
    </row>
    <row r="3906" spans="1:3" ht="18" customHeight="1">
      <c r="A3906" t="str">
        <f>"17-1201-0000"</f>
        <v>17-1201-0000</v>
      </c>
      <c r="B3906" t="str">
        <f>"Learnmate 5.X One Year Extended Support"</f>
        <v>Learnmate 5.X One Year Extended Support</v>
      </c>
      <c r="C3906" t="str">
        <f>"Active"</f>
        <v>Active</v>
      </c>
    </row>
    <row r="3907" spans="1:3" ht="18" customHeight="1">
      <c r="A3907" t="str">
        <f>"17-1202-0000"</f>
        <v>17-1202-0000</v>
      </c>
      <c r="B3907" t="str">
        <f>"Learnmate 5.X Two Year Extended Support"</f>
        <v>Learnmate 5.X Two Year Extended Support</v>
      </c>
      <c r="C3907" t="str">
        <f>"Active"</f>
        <v>Active</v>
      </c>
    </row>
    <row r="3908" spans="1:3" ht="18" customHeight="1">
      <c r="A3908" t="str">
        <f>"17-1202-5000"</f>
        <v>17-1202-5000</v>
      </c>
      <c r="B3908" t="str">
        <f>"Learnmate 5.X Additional Lab License"</f>
        <v>Learnmate 5.X Additional Lab License</v>
      </c>
      <c r="C3908" t="str">
        <f>"Active"</f>
        <v>Active</v>
      </c>
    </row>
    <row r="3909" spans="1:3" ht="18" customHeight="1">
      <c r="A3909" t="str">
        <f>"17-1203-0000"</f>
        <v>17-1203-0000</v>
      </c>
      <c r="B3909" t="str">
        <f>"Learnmate 5.X Three Year Extended Support"</f>
        <v>Learnmate 5.X Three Year Extended Support</v>
      </c>
      <c r="C3909" t="str">
        <f>"Active"</f>
        <v>Active</v>
      </c>
    </row>
    <row r="3910" spans="1:3" ht="18" customHeight="1">
      <c r="A3910" t="str">
        <f>"17-1300-0001"</f>
        <v>17-1300-0001</v>
      </c>
      <c r="B3910" t="str">
        <f>"Learnmate 5.X Hosted Setup Fee &amp; Support"</f>
        <v>Learnmate 5.X Hosted Setup Fee &amp; Support</v>
      </c>
      <c r="C3910" t="str">
        <f>"Active"</f>
        <v>Active</v>
      </c>
    </row>
    <row r="3911" spans="1:3" ht="18" customHeight="1">
      <c r="A3911" t="str">
        <f>"17-1300-0010"</f>
        <v>17-1300-0010</v>
      </c>
      <c r="B3911" t="str">
        <f>"LM 5.X Hosted Annual per User (1-10 users)"</f>
        <v>LM 5.X Hosted Annual per User (1-10 users)</v>
      </c>
      <c r="C3911" t="str">
        <f t="shared" ref="C3911:C3919" si="172">"Inactive"</f>
        <v>Inactive</v>
      </c>
    </row>
    <row r="3912" spans="1:3" ht="18" customHeight="1">
      <c r="A3912" t="str">
        <f>"17-1300-0030"</f>
        <v>17-1300-0030</v>
      </c>
      <c r="B3912" t="str">
        <f>"LM 5.X Hosted Annual per User (11-30 users)"</f>
        <v>LM 5.X Hosted Annual per User (11-30 users)</v>
      </c>
      <c r="C3912" t="str">
        <f t="shared" si="172"/>
        <v>Inactive</v>
      </c>
    </row>
    <row r="3913" spans="1:3" ht="18" customHeight="1">
      <c r="A3913" t="str">
        <f>"17-1300-0075"</f>
        <v>17-1300-0075</v>
      </c>
      <c r="B3913" t="str">
        <f>"LM 5.X Hosted Annual per User (31-75 users)"</f>
        <v>LM 5.X Hosted Annual per User (31-75 users)</v>
      </c>
      <c r="C3913" t="str">
        <f t="shared" si="172"/>
        <v>Inactive</v>
      </c>
    </row>
    <row r="3914" spans="1:3" ht="18" customHeight="1">
      <c r="A3914" t="str">
        <f>"17-1300-0150"</f>
        <v>17-1300-0150</v>
      </c>
      <c r="B3914" t="str">
        <f>"LM 5.X Hosted Annual per User (76-150 users)"</f>
        <v>LM 5.X Hosted Annual per User (76-150 users)</v>
      </c>
      <c r="C3914" t="str">
        <f t="shared" si="172"/>
        <v>Inactive</v>
      </c>
    </row>
    <row r="3915" spans="1:3" ht="18" customHeight="1">
      <c r="A3915" t="str">
        <f>"17-1300-0499"</f>
        <v>17-1300-0499</v>
      </c>
      <c r="B3915" t="str">
        <f>"LM 5.X Hosted Annual per User (151-499 users)"</f>
        <v>LM 5.X Hosted Annual per User (151-499 users)</v>
      </c>
      <c r="C3915" t="str">
        <f t="shared" si="172"/>
        <v>Inactive</v>
      </c>
    </row>
    <row r="3916" spans="1:3" ht="18" customHeight="1">
      <c r="A3916" t="str">
        <f>"17-1300-0999"</f>
        <v>17-1300-0999</v>
      </c>
      <c r="B3916" t="str">
        <f>"LM 5.X Hosted Annual per User (500-999 users)"</f>
        <v>LM 5.X Hosted Annual per User (500-999 users)</v>
      </c>
      <c r="C3916" t="str">
        <f t="shared" si="172"/>
        <v>Inactive</v>
      </c>
    </row>
    <row r="3917" spans="1:3" ht="18" customHeight="1">
      <c r="A3917" t="str">
        <f>"17-1300-2499"</f>
        <v>17-1300-2499</v>
      </c>
      <c r="B3917" t="str">
        <f>"LM 5.X Hosted Annual per User (1000-2499 users)"</f>
        <v>LM 5.X Hosted Annual per User (1000-2499 users)</v>
      </c>
      <c r="C3917" t="str">
        <f t="shared" si="172"/>
        <v>Inactive</v>
      </c>
    </row>
    <row r="3918" spans="1:3" ht="18" customHeight="1">
      <c r="A3918" t="str">
        <f>"17-1300-5000"</f>
        <v>17-1300-5000</v>
      </c>
      <c r="B3918" t="str">
        <f>"LM 5.X Hosted Annual per User (2500-5000 users)"</f>
        <v>LM 5.X Hosted Annual per User (2500-5000 users)</v>
      </c>
      <c r="C3918" t="str">
        <f t="shared" si="172"/>
        <v>Inactive</v>
      </c>
    </row>
    <row r="3919" spans="1:3" ht="18" customHeight="1">
      <c r="A3919" t="str">
        <f>"17-1300-5001"</f>
        <v>17-1300-5001</v>
      </c>
      <c r="B3919" t="str">
        <f>"LM 5.X Hosted Annual per User (5001+ users)"</f>
        <v>LM 5.X Hosted Annual per User (5001+ users)</v>
      </c>
      <c r="C3919" t="str">
        <f t="shared" si="172"/>
        <v>Inactive</v>
      </c>
    </row>
    <row r="3920" spans="1:3" ht="18" customHeight="1">
      <c r="A3920" t="str">
        <f>"17-3001-0000"</f>
        <v>17-3001-0000</v>
      </c>
      <c r="B3920" t="str">
        <f>"LM 5 Content, Virtual, Auto Welding w/ER4U"</f>
        <v>LM 5 Content, Virtual, Auto Welding w/ER4U</v>
      </c>
      <c r="C3920" t="str">
        <f>"Active"</f>
        <v>Active</v>
      </c>
    </row>
    <row r="3921" spans="1:3" ht="18" customHeight="1">
      <c r="A3921" t="str">
        <f>"17-3001-0000-2"</f>
        <v>17-3001-0000-2</v>
      </c>
      <c r="B3921" t="str">
        <f>"LM5 Content, Vir, Sp, Auto Welding w/ER4U"</f>
        <v>LM5 Content, Vir, Sp, Auto Welding w/ER4U</v>
      </c>
      <c r="C3921" t="str">
        <f>"New"</f>
        <v>New</v>
      </c>
    </row>
    <row r="3922" spans="1:3" ht="18" customHeight="1">
      <c r="A3922" t="str">
        <f>"17-3001-0000-21"</f>
        <v>17-3001-0000-21</v>
      </c>
      <c r="B3922" t="str">
        <f>"LM5 Content, Vir, Sp, Auto Welding w/ER4U: 1"</f>
        <v>LM5 Content, Vir, Sp, Auto Welding w/ER4U: 1</v>
      </c>
      <c r="C3922" t="str">
        <f>"App. process"</f>
        <v>App. process</v>
      </c>
    </row>
    <row r="3923" spans="1:3" ht="18" customHeight="1">
      <c r="A3923" t="str">
        <f>"17-3001-0000-22"</f>
        <v>17-3001-0000-22</v>
      </c>
      <c r="B3923" t="str">
        <f>"LM5 Content, Vir, Sp, Auto Welding w/ER4U: 2"</f>
        <v>LM5 Content, Vir, Sp, Auto Welding w/ER4U: 2</v>
      </c>
      <c r="C3923" t="str">
        <f>"App. process"</f>
        <v>App. process</v>
      </c>
    </row>
    <row r="3924" spans="1:3" ht="18" customHeight="1">
      <c r="A3924" t="str">
        <f>"17-3004-0001"</f>
        <v>17-3004-0001</v>
      </c>
      <c r="B3924" t="str">
        <f>"LM5.X Content, Virtual, spectraCAD Engraving"</f>
        <v>LM5.X Content, Virtual, spectraCAD Engraving</v>
      </c>
      <c r="C3924" t="str">
        <f>"Active"</f>
        <v>Active</v>
      </c>
    </row>
    <row r="3925" spans="1:3" ht="18" customHeight="1">
      <c r="A3925" t="str">
        <f>"17-3004-0002"</f>
        <v>17-3004-0002</v>
      </c>
      <c r="B3925" t="str">
        <f>"LM5.X Content, Virtual, spectraCAD Engraving (M)"</f>
        <v>LM5.X Content, Virtual, spectraCAD Engraving (M)</v>
      </c>
      <c r="C3925" t="str">
        <f>"Active"</f>
        <v>Active</v>
      </c>
    </row>
    <row r="3926" spans="1:3" ht="18" customHeight="1">
      <c r="A3926" t="str">
        <f>"17-3004-0002-2"</f>
        <v>17-3004-0002-2</v>
      </c>
      <c r="B3926" t="str">
        <f>"LM5 Content, Vir, Sp, spectraCAD Engraving (M)"</f>
        <v>LM5 Content, Vir, Sp, spectraCAD Engraving (M)</v>
      </c>
      <c r="C3926" t="str">
        <f>"New"</f>
        <v>New</v>
      </c>
    </row>
    <row r="3927" spans="1:3" ht="18" customHeight="1">
      <c r="A3927" t="str">
        <f>"17-3004-0002-21"</f>
        <v>17-3004-0002-21</v>
      </c>
      <c r="B3927" t="str">
        <f>"LM5 Content, Vir, Sp, spectraCAD Engraving (M):1"</f>
        <v>LM5 Content, Vir, Sp, spectraCAD Engraving (M):1</v>
      </c>
      <c r="C3927" t="str">
        <f>"App. process"</f>
        <v>App. process</v>
      </c>
    </row>
    <row r="3928" spans="1:3" ht="18" customHeight="1">
      <c r="A3928" t="str">
        <f>"17-3004-0002-22"</f>
        <v>17-3004-0002-22</v>
      </c>
      <c r="B3928" t="str">
        <f>"LM5 Content, Vir, Sp, spectraCAD Engraving (M):2"</f>
        <v>LM5 Content, Vir, Sp, spectraCAD Engraving (M):2</v>
      </c>
      <c r="C3928" t="str">
        <f>"App. process"</f>
        <v>App. process</v>
      </c>
    </row>
    <row r="3929" spans="1:3" ht="18" customHeight="1">
      <c r="A3929" t="str">
        <f>"17-3004-0002-23"</f>
        <v>17-3004-0002-23</v>
      </c>
      <c r="B3929" t="str">
        <f>"LM5 Content, Vir, Sp, spectraCAD Engraving (M):3"</f>
        <v>LM5 Content, Vir, Sp, spectraCAD Engraving (M):3</v>
      </c>
      <c r="C3929" t="str">
        <f>"App. process"</f>
        <v>App. process</v>
      </c>
    </row>
    <row r="3930" spans="1:3" ht="18" customHeight="1">
      <c r="A3930" t="str">
        <f>"17-3004-0002-3"</f>
        <v>17-3004-0002-3</v>
      </c>
      <c r="B3930" t="str">
        <f>"LM5 Content, Vir, Por, spectraCAD Engraving (M)"</f>
        <v>LM5 Content, Vir, Por, spectraCAD Engraving (M)</v>
      </c>
      <c r="C3930" t="str">
        <f>"New"</f>
        <v>New</v>
      </c>
    </row>
    <row r="3931" spans="1:3" ht="18" customHeight="1">
      <c r="A3931" t="str">
        <f>"17-3005-0001"</f>
        <v>17-3005-0001</v>
      </c>
      <c r="B3931" t="str">
        <f>"LM5.X Content, Virtual, spectraCAM Milling"</f>
        <v>LM5.X Content, Virtual, spectraCAM Milling</v>
      </c>
      <c r="C3931" t="str">
        <f>"Active"</f>
        <v>Active</v>
      </c>
    </row>
    <row r="3932" spans="1:3" ht="18" customHeight="1">
      <c r="A3932" t="str">
        <f>"17-3005-0002"</f>
        <v>17-3005-0002</v>
      </c>
      <c r="B3932" t="str">
        <f>"LM5.X Content, Virtual, spectraCAM Milling (M)"</f>
        <v>LM5.X Content, Virtual, spectraCAM Milling (M)</v>
      </c>
      <c r="C3932" t="str">
        <f>"Active"</f>
        <v>Active</v>
      </c>
    </row>
    <row r="3933" spans="1:3" ht="18" customHeight="1">
      <c r="A3933" t="str">
        <f>"17-3005-0002-2"</f>
        <v>17-3005-0002-2</v>
      </c>
      <c r="B3933" t="str">
        <f>"LM5 Content, Vir,  Sp,spectraCAM Milling (M)"</f>
        <v>LM5 Content, Vir,  Sp,spectraCAM Milling (M)</v>
      </c>
      <c r="C3933" t="str">
        <f>"New"</f>
        <v>New</v>
      </c>
    </row>
    <row r="3934" spans="1:3" ht="18" customHeight="1">
      <c r="A3934" t="str">
        <f>"17-3005-0002-21"</f>
        <v>17-3005-0002-21</v>
      </c>
      <c r="B3934" t="str">
        <f>"LM5 Content, Vir,  Sp,spectraCAM Milling (M):1"</f>
        <v>LM5 Content, Vir,  Sp,spectraCAM Milling (M):1</v>
      </c>
      <c r="C3934" t="str">
        <f>"App. process"</f>
        <v>App. process</v>
      </c>
    </row>
    <row r="3935" spans="1:3" ht="18" customHeight="1">
      <c r="A3935" t="str">
        <f>"17-3005-0002-22"</f>
        <v>17-3005-0002-22</v>
      </c>
      <c r="B3935" t="str">
        <f>"LM5 Content, Vir,  Sp,spectraCAM Milling (M):2"</f>
        <v>LM5 Content, Vir,  Sp,spectraCAM Milling (M):2</v>
      </c>
      <c r="C3935" t="str">
        <f>"App. process"</f>
        <v>App. process</v>
      </c>
    </row>
    <row r="3936" spans="1:3" ht="18" customHeight="1">
      <c r="A3936" t="str">
        <f>"17-3005-0002-23"</f>
        <v>17-3005-0002-23</v>
      </c>
      <c r="B3936" t="str">
        <f>"LM5 Content, Vir,  Sp,spectraCAM Milling (M):3"</f>
        <v>LM5 Content, Vir,  Sp,spectraCAM Milling (M):3</v>
      </c>
      <c r="C3936" t="str">
        <f>"App. process"</f>
        <v>App. process</v>
      </c>
    </row>
    <row r="3937" spans="1:3" ht="18" customHeight="1">
      <c r="A3937" t="str">
        <f>"17-3005-0002-3"</f>
        <v>17-3005-0002-3</v>
      </c>
      <c r="B3937" t="str">
        <f>"LM5 Content, Vir, Por, spectraCAM Milling (M)"</f>
        <v>LM5 Content, Vir, Por, spectraCAM Milling (M)</v>
      </c>
      <c r="C3937" t="str">
        <f>"New"</f>
        <v>New</v>
      </c>
    </row>
    <row r="3938" spans="1:3" ht="18" customHeight="1">
      <c r="A3938" t="str">
        <f>"17-3006-0091"</f>
        <v>17-3006-0091</v>
      </c>
      <c r="B3938" t="str">
        <f>"LM5.X Content, Virtual, Mastercam Milling V9"</f>
        <v>LM5.X Content, Virtual, Mastercam Milling V9</v>
      </c>
      <c r="C3938" t="str">
        <f>"Active"</f>
        <v>Active</v>
      </c>
    </row>
    <row r="3939" spans="1:3" ht="18" customHeight="1">
      <c r="A3939" t="str">
        <f>"17-3006-0092"</f>
        <v>17-3006-0092</v>
      </c>
      <c r="B3939" t="str">
        <f>"LM5 Content, Virtual, Mastercam Milling V9 (M)"</f>
        <v>LM5 Content, Virtual, Mastercam Milling V9 (M)</v>
      </c>
      <c r="C3939" t="str">
        <f>"New"</f>
        <v>New</v>
      </c>
    </row>
    <row r="3940" spans="1:3" ht="18" customHeight="1">
      <c r="A3940" t="str">
        <f>"17-3007-0001"</f>
        <v>17-3007-0001</v>
      </c>
      <c r="B3940" t="str">
        <f>"LM5.X Content, Virtual, spectraCAM Turning"</f>
        <v>LM5.X Content, Virtual, spectraCAM Turning</v>
      </c>
      <c r="C3940" t="str">
        <f>"Active"</f>
        <v>Active</v>
      </c>
    </row>
    <row r="3941" spans="1:3" ht="18" customHeight="1">
      <c r="A3941" t="str">
        <f>"17-3007-0002"</f>
        <v>17-3007-0002</v>
      </c>
      <c r="B3941" t="str">
        <f>"LM5.X Content, Virtual, spectraCAM Turning (M)"</f>
        <v>LM5.X Content, Virtual, spectraCAM Turning (M)</v>
      </c>
      <c r="C3941" t="str">
        <f>"Active"</f>
        <v>Active</v>
      </c>
    </row>
    <row r="3942" spans="1:3" ht="18" customHeight="1">
      <c r="A3942" t="str">
        <f>"17-3007-0002-2"</f>
        <v>17-3007-0002-2</v>
      </c>
      <c r="B3942" t="str">
        <f>"LM5 Content, Vir, Sp, spectraCAM Turning (M)"</f>
        <v>LM5 Content, Vir, Sp, spectraCAM Turning (M)</v>
      </c>
      <c r="C3942" t="str">
        <f>"New"</f>
        <v>New</v>
      </c>
    </row>
    <row r="3943" spans="1:3" ht="18" customHeight="1">
      <c r="A3943" t="str">
        <f>"17-3007-0002-21"</f>
        <v>17-3007-0002-21</v>
      </c>
      <c r="B3943" t="str">
        <f>"LM5 Content, Vir, Sp, spectraCAM Turning (M):1"</f>
        <v>LM5 Content, Vir, Sp, spectraCAM Turning (M):1</v>
      </c>
      <c r="C3943" t="str">
        <f>"App. process"</f>
        <v>App. process</v>
      </c>
    </row>
    <row r="3944" spans="1:3" ht="18" customHeight="1">
      <c r="A3944" t="str">
        <f>"17-3007-0002-22"</f>
        <v>17-3007-0002-22</v>
      </c>
      <c r="B3944" t="str">
        <f>"LM5 Content, Vir, Sp, spectraCAM Turning (M):2"</f>
        <v>LM5 Content, Vir, Sp, spectraCAM Turning (M):2</v>
      </c>
      <c r="C3944" t="str">
        <f>"App. process"</f>
        <v>App. process</v>
      </c>
    </row>
    <row r="3945" spans="1:3" ht="18" customHeight="1">
      <c r="A3945" t="str">
        <f>"17-3007-0002-3"</f>
        <v>17-3007-0002-3</v>
      </c>
      <c r="B3945" t="str">
        <f>"LM5 Content, Vir, Por, spectraCAM Turning (M)"</f>
        <v>LM5 Content, Vir, Por, spectraCAM Turning (M)</v>
      </c>
      <c r="C3945" t="str">
        <f>"New"</f>
        <v>New</v>
      </c>
    </row>
    <row r="3946" spans="1:3" ht="18" customHeight="1">
      <c r="A3946" t="str">
        <f>"17-3008-0091"</f>
        <v>17-3008-0091</v>
      </c>
      <c r="B3946" t="str">
        <f>"LM5.X Content, Virtual, Mastercam Turning V9"</f>
        <v>LM5.X Content, Virtual, Mastercam Turning V9</v>
      </c>
      <c r="C3946" t="str">
        <f>"Active"</f>
        <v>Active</v>
      </c>
    </row>
    <row r="3947" spans="1:3" ht="18" customHeight="1">
      <c r="A3947" t="str">
        <f>"17-3008-0092"</f>
        <v>17-3008-0092</v>
      </c>
      <c r="B3947" t="str">
        <f>"LM5 Content, Virtual, Mastercam Turning V9 (M)"</f>
        <v>LM5 Content, Virtual, Mastercam Turning V9 (M)</v>
      </c>
      <c r="C3947" t="str">
        <f>"New"</f>
        <v>New</v>
      </c>
    </row>
    <row r="3948" spans="1:3" ht="18" customHeight="1">
      <c r="A3948" t="str">
        <f>"17-3009-0001"</f>
        <v>17-3009-0001</v>
      </c>
      <c r="B3948" t="str">
        <f>"LM5.X Content, Virtual, CNC Milling w/SLM"</f>
        <v>LM5.X Content, Virtual, CNC Milling w/SLM</v>
      </c>
      <c r="C3948" t="str">
        <f>"Active"</f>
        <v>Active</v>
      </c>
    </row>
    <row r="3949" spans="1:3" ht="18" customHeight="1">
      <c r="A3949" t="str">
        <f>"17-3009-0002"</f>
        <v>17-3009-0002</v>
      </c>
      <c r="B3949" t="str">
        <f>"LM5 Content, Virtual, CNC Milling w/SLM (M)"</f>
        <v>LM5 Content, Virtual, CNC Milling w/SLM (M)</v>
      </c>
      <c r="C3949" t="str">
        <f>"New"</f>
        <v>New</v>
      </c>
    </row>
    <row r="3950" spans="1:3" ht="18" customHeight="1">
      <c r="A3950" t="str">
        <f>"17-3010-0001"</f>
        <v>17-3010-0001</v>
      </c>
      <c r="B3950" t="str">
        <f>"LM5.X Content, Virtual, CNC Milling w/PLM"</f>
        <v>LM5.X Content, Virtual, CNC Milling w/PLM</v>
      </c>
      <c r="C3950" t="str">
        <f>"Active"</f>
        <v>Active</v>
      </c>
    </row>
    <row r="3951" spans="1:3" ht="18" customHeight="1">
      <c r="A3951" t="str">
        <f>"17-3010-0002-21"</f>
        <v>17-3010-0002-21</v>
      </c>
      <c r="B3951" t="str">
        <f>"LM5 Content, Vir, Sp, CNC Milling w/PLM:1"</f>
        <v>LM5 Content, Vir, Sp, CNC Milling w/PLM:1</v>
      </c>
      <c r="C3951" t="str">
        <f>"App. process"</f>
        <v>App. process</v>
      </c>
    </row>
    <row r="3952" spans="1:3" ht="18" customHeight="1">
      <c r="A3952" t="str">
        <f>"17-3010-0002-22"</f>
        <v>17-3010-0002-22</v>
      </c>
      <c r="B3952" t="str">
        <f>"LM5 Content, Vir, Sp, CNC Milling w/PLM:2"</f>
        <v>LM5 Content, Vir, Sp, CNC Milling w/PLM:2</v>
      </c>
      <c r="C3952" t="str">
        <f>"App. process"</f>
        <v>App. process</v>
      </c>
    </row>
    <row r="3953" spans="1:3" ht="18" customHeight="1">
      <c r="A3953" t="str">
        <f>"17-3010-0002-23"</f>
        <v>17-3010-0002-23</v>
      </c>
      <c r="B3953" t="str">
        <f>"LM5 Content, Vir, Sp, CNC Milling w/PLM:3"</f>
        <v>LM5 Content, Vir, Sp, CNC Milling w/PLM:3</v>
      </c>
      <c r="C3953" t="str">
        <f>"App. process"</f>
        <v>App. process</v>
      </c>
    </row>
    <row r="3954" spans="1:3" ht="18" customHeight="1">
      <c r="A3954" t="str">
        <f>"17-3011-0001"</f>
        <v>17-3011-0001</v>
      </c>
      <c r="B3954" t="str">
        <f>"LM5.X Content, Virtual, CNC Turning w/SLT"</f>
        <v>LM5.X Content, Virtual, CNC Turning w/SLT</v>
      </c>
      <c r="C3954" t="str">
        <f>"Active"</f>
        <v>Active</v>
      </c>
    </row>
    <row r="3955" spans="1:3" ht="18" customHeight="1">
      <c r="A3955" t="str">
        <f>"17-3011-0002"</f>
        <v>17-3011-0002</v>
      </c>
      <c r="B3955" t="str">
        <f>"LM5.X Content, Virtual, CNC Turning w/SLT (M)"</f>
        <v>LM5.X Content, Virtual, CNC Turning w/SLT (M)</v>
      </c>
      <c r="C3955" t="str">
        <f>"Active"</f>
        <v>Active</v>
      </c>
    </row>
    <row r="3956" spans="1:3" ht="18" customHeight="1">
      <c r="A3956" t="str">
        <f>"17-3012-0001"</f>
        <v>17-3012-0001</v>
      </c>
      <c r="B3956" t="str">
        <f>"LM5.X Content, Virtual, CNC Turning w/PLT"</f>
        <v>LM5.X Content, Virtual, CNC Turning w/PLT</v>
      </c>
      <c r="C3956" t="str">
        <f>"Active"</f>
        <v>Active</v>
      </c>
    </row>
    <row r="3957" spans="1:3" ht="18" customHeight="1">
      <c r="A3957" t="str">
        <f>"17-3012-0002"</f>
        <v>17-3012-0002</v>
      </c>
      <c r="B3957" t="str">
        <f>"LM5 Content, Virtual, CNC Turning w/PLT (M)"</f>
        <v>LM5 Content, Virtual, CNC Turning w/PLT (M)</v>
      </c>
      <c r="C3957" t="str">
        <f>"Active"</f>
        <v>Active</v>
      </c>
    </row>
    <row r="3958" spans="1:3" ht="18" customHeight="1">
      <c r="A3958" t="str">
        <f>"17-3012-0002-2"</f>
        <v>17-3012-0002-2</v>
      </c>
      <c r="B3958" t="str">
        <f>"LM5 Content, Vir, Sp, CNC Turning w/PLT (M)"</f>
        <v>LM5 Content, Vir, Sp, CNC Turning w/PLT (M)</v>
      </c>
      <c r="C3958" t="str">
        <f>"New"</f>
        <v>New</v>
      </c>
    </row>
    <row r="3959" spans="1:3" ht="18" customHeight="1">
      <c r="A3959" t="str">
        <f>"17-3012-0002-21"</f>
        <v>17-3012-0002-21</v>
      </c>
      <c r="B3959" t="str">
        <f>"LM5 Content, Vir, Sp, CNC Turning w/PLT (M):1"</f>
        <v>LM5 Content, Vir, Sp, CNC Turning w/PLT (M):1</v>
      </c>
      <c r="C3959" t="str">
        <f>"App. process"</f>
        <v>App. process</v>
      </c>
    </row>
    <row r="3960" spans="1:3" ht="18" customHeight="1">
      <c r="A3960" t="str">
        <f>"17-3012-0002-22"</f>
        <v>17-3012-0002-22</v>
      </c>
      <c r="B3960" t="str">
        <f>"LM5 Content, Vir, Sp, CNC Turning w/PLT (M):2"</f>
        <v>LM5 Content, Vir, Sp, CNC Turning w/PLT (M):2</v>
      </c>
      <c r="C3960" t="str">
        <f>"App. process"</f>
        <v>App. process</v>
      </c>
    </row>
    <row r="3961" spans="1:3" ht="18" customHeight="1">
      <c r="A3961" t="str">
        <f>"17-3012-0002-23"</f>
        <v>17-3012-0002-23</v>
      </c>
      <c r="B3961" t="str">
        <f>"LM5 Content, Vir, Sp, CNC Turning w/PLT (M):3"</f>
        <v>LM5 Content, Vir, Sp, CNC Turning w/PLT (M):3</v>
      </c>
      <c r="C3961" t="str">
        <f>"App. process"</f>
        <v>App. process</v>
      </c>
    </row>
    <row r="3962" spans="1:3" ht="18" customHeight="1">
      <c r="A3962" t="str">
        <f>"17-3013-0001"</f>
        <v>17-3013-0001</v>
      </c>
      <c r="B3962" t="str">
        <f>"LM5.X Content, Virtual, Prog w/Personal Tutor"</f>
        <v>LM5.X Content, Virtual, Prog w/Personal Tutor</v>
      </c>
      <c r="C3962" t="str">
        <f>"Inactive"</f>
        <v>Inactive</v>
      </c>
    </row>
    <row r="3963" spans="1:3" ht="18" customHeight="1">
      <c r="A3963" t="str">
        <f>"17-3015-0000"</f>
        <v>17-3015-0000</v>
      </c>
      <c r="B3963" t="str">
        <f>"LM5 Content, Virtual, CIM1"</f>
        <v>LM5 Content, Virtual, CIM1</v>
      </c>
      <c r="C3963" t="str">
        <f>"Active"</f>
        <v>Active</v>
      </c>
    </row>
    <row r="3964" spans="1:3" ht="18" customHeight="1">
      <c r="A3964" t="str">
        <f>"17-3015-0000-2"</f>
        <v>17-3015-0000-2</v>
      </c>
      <c r="B3964" t="str">
        <f>"LM5 Content, Vir, Sp, CIM1"</f>
        <v>LM5 Content, Vir, Sp, CIM1</v>
      </c>
      <c r="C3964" t="str">
        <f>"Active"</f>
        <v>Active</v>
      </c>
    </row>
    <row r="3965" spans="1:3" ht="18" customHeight="1">
      <c r="A3965" t="str">
        <f>"17-3015-0000-21"</f>
        <v>17-3015-0000-21</v>
      </c>
      <c r="B3965" t="str">
        <f>"LM5 Content, Vir, Sp, CIM:1"</f>
        <v>LM5 Content, Vir, Sp, CIM:1</v>
      </c>
      <c r="C3965" t="str">
        <f>"App. process"</f>
        <v>App. process</v>
      </c>
    </row>
    <row r="3966" spans="1:3" ht="18" customHeight="1">
      <c r="A3966" t="str">
        <f>"17-3015-0000-22"</f>
        <v>17-3015-0000-22</v>
      </c>
      <c r="B3966" t="str">
        <f>"LM5 Content, Vir, Sp, CIM:2"</f>
        <v>LM5 Content, Vir, Sp, CIM:2</v>
      </c>
      <c r="C3966" t="str">
        <f>"App. process"</f>
        <v>App. process</v>
      </c>
    </row>
    <row r="3967" spans="1:3" ht="18" customHeight="1">
      <c r="A3967" t="str">
        <f>"17-3015-0000-23"</f>
        <v>17-3015-0000-23</v>
      </c>
      <c r="B3967" t="str">
        <f>"LM5 Content, Vir, Sp, CIM:3"</f>
        <v>LM5 Content, Vir, Sp, CIM:3</v>
      </c>
      <c r="C3967" t="str">
        <f>"App. process"</f>
        <v>App. process</v>
      </c>
    </row>
    <row r="3968" spans="1:3" ht="18" customHeight="1">
      <c r="A3968" t="str">
        <f>"17-3016-0000"</f>
        <v>17-3016-0000</v>
      </c>
      <c r="B3968" t="str">
        <f>"LM5 Content, Virtual, CIM 2"</f>
        <v>LM5 Content, Virtual, CIM 2</v>
      </c>
      <c r="C3968" t="str">
        <f>"Active"</f>
        <v>Active</v>
      </c>
    </row>
    <row r="3969" spans="1:3" ht="18" customHeight="1">
      <c r="A3969" t="str">
        <f>"17-3016-0000-2"</f>
        <v>17-3016-0000-2</v>
      </c>
      <c r="B3969" t="str">
        <f>"LM5 Content, Vir, Sp, CIM 2"</f>
        <v>LM5 Content, Vir, Sp, CIM 2</v>
      </c>
      <c r="C3969" t="str">
        <f>"Active"</f>
        <v>Active</v>
      </c>
    </row>
    <row r="3970" spans="1:3" ht="18" customHeight="1">
      <c r="A3970" t="str">
        <f>"17-3016-0000-21"</f>
        <v>17-3016-0000-21</v>
      </c>
      <c r="B3970" t="str">
        <f>"LM5 Content, Vir, Sp, CIM:4"</f>
        <v>LM5 Content, Vir, Sp, CIM:4</v>
      </c>
      <c r="C3970" t="str">
        <f>"App. process"</f>
        <v>App. process</v>
      </c>
    </row>
    <row r="3971" spans="1:3" ht="18" customHeight="1">
      <c r="A3971" t="str">
        <f>"17-3016-0000-22"</f>
        <v>17-3016-0000-22</v>
      </c>
      <c r="B3971" t="str">
        <f>"LM5 Content, Vir, Sp, CIM:5"</f>
        <v>LM5 Content, Vir, Sp, CIM:5</v>
      </c>
      <c r="C3971" t="str">
        <f>"App. process"</f>
        <v>App. process</v>
      </c>
    </row>
    <row r="3972" spans="1:3" ht="18" customHeight="1">
      <c r="A3972" t="str">
        <f>"17-3016-0000-23"</f>
        <v>17-3016-0000-23</v>
      </c>
      <c r="B3972" t="str">
        <f>"LM5 Content, Vir, Sp, CIM:6"</f>
        <v>LM5 Content, Vir, Sp, CIM:6</v>
      </c>
      <c r="C3972" t="str">
        <f>"App. process"</f>
        <v>App. process</v>
      </c>
    </row>
    <row r="3973" spans="1:3" ht="18" customHeight="1">
      <c r="A3973" t="str">
        <f>"17-3019-0000"</f>
        <v>17-3019-0000</v>
      </c>
      <c r="B3973" t="str">
        <f>"LM5 Content, Virtual, Fund of Electronics"</f>
        <v>LM5 Content, Virtual, Fund of Electronics</v>
      </c>
      <c r="C3973" t="str">
        <f>"Active"</f>
        <v>Active</v>
      </c>
    </row>
    <row r="3974" spans="1:3" ht="18" customHeight="1">
      <c r="A3974" t="str">
        <f>"17-3019-0000-2"</f>
        <v>17-3019-0000-2</v>
      </c>
      <c r="B3974" t="str">
        <f>"LM5 Content, Vir, Sp, Fund of Electronics"</f>
        <v>LM5 Content, Vir, Sp, Fund of Electronics</v>
      </c>
      <c r="C3974" t="str">
        <f>"New"</f>
        <v>New</v>
      </c>
    </row>
    <row r="3975" spans="1:3" ht="18" customHeight="1">
      <c r="A3975" t="str">
        <f>"17-3019-0000-21"</f>
        <v>17-3019-0000-21</v>
      </c>
      <c r="B3975" t="str">
        <f>"LM5 Content, Vir, Sp, Fund of Electronics:1"</f>
        <v>LM5 Content, Vir, Sp, Fund of Electronics:1</v>
      </c>
      <c r="C3975" t="str">
        <f>"App. process"</f>
        <v>App. process</v>
      </c>
    </row>
    <row r="3976" spans="1:3" ht="18" customHeight="1">
      <c r="A3976" t="str">
        <f>"17-3019-0000-22"</f>
        <v>17-3019-0000-22</v>
      </c>
      <c r="B3976" t="str">
        <f>"LM5 Content, Vir, Sp, Fund of Electronics:2"</f>
        <v>LM5 Content, Vir, Sp, Fund of Electronics:2</v>
      </c>
      <c r="C3976" t="str">
        <f>"App. process"</f>
        <v>App. process</v>
      </c>
    </row>
    <row r="3977" spans="1:3" ht="18" customHeight="1">
      <c r="A3977" t="str">
        <f>"17-3019-0000-23"</f>
        <v>17-3019-0000-23</v>
      </c>
      <c r="B3977" t="str">
        <f>"LM5 Content, Vir, Sp, Fund of Electronics:3"</f>
        <v>LM5 Content, Vir, Sp, Fund of Electronics:3</v>
      </c>
      <c r="C3977" t="str">
        <f>"App. process"</f>
        <v>App. process</v>
      </c>
    </row>
    <row r="3978" spans="1:3" ht="18" customHeight="1">
      <c r="A3978" t="str">
        <f>"17-3019-0000-3"</f>
        <v>17-3019-0000-3</v>
      </c>
      <c r="B3978" t="str">
        <f>"LM5 Content, Vir, Por, Fund of Electronics"</f>
        <v>LM5 Content, Vir, Por, Fund of Electronics</v>
      </c>
      <c r="C3978" t="str">
        <f>"Active"</f>
        <v>Active</v>
      </c>
    </row>
    <row r="3979" spans="1:3" ht="18" customHeight="1">
      <c r="A3979" t="str">
        <f>"17-3020-0000"</f>
        <v>17-3020-0000</v>
      </c>
      <c r="B3979" t="str">
        <f>"LM5 Content, Virtual, Advanced Electronics"</f>
        <v>LM5 Content, Virtual, Advanced Electronics</v>
      </c>
      <c r="C3979" t="str">
        <f>"Active"</f>
        <v>Active</v>
      </c>
    </row>
    <row r="3980" spans="1:3" ht="18" customHeight="1">
      <c r="A3980" t="str">
        <f>"17-3020-0000-2"</f>
        <v>17-3020-0000-2</v>
      </c>
      <c r="B3980" t="str">
        <f>"LM5 Content, Vir, Sp, Advanced Electronics"</f>
        <v>LM5 Content, Vir, Sp, Advanced Electronics</v>
      </c>
      <c r="C3980" t="str">
        <f>"New"</f>
        <v>New</v>
      </c>
    </row>
    <row r="3981" spans="1:3" ht="18" customHeight="1">
      <c r="A3981" t="str">
        <f>"17-3020-0000-21"</f>
        <v>17-3020-0000-21</v>
      </c>
      <c r="B3981" t="str">
        <f>"LM5 Content, Vir, Sp, Advanced Electronics:1"</f>
        <v>LM5 Content, Vir, Sp, Advanced Electronics:1</v>
      </c>
      <c r="C3981" t="str">
        <f>"App. process"</f>
        <v>App. process</v>
      </c>
    </row>
    <row r="3982" spans="1:3" ht="18" customHeight="1">
      <c r="A3982" t="str">
        <f>"17-3020-0000-22"</f>
        <v>17-3020-0000-22</v>
      </c>
      <c r="B3982" t="str">
        <f>"LM5 Content, Vir, Sp, Advanced Electronics:2"</f>
        <v>LM5 Content, Vir, Sp, Advanced Electronics:2</v>
      </c>
      <c r="C3982" t="str">
        <f>"App. process"</f>
        <v>App. process</v>
      </c>
    </row>
    <row r="3983" spans="1:3" ht="18" customHeight="1">
      <c r="A3983" t="str">
        <f>"17-3020-0000-23"</f>
        <v>17-3020-0000-23</v>
      </c>
      <c r="B3983" t="str">
        <f>"LM5 Content, Vir, Sp, Advanced Electronics:3"</f>
        <v>LM5 Content, Vir, Sp, Advanced Electronics:3</v>
      </c>
      <c r="C3983" t="str">
        <f>"App. process"</f>
        <v>App. process</v>
      </c>
    </row>
    <row r="3984" spans="1:3" ht="18" customHeight="1">
      <c r="A3984" t="str">
        <f>"17-3020-0000-3"</f>
        <v>17-3020-0000-3</v>
      </c>
      <c r="B3984" t="str">
        <f>"LM5 Content, Vir, Por, Advanced Electronics"</f>
        <v>LM5 Content, Vir, Por, Advanced Electronics</v>
      </c>
      <c r="C3984" t="str">
        <f>"Active"</f>
        <v>Active</v>
      </c>
    </row>
    <row r="3985" spans="1:3" ht="18" customHeight="1">
      <c r="A3985" t="str">
        <f>"17-3021-0000"</f>
        <v>17-3021-0000</v>
      </c>
      <c r="B3985" t="str">
        <f>"LM5 Content, Virtual, Fiber Optics"</f>
        <v>LM5 Content, Virtual, Fiber Optics</v>
      </c>
      <c r="C3985" t="str">
        <f>"Active"</f>
        <v>Active</v>
      </c>
    </row>
    <row r="3986" spans="1:3" ht="18" customHeight="1">
      <c r="A3986" t="str">
        <f>"17-3022-0000"</f>
        <v>17-3022-0000</v>
      </c>
      <c r="B3986" t="str">
        <f>"LM5.X Content,Virtual,Flexible Manufacturing Sys"</f>
        <v>LM5.X Content,Virtual,Flexible Manufacturing Sys</v>
      </c>
      <c r="C3986" t="str">
        <f>"Active"</f>
        <v>Active</v>
      </c>
    </row>
    <row r="3987" spans="1:3" ht="18" customHeight="1">
      <c r="A3987" t="str">
        <f>"17-3025-0000"</f>
        <v>17-3025-0000</v>
      </c>
      <c r="B3987" t="str">
        <f>"LM5 Content, Virtual, Hydraulics 2"</f>
        <v>LM5 Content, Virtual, Hydraulics 2</v>
      </c>
      <c r="C3987" t="str">
        <f>"Active"</f>
        <v>Active</v>
      </c>
    </row>
    <row r="3988" spans="1:3" ht="18" customHeight="1">
      <c r="A3988" t="str">
        <f>"17-3025-0000-2"</f>
        <v>17-3025-0000-2</v>
      </c>
      <c r="B3988" t="str">
        <f>"LM5 Content, Vir, Sp, Hydraulics 2"</f>
        <v>LM5 Content, Vir, Sp, Hydraulics 2</v>
      </c>
      <c r="C3988" t="str">
        <f>"New"</f>
        <v>New</v>
      </c>
    </row>
    <row r="3989" spans="1:3" ht="18" customHeight="1">
      <c r="A3989" t="str">
        <f>"17-3025-0000-21"</f>
        <v>17-3025-0000-21</v>
      </c>
      <c r="B3989" t="str">
        <f>"LM5 Content, Vir, Sp, Hydraulics:1"</f>
        <v>LM5 Content, Vir, Sp, Hydraulics:1</v>
      </c>
      <c r="C3989" t="str">
        <f>"App. process"</f>
        <v>App. process</v>
      </c>
    </row>
    <row r="3990" spans="1:3" ht="18" customHeight="1">
      <c r="A3990" t="str">
        <f>"17-3025-0000-22"</f>
        <v>17-3025-0000-22</v>
      </c>
      <c r="B3990" t="str">
        <f>"LM5 Content, Vir, Sp, Hydraulics:2"</f>
        <v>LM5 Content, Vir, Sp, Hydraulics:2</v>
      </c>
      <c r="C3990" t="str">
        <f>"App. process"</f>
        <v>App. process</v>
      </c>
    </row>
    <row r="3991" spans="1:3" ht="18" customHeight="1">
      <c r="A3991" t="str">
        <f>"17-3025-0000-23"</f>
        <v>17-3025-0000-23</v>
      </c>
      <c r="B3991" t="str">
        <f>"LM5 Content, Vir, Sp, Hydraulics:3"</f>
        <v>LM5 Content, Vir, Sp, Hydraulics:3</v>
      </c>
      <c r="C3991" t="str">
        <f>"App. process"</f>
        <v>App. process</v>
      </c>
    </row>
    <row r="3992" spans="1:3" ht="18" customHeight="1">
      <c r="A3992" t="str">
        <f>"17-3025-0000-3"</f>
        <v>17-3025-0000-3</v>
      </c>
      <c r="B3992" t="str">
        <f>"LM5 Content, Vir, Por, Hydraulics 2"</f>
        <v>LM5 Content, Vir, Por, Hydraulics 2</v>
      </c>
      <c r="C3992" t="str">
        <f>"Active"</f>
        <v>Active</v>
      </c>
    </row>
    <row r="3993" spans="1:3" ht="18" customHeight="1">
      <c r="A3993" t="str">
        <f>"17-3026-0000"</f>
        <v>17-3026-0000</v>
      </c>
      <c r="B3993" t="str">
        <f>"LM5Content Vir, H3: Advanced  Electro-hydraulics"</f>
        <v>LM5Content Vir, H3: Advanced  Electro-hydraulics</v>
      </c>
      <c r="C3993" t="str">
        <f>"Active"</f>
        <v>Active</v>
      </c>
    </row>
    <row r="3994" spans="1:3" ht="18" customHeight="1">
      <c r="A3994" t="str">
        <f>"17-3026-0000-2"</f>
        <v>17-3026-0000-2</v>
      </c>
      <c r="B3994" t="str">
        <f>"LM5 Content, Vir, Sp,  Adv.  Electro-hydraulics"</f>
        <v>LM5 Content, Vir, Sp,  Adv.  Electro-hydraulics</v>
      </c>
      <c r="C3994" t="str">
        <f>"New"</f>
        <v>New</v>
      </c>
    </row>
    <row r="3995" spans="1:3" ht="18" customHeight="1">
      <c r="A3995" t="str">
        <f>"17-3026-0000-21"</f>
        <v>17-3026-0000-21</v>
      </c>
      <c r="B3995" t="str">
        <f>"LM5 Content, Vir, Sp, Adv.  Electro-hydraulics:1"</f>
        <v>LM5 Content, Vir, Sp, Adv.  Electro-hydraulics:1</v>
      </c>
      <c r="C3995" t="str">
        <f>"App. process"</f>
        <v>App. process</v>
      </c>
    </row>
    <row r="3996" spans="1:3" ht="18" customHeight="1">
      <c r="A3996" t="str">
        <f>"17-3027-0000"</f>
        <v>17-3027-0000</v>
      </c>
      <c r="B3996" t="str">
        <f>"LM5 Content, Virtual, Vision &amp; Image Process."</f>
        <v>LM5 Content, Virtual, Vision &amp; Image Process.</v>
      </c>
      <c r="C3996" t="str">
        <f>"Active"</f>
        <v>Active</v>
      </c>
    </row>
    <row r="3997" spans="1:3" ht="18" customHeight="1">
      <c r="A3997" t="str">
        <f>"17-3027-0000-2"</f>
        <v>17-3027-0000-2</v>
      </c>
      <c r="B3997" t="str">
        <f>"LM5 Content, Vir, Sp, Vision &amp; Image Process"</f>
        <v>LM5 Content, Vir, Sp, Vision &amp; Image Process</v>
      </c>
      <c r="C3997" t="str">
        <f>"New"</f>
        <v>New</v>
      </c>
    </row>
    <row r="3998" spans="1:3" ht="18" customHeight="1">
      <c r="A3998" t="str">
        <f>"17-3027-0000-21"</f>
        <v>17-3027-0000-21</v>
      </c>
      <c r="B3998" t="str">
        <f>"LM5 Content, Vir, Sp, Vision &amp; Image Process:1"</f>
        <v>LM5 Content, Vir, Sp, Vision &amp; Image Process:1</v>
      </c>
      <c r="C3998" t="str">
        <f>"App. process"</f>
        <v>App. process</v>
      </c>
    </row>
    <row r="3999" spans="1:3" ht="18" customHeight="1">
      <c r="A3999" t="str">
        <f>"17-3027-0000-22"</f>
        <v>17-3027-0000-22</v>
      </c>
      <c r="B3999" t="str">
        <f>"LM5 Content, Vir, Sp, Vision &amp; Image Process:2"</f>
        <v>LM5 Content, Vir, Sp, Vision &amp; Image Process:2</v>
      </c>
      <c r="C3999" t="str">
        <f>"App. process"</f>
        <v>App. process</v>
      </c>
    </row>
    <row r="4000" spans="1:3" ht="18" customHeight="1">
      <c r="A4000" t="str">
        <f>"17-3028-0000"</f>
        <v>17-3028-0000</v>
      </c>
      <c r="B4000" t="str">
        <f>"LM5 Content, Virtual, Exploring Vision &amp; QC"</f>
        <v>LM5 Content, Virtual, Exploring Vision &amp; QC</v>
      </c>
      <c r="C4000" t="str">
        <f>"Active"</f>
        <v>Active</v>
      </c>
    </row>
    <row r="4001" spans="1:3" ht="18" customHeight="1">
      <c r="A4001" t="str">
        <f>"17-3029-0000"</f>
        <v>17-3029-0000</v>
      </c>
      <c r="B4001" t="str">
        <f>"LM5 Content, Virtual, Materials Testing"</f>
        <v>LM5 Content, Virtual, Materials Testing</v>
      </c>
      <c r="C4001" t="str">
        <f>"Active"</f>
        <v>Active</v>
      </c>
    </row>
    <row r="4002" spans="1:3" ht="18" customHeight="1">
      <c r="A4002" t="str">
        <f>"17-3029-0000-2"</f>
        <v>17-3029-0000-2</v>
      </c>
      <c r="B4002" t="str">
        <f>"LM5 Content, Vir, Sp, Materials Testing"</f>
        <v>LM5 Content, Vir, Sp, Materials Testing</v>
      </c>
      <c r="C4002" t="str">
        <f>"New"</f>
        <v>New</v>
      </c>
    </row>
    <row r="4003" spans="1:3" ht="18" customHeight="1">
      <c r="A4003" t="str">
        <f>"17-3029-0000-21"</f>
        <v>17-3029-0000-21</v>
      </c>
      <c r="B4003" t="str">
        <f>"LM5 Content, Vir, Sp, Materials Testing:1"</f>
        <v>LM5 Content, Vir, Sp, Materials Testing:1</v>
      </c>
      <c r="C4003" t="str">
        <f>"App. process"</f>
        <v>App. process</v>
      </c>
    </row>
    <row r="4004" spans="1:3" ht="18" customHeight="1">
      <c r="A4004" t="str">
        <f>"17-3029-0000-22"</f>
        <v>17-3029-0000-22</v>
      </c>
      <c r="B4004" t="str">
        <f>"LM5 Content, Vir, Sp, Materials Testing:2"</f>
        <v>LM5 Content, Vir, Sp, Materials Testing:2</v>
      </c>
      <c r="C4004" t="str">
        <f>"App. process"</f>
        <v>App. process</v>
      </c>
    </row>
    <row r="4005" spans="1:3" ht="18" customHeight="1">
      <c r="A4005" t="str">
        <f>"17-3029-0000-23"</f>
        <v>17-3029-0000-23</v>
      </c>
      <c r="B4005" t="str">
        <f>"LM5 Content, Vir, Sp, Materials Testing:3"</f>
        <v>LM5 Content, Vir, Sp, Materials Testing:3</v>
      </c>
      <c r="C4005" t="str">
        <f>"App. process"</f>
        <v>App. process</v>
      </c>
    </row>
    <row r="4006" spans="1:3" ht="18" customHeight="1">
      <c r="A4006" t="str">
        <f>"17-3032-0000"</f>
        <v>17-3032-0000</v>
      </c>
      <c r="B4006" t="str">
        <f>"LM5 Content, Lab/Vir, PLC 1"</f>
        <v>LM5 Content, Lab/Vir, PLC 1</v>
      </c>
      <c r="C4006" t="str">
        <f>"Active"</f>
        <v>Active</v>
      </c>
    </row>
    <row r="4007" spans="1:3" ht="18" customHeight="1">
      <c r="A4007" t="str">
        <f>"17-3032-0000-2"</f>
        <v>17-3032-0000-2</v>
      </c>
      <c r="B4007" t="str">
        <f>"LM5 Content, Lab/Vir, Sp, PLC 1"</f>
        <v>LM5 Content, Lab/Vir, Sp, PLC 1</v>
      </c>
      <c r="C4007" t="str">
        <f>"New"</f>
        <v>New</v>
      </c>
    </row>
    <row r="4008" spans="1:3" ht="18" customHeight="1">
      <c r="A4008" t="str">
        <f>"17-3032-0000-21"</f>
        <v>17-3032-0000-21</v>
      </c>
      <c r="B4008" t="str">
        <f>"LM5 Content, Lab/Vir, Sp, PLC 1:1"</f>
        <v>LM5 Content, Lab/Vir, Sp, PLC 1:1</v>
      </c>
      <c r="C4008" t="str">
        <f>"App. process"</f>
        <v>App. process</v>
      </c>
    </row>
    <row r="4009" spans="1:3" ht="18" customHeight="1">
      <c r="A4009" t="str">
        <f>"17-3032-0000-22"</f>
        <v>17-3032-0000-22</v>
      </c>
      <c r="B4009" t="str">
        <f>"LM5 Content, Lab/Vir, Sp, PLC 1:2"</f>
        <v>LM5 Content, Lab/Vir, Sp, PLC 1:2</v>
      </c>
      <c r="C4009" t="str">
        <f>"App. process"</f>
        <v>App. process</v>
      </c>
    </row>
    <row r="4010" spans="1:3" ht="18" customHeight="1">
      <c r="A4010" t="str">
        <f>"17-3032-0000-23"</f>
        <v>17-3032-0000-23</v>
      </c>
      <c r="B4010" t="str">
        <f>"LM5 Content, Lab/Vir, Sp, PLC 1:3"</f>
        <v>LM5 Content, Lab/Vir, Sp, PLC 1:3</v>
      </c>
      <c r="C4010" t="str">
        <f>"App. process"</f>
        <v>App. process</v>
      </c>
    </row>
    <row r="4011" spans="1:3" ht="18" customHeight="1">
      <c r="A4011" t="str">
        <f>"17-3032-0000-3"</f>
        <v>17-3032-0000-3</v>
      </c>
      <c r="B4011" t="str">
        <f>"LM5 Content, Lab/Vir, Por, PLC 1"</f>
        <v>LM5 Content, Lab/Vir, Por, PLC 1</v>
      </c>
      <c r="C4011" t="str">
        <f>"Active"</f>
        <v>Active</v>
      </c>
    </row>
    <row r="4012" spans="1:3" ht="18" customHeight="1">
      <c r="A4012" t="str">
        <f>"17-3033-0000"</f>
        <v>17-3033-0000</v>
      </c>
      <c r="B4012" t="str">
        <f>"LM5 Content, Lab/Vir, PLC 2"</f>
        <v>LM5 Content, Lab/Vir, PLC 2</v>
      </c>
      <c r="C4012" t="str">
        <f>"Active"</f>
        <v>Active</v>
      </c>
    </row>
    <row r="4013" spans="1:3" ht="18" customHeight="1">
      <c r="A4013" t="str">
        <f>"17-3033-0000-2"</f>
        <v>17-3033-0000-2</v>
      </c>
      <c r="B4013" t="str">
        <f>"LM5 Content, Lab/Vir, Sp, PLC 2"</f>
        <v>LM5 Content, Lab/Vir, Sp, PLC 2</v>
      </c>
      <c r="C4013" t="str">
        <f>"New"</f>
        <v>New</v>
      </c>
    </row>
    <row r="4014" spans="1:3" ht="18" customHeight="1">
      <c r="A4014" t="str">
        <f>"17-3033-0000-21"</f>
        <v>17-3033-0000-21</v>
      </c>
      <c r="B4014" t="str">
        <f>"LM5 Content, Lab/Vir, Sp, PLC 2:1"</f>
        <v>LM5 Content, Lab/Vir, Sp, PLC 2:1</v>
      </c>
      <c r="C4014" t="str">
        <f>"App. process"</f>
        <v>App. process</v>
      </c>
    </row>
    <row r="4015" spans="1:3" ht="18" customHeight="1">
      <c r="A4015" t="str">
        <f>"17-3033-0000-22"</f>
        <v>17-3033-0000-22</v>
      </c>
      <c r="B4015" t="str">
        <f>"LM5 Content, Lab/Vir, Sp, PLC 2:2"</f>
        <v>LM5 Content, Lab/Vir, Sp, PLC 2:2</v>
      </c>
      <c r="C4015" t="str">
        <f>"App. process"</f>
        <v>App. process</v>
      </c>
    </row>
    <row r="4016" spans="1:3" ht="18" customHeight="1">
      <c r="A4016" t="str">
        <f>"17-3033-0000-23"</f>
        <v>17-3033-0000-23</v>
      </c>
      <c r="B4016" t="str">
        <f>"LM5 Content, Lab/Vir, Sp, PLC 2:3"</f>
        <v>LM5 Content, Lab/Vir, Sp, PLC 2:3</v>
      </c>
      <c r="C4016" t="str">
        <f>"App. process"</f>
        <v>App. process</v>
      </c>
    </row>
    <row r="4017" spans="1:3" ht="18" customHeight="1">
      <c r="A4017" t="str">
        <f>"17-3033-0000-3"</f>
        <v>17-3033-0000-3</v>
      </c>
      <c r="B4017" t="str">
        <f>"LM5 Content, Lab/Vir, Por, PLC 2"</f>
        <v>LM5 Content, Lab/Vir, Por, PLC 2</v>
      </c>
      <c r="C4017" t="str">
        <f t="shared" ref="C4017:C4022" si="173">"Active"</f>
        <v>Active</v>
      </c>
    </row>
    <row r="4018" spans="1:3" ht="18" customHeight="1">
      <c r="A4018" t="str">
        <f>"17-3034-0000"</f>
        <v>17-3034-0000</v>
      </c>
      <c r="B4018" t="str">
        <f>"LM5 Content, Virtual, PLC 3"</f>
        <v>LM5 Content, Virtual, PLC 3</v>
      </c>
      <c r="C4018" t="str">
        <f t="shared" si="173"/>
        <v>Active</v>
      </c>
    </row>
    <row r="4019" spans="1:3" ht="18" customHeight="1">
      <c r="A4019" t="str">
        <f>"17-3034-0000-3"</f>
        <v>17-3034-0000-3</v>
      </c>
      <c r="B4019" t="str">
        <f>"LM5 Content, Vir, Por, PLC 3"</f>
        <v>LM5 Content, Vir, Por, PLC 3</v>
      </c>
      <c r="C4019" t="str">
        <f t="shared" si="173"/>
        <v>Active</v>
      </c>
    </row>
    <row r="4020" spans="1:3" ht="18" customHeight="1">
      <c r="A4020" t="str">
        <f>"17-3035-0000"</f>
        <v>17-3035-0000</v>
      </c>
      <c r="B4020" t="str">
        <f>"LM5 Content, Virtual, PLC 4"</f>
        <v>LM5 Content, Virtual, PLC 4</v>
      </c>
      <c r="C4020" t="str">
        <f t="shared" si="173"/>
        <v>Active</v>
      </c>
    </row>
    <row r="4021" spans="1:3" ht="18" customHeight="1">
      <c r="A4021" t="str">
        <f>"17-3035-0000-3"</f>
        <v>17-3035-0000-3</v>
      </c>
      <c r="B4021" t="str">
        <f>"LM5 Content, Vir, Por, PLC 4"</f>
        <v>LM5 Content, Vir, Por, PLC 4</v>
      </c>
      <c r="C4021" t="str">
        <f t="shared" si="173"/>
        <v>Active</v>
      </c>
    </row>
    <row r="4022" spans="1:3" ht="18" customHeight="1">
      <c r="A4022" t="str">
        <f>"17-3039-0000"</f>
        <v>17-3039-0000</v>
      </c>
      <c r="B4022" t="str">
        <f>"LM5.X Content, Virtual, Pneumatics 3"</f>
        <v>LM5.X Content, Virtual, Pneumatics 3</v>
      </c>
      <c r="C4022" t="str">
        <f t="shared" si="173"/>
        <v>Active</v>
      </c>
    </row>
    <row r="4023" spans="1:3" ht="18" customHeight="1">
      <c r="A4023" t="str">
        <f>"17-3039-0000-2"</f>
        <v>17-3039-0000-2</v>
      </c>
      <c r="B4023" t="str">
        <f>"LM5 Content, Vir, Sp, Pneumatics 3"</f>
        <v>LM5 Content, Vir, Sp, Pneumatics 3</v>
      </c>
      <c r="C4023" t="str">
        <f>"New"</f>
        <v>New</v>
      </c>
    </row>
    <row r="4024" spans="1:3" ht="18" customHeight="1">
      <c r="A4024" t="str">
        <f>"17-3039-0000-21"</f>
        <v>17-3039-0000-21</v>
      </c>
      <c r="B4024" t="str">
        <f>"LM5 Content, Vir, Sp, Electro Pneumatics:1"</f>
        <v>LM5 Content, Vir, Sp, Electro Pneumatics:1</v>
      </c>
      <c r="C4024" t="str">
        <f>"App. process"</f>
        <v>App. process</v>
      </c>
    </row>
    <row r="4025" spans="1:3" ht="18" customHeight="1">
      <c r="A4025" t="str">
        <f>"17-3039-0000-22"</f>
        <v>17-3039-0000-22</v>
      </c>
      <c r="B4025" t="str">
        <f>"LM5 Content, Vir, Sp, Electro Pneumatics:2"</f>
        <v>LM5 Content, Vir, Sp, Electro Pneumatics:2</v>
      </c>
      <c r="C4025" t="str">
        <f>"App. process"</f>
        <v>App. process</v>
      </c>
    </row>
    <row r="4026" spans="1:3" ht="18" customHeight="1">
      <c r="A4026" t="str">
        <f>"17-3039-0000-23"</f>
        <v>17-3039-0000-23</v>
      </c>
      <c r="B4026" t="str">
        <f>"LM5 Content, Vir, Sp, Electro Pneumatics:3"</f>
        <v>LM5 Content, Vir, Sp, Electro Pneumatics:3</v>
      </c>
      <c r="C4026" t="str">
        <f>"App. process"</f>
        <v>App. process</v>
      </c>
    </row>
    <row r="4027" spans="1:3" ht="18" customHeight="1">
      <c r="A4027" t="str">
        <f>"17-3039-0000-3"</f>
        <v>17-3039-0000-3</v>
      </c>
      <c r="B4027" t="str">
        <f>"LM5 Content, Virtual,Por, Pneumatics 3"</f>
        <v>LM5 Content, Virtual,Por, Pneumatics 3</v>
      </c>
      <c r="C4027" t="str">
        <f>"New"</f>
        <v>New</v>
      </c>
    </row>
    <row r="4028" spans="1:3" ht="18" customHeight="1">
      <c r="A4028" t="str">
        <f>"17-3040-0000"</f>
        <v>17-3040-0000</v>
      </c>
      <c r="B4028" t="str">
        <f>"LM5 Content, Virtual, Pneumatics 4"</f>
        <v>LM5 Content, Virtual, Pneumatics 4</v>
      </c>
      <c r="C4028" t="str">
        <f>"Active"</f>
        <v>Active</v>
      </c>
    </row>
    <row r="4029" spans="1:3" ht="18" customHeight="1">
      <c r="A4029" t="str">
        <f>"17-3040-0000-2"</f>
        <v>17-3040-0000-2</v>
      </c>
      <c r="B4029" t="str">
        <f>"LM5 Content, Vir, Sp, Pneumatics 4"</f>
        <v>LM5 Content, Vir, Sp, Pneumatics 4</v>
      </c>
      <c r="C4029" t="str">
        <f>"New"</f>
        <v>New</v>
      </c>
    </row>
    <row r="4030" spans="1:3" ht="18" customHeight="1">
      <c r="A4030" t="str">
        <f>"17-3040-0000-21"</f>
        <v>17-3040-0000-21</v>
      </c>
      <c r="B4030" t="str">
        <f>"LM5 Content, Vir, Sp,Adv. &amp; Electro Pneumatics:1"</f>
        <v>LM5 Content, Vir, Sp,Adv. &amp; Electro Pneumatics:1</v>
      </c>
      <c r="C4030" t="str">
        <f>"App. process"</f>
        <v>App. process</v>
      </c>
    </row>
    <row r="4031" spans="1:3" ht="18" customHeight="1">
      <c r="A4031" t="str">
        <f>"17-3040-0000-22"</f>
        <v>17-3040-0000-22</v>
      </c>
      <c r="B4031" t="str">
        <f>"LM5 Content, Vir, Sp,Adv. &amp; Electro Pneumatics:2"</f>
        <v>LM5 Content, Vir, Sp,Adv. &amp; Electro Pneumatics:2</v>
      </c>
      <c r="C4031" t="str">
        <f>"App. process"</f>
        <v>App. process</v>
      </c>
    </row>
    <row r="4032" spans="1:3" ht="18" customHeight="1">
      <c r="A4032" t="str">
        <f>"17-3040-0000-23"</f>
        <v>17-3040-0000-23</v>
      </c>
      <c r="B4032" t="str">
        <f>"LM5 Content, Vir, Sp, Adv. Electro Pneumatics:3"</f>
        <v>LM5 Content, Vir, Sp, Adv. Electro Pneumatics:3</v>
      </c>
      <c r="C4032" t="str">
        <f>"App. process"</f>
        <v>App. process</v>
      </c>
    </row>
    <row r="4033" spans="1:3" ht="18" customHeight="1">
      <c r="A4033" t="str">
        <f>"17-3041-0002"</f>
        <v>17-3041-0002</v>
      </c>
      <c r="B4033" t="str">
        <f>"LM5 Content, Virtual, Process Control, Temp"</f>
        <v>LM5 Content, Virtual, Process Control, Temp</v>
      </c>
      <c r="C4033" t="str">
        <f>"Active"</f>
        <v>Active</v>
      </c>
    </row>
    <row r="4034" spans="1:3" ht="18" customHeight="1">
      <c r="A4034" t="str">
        <f>"17-3043-0002"</f>
        <v>17-3043-0002</v>
      </c>
      <c r="B4034" t="str">
        <f>"LM5 Content, Virtual, Process Control, Flow"</f>
        <v>LM5 Content, Virtual, Process Control, Flow</v>
      </c>
      <c r="C4034" t="str">
        <f>"Active"</f>
        <v>Active</v>
      </c>
    </row>
    <row r="4035" spans="1:3" ht="18" customHeight="1">
      <c r="A4035" t="str">
        <f>"17-3043-0002-2"</f>
        <v>17-3043-0002-2</v>
      </c>
      <c r="B4035" t="str">
        <f>"LM5 Content, Vir, Sp, Process Control, Flow"</f>
        <v>LM5 Content, Vir, Sp, Process Control, Flow</v>
      </c>
      <c r="C4035" t="str">
        <f>"New"</f>
        <v>New</v>
      </c>
    </row>
    <row r="4036" spans="1:3" ht="18" customHeight="1">
      <c r="A4036" t="str">
        <f>"17-3043-0002-21"</f>
        <v>17-3043-0002-21</v>
      </c>
      <c r="B4036" t="str">
        <f>"LM5 Content, Vir, Sp, Process Control, Flow:1"</f>
        <v>LM5 Content, Vir, Sp, Process Control, Flow:1</v>
      </c>
      <c r="C4036" t="str">
        <f>"App. process"</f>
        <v>App. process</v>
      </c>
    </row>
    <row r="4037" spans="1:3" ht="18" customHeight="1">
      <c r="A4037" t="str">
        <f>"17-3043-0002-22"</f>
        <v>17-3043-0002-22</v>
      </c>
      <c r="B4037" t="str">
        <f>"LM5 Content, Vir, Sp, Process Control, Flow:2"</f>
        <v>LM5 Content, Vir, Sp, Process Control, Flow:2</v>
      </c>
      <c r="C4037" t="str">
        <f>"App. process"</f>
        <v>App. process</v>
      </c>
    </row>
    <row r="4038" spans="1:3" ht="18" customHeight="1">
      <c r="A4038" t="str">
        <f>"17-3043-0002-23"</f>
        <v>17-3043-0002-23</v>
      </c>
      <c r="B4038" t="str">
        <f>"LM5 Content, Vir, Sp, Process Control, Flow:3"</f>
        <v>LM5 Content, Vir, Sp, Process Control, Flow:3</v>
      </c>
      <c r="C4038" t="str">
        <f>"App. process"</f>
        <v>App. process</v>
      </c>
    </row>
    <row r="4039" spans="1:3" ht="18" customHeight="1">
      <c r="A4039" t="str">
        <f>"17-3043-0002-24"</f>
        <v>17-3043-0002-24</v>
      </c>
      <c r="B4039" t="str">
        <f>"LM5 Content, Vir, Sp, Process Control, Flow:4"</f>
        <v>LM5 Content, Vir, Sp, Process Control, Flow:4</v>
      </c>
      <c r="C4039" t="str">
        <f>"App. process"</f>
        <v>App. process</v>
      </c>
    </row>
    <row r="4040" spans="1:3" ht="18" customHeight="1">
      <c r="A4040" t="str">
        <f>"17-3044-0002"</f>
        <v>17-3044-0002</v>
      </c>
      <c r="B4040" t="str">
        <f>"LM5 Content, Virtual, Process Cntrl, Pressure"</f>
        <v>LM5 Content, Virtual, Process Cntrl, Pressure</v>
      </c>
      <c r="C4040" t="str">
        <f>"Active"</f>
        <v>Active</v>
      </c>
    </row>
    <row r="4041" spans="1:3" ht="18" customHeight="1">
      <c r="A4041" t="str">
        <f>"17-3044-0002-2"</f>
        <v>17-3044-0002-2</v>
      </c>
      <c r="B4041" t="str">
        <f>"LM5 Content, Vir, Sp, Process Cntrl, Pressure"</f>
        <v>LM5 Content, Vir, Sp, Process Cntrl, Pressure</v>
      </c>
      <c r="C4041" t="str">
        <f>"New"</f>
        <v>New</v>
      </c>
    </row>
    <row r="4042" spans="1:3" ht="18" customHeight="1">
      <c r="A4042" t="str">
        <f>"17-3044-0002-21"</f>
        <v>17-3044-0002-21</v>
      </c>
      <c r="B4042" t="str">
        <f>"LM5 Content, Vir, Sp, Process Cntrl, Pressure:1"</f>
        <v>LM5 Content, Vir, Sp, Process Cntrl, Pressure:1</v>
      </c>
      <c r="C4042" t="str">
        <f>"App. process"</f>
        <v>App. process</v>
      </c>
    </row>
    <row r="4043" spans="1:3" ht="18" customHeight="1">
      <c r="A4043" t="str">
        <f>"17-3044-0002-22"</f>
        <v>17-3044-0002-22</v>
      </c>
      <c r="B4043" t="str">
        <f>"LM5 Content, Vir, Sp, Process Cntrl, Pressure:2"</f>
        <v>LM5 Content, Vir, Sp, Process Cntrl, Pressure:2</v>
      </c>
      <c r="C4043" t="str">
        <f>"App. process"</f>
        <v>App. process</v>
      </c>
    </row>
    <row r="4044" spans="1:3" ht="18" customHeight="1">
      <c r="A4044" t="str">
        <f>"17-3044-0002-23"</f>
        <v>17-3044-0002-23</v>
      </c>
      <c r="B4044" t="str">
        <f>"LM5 Content, Vir, Sp, Process Cntrl, Pressure:3"</f>
        <v>LM5 Content, Vir, Sp, Process Cntrl, Pressure:3</v>
      </c>
      <c r="C4044" t="str">
        <f>"App. process"</f>
        <v>App. process</v>
      </c>
    </row>
    <row r="4045" spans="1:3" ht="18" customHeight="1">
      <c r="A4045" t="str">
        <f>"17-3044-0002-24"</f>
        <v>17-3044-0002-24</v>
      </c>
      <c r="B4045" t="str">
        <f>"LM5 Content, Vir, Sp, Process Cntrl, Pressure:4"</f>
        <v>LM5 Content, Vir, Sp, Process Cntrl, Pressure:4</v>
      </c>
      <c r="C4045" t="str">
        <f>"App. process"</f>
        <v>App. process</v>
      </c>
    </row>
    <row r="4046" spans="1:3" ht="18" customHeight="1">
      <c r="A4046" t="str">
        <f>"17-3045-0002"</f>
        <v>17-3045-0002</v>
      </c>
      <c r="B4046" t="str">
        <f>"LM5 Content, Virtual, Process Control, Level"</f>
        <v>LM5 Content, Virtual, Process Control, Level</v>
      </c>
      <c r="C4046" t="str">
        <f>"Active"</f>
        <v>Active</v>
      </c>
    </row>
    <row r="4047" spans="1:3" ht="18" customHeight="1">
      <c r="A4047" t="str">
        <f>"17-3046-0000"</f>
        <v>17-3046-0000</v>
      </c>
      <c r="B4047" t="str">
        <f>"LM5 Content, Virtual, Fundamentals w/ER4U"</f>
        <v>LM5 Content, Virtual, Fundamentals w/ER4U</v>
      </c>
      <c r="C4047" t="str">
        <f>"Active"</f>
        <v>Active</v>
      </c>
    </row>
    <row r="4048" spans="1:3" ht="18" customHeight="1">
      <c r="A4048" t="str">
        <f>"17-3047-0000"</f>
        <v>17-3047-0000</v>
      </c>
      <c r="B4048" t="str">
        <f>"LM5 Content, Virtual, Fundamentals w/ER9"</f>
        <v>LM5 Content, Virtual, Fundamentals w/ER9</v>
      </c>
      <c r="C4048" t="str">
        <f>"Active"</f>
        <v>Active</v>
      </c>
    </row>
    <row r="4049" spans="1:3" ht="18" customHeight="1">
      <c r="A4049" t="str">
        <f>"17-3047-0000-2"</f>
        <v>17-3047-0000-2</v>
      </c>
      <c r="B4049" t="str">
        <f>"LM5 Content, Vir, Sp, Fundamentals w/ER9"</f>
        <v>LM5 Content, Vir, Sp, Fundamentals w/ER9</v>
      </c>
      <c r="C4049" t="str">
        <f>"Active"</f>
        <v>Active</v>
      </c>
    </row>
    <row r="4050" spans="1:3" ht="18" customHeight="1">
      <c r="A4050" t="str">
        <f>"17-3047-0000-21"</f>
        <v>17-3047-0000-21</v>
      </c>
      <c r="B4050" t="str">
        <f>"LM5 Content, Vir, Sp, Fundamentals w/ER9 (1)"</f>
        <v>LM5 Content, Vir, Sp, Fundamentals w/ER9 (1)</v>
      </c>
      <c r="C4050" t="str">
        <f>"App. process"</f>
        <v>App. process</v>
      </c>
    </row>
    <row r="4051" spans="1:3" ht="18" customHeight="1">
      <c r="A4051" t="str">
        <f>"17-3047-0000-22"</f>
        <v>17-3047-0000-22</v>
      </c>
      <c r="B4051" t="str">
        <f>"LM5 Content, Vir, Sp, Fundamentals w/ER9 (2)"</f>
        <v>LM5 Content, Vir, Sp, Fundamentals w/ER9 (2)</v>
      </c>
      <c r="C4051" t="str">
        <f>"App. process"</f>
        <v>App. process</v>
      </c>
    </row>
    <row r="4052" spans="1:3" ht="18" customHeight="1">
      <c r="A4052" t="str">
        <f>"17-3047-0000-23"</f>
        <v>17-3047-0000-23</v>
      </c>
      <c r="B4052" t="str">
        <f>"LM5 Content, Vir, Sp, Fundamentals w/ER9 (3)"</f>
        <v>LM5 Content, Vir, Sp, Fundamentals w/ER9 (3)</v>
      </c>
      <c r="C4052" t="str">
        <f>"App. process"</f>
        <v>App. process</v>
      </c>
    </row>
    <row r="4053" spans="1:3" ht="18" customHeight="1">
      <c r="A4053" t="str">
        <f>"17-3048-0000"</f>
        <v>17-3048-0000</v>
      </c>
      <c r="B4053" t="str">
        <f>"LM5 Content, Virtual, Advanced w/ER4U"</f>
        <v>LM5 Content, Virtual, Advanced w/ER4U</v>
      </c>
      <c r="C4053" t="str">
        <f>"Active"</f>
        <v>Active</v>
      </c>
    </row>
    <row r="4054" spans="1:3" ht="18" customHeight="1">
      <c r="A4054" t="str">
        <f>"17-3049-0000"</f>
        <v>17-3049-0000</v>
      </c>
      <c r="B4054" t="str">
        <f>"LM5 Content, Virtual, Advanced w/ER9"</f>
        <v>LM5 Content, Virtual, Advanced w/ER9</v>
      </c>
      <c r="C4054" t="str">
        <f>"Active"</f>
        <v>Active</v>
      </c>
    </row>
    <row r="4055" spans="1:3" ht="18" customHeight="1">
      <c r="A4055" t="str">
        <f>"17-3049-0000-2"</f>
        <v>17-3049-0000-2</v>
      </c>
      <c r="B4055" t="str">
        <f>"LM5 Content, Vir, Sp, Advanced w/ER9"</f>
        <v>LM5 Content, Vir, Sp, Advanced w/ER9</v>
      </c>
      <c r="C4055" t="str">
        <f>"Active"</f>
        <v>Active</v>
      </c>
    </row>
    <row r="4056" spans="1:3" ht="18" customHeight="1">
      <c r="A4056" t="str">
        <f>"17-3049-0000-21"</f>
        <v>17-3049-0000-21</v>
      </c>
      <c r="B4056" t="str">
        <f>"LM5 Content, Vir, Sp, Advanced w/ER9 (1)"</f>
        <v>LM5 Content, Vir, Sp, Advanced w/ER9 (1)</v>
      </c>
      <c r="C4056" t="str">
        <f>"App. process"</f>
        <v>App. process</v>
      </c>
    </row>
    <row r="4057" spans="1:3" ht="18" customHeight="1">
      <c r="A4057" t="str">
        <f>"17-3049-0000-22"</f>
        <v>17-3049-0000-22</v>
      </c>
      <c r="B4057" t="str">
        <f>"LM5 Content, Vir, Sp, Advanced w/ER9 (2)"</f>
        <v>LM5 Content, Vir, Sp, Advanced w/ER9 (2)</v>
      </c>
      <c r="C4057" t="str">
        <f>"App. process"</f>
        <v>App. process</v>
      </c>
    </row>
    <row r="4058" spans="1:3" ht="18" customHeight="1">
      <c r="A4058" t="str">
        <f>"17-3051-0000"</f>
        <v>17-3051-0000</v>
      </c>
      <c r="B4058" t="str">
        <f>"LM5 Content, Virtual, Automatic ID Systems"</f>
        <v>LM5 Content, Virtual, Automatic ID Systems</v>
      </c>
      <c r="C4058" t="str">
        <f t="shared" ref="C4058:C4072" si="174">"Active"</f>
        <v>Active</v>
      </c>
    </row>
    <row r="4059" spans="1:3" ht="18" customHeight="1">
      <c r="A4059" t="str">
        <f>"17-3051-0000-3"</f>
        <v>17-3051-0000-3</v>
      </c>
      <c r="B4059" t="str">
        <f>"LM5 Content, Vir, Por, Automatic ID Systems"</f>
        <v>LM5 Content, Vir, Por, Automatic ID Systems</v>
      </c>
      <c r="C4059" t="str">
        <f t="shared" si="174"/>
        <v>Active</v>
      </c>
    </row>
    <row r="4060" spans="1:3" ht="18" customHeight="1">
      <c r="A4060" t="str">
        <f>"17-3052-0000"</f>
        <v>17-3052-0000</v>
      </c>
      <c r="B4060" t="str">
        <f>"LM5 Content, Virtual, Construction Tech."</f>
        <v>LM5 Content, Virtual, Construction Tech.</v>
      </c>
      <c r="C4060" t="str">
        <f t="shared" si="174"/>
        <v>Active</v>
      </c>
    </row>
    <row r="4061" spans="1:3" ht="18" customHeight="1">
      <c r="A4061" t="str">
        <f>"17-3053-0000"</f>
        <v>17-3053-0000</v>
      </c>
      <c r="B4061" t="str">
        <f>"LM5 Content, Virtual, Bridge Design"</f>
        <v>LM5 Content, Virtual, Bridge Design</v>
      </c>
      <c r="C4061" t="str">
        <f t="shared" si="174"/>
        <v>Active</v>
      </c>
    </row>
    <row r="4062" spans="1:3" ht="18" customHeight="1">
      <c r="A4062" t="str">
        <f>"17-3054-0000"</f>
        <v>17-3054-0000</v>
      </c>
      <c r="B4062" t="str">
        <f>"LM5 Content, Virtual, Fluids Engineering"</f>
        <v>LM5 Content, Virtual, Fluids Engineering</v>
      </c>
      <c r="C4062" t="str">
        <f t="shared" si="174"/>
        <v>Active</v>
      </c>
    </row>
    <row r="4063" spans="1:3" ht="18" customHeight="1">
      <c r="A4063" t="str">
        <f>"17-3055-0000"</f>
        <v>17-3055-0000</v>
      </c>
      <c r="B4063" t="str">
        <f>"LM5 Content, Virtual, Highway Engineering"</f>
        <v>LM5 Content, Virtual, Highway Engineering</v>
      </c>
      <c r="C4063" t="str">
        <f t="shared" si="174"/>
        <v>Active</v>
      </c>
    </row>
    <row r="4064" spans="1:3" ht="18" customHeight="1">
      <c r="A4064" t="str">
        <f>"17-3056-0000"</f>
        <v>17-3056-0000</v>
      </c>
      <c r="B4064" t="str">
        <f>"LM5 Content, Virtual, Transportation Eng"</f>
        <v>LM5 Content, Virtual, Transportation Eng</v>
      </c>
      <c r="C4064" t="str">
        <f t="shared" si="174"/>
        <v>Active</v>
      </c>
    </row>
    <row r="4065" spans="1:3" ht="18" customHeight="1">
      <c r="A4065" t="str">
        <f>"17-3057-0000"</f>
        <v>17-3057-0000</v>
      </c>
      <c r="B4065" t="str">
        <f>"LM5 Content, Virtual, Environmental Eng"</f>
        <v>LM5 Content, Virtual, Environmental Eng</v>
      </c>
      <c r="C4065" t="str">
        <f t="shared" si="174"/>
        <v>Active</v>
      </c>
    </row>
    <row r="4066" spans="1:3" ht="18" customHeight="1">
      <c r="A4066" t="str">
        <f>"17-3058-0000"</f>
        <v>17-3058-0000</v>
      </c>
      <c r="B4066" t="str">
        <f>"LM5 Content, Virtual, Wastewater Mgmt"</f>
        <v>LM5 Content, Virtual, Wastewater Mgmt</v>
      </c>
      <c r="C4066" t="str">
        <f t="shared" si="174"/>
        <v>Active</v>
      </c>
    </row>
    <row r="4067" spans="1:3" ht="18" customHeight="1">
      <c r="A4067" t="str">
        <f>"17-3059-0000"</f>
        <v>17-3059-0000</v>
      </c>
      <c r="B4067" t="str">
        <f>"LM5 Content, Virtual, Water Supply Eng"</f>
        <v>LM5 Content, Virtual, Water Supply Eng</v>
      </c>
      <c r="C4067" t="str">
        <f t="shared" si="174"/>
        <v>Active</v>
      </c>
    </row>
    <row r="4068" spans="1:3" ht="18" customHeight="1">
      <c r="A4068" t="str">
        <f>"17-3060-0000"</f>
        <v>17-3060-0000</v>
      </c>
      <c r="B4068" t="str">
        <f>"LM5 Content, Virtual, Pollution Control"</f>
        <v>LM5 Content, Virtual, Pollution Control</v>
      </c>
      <c r="C4068" t="str">
        <f t="shared" si="174"/>
        <v>Active</v>
      </c>
    </row>
    <row r="4069" spans="1:3" ht="18" customHeight="1">
      <c r="A4069" t="str">
        <f>"17-3061-0000"</f>
        <v>17-3061-0000</v>
      </c>
      <c r="B4069" t="str">
        <f>"LM5 Content, Virtual, Basic Pneumatics"</f>
        <v>LM5 Content, Virtual, Basic Pneumatics</v>
      </c>
      <c r="C4069" t="str">
        <f t="shared" si="174"/>
        <v>Active</v>
      </c>
    </row>
    <row r="4070" spans="1:3" ht="18" customHeight="1">
      <c r="A4070" t="str">
        <f>"17-3061-0000-3"</f>
        <v>17-3061-0000-3</v>
      </c>
      <c r="B4070" t="str">
        <f>"LM5 Content, Vir, Por, Basic Pneumatics"</f>
        <v>LM5 Content, Vir, Por, Basic Pneumatics</v>
      </c>
      <c r="C4070" t="str">
        <f t="shared" si="174"/>
        <v>Active</v>
      </c>
    </row>
    <row r="4071" spans="1:3" ht="18" customHeight="1">
      <c r="A4071" t="str">
        <f>"17-3062-0000"</f>
        <v>17-3062-0000</v>
      </c>
      <c r="B4071" t="str">
        <f>"LM5 Content, Virtual, Advanced Pneumatics"</f>
        <v>LM5 Content, Virtual, Advanced Pneumatics</v>
      </c>
      <c r="C4071" t="str">
        <f t="shared" si="174"/>
        <v>Active</v>
      </c>
    </row>
    <row r="4072" spans="1:3" ht="18" customHeight="1">
      <c r="A4072" t="str">
        <f>"17-3062-0000-3"</f>
        <v>17-3062-0000-3</v>
      </c>
      <c r="B4072" t="str">
        <f>"LM5 Content, Vir, Por, Advanced Pneumatics"</f>
        <v>LM5 Content, Vir, Por, Advanced Pneumatics</v>
      </c>
      <c r="C4072" t="str">
        <f t="shared" si="174"/>
        <v>Active</v>
      </c>
    </row>
    <row r="4073" spans="1:3" ht="18" customHeight="1">
      <c r="A4073" t="str">
        <f>"17-3063-0000"</f>
        <v>17-3063-0000</v>
      </c>
      <c r="B4073" t="str">
        <f>"LM5 Content, Virtual, Electro-Pneumatics"</f>
        <v>LM5 Content, Virtual, Electro-Pneumatics</v>
      </c>
      <c r="C4073" t="str">
        <f>"Inactive"</f>
        <v>Inactive</v>
      </c>
    </row>
    <row r="4074" spans="1:3" ht="18" customHeight="1">
      <c r="A4074" t="str">
        <f>"17-3063-0000-3"</f>
        <v>17-3063-0000-3</v>
      </c>
      <c r="B4074" t="str">
        <f>"LM5 Content, Vir, Por, Electro-Pneumatics"</f>
        <v>LM5 Content, Vir, Por, Electro-Pneumatics</v>
      </c>
      <c r="C4074" t="str">
        <f>"Inactive"</f>
        <v>Inactive</v>
      </c>
    </row>
    <row r="4075" spans="1:3" ht="18" customHeight="1">
      <c r="A4075" t="str">
        <f>"17-3064-0000"</f>
        <v>17-3064-0000</v>
      </c>
      <c r="B4075" t="str">
        <f>"LM5 Content, Virtual, Landscape Design"</f>
        <v>LM5 Content, Virtual, Landscape Design</v>
      </c>
      <c r="C4075" t="str">
        <f t="shared" ref="C4075:C4087" si="175">"Active"</f>
        <v>Active</v>
      </c>
    </row>
    <row r="4076" spans="1:3" ht="18" customHeight="1">
      <c r="A4076" t="str">
        <f>"17-3065-0000"</f>
        <v>17-3065-0000</v>
      </c>
      <c r="B4076" t="str">
        <f>"LM 5 Content, Lab/Vir Mechanisms Intro to STEM"</f>
        <v>LM 5 Content, Lab/Vir Mechanisms Intro to STEM</v>
      </c>
      <c r="C4076" t="str">
        <f t="shared" si="175"/>
        <v>Active</v>
      </c>
    </row>
    <row r="4077" spans="1:3" ht="18" customHeight="1">
      <c r="A4077" t="str">
        <f>"17-3066-0000"</f>
        <v>17-3066-0000</v>
      </c>
      <c r="B4077" t="str">
        <f>"LM5 Content, Virtual, Agricultural Animals"</f>
        <v>LM5 Content, Virtual, Agricultural Animals</v>
      </c>
      <c r="C4077" t="str">
        <f t="shared" si="175"/>
        <v>Active</v>
      </c>
    </row>
    <row r="4078" spans="1:3" ht="18" customHeight="1">
      <c r="A4078" t="str">
        <f>"17-3067-0000"</f>
        <v>17-3067-0000</v>
      </c>
      <c r="B4078" t="str">
        <f>"LM5 Content, Virtual, Agricultural Environment"</f>
        <v>LM5 Content, Virtual, Agricultural Environment</v>
      </c>
      <c r="C4078" t="str">
        <f t="shared" si="175"/>
        <v>Active</v>
      </c>
    </row>
    <row r="4079" spans="1:3" ht="18" customHeight="1">
      <c r="A4079" t="str">
        <f>"17-3068-0000"</f>
        <v>17-3068-0000</v>
      </c>
      <c r="B4079" t="str">
        <f>"LM5 Content, Vir, Science of Agricultural Plants"</f>
        <v>LM5 Content, Vir, Science of Agricultural Plants</v>
      </c>
      <c r="C4079" t="str">
        <f t="shared" si="175"/>
        <v>Active</v>
      </c>
    </row>
    <row r="4080" spans="1:3" ht="18" customHeight="1">
      <c r="A4080" t="str">
        <f>"17-3090-0001"</f>
        <v>17-3090-0001</v>
      </c>
      <c r="B4080" t="str">
        <f>"LM5.X Content, Virtual, CNC Milling w/EXM"</f>
        <v>LM5.X Content, Virtual, CNC Milling w/EXM</v>
      </c>
      <c r="C4080" t="str">
        <f t="shared" si="175"/>
        <v>Active</v>
      </c>
    </row>
    <row r="4081" spans="1:3" ht="18" customHeight="1">
      <c r="A4081" t="str">
        <f>"17-3090-0002"</f>
        <v>17-3090-0002</v>
      </c>
      <c r="B4081" t="str">
        <f>"LM5.X Content, Virtual, CNC Milling w/EXM (M)"</f>
        <v>LM5.X Content, Virtual, CNC Milling w/EXM (M)</v>
      </c>
      <c r="C4081" t="str">
        <f t="shared" si="175"/>
        <v>Active</v>
      </c>
    </row>
    <row r="4082" spans="1:3" ht="18" customHeight="1">
      <c r="A4082" t="str">
        <f>"17-3091-0001"</f>
        <v>17-3091-0001</v>
      </c>
      <c r="B4082" t="str">
        <f>"LM5.X Content, Virtual, CNC Milling w/SPLM"</f>
        <v>LM5.X Content, Virtual, CNC Milling w/SPLM</v>
      </c>
      <c r="C4082" t="str">
        <f t="shared" si="175"/>
        <v>Active</v>
      </c>
    </row>
    <row r="4083" spans="1:3" ht="18" customHeight="1">
      <c r="A4083" t="str">
        <f>"17-3091-0002"</f>
        <v>17-3091-0002</v>
      </c>
      <c r="B4083" t="str">
        <f>"LM5.X Content, Virtual, CNC Milling w/SPLM (M)"</f>
        <v>LM5.X Content, Virtual, CNC Milling w/SPLM (M)</v>
      </c>
      <c r="C4083" t="str">
        <f t="shared" si="175"/>
        <v>Active</v>
      </c>
    </row>
    <row r="4084" spans="1:3" ht="18" customHeight="1">
      <c r="A4084" t="str">
        <f>"17-3092-0000"</f>
        <v>17-3092-0000</v>
      </c>
      <c r="B4084" t="str">
        <f>"LM5 Content, Virtual,Intro to easyC V4 for PIC"</f>
        <v>LM5 Content, Virtual,Intro to easyC V4 for PIC</v>
      </c>
      <c r="C4084" t="str">
        <f t="shared" si="175"/>
        <v>Active</v>
      </c>
    </row>
    <row r="4085" spans="1:3" ht="18" customHeight="1">
      <c r="A4085" t="str">
        <f>"17-3093-0000"</f>
        <v>17-3093-0000</v>
      </c>
      <c r="B4085" t="str">
        <f>"LM5 Content, Virtual,Intro to easyC V4 forCortex"</f>
        <v>LM5 Content, Virtual,Intro to easyC V4 forCortex</v>
      </c>
      <c r="C4085" t="str">
        <f t="shared" si="175"/>
        <v>Active</v>
      </c>
    </row>
    <row r="4086" spans="1:3" ht="18" customHeight="1">
      <c r="A4086" t="str">
        <f>"17-3095-0000"</f>
        <v>17-3095-0000</v>
      </c>
      <c r="B4086" t="str">
        <f>"LM5.X Content, Virtual, Intro to Engineering"</f>
        <v>LM5.X Content, Virtual, Intro to Engineering</v>
      </c>
      <c r="C4086" t="str">
        <f t="shared" si="175"/>
        <v>Active</v>
      </c>
    </row>
    <row r="4087" spans="1:3" ht="18" customHeight="1">
      <c r="A4087" t="str">
        <f>"17-3096-0000"</f>
        <v>17-3096-0000</v>
      </c>
      <c r="B4087" t="str">
        <f>"LM5.X Content, Virtual, Intro to Advanced Mfg"</f>
        <v>LM5.X Content, Virtual, Intro to Advanced Mfg</v>
      </c>
      <c r="C4087" t="str">
        <f t="shared" si="175"/>
        <v>Active</v>
      </c>
    </row>
    <row r="4088" spans="1:3" ht="18" customHeight="1">
      <c r="A4088" t="str">
        <f>"17-3096-0000-2"</f>
        <v>17-3096-0000-2</v>
      </c>
      <c r="B4088" t="str">
        <f>"LM5 Content, Vir, Sp, Intro to Advanced Mfg"</f>
        <v>LM5 Content, Vir, Sp, Intro to Advanced Mfg</v>
      </c>
      <c r="C4088" t="str">
        <f>"New"</f>
        <v>New</v>
      </c>
    </row>
    <row r="4089" spans="1:3" ht="18" customHeight="1">
      <c r="A4089" t="str">
        <f>"17-3096-0000-21"</f>
        <v>17-3096-0000-21</v>
      </c>
      <c r="B4089" t="str">
        <f>"LM5 Content, Vir, Sp, Intro to Advanced Mfg.:1"</f>
        <v>LM5 Content, Vir, Sp, Intro to Advanced Mfg.:1</v>
      </c>
      <c r="C4089" t="str">
        <f>"App. process"</f>
        <v>App. process</v>
      </c>
    </row>
    <row r="4090" spans="1:3" ht="18" customHeight="1">
      <c r="A4090" t="str">
        <f>"17-3096-0000-22"</f>
        <v>17-3096-0000-22</v>
      </c>
      <c r="B4090" t="str">
        <f>"LM5 Content, Vir, Sp, Intro to Advanced Mfg.:2"</f>
        <v>LM5 Content, Vir, Sp, Intro to Advanced Mfg.:2</v>
      </c>
      <c r="C4090" t="str">
        <f>"App. process"</f>
        <v>App. process</v>
      </c>
    </row>
    <row r="4091" spans="1:3" ht="18" customHeight="1">
      <c r="A4091" t="str">
        <f>"17-3096-0000-23"</f>
        <v>17-3096-0000-23</v>
      </c>
      <c r="B4091" t="str">
        <f>"LM5 Content, Vir, Sp, Intro to Advanced Mfg.:3"</f>
        <v>LM5 Content, Vir, Sp, Intro to Advanced Mfg.:3</v>
      </c>
      <c r="C4091" t="str">
        <f>"App. process"</f>
        <v>App. process</v>
      </c>
    </row>
    <row r="4092" spans="1:3" ht="18" customHeight="1">
      <c r="A4092" t="str">
        <f>"17-3097-0000"</f>
        <v>17-3097-0000</v>
      </c>
      <c r="B4092" t="str">
        <f>"LM5 Content, Virtual, Employability"</f>
        <v>LM5 Content, Virtual, Employability</v>
      </c>
      <c r="C4092" t="str">
        <f>"Active"</f>
        <v>Active</v>
      </c>
    </row>
    <row r="4093" spans="1:3" ht="18" customHeight="1">
      <c r="A4093" t="str">
        <f>"17-3097-0010"</f>
        <v>17-3097-0010</v>
      </c>
      <c r="B4093" t="str">
        <f>"LM5.X Content, Virtual, Employability Workbook"</f>
        <v>LM5.X Content, Virtual, Employability Workbook</v>
      </c>
      <c r="C4093" t="str">
        <f>"Inactive"</f>
        <v>Inactive</v>
      </c>
    </row>
    <row r="4094" spans="1:3" ht="18" customHeight="1">
      <c r="A4094" t="str">
        <f>"17-3098-0001"</f>
        <v>17-3098-0001</v>
      </c>
      <c r="B4094" t="str">
        <f>"LM5.X Content, Virtual, Intro to Pro Engineer"</f>
        <v>LM5.X Content, Virtual, Intro to Pro Engineer</v>
      </c>
      <c r="C4094" t="str">
        <f>"Active"</f>
        <v>Active</v>
      </c>
    </row>
    <row r="4095" spans="1:3" ht="18" customHeight="1">
      <c r="A4095" t="str">
        <f>"17-3099-0000"</f>
        <v>17-3099-0000</v>
      </c>
      <c r="B4095" t="str">
        <f>"LM5.X Content, Virtual, Rapid Prototyping"</f>
        <v>LM5.X Content, Virtual, Rapid Prototyping</v>
      </c>
      <c r="C4095" t="str">
        <f>"Active"</f>
        <v>Active</v>
      </c>
    </row>
    <row r="4096" spans="1:3" ht="18" customHeight="1">
      <c r="A4096" t="str">
        <f>"17-3099-0000-2"</f>
        <v>17-3099-0000-2</v>
      </c>
      <c r="B4096" t="str">
        <f>"LM5 Content, Vir, Sp, Rapid Prototyping"</f>
        <v>LM5 Content, Vir, Sp, Rapid Prototyping</v>
      </c>
      <c r="C4096" t="str">
        <f>"New"</f>
        <v>New</v>
      </c>
    </row>
    <row r="4097" spans="1:3" ht="18" customHeight="1">
      <c r="A4097" t="str">
        <f>"17-3099-0000-21"</f>
        <v>17-3099-0000-21</v>
      </c>
      <c r="B4097" t="str">
        <f>"LM5 Content, Vir, Sp, Rapid Prototyping:1"</f>
        <v>LM5 Content, Vir, Sp, Rapid Prototyping:1</v>
      </c>
      <c r="C4097" t="str">
        <f>"App. process"</f>
        <v>App. process</v>
      </c>
    </row>
    <row r="4098" spans="1:3" ht="18" customHeight="1">
      <c r="A4098" t="str">
        <f>"17-3101-0002"</f>
        <v>17-3101-0002</v>
      </c>
      <c r="B4098" t="str">
        <f>"LM5 Content, Virtual, Intro to Greenhouse Agri"</f>
        <v>LM5 Content, Virtual, Intro to Greenhouse Agri</v>
      </c>
      <c r="C4098" t="str">
        <f>"Active"</f>
        <v>Active</v>
      </c>
    </row>
    <row r="4099" spans="1:3" ht="18" customHeight="1">
      <c r="A4099" t="str">
        <f>"17-3101-0002-2"</f>
        <v>17-3101-0002-2</v>
      </c>
      <c r="B4099" t="str">
        <f>"LM5 Content, Vir, Sp, Intro to Greenhouse Agri"</f>
        <v>LM5 Content, Vir, Sp, Intro to Greenhouse Agri</v>
      </c>
      <c r="C4099" t="str">
        <f>"New"</f>
        <v>New</v>
      </c>
    </row>
    <row r="4100" spans="1:3" ht="18" customHeight="1">
      <c r="A4100" t="str">
        <f>"17-3102-0002"</f>
        <v>17-3102-0002</v>
      </c>
      <c r="B4100" t="str">
        <f>"LM5 Content, Virtual, Soil in Agriculture"</f>
        <v>LM5 Content, Virtual, Soil in Agriculture</v>
      </c>
      <c r="C4100" t="str">
        <f>"Active"</f>
        <v>Active</v>
      </c>
    </row>
    <row r="4101" spans="1:3" ht="18" customHeight="1">
      <c r="A4101" t="str">
        <f>"17-3102-0002-2"</f>
        <v>17-3102-0002-2</v>
      </c>
      <c r="B4101" t="str">
        <f>"LM5 Content, Vir, Sp, Soil in Agriculture"</f>
        <v>LM5 Content, Vir, Sp, Soil in Agriculture</v>
      </c>
      <c r="C4101" t="str">
        <f>"New"</f>
        <v>New</v>
      </c>
    </row>
    <row r="4102" spans="1:3" ht="18" customHeight="1">
      <c r="A4102" t="str">
        <f>"17-3103-0002"</f>
        <v>17-3103-0002</v>
      </c>
      <c r="B4102" t="str">
        <f>"LM5 Content, Virtual, Intro to Irrigation"</f>
        <v>LM5 Content, Virtual, Intro to Irrigation</v>
      </c>
      <c r="C4102" t="str">
        <f>"Active"</f>
        <v>Active</v>
      </c>
    </row>
    <row r="4103" spans="1:3" ht="18" customHeight="1">
      <c r="A4103" t="str">
        <f>"17-3103-0002-2"</f>
        <v>17-3103-0002-2</v>
      </c>
      <c r="B4103" t="str">
        <f>"LM5 Content, Vir, Sp, Intro to Irrigation"</f>
        <v>LM5 Content, Vir, Sp, Intro to Irrigation</v>
      </c>
      <c r="C4103" t="str">
        <f>"New"</f>
        <v>New</v>
      </c>
    </row>
    <row r="4104" spans="1:3" ht="18" customHeight="1">
      <c r="A4104" t="str">
        <f>"17-3104-0002"</f>
        <v>17-3104-0002</v>
      </c>
      <c r="B4104" t="str">
        <f>"LM5 Content, Virtual, Adv Irrigation Systems"</f>
        <v>LM5 Content, Virtual, Adv Irrigation Systems</v>
      </c>
      <c r="C4104" t="str">
        <f>"Active"</f>
        <v>Active</v>
      </c>
    </row>
    <row r="4105" spans="1:3" ht="18" customHeight="1">
      <c r="A4105" t="str">
        <f>"17-3104-0002-2"</f>
        <v>17-3104-0002-2</v>
      </c>
      <c r="B4105" t="str">
        <f>"LM5 Content, Vir, Sp, Adv. Irrigation Systems"</f>
        <v>LM5 Content, Vir, Sp, Adv. Irrigation Systems</v>
      </c>
      <c r="C4105" t="str">
        <f>"New"</f>
        <v>New</v>
      </c>
    </row>
    <row r="4106" spans="1:3" ht="18" customHeight="1">
      <c r="A4106" t="str">
        <f>"17-3105-0001"</f>
        <v>17-3105-0001</v>
      </c>
      <c r="B4106" t="str">
        <f>"LM5.X Content, Virtual, CNC Milling w/Fanuc"</f>
        <v>LM5.X Content, Virtual, CNC Milling w/Fanuc</v>
      </c>
      <c r="C4106" t="str">
        <f>"Active"</f>
        <v>Active</v>
      </c>
    </row>
    <row r="4107" spans="1:3" ht="18" customHeight="1">
      <c r="A4107" t="str">
        <f>"17-3108-0002"</f>
        <v>17-3108-0002</v>
      </c>
      <c r="B4107" t="str">
        <f>"LM5.X Content, Virtual, Intro to Solidworks"</f>
        <v>LM5.X Content, Virtual, Intro to Solidworks</v>
      </c>
      <c r="C4107" t="str">
        <f>"Active"</f>
        <v>Active</v>
      </c>
    </row>
    <row r="4108" spans="1:3" ht="18" customHeight="1">
      <c r="A4108" t="str">
        <f>"17-3108-0002-3"</f>
        <v>17-3108-0002-3</v>
      </c>
      <c r="B4108" t="str">
        <f>"LM5 Content, Vir, Por, Intro to Solidworks"</f>
        <v>LM5 Content, Vir, Por, Intro to Solidworks</v>
      </c>
      <c r="C4108" t="str">
        <f>"Active"</f>
        <v>Active</v>
      </c>
    </row>
    <row r="4109" spans="1:3" ht="18" customHeight="1">
      <c r="A4109" t="str">
        <f>"17-3109-0000"</f>
        <v>17-3109-0000</v>
      </c>
      <c r="B4109" t="str">
        <f>"LM5.X Content, Virtual, Lean Manufacturing"</f>
        <v>LM5.X Content, Virtual, Lean Manufacturing</v>
      </c>
      <c r="C4109" t="str">
        <f>"Active"</f>
        <v>Active</v>
      </c>
    </row>
    <row r="4110" spans="1:3" ht="18" customHeight="1">
      <c r="A4110" t="str">
        <f>"17-3112-0002"</f>
        <v>17-3112-0002</v>
      </c>
      <c r="B4110" t="str">
        <f>"LM5 Content, Vir, Fundamentals of Physics"</f>
        <v>LM5 Content, Vir, Fundamentals of Physics</v>
      </c>
      <c r="C4110" t="str">
        <f>"New"</f>
        <v>New</v>
      </c>
    </row>
    <row r="4111" spans="1:3" ht="18" customHeight="1">
      <c r="A4111" t="str">
        <f>"17-3112-0002-2"</f>
        <v>17-3112-0002-2</v>
      </c>
      <c r="B4111" t="str">
        <f>"LM5_Sp_Fundamentals of Physics"</f>
        <v>LM5_Sp_Fundamentals of Physics</v>
      </c>
      <c r="C4111" t="str">
        <f>"Active"</f>
        <v>Active</v>
      </c>
    </row>
    <row r="4112" spans="1:3" ht="18" customHeight="1">
      <c r="A4112" t="str">
        <f>"17-3113-0002"</f>
        <v>17-3113-0002</v>
      </c>
      <c r="B4112" t="str">
        <f>"LM5 Content, Vir,  Kinematics"</f>
        <v>LM5 Content, Vir,  Kinematics</v>
      </c>
      <c r="C4112" t="str">
        <f>"New"</f>
        <v>New</v>
      </c>
    </row>
    <row r="4113" spans="1:3" ht="18" customHeight="1">
      <c r="A4113" t="str">
        <f>"17-3113-0002-2"</f>
        <v>17-3113-0002-2</v>
      </c>
      <c r="B4113" t="str">
        <f>"LM5_Sp_Kinematics"</f>
        <v>LM5_Sp_Kinematics</v>
      </c>
      <c r="C4113" t="str">
        <f>"Active"</f>
        <v>Active</v>
      </c>
    </row>
    <row r="4114" spans="1:3" ht="18" customHeight="1">
      <c r="A4114" t="str">
        <f>"17-3114-0002"</f>
        <v>17-3114-0002</v>
      </c>
      <c r="B4114" t="str">
        <f>"LM5 Content, Vir, Forces"</f>
        <v>LM5 Content, Vir, Forces</v>
      </c>
      <c r="C4114" t="str">
        <f>"New"</f>
        <v>New</v>
      </c>
    </row>
    <row r="4115" spans="1:3" ht="18" customHeight="1">
      <c r="A4115" t="str">
        <f>"17-3114-0002-2"</f>
        <v>17-3114-0002-2</v>
      </c>
      <c r="B4115" t="str">
        <f>"LM5_Sp_Forces"</f>
        <v>LM5_Sp_Forces</v>
      </c>
      <c r="C4115" t="str">
        <f>"Active"</f>
        <v>Active</v>
      </c>
    </row>
    <row r="4116" spans="1:3" ht="18" customHeight="1">
      <c r="A4116" t="str">
        <f>"17-3115-0002"</f>
        <v>17-3115-0002</v>
      </c>
      <c r="B4116" t="str">
        <f>"LM5 Content, Vir, Momentum and Energy"</f>
        <v>LM5 Content, Vir, Momentum and Energy</v>
      </c>
      <c r="C4116" t="str">
        <f>"New"</f>
        <v>New</v>
      </c>
    </row>
    <row r="4117" spans="1:3" ht="18" customHeight="1">
      <c r="A4117" t="str">
        <f>"17-3115-0002-2"</f>
        <v>17-3115-0002-2</v>
      </c>
      <c r="B4117" t="str">
        <f>"LM5_Sp_Momentum and Energy"</f>
        <v>LM5_Sp_Momentum and Energy</v>
      </c>
      <c r="C4117" t="str">
        <f>"Active"</f>
        <v>Active</v>
      </c>
    </row>
    <row r="4118" spans="1:3" ht="18" customHeight="1">
      <c r="A4118" t="str">
        <f>"17-3116-0002"</f>
        <v>17-3116-0002</v>
      </c>
      <c r="B4118" t="str">
        <f>"LM5 Content, Vir, Electricity"</f>
        <v>LM5 Content, Vir, Electricity</v>
      </c>
      <c r="C4118" t="str">
        <f>"New"</f>
        <v>New</v>
      </c>
    </row>
    <row r="4119" spans="1:3" ht="18" customHeight="1">
      <c r="A4119" t="str">
        <f>"17-3116-0002-2"</f>
        <v>17-3116-0002-2</v>
      </c>
      <c r="B4119" t="str">
        <f>"LM5_Sp_Electricity"</f>
        <v>LM5_Sp_Electricity</v>
      </c>
      <c r="C4119" t="str">
        <f>"Active"</f>
        <v>Active</v>
      </c>
    </row>
    <row r="4120" spans="1:3" ht="18" customHeight="1">
      <c r="A4120" t="str">
        <f>"17-3117-0000"</f>
        <v>17-3117-0000</v>
      </c>
      <c r="B4120" t="str">
        <f>"LM5 Content, Vir, Atomic Structure"</f>
        <v>LM5 Content, Vir, Atomic Structure</v>
      </c>
      <c r="C4120" t="str">
        <f>"New"</f>
        <v>New</v>
      </c>
    </row>
    <row r="4121" spans="1:3" ht="18" customHeight="1">
      <c r="A4121" t="str">
        <f>"17-3117-0000-2"</f>
        <v>17-3117-0000-2</v>
      </c>
      <c r="B4121" t="str">
        <f>"LM5_Sp_Elements and Chemicals"</f>
        <v>LM5_Sp_Elements and Chemicals</v>
      </c>
      <c r="C4121" t="str">
        <f>"Active"</f>
        <v>Active</v>
      </c>
    </row>
    <row r="4122" spans="1:3" ht="18" customHeight="1">
      <c r="A4122" t="str">
        <f>"17-3118-0000"</f>
        <v>17-3118-0000</v>
      </c>
      <c r="B4122" t="str">
        <f>"LM5 Content, Vir, Substance Quan&amp; Kinetic Theory"</f>
        <v>LM5 Content, Vir, Substance Quan&amp; Kinetic Theory</v>
      </c>
      <c r="C4122" t="str">
        <f>"New"</f>
        <v>New</v>
      </c>
    </row>
    <row r="4123" spans="1:3" ht="18" customHeight="1">
      <c r="A4123" t="str">
        <f>"17-3118-0000-2"</f>
        <v>17-3118-0000-2</v>
      </c>
      <c r="B4123" t="str">
        <f>"LM5_Sp_States of Matter"</f>
        <v>LM5_Sp_States of Matter</v>
      </c>
      <c r="C4123" t="str">
        <f>"Active"</f>
        <v>Active</v>
      </c>
    </row>
    <row r="4124" spans="1:3" ht="18" customHeight="1">
      <c r="A4124" t="str">
        <f>"17-3119-0000"</f>
        <v>17-3119-0000</v>
      </c>
      <c r="B4124" t="str">
        <f>"LM5 Content, Vir, Chemical Solutions"</f>
        <v>LM5 Content, Vir, Chemical Solutions</v>
      </c>
      <c r="C4124" t="str">
        <f>"New"</f>
        <v>New</v>
      </c>
    </row>
    <row r="4125" spans="1:3" ht="18" customHeight="1">
      <c r="A4125" t="str">
        <f>"17-3119-0000-2"</f>
        <v>17-3119-0000-2</v>
      </c>
      <c r="B4125" t="str">
        <f>"LM5_Sp_Chemical Solutions"</f>
        <v>LM5_Sp_Chemical Solutions</v>
      </c>
      <c r="C4125" t="str">
        <f>"Active"</f>
        <v>Active</v>
      </c>
    </row>
    <row r="4126" spans="1:3" ht="18" customHeight="1">
      <c r="A4126" t="str">
        <f>"17-3120-0000"</f>
        <v>17-3120-0000</v>
      </c>
      <c r="B4126" t="str">
        <f>"LM5 Content, Vir, Chemical Reactions"</f>
        <v>LM5 Content, Vir, Chemical Reactions</v>
      </c>
      <c r="C4126" t="str">
        <f>"New"</f>
        <v>New</v>
      </c>
    </row>
    <row r="4127" spans="1:3" ht="18" customHeight="1">
      <c r="A4127" t="str">
        <f>"17-3120-0000-2"</f>
        <v>17-3120-0000-2</v>
      </c>
      <c r="B4127" t="str">
        <f>"LM5_Sp_Chemical Reactions"</f>
        <v>LM5_Sp_Chemical Reactions</v>
      </c>
      <c r="C4127" t="str">
        <f>"Active"</f>
        <v>Active</v>
      </c>
    </row>
    <row r="4128" spans="1:3" ht="18" customHeight="1">
      <c r="A4128" t="str">
        <f>"17-3121-0000"</f>
        <v>17-3121-0000</v>
      </c>
      <c r="B4128" t="str">
        <f>"LM5 Content, Vir, Introduction to Chemistry"</f>
        <v>LM5 Content, Vir, Introduction to Chemistry</v>
      </c>
      <c r="C4128" t="str">
        <f>"New"</f>
        <v>New</v>
      </c>
    </row>
    <row r="4129" spans="1:3" ht="18" customHeight="1">
      <c r="A4129" t="str">
        <f>"17-3121-0000-2"</f>
        <v>17-3121-0000-2</v>
      </c>
      <c r="B4129" t="str">
        <f>"LM5_Sp_Chemical Equilibrium and Stoichiometry"</f>
        <v>LM5_Sp_Chemical Equilibrium and Stoichiometry</v>
      </c>
      <c r="C4129" t="str">
        <f>"Active"</f>
        <v>Active</v>
      </c>
    </row>
    <row r="4130" spans="1:3" ht="18" customHeight="1">
      <c r="A4130" t="str">
        <f>"17-3122-0000"</f>
        <v>17-3122-0000</v>
      </c>
      <c r="B4130" t="str">
        <f>"LM5 Content, Vir, Biodiversity"</f>
        <v>LM5 Content, Vir, Biodiversity</v>
      </c>
      <c r="C4130" t="str">
        <f>"New"</f>
        <v>New</v>
      </c>
    </row>
    <row r="4131" spans="1:3" ht="18" customHeight="1">
      <c r="A4131" t="str">
        <f>"17-3122-0000-2"</f>
        <v>17-3122-0000-2</v>
      </c>
      <c r="B4131" t="str">
        <f>"LM5_Sp_Biodiversity"</f>
        <v>LM5_Sp_Biodiversity</v>
      </c>
      <c r="C4131" t="str">
        <f>"Active"</f>
        <v>Active</v>
      </c>
    </row>
    <row r="4132" spans="1:3" ht="18" customHeight="1">
      <c r="A4132" t="str">
        <f>"17-3123-0000"</f>
        <v>17-3123-0000</v>
      </c>
      <c r="B4132" t="str">
        <f>"LM5 Content, Vir, Human Body Systems"</f>
        <v>LM5 Content, Vir, Human Body Systems</v>
      </c>
      <c r="C4132" t="str">
        <f>"New"</f>
        <v>New</v>
      </c>
    </row>
    <row r="4133" spans="1:3" ht="18" customHeight="1">
      <c r="A4133" t="str">
        <f>"17-3123-0000-2"</f>
        <v>17-3123-0000-2</v>
      </c>
      <c r="B4133" t="str">
        <f>"LM5_Sp_Human Body Systems"</f>
        <v>LM5_Sp_Human Body Systems</v>
      </c>
      <c r="C4133" t="str">
        <f>"Active"</f>
        <v>Active</v>
      </c>
    </row>
    <row r="4134" spans="1:3" ht="18" customHeight="1">
      <c r="A4134" t="str">
        <f>"17-3124-0000"</f>
        <v>17-3124-0000</v>
      </c>
      <c r="B4134" t="str">
        <f>"LM5 Content, Vir, Botany"</f>
        <v>LM5 Content, Vir, Botany</v>
      </c>
      <c r="C4134" t="str">
        <f>"New"</f>
        <v>New</v>
      </c>
    </row>
    <row r="4135" spans="1:3" ht="18" customHeight="1">
      <c r="A4135" t="str">
        <f>"17-3124-0000-2"</f>
        <v>17-3124-0000-2</v>
      </c>
      <c r="B4135" t="str">
        <f>"LM5.X Content, Vir, Sp, Botany"</f>
        <v>LM5.X Content, Vir, Sp, Botany</v>
      </c>
      <c r="C4135" t="str">
        <f>"Active"</f>
        <v>Active</v>
      </c>
    </row>
    <row r="4136" spans="1:3" ht="18" customHeight="1">
      <c r="A4136" t="str">
        <f>"17-3125-0000"</f>
        <v>17-3125-0000</v>
      </c>
      <c r="B4136" t="str">
        <f>"LM5 Content, Vir, Zoology"</f>
        <v>LM5 Content, Vir, Zoology</v>
      </c>
      <c r="C4136" t="str">
        <f>"New"</f>
        <v>New</v>
      </c>
    </row>
    <row r="4137" spans="1:3" ht="18" customHeight="1">
      <c r="A4137" t="str">
        <f>"17-3125-0000-2"</f>
        <v>17-3125-0000-2</v>
      </c>
      <c r="B4137" t="str">
        <f>"LM5_Sp_Zoology"</f>
        <v>LM5_Sp_Zoology</v>
      </c>
      <c r="C4137" t="str">
        <f>"Active"</f>
        <v>Active</v>
      </c>
    </row>
    <row r="4138" spans="1:3" ht="18" customHeight="1">
      <c r="A4138" t="str">
        <f>"17-3126-0000"</f>
        <v>17-3126-0000</v>
      </c>
      <c r="B4138" t="str">
        <f>"LM5 Content, Vir, Genetics"</f>
        <v>LM5 Content, Vir, Genetics</v>
      </c>
      <c r="C4138" t="str">
        <f>"New"</f>
        <v>New</v>
      </c>
    </row>
    <row r="4139" spans="1:3" ht="18" customHeight="1">
      <c r="A4139" t="str">
        <f>"17-3126-0000-2"</f>
        <v>17-3126-0000-2</v>
      </c>
      <c r="B4139" t="str">
        <f>"LM5_Sp_Genetics"</f>
        <v>LM5_Sp_Genetics</v>
      </c>
      <c r="C4139" t="str">
        <f>"Active"</f>
        <v>Active</v>
      </c>
    </row>
    <row r="4140" spans="1:3" ht="18" customHeight="1">
      <c r="A4140" t="str">
        <f>"17-3127-0000"</f>
        <v>17-3127-0000</v>
      </c>
      <c r="B4140" t="str">
        <f>"LM5 Content, Vir, Electrical Fields"</f>
        <v>LM5 Content, Vir, Electrical Fields</v>
      </c>
      <c r="C4140" t="str">
        <f>"New"</f>
        <v>New</v>
      </c>
    </row>
    <row r="4141" spans="1:3" ht="18" customHeight="1">
      <c r="A4141" t="str">
        <f>"17-3127-0000-2"</f>
        <v>17-3127-0000-2</v>
      </c>
      <c r="B4141" t="str">
        <f>"LM5_Sp_Electrical Fields"</f>
        <v>LM5_Sp_Electrical Fields</v>
      </c>
      <c r="C4141" t="str">
        <f>"Active"</f>
        <v>Active</v>
      </c>
    </row>
    <row r="4142" spans="1:3" ht="18" customHeight="1">
      <c r="A4142" t="str">
        <f>"17-3128-0000"</f>
        <v>17-3128-0000</v>
      </c>
      <c r="B4142" t="str">
        <f>"LM5 Content, Vir, Magnetic Fields"</f>
        <v>LM5 Content, Vir, Magnetic Fields</v>
      </c>
      <c r="C4142" t="str">
        <f>"New"</f>
        <v>New</v>
      </c>
    </row>
    <row r="4143" spans="1:3" ht="18" customHeight="1">
      <c r="A4143" t="str">
        <f>"17-3128-0000-2"</f>
        <v>17-3128-0000-2</v>
      </c>
      <c r="B4143" t="str">
        <f>"LM5_Sp_Magnetic Fields"</f>
        <v>LM5_Sp_Magnetic Fields</v>
      </c>
      <c r="C4143" t="str">
        <f>"Active"</f>
        <v>Active</v>
      </c>
    </row>
    <row r="4144" spans="1:3" ht="18" customHeight="1">
      <c r="A4144" t="str">
        <f>"17-3129-0000"</f>
        <v>17-3129-0000</v>
      </c>
      <c r="B4144" t="str">
        <f>"LM5 Content, Vir, Thermochemistry"</f>
        <v>LM5 Content, Vir, Thermochemistry</v>
      </c>
      <c r="C4144" t="str">
        <f>"New"</f>
        <v>New</v>
      </c>
    </row>
    <row r="4145" spans="1:3" ht="18" customHeight="1">
      <c r="A4145" t="str">
        <f>"17-3129-0000-2"</f>
        <v>17-3129-0000-2</v>
      </c>
      <c r="B4145" t="str">
        <f>"LM5_Sp_Thermochemistry"</f>
        <v>LM5_Sp_Thermochemistry</v>
      </c>
      <c r="C4145" t="str">
        <f>"Active"</f>
        <v>Active</v>
      </c>
    </row>
    <row r="4146" spans="1:3" ht="18" customHeight="1">
      <c r="A4146" t="str">
        <f>"17-3130-0000"</f>
        <v>17-3130-0000</v>
      </c>
      <c r="B4146" t="str">
        <f>"LM5 Content, Vir,  The Cell"</f>
        <v>LM5 Content, Vir,  The Cell</v>
      </c>
      <c r="C4146" t="str">
        <f>"New"</f>
        <v>New</v>
      </c>
    </row>
    <row r="4147" spans="1:3" ht="18" customHeight="1">
      <c r="A4147" t="str">
        <f>"17-3130-0000-2"</f>
        <v>17-3130-0000-2</v>
      </c>
      <c r="B4147" t="str">
        <f>"LM5_Sp_The Cell"</f>
        <v>LM5_Sp_The Cell</v>
      </c>
      <c r="C4147" t="str">
        <f>"Active"</f>
        <v>Active</v>
      </c>
    </row>
    <row r="4148" spans="1:3" ht="18" customHeight="1">
      <c r="A4148" t="str">
        <f>"17-3131-0000"</f>
        <v>17-3131-0000</v>
      </c>
      <c r="B4148" t="str">
        <f>"LM5 Content, Vir, Cellular Process &amp; Divis"</f>
        <v>LM5 Content, Vir, Cellular Process &amp; Divis</v>
      </c>
      <c r="C4148" t="str">
        <f>"New"</f>
        <v>New</v>
      </c>
    </row>
    <row r="4149" spans="1:3" ht="18" customHeight="1">
      <c r="A4149" t="str">
        <f>"17-3131-0000-2"</f>
        <v>17-3131-0000-2</v>
      </c>
      <c r="B4149" t="str">
        <f>"LM5_Sp_Cellular Processes and Division"</f>
        <v>LM5_Sp_Cellular Processes and Division</v>
      </c>
      <c r="C4149" t="str">
        <f>"Active"</f>
        <v>Active</v>
      </c>
    </row>
    <row r="4150" spans="1:3" ht="18" customHeight="1">
      <c r="A4150" t="str">
        <f>"17-3132-0000"</f>
        <v>17-3132-0000</v>
      </c>
      <c r="B4150" t="str">
        <f>"LM5 Content, Vir, Organic Chemistry (1)"</f>
        <v>LM5 Content, Vir, Organic Chemistry (1)</v>
      </c>
      <c r="C4150" t="str">
        <f>"New"</f>
        <v>New</v>
      </c>
    </row>
    <row r="4151" spans="1:3" ht="18" customHeight="1">
      <c r="A4151" t="str">
        <f>"17-3132-0000-2"</f>
        <v>17-3132-0000-2</v>
      </c>
      <c r="B4151" t="str">
        <f>"LM5_Sp_Organic Chemistry (1)"</f>
        <v>LM5_Sp_Organic Chemistry (1)</v>
      </c>
      <c r="C4151" t="str">
        <f>"Active"</f>
        <v>Active</v>
      </c>
    </row>
    <row r="4152" spans="1:3" ht="18" customHeight="1">
      <c r="A4152" t="str">
        <f>"17-3133-0000"</f>
        <v>17-3133-0000</v>
      </c>
      <c r="B4152" t="str">
        <f>"LM5 Content, Vir, Organic Chemistry (2)"</f>
        <v>LM5 Content, Vir, Organic Chemistry (2)</v>
      </c>
      <c r="C4152" t="str">
        <f>"New"</f>
        <v>New</v>
      </c>
    </row>
    <row r="4153" spans="1:3" ht="18" customHeight="1">
      <c r="A4153" t="str">
        <f>"17-3133-0000-2"</f>
        <v>17-3133-0000-2</v>
      </c>
      <c r="B4153" t="str">
        <f>"LM5_Sp_Organic Chemistry (2)"</f>
        <v>LM5_Sp_Organic Chemistry (2)</v>
      </c>
      <c r="C4153" t="str">
        <f>"Active"</f>
        <v>Active</v>
      </c>
    </row>
    <row r="4154" spans="1:3" ht="18" customHeight="1">
      <c r="A4154" t="str">
        <f>"17-3134-0000"</f>
        <v>17-3134-0000</v>
      </c>
      <c r="B4154" t="str">
        <f>"LM5 Content, Vir, Dynamics &amp; Thermodynamic"</f>
        <v>LM5 Content, Vir, Dynamics &amp; Thermodynamic</v>
      </c>
      <c r="C4154" t="str">
        <f>"New"</f>
        <v>New</v>
      </c>
    </row>
    <row r="4155" spans="1:3" ht="18" customHeight="1">
      <c r="A4155" t="str">
        <f>"17-3134-0000-2"</f>
        <v>17-3134-0000-2</v>
      </c>
      <c r="B4155" t="str">
        <f>"LM5_Sp_Dynamics and Thermodynamics"</f>
        <v>LM5_Sp_Dynamics and Thermodynamics</v>
      </c>
      <c r="C4155" t="str">
        <f>"Active"</f>
        <v>Active</v>
      </c>
    </row>
    <row r="4156" spans="1:3" ht="18" customHeight="1">
      <c r="A4156" t="str">
        <f>"17-3135-0000"</f>
        <v>17-3135-0000</v>
      </c>
      <c r="B4156" t="str">
        <f>"LM5 Content, Vir, Mathematics - A"</f>
        <v>LM5 Content, Vir, Mathematics - A</v>
      </c>
      <c r="C4156" t="str">
        <f>"New"</f>
        <v>New</v>
      </c>
    </row>
    <row r="4157" spans="1:3" ht="18" customHeight="1">
      <c r="A4157" t="str">
        <f>"17-3135-0000-2"</f>
        <v>17-3135-0000-2</v>
      </c>
      <c r="B4157" t="str">
        <f>"LM5_Sp_Mathematics - A"</f>
        <v>LM5_Sp_Mathematics - A</v>
      </c>
      <c r="C4157" t="str">
        <f>"Active"</f>
        <v>Active</v>
      </c>
    </row>
    <row r="4158" spans="1:3" ht="18" customHeight="1">
      <c r="A4158" t="str">
        <f>"17-3136-0000"</f>
        <v>17-3136-0000</v>
      </c>
      <c r="B4158" t="str">
        <f>"LM5 Content, Vir, Mathematics - B"</f>
        <v>LM5 Content, Vir, Mathematics - B</v>
      </c>
      <c r="C4158" t="str">
        <f>"New"</f>
        <v>New</v>
      </c>
    </row>
    <row r="4159" spans="1:3" ht="18" customHeight="1">
      <c r="A4159" t="str">
        <f>"17-3136-0000-2"</f>
        <v>17-3136-0000-2</v>
      </c>
      <c r="B4159" t="str">
        <f>"LM5_Sp_Mathematics - B"</f>
        <v>LM5_Sp_Mathematics - B</v>
      </c>
      <c r="C4159" t="str">
        <f>"Active"</f>
        <v>Active</v>
      </c>
    </row>
    <row r="4160" spans="1:3" ht="18" customHeight="1">
      <c r="A4160" t="str">
        <f>"17-3137-0000"</f>
        <v>17-3137-0000</v>
      </c>
      <c r="B4160" t="str">
        <f>"LM5 Content, Vir, Mathematics - C"</f>
        <v>LM5 Content, Vir, Mathematics - C</v>
      </c>
      <c r="C4160" t="str">
        <f>"New"</f>
        <v>New</v>
      </c>
    </row>
    <row r="4161" spans="1:3" ht="18" customHeight="1">
      <c r="A4161" t="str">
        <f>"17-3137-0000-2"</f>
        <v>17-3137-0000-2</v>
      </c>
      <c r="B4161" t="str">
        <f>"LM5_Sp_Mathematics - C"</f>
        <v>LM5_Sp_Mathematics - C</v>
      </c>
      <c r="C4161" t="str">
        <f>"Active"</f>
        <v>Active</v>
      </c>
    </row>
    <row r="4162" spans="1:3" ht="18" customHeight="1">
      <c r="A4162" t="str">
        <f>"17-3138-0000"</f>
        <v>17-3138-0000</v>
      </c>
      <c r="B4162" t="str">
        <f>"LM5 Content, Vir, Algebra - A"</f>
        <v>LM5 Content, Vir, Algebra - A</v>
      </c>
      <c r="C4162" t="str">
        <f>"New"</f>
        <v>New</v>
      </c>
    </row>
    <row r="4163" spans="1:3" ht="18" customHeight="1">
      <c r="A4163" t="str">
        <f>"17-3138-0000-2"</f>
        <v>17-3138-0000-2</v>
      </c>
      <c r="B4163" t="str">
        <f>"LM5_Sp_Algebra - A"</f>
        <v>LM5_Sp_Algebra - A</v>
      </c>
      <c r="C4163" t="str">
        <f>"Active"</f>
        <v>Active</v>
      </c>
    </row>
    <row r="4164" spans="1:3" ht="18" customHeight="1">
      <c r="A4164" t="str">
        <f>"17-3139-0000"</f>
        <v>17-3139-0000</v>
      </c>
      <c r="B4164" t="str">
        <f>"LM5 Content, Vir, Algebra - B"</f>
        <v>LM5 Content, Vir, Algebra - B</v>
      </c>
      <c r="C4164" t="str">
        <f>"New"</f>
        <v>New</v>
      </c>
    </row>
    <row r="4165" spans="1:3" ht="18" customHeight="1">
      <c r="A4165" t="str">
        <f>"17-3139-0000-2"</f>
        <v>17-3139-0000-2</v>
      </c>
      <c r="B4165" t="str">
        <f>"LM5_Sp_Algebra - B"</f>
        <v>LM5_Sp_Algebra - B</v>
      </c>
      <c r="C4165" t="str">
        <f>"Active"</f>
        <v>Active</v>
      </c>
    </row>
    <row r="4166" spans="1:3" ht="18" customHeight="1">
      <c r="A4166" t="str">
        <f>"17-3140-0001"</f>
        <v>17-3140-0001</v>
      </c>
      <c r="B4166" t="str">
        <f>"LM5.X Content, Vir, CNC Milling w/BenchMill 6000"</f>
        <v>LM5.X Content, Vir, CNC Milling w/BenchMill 6000</v>
      </c>
      <c r="C4166" t="str">
        <f>"Active"</f>
        <v>Active</v>
      </c>
    </row>
    <row r="4167" spans="1:3" ht="18" customHeight="1">
      <c r="A4167" t="str">
        <f>"17-3140-0002"</f>
        <v>17-3140-0002</v>
      </c>
      <c r="B4167" t="str">
        <f>"LM5 Content,Vir, CNCMilling w/BenchMill 6000 (M)"</f>
        <v>LM5 Content,Vir, CNCMilling w/BenchMill 6000 (M)</v>
      </c>
      <c r="C4167" t="str">
        <f>"Active"</f>
        <v>Active</v>
      </c>
    </row>
    <row r="4168" spans="1:3" ht="18" customHeight="1">
      <c r="A4168" t="str">
        <f>"17-3140-0002-3"</f>
        <v>17-3140-0002-3</v>
      </c>
      <c r="B4168" t="str">
        <f>"LM5 Content,Vir,Por, CNCMilling BenchMill6000(M)"</f>
        <v>LM5 Content,Vir,Por, CNCMilling BenchMill6000(M)</v>
      </c>
      <c r="C4168" t="str">
        <f>"New"</f>
        <v>New</v>
      </c>
    </row>
    <row r="4169" spans="1:3" ht="18" customHeight="1">
      <c r="A4169" t="str">
        <f>"17-3141-0001"</f>
        <v>17-3141-0001</v>
      </c>
      <c r="B4169" t="str">
        <f>"LM5.X Content, Vir, CNC Turning w/BenchTurn 7000"</f>
        <v>LM5.X Content, Vir, CNC Turning w/BenchTurn 7000</v>
      </c>
      <c r="C4169" t="str">
        <f>"Active"</f>
        <v>Active</v>
      </c>
    </row>
    <row r="4170" spans="1:3" ht="18" customHeight="1">
      <c r="A4170" t="str">
        <f>"17-3141-0002"</f>
        <v>17-3141-0002</v>
      </c>
      <c r="B4170" t="str">
        <f>"LM5 Content,Vir, CNCTurning w/BenchTurn 7000 (M)"</f>
        <v>LM5 Content,Vir, CNCTurning w/BenchTurn 7000 (M)</v>
      </c>
      <c r="C4170" t="str">
        <f>"Active"</f>
        <v>Active</v>
      </c>
    </row>
    <row r="4171" spans="1:3" ht="18" customHeight="1">
      <c r="A4171" t="str">
        <f>"17-3141-0002-3"</f>
        <v>17-3141-0002-3</v>
      </c>
      <c r="B4171" t="str">
        <f>"LM5 Content,Vir,Por, CNCTurning BenchTurn7000(M)"</f>
        <v>LM5 Content,Vir,Por, CNCTurning BenchTurn7000(M)</v>
      </c>
      <c r="C4171" t="str">
        <f>"New"</f>
        <v>New</v>
      </c>
    </row>
    <row r="4172" spans="1:3" ht="18" customHeight="1">
      <c r="A4172" t="str">
        <f>"17-3142-0001"</f>
        <v>17-3142-0001</v>
      </c>
      <c r="B4172" t="str">
        <f>"LM5.X Content, Vir, CNC Milling w/ProMill 8000"</f>
        <v>LM5.X Content, Vir, CNC Milling w/ProMill 8000</v>
      </c>
      <c r="C4172" t="str">
        <f>"Active"</f>
        <v>Active</v>
      </c>
    </row>
    <row r="4173" spans="1:3" ht="18" customHeight="1">
      <c r="A4173" t="str">
        <f>"17-3142-0002"</f>
        <v>17-3142-0002</v>
      </c>
      <c r="B4173" t="str">
        <f>"LM5 Content, Vir, CNC Milling w/ProMill 8000 (M)"</f>
        <v>LM5 Content, Vir, CNC Milling w/ProMill 8000 (M)</v>
      </c>
      <c r="C4173" t="str">
        <f>"Active"</f>
        <v>Active</v>
      </c>
    </row>
    <row r="4174" spans="1:3" ht="18" customHeight="1">
      <c r="A4174" t="str">
        <f>"17-3143-0001"</f>
        <v>17-3143-0001</v>
      </c>
      <c r="B4174" t="str">
        <f>"LM5.X Content, Vir, CNC Turning w/ProTurn 9000"</f>
        <v>LM5.X Content, Vir, CNC Turning w/ProTurn 9000</v>
      </c>
      <c r="C4174" t="str">
        <f>"Active"</f>
        <v>Active</v>
      </c>
    </row>
    <row r="4175" spans="1:3" ht="18" customHeight="1">
      <c r="A4175" t="str">
        <f>"17-3143-0002"</f>
        <v>17-3143-0002</v>
      </c>
      <c r="B4175" t="str">
        <f>"LM5 Content, Vir, CNC Turning w/ProTurn 9000 (M)"</f>
        <v>LM5 Content, Vir, CNC Turning w/ProTurn 9000 (M)</v>
      </c>
      <c r="C4175" t="str">
        <f>"Active"</f>
        <v>Active</v>
      </c>
    </row>
    <row r="4176" spans="1:3" ht="18" customHeight="1">
      <c r="A4176" t="str">
        <f>"17-3144-0001"</f>
        <v>17-3144-0001</v>
      </c>
      <c r="B4176" t="str">
        <f>"LM5 Content,CNC Programming Mill FANUC Controlle"</f>
        <v>LM5 Content,CNC Programming Mill FANUC Controlle</v>
      </c>
      <c r="C4176" t="str">
        <f>"Active"</f>
        <v>Active</v>
      </c>
    </row>
    <row r="4177" spans="1:3" ht="18" customHeight="1">
      <c r="A4177" t="str">
        <f>"17-3144-0002"</f>
        <v>17-3144-0002</v>
      </c>
      <c r="B4177" t="str">
        <f>"LM5 Content, CNC Programming Mill FANUC (M)"</f>
        <v>LM5 Content, CNC Programming Mill FANUC (M)</v>
      </c>
      <c r="C4177" t="str">
        <f>"New"</f>
        <v>New</v>
      </c>
    </row>
    <row r="4178" spans="1:3" ht="18" customHeight="1">
      <c r="A4178" t="str">
        <f>"17-3144-0002-3"</f>
        <v>17-3144-0002-3</v>
      </c>
      <c r="B4178" t="str">
        <f>"LM5 Content, Por, CNC Programming Mill FANUC (M)"</f>
        <v>LM5 Content, Por, CNC Programming Mill FANUC (M)</v>
      </c>
      <c r="C4178" t="str">
        <f>"New"</f>
        <v>New</v>
      </c>
    </row>
    <row r="4179" spans="1:3" ht="18" customHeight="1">
      <c r="A4179" t="str">
        <f>"17-3145-0001"</f>
        <v>17-3145-0001</v>
      </c>
      <c r="B4179" t="str">
        <f>"LM5.X Content, Vir, CNC Milling w/Fanuc for 8000"</f>
        <v>LM5.X Content, Vir, CNC Milling w/Fanuc for 8000</v>
      </c>
      <c r="C4179" t="str">
        <f>"Inactive"</f>
        <v>Inactive</v>
      </c>
    </row>
    <row r="4180" spans="1:3" ht="18" customHeight="1">
      <c r="A4180" t="str">
        <f>"17-3146-0001"</f>
        <v>17-3146-0001</v>
      </c>
      <c r="B4180" t="str">
        <f>"LM5 Content,CNC Programming Turn FANUC Controlle"</f>
        <v>LM5 Content,CNC Programming Turn FANUC Controlle</v>
      </c>
      <c r="C4180" t="str">
        <f>"Active"</f>
        <v>Active</v>
      </c>
    </row>
    <row r="4181" spans="1:3" ht="18" customHeight="1">
      <c r="A4181" t="str">
        <f>"17-3147-0001"</f>
        <v>17-3147-0001</v>
      </c>
      <c r="B4181" t="str">
        <f>"LM5.X Content, Vir, CNC Turning w/Fanuc for 9000"</f>
        <v>LM5.X Content, Vir, CNC Turning w/Fanuc for 9000</v>
      </c>
      <c r="C4181" t="str">
        <f>"Inactive"</f>
        <v>Inactive</v>
      </c>
    </row>
    <row r="4182" spans="1:3" ht="18" customHeight="1">
      <c r="A4182" t="str">
        <f>"17-3160-0000"</f>
        <v>17-3160-0000</v>
      </c>
      <c r="B4182" t="str">
        <f>"LM5 Content, Vir, Algebra - C"</f>
        <v>LM5 Content, Vir, Algebra - C</v>
      </c>
      <c r="C4182" t="str">
        <f>"New"</f>
        <v>New</v>
      </c>
    </row>
    <row r="4183" spans="1:3" ht="18" customHeight="1">
      <c r="A4183" t="str">
        <f>"17-3160-0000-2"</f>
        <v>17-3160-0000-2</v>
      </c>
      <c r="B4183" t="str">
        <f>"LM5_Sp_Algebra - C"</f>
        <v>LM5_Sp_Algebra - C</v>
      </c>
      <c r="C4183" t="str">
        <f>"Active"</f>
        <v>Active</v>
      </c>
    </row>
    <row r="4184" spans="1:3" ht="18" customHeight="1">
      <c r="A4184" t="str">
        <f>"17-3161-0000"</f>
        <v>17-3161-0000</v>
      </c>
      <c r="B4184" t="str">
        <f>"LM5 Content, Vir, Trigonometry - A"</f>
        <v>LM5 Content, Vir, Trigonometry - A</v>
      </c>
      <c r="C4184" t="str">
        <f>"New"</f>
        <v>New</v>
      </c>
    </row>
    <row r="4185" spans="1:3" ht="18" customHeight="1">
      <c r="A4185" t="str">
        <f>"17-3161-0000-2"</f>
        <v>17-3161-0000-2</v>
      </c>
      <c r="B4185" t="str">
        <f>"LM5_Sp_Trigonometry - A"</f>
        <v>LM5_Sp_Trigonometry - A</v>
      </c>
      <c r="C4185" t="str">
        <f>"Active"</f>
        <v>Active</v>
      </c>
    </row>
    <row r="4186" spans="1:3" ht="18" customHeight="1">
      <c r="A4186" t="str">
        <f>"17-3162-0000"</f>
        <v>17-3162-0000</v>
      </c>
      <c r="B4186" t="str">
        <f>"LM5 Content, Vir, Trigonometry - B"</f>
        <v>LM5 Content, Vir, Trigonometry - B</v>
      </c>
      <c r="C4186" t="str">
        <f>"New"</f>
        <v>New</v>
      </c>
    </row>
    <row r="4187" spans="1:3" ht="18" customHeight="1">
      <c r="A4187" t="str">
        <f>"17-3162-0000-2"</f>
        <v>17-3162-0000-2</v>
      </c>
      <c r="B4187" t="str">
        <f>"LM5_Sp_Trigonometry - B"</f>
        <v>LM5_Sp_Trigonometry - B</v>
      </c>
      <c r="C4187" t="str">
        <f>"Active"</f>
        <v>Active</v>
      </c>
    </row>
    <row r="4188" spans="1:3" ht="18" customHeight="1">
      <c r="A4188" t="str">
        <f>"17-3163-0000"</f>
        <v>17-3163-0000</v>
      </c>
      <c r="B4188" t="str">
        <f>"LM5 Content, Vir, Trigonometry - C"</f>
        <v>LM5 Content, Vir, Trigonometry - C</v>
      </c>
      <c r="C4188" t="str">
        <f>"New"</f>
        <v>New</v>
      </c>
    </row>
    <row r="4189" spans="1:3" ht="18" customHeight="1">
      <c r="A4189" t="str">
        <f>"17-3163-0000-2"</f>
        <v>17-3163-0000-2</v>
      </c>
      <c r="B4189" t="str">
        <f>"LM5_Sp_Trigonometry - C"</f>
        <v>LM5_Sp_Trigonometry - C</v>
      </c>
      <c r="C4189" t="str">
        <f>"Active"</f>
        <v>Active</v>
      </c>
    </row>
    <row r="4190" spans="1:3" ht="18" customHeight="1">
      <c r="A4190" t="str">
        <f>"17-3164-0000"</f>
        <v>17-3164-0000</v>
      </c>
      <c r="B4190" t="str">
        <f>"LM5 Content, Vir, Calculus - A"</f>
        <v>LM5 Content, Vir, Calculus - A</v>
      </c>
      <c r="C4190" t="str">
        <f>"New"</f>
        <v>New</v>
      </c>
    </row>
    <row r="4191" spans="1:3" ht="18" customHeight="1">
      <c r="A4191" t="str">
        <f>"17-3164-0000-2"</f>
        <v>17-3164-0000-2</v>
      </c>
      <c r="B4191" t="str">
        <f>"LM5_Sp_Calculus - A"</f>
        <v>LM5_Sp_Calculus - A</v>
      </c>
      <c r="C4191" t="str">
        <f>"Active"</f>
        <v>Active</v>
      </c>
    </row>
    <row r="4192" spans="1:3" ht="18" customHeight="1">
      <c r="A4192" t="str">
        <f>"17-3165-0000"</f>
        <v>17-3165-0000</v>
      </c>
      <c r="B4192" t="str">
        <f>"LM5 Content, Vir, Calculus - B"</f>
        <v>LM5 Content, Vir, Calculus - B</v>
      </c>
      <c r="C4192" t="str">
        <f>"New"</f>
        <v>New</v>
      </c>
    </row>
    <row r="4193" spans="1:3" ht="18" customHeight="1">
      <c r="A4193" t="str">
        <f>"17-3165-0000-2"</f>
        <v>17-3165-0000-2</v>
      </c>
      <c r="B4193" t="str">
        <f>"LM5_Sp_Calculus - B"</f>
        <v>LM5_Sp_Calculus - B</v>
      </c>
      <c r="C4193" t="str">
        <f>"Active"</f>
        <v>Active</v>
      </c>
    </row>
    <row r="4194" spans="1:3" ht="18" customHeight="1">
      <c r="A4194" t="str">
        <f>"17-3166-0000"</f>
        <v>17-3166-0000</v>
      </c>
      <c r="B4194" t="str">
        <f>"LM5 Content, Vir, Calculus - C"</f>
        <v>LM5 Content, Vir, Calculus - C</v>
      </c>
      <c r="C4194" t="str">
        <f>"New"</f>
        <v>New</v>
      </c>
    </row>
    <row r="4195" spans="1:3" ht="18" customHeight="1">
      <c r="A4195" t="str">
        <f>"17-3166-0000-2"</f>
        <v>17-3166-0000-2</v>
      </c>
      <c r="B4195" t="str">
        <f>"LM5_Sp_Calculus - C"</f>
        <v>LM5_Sp_Calculus - C</v>
      </c>
      <c r="C4195" t="str">
        <f>"Active"</f>
        <v>Active</v>
      </c>
    </row>
    <row r="4196" spans="1:3" ht="18" customHeight="1">
      <c r="A4196" t="str">
        <f>"17-3167-0000"</f>
        <v>17-3167-0000</v>
      </c>
      <c r="B4196" t="str">
        <f>"LM5 Content, Vir, Intro to Technology"</f>
        <v>LM5 Content, Vir, Intro to Technology</v>
      </c>
      <c r="C4196" t="str">
        <f>"New"</f>
        <v>New</v>
      </c>
    </row>
    <row r="4197" spans="1:3" ht="18" customHeight="1">
      <c r="A4197" t="str">
        <f>"17-3167-0000-2"</f>
        <v>17-3167-0000-2</v>
      </c>
      <c r="B4197" t="str">
        <f>"LM5_Sp_Introduction to Technology"</f>
        <v>LM5_Sp_Introduction to Technology</v>
      </c>
      <c r="C4197" t="str">
        <f>"Active"</f>
        <v>Active</v>
      </c>
    </row>
    <row r="4198" spans="1:3" ht="18" customHeight="1">
      <c r="A4198" t="str">
        <f>"17-3168-0000"</f>
        <v>17-3168-0000</v>
      </c>
      <c r="B4198" t="str">
        <f>"LM5 Content, Vir, Cutting Edge Technology"</f>
        <v>LM5 Content, Vir, Cutting Edge Technology</v>
      </c>
      <c r="C4198" t="str">
        <f>"New"</f>
        <v>New</v>
      </c>
    </row>
    <row r="4199" spans="1:3" ht="18" customHeight="1">
      <c r="A4199" t="str">
        <f>"17-3168-0000-2"</f>
        <v>17-3168-0000-2</v>
      </c>
      <c r="B4199" t="str">
        <f>"LM5_Sp_Cutting Edge Technologies"</f>
        <v>LM5_Sp_Cutting Edge Technologies</v>
      </c>
      <c r="C4199" t="str">
        <f>"Active"</f>
        <v>Active</v>
      </c>
    </row>
    <row r="4200" spans="1:3" ht="18" customHeight="1">
      <c r="A4200" t="str">
        <f>"17-3169-0000"</f>
        <v>17-3169-0000</v>
      </c>
      <c r="B4200" t="str">
        <f>"LM5 Content, Vir, Innovat. &amp; Communication"</f>
        <v>LM5 Content, Vir, Innovat. &amp; Communication</v>
      </c>
      <c r="C4200" t="str">
        <f>"New"</f>
        <v>New</v>
      </c>
    </row>
    <row r="4201" spans="1:3" ht="18" customHeight="1">
      <c r="A4201" t="str">
        <f>"17-3169-0000-2"</f>
        <v>17-3169-0000-2</v>
      </c>
      <c r="B4201" t="str">
        <f>"LM5_Sp_Innovation and Communication"</f>
        <v>LM5_Sp_Innovation and Communication</v>
      </c>
      <c r="C4201" t="str">
        <f>"Active"</f>
        <v>Active</v>
      </c>
    </row>
    <row r="4202" spans="1:3" ht="18" customHeight="1">
      <c r="A4202" t="str">
        <f>"17-3170-0000"</f>
        <v>17-3170-0000</v>
      </c>
      <c r="B4202" t="str">
        <f>"LM5 Content, Vir, Mechanics"</f>
        <v>LM5 Content, Vir, Mechanics</v>
      </c>
      <c r="C4202" t="str">
        <f>"New"</f>
        <v>New</v>
      </c>
    </row>
    <row r="4203" spans="1:3" ht="18" customHeight="1">
      <c r="A4203" t="str">
        <f>"17-3170-0000-2"</f>
        <v>17-3170-0000-2</v>
      </c>
      <c r="B4203" t="str">
        <f>"LM5_Sp_Mechanics"</f>
        <v>LM5_Sp_Mechanics</v>
      </c>
      <c r="C4203" t="str">
        <f>"Active"</f>
        <v>Active</v>
      </c>
    </row>
    <row r="4204" spans="1:3" ht="18" customHeight="1">
      <c r="A4204" t="str">
        <f>"17-3171-0000"</f>
        <v>17-3171-0000</v>
      </c>
      <c r="B4204" t="str">
        <f>"LM5 Content,V, 8.2.1 Airflow Around a Body"</f>
        <v>LM5 Content,V, 8.2.1 Airflow Around a Body</v>
      </c>
      <c r="C4204" t="str">
        <f t="shared" ref="C4204:C4221" si="176">"New"</f>
        <v>New</v>
      </c>
    </row>
    <row r="4205" spans="1:3" ht="18" customHeight="1">
      <c r="A4205" t="str">
        <f>"17-3171-0000-2"</f>
        <v>17-3171-0000-2</v>
      </c>
      <c r="B4205" t="str">
        <f>"8.2.1 Flujo de aire alrededor de un cuerpo"</f>
        <v>8.2.1 Flujo de aire alrededor de un cuerpo</v>
      </c>
      <c r="C4205" t="str">
        <f t="shared" si="176"/>
        <v>New</v>
      </c>
    </row>
    <row r="4206" spans="1:3" ht="18" customHeight="1">
      <c r="A4206" t="str">
        <f>"17-3172-0000"</f>
        <v>17-3172-0000</v>
      </c>
      <c r="B4206" t="str">
        <f>"LM5 Content,V, 8.2.3 Aerodynamic Terms"</f>
        <v>LM5 Content,V, 8.2.3 Aerodynamic Terms</v>
      </c>
      <c r="C4206" t="str">
        <f t="shared" si="176"/>
        <v>New</v>
      </c>
    </row>
    <row r="4207" spans="1:3" ht="18" customHeight="1">
      <c r="A4207" t="str">
        <f>"17-3172-0000-2"</f>
        <v>17-3172-0000-2</v>
      </c>
      <c r="B4207" t="str">
        <f>"8.2.3 Terminos aerodinamicos"</f>
        <v>8.2.3 Terminos aerodinamicos</v>
      </c>
      <c r="C4207" t="str">
        <f t="shared" si="176"/>
        <v>New</v>
      </c>
    </row>
    <row r="4208" spans="1:3" ht="18" customHeight="1">
      <c r="A4208" t="str">
        <f>"17-3173-0000"</f>
        <v>17-3173-0000</v>
      </c>
      <c r="B4208" t="str">
        <f>"LM5 Content,V, 8.3.1 Theory of Flight"</f>
        <v>LM5 Content,V, 8.3.1 Theory of Flight</v>
      </c>
      <c r="C4208" t="str">
        <f t="shared" si="176"/>
        <v>New</v>
      </c>
    </row>
    <row r="4209" spans="1:3" ht="18" customHeight="1">
      <c r="A4209" t="str">
        <f>"17-3173-0000-2"</f>
        <v>17-3173-0000-2</v>
      </c>
      <c r="B4209" t="str">
        <f>"8.3.1 Teona del vuelo"</f>
        <v>8.3.1 Teona del vuelo</v>
      </c>
      <c r="C4209" t="str">
        <f t="shared" si="176"/>
        <v>New</v>
      </c>
    </row>
    <row r="4210" spans="1:3" ht="18" customHeight="1">
      <c r="A4210" t="str">
        <f>"17-3174-0000"</f>
        <v>17-3174-0000</v>
      </c>
      <c r="B4210" t="str">
        <f>"LM5 Content,V, 8.6.1 High Speed Flight"</f>
        <v>LM5 Content,V, 8.6.1 High Speed Flight</v>
      </c>
      <c r="C4210" t="str">
        <f t="shared" si="176"/>
        <v>New</v>
      </c>
    </row>
    <row r="4211" spans="1:3" ht="18" customHeight="1">
      <c r="A4211" t="str">
        <f>"17-3174-0000-2"</f>
        <v>17-3174-0000-2</v>
      </c>
      <c r="B4211" t="str">
        <f>"8.6.1 Vuelo de alta velocidad"</f>
        <v>8.6.1 Vuelo de alta velocidad</v>
      </c>
      <c r="C4211" t="str">
        <f t="shared" si="176"/>
        <v>New</v>
      </c>
    </row>
    <row r="4212" spans="1:3" ht="18" customHeight="1">
      <c r="A4212" t="str">
        <f>"17-3175-0000"</f>
        <v>17-3175-0000</v>
      </c>
      <c r="B4212" t="str">
        <f>"LM5 Content,V, 8.6.2 Mach Number"</f>
        <v>LM5 Content,V, 8.6.2 Mach Number</v>
      </c>
      <c r="C4212" t="str">
        <f t="shared" si="176"/>
        <v>New</v>
      </c>
    </row>
    <row r="4213" spans="1:3" ht="18" customHeight="1">
      <c r="A4213" t="str">
        <f>"17-3175-0000-2"</f>
        <v>17-3175-0000-2</v>
      </c>
      <c r="B4213" t="str">
        <f>"8.6.2 Numero de Mach"</f>
        <v>8.6.2 Numero de Mach</v>
      </c>
      <c r="C4213" t="str">
        <f t="shared" si="176"/>
        <v>New</v>
      </c>
    </row>
    <row r="4214" spans="1:3" ht="18" customHeight="1">
      <c r="A4214" t="str">
        <f>"17-3176-0000"</f>
        <v>17-3176-0000</v>
      </c>
      <c r="B4214" t="str">
        <f>"LM5 Content,V, 8.7.1 Rotary Wing Aerodynamics"</f>
        <v>LM5 Content,V, 8.7.1 Rotary Wing Aerodynamics</v>
      </c>
      <c r="C4214" t="str">
        <f t="shared" si="176"/>
        <v>New</v>
      </c>
    </row>
    <row r="4215" spans="1:3" ht="18" customHeight="1">
      <c r="A4215" t="str">
        <f>"17-3176-0000-2"</f>
        <v>17-3176-0000-2</v>
      </c>
      <c r="B4215" t="str">
        <f>"8.7.1 Aerodinamica del ala rotativa"</f>
        <v>8.7.1 Aerodinamica del ala rotativa</v>
      </c>
      <c r="C4215" t="str">
        <f t="shared" si="176"/>
        <v>New</v>
      </c>
    </row>
    <row r="4216" spans="1:3" ht="18" customHeight="1">
      <c r="A4216" t="str">
        <f>"17-3177-0000"</f>
        <v>17-3177-0000</v>
      </c>
      <c r="B4216" t="str">
        <f>"LM5 Content,V, 9.10.1 Fuel System Layout"</f>
        <v>LM5 Content,V, 9.10.1 Fuel System Layout</v>
      </c>
      <c r="C4216" t="str">
        <f t="shared" si="176"/>
        <v>New</v>
      </c>
    </row>
    <row r="4217" spans="1:3" ht="18" customHeight="1">
      <c r="A4217" t="str">
        <f>"17-3177-0000-2"</f>
        <v>17-3177-0000-2</v>
      </c>
      <c r="B4217" t="str">
        <f>"9.10.1 ConfiguracionDelSistemaDeCombustibleAudio"</f>
        <v>9.10.1 ConfiguracionDelSistemaDeCombustibleAudio</v>
      </c>
      <c r="C4217" t="str">
        <f t="shared" si="176"/>
        <v>New</v>
      </c>
    </row>
    <row r="4218" spans="1:3" ht="18" customHeight="1">
      <c r="A4218" t="str">
        <f>"17-3178-0000"</f>
        <v>17-3178-0000</v>
      </c>
      <c r="B4218" t="str">
        <f>"LM5 Content,V, 9.11.2 Principles of Hydraulics"</f>
        <v>LM5 Content,V, 9.11.2 Principles of Hydraulics</v>
      </c>
      <c r="C4218" t="str">
        <f t="shared" si="176"/>
        <v>New</v>
      </c>
    </row>
    <row r="4219" spans="1:3" ht="18" customHeight="1">
      <c r="A4219" t="str">
        <f>"17-3178-0000-2"</f>
        <v>17-3178-0000-2</v>
      </c>
      <c r="B4219" t="str">
        <f>"9.11.2 Principios de hidraulica"</f>
        <v>9.11.2 Principios de hidraulica</v>
      </c>
      <c r="C4219" t="str">
        <f t="shared" si="176"/>
        <v>New</v>
      </c>
    </row>
    <row r="4220" spans="1:3" ht="18" customHeight="1">
      <c r="A4220" t="str">
        <f>"17-3179-0000"</f>
        <v>17-3179-0000</v>
      </c>
      <c r="B4220" t="str">
        <f>"LM5 Content,V, Introduction to AviationModules"</f>
        <v>LM5 Content,V, Introduction to AviationModules</v>
      </c>
      <c r="C4220" t="str">
        <f t="shared" si="176"/>
        <v>New</v>
      </c>
    </row>
    <row r="4221" spans="1:3" ht="18" customHeight="1">
      <c r="A4221" t="str">
        <f>"17-3179-0000-2"</f>
        <v>17-3179-0000-2</v>
      </c>
      <c r="B4221" t="str">
        <f>"Introducciones a los modulos de aviacion"</f>
        <v>Introducciones a los modulos de aviacion</v>
      </c>
      <c r="C4221" t="str">
        <f t="shared" si="176"/>
        <v>New</v>
      </c>
    </row>
    <row r="4222" spans="1:3" ht="18" customHeight="1">
      <c r="A4222" t="str">
        <f>"17-3201-0000-2"</f>
        <v>17-3201-0000-2</v>
      </c>
      <c r="B4222" t="str">
        <f>"LM5 Content, Virtual, Sp, Business Planner"</f>
        <v>LM5 Content, Virtual, Sp, Business Planner</v>
      </c>
      <c r="C4222" t="str">
        <f>"Active"</f>
        <v>Active</v>
      </c>
    </row>
    <row r="4223" spans="1:3" ht="18" customHeight="1">
      <c r="A4223" t="str">
        <f>"17-4000-5000"</f>
        <v>17-4000-5000</v>
      </c>
      <c r="B4223" t="str">
        <f>"Learnmate 5.X Internet Access - Customer Server"</f>
        <v>Learnmate 5.X Internet Access - Customer Server</v>
      </c>
      <c r="C4223" t="str">
        <f>"Active"</f>
        <v>Active</v>
      </c>
    </row>
    <row r="4224" spans="1:3" ht="18" customHeight="1">
      <c r="A4224" t="str">
        <f>"17-4220-0000"</f>
        <v>17-4220-0000</v>
      </c>
      <c r="B4224" t="str">
        <f>"Student Annual Fee (12 Courses)"</f>
        <v>Student Annual Fee (12 Courses)</v>
      </c>
      <c r="C4224" t="str">
        <f>"New"</f>
        <v>New</v>
      </c>
    </row>
    <row r="4225" spans="1:3" ht="18" customHeight="1">
      <c r="A4225" t="str">
        <f>"17-7001-0001"</f>
        <v>17-7001-0001</v>
      </c>
      <c r="B4225" t="str">
        <f>"LM5.X Content, Yo-Yo Project"</f>
        <v>LM5.X Content, Yo-Yo Project</v>
      </c>
      <c r="C4225" t="str">
        <f>"Active"</f>
        <v>Active</v>
      </c>
    </row>
    <row r="4226" spans="1:3" ht="18" customHeight="1">
      <c r="A4226" t="str">
        <f>"17-7001-0011"</f>
        <v>17-7001-0011</v>
      </c>
      <c r="B4226" t="str">
        <f>"LM5.X Content, Yo-Yo Project, Teacher Guide"</f>
        <v>LM5.X Content, Yo-Yo Project, Teacher Guide</v>
      </c>
      <c r="C4226" t="str">
        <f>"Inactive"</f>
        <v>Inactive</v>
      </c>
    </row>
    <row r="4227" spans="1:3" ht="18" customHeight="1">
      <c r="A4227" t="str">
        <f>"17-7002-0001"</f>
        <v>17-7002-0001</v>
      </c>
      <c r="B4227" t="str">
        <f>"LM5.X Content, Car Elevator Project"</f>
        <v>LM5.X Content, Car Elevator Project</v>
      </c>
      <c r="C4227" t="str">
        <f>"Active"</f>
        <v>Active</v>
      </c>
    </row>
    <row r="4228" spans="1:3" ht="18" customHeight="1">
      <c r="A4228" t="str">
        <f>"17-7002-0011"</f>
        <v>17-7002-0011</v>
      </c>
      <c r="B4228" t="str">
        <f>"LM5.X Content, Car Elevator Project, Teacher"</f>
        <v>LM5.X Content, Car Elevator Project, Teacher</v>
      </c>
      <c r="C4228" t="str">
        <f>"Inactive"</f>
        <v>Inactive</v>
      </c>
    </row>
    <row r="4229" spans="1:3" ht="18" customHeight="1">
      <c r="A4229" t="str">
        <f>"17-7004-0001"</f>
        <v>17-7004-0001</v>
      </c>
      <c r="B4229" t="str">
        <f>"LM5.X Content, Pneumatic Feeder Project"</f>
        <v>LM5.X Content, Pneumatic Feeder Project</v>
      </c>
      <c r="C4229" t="str">
        <f>"Active"</f>
        <v>Active</v>
      </c>
    </row>
    <row r="4230" spans="1:3" ht="18" customHeight="1">
      <c r="A4230" t="str">
        <f>"17-7004-0011"</f>
        <v>17-7004-0011</v>
      </c>
      <c r="B4230" t="str">
        <f>"LM5.X Content, Pneu Feeder Project, Teacher"</f>
        <v>LM5.X Content, Pneu Feeder Project, Teacher</v>
      </c>
      <c r="C4230" t="str">
        <f>"Inactive"</f>
        <v>Inactive</v>
      </c>
    </row>
    <row r="4231" spans="1:3" ht="18" customHeight="1">
      <c r="A4231" t="str">
        <f>"17-7005-0001"</f>
        <v>17-7005-0001</v>
      </c>
      <c r="B4231" t="str">
        <f>"LM5.X Content, Shape Sorter Project"</f>
        <v>LM5.X Content, Shape Sorter Project</v>
      </c>
      <c r="C4231" t="str">
        <f>"Active"</f>
        <v>Active</v>
      </c>
    </row>
    <row r="4232" spans="1:3" ht="18" customHeight="1">
      <c r="A4232" t="str">
        <f>"17-7005-0011"</f>
        <v>17-7005-0011</v>
      </c>
      <c r="B4232" t="str">
        <f>"LM5.X Content, Shape Sorter Project, Teacher"</f>
        <v>LM5.X Content, Shape Sorter Project, Teacher</v>
      </c>
      <c r="C4232" t="str">
        <f>"Inactive"</f>
        <v>Inactive</v>
      </c>
    </row>
    <row r="4233" spans="1:3" ht="18" customHeight="1">
      <c r="A4233" t="str">
        <f>"17-7006-0001"</f>
        <v>17-7006-0001</v>
      </c>
      <c r="B4233" t="str">
        <f>"LM5.X Content, Precision Measuring Device"</f>
        <v>LM5.X Content, Precision Measuring Device</v>
      </c>
      <c r="C4233" t="str">
        <f>"Active"</f>
        <v>Active</v>
      </c>
    </row>
    <row r="4234" spans="1:3" ht="18" customHeight="1">
      <c r="A4234" t="str">
        <f>"17-7006-0011"</f>
        <v>17-7006-0011</v>
      </c>
      <c r="B4234" t="str">
        <f>"LM5.X Content, Precision Meas Device, Teacher"</f>
        <v>LM5.X Content, Precision Meas Device, Teacher</v>
      </c>
      <c r="C4234" t="str">
        <f>"Inactive"</f>
        <v>Inactive</v>
      </c>
    </row>
    <row r="4235" spans="1:3" ht="18" customHeight="1">
      <c r="A4235" t="str">
        <f>"17-7007-0001"</f>
        <v>17-7007-0001</v>
      </c>
      <c r="B4235" t="str">
        <f>"LM5.X Content, Golf Putter Project"</f>
        <v>LM5.X Content, Golf Putter Project</v>
      </c>
      <c r="C4235" t="str">
        <f>"Active"</f>
        <v>Active</v>
      </c>
    </row>
    <row r="4236" spans="1:3" ht="18" customHeight="1">
      <c r="A4236" t="str">
        <f>"17-7007-0011"</f>
        <v>17-7007-0011</v>
      </c>
      <c r="B4236" t="str">
        <f>"LM5.X Content, Golf Putter Project, Teacher"</f>
        <v>LM5.X Content, Golf Putter Project, Teacher</v>
      </c>
      <c r="C4236" t="str">
        <f>"Inactive"</f>
        <v>Inactive</v>
      </c>
    </row>
    <row r="4237" spans="1:3" ht="18" customHeight="1">
      <c r="A4237" t="str">
        <f>"17-7011-0001"</f>
        <v>17-7011-0001</v>
      </c>
      <c r="B4237" t="str">
        <f>"LM5.X Content, Can Crusher Project"</f>
        <v>LM5.X Content, Can Crusher Project</v>
      </c>
      <c r="C4237" t="str">
        <f>"Active"</f>
        <v>Active</v>
      </c>
    </row>
    <row r="4238" spans="1:3" ht="18" customHeight="1">
      <c r="A4238" t="str">
        <f>"17-7011-0011"</f>
        <v>17-7011-0011</v>
      </c>
      <c r="B4238" t="str">
        <f>"LM5.X Content, Can Crusher Project, Teacher"</f>
        <v>LM5.X Content, Can Crusher Project, Teacher</v>
      </c>
      <c r="C4238" t="str">
        <f>"Inactive"</f>
        <v>Inactive</v>
      </c>
    </row>
    <row r="4239" spans="1:3" ht="18" customHeight="1">
      <c r="A4239" t="str">
        <f>"17-7012-0001"</f>
        <v>17-7012-0001</v>
      </c>
      <c r="B4239" t="str">
        <f>"LM5.X Content, Marble Solitaire Project"</f>
        <v>LM5.X Content, Marble Solitaire Project</v>
      </c>
      <c r="C4239" t="str">
        <f>"Inactive"</f>
        <v>Inactive</v>
      </c>
    </row>
    <row r="4240" spans="1:3" ht="18" customHeight="1">
      <c r="A4240" t="str">
        <f>"17-7012-0011"</f>
        <v>17-7012-0011</v>
      </c>
      <c r="B4240" t="str">
        <f>"LM5.X Content, Marble Project Teacher"</f>
        <v>LM5.X Content, Marble Project Teacher</v>
      </c>
      <c r="C4240" t="str">
        <f>"Inactive"</f>
        <v>Inactive</v>
      </c>
    </row>
    <row r="4241" spans="1:3" ht="18" customHeight="1">
      <c r="A4241" t="str">
        <f>"17-7016-0001"</f>
        <v>17-7016-0001</v>
      </c>
      <c r="B4241" t="str">
        <f>"LM5.X Content, CO2 Car Project"</f>
        <v>LM5.X Content, CO2 Car Project</v>
      </c>
      <c r="C4241" t="str">
        <f>"Active"</f>
        <v>Active</v>
      </c>
    </row>
    <row r="4242" spans="1:3" ht="18" customHeight="1">
      <c r="A4242" t="str">
        <f>"17-7016-0011"</f>
        <v>17-7016-0011</v>
      </c>
      <c r="B4242" t="str">
        <f>"LM5.X Content, CO2 Car Project, Teacher"</f>
        <v>LM5.X Content, CO2 Car Project, Teacher</v>
      </c>
      <c r="C4242" t="str">
        <f>"Inactive"</f>
        <v>Inactive</v>
      </c>
    </row>
    <row r="4243" spans="1:3" ht="18" customHeight="1">
      <c r="A4243" t="str">
        <f>"17-7018-0001"</f>
        <v>17-7018-0001</v>
      </c>
      <c r="B4243" t="str">
        <f>"LM5.X Content, Robotics &amp; Automation Project"</f>
        <v>LM5.X Content, Robotics &amp; Automation Project</v>
      </c>
      <c r="C4243" t="str">
        <f>"Active"</f>
        <v>Active</v>
      </c>
    </row>
    <row r="4244" spans="1:3" ht="18" customHeight="1">
      <c r="A4244" t="str">
        <f>"17-7018-0011"</f>
        <v>17-7018-0011</v>
      </c>
      <c r="B4244" t="str">
        <f>"LM5.X Content, Robotics &amp; Automation, Teacher"</f>
        <v>LM5.X Content, Robotics &amp; Automation, Teacher</v>
      </c>
      <c r="C4244" t="str">
        <f>"Inactive"</f>
        <v>Inactive</v>
      </c>
    </row>
    <row r="4245" spans="1:3" ht="18" customHeight="1">
      <c r="A4245" t="str">
        <f>"17-7022-0001"</f>
        <v>17-7022-0001</v>
      </c>
      <c r="B4245" t="str">
        <f>"LM5.X Content, 4 Cavity Mold Project"</f>
        <v>LM5.X Content, 4 Cavity Mold Project</v>
      </c>
      <c r="C4245" t="str">
        <f>"Active"</f>
        <v>Active</v>
      </c>
    </row>
    <row r="4246" spans="1:3" ht="18" customHeight="1">
      <c r="A4246" t="str">
        <f>"17-7022-0011"</f>
        <v>17-7022-0011</v>
      </c>
      <c r="B4246" t="str">
        <f>"LM5.X Content, 4 Cavity Mold Project, Teacher"</f>
        <v>LM5.X Content, 4 Cavity Mold Project, Teacher</v>
      </c>
      <c r="C4246" t="str">
        <f>"Inactive"</f>
        <v>Inactive</v>
      </c>
    </row>
    <row r="4247" spans="1:3" ht="18" customHeight="1">
      <c r="A4247" t="str">
        <f>"17-7023-0001"</f>
        <v>17-7023-0001</v>
      </c>
      <c r="B4247" t="str">
        <f>"LM5.X Content, Planetary Gearbox"</f>
        <v>LM5.X Content, Planetary Gearbox</v>
      </c>
      <c r="C4247" t="str">
        <f>"Active"</f>
        <v>Active</v>
      </c>
    </row>
    <row r="4248" spans="1:3" ht="18" customHeight="1">
      <c r="A4248" t="str">
        <f>"17-7027-0001"</f>
        <v>17-7027-0001</v>
      </c>
      <c r="B4248" t="str">
        <f>"LM5.X Content, Engineering Application Series"</f>
        <v>LM5.X Content, Engineering Application Series</v>
      </c>
      <c r="C4248" t="str">
        <f>"Active"</f>
        <v>Active</v>
      </c>
    </row>
    <row r="4249" spans="1:3" ht="18" customHeight="1">
      <c r="A4249" t="str">
        <f>"17-8007-0001"</f>
        <v>17-8007-0001</v>
      </c>
      <c r="B4249" t="str">
        <f>"LM5.X Content, Lab, CNC Milling w/SLM"</f>
        <v>LM5.X Content, Lab, CNC Milling w/SLM</v>
      </c>
      <c r="C4249" t="str">
        <f>"Active"</f>
        <v>Active</v>
      </c>
    </row>
    <row r="4250" spans="1:3" ht="18" customHeight="1">
      <c r="A4250" t="str">
        <f>"17-8007-0002"</f>
        <v>17-8007-0002</v>
      </c>
      <c r="B4250" t="str">
        <f>"LM5.X Content, Lab, CNC Milling w/SLM (Metric)"</f>
        <v>LM5.X Content, Lab, CNC Milling w/SLM (Metric)</v>
      </c>
      <c r="C4250" t="str">
        <f>"Active"</f>
        <v>Active</v>
      </c>
    </row>
    <row r="4251" spans="1:3" ht="18" customHeight="1">
      <c r="A4251" t="str">
        <f>"17-8008-0000"</f>
        <v>17-8008-0000</v>
      </c>
      <c r="B4251" t="str">
        <f>"LM 5 Content, Lab/Vir, Hydraulics 1 w/HydraFlex"</f>
        <v>LM 5 Content, Lab/Vir, Hydraulics 1 w/HydraFlex</v>
      </c>
      <c r="C4251" t="str">
        <f>"Active"</f>
        <v>Active</v>
      </c>
    </row>
    <row r="4252" spans="1:3" ht="18" customHeight="1">
      <c r="A4252" t="str">
        <f>"17-8008-0000-2"</f>
        <v>17-8008-0000-2</v>
      </c>
      <c r="B4252" t="str">
        <f>"LM5 Content, Lab/Vir,Sp, Hydraulics1 w/HydraFlex"</f>
        <v>LM5 Content, Lab/Vir,Sp, Hydraulics1 w/HydraFlex</v>
      </c>
      <c r="C4252" t="str">
        <f>"New"</f>
        <v>New</v>
      </c>
    </row>
    <row r="4253" spans="1:3" ht="18" customHeight="1">
      <c r="A4253" t="str">
        <f>"17-8008-0000-21"</f>
        <v>17-8008-0000-21</v>
      </c>
      <c r="B4253" t="str">
        <f>"LM5 Content, Lab/Vir, Sp, Hydra 1 w/HydraFlex:1"</f>
        <v>LM5 Content, Lab/Vir, Sp, Hydra 1 w/HydraFlex:1</v>
      </c>
      <c r="C4253" t="str">
        <f>"App. process"</f>
        <v>App. process</v>
      </c>
    </row>
    <row r="4254" spans="1:3" ht="18" customHeight="1">
      <c r="A4254" t="str">
        <f>"17-8008-0000-22"</f>
        <v>17-8008-0000-22</v>
      </c>
      <c r="B4254" t="str">
        <f>"LM5 Content, Lab/Vir, Sp, Hydra 1 w/HydraFlex:2"</f>
        <v>LM5 Content, Lab/Vir, Sp, Hydra 1 w/HydraFlex:2</v>
      </c>
      <c r="C4254" t="str">
        <f>"App. process"</f>
        <v>App. process</v>
      </c>
    </row>
    <row r="4255" spans="1:3" ht="18" customHeight="1">
      <c r="A4255" t="str">
        <f>"17-8008-0000-23"</f>
        <v>17-8008-0000-23</v>
      </c>
      <c r="B4255" t="str">
        <f>"LM5 Content, Lab/Vir, Sp, Hydra 1 w/HydraFlex:3"</f>
        <v>LM5 Content, Lab/Vir, Sp, Hydra 1 w/HydraFlex:3</v>
      </c>
      <c r="C4255" t="str">
        <f>"App. process"</f>
        <v>App. process</v>
      </c>
    </row>
    <row r="4256" spans="1:3" ht="18" customHeight="1">
      <c r="A4256" t="str">
        <f>"17-8008-0000-3"</f>
        <v>17-8008-0000-3</v>
      </c>
      <c r="B4256" t="str">
        <f>"LM5 Content,Lab/Vir,Por, Hydraulics1 w/HydraFlex"</f>
        <v>LM5 Content,Lab/Vir,Por, Hydraulics1 w/HydraFlex</v>
      </c>
      <c r="C4256" t="str">
        <f>"Active"</f>
        <v>Active</v>
      </c>
    </row>
    <row r="4257" spans="1:3" ht="18" customHeight="1">
      <c r="A4257" t="str">
        <f>"17-8012-0000"</f>
        <v>17-8012-0000</v>
      </c>
      <c r="B4257" t="str">
        <f>"LM 5 Content, Lab/Vir, Sensor Technology"</f>
        <v>LM 5 Content, Lab/Vir, Sensor Technology</v>
      </c>
      <c r="C4257" t="str">
        <f>"Active"</f>
        <v>Active</v>
      </c>
    </row>
    <row r="4258" spans="1:3" ht="18" customHeight="1">
      <c r="A4258" t="str">
        <f>"17-8012-0000-2"</f>
        <v>17-8012-0000-2</v>
      </c>
      <c r="B4258" t="str">
        <f>"LM5 Content, Lab/Vir, Sp, Sensor Technology"</f>
        <v>LM5 Content, Lab/Vir, Sp, Sensor Technology</v>
      </c>
      <c r="C4258" t="str">
        <f>"New"</f>
        <v>New</v>
      </c>
    </row>
    <row r="4259" spans="1:3" ht="18" customHeight="1">
      <c r="A4259" t="str">
        <f>"17-8012-0000-21"</f>
        <v>17-8012-0000-21</v>
      </c>
      <c r="B4259" t="str">
        <f>"LM5 Content, Lab/Vir, Sp, Sensor Technology:1"</f>
        <v>LM5 Content, Lab/Vir, Sp, Sensor Technology:1</v>
      </c>
      <c r="C4259" t="str">
        <f>"App. process"</f>
        <v>App. process</v>
      </c>
    </row>
    <row r="4260" spans="1:3" ht="18" customHeight="1">
      <c r="A4260" t="str">
        <f>"17-8012-0000-22"</f>
        <v>17-8012-0000-22</v>
      </c>
      <c r="B4260" t="str">
        <f>"LM5 Content, Lab/Vir, Sp, Sensor Technology:2"</f>
        <v>LM5 Content, Lab/Vir, Sp, Sensor Technology:2</v>
      </c>
      <c r="C4260" t="str">
        <f>"App. process"</f>
        <v>App. process</v>
      </c>
    </row>
    <row r="4261" spans="1:3" ht="18" customHeight="1">
      <c r="A4261" t="str">
        <f>"17-8012-0000-23"</f>
        <v>17-8012-0000-23</v>
      </c>
      <c r="B4261" t="str">
        <f>"LM5 Content, Lab/Vir, Sp, Sensor Technology:3"</f>
        <v>LM5 Content, Lab/Vir, Sp, Sensor Technology:3</v>
      </c>
      <c r="C4261" t="str">
        <f>"App. process"</f>
        <v>App. process</v>
      </c>
    </row>
    <row r="4262" spans="1:3" ht="18" customHeight="1">
      <c r="A4262" t="str">
        <f>"17-8014-0001"</f>
        <v>17-8014-0001</v>
      </c>
      <c r="B4262" t="str">
        <f>"LM5.X Content, Lab/Vir, MMQC"</f>
        <v>LM5.X Content, Lab/Vir, MMQC</v>
      </c>
      <c r="C4262" t="str">
        <f>"Active"</f>
        <v>Active</v>
      </c>
    </row>
    <row r="4263" spans="1:3" ht="18" customHeight="1">
      <c r="A4263" t="str">
        <f>"17-8014-0001-2"</f>
        <v>17-8014-0001-2</v>
      </c>
      <c r="B4263" t="str">
        <f>"LM5 Content, Lab/Vir, Sp, MMQC"</f>
        <v>LM5 Content, Lab/Vir, Sp, MMQC</v>
      </c>
      <c r="C4263" t="str">
        <f>"New"</f>
        <v>New</v>
      </c>
    </row>
    <row r="4264" spans="1:3" ht="18" customHeight="1">
      <c r="A4264" t="str">
        <f>"17-8014-0001-21"</f>
        <v>17-8014-0001-21</v>
      </c>
      <c r="B4264" t="str">
        <f>"LM5 Content, Lab/Vir, Sp, MMQC:1"</f>
        <v>LM5 Content, Lab/Vir, Sp, MMQC:1</v>
      </c>
      <c r="C4264" t="str">
        <f>"App. process"</f>
        <v>App. process</v>
      </c>
    </row>
    <row r="4265" spans="1:3" ht="18" customHeight="1">
      <c r="A4265" t="str">
        <f>"17-8014-0001-22"</f>
        <v>17-8014-0001-22</v>
      </c>
      <c r="B4265" t="str">
        <f>"LM5 Content, Lab/Vir, Sp, MMQC:2"</f>
        <v>LM5 Content, Lab/Vir, Sp, MMQC:2</v>
      </c>
      <c r="C4265" t="str">
        <f>"App. process"</f>
        <v>App. process</v>
      </c>
    </row>
    <row r="4266" spans="1:3" ht="18" customHeight="1">
      <c r="A4266" t="str">
        <f>"17-8014-0001-23"</f>
        <v>17-8014-0001-23</v>
      </c>
      <c r="B4266" t="str">
        <f>"LM5 Content, Lab/Vir, Sp, MMQC:3"</f>
        <v>LM5 Content, Lab/Vir, Sp, MMQC:3</v>
      </c>
      <c r="C4266" t="str">
        <f>"App. process"</f>
        <v>App. process</v>
      </c>
    </row>
    <row r="4267" spans="1:3" ht="18" customHeight="1">
      <c r="A4267" t="str">
        <f>"17-8014-0002"</f>
        <v>17-8014-0002</v>
      </c>
      <c r="B4267" t="str">
        <f>"LM5.X Content, Lab/Vir, MMQC (Metric)"</f>
        <v>LM5.X Content, Lab/Vir, MMQC (Metric)</v>
      </c>
      <c r="C4267" t="str">
        <f>"Active"</f>
        <v>Active</v>
      </c>
    </row>
    <row r="4268" spans="1:3" ht="18" customHeight="1">
      <c r="A4268" t="str">
        <f>"17-8014-0002-3"</f>
        <v>17-8014-0002-3</v>
      </c>
      <c r="B4268" t="str">
        <f>"LM5 Content, Lab/Vir, Por, MMQC (Metric)"</f>
        <v>LM5 Content, Lab/Vir, Por, MMQC (Metric)</v>
      </c>
      <c r="C4268" t="str">
        <f>"Active"</f>
        <v>Active</v>
      </c>
    </row>
    <row r="4269" spans="1:3" ht="18" customHeight="1">
      <c r="A4269" t="str">
        <f>"17-8016-0001"</f>
        <v>17-8016-0001</v>
      </c>
      <c r="B4269" t="str">
        <f>"LM5.X Content, Lab, CNC Turning w/SLT"</f>
        <v>LM5.X Content, Lab, CNC Turning w/SLT</v>
      </c>
      <c r="C4269" t="str">
        <f>"Active"</f>
        <v>Active</v>
      </c>
    </row>
    <row r="4270" spans="1:3" ht="18" customHeight="1">
      <c r="A4270" t="str">
        <f>"17-8016-0002"</f>
        <v>17-8016-0002</v>
      </c>
      <c r="B4270" t="str">
        <f>"LM5.X Content, Lab, CNC Turning w/SLT (Metric)"</f>
        <v>LM5.X Content, Lab, CNC Turning w/SLT (Metric)</v>
      </c>
      <c r="C4270" t="str">
        <f>"Active"</f>
        <v>Active</v>
      </c>
    </row>
    <row r="4271" spans="1:3" ht="18" customHeight="1">
      <c r="A4271" t="str">
        <f>"17-8030-0002"</f>
        <v>17-8030-0002</v>
      </c>
      <c r="B4271" t="str">
        <f>"LM 5 Content, Lab, Automated Welding w/ER4U"</f>
        <v>LM 5 Content, Lab, Automated Welding w/ER4U</v>
      </c>
      <c r="C4271" t="str">
        <f>"Inactive"</f>
        <v>Inactive</v>
      </c>
    </row>
    <row r="4272" spans="1:3" ht="18" customHeight="1">
      <c r="A4272" t="str">
        <f>"17-8040-0002"</f>
        <v>17-8040-0002</v>
      </c>
      <c r="B4272" t="str">
        <f>"LM 5 Content, Lab, PLC 2 w/MicroLogix"</f>
        <v>LM 5 Content, Lab, PLC 2 w/MicroLogix</v>
      </c>
      <c r="C4272" t="str">
        <f>"Inactive"</f>
        <v>Inactive</v>
      </c>
    </row>
    <row r="4273" spans="1:3" ht="18" customHeight="1">
      <c r="A4273" t="str">
        <f>"17-8043-0001"</f>
        <v>17-8043-0001</v>
      </c>
      <c r="B4273" t="str">
        <f>"LM5.X Content, Lab, CNC Turning w/PLT"</f>
        <v>LM5.X Content, Lab, CNC Turning w/PLT</v>
      </c>
      <c r="C4273" t="str">
        <f>"Active"</f>
        <v>Active</v>
      </c>
    </row>
    <row r="4274" spans="1:3" ht="18" customHeight="1">
      <c r="A4274" t="str">
        <f>"17-8043-0002"</f>
        <v>17-8043-0002</v>
      </c>
      <c r="B4274" t="str">
        <f>"LM5.X Content, Lab, CNC Turning w/PLT (Metric)"</f>
        <v>LM5.X Content, Lab, CNC Turning w/PLT (Metric)</v>
      </c>
      <c r="C4274" t="str">
        <f>"Active"</f>
        <v>Active</v>
      </c>
    </row>
    <row r="4275" spans="1:3" ht="18" customHeight="1">
      <c r="A4275" t="str">
        <f>"17-8046-0000"</f>
        <v>17-8046-0000</v>
      </c>
      <c r="B4275" t="str">
        <f>"LM 5 Content, Lab/Vir, Electrical Systems"</f>
        <v>LM 5 Content, Lab/Vir, Electrical Systems</v>
      </c>
      <c r="C4275" t="str">
        <f>"Active"</f>
        <v>Active</v>
      </c>
    </row>
    <row r="4276" spans="1:3" ht="18" customHeight="1">
      <c r="A4276" t="str">
        <f>"17-8046-0000-2"</f>
        <v>17-8046-0000-2</v>
      </c>
      <c r="B4276" t="str">
        <f>"LM5 Content, Lab/Vir, SP, Electrical Systems"</f>
        <v>LM5 Content, Lab/Vir, SP, Electrical Systems</v>
      </c>
      <c r="C4276" t="str">
        <f>"New"</f>
        <v>New</v>
      </c>
    </row>
    <row r="4277" spans="1:3" ht="18" customHeight="1">
      <c r="A4277" t="str">
        <f>"17-8046-0000-21"</f>
        <v>17-8046-0000-21</v>
      </c>
      <c r="B4277" t="str">
        <f>"LM5 Content, Lab/Vir, SP, Electrical Systems:1"</f>
        <v>LM5 Content, Lab/Vir, SP, Electrical Systems:1</v>
      </c>
      <c r="C4277" t="str">
        <f>"App. process"</f>
        <v>App. process</v>
      </c>
    </row>
    <row r="4278" spans="1:3" ht="18" customHeight="1">
      <c r="A4278" t="str">
        <f>"17-8046-0000-22"</f>
        <v>17-8046-0000-22</v>
      </c>
      <c r="B4278" t="str">
        <f>"LM5 Content, Lab/Vir, SP, Electrical Systems:2"</f>
        <v>LM5 Content, Lab/Vir, SP, Electrical Systems:2</v>
      </c>
      <c r="C4278" t="str">
        <f>"App. process"</f>
        <v>App. process</v>
      </c>
    </row>
    <row r="4279" spans="1:3" ht="18" customHeight="1">
      <c r="A4279" t="str">
        <f>"17-8046-0000-23"</f>
        <v>17-8046-0000-23</v>
      </c>
      <c r="B4279" t="str">
        <f>"LM5 Content, Lab/Vir, SP, Electrical Systems:3"</f>
        <v>LM5 Content, Lab/Vir, SP, Electrical Systems:3</v>
      </c>
      <c r="C4279" t="str">
        <f>"App. process"</f>
        <v>App. process</v>
      </c>
    </row>
    <row r="4280" spans="1:3" ht="18" customHeight="1">
      <c r="A4280" t="str">
        <f>"17-8046-0000-3"</f>
        <v>17-8046-0000-3</v>
      </c>
      <c r="B4280" t="str">
        <f>"LM5 Content, Lab/Vir, Por, Electrical Systems"</f>
        <v>LM5 Content, Lab/Vir, Por, Electrical Systems</v>
      </c>
      <c r="C4280" t="str">
        <f>"Active"</f>
        <v>Active</v>
      </c>
    </row>
    <row r="4281" spans="1:3" ht="18" customHeight="1">
      <c r="A4281" t="str">
        <f>"17-8047-0000"</f>
        <v>17-8047-0000</v>
      </c>
      <c r="B4281" t="str">
        <f>"LM 5 Content, Lab/Vir, Mechanisms"</f>
        <v>LM 5 Content, Lab/Vir, Mechanisms</v>
      </c>
      <c r="C4281" t="str">
        <f>"Active"</f>
        <v>Active</v>
      </c>
    </row>
    <row r="4282" spans="1:3" ht="18" customHeight="1">
      <c r="A4282" t="str">
        <f>"17-8047-0000-2"</f>
        <v>17-8047-0000-2</v>
      </c>
      <c r="B4282" t="str">
        <f>"LM5 Content, Lab/Vir, Sp, Mechanisms"</f>
        <v>LM5 Content, Lab/Vir, Sp, Mechanisms</v>
      </c>
      <c r="C4282" t="str">
        <f>"New"</f>
        <v>New</v>
      </c>
    </row>
    <row r="4283" spans="1:3" ht="18" customHeight="1">
      <c r="A4283" t="str">
        <f>"17-8047-0000-21"</f>
        <v>17-8047-0000-21</v>
      </c>
      <c r="B4283" t="str">
        <f>"LM5 Content, Lab/Vir, Sp, Mechanisms:1"</f>
        <v>LM5 Content, Lab/Vir, Sp, Mechanisms:1</v>
      </c>
      <c r="C4283" t="str">
        <f>"App. process"</f>
        <v>App. process</v>
      </c>
    </row>
    <row r="4284" spans="1:3" ht="18" customHeight="1">
      <c r="A4284" t="str">
        <f>"17-8047-0000-22"</f>
        <v>17-8047-0000-22</v>
      </c>
      <c r="B4284" t="str">
        <f>"LM5 Content, Lab/Vir, Sp, Mechanisms:2"</f>
        <v>LM5 Content, Lab/Vir, Sp, Mechanisms:2</v>
      </c>
      <c r="C4284" t="str">
        <f>"App. process"</f>
        <v>App. process</v>
      </c>
    </row>
    <row r="4285" spans="1:3" ht="18" customHeight="1">
      <c r="A4285" t="str">
        <f>"17-8047-0000-23"</f>
        <v>17-8047-0000-23</v>
      </c>
      <c r="B4285" t="str">
        <f>"LM5 Content, Lab/Vir, Sp, Mechanisms:3"</f>
        <v>LM5 Content, Lab/Vir, Sp, Mechanisms:3</v>
      </c>
      <c r="C4285" t="str">
        <f>"App. process"</f>
        <v>App. process</v>
      </c>
    </row>
    <row r="4286" spans="1:3" ht="18" customHeight="1">
      <c r="A4286" t="str">
        <f>"17-8047-LLI0"</f>
        <v>17-8047-LLI0</v>
      </c>
      <c r="B4286" t="str">
        <f>"LM 5 Content, Lab, Mechanisms from Applied Tech"</f>
        <v>LM 5 Content, Lab, Mechanisms from Applied Tech</v>
      </c>
      <c r="C4286" t="str">
        <f>"Inactive"</f>
        <v>Inactive</v>
      </c>
    </row>
    <row r="4287" spans="1:3" ht="18" customHeight="1">
      <c r="A4287" t="str">
        <f>"17-8054-0001"</f>
        <v>17-8054-0001</v>
      </c>
      <c r="B4287" t="str">
        <f>"LM5.X Content, Lab, CNC Milling w/PLM"</f>
        <v>LM5.X Content, Lab, CNC Milling w/PLM</v>
      </c>
      <c r="C4287" t="str">
        <f>"Active"</f>
        <v>Active</v>
      </c>
    </row>
    <row r="4288" spans="1:3" ht="18" customHeight="1">
      <c r="A4288" t="str">
        <f>"17-8054-0002"</f>
        <v>17-8054-0002</v>
      </c>
      <c r="B4288" t="str">
        <f>"LM5.X Content, Lab, CNC Milling w/PLM (Metric)"</f>
        <v>LM5.X Content, Lab, CNC Milling w/PLM (Metric)</v>
      </c>
      <c r="C4288" t="str">
        <f>"Inactive"</f>
        <v>Inactive</v>
      </c>
    </row>
    <row r="4289" spans="1:3" ht="18" customHeight="1">
      <c r="A4289" t="str">
        <f>"17-8057-0000"</f>
        <v>17-8057-0000</v>
      </c>
      <c r="B4289" t="str">
        <f>"LM 5 Content, Lab/Vir, Plastics Thermoforming"</f>
        <v>LM 5 Content, Lab/Vir, Plastics Thermoforming</v>
      </c>
      <c r="C4289" t="str">
        <f>"Active"</f>
        <v>Active</v>
      </c>
    </row>
    <row r="4290" spans="1:3" ht="18" customHeight="1">
      <c r="A4290" t="str">
        <f>"17-8057-0000-2"</f>
        <v>17-8057-0000-2</v>
      </c>
      <c r="B4290" t="str">
        <f>"LM5 Content, Lab/Vir, Sp, Plastics Thermoforming"</f>
        <v>LM5 Content, Lab/Vir, Sp, Plastics Thermoforming</v>
      </c>
      <c r="C4290" t="str">
        <f>"New"</f>
        <v>New</v>
      </c>
    </row>
    <row r="4291" spans="1:3" ht="18" customHeight="1">
      <c r="A4291" t="str">
        <f>"17-8057-0000-21"</f>
        <v>17-8057-0000-21</v>
      </c>
      <c r="B4291" t="str">
        <f>"LM5 Content, Lab/Vir, Sp, Plastics Thermo:1"</f>
        <v>LM5 Content, Lab/Vir, Sp, Plastics Thermo:1</v>
      </c>
      <c r="C4291" t="str">
        <f>"App. process"</f>
        <v>App. process</v>
      </c>
    </row>
    <row r="4292" spans="1:3" ht="18" customHeight="1">
      <c r="A4292" t="str">
        <f>"17-8057-0000-22"</f>
        <v>17-8057-0000-22</v>
      </c>
      <c r="B4292" t="str">
        <f>"LM5 Content, Lab/Vir, Sp, Plastics Thermo:2"</f>
        <v>LM5 Content, Lab/Vir, Sp, Plastics Thermo:2</v>
      </c>
      <c r="C4292" t="str">
        <f>"App. process"</f>
        <v>App. process</v>
      </c>
    </row>
    <row r="4293" spans="1:3" ht="18" customHeight="1">
      <c r="A4293" t="str">
        <f>"17-8057-0000-23"</f>
        <v>17-8057-0000-23</v>
      </c>
      <c r="B4293" t="str">
        <f>"LM5 Content, Lab/Vir, Sp, Plastics Thermo:3"</f>
        <v>LM5 Content, Lab/Vir, Sp, Plastics Thermo:3</v>
      </c>
      <c r="C4293" t="str">
        <f>"App. process"</f>
        <v>App. process</v>
      </c>
    </row>
    <row r="4294" spans="1:3" ht="18" customHeight="1">
      <c r="A4294" t="str">
        <f>"17-8058-0000"</f>
        <v>17-8058-0000</v>
      </c>
      <c r="B4294" t="str">
        <f>"LM 5 Content, Lab, Matrl. Testing w/Buster II"</f>
        <v>LM 5 Content, Lab, Matrl. Testing w/Buster II</v>
      </c>
      <c r="C4294" t="str">
        <f>"Active"</f>
        <v>Active</v>
      </c>
    </row>
    <row r="4295" spans="1:3" ht="18" customHeight="1">
      <c r="A4295" t="str">
        <f>"17-8067-0002"</f>
        <v>17-8067-0002</v>
      </c>
      <c r="B4295" t="str">
        <f>"LM 5 Content, Lab, FMS w/ER4U &amp; SLM 0200"</f>
        <v>LM 5 Content, Lab, FMS w/ER4U &amp; SLM 0200</v>
      </c>
      <c r="C4295" t="str">
        <f>"Active"</f>
        <v>Active</v>
      </c>
    </row>
    <row r="4296" spans="1:3" ht="18" customHeight="1">
      <c r="A4296" t="str">
        <f>"17-8067-0002-2"</f>
        <v>17-8067-0002-2</v>
      </c>
      <c r="B4296" t="str">
        <f>"LM5 Content, Lab, Sp, FMS w/ER4U &amp; SLM 0200"</f>
        <v>LM5 Content, Lab, Sp, FMS w/ER4U &amp; SLM 0200</v>
      </c>
      <c r="C4296" t="str">
        <f>"New"</f>
        <v>New</v>
      </c>
    </row>
    <row r="4297" spans="1:3" ht="18" customHeight="1">
      <c r="A4297" t="str">
        <f>"17-8067-0002-21"</f>
        <v>17-8067-0002-21</v>
      </c>
      <c r="B4297" t="str">
        <f>"LM5 Content, Lab, Sp, FMS w/ER4U &amp; SLM 0200(1)"</f>
        <v>LM5 Content, Lab, Sp, FMS w/ER4U &amp; SLM 0200(1)</v>
      </c>
      <c r="C4297" t="str">
        <f>"App. process"</f>
        <v>App. process</v>
      </c>
    </row>
    <row r="4298" spans="1:3" ht="18" customHeight="1">
      <c r="A4298" t="str">
        <f>"17-8067-0002-22"</f>
        <v>17-8067-0002-22</v>
      </c>
      <c r="B4298" t="str">
        <f>"LM5 Content, Lab, Sp, FMS w/ER4U &amp; SLM 0200(2)"</f>
        <v>LM5 Content, Lab, Sp, FMS w/ER4U &amp; SLM 0200(2)</v>
      </c>
      <c r="C4298" t="str">
        <f>"App. process"</f>
        <v>App. process</v>
      </c>
    </row>
    <row r="4299" spans="1:3" ht="18" customHeight="1">
      <c r="A4299" t="str">
        <f>"17-8067-0002-23"</f>
        <v>17-8067-0002-23</v>
      </c>
      <c r="B4299" t="str">
        <f>"LM5 Content, Lab, Sp, FMS w/ER4U &amp; SLM 0200(3)"</f>
        <v>LM5 Content, Lab, Sp, FMS w/ER4U &amp; SLM 0200(3)</v>
      </c>
      <c r="C4299" t="str">
        <f>"App. process"</f>
        <v>App. process</v>
      </c>
    </row>
    <row r="4300" spans="1:3" ht="18" customHeight="1">
      <c r="A4300" t="str">
        <f>"17-8068-0000"</f>
        <v>17-8068-0000</v>
      </c>
      <c r="B4300" t="str">
        <f>"LM 5 Content, Lab/Vir, Pneumatics 1 w/PneuFlex"</f>
        <v>LM 5 Content, Lab/Vir, Pneumatics 1 w/PneuFlex</v>
      </c>
      <c r="C4300" t="str">
        <f>"Active"</f>
        <v>Active</v>
      </c>
    </row>
    <row r="4301" spans="1:3" ht="18" customHeight="1">
      <c r="A4301" t="str">
        <f>"17-8068-0000-2"</f>
        <v>17-8068-0000-2</v>
      </c>
      <c r="B4301" t="str">
        <f>"LM5 Content, Lab/Vir, Sp, Pneumatics1 w/PneuFlex"</f>
        <v>LM5 Content, Lab/Vir, Sp, Pneumatics1 w/PneuFlex</v>
      </c>
      <c r="C4301" t="str">
        <f>"New"</f>
        <v>New</v>
      </c>
    </row>
    <row r="4302" spans="1:3" ht="18" customHeight="1">
      <c r="A4302" t="str">
        <f>"17-8068-0000-21"</f>
        <v>17-8068-0000-21</v>
      </c>
      <c r="B4302" t="str">
        <f>"LM5 Content, Lab/Vir, Sp, Pneu1 w/PneuFlex:1"</f>
        <v>LM5 Content, Lab/Vir, Sp, Pneu1 w/PneuFlex:1</v>
      </c>
      <c r="C4302" t="str">
        <f>"App. process"</f>
        <v>App. process</v>
      </c>
    </row>
    <row r="4303" spans="1:3" ht="18" customHeight="1">
      <c r="A4303" t="str">
        <f>"17-8068-0000-22"</f>
        <v>17-8068-0000-22</v>
      </c>
      <c r="B4303" t="str">
        <f>"LM5 Content, Lab/Vir, Sp, Pneu1 w/PneuFlex:2"</f>
        <v>LM5 Content, Lab/Vir, Sp, Pneu1 w/PneuFlex:2</v>
      </c>
      <c r="C4303" t="str">
        <f>"App. process"</f>
        <v>App. process</v>
      </c>
    </row>
    <row r="4304" spans="1:3" ht="18" customHeight="1">
      <c r="A4304" t="str">
        <f>"17-8068-0000-23"</f>
        <v>17-8068-0000-23</v>
      </c>
      <c r="B4304" t="str">
        <f>"LM5 Content, Lab/Vir, Sp, Pneu1 w/PneuFlex:3"</f>
        <v>LM5 Content, Lab/Vir, Sp, Pneu1 w/PneuFlex:3</v>
      </c>
      <c r="C4304" t="str">
        <f>"App. process"</f>
        <v>App. process</v>
      </c>
    </row>
    <row r="4305" spans="1:3" ht="18" customHeight="1">
      <c r="A4305" t="str">
        <f>"17-8069-0000"</f>
        <v>17-8069-0000</v>
      </c>
      <c r="B4305" t="str">
        <f>"LM 5 Content, Lab/Vir, Pneumatics 2 w/PneuFlex"</f>
        <v>LM 5 Content, Lab/Vir, Pneumatics 2 w/PneuFlex</v>
      </c>
      <c r="C4305" t="str">
        <f>"Active"</f>
        <v>Active</v>
      </c>
    </row>
    <row r="4306" spans="1:3" ht="18" customHeight="1">
      <c r="A4306" t="str">
        <f>"17-8069-0000-2"</f>
        <v>17-8069-0000-2</v>
      </c>
      <c r="B4306" t="str">
        <f>"LM5 Content, Lab/Vir, Sp, Pneumatics2 w/PneuFlex"</f>
        <v>LM5 Content, Lab/Vir, Sp, Pneumatics2 w/PneuFlex</v>
      </c>
      <c r="C4306" t="str">
        <f>"New"</f>
        <v>New</v>
      </c>
    </row>
    <row r="4307" spans="1:3" ht="18" customHeight="1">
      <c r="A4307" t="str">
        <f>"17-8069-0000-21"</f>
        <v>17-8069-0000-21</v>
      </c>
      <c r="B4307" t="str">
        <f>"LM5 Content, Lab/Vir, Sp, Pneu2 w/PneuFlex:1"</f>
        <v>LM5 Content, Lab/Vir, Sp, Pneu2 w/PneuFlex:1</v>
      </c>
      <c r="C4307" t="str">
        <f>"App. process"</f>
        <v>App. process</v>
      </c>
    </row>
    <row r="4308" spans="1:3" ht="18" customHeight="1">
      <c r="A4308" t="str">
        <f>"17-8069-0000-22"</f>
        <v>17-8069-0000-22</v>
      </c>
      <c r="B4308" t="str">
        <f>"LM5 Content, Lab/Vir, Sp, Pneu2 w/PneuFlex:2"</f>
        <v>LM5 Content, Lab/Vir, Sp, Pneu2 w/PneuFlex:2</v>
      </c>
      <c r="C4308" t="str">
        <f>"App. process"</f>
        <v>App. process</v>
      </c>
    </row>
    <row r="4309" spans="1:3" ht="18" customHeight="1">
      <c r="A4309" t="str">
        <f>"17-8069-0000-23"</f>
        <v>17-8069-0000-23</v>
      </c>
      <c r="B4309" t="str">
        <f>"LM5 Content, Lab/Vir, Sp, Pneu2 w/PneuFlex:3"</f>
        <v>LM5 Content, Lab/Vir, Sp, Pneu2 w/PneuFlex:3</v>
      </c>
      <c r="C4309" t="str">
        <f>"App. process"</f>
        <v>App. process</v>
      </c>
    </row>
    <row r="4310" spans="1:3" ht="18" customHeight="1">
      <c r="A4310" t="str">
        <f>"17-8079-0000"</f>
        <v>17-8079-0000</v>
      </c>
      <c r="B4310" t="str">
        <f>"LM5 Content, Lab, PLC 1 w/AB SLC 500"</f>
        <v>LM5 Content, Lab, PLC 1 w/AB SLC 500</v>
      </c>
      <c r="C4310" t="str">
        <f>"Active"</f>
        <v>Active</v>
      </c>
    </row>
    <row r="4311" spans="1:3" ht="18" customHeight="1">
      <c r="A4311" t="str">
        <f>"17-8079-0002"</f>
        <v>17-8079-0002</v>
      </c>
      <c r="B4311" t="str">
        <f>"LM 5 Content, Lab, PLC 1 w/AB SLC 500 (M)"</f>
        <v>LM 5 Content, Lab, PLC 1 w/AB SLC 500 (M)</v>
      </c>
      <c r="C4311" t="str">
        <f>"Inactive"</f>
        <v>Inactive</v>
      </c>
    </row>
    <row r="4312" spans="1:3" ht="18" customHeight="1">
      <c r="A4312" t="str">
        <f>"17-8080-0000"</f>
        <v>17-8080-0000</v>
      </c>
      <c r="B4312" t="str">
        <f>"LM5 Content, Lab, PLC 2 w/AB SLC 500"</f>
        <v>LM5 Content, Lab, PLC 2 w/AB SLC 500</v>
      </c>
      <c r="C4312" t="str">
        <f>"Active"</f>
        <v>Active</v>
      </c>
    </row>
    <row r="4313" spans="1:3" ht="18" customHeight="1">
      <c r="A4313" t="str">
        <f>"17-8080-0002"</f>
        <v>17-8080-0002</v>
      </c>
      <c r="B4313" t="str">
        <f>"LM 5 Content, Lab, PLC 2 w/AB SLC 500 (M)"</f>
        <v>LM 5 Content, Lab, PLC 2 w/AB SLC 500 (M)</v>
      </c>
      <c r="C4313" t="str">
        <f>"Inactive"</f>
        <v>Inactive</v>
      </c>
    </row>
    <row r="4314" spans="1:3" ht="18" customHeight="1">
      <c r="A4314" t="str">
        <f>"17-8082-0000"</f>
        <v>17-8082-0000</v>
      </c>
      <c r="B4314" t="str">
        <f>"LM 5 Content, Lab, RMH1 w/ER4U"</f>
        <v>LM 5 Content, Lab, RMH1 w/ER4U</v>
      </c>
      <c r="C4314" t="str">
        <f>"Active"</f>
        <v>Active</v>
      </c>
    </row>
    <row r="4315" spans="1:3" ht="18" customHeight="1">
      <c r="A4315" t="str">
        <f>"17-8083-0000"</f>
        <v>17-8083-0000</v>
      </c>
      <c r="B4315" t="str">
        <f>"LM 5 Content, Lab, RMH2 w/ ER4U"</f>
        <v>LM 5 Content, Lab, RMH2 w/ ER4U</v>
      </c>
      <c r="C4315" t="str">
        <f>"Active"</f>
        <v>Active</v>
      </c>
    </row>
    <row r="4316" spans="1:3" ht="18" customHeight="1">
      <c r="A4316" t="str">
        <f>"17-8084-0000"</f>
        <v>17-8084-0000</v>
      </c>
      <c r="B4316" t="str">
        <f>"LM 5 Content, Lab, Machine Vision &amp; QC 1"</f>
        <v>LM 5 Content, Lab, Machine Vision &amp; QC 1</v>
      </c>
      <c r="C4316" t="str">
        <f>"Active"</f>
        <v>Active</v>
      </c>
    </row>
    <row r="4317" spans="1:3" ht="18" customHeight="1">
      <c r="A4317" t="str">
        <f>"17-8084-0000-2"</f>
        <v>17-8084-0000-2</v>
      </c>
      <c r="B4317" t="str">
        <f>"LM5 Content, Lab, Sp, Machine Vision &amp; QC 1"</f>
        <v>LM5 Content, Lab, Sp, Machine Vision &amp; QC 1</v>
      </c>
      <c r="C4317" t="str">
        <f>"New"</f>
        <v>New</v>
      </c>
    </row>
    <row r="4318" spans="1:3" ht="18" customHeight="1">
      <c r="A4318" t="str">
        <f>"17-8084-0000-21"</f>
        <v>17-8084-0000-21</v>
      </c>
      <c r="B4318" t="str">
        <f>"LM5 Content, Lab, Sp, Machine Vision &amp; QC :1"</f>
        <v>LM5 Content, Lab, Sp, Machine Vision &amp; QC :1</v>
      </c>
      <c r="C4318" t="str">
        <f>"App. process"</f>
        <v>App. process</v>
      </c>
    </row>
    <row r="4319" spans="1:3" ht="18" customHeight="1">
      <c r="A4319" t="str">
        <f>"17-8084-0000-22"</f>
        <v>17-8084-0000-22</v>
      </c>
      <c r="B4319" t="str">
        <f>"LM5 Content, Lab, Sp, Machine Vision &amp; QC :2"</f>
        <v>LM5 Content, Lab, Sp, Machine Vision &amp; QC :2</v>
      </c>
      <c r="C4319" t="str">
        <f>"App. process"</f>
        <v>App. process</v>
      </c>
    </row>
    <row r="4320" spans="1:3" ht="18" customHeight="1">
      <c r="A4320" t="str">
        <f>"17-8090-0001"</f>
        <v>17-8090-0001</v>
      </c>
      <c r="B4320" t="str">
        <f>"LM5.X Content, Lab, CNC Milling w/eXpertMill"</f>
        <v>LM5.X Content, Lab, CNC Milling w/eXpertMill</v>
      </c>
      <c r="C4320" t="str">
        <f>"Active"</f>
        <v>Active</v>
      </c>
    </row>
    <row r="4321" spans="1:3" ht="18" customHeight="1">
      <c r="A4321" t="str">
        <f>"17-8091-0001"</f>
        <v>17-8091-0001</v>
      </c>
      <c r="B4321" t="str">
        <f>"LM5.X Content, Lab, CNC Milling w/SPLM"</f>
        <v>LM5.X Content, Lab, CNC Milling w/SPLM</v>
      </c>
      <c r="C4321" t="str">
        <f>"Active"</f>
        <v>Active</v>
      </c>
    </row>
    <row r="4322" spans="1:3" ht="18" customHeight="1">
      <c r="A4322" t="str">
        <f>"17-8091-0002"</f>
        <v>17-8091-0002</v>
      </c>
      <c r="B4322" t="str">
        <f>"LM5 Content, Lab, CNC Milling w/SPLM (M)"</f>
        <v>LM5 Content, Lab, CNC Milling w/SPLM (M)</v>
      </c>
      <c r="C4322" t="str">
        <f>"New"</f>
        <v>New</v>
      </c>
    </row>
    <row r="4323" spans="1:3" ht="18" customHeight="1">
      <c r="A4323" t="str">
        <f>"17-8092-0001"</f>
        <v>17-8092-0001</v>
      </c>
      <c r="B4323" t="str">
        <f>"LM5.X Content, Lab, REC1, PIC, TG"</f>
        <v>LM5.X Content, Lab, REC1, PIC, TG</v>
      </c>
      <c r="C4323" t="str">
        <f t="shared" ref="C4323:C4339" si="177">"Active"</f>
        <v>Active</v>
      </c>
    </row>
    <row r="4324" spans="1:3" ht="18" customHeight="1">
      <c r="A4324" t="str">
        <f>"17-8092-0011"</f>
        <v>17-8092-0011</v>
      </c>
      <c r="B4324" t="str">
        <f>"LM5.X Content, Lab, REC1, PIC, Unit 1"</f>
        <v>LM5.X Content, Lab, REC1, PIC, Unit 1</v>
      </c>
      <c r="C4324" t="str">
        <f t="shared" si="177"/>
        <v>Active</v>
      </c>
    </row>
    <row r="4325" spans="1:3" ht="18" customHeight="1">
      <c r="A4325" t="str">
        <f>"17-8092-0021"</f>
        <v>17-8092-0021</v>
      </c>
      <c r="B4325" t="str">
        <f>"LM5.X Content, Lab, REC1, PIC, Unit 2"</f>
        <v>LM5.X Content, Lab, REC1, PIC, Unit 2</v>
      </c>
      <c r="C4325" t="str">
        <f t="shared" si="177"/>
        <v>Active</v>
      </c>
    </row>
    <row r="4326" spans="1:3" ht="18" customHeight="1">
      <c r="A4326" t="str">
        <f>"17-8092-0031"</f>
        <v>17-8092-0031</v>
      </c>
      <c r="B4326" t="str">
        <f>"LM5.X Content, Lab, REC1, PIC, Unit 3"</f>
        <v>LM5.X Content, Lab, REC1, PIC, Unit 3</v>
      </c>
      <c r="C4326" t="str">
        <f t="shared" si="177"/>
        <v>Active</v>
      </c>
    </row>
    <row r="4327" spans="1:3" ht="18" customHeight="1">
      <c r="A4327" t="str">
        <f>"17-8092-0041"</f>
        <v>17-8092-0041</v>
      </c>
      <c r="B4327" t="str">
        <f>"LM5.X Content, Lab, REC1, PIC, Unit 4"</f>
        <v>LM5.X Content, Lab, REC1, PIC, Unit 4</v>
      </c>
      <c r="C4327" t="str">
        <f t="shared" si="177"/>
        <v>Active</v>
      </c>
    </row>
    <row r="4328" spans="1:3" ht="18" customHeight="1">
      <c r="A4328" t="str">
        <f>"17-8092-0051"</f>
        <v>17-8092-0051</v>
      </c>
      <c r="B4328" t="str">
        <f>"LM5.X Content, Lab, REC1, PIC, Unit 5"</f>
        <v>LM5.X Content, Lab, REC1, PIC, Unit 5</v>
      </c>
      <c r="C4328" t="str">
        <f t="shared" si="177"/>
        <v>Active</v>
      </c>
    </row>
    <row r="4329" spans="1:3" ht="18" customHeight="1">
      <c r="A4329" t="str">
        <f>"17-8092-0061"</f>
        <v>17-8092-0061</v>
      </c>
      <c r="B4329" t="str">
        <f>"LM5.X Content, Lab, REC1, PIC, Unit 6"</f>
        <v>LM5.X Content, Lab, REC1, PIC, Unit 6</v>
      </c>
      <c r="C4329" t="str">
        <f t="shared" si="177"/>
        <v>Active</v>
      </c>
    </row>
    <row r="4330" spans="1:3" ht="18" customHeight="1">
      <c r="A4330" t="str">
        <f>"17-8093-0001"</f>
        <v>17-8093-0001</v>
      </c>
      <c r="B4330" t="str">
        <f>"LM5.X Content, Lab, REC 2, PIC, TG"</f>
        <v>LM5.X Content, Lab, REC 2, PIC, TG</v>
      </c>
      <c r="C4330" t="str">
        <f t="shared" si="177"/>
        <v>Active</v>
      </c>
    </row>
    <row r="4331" spans="1:3" ht="18" customHeight="1">
      <c r="A4331" t="str">
        <f>"17-8093-0071"</f>
        <v>17-8093-0071</v>
      </c>
      <c r="B4331" t="str">
        <f>"LM5.X Content, Lab, REC 2, PIC, Unit 7"</f>
        <v>LM5.X Content, Lab, REC 2, PIC, Unit 7</v>
      </c>
      <c r="C4331" t="str">
        <f t="shared" si="177"/>
        <v>Active</v>
      </c>
    </row>
    <row r="4332" spans="1:3" ht="18" customHeight="1">
      <c r="A4332" t="str">
        <f>"17-8093-0081"</f>
        <v>17-8093-0081</v>
      </c>
      <c r="B4332" t="str">
        <f>"LM5.X Content, Lab, REC 2, PIC, Unit 8"</f>
        <v>LM5.X Content, Lab, REC 2, PIC, Unit 8</v>
      </c>
      <c r="C4332" t="str">
        <f t="shared" si="177"/>
        <v>Active</v>
      </c>
    </row>
    <row r="4333" spans="1:3" ht="18" customHeight="1">
      <c r="A4333" t="str">
        <f>"17-8093-0091"</f>
        <v>17-8093-0091</v>
      </c>
      <c r="B4333" t="str">
        <f>"LM5.X Content, Lab, REC 2, PIC, Unit 9"</f>
        <v>LM5.X Content, Lab, REC 2, PIC, Unit 9</v>
      </c>
      <c r="C4333" t="str">
        <f t="shared" si="177"/>
        <v>Active</v>
      </c>
    </row>
    <row r="4334" spans="1:3" ht="18" customHeight="1">
      <c r="A4334" t="str">
        <f>"17-8093-0101"</f>
        <v>17-8093-0101</v>
      </c>
      <c r="B4334" t="str">
        <f>"LM5.X Content, Lab, REC 2, PIC, Unit 10"</f>
        <v>LM5.X Content, Lab, REC 2, PIC, Unit 10</v>
      </c>
      <c r="C4334" t="str">
        <f t="shared" si="177"/>
        <v>Active</v>
      </c>
    </row>
    <row r="4335" spans="1:3" ht="18" customHeight="1">
      <c r="A4335" t="str">
        <f>"17-8093-0111"</f>
        <v>17-8093-0111</v>
      </c>
      <c r="B4335" t="str">
        <f>"LM5.X Content, Lab, REC 2, PIC, Unit 11"</f>
        <v>LM5.X Content, Lab, REC 2, PIC, Unit 11</v>
      </c>
      <c r="C4335" t="str">
        <f t="shared" si="177"/>
        <v>Active</v>
      </c>
    </row>
    <row r="4336" spans="1:3" ht="18" customHeight="1">
      <c r="A4336" t="str">
        <f>"17-8093-0121"</f>
        <v>17-8093-0121</v>
      </c>
      <c r="B4336" t="str">
        <f>"LM5.X Content, Lab, REC 2, PIC, Unit 12"</f>
        <v>LM5.X Content, Lab, REC 2, PIC, Unit 12</v>
      </c>
      <c r="C4336" t="str">
        <f t="shared" si="177"/>
        <v>Active</v>
      </c>
    </row>
    <row r="4337" spans="1:3" ht="18" customHeight="1">
      <c r="A4337" t="str">
        <f>"17-8094-0000"</f>
        <v>17-8094-0000</v>
      </c>
      <c r="B4337" t="str">
        <f>"LM 5 Content, Lab, RMH1 w/ER9 Pro"</f>
        <v>LM 5 Content, Lab, RMH1 w/ER9 Pro</v>
      </c>
      <c r="C4337" t="str">
        <f t="shared" si="177"/>
        <v>Active</v>
      </c>
    </row>
    <row r="4338" spans="1:3" ht="18" customHeight="1">
      <c r="A4338" t="str">
        <f>"17-8095-0000"</f>
        <v>17-8095-0000</v>
      </c>
      <c r="B4338" t="str">
        <f>"LM 5 Content, Lab, RMH2 w/ER9 Pro"</f>
        <v>LM 5 Content, Lab, RMH2 w/ER9 Pro</v>
      </c>
      <c r="C4338" t="str">
        <f t="shared" si="177"/>
        <v>Active</v>
      </c>
    </row>
    <row r="4339" spans="1:3" ht="18" customHeight="1">
      <c r="A4339" t="str">
        <f>"17-8096-0000"</f>
        <v>17-8096-0000</v>
      </c>
      <c r="B4339" t="str">
        <f>"LM 5 Content, Introduction to the SD300pro"</f>
        <v>LM 5 Content, Introduction to the SD300pro</v>
      </c>
      <c r="C4339" t="str">
        <f t="shared" si="177"/>
        <v>Active</v>
      </c>
    </row>
    <row r="4340" spans="1:3" ht="18" customHeight="1">
      <c r="A4340" t="str">
        <f>"17-8096-0000-21"</f>
        <v>17-8096-0000-21</v>
      </c>
      <c r="B4340" t="str">
        <f>"LM5 Content, Lab, Sp, Intro to the SD300pro:1"</f>
        <v>LM5 Content, Lab, Sp, Intro to the SD300pro:1</v>
      </c>
      <c r="C4340" t="str">
        <f>"App. process"</f>
        <v>App. process</v>
      </c>
    </row>
    <row r="4341" spans="1:3" ht="18" customHeight="1">
      <c r="A4341" t="str">
        <f>"17-8097-0002"</f>
        <v>17-8097-0002</v>
      </c>
      <c r="B4341" t="str">
        <f>"LM 5 Content, Lab, FMS w/ER4U &amp; eXpertMill"</f>
        <v>LM 5 Content, Lab, FMS w/ER4U &amp; eXpertMill</v>
      </c>
      <c r="C4341" t="str">
        <f>"Active"</f>
        <v>Active</v>
      </c>
    </row>
    <row r="4342" spans="1:3" ht="18" customHeight="1">
      <c r="A4342" t="str">
        <f>"17-8100-1012"</f>
        <v>17-8100-1012</v>
      </c>
      <c r="B4342" t="str">
        <f>"LM 5 Content, Lab, Theory of AutoGreen System"</f>
        <v>LM 5 Content, Lab, Theory of AutoGreen System</v>
      </c>
      <c r="C4342" t="str">
        <f>"Active"</f>
        <v>Active</v>
      </c>
    </row>
    <row r="4343" spans="1:3" ht="18" customHeight="1">
      <c r="A4343" t="str">
        <f>"17-8100-1012-2"</f>
        <v>17-8100-1012-2</v>
      </c>
      <c r="B4343" t="str">
        <f>"LM5 Content, Lab, Sp, Theory of AutoGreen System"</f>
        <v>LM5 Content, Lab, Sp, Theory of AutoGreen System</v>
      </c>
      <c r="C4343" t="str">
        <f>"New"</f>
        <v>New</v>
      </c>
    </row>
    <row r="4344" spans="1:3" ht="18" customHeight="1">
      <c r="A4344" t="str">
        <f>"17-8100-1022"</f>
        <v>17-8100-1022</v>
      </c>
      <c r="B4344" t="str">
        <f>"LM 5 Content, Lab, Using the AutoGreen System"</f>
        <v>LM 5 Content, Lab, Using the AutoGreen System</v>
      </c>
      <c r="C4344" t="str">
        <f>"Active"</f>
        <v>Active</v>
      </c>
    </row>
    <row r="4345" spans="1:3" ht="18" customHeight="1">
      <c r="A4345" t="str">
        <f>"17-8100-1022-2"</f>
        <v>17-8100-1022-2</v>
      </c>
      <c r="B4345" t="str">
        <f>"LM5 Content, Lab, Sp, Using the AutoGreen System"</f>
        <v>LM5 Content, Lab, Sp, Using the AutoGreen System</v>
      </c>
      <c r="C4345" t="str">
        <f>"New"</f>
        <v>New</v>
      </c>
    </row>
    <row r="4346" spans="1:3" ht="18" customHeight="1">
      <c r="A4346" t="str">
        <f>"17-8100-1032"</f>
        <v>17-8100-1032</v>
      </c>
      <c r="B4346" t="str">
        <f>"LM 5 Content, Lab, Applications of AutoGreen"</f>
        <v>LM 5 Content, Lab, Applications of AutoGreen</v>
      </c>
      <c r="C4346" t="str">
        <f>"Active"</f>
        <v>Active</v>
      </c>
    </row>
    <row r="4347" spans="1:3" ht="18" customHeight="1">
      <c r="A4347" t="str">
        <f>"17-8100-1032-2"</f>
        <v>17-8100-1032-2</v>
      </c>
      <c r="B4347" t="str">
        <f>"LM5 Content, Lab, Sp, Applications of AutoGreen"</f>
        <v>LM5 Content, Lab, Sp, Applications of AutoGreen</v>
      </c>
      <c r="C4347" t="str">
        <f>"New"</f>
        <v>New</v>
      </c>
    </row>
    <row r="4348" spans="1:3" ht="18" customHeight="1">
      <c r="A4348" t="str">
        <f>"17-8101-0001"</f>
        <v>17-8101-0001</v>
      </c>
      <c r="B4348" t="str">
        <f>"LM5 Content, Lab, Agricultural Mechanics"</f>
        <v>LM5 Content, Lab, Agricultural Mechanics</v>
      </c>
      <c r="C4348" t="str">
        <f t="shared" ref="C4348:C4372" si="178">"Active"</f>
        <v>Active</v>
      </c>
    </row>
    <row r="4349" spans="1:3" ht="18" customHeight="1">
      <c r="A4349" t="str">
        <f>"17-8105-0000"</f>
        <v>17-8105-0000</v>
      </c>
      <c r="B4349" t="str">
        <f>"LM5.X Content, Lab, REC 1, Cortex, TG"</f>
        <v>LM5.X Content, Lab, REC 1, Cortex, TG</v>
      </c>
      <c r="C4349" t="str">
        <f t="shared" si="178"/>
        <v>Active</v>
      </c>
    </row>
    <row r="4350" spans="1:3" ht="18" customHeight="1">
      <c r="A4350" t="str">
        <f>"17-8105-0010"</f>
        <v>17-8105-0010</v>
      </c>
      <c r="B4350" t="str">
        <f>"LM5.X Content, Lab, REC 1, Cortex, Unit 1"</f>
        <v>LM5.X Content, Lab, REC 1, Cortex, Unit 1</v>
      </c>
      <c r="C4350" t="str">
        <f t="shared" si="178"/>
        <v>Active</v>
      </c>
    </row>
    <row r="4351" spans="1:3" ht="18" customHeight="1">
      <c r="A4351" t="str">
        <f>"17-8105-0020"</f>
        <v>17-8105-0020</v>
      </c>
      <c r="B4351" t="str">
        <f>"LM5.X Content, Lab, REC 1, Cortex, Unit 2"</f>
        <v>LM5.X Content, Lab, REC 1, Cortex, Unit 2</v>
      </c>
      <c r="C4351" t="str">
        <f t="shared" si="178"/>
        <v>Active</v>
      </c>
    </row>
    <row r="4352" spans="1:3" ht="18" customHeight="1">
      <c r="A4352" t="str">
        <f>"17-8105-0030"</f>
        <v>17-8105-0030</v>
      </c>
      <c r="B4352" t="str">
        <f>"LM5.X Content, Lab, REC 1, Cortex, Unit 3"</f>
        <v>LM5.X Content, Lab, REC 1, Cortex, Unit 3</v>
      </c>
      <c r="C4352" t="str">
        <f t="shared" si="178"/>
        <v>Active</v>
      </c>
    </row>
    <row r="4353" spans="1:3" ht="18" customHeight="1">
      <c r="A4353" t="str">
        <f>"17-8105-0040"</f>
        <v>17-8105-0040</v>
      </c>
      <c r="B4353" t="str">
        <f>"LM5.X Content, Lab, REC 1, Cortex, Unit 4"</f>
        <v>LM5.X Content, Lab, REC 1, Cortex, Unit 4</v>
      </c>
      <c r="C4353" t="str">
        <f t="shared" si="178"/>
        <v>Active</v>
      </c>
    </row>
    <row r="4354" spans="1:3" ht="18" customHeight="1">
      <c r="A4354" t="str">
        <f>"17-8105-0050"</f>
        <v>17-8105-0050</v>
      </c>
      <c r="B4354" t="str">
        <f>"LM5.X Content, Lab, REC 1, Cortex, Unit 5"</f>
        <v>LM5.X Content, Lab, REC 1, Cortex, Unit 5</v>
      </c>
      <c r="C4354" t="str">
        <f t="shared" si="178"/>
        <v>Active</v>
      </c>
    </row>
    <row r="4355" spans="1:3" ht="18" customHeight="1">
      <c r="A4355" t="str">
        <f>"17-8105-0060"</f>
        <v>17-8105-0060</v>
      </c>
      <c r="B4355" t="str">
        <f>"LM5.X Content, Lab, REC 1, Cortex, Unit 6"</f>
        <v>LM5.X Content, Lab, REC 1, Cortex, Unit 6</v>
      </c>
      <c r="C4355" t="str">
        <f t="shared" si="178"/>
        <v>Active</v>
      </c>
    </row>
    <row r="4356" spans="1:3" ht="18" customHeight="1">
      <c r="A4356" t="str">
        <f>"17-8105-0100"</f>
        <v>17-8105-0100</v>
      </c>
      <c r="B4356" t="str">
        <f>"LM5 Content, Lab, REC 1, Cortex, Semester 1 TG"</f>
        <v>LM5 Content, Lab, REC 1, Cortex, Semester 1 TG</v>
      </c>
      <c r="C4356" t="str">
        <f t="shared" si="178"/>
        <v>Active</v>
      </c>
    </row>
    <row r="4357" spans="1:3" ht="18" customHeight="1">
      <c r="A4357" t="str">
        <f>"17-8105-0200"</f>
        <v>17-8105-0200</v>
      </c>
      <c r="B4357" t="str">
        <f>"LM5 Content, Lab, REC 1, Cortex, Semester 1 TG"</f>
        <v>LM5 Content, Lab, REC 1, Cortex, Semester 1 TG</v>
      </c>
      <c r="C4357" t="str">
        <f t="shared" si="178"/>
        <v>Active</v>
      </c>
    </row>
    <row r="4358" spans="1:3" ht="18" customHeight="1">
      <c r="A4358" t="str">
        <f>"17-8106-0000"</f>
        <v>17-8106-0000</v>
      </c>
      <c r="B4358" t="str">
        <f>"LM5.X Content, Lab, REC 2, Cortex, TG"</f>
        <v>LM5.X Content, Lab, REC 2, Cortex, TG</v>
      </c>
      <c r="C4358" t="str">
        <f t="shared" si="178"/>
        <v>Active</v>
      </c>
    </row>
    <row r="4359" spans="1:3" ht="18" customHeight="1">
      <c r="A4359" t="str">
        <f>"17-8106-0070"</f>
        <v>17-8106-0070</v>
      </c>
      <c r="B4359" t="str">
        <f>"LM5.X Content, Lab, REC 2, Cortex, Unit 7"</f>
        <v>LM5.X Content, Lab, REC 2, Cortex, Unit 7</v>
      </c>
      <c r="C4359" t="str">
        <f t="shared" si="178"/>
        <v>Active</v>
      </c>
    </row>
    <row r="4360" spans="1:3" ht="18" customHeight="1">
      <c r="A4360" t="str">
        <f>"17-8106-0080"</f>
        <v>17-8106-0080</v>
      </c>
      <c r="B4360" t="str">
        <f>"LM5.X Content, Lab, REC 2, Cortex, Unit 8"</f>
        <v>LM5.X Content, Lab, REC 2, Cortex, Unit 8</v>
      </c>
      <c r="C4360" t="str">
        <f t="shared" si="178"/>
        <v>Active</v>
      </c>
    </row>
    <row r="4361" spans="1:3" ht="18" customHeight="1">
      <c r="A4361" t="str">
        <f>"17-8106-0090"</f>
        <v>17-8106-0090</v>
      </c>
      <c r="B4361" t="str">
        <f>"LM5.X Content, Lab, REC 2, Cortex, Unit 9"</f>
        <v>LM5.X Content, Lab, REC 2, Cortex, Unit 9</v>
      </c>
      <c r="C4361" t="str">
        <f t="shared" si="178"/>
        <v>Active</v>
      </c>
    </row>
    <row r="4362" spans="1:3" ht="18" customHeight="1">
      <c r="A4362" t="str">
        <f>"17-8106-0100"</f>
        <v>17-8106-0100</v>
      </c>
      <c r="B4362" t="str">
        <f>"LM5.X Content, Lab, REC 2, Cortex, Unit 10"</f>
        <v>LM5.X Content, Lab, REC 2, Cortex, Unit 10</v>
      </c>
      <c r="C4362" t="str">
        <f t="shared" si="178"/>
        <v>Active</v>
      </c>
    </row>
    <row r="4363" spans="1:3" ht="18" customHeight="1">
      <c r="A4363" t="str">
        <f>"17-8106-0110"</f>
        <v>17-8106-0110</v>
      </c>
      <c r="B4363" t="str">
        <f>"LM5.X Content, Lab, REC 2, Cortex, Unit 11"</f>
        <v>LM5.X Content, Lab, REC 2, Cortex, Unit 11</v>
      </c>
      <c r="C4363" t="str">
        <f t="shared" si="178"/>
        <v>Active</v>
      </c>
    </row>
    <row r="4364" spans="1:3" ht="18" customHeight="1">
      <c r="A4364" t="str">
        <f>"17-8106-0120"</f>
        <v>17-8106-0120</v>
      </c>
      <c r="B4364" t="str">
        <f>"LM5.X Content, Lab, REC 2, Cortex, Unit 12"</f>
        <v>LM5.X Content, Lab, REC 2, Cortex, Unit 12</v>
      </c>
      <c r="C4364" t="str">
        <f t="shared" si="178"/>
        <v>Active</v>
      </c>
    </row>
    <row r="4365" spans="1:3" ht="18" customHeight="1">
      <c r="A4365" t="str">
        <f>"17-8107-0000"</f>
        <v>17-8107-0000</v>
      </c>
      <c r="B4365" t="str">
        <f>"LM5.X Content, Lab, Compet. Robotics for Cortex"</f>
        <v>LM5.X Content, Lab, Compet. Robotics for Cortex</v>
      </c>
      <c r="C4365" t="str">
        <f t="shared" si="178"/>
        <v>Active</v>
      </c>
    </row>
    <row r="4366" spans="1:3" ht="18" customHeight="1">
      <c r="A4366" t="str">
        <f>"17-8108-0000"</f>
        <v>17-8108-0000</v>
      </c>
      <c r="B4366" t="str">
        <f>"LM5 Content, Lab, Exploring Robotics VEX IQ"</f>
        <v>LM5 Content, Lab, Exploring Robotics VEX IQ</v>
      </c>
      <c r="C4366" t="str">
        <f t="shared" si="178"/>
        <v>Active</v>
      </c>
    </row>
    <row r="4367" spans="1:3" ht="18" customHeight="1">
      <c r="A4367" t="str">
        <f>"17-8110-0001"</f>
        <v>17-8110-0001</v>
      </c>
      <c r="B4367" t="str">
        <f>"LM5.X Content, Lab, GTC Intro to Green Tech"</f>
        <v>LM5.X Content, Lab, GTC Intro to Green Tech</v>
      </c>
      <c r="C4367" t="str">
        <f t="shared" si="178"/>
        <v>Active</v>
      </c>
    </row>
    <row r="4368" spans="1:3" ht="18" customHeight="1">
      <c r="A4368" t="str">
        <f>"17-8110-0002"</f>
        <v>17-8110-0002</v>
      </c>
      <c r="B4368" t="str">
        <f>"LM5.X Content, Lab, GTC Alternative Energy"</f>
        <v>LM5.X Content, Lab, GTC Alternative Energy</v>
      </c>
      <c r="C4368" t="str">
        <f t="shared" si="178"/>
        <v>Active</v>
      </c>
    </row>
    <row r="4369" spans="1:3" ht="18" customHeight="1">
      <c r="A4369" t="str">
        <f>"17-8110-0003"</f>
        <v>17-8110-0003</v>
      </c>
      <c r="B4369" t="str">
        <f>"LM5.X Content, Lab, GTC Green Transportation"</f>
        <v>LM5.X Content, Lab, GTC Green Transportation</v>
      </c>
      <c r="C4369" t="str">
        <f t="shared" si="178"/>
        <v>Active</v>
      </c>
    </row>
    <row r="4370" spans="1:3" ht="18" customHeight="1">
      <c r="A4370" t="str">
        <f>"17-8110-0004"</f>
        <v>17-8110-0004</v>
      </c>
      <c r="B4370" t="str">
        <f>"LM5.X Content, Lab, GTC Green Construction"</f>
        <v>LM5.X Content, Lab, GTC Green Construction</v>
      </c>
      <c r="C4370" t="str">
        <f t="shared" si="178"/>
        <v>Active</v>
      </c>
    </row>
    <row r="4371" spans="1:3" ht="18" customHeight="1">
      <c r="A4371" t="str">
        <f>"17-8110-0005"</f>
        <v>17-8110-0005</v>
      </c>
      <c r="B4371" t="str">
        <f>"LM5.X Content, Lab, GTC Resource Conservation"</f>
        <v>LM5.X Content, Lab, GTC Resource Conservation</v>
      </c>
      <c r="C4371" t="str">
        <f t="shared" si="178"/>
        <v>Active</v>
      </c>
    </row>
    <row r="4372" spans="1:3" ht="18" customHeight="1">
      <c r="A4372" t="str">
        <f>"17-8110-0006"</f>
        <v>17-8110-0006</v>
      </c>
      <c r="B4372" t="str">
        <f>"LM5.X Content, Lab, GTC Renewable Energy Experi."</f>
        <v>LM5.X Content, Lab, GTC Renewable Energy Experi.</v>
      </c>
      <c r="C4372" t="str">
        <f t="shared" si="178"/>
        <v>Active</v>
      </c>
    </row>
    <row r="4373" spans="1:3" ht="18" customHeight="1">
      <c r="A4373" t="str">
        <f>"17-8110-9001"</f>
        <v>17-8110-9001</v>
      </c>
      <c r="B4373" t="str">
        <f>"SA5.X Content, Lab, GTC Intro to Green Tech"</f>
        <v>SA5.X Content, Lab, GTC Intro to Green Tech</v>
      </c>
      <c r="C4373" t="str">
        <f t="shared" ref="C4373:C4378" si="179">"Inactive"</f>
        <v>Inactive</v>
      </c>
    </row>
    <row r="4374" spans="1:3" ht="18" customHeight="1">
      <c r="A4374" t="str">
        <f>"17-8110-9002"</f>
        <v>17-8110-9002</v>
      </c>
      <c r="B4374" t="str">
        <f>"SA5.X Content, Lab, GTC Alternative Energy"</f>
        <v>SA5.X Content, Lab, GTC Alternative Energy</v>
      </c>
      <c r="C4374" t="str">
        <f t="shared" si="179"/>
        <v>Inactive</v>
      </c>
    </row>
    <row r="4375" spans="1:3" ht="18" customHeight="1">
      <c r="A4375" t="str">
        <f>"17-8110-9003"</f>
        <v>17-8110-9003</v>
      </c>
      <c r="B4375" t="str">
        <f>"SA5.X Content, Lab, GTC Green Transportation"</f>
        <v>SA5.X Content, Lab, GTC Green Transportation</v>
      </c>
      <c r="C4375" t="str">
        <f t="shared" si="179"/>
        <v>Inactive</v>
      </c>
    </row>
    <row r="4376" spans="1:3" ht="18" customHeight="1">
      <c r="A4376" t="str">
        <f>"17-8110-9004"</f>
        <v>17-8110-9004</v>
      </c>
      <c r="B4376" t="str">
        <f>"SA5.X Content, Lab, GTC Green Construction"</f>
        <v>SA5.X Content, Lab, GTC Green Construction</v>
      </c>
      <c r="C4376" t="str">
        <f t="shared" si="179"/>
        <v>Inactive</v>
      </c>
    </row>
    <row r="4377" spans="1:3" ht="18" customHeight="1">
      <c r="A4377" t="str">
        <f>"17-8110-9005"</f>
        <v>17-8110-9005</v>
      </c>
      <c r="B4377" t="str">
        <f>"SA5.X Content, Lab, GTC Resource Conservation"</f>
        <v>SA5.X Content, Lab, GTC Resource Conservation</v>
      </c>
      <c r="C4377" t="str">
        <f t="shared" si="179"/>
        <v>Inactive</v>
      </c>
    </row>
    <row r="4378" spans="1:3" ht="18" customHeight="1">
      <c r="A4378" t="str">
        <f>"17-8110-9006"</f>
        <v>17-8110-9006</v>
      </c>
      <c r="B4378" t="str">
        <f>"SA5.X Content, Lab, GTC Renewable Energy Experi."</f>
        <v>SA5.X Content, Lab, GTC Renewable Energy Experi.</v>
      </c>
      <c r="C4378" t="str">
        <f t="shared" si="179"/>
        <v>Inactive</v>
      </c>
    </row>
    <row r="4379" spans="1:3" ht="18" customHeight="1">
      <c r="A4379" t="str">
        <f>"17-8135-0000"</f>
        <v>17-8135-0000</v>
      </c>
      <c r="B4379" t="str">
        <f>"LM5.X Content, Lab, Engineering Hydraulics"</f>
        <v>LM5.X Content, Lab, Engineering Hydraulics</v>
      </c>
      <c r="C4379" t="str">
        <f>"Active"</f>
        <v>Active</v>
      </c>
    </row>
    <row r="4380" spans="1:3" ht="18" customHeight="1">
      <c r="A4380" t="str">
        <f>"17-8135-9000"</f>
        <v>17-8135-9000</v>
      </c>
      <c r="B4380" t="str">
        <f>"SA5.X Content, Lab, Engineering Hydraulics"</f>
        <v>SA5.X Content, Lab, Engineering Hydraulics</v>
      </c>
      <c r="C4380" t="str">
        <f>"Inactive"</f>
        <v>Inactive</v>
      </c>
    </row>
    <row r="4381" spans="1:3" ht="18" customHeight="1">
      <c r="A4381" t="str">
        <f>"17-8136-0001"</f>
        <v>17-8136-0001</v>
      </c>
      <c r="B4381" t="str">
        <f>"LM5 Content, Lab, Intro to Transportation"</f>
        <v>LM5 Content, Lab, Intro to Transportation</v>
      </c>
      <c r="C4381" t="str">
        <f>"Active"</f>
        <v>Active</v>
      </c>
    </row>
    <row r="4382" spans="1:3" ht="18" customHeight="1">
      <c r="A4382" t="str">
        <f>"17-8136-0002"</f>
        <v>17-8136-0002</v>
      </c>
      <c r="B4382" t="str">
        <f>"LM5 Content, Lab, Aerospace"</f>
        <v>LM5 Content, Lab, Aerospace</v>
      </c>
      <c r="C4382" t="str">
        <f>"Active"</f>
        <v>Active</v>
      </c>
    </row>
    <row r="4383" spans="1:3" ht="18" customHeight="1">
      <c r="A4383" t="str">
        <f>"17-8136-0003"</f>
        <v>17-8136-0003</v>
      </c>
      <c r="B4383" t="str">
        <f>"LM5 Content, Lab, Aviation"</f>
        <v>LM5 Content, Lab, Aviation</v>
      </c>
      <c r="C4383" t="str">
        <f>"Active"</f>
        <v>Active</v>
      </c>
    </row>
    <row r="4384" spans="1:3" ht="18" customHeight="1">
      <c r="A4384" t="str">
        <f>"17-8136-0004"</f>
        <v>17-8136-0004</v>
      </c>
      <c r="B4384" t="str">
        <f>"LM5 Content, Lab, R&amp;D Automotive"</f>
        <v>LM5 Content, Lab, R&amp;D Automotive</v>
      </c>
      <c r="C4384" t="str">
        <f>"Active"</f>
        <v>Active</v>
      </c>
    </row>
    <row r="4385" spans="1:3" ht="18" customHeight="1">
      <c r="A4385" t="str">
        <f>"17-8136-9001"</f>
        <v>17-8136-9001</v>
      </c>
      <c r="B4385" t="str">
        <f>"SA5.X Content, Lab, TTC Intro to Transportation"</f>
        <v>SA5.X Content, Lab, TTC Intro to Transportation</v>
      </c>
      <c r="C4385" t="str">
        <f>"Inactive"</f>
        <v>Inactive</v>
      </c>
    </row>
    <row r="4386" spans="1:3" ht="18" customHeight="1">
      <c r="A4386" t="str">
        <f>"17-8136-9002"</f>
        <v>17-8136-9002</v>
      </c>
      <c r="B4386" t="str">
        <f>"SA5.X Content, Lab, TTC Aerospace"</f>
        <v>SA5.X Content, Lab, TTC Aerospace</v>
      </c>
      <c r="C4386" t="str">
        <f>"Inactive"</f>
        <v>Inactive</v>
      </c>
    </row>
    <row r="4387" spans="1:3" ht="18" customHeight="1">
      <c r="A4387" t="str">
        <f>"17-8136-9003"</f>
        <v>17-8136-9003</v>
      </c>
      <c r="B4387" t="str">
        <f>"SA5.X Content, Lab, TTC Aviation"</f>
        <v>SA5.X Content, Lab, TTC Aviation</v>
      </c>
      <c r="C4387" t="str">
        <f>"Inactive"</f>
        <v>Inactive</v>
      </c>
    </row>
    <row r="4388" spans="1:3" ht="18" customHeight="1">
      <c r="A4388" t="str">
        <f>"17-8136-9004"</f>
        <v>17-8136-9004</v>
      </c>
      <c r="B4388" t="str">
        <f>"SA5.X Content, Lab, TTC R&amp;D Automotive"</f>
        <v>SA5.X Content, Lab, TTC R&amp;D Automotive</v>
      </c>
      <c r="C4388" t="str">
        <f>"Inactive"</f>
        <v>Inactive</v>
      </c>
    </row>
    <row r="4389" spans="1:3" ht="18" customHeight="1">
      <c r="A4389" t="str">
        <f>"17-8137-0000"</f>
        <v>17-8137-0000</v>
      </c>
      <c r="B4389" t="str">
        <f>"LM5.X Content, Lab, Biotechnology"</f>
        <v>LM5.X Content, Lab, Biotechnology</v>
      </c>
      <c r="C4389" t="str">
        <f t="shared" ref="C4389:C4394" si="180">"Active"</f>
        <v>Active</v>
      </c>
    </row>
    <row r="4390" spans="1:3" ht="18" customHeight="1">
      <c r="A4390" t="str">
        <f>"17-8138-0000"</f>
        <v>17-8138-0000</v>
      </c>
      <c r="B4390" t="str">
        <f>"LM5.X Content, Lab, Health Care"</f>
        <v>LM5.X Content, Lab, Health Care</v>
      </c>
      <c r="C4390" t="str">
        <f t="shared" si="180"/>
        <v>Active</v>
      </c>
    </row>
    <row r="4391" spans="1:3" ht="18" customHeight="1">
      <c r="A4391" t="str">
        <f>"17-8140-0001"</f>
        <v>17-8140-0001</v>
      </c>
      <c r="B4391" t="str">
        <f>"LM5.X Content, Lab, CNC Milling w/BenchMill 6000"</f>
        <v>LM5.X Content, Lab, CNC Milling w/BenchMill 6000</v>
      </c>
      <c r="C4391" t="str">
        <f t="shared" si="180"/>
        <v>Active</v>
      </c>
    </row>
    <row r="4392" spans="1:3" ht="18" customHeight="1">
      <c r="A4392" t="str">
        <f>"17-8140-0002"</f>
        <v>17-8140-0002</v>
      </c>
      <c r="B4392" t="str">
        <f>"LM5 Content,Lab, CNCMilling w/BenchMill 6000 (M)"</f>
        <v>LM5 Content,Lab, CNCMilling w/BenchMill 6000 (M)</v>
      </c>
      <c r="C4392" t="str">
        <f t="shared" si="180"/>
        <v>Active</v>
      </c>
    </row>
    <row r="4393" spans="1:3" ht="18" customHeight="1">
      <c r="A4393" t="str">
        <f>"17-8141-0001"</f>
        <v>17-8141-0001</v>
      </c>
      <c r="B4393" t="str">
        <f>"LM5.X Content, Lab, CNC Turning w/BenchTurn 7000"</f>
        <v>LM5.X Content, Lab, CNC Turning w/BenchTurn 7000</v>
      </c>
      <c r="C4393" t="str">
        <f t="shared" si="180"/>
        <v>Active</v>
      </c>
    </row>
    <row r="4394" spans="1:3" ht="18" customHeight="1">
      <c r="A4394" t="str">
        <f>"17-8141-0002"</f>
        <v>17-8141-0002</v>
      </c>
      <c r="B4394" t="str">
        <f>"LM5 Content,Lab, CNCTurning w/BenchTurn 7000 (M)"</f>
        <v>LM5 Content,Lab, CNCTurning w/BenchTurn 7000 (M)</v>
      </c>
      <c r="C4394" t="str">
        <f t="shared" si="180"/>
        <v>Active</v>
      </c>
    </row>
    <row r="4395" spans="1:3" ht="18" customHeight="1">
      <c r="A4395" t="str">
        <f>"17-8141-9001"</f>
        <v>17-8141-9001</v>
      </c>
      <c r="B4395" t="str">
        <f>"LM5.X SA, Lab, CNC Turning w/BenchTurn 7000"</f>
        <v>LM5.X SA, Lab, CNC Turning w/BenchTurn 7000</v>
      </c>
      <c r="C4395" t="str">
        <f>"Inactive"</f>
        <v>Inactive</v>
      </c>
    </row>
    <row r="4396" spans="1:3" ht="18" customHeight="1">
      <c r="A4396" t="str">
        <f>"17-8142-0001"</f>
        <v>17-8142-0001</v>
      </c>
      <c r="B4396" t="str">
        <f>"LM5.X Content, Lab, CNC Milling w/ProMill 8000"</f>
        <v>LM5.X Content, Lab, CNC Milling w/ProMill 8000</v>
      </c>
      <c r="C4396" t="str">
        <f t="shared" ref="C4396:C4404" si="181">"Active"</f>
        <v>Active</v>
      </c>
    </row>
    <row r="4397" spans="1:3" ht="18" customHeight="1">
      <c r="A4397" t="str">
        <f>"17-8142-0002"</f>
        <v>17-8142-0002</v>
      </c>
      <c r="B4397" t="str">
        <f>"LM5 Content, Lab, CNC Milling w/ProMill 8000 (M)"</f>
        <v>LM5 Content, Lab, CNC Milling w/ProMill 8000 (M)</v>
      </c>
      <c r="C4397" t="str">
        <f t="shared" si="181"/>
        <v>Active</v>
      </c>
    </row>
    <row r="4398" spans="1:3" ht="18" customHeight="1">
      <c r="A4398" t="str">
        <f>"17-8143-0001"</f>
        <v>17-8143-0001</v>
      </c>
      <c r="B4398" t="str">
        <f>"LM5.X Content, Lab, CNC Turning w/ProTurn 9000"</f>
        <v>LM5.X Content, Lab, CNC Turning w/ProTurn 9000</v>
      </c>
      <c r="C4398" t="str">
        <f t="shared" si="181"/>
        <v>Active</v>
      </c>
    </row>
    <row r="4399" spans="1:3" ht="18" customHeight="1">
      <c r="A4399" t="str">
        <f>"17-8143-0002"</f>
        <v>17-8143-0002</v>
      </c>
      <c r="B4399" t="str">
        <f>"LM5 Content, Lab, CNC Turning w/ProTurn 9000 (M)"</f>
        <v>LM5 Content, Lab, CNC Turning w/ProTurn 9000 (M)</v>
      </c>
      <c r="C4399" t="str">
        <f t="shared" si="181"/>
        <v>Active</v>
      </c>
    </row>
    <row r="4400" spans="1:3" ht="18" customHeight="1">
      <c r="A4400" t="str">
        <f>"17-8150-0001"</f>
        <v>17-8150-0001</v>
      </c>
      <c r="B4400" t="str">
        <f>"LM5.X Content, Lab, Intro. to Communications"</f>
        <v>LM5.X Content, Lab, Intro. to Communications</v>
      </c>
      <c r="C4400" t="str">
        <f t="shared" si="181"/>
        <v>Active</v>
      </c>
    </row>
    <row r="4401" spans="1:3" ht="18" customHeight="1">
      <c r="A4401" t="str">
        <f>"17-8151-0001"</f>
        <v>17-8151-0001</v>
      </c>
      <c r="B4401" t="str">
        <f>"LM5.X Content, Lab, Digital Video Editing"</f>
        <v>LM5.X Content, Lab, Digital Video Editing</v>
      </c>
      <c r="C4401" t="str">
        <f t="shared" si="181"/>
        <v>Active</v>
      </c>
    </row>
    <row r="4402" spans="1:3" ht="18" customHeight="1">
      <c r="A4402" t="str">
        <f>"17-8152-0001"</f>
        <v>17-8152-0001</v>
      </c>
      <c r="B4402" t="str">
        <f>"LM5.X Content, Lab, Digital Photo Editing"</f>
        <v>LM5.X Content, Lab, Digital Photo Editing</v>
      </c>
      <c r="C4402" t="str">
        <f t="shared" si="181"/>
        <v>Active</v>
      </c>
    </row>
    <row r="4403" spans="1:3" ht="18" customHeight="1">
      <c r="A4403" t="str">
        <f>"17-8153-0001"</f>
        <v>17-8153-0001</v>
      </c>
      <c r="B4403" t="str">
        <f>"LM5.X Content, Lab, Graphic Design"</f>
        <v>LM5.X Content, Lab, Graphic Design</v>
      </c>
      <c r="C4403" t="str">
        <f t="shared" si="181"/>
        <v>Active</v>
      </c>
    </row>
    <row r="4404" spans="1:3" ht="18" customHeight="1">
      <c r="A4404" t="str">
        <f>"17-8154-0001"</f>
        <v>17-8154-0001</v>
      </c>
      <c r="B4404" t="str">
        <f>"LM5.X Content, Lab, Intro. to Industrial Design"</f>
        <v>LM5.X Content, Lab, Intro. to Industrial Design</v>
      </c>
      <c r="C4404" t="str">
        <f t="shared" si="181"/>
        <v>Active</v>
      </c>
    </row>
    <row r="4405" spans="1:3" ht="18" customHeight="1">
      <c r="A4405" t="str">
        <f>"17-8155-0001"</f>
        <v>17-8155-0001</v>
      </c>
      <c r="B4405" t="str">
        <f>"LM5.X Content, Lab, Television Broadcasting"</f>
        <v>LM5.X Content, Lab, Television Broadcasting</v>
      </c>
      <c r="C4405" t="str">
        <f>"Not for sale"</f>
        <v>Not for sale</v>
      </c>
    </row>
    <row r="4406" spans="1:3" ht="18" customHeight="1">
      <c r="A4406" t="str">
        <f>"17-AIM1-0001"</f>
        <v>17-AIM1-0001</v>
      </c>
      <c r="B4406" t="str">
        <f>"LM5.X Content, Virtual, AIM Teacher's Guide"</f>
        <v>LM5.X Content, Virtual, AIM Teacher's Guide</v>
      </c>
      <c r="C4406" t="str">
        <f t="shared" ref="C4406:C4452" si="182">"Active"</f>
        <v>Active</v>
      </c>
    </row>
    <row r="4407" spans="1:3" ht="18" customHeight="1">
      <c r="A4407" t="str">
        <f>"17-AIM1-0011"</f>
        <v>17-AIM1-0011</v>
      </c>
      <c r="B4407" t="str">
        <f>"LM5.X Content, Virtual, AIM Unit 1 - Bridge Eng"</f>
        <v>LM5.X Content, Virtual, AIM Unit 1 - Bridge Eng</v>
      </c>
      <c r="C4407" t="str">
        <f t="shared" si="182"/>
        <v>Active</v>
      </c>
    </row>
    <row r="4408" spans="1:3" ht="18" customHeight="1">
      <c r="A4408" t="str">
        <f>"17-AIM1-0021"</f>
        <v>17-AIM1-0021</v>
      </c>
      <c r="B4408" t="str">
        <f>"LM5.X Content, Virtual, AIM Unit 2 - Ord. Dis"</f>
        <v>LM5.X Content, Virtual, AIM Unit 2 - Ord. Dis</v>
      </c>
      <c r="C4408" t="str">
        <f t="shared" si="182"/>
        <v>Active</v>
      </c>
    </row>
    <row r="4409" spans="1:3" ht="18" customHeight="1">
      <c r="A4409" t="str">
        <f>"17-AIM1-0031"</f>
        <v>17-AIM1-0031</v>
      </c>
      <c r="B4409" t="str">
        <f>"LM5.X Content, Virtual, AIM Unit 3 - Robo Soccer"</f>
        <v>LM5.X Content, Virtual, AIM Unit 3 - Robo Soccer</v>
      </c>
      <c r="C4409" t="str">
        <f t="shared" si="182"/>
        <v>Active</v>
      </c>
    </row>
    <row r="4410" spans="1:3" ht="18" customHeight="1">
      <c r="A4410" t="str">
        <f>"17-AIM1-0041"</f>
        <v>17-AIM1-0041</v>
      </c>
      <c r="B4410" t="str">
        <f>"LM5.X Content, Virtual, AIM Unit 4 - 3 Kg Lift"</f>
        <v>LM5.X Content, Virtual, AIM Unit 4 - 3 Kg Lift</v>
      </c>
      <c r="C4410" t="str">
        <f t="shared" si="182"/>
        <v>Active</v>
      </c>
    </row>
    <row r="4411" spans="1:3" ht="18" customHeight="1">
      <c r="A4411" t="str">
        <f>"17-AIM1-0051"</f>
        <v>17-AIM1-0051</v>
      </c>
      <c r="B4411" t="str">
        <f>"LM5.X Content, Virtual, AIM Unit 5 - Auto Nav."</f>
        <v>LM5.X Content, Virtual, AIM Unit 5 - Auto Nav.</v>
      </c>
      <c r="C4411" t="str">
        <f t="shared" si="182"/>
        <v>Active</v>
      </c>
    </row>
    <row r="4412" spans="1:3" ht="18" customHeight="1">
      <c r="A4412" t="str">
        <f>"17-AIM1-0061"</f>
        <v>17-AIM1-0061</v>
      </c>
      <c r="B4412" t="str">
        <f>"LM5.X Content, Virtual, AIM Unit 6 -Robot Comp"</f>
        <v>LM5.X Content, Virtual, AIM Unit 6 -Robot Comp</v>
      </c>
      <c r="C4412" t="str">
        <f t="shared" si="182"/>
        <v>Active</v>
      </c>
    </row>
    <row r="4413" spans="1:3" ht="18" customHeight="1">
      <c r="A4413" t="str">
        <f>"17-BA01A-0001"</f>
        <v>17-BA01A-0001</v>
      </c>
      <c r="B4413" t="str">
        <f>"LM5.X Content, JM, Math for Technicians I"</f>
        <v>LM5.X Content, JM, Math for Technicians I</v>
      </c>
      <c r="C4413" t="str">
        <f t="shared" si="182"/>
        <v>Active</v>
      </c>
    </row>
    <row r="4414" spans="1:3" ht="18" customHeight="1">
      <c r="A4414" t="str">
        <f>"17-BA01B-0001"</f>
        <v>17-BA01B-0001</v>
      </c>
      <c r="B4414" t="str">
        <f>"LM5.X Content, JM, Math For Technicians II"</f>
        <v>LM5.X Content, JM, Math For Technicians II</v>
      </c>
      <c r="C4414" t="str">
        <f t="shared" si="182"/>
        <v>Active</v>
      </c>
    </row>
    <row r="4415" spans="1:3" ht="18" customHeight="1">
      <c r="A4415" t="str">
        <f>"17-BA02-0001"</f>
        <v>17-BA02-0001</v>
      </c>
      <c r="B4415" t="str">
        <f>"LM5.X Content, JM, Blue Print Reading"</f>
        <v>LM5.X Content, JM, Blue Print Reading</v>
      </c>
      <c r="C4415" t="str">
        <f t="shared" si="182"/>
        <v>Active</v>
      </c>
    </row>
    <row r="4416" spans="1:3" ht="18" customHeight="1">
      <c r="A4416" t="str">
        <f>"17-BA03-0001"</f>
        <v>17-BA03-0001</v>
      </c>
      <c r="B4416" t="str">
        <f>"LM5.X Content, JM, Lubrication for Technicians"</f>
        <v>LM5.X Content, JM, Lubrication for Technicians</v>
      </c>
      <c r="C4416" t="str">
        <f t="shared" si="182"/>
        <v>Active</v>
      </c>
    </row>
    <row r="4417" spans="1:3" ht="18" customHeight="1">
      <c r="A4417" t="str">
        <f>"17-BA04-0001"</f>
        <v>17-BA04-0001</v>
      </c>
      <c r="B4417" t="str">
        <f>"LM5.X Content, JM, Fasteners"</f>
        <v>LM5.X Content, JM, Fasteners</v>
      </c>
      <c r="C4417" t="str">
        <f t="shared" si="182"/>
        <v>Active</v>
      </c>
    </row>
    <row r="4418" spans="1:3" ht="18" customHeight="1">
      <c r="A4418" t="str">
        <f>"17-BA05-0001"</f>
        <v>17-BA05-0001</v>
      </c>
      <c r="B4418" t="str">
        <f>"LM5.X Content, JM, Hand Tools"</f>
        <v>LM5.X Content, JM, Hand Tools</v>
      </c>
      <c r="C4418" t="str">
        <f t="shared" si="182"/>
        <v>Active</v>
      </c>
    </row>
    <row r="4419" spans="1:3" ht="18" customHeight="1">
      <c r="A4419" t="str">
        <f>"17-BA06-0001"</f>
        <v>17-BA06-0001</v>
      </c>
      <c r="B4419" t="str">
        <f>"LM5.X Content, JM, Power Tools"</f>
        <v>LM5.X Content, JM, Power Tools</v>
      </c>
      <c r="C4419" t="str">
        <f t="shared" si="182"/>
        <v>Active</v>
      </c>
    </row>
    <row r="4420" spans="1:3" ht="18" customHeight="1">
      <c r="A4420" t="str">
        <f>"17-BOOT-0001"</f>
        <v>17-BOOT-0001</v>
      </c>
      <c r="B4420" t="str">
        <f>"LM5.X Content, Robot Boot Camp"</f>
        <v>LM5.X Content, Robot Boot Camp</v>
      </c>
      <c r="C4420" t="str">
        <f t="shared" si="182"/>
        <v>Active</v>
      </c>
    </row>
    <row r="4421" spans="1:3" ht="18" customHeight="1">
      <c r="A4421" t="str">
        <f>"17-EA01A-0000"</f>
        <v>17-EA01A-0000</v>
      </c>
      <c r="B4421" t="str">
        <f>"LM5.X Content, JM, Electrical Circuits"</f>
        <v>LM5.X Content, JM, Electrical Circuits</v>
      </c>
      <c r="C4421" t="str">
        <f t="shared" si="182"/>
        <v>Active</v>
      </c>
    </row>
    <row r="4422" spans="1:3" ht="18" customHeight="1">
      <c r="A4422" t="str">
        <f>"17-EA01A-0000-3"</f>
        <v>17-EA01A-0000-3</v>
      </c>
      <c r="B4422" t="str">
        <f>"LM5 Content, Por, JM, Electrical Circuits"</f>
        <v>LM5 Content, Por, JM, Electrical Circuits</v>
      </c>
      <c r="C4422" t="str">
        <f t="shared" si="182"/>
        <v>Active</v>
      </c>
    </row>
    <row r="4423" spans="1:3" ht="18" customHeight="1">
      <c r="A4423" t="str">
        <f>"17-EA01B-0000"</f>
        <v>17-EA01B-0000</v>
      </c>
      <c r="B4423" t="str">
        <f>"LM5.X Content, JM, Resistors &amp; Conductors"</f>
        <v>LM5.X Content, JM, Resistors &amp; Conductors</v>
      </c>
      <c r="C4423" t="str">
        <f t="shared" si="182"/>
        <v>Active</v>
      </c>
    </row>
    <row r="4424" spans="1:3" ht="18" customHeight="1">
      <c r="A4424" t="str">
        <f>"17-EA01B-0000-3"</f>
        <v>17-EA01B-0000-3</v>
      </c>
      <c r="B4424" t="str">
        <f>"LM5 Content, Por, JM, Resistors &amp; Conductors"</f>
        <v>LM5 Content, Por, JM, Resistors &amp; Conductors</v>
      </c>
      <c r="C4424" t="str">
        <f t="shared" si="182"/>
        <v>Active</v>
      </c>
    </row>
    <row r="4425" spans="1:3" ht="18" customHeight="1">
      <c r="A4425" t="str">
        <f>"17-EA01C-0000"</f>
        <v>17-EA01C-0000</v>
      </c>
      <c r="B4425" t="str">
        <f>"LM5.X Content, JM, LCR Circuits"</f>
        <v>LM5.X Content, JM, LCR Circuits</v>
      </c>
      <c r="C4425" t="str">
        <f t="shared" si="182"/>
        <v>Active</v>
      </c>
    </row>
    <row r="4426" spans="1:3" ht="18" customHeight="1">
      <c r="A4426" t="str">
        <f>"17-EA01C-0000-3"</f>
        <v>17-EA01C-0000-3</v>
      </c>
      <c r="B4426" t="str">
        <f>"LM5 Content, Por, JM, LCR Circuits"</f>
        <v>LM5 Content, Por, JM, LCR Circuits</v>
      </c>
      <c r="C4426" t="str">
        <f t="shared" si="182"/>
        <v>Active</v>
      </c>
    </row>
    <row r="4427" spans="1:3" ht="18" customHeight="1">
      <c r="A4427" t="str">
        <f>"17-EA01D-0000"</f>
        <v>17-EA01D-0000</v>
      </c>
      <c r="B4427" t="str">
        <f>"LM5.X Content, JM, Motors &amp; Generators"</f>
        <v>LM5.X Content, JM, Motors &amp; Generators</v>
      </c>
      <c r="C4427" t="str">
        <f t="shared" si="182"/>
        <v>Active</v>
      </c>
    </row>
    <row r="4428" spans="1:3" ht="18" customHeight="1">
      <c r="A4428" t="str">
        <f>"17-EA01D-0000-3"</f>
        <v>17-EA01D-0000-3</v>
      </c>
      <c r="B4428" t="str">
        <f>"LM5 Content, Por, JM, Motors &amp; Generators"</f>
        <v>LM5 Content, Por, JM, Motors &amp; Generators</v>
      </c>
      <c r="C4428" t="str">
        <f t="shared" si="182"/>
        <v>Active</v>
      </c>
    </row>
    <row r="4429" spans="1:3" ht="18" customHeight="1">
      <c r="A4429" t="str">
        <f>"17-EA02-0000"</f>
        <v>17-EA02-0000</v>
      </c>
      <c r="B4429" t="str">
        <f>"LM5.X Content, JM, Electric Circuit Protection"</f>
        <v>LM5.X Content, JM, Electric Circuit Protection</v>
      </c>
      <c r="C4429" t="str">
        <f t="shared" si="182"/>
        <v>Active</v>
      </c>
    </row>
    <row r="4430" spans="1:3" ht="18" customHeight="1">
      <c r="A4430" t="str">
        <f>"17-EA03-0000"</f>
        <v>17-EA03-0000</v>
      </c>
      <c r="B4430" t="str">
        <f>"LM5.X Content, JM, 3 Phase Transformers"</f>
        <v>LM5.X Content, JM, 3 Phase Transformers</v>
      </c>
      <c r="C4430" t="str">
        <f t="shared" si="182"/>
        <v>Active</v>
      </c>
    </row>
    <row r="4431" spans="1:3" ht="18" customHeight="1">
      <c r="A4431" t="str">
        <f>"17-EA03-0000-3"</f>
        <v>17-EA03-0000-3</v>
      </c>
      <c r="B4431" t="str">
        <f>"LM5 Content, Por, JM, 3 Phase Transformers"</f>
        <v>LM5 Content, Por, JM, 3 Phase Transformers</v>
      </c>
      <c r="C4431" t="str">
        <f t="shared" si="182"/>
        <v>Active</v>
      </c>
    </row>
    <row r="4432" spans="1:3" ht="18" customHeight="1">
      <c r="A4432" t="str">
        <f>"17-EA04-0000"</f>
        <v>17-EA04-0000</v>
      </c>
      <c r="B4432" t="str">
        <f>"LM5.X Content, JM, Electric Motors"</f>
        <v>LM5.X Content, JM, Electric Motors</v>
      </c>
      <c r="C4432" t="str">
        <f t="shared" si="182"/>
        <v>Active</v>
      </c>
    </row>
    <row r="4433" spans="1:3" ht="18" customHeight="1">
      <c r="A4433" t="str">
        <f>"17-EA07-0000"</f>
        <v>17-EA07-0000</v>
      </c>
      <c r="B4433" t="str">
        <f>"LM5.X Content, JM, Electromagnetic Starters"</f>
        <v>LM5.X Content, JM, Electromagnetic Starters</v>
      </c>
      <c r="C4433" t="str">
        <f t="shared" si="182"/>
        <v>Active</v>
      </c>
    </row>
    <row r="4434" spans="1:3" ht="18" customHeight="1">
      <c r="A4434" t="str">
        <f>"17-EA08-0000"</f>
        <v>17-EA08-0000</v>
      </c>
      <c r="B4434" t="str">
        <f>"LM5.X Content, JM, Relays and Timers"</f>
        <v>LM5.X Content, JM, Relays and Timers</v>
      </c>
      <c r="C4434" t="str">
        <f t="shared" si="182"/>
        <v>Active</v>
      </c>
    </row>
    <row r="4435" spans="1:3" ht="18" customHeight="1">
      <c r="A4435" t="str">
        <f>"17-EA09-0000"</f>
        <v>17-EA09-0000</v>
      </c>
      <c r="B4435" t="str">
        <f>"LM5.X Content, JM, Electronic Sensors"</f>
        <v>LM5.X Content, JM, Electronic Sensors</v>
      </c>
      <c r="C4435" t="str">
        <f t="shared" si="182"/>
        <v>Active</v>
      </c>
    </row>
    <row r="4436" spans="1:3" ht="18" customHeight="1">
      <c r="A4436" t="str">
        <f>"17-EA11-0000"</f>
        <v>17-EA11-0000</v>
      </c>
      <c r="B4436" t="str">
        <f>"LM5.X Content, JM, Solid State Voltage Starter"</f>
        <v>LM5.X Content, JM, Solid State Voltage Starter</v>
      </c>
      <c r="C4436" t="str">
        <f t="shared" si="182"/>
        <v>Active</v>
      </c>
    </row>
    <row r="4437" spans="1:3" ht="18" customHeight="1">
      <c r="A4437" t="str">
        <f>"17-EA12-0000"</f>
        <v>17-EA12-0000</v>
      </c>
      <c r="B4437" t="str">
        <f>"LM5.X Content, JM, Variable Frequency Drive"</f>
        <v>LM5.X Content, JM, Variable Frequency Drive</v>
      </c>
      <c r="C4437" t="str">
        <f t="shared" si="182"/>
        <v>Active</v>
      </c>
    </row>
    <row r="4438" spans="1:3" ht="18" customHeight="1">
      <c r="A4438" t="str">
        <f>"17-EA16-0000"</f>
        <v>17-EA16-0000</v>
      </c>
      <c r="B4438" t="str">
        <f>"LM5.X Content, JM, DC Motor Drives"</f>
        <v>LM5.X Content, JM, DC Motor Drives</v>
      </c>
      <c r="C4438" t="str">
        <f t="shared" si="182"/>
        <v>Active</v>
      </c>
    </row>
    <row r="4439" spans="1:3" ht="18" customHeight="1">
      <c r="A4439" t="str">
        <f>"17-EB01A-0000"</f>
        <v>17-EB01A-0000</v>
      </c>
      <c r="B4439" t="str">
        <f>"LM5.X Content, JM, Oscilloscope"</f>
        <v>LM5.X Content, JM, Oscilloscope</v>
      </c>
      <c r="C4439" t="str">
        <f t="shared" si="182"/>
        <v>Active</v>
      </c>
    </row>
    <row r="4440" spans="1:3" ht="18" customHeight="1">
      <c r="A4440" t="str">
        <f>"17-EB01B-0000"</f>
        <v>17-EB01B-0000</v>
      </c>
      <c r="B4440" t="str">
        <f>"LM5.X Content, JM, Digital Multimeter"</f>
        <v>LM5.X Content, JM, Digital Multimeter</v>
      </c>
      <c r="C4440" t="str">
        <f t="shared" si="182"/>
        <v>Active</v>
      </c>
    </row>
    <row r="4441" spans="1:3" ht="18" customHeight="1">
      <c r="A4441" t="str">
        <f>"17-EB01C-0000"</f>
        <v>17-EB01C-0000</v>
      </c>
      <c r="B4441" t="str">
        <f>"LM5.X Content, JM, Digital Oscilloscope"</f>
        <v>LM5.X Content, JM, Digital Oscilloscope</v>
      </c>
      <c r="C4441" t="str">
        <f t="shared" si="182"/>
        <v>Active</v>
      </c>
    </row>
    <row r="4442" spans="1:3" ht="18" customHeight="1">
      <c r="A4442" t="str">
        <f>"17-EB02A-0000"</f>
        <v>17-EB02A-0000</v>
      </c>
      <c r="B4442" t="str">
        <f>"LM5.X Content, JM, DC Power Supplies"</f>
        <v>LM5.X Content, JM, DC Power Supplies</v>
      </c>
      <c r="C4442" t="str">
        <f t="shared" si="182"/>
        <v>Active</v>
      </c>
    </row>
    <row r="4443" spans="1:3" ht="18" customHeight="1">
      <c r="A4443" t="str">
        <f>"17-EB02B-0000"</f>
        <v>17-EB02B-0000</v>
      </c>
      <c r="B4443" t="str">
        <f>"LM5.X Content, JM,Single &amp; 3 Phase Power Supply"</f>
        <v>LM5.X Content, JM,Single &amp; 3 Phase Power Supply</v>
      </c>
      <c r="C4443" t="str">
        <f t="shared" si="182"/>
        <v>Active</v>
      </c>
    </row>
    <row r="4444" spans="1:3" ht="18" customHeight="1">
      <c r="A4444" t="str">
        <f>"17-EB02B-0000-3"</f>
        <v>17-EB02B-0000-3</v>
      </c>
      <c r="B4444" t="str">
        <f>"LM5 Content, Por, JM,Single&amp;3 Phase Power Supply"</f>
        <v>LM5 Content, Por, JM,Single&amp;3 Phase Power Supply</v>
      </c>
      <c r="C4444" t="str">
        <f t="shared" si="182"/>
        <v>Active</v>
      </c>
    </row>
    <row r="4445" spans="1:3" ht="18" customHeight="1">
      <c r="A4445" t="str">
        <f>"17-EB03-0000"</f>
        <v>17-EB03-0000</v>
      </c>
      <c r="B4445" t="str">
        <f>"LM5.X Content, JM, Thyristor Motor Drives"</f>
        <v>LM5.X Content, JM, Thyristor Motor Drives</v>
      </c>
      <c r="C4445" t="str">
        <f t="shared" si="182"/>
        <v>Active</v>
      </c>
    </row>
    <row r="4446" spans="1:3" ht="18" customHeight="1">
      <c r="A4446" t="str">
        <f>"17-EB04-0000"</f>
        <v>17-EB04-0000</v>
      </c>
      <c r="B4446" t="str">
        <f>"LM5.X Content, JM, Electronic Timers &amp; Triggers"</f>
        <v>LM5.X Content, JM, Electronic Timers &amp; Triggers</v>
      </c>
      <c r="C4446" t="str">
        <f t="shared" si="182"/>
        <v>Active</v>
      </c>
    </row>
    <row r="4447" spans="1:3" ht="18" customHeight="1">
      <c r="A4447" t="str">
        <f>"17-EB05-0000"</f>
        <v>17-EB05-0000</v>
      </c>
      <c r="B4447" t="str">
        <f>"LM5.X Content, JM, Basic Stepper Motors &amp; Drives"</f>
        <v>LM5.X Content, JM, Basic Stepper Motors &amp; Drives</v>
      </c>
      <c r="C4447" t="str">
        <f t="shared" si="182"/>
        <v>Active</v>
      </c>
    </row>
    <row r="4448" spans="1:3" ht="18" customHeight="1">
      <c r="A4448" t="str">
        <f>"17-EB06-0000"</f>
        <v>17-EB06-0000</v>
      </c>
      <c r="B4448" t="str">
        <f>"LM5.X Content, JM, Basic Servo Motor Drives"</f>
        <v>LM5.X Content, JM, Basic Servo Motor Drives</v>
      </c>
      <c r="C4448" t="str">
        <f t="shared" si="182"/>
        <v>Active</v>
      </c>
    </row>
    <row r="4449" spans="1:3" ht="18" customHeight="1">
      <c r="A4449" t="str">
        <f>"17-EMMC-0000"</f>
        <v>17-EMMC-0000</v>
      </c>
      <c r="B4449" t="str">
        <f>"LM5.X Content, JM, Instructor's Guide"</f>
        <v>LM5.X Content, JM, Instructor's Guide</v>
      </c>
      <c r="C4449" t="str">
        <f t="shared" si="182"/>
        <v>Active</v>
      </c>
    </row>
    <row r="4450" spans="1:3" ht="18" customHeight="1">
      <c r="A4450" t="str">
        <f>"17-JM04-0000"</f>
        <v>17-JM04-0000</v>
      </c>
      <c r="B4450" t="str">
        <f>"LM5.X Content, Lab,JM04 Motor Control TS"</f>
        <v>LM5.X Content, Lab,JM04 Motor Control TS</v>
      </c>
      <c r="C4450" t="str">
        <f t="shared" si="182"/>
        <v>Active</v>
      </c>
    </row>
    <row r="4451" spans="1:3" ht="18" customHeight="1">
      <c r="A4451" t="str">
        <f>"17-JM06A-0000"</f>
        <v>17-JM06A-0000</v>
      </c>
      <c r="B4451" t="str">
        <f>"LM5.X Content, Lab,JM06A Electric&amp;Electronic TS"</f>
        <v>LM5.X Content, Lab,JM06A Electric&amp;Electronic TS</v>
      </c>
      <c r="C4451" t="str">
        <f t="shared" si="182"/>
        <v>Active</v>
      </c>
    </row>
    <row r="4452" spans="1:3" ht="18" customHeight="1">
      <c r="A4452" t="str">
        <f>"17-JM06B-0000"</f>
        <v>17-JM06B-0000</v>
      </c>
      <c r="B4452" t="str">
        <f>"LM5.X Content, Lab,JM06B Electric&amp;Electronic TS"</f>
        <v>LM5.X Content, Lab,JM06B Electric&amp;Electronic TS</v>
      </c>
      <c r="C4452" t="str">
        <f t="shared" si="182"/>
        <v>Active</v>
      </c>
    </row>
    <row r="4453" spans="1:3" ht="18" customHeight="1">
      <c r="A4453" t="str">
        <f>"17-JM07-0000"</f>
        <v>17-JM07-0000</v>
      </c>
      <c r="B4453" t="str">
        <f>"LM5.X Content,Lab JM07Electrical Transmission TS"</f>
        <v>LM5.X Content,Lab JM07Electrical Transmission TS</v>
      </c>
      <c r="C4453" t="str">
        <f>"Inactive"</f>
        <v>Inactive</v>
      </c>
    </row>
    <row r="4454" spans="1:3" ht="18" customHeight="1">
      <c r="A4454" t="str">
        <f>"17-LOTO-0000"</f>
        <v>17-LOTO-0000</v>
      </c>
      <c r="B4454" t="str">
        <f>"LM5.X Content, JM, Safety, Lock Out/Tag Out"</f>
        <v>LM5.X Content, JM, Safety, Lock Out/Tag Out</v>
      </c>
      <c r="C4454" t="str">
        <f>"Active"</f>
        <v>Active</v>
      </c>
    </row>
    <row r="4455" spans="1:3" ht="18" customHeight="1">
      <c r="A4455" t="str">
        <f>"17-ME01-0001"</f>
        <v>17-ME01-0001</v>
      </c>
      <c r="B4455" t="str">
        <f>"LM5.X Content, JM, Basic Machines"</f>
        <v>LM5.X Content, JM, Basic Machines</v>
      </c>
      <c r="C4455" t="str">
        <f>"Active"</f>
        <v>Active</v>
      </c>
    </row>
    <row r="4456" spans="1:3" ht="18" customHeight="1">
      <c r="A4456" t="str">
        <f>"17-ME01-0001ES"</f>
        <v>17-ME01-0001ES</v>
      </c>
      <c r="B4456" t="str">
        <f>"LM5 Content, ES, JM, Basic Machines"</f>
        <v>LM5 Content, ES, JM, Basic Machines</v>
      </c>
      <c r="C4456" t="str">
        <f>"New"</f>
        <v>New</v>
      </c>
    </row>
    <row r="4457" spans="1:3" ht="18" customHeight="1">
      <c r="A4457" t="str">
        <f>"17-ME02-0001"</f>
        <v>17-ME02-0001</v>
      </c>
      <c r="B4457" t="str">
        <f>"LM5.X Content, JM, Machine Statics and Dynamics"</f>
        <v>LM5.X Content, JM, Machine Statics and Dynamics</v>
      </c>
      <c r="C4457" t="str">
        <f>"Active"</f>
        <v>Active</v>
      </c>
    </row>
    <row r="4458" spans="1:3" ht="18" customHeight="1">
      <c r="A4458" t="str">
        <f>"17-ME02-0001ES"</f>
        <v>17-ME02-0001ES</v>
      </c>
      <c r="B4458" t="str">
        <f>"LM5 Content, ES, JM, Machine Statics &amp; Dynamics"</f>
        <v>LM5 Content, ES, JM, Machine Statics &amp; Dynamics</v>
      </c>
      <c r="C4458" t="str">
        <f>"New"</f>
        <v>New</v>
      </c>
    </row>
    <row r="4459" spans="1:3" ht="18" customHeight="1">
      <c r="A4459" t="str">
        <f>"17-ME03-0001"</f>
        <v>17-ME03-0001</v>
      </c>
      <c r="B4459" t="str">
        <f>"LM5.X Content, JM, Machine Shafts and Keys"</f>
        <v>LM5.X Content, JM, Machine Shafts and Keys</v>
      </c>
      <c r="C4459" t="str">
        <f>"Active"</f>
        <v>Active</v>
      </c>
    </row>
    <row r="4460" spans="1:3" ht="18" customHeight="1">
      <c r="A4460" t="str">
        <f>"17-ME03-0001ES"</f>
        <v>17-ME03-0001ES</v>
      </c>
      <c r="B4460" t="str">
        <f>"LM5 Content, ES, JM, Machine Shafts and Keys"</f>
        <v>LM5 Content, ES, JM, Machine Shafts and Keys</v>
      </c>
      <c r="C4460" t="str">
        <f>"New"</f>
        <v>New</v>
      </c>
    </row>
    <row r="4461" spans="1:3" ht="18" customHeight="1">
      <c r="A4461" t="str">
        <f>"17-ME04-0001"</f>
        <v>17-ME04-0001</v>
      </c>
      <c r="B4461" t="str">
        <f>"LM5.X Content, JM, Bearings"</f>
        <v>LM5.X Content, JM, Bearings</v>
      </c>
      <c r="C4461" t="str">
        <f>"Active"</f>
        <v>Active</v>
      </c>
    </row>
    <row r="4462" spans="1:3" ht="18" customHeight="1">
      <c r="A4462" t="str">
        <f>"17-ME04-0001ES"</f>
        <v>17-ME04-0001ES</v>
      </c>
      <c r="B4462" t="str">
        <f>"LM5 Content, ES, JM, Bearings"</f>
        <v>LM5 Content, ES, JM, Bearings</v>
      </c>
      <c r="C4462" t="str">
        <f>"New"</f>
        <v>New</v>
      </c>
    </row>
    <row r="4463" spans="1:3" ht="18" customHeight="1">
      <c r="A4463" t="str">
        <f>"17-ME05-0001"</f>
        <v>17-ME05-0001</v>
      </c>
      <c r="B4463" t="str">
        <f>"LM5.X Content, JM, Belt Drives"</f>
        <v>LM5.X Content, JM, Belt Drives</v>
      </c>
      <c r="C4463" t="str">
        <f>"Active"</f>
        <v>Active</v>
      </c>
    </row>
    <row r="4464" spans="1:3" ht="18" customHeight="1">
      <c r="A4464" t="str">
        <f>"17-ME05-0001ES"</f>
        <v>17-ME05-0001ES</v>
      </c>
      <c r="B4464" t="str">
        <f>"LM5 Content, ES, JM, Belt Drives"</f>
        <v>LM5 Content, ES, JM, Belt Drives</v>
      </c>
      <c r="C4464" t="str">
        <f>"New"</f>
        <v>New</v>
      </c>
    </row>
    <row r="4465" spans="1:3" ht="18" customHeight="1">
      <c r="A4465" t="str">
        <f>"17-ME06-0001"</f>
        <v>17-ME06-0001</v>
      </c>
      <c r="B4465" t="str">
        <f>"LM5.X Content, JM, Chain Drives"</f>
        <v>LM5.X Content, JM, Chain Drives</v>
      </c>
      <c r="C4465" t="str">
        <f>"Active"</f>
        <v>Active</v>
      </c>
    </row>
    <row r="4466" spans="1:3" ht="18" customHeight="1">
      <c r="A4466" t="str">
        <f>"17-ME06-0001ES"</f>
        <v>17-ME06-0001ES</v>
      </c>
      <c r="B4466" t="str">
        <f>"LM5 Content, ES, JM, Chain Drives"</f>
        <v>LM5 Content, ES, JM, Chain Drives</v>
      </c>
      <c r="C4466" t="str">
        <f>"New"</f>
        <v>New</v>
      </c>
    </row>
    <row r="4467" spans="1:3" ht="18" customHeight="1">
      <c r="A4467" t="str">
        <f>"17-ME07-0001"</f>
        <v>17-ME07-0001</v>
      </c>
      <c r="B4467" t="str">
        <f>"LM5.X Content, JM, Machine Shaft Couplings"</f>
        <v>LM5.X Content, JM, Machine Shaft Couplings</v>
      </c>
      <c r="C4467" t="str">
        <f>"Active"</f>
        <v>Active</v>
      </c>
    </row>
    <row r="4468" spans="1:3" ht="18" customHeight="1">
      <c r="A4468" t="str">
        <f>"17-ME07-0001ES"</f>
        <v>17-ME07-0001ES</v>
      </c>
      <c r="B4468" t="str">
        <f>"LM5 Content, ES, JM, Machine Shaft Couplings"</f>
        <v>LM5 Content, ES, JM, Machine Shaft Couplings</v>
      </c>
      <c r="C4468" t="str">
        <f>"New"</f>
        <v>New</v>
      </c>
    </row>
    <row r="4469" spans="1:3" ht="18" customHeight="1">
      <c r="A4469" t="str">
        <f>"17-ME08-0001"</f>
        <v>17-ME08-0001</v>
      </c>
      <c r="B4469" t="str">
        <f>"LM5.X Content, JM, Gear Drives"</f>
        <v>LM5.X Content, JM, Gear Drives</v>
      </c>
      <c r="C4469" t="str">
        <f>"Active"</f>
        <v>Active</v>
      </c>
    </row>
    <row r="4470" spans="1:3" ht="18" customHeight="1">
      <c r="A4470" t="str">
        <f>"17-ME08-0001ES"</f>
        <v>17-ME08-0001ES</v>
      </c>
      <c r="B4470" t="str">
        <f>"LM5 Content, ES, JM, Gear Drives"</f>
        <v>LM5 Content, ES, JM, Gear Drives</v>
      </c>
      <c r="C4470" t="str">
        <f>"New"</f>
        <v>New</v>
      </c>
    </row>
    <row r="4471" spans="1:3" ht="18" customHeight="1">
      <c r="A4471" t="str">
        <f>"17-ME09-0001"</f>
        <v>17-ME09-0001</v>
      </c>
      <c r="B4471" t="str">
        <f>"LM5.X Content, JM, Machine Speed Reducers"</f>
        <v>LM5.X Content, JM, Machine Speed Reducers</v>
      </c>
      <c r="C4471" t="str">
        <f>"Active"</f>
        <v>Active</v>
      </c>
    </row>
    <row r="4472" spans="1:3" ht="18" customHeight="1">
      <c r="A4472" t="str">
        <f>"17-ME09-0001ES"</f>
        <v>17-ME09-0001ES</v>
      </c>
      <c r="B4472" t="str">
        <f>"LM5 Content, ES, JM, Machine Speed Reducers"</f>
        <v>LM5 Content, ES, JM, Machine Speed Reducers</v>
      </c>
      <c r="C4472" t="str">
        <f>"New"</f>
        <v>New</v>
      </c>
    </row>
    <row r="4473" spans="1:3" ht="18" customHeight="1">
      <c r="A4473" t="str">
        <f>"17-ME10-0001"</f>
        <v>17-ME10-0001</v>
      </c>
      <c r="B4473" t="str">
        <f>"LM5.X Content, JM, Electric Brakes"</f>
        <v>LM5.X Content, JM, Electric Brakes</v>
      </c>
      <c r="C4473" t="str">
        <f>"Active"</f>
        <v>Active</v>
      </c>
    </row>
    <row r="4474" spans="1:3" ht="18" customHeight="1">
      <c r="A4474" t="str">
        <f>"17-ME10-0001ES"</f>
        <v>17-ME10-0001ES</v>
      </c>
      <c r="B4474" t="str">
        <f>"LM5 Content, ES, JM, Electric Brakes"</f>
        <v>LM5 Content, ES, JM, Electric Brakes</v>
      </c>
      <c r="C4474" t="str">
        <f>"New"</f>
        <v>New</v>
      </c>
    </row>
    <row r="4475" spans="1:3" ht="18" customHeight="1">
      <c r="A4475" t="str">
        <f>"17-ME11-0001"</f>
        <v>17-ME11-0001</v>
      </c>
      <c r="B4475" t="str">
        <f>"LM5.X Content, JM, Laser Alignment"</f>
        <v>LM5.X Content, JM, Laser Alignment</v>
      </c>
      <c r="C4475" t="str">
        <f>"ECO+NFS"</f>
        <v>ECO+NFS</v>
      </c>
    </row>
    <row r="4476" spans="1:3" ht="18" customHeight="1">
      <c r="A4476" t="str">
        <f>"17-ME11-0001ES"</f>
        <v>17-ME11-0001ES</v>
      </c>
      <c r="B4476" t="str">
        <f>"LM5 Content, ES, JM, Laser Alignment"</f>
        <v>LM5 Content, ES, JM, Laser Alignment</v>
      </c>
      <c r="C4476" t="str">
        <f>"New"</f>
        <v>New</v>
      </c>
    </row>
    <row r="4477" spans="1:3" ht="18" customHeight="1">
      <c r="A4477" t="str">
        <f>"17-ME12-0001"</f>
        <v>17-ME12-0001</v>
      </c>
      <c r="B4477" t="str">
        <f>"LM5.X Content, JM, Vibration Analysis"</f>
        <v>LM5.X Content, JM, Vibration Analysis</v>
      </c>
      <c r="C4477" t="str">
        <f>"Active"</f>
        <v>Active</v>
      </c>
    </row>
    <row r="4478" spans="1:3" ht="18" customHeight="1">
      <c r="A4478" t="str">
        <f>"17-ME12-0001ES"</f>
        <v>17-ME12-0001ES</v>
      </c>
      <c r="B4478" t="str">
        <f>"LM5 Content, ES, JM, Vibration Analysis"</f>
        <v>LM5 Content, ES, JM, Vibration Analysis</v>
      </c>
      <c r="C4478" t="str">
        <f>"New"</f>
        <v>New</v>
      </c>
    </row>
    <row r="4479" spans="1:3" ht="18" customHeight="1">
      <c r="A4479" t="str">
        <f>"17-ME13-0001"</f>
        <v>17-ME13-0001</v>
      </c>
      <c r="B4479" t="str">
        <f>"LM5.X Content, JM, Bearing Service Cart"</f>
        <v>LM5.X Content, JM, Bearing Service Cart</v>
      </c>
      <c r="C4479" t="str">
        <f>"Active"</f>
        <v>Active</v>
      </c>
    </row>
    <row r="4480" spans="1:3" ht="18" customHeight="1">
      <c r="A4480" t="str">
        <f>"17-ME13-0001ES"</f>
        <v>17-ME13-0001ES</v>
      </c>
      <c r="B4480" t="str">
        <f>"LM5 Content, ES, JM, Bearing Service Cart"</f>
        <v>LM5 Content, ES, JM, Bearing Service Cart</v>
      </c>
      <c r="C4480" t="str">
        <f>"New"</f>
        <v>New</v>
      </c>
    </row>
    <row r="4481" spans="1:3" ht="18" customHeight="1">
      <c r="A4481" t="str">
        <f>"17-ZA01-0000"</f>
        <v>17-ZA01-0000</v>
      </c>
      <c r="B4481" t="str">
        <f>"LM5.X Content, JM, Basic Maintenance Cell"</f>
        <v>LM5.X Content, JM, Basic Maintenance Cell</v>
      </c>
      <c r="C4481" t="str">
        <f t="shared" ref="C4481:C4488" si="183">"Active"</f>
        <v>Active</v>
      </c>
    </row>
    <row r="4482" spans="1:3" ht="18" customHeight="1">
      <c r="A4482" t="str">
        <f>"17-ZA02-0000"</f>
        <v>17-ZA02-0000</v>
      </c>
      <c r="B4482" t="str">
        <f>"LM5.X Content, JM, Conveyor, Drive and Control"</f>
        <v>LM5.X Content, JM, Conveyor, Drive and Control</v>
      </c>
      <c r="C4482" t="str">
        <f t="shared" si="183"/>
        <v>Active</v>
      </c>
    </row>
    <row r="4483" spans="1:3" ht="18" customHeight="1">
      <c r="A4483" t="str">
        <f>"17-ZA03-0000"</f>
        <v>17-ZA03-0000</v>
      </c>
      <c r="B4483" t="str">
        <f>"LM5.X Content, JM, Part Manipulation"</f>
        <v>LM5.X Content, JM, Part Manipulation</v>
      </c>
      <c r="C4483" t="str">
        <f t="shared" si="183"/>
        <v>Active</v>
      </c>
    </row>
    <row r="4484" spans="1:3" ht="18" customHeight="1">
      <c r="A4484" t="str">
        <f>"17-ZA04-0000"</f>
        <v>17-ZA04-0000</v>
      </c>
      <c r="B4484" t="str">
        <f>"LM5.X Content, JM, Industrial Lighting"</f>
        <v>LM5.X Content, JM, Industrial Lighting</v>
      </c>
      <c r="C4484" t="str">
        <f t="shared" si="183"/>
        <v>Active</v>
      </c>
    </row>
    <row r="4485" spans="1:3" ht="18" customHeight="1">
      <c r="A4485" t="str">
        <f>"17-ZA05-0000"</f>
        <v>17-ZA05-0000</v>
      </c>
      <c r="B4485" t="str">
        <f>"LM5.X Content, JM, Variable Frequency Drive"</f>
        <v>LM5.X Content, JM, Variable Frequency Drive</v>
      </c>
      <c r="C4485" t="str">
        <f t="shared" si="183"/>
        <v>Active</v>
      </c>
    </row>
    <row r="4486" spans="1:3" ht="18" customHeight="1">
      <c r="A4486" t="str">
        <f>"17-ZA06-0000"</f>
        <v>17-ZA06-0000</v>
      </c>
      <c r="B4486" t="str">
        <f>"LM5.X Content, JM, DC Motor Drive"</f>
        <v>LM5.X Content, JM, DC Motor Drive</v>
      </c>
      <c r="C4486" t="str">
        <f t="shared" si="183"/>
        <v>Active</v>
      </c>
    </row>
    <row r="4487" spans="1:3" ht="18" customHeight="1">
      <c r="A4487" t="str">
        <f>"17-ZA07-0000"</f>
        <v>17-ZA07-0000</v>
      </c>
      <c r="B4487" t="str">
        <f>"LM5.X Content, JM, Fault Insertion System"</f>
        <v>LM5.X Content, JM, Fault Insertion System</v>
      </c>
      <c r="C4487" t="str">
        <f t="shared" si="183"/>
        <v>Active</v>
      </c>
    </row>
    <row r="4488" spans="1:3" ht="18" customHeight="1">
      <c r="A4488" t="str">
        <f>"18-1001-0000"</f>
        <v>18-1001-0000</v>
      </c>
      <c r="B4488" t="str">
        <f>"IEPS Student hardware Kit"</f>
        <v>IEPS Student hardware Kit</v>
      </c>
      <c r="C4488" t="str">
        <f t="shared" si="183"/>
        <v>Active</v>
      </c>
    </row>
    <row r="4489" spans="1:3" ht="18" customHeight="1">
      <c r="A4489" t="str">
        <f>"2"</f>
        <v>2</v>
      </c>
      <c r="B4489" t="str">
        <f>"PneuFlex 1 - Pneumatic Trainer w T-slot panel"</f>
        <v>PneuFlex 1 - Pneumatic Trainer w T-slot panel</v>
      </c>
      <c r="C4489" t="str">
        <f>"New"</f>
        <v>New</v>
      </c>
    </row>
    <row r="4490" spans="1:3" ht="18" customHeight="1">
      <c r="A4490" t="str">
        <f>"200016"</f>
        <v>200016</v>
      </c>
      <c r="B4490" t="str">
        <f>"User's Manual PLCMotion"</f>
        <v>User's Manual PLCMotion</v>
      </c>
      <c r="C4490" t="str">
        <f>"Active"</f>
        <v>Active</v>
      </c>
    </row>
    <row r="4491" spans="1:3" ht="18" customHeight="1">
      <c r="A4491" t="str">
        <f>"200020"</f>
        <v>200020</v>
      </c>
      <c r="B4491" t="str">
        <f>"CIM System Installation Manual"</f>
        <v>CIM System Installation Manual</v>
      </c>
      <c r="C4491" t="str">
        <f>"ECO-N2Buy"</f>
        <v>ECO-N2Buy</v>
      </c>
    </row>
    <row r="4492" spans="1:3" ht="18" customHeight="1">
      <c r="A4492" t="str">
        <f>"200029"</f>
        <v>200029</v>
      </c>
      <c r="B4492" t="str">
        <f>"User's Manual  Controller USB-PRO"</f>
        <v>User's Manual  Controller USB-PRO</v>
      </c>
      <c r="C4492" t="str">
        <f>"Active"</f>
        <v>Active</v>
      </c>
    </row>
    <row r="4493" spans="1:3" ht="18" customHeight="1">
      <c r="A4493" t="str">
        <f>"200029-ES"</f>
        <v>200029-ES</v>
      </c>
      <c r="B4493" t="str">
        <f>"User Manual  Controller USB-PRO, ES"</f>
        <v>User Manual  Controller USB-PRO, ES</v>
      </c>
      <c r="C4493" t="str">
        <f>"New"</f>
        <v>New</v>
      </c>
    </row>
    <row r="4494" spans="1:3" ht="18" customHeight="1">
      <c r="A4494" t="str">
        <f>"200030"</f>
        <v>200030</v>
      </c>
      <c r="B4494" t="str">
        <f>"User's Manual  Scorbase ER 9Pro/ER 14Pro"</f>
        <v>User's Manual  Scorbase ER 9Pro/ER 14Pro</v>
      </c>
      <c r="C4494" t="str">
        <f>"Active"</f>
        <v>Active</v>
      </c>
    </row>
    <row r="4495" spans="1:3" ht="18" customHeight="1">
      <c r="A4495" t="str">
        <f>"200030-ES-EN"</f>
        <v>200030-ES-EN</v>
      </c>
      <c r="B4495" t="str">
        <f>"User Manual  Scorbase ER 9Pro/ER 14Pro, ES-EN"</f>
        <v>User Manual  Scorbase ER 9Pro/ER 14Pro, ES-EN</v>
      </c>
      <c r="C4495" t="str">
        <f>"New"</f>
        <v>New</v>
      </c>
    </row>
    <row r="4496" spans="1:3" ht="18" customHeight="1">
      <c r="A4496" t="str">
        <f>"200031"</f>
        <v>200031</v>
      </c>
      <c r="B4496" t="str">
        <f>"User's Manual  RoboCell ER9PRO"</f>
        <v>User's Manual  RoboCell ER9PRO</v>
      </c>
      <c r="C4496" t="str">
        <f>"Active"</f>
        <v>Active</v>
      </c>
    </row>
    <row r="4497" spans="1:3" ht="18" customHeight="1">
      <c r="A4497" t="str">
        <f>"200031-ES-EN"</f>
        <v>200031-ES-EN</v>
      </c>
      <c r="B4497" t="str">
        <f>"User Manual  RoboCell ER9PRO, ES-EN"</f>
        <v>User Manual  RoboCell ER9PRO, ES-EN</v>
      </c>
      <c r="C4497" t="str">
        <f>"New"</f>
        <v>New</v>
      </c>
    </row>
    <row r="4498" spans="1:3" ht="18" customHeight="1">
      <c r="A4498" t="str">
        <f>"200033"</f>
        <v>200033</v>
      </c>
      <c r="B4498" t="str">
        <f>"Teach Pendant User Manual USB/USB Pro Controller"</f>
        <v>Teach Pendant User Manual USB/USB Pro Controller</v>
      </c>
      <c r="C4498" t="str">
        <f>"Active"</f>
        <v>Active</v>
      </c>
    </row>
    <row r="4499" spans="1:3" ht="18" customHeight="1">
      <c r="A4499" t="str">
        <f>"200033-ES"</f>
        <v>200033-ES</v>
      </c>
      <c r="B4499" t="str">
        <f>"User Manual TP_USB/USB Pro Controller, ES"</f>
        <v>User Manual TP_USB/USB Pro Controller, ES</v>
      </c>
      <c r="C4499" t="str">
        <f>"New"</f>
        <v>New</v>
      </c>
    </row>
    <row r="4500" spans="1:3" ht="18" customHeight="1">
      <c r="A4500" t="str">
        <f>"200034"</f>
        <v>200034</v>
      </c>
      <c r="B4500" t="str">
        <f>"User's Manual  SCORBOT ER 9 PRO"</f>
        <v>User's Manual  SCORBOT ER 9 PRO</v>
      </c>
      <c r="C4500" t="str">
        <f>"Active"</f>
        <v>Active</v>
      </c>
    </row>
    <row r="4501" spans="1:3" ht="18" customHeight="1">
      <c r="A4501" t="str">
        <f>"200034-ES"</f>
        <v>200034-ES</v>
      </c>
      <c r="B4501" t="str">
        <f>"User Manual  SCORBOT ER 9 PRO, ES"</f>
        <v>User Manual  SCORBOT ER 9 PRO, ES</v>
      </c>
      <c r="C4501" t="str">
        <f>"New"</f>
        <v>New</v>
      </c>
    </row>
    <row r="4502" spans="1:3" ht="18" customHeight="1">
      <c r="A4502" t="str">
        <f>"200035"</f>
        <v>200035</v>
      </c>
      <c r="B4502" t="str">
        <f>"User's Manual  SCORA-ER 14 Pro, picture"</f>
        <v>User's Manual  SCORA-ER 14 Pro, picture</v>
      </c>
      <c r="C4502" t="str">
        <f>"ECO-N2Buy"</f>
        <v>ECO-N2Buy</v>
      </c>
    </row>
    <row r="4503" spans="1:3" ht="18" customHeight="1">
      <c r="A4503" t="str">
        <f>"200038"</f>
        <v>200038</v>
      </c>
      <c r="B4503" t="str">
        <f>"User's Manual - AutoAgronom"</f>
        <v>User's Manual - AutoAgronom</v>
      </c>
      <c r="C4503" t="str">
        <f>"Active"</f>
        <v>Active</v>
      </c>
    </row>
    <row r="4504" spans="1:3" ht="18" customHeight="1">
      <c r="A4504" t="str">
        <f>"200039"</f>
        <v>200039</v>
      </c>
      <c r="B4504" t="str">
        <f>"User's Manual LearnMate 4, SkillsUSA"</f>
        <v>User's Manual LearnMate 4, SkillsUSA</v>
      </c>
      <c r="C4504" t="str">
        <f>"Active"</f>
        <v>Active</v>
      </c>
    </row>
    <row r="4505" spans="1:3" ht="18" customHeight="1">
      <c r="A4505" t="str">
        <f>"200040"</f>
        <v>200040</v>
      </c>
      <c r="B4505" t="str">
        <f>"Assy. Instruc. PDP Guide LearnMate 4, SkillsUSA"</f>
        <v>Assy. Instruc. PDP Guide LearnMate 4, SkillsUSA</v>
      </c>
      <c r="C4505" t="str">
        <f>"Active"</f>
        <v>Active</v>
      </c>
    </row>
    <row r="4506" spans="1:3" ht="18" customHeight="1">
      <c r="A4506" t="str">
        <f>"200041"</f>
        <v>200041</v>
      </c>
      <c r="B4506" t="str">
        <f>"User's Manual CSEP Student's Get Started Guide"</f>
        <v>User's Manual CSEP Student's Get Started Guide</v>
      </c>
      <c r="C4506" t="str">
        <f>"ECO-N2Buy"</f>
        <v>ECO-N2Buy</v>
      </c>
    </row>
    <row r="4507" spans="1:3" ht="18" customHeight="1">
      <c r="A4507" t="str">
        <f>"200042"</f>
        <v>200042</v>
      </c>
      <c r="B4507" t="str">
        <f>"Assy. Instruc. to CSEP Guide"</f>
        <v>Assy. Instruc. to CSEP Guide</v>
      </c>
      <c r="C4507" t="str">
        <f>"ECO-N2Buy"</f>
        <v>ECO-N2Buy</v>
      </c>
    </row>
    <row r="4508" spans="1:3" ht="18" customHeight="1">
      <c r="A4508" t="str">
        <f>"200043"</f>
        <v>200043</v>
      </c>
      <c r="B4508" t="str">
        <f>"Instructors_Guide_Customer_Service"</f>
        <v>Instructors_Guide_Customer_Service</v>
      </c>
      <c r="C4508" t="str">
        <f t="shared" ref="C4508:C4516" si="184">"New"</f>
        <v>New</v>
      </c>
    </row>
    <row r="4509" spans="1:3" ht="18" customHeight="1">
      <c r="A4509" t="str">
        <f>"200044"</f>
        <v>200044</v>
      </c>
      <c r="B4509" t="str">
        <f>"Students_Guide_Customer_Service"</f>
        <v>Students_Guide_Customer_Service</v>
      </c>
      <c r="C4509" t="str">
        <f t="shared" si="184"/>
        <v>New</v>
      </c>
    </row>
    <row r="4510" spans="1:3" ht="18" customHeight="1">
      <c r="A4510" t="str">
        <f>"200045"</f>
        <v>200045</v>
      </c>
      <c r="B4510" t="str">
        <f>"Teach Pendant User Manual"</f>
        <v>Teach Pendant User Manual</v>
      </c>
      <c r="C4510" t="str">
        <f t="shared" si="184"/>
        <v>New</v>
      </c>
    </row>
    <row r="4511" spans="1:3" ht="18" customHeight="1">
      <c r="A4511" t="str">
        <f>"200046"</f>
        <v>200046</v>
      </c>
      <c r="B4511" t="str">
        <f>"LearnMate 5 LMS Server Installation Guide"</f>
        <v>LearnMate 5 LMS Server Installation Guide</v>
      </c>
      <c r="C4511" t="str">
        <f t="shared" si="184"/>
        <v>New</v>
      </c>
    </row>
    <row r="4512" spans="1:3" ht="18" customHeight="1">
      <c r="A4512" t="str">
        <f>"200047"</f>
        <v>200047</v>
      </c>
      <c r="B4512" t="str">
        <f>"LearnMate 5 Client Setup Guide"</f>
        <v>LearnMate 5 Client Setup Guide</v>
      </c>
      <c r="C4512" t="str">
        <f t="shared" si="184"/>
        <v>New</v>
      </c>
    </row>
    <row r="4513" spans="1:3" ht="18" customHeight="1">
      <c r="A4513" t="str">
        <f>"200048"</f>
        <v>200048</v>
      </c>
      <c r="B4513" t="str">
        <f>"LearnMate5 Administrator’s Getting Started Guide"</f>
        <v>LearnMate5 Administrator’s Getting Started Guide</v>
      </c>
      <c r="C4513" t="str">
        <f t="shared" si="184"/>
        <v>New</v>
      </c>
    </row>
    <row r="4514" spans="1:3" ht="18" customHeight="1">
      <c r="A4514" t="str">
        <f>"200049"</f>
        <v>200049</v>
      </c>
      <c r="B4514" t="str">
        <f>"LearnMate 5 Student's Getting Started Guide"</f>
        <v>LearnMate 5 Student's Getting Started Guide</v>
      </c>
      <c r="C4514" t="str">
        <f t="shared" si="184"/>
        <v>New</v>
      </c>
    </row>
    <row r="4515" spans="1:3" ht="18" customHeight="1">
      <c r="A4515" t="str">
        <f>"200050"</f>
        <v>200050</v>
      </c>
      <c r="B4515" t="str">
        <f>"LearnMate 5 Teacher’s Getting Started Guide"</f>
        <v>LearnMate 5 Teacher’s Getting Started Guide</v>
      </c>
      <c r="C4515" t="str">
        <f t="shared" si="184"/>
        <v>New</v>
      </c>
    </row>
    <row r="4516" spans="1:3" ht="18" customHeight="1">
      <c r="A4516" t="str">
        <f>"200051"</f>
        <v>200051</v>
      </c>
      <c r="B4516" t="str">
        <f>"LearnMate 5 Text-to-speech Setup Guide"</f>
        <v>LearnMate 5 Text-to-speech Setup Guide</v>
      </c>
      <c r="C4516" t="str">
        <f t="shared" si="184"/>
        <v>New</v>
      </c>
    </row>
    <row r="4517" spans="1:3" ht="18" customHeight="1">
      <c r="A4517" t="str">
        <f>"200052"</f>
        <v>200052</v>
      </c>
      <c r="B4517" t="str">
        <f>"RFID Reader Operation Manual"</f>
        <v>RFID Reader Operation Manual</v>
      </c>
      <c r="C4517" t="str">
        <f>"Active"</f>
        <v>Active</v>
      </c>
    </row>
    <row r="4518" spans="1:3" ht="18" customHeight="1">
      <c r="A4518" t="str">
        <f>"200052-ES"</f>
        <v>200052-ES</v>
      </c>
      <c r="B4518" t="str">
        <f>"RFID Reader Operational Manual, ES"</f>
        <v>RFID Reader Operational Manual, ES</v>
      </c>
      <c r="C4518" t="str">
        <f t="shared" ref="C4518:C4526" si="185">"New"</f>
        <v>New</v>
      </c>
    </row>
    <row r="4519" spans="1:3" ht="18" customHeight="1">
      <c r="A4519" t="str">
        <f>"200053"</f>
        <v>200053</v>
      </c>
      <c r="B4519" t="str">
        <f>"LearnMate Live Instructor’s Guide"</f>
        <v>LearnMate Live Instructor’s Guide</v>
      </c>
      <c r="C4519" t="str">
        <f t="shared" si="185"/>
        <v>New</v>
      </c>
    </row>
    <row r="4520" spans="1:3" ht="18" customHeight="1">
      <c r="A4520" t="str">
        <f>"200054"</f>
        <v>200054</v>
      </c>
      <c r="B4520" t="str">
        <f>"LearnMate Live Student’s Guide"</f>
        <v>LearnMate Live Student’s Guide</v>
      </c>
      <c r="C4520" t="str">
        <f t="shared" si="185"/>
        <v>New</v>
      </c>
    </row>
    <row r="4521" spans="1:3" ht="18" customHeight="1">
      <c r="A4521" t="str">
        <f>"200055"</f>
        <v>200055</v>
      </c>
      <c r="B4521" t="str">
        <f>"LearnMate Live Installation Guide"</f>
        <v>LearnMate Live Installation Guide</v>
      </c>
      <c r="C4521" t="str">
        <f t="shared" si="185"/>
        <v>New</v>
      </c>
    </row>
    <row r="4522" spans="1:3" ht="18" customHeight="1">
      <c r="A4522" t="str">
        <f>"200056"</f>
        <v>200056</v>
      </c>
      <c r="B4522" t="str">
        <f>"LearnMate 5 Course Installation Procedure"</f>
        <v>LearnMate 5 Course Installation Procedure</v>
      </c>
      <c r="C4522" t="str">
        <f t="shared" si="185"/>
        <v>New</v>
      </c>
    </row>
    <row r="4523" spans="1:3" ht="18" customHeight="1">
      <c r="A4523" t="str">
        <f>"200057"</f>
        <v>200057</v>
      </c>
      <c r="B4523" t="str">
        <f>"LearnMate5 FileOrganizer’s Getting Started Guide"</f>
        <v>LearnMate5 FileOrganizer’s Getting Started Guide</v>
      </c>
      <c r="C4523" t="str">
        <f t="shared" si="185"/>
        <v>New</v>
      </c>
    </row>
    <row r="4524" spans="1:3" ht="18" customHeight="1">
      <c r="A4524" t="str">
        <f>"200058"</f>
        <v>200058</v>
      </c>
      <c r="B4524" t="str">
        <f>"LearnMate Content Viewer Setup Guide"</f>
        <v>LearnMate Content Viewer Setup Guide</v>
      </c>
      <c r="C4524" t="str">
        <f t="shared" si="185"/>
        <v>New</v>
      </c>
    </row>
    <row r="4525" spans="1:3" ht="18" customHeight="1">
      <c r="A4525" t="str">
        <f>"200059"</f>
        <v>200059</v>
      </c>
      <c r="B4525" t="str">
        <f>"LearnMate Course Installation Guide"</f>
        <v>LearnMate Course Installation Guide</v>
      </c>
      <c r="C4525" t="str">
        <f t="shared" si="185"/>
        <v>New</v>
      </c>
    </row>
    <row r="4526" spans="1:3" ht="18" customHeight="1">
      <c r="A4526" t="str">
        <f>"200060"</f>
        <v>200060</v>
      </c>
      <c r="B4526" t="str">
        <f>"LearnMate Content Viewer User Guide"</f>
        <v>LearnMate Content Viewer User Guide</v>
      </c>
      <c r="C4526" t="str">
        <f t="shared" si="185"/>
        <v>New</v>
      </c>
    </row>
    <row r="4527" spans="1:3" ht="18" customHeight="1">
      <c r="A4527" t="str">
        <f>"200061"</f>
        <v>200061</v>
      </c>
      <c r="B4527" t="str">
        <f>"Intelitek Software Licensing Guide"</f>
        <v>Intelitek Software Licensing Guide</v>
      </c>
      <c r="C4527" t="str">
        <f>"Active"</f>
        <v>Active</v>
      </c>
    </row>
    <row r="4528" spans="1:3" ht="18" customHeight="1">
      <c r="A4528" t="str">
        <f>"200061-ES-EN"</f>
        <v>200061-ES-EN</v>
      </c>
      <c r="B4528" t="str">
        <f>"Intelitek Software Licensing Guide, ES-EN"</f>
        <v>Intelitek Software Licensing Guide, ES-EN</v>
      </c>
      <c r="C4528" t="str">
        <f>"Active"</f>
        <v>Active</v>
      </c>
    </row>
    <row r="4529" spans="1:3" ht="18" customHeight="1">
      <c r="A4529" t="str">
        <f>"200062"</f>
        <v>200062</v>
      </c>
      <c r="B4529" t="str">
        <f>"Pneumatic Simulator User Guide"</f>
        <v>Pneumatic Simulator User Guide</v>
      </c>
      <c r="C4529" t="str">
        <f>"New"</f>
        <v>New</v>
      </c>
    </row>
    <row r="4530" spans="1:3" ht="18" customHeight="1">
      <c r="A4530" t="str">
        <f>"200063"</f>
        <v>200063</v>
      </c>
      <c r="B4530" t="str">
        <f>"BenchTurn 7000 Turning Center User's Guide"</f>
        <v>BenchTurn 7000 Turning Center User's Guide</v>
      </c>
      <c r="C4530" t="str">
        <f>"Active"</f>
        <v>Active</v>
      </c>
    </row>
    <row r="4531" spans="1:3" ht="18" customHeight="1">
      <c r="A4531" t="str">
        <f>"200063-ES-EN"</f>
        <v>200063-ES-EN</v>
      </c>
      <c r="B4531" t="str">
        <f>"BenchTurn 7000 User's Guide, ES-EN"</f>
        <v>BenchTurn 7000 User's Guide, ES-EN</v>
      </c>
      <c r="C4531" t="str">
        <f>"New"</f>
        <v>New</v>
      </c>
    </row>
    <row r="4532" spans="1:3" ht="18" customHeight="1">
      <c r="A4532" t="str">
        <f>"200064"</f>
        <v>200064</v>
      </c>
      <c r="B4532" t="str">
        <f>"ProTurn 9000 Turning Center User's Guide"</f>
        <v>ProTurn 9000 Turning Center User's Guide</v>
      </c>
      <c r="C4532" t="str">
        <f>"Active"</f>
        <v>Active</v>
      </c>
    </row>
    <row r="4533" spans="1:3" ht="18" customHeight="1">
      <c r="A4533" t="str">
        <f>"200065"</f>
        <v>200065</v>
      </c>
      <c r="B4533" t="str">
        <f>"BenchMill 6000 Machining Center User’s Guide"</f>
        <v>BenchMill 6000 Machining Center User’s Guide</v>
      </c>
      <c r="C4533" t="str">
        <f>"Active"</f>
        <v>Active</v>
      </c>
    </row>
    <row r="4534" spans="1:3" ht="18" customHeight="1">
      <c r="A4534" t="str">
        <f>"200065-ES-EN"</f>
        <v>200065-ES-EN</v>
      </c>
      <c r="B4534" t="str">
        <f>"BenchMill 6000 User’s Guide, ES-EN"</f>
        <v>BenchMill 6000 User’s Guide, ES-EN</v>
      </c>
      <c r="C4534" t="str">
        <f>"New"</f>
        <v>New</v>
      </c>
    </row>
    <row r="4535" spans="1:3" ht="18" customHeight="1">
      <c r="A4535" t="str">
        <f>"200066"</f>
        <v>200066</v>
      </c>
      <c r="B4535" t="str">
        <f>"ProMill 8000 Machining Center User’s Guide"</f>
        <v>ProMill 8000 Machining Center User’s Guide</v>
      </c>
      <c r="C4535" t="str">
        <f>"Active"</f>
        <v>Active</v>
      </c>
    </row>
    <row r="4536" spans="1:3" ht="18" customHeight="1">
      <c r="A4536" t="str">
        <f>"200067"</f>
        <v>200067</v>
      </c>
      <c r="B4536" t="str">
        <f>"Intelitek Live Class Teacher’s Guide"</f>
        <v>Intelitek Live Class Teacher’s Guide</v>
      </c>
      <c r="C4536" t="str">
        <f>"Active"</f>
        <v>Active</v>
      </c>
    </row>
    <row r="4537" spans="1:3" ht="18" customHeight="1">
      <c r="A4537" t="str">
        <f>"200067-ES"</f>
        <v>200067-ES</v>
      </c>
      <c r="B4537" t="str">
        <f>"Intelitek Live Class Teacher’s Guide - ES"</f>
        <v>Intelitek Live Class Teacher’s Guide - ES</v>
      </c>
      <c r="C4537" t="str">
        <f>"New"</f>
        <v>New</v>
      </c>
    </row>
    <row r="4538" spans="1:3" ht="18" customHeight="1">
      <c r="A4538" t="str">
        <f>"200068"</f>
        <v>200068</v>
      </c>
      <c r="B4538" t="str">
        <f>"LearnMate 7 Student's Quick Start Guide"</f>
        <v>LearnMate 7 Student's Quick Start Guide</v>
      </c>
      <c r="C4538" t="str">
        <f>"Active"</f>
        <v>Active</v>
      </c>
    </row>
    <row r="4539" spans="1:3" ht="18" customHeight="1">
      <c r="A4539" t="str">
        <f>"200068-ES"</f>
        <v>200068-ES</v>
      </c>
      <c r="B4539" t="str">
        <f>"LearnMate 7 Student's Quick Start Guide, ES"</f>
        <v>LearnMate 7 Student's Quick Start Guide, ES</v>
      </c>
      <c r="C4539" t="str">
        <f>"New"</f>
        <v>New</v>
      </c>
    </row>
    <row r="4540" spans="1:3" ht="18" customHeight="1">
      <c r="A4540" t="str">
        <f>"200069"</f>
        <v>200069</v>
      </c>
      <c r="B4540" t="str">
        <f>"LearnMate 7 Teacher's Quick Start Guide"</f>
        <v>LearnMate 7 Teacher's Quick Start Guide</v>
      </c>
      <c r="C4540" t="str">
        <f>"Active"</f>
        <v>Active</v>
      </c>
    </row>
    <row r="4541" spans="1:3" ht="18" customHeight="1">
      <c r="A4541" t="str">
        <f>"200069-ES"</f>
        <v>200069-ES</v>
      </c>
      <c r="B4541" t="str">
        <f>"LearnMate 7 Teacher's Quick Start Guide, ES"</f>
        <v>LearnMate 7 Teacher's Quick Start Guide, ES</v>
      </c>
      <c r="C4541" t="str">
        <f>"New"</f>
        <v>New</v>
      </c>
    </row>
    <row r="4542" spans="1:3" ht="18" customHeight="1">
      <c r="A4542" t="str">
        <f>"200070"</f>
        <v>200070</v>
      </c>
      <c r="B4542" t="str">
        <f>"LearnMate 7 Administrator's Quick Start Guide"</f>
        <v>LearnMate 7 Administrator's Quick Start Guide</v>
      </c>
      <c r="C4542" t="str">
        <f>"Active"</f>
        <v>Active</v>
      </c>
    </row>
    <row r="4543" spans="1:3" ht="18" customHeight="1">
      <c r="A4543" t="str">
        <f>"200070-ES"</f>
        <v>200070-ES</v>
      </c>
      <c r="B4543" t="str">
        <f>"LearnMate 7 Administrator Quick Start Guide, ES"</f>
        <v>LearnMate 7 Administrator Quick Start Guide, ES</v>
      </c>
      <c r="C4543" t="str">
        <f>"New"</f>
        <v>New</v>
      </c>
    </row>
    <row r="4544" spans="1:3" ht="18" customHeight="1">
      <c r="A4544" t="str">
        <f>"200071"</f>
        <v>200071</v>
      </c>
      <c r="B4544" t="str">
        <f>"Professional Development User Guide"</f>
        <v>Professional Development User Guide</v>
      </c>
      <c r="C4544" t="str">
        <f>"Active"</f>
        <v>Active</v>
      </c>
    </row>
    <row r="4545" spans="1:3" ht="18" customHeight="1">
      <c r="A4545" t="str">
        <f>"200072"</f>
        <v>200072</v>
      </c>
      <c r="B4545" t="str">
        <f>"LearnMate 5 Server Update, Instruction"</f>
        <v>LearnMate 5 Server Update, Instruction</v>
      </c>
      <c r="C4545" t="str">
        <f>"New"</f>
        <v>New</v>
      </c>
    </row>
    <row r="4546" spans="1:3" ht="18" customHeight="1">
      <c r="A4546" t="str">
        <f>"200073"</f>
        <v>200073</v>
      </c>
      <c r="B4546" t="str">
        <f>"Professional Development Registration Guide"</f>
        <v>Professional Development Registration Guide</v>
      </c>
      <c r="C4546" t="str">
        <f>"New"</f>
        <v>New</v>
      </c>
    </row>
    <row r="4547" spans="1:3" ht="18" customHeight="1">
      <c r="A4547" t="str">
        <f>"200074"</f>
        <v>200074</v>
      </c>
      <c r="B4547" t="str">
        <f>"LearnMate 7, LMS and Course Installation Guide"</f>
        <v>LearnMate 7, LMS and Course Installation Guide</v>
      </c>
      <c r="C4547" t="str">
        <f>"Active"</f>
        <v>Active</v>
      </c>
    </row>
    <row r="4548" spans="1:3" ht="18" customHeight="1">
      <c r="A4548" t="str">
        <f>"200074-ES"</f>
        <v>200074-ES</v>
      </c>
      <c r="B4548" t="str">
        <f>"LearnMate7 LMS and Course Installation Guide, ES"</f>
        <v>LearnMate7 LMS and Course Installation Guide, ES</v>
      </c>
      <c r="C4548" t="str">
        <f>"New"</f>
        <v>New</v>
      </c>
    </row>
    <row r="4549" spans="1:3" ht="18" customHeight="1">
      <c r="A4549" t="str">
        <f>"200075"</f>
        <v>200075</v>
      </c>
      <c r="B4549" t="str">
        <f>"LM7 Course Installation Procedure"</f>
        <v>LM7 Course Installation Procedure</v>
      </c>
      <c r="C4549" t="str">
        <f>"New"</f>
        <v>New</v>
      </c>
    </row>
    <row r="4550" spans="1:3" ht="18" customHeight="1">
      <c r="A4550" t="str">
        <f>"200076"</f>
        <v>200076</v>
      </c>
      <c r="B4550" t="str">
        <f>"LearnMate 7, Course Backup and Restore Guide"</f>
        <v>LearnMate 7, Course Backup and Restore Guide</v>
      </c>
      <c r="C4550" t="str">
        <f>"Active"</f>
        <v>Active</v>
      </c>
    </row>
    <row r="4551" spans="1:3" ht="18" customHeight="1">
      <c r="A4551" t="str">
        <f>"200076-ES"</f>
        <v>200076-ES</v>
      </c>
      <c r="B4551" t="str">
        <f>"LearnMate 7 Course Backup and Restore Guide, ES"</f>
        <v>LearnMate 7 Course Backup and Restore Guide, ES</v>
      </c>
      <c r="C4551" t="str">
        <f>"New"</f>
        <v>New</v>
      </c>
    </row>
    <row r="4552" spans="1:3" ht="18" customHeight="1">
      <c r="A4552" t="str">
        <f>"200077"</f>
        <v>200077</v>
      </c>
      <c r="B4552" t="str">
        <f>"Coderz for VEX User Guide"</f>
        <v>Coderz for VEX User Guide</v>
      </c>
      <c r="C4552" t="str">
        <f>"New"</f>
        <v>New</v>
      </c>
    </row>
    <row r="4553" spans="1:3" ht="18" customHeight="1">
      <c r="A4553" t="str">
        <f>"200078"</f>
        <v>200078</v>
      </c>
      <c r="B4553" t="str">
        <f>"LearnMate 5.2 on Linux Installation Guide"</f>
        <v>LearnMate 5.2 on Linux Installation Guide</v>
      </c>
      <c r="C4553" t="str">
        <f>"Active"</f>
        <v>Active</v>
      </c>
    </row>
    <row r="4554" spans="1:3" ht="18" customHeight="1">
      <c r="A4554" t="str">
        <f>"200079"</f>
        <v>200079</v>
      </c>
      <c r="B4554" t="str">
        <f>"Coderz for Snapdragon User Guide"</f>
        <v>Coderz for Snapdragon User Guide</v>
      </c>
      <c r="C4554" t="str">
        <f>"New"</f>
        <v>New</v>
      </c>
    </row>
    <row r="4555" spans="1:3" ht="18" customHeight="1">
      <c r="A4555" t="str">
        <f>"200080"</f>
        <v>200080</v>
      </c>
      <c r="B4555" t="str">
        <f>"Coderz for EV3 User Guide"</f>
        <v>Coderz for EV3 User Guide</v>
      </c>
      <c r="C4555" t="str">
        <f>"New"</f>
        <v>New</v>
      </c>
    </row>
    <row r="4556" spans="1:3" ht="18" customHeight="1">
      <c r="A4556" t="str">
        <f>"200081"</f>
        <v>200081</v>
      </c>
      <c r="B4556" t="str">
        <f>"LearnMate LTI Setup Guide"</f>
        <v>LearnMate LTI Setup Guide</v>
      </c>
      <c r="C4556" t="str">
        <f>"Active"</f>
        <v>Active</v>
      </c>
    </row>
    <row r="4557" spans="1:3" ht="18" customHeight="1">
      <c r="A4557" t="str">
        <f>"200082"</f>
        <v>200082</v>
      </c>
      <c r="B4557" t="str">
        <f>"Intelitek Software Licensing document"</f>
        <v>Intelitek Software Licensing document</v>
      </c>
      <c r="C4557" t="str">
        <f>"Active"</f>
        <v>Active</v>
      </c>
    </row>
    <row r="4558" spans="1:3" ht="18" customHeight="1">
      <c r="A4558" t="str">
        <f>"200083"</f>
        <v>200083</v>
      </c>
      <c r="B4558" t="str">
        <f>"SAPP 07 Instructor's Guide"</f>
        <v>SAPP 07 Instructor's Guide</v>
      </c>
      <c r="C4558" t="str">
        <f t="shared" ref="C4558:C4563" si="186">"New"</f>
        <v>New</v>
      </c>
    </row>
    <row r="4559" spans="1:3" ht="18" customHeight="1">
      <c r="A4559" t="str">
        <f>"200083-ES"</f>
        <v>200083-ES</v>
      </c>
      <c r="B4559" t="str">
        <f>"SAPP 07 Instructor's Guide, ES"</f>
        <v>SAPP 07 Instructor's Guide, ES</v>
      </c>
      <c r="C4559" t="str">
        <f t="shared" si="186"/>
        <v>New</v>
      </c>
    </row>
    <row r="4560" spans="1:3" ht="18" customHeight="1">
      <c r="A4560" t="str">
        <f>"200084"</f>
        <v>200084</v>
      </c>
      <c r="B4560" t="str">
        <f>"SAPP 07 Student's Workbook"</f>
        <v>SAPP 07 Student's Workbook</v>
      </c>
      <c r="C4560" t="str">
        <f t="shared" si="186"/>
        <v>New</v>
      </c>
    </row>
    <row r="4561" spans="1:3" ht="18" customHeight="1">
      <c r="A4561" t="str">
        <f>"200084-ES"</f>
        <v>200084-ES</v>
      </c>
      <c r="B4561" t="str">
        <f>"SAPP 07 Student's Workbook, ES"</f>
        <v>SAPP 07 Student's Workbook, ES</v>
      </c>
      <c r="C4561" t="str">
        <f t="shared" si="186"/>
        <v>New</v>
      </c>
    </row>
    <row r="4562" spans="1:3" ht="18" customHeight="1">
      <c r="A4562" t="str">
        <f>"200085"</f>
        <v>200085</v>
      </c>
      <c r="B4562" t="str">
        <f>"SAPP 07 Installation &amp; Operation Manual"</f>
        <v>SAPP 07 Installation &amp; Operation Manual</v>
      </c>
      <c r="C4562" t="str">
        <f t="shared" si="186"/>
        <v>New</v>
      </c>
    </row>
    <row r="4563" spans="1:3" ht="18" customHeight="1">
      <c r="A4563" t="str">
        <f>"200085-ES"</f>
        <v>200085-ES</v>
      </c>
      <c r="B4563" t="str">
        <f>"SAPP 07 Installation &amp; Operation Manual, ES"</f>
        <v>SAPP 07 Installation &amp; Operation Manual, ES</v>
      </c>
      <c r="C4563" t="str">
        <f t="shared" si="186"/>
        <v>New</v>
      </c>
    </row>
    <row r="4564" spans="1:3" ht="18" customHeight="1">
      <c r="A4564" t="str">
        <f>"200401"</f>
        <v>200401</v>
      </c>
      <c r="B4564" t="str">
        <f>"Installation Guide  End Effectors"</f>
        <v>Installation Guide  End Effectors</v>
      </c>
      <c r="C4564" t="str">
        <f>"ECO-N2Buy"</f>
        <v>ECO-N2Buy</v>
      </c>
    </row>
    <row r="4565" spans="1:3" ht="18" customHeight="1">
      <c r="A4565" t="str">
        <f>"200402"</f>
        <v>200402</v>
      </c>
      <c r="B4565" t="str">
        <f>"Upgrade  From ER9 To ER9Pro"</f>
        <v>Upgrade  From ER9 To ER9Pro</v>
      </c>
      <c r="C4565" t="str">
        <f>"ECO-N2Buy"</f>
        <v>ECO-N2Buy</v>
      </c>
    </row>
    <row r="4566" spans="1:3" ht="18" customHeight="1">
      <c r="A4566" t="str">
        <f>"200403"</f>
        <v>200403</v>
      </c>
      <c r="B4566" t="str">
        <f>"Upgrade  From ER14 To ER14Pro"</f>
        <v>Upgrade  From ER14 To ER14Pro</v>
      </c>
      <c r="C4566" t="str">
        <f>"ECO-N2Buy"</f>
        <v>ECO-N2Buy</v>
      </c>
    </row>
    <row r="4567" spans="1:3" ht="18" customHeight="1">
      <c r="A4567" t="str">
        <f>"200404"</f>
        <v>200404</v>
      </c>
      <c r="B4567" t="str">
        <f>"Upgrade Procedure For TrainNet"</f>
        <v>Upgrade Procedure For TrainNet</v>
      </c>
      <c r="C4567" t="str">
        <f>"Active"</f>
        <v>Active</v>
      </c>
    </row>
    <row r="4568" spans="1:3" ht="18" customHeight="1">
      <c r="A4568" t="str">
        <f>"200405"</f>
        <v>200405</v>
      </c>
      <c r="B4568" t="str">
        <f>"CIMflex Installation Guide"</f>
        <v>CIMflex Installation Guide</v>
      </c>
      <c r="C4568" t="str">
        <f>"New"</f>
        <v>New</v>
      </c>
    </row>
    <row r="4569" spans="1:3" ht="18" customHeight="1">
      <c r="A4569" t="str">
        <f>"200406"</f>
        <v>200406</v>
      </c>
      <c r="B4569" t="str">
        <f>"Installation Guide for Dual Axis Air Vice"</f>
        <v>Installation Guide for Dual Axis Air Vice</v>
      </c>
      <c r="C4569" t="str">
        <f>"Active"</f>
        <v>Active</v>
      </c>
    </row>
    <row r="4570" spans="1:3" ht="18" customHeight="1">
      <c r="A4570" t="str">
        <f>"200407"</f>
        <v>200407</v>
      </c>
      <c r="B4570" t="str">
        <f>"Hydraulic Power Pack Quick Start Guide"</f>
        <v>Hydraulic Power Pack Quick Start Guide</v>
      </c>
      <c r="C4570" t="str">
        <f>"Active"</f>
        <v>Active</v>
      </c>
    </row>
    <row r="4571" spans="1:3" ht="18" customHeight="1">
      <c r="A4571" t="str">
        <f>"200700"</f>
        <v>200700</v>
      </c>
      <c r="B4571" t="str">
        <f>"CNC Documentation &amp; iCNC Software for Intelitek"</f>
        <v>CNC Documentation &amp; iCNC Software for Intelitek</v>
      </c>
      <c r="C4571" t="str">
        <f>"New"</f>
        <v>New</v>
      </c>
    </row>
    <row r="4572" spans="1:3" ht="18" customHeight="1">
      <c r="A4572" t="str">
        <f>"21-0000-0048"</f>
        <v>21-0000-0048</v>
      </c>
      <c r="B4572" t="str">
        <f>"Assembly, SLM , Speed Control &amp; Cover, 110 V"</f>
        <v>Assembly, SLM , Speed Control &amp; Cover, 110 V</v>
      </c>
      <c r="C4572" t="str">
        <f>"Active"</f>
        <v>Active</v>
      </c>
    </row>
    <row r="4573" spans="1:3" ht="18" customHeight="1">
      <c r="A4573" t="str">
        <f>"21-0000-0130"</f>
        <v>21-0000-0130</v>
      </c>
      <c r="B4573" t="str">
        <f>"Package, RMH1 Materials"</f>
        <v>Package, RMH1 Materials</v>
      </c>
      <c r="C4573" t="str">
        <f>"Active"</f>
        <v>Active</v>
      </c>
    </row>
    <row r="4574" spans="1:3" ht="18" customHeight="1">
      <c r="A4574" t="str">
        <f>"21-0004-0000"</f>
        <v>21-0004-0000</v>
      </c>
      <c r="B4574" t="str">
        <f>"Assembly, Dual Axis Air Vise Mechanicals"</f>
        <v>Assembly, Dual Axis Air Vise Mechanicals</v>
      </c>
      <c r="C4574" t="str">
        <f>"Phase Out"</f>
        <v>Phase Out</v>
      </c>
    </row>
    <row r="4575" spans="1:3" ht="18" customHeight="1">
      <c r="A4575" t="str">
        <f>"21-0006-0001"</f>
        <v>21-0006-0001</v>
      </c>
      <c r="B4575" t="str">
        <f>"Assembly, Project, Competition Sensor Box"</f>
        <v>Assembly, Project, Competition Sensor Box</v>
      </c>
      <c r="C4575" t="str">
        <f t="shared" ref="C4575:C4581" si="187">"Active"</f>
        <v>Active</v>
      </c>
    </row>
    <row r="4576" spans="1:3" ht="18" customHeight="1">
      <c r="A4576" t="str">
        <f>"21-0006-0002"</f>
        <v>21-0006-0002</v>
      </c>
      <c r="B4576" t="str">
        <f>"Assembly,Project, Pneumatic Block Feeder, 12V"</f>
        <v>Assembly,Project, Pneumatic Block Feeder, 12V</v>
      </c>
      <c r="C4576" t="str">
        <f t="shared" si="187"/>
        <v>Active</v>
      </c>
    </row>
    <row r="4577" spans="1:3" ht="18" customHeight="1">
      <c r="A4577" t="str">
        <f>"21-0006-0003"</f>
        <v>21-0006-0003</v>
      </c>
      <c r="B4577" t="str">
        <f>"Assembly, Project, I/O Interface"</f>
        <v>Assembly, Project, I/O Interface</v>
      </c>
      <c r="C4577" t="str">
        <f t="shared" si="187"/>
        <v>Active</v>
      </c>
    </row>
    <row r="4578" spans="1:3" ht="18" customHeight="1">
      <c r="A4578" t="str">
        <f>"21-0006-0004"</f>
        <v>21-0006-0004</v>
      </c>
      <c r="B4578" t="str">
        <f>"Assembly, Project, Components For Workcell"</f>
        <v>Assembly, Project, Components For Workcell</v>
      </c>
      <c r="C4578" t="str">
        <f t="shared" si="187"/>
        <v>Active</v>
      </c>
    </row>
    <row r="4579" spans="1:3" ht="18" customHeight="1">
      <c r="A4579" t="str">
        <f>"21-0006-0005"</f>
        <v>21-0006-0005</v>
      </c>
      <c r="B4579" t="str">
        <f>"Assembly, Project, Power Supply, 12V"</f>
        <v>Assembly, Project, Power Supply, 12V</v>
      </c>
      <c r="C4579" t="str">
        <f t="shared" si="187"/>
        <v>Active</v>
      </c>
    </row>
    <row r="4580" spans="1:3" ht="18" customHeight="1">
      <c r="A4580" t="str">
        <f>"21-0006-0006"</f>
        <v>21-0006-0006</v>
      </c>
      <c r="B4580" t="str">
        <f>"Assembly, Project, E-Stop/Light Stack"</f>
        <v>Assembly, Project, E-Stop/Light Stack</v>
      </c>
      <c r="C4580" t="str">
        <f t="shared" si="187"/>
        <v>Active</v>
      </c>
    </row>
    <row r="4581" spans="1:3" ht="18" customHeight="1">
      <c r="A4581" t="str">
        <f>"21-0006-0007"</f>
        <v>21-0006-0007</v>
      </c>
      <c r="B4581" t="str">
        <f>"Assembly, Project, Energy Chain w/Robot Mount"</f>
        <v>Assembly, Project, Energy Chain w/Robot Mount</v>
      </c>
      <c r="C4581" t="str">
        <f t="shared" si="187"/>
        <v>Active</v>
      </c>
    </row>
    <row r="4582" spans="1:3" ht="18" customHeight="1">
      <c r="A4582" t="str">
        <f>"21-0007-0001"</f>
        <v>21-0007-0001</v>
      </c>
      <c r="B4582" t="str">
        <f>"Assembly, REC, Semester 2 Project Kit"</f>
        <v>Assembly, REC, Semester 2 Project Kit</v>
      </c>
      <c r="C4582" t="str">
        <f>"Phase Out"</f>
        <v>Phase Out</v>
      </c>
    </row>
    <row r="4583" spans="1:3" ht="18" customHeight="1">
      <c r="A4583" t="str">
        <f>"21-0601-0005"</f>
        <v>21-0601-0005</v>
      </c>
      <c r="B4583" t="str">
        <f>"Assembly, EXM, 4 Position ATC, ISO 20"</f>
        <v>Assembly, EXM, 4 Position ATC, ISO 20</v>
      </c>
      <c r="C4583" t="str">
        <f>"Active"</f>
        <v>Active</v>
      </c>
    </row>
    <row r="4584" spans="1:3" ht="18" customHeight="1">
      <c r="A4584" t="str">
        <f>"21-0601-0020"</f>
        <v>21-0601-0020</v>
      </c>
      <c r="B4584" t="str">
        <f>"Assembly, EXM, Spindle Motor"</f>
        <v>Assembly, EXM, Spindle Motor</v>
      </c>
      <c r="C4584" t="str">
        <f>"Active"</f>
        <v>Active</v>
      </c>
    </row>
    <row r="4585" spans="1:3" ht="18" customHeight="1">
      <c r="A4585" t="str">
        <f>"21-1000-0001"</f>
        <v>21-1000-0001</v>
      </c>
      <c r="B4585" t="str">
        <f>"Assembly, SLT, 3 Jaw Chuck w/Backpate"</f>
        <v>Assembly, SLT, 3 Jaw Chuck w/Backpate</v>
      </c>
      <c r="C4585" t="str">
        <f>"Phase Out"</f>
        <v>Phase Out</v>
      </c>
    </row>
    <row r="4586" spans="1:3" ht="18" customHeight="1">
      <c r="A4586" t="str">
        <f>"21-1200-0001"</f>
        <v>21-1200-0001</v>
      </c>
      <c r="B4586" t="str">
        <f>"Assembly, SLM, Motor, 110/220V, Painted &amp; Wired"</f>
        <v>Assembly, SLM, Motor, 110/220V, Painted &amp; Wired</v>
      </c>
      <c r="C4586" t="str">
        <f>"Active"</f>
        <v>Active</v>
      </c>
    </row>
    <row r="4587" spans="1:3" ht="18" customHeight="1">
      <c r="A4587" t="str">
        <f>"21-1200-0003"</f>
        <v>21-1200-0003</v>
      </c>
      <c r="B4587" t="str">
        <f>"Assembly, SLT, Motor, 220V, Wired"</f>
        <v>Assembly, SLT, Motor, 220V, Wired</v>
      </c>
      <c r="C4587" t="str">
        <f>"Active"</f>
        <v>Active</v>
      </c>
    </row>
    <row r="4588" spans="1:3" ht="18" customHeight="1">
      <c r="A4588" t="str">
        <f>"21-1200-0005"</f>
        <v>21-1200-0005</v>
      </c>
      <c r="B4588" t="str">
        <f>"Assembly, SLT, Motor, X-Axis Stepper, Wired"</f>
        <v>Assembly, SLT, Motor, X-Axis Stepper, Wired</v>
      </c>
      <c r="C4588" t="str">
        <f>"Active"</f>
        <v>Active</v>
      </c>
    </row>
    <row r="4589" spans="1:3" ht="18" customHeight="1">
      <c r="A4589" t="str">
        <f>"21-1200-0010"</f>
        <v>21-1200-0010</v>
      </c>
      <c r="B4589" t="str">
        <f>"Assembly, PLT, Motor, Spindle 180V, Wired"</f>
        <v>Assembly, PLT, Motor, Spindle 180V, Wired</v>
      </c>
      <c r="C4589" t="str">
        <f>"Active"</f>
        <v>Active</v>
      </c>
    </row>
    <row r="4590" spans="1:3" ht="18" customHeight="1">
      <c r="A4590" t="str">
        <f>"22-0000-0004"</f>
        <v>22-0000-0004</v>
      </c>
      <c r="B4590" t="str">
        <f>"Assembly, SLM/SLT/PLT, Control Box, 110V"</f>
        <v>Assembly, SLM/SLT/PLT, Control Box, 110V</v>
      </c>
      <c r="C4590" t="str">
        <f>"Phase Out"</f>
        <v>Phase Out</v>
      </c>
    </row>
    <row r="4591" spans="1:3" ht="18" customHeight="1">
      <c r="A4591" t="str">
        <f>"22-0000-0018"</f>
        <v>22-0000-0018</v>
      </c>
      <c r="B4591" t="str">
        <f>"Assembly, SLM/SLT/PLT, Control Box, 220V"</f>
        <v>Assembly, SLM/SLT/PLT, Control Box, 220V</v>
      </c>
      <c r="C4591" t="str">
        <f t="shared" ref="C4591:C4601" si="188">"Active"</f>
        <v>Active</v>
      </c>
    </row>
    <row r="4592" spans="1:3" ht="18" customHeight="1">
      <c r="A4592" t="str">
        <f>"22-0004-0001"</f>
        <v>22-0004-0001</v>
      </c>
      <c r="B4592" t="str">
        <f>"Assembly, Hydraulic Pump w/Control Switch, 110V"</f>
        <v>Assembly, Hydraulic Pump w/Control Switch, 110V</v>
      </c>
      <c r="C4592" t="str">
        <f t="shared" si="188"/>
        <v>Active</v>
      </c>
    </row>
    <row r="4593" spans="1:3" ht="18" customHeight="1">
      <c r="A4593" t="str">
        <f>"22-0004-0002"</f>
        <v>22-0004-0002</v>
      </c>
      <c r="B4593" t="str">
        <f>"Hydraulic Power Unit Assy. w/Switch, 220V"</f>
        <v>Hydraulic Power Unit Assy. w/Switch, 220V</v>
      </c>
      <c r="C4593" t="str">
        <f t="shared" si="188"/>
        <v>Active</v>
      </c>
    </row>
    <row r="4594" spans="1:3" ht="18" customHeight="1">
      <c r="A4594" t="str">
        <f>"22-0006-0001"</f>
        <v>22-0006-0001</v>
      </c>
      <c r="B4594" t="str">
        <f>"Assembly, REC, Sem 2, Electronics Kit, 1 Robot"</f>
        <v>Assembly, REC, Sem 2, Electronics Kit, 1 Robot</v>
      </c>
      <c r="C4594" t="str">
        <f t="shared" si="188"/>
        <v>Active</v>
      </c>
    </row>
    <row r="4595" spans="1:3" ht="18" customHeight="1">
      <c r="A4595" t="str">
        <f>"22-0006-0006"</f>
        <v>22-0006-0006</v>
      </c>
      <c r="B4595" t="str">
        <f>"Assembly, REC, Sem 2, Electronics Kit, 6 Robots"</f>
        <v>Assembly, REC, Sem 2, Electronics Kit, 6 Robots</v>
      </c>
      <c r="C4595" t="str">
        <f t="shared" si="188"/>
        <v>Active</v>
      </c>
    </row>
    <row r="4596" spans="1:3" ht="18" customHeight="1">
      <c r="A4596" t="str">
        <f>"22-0006-0011"</f>
        <v>22-0006-0011</v>
      </c>
      <c r="B4596" t="str">
        <f>"Assembly, REC, Sem 2, Electronics Kit,11 Robots"</f>
        <v>Assembly, REC, Sem 2, Electronics Kit,11 Robots</v>
      </c>
      <c r="C4596" t="str">
        <f t="shared" si="188"/>
        <v>Active</v>
      </c>
    </row>
    <row r="4597" spans="1:3" ht="18" customHeight="1">
      <c r="A4597" t="str">
        <f>"22-0006-0016"</f>
        <v>22-0006-0016</v>
      </c>
      <c r="B4597" t="str">
        <f>"Assembly, REC, Sem 2, Electronics Kit,16 Robots"</f>
        <v>Assembly, REC, Sem 2, Electronics Kit,16 Robots</v>
      </c>
      <c r="C4597" t="str">
        <f t="shared" si="188"/>
        <v>Active</v>
      </c>
    </row>
    <row r="4598" spans="1:3" ht="18" customHeight="1">
      <c r="A4598" t="str">
        <f>"22-0601-0008"</f>
        <v>22-0601-0008</v>
      </c>
      <c r="B4598" t="str">
        <f>"Assembly, EXM/SPM, 4 Axis Control Box, 220V"</f>
        <v>Assembly, EXM/SPM, 4 Axis Control Box, 220V</v>
      </c>
      <c r="C4598" t="str">
        <f t="shared" si="188"/>
        <v>Active</v>
      </c>
    </row>
    <row r="4599" spans="1:3" ht="18" customHeight="1">
      <c r="A4599" t="str">
        <f>"22-0601-0010"</f>
        <v>22-0601-0010</v>
      </c>
      <c r="B4599" t="str">
        <f>"Assembly, EXM/SPLM, IM805 Drive, HP, Single"</f>
        <v>Assembly, EXM/SPLM, IM805 Drive, HP, Single</v>
      </c>
      <c r="C4599" t="str">
        <f t="shared" si="188"/>
        <v>Active</v>
      </c>
    </row>
    <row r="4600" spans="1:3" ht="18" customHeight="1">
      <c r="A4600" t="str">
        <f>"22-1001-0001"</f>
        <v>22-1001-0001</v>
      </c>
      <c r="B4600" t="str">
        <f>"Assembly, SPLM, Spindle Motor, 90V"</f>
        <v>Assembly, SPLM, Spindle Motor, 90V</v>
      </c>
      <c r="C4600" t="str">
        <f t="shared" si="188"/>
        <v>Active</v>
      </c>
    </row>
    <row r="4601" spans="1:3" ht="18" customHeight="1">
      <c r="A4601" t="str">
        <f>"22-8200-0010"</f>
        <v>22-8200-0010</v>
      </c>
      <c r="B4601" t="str">
        <f>"Assembly, PCB, Driver Board, 3-Axis Control Box"</f>
        <v>Assembly, PCB, Driver Board, 3-Axis Control Box</v>
      </c>
      <c r="C4601" t="str">
        <f t="shared" si="188"/>
        <v>Active</v>
      </c>
    </row>
    <row r="4602" spans="1:3" ht="18" customHeight="1">
      <c r="A4602" t="str">
        <f>"22-8200-0053"</f>
        <v>22-8200-0053</v>
      </c>
      <c r="B4602" t="str">
        <f>"Assembly, PCB, 3-Axis PCI Stepper Control Card"</f>
        <v>Assembly, PCB, 3-Axis PCI Stepper Control Card</v>
      </c>
      <c r="C4602" t="str">
        <f>"Phase Out"</f>
        <v>Phase Out</v>
      </c>
    </row>
    <row r="4603" spans="1:3" ht="18" customHeight="1">
      <c r="A4603" t="str">
        <f>"22-8200-0056"</f>
        <v>22-8200-0056</v>
      </c>
      <c r="B4603" t="str">
        <f>"Assembly, PCB, 4-Axis PCI Stepper Control Card"</f>
        <v>Assembly, PCB, 4-Axis PCI Stepper Control Card</v>
      </c>
      <c r="C4603" t="str">
        <f>"Phase Out"</f>
        <v>Phase Out</v>
      </c>
    </row>
    <row r="4604" spans="1:3" ht="18" customHeight="1">
      <c r="A4604" t="str">
        <f>"22-8200-0072"</f>
        <v>22-8200-0072</v>
      </c>
      <c r="B4604" t="str">
        <f>"Assembly, PCB, Main Board, 4-Axis Control Box"</f>
        <v>Assembly, PCB, Main Board, 4-Axis Control Box</v>
      </c>
      <c r="C4604" t="str">
        <f>"Active"</f>
        <v>Active</v>
      </c>
    </row>
    <row r="4605" spans="1:3" ht="18" customHeight="1">
      <c r="A4605" t="str">
        <f>"22-8205-2001"</f>
        <v>22-8205-2001</v>
      </c>
      <c r="B4605" t="str">
        <f>"Assembly, PCB, 3/4 Interface Card w/ SSC"</f>
        <v>Assembly, PCB, 3/4 Interface Card w/ SSC</v>
      </c>
      <c r="C4605" t="str">
        <f>"Active"</f>
        <v>Active</v>
      </c>
    </row>
    <row r="4606" spans="1:3" ht="18" customHeight="1">
      <c r="A4606" t="str">
        <f>"228-2500"</f>
        <v>228-2500</v>
      </c>
      <c r="B4606" t="str">
        <f>"Vex, IQ Super Kit"</f>
        <v>Vex, IQ Super Kit</v>
      </c>
      <c r="C4606" t="str">
        <f>"Active"</f>
        <v>Active</v>
      </c>
    </row>
    <row r="4607" spans="1:3" ht="18" customHeight="1">
      <c r="A4607" t="str">
        <f>"228-2531"</f>
        <v>228-2531</v>
      </c>
      <c r="B4607" t="str">
        <f>"VEX IQ, Foundations Add-On Kit"</f>
        <v>VEX IQ, Foundations Add-On Kit</v>
      </c>
      <c r="C4607" t="str">
        <f>"Active"</f>
        <v>Active</v>
      </c>
    </row>
    <row r="4608" spans="1:3" ht="18" customHeight="1">
      <c r="A4608" t="str">
        <f>"228-3060"</f>
        <v>228-3060</v>
      </c>
      <c r="B4608" t="str">
        <f>"Starter Kit with Controller"</f>
        <v>Starter Kit with Controller</v>
      </c>
      <c r="C4608" t="str">
        <f>"New"</f>
        <v>New</v>
      </c>
    </row>
    <row r="4609" spans="1:3" ht="18" customHeight="1">
      <c r="A4609" t="str">
        <f>"228-3080"</f>
        <v>228-3080</v>
      </c>
      <c r="B4609" t="str">
        <f>"Starter Kit with Sensors"</f>
        <v>Starter Kit with Sensors</v>
      </c>
      <c r="C4609" t="str">
        <f>"New"</f>
        <v>New</v>
      </c>
    </row>
    <row r="4610" spans="1:3" ht="18" customHeight="1">
      <c r="A4610" t="str">
        <f>"228-3600"</f>
        <v>228-3600</v>
      </c>
      <c r="B4610" t="str">
        <f>"Competition Add-On Kit"</f>
        <v>Competition Add-On Kit</v>
      </c>
      <c r="C4610" t="str">
        <f>"Active"</f>
        <v>Active</v>
      </c>
    </row>
    <row r="4611" spans="1:3" ht="18" customHeight="1">
      <c r="A4611" t="str">
        <f>"228-4000"</f>
        <v>228-4000</v>
      </c>
      <c r="B4611" t="str">
        <f>"VEX IQ, Classroom Bundle (12 Kits)"</f>
        <v>VEX IQ, Classroom Bundle (12 Kits)</v>
      </c>
      <c r="C4611" t="str">
        <f>"Active"</f>
        <v>Active</v>
      </c>
    </row>
    <row r="4612" spans="1:3" ht="18" customHeight="1">
      <c r="A4612" t="str">
        <f>"23-2000-0100"</f>
        <v>23-2000-0100</v>
      </c>
      <c r="B4612" t="str">
        <f>"Software, Mechanical Measurement &amp; QC"</f>
        <v>Software, Mechanical Measurement &amp; QC</v>
      </c>
      <c r="C4612" t="str">
        <f>"Active"</f>
        <v>Active</v>
      </c>
    </row>
    <row r="4613" spans="1:3" ht="18" customHeight="1">
      <c r="A4613" t="str">
        <f>"25-0000-0001"</f>
        <v>25-0000-0001</v>
      </c>
      <c r="B4613" t="str">
        <f>"Package, intelitek banner &amp; posters"</f>
        <v>Package, intelitek banner &amp; posters</v>
      </c>
      <c r="C4613" t="str">
        <f>"Inactive"</f>
        <v>Inactive</v>
      </c>
    </row>
    <row r="4614" spans="1:3" ht="18" customHeight="1">
      <c r="A4614" t="str">
        <f>"26-0000-0001"</f>
        <v>26-0000-0001</v>
      </c>
      <c r="B4614" t="str">
        <f>"Assembly, JM, IMP1/ME10, Power Controller, 120V"</f>
        <v>Assembly, JM, IMP1/ME10, Power Controller, 120V</v>
      </c>
      <c r="C4614" t="str">
        <f>"Active"</f>
        <v>Active</v>
      </c>
    </row>
    <row r="4615" spans="1:3" ht="18" customHeight="1">
      <c r="A4615" t="str">
        <f>"26-0000-0002"</f>
        <v>26-0000-0002</v>
      </c>
      <c r="B4615" t="str">
        <f>"Assembly, JM, IMP1/ME10, Power Controller, 220V"</f>
        <v>Assembly, JM, IMP1/ME10, Power Controller, 220V</v>
      </c>
      <c r="C4615" t="str">
        <f>"Active"</f>
        <v>Active</v>
      </c>
    </row>
    <row r="4616" spans="1:3" ht="18" customHeight="1">
      <c r="A4616" t="str">
        <f>"26-C230-1200"</f>
        <v>26-C230-1200</v>
      </c>
      <c r="B4616" t="str">
        <f>"PLCLine , solenoied"</f>
        <v>PLCLine , solenoied</v>
      </c>
      <c r="C4616" t="str">
        <f>"New"</f>
        <v>New</v>
      </c>
    </row>
    <row r="4617" spans="1:3" ht="18" customHeight="1">
      <c r="A4617" t="str">
        <f>"26-C230-1201"</f>
        <v>26-C230-1201</v>
      </c>
      <c r="B4617" t="str">
        <f>"PLCLine , Lamp"</f>
        <v>PLCLine , Lamp</v>
      </c>
      <c r="C4617" t="str">
        <f>"New"</f>
        <v>New</v>
      </c>
    </row>
    <row r="4618" spans="1:3" ht="18" customHeight="1">
      <c r="A4618" t="str">
        <f>"26-C230-1202"</f>
        <v>26-C230-1202</v>
      </c>
      <c r="B4618" t="str">
        <f>"PLCLine , DC servo motor"</f>
        <v>PLCLine , DC servo motor</v>
      </c>
      <c r="C4618" t="str">
        <f>"New"</f>
        <v>New</v>
      </c>
    </row>
    <row r="4619" spans="1:3" ht="18" customHeight="1">
      <c r="A4619" t="str">
        <f>"26-C350-6100"</f>
        <v>26-C350-6100</v>
      </c>
      <c r="B4619" t="str">
        <f>"PLC A/B SLC5/03 Assembly, 110v"</f>
        <v>PLC A/B SLC5/03 Assembly, 110v</v>
      </c>
      <c r="C4619" t="str">
        <f t="shared" ref="C4619:C4629" si="189">"Active"</f>
        <v>Active</v>
      </c>
    </row>
    <row r="4620" spans="1:3" ht="18" customHeight="1">
      <c r="A4620" t="str">
        <f>"26-E"</f>
        <v>26-E</v>
      </c>
      <c r="B4620" t="str">
        <f>"Assembly, JM, E034, DC Motor Panel"</f>
        <v>Assembly, JM, E034, DC Motor Panel</v>
      </c>
      <c r="C4620" t="str">
        <f t="shared" si="189"/>
        <v>Active</v>
      </c>
    </row>
    <row r="4621" spans="1:3" ht="18" customHeight="1">
      <c r="A4621" t="str">
        <f>"26-E002-0000"</f>
        <v>26-E002-0000</v>
      </c>
      <c r="B4621" t="str">
        <f>"Assembly, JM, E002, Start-Stop Control Panel"</f>
        <v>Assembly, JM, E002, Start-Stop Control Panel</v>
      </c>
      <c r="C4621" t="str">
        <f t="shared" si="189"/>
        <v>Active</v>
      </c>
    </row>
    <row r="4622" spans="1:3" ht="18" customHeight="1">
      <c r="A4622" t="str">
        <f>"26-E003-0000"</f>
        <v>26-E003-0000</v>
      </c>
      <c r="B4622" t="str">
        <f>"Assembly, JM, E003, 3-Phase Transformer Panel"</f>
        <v>Assembly, JM, E003, 3-Phase Transformer Panel</v>
      </c>
      <c r="C4622" t="str">
        <f t="shared" si="189"/>
        <v>Active</v>
      </c>
    </row>
    <row r="4623" spans="1:3" ht="18" customHeight="1">
      <c r="A4623" t="str">
        <f>"26-E004-0000"</f>
        <v>26-E004-0000</v>
      </c>
      <c r="B4623" t="str">
        <f>"Assembly, JM , E004, Single Magnetic Start.Panel"</f>
        <v>Assembly, JM , E004, Single Magnetic Start.Panel</v>
      </c>
      <c r="C4623" t="str">
        <f t="shared" si="189"/>
        <v>Active</v>
      </c>
    </row>
    <row r="4624" spans="1:3" ht="18" customHeight="1">
      <c r="A4624" t="str">
        <f>"26-E005-0000"</f>
        <v>26-E005-0000</v>
      </c>
      <c r="B4624" t="str">
        <f>"Assembly, JM, E005 - F-R-S Switch Panel"</f>
        <v>Assembly, JM, E005 - F-R-S Switch Panel</v>
      </c>
      <c r="C4624" t="str">
        <f t="shared" si="189"/>
        <v>Active</v>
      </c>
    </row>
    <row r="4625" spans="1:3" ht="18" customHeight="1">
      <c r="A4625" t="str">
        <f>"26-E006-0000"</f>
        <v>26-E006-0000</v>
      </c>
      <c r="B4625" t="str">
        <f>"Assembly, JM, E006, Reversing Magnetic Starter"</f>
        <v>Assembly, JM, E006, Reversing Magnetic Starter</v>
      </c>
      <c r="C4625" t="str">
        <f t="shared" si="189"/>
        <v>Active</v>
      </c>
    </row>
    <row r="4626" spans="1:3" ht="18" customHeight="1">
      <c r="A4626" t="str">
        <f>"26-E007-0000"</f>
        <v>26-E007-0000</v>
      </c>
      <c r="B4626" t="str">
        <f>"Assembly, JM, E007 - SCR Speed Control Panel"</f>
        <v>Assembly, JM, E007 - SCR Speed Control Panel</v>
      </c>
      <c r="C4626" t="str">
        <f t="shared" si="189"/>
        <v>Active</v>
      </c>
    </row>
    <row r="4627" spans="1:3" ht="18" customHeight="1">
      <c r="A4627" t="str">
        <f>"26-E010-0000"</f>
        <v>26-E010-0000</v>
      </c>
      <c r="B4627" t="str">
        <f>"Assembly, JM, E010 - Three Phase Motor Panel"</f>
        <v>Assembly, JM, E010 - Three Phase Motor Panel</v>
      </c>
      <c r="C4627" t="str">
        <f t="shared" si="189"/>
        <v>Active</v>
      </c>
    </row>
    <row r="4628" spans="1:3" ht="18" customHeight="1">
      <c r="A4628" t="str">
        <f>"26-E011-0000"</f>
        <v>26-E011-0000</v>
      </c>
      <c r="B4628" t="str">
        <f>"Assembly, JM, E011, Limit Switch Panel"</f>
        <v>Assembly, JM, E011, Limit Switch Panel</v>
      </c>
      <c r="C4628" t="str">
        <f t="shared" si="189"/>
        <v>Active</v>
      </c>
    </row>
    <row r="4629" spans="1:3" ht="18" customHeight="1">
      <c r="A4629" t="str">
        <f>"26-E012-0000"</f>
        <v>26-E012-0000</v>
      </c>
      <c r="B4629" t="str">
        <f>"Assembly, JM, E012, Transformer Panel"</f>
        <v>Assembly, JM, E012, Transformer Panel</v>
      </c>
      <c r="C4629" t="str">
        <f t="shared" si="189"/>
        <v>Active</v>
      </c>
    </row>
    <row r="4630" spans="1:3" ht="18" customHeight="1">
      <c r="A4630" t="str">
        <f>"26-E015-0000"</f>
        <v>26-E015-0000</v>
      </c>
      <c r="B4630" t="str">
        <f>"Assembly, JM, E015,Prox.&amp; Photo Elec.SwitchPanel"</f>
        <v>Assembly, JM, E015,Prox.&amp; Photo Elec.SwitchPanel</v>
      </c>
      <c r="C4630" t="str">
        <f>"Inactive"</f>
        <v>Inactive</v>
      </c>
    </row>
    <row r="4631" spans="1:3" ht="18" customHeight="1">
      <c r="A4631" t="str">
        <f>"26-E016-0000"</f>
        <v>26-E016-0000</v>
      </c>
      <c r="B4631" t="str">
        <f>"Assembly, JM, E016, Analog Relay Panel"</f>
        <v>Assembly, JM, E016, Analog Relay Panel</v>
      </c>
      <c r="C4631" t="str">
        <f>"Active"</f>
        <v>Active</v>
      </c>
    </row>
    <row r="4632" spans="1:3" ht="18" customHeight="1">
      <c r="A4632" t="str">
        <f>"26-E017-0000"</f>
        <v>26-E017-0000</v>
      </c>
      <c r="B4632" t="str">
        <f>"Assembly, JM, E017, Digital Relay"</f>
        <v>Assembly, JM, E017, Digital Relay</v>
      </c>
      <c r="C4632" t="str">
        <f>"Active"</f>
        <v>Active</v>
      </c>
    </row>
    <row r="4633" spans="1:3" ht="18" customHeight="1">
      <c r="A4633" t="str">
        <f>"26-E018-0000"</f>
        <v>26-E018-0000</v>
      </c>
      <c r="B4633" t="str">
        <f>"Assembly, JM, E018, Liquid Level and Pressure"</f>
        <v>Assembly, JM, E018, Liquid Level and Pressure</v>
      </c>
      <c r="C4633" t="str">
        <f>"Active"</f>
        <v>Active</v>
      </c>
    </row>
    <row r="4634" spans="1:3" ht="18" customHeight="1">
      <c r="A4634" t="str">
        <f>"26-E019-0000"</f>
        <v>26-E019-0000</v>
      </c>
      <c r="B4634" t="str">
        <f>"Assembly, JM, E019, Capacitor Start Motor Panel"</f>
        <v>Assembly, JM, E019, Capacitor Start Motor Panel</v>
      </c>
      <c r="C4634" t="str">
        <f>"Active"</f>
        <v>Active</v>
      </c>
    </row>
    <row r="4635" spans="1:3" ht="18" customHeight="1">
      <c r="A4635" t="str">
        <f>"26-E020-0000"</f>
        <v>26-E020-0000</v>
      </c>
      <c r="B4635" t="str">
        <f>"Assembly, JM, E020, PLC Allen Bradley SLC500"</f>
        <v>Assembly, JM, E020, PLC Allen Bradley SLC500</v>
      </c>
      <c r="C4635" t="str">
        <f>"Inactive"</f>
        <v>Inactive</v>
      </c>
    </row>
    <row r="4636" spans="1:3" ht="18" customHeight="1">
      <c r="A4636" t="str">
        <f>"26-E022-0000"</f>
        <v>26-E022-0000</v>
      </c>
      <c r="B4636" t="str">
        <f>"Assembly, JM, E022, Manual Starter Panel"</f>
        <v>Assembly, JM, E022, Manual Starter Panel</v>
      </c>
      <c r="C4636" t="str">
        <f>"Active"</f>
        <v>Active</v>
      </c>
    </row>
    <row r="4637" spans="1:3" ht="18" customHeight="1">
      <c r="A4637" t="str">
        <f>"26-E024-0000"</f>
        <v>26-E024-0000</v>
      </c>
      <c r="B4637" t="str">
        <f>"Assembly, JM, E024, Solid State Starter Panel"</f>
        <v>Assembly, JM, E024, Solid State Starter Panel</v>
      </c>
      <c r="C4637" t="str">
        <f>"ECO-N2Buy"</f>
        <v>ECO-N2Buy</v>
      </c>
    </row>
    <row r="4638" spans="1:3" ht="18" customHeight="1">
      <c r="A4638" t="str">
        <f>"26-E024-0001"</f>
        <v>26-E024-0001</v>
      </c>
      <c r="B4638" t="str">
        <f>"Assembly, JM, E024, Solid State Starter Panel"</f>
        <v>Assembly, JM, E024, Solid State Starter Panel</v>
      </c>
      <c r="C4638" t="str">
        <f>"Active"</f>
        <v>Active</v>
      </c>
    </row>
    <row r="4639" spans="1:3" ht="18" customHeight="1">
      <c r="A4639" t="str">
        <f>"26-E025-0000"</f>
        <v>26-E025-0000</v>
      </c>
      <c r="B4639" t="str">
        <f>"Assembly, JM, E025 F-O-R Switch Panel"</f>
        <v>Assembly, JM, E025 F-O-R Switch Panel</v>
      </c>
      <c r="C4639" t="str">
        <f>"Active"</f>
        <v>Active</v>
      </c>
    </row>
    <row r="4640" spans="1:3" ht="18" customHeight="1">
      <c r="A4640" t="str">
        <f>"26-E027-0000"</f>
        <v>26-E027-0000</v>
      </c>
      <c r="B4640" t="str">
        <f>"Assembly, JM, E027, Shaded Pole Motor Panel"</f>
        <v>Assembly, JM, E027, Shaded Pole Motor Panel</v>
      </c>
      <c r="C4640" t="str">
        <f>"Active"</f>
        <v>Active</v>
      </c>
    </row>
    <row r="4641" spans="1:3" ht="18" customHeight="1">
      <c r="A4641" t="str">
        <f>"26-E029-0000"</f>
        <v>26-E029-0000</v>
      </c>
      <c r="B4641" t="str">
        <f>"Assembly, JM, E029, Inductance/Mag Test Panel"</f>
        <v>Assembly, JM, E029, Inductance/Mag Test Panel</v>
      </c>
      <c r="C4641" t="str">
        <f>"Active"</f>
        <v>Active</v>
      </c>
    </row>
    <row r="4642" spans="1:3" ht="18" customHeight="1">
      <c r="A4642" t="str">
        <f>"26-E029-0001"</f>
        <v>26-E029-0001</v>
      </c>
      <c r="B4642" t="str">
        <f>"Assembly, JM, E029, Inductance/Mag Test Panel"</f>
        <v>Assembly, JM, E029, Inductance/Mag Test Panel</v>
      </c>
      <c r="C4642" t="str">
        <f>"Inactive"</f>
        <v>Inactive</v>
      </c>
    </row>
    <row r="4643" spans="1:3" ht="18" customHeight="1">
      <c r="A4643" t="str">
        <f>"26-E030-0000"</f>
        <v>26-E030-0000</v>
      </c>
      <c r="B4643" t="str">
        <f>"Assembly, JM, E030, Overload Protection Panel"</f>
        <v>Assembly, JM, E030, Overload Protection Panel</v>
      </c>
      <c r="C4643" t="str">
        <f t="shared" ref="C4643:C4661" si="190">"Active"</f>
        <v>Active</v>
      </c>
    </row>
    <row r="4644" spans="1:3" ht="18" customHeight="1">
      <c r="A4644" t="str">
        <f>"26-E034-0000"</f>
        <v>26-E034-0000</v>
      </c>
      <c r="B4644" t="str">
        <f>"Assembly, JM, E034, DC Motor Panel"</f>
        <v>Assembly, JM, E034, DC Motor Panel</v>
      </c>
      <c r="C4644" t="str">
        <f t="shared" si="190"/>
        <v>Active</v>
      </c>
    </row>
    <row r="4645" spans="1:3" ht="18" customHeight="1">
      <c r="A4645" t="str">
        <f>"26-E038-0000"</f>
        <v>26-E038-0000</v>
      </c>
      <c r="B4645" t="str">
        <f>"Assembly, JM, E038, PWM Speed Control Panel"</f>
        <v>Assembly, JM, E038, PWM Speed Control Panel</v>
      </c>
      <c r="C4645" t="str">
        <f t="shared" si="190"/>
        <v>Active</v>
      </c>
    </row>
    <row r="4646" spans="1:3" ht="18" customHeight="1">
      <c r="A4646" t="str">
        <f>"26-E039-0000"</f>
        <v>26-E039-0000</v>
      </c>
      <c r="B4646" t="str">
        <f>"Assembly, JM, E039,Single Phase Bridge Rectifier"</f>
        <v>Assembly, JM, E039,Single Phase Bridge Rectifier</v>
      </c>
      <c r="C4646" t="str">
        <f t="shared" si="190"/>
        <v>Active</v>
      </c>
    </row>
    <row r="4647" spans="1:3" ht="18" customHeight="1">
      <c r="A4647" t="str">
        <f>"26-E040-0000"</f>
        <v>26-E040-0000</v>
      </c>
      <c r="B4647" t="str">
        <f>"Assembly, JM, E040, Switches, Lamp, and Buzzer"</f>
        <v>Assembly, JM, E040, Switches, Lamp, and Buzzer</v>
      </c>
      <c r="C4647" t="str">
        <f t="shared" si="190"/>
        <v>Active</v>
      </c>
    </row>
    <row r="4648" spans="1:3" ht="18" customHeight="1">
      <c r="A4648" t="str">
        <f>"26-E041-0000"</f>
        <v>26-E041-0000</v>
      </c>
      <c r="B4648" t="str">
        <f>"Assembly, JM, E041, Electronic Timer"</f>
        <v>Assembly, JM, E041, Electronic Timer</v>
      </c>
      <c r="C4648" t="str">
        <f t="shared" si="190"/>
        <v>Active</v>
      </c>
    </row>
    <row r="4649" spans="1:3" ht="18" customHeight="1">
      <c r="A4649" t="str">
        <f>"26-E042-0000"</f>
        <v>26-E042-0000</v>
      </c>
      <c r="B4649" t="str">
        <f>"Assembly, JM, E042, Resistance Panel"</f>
        <v>Assembly, JM, E042, Resistance Panel</v>
      </c>
      <c r="C4649" t="str">
        <f t="shared" si="190"/>
        <v>Active</v>
      </c>
    </row>
    <row r="4650" spans="1:3" ht="18" customHeight="1">
      <c r="A4650" t="str">
        <f>"26-E042-0001"</f>
        <v>26-E042-0001</v>
      </c>
      <c r="B4650" t="str">
        <f>"Assembly, JM, E042, Resistance Panel"</f>
        <v>Assembly, JM, E042, Resistance Panel</v>
      </c>
      <c r="C4650" t="str">
        <f t="shared" si="190"/>
        <v>Active</v>
      </c>
    </row>
    <row r="4651" spans="1:3" ht="18" customHeight="1">
      <c r="A4651" t="str">
        <f>"26-E043-0000"</f>
        <v>26-E043-0000</v>
      </c>
      <c r="B4651" t="str">
        <f>"Assembly, JM, E043, Capacitance Panel"</f>
        <v>Assembly, JM, E043, Capacitance Panel</v>
      </c>
      <c r="C4651" t="str">
        <f t="shared" si="190"/>
        <v>Active</v>
      </c>
    </row>
    <row r="4652" spans="1:3" ht="18" customHeight="1">
      <c r="A4652" t="str">
        <f>"26-E043-0001"</f>
        <v>26-E043-0001</v>
      </c>
      <c r="B4652" t="str">
        <f>"Assembly, JM, E043, Capacitance Panel"</f>
        <v>Assembly, JM, E043, Capacitance Panel</v>
      </c>
      <c r="C4652" t="str">
        <f t="shared" si="190"/>
        <v>Active</v>
      </c>
    </row>
    <row r="4653" spans="1:3" ht="18" customHeight="1">
      <c r="A4653" t="str">
        <f>"26-E044-0000"</f>
        <v>26-E044-0000</v>
      </c>
      <c r="B4653" t="str">
        <f>"Assembly, JM, E044, Inductance/Magnetism Panel"</f>
        <v>Assembly, JM, E044, Inductance/Magnetism Panel</v>
      </c>
      <c r="C4653" t="str">
        <f t="shared" si="190"/>
        <v>Active</v>
      </c>
    </row>
    <row r="4654" spans="1:3" ht="18" customHeight="1">
      <c r="A4654" t="str">
        <f>"26-E044-0001"</f>
        <v>26-E044-0001</v>
      </c>
      <c r="B4654" t="str">
        <f>"Assembly, JM, E044, Inductance/Magnetism Panel"</f>
        <v>Assembly, JM, E044, Inductance/Magnetism Panel</v>
      </c>
      <c r="C4654" t="str">
        <f t="shared" si="190"/>
        <v>Active</v>
      </c>
    </row>
    <row r="4655" spans="1:3" ht="18" customHeight="1">
      <c r="A4655" t="str">
        <f>"26-E045-0000"</f>
        <v>26-E045-0000</v>
      </c>
      <c r="B4655" t="str">
        <f>"Assembly, JM, E045, Sources of Electricity"</f>
        <v>Assembly, JM, E045, Sources of Electricity</v>
      </c>
      <c r="C4655" t="str">
        <f t="shared" si="190"/>
        <v>Active</v>
      </c>
    </row>
    <row r="4656" spans="1:3" ht="18" customHeight="1">
      <c r="A4656" t="str">
        <f>"26-E047-0000"</f>
        <v>26-E047-0000</v>
      </c>
      <c r="B4656" t="str">
        <f>"Assembly, JM, E047, Heat/Light Source"</f>
        <v>Assembly, JM, E047, Heat/Light Source</v>
      </c>
      <c r="C4656" t="str">
        <f t="shared" si="190"/>
        <v>Active</v>
      </c>
    </row>
    <row r="4657" spans="1:3" ht="18" customHeight="1">
      <c r="A4657" t="str">
        <f>"26-E048-0000"</f>
        <v>26-E048-0000</v>
      </c>
      <c r="B4657" t="str">
        <f>"Assembly, JM, E048 Inertial Load Panel"</f>
        <v>Assembly, JM, E048 Inertial Load Panel</v>
      </c>
      <c r="C4657" t="str">
        <f t="shared" si="190"/>
        <v>Active</v>
      </c>
    </row>
    <row r="4658" spans="1:3" ht="18" customHeight="1">
      <c r="A4658" t="str">
        <f>"26-E049-0000"</f>
        <v>26-E049-0000</v>
      </c>
      <c r="B4658" t="str">
        <f>"Assembly, JM, E049, Zener Diode Panel"</f>
        <v>Assembly, JM, E049, Zener Diode Panel</v>
      </c>
      <c r="C4658" t="str">
        <f t="shared" si="190"/>
        <v>Active</v>
      </c>
    </row>
    <row r="4659" spans="1:3" ht="18" customHeight="1">
      <c r="A4659" t="str">
        <f>"26-E050-0000"</f>
        <v>26-E050-0000</v>
      </c>
      <c r="B4659" t="str">
        <f>"Assembly, JM, E050, Regulated Power Supply Panel"</f>
        <v>Assembly, JM, E050, Regulated Power Supply Panel</v>
      </c>
      <c r="C4659" t="str">
        <f t="shared" si="190"/>
        <v>Active</v>
      </c>
    </row>
    <row r="4660" spans="1:3" ht="18" customHeight="1">
      <c r="A4660" t="str">
        <f>"26-E052-0000"</f>
        <v>26-E052-0000</v>
      </c>
      <c r="B4660" t="str">
        <f>"Assembly, JM, E052, Resistors Panel"</f>
        <v>Assembly, JM, E052, Resistors Panel</v>
      </c>
      <c r="C4660" t="str">
        <f t="shared" si="190"/>
        <v>Active</v>
      </c>
    </row>
    <row r="4661" spans="1:3" ht="18" customHeight="1">
      <c r="A4661" t="str">
        <f>"26-E053-0000"</f>
        <v>26-E053-0000</v>
      </c>
      <c r="B4661" t="str">
        <f>"Assembly, JM, E053, Three Phase Bridge Rectifier"</f>
        <v>Assembly, JM, E053, Three Phase Bridge Rectifier</v>
      </c>
      <c r="C4661" t="str">
        <f t="shared" si="190"/>
        <v>Active</v>
      </c>
    </row>
    <row r="4662" spans="1:3" ht="18" customHeight="1">
      <c r="A4662" t="str">
        <f>"26-E054-0000"</f>
        <v>26-E054-0000</v>
      </c>
      <c r="B4662" t="str">
        <f>"Assembly, JM, E054, Soleniod and Counter - 120V"</f>
        <v>Assembly, JM, E054, Soleniod and Counter - 120V</v>
      </c>
      <c r="C4662" t="str">
        <f>"Inactive"</f>
        <v>Inactive</v>
      </c>
    </row>
    <row r="4663" spans="1:3" ht="18" customHeight="1">
      <c r="A4663" t="str">
        <f>"26-E055-0000"</f>
        <v>26-E055-0000</v>
      </c>
      <c r="B4663" t="str">
        <f>"Assembly, JM, E055, Filters/Capacitors Panel"</f>
        <v>Assembly, JM, E055, Filters/Capacitors Panel</v>
      </c>
      <c r="C4663" t="str">
        <f t="shared" ref="C4663:C4670" si="191">"Active"</f>
        <v>Active</v>
      </c>
    </row>
    <row r="4664" spans="1:3" ht="18" customHeight="1">
      <c r="A4664" t="str">
        <f>"26-E057-0000"</f>
        <v>26-E057-0000</v>
      </c>
      <c r="B4664" t="str">
        <f>"Assembly, JM, E057, Motor/Generator Demo Panel"</f>
        <v>Assembly, JM, E057, Motor/Generator Demo Panel</v>
      </c>
      <c r="C4664" t="str">
        <f t="shared" si="191"/>
        <v>Active</v>
      </c>
    </row>
    <row r="4665" spans="1:3" ht="18" customHeight="1">
      <c r="A4665" t="str">
        <f>"26-E057-0001"</f>
        <v>26-E057-0001</v>
      </c>
      <c r="B4665" t="str">
        <f>"Assembly, JM, E057, Motor/Generator Demo Panel"</f>
        <v>Assembly, JM, E057, Motor/Generator Demo Panel</v>
      </c>
      <c r="C4665" t="str">
        <f t="shared" si="191"/>
        <v>Active</v>
      </c>
    </row>
    <row r="4666" spans="1:3" ht="18" customHeight="1">
      <c r="A4666" t="str">
        <f>"26-E061-0000"</f>
        <v>26-E061-0000</v>
      </c>
      <c r="B4666" t="str">
        <f>"Assembly, JM, E061, Low Voltage Transformer"</f>
        <v>Assembly, JM, E061, Low Voltage Transformer</v>
      </c>
      <c r="C4666" t="str">
        <f t="shared" si="191"/>
        <v>Active</v>
      </c>
    </row>
    <row r="4667" spans="1:3" ht="18" customHeight="1">
      <c r="A4667" t="str">
        <f>"26-E062-0000"</f>
        <v>26-E062-0000</v>
      </c>
      <c r="B4667" t="str">
        <f>"Assembly, JM, E062, Diode Rectifier Panel"</f>
        <v>Assembly, JM, E062, Diode Rectifier Panel</v>
      </c>
      <c r="C4667" t="str">
        <f t="shared" si="191"/>
        <v>Active</v>
      </c>
    </row>
    <row r="4668" spans="1:3" ht="18" customHeight="1">
      <c r="A4668" t="str">
        <f>"26-E065-0000"</f>
        <v>26-E065-0000</v>
      </c>
      <c r="B4668" t="str">
        <f>"Assembly, JM, E065, Split Phase Motor Panel"</f>
        <v>Assembly, JM, E065, Split Phase Motor Panel</v>
      </c>
      <c r="C4668" t="str">
        <f t="shared" si="191"/>
        <v>Active</v>
      </c>
    </row>
    <row r="4669" spans="1:3" ht="18" customHeight="1">
      <c r="A4669" t="str">
        <f>"26-E066-0000"</f>
        <v>26-E066-0000</v>
      </c>
      <c r="B4669" t="str">
        <f>"Assembly, JM, E066, Adjustable Torque Motor Load"</f>
        <v>Assembly, JM, E066, Adjustable Torque Motor Load</v>
      </c>
      <c r="C4669" t="str">
        <f t="shared" si="191"/>
        <v>Active</v>
      </c>
    </row>
    <row r="4670" spans="1:3" ht="18" customHeight="1">
      <c r="A4670" t="str">
        <f>"26-E067-0000"</f>
        <v>26-E067-0000</v>
      </c>
      <c r="B4670" t="str">
        <f>"Assembly, JM, E067,Varible Frequency Drive Panel"</f>
        <v>Assembly, JM, E067,Varible Frequency Drive Panel</v>
      </c>
      <c r="C4670" t="str">
        <f t="shared" si="191"/>
        <v>Active</v>
      </c>
    </row>
    <row r="4671" spans="1:3" ht="18" customHeight="1">
      <c r="A4671" t="str">
        <f>"26-E068-0000"</f>
        <v>26-E068-0000</v>
      </c>
      <c r="B4671" t="str">
        <f>"Assembly, JM, E068, PLC I/O Simulator Panel"</f>
        <v>Assembly, JM, E068, PLC I/O Simulator Panel</v>
      </c>
      <c r="C4671" t="str">
        <f>"Inactive"</f>
        <v>Inactive</v>
      </c>
    </row>
    <row r="4672" spans="1:3" ht="18" customHeight="1">
      <c r="A4672" t="str">
        <f>"26-E069-0000"</f>
        <v>26-E069-0000</v>
      </c>
      <c r="B4672" t="str">
        <f>"Assembly, JM, E069, Relay Logic Panel"</f>
        <v>Assembly, JM, E069, Relay Logic Panel</v>
      </c>
      <c r="C4672" t="str">
        <f>"Inactive"</f>
        <v>Inactive</v>
      </c>
    </row>
    <row r="4673" spans="1:3" ht="18" customHeight="1">
      <c r="A4673" t="str">
        <f>"26-E071-0000"</f>
        <v>26-E071-0000</v>
      </c>
      <c r="B4673" t="str">
        <f>"Assembly, JM, E071 Regenerative SCR Drive Panel"</f>
        <v>Assembly, JM, E071 Regenerative SCR Drive Panel</v>
      </c>
      <c r="C4673" t="str">
        <f>"Active"</f>
        <v>Active</v>
      </c>
    </row>
    <row r="4674" spans="1:3" ht="18" customHeight="1">
      <c r="A4674" t="str">
        <f>"26-E077-0000"</f>
        <v>26-E077-0000</v>
      </c>
      <c r="B4674" t="str">
        <f>"Assembly, JM, E077, Electric Motors Panel"</f>
        <v>Assembly, JM, E077, Electric Motors Panel</v>
      </c>
      <c r="C4674" t="str">
        <f>"Inactive"</f>
        <v>Inactive</v>
      </c>
    </row>
    <row r="4675" spans="1:3" ht="18" customHeight="1">
      <c r="A4675" t="str">
        <f>"26-E078-0000"</f>
        <v>26-E078-0000</v>
      </c>
      <c r="B4675" t="str">
        <f>"Assembly, JM, E078,PLCAllenBradleyMicrologix1000"</f>
        <v>Assembly, JM, E078,PLCAllenBradleyMicrologix1000</v>
      </c>
      <c r="C4675" t="str">
        <f>"Inactive"</f>
        <v>Inactive</v>
      </c>
    </row>
    <row r="4676" spans="1:3" ht="18" customHeight="1">
      <c r="A4676" t="str">
        <f>"26-E079-0000"</f>
        <v>26-E079-0000</v>
      </c>
      <c r="B4676" t="str">
        <f>"Assembly, JM, E079,Motor Relay w/FuseBlock Panel"</f>
        <v>Assembly, JM, E079,Motor Relay w/FuseBlock Panel</v>
      </c>
      <c r="C4676" t="str">
        <f>"Inactive"</f>
        <v>Inactive</v>
      </c>
    </row>
    <row r="4677" spans="1:3" ht="18" customHeight="1">
      <c r="A4677" t="str">
        <f>"26-E081-0000"</f>
        <v>26-E081-0000</v>
      </c>
      <c r="B4677" t="str">
        <f>"Assembly, JM, E081, SCR Panel"</f>
        <v>Assembly, JM, E081, SCR Panel</v>
      </c>
      <c r="C4677" t="str">
        <f>"Active"</f>
        <v>Active</v>
      </c>
    </row>
    <row r="4678" spans="1:3" ht="18" customHeight="1">
      <c r="A4678" t="str">
        <f>"26-E082-0000"</f>
        <v>26-E082-0000</v>
      </c>
      <c r="B4678" t="str">
        <f>"Assembly, JM, E082, Full Wave SCR DC Drive Panel"</f>
        <v>Assembly, JM, E082, Full Wave SCR DC Drive Panel</v>
      </c>
      <c r="C4678" t="str">
        <f>"Active"</f>
        <v>Active</v>
      </c>
    </row>
    <row r="4679" spans="1:3" ht="18" customHeight="1">
      <c r="A4679" t="str">
        <f>"26-E083-0000"</f>
        <v>26-E083-0000</v>
      </c>
      <c r="B4679" t="str">
        <f>"Assembly, JM, E083, TRIAC Panel"</f>
        <v>Assembly, JM, E083, TRIAC Panel</v>
      </c>
      <c r="C4679" t="str">
        <f>"Active"</f>
        <v>Active</v>
      </c>
    </row>
    <row r="4680" spans="1:3" ht="18" customHeight="1">
      <c r="A4680" t="str">
        <f>"26-E084-0000"</f>
        <v>26-E084-0000</v>
      </c>
      <c r="B4680" t="str">
        <f>"Assembly, JM, E084, DIAC Adjustable Resistors"</f>
        <v>Assembly, JM, E084, DIAC Adjustable Resistors</v>
      </c>
      <c r="C4680" t="str">
        <f>"Active"</f>
        <v>Active</v>
      </c>
    </row>
    <row r="4681" spans="1:3" ht="18" customHeight="1">
      <c r="A4681" t="str">
        <f>"26-E085-0000"</f>
        <v>26-E085-0000</v>
      </c>
      <c r="B4681" t="str">
        <f>"Assembly, JM, E085, Triac w/ Schmitt Trigger"</f>
        <v>Assembly, JM, E085, Triac w/ Schmitt Trigger</v>
      </c>
      <c r="C4681" t="str">
        <f>"Active"</f>
        <v>Active</v>
      </c>
    </row>
    <row r="4682" spans="1:3" ht="18" customHeight="1">
      <c r="A4682" t="str">
        <f>"26-E085-0001"</f>
        <v>26-E085-0001</v>
      </c>
      <c r="B4682" t="str">
        <f>"Assembly, JM, E085, Triac w/Schmitt Trigger 110V"</f>
        <v>Assembly, JM, E085, Triac w/Schmitt Trigger 110V</v>
      </c>
      <c r="C4682" t="str">
        <f>"New"</f>
        <v>New</v>
      </c>
    </row>
    <row r="4683" spans="1:3" ht="18" customHeight="1">
      <c r="A4683" t="str">
        <f>"26-E085-0002"</f>
        <v>26-E085-0002</v>
      </c>
      <c r="B4683" t="str">
        <f>"Assembly, JM, E085, Triac w/Schmitt Trigger 220V"</f>
        <v>Assembly, JM, E085, Triac w/Schmitt Trigger 220V</v>
      </c>
      <c r="C4683" t="str">
        <f>"New"</f>
        <v>New</v>
      </c>
    </row>
    <row r="4684" spans="1:3" ht="18" customHeight="1">
      <c r="A4684" t="str">
        <f>"26-E087-0000"</f>
        <v>26-E087-0000</v>
      </c>
      <c r="B4684" t="str">
        <f>"Assembly, JM, E087, Adjustable Power Supply"</f>
        <v>Assembly, JM, E087, Adjustable Power Supply</v>
      </c>
      <c r="C4684" t="str">
        <f t="shared" ref="C4684:C4689" si="192">"Active"</f>
        <v>Active</v>
      </c>
    </row>
    <row r="4685" spans="1:3" ht="18" customHeight="1">
      <c r="A4685" t="str">
        <f>"26-E087-1000"</f>
        <v>26-E087-1000</v>
      </c>
      <c r="B4685" t="str">
        <f>"Assembly, JM, E087, Adj. Torque and DC PS Panel"</f>
        <v>Assembly, JM, E087, Adj. Torque and DC PS Panel</v>
      </c>
      <c r="C4685" t="str">
        <f t="shared" si="192"/>
        <v>Active</v>
      </c>
    </row>
    <row r="4686" spans="1:3" ht="18" customHeight="1">
      <c r="A4686" t="str">
        <f>"26-E088-0000"</f>
        <v>26-E088-0000</v>
      </c>
      <c r="B4686" t="str">
        <f>"Assembly, JM, E088, PMW Motor Drive Panel"</f>
        <v>Assembly, JM, E088, PMW Motor Drive Panel</v>
      </c>
      <c r="C4686" t="str">
        <f t="shared" si="192"/>
        <v>Active</v>
      </c>
    </row>
    <row r="4687" spans="1:3" ht="18" customHeight="1">
      <c r="A4687" t="str">
        <f>"26-E089-0000"</f>
        <v>26-E089-0000</v>
      </c>
      <c r="B4687" t="str">
        <f>"Assembly, JM, E089, Timers and Triggers Panel"</f>
        <v>Assembly, JM, E089, Timers and Triggers Panel</v>
      </c>
      <c r="C4687" t="str">
        <f t="shared" si="192"/>
        <v>Active</v>
      </c>
    </row>
    <row r="4688" spans="1:3" ht="18" customHeight="1">
      <c r="A4688" t="str">
        <f>"26-E090-0000"</f>
        <v>26-E090-0000</v>
      </c>
      <c r="B4688" t="str">
        <f>"Assembly, JM, E090, Stepper Motor &amp; Drive Panel"</f>
        <v>Assembly, JM, E090, Stepper Motor &amp; Drive Panel</v>
      </c>
      <c r="C4688" t="str">
        <f t="shared" si="192"/>
        <v>Active</v>
      </c>
    </row>
    <row r="4689" spans="1:3" ht="18" customHeight="1">
      <c r="A4689" t="str">
        <f>"26-E091-0000"</f>
        <v>26-E091-0000</v>
      </c>
      <c r="B4689" t="str">
        <f>"Assembly, JM, E091, Servo Motor&amp; Drive Panel"</f>
        <v>Assembly, JM, E091, Servo Motor&amp; Drive Panel</v>
      </c>
      <c r="C4689" t="str">
        <f t="shared" si="192"/>
        <v>Active</v>
      </c>
    </row>
    <row r="4690" spans="1:3" ht="18" customHeight="1">
      <c r="A4690" t="str">
        <f>"26-E092-0000"</f>
        <v>26-E092-0000</v>
      </c>
      <c r="B4690" t="str">
        <f>"Assembly, JM, E092, Opto. Indicators &amp;Transducer"</f>
        <v>Assembly, JM, E092, Opto. Indicators &amp;Transducer</v>
      </c>
      <c r="C4690" t="str">
        <f t="shared" ref="C4690:C4695" si="193">"Inactive"</f>
        <v>Inactive</v>
      </c>
    </row>
    <row r="4691" spans="1:3" ht="18" customHeight="1">
      <c r="A4691" t="str">
        <f>"26-E093-0000"</f>
        <v>26-E093-0000</v>
      </c>
      <c r="B4691" t="str">
        <f>"Assembly, JM, E093, IR Detector &amp; Transmitter"</f>
        <v>Assembly, JM, E093, IR Detector &amp; Transmitter</v>
      </c>
      <c r="C4691" t="str">
        <f t="shared" si="193"/>
        <v>Inactive</v>
      </c>
    </row>
    <row r="4692" spans="1:3" ht="18" customHeight="1">
      <c r="A4692" t="str">
        <f>"26-E094-0000"</f>
        <v>26-E094-0000</v>
      </c>
      <c r="B4692" t="str">
        <f>"Assembly, JM, E094, Light Activated Relay Panel"</f>
        <v>Assembly, JM, E094, Light Activated Relay Panel</v>
      </c>
      <c r="C4692" t="str">
        <f t="shared" si="193"/>
        <v>Inactive</v>
      </c>
    </row>
    <row r="4693" spans="1:3" ht="18" customHeight="1">
      <c r="A4693" t="str">
        <f>"26-E097-0000"</f>
        <v>26-E097-0000</v>
      </c>
      <c r="B4693" t="str">
        <f>"Assembly, JM, E097, Optoisolators Panel"</f>
        <v>Assembly, JM, E097, Optoisolators Panel</v>
      </c>
      <c r="C4693" t="str">
        <f t="shared" si="193"/>
        <v>Inactive</v>
      </c>
    </row>
    <row r="4694" spans="1:3" ht="18" customHeight="1">
      <c r="A4694" t="str">
        <f>"26-E100-0000"</f>
        <v>26-E100-0000</v>
      </c>
      <c r="B4694" t="str">
        <f>"Assembly, JM, E100, Passive IR Motion Panel"</f>
        <v>Assembly, JM, E100, Passive IR Motion Panel</v>
      </c>
      <c r="C4694" t="str">
        <f t="shared" si="193"/>
        <v>Inactive</v>
      </c>
    </row>
    <row r="4695" spans="1:3" ht="18" customHeight="1">
      <c r="A4695" t="str">
        <f>"26-E101-0000"</f>
        <v>26-E101-0000</v>
      </c>
      <c r="B4695" t="str">
        <f>"Assembly, JM, E101,IndustrialStrobe &amp; Apps Panel"</f>
        <v>Assembly, JM, E101,IndustrialStrobe &amp; Apps Panel</v>
      </c>
      <c r="C4695" t="str">
        <f t="shared" si="193"/>
        <v>Inactive</v>
      </c>
    </row>
    <row r="4696" spans="1:3" ht="18" customHeight="1">
      <c r="A4696" t="str">
        <f>"26-E126-0000"</f>
        <v>26-E126-0000</v>
      </c>
      <c r="B4696" t="str">
        <f>"Assembly, JM, E126, Photo, Mag, &amp; Prox Panel"</f>
        <v>Assembly, JM, E126, Photo, Mag, &amp; Prox Panel</v>
      </c>
      <c r="C4696" t="str">
        <f t="shared" ref="C4696:C4704" si="194">"Active"</f>
        <v>Active</v>
      </c>
    </row>
    <row r="4697" spans="1:3" ht="18" customHeight="1">
      <c r="A4697" t="str">
        <f>"26-E150-0000"</f>
        <v>26-E150-0000</v>
      </c>
      <c r="B4697" t="str">
        <f>"Assembly, JM, E150, Relay/Contactor Panel"</f>
        <v>Assembly, JM, E150, Relay/Contactor Panel</v>
      </c>
      <c r="C4697" t="str">
        <f t="shared" si="194"/>
        <v>Active</v>
      </c>
    </row>
    <row r="4698" spans="1:3" ht="18" customHeight="1">
      <c r="A4698" t="str">
        <f>"26-E151-0000"</f>
        <v>26-E151-0000</v>
      </c>
      <c r="B4698" t="str">
        <f>"Assembly, JM, E151,Series/Parallel Lamps Panel"</f>
        <v>Assembly, JM, E151,Series/Parallel Lamps Panel</v>
      </c>
      <c r="C4698" t="str">
        <f t="shared" si="194"/>
        <v>Active</v>
      </c>
    </row>
    <row r="4699" spans="1:3" ht="18" customHeight="1">
      <c r="A4699" t="str">
        <f>"26-E152-0000"</f>
        <v>26-E152-0000</v>
      </c>
      <c r="B4699" t="str">
        <f>"Assembly, JM, E152, Transformer/Adjustable Power"</f>
        <v>Assembly, JM, E152, Transformer/Adjustable Power</v>
      </c>
      <c r="C4699" t="str">
        <f t="shared" si="194"/>
        <v>Active</v>
      </c>
    </row>
    <row r="4700" spans="1:3" ht="18" customHeight="1">
      <c r="A4700" t="str">
        <f>"26-E153-0000"</f>
        <v>26-E153-0000</v>
      </c>
      <c r="B4700" t="str">
        <f>"Assembly, JM, E153, AC/DC Circuits"</f>
        <v>Assembly, JM, E153, AC/DC Circuits</v>
      </c>
      <c r="C4700" t="str">
        <f t="shared" si="194"/>
        <v>Active</v>
      </c>
    </row>
    <row r="4701" spans="1:3" ht="18" customHeight="1">
      <c r="A4701" t="str">
        <f>"26-E154-0000"</f>
        <v>26-E154-0000</v>
      </c>
      <c r="B4701" t="str">
        <f>"Assembly, JM, E154, Switches and Lamps Panel"</f>
        <v>Assembly, JM, E154, Switches and Lamps Panel</v>
      </c>
      <c r="C4701" t="str">
        <f t="shared" si="194"/>
        <v>Active</v>
      </c>
    </row>
    <row r="4702" spans="1:3" ht="18" customHeight="1">
      <c r="A4702" t="str">
        <f>"26-E155-0000"</f>
        <v>26-E155-0000</v>
      </c>
      <c r="B4702" t="str">
        <f>"Assembly, JM, E155, H-O-A Switch Panel"</f>
        <v>Assembly, JM, E155, H-O-A Switch Panel</v>
      </c>
      <c r="C4702" t="str">
        <f t="shared" si="194"/>
        <v>Active</v>
      </c>
    </row>
    <row r="4703" spans="1:3" ht="18" customHeight="1">
      <c r="A4703" t="str">
        <f>"26-E156-0000"</f>
        <v>26-E156-0000</v>
      </c>
      <c r="B4703" t="str">
        <f>"Assembly, JM, E156, Dissectible Electric Motor"</f>
        <v>Assembly, JM, E156, Dissectible Electric Motor</v>
      </c>
      <c r="C4703" t="str">
        <f t="shared" si="194"/>
        <v>Active</v>
      </c>
    </row>
    <row r="4704" spans="1:3" ht="18" customHeight="1">
      <c r="A4704" t="str">
        <f>"26-E157-0000"</f>
        <v>26-E157-0000</v>
      </c>
      <c r="B4704" t="str">
        <f>"Assembly, JM, E157, Electric AC/DC Motors"</f>
        <v>Assembly, JM, E157, Electric AC/DC Motors</v>
      </c>
      <c r="C4704" t="str">
        <f t="shared" si="194"/>
        <v>Active</v>
      </c>
    </row>
    <row r="4705" spans="1:3" ht="18" customHeight="1">
      <c r="A4705" t="str">
        <f>"26-E158-0000"</f>
        <v>26-E158-0000</v>
      </c>
      <c r="B4705" t="str">
        <f>"Assembly, JM, E158, Altr. Enrg. Distribution"</f>
        <v>Assembly, JM, E158, Altr. Enrg. Distribution</v>
      </c>
      <c r="C4705" t="str">
        <f>"Inactive"</f>
        <v>Inactive</v>
      </c>
    </row>
    <row r="4706" spans="1:3" ht="18" customHeight="1">
      <c r="A4706" t="str">
        <f>"26-ME10-0000"</f>
        <v>26-ME10-0000</v>
      </c>
      <c r="B4706" t="str">
        <f>"Assembly, JM, Bench Two-Student Add-on, basic"</f>
        <v>Assembly, JM, Bench Two-Student Add-on, basic</v>
      </c>
      <c r="C4706" t="str">
        <f t="shared" ref="C4706:C4720" si="195">"Active"</f>
        <v>Active</v>
      </c>
    </row>
    <row r="4707" spans="1:3" ht="18" customHeight="1">
      <c r="A4707" t="str">
        <f>"26-ME10-1000"</f>
        <v>26-ME10-1000</v>
      </c>
      <c r="B4707" t="str">
        <f>"Assembly, JM, Mechanical Bench, basic component"</f>
        <v>Assembly, JM, Mechanical Bench, basic component</v>
      </c>
      <c r="C4707" t="str">
        <f t="shared" si="195"/>
        <v>Active</v>
      </c>
    </row>
    <row r="4708" spans="1:3" ht="18" customHeight="1">
      <c r="A4708" t="str">
        <f>"26-ME13-0000"</f>
        <v>26-ME13-0000</v>
      </c>
      <c r="B4708" t="str">
        <f>"Assembly, JM, Bearing Two-Student Add-on, basic"</f>
        <v>Assembly, JM, Bearing Two-Student Add-on, basic</v>
      </c>
      <c r="C4708" t="str">
        <f t="shared" si="195"/>
        <v>Active</v>
      </c>
    </row>
    <row r="4709" spans="1:3" ht="18" customHeight="1">
      <c r="A4709" t="str">
        <f>"26-ME13-1000"</f>
        <v>26-ME13-1000</v>
      </c>
      <c r="B4709" t="str">
        <f>"Assembly, JM, Bearing Cart, basic components"</f>
        <v>Assembly, JM, Bearing Cart, basic components</v>
      </c>
      <c r="C4709" t="str">
        <f t="shared" si="195"/>
        <v>Active</v>
      </c>
    </row>
    <row r="4710" spans="1:3" ht="18" customHeight="1">
      <c r="A4710" t="str">
        <f>"270-1905"</f>
        <v>270-1905</v>
      </c>
      <c r="B4710" t="str">
        <f>"VEX, REC 1 Bundle Kit, Cortex"</f>
        <v>VEX, REC 1 Bundle Kit, Cortex</v>
      </c>
      <c r="C4710" t="str">
        <f t="shared" si="195"/>
        <v>Active</v>
      </c>
    </row>
    <row r="4711" spans="1:3" ht="18" customHeight="1">
      <c r="A4711" t="str">
        <f>"270-1906"</f>
        <v>270-1906</v>
      </c>
      <c r="B4711" t="str">
        <f>"VEX, REC 2 Bundle Kit, Cortex"</f>
        <v>VEX, REC 2 Bundle Kit, Cortex</v>
      </c>
      <c r="C4711" t="str">
        <f t="shared" si="195"/>
        <v>Active</v>
      </c>
    </row>
    <row r="4712" spans="1:3" ht="18" customHeight="1">
      <c r="A4712" t="str">
        <f>"276-1491"</f>
        <v>276-1491</v>
      </c>
      <c r="B4712" t="str">
        <f>"VEX, 7.2V Robot Battery NiMH 3000mAh"</f>
        <v>VEX, 7.2V Robot Battery NiMH 3000mAh</v>
      </c>
      <c r="C4712" t="str">
        <f t="shared" si="195"/>
        <v>Active</v>
      </c>
    </row>
    <row r="4713" spans="1:3" ht="18" customHeight="1">
      <c r="A4713" t="str">
        <f>"276-1926"</f>
        <v>276-1926</v>
      </c>
      <c r="B4713" t="str">
        <f>"VEX, Linear Motion Kit"</f>
        <v>VEX, Linear Motion Kit</v>
      </c>
      <c r="C4713" t="str">
        <f t="shared" si="195"/>
        <v>Active</v>
      </c>
    </row>
    <row r="4714" spans="1:3" ht="18" customHeight="1">
      <c r="A4714" t="str">
        <f>"276-2700"</f>
        <v>276-2700</v>
      </c>
      <c r="B4714" t="str">
        <f>"VEX, Dual Control Starter Kit"</f>
        <v>VEX, Dual Control Starter Kit</v>
      </c>
      <c r="C4714" t="str">
        <f t="shared" si="195"/>
        <v>Active</v>
      </c>
    </row>
    <row r="4715" spans="1:3" ht="18" customHeight="1">
      <c r="A4715" t="str">
        <f>"276-2750"</f>
        <v>276-2750</v>
      </c>
      <c r="B4715" t="str">
        <f>"VEX, Programming Control Starter Kit"</f>
        <v>VEX, Programming Control Starter Kit</v>
      </c>
      <c r="C4715" t="str">
        <f t="shared" si="195"/>
        <v>Active</v>
      </c>
    </row>
    <row r="4716" spans="1:3" ht="18" customHeight="1">
      <c r="A4716" t="str">
        <f>"276-2800"</f>
        <v>276-2800</v>
      </c>
      <c r="B4716" t="str">
        <f>"VEX, Classroom and Competition Mechatronics Kit"</f>
        <v>VEX, Classroom and Competition Mechatronics Kit</v>
      </c>
      <c r="C4716" t="str">
        <f t="shared" si="195"/>
        <v>Active</v>
      </c>
    </row>
    <row r="4717" spans="1:3" ht="18" customHeight="1">
      <c r="A4717" t="str">
        <f>"276-2900"</f>
        <v>276-2900</v>
      </c>
      <c r="B4717" t="str">
        <f>"VEX, Classroom and Competition Programming Kit"</f>
        <v>VEX, Classroom and Competition Programming Kit</v>
      </c>
      <c r="C4717" t="str">
        <f t="shared" si="195"/>
        <v>Active</v>
      </c>
    </row>
    <row r="4718" spans="1:3" ht="18" customHeight="1">
      <c r="A4718" t="str">
        <f>"276-2906"</f>
        <v>276-2906</v>
      </c>
      <c r="B4718" t="str">
        <f>"VEX, C-Channel 1x2x1x35 (2-pack)"</f>
        <v>VEX, C-Channel 1x2x1x35 (2-pack)</v>
      </c>
      <c r="C4718" t="str">
        <f t="shared" si="195"/>
        <v>Active</v>
      </c>
    </row>
    <row r="4719" spans="1:3" ht="18" customHeight="1">
      <c r="A4719" t="str">
        <f>"276-3000"</f>
        <v>276-3000</v>
      </c>
      <c r="B4719" t="str">
        <f>"VEX, Classroom &amp; Competition Super Kit"</f>
        <v>VEX, Classroom &amp; Competition Super Kit</v>
      </c>
      <c r="C4719" t="str">
        <f t="shared" si="195"/>
        <v>Active</v>
      </c>
    </row>
    <row r="4720" spans="1:3" ht="18" customHeight="1">
      <c r="A4720" t="str">
        <f>"278-1004"</f>
        <v>278-1004</v>
      </c>
      <c r="B4720" t="str">
        <f>"VEX, Classroom Competition Field Kit(Swept Away)"</f>
        <v>VEX, Classroom Competition Field Kit(Swept Away)</v>
      </c>
      <c r="C4720" t="str">
        <f t="shared" si="195"/>
        <v>Active</v>
      </c>
    </row>
    <row r="4721" spans="1:3" ht="18" customHeight="1">
      <c r="A4721" t="str">
        <f>"290001"</f>
        <v>290001</v>
      </c>
      <c r="B4721" t="str">
        <f>"Jig for Motor No.1  ER2u"</f>
        <v>Jig for Motor No.1  ER2u</v>
      </c>
      <c r="C4721" t="str">
        <f t="shared" ref="C4721:C4733" si="196">"Not for sale"</f>
        <v>Not for sale</v>
      </c>
    </row>
    <row r="4722" spans="1:3" ht="18" customHeight="1">
      <c r="A4722" t="str">
        <f>"290002"</f>
        <v>290002</v>
      </c>
      <c r="B4722" t="str">
        <f>"Jig for Motor No.2,3  ER2u"</f>
        <v>Jig for Motor No.2,3  ER2u</v>
      </c>
      <c r="C4722" t="str">
        <f t="shared" si="196"/>
        <v>Not for sale</v>
      </c>
    </row>
    <row r="4723" spans="1:3" ht="18" customHeight="1">
      <c r="A4723" t="str">
        <f>"290003"</f>
        <v>290003</v>
      </c>
      <c r="B4723" t="str">
        <f>"Jig for Motor No.4  ER2u"</f>
        <v>Jig for Motor No.4  ER2u</v>
      </c>
      <c r="C4723" t="str">
        <f t="shared" si="196"/>
        <v>Not for sale</v>
      </c>
    </row>
    <row r="4724" spans="1:3" ht="18" customHeight="1">
      <c r="A4724" t="str">
        <f>"290004"</f>
        <v>290004</v>
      </c>
      <c r="B4724" t="str">
        <f>"Template For Cover Encoder ER2u"</f>
        <v>Template For Cover Encoder ER2u</v>
      </c>
      <c r="C4724" t="str">
        <f t="shared" si="196"/>
        <v>Not for sale</v>
      </c>
    </row>
    <row r="4725" spans="1:3" ht="18" customHeight="1">
      <c r="A4725" t="str">
        <f>"290005"</f>
        <v>290005</v>
      </c>
      <c r="B4725" t="str">
        <f>"Jig for Motor Rotate Table"</f>
        <v>Jig for Motor Rotate Table</v>
      </c>
      <c r="C4725" t="str">
        <f t="shared" si="196"/>
        <v>Not for sale</v>
      </c>
    </row>
    <row r="4726" spans="1:3" ht="18" customHeight="1">
      <c r="A4726" t="str">
        <f>"290006"</f>
        <v>290006</v>
      </c>
      <c r="B4726" t="str">
        <f>"Jig for Motor No.5  ER2u"</f>
        <v>Jig for Motor No.5  ER2u</v>
      </c>
      <c r="C4726" t="str">
        <f t="shared" si="196"/>
        <v>Not for sale</v>
      </c>
    </row>
    <row r="4727" spans="1:3" ht="18" customHeight="1">
      <c r="A4727" t="str">
        <f>"290007"</f>
        <v>290007</v>
      </c>
      <c r="B4727" t="str">
        <f>"Jig for Magnetic sensors TP-B"</f>
        <v>Jig for Magnetic sensors TP-B</v>
      </c>
      <c r="C4727" t="str">
        <f t="shared" si="196"/>
        <v>Not for sale</v>
      </c>
    </row>
    <row r="4728" spans="1:3" ht="18" customHeight="1">
      <c r="A4728" t="str">
        <f>"290008"</f>
        <v>290008</v>
      </c>
      <c r="B4728" t="str">
        <f>"Template for drill Table  MicroCIM"</f>
        <v>Template for drill Table  MicroCIM</v>
      </c>
      <c r="C4728" t="str">
        <f t="shared" si="196"/>
        <v>Not for sale</v>
      </c>
    </row>
    <row r="4729" spans="1:3" ht="18" customHeight="1">
      <c r="A4729" t="str">
        <f>"290009"</f>
        <v>290009</v>
      </c>
      <c r="B4729" t="str">
        <f>"Jig for Diode-Bridge SPS AC Controller"</f>
        <v>Jig for Diode-Bridge SPS AC Controller</v>
      </c>
      <c r="C4729" t="str">
        <f t="shared" si="196"/>
        <v>Not for sale</v>
      </c>
    </row>
    <row r="4730" spans="1:3" ht="18" customHeight="1">
      <c r="A4730" t="str">
        <f>"290010"</f>
        <v>290010</v>
      </c>
      <c r="B4730" t="str">
        <f>"Jig For Assembly Gripper  ER2u"</f>
        <v>Jig For Assembly Gripper  ER2u</v>
      </c>
      <c r="C4730" t="str">
        <f t="shared" si="196"/>
        <v>Not for sale</v>
      </c>
    </row>
    <row r="4731" spans="1:3" ht="18" customHeight="1">
      <c r="A4731" t="str">
        <f>"290011"</f>
        <v>290011</v>
      </c>
      <c r="B4731" t="str">
        <f>"Bar  For Pins ER2u"</f>
        <v>Bar  For Pins ER2u</v>
      </c>
      <c r="C4731" t="str">
        <f t="shared" si="196"/>
        <v>Not for sale</v>
      </c>
    </row>
    <row r="4732" spans="1:3" ht="18" customHeight="1">
      <c r="A4732" t="str">
        <f>"290012"</f>
        <v>290012</v>
      </c>
      <c r="B4732" t="str">
        <f>"Template for drill table simulator"</f>
        <v>Template for drill table simulator</v>
      </c>
      <c r="C4732" t="str">
        <f t="shared" si="196"/>
        <v>Not for sale</v>
      </c>
    </row>
    <row r="4733" spans="1:3" ht="18" customHeight="1">
      <c r="A4733" t="str">
        <f>"290013"</f>
        <v>290013</v>
      </c>
      <c r="B4733" t="str">
        <f>"Jig for Burn &amp; Test ER4u"</f>
        <v>Jig for Burn &amp; Test ER4u</v>
      </c>
      <c r="C4733" t="str">
        <f t="shared" si="196"/>
        <v>Not for sale</v>
      </c>
    </row>
    <row r="4734" spans="1:3" ht="18" customHeight="1">
      <c r="A4734" t="str">
        <f>"290014"</f>
        <v>290014</v>
      </c>
      <c r="B4734" t="str">
        <f>"Weight  Forming"</f>
        <v>Weight  Forming</v>
      </c>
      <c r="C4734" t="str">
        <f>"Inactive"</f>
        <v>Inactive</v>
      </c>
    </row>
    <row r="4735" spans="1:3" ht="18" customHeight="1">
      <c r="A4735" t="str">
        <f>"290015"</f>
        <v>290015</v>
      </c>
      <c r="B4735" t="str">
        <f>"Jig No. 1,2 for Motors"</f>
        <v>Jig No. 1,2 for Motors</v>
      </c>
      <c r="C4735" t="str">
        <f>"Not for sale"</f>
        <v>Not for sale</v>
      </c>
    </row>
    <row r="4736" spans="1:3" ht="18" customHeight="1">
      <c r="A4736" t="str">
        <f>"290016"</f>
        <v>290016</v>
      </c>
      <c r="B4736" t="str">
        <f>"Jig No. 3,4,5 for Motors"</f>
        <v>Jig No. 3,4,5 for Motors</v>
      </c>
      <c r="C4736" t="str">
        <f>"Not for sale"</f>
        <v>Not for sale</v>
      </c>
    </row>
    <row r="4737" spans="1:3" ht="18" customHeight="1">
      <c r="A4737" t="str">
        <f>"290017"</f>
        <v>290017</v>
      </c>
      <c r="B4737" t="str">
        <f>"PunchForCIM Cabinet#015012(324623)Drilling,D70mm"</f>
        <v>PunchForCIM Cabinet#015012(324623)Drilling,D70mm</v>
      </c>
      <c r="C4737" t="str">
        <f>"Not for purc"</f>
        <v>Not for purc</v>
      </c>
    </row>
    <row r="4738" spans="1:3" ht="18" customHeight="1">
      <c r="A4738" t="str">
        <f>"290018"</f>
        <v>290018</v>
      </c>
      <c r="B4738" t="str">
        <f>"Weigth  Forming"</f>
        <v>Weigth  Forming</v>
      </c>
      <c r="C4738" t="str">
        <f t="shared" ref="C4738:C4768" si="197">"Not for sale"</f>
        <v>Not for sale</v>
      </c>
    </row>
    <row r="4739" spans="1:3" ht="18" customHeight="1">
      <c r="A4739" t="str">
        <f>"290019"</f>
        <v>290019</v>
      </c>
      <c r="B4739" t="str">
        <f>"Forming  105022"</f>
        <v>Forming  105022</v>
      </c>
      <c r="C4739" t="str">
        <f t="shared" si="197"/>
        <v>Not for sale</v>
      </c>
    </row>
    <row r="4740" spans="1:3" ht="18" customHeight="1">
      <c r="A4740" t="str">
        <f>"290020"</f>
        <v>290020</v>
      </c>
      <c r="B4740" t="str">
        <f>"Forming  105024"</f>
        <v>Forming  105024</v>
      </c>
      <c r="C4740" t="str">
        <f t="shared" si="197"/>
        <v>Not for sale</v>
      </c>
    </row>
    <row r="4741" spans="1:3" ht="18" customHeight="1">
      <c r="A4741" t="str">
        <f>"290021"</f>
        <v>290021</v>
      </c>
      <c r="B4741" t="str">
        <f>"Forming  105025"</f>
        <v>Forming  105025</v>
      </c>
      <c r="C4741" t="str">
        <f t="shared" si="197"/>
        <v>Not for sale</v>
      </c>
    </row>
    <row r="4742" spans="1:3" ht="18" customHeight="1">
      <c r="A4742" t="str">
        <f>"290022"</f>
        <v>290022</v>
      </c>
      <c r="B4742" t="str">
        <f>"Forming  105018"</f>
        <v>Forming  105018</v>
      </c>
      <c r="C4742" t="str">
        <f t="shared" si="197"/>
        <v>Not for sale</v>
      </c>
    </row>
    <row r="4743" spans="1:3" ht="18" customHeight="1">
      <c r="A4743" t="str">
        <f>"290023"</f>
        <v>290023</v>
      </c>
      <c r="B4743" t="str">
        <f>"Forming  105010"</f>
        <v>Forming  105010</v>
      </c>
      <c r="C4743" t="str">
        <f t="shared" si="197"/>
        <v>Not for sale</v>
      </c>
    </row>
    <row r="4744" spans="1:3" ht="18" customHeight="1">
      <c r="A4744" t="str">
        <f>"290024"</f>
        <v>290024</v>
      </c>
      <c r="B4744" t="str">
        <f>"Forming  105013"</f>
        <v>Forming  105013</v>
      </c>
      <c r="C4744" t="str">
        <f t="shared" si="197"/>
        <v>Not for sale</v>
      </c>
    </row>
    <row r="4745" spans="1:3" ht="18" customHeight="1">
      <c r="A4745" t="str">
        <f>"290025"</f>
        <v>290025</v>
      </c>
      <c r="B4745" t="str">
        <f>"Forming  105014"</f>
        <v>Forming  105014</v>
      </c>
      <c r="C4745" t="str">
        <f t="shared" si="197"/>
        <v>Not for sale</v>
      </c>
    </row>
    <row r="4746" spans="1:3" ht="18" customHeight="1">
      <c r="A4746" t="str">
        <f>"290026"</f>
        <v>290026</v>
      </c>
      <c r="B4746" t="str">
        <f>"Forming  105016"</f>
        <v>Forming  105016</v>
      </c>
      <c r="C4746" t="str">
        <f t="shared" si="197"/>
        <v>Not for sale</v>
      </c>
    </row>
    <row r="4747" spans="1:3" ht="18" customHeight="1">
      <c r="A4747" t="str">
        <f>"290027"</f>
        <v>290027</v>
      </c>
      <c r="B4747" t="str">
        <f>"Forming  105017"</f>
        <v>Forming  105017</v>
      </c>
      <c r="C4747" t="str">
        <f t="shared" si="197"/>
        <v>Not for sale</v>
      </c>
    </row>
    <row r="4748" spans="1:3" ht="18" customHeight="1">
      <c r="A4748" t="str">
        <f>"290028"</f>
        <v>290028</v>
      </c>
      <c r="B4748" t="str">
        <f>"Forming  105015"</f>
        <v>Forming  105015</v>
      </c>
      <c r="C4748" t="str">
        <f t="shared" si="197"/>
        <v>Not for sale</v>
      </c>
    </row>
    <row r="4749" spans="1:3" ht="18" customHeight="1">
      <c r="A4749" t="str">
        <f>"290029"</f>
        <v>290029</v>
      </c>
      <c r="B4749" t="str">
        <f>"Forming  105019"</f>
        <v>Forming  105019</v>
      </c>
      <c r="C4749" t="str">
        <f t="shared" si="197"/>
        <v>Not for sale</v>
      </c>
    </row>
    <row r="4750" spans="1:3" ht="18" customHeight="1">
      <c r="A4750" t="str">
        <f>"290030"</f>
        <v>290030</v>
      </c>
      <c r="B4750" t="str">
        <f>"Forming  105012"</f>
        <v>Forming  105012</v>
      </c>
      <c r="C4750" t="str">
        <f t="shared" si="197"/>
        <v>Not for sale</v>
      </c>
    </row>
    <row r="4751" spans="1:3" ht="18" customHeight="1">
      <c r="A4751" t="str">
        <f>"290031"</f>
        <v>290031</v>
      </c>
      <c r="B4751" t="str">
        <f>"Forming  105011"</f>
        <v>Forming  105011</v>
      </c>
      <c r="C4751" t="str">
        <f t="shared" si="197"/>
        <v>Not for sale</v>
      </c>
    </row>
    <row r="4752" spans="1:3" ht="18" customHeight="1">
      <c r="A4752" t="str">
        <f>"290032"</f>
        <v>290032</v>
      </c>
      <c r="B4752" t="str">
        <f>"Forming  113038"</f>
        <v>Forming  113038</v>
      </c>
      <c r="C4752" t="str">
        <f t="shared" si="197"/>
        <v>Not for sale</v>
      </c>
    </row>
    <row r="4753" spans="1:3" ht="18" customHeight="1">
      <c r="A4753" t="str">
        <f>"290033"</f>
        <v>290033</v>
      </c>
      <c r="B4753" t="str">
        <f>"Forming  111972"</f>
        <v>Forming  111972</v>
      </c>
      <c r="C4753" t="str">
        <f t="shared" si="197"/>
        <v>Not for sale</v>
      </c>
    </row>
    <row r="4754" spans="1:3" ht="18" customHeight="1">
      <c r="A4754" t="str">
        <f>"290034"</f>
        <v>290034</v>
      </c>
      <c r="B4754" t="str">
        <f>"Forming  111973"</f>
        <v>Forming  111973</v>
      </c>
      <c r="C4754" t="str">
        <f t="shared" si="197"/>
        <v>Not for sale</v>
      </c>
    </row>
    <row r="4755" spans="1:3" ht="18" customHeight="1">
      <c r="A4755" t="str">
        <f>"290035"</f>
        <v>290035</v>
      </c>
      <c r="B4755" t="str">
        <f>"Forming  113004"</f>
        <v>Forming  113004</v>
      </c>
      <c r="C4755" t="str">
        <f t="shared" si="197"/>
        <v>Not for sale</v>
      </c>
    </row>
    <row r="4756" spans="1:3" ht="18" customHeight="1">
      <c r="A4756" t="str">
        <f>"290036"</f>
        <v>290036</v>
      </c>
      <c r="B4756" t="str">
        <f>"Forming  113008"</f>
        <v>Forming  113008</v>
      </c>
      <c r="C4756" t="str">
        <f t="shared" si="197"/>
        <v>Not for sale</v>
      </c>
    </row>
    <row r="4757" spans="1:3" ht="18" customHeight="1">
      <c r="A4757" t="str">
        <f>"290037"</f>
        <v>290037</v>
      </c>
      <c r="B4757" t="str">
        <f>"Forming  113009"</f>
        <v>Forming  113009</v>
      </c>
      <c r="C4757" t="str">
        <f t="shared" si="197"/>
        <v>Not for sale</v>
      </c>
    </row>
    <row r="4758" spans="1:3" ht="18" customHeight="1">
      <c r="A4758" t="str">
        <f>"290038"</f>
        <v>290038</v>
      </c>
      <c r="B4758" t="str">
        <f>"Forming  113059"</f>
        <v>Forming  113059</v>
      </c>
      <c r="C4758" t="str">
        <f t="shared" si="197"/>
        <v>Not for sale</v>
      </c>
    </row>
    <row r="4759" spans="1:3" ht="18" customHeight="1">
      <c r="A4759" t="str">
        <f>"290039"</f>
        <v>290039</v>
      </c>
      <c r="B4759" t="str">
        <f>"Forming  113030"</f>
        <v>Forming  113030</v>
      </c>
      <c r="C4759" t="str">
        <f t="shared" si="197"/>
        <v>Not for sale</v>
      </c>
    </row>
    <row r="4760" spans="1:3" ht="18" customHeight="1">
      <c r="A4760" t="str">
        <f>"290040"</f>
        <v>290040</v>
      </c>
      <c r="B4760" t="str">
        <f>"Forming  113031/2/3"</f>
        <v>Forming  113031/2/3</v>
      </c>
      <c r="C4760" t="str">
        <f t="shared" si="197"/>
        <v>Not for sale</v>
      </c>
    </row>
    <row r="4761" spans="1:3" ht="18" customHeight="1">
      <c r="A4761" t="str">
        <f>"290041"</f>
        <v>290041</v>
      </c>
      <c r="B4761" t="str">
        <f>"Forming  113024"</f>
        <v>Forming  113024</v>
      </c>
      <c r="C4761" t="str">
        <f t="shared" si="197"/>
        <v>Not for sale</v>
      </c>
    </row>
    <row r="4762" spans="1:3" ht="18" customHeight="1">
      <c r="A4762" t="str">
        <f>"290042"</f>
        <v>290042</v>
      </c>
      <c r="B4762" t="str">
        <f>"Forming  113064"</f>
        <v>Forming  113064</v>
      </c>
      <c r="C4762" t="str">
        <f t="shared" si="197"/>
        <v>Not for sale</v>
      </c>
    </row>
    <row r="4763" spans="1:3" ht="18" customHeight="1">
      <c r="A4763" t="str">
        <f>"290043"</f>
        <v>290043</v>
      </c>
      <c r="B4763" t="str">
        <f>"Forming  113005,93010"</f>
        <v>Forming  113005,93010</v>
      </c>
      <c r="C4763" t="str">
        <f t="shared" si="197"/>
        <v>Not for sale</v>
      </c>
    </row>
    <row r="4764" spans="1:3" ht="18" customHeight="1">
      <c r="A4764" t="str">
        <f>"290044"</f>
        <v>290044</v>
      </c>
      <c r="B4764" t="str">
        <f>"Forming  113079, 93030"</f>
        <v>Forming  113079, 93030</v>
      </c>
      <c r="C4764" t="str">
        <f t="shared" si="197"/>
        <v>Not for sale</v>
      </c>
    </row>
    <row r="4765" spans="1:3" ht="18" customHeight="1">
      <c r="A4765" t="str">
        <f>"290045"</f>
        <v>290045</v>
      </c>
      <c r="B4765" t="str">
        <f>"Forming  113111/2"</f>
        <v>Forming  113111/2</v>
      </c>
      <c r="C4765" t="str">
        <f t="shared" si="197"/>
        <v>Not for sale</v>
      </c>
    </row>
    <row r="4766" spans="1:3" ht="18" customHeight="1">
      <c r="A4766" t="str">
        <f>"290046"</f>
        <v>290046</v>
      </c>
      <c r="B4766" t="str">
        <f>"Forming  113012,93050"</f>
        <v>Forming  113012,93050</v>
      </c>
      <c r="C4766" t="str">
        <f t="shared" si="197"/>
        <v>Not for sale</v>
      </c>
    </row>
    <row r="4767" spans="1:3" ht="18" customHeight="1">
      <c r="A4767" t="str">
        <f>"290047"</f>
        <v>290047</v>
      </c>
      <c r="B4767" t="str">
        <f>"Forming  113204"</f>
        <v>Forming  113204</v>
      </c>
      <c r="C4767" t="str">
        <f t="shared" si="197"/>
        <v>Not for sale</v>
      </c>
    </row>
    <row r="4768" spans="1:3" ht="18" customHeight="1">
      <c r="A4768" t="str">
        <f>"290048"</f>
        <v>290048</v>
      </c>
      <c r="B4768" t="str">
        <f>"Forming Encoder Disc 20Slot - 105003"</f>
        <v>Forming Encoder Disc 20Slot - 105003</v>
      </c>
      <c r="C4768" t="str">
        <f t="shared" si="197"/>
        <v>Not for sale</v>
      </c>
    </row>
    <row r="4769" spans="1:3" ht="18" customHeight="1">
      <c r="A4769" t="str">
        <f>"290049"</f>
        <v>290049</v>
      </c>
      <c r="B4769" t="str">
        <f>"Forming for TP Pack Box"</f>
        <v>Forming for TP Pack Box</v>
      </c>
      <c r="C4769" t="str">
        <f>"Active"</f>
        <v>Active</v>
      </c>
    </row>
    <row r="4770" spans="1:3" ht="18" customHeight="1">
      <c r="A4770" t="str">
        <f>"290050"</f>
        <v>290050</v>
      </c>
      <c r="B4770" t="str">
        <f>"Forming for 105005"</f>
        <v>Forming for 105005</v>
      </c>
      <c r="C4770" t="str">
        <f>"Not for sale"</f>
        <v>Not for sale</v>
      </c>
    </row>
    <row r="4771" spans="1:3" ht="18" customHeight="1">
      <c r="A4771" t="str">
        <f>"290051"</f>
        <v>290051</v>
      </c>
      <c r="B4771" t="str">
        <f>"Forming for 105006"</f>
        <v>Forming for 105006</v>
      </c>
      <c r="C4771" t="str">
        <f>"Not for sale"</f>
        <v>Not for sale</v>
      </c>
    </row>
    <row r="4772" spans="1:3" ht="18" customHeight="1">
      <c r="A4772" t="str">
        <f>"290052"</f>
        <v>290052</v>
      </c>
      <c r="B4772" t="str">
        <f>"Forming for 105007"</f>
        <v>Forming for 105007</v>
      </c>
      <c r="C4772" t="str">
        <f>"Not for sale"</f>
        <v>Not for sale</v>
      </c>
    </row>
    <row r="4773" spans="1:3" ht="18" customHeight="1">
      <c r="A4773" t="str">
        <f>"290053"</f>
        <v>290053</v>
      </c>
      <c r="B4773" t="str">
        <f>"Forming for 105008"</f>
        <v>Forming for 105008</v>
      </c>
      <c r="C4773" t="str">
        <f>"Not for sale"</f>
        <v>Not for sale</v>
      </c>
    </row>
    <row r="4774" spans="1:3" ht="18" customHeight="1">
      <c r="A4774" t="str">
        <f>"290054"</f>
        <v>290054</v>
      </c>
      <c r="B4774" t="str">
        <f>"Forming for 105009"</f>
        <v>Forming for 105009</v>
      </c>
      <c r="C4774" t="str">
        <f>"Not for sale"</f>
        <v>Not for sale</v>
      </c>
    </row>
    <row r="4775" spans="1:3" ht="18" customHeight="1">
      <c r="A4775" t="str">
        <f>"290055"</f>
        <v>290055</v>
      </c>
      <c r="B4775" t="str">
        <f>"Knife for Felt cutting 113229"</f>
        <v>Knife for Felt cutting 113229</v>
      </c>
      <c r="C4775" t="str">
        <f>"New"</f>
        <v>New</v>
      </c>
    </row>
    <row r="4776" spans="1:3" ht="18" customHeight="1">
      <c r="A4776" t="str">
        <f>"290056"</f>
        <v>290056</v>
      </c>
      <c r="B4776" t="str">
        <f>"Template#1for drill Open-CIM Box#015012(#324623)"</f>
        <v>Template#1for drill Open-CIM Box#015012(#324623)</v>
      </c>
      <c r="C4776" t="str">
        <f>"Not for purc"</f>
        <v>Not for purc</v>
      </c>
    </row>
    <row r="4777" spans="1:3" ht="18" customHeight="1">
      <c r="A4777" t="str">
        <f>"290057"</f>
        <v>290057</v>
      </c>
      <c r="B4777" t="str">
        <f>"Mold for 2 Bevel gears 113008, 113009 for ER4U"</f>
        <v>Mold for 2 Bevel gears 113008, 113009 for ER4U</v>
      </c>
      <c r="C4777" t="str">
        <f>"Not for sale"</f>
        <v>Not for sale</v>
      </c>
    </row>
    <row r="4778" spans="1:3" ht="18" customHeight="1">
      <c r="A4778" t="str">
        <f>"290058"</f>
        <v>290058</v>
      </c>
      <c r="B4778" t="str">
        <f>"Template#2for drill Open-CIM Box#015012(#324623)"</f>
        <v>Template#2for drill Open-CIM Box#015012(#324623)</v>
      </c>
      <c r="C4778" t="str">
        <f>"New"</f>
        <v>New</v>
      </c>
    </row>
    <row r="4779" spans="1:3" ht="18" customHeight="1">
      <c r="A4779" t="str">
        <f>"290059"</f>
        <v>290059</v>
      </c>
      <c r="B4779" t="str">
        <f>"Forming for Support GA400AS#103233(for Pack Box)"</f>
        <v>Forming for Support GA400AS#103233(for Pack Box)</v>
      </c>
      <c r="C4779" t="str">
        <f>"Active"</f>
        <v>Active</v>
      </c>
    </row>
    <row r="4780" spans="1:3" ht="18" customHeight="1">
      <c r="A4780" t="str">
        <f>"290060"</f>
        <v>290060</v>
      </c>
      <c r="B4780" t="str">
        <f>"Forming for Carton Pack Box 103092"</f>
        <v>Forming for Carton Pack Box 103092</v>
      </c>
      <c r="C4780" t="str">
        <f>"Active"</f>
        <v>Active</v>
      </c>
    </row>
    <row r="4781" spans="1:3" ht="18" customHeight="1">
      <c r="A4781" t="str">
        <f>"290061"</f>
        <v>290061</v>
      </c>
      <c r="B4781" t="str">
        <f>"MILL PLEXIGLASS CUTTING INSPECTION"</f>
        <v>MILL PLEXIGLASS CUTTING INSPECTION</v>
      </c>
      <c r="C4781" t="str">
        <f t="shared" ref="C4781:C4789" si="198">"New"</f>
        <v>New</v>
      </c>
    </row>
    <row r="4782" spans="1:3" ht="18" customHeight="1">
      <c r="A4782" t="str">
        <f>"290062"</f>
        <v>290062</v>
      </c>
      <c r="B4782" t="str">
        <f>"MILL BRASS CUTTING INSPECTION 50x90mm"</f>
        <v>MILL BRASS CUTTING INSPECTION 50x90mm</v>
      </c>
      <c r="C4782" t="str">
        <f t="shared" si="198"/>
        <v>New</v>
      </c>
    </row>
    <row r="4783" spans="1:3" ht="18" customHeight="1">
      <c r="A4783" t="str">
        <f>"290063"</f>
        <v>290063</v>
      </c>
      <c r="B4783" t="str">
        <f>"LATHE INSPECTION ALUMINIUM NC"</f>
        <v>LATHE INSPECTION ALUMINIUM NC</v>
      </c>
      <c r="C4783" t="str">
        <f t="shared" si="198"/>
        <v>New</v>
      </c>
    </row>
    <row r="4784" spans="1:3" ht="18" customHeight="1">
      <c r="A4784" t="str">
        <f>"290064"</f>
        <v>290064</v>
      </c>
      <c r="B4784" t="str">
        <f>"LATHE INSPECTION DELARIN"</f>
        <v>LATHE INSPECTION DELARIN</v>
      </c>
      <c r="C4784" t="str">
        <f t="shared" si="198"/>
        <v>New</v>
      </c>
    </row>
    <row r="4785" spans="1:3" ht="18" customHeight="1">
      <c r="A4785" t="str">
        <f>"290065"</f>
        <v>290065</v>
      </c>
      <c r="B4785" t="str">
        <f>"Solder Mask , C.S 430092- 045107 #408/372/06"</f>
        <v>Solder Mask , C.S 430092- 045107 #408/372/06</v>
      </c>
      <c r="C4785" t="str">
        <f t="shared" si="198"/>
        <v>New</v>
      </c>
    </row>
    <row r="4786" spans="1:3" ht="18" customHeight="1">
      <c r="A4786" t="str">
        <f>"290066"</f>
        <v>290066</v>
      </c>
      <c r="B4786" t="str">
        <f>"Solder Mask , C.S/P.S 430097- 2 units #08-112/3F"</f>
        <v>Solder Mask , C.S/P.S 430097- 2 units #08-112/3F</v>
      </c>
      <c r="C4786" t="str">
        <f t="shared" si="198"/>
        <v>New</v>
      </c>
    </row>
    <row r="4787" spans="1:3" ht="18" customHeight="1">
      <c r="A4787" t="str">
        <f>"290067"</f>
        <v>290067</v>
      </c>
      <c r="B4787" t="str">
        <f>"Solder Mask , C.S/P.S 430098- 045121 #1039-2118"</f>
        <v>Solder Mask , C.S/P.S 430098- 045121 #1039-2118</v>
      </c>
      <c r="C4787" t="str">
        <f t="shared" si="198"/>
        <v>New</v>
      </c>
    </row>
    <row r="4788" spans="1:3" ht="18" customHeight="1">
      <c r="A4788" t="str">
        <f>"290068"</f>
        <v>290068</v>
      </c>
      <c r="B4788" t="str">
        <f>"MILL PLEXIGLASS CUTTING INSPECTION"</f>
        <v>MILL PLEXIGLASS CUTTING INSPECTION</v>
      </c>
      <c r="C4788" t="str">
        <f t="shared" si="198"/>
        <v>New</v>
      </c>
    </row>
    <row r="4789" spans="1:3" ht="18" customHeight="1">
      <c r="A4789" t="str">
        <f>"290069"</f>
        <v>290069</v>
      </c>
      <c r="B4789" t="str">
        <f>"JIG for gluing scale-disk to motor's X-adapter"</f>
        <v>JIG for gluing scale-disk to motor's X-adapter</v>
      </c>
      <c r="C4789" t="str">
        <f t="shared" si="198"/>
        <v>New</v>
      </c>
    </row>
    <row r="4790" spans="1:3" ht="18" customHeight="1">
      <c r="A4790" t="str">
        <f>"300001"</f>
        <v>300001</v>
      </c>
      <c r="B4790" t="str">
        <f>"Clamp Cable - 79 x 2.3mm PLT.7M-M"</f>
        <v>Clamp Cable - 79 x 2.3mm PLT.7M-M</v>
      </c>
      <c r="C4790" t="str">
        <f t="shared" ref="C4790:C4816" si="199">"Active"</f>
        <v>Active</v>
      </c>
    </row>
    <row r="4791" spans="1:3" ht="18" customHeight="1">
      <c r="A4791" t="str">
        <f>"300002"</f>
        <v>300002</v>
      </c>
      <c r="B4791" t="str">
        <f>"Clamp Cable  - 203 x 2.5mm PLT2M-M"</f>
        <v>Clamp Cable  - 203 x 2.5mm PLT2M-M</v>
      </c>
      <c r="C4791" t="str">
        <f t="shared" si="199"/>
        <v>Active</v>
      </c>
    </row>
    <row r="4792" spans="1:3" ht="18" customHeight="1">
      <c r="A4792" t="str">
        <f>"300003"</f>
        <v>300003</v>
      </c>
      <c r="B4792" t="str">
        <f>"Clamp Cable- 142 x 3.6mm  PLT1.5I-M"</f>
        <v>Clamp Cable- 142 x 3.6mm  PLT1.5I-M</v>
      </c>
      <c r="C4792" t="str">
        <f t="shared" si="199"/>
        <v>Active</v>
      </c>
    </row>
    <row r="4793" spans="1:3" ht="18" customHeight="1">
      <c r="A4793" t="str">
        <f>"300004"</f>
        <v>300004</v>
      </c>
      <c r="B4793" t="str">
        <f>"Clamp Cable - 203 x 3.6mm  PLT2I-M Black"</f>
        <v>Clamp Cable - 203 x 3.6mm  PLT2I-M Black</v>
      </c>
      <c r="C4793" t="str">
        <f t="shared" si="199"/>
        <v>Active</v>
      </c>
    </row>
    <row r="4794" spans="1:3" ht="18" customHeight="1">
      <c r="A4794" t="str">
        <f>"300005"</f>
        <v>300005</v>
      </c>
      <c r="B4794" t="str">
        <f>"Clamp Cable  - 188 x 4.8mm  PLT2S-M"</f>
        <v>Clamp Cable  - 188 x 4.8mm  PLT2S-M</v>
      </c>
      <c r="C4794" t="str">
        <f t="shared" si="199"/>
        <v>Active</v>
      </c>
    </row>
    <row r="4795" spans="1:3" ht="18" customHeight="1">
      <c r="A4795" t="str">
        <f>"300006"</f>
        <v>300006</v>
      </c>
      <c r="B4795" t="str">
        <f>"Clamp Cable Nylon  TM3S10"</f>
        <v>Clamp Cable Nylon  TM3S10</v>
      </c>
      <c r="C4795" t="str">
        <f t="shared" si="199"/>
        <v>Active</v>
      </c>
    </row>
    <row r="4796" spans="1:3" ht="18" customHeight="1">
      <c r="A4796" t="str">
        <f>"300007"</f>
        <v>300007</v>
      </c>
      <c r="B4796" t="str">
        <f>"WhiteNylonCableClamp5/16"""</f>
        <v>WhiteNylonCableClamp5/16"</v>
      </c>
      <c r="C4796" t="str">
        <f t="shared" si="199"/>
        <v>Active</v>
      </c>
    </row>
    <row r="4797" spans="1:3" ht="18" customHeight="1">
      <c r="A4797" t="str">
        <f>"300009"</f>
        <v>300009</v>
      </c>
      <c r="B4797" t="str">
        <f>"Clamp Hose Nylon - R11  (911)"</f>
        <v>Clamp Hose Nylon - R11  (911)</v>
      </c>
      <c r="C4797" t="str">
        <f t="shared" si="199"/>
        <v>Active</v>
      </c>
    </row>
    <row r="4798" spans="1:3" ht="18" customHeight="1">
      <c r="A4798" t="str">
        <f>"300010"</f>
        <v>300010</v>
      </c>
      <c r="B4798" t="str">
        <f>"Clamp Cable  Fastnr.-19x19mm  ABMM-A"</f>
        <v>Clamp Cable  Fastnr.-19x19mm  ABMM-A</v>
      </c>
      <c r="C4798" t="str">
        <f t="shared" si="199"/>
        <v>Active</v>
      </c>
    </row>
    <row r="4799" spans="1:3" ht="18" customHeight="1">
      <c r="A4799" t="str">
        <f>"300011"</f>
        <v>300011</v>
      </c>
      <c r="B4799" t="str">
        <f>"Clamp Cable + Markable -109x2.5"</f>
        <v>Clamp Cable + Markable -109x2.5</v>
      </c>
      <c r="C4799" t="str">
        <f t="shared" si="199"/>
        <v>Active</v>
      </c>
    </row>
    <row r="4800" spans="1:3" ht="18" customHeight="1">
      <c r="A4800" t="str">
        <f>"300013"</f>
        <v>300013</v>
      </c>
      <c r="B4800" t="str">
        <f>"Clamp Cable - 143 x 3.3mm 08400 Black"</f>
        <v>Clamp Cable - 143 x 3.3mm 08400 Black</v>
      </c>
      <c r="C4800" t="str">
        <f t="shared" si="199"/>
        <v>Active</v>
      </c>
    </row>
    <row r="4801" spans="1:3" ht="18" customHeight="1">
      <c r="A4801" t="str">
        <f>"300014"</f>
        <v>300014</v>
      </c>
      <c r="B4801" t="str">
        <f>"Clamp Cable Flat  DEK 026-0163"</f>
        <v>Clamp Cable Flat  DEK 026-0163</v>
      </c>
      <c r="C4801" t="str">
        <f t="shared" si="199"/>
        <v>Active</v>
      </c>
    </row>
    <row r="4802" spans="1:3" ht="18" customHeight="1">
      <c r="A4802" t="str">
        <f>"300015"</f>
        <v>300015</v>
      </c>
      <c r="B4802" t="str">
        <f>"Clamp Cable Nylon - 1/8"""</f>
        <v>Clamp Cable Nylon - 1/8"</v>
      </c>
      <c r="C4802" t="str">
        <f t="shared" si="199"/>
        <v>Active</v>
      </c>
    </row>
    <row r="4803" spans="1:3" ht="18" customHeight="1">
      <c r="A4803" t="str">
        <f>"300016"</f>
        <v>300016</v>
      </c>
      <c r="B4803" t="str">
        <f>"Clamp Cable Nylon - 1/4"""</f>
        <v>Clamp Cable Nylon - 1/4"</v>
      </c>
      <c r="C4803" t="str">
        <f t="shared" si="199"/>
        <v>Active</v>
      </c>
    </row>
    <row r="4804" spans="1:3" ht="18" customHeight="1">
      <c r="A4804" t="str">
        <f>"300017"</f>
        <v>300017</v>
      </c>
      <c r="B4804" t="str">
        <f>"Clamp Cable Nylon - 3/16"""</f>
        <v>Clamp Cable Nylon - 3/16"</v>
      </c>
      <c r="C4804" t="str">
        <f t="shared" si="199"/>
        <v>Active</v>
      </c>
    </row>
    <row r="4805" spans="1:3" ht="18" customHeight="1">
      <c r="A4805" t="str">
        <f>"300019"</f>
        <v>300019</v>
      </c>
      <c r="B4805" t="str">
        <f>"Clamp Cable Black - 1/4"""</f>
        <v>Clamp Cable Black - 1/4"</v>
      </c>
      <c r="C4805" t="str">
        <f t="shared" si="199"/>
        <v>Active</v>
      </c>
    </row>
    <row r="4806" spans="1:3" ht="18" customHeight="1">
      <c r="A4806" t="str">
        <f>"300020"</f>
        <v>300020</v>
      </c>
      <c r="B4806" t="str">
        <f>"Nylon Hose Clamp -R 18 (918)"</f>
        <v>Nylon Hose Clamp -R 18 (918)</v>
      </c>
      <c r="C4806" t="str">
        <f t="shared" si="199"/>
        <v>Active</v>
      </c>
    </row>
    <row r="4807" spans="1:3" ht="18" customHeight="1">
      <c r="A4807" t="str">
        <f>"300021"</f>
        <v>300021</v>
      </c>
      <c r="B4807" t="str">
        <f>"Clamp Hose Nylon  - R20"</f>
        <v>Clamp Hose Nylon  - R20</v>
      </c>
      <c r="C4807" t="str">
        <f t="shared" si="199"/>
        <v>Active</v>
      </c>
    </row>
    <row r="4808" spans="1:3" ht="18" customHeight="1">
      <c r="A4808" t="str">
        <f>"300024"</f>
        <v>300024</v>
      </c>
      <c r="B4808" t="str">
        <f>"Nylon Cable Tie 2.5 x 8.3mm BLACK"</f>
        <v>Nylon Cable Tie 2.5 x 8.3mm BLACK</v>
      </c>
      <c r="C4808" t="str">
        <f t="shared" si="199"/>
        <v>Active</v>
      </c>
    </row>
    <row r="4809" spans="1:3" ht="18" customHeight="1">
      <c r="A4809" t="str">
        <f>"300029"</f>
        <v>300029</v>
      </c>
      <c r="B4809" t="str">
        <f>"Clamp Cable  5/16""  CCS31S8 Black"</f>
        <v>Clamp Cable  5/16"  CCS31S8 Black</v>
      </c>
      <c r="C4809" t="str">
        <f t="shared" si="199"/>
        <v>Active</v>
      </c>
    </row>
    <row r="4810" spans="1:3" ht="18" customHeight="1">
      <c r="A4810" t="str">
        <f>"300030"</f>
        <v>300030</v>
      </c>
      <c r="B4810" t="str">
        <f>"LATCHE  680x60"</f>
        <v>LATCHE  680x60</v>
      </c>
      <c r="C4810" t="str">
        <f t="shared" si="199"/>
        <v>Active</v>
      </c>
    </row>
    <row r="4811" spans="1:3" ht="18" customHeight="1">
      <c r="A4811" t="str">
        <f>"301002"</f>
        <v>301002</v>
      </c>
      <c r="B4811" t="str">
        <f>"Screw Allen Socket Head Cap -Blk.  M2.5x 16"</f>
        <v>Screw Allen Socket Head Cap -Blk.  M2.5x 16</v>
      </c>
      <c r="C4811" t="str">
        <f t="shared" si="199"/>
        <v>Active</v>
      </c>
    </row>
    <row r="4812" spans="1:3" ht="18" customHeight="1">
      <c r="A4812" t="str">
        <f>"301004"</f>
        <v>301004</v>
      </c>
      <c r="B4812" t="str">
        <f>"Screw Allen Socket Head Cap -Blk.  M3  x 10"</f>
        <v>Screw Allen Socket Head Cap -Blk.  M3  x 10</v>
      </c>
      <c r="C4812" t="str">
        <f t="shared" si="199"/>
        <v>Active</v>
      </c>
    </row>
    <row r="4813" spans="1:3" ht="18" customHeight="1">
      <c r="A4813" t="str">
        <f>"301005"</f>
        <v>301005</v>
      </c>
      <c r="B4813" t="str">
        <f>"Screw Allen Socket Head Cap -Blk.  M3  x 12"</f>
        <v>Screw Allen Socket Head Cap -Blk.  M3  x 12</v>
      </c>
      <c r="C4813" t="str">
        <f t="shared" si="199"/>
        <v>Active</v>
      </c>
    </row>
    <row r="4814" spans="1:3" ht="18" customHeight="1">
      <c r="A4814" t="str">
        <f>"301006"</f>
        <v>301006</v>
      </c>
      <c r="B4814" t="str">
        <f>"Screw Allen Socket Head Cap -Blk.  M3  x 16"</f>
        <v>Screw Allen Socket Head Cap -Blk.  M3  x 16</v>
      </c>
      <c r="C4814" t="str">
        <f t="shared" si="199"/>
        <v>Active</v>
      </c>
    </row>
    <row r="4815" spans="1:3" ht="18" customHeight="1">
      <c r="A4815" t="str">
        <f>"301007"</f>
        <v>301007</v>
      </c>
      <c r="B4815" t="str">
        <f>"Screw Allen Socket Head Cap -Blk.  M3  x 25"</f>
        <v>Screw Allen Socket Head Cap -Blk.  M3  x 25</v>
      </c>
      <c r="C4815" t="str">
        <f t="shared" si="199"/>
        <v>Active</v>
      </c>
    </row>
    <row r="4816" spans="1:3" ht="18" customHeight="1">
      <c r="A4816" t="str">
        <f>"301008"</f>
        <v>301008</v>
      </c>
      <c r="B4816" t="str">
        <f>"Screw Allen Socket Head Cap -Blk.  M3  x  4"</f>
        <v>Screw Allen Socket Head Cap -Blk.  M3  x  4</v>
      </c>
      <c r="C4816" t="str">
        <f t="shared" si="199"/>
        <v>Active</v>
      </c>
    </row>
    <row r="4817" spans="1:3" ht="18" customHeight="1">
      <c r="A4817" t="str">
        <f>"301009"</f>
        <v>301009</v>
      </c>
      <c r="B4817" t="str">
        <f>"Screw Allen Socket Head Cap -Blk.  M3  x  5"</f>
        <v>Screw Allen Socket Head Cap -Blk.  M3  x  5</v>
      </c>
      <c r="C4817" t="str">
        <f>"Phase Out"</f>
        <v>Phase Out</v>
      </c>
    </row>
    <row r="4818" spans="1:3" ht="18" customHeight="1">
      <c r="A4818" t="str">
        <f>"301010"</f>
        <v>301010</v>
      </c>
      <c r="B4818" t="str">
        <f>"Screw Allen Socket Head Cap -Blk.  M3  x  6"</f>
        <v>Screw Allen Socket Head Cap -Blk.  M3  x  6</v>
      </c>
      <c r="C4818" t="str">
        <f t="shared" ref="C4818:C4834" si="200">"Active"</f>
        <v>Active</v>
      </c>
    </row>
    <row r="4819" spans="1:3" ht="18" customHeight="1">
      <c r="A4819" t="str">
        <f>"301011"</f>
        <v>301011</v>
      </c>
      <c r="B4819" t="str">
        <f>"Screw Allen Socket Head Cap -Blk.  M3  x  8"</f>
        <v>Screw Allen Socket Head Cap -Blk.  M3  x  8</v>
      </c>
      <c r="C4819" t="str">
        <f t="shared" si="200"/>
        <v>Active</v>
      </c>
    </row>
    <row r="4820" spans="1:3" ht="18" customHeight="1">
      <c r="A4820" t="str">
        <f>"301012"</f>
        <v>301012</v>
      </c>
      <c r="B4820" t="str">
        <f>"Screw Allen Socket Head Cap -Blk. M4 x 10"</f>
        <v>Screw Allen Socket Head Cap -Blk. M4 x 10</v>
      </c>
      <c r="C4820" t="str">
        <f t="shared" si="200"/>
        <v>Active</v>
      </c>
    </row>
    <row r="4821" spans="1:3" ht="18" customHeight="1">
      <c r="A4821" t="str">
        <f>"301013"</f>
        <v>301013</v>
      </c>
      <c r="B4821" t="str">
        <f>"Screw Allen Socket Head Cap -Blk. M4 x 12"</f>
        <v>Screw Allen Socket Head Cap -Blk. M4 x 12</v>
      </c>
      <c r="C4821" t="str">
        <f t="shared" si="200"/>
        <v>Active</v>
      </c>
    </row>
    <row r="4822" spans="1:3" ht="18" customHeight="1">
      <c r="A4822" t="str">
        <f>"301014"</f>
        <v>301014</v>
      </c>
      <c r="B4822" t="str">
        <f>"Screw Allen Socket Head Cap -Blk.  M4 x 35"</f>
        <v>Screw Allen Socket Head Cap -Blk.  M4 x 35</v>
      </c>
      <c r="C4822" t="str">
        <f t="shared" si="200"/>
        <v>Active</v>
      </c>
    </row>
    <row r="4823" spans="1:3" ht="18" customHeight="1">
      <c r="A4823" t="str">
        <f>"301015"</f>
        <v>301015</v>
      </c>
      <c r="B4823" t="str">
        <f>"Screw Allen Socket Head Cap -Blk.  M4  x 16"</f>
        <v>Screw Allen Socket Head Cap -Blk.  M4  x 16</v>
      </c>
      <c r="C4823" t="str">
        <f t="shared" si="200"/>
        <v>Active</v>
      </c>
    </row>
    <row r="4824" spans="1:3" ht="18" customHeight="1">
      <c r="A4824" t="str">
        <f>"301016"</f>
        <v>301016</v>
      </c>
      <c r="B4824" t="str">
        <f>"Screw Allen Socket Head Cap -Blk.  M4  x 18"</f>
        <v>Screw Allen Socket Head Cap -Blk.  M4  x 18</v>
      </c>
      <c r="C4824" t="str">
        <f t="shared" si="200"/>
        <v>Active</v>
      </c>
    </row>
    <row r="4825" spans="1:3" ht="18" customHeight="1">
      <c r="A4825" t="str">
        <f>"301017"</f>
        <v>301017</v>
      </c>
      <c r="B4825" t="str">
        <f>"Screw Allen Socket Head Cap -Blk.  M4  x 20"</f>
        <v>Screw Allen Socket Head Cap -Blk.  M4  x 20</v>
      </c>
      <c r="C4825" t="str">
        <f t="shared" si="200"/>
        <v>Active</v>
      </c>
    </row>
    <row r="4826" spans="1:3" ht="18" customHeight="1">
      <c r="A4826" t="str">
        <f>"301018"</f>
        <v>301018</v>
      </c>
      <c r="B4826" t="str">
        <f>"Screw Allen Socket Head Cap -Blk. M4 x 25"</f>
        <v>Screw Allen Socket Head Cap -Blk. M4 x 25</v>
      </c>
      <c r="C4826" t="str">
        <f t="shared" si="200"/>
        <v>Active</v>
      </c>
    </row>
    <row r="4827" spans="1:3" ht="18" customHeight="1">
      <c r="A4827" t="str">
        <f>"301019"</f>
        <v>301019</v>
      </c>
      <c r="B4827" t="str">
        <f>"Screw Allen Socket Head Cap -Blk.  M4  x 30"</f>
        <v>Screw Allen Socket Head Cap -Blk.  M4  x 30</v>
      </c>
      <c r="C4827" t="str">
        <f t="shared" si="200"/>
        <v>Active</v>
      </c>
    </row>
    <row r="4828" spans="1:3" ht="18" customHeight="1">
      <c r="A4828" t="str">
        <f>"301020"</f>
        <v>301020</v>
      </c>
      <c r="B4828" t="str">
        <f>"Screw Allen Socket Head Cap -Blk.  M4  x 40"</f>
        <v>Screw Allen Socket Head Cap -Blk.  M4  x 40</v>
      </c>
      <c r="C4828" t="str">
        <f t="shared" si="200"/>
        <v>Active</v>
      </c>
    </row>
    <row r="4829" spans="1:3" ht="18" customHeight="1">
      <c r="A4829" t="str">
        <f>"301021"</f>
        <v>301021</v>
      </c>
      <c r="B4829" t="str">
        <f>"Screw Allen Socket Head Cap -Blk. M4x6"</f>
        <v>Screw Allen Socket Head Cap -Blk. M4x6</v>
      </c>
      <c r="C4829" t="str">
        <f t="shared" si="200"/>
        <v>Active</v>
      </c>
    </row>
    <row r="4830" spans="1:3" ht="18" customHeight="1">
      <c r="A4830" t="str">
        <f>"301022"</f>
        <v>301022</v>
      </c>
      <c r="B4830" t="str">
        <f>"Screw Allen Socket Head Cap -Blk.  M4  x  8"</f>
        <v>Screw Allen Socket Head Cap -Blk.  M4  x  8</v>
      </c>
      <c r="C4830" t="str">
        <f t="shared" si="200"/>
        <v>Active</v>
      </c>
    </row>
    <row r="4831" spans="1:3" ht="18" customHeight="1">
      <c r="A4831" t="str">
        <f>"301023"</f>
        <v>301023</v>
      </c>
      <c r="B4831" t="str">
        <f>"Screw Allen Socket Head Cap -Blk. M3x30"</f>
        <v>Screw Allen Socket Head Cap -Blk. M3x30</v>
      </c>
      <c r="C4831" t="str">
        <f t="shared" si="200"/>
        <v>Active</v>
      </c>
    </row>
    <row r="4832" spans="1:3" ht="18" customHeight="1">
      <c r="A4832" t="str">
        <f>"301024"</f>
        <v>301024</v>
      </c>
      <c r="B4832" t="str">
        <f>"Screw Allen Flat Head -Blk.  M2  x 10"</f>
        <v>Screw Allen Flat Head -Blk.  M2  x 10</v>
      </c>
      <c r="C4832" t="str">
        <f t="shared" si="200"/>
        <v>Active</v>
      </c>
    </row>
    <row r="4833" spans="1:3" ht="18" customHeight="1">
      <c r="A4833" t="str">
        <f>"301025"</f>
        <v>301025</v>
      </c>
      <c r="B4833" t="str">
        <f>"Screw Allen Flat Head -Blk.  M3  x  6"</f>
        <v>Screw Allen Flat Head -Blk.  M3  x  6</v>
      </c>
      <c r="C4833" t="str">
        <f t="shared" si="200"/>
        <v>Active</v>
      </c>
    </row>
    <row r="4834" spans="1:3" ht="18" customHeight="1">
      <c r="A4834" t="str">
        <f>"301026"</f>
        <v>301026</v>
      </c>
      <c r="B4834" t="str">
        <f>"Screw Allen Flat Head -Blk. M3 x 8"</f>
        <v>Screw Allen Flat Head -Blk. M3 x 8</v>
      </c>
      <c r="C4834" t="str">
        <f t="shared" si="200"/>
        <v>Active</v>
      </c>
    </row>
    <row r="4835" spans="1:3" ht="18" customHeight="1">
      <c r="A4835" t="str">
        <f>"301027"</f>
        <v>301027</v>
      </c>
      <c r="B4835" t="str">
        <f>"Screw Allen Flat Head -Blk. M3 x 12"</f>
        <v>Screw Allen Flat Head -Blk. M3 x 12</v>
      </c>
      <c r="C4835" t="str">
        <f>"ECO-N2Buy"</f>
        <v>ECO-N2Buy</v>
      </c>
    </row>
    <row r="4836" spans="1:3" ht="18" customHeight="1">
      <c r="A4836" t="str">
        <f>"301029"</f>
        <v>301029</v>
      </c>
      <c r="B4836" t="str">
        <f>"Screw Allen Flat Head -Blk. M4 x 8"</f>
        <v>Screw Allen Flat Head -Blk. M4 x 8</v>
      </c>
      <c r="C4836" t="str">
        <f t="shared" ref="C4836:C4860" si="201">"Active"</f>
        <v>Active</v>
      </c>
    </row>
    <row r="4837" spans="1:3" ht="18" customHeight="1">
      <c r="A4837" t="str">
        <f>"301030"</f>
        <v>301030</v>
      </c>
      <c r="B4837" t="str">
        <f>"Screw Allen Flat Head -Blk. M4 x 10"</f>
        <v>Screw Allen Flat Head -Blk. M4 x 10</v>
      </c>
      <c r="C4837" t="str">
        <f t="shared" si="201"/>
        <v>Active</v>
      </c>
    </row>
    <row r="4838" spans="1:3" ht="18" customHeight="1">
      <c r="A4838" t="str">
        <f>"301031"</f>
        <v>301031</v>
      </c>
      <c r="B4838" t="str">
        <f>"Screw Allen Flat Head -Blk.  M4  x 12"</f>
        <v>Screw Allen Flat Head -Blk.  M4  x 12</v>
      </c>
      <c r="C4838" t="str">
        <f t="shared" si="201"/>
        <v>Active</v>
      </c>
    </row>
    <row r="4839" spans="1:3" ht="18" customHeight="1">
      <c r="A4839" t="str">
        <f>"301032"</f>
        <v>301032</v>
      </c>
      <c r="B4839" t="str">
        <f>"Screw Allen Flat Head -Blk.  M4  x 14"</f>
        <v>Screw Allen Flat Head -Blk.  M4  x 14</v>
      </c>
      <c r="C4839" t="str">
        <f t="shared" si="201"/>
        <v>Active</v>
      </c>
    </row>
    <row r="4840" spans="1:3" ht="18" customHeight="1">
      <c r="A4840" t="str">
        <f>"301033"</f>
        <v>301033</v>
      </c>
      <c r="B4840" t="str">
        <f>"Screw Allen Flat Head -Blk.  M4  x 30"</f>
        <v>Screw Allen Flat Head -Blk.  M4  x 30</v>
      </c>
      <c r="C4840" t="str">
        <f t="shared" si="201"/>
        <v>Active</v>
      </c>
    </row>
    <row r="4841" spans="1:3" ht="18" customHeight="1">
      <c r="A4841" t="str">
        <f>"301034"</f>
        <v>301034</v>
      </c>
      <c r="B4841" t="str">
        <f>"Screw Allen Socket Set-Blk.M3x3"</f>
        <v>Screw Allen Socket Set-Blk.M3x3</v>
      </c>
      <c r="C4841" t="str">
        <f t="shared" si="201"/>
        <v>Active</v>
      </c>
    </row>
    <row r="4842" spans="1:3" ht="18" customHeight="1">
      <c r="A4842" t="str">
        <f>"301035"</f>
        <v>301035</v>
      </c>
      <c r="B4842" t="str">
        <f>"Screw Allen Socket Set-Blk. M3 x 5"</f>
        <v>Screw Allen Socket Set-Blk. M3 x 5</v>
      </c>
      <c r="C4842" t="str">
        <f t="shared" si="201"/>
        <v>Active</v>
      </c>
    </row>
    <row r="4843" spans="1:3" ht="18" customHeight="1">
      <c r="A4843" t="str">
        <f>"301036"</f>
        <v>301036</v>
      </c>
      <c r="B4843" t="str">
        <f>"Screw Allen Socket Set -Blk. M3 x 6"</f>
        <v>Screw Allen Socket Set -Blk. M3 x 6</v>
      </c>
      <c r="C4843" t="str">
        <f t="shared" si="201"/>
        <v>Active</v>
      </c>
    </row>
    <row r="4844" spans="1:3" ht="18" customHeight="1">
      <c r="A4844" t="str">
        <f>"301037"</f>
        <v>301037</v>
      </c>
      <c r="B4844" t="str">
        <f>"Screw Allen Socket Set-Blk.M4x4"</f>
        <v>Screw Allen Socket Set-Blk.M4x4</v>
      </c>
      <c r="C4844" t="str">
        <f t="shared" si="201"/>
        <v>Active</v>
      </c>
    </row>
    <row r="4845" spans="1:3" ht="18" customHeight="1">
      <c r="A4845" t="str">
        <f>"301038"</f>
        <v>301038</v>
      </c>
      <c r="B4845" t="str">
        <f>"Screw Allen Socket Set -Blk.   M4  x  5"</f>
        <v>Screw Allen Socket Set -Blk.   M4  x  5</v>
      </c>
      <c r="C4845" t="str">
        <f t="shared" si="201"/>
        <v>Active</v>
      </c>
    </row>
    <row r="4846" spans="1:3" ht="18" customHeight="1">
      <c r="A4846" t="str">
        <f>"301039"</f>
        <v>301039</v>
      </c>
      <c r="B4846" t="str">
        <f>"Screw Allen Socket Set -Blk.   M4  x  6"</f>
        <v>Screw Allen Socket Set -Blk.   M4  x  6</v>
      </c>
      <c r="C4846" t="str">
        <f t="shared" si="201"/>
        <v>Active</v>
      </c>
    </row>
    <row r="4847" spans="1:3" ht="18" customHeight="1">
      <c r="A4847" t="str">
        <f>"301040"</f>
        <v>301040</v>
      </c>
      <c r="B4847" t="str">
        <f>"Screw Allen Socket Set -Blk. M4 x 8"</f>
        <v>Screw Allen Socket Set -Blk. M4 x 8</v>
      </c>
      <c r="C4847" t="str">
        <f t="shared" si="201"/>
        <v>Active</v>
      </c>
    </row>
    <row r="4848" spans="1:3" ht="18" customHeight="1">
      <c r="A4848" t="str">
        <f>"301041"</f>
        <v>301041</v>
      </c>
      <c r="B4848" t="str">
        <f>"Screw Allen Socket Set -Blk.   M4  x 10"</f>
        <v>Screw Allen Socket Set -Blk.   M4  x 10</v>
      </c>
      <c r="C4848" t="str">
        <f t="shared" si="201"/>
        <v>Active</v>
      </c>
    </row>
    <row r="4849" spans="1:3" ht="18" customHeight="1">
      <c r="A4849" t="str">
        <f>"301042"</f>
        <v>301042</v>
      </c>
      <c r="B4849" t="str">
        <f>"Screw Allen Flat Head -Blk.  M4  x 18"</f>
        <v>Screw Allen Flat Head -Blk.  M4  x 18</v>
      </c>
      <c r="C4849" t="str">
        <f t="shared" si="201"/>
        <v>Active</v>
      </c>
    </row>
    <row r="4850" spans="1:3" ht="18" customHeight="1">
      <c r="A4850" t="str">
        <f>"301043"</f>
        <v>301043</v>
      </c>
      <c r="B4850" t="str">
        <f>"Screw Allen Socket Head Cap -Blk.  M3  x 35"</f>
        <v>Screw Allen Socket Head Cap -Blk.  M3  x 35</v>
      </c>
      <c r="C4850" t="str">
        <f t="shared" si="201"/>
        <v>Active</v>
      </c>
    </row>
    <row r="4851" spans="1:3" ht="18" customHeight="1">
      <c r="A4851" t="str">
        <f>"301044"</f>
        <v>301044</v>
      </c>
      <c r="B4851" t="str">
        <f>"Screw Allen Socket Head Cap -Blk.  M3  x 40"</f>
        <v>Screw Allen Socket Head Cap -Blk.  M3  x 40</v>
      </c>
      <c r="C4851" t="str">
        <f t="shared" si="201"/>
        <v>Active</v>
      </c>
    </row>
    <row r="4852" spans="1:3" ht="18" customHeight="1">
      <c r="A4852" t="str">
        <f>"301046"</f>
        <v>301046</v>
      </c>
      <c r="B4852" t="str">
        <f>"Screw Allen Flat Head -Blk.  M4  x 20"</f>
        <v>Screw Allen Flat Head -Blk.  M4  x 20</v>
      </c>
      <c r="C4852" t="str">
        <f t="shared" si="201"/>
        <v>Active</v>
      </c>
    </row>
    <row r="4853" spans="1:3" ht="18" customHeight="1">
      <c r="A4853" t="str">
        <f>"301048"</f>
        <v>301048</v>
      </c>
      <c r="B4853" t="str">
        <f>"Screw Allen Socket Head Cap -Blk.  M4 x 14"</f>
        <v>Screw Allen Socket Head Cap -Blk.  M4 x 14</v>
      </c>
      <c r="C4853" t="str">
        <f t="shared" si="201"/>
        <v>Active</v>
      </c>
    </row>
    <row r="4854" spans="1:3" ht="18" customHeight="1">
      <c r="A4854" t="str">
        <f>"301050"</f>
        <v>301050</v>
      </c>
      <c r="B4854" t="str">
        <f>"Screw Allen Socket Head Cap -Blk.  M3  x 20"</f>
        <v>Screw Allen Socket Head Cap -Blk.  M3  x 20</v>
      </c>
      <c r="C4854" t="str">
        <f t="shared" si="201"/>
        <v>Active</v>
      </c>
    </row>
    <row r="4855" spans="1:3" ht="18" customHeight="1">
      <c r="A4855" t="str">
        <f>"301051"</f>
        <v>301051</v>
      </c>
      <c r="B4855" t="str">
        <f>"Screw Allen Socket Head Cap -Blk.  M2.5 x 25"</f>
        <v>Screw Allen Socket Head Cap -Blk.  M2.5 x 25</v>
      </c>
      <c r="C4855" t="str">
        <f t="shared" si="201"/>
        <v>Active</v>
      </c>
    </row>
    <row r="4856" spans="1:3" ht="18" customHeight="1">
      <c r="A4856" t="str">
        <f>"301054"</f>
        <v>301054</v>
      </c>
      <c r="B4856" t="str">
        <f>"Screw Allen Socket Button Head Cap -Blk. M4 x 20"</f>
        <v>Screw Allen Socket Button Head Cap -Blk. M4 x 20</v>
      </c>
      <c r="C4856" t="str">
        <f t="shared" si="201"/>
        <v>Active</v>
      </c>
    </row>
    <row r="4857" spans="1:3" ht="18" customHeight="1">
      <c r="A4857" t="str">
        <f>"301057"</f>
        <v>301057</v>
      </c>
      <c r="B4857" t="str">
        <f>"Socket Flat Head Sc.-Blk. M3  x 30"</f>
        <v>Socket Flat Head Sc.-Blk. M3  x 30</v>
      </c>
      <c r="C4857" t="str">
        <f t="shared" si="201"/>
        <v>Active</v>
      </c>
    </row>
    <row r="4858" spans="1:3" ht="18" customHeight="1">
      <c r="A4858" t="str">
        <f>"301058"</f>
        <v>301058</v>
      </c>
      <c r="B4858" t="str">
        <f>"Screw Allen Flat Head -Blk.  M4  x 35"</f>
        <v>Screw Allen Flat Head -Blk.  M4  x 35</v>
      </c>
      <c r="C4858" t="str">
        <f t="shared" si="201"/>
        <v>Active</v>
      </c>
    </row>
    <row r="4859" spans="1:3" ht="18" customHeight="1">
      <c r="A4859" t="str">
        <f>"301059"</f>
        <v>301059</v>
      </c>
      <c r="B4859" t="str">
        <f>"Screw Allen Socket Head Cap-Zinc M4x10"</f>
        <v>Screw Allen Socket Head Cap-Zinc M4x10</v>
      </c>
      <c r="C4859" t="str">
        <f t="shared" si="201"/>
        <v>Active</v>
      </c>
    </row>
    <row r="4860" spans="1:3" ht="18" customHeight="1">
      <c r="A4860" t="str">
        <f>"301060"</f>
        <v>301060</v>
      </c>
      <c r="B4860" t="str">
        <f>"Screw Allen Socket Button Head Cap -Blk. M2 x 6"</f>
        <v>Screw Allen Socket Button Head Cap -Blk. M2 x 6</v>
      </c>
      <c r="C4860" t="str">
        <f t="shared" si="201"/>
        <v>Active</v>
      </c>
    </row>
    <row r="4861" spans="1:3" ht="18" customHeight="1">
      <c r="A4861" t="str">
        <f>"301061"</f>
        <v>301061</v>
      </c>
      <c r="B4861" t="str">
        <f>"Screw Allen Socket Button Head Cap -Blk. M4 x 8"</f>
        <v>Screw Allen Socket Button Head Cap -Blk. M4 x 8</v>
      </c>
      <c r="C4861" t="str">
        <f>"New"</f>
        <v>New</v>
      </c>
    </row>
    <row r="4862" spans="1:3" ht="18" customHeight="1">
      <c r="A4862" t="str">
        <f>"301201"</f>
        <v>301201</v>
      </c>
      <c r="B4862" t="str">
        <f>"Screw Allen Socket Head Cap-Blk. M5 x 10 DIN912"</f>
        <v>Screw Allen Socket Head Cap-Blk. M5 x 10 DIN912</v>
      </c>
      <c r="C4862" t="str">
        <f t="shared" ref="C4862:C4905" si="202">"Active"</f>
        <v>Active</v>
      </c>
    </row>
    <row r="4863" spans="1:3" ht="18" customHeight="1">
      <c r="A4863" t="str">
        <f>"301202"</f>
        <v>301202</v>
      </c>
      <c r="B4863" t="str">
        <f>"Screw Allen Socket Head Cap -Blk.  M5 x 8"</f>
        <v>Screw Allen Socket Head Cap -Blk.  M5 x 8</v>
      </c>
      <c r="C4863" t="str">
        <f t="shared" si="202"/>
        <v>Active</v>
      </c>
    </row>
    <row r="4864" spans="1:3" ht="18" customHeight="1">
      <c r="A4864" t="str">
        <f>"301203"</f>
        <v>301203</v>
      </c>
      <c r="B4864" t="str">
        <f>"Screw Allen Socket Head Cap -Blk. M5 x 12"</f>
        <v>Screw Allen Socket Head Cap -Blk. M5 x 12</v>
      </c>
      <c r="C4864" t="str">
        <f t="shared" si="202"/>
        <v>Active</v>
      </c>
    </row>
    <row r="4865" spans="1:3" ht="18" customHeight="1">
      <c r="A4865" t="str">
        <f>"301204"</f>
        <v>301204</v>
      </c>
      <c r="B4865" t="str">
        <f>"Screw Allen Socket Head Cap -Blk.  M5 x 16"</f>
        <v>Screw Allen Socket Head Cap -Blk.  M5 x 16</v>
      </c>
      <c r="C4865" t="str">
        <f t="shared" si="202"/>
        <v>Active</v>
      </c>
    </row>
    <row r="4866" spans="1:3" ht="18" customHeight="1">
      <c r="A4866" t="str">
        <f>"301205"</f>
        <v>301205</v>
      </c>
      <c r="B4866" t="str">
        <f>"Screw Allen Socket Head Cap -Blk.  M5 x 20"</f>
        <v>Screw Allen Socket Head Cap -Blk.  M5 x 20</v>
      </c>
      <c r="C4866" t="str">
        <f t="shared" si="202"/>
        <v>Active</v>
      </c>
    </row>
    <row r="4867" spans="1:3" ht="18" customHeight="1">
      <c r="A4867" t="str">
        <f>"301206"</f>
        <v>301206</v>
      </c>
      <c r="B4867" t="str">
        <f>"Screw Allen Socket Head Cap-Blk. M5 x 25"</f>
        <v>Screw Allen Socket Head Cap-Blk. M5 x 25</v>
      </c>
      <c r="C4867" t="str">
        <f t="shared" si="202"/>
        <v>Active</v>
      </c>
    </row>
    <row r="4868" spans="1:3" ht="18" customHeight="1">
      <c r="A4868" t="str">
        <f>"301208"</f>
        <v>301208</v>
      </c>
      <c r="B4868" t="str">
        <f>"Screw Allen Socket Head Cap -Blk.  M6 x 10"</f>
        <v>Screw Allen Socket Head Cap -Blk.  M6 x 10</v>
      </c>
      <c r="C4868" t="str">
        <f t="shared" si="202"/>
        <v>Active</v>
      </c>
    </row>
    <row r="4869" spans="1:3" ht="18" customHeight="1">
      <c r="A4869" t="str">
        <f>"301209"</f>
        <v>301209</v>
      </c>
      <c r="B4869" t="str">
        <f>"Screw Allen Socket Head Cap -Blk.  M6 x 16"</f>
        <v>Screw Allen Socket Head Cap -Blk.  M6 x 16</v>
      </c>
      <c r="C4869" t="str">
        <f t="shared" si="202"/>
        <v>Active</v>
      </c>
    </row>
    <row r="4870" spans="1:3" ht="18" customHeight="1">
      <c r="A4870" t="str">
        <f>"301210"</f>
        <v>301210</v>
      </c>
      <c r="B4870" t="str">
        <f>"Screw Allen Socket Head Cap -Blk.  M6 x 25"</f>
        <v>Screw Allen Socket Head Cap -Blk.  M6 x 25</v>
      </c>
      <c r="C4870" t="str">
        <f t="shared" si="202"/>
        <v>Active</v>
      </c>
    </row>
    <row r="4871" spans="1:3" ht="18" customHeight="1">
      <c r="A4871" t="str">
        <f>"301211"</f>
        <v>301211</v>
      </c>
      <c r="B4871" t="str">
        <f>"Screw Allen Socket Head Cap -Blk.  M6 x 45"</f>
        <v>Screw Allen Socket Head Cap -Blk.  M6 x 45</v>
      </c>
      <c r="C4871" t="str">
        <f t="shared" si="202"/>
        <v>Active</v>
      </c>
    </row>
    <row r="4872" spans="1:3" ht="18" customHeight="1">
      <c r="A4872" t="str">
        <f>"301212"</f>
        <v>301212</v>
      </c>
      <c r="B4872" t="str">
        <f>"Screw Allen Socket Head Cap-Blk. M6 x 80 (Thr40)"</f>
        <v>Screw Allen Socket Head Cap-Blk. M6 x 80 (Thr40)</v>
      </c>
      <c r="C4872" t="str">
        <f t="shared" si="202"/>
        <v>Active</v>
      </c>
    </row>
    <row r="4873" spans="1:3" ht="18" customHeight="1">
      <c r="A4873" t="str">
        <f>"301213"</f>
        <v>301213</v>
      </c>
      <c r="B4873" t="str">
        <f>"Screw Allen Flat Head -Blk. M5 x 16"</f>
        <v>Screw Allen Flat Head -Blk. M5 x 16</v>
      </c>
      <c r="C4873" t="str">
        <f t="shared" si="202"/>
        <v>Active</v>
      </c>
    </row>
    <row r="4874" spans="1:3" ht="18" customHeight="1">
      <c r="A4874" t="str">
        <f>"301215"</f>
        <v>301215</v>
      </c>
      <c r="B4874" t="str">
        <f>"Screw Allen Socket Set -Blk.  M5 x 12"</f>
        <v>Screw Allen Socket Set -Blk.  M5 x 12</v>
      </c>
      <c r="C4874" t="str">
        <f t="shared" si="202"/>
        <v>Active</v>
      </c>
    </row>
    <row r="4875" spans="1:3" ht="18" customHeight="1">
      <c r="A4875" t="str">
        <f>"301216"</f>
        <v>301216</v>
      </c>
      <c r="B4875" t="str">
        <f>"Screw Allen Socket Set -Blk.  M5 x 16"</f>
        <v>Screw Allen Socket Set -Blk.  M5 x 16</v>
      </c>
      <c r="C4875" t="str">
        <f t="shared" si="202"/>
        <v>Active</v>
      </c>
    </row>
    <row r="4876" spans="1:3" ht="18" customHeight="1">
      <c r="A4876" t="str">
        <f>"301217"</f>
        <v>301217</v>
      </c>
      <c r="B4876" t="str">
        <f>"Screw Allen Flat Head -Blk.  M6 x 25"</f>
        <v>Screw Allen Flat Head -Blk.  M6 x 25</v>
      </c>
      <c r="C4876" t="str">
        <f t="shared" si="202"/>
        <v>Active</v>
      </c>
    </row>
    <row r="4877" spans="1:3" ht="18" customHeight="1">
      <c r="A4877" t="str">
        <f>"301218"</f>
        <v>301218</v>
      </c>
      <c r="B4877" t="str">
        <f>"Screw Allen Socket Button Head Cap -Blk. M5 x 8"</f>
        <v>Screw Allen Socket Button Head Cap -Blk. M5 x 8</v>
      </c>
      <c r="C4877" t="str">
        <f t="shared" si="202"/>
        <v>Active</v>
      </c>
    </row>
    <row r="4878" spans="1:3" ht="18" customHeight="1">
      <c r="A4878" t="str">
        <f>"301219"</f>
        <v>301219</v>
      </c>
      <c r="B4878" t="str">
        <f>"Screw Allen Flat Head -Blk. M5 x 20"</f>
        <v>Screw Allen Flat Head -Blk. M5 x 20</v>
      </c>
      <c r="C4878" t="str">
        <f t="shared" si="202"/>
        <v>Active</v>
      </c>
    </row>
    <row r="4879" spans="1:3" ht="18" customHeight="1">
      <c r="A4879" t="str">
        <f>"301221"</f>
        <v>301221</v>
      </c>
      <c r="B4879" t="str">
        <f>"Screw Allen Socket Head Cap -Blk. M6 x 30"</f>
        <v>Screw Allen Socket Head Cap -Blk. M6 x 30</v>
      </c>
      <c r="C4879" t="str">
        <f t="shared" si="202"/>
        <v>Active</v>
      </c>
    </row>
    <row r="4880" spans="1:3" ht="18" customHeight="1">
      <c r="A4880" t="str">
        <f>"301222"</f>
        <v>301222</v>
      </c>
      <c r="B4880" t="str">
        <f>"Screw Allen Socket Head Cap -Blk.  M6 x 50"</f>
        <v>Screw Allen Socket Head Cap -Blk.  M6 x 50</v>
      </c>
      <c r="C4880" t="str">
        <f t="shared" si="202"/>
        <v>Active</v>
      </c>
    </row>
    <row r="4881" spans="1:3" ht="18" customHeight="1">
      <c r="A4881" t="str">
        <f>"301223"</f>
        <v>301223</v>
      </c>
      <c r="B4881" t="str">
        <f>"Screw Allen Socket Set -Blk. M5 x 8"</f>
        <v>Screw Allen Socket Set -Blk. M5 x 8</v>
      </c>
      <c r="C4881" t="str">
        <f t="shared" si="202"/>
        <v>Active</v>
      </c>
    </row>
    <row r="4882" spans="1:3" ht="18" customHeight="1">
      <c r="A4882" t="str">
        <f>"301224"</f>
        <v>301224</v>
      </c>
      <c r="B4882" t="str">
        <f>"Screw Allen Socket Head Cap -Blk.  M6 x 20"</f>
        <v>Screw Allen Socket Head Cap -Blk.  M6 x 20</v>
      </c>
      <c r="C4882" t="str">
        <f t="shared" si="202"/>
        <v>Active</v>
      </c>
    </row>
    <row r="4883" spans="1:3" ht="18" customHeight="1">
      <c r="A4883" t="str">
        <f>"301225"</f>
        <v>301225</v>
      </c>
      <c r="B4883" t="str">
        <f>"Screw Allen Flat Head -Blk.  M5 x 8"</f>
        <v>Screw Allen Flat Head -Blk.  M5 x 8</v>
      </c>
      <c r="C4883" t="str">
        <f t="shared" si="202"/>
        <v>Active</v>
      </c>
    </row>
    <row r="4884" spans="1:3" ht="18" customHeight="1">
      <c r="A4884" t="str">
        <f>"301226"</f>
        <v>301226</v>
      </c>
      <c r="B4884" t="str">
        <f>"Screw Allen Flat Head -Blk. M5 x 12"</f>
        <v>Screw Allen Flat Head -Blk. M5 x 12</v>
      </c>
      <c r="C4884" t="str">
        <f t="shared" si="202"/>
        <v>Active</v>
      </c>
    </row>
    <row r="4885" spans="1:3" ht="18" customHeight="1">
      <c r="A4885" t="str">
        <f>"301228"</f>
        <v>301228</v>
      </c>
      <c r="B4885" t="str">
        <f>"Screw Allen Sock.Hd.Shoulder M5xd6x30"</f>
        <v>Screw Allen Sock.Hd.Shoulder M5xd6x30</v>
      </c>
      <c r="C4885" t="str">
        <f t="shared" si="202"/>
        <v>Active</v>
      </c>
    </row>
    <row r="4886" spans="1:3" ht="18" customHeight="1">
      <c r="A4886" t="str">
        <f>"301229"</f>
        <v>301229</v>
      </c>
      <c r="B4886" t="str">
        <f>"Screw Allen Socket Head Cap -Blk.  M5 x 22"</f>
        <v>Screw Allen Socket Head Cap -Blk.  M5 x 22</v>
      </c>
      <c r="C4886" t="str">
        <f t="shared" si="202"/>
        <v>Active</v>
      </c>
    </row>
    <row r="4887" spans="1:3" ht="18" customHeight="1">
      <c r="A4887" t="str">
        <f>"301230"</f>
        <v>301230</v>
      </c>
      <c r="B4887" t="str">
        <f>"Screw Allen Socket Head Cap -Blk.  M6 x 40"</f>
        <v>Screw Allen Socket Head Cap -Blk.  M6 x 40</v>
      </c>
      <c r="C4887" t="str">
        <f t="shared" si="202"/>
        <v>Active</v>
      </c>
    </row>
    <row r="4888" spans="1:3" ht="18" customHeight="1">
      <c r="A4888" t="str">
        <f>"301231"</f>
        <v>301231</v>
      </c>
      <c r="B4888" t="str">
        <f>"Screw Allen Sock.Hd.Shoulder -Blk. M6xd8x12"</f>
        <v>Screw Allen Sock.Hd.Shoulder -Blk. M6xd8x12</v>
      </c>
      <c r="C4888" t="str">
        <f t="shared" si="202"/>
        <v>Active</v>
      </c>
    </row>
    <row r="4889" spans="1:3" ht="18" customHeight="1">
      <c r="A4889" t="str">
        <f>"301232"</f>
        <v>301232</v>
      </c>
      <c r="B4889" t="str">
        <f>"Screw Allen Socket Head Cap -Blk.  M5 x 30"</f>
        <v>Screw Allen Socket Head Cap -Blk.  M5 x 30</v>
      </c>
      <c r="C4889" t="str">
        <f t="shared" si="202"/>
        <v>Active</v>
      </c>
    </row>
    <row r="4890" spans="1:3" ht="18" customHeight="1">
      <c r="A4890" t="str">
        <f>"301233"</f>
        <v>301233</v>
      </c>
      <c r="B4890" t="str">
        <f>"Screw Allen Socket Head Cap -Blk.  M5 x 35"</f>
        <v>Screw Allen Socket Head Cap -Blk.  M5 x 35</v>
      </c>
      <c r="C4890" t="str">
        <f t="shared" si="202"/>
        <v>Active</v>
      </c>
    </row>
    <row r="4891" spans="1:3" ht="18" customHeight="1">
      <c r="A4891" t="str">
        <f>"301235"</f>
        <v>301235</v>
      </c>
      <c r="B4891" t="str">
        <f>"Screw Allen Socket Head Cap -Blk.  M6 x 12"</f>
        <v>Screw Allen Socket Head Cap -Blk.  M6 x 12</v>
      </c>
      <c r="C4891" t="str">
        <f t="shared" si="202"/>
        <v>Active</v>
      </c>
    </row>
    <row r="4892" spans="1:3" ht="18" customHeight="1">
      <c r="A4892" t="str">
        <f>"301236"</f>
        <v>301236</v>
      </c>
      <c r="B4892" t="str">
        <f>"Screw Allen Flat Head -Blk.  M5 x 25"</f>
        <v>Screw Allen Flat Head -Blk.  M5 x 25</v>
      </c>
      <c r="C4892" t="str">
        <f t="shared" si="202"/>
        <v>Active</v>
      </c>
    </row>
    <row r="4893" spans="1:3" ht="18" customHeight="1">
      <c r="A4893" t="str">
        <f>"301237"</f>
        <v>301237</v>
      </c>
      <c r="B4893" t="str">
        <f>"Screw Allen Socket Set -Blk.  M6 x 6"</f>
        <v>Screw Allen Socket Set -Blk.  M6 x 6</v>
      </c>
      <c r="C4893" t="str">
        <f t="shared" si="202"/>
        <v>Active</v>
      </c>
    </row>
    <row r="4894" spans="1:3" ht="18" customHeight="1">
      <c r="A4894" t="str">
        <f>"301238"</f>
        <v>301238</v>
      </c>
      <c r="B4894" t="str">
        <f>"Screw Allen Socket Head Cap -Blk. M6 x 35"</f>
        <v>Screw Allen Socket Head Cap -Blk. M6 x 35</v>
      </c>
      <c r="C4894" t="str">
        <f t="shared" si="202"/>
        <v>Active</v>
      </c>
    </row>
    <row r="4895" spans="1:3" ht="18" customHeight="1">
      <c r="A4895" t="str">
        <f>"301239"</f>
        <v>301239</v>
      </c>
      <c r="B4895" t="str">
        <f>"Screw Allen Socket Head Cap -Blk. M5 x 55"</f>
        <v>Screw Allen Socket Head Cap -Blk. M5 x 55</v>
      </c>
      <c r="C4895" t="str">
        <f t="shared" si="202"/>
        <v>Active</v>
      </c>
    </row>
    <row r="4896" spans="1:3" ht="18" customHeight="1">
      <c r="A4896" t="str">
        <f>"301240"</f>
        <v>301240</v>
      </c>
      <c r="B4896" t="str">
        <f>"Screw Allen Sock.Hd.Shoulder  M5xd6x10"</f>
        <v>Screw Allen Sock.Hd.Shoulder  M5xd6x10</v>
      </c>
      <c r="C4896" t="str">
        <f t="shared" si="202"/>
        <v>Active</v>
      </c>
    </row>
    <row r="4897" spans="1:3" ht="18" customHeight="1">
      <c r="A4897" t="str">
        <f>"301241"</f>
        <v>301241</v>
      </c>
      <c r="B4897" t="str">
        <f>"Screw Allen Socket Set -Blk.   M5 x 30"</f>
        <v>Screw Allen Socket Set -Blk.   M5 x 30</v>
      </c>
      <c r="C4897" t="str">
        <f t="shared" si="202"/>
        <v>Active</v>
      </c>
    </row>
    <row r="4898" spans="1:3" ht="18" customHeight="1">
      <c r="A4898" t="str">
        <f>"301242"</f>
        <v>301242</v>
      </c>
      <c r="B4898" t="str">
        <f>"Screw Allen Socket Button Head Cap -Blk. M5 x 10"</f>
        <v>Screw Allen Socket Button Head Cap -Blk. M5 x 10</v>
      </c>
      <c r="C4898" t="str">
        <f t="shared" si="202"/>
        <v>Active</v>
      </c>
    </row>
    <row r="4899" spans="1:3" ht="18" customHeight="1">
      <c r="A4899" t="str">
        <f>"301243"</f>
        <v>301243</v>
      </c>
      <c r="B4899" t="str">
        <f>"Screw Allen Socket Button Head Cap -Blk. M5 x 20"</f>
        <v>Screw Allen Socket Button Head Cap -Blk. M5 x 20</v>
      </c>
      <c r="C4899" t="str">
        <f t="shared" si="202"/>
        <v>Active</v>
      </c>
    </row>
    <row r="4900" spans="1:3" ht="18" customHeight="1">
      <c r="A4900" t="str">
        <f>"301244"</f>
        <v>301244</v>
      </c>
      <c r="B4900" t="str">
        <f>"Screw Allen Socket Set -Blk.  M5 x 5"</f>
        <v>Screw Allen Socket Set -Blk.  M5 x 5</v>
      </c>
      <c r="C4900" t="str">
        <f t="shared" si="202"/>
        <v>Active</v>
      </c>
    </row>
    <row r="4901" spans="1:3" ht="18" customHeight="1">
      <c r="A4901" t="str">
        <f>"301245"</f>
        <v>301245</v>
      </c>
      <c r="B4901" t="str">
        <f>"Screw Allen Socket Head Cap -Blk.  M6 x 60"</f>
        <v>Screw Allen Socket Head Cap -Blk.  M6 x 60</v>
      </c>
      <c r="C4901" t="str">
        <f t="shared" si="202"/>
        <v>Active</v>
      </c>
    </row>
    <row r="4902" spans="1:3" ht="18" customHeight="1">
      <c r="A4902" t="str">
        <f>"301247"</f>
        <v>301247</v>
      </c>
      <c r="B4902" t="str">
        <f>"Screw Allen Socket Button Head Cap -Blk. M6 x 40"</f>
        <v>Screw Allen Socket Button Head Cap -Blk. M6 x 40</v>
      </c>
      <c r="C4902" t="str">
        <f t="shared" si="202"/>
        <v>Active</v>
      </c>
    </row>
    <row r="4903" spans="1:3" ht="18" customHeight="1">
      <c r="A4903" t="str">
        <f>"301248"</f>
        <v>301248</v>
      </c>
      <c r="B4903" t="str">
        <f>"Screw Allen Socket Button Head Cap -Blk. M6 x 10"</f>
        <v>Screw Allen Socket Button Head Cap -Blk. M6 x 10</v>
      </c>
      <c r="C4903" t="str">
        <f t="shared" si="202"/>
        <v>Active</v>
      </c>
    </row>
    <row r="4904" spans="1:3" ht="18" customHeight="1">
      <c r="A4904" t="str">
        <f>"301249"</f>
        <v>301249</v>
      </c>
      <c r="B4904" t="str">
        <f>"Screw Allen Socket Button Head Cap -Blk. M6 x 30"</f>
        <v>Screw Allen Socket Button Head Cap -Blk. M6 x 30</v>
      </c>
      <c r="C4904" t="str">
        <f t="shared" si="202"/>
        <v>Active</v>
      </c>
    </row>
    <row r="4905" spans="1:3" ht="18" customHeight="1">
      <c r="A4905" t="str">
        <f>"301250"</f>
        <v>301250</v>
      </c>
      <c r="B4905" t="str">
        <f>"Screw Allen Flat Head -Blk.  M6 x 16"</f>
        <v>Screw Allen Flat Head -Blk.  M6 x 16</v>
      </c>
      <c r="C4905" t="str">
        <f t="shared" si="202"/>
        <v>Active</v>
      </c>
    </row>
    <row r="4906" spans="1:3" ht="18" customHeight="1">
      <c r="A4906" t="str">
        <f>"301251"</f>
        <v>301251</v>
      </c>
      <c r="B4906" t="str">
        <f>"Screw Allen Flat Head -Blk.  M6 x 20"</f>
        <v>Screw Allen Flat Head -Blk.  M6 x 20</v>
      </c>
      <c r="C4906" t="str">
        <f>"Phase Out"</f>
        <v>Phase Out</v>
      </c>
    </row>
    <row r="4907" spans="1:3" ht="18" customHeight="1">
      <c r="A4907" t="str">
        <f>"301252"</f>
        <v>301252</v>
      </c>
      <c r="B4907" t="str">
        <f>"Screw Allen pan head St.St. M5x12 DIN 912A2"</f>
        <v>Screw Allen pan head St.St. M5x12 DIN 912A2</v>
      </c>
      <c r="C4907" t="str">
        <f t="shared" ref="C4907:C4935" si="203">"Active"</f>
        <v>Active</v>
      </c>
    </row>
    <row r="4908" spans="1:3" ht="18" customHeight="1">
      <c r="A4908" t="str">
        <f>"301253"</f>
        <v>301253</v>
      </c>
      <c r="B4908" t="str">
        <f>"Alen pan head St.St. M5x40 St.St. DIN 912 A2"</f>
        <v>Alen pan head St.St. M5x40 St.St. DIN 912 A2</v>
      </c>
      <c r="C4908" t="str">
        <f t="shared" si="203"/>
        <v>Active</v>
      </c>
    </row>
    <row r="4909" spans="1:3" ht="18" customHeight="1">
      <c r="A4909" t="str">
        <f>"301254"</f>
        <v>301254</v>
      </c>
      <c r="B4909" t="str">
        <f>"Screw Allen pan head St.St.  M6x16   DIN 912 A2"</f>
        <v>Screw Allen pan head St.St.  M6x16   DIN 912 A2</v>
      </c>
      <c r="C4909" t="str">
        <f t="shared" si="203"/>
        <v>Active</v>
      </c>
    </row>
    <row r="4910" spans="1:3" ht="18" customHeight="1">
      <c r="A4910" t="str">
        <f>"301255"</f>
        <v>301255</v>
      </c>
      <c r="B4910" t="str">
        <f>"Screw Allen pan head St.St.  M5x10   DIN 912 A2"</f>
        <v>Screw Allen pan head St.St.  M5x10   DIN 912 A2</v>
      </c>
      <c r="C4910" t="str">
        <f t="shared" si="203"/>
        <v>Active</v>
      </c>
    </row>
    <row r="4911" spans="1:3" ht="18" customHeight="1">
      <c r="A4911" t="str">
        <f>"301256"</f>
        <v>301256</v>
      </c>
      <c r="B4911" t="str">
        <f>"Screw Allen Socket Head Cap -Blk.  M5 x 40"</f>
        <v>Screw Allen Socket Head Cap -Blk.  M5 x 40</v>
      </c>
      <c r="C4911" t="str">
        <f t="shared" si="203"/>
        <v>Active</v>
      </c>
    </row>
    <row r="4912" spans="1:3" ht="18" customHeight="1">
      <c r="A4912" t="str">
        <f>"301257"</f>
        <v>301257</v>
      </c>
      <c r="B4912" t="str">
        <f>"Screw Allen Socket Head Cap -Blk.  M5 x 50"</f>
        <v>Screw Allen Socket Head Cap -Blk.  M5 x 50</v>
      </c>
      <c r="C4912" t="str">
        <f t="shared" si="203"/>
        <v>Active</v>
      </c>
    </row>
    <row r="4913" spans="1:3" ht="18" customHeight="1">
      <c r="A4913" t="str">
        <f>"301258"</f>
        <v>301258</v>
      </c>
      <c r="B4913" t="str">
        <f>"Screw Allen Socket Head Cap -Blk.  M5 x 45"</f>
        <v>Screw Allen Socket Head Cap -Blk.  M5 x 45</v>
      </c>
      <c r="C4913" t="str">
        <f t="shared" si="203"/>
        <v>Active</v>
      </c>
    </row>
    <row r="4914" spans="1:3" ht="18" customHeight="1">
      <c r="A4914" t="str">
        <f>"301260"</f>
        <v>301260</v>
      </c>
      <c r="B4914" t="str">
        <f>"Screw Allen Socket Head Cap -Zinc   M6 x 40"</f>
        <v>Screw Allen Socket Head Cap -Zinc   M6 x 40</v>
      </c>
      <c r="C4914" t="str">
        <f t="shared" si="203"/>
        <v>Active</v>
      </c>
    </row>
    <row r="4915" spans="1:3" ht="18" customHeight="1">
      <c r="A4915" t="str">
        <f>"301262"</f>
        <v>301262</v>
      </c>
      <c r="B4915" t="str">
        <f>"Screw Allen pan head St.St.  M5x35  DIN 912 A2"</f>
        <v>Screw Allen pan head St.St.  M5x35  DIN 912 A2</v>
      </c>
      <c r="C4915" t="str">
        <f t="shared" si="203"/>
        <v>Active</v>
      </c>
    </row>
    <row r="4916" spans="1:3" ht="18" customHeight="1">
      <c r="A4916" t="str">
        <f>"301263"</f>
        <v>301263</v>
      </c>
      <c r="B4916" t="str">
        <f>"Screw Allen Socket Set -Blk.  M5 x 25"</f>
        <v>Screw Allen Socket Set -Blk.  M5 x 25</v>
      </c>
      <c r="C4916" t="str">
        <f t="shared" si="203"/>
        <v>Active</v>
      </c>
    </row>
    <row r="4917" spans="1:3" ht="18" customHeight="1">
      <c r="A4917" t="str">
        <f>"301265"</f>
        <v>301265</v>
      </c>
      <c r="B4917" t="str">
        <f>"Screw Allen Socket Set -Blk. M6 x 25"</f>
        <v>Screw Allen Socket Set -Blk. M6 x 25</v>
      </c>
      <c r="C4917" t="str">
        <f t="shared" si="203"/>
        <v>Active</v>
      </c>
    </row>
    <row r="4918" spans="1:3" ht="18" customHeight="1">
      <c r="A4918" t="str">
        <f>"301268"</f>
        <v>301268</v>
      </c>
      <c r="B4918" t="str">
        <f>"Screw Allen Socket Button Head Cap -Blk. M5 x 16"</f>
        <v>Screw Allen Socket Button Head Cap -Blk. M5 x 16</v>
      </c>
      <c r="C4918" t="str">
        <f t="shared" si="203"/>
        <v>Active</v>
      </c>
    </row>
    <row r="4919" spans="1:3" ht="18" customHeight="1">
      <c r="A4919" t="str">
        <f>"301269"</f>
        <v>301269</v>
      </c>
      <c r="B4919" t="str">
        <f>"Screw Allen Socket Button Head Cap -Blk. M6 x 25"</f>
        <v>Screw Allen Socket Button Head Cap -Blk. M6 x 25</v>
      </c>
      <c r="C4919" t="str">
        <f t="shared" si="203"/>
        <v>Active</v>
      </c>
    </row>
    <row r="4920" spans="1:3" ht="18" customHeight="1">
      <c r="A4920" t="str">
        <f>"301270"</f>
        <v>301270</v>
      </c>
      <c r="B4920" t="str">
        <f>"Screw Allen Socket Button Head Cap -Blk. M5 x 25"</f>
        <v>Screw Allen Socket Button Head Cap -Blk. M5 x 25</v>
      </c>
      <c r="C4920" t="str">
        <f t="shared" si="203"/>
        <v>Active</v>
      </c>
    </row>
    <row r="4921" spans="1:3" ht="18" customHeight="1">
      <c r="A4921" t="str">
        <f>"301271"</f>
        <v>301271</v>
      </c>
      <c r="B4921" t="str">
        <f>"Screw Allen Socket Head Cap -Blk.  M5 x 12"</f>
        <v>Screw Allen Socket Head Cap -Blk.  M5 x 12</v>
      </c>
      <c r="C4921" t="str">
        <f t="shared" si="203"/>
        <v>Active</v>
      </c>
    </row>
    <row r="4922" spans="1:3" ht="18" customHeight="1">
      <c r="A4922" t="str">
        <f>"301401"</f>
        <v>301401</v>
      </c>
      <c r="B4922" t="str">
        <f>"Screw Allen Socket Head Cap -Blk.  M8  x 16"</f>
        <v>Screw Allen Socket Head Cap -Blk.  M8  x 16</v>
      </c>
      <c r="C4922" t="str">
        <f t="shared" si="203"/>
        <v>Active</v>
      </c>
    </row>
    <row r="4923" spans="1:3" ht="18" customHeight="1">
      <c r="A4923" t="str">
        <f>"301402"</f>
        <v>301402</v>
      </c>
      <c r="B4923" t="str">
        <f>"Screw Allen Socket Head Cap -Blk.  M8  x 25"</f>
        <v>Screw Allen Socket Head Cap -Blk.  M8  x 25</v>
      </c>
      <c r="C4923" t="str">
        <f t="shared" si="203"/>
        <v>Active</v>
      </c>
    </row>
    <row r="4924" spans="1:3" ht="18" customHeight="1">
      <c r="A4924" t="str">
        <f>"301403"</f>
        <v>301403</v>
      </c>
      <c r="B4924" t="str">
        <f>"Screw Allen Socket Head Cap -Blk.  M8  x 30"</f>
        <v>Screw Allen Socket Head Cap -Blk.  M8  x 30</v>
      </c>
      <c r="C4924" t="str">
        <f t="shared" si="203"/>
        <v>Active</v>
      </c>
    </row>
    <row r="4925" spans="1:3" ht="18" customHeight="1">
      <c r="A4925" t="str">
        <f>"301404"</f>
        <v>301404</v>
      </c>
      <c r="B4925" t="str">
        <f>"Screw Allen Socket Head Cap -Blk.  M8  x 35"</f>
        <v>Screw Allen Socket Head Cap -Blk.  M8  x 35</v>
      </c>
      <c r="C4925" t="str">
        <f t="shared" si="203"/>
        <v>Active</v>
      </c>
    </row>
    <row r="4926" spans="1:3" ht="18" customHeight="1">
      <c r="A4926" t="str">
        <f>"301405"</f>
        <v>301405</v>
      </c>
      <c r="B4926" t="str">
        <f>"Screw Allen Socket Head Cap -Blk. M8 x 60"</f>
        <v>Screw Allen Socket Head Cap -Blk. M8 x 60</v>
      </c>
      <c r="C4926" t="str">
        <f t="shared" si="203"/>
        <v>Active</v>
      </c>
    </row>
    <row r="4927" spans="1:3" ht="18" customHeight="1">
      <c r="A4927" t="str">
        <f>"301406"</f>
        <v>301406</v>
      </c>
      <c r="B4927" t="str">
        <f>"Screw Allen Socket Set -Blk.    M8  x  8"</f>
        <v>Screw Allen Socket Set -Blk.    M8  x  8</v>
      </c>
      <c r="C4927" t="str">
        <f t="shared" si="203"/>
        <v>Active</v>
      </c>
    </row>
    <row r="4928" spans="1:3" ht="18" customHeight="1">
      <c r="A4928" t="str">
        <f>"301407"</f>
        <v>301407</v>
      </c>
      <c r="B4928" t="str">
        <f>"Screw Allen Flat Head -Blk.  M8  x 20"</f>
        <v>Screw Allen Flat Head -Blk.  M8  x 20</v>
      </c>
      <c r="C4928" t="str">
        <f t="shared" si="203"/>
        <v>Active</v>
      </c>
    </row>
    <row r="4929" spans="1:3" ht="18" customHeight="1">
      <c r="A4929" t="str">
        <f>"301409"</f>
        <v>301409</v>
      </c>
      <c r="B4929" t="str">
        <f>"Screw Allen Flat Head -Blk.  M8  x 16"</f>
        <v>Screw Allen Flat Head -Blk.  M8  x 16</v>
      </c>
      <c r="C4929" t="str">
        <f t="shared" si="203"/>
        <v>Active</v>
      </c>
    </row>
    <row r="4930" spans="1:3" ht="18" customHeight="1">
      <c r="A4930" t="str">
        <f>"301410"</f>
        <v>301410</v>
      </c>
      <c r="B4930" t="str">
        <f>"Screw Allen Sock.Hd.Shoulder   M8xd10x16"</f>
        <v>Screw Allen Sock.Hd.Shoulder   M8xd10x16</v>
      </c>
      <c r="C4930" t="str">
        <f t="shared" si="203"/>
        <v>Active</v>
      </c>
    </row>
    <row r="4931" spans="1:3" ht="18" customHeight="1">
      <c r="A4931" t="str">
        <f>"301411"</f>
        <v>301411</v>
      </c>
      <c r="B4931" t="str">
        <f>"Screw Allen Socket Head Cap -Blk.  M8 x 40"</f>
        <v>Screw Allen Socket Head Cap -Blk.  M8 x 40</v>
      </c>
      <c r="C4931" t="str">
        <f t="shared" si="203"/>
        <v>Active</v>
      </c>
    </row>
    <row r="4932" spans="1:3" ht="18" customHeight="1">
      <c r="A4932" t="str">
        <f>"301412"</f>
        <v>301412</v>
      </c>
      <c r="B4932" t="str">
        <f>"Screw Allen Socket Head Cap -Blk.  M8  x 12"</f>
        <v>Screw Allen Socket Head Cap -Blk.  M8  x 12</v>
      </c>
      <c r="C4932" t="str">
        <f t="shared" si="203"/>
        <v>Active</v>
      </c>
    </row>
    <row r="4933" spans="1:3" ht="18" customHeight="1">
      <c r="A4933" t="str">
        <f>"301413"</f>
        <v>301413</v>
      </c>
      <c r="B4933" t="str">
        <f>"Screw Allen Socket Button Head Cap -Blk. M8 x 40"</f>
        <v>Screw Allen Socket Button Head Cap -Blk. M8 x 40</v>
      </c>
      <c r="C4933" t="str">
        <f t="shared" si="203"/>
        <v>Active</v>
      </c>
    </row>
    <row r="4934" spans="1:3" ht="18" customHeight="1">
      <c r="A4934" t="str">
        <f>"301414"</f>
        <v>301414</v>
      </c>
      <c r="B4934" t="str">
        <f>"Screw Allen Socket Button Head Cap -Blk. M8 x 25"</f>
        <v>Screw Allen Socket Button Head Cap -Blk. M8 x 25</v>
      </c>
      <c r="C4934" t="str">
        <f t="shared" si="203"/>
        <v>Active</v>
      </c>
    </row>
    <row r="4935" spans="1:3" ht="18" customHeight="1">
      <c r="A4935" t="str">
        <f>"301415"</f>
        <v>301415</v>
      </c>
      <c r="B4935" t="str">
        <f>"Screw Allen Socket Head Cap -Blk.  M8  x 45"</f>
        <v>Screw Allen Socket Head Cap -Blk.  M8  x 45</v>
      </c>
      <c r="C4935" t="str">
        <f t="shared" si="203"/>
        <v>Active</v>
      </c>
    </row>
    <row r="4936" spans="1:3" ht="18" customHeight="1">
      <c r="A4936" t="str">
        <f>"301416"</f>
        <v>301416</v>
      </c>
      <c r="B4936" t="str">
        <f>"Screw Allen Socket Head Cap -Blk.  M8 x 70"</f>
        <v>Screw Allen Socket Head Cap -Blk.  M8 x 70</v>
      </c>
      <c r="C4936" t="str">
        <f>"ECO-N2Buy"</f>
        <v>ECO-N2Buy</v>
      </c>
    </row>
    <row r="4937" spans="1:3" ht="18" customHeight="1">
      <c r="A4937" t="str">
        <f>"301418"</f>
        <v>301418</v>
      </c>
      <c r="B4937" t="str">
        <f>"Screw Allen Socket Button Head Cap-Zinc M8x50"</f>
        <v>Screw Allen Socket Button Head Cap-Zinc M8x50</v>
      </c>
      <c r="C4937" t="str">
        <f t="shared" ref="C4937:C4946" si="204">"Active"</f>
        <v>Active</v>
      </c>
    </row>
    <row r="4938" spans="1:3" ht="18" customHeight="1">
      <c r="A4938" t="str">
        <f>"301419"</f>
        <v>301419</v>
      </c>
      <c r="B4938" t="str">
        <f>"Screw Allen Flat Head -Blk.  M8 x 25"</f>
        <v>Screw Allen Flat Head -Blk.  M8 x 25</v>
      </c>
      <c r="C4938" t="str">
        <f t="shared" si="204"/>
        <v>Active</v>
      </c>
    </row>
    <row r="4939" spans="1:3" ht="18" customHeight="1">
      <c r="A4939" t="str">
        <f>"301420"</f>
        <v>301420</v>
      </c>
      <c r="B4939" t="str">
        <f>"Screw Allen Flat Head -Blk -Blk. M8x25"</f>
        <v>Screw Allen Flat Head -Blk -Blk. M8x25</v>
      </c>
      <c r="C4939" t="str">
        <f t="shared" si="204"/>
        <v>Active</v>
      </c>
    </row>
    <row r="4940" spans="1:3" ht="18" customHeight="1">
      <c r="A4940" t="str">
        <f>"301601"</f>
        <v>301601</v>
      </c>
      <c r="B4940" t="str">
        <f>"Screw Allen Socket Head Cap-Blk. M10x30"</f>
        <v>Screw Allen Socket Head Cap-Blk. M10x30</v>
      </c>
      <c r="C4940" t="str">
        <f t="shared" si="204"/>
        <v>Active</v>
      </c>
    </row>
    <row r="4941" spans="1:3" ht="18" customHeight="1">
      <c r="A4941" t="str">
        <f>"301602"</f>
        <v>301602</v>
      </c>
      <c r="B4941" t="str">
        <f>"Screw Allen Socket Head Cap -Blk.  M10 x 20"</f>
        <v>Screw Allen Socket Head Cap -Blk.  M10 x 20</v>
      </c>
      <c r="C4941" t="str">
        <f t="shared" si="204"/>
        <v>Active</v>
      </c>
    </row>
    <row r="4942" spans="1:3" ht="18" customHeight="1">
      <c r="A4942" t="str">
        <f>"301604"</f>
        <v>301604</v>
      </c>
      <c r="B4942" t="str">
        <f>"Screw Allen Socket Set -Blk.   M12 x 35"</f>
        <v>Screw Allen Socket Set -Blk.   M12 x 35</v>
      </c>
      <c r="C4942" t="str">
        <f t="shared" si="204"/>
        <v>Active</v>
      </c>
    </row>
    <row r="4943" spans="1:3" ht="18" customHeight="1">
      <c r="A4943" t="str">
        <f>"301605"</f>
        <v>301605</v>
      </c>
      <c r="B4943" t="str">
        <f>"Screw Allen Socket Head Cap -Blk.  M10 x 50"</f>
        <v>Screw Allen Socket Head Cap -Blk.  M10 x 50</v>
      </c>
      <c r="C4943" t="str">
        <f t="shared" si="204"/>
        <v>Active</v>
      </c>
    </row>
    <row r="4944" spans="1:3" ht="18" customHeight="1">
      <c r="A4944" t="str">
        <f>"301608"</f>
        <v>301608</v>
      </c>
      <c r="B4944" t="str">
        <f>"Screw Allen Flat Head -Blk.  M10 x 25"</f>
        <v>Screw Allen Flat Head -Blk.  M10 x 25</v>
      </c>
      <c r="C4944" t="str">
        <f t="shared" si="204"/>
        <v>Active</v>
      </c>
    </row>
    <row r="4945" spans="1:3" ht="18" customHeight="1">
      <c r="A4945" t="str">
        <f>"301609"</f>
        <v>301609</v>
      </c>
      <c r="B4945" t="str">
        <f>"Screw Allen Socket Head Cap -Blk.  M10 x 25"</f>
        <v>Screw Allen Socket Head Cap -Blk.  M10 x 25</v>
      </c>
      <c r="C4945" t="str">
        <f t="shared" si="204"/>
        <v>Active</v>
      </c>
    </row>
    <row r="4946" spans="1:3" ht="18" customHeight="1">
      <c r="A4946" t="str">
        <f>"301610"</f>
        <v>301610</v>
      </c>
      <c r="B4946" t="str">
        <f>"Screw Allen Socket Head Cap -Blk.  M12 x 35"</f>
        <v>Screw Allen Socket Head Cap -Blk.  M12 x 35</v>
      </c>
      <c r="C4946" t="str">
        <f t="shared" si="204"/>
        <v>Active</v>
      </c>
    </row>
    <row r="4947" spans="1:3" ht="18" customHeight="1">
      <c r="A4947" t="str">
        <f>"301611"</f>
        <v>301611</v>
      </c>
      <c r="B4947" t="str">
        <f>"Socket Head Cap Sc.-Blk.M12 x 100"</f>
        <v>Socket Head Cap Sc.-Blk.M12 x 100</v>
      </c>
      <c r="C4947" t="str">
        <f>"ECO-N2Buy"</f>
        <v>ECO-N2Buy</v>
      </c>
    </row>
    <row r="4948" spans="1:3" ht="18" customHeight="1">
      <c r="A4948" t="str">
        <f>"301612"</f>
        <v>301612</v>
      </c>
      <c r="B4948" t="str">
        <f>"Screw Allen Socket Head Cap -Blk.  M10 x 40"</f>
        <v>Screw Allen Socket Head Cap -Blk.  M10 x 40</v>
      </c>
      <c r="C4948" t="str">
        <f>"Active"</f>
        <v>Active</v>
      </c>
    </row>
    <row r="4949" spans="1:3" ht="18" customHeight="1">
      <c r="A4949" t="str">
        <f>"301613"</f>
        <v>301613</v>
      </c>
      <c r="B4949" t="str">
        <f>"Screw Allen Socket Head Cap -Blk.  M10x70"</f>
        <v>Screw Allen Socket Head Cap -Blk.  M10x70</v>
      </c>
      <c r="C4949" t="str">
        <f>"Active"</f>
        <v>Active</v>
      </c>
    </row>
    <row r="4950" spans="1:3" ht="18" customHeight="1">
      <c r="A4950" t="str">
        <f>"301614"</f>
        <v>301614</v>
      </c>
      <c r="B4950" t="str">
        <f>"Screw Allen Socket Head Cap -Blk.  M12x100"</f>
        <v>Screw Allen Socket Head Cap -Blk.  M12x100</v>
      </c>
      <c r="C4950" t="str">
        <f>"New"</f>
        <v>New</v>
      </c>
    </row>
    <row r="4951" spans="1:3" ht="18" customHeight="1">
      <c r="A4951" t="str">
        <f>"302001"</f>
        <v>302001</v>
      </c>
      <c r="B4951" t="str">
        <f>"Screw Phillips Pan Hd. -Zinc  M2 x 8"</f>
        <v>Screw Phillips Pan Hd. -Zinc  M2 x 8</v>
      </c>
      <c r="C4951" t="str">
        <f t="shared" ref="C4951:C4997" si="205">"Active"</f>
        <v>Active</v>
      </c>
    </row>
    <row r="4952" spans="1:3" ht="18" customHeight="1">
      <c r="A4952" t="str">
        <f>"302002"</f>
        <v>302002</v>
      </c>
      <c r="B4952" t="str">
        <f>"Screw Phillips Pan Hd. -Zinc  M2 x 10"</f>
        <v>Screw Phillips Pan Hd. -Zinc  M2 x 10</v>
      </c>
      <c r="C4952" t="str">
        <f t="shared" si="205"/>
        <v>Active</v>
      </c>
    </row>
    <row r="4953" spans="1:3" ht="18" customHeight="1">
      <c r="A4953" t="str">
        <f>"302003"</f>
        <v>302003</v>
      </c>
      <c r="B4953" t="str">
        <f>"Screw Phillips Pan Hd. -Zinc  M2 x 12"</f>
        <v>Screw Phillips Pan Hd. -Zinc  M2 x 12</v>
      </c>
      <c r="C4953" t="str">
        <f t="shared" si="205"/>
        <v>Active</v>
      </c>
    </row>
    <row r="4954" spans="1:3" ht="18" customHeight="1">
      <c r="A4954" t="str">
        <f>"302005"</f>
        <v>302005</v>
      </c>
      <c r="B4954" t="str">
        <f>"Screw Phillips Pan Hd. -Zinc  M2 x 16"</f>
        <v>Screw Phillips Pan Hd. -Zinc  M2 x 16</v>
      </c>
      <c r="C4954" t="str">
        <f t="shared" si="205"/>
        <v>Active</v>
      </c>
    </row>
    <row r="4955" spans="1:3" ht="18" customHeight="1">
      <c r="A4955" t="str">
        <f>"302006"</f>
        <v>302006</v>
      </c>
      <c r="B4955" t="str">
        <f>"Screw Phillips Pan Hd. -Zinc  M2 x 20"</f>
        <v>Screw Phillips Pan Hd. -Zinc  M2 x 20</v>
      </c>
      <c r="C4955" t="str">
        <f t="shared" si="205"/>
        <v>Active</v>
      </c>
    </row>
    <row r="4956" spans="1:3" ht="18" customHeight="1">
      <c r="A4956" t="str">
        <f>"302007"</f>
        <v>302007</v>
      </c>
      <c r="B4956" t="str">
        <f>"Screw Phillips Pan Hd. -Zinc  M2.5 x 5"</f>
        <v>Screw Phillips Pan Hd. -Zinc  M2.5 x 5</v>
      </c>
      <c r="C4956" t="str">
        <f t="shared" si="205"/>
        <v>Active</v>
      </c>
    </row>
    <row r="4957" spans="1:3" ht="18" customHeight="1">
      <c r="A4957" t="str">
        <f>"302008"</f>
        <v>302008</v>
      </c>
      <c r="B4957" t="str">
        <f>"Screw Phillips Pan Hd. -Zinc  M2.5 x 6"</f>
        <v>Screw Phillips Pan Hd. -Zinc  M2.5 x 6</v>
      </c>
      <c r="C4957" t="str">
        <f t="shared" si="205"/>
        <v>Active</v>
      </c>
    </row>
    <row r="4958" spans="1:3" ht="18" customHeight="1">
      <c r="A4958" t="str">
        <f>"302009"</f>
        <v>302009</v>
      </c>
      <c r="B4958" t="str">
        <f>"Screw Phillips Pan Hd. -Blk.  M3 x 6"</f>
        <v>Screw Phillips Pan Hd. -Blk.  M3 x 6</v>
      </c>
      <c r="C4958" t="str">
        <f t="shared" si="205"/>
        <v>Active</v>
      </c>
    </row>
    <row r="4959" spans="1:3" ht="18" customHeight="1">
      <c r="A4959" t="str">
        <f>"302010"</f>
        <v>302010</v>
      </c>
      <c r="B4959" t="str">
        <f>"Screw Phillips Pan Hd. -Zinc  M3 x 6"</f>
        <v>Screw Phillips Pan Hd. -Zinc  M3 x 6</v>
      </c>
      <c r="C4959" t="str">
        <f t="shared" si="205"/>
        <v>Active</v>
      </c>
    </row>
    <row r="4960" spans="1:3" ht="18" customHeight="1">
      <c r="A4960" t="str">
        <f>"302011"</f>
        <v>302011</v>
      </c>
      <c r="B4960" t="str">
        <f>"Screw Phillips Pan Hd. -Blk.  M3 x 8"</f>
        <v>Screw Phillips Pan Hd. -Blk.  M3 x 8</v>
      </c>
      <c r="C4960" t="str">
        <f t="shared" si="205"/>
        <v>Active</v>
      </c>
    </row>
    <row r="4961" spans="1:3" ht="18" customHeight="1">
      <c r="A4961" t="str">
        <f>"302012"</f>
        <v>302012</v>
      </c>
      <c r="B4961" t="str">
        <f>"Screw Phillips Pan Hd. -Zinc  M3 x 8"</f>
        <v>Screw Phillips Pan Hd. -Zinc  M3 x 8</v>
      </c>
      <c r="C4961" t="str">
        <f t="shared" si="205"/>
        <v>Active</v>
      </c>
    </row>
    <row r="4962" spans="1:3" ht="18" customHeight="1">
      <c r="A4962" t="str">
        <f>"302013"</f>
        <v>302013</v>
      </c>
      <c r="B4962" t="str">
        <f>"Screw Phillips Pan Hd. -Zinc  M3 x 10"</f>
        <v>Screw Phillips Pan Hd. -Zinc  M3 x 10</v>
      </c>
      <c r="C4962" t="str">
        <f t="shared" si="205"/>
        <v>Active</v>
      </c>
    </row>
    <row r="4963" spans="1:3" ht="18" customHeight="1">
      <c r="A4963" t="str">
        <f>"302014"</f>
        <v>302014</v>
      </c>
      <c r="B4963" t="str">
        <f>"Screw Phillips Pan Hd. -Blk.  M3 x 12"</f>
        <v>Screw Phillips Pan Hd. -Blk.  M3 x 12</v>
      </c>
      <c r="C4963" t="str">
        <f t="shared" si="205"/>
        <v>Active</v>
      </c>
    </row>
    <row r="4964" spans="1:3" ht="18" customHeight="1">
      <c r="A4964" t="str">
        <f>"302015"</f>
        <v>302015</v>
      </c>
      <c r="B4964" t="str">
        <f>"Screw Phillips Pan Hd. -Zinc  M3 x 12"</f>
        <v>Screw Phillips Pan Hd. -Zinc  M3 x 12</v>
      </c>
      <c r="C4964" t="str">
        <f t="shared" si="205"/>
        <v>Active</v>
      </c>
    </row>
    <row r="4965" spans="1:3" ht="18" customHeight="1">
      <c r="A4965" t="str">
        <f>"302016"</f>
        <v>302016</v>
      </c>
      <c r="B4965" t="str">
        <f>"Screw Phillips Pan Hd. -Blk.  M3 x 15"</f>
        <v>Screw Phillips Pan Hd. -Blk.  M3 x 15</v>
      </c>
      <c r="C4965" t="str">
        <f t="shared" si="205"/>
        <v>Active</v>
      </c>
    </row>
    <row r="4966" spans="1:3" ht="18" customHeight="1">
      <c r="A4966" t="str">
        <f>"302019"</f>
        <v>302019</v>
      </c>
      <c r="B4966" t="str">
        <f>"Screw Phillips Flat Hd. -Blk.  M3 x 6"</f>
        <v>Screw Phillips Flat Hd. -Blk.  M3 x 6</v>
      </c>
      <c r="C4966" t="str">
        <f t="shared" si="205"/>
        <v>Active</v>
      </c>
    </row>
    <row r="4967" spans="1:3" ht="18" customHeight="1">
      <c r="A4967" t="str">
        <f>"302020"</f>
        <v>302020</v>
      </c>
      <c r="B4967" t="str">
        <f>"Screw Phillips Flat Hd. -Blk.  M3 x 12"</f>
        <v>Screw Phillips Flat Hd. -Blk.  M3 x 12</v>
      </c>
      <c r="C4967" t="str">
        <f t="shared" si="205"/>
        <v>Active</v>
      </c>
    </row>
    <row r="4968" spans="1:3" ht="18" customHeight="1">
      <c r="A4968" t="str">
        <f>"302022"</f>
        <v>302022</v>
      </c>
      <c r="B4968" t="str">
        <f>"Screw Flat Hd. Slotted -Zinc  M2 x 10"</f>
        <v>Screw Flat Hd. Slotted -Zinc  M2 x 10</v>
      </c>
      <c r="C4968" t="str">
        <f t="shared" si="205"/>
        <v>Active</v>
      </c>
    </row>
    <row r="4969" spans="1:3" ht="18" customHeight="1">
      <c r="A4969" t="str">
        <f>"302023"</f>
        <v>302023</v>
      </c>
      <c r="B4969" t="str">
        <f>"Screw Flat Hd. Slotted -Zinc  M3 x 10"</f>
        <v>Screw Flat Hd. Slotted -Zinc  M3 x 10</v>
      </c>
      <c r="C4969" t="str">
        <f t="shared" si="205"/>
        <v>Active</v>
      </c>
    </row>
    <row r="4970" spans="1:3" ht="18" customHeight="1">
      <c r="A4970" t="str">
        <f>"302024"</f>
        <v>302024</v>
      </c>
      <c r="B4970" t="str">
        <f>"Screw Phillips Pan Hd. -Blk.  M2.5 x 6"</f>
        <v>Screw Phillips Pan Hd. -Blk.  M2.5 x 6</v>
      </c>
      <c r="C4970" t="str">
        <f t="shared" si="205"/>
        <v>Active</v>
      </c>
    </row>
    <row r="4971" spans="1:3" ht="18" customHeight="1">
      <c r="A4971" t="str">
        <f>"302026"</f>
        <v>302026</v>
      </c>
      <c r="B4971" t="str">
        <f>"Screw Phillips Pan Hd. - St.St.  M2 x 5"</f>
        <v>Screw Phillips Pan Hd. - St.St.  M2 x 5</v>
      </c>
      <c r="C4971" t="str">
        <f t="shared" si="205"/>
        <v>Active</v>
      </c>
    </row>
    <row r="4972" spans="1:3" ht="18" customHeight="1">
      <c r="A4972" t="str">
        <f>"302027"</f>
        <v>302027</v>
      </c>
      <c r="B4972" t="str">
        <f>"Screw Phillips Pan Hd. -Zinc  M3 x 20"</f>
        <v>Screw Phillips Pan Hd. -Zinc  M3 x 20</v>
      </c>
      <c r="C4972" t="str">
        <f t="shared" si="205"/>
        <v>Active</v>
      </c>
    </row>
    <row r="4973" spans="1:3" ht="18" customHeight="1">
      <c r="A4973" t="str">
        <f>"302028"</f>
        <v>302028</v>
      </c>
      <c r="B4973" t="str">
        <f>"Screw Phillips Pan Hd. -Blk.   M2.5 x 8"</f>
        <v>Screw Phillips Pan Hd. -Blk.   M2.5 x 8</v>
      </c>
      <c r="C4973" t="str">
        <f t="shared" si="205"/>
        <v>Active</v>
      </c>
    </row>
    <row r="4974" spans="1:3" ht="18" customHeight="1">
      <c r="A4974" t="str">
        <f>"302029"</f>
        <v>302029</v>
      </c>
      <c r="B4974" t="str">
        <f>"Screw Phillips Flat Hd. -Blk.  M3 x 16"</f>
        <v>Screw Phillips Flat Hd. -Blk.  M3 x 16</v>
      </c>
      <c r="C4974" t="str">
        <f t="shared" si="205"/>
        <v>Active</v>
      </c>
    </row>
    <row r="4975" spans="1:3" ht="18" customHeight="1">
      <c r="A4975" t="str">
        <f>"302030"</f>
        <v>302030</v>
      </c>
      <c r="B4975" t="str">
        <f>"Screw Phillips Pan Hd.Zinc. M3x25"</f>
        <v>Screw Phillips Pan Hd.Zinc. M3x25</v>
      </c>
      <c r="C4975" t="str">
        <f t="shared" si="205"/>
        <v>Active</v>
      </c>
    </row>
    <row r="4976" spans="1:3" ht="18" customHeight="1">
      <c r="A4976" t="str">
        <f>"302031"</f>
        <v>302031</v>
      </c>
      <c r="B4976" t="str">
        <f>"Screw Phillips Flat Head -Blk. M3 x 8"</f>
        <v>Screw Phillips Flat Head -Blk. M3 x 8</v>
      </c>
      <c r="C4976" t="str">
        <f t="shared" si="205"/>
        <v>Active</v>
      </c>
    </row>
    <row r="4977" spans="1:3" ht="18" customHeight="1">
      <c r="A4977" t="str">
        <f>"302033"</f>
        <v>302033</v>
      </c>
      <c r="B4977" t="str">
        <f>"Screw Phillips Pan. Hd. -Stash.  M3 x 30"</f>
        <v>Screw Phillips Pan. Hd. -Stash.  M3 x 30</v>
      </c>
      <c r="C4977" t="str">
        <f t="shared" si="205"/>
        <v>Active</v>
      </c>
    </row>
    <row r="4978" spans="1:3" ht="18" customHeight="1">
      <c r="A4978" t="str">
        <f>"302034"</f>
        <v>302034</v>
      </c>
      <c r="B4978" t="str">
        <f>"Screw Phillips Flat. Hd. -Stash.  M3 x 6"</f>
        <v>Screw Phillips Flat. Hd. -Stash.  M3 x 6</v>
      </c>
      <c r="C4978" t="str">
        <f t="shared" si="205"/>
        <v>Active</v>
      </c>
    </row>
    <row r="4979" spans="1:3" ht="18" customHeight="1">
      <c r="A4979" t="str">
        <f>"302038"</f>
        <v>302038</v>
      </c>
      <c r="B4979" t="str">
        <f>"Screw Phillips Fletched. -Blk.  M3 x 25"</f>
        <v>Screw Phillips Fletched. -Blk.  M3 x 25</v>
      </c>
      <c r="C4979" t="str">
        <f t="shared" si="205"/>
        <v>Active</v>
      </c>
    </row>
    <row r="4980" spans="1:3" ht="18" customHeight="1">
      <c r="A4980" t="str">
        <f>"302039"</f>
        <v>302039</v>
      </c>
      <c r="B4980" t="str">
        <f>"Phillips Pan Hd. Sc.-Zinc M3x25"</f>
        <v>Phillips Pan Hd. Sc.-Zinc M3x25</v>
      </c>
      <c r="C4980" t="str">
        <f t="shared" si="205"/>
        <v>Active</v>
      </c>
    </row>
    <row r="4981" spans="1:3" ht="18" customHeight="1">
      <c r="A4981" t="str">
        <f>"302201"</f>
        <v>302201</v>
      </c>
      <c r="B4981" t="str">
        <f>"Screw Phillips Pan Hd.-Zinc M4 x 8"</f>
        <v>Screw Phillips Pan Hd.-Zinc M4 x 8</v>
      </c>
      <c r="C4981" t="str">
        <f t="shared" si="205"/>
        <v>Active</v>
      </c>
    </row>
    <row r="4982" spans="1:3" ht="18" customHeight="1">
      <c r="A4982" t="str">
        <f>"302202"</f>
        <v>302202</v>
      </c>
      <c r="B4982" t="str">
        <f>"Screw Phillips Pan Hd. -Blk.  M4 x 10"</f>
        <v>Screw Phillips Pan Hd. -Blk.  M4 x 10</v>
      </c>
      <c r="C4982" t="str">
        <f t="shared" si="205"/>
        <v>Active</v>
      </c>
    </row>
    <row r="4983" spans="1:3" ht="18" customHeight="1">
      <c r="A4983" t="str">
        <f>"302203"</f>
        <v>302203</v>
      </c>
      <c r="B4983" t="str">
        <f>"Screw Phillips Pan Hd. -Zinc  M4 x 10"</f>
        <v>Screw Phillips Pan Hd. -Zinc  M4 x 10</v>
      </c>
      <c r="C4983" t="str">
        <f t="shared" si="205"/>
        <v>Active</v>
      </c>
    </row>
    <row r="4984" spans="1:3" ht="18" customHeight="1">
      <c r="A4984" t="str">
        <f>"302204"</f>
        <v>302204</v>
      </c>
      <c r="B4984" t="str">
        <f>"Screw Phillips Flat Hd. -Blk.  M4 x 12"</f>
        <v>Screw Phillips Flat Hd. -Blk.  M4 x 12</v>
      </c>
      <c r="C4984" t="str">
        <f t="shared" si="205"/>
        <v>Active</v>
      </c>
    </row>
    <row r="4985" spans="1:3" ht="18" customHeight="1">
      <c r="A4985" t="str">
        <f>"302205"</f>
        <v>302205</v>
      </c>
      <c r="B4985" t="str">
        <f>"Screw Phillips Pan Hd. -Blk.  M4 x 8"</f>
        <v>Screw Phillips Pan Hd. -Blk.  M4 x 8</v>
      </c>
      <c r="C4985" t="str">
        <f t="shared" si="205"/>
        <v>Active</v>
      </c>
    </row>
    <row r="4986" spans="1:3" ht="18" customHeight="1">
      <c r="A4986" t="str">
        <f>"302206"</f>
        <v>302206</v>
      </c>
      <c r="B4986" t="str">
        <f>"Screw Phillips Pan Hd. -Blk.  M4 x 12"</f>
        <v>Screw Phillips Pan Hd. -Blk.  M4 x 12</v>
      </c>
      <c r="C4986" t="str">
        <f t="shared" si="205"/>
        <v>Active</v>
      </c>
    </row>
    <row r="4987" spans="1:3" ht="18" customHeight="1">
      <c r="A4987" t="str">
        <f>"302207"</f>
        <v>302207</v>
      </c>
      <c r="B4987" t="str">
        <f>"Screw Phillips Flat Hd. -Blk.  M4 x 10"</f>
        <v>Screw Phillips Flat Hd. -Blk.  M4 x 10</v>
      </c>
      <c r="C4987" t="str">
        <f t="shared" si="205"/>
        <v>Active</v>
      </c>
    </row>
    <row r="4988" spans="1:3" ht="18" customHeight="1">
      <c r="A4988" t="str">
        <f>"302209"</f>
        <v>302209</v>
      </c>
      <c r="B4988" t="str">
        <f>"Screw Phillips Pan Hd. -Blk.  M5 x 10"</f>
        <v>Screw Phillips Pan Hd. -Blk.  M5 x 10</v>
      </c>
      <c r="C4988" t="str">
        <f t="shared" si="205"/>
        <v>Active</v>
      </c>
    </row>
    <row r="4989" spans="1:3" ht="18" customHeight="1">
      <c r="A4989" t="str">
        <f>"302210"</f>
        <v>302210</v>
      </c>
      <c r="B4989" t="str">
        <f>"Screw Phillips Pan Hd. -Blk.   M4 x 6"</f>
        <v>Screw Phillips Pan Hd. -Blk.   M4 x 6</v>
      </c>
      <c r="C4989" t="str">
        <f t="shared" si="205"/>
        <v>Active</v>
      </c>
    </row>
    <row r="4990" spans="1:3" ht="18" customHeight="1">
      <c r="A4990" t="str">
        <f>"302211"</f>
        <v>302211</v>
      </c>
      <c r="B4990" t="str">
        <f>"Screw Phillips Flat Hd. -Blk.  M4 x 16"</f>
        <v>Screw Phillips Flat Hd. -Blk.  M4 x 16</v>
      </c>
      <c r="C4990" t="str">
        <f t="shared" si="205"/>
        <v>Active</v>
      </c>
    </row>
    <row r="4991" spans="1:3" ht="18" customHeight="1">
      <c r="A4991" t="str">
        <f>"302212"</f>
        <v>302212</v>
      </c>
      <c r="B4991" t="str">
        <f>"Screw Phillips Pan Hd. -Blk.  M5 x 6"</f>
        <v>Screw Phillips Pan Hd. -Blk.  M5 x 6</v>
      </c>
      <c r="C4991" t="str">
        <f t="shared" si="205"/>
        <v>Active</v>
      </c>
    </row>
    <row r="4992" spans="1:3" ht="18" customHeight="1">
      <c r="A4992" t="str">
        <f>"302215"</f>
        <v>302215</v>
      </c>
      <c r="B4992" t="str">
        <f>"Screw Phillips Flat Hd. -Blk.   M4 x 8"</f>
        <v>Screw Phillips Flat Hd. -Blk.   M4 x 8</v>
      </c>
      <c r="C4992" t="str">
        <f t="shared" si="205"/>
        <v>Active</v>
      </c>
    </row>
    <row r="4993" spans="1:3" ht="18" customHeight="1">
      <c r="A4993" t="str">
        <f>"302216"</f>
        <v>302216</v>
      </c>
      <c r="B4993" t="str">
        <f>"Screw Phillips Flat Hd. -Blk.   M4 x 6"</f>
        <v>Screw Phillips Flat Hd. -Blk.   M4 x 6</v>
      </c>
      <c r="C4993" t="str">
        <f t="shared" si="205"/>
        <v>Active</v>
      </c>
    </row>
    <row r="4994" spans="1:3" ht="18" customHeight="1">
      <c r="A4994" t="str">
        <f>"302217"</f>
        <v>302217</v>
      </c>
      <c r="B4994" t="str">
        <f>"Bolt with Plastic Handle M5x10x 20d DIN653"</f>
        <v>Bolt with Plastic Handle M5x10x 20d DIN653</v>
      </c>
      <c r="C4994" t="str">
        <f t="shared" si="205"/>
        <v>Active</v>
      </c>
    </row>
    <row r="4995" spans="1:3" ht="18" customHeight="1">
      <c r="A4995" t="str">
        <f>"302218"</f>
        <v>302218</v>
      </c>
      <c r="B4995" t="str">
        <f>"Screw Wing - Zinc M4 x 30, BN276"</f>
        <v>Screw Wing - Zinc M4 x 30, BN276</v>
      </c>
      <c r="C4995" t="str">
        <f t="shared" si="205"/>
        <v>Active</v>
      </c>
    </row>
    <row r="4996" spans="1:3" ht="18" customHeight="1">
      <c r="A4996" t="str">
        <f>"302219"</f>
        <v>302219</v>
      </c>
      <c r="B4996" t="str">
        <f>"Screw Wing -  Zinc   M4 x 10    BN276"</f>
        <v>Screw Wing -  Zinc   M4 x 10    BN276</v>
      </c>
      <c r="C4996" t="str">
        <f t="shared" si="205"/>
        <v>Active</v>
      </c>
    </row>
    <row r="4997" spans="1:3" ht="18" customHeight="1">
      <c r="A4997" t="str">
        <f>"302220"</f>
        <v>302220</v>
      </c>
      <c r="B4997" t="str">
        <f>"Screw Phillips Pan Hd. -Zinc  M4 x 16"</f>
        <v>Screw Phillips Pan Hd. -Zinc  M4 x 16</v>
      </c>
      <c r="C4997" t="str">
        <f t="shared" si="205"/>
        <v>Active</v>
      </c>
    </row>
    <row r="4998" spans="1:3" ht="18" customHeight="1">
      <c r="A4998" t="str">
        <f>"302223"</f>
        <v>302223</v>
      </c>
      <c r="B4998" t="str">
        <f>"Screw Phillips Pan Hd. M5x30"</f>
        <v>Screw Phillips Pan Hd. M5x30</v>
      </c>
      <c r="C4998" t="str">
        <f>"New"</f>
        <v>New</v>
      </c>
    </row>
    <row r="4999" spans="1:3" ht="18" customHeight="1">
      <c r="A4999" t="str">
        <f>"302224"</f>
        <v>302224</v>
      </c>
      <c r="B4999" t="str">
        <f>"Screw Phillips Pan Hd. -Zinc M4 x 6"</f>
        <v>Screw Phillips Pan Hd. -Zinc M4 x 6</v>
      </c>
      <c r="C4999" t="str">
        <f t="shared" ref="C4999:C5005" si="206">"Active"</f>
        <v>Active</v>
      </c>
    </row>
    <row r="5000" spans="1:3" ht="18" customHeight="1">
      <c r="A5000" t="str">
        <f>"302225"</f>
        <v>302225</v>
      </c>
      <c r="B5000" t="str">
        <f>"Screw Phillips Pan Hd. -Zinc  M5 x 60"</f>
        <v>Screw Phillips Pan Hd. -Zinc  M5 x 60</v>
      </c>
      <c r="C5000" t="str">
        <f t="shared" si="206"/>
        <v>Active</v>
      </c>
    </row>
    <row r="5001" spans="1:3" ht="18" customHeight="1">
      <c r="A5001" t="str">
        <f>"302227"</f>
        <v>302227</v>
      </c>
      <c r="B5001" t="str">
        <f>"Screw Phillips Pan Hd. -Blk.  M4 x 16"</f>
        <v>Screw Phillips Pan Hd. -Blk.  M4 x 16</v>
      </c>
      <c r="C5001" t="str">
        <f t="shared" si="206"/>
        <v>Active</v>
      </c>
    </row>
    <row r="5002" spans="1:3" ht="18" customHeight="1">
      <c r="A5002" t="str">
        <f>"302230"</f>
        <v>302230</v>
      </c>
      <c r="B5002" t="str">
        <f>"Screw Phillips Pan Hd. - St.St. M4x16 DIN7985 A2"</f>
        <v>Screw Phillips Pan Hd. - St.St. M4x16 DIN7985 A2</v>
      </c>
      <c r="C5002" t="str">
        <f t="shared" si="206"/>
        <v>Active</v>
      </c>
    </row>
    <row r="5003" spans="1:3" ht="18" customHeight="1">
      <c r="A5003" t="str">
        <f>"302234"</f>
        <v>302234</v>
      </c>
      <c r="B5003" t="str">
        <f>"Screw Phillips Pan Hd. -Zinc   M4 x 12"</f>
        <v>Screw Phillips Pan Hd. -Zinc   M4 x 12</v>
      </c>
      <c r="C5003" t="str">
        <f t="shared" si="206"/>
        <v>Active</v>
      </c>
    </row>
    <row r="5004" spans="1:3" ht="18" customHeight="1">
      <c r="A5004" t="str">
        <f>"302235"</f>
        <v>302235</v>
      </c>
      <c r="B5004" t="str">
        <f>"Screw Phillips Pan Hd. -Zinc M4 x 25"</f>
        <v>Screw Phillips Pan Hd. -Zinc M4 x 25</v>
      </c>
      <c r="C5004" t="str">
        <f t="shared" si="206"/>
        <v>Active</v>
      </c>
    </row>
    <row r="5005" spans="1:3" ht="18" customHeight="1">
      <c r="A5005" t="str">
        <f>"302238"</f>
        <v>302238</v>
      </c>
      <c r="B5005" t="str">
        <f>"Screw Wing -  Zinc   M5 x 12"</f>
        <v>Screw Wing -  Zinc   M5 x 12</v>
      </c>
      <c r="C5005" t="str">
        <f t="shared" si="206"/>
        <v>Active</v>
      </c>
    </row>
    <row r="5006" spans="1:3" ht="18" customHeight="1">
      <c r="A5006" t="str">
        <f>"302240"</f>
        <v>302240</v>
      </c>
      <c r="B5006" t="str">
        <f>"Screw Philips Flat Head -  Zinc   M5 x 24"</f>
        <v>Screw Philips Flat Head -  Zinc   M5 x 24</v>
      </c>
      <c r="C5006" t="str">
        <f>"New"</f>
        <v>New</v>
      </c>
    </row>
    <row r="5007" spans="1:3" ht="18" customHeight="1">
      <c r="A5007" t="str">
        <f>"302401"</f>
        <v>302401</v>
      </c>
      <c r="B5007" t="str">
        <f>"Bolt with Plastic Handle M6 x 15 x d28"</f>
        <v>Bolt with Plastic Handle M6 x 15 x d28</v>
      </c>
      <c r="C5007" t="str">
        <f t="shared" ref="C5007:C5038" si="207">"Active"</f>
        <v>Active</v>
      </c>
    </row>
    <row r="5008" spans="1:3" ht="18" customHeight="1">
      <c r="A5008" t="str">
        <f>"302402"</f>
        <v>302402</v>
      </c>
      <c r="B5008" t="str">
        <f>"Screw Phillips Pan Hd. -Zinc   M6 x 12"</f>
        <v>Screw Phillips Pan Hd. -Zinc   M6 x 12</v>
      </c>
      <c r="C5008" t="str">
        <f t="shared" si="207"/>
        <v>Active</v>
      </c>
    </row>
    <row r="5009" spans="1:3" ht="18" customHeight="1">
      <c r="A5009" t="str">
        <f>"302404"</f>
        <v>302404</v>
      </c>
      <c r="B5009" t="str">
        <f>"Screw Phillips Pan Hd. -Zinc   M6 x 40"</f>
        <v>Screw Phillips Pan Hd. -Zinc   M6 x 40</v>
      </c>
      <c r="C5009" t="str">
        <f t="shared" si="207"/>
        <v>Active</v>
      </c>
    </row>
    <row r="5010" spans="1:3" ht="18" customHeight="1">
      <c r="A5010" t="str">
        <f>"306001"</f>
        <v>306001</v>
      </c>
      <c r="B5010" t="str">
        <f>"Screw Allen Socket Head Cap -Blk.   2-56 x 1/4"""</f>
        <v>Screw Allen Socket Head Cap -Blk.   2-56 x 1/4"</v>
      </c>
      <c r="C5010" t="str">
        <f t="shared" si="207"/>
        <v>Active</v>
      </c>
    </row>
    <row r="5011" spans="1:3" ht="18" customHeight="1">
      <c r="A5011" t="str">
        <f>"306003"</f>
        <v>306003</v>
      </c>
      <c r="B5011" t="str">
        <f>"Screw Allen Socket Head Cap -Blk.   4-40 x 1/4"""</f>
        <v>Screw Allen Socket Head Cap -Blk.   4-40 x 1/4"</v>
      </c>
      <c r="C5011" t="str">
        <f t="shared" si="207"/>
        <v>Active</v>
      </c>
    </row>
    <row r="5012" spans="1:3" ht="18" customHeight="1">
      <c r="A5012" t="str">
        <f>"306004"</f>
        <v>306004</v>
      </c>
      <c r="B5012" t="str">
        <f>"Screw Allen Socket Head Cap -Blk.   4-40 x 3/8"""</f>
        <v>Screw Allen Socket Head Cap -Blk.   4-40 x 3/8"</v>
      </c>
      <c r="C5012" t="str">
        <f t="shared" si="207"/>
        <v>Active</v>
      </c>
    </row>
    <row r="5013" spans="1:3" ht="18" customHeight="1">
      <c r="A5013" t="str">
        <f>"306008"</f>
        <v>306008</v>
      </c>
      <c r="B5013" t="str">
        <f>"Screw Allen Socket Set -Blk.  4-40 x 1/8"""</f>
        <v>Screw Allen Socket Set -Blk.  4-40 x 1/8"</v>
      </c>
      <c r="C5013" t="str">
        <f t="shared" si="207"/>
        <v>Active</v>
      </c>
    </row>
    <row r="5014" spans="1:3" ht="18" customHeight="1">
      <c r="A5014" t="str">
        <f>"306010"</f>
        <v>306010</v>
      </c>
      <c r="B5014" t="str">
        <f>"Screw Allen pan head St.St.   4-40 x 1-1/4"""</f>
        <v>Screw Allen pan head St.St.   4-40 x 1-1/4"</v>
      </c>
      <c r="C5014" t="str">
        <f t="shared" si="207"/>
        <v>Active</v>
      </c>
    </row>
    <row r="5015" spans="1:3" ht="18" customHeight="1">
      <c r="A5015" t="str">
        <f>"306201"</f>
        <v>306201</v>
      </c>
      <c r="B5015" t="str">
        <f>"Screw Allen Socket Head Cap -Blk.  6-32 x 1/4"""</f>
        <v>Screw Allen Socket Head Cap -Blk.  6-32 x 1/4"</v>
      </c>
      <c r="C5015" t="str">
        <f t="shared" si="207"/>
        <v>Active</v>
      </c>
    </row>
    <row r="5016" spans="1:3" ht="18" customHeight="1">
      <c r="A5016" t="str">
        <f>"306203"</f>
        <v>306203</v>
      </c>
      <c r="B5016" t="str">
        <f>"Screw Allen Socket Head Cap -Blk.  6-32 x 3/8"""</f>
        <v>Screw Allen Socket Head Cap -Blk.  6-32 x 3/8"</v>
      </c>
      <c r="C5016" t="str">
        <f t="shared" si="207"/>
        <v>Active</v>
      </c>
    </row>
    <row r="5017" spans="1:3" ht="18" customHeight="1">
      <c r="A5017" t="str">
        <f>"306204"</f>
        <v>306204</v>
      </c>
      <c r="B5017" t="str">
        <f>"Screw Allen Socket Head Cap -Blk.   8-32 x 1/4"""</f>
        <v>Screw Allen Socket Head Cap -Blk.   8-32 x 1/4"</v>
      </c>
      <c r="C5017" t="str">
        <f t="shared" si="207"/>
        <v>Active</v>
      </c>
    </row>
    <row r="5018" spans="1:3" ht="18" customHeight="1">
      <c r="A5018" t="str">
        <f>"306205"</f>
        <v>306205</v>
      </c>
      <c r="B5018" t="str">
        <f>"Screw Allen Socket Head Cap -Blk.   8-32 x 3/8"""</f>
        <v>Screw Allen Socket Head Cap -Blk.   8-32 x 3/8"</v>
      </c>
      <c r="C5018" t="str">
        <f t="shared" si="207"/>
        <v>Active</v>
      </c>
    </row>
    <row r="5019" spans="1:3" ht="18" customHeight="1">
      <c r="A5019" t="str">
        <f>"306206"</f>
        <v>306206</v>
      </c>
      <c r="B5019" t="str">
        <f>"Screw Allen Socket Head Cap -Blk.  8-32 x 1/2"""</f>
        <v>Screw Allen Socket Head Cap -Blk.  8-32 x 1/2"</v>
      </c>
      <c r="C5019" t="str">
        <f t="shared" si="207"/>
        <v>Active</v>
      </c>
    </row>
    <row r="5020" spans="1:3" ht="18" customHeight="1">
      <c r="A5020" t="str">
        <f>"306207"</f>
        <v>306207</v>
      </c>
      <c r="B5020" t="str">
        <f>"Screw Allen Socket Head Cap -Blk.  8-32 x 5/8"""</f>
        <v>Screw Allen Socket Head Cap -Blk.  8-32 x 5/8"</v>
      </c>
      <c r="C5020" t="str">
        <f t="shared" si="207"/>
        <v>Active</v>
      </c>
    </row>
    <row r="5021" spans="1:3" ht="18" customHeight="1">
      <c r="A5021" t="str">
        <f>"306208"</f>
        <v>306208</v>
      </c>
      <c r="B5021" t="str">
        <f>"Screw Allen Socket Head Cap -Blk.  8-32 x 3/4"""</f>
        <v>Screw Allen Socket Head Cap -Blk.  8-32 x 3/4"</v>
      </c>
      <c r="C5021" t="str">
        <f t="shared" si="207"/>
        <v>Active</v>
      </c>
    </row>
    <row r="5022" spans="1:3" ht="18" customHeight="1">
      <c r="A5022" t="str">
        <f>"306211"</f>
        <v>306211</v>
      </c>
      <c r="B5022" t="str">
        <f>"Screw Allen Flat Head -Blk.  8-32 x 1/2"""</f>
        <v>Screw Allen Flat Head -Blk.  8-32 x 1/2"</v>
      </c>
      <c r="C5022" t="str">
        <f t="shared" si="207"/>
        <v>Active</v>
      </c>
    </row>
    <row r="5023" spans="1:3" ht="18" customHeight="1">
      <c r="A5023" t="str">
        <f>"306212"</f>
        <v>306212</v>
      </c>
      <c r="B5023" t="str">
        <f>"Screw Allen Socket Set -Blk.  6-32 x 3/4"""</f>
        <v>Screw Allen Socket Set -Blk.  6-32 x 3/4"</v>
      </c>
      <c r="C5023" t="str">
        <f t="shared" si="207"/>
        <v>Active</v>
      </c>
    </row>
    <row r="5024" spans="1:3" ht="18" customHeight="1">
      <c r="A5024" t="str">
        <f>"306213"</f>
        <v>306213</v>
      </c>
      <c r="B5024" t="str">
        <f>"Screw Allen Socket Set -Blk.  8-32 x 3/16"""</f>
        <v>Screw Allen Socket Set -Blk.  8-32 x 3/16"</v>
      </c>
      <c r="C5024" t="str">
        <f t="shared" si="207"/>
        <v>Active</v>
      </c>
    </row>
    <row r="5025" spans="1:3" ht="18" customHeight="1">
      <c r="A5025" t="str">
        <f>"306214"</f>
        <v>306214</v>
      </c>
      <c r="B5025" t="str">
        <f>"Screw Allen Socket Set -Blk.  8-32 x 1/4"""</f>
        <v>Screw Allen Socket Set -Blk.  8-32 x 1/4"</v>
      </c>
      <c r="C5025" t="str">
        <f t="shared" si="207"/>
        <v>Active</v>
      </c>
    </row>
    <row r="5026" spans="1:3" ht="18" customHeight="1">
      <c r="A5026" t="str">
        <f>"306215"</f>
        <v>306215</v>
      </c>
      <c r="B5026" t="str">
        <f>"Screw Allen Socket Set -Blk.  8-32 x 3/8"""</f>
        <v>Screw Allen Socket Set -Blk.  8-32 x 3/8"</v>
      </c>
      <c r="C5026" t="str">
        <f t="shared" si="207"/>
        <v>Active</v>
      </c>
    </row>
    <row r="5027" spans="1:3" ht="18" customHeight="1">
      <c r="A5027" t="str">
        <f>"306217"</f>
        <v>306217</v>
      </c>
      <c r="B5027" t="str">
        <f>"Screw Allen Socket Head Cap -Blk.  6-32 x 1/2"""</f>
        <v>Screw Allen Socket Head Cap -Blk.  6-32 x 1/2"</v>
      </c>
      <c r="C5027" t="str">
        <f t="shared" si="207"/>
        <v>Active</v>
      </c>
    </row>
    <row r="5028" spans="1:3" ht="18" customHeight="1">
      <c r="A5028" t="str">
        <f>"306218"</f>
        <v>306218</v>
      </c>
      <c r="B5028" t="str">
        <f>"Screw Allen Flat Head -Blk.  8-32 x 1"""</f>
        <v>Screw Allen Flat Head -Blk.  8-32 x 1"</v>
      </c>
      <c r="C5028" t="str">
        <f t="shared" si="207"/>
        <v>Active</v>
      </c>
    </row>
    <row r="5029" spans="1:3" ht="18" customHeight="1">
      <c r="A5029" t="str">
        <f>"306219"</f>
        <v>306219</v>
      </c>
      <c r="B5029" t="str">
        <f>"Screw Allen Socket Set -Blk.  6-32 x 3/16"""</f>
        <v>Screw Allen Socket Set -Blk.  6-32 x 3/16"</v>
      </c>
      <c r="C5029" t="str">
        <f t="shared" si="207"/>
        <v>Active</v>
      </c>
    </row>
    <row r="5030" spans="1:3" ht="18" customHeight="1">
      <c r="A5030" t="str">
        <f>"306220"</f>
        <v>306220</v>
      </c>
      <c r="B5030" t="str">
        <f>"Screw Allen Socket Head Cap -Blk.  6-32 x 7/8"""</f>
        <v>Screw Allen Socket Head Cap -Blk.  6-32 x 7/8"</v>
      </c>
      <c r="C5030" t="str">
        <f t="shared" si="207"/>
        <v>Active</v>
      </c>
    </row>
    <row r="5031" spans="1:3" ht="18" customHeight="1">
      <c r="A5031" t="str">
        <f>"306222"</f>
        <v>306222</v>
      </c>
      <c r="B5031" t="str">
        <f>"Screw Allen Socket Head Cap -Blk.  6-32 x 3/16"""</f>
        <v>Screw Allen Socket Head Cap -Blk.  6-32 x 3/16"</v>
      </c>
      <c r="C5031" t="str">
        <f t="shared" si="207"/>
        <v>Active</v>
      </c>
    </row>
    <row r="5032" spans="1:3" ht="18" customHeight="1">
      <c r="A5032" t="str">
        <f>"306401"</f>
        <v>306401</v>
      </c>
      <c r="B5032" t="str">
        <f>"Screw Allen Socket Head Cap -Blk. 10-32 x 3/8"""</f>
        <v>Screw Allen Socket Head Cap -Blk. 10-32 x 3/8"</v>
      </c>
      <c r="C5032" t="str">
        <f t="shared" si="207"/>
        <v>Active</v>
      </c>
    </row>
    <row r="5033" spans="1:3" ht="18" customHeight="1">
      <c r="A5033" t="str">
        <f>"306402"</f>
        <v>306402</v>
      </c>
      <c r="B5033" t="str">
        <f>"Screw Allen Socket Head Cap -Blk.  10-32 x 1/2"""</f>
        <v>Screw Allen Socket Head Cap -Blk.  10-32 x 1/2"</v>
      </c>
      <c r="C5033" t="str">
        <f t="shared" si="207"/>
        <v>Active</v>
      </c>
    </row>
    <row r="5034" spans="1:3" ht="18" customHeight="1">
      <c r="A5034" t="str">
        <f>"306403"</f>
        <v>306403</v>
      </c>
      <c r="B5034" t="str">
        <f>"Screw Allen Socket Head Cap -Blk.  10-32 x 5/8"""</f>
        <v>Screw Allen Socket Head Cap -Blk.  10-32 x 5/8"</v>
      </c>
      <c r="C5034" t="str">
        <f t="shared" si="207"/>
        <v>Active</v>
      </c>
    </row>
    <row r="5035" spans="1:3" ht="18" customHeight="1">
      <c r="A5035" t="str">
        <f>"306404"</f>
        <v>306404</v>
      </c>
      <c r="B5035" t="str">
        <f>"Socket Head Cap Screw - Blk. 10-32 x 3/4"""</f>
        <v>Socket Head Cap Screw - Blk. 10-32 x 3/4"</v>
      </c>
      <c r="C5035" t="str">
        <f t="shared" si="207"/>
        <v>Active</v>
      </c>
    </row>
    <row r="5036" spans="1:3" ht="18" customHeight="1">
      <c r="A5036" t="str">
        <f>"306405"</f>
        <v>306405</v>
      </c>
      <c r="B5036" t="str">
        <f>"Screw Allen Socket Head Cap -Blk.  10-32 x 7/8"""</f>
        <v>Screw Allen Socket Head Cap -Blk.  10-32 x 7/8"</v>
      </c>
      <c r="C5036" t="str">
        <f t="shared" si="207"/>
        <v>Active</v>
      </c>
    </row>
    <row r="5037" spans="1:3" ht="18" customHeight="1">
      <c r="A5037" t="str">
        <f>"306406"</f>
        <v>306406</v>
      </c>
      <c r="B5037" t="str">
        <f>"Screw Allen Socket Head Cap -Blk.  10-32 x 1"""</f>
        <v>Screw Allen Socket Head Cap -Blk.  10-32 x 1"</v>
      </c>
      <c r="C5037" t="str">
        <f t="shared" si="207"/>
        <v>Active</v>
      </c>
    </row>
    <row r="5038" spans="1:3" ht="18" customHeight="1">
      <c r="A5038" t="str">
        <f>"306407"</f>
        <v>306407</v>
      </c>
      <c r="B5038" t="str">
        <f>"Screw Allen Socket Head Cap -Blk. 10-32 x 1-1/4"""</f>
        <v>Screw Allen Socket Head Cap -Blk. 10-32 x 1-1/4"</v>
      </c>
      <c r="C5038" t="str">
        <f t="shared" si="207"/>
        <v>Active</v>
      </c>
    </row>
    <row r="5039" spans="1:3" ht="18" customHeight="1">
      <c r="A5039" t="str">
        <f>"306408"</f>
        <v>306408</v>
      </c>
      <c r="B5039" t="str">
        <f>"Screw Allen Socket Head Cap -Blk. 10-32 x 1-1/2"""</f>
        <v>Screw Allen Socket Head Cap -Blk. 10-32 x 1-1/2"</v>
      </c>
      <c r="C5039" t="str">
        <f t="shared" ref="C5039:C5070" si="208">"Active"</f>
        <v>Active</v>
      </c>
    </row>
    <row r="5040" spans="1:3" ht="18" customHeight="1">
      <c r="A5040" t="str">
        <f>"306410"</f>
        <v>306410</v>
      </c>
      <c r="B5040" t="str">
        <f>"Screw Allen Flat Head -Blk.  10-32 x 1/2"""</f>
        <v>Screw Allen Flat Head -Blk.  10-32 x 1/2"</v>
      </c>
      <c r="C5040" t="str">
        <f t="shared" si="208"/>
        <v>Active</v>
      </c>
    </row>
    <row r="5041" spans="1:3" ht="18" customHeight="1">
      <c r="A5041" t="str">
        <f>"306412"</f>
        <v>306412</v>
      </c>
      <c r="B5041" t="str">
        <f>"Screw Allen Flat Head -Blk. 10-32 x 1-1/4"""</f>
        <v>Screw Allen Flat Head -Blk. 10-32 x 1-1/4"</v>
      </c>
      <c r="C5041" t="str">
        <f t="shared" si="208"/>
        <v>Active</v>
      </c>
    </row>
    <row r="5042" spans="1:3" ht="18" customHeight="1">
      <c r="A5042" t="str">
        <f>"306413"</f>
        <v>306413</v>
      </c>
      <c r="B5042" t="str">
        <f>"Socket Flat Head Sc.-Blk. 10-32*3/16"</f>
        <v>Socket Flat Head Sc.-Blk. 10-32*3/16</v>
      </c>
      <c r="C5042" t="str">
        <f t="shared" si="208"/>
        <v>Active</v>
      </c>
    </row>
    <row r="5043" spans="1:3" ht="18" customHeight="1">
      <c r="A5043" t="str">
        <f>"306414"</f>
        <v>306414</v>
      </c>
      <c r="B5043" t="str">
        <f>"Socked Hd.Shoulder Screw-St.St.10-32x1/4dx3/4"""</f>
        <v>Socked Hd.Shoulder Screw-St.St.10-32x1/4dx3/4"</v>
      </c>
      <c r="C5043" t="str">
        <f t="shared" si="208"/>
        <v>Active</v>
      </c>
    </row>
    <row r="5044" spans="1:3" ht="18" customHeight="1">
      <c r="A5044" t="str">
        <f>"306601"</f>
        <v>306601</v>
      </c>
      <c r="B5044" t="str">
        <f>"Screw Allen Socket Head Cap -Blk. 1/4-20 x 3/8"""</f>
        <v>Screw Allen Socket Head Cap -Blk. 1/4-20 x 3/8"</v>
      </c>
      <c r="C5044" t="str">
        <f t="shared" si="208"/>
        <v>Active</v>
      </c>
    </row>
    <row r="5045" spans="1:3" ht="18" customHeight="1">
      <c r="A5045" t="str">
        <f>"306602"</f>
        <v>306602</v>
      </c>
      <c r="B5045" t="str">
        <f>"Screw Allen Socket Head Cap -Blk.  1/4-20 x 5/8"""</f>
        <v>Screw Allen Socket Head Cap -Blk.  1/4-20 x 5/8"</v>
      </c>
      <c r="C5045" t="str">
        <f t="shared" si="208"/>
        <v>Active</v>
      </c>
    </row>
    <row r="5046" spans="1:3" ht="18" customHeight="1">
      <c r="A5046" t="str">
        <f>"306603"</f>
        <v>306603</v>
      </c>
      <c r="B5046" t="str">
        <f>"Screw Allen Socket Head Cap -Blk.  1/4-20 x 1"""</f>
        <v>Screw Allen Socket Head Cap -Blk.  1/4-20 x 1"</v>
      </c>
      <c r="C5046" t="str">
        <f t="shared" si="208"/>
        <v>Active</v>
      </c>
    </row>
    <row r="5047" spans="1:3" ht="18" customHeight="1">
      <c r="A5047" t="str">
        <f>"306604"</f>
        <v>306604</v>
      </c>
      <c r="B5047" t="str">
        <f>"Screw Allen Socket Head Cap -Blk.  1/4-20x1-1/4"""</f>
        <v>Screw Allen Socket Head Cap -Blk.  1/4-20x1-1/4"</v>
      </c>
      <c r="C5047" t="str">
        <f t="shared" si="208"/>
        <v>Active</v>
      </c>
    </row>
    <row r="5048" spans="1:3" ht="18" customHeight="1">
      <c r="A5048" t="str">
        <f>"306605"</f>
        <v>306605</v>
      </c>
      <c r="B5048" t="str">
        <f>"Screw Allen Socket Head Cap -Blk. 5/16-18 x 5/8"""</f>
        <v>Screw Allen Socket Head Cap -Blk. 5/16-18 x 5/8"</v>
      </c>
      <c r="C5048" t="str">
        <f t="shared" si="208"/>
        <v>Active</v>
      </c>
    </row>
    <row r="5049" spans="1:3" ht="18" customHeight="1">
      <c r="A5049" t="str">
        <f>"306609"</f>
        <v>306609</v>
      </c>
      <c r="B5049" t="str">
        <f>"Screw Allen Flat Head -Blk.  1/4-20 x 1-1/4"""</f>
        <v>Screw Allen Flat Head -Blk.  1/4-20 x 1-1/4"</v>
      </c>
      <c r="C5049" t="str">
        <f t="shared" si="208"/>
        <v>Active</v>
      </c>
    </row>
    <row r="5050" spans="1:3" ht="18" customHeight="1">
      <c r="A5050" t="str">
        <f>"306613"</f>
        <v>306613</v>
      </c>
      <c r="B5050" t="str">
        <f>"Socket Head Cap Sc.- Blk. 1/4-20*3/4"""</f>
        <v>Socket Head Cap Sc.- Blk. 1/4-20*3/4"</v>
      </c>
      <c r="C5050" t="str">
        <f t="shared" si="208"/>
        <v>Active</v>
      </c>
    </row>
    <row r="5051" spans="1:3" ht="18" customHeight="1">
      <c r="A5051" t="str">
        <f>"306614"</f>
        <v>306614</v>
      </c>
      <c r="B5051" t="str">
        <f>"Screw Hex. cap - 1/4-20 x 150mm"</f>
        <v>Screw Hex. cap - 1/4-20 x 150mm</v>
      </c>
      <c r="C5051" t="str">
        <f t="shared" si="208"/>
        <v>Active</v>
      </c>
    </row>
    <row r="5052" spans="1:3" ht="18" customHeight="1">
      <c r="A5052" t="str">
        <f>"307201"</f>
        <v>307201</v>
      </c>
      <c r="B5052" t="str">
        <f>"Screw Phillips Pan Hd. -Blk.   4-40 x 3/8"""</f>
        <v>Screw Phillips Pan Hd. -Blk.   4-40 x 3/8"</v>
      </c>
      <c r="C5052" t="str">
        <f t="shared" si="208"/>
        <v>Active</v>
      </c>
    </row>
    <row r="5053" spans="1:3" ht="18" customHeight="1">
      <c r="A5053" t="str">
        <f>"307202"</f>
        <v>307202</v>
      </c>
      <c r="B5053" t="str">
        <f>"Screw Phillips Flat Hd. -Blk.  4-40 x 1/4"""</f>
        <v>Screw Phillips Flat Hd. -Blk.  4-40 x 1/4"</v>
      </c>
      <c r="C5053" t="str">
        <f t="shared" si="208"/>
        <v>Active</v>
      </c>
    </row>
    <row r="5054" spans="1:3" ht="18" customHeight="1">
      <c r="A5054" t="str">
        <f>"307203"</f>
        <v>307203</v>
      </c>
      <c r="B5054" t="str">
        <f>"Screw Phillips Flat Hd. -Blk.  4-40 x 3/8"""</f>
        <v>Screw Phillips Flat Hd. -Blk.  4-40 x 3/8"</v>
      </c>
      <c r="C5054" t="str">
        <f t="shared" si="208"/>
        <v>Active</v>
      </c>
    </row>
    <row r="5055" spans="1:3" ht="18" customHeight="1">
      <c r="A5055" t="str">
        <f>"307204"</f>
        <v>307204</v>
      </c>
      <c r="B5055" t="str">
        <f>"Screw Phillips Flat. Hd. -St.St. 4-40 x 1/2"""</f>
        <v>Screw Phillips Flat. Hd. -St.St. 4-40 x 1/2"</v>
      </c>
      <c r="C5055" t="str">
        <f t="shared" si="208"/>
        <v>Active</v>
      </c>
    </row>
    <row r="5056" spans="1:3" ht="18" customHeight="1">
      <c r="A5056" t="str">
        <f>"307207"</f>
        <v>307207</v>
      </c>
      <c r="B5056" t="str">
        <f>"Screw Phillips Flat Hd. -St.St.  4-40 x  7/8"""</f>
        <v>Screw Phillips Flat Hd. -St.St.  4-40 x  7/8"</v>
      </c>
      <c r="C5056" t="str">
        <f t="shared" si="208"/>
        <v>Active</v>
      </c>
    </row>
    <row r="5057" spans="1:3" ht="18" customHeight="1">
      <c r="A5057" t="str">
        <f>"307208"</f>
        <v>307208</v>
      </c>
      <c r="B5057" t="str">
        <f>"Screw Phillips Pan Hd. -Zinc  4-40 x  3/16"""</f>
        <v>Screw Phillips Pan Hd. -Zinc  4-40 x  3/16"</v>
      </c>
      <c r="C5057" t="str">
        <f t="shared" si="208"/>
        <v>Active</v>
      </c>
    </row>
    <row r="5058" spans="1:3" ht="18" customHeight="1">
      <c r="A5058" t="str">
        <f>"307209"</f>
        <v>307209</v>
      </c>
      <c r="B5058" t="str">
        <f>"Screw Allen Socket Head Cap -Blk.  3-48 x 3/8"""</f>
        <v>Screw Allen Socket Head Cap -Blk.  3-48 x 3/8"</v>
      </c>
      <c r="C5058" t="str">
        <f t="shared" si="208"/>
        <v>Active</v>
      </c>
    </row>
    <row r="5059" spans="1:3" ht="18" customHeight="1">
      <c r="A5059" t="str">
        <f>"307401"</f>
        <v>307401</v>
      </c>
      <c r="B5059" t="str">
        <f>"Screw Phillips Flat.Hd.zinc 6-32 x 1/4"""</f>
        <v>Screw Phillips Flat.Hd.zinc 6-32 x 1/4"</v>
      </c>
      <c r="C5059" t="str">
        <f t="shared" si="208"/>
        <v>Active</v>
      </c>
    </row>
    <row r="5060" spans="1:3" ht="18" customHeight="1">
      <c r="A5060" t="str">
        <f>"307403"</f>
        <v>307403</v>
      </c>
      <c r="B5060" t="str">
        <f>"Screw Phillips Pan Hd.-Blk. 6-32 x 3/8"""</f>
        <v>Screw Phillips Pan Hd.-Blk. 6-32 x 3/8"</v>
      </c>
      <c r="C5060" t="str">
        <f t="shared" si="208"/>
        <v>Active</v>
      </c>
    </row>
    <row r="5061" spans="1:3" ht="18" customHeight="1">
      <c r="A5061" t="str">
        <f>"307405"</f>
        <v>307405</v>
      </c>
      <c r="B5061" t="str">
        <f>"Screw Phillips Flat.Hd. -Blk.  6-32 x 1/2"""</f>
        <v>Screw Phillips Flat.Hd. -Blk.  6-32 x 1/2"</v>
      </c>
      <c r="C5061" t="str">
        <f t="shared" si="208"/>
        <v>Active</v>
      </c>
    </row>
    <row r="5062" spans="1:3" ht="18" customHeight="1">
      <c r="A5062" t="str">
        <f>"307406"</f>
        <v>307406</v>
      </c>
      <c r="B5062" t="str">
        <f>"Screw springy Hd.  6-32  (47-63-201-20)"</f>
        <v>Screw springy Hd.  6-32  (47-63-201-20)</v>
      </c>
      <c r="C5062" t="str">
        <f t="shared" si="208"/>
        <v>Active</v>
      </c>
    </row>
    <row r="5063" spans="1:3" ht="18" customHeight="1">
      <c r="A5063" t="str">
        <f>"307411"</f>
        <v>307411</v>
      </c>
      <c r="B5063" t="str">
        <f>"Screw Phillips Pan Hd. -Blk.  6-32 x 3/16"""</f>
        <v>Screw Phillips Pan Hd. -Blk.  6-32 x 3/16"</v>
      </c>
      <c r="C5063" t="str">
        <f t="shared" si="208"/>
        <v>Active</v>
      </c>
    </row>
    <row r="5064" spans="1:3" ht="18" customHeight="1">
      <c r="A5064" t="str">
        <f>"307801"</f>
        <v>307801</v>
      </c>
      <c r="B5064" t="str">
        <f>"T-Bolt   5/16UN x 7/8"""</f>
        <v>T-Bolt   5/16UN x 7/8"</v>
      </c>
      <c r="C5064" t="str">
        <f t="shared" si="208"/>
        <v>Active</v>
      </c>
    </row>
    <row r="5065" spans="1:3" ht="18" customHeight="1">
      <c r="A5065" t="str">
        <f>"307802"</f>
        <v>307802</v>
      </c>
      <c r="B5065" t="str">
        <f>"T-Bolt 5/16-18-2A UNC x 1.5"""</f>
        <v>T-Bolt 5/16-18-2A UNC x 1.5"</v>
      </c>
      <c r="C5065" t="str">
        <f t="shared" si="208"/>
        <v>Active</v>
      </c>
    </row>
    <row r="5066" spans="1:3" ht="18" customHeight="1">
      <c r="A5066" t="str">
        <f>"307803"</f>
        <v>307803</v>
      </c>
      <c r="B5066" t="str">
        <f>"T-Bolt 5/16UN x 5/8"""</f>
        <v>T-Bolt 5/16UN x 5/8"</v>
      </c>
      <c r="C5066" t="str">
        <f t="shared" si="208"/>
        <v>Active</v>
      </c>
    </row>
    <row r="5067" spans="1:3" ht="18" customHeight="1">
      <c r="A5067" t="str">
        <f>"307804"</f>
        <v>307804</v>
      </c>
      <c r="B5067" t="str">
        <f>"Bolt with Plastic Handle  1/4 Nc x 1""  x d48"</f>
        <v>Bolt with Plastic Handle  1/4 Nc x 1"  x d48</v>
      </c>
      <c r="C5067" t="str">
        <f t="shared" si="208"/>
        <v>Active</v>
      </c>
    </row>
    <row r="5068" spans="1:3" ht="18" customHeight="1">
      <c r="A5068" t="str">
        <f>"307808"</f>
        <v>307808</v>
      </c>
      <c r="B5068" t="str">
        <f>"Screw Hexagon head  -Zinc  1/4"" x 80"</f>
        <v>Screw Hexagon head  -Zinc  1/4" x 80</v>
      </c>
      <c r="C5068" t="str">
        <f t="shared" si="208"/>
        <v>Active</v>
      </c>
    </row>
    <row r="5069" spans="1:3" ht="18" customHeight="1">
      <c r="A5069" t="str">
        <f>"307809"</f>
        <v>307809</v>
      </c>
      <c r="B5069" t="str">
        <f>"Screw Shaft-Zink 1/4"" x 1000 mm"</f>
        <v>Screw Shaft-Zink 1/4" x 1000 mm</v>
      </c>
      <c r="C5069" t="str">
        <f t="shared" si="208"/>
        <v>Active</v>
      </c>
    </row>
    <row r="5070" spans="1:3" ht="18" customHeight="1">
      <c r="A5070" t="str">
        <f>"307810"</f>
        <v>307810</v>
      </c>
      <c r="B5070" t="str">
        <f>"Shaft screw 5/16""x1000"</f>
        <v>Shaft screw 5/16"x1000</v>
      </c>
      <c r="C5070" t="str">
        <f t="shared" si="208"/>
        <v>Active</v>
      </c>
    </row>
    <row r="5071" spans="1:3" ht="18" customHeight="1">
      <c r="A5071" t="str">
        <f>"307811"</f>
        <v>307811</v>
      </c>
      <c r="B5071" t="str">
        <f>"Screw Hexagon head  -Zinc M8x20"</f>
        <v>Screw Hexagon head  -Zinc M8x20</v>
      </c>
      <c r="C5071" t="str">
        <f>"Not for sale"</f>
        <v>Not for sale</v>
      </c>
    </row>
    <row r="5072" spans="1:3" ht="18" customHeight="1">
      <c r="A5072" t="str">
        <f>"309001"</f>
        <v>309001</v>
      </c>
      <c r="B5072" t="str">
        <f>"Screw D-type Jack Socket - Nickel   4-40 x 1/4"""</f>
        <v>Screw D-type Jack Socket - Nickel   4-40 x 1/4"</v>
      </c>
      <c r="C5072" t="str">
        <f t="shared" ref="C5072:C5103" si="209">"Active"</f>
        <v>Active</v>
      </c>
    </row>
    <row r="5073" spans="1:3" ht="18" customHeight="1">
      <c r="A5073" t="str">
        <f>"309002"</f>
        <v>309002</v>
      </c>
      <c r="B5073" t="str">
        <f>"Screw-Nickel-JackSoc&amp;Kit:Nut+SprWasher4-40x5/16"""</f>
        <v>Screw-Nickel-JackSoc&amp;Kit:Nut+SprWasher4-40x5/16"</v>
      </c>
      <c r="C5073" t="str">
        <f t="shared" si="209"/>
        <v>Active</v>
      </c>
    </row>
    <row r="5074" spans="1:3" ht="18" customHeight="1">
      <c r="A5074" t="str">
        <f>"309003"</f>
        <v>309003</v>
      </c>
      <c r="B5074" t="str">
        <f>"Screw Phillips Flat Hd.Wood  -Zinc  d3 x 6mm"</f>
        <v>Screw Phillips Flat Hd.Wood  -Zinc  d3 x 6mm</v>
      </c>
      <c r="C5074" t="str">
        <f t="shared" si="209"/>
        <v>Active</v>
      </c>
    </row>
    <row r="5075" spans="1:3" ht="18" customHeight="1">
      <c r="A5075" t="str">
        <f>"309004"</f>
        <v>309004</v>
      </c>
      <c r="B5075" t="str">
        <f>"Screw Phillips Flat Hd.Wood  -Zinc d3 x13mm"</f>
        <v>Screw Phillips Flat Hd.Wood  -Zinc d3 x13mm</v>
      </c>
      <c r="C5075" t="str">
        <f t="shared" si="209"/>
        <v>Active</v>
      </c>
    </row>
    <row r="5076" spans="1:3" ht="18" customHeight="1">
      <c r="A5076" t="str">
        <f>"309005"</f>
        <v>309005</v>
      </c>
      <c r="B5076" t="str">
        <f>"Screw Phillips Pan Hd.Tap -Blk.  d3 x 3/8"""</f>
        <v>Screw Phillips Pan Hd.Tap -Blk.  d3 x 3/8"</v>
      </c>
      <c r="C5076" t="str">
        <f t="shared" si="209"/>
        <v>Active</v>
      </c>
    </row>
    <row r="5077" spans="1:3" ht="18" customHeight="1">
      <c r="A5077" t="str">
        <f>"309006"</f>
        <v>309006</v>
      </c>
      <c r="B5077" t="str">
        <f>"Screw Tight Anchor - 5/16"" brass"</f>
        <v>Screw Tight Anchor - 5/16" brass</v>
      </c>
      <c r="C5077" t="str">
        <f t="shared" si="209"/>
        <v>Active</v>
      </c>
    </row>
    <row r="5078" spans="1:3" ht="18" customHeight="1">
      <c r="A5078" t="str">
        <f>"309007"</f>
        <v>309007</v>
      </c>
      <c r="B5078" t="str">
        <f>"Screw Jack Sock.Slot.Pan Hd. -Brass 4-40x5/8"""</f>
        <v>Screw Jack Sock.Slot.Pan Hd. -Brass 4-40x5/8"</v>
      </c>
      <c r="C5078" t="str">
        <f t="shared" si="209"/>
        <v>Active</v>
      </c>
    </row>
    <row r="5079" spans="1:3" ht="18" customHeight="1">
      <c r="A5079" t="str">
        <f>"309008"</f>
        <v>309008</v>
      </c>
      <c r="B5079" t="str">
        <f>"Screw Phillips Pan Hd.Tap -Blk.  #6x 3/8"""</f>
        <v>Screw Phillips Pan Hd.Tap -Blk.  #6x 3/8"</v>
      </c>
      <c r="C5079" t="str">
        <f t="shared" si="209"/>
        <v>Active</v>
      </c>
    </row>
    <row r="5080" spans="1:3" ht="18" customHeight="1">
      <c r="A5080" t="str">
        <f>"309010"</f>
        <v>309010</v>
      </c>
      <c r="B5080" t="str">
        <f>"Screw Hex. cap - Brass  5/16""w x 35 mm"</f>
        <v>Screw Hex. cap - Brass  5/16"w x 35 mm</v>
      </c>
      <c r="C5080" t="str">
        <f t="shared" si="209"/>
        <v>Active</v>
      </c>
    </row>
    <row r="5081" spans="1:3" ht="18" customHeight="1">
      <c r="A5081" t="str">
        <f>"309011"</f>
        <v>309011</v>
      </c>
      <c r="B5081" t="str">
        <f>"Screw Phillips Flat Hd.Tap -Zinc d3x9.5mm 4x3/8"""</f>
        <v>Screw Phillips Flat Hd.Tap -Zinc d3x9.5mm 4x3/8"</v>
      </c>
      <c r="C5081" t="str">
        <f t="shared" si="209"/>
        <v>Active</v>
      </c>
    </row>
    <row r="5082" spans="1:3" ht="18" customHeight="1">
      <c r="A5082" t="str">
        <f>"309012"</f>
        <v>309012</v>
      </c>
      <c r="B5082" t="str">
        <f>"Screw Tight  Anchor - Brass   1/4"""</f>
        <v>Screw Tight  Anchor - Brass   1/4"</v>
      </c>
      <c r="C5082" t="str">
        <f t="shared" si="209"/>
        <v>Active</v>
      </c>
    </row>
    <row r="5083" spans="1:3" ht="18" customHeight="1">
      <c r="A5083" t="str">
        <f>"309013"</f>
        <v>309013</v>
      </c>
      <c r="B5083" t="str">
        <f>"Screw Hex. Anchor  - Brass  1/4""W x 1"""</f>
        <v>Screw Hex. Anchor  - Brass  1/4"W x 1"</v>
      </c>
      <c r="C5083" t="str">
        <f t="shared" si="209"/>
        <v>Active</v>
      </c>
    </row>
    <row r="5084" spans="1:3" ht="18" customHeight="1">
      <c r="A5084" t="str">
        <f>"309014"</f>
        <v>309014</v>
      </c>
      <c r="B5084" t="str">
        <f>"Phillips Flat Hd.Tap.Sc. 3.5x13mm DIN 7982 Type"</f>
        <v>Phillips Flat Hd.Tap.Sc. 3.5x13mm DIN 7982 Type</v>
      </c>
      <c r="C5084" t="str">
        <f t="shared" si="209"/>
        <v>Active</v>
      </c>
    </row>
    <row r="5085" spans="1:3" ht="18" customHeight="1">
      <c r="A5085" t="str">
        <f>"309015"</f>
        <v>309015</v>
      </c>
      <c r="B5085" t="str">
        <f>"Screw Tight  Anchor for Drill d=7  L=35"</f>
        <v>Screw Tight  Anchor for Drill d=7  L=35</v>
      </c>
      <c r="C5085" t="str">
        <f t="shared" si="209"/>
        <v>Active</v>
      </c>
    </row>
    <row r="5086" spans="1:3" ht="18" customHeight="1">
      <c r="A5086" t="str">
        <f>"309016"</f>
        <v>309016</v>
      </c>
      <c r="B5086" t="str">
        <f>"Screw Phillips Pan Hd.Tap -Blk 4.2dx25"</f>
        <v>Screw Phillips Pan Hd.Tap -Blk 4.2dx25</v>
      </c>
      <c r="C5086" t="str">
        <f t="shared" si="209"/>
        <v>Active</v>
      </c>
    </row>
    <row r="5087" spans="1:3" ht="18" customHeight="1">
      <c r="A5087" t="str">
        <f>"309017"</f>
        <v>309017</v>
      </c>
      <c r="B5087" t="str">
        <f>"Screw Distance bolt-Nickel M4x12, DIN 654/12"</f>
        <v>Screw Distance bolt-Nickel M4x12, DIN 654/12</v>
      </c>
      <c r="C5087" t="str">
        <f t="shared" si="209"/>
        <v>Active</v>
      </c>
    </row>
    <row r="5088" spans="1:3" ht="18" customHeight="1">
      <c r="A5088" t="str">
        <f>"309018"</f>
        <v>309018</v>
      </c>
      <c r="B5088" t="str">
        <f>"Screw Jack Socket Zinc/Nickel M3x8"</f>
        <v>Screw Jack Socket Zinc/Nickel M3x8</v>
      </c>
      <c r="C5088" t="str">
        <f t="shared" si="209"/>
        <v>Active</v>
      </c>
    </row>
    <row r="5089" spans="1:3" ht="18" customHeight="1">
      <c r="A5089" t="str">
        <f>"309020"</f>
        <v>309020</v>
      </c>
      <c r="B5089" t="str">
        <f>"Screw Phillips Pan Hd.Tap. Zinc d4x9mm (8x3/8"")"</f>
        <v>Screw Phillips Pan Hd.Tap. Zinc d4x9mm (8x3/8")</v>
      </c>
      <c r="C5089" t="str">
        <f t="shared" si="209"/>
        <v>Active</v>
      </c>
    </row>
    <row r="5090" spans="1:3" ht="18" customHeight="1">
      <c r="A5090" t="str">
        <f>"309022"</f>
        <v>309022</v>
      </c>
      <c r="B5090" t="str">
        <f>"Screw Phillips Pan Hd.Tap.-Zinc d4x18mm (8x3/4"")"</f>
        <v>Screw Phillips Pan Hd.Tap.-Zinc d4x18mm (8x3/4")</v>
      </c>
      <c r="C5090" t="str">
        <f t="shared" si="209"/>
        <v>Active</v>
      </c>
    </row>
    <row r="5091" spans="1:3" ht="18" customHeight="1">
      <c r="A5091" t="str">
        <f>"309023"</f>
        <v>309023</v>
      </c>
      <c r="B5091" t="str">
        <f>"Screw Phillips Pan Hd.Tap.-Zinc d4.2x13mm"</f>
        <v>Screw Phillips Pan Hd.Tap.-Zinc d4.2x13mm</v>
      </c>
      <c r="C5091" t="str">
        <f t="shared" si="209"/>
        <v>Active</v>
      </c>
    </row>
    <row r="5092" spans="1:3" ht="18" customHeight="1">
      <c r="A5092" t="str">
        <f>"309024"</f>
        <v>309024</v>
      </c>
      <c r="B5092" t="str">
        <f>"Screw Distance bolt - Nickel M3, h=18"</f>
        <v>Screw Distance bolt - Nickel M3, h=18</v>
      </c>
      <c r="C5092" t="str">
        <f t="shared" si="209"/>
        <v>Active</v>
      </c>
    </row>
    <row r="5093" spans="1:3" ht="18" customHeight="1">
      <c r="A5093" t="str">
        <f>"309025"</f>
        <v>309025</v>
      </c>
      <c r="B5093" t="str">
        <f>"ScrewPhillipsPanHd.Tap.-Zinc(#8 x 5/8)d4.2x16mm"</f>
        <v>ScrewPhillipsPanHd.Tap.-Zinc(#8 x 5/8)d4.2x16mm</v>
      </c>
      <c r="C5093" t="str">
        <f t="shared" si="209"/>
        <v>Active</v>
      </c>
    </row>
    <row r="5094" spans="1:3" ht="18" customHeight="1">
      <c r="A5094" t="str">
        <f>"309026"</f>
        <v>309026</v>
      </c>
      <c r="B5094" t="str">
        <f>"BOSSARD  4d  BN 309"</f>
        <v>BOSSARD  4d  BN 309</v>
      </c>
      <c r="C5094" t="str">
        <f t="shared" si="209"/>
        <v>Active</v>
      </c>
    </row>
    <row r="5095" spans="1:3" ht="18" customHeight="1">
      <c r="A5095" t="str">
        <f>"309027"</f>
        <v>309027</v>
      </c>
      <c r="B5095" t="str">
        <f>"Screw Phillips Pan Hd.Tap 3.5d X 19"</f>
        <v>Screw Phillips Pan Hd.Tap 3.5d X 19</v>
      </c>
      <c r="C5095" t="str">
        <f t="shared" si="209"/>
        <v>Active</v>
      </c>
    </row>
    <row r="5096" spans="1:3" ht="18" customHeight="1">
      <c r="A5096" t="str">
        <f>"309028"</f>
        <v>309028</v>
      </c>
      <c r="B5096" t="str">
        <f>"Screw Phillips Flat Hd.Tap -Zinc   #6 X 1/4"</f>
        <v>Screw Phillips Flat Hd.Tap -Zinc   #6 X 1/4</v>
      </c>
      <c r="C5096" t="str">
        <f t="shared" si="209"/>
        <v>Active</v>
      </c>
    </row>
    <row r="5097" spans="1:3" ht="18" customHeight="1">
      <c r="A5097" t="str">
        <f>"309029"</f>
        <v>309029</v>
      </c>
      <c r="B5097" t="str">
        <f>"Screw Hex. Anchor - Brass   5/16""w x 70 mm"</f>
        <v>Screw Hex. Anchor - Brass   5/16"w x 70 mm</v>
      </c>
      <c r="C5097" t="str">
        <f t="shared" si="209"/>
        <v>Active</v>
      </c>
    </row>
    <row r="5098" spans="1:3" ht="18" customHeight="1">
      <c r="A5098" t="str">
        <f>"309030"</f>
        <v>309030</v>
      </c>
      <c r="B5098" t="str">
        <f>"ורג פח פיליפס רע מושחר d2.9x19 , type F, DIN7981"</f>
        <v>ורג פח פיליפס רע מושחר d2.9x19 , type F, DIN7981</v>
      </c>
      <c r="C5098" t="str">
        <f t="shared" si="209"/>
        <v>Active</v>
      </c>
    </row>
    <row r="5099" spans="1:3" ht="18" customHeight="1">
      <c r="A5099" t="str">
        <f>"309031"</f>
        <v>309031</v>
      </c>
      <c r="B5099" t="str">
        <f>"Screw Phillips Flat Hd.Wood -Blk.   d2.2 X 9.5"</f>
        <v>Screw Phillips Flat Hd.Wood -Blk.   d2.2 X 9.5</v>
      </c>
      <c r="C5099" t="str">
        <f t="shared" si="209"/>
        <v>Active</v>
      </c>
    </row>
    <row r="5100" spans="1:3" ht="18" customHeight="1">
      <c r="A5100" t="str">
        <f>"309034"</f>
        <v>309034</v>
      </c>
      <c r="B5100" t="str">
        <f>"Screw Phillips Flat Hd.Tap -Blk. d3.5 x 19mm"</f>
        <v>Screw Phillips Flat Hd.Tap -Blk. d3.5 x 19mm</v>
      </c>
      <c r="C5100" t="str">
        <f t="shared" si="209"/>
        <v>Active</v>
      </c>
    </row>
    <row r="5101" spans="1:3" ht="18" customHeight="1">
      <c r="A5101" t="str">
        <f>"309035"</f>
        <v>309035</v>
      </c>
      <c r="B5101" t="str">
        <f>"Screw Phillips Pan Hd.Tap. -Zinc  d2.2 x 9.5"</f>
        <v>Screw Phillips Pan Hd.Tap. -Zinc  d2.2 x 9.5</v>
      </c>
      <c r="C5101" t="str">
        <f t="shared" si="209"/>
        <v>Active</v>
      </c>
    </row>
    <row r="5102" spans="1:3" ht="18" customHeight="1">
      <c r="A5102" t="str">
        <f>"309038"</f>
        <v>309038</v>
      </c>
      <c r="B5102" t="str">
        <f>"Screw Hex. Anchor  - Zinc   1/4""W x 2"" Steel"</f>
        <v>Screw Hex. Anchor  - Zinc   1/4"W x 2" Steel</v>
      </c>
      <c r="C5102" t="str">
        <f t="shared" si="209"/>
        <v>Active</v>
      </c>
    </row>
    <row r="5103" spans="1:3" ht="18" customHeight="1">
      <c r="A5103" t="str">
        <f>"309041"</f>
        <v>309041</v>
      </c>
      <c r="B5103" t="str">
        <f>"Screw Phillips Pan Hd.Tap. Wood  d6x30mm  DIN96"</f>
        <v>Screw Phillips Pan Hd.Tap. Wood  d6x30mm  DIN96</v>
      </c>
      <c r="C5103" t="str">
        <f t="shared" si="209"/>
        <v>Active</v>
      </c>
    </row>
    <row r="5104" spans="1:3" ht="18" customHeight="1">
      <c r="A5104" t="str">
        <f>"309043"</f>
        <v>309043</v>
      </c>
      <c r="B5104" t="str">
        <f>"Screw Hex. -Zinc   1/4"" x 1""  ,Steel"</f>
        <v>Screw Hex. -Zinc   1/4" x 1"  ,Steel</v>
      </c>
      <c r="C5104" t="str">
        <f t="shared" ref="C5104:C5135" si="210">"Active"</f>
        <v>Active</v>
      </c>
    </row>
    <row r="5105" spans="1:3" ht="18" customHeight="1">
      <c r="A5105" t="str">
        <f>"309044"</f>
        <v>309044</v>
      </c>
      <c r="B5105" t="str">
        <f>"Screw Hex. St.-Zinc 02430, 1/4"" x 1-1/2"""</f>
        <v>Screw Hex. St.-Zinc 02430, 1/4" x 1-1/2"</v>
      </c>
      <c r="C5105" t="str">
        <f t="shared" si="210"/>
        <v>Active</v>
      </c>
    </row>
    <row r="5106" spans="1:3" ht="18" customHeight="1">
      <c r="A5106" t="str">
        <f>"309045"</f>
        <v>309045</v>
      </c>
      <c r="B5106" t="str">
        <f>"Hex. Bolt Sc. - Zinc M6 x 100mm"</f>
        <v>Hex. Bolt Sc. - Zinc M6 x 100mm</v>
      </c>
      <c r="C5106" t="str">
        <f t="shared" si="210"/>
        <v>Active</v>
      </c>
    </row>
    <row r="5107" spans="1:3" ht="18" customHeight="1">
      <c r="A5107" t="str">
        <f>"309046"</f>
        <v>309046</v>
      </c>
      <c r="B5107" t="str">
        <f>"Screw Hex.-Steel Black 5/16 x 1.5"""</f>
        <v>Screw Hex.-Steel Black 5/16 x 1.5"</v>
      </c>
      <c r="C5107" t="str">
        <f t="shared" si="210"/>
        <v>Active</v>
      </c>
    </row>
    <row r="5108" spans="1:3" ht="18" customHeight="1">
      <c r="A5108" t="str">
        <f>"309047"</f>
        <v>309047</v>
      </c>
      <c r="B5108" t="str">
        <f>"Screw Phillips Pan Hd. -Zinc  d2.2 x 10, PT"</f>
        <v>Screw Phillips Pan Hd. -Zinc  d2.2 x 10, PT</v>
      </c>
      <c r="C5108" t="str">
        <f t="shared" si="210"/>
        <v>Active</v>
      </c>
    </row>
    <row r="5109" spans="1:3" ht="18" customHeight="1">
      <c r="A5109" t="str">
        <f>"309048"</f>
        <v>309048</v>
      </c>
      <c r="B5109" t="str">
        <f>"Screw Phillips Pan Hd.Tap.-Blk. d4x9mm  (8x3/8"")"</f>
        <v>Screw Phillips Pan Hd.Tap.-Blk. d4x9mm  (8x3/8")</v>
      </c>
      <c r="C5109" t="str">
        <f t="shared" si="210"/>
        <v>Active</v>
      </c>
    </row>
    <row r="5110" spans="1:3" ht="18" customHeight="1">
      <c r="A5110" t="str">
        <f>"309049"</f>
        <v>309049</v>
      </c>
      <c r="B5110" t="str">
        <f>"Screw Hex. Anchor  -Brass   M12 x 50"</f>
        <v>Screw Hex. Anchor  -Brass   M12 x 50</v>
      </c>
      <c r="C5110" t="str">
        <f t="shared" si="210"/>
        <v>Active</v>
      </c>
    </row>
    <row r="5111" spans="1:3" ht="18" customHeight="1">
      <c r="A5111" t="str">
        <f>"309050"</f>
        <v>309050</v>
      </c>
      <c r="B5111" t="str">
        <f>"Screw Tight Anchor   -Brass  M12"</f>
        <v>Screw Tight Anchor   -Brass  M12</v>
      </c>
      <c r="C5111" t="str">
        <f t="shared" si="210"/>
        <v>Active</v>
      </c>
    </row>
    <row r="5112" spans="1:3" ht="18" customHeight="1">
      <c r="A5112" t="str">
        <f>"309051"</f>
        <v>309051</v>
      </c>
      <c r="B5112" t="str">
        <f>"Screw Hex. cap   Anchor    M12 x 50"</f>
        <v>Screw Hex. cap   Anchor    M12 x 50</v>
      </c>
      <c r="C5112" t="str">
        <f t="shared" si="210"/>
        <v>Active</v>
      </c>
    </row>
    <row r="5113" spans="1:3" ht="18" customHeight="1">
      <c r="A5113" t="str">
        <f>"309054"</f>
        <v>309054</v>
      </c>
      <c r="B5113" t="str">
        <f>"Screw Phillips Flat Hd.Wood   d4.5 x 60mm"</f>
        <v>Screw Phillips Flat Hd.Wood   d4.5 x 60mm</v>
      </c>
      <c r="C5113" t="str">
        <f t="shared" si="210"/>
        <v>Active</v>
      </c>
    </row>
    <row r="5114" spans="1:3" ht="18" customHeight="1">
      <c r="A5114" t="str">
        <f>"309055"</f>
        <v>309055</v>
      </c>
      <c r="B5114" t="str">
        <f>"Screw Phillips Pan Hd. zink 2.9x16 DIN7981,TypeF"</f>
        <v>Screw Phillips Pan Hd. zink 2.9x16 DIN7981,TypeF</v>
      </c>
      <c r="C5114" t="str">
        <f t="shared" si="210"/>
        <v>Active</v>
      </c>
    </row>
    <row r="5115" spans="1:3" ht="18" customHeight="1">
      <c r="A5115" t="str">
        <f>"309056"</f>
        <v>309056</v>
      </c>
      <c r="B5115" t="str">
        <f>"Screw Phillips PanHd.-Zinc 2.9x6.5 DIN7981,TypeF"</f>
        <v>Screw Phillips PanHd.-Zinc 2.9x6.5 DIN7981,TypeF</v>
      </c>
      <c r="C5115" t="str">
        <f t="shared" si="210"/>
        <v>Active</v>
      </c>
    </row>
    <row r="5116" spans="1:3" ht="18" customHeight="1">
      <c r="A5116" t="str">
        <f>"309057"</f>
        <v>309057</v>
      </c>
      <c r="B5116" t="str">
        <f>"Screw Phillips PanHd.-Zinc 2.9x19 DIN7981,TypeF"</f>
        <v>Screw Phillips PanHd.-Zinc 2.9x19 DIN7981,TypeF</v>
      </c>
      <c r="C5116" t="str">
        <f t="shared" si="210"/>
        <v>Active</v>
      </c>
    </row>
    <row r="5117" spans="1:3" ht="18" customHeight="1">
      <c r="A5117" t="str">
        <f>"309058"</f>
        <v>309058</v>
      </c>
      <c r="B5117" t="str">
        <f>"Screw Hex Wood+Washer.-Zinc 1/4"" x 2-1/2"""</f>
        <v>Screw Hex Wood+Washer.-Zinc 1/4" x 2-1/2"</v>
      </c>
      <c r="C5117" t="str">
        <f t="shared" si="210"/>
        <v>Active</v>
      </c>
    </row>
    <row r="5118" spans="1:3" ht="18" customHeight="1">
      <c r="A5118" t="str">
        <f>"31-0112-3103"</f>
        <v>31-0112-3103</v>
      </c>
      <c r="B5118" t="str">
        <f>"BHCS, 8-32 x 1/4"", Blk"</f>
        <v>BHCS, 8-32 x 1/4", Blk</v>
      </c>
      <c r="C5118" t="str">
        <f t="shared" si="210"/>
        <v>Active</v>
      </c>
    </row>
    <row r="5119" spans="1:3" ht="18" customHeight="1">
      <c r="A5119" t="str">
        <f>"31-0112-3407"</f>
        <v>31-0112-3407</v>
      </c>
      <c r="B5119" t="str">
        <f>"BHCS, 10-32 x 1/2"", Blk"</f>
        <v>BHCS, 10-32 x 1/2", Blk</v>
      </c>
      <c r="C5119" t="str">
        <f t="shared" si="210"/>
        <v>Active</v>
      </c>
    </row>
    <row r="5120" spans="1:3" ht="18" customHeight="1">
      <c r="A5120" t="str">
        <f>"31-0112-3409"</f>
        <v>31-0112-3409</v>
      </c>
      <c r="B5120" t="str">
        <f>"BHCS, 10-32 x 5/8"", Blk"</f>
        <v>BHCS, 10-32 x 5/8", Blk</v>
      </c>
      <c r="C5120" t="str">
        <f t="shared" si="210"/>
        <v>Active</v>
      </c>
    </row>
    <row r="5121" spans="1:3" ht="18" customHeight="1">
      <c r="A5121" t="str">
        <f>"31-0112-3411"</f>
        <v>31-0112-3411</v>
      </c>
      <c r="B5121" t="str">
        <f>"Button Head Socket Cap Screw BHCS,10-32x3/4"",Blk"</f>
        <v>Button Head Socket Cap Screw BHCS,10-32x3/4",Blk</v>
      </c>
      <c r="C5121" t="str">
        <f t="shared" si="210"/>
        <v>Active</v>
      </c>
    </row>
    <row r="5122" spans="1:3" ht="18" customHeight="1">
      <c r="A5122" t="str">
        <f>"31-0112-3515"</f>
        <v>31-0112-3515</v>
      </c>
      <c r="B5122" t="str">
        <f>"Button Head SocketCapScrewBHCS,1/4-20x1-1/4"",Blk"</f>
        <v>Button Head SocketCapScrewBHCS,1/4-20x1-1/4",Blk</v>
      </c>
      <c r="C5122" t="str">
        <f t="shared" si="210"/>
        <v>Active</v>
      </c>
    </row>
    <row r="5123" spans="1:3" ht="18" customHeight="1">
      <c r="A5123" t="str">
        <f>"31-0112-3517"</f>
        <v>31-0112-3517</v>
      </c>
      <c r="B5123" t="str">
        <f>"Button Head SocketCapScrewBHCS,1/4-20x1-1/2"",Blk"</f>
        <v>Button Head SocketCapScrewBHCS,1/4-20x1-1/2",Blk</v>
      </c>
      <c r="C5123" t="str">
        <f t="shared" si="210"/>
        <v>Active</v>
      </c>
    </row>
    <row r="5124" spans="1:3" ht="18" customHeight="1">
      <c r="A5124" t="str">
        <f>"31-0112-3520"</f>
        <v>31-0112-3520</v>
      </c>
      <c r="B5124" t="str">
        <f>"Button Head Socket Cap Screw BHCS, 1/4-20x2"",Blk"</f>
        <v>Button Head Socket Cap Screw BHCS, 1/4-20x2",Blk</v>
      </c>
      <c r="C5124" t="str">
        <f t="shared" si="210"/>
        <v>Active</v>
      </c>
    </row>
    <row r="5125" spans="1:3" ht="18" customHeight="1">
      <c r="A5125" t="str">
        <f>"31-0122-3111"</f>
        <v>31-0122-3111</v>
      </c>
      <c r="B5125" t="str">
        <f>"FHCS, 8-32 x 3/8"", Blk"</f>
        <v>FHCS, 8-32 x 3/8", Blk</v>
      </c>
      <c r="C5125" t="str">
        <f t="shared" si="210"/>
        <v>Active</v>
      </c>
    </row>
    <row r="5126" spans="1:3" ht="18" customHeight="1">
      <c r="A5126" t="str">
        <f>"31-0122-3511"</f>
        <v>31-0122-3511</v>
      </c>
      <c r="B5126" t="str">
        <f>"Flat Head Cap Screw FHCS, 1/4-20 x 3/4"", Blk"</f>
        <v>Flat Head Cap Screw FHCS, 1/4-20 x 3/4", Blk</v>
      </c>
      <c r="C5126" t="str">
        <f t="shared" si="210"/>
        <v>Active</v>
      </c>
    </row>
    <row r="5127" spans="1:3" ht="18" customHeight="1">
      <c r="A5127" t="str">
        <f>"31-0130-3511"</f>
        <v>31-0130-3511</v>
      </c>
      <c r="B5127" t="str">
        <f>"HHCS, 1/4-20 x 3/4"", Zinc, Grade 5"</f>
        <v>HHCS, 1/4-20 x 3/4", Zinc, Grade 5</v>
      </c>
      <c r="C5127" t="str">
        <f t="shared" si="210"/>
        <v>Active</v>
      </c>
    </row>
    <row r="5128" spans="1:3" ht="18" customHeight="1">
      <c r="A5128" t="str">
        <f>"31-0130-3513"</f>
        <v>31-0130-3513</v>
      </c>
      <c r="B5128" t="str">
        <f>"Hex Head Cap Screw, HHCS, 1/4-20 x 1"", Zinc"</f>
        <v>Hex Head Cap Screw, HHCS, 1/4-20 x 1", Zinc</v>
      </c>
      <c r="C5128" t="str">
        <f t="shared" si="210"/>
        <v>Active</v>
      </c>
    </row>
    <row r="5129" spans="1:3" ht="18" customHeight="1">
      <c r="A5129" t="str">
        <f>"31-0130-3517"</f>
        <v>31-0130-3517</v>
      </c>
      <c r="B5129" t="str">
        <f>"Hex Head Cap ScrewHHCS,1/4-20x1-1/2"",Zinc,Grade5"</f>
        <v>Hex Head Cap ScrewHHCS,1/4-20x1-1/2",Zinc,Grade5</v>
      </c>
      <c r="C5129" t="str">
        <f t="shared" si="210"/>
        <v>Active</v>
      </c>
    </row>
    <row r="5130" spans="1:3" ht="18" customHeight="1">
      <c r="A5130" t="str">
        <f>"31-0130-3528"</f>
        <v>31-0130-3528</v>
      </c>
      <c r="B5130" t="str">
        <f>"HHCS, 1/4-20, 3-1/2"", Zinc"</f>
        <v>HHCS, 1/4-20, 3-1/2", Zinc</v>
      </c>
      <c r="C5130" t="str">
        <f t="shared" si="210"/>
        <v>Active</v>
      </c>
    </row>
    <row r="5131" spans="1:3" ht="18" customHeight="1">
      <c r="A5131" t="str">
        <f>"31-0130-3558"</f>
        <v>31-0130-3558</v>
      </c>
      <c r="B5131" t="str">
        <f>"Hex Head Cap Screw, HHCS, 1/4-20 x 6"""</f>
        <v>Hex Head Cap Screw, HHCS, 1/4-20 x 6"</v>
      </c>
      <c r="C5131" t="str">
        <f t="shared" si="210"/>
        <v>Active</v>
      </c>
    </row>
    <row r="5132" spans="1:3" ht="18" customHeight="1">
      <c r="A5132" t="str">
        <f>"31-0130-3715"</f>
        <v>31-0130-3715</v>
      </c>
      <c r="B5132" t="str">
        <f>"HHCS, 5/16-18 x 1-1/4"", Zinc, Grade 5"</f>
        <v>HHCS, 5/16-18 x 1-1/4", Zinc, Grade 5</v>
      </c>
      <c r="C5132" t="str">
        <f t="shared" si="210"/>
        <v>Active</v>
      </c>
    </row>
    <row r="5133" spans="1:3" ht="18" customHeight="1">
      <c r="A5133" t="str">
        <f>"31-0130-3917"</f>
        <v>31-0130-3917</v>
      </c>
      <c r="B5133" t="str">
        <f>"HHCS, 3/8-16 x 1-1/2"", Zinc, Grade 5"</f>
        <v>HHCS, 3/8-16 x 1-1/2", Zinc, Grade 5</v>
      </c>
      <c r="C5133" t="str">
        <f t="shared" si="210"/>
        <v>Active</v>
      </c>
    </row>
    <row r="5134" spans="1:3" ht="18" customHeight="1">
      <c r="A5134" t="str">
        <f>"31-0130-3924"</f>
        <v>31-0130-3924</v>
      </c>
      <c r="B5134" t="str">
        <f>"HHCS, 3/8-16 x 2-3/4"", Zinc, Grade 5"</f>
        <v>HHCS, 3/8-16 x 2-3/4", Zinc, Grade 5</v>
      </c>
      <c r="C5134" t="str">
        <f t="shared" si="210"/>
        <v>Active</v>
      </c>
    </row>
    <row r="5135" spans="1:3" ht="18" customHeight="1">
      <c r="A5135" t="str">
        <f>"31-0130-3925"</f>
        <v>31-0130-3925</v>
      </c>
      <c r="B5135" t="str">
        <f>"Hex Head Cap Screw Zinc M12x110"</f>
        <v>Hex Head Cap Screw Zinc M12x110</v>
      </c>
      <c r="C5135" t="str">
        <f t="shared" si="210"/>
        <v>Active</v>
      </c>
    </row>
    <row r="5136" spans="1:3" ht="18" customHeight="1">
      <c r="A5136" t="str">
        <f>"31-0140-2716"</f>
        <v>31-0140-2716</v>
      </c>
      <c r="B5136" t="str">
        <f>"PHMS, 4-40 x 1-3/16"", Phillips"</f>
        <v>PHMS, 4-40 x 1-3/16", Phillips</v>
      </c>
      <c r="C5136" t="str">
        <f t="shared" ref="C5136:C5167" si="211">"Active"</f>
        <v>Active</v>
      </c>
    </row>
    <row r="5137" spans="1:3" ht="18" customHeight="1">
      <c r="A5137" t="str">
        <f>"31-0140-2907"</f>
        <v>31-0140-2907</v>
      </c>
      <c r="B5137" t="str">
        <f>"Phillips Pan Screw PHMS, 6-32 x 1/2"""</f>
        <v>Phillips Pan Screw PHMS, 6-32 x 1/2"</v>
      </c>
      <c r="C5137" t="str">
        <f t="shared" si="211"/>
        <v>Active</v>
      </c>
    </row>
    <row r="5138" spans="1:3" ht="18" customHeight="1">
      <c r="A5138" t="str">
        <f>"31-0140-2909"</f>
        <v>31-0140-2909</v>
      </c>
      <c r="B5138" t="str">
        <f>"PHMS, 6-32 x 5/8"", Zinc"</f>
        <v>PHMS, 6-32 x 5/8", Zinc</v>
      </c>
      <c r="C5138" t="str">
        <f t="shared" si="211"/>
        <v>Active</v>
      </c>
    </row>
    <row r="5139" spans="1:3" ht="18" customHeight="1">
      <c r="A5139" t="str">
        <f>"31-0140-2911"</f>
        <v>31-0140-2911</v>
      </c>
      <c r="B5139" t="str">
        <f>"PHMS, 6-32 x 3/4"", Zinc"</f>
        <v>PHMS, 6-32 x 3/4", Zinc</v>
      </c>
      <c r="C5139" t="str">
        <f t="shared" si="211"/>
        <v>Active</v>
      </c>
    </row>
    <row r="5140" spans="1:3" ht="18" customHeight="1">
      <c r="A5140" t="str">
        <f>"31-0140-2912"</f>
        <v>31-0140-2912</v>
      </c>
      <c r="B5140" t="str">
        <f>"PHMS, 6-32 x 7/8"", Zinc"</f>
        <v>PHMS, 6-32 x 7/8", Zinc</v>
      </c>
      <c r="C5140" t="str">
        <f t="shared" si="211"/>
        <v>Active</v>
      </c>
    </row>
    <row r="5141" spans="1:3" ht="18" customHeight="1">
      <c r="A5141" t="str">
        <f>"31-0140-2913"</f>
        <v>31-0140-2913</v>
      </c>
      <c r="B5141" t="str">
        <f>"PHMS, 6-32 x 1"", Zinc"</f>
        <v>PHMS, 6-32 x 1", Zinc</v>
      </c>
      <c r="C5141" t="str">
        <f t="shared" si="211"/>
        <v>Active</v>
      </c>
    </row>
    <row r="5142" spans="1:3" ht="18" customHeight="1">
      <c r="A5142" t="str">
        <f>"31-0140-2914"</f>
        <v>31-0140-2914</v>
      </c>
      <c r="B5142" t="str">
        <f>"PHMS, 6-32 x 1-1/8"", Zinc"</f>
        <v>PHMS, 6-32 x 1-1/8", Zinc</v>
      </c>
      <c r="C5142" t="str">
        <f t="shared" si="211"/>
        <v>Active</v>
      </c>
    </row>
    <row r="5143" spans="1:3" ht="18" customHeight="1">
      <c r="A5143" t="str">
        <f>"31-0140-2915"</f>
        <v>31-0140-2915</v>
      </c>
      <c r="B5143" t="str">
        <f>"PHMS, 6-32 x 1-1/4"", Zinc"</f>
        <v>PHMS, 6-32 x 1-1/4", Zinc</v>
      </c>
      <c r="C5143" t="str">
        <f t="shared" si="211"/>
        <v>Active</v>
      </c>
    </row>
    <row r="5144" spans="1:3" ht="18" customHeight="1">
      <c r="A5144" t="str">
        <f>"31-0140-2917"</f>
        <v>31-0140-2917</v>
      </c>
      <c r="B5144" t="str">
        <f>"PHMS, 6-32 x 1-1/2"", Zinc"</f>
        <v>PHMS, 6-32 x 1-1/2", Zinc</v>
      </c>
      <c r="C5144" t="str">
        <f t="shared" si="211"/>
        <v>Active</v>
      </c>
    </row>
    <row r="5145" spans="1:3" ht="18" customHeight="1">
      <c r="A5145" t="str">
        <f>"31-0140-2920"</f>
        <v>31-0140-2920</v>
      </c>
      <c r="B5145" t="str">
        <f>"PHMS, 6-32 x 2"", Phillips"</f>
        <v>PHMS, 6-32 x 2", Phillips</v>
      </c>
      <c r="C5145" t="str">
        <f t="shared" si="211"/>
        <v>Active</v>
      </c>
    </row>
    <row r="5146" spans="1:3" ht="18" customHeight="1">
      <c r="A5146" t="str">
        <f>"31-0140-2922"</f>
        <v>31-0140-2922</v>
      </c>
      <c r="B5146" t="str">
        <f>"PHMS, 6-32 x 2-1/4"", Zinc"</f>
        <v>PHMS, 6-32 x 2-1/4", Zinc</v>
      </c>
      <c r="C5146" t="str">
        <f t="shared" si="211"/>
        <v>Active</v>
      </c>
    </row>
    <row r="5147" spans="1:3" ht="18" customHeight="1">
      <c r="A5147" t="str">
        <f>"31-0140-2958"</f>
        <v>31-0140-2958</v>
      </c>
      <c r="B5147" t="str">
        <f>"PHMS, 6-32 x 1-5/8"""</f>
        <v>PHMS, 6-32 x 1-5/8"</v>
      </c>
      <c r="C5147" t="str">
        <f t="shared" si="211"/>
        <v>Active</v>
      </c>
    </row>
    <row r="5148" spans="1:3" ht="18" customHeight="1">
      <c r="A5148" t="str">
        <f>"31-0140-3107"</f>
        <v>31-0140-3107</v>
      </c>
      <c r="B5148" t="str">
        <f>"Phillips Pan Screw  PHMS, 8-32 x 1/2"", Zinc"</f>
        <v>Phillips Pan Screw  PHMS, 8-32 x 1/2", Zinc</v>
      </c>
      <c r="C5148" t="str">
        <f t="shared" si="211"/>
        <v>Active</v>
      </c>
    </row>
    <row r="5149" spans="1:3" ht="18" customHeight="1">
      <c r="A5149" t="str">
        <f>"31-0140-3405"</f>
        <v>31-0140-3405</v>
      </c>
      <c r="B5149" t="str">
        <f>"Phillips Pan Screw  PHMS 10-32 x 3/8"" Zinc"</f>
        <v>Phillips Pan Screw  PHMS 10-32 x 3/8" Zinc</v>
      </c>
      <c r="C5149" t="str">
        <f t="shared" si="211"/>
        <v>Active</v>
      </c>
    </row>
    <row r="5150" spans="1:3" ht="18" customHeight="1">
      <c r="A5150" t="str">
        <f>"31-0140-3409"</f>
        <v>31-0140-3409</v>
      </c>
      <c r="B5150" t="str">
        <f>"PHMS, 10-32 x 5/8"", Zinc"</f>
        <v>PHMS, 10-32 x 5/8", Zinc</v>
      </c>
      <c r="C5150" t="str">
        <f t="shared" si="211"/>
        <v>Active</v>
      </c>
    </row>
    <row r="5151" spans="1:3" ht="18" customHeight="1">
      <c r="A5151" t="str">
        <f>"31-0140-3507"</f>
        <v>31-0140-3507</v>
      </c>
      <c r="B5151" t="str">
        <f>"PHMS, 1/4-20 x 1/2"", Zinc, Phillips"</f>
        <v>PHMS, 1/4-20 x 1/2", Zinc, Phillips</v>
      </c>
      <c r="C5151" t="str">
        <f t="shared" si="211"/>
        <v>Active</v>
      </c>
    </row>
    <row r="5152" spans="1:3" ht="18" customHeight="1">
      <c r="A5152" t="str">
        <f>"31-0140-3509"</f>
        <v>31-0140-3509</v>
      </c>
      <c r="B5152" t="str">
        <f>"PHMS, 1/4-20 x 5/8"", Zinc, Phillips"</f>
        <v>PHMS, 1/4-20 x 5/8", Zinc, Phillips</v>
      </c>
      <c r="C5152" t="str">
        <f t="shared" si="211"/>
        <v>Active</v>
      </c>
    </row>
    <row r="5153" spans="1:3" ht="18" customHeight="1">
      <c r="A5153" t="str">
        <f>"31-0140-3513"</f>
        <v>31-0140-3513</v>
      </c>
      <c r="B5153" t="str">
        <f>"Phillips Pan Screw PHMS, 1/4-20 x 1"""</f>
        <v>Phillips Pan Screw PHMS, 1/4-20 x 1"</v>
      </c>
      <c r="C5153" t="str">
        <f t="shared" si="211"/>
        <v>Active</v>
      </c>
    </row>
    <row r="5154" spans="1:3" ht="18" customHeight="1">
      <c r="A5154" t="str">
        <f>"31-0140-3517"</f>
        <v>31-0140-3517</v>
      </c>
      <c r="B5154" t="str">
        <f>"Phillips Pan Screw PHMS, 1/4-20 x 1-1/2"""</f>
        <v>Phillips Pan Screw PHMS, 1/4-20 x 1-1/2"</v>
      </c>
      <c r="C5154" t="str">
        <f t="shared" si="211"/>
        <v>Active</v>
      </c>
    </row>
    <row r="5155" spans="1:3" ht="18" customHeight="1">
      <c r="A5155" t="str">
        <f>"31-0140-3520"</f>
        <v>31-0140-3520</v>
      </c>
      <c r="B5155" t="str">
        <f>"Phillips Pan Screw PHMS, 1/4-20 x 2"""</f>
        <v>Phillips Pan Screw PHMS, 1/4-20 x 2"</v>
      </c>
      <c r="C5155" t="str">
        <f t="shared" si="211"/>
        <v>Active</v>
      </c>
    </row>
    <row r="5156" spans="1:3" ht="18" customHeight="1">
      <c r="A5156" t="str">
        <f>"31-0140-3523"</f>
        <v>31-0140-3523</v>
      </c>
      <c r="B5156" t="str">
        <f>"Phillips Pan Screw PHMS, 1/4-20 x 2-1/2"""</f>
        <v>Phillips Pan Screw PHMS, 1/4-20 x 2-1/2"</v>
      </c>
      <c r="C5156" t="str">
        <f t="shared" si="211"/>
        <v>Active</v>
      </c>
    </row>
    <row r="5157" spans="1:3" ht="18" customHeight="1">
      <c r="A5157" t="str">
        <f>"31-0140-3525"</f>
        <v>31-0140-3525</v>
      </c>
      <c r="B5157" t="str">
        <f>"Phillips Pan Screw PHMS, 1/4-20 x 3"""</f>
        <v>Phillips Pan Screw PHMS, 1/4-20 x 3"</v>
      </c>
      <c r="C5157" t="str">
        <f t="shared" si="211"/>
        <v>Active</v>
      </c>
    </row>
    <row r="5158" spans="1:3" ht="18" customHeight="1">
      <c r="A5158" t="str">
        <f>"31-0140-3558"</f>
        <v>31-0140-3558</v>
      </c>
      <c r="B5158" t="str">
        <f>"Phillips Pan Screw PHMS, 1/4-20 x 6"""</f>
        <v>Phillips Pan Screw PHMS, 1/4-20 x 6"</v>
      </c>
      <c r="C5158" t="str">
        <f t="shared" si="211"/>
        <v>Active</v>
      </c>
    </row>
    <row r="5159" spans="1:3" ht="18" customHeight="1">
      <c r="A5159" t="str">
        <f>"31-0152-0001"</f>
        <v>31-0152-0001</v>
      </c>
      <c r="B5159" t="str">
        <f>"SHCS, M6 x 50 mm, Blk"</f>
        <v>SHCS, M6 x 50 mm, Blk</v>
      </c>
      <c r="C5159" t="str">
        <f t="shared" si="211"/>
        <v>Active</v>
      </c>
    </row>
    <row r="5160" spans="1:3" ht="18" customHeight="1">
      <c r="A5160" t="str">
        <f>"31-0152-3407"</f>
        <v>31-0152-3407</v>
      </c>
      <c r="B5160" t="str">
        <f>"Socket Head Cap Screw,SHCS, 10-32 x 1/2"", Blk"</f>
        <v>Socket Head Cap Screw,SHCS, 10-32 x 1/2", Blk</v>
      </c>
      <c r="C5160" t="str">
        <f t="shared" si="211"/>
        <v>Active</v>
      </c>
    </row>
    <row r="5161" spans="1:3" ht="18" customHeight="1">
      <c r="A5161" t="str">
        <f>"31-0152-3409"</f>
        <v>31-0152-3409</v>
      </c>
      <c r="B5161" t="str">
        <f>"Socket Head Cap Screw, SHCS, 10-32 x 5/8"", Blk"</f>
        <v>Socket Head Cap Screw, SHCS, 10-32 x 5/8", Blk</v>
      </c>
      <c r="C5161" t="str">
        <f t="shared" si="211"/>
        <v>Active</v>
      </c>
    </row>
    <row r="5162" spans="1:3" ht="18" customHeight="1">
      <c r="A5162" t="str">
        <f>"31-0152-3411"</f>
        <v>31-0152-3411</v>
      </c>
      <c r="B5162" t="str">
        <f>"Socket Head Cap Screw, SHCS, 10-32 x 3/4"", Blk"</f>
        <v>Socket Head Cap Screw, SHCS, 10-32 x 3/4", Blk</v>
      </c>
      <c r="C5162" t="str">
        <f t="shared" si="211"/>
        <v>Active</v>
      </c>
    </row>
    <row r="5163" spans="1:3" ht="18" customHeight="1">
      <c r="A5163" t="str">
        <f>"31-0152-3507"</f>
        <v>31-0152-3507</v>
      </c>
      <c r="B5163" t="str">
        <f>"Socket Head Cap Screw, SHCS, 1/4-20 x 1/2"", Blk"</f>
        <v>Socket Head Cap Screw, SHCS, 1/4-20 x 1/2", Blk</v>
      </c>
      <c r="C5163" t="str">
        <f t="shared" si="211"/>
        <v>Active</v>
      </c>
    </row>
    <row r="5164" spans="1:3" ht="18" customHeight="1">
      <c r="A5164" t="str">
        <f>"31-0152-3515"</f>
        <v>31-0152-3515</v>
      </c>
      <c r="B5164" t="str">
        <f>"Socket Head Cap Screw, SHCS, 1/4-20 x1-1/4"", Blk"</f>
        <v>Socket Head Cap Screw, SHCS, 1/4-20 x1-1/4", Blk</v>
      </c>
      <c r="C5164" t="str">
        <f t="shared" si="211"/>
        <v>Active</v>
      </c>
    </row>
    <row r="5165" spans="1:3" ht="18" customHeight="1">
      <c r="A5165" t="str">
        <f>"31-0152-3717"</f>
        <v>31-0152-3717</v>
      </c>
      <c r="B5165" t="str">
        <f>"SHCS, 5/16-18 x 1-1/2"", Blk"</f>
        <v>SHCS, 5/16-18 x 1-1/2", Blk</v>
      </c>
      <c r="C5165" t="str">
        <f t="shared" si="211"/>
        <v>Active</v>
      </c>
    </row>
    <row r="5166" spans="1:3" ht="18" customHeight="1">
      <c r="A5166" t="str">
        <f>"31-0152-3907"</f>
        <v>31-0152-3907</v>
      </c>
      <c r="B5166" t="str">
        <f>"SHCS, 3/8-16 x 1/2"", Blk"</f>
        <v>SHCS, 3/8-16 x 1/2", Blk</v>
      </c>
      <c r="C5166" t="str">
        <f t="shared" si="211"/>
        <v>Active</v>
      </c>
    </row>
    <row r="5167" spans="1:3" ht="18" customHeight="1">
      <c r="A5167" t="str">
        <f>"31-0152-3911"</f>
        <v>31-0152-3911</v>
      </c>
      <c r="B5167" t="str">
        <f>"SHCS, 3/8-16 x 3/4"", Blk"</f>
        <v>SHCS, 3/8-16 x 3/4", Blk</v>
      </c>
      <c r="C5167" t="str">
        <f t="shared" si="211"/>
        <v>Active</v>
      </c>
    </row>
    <row r="5168" spans="1:3" ht="18" customHeight="1">
      <c r="A5168" t="str">
        <f>"31-0152-3913"</f>
        <v>31-0152-3913</v>
      </c>
      <c r="B5168" t="str">
        <f>"SHCS, 3/8-16 x 1"", Blk"</f>
        <v>SHCS, 3/8-16 x 1", Blk</v>
      </c>
      <c r="C5168" t="str">
        <f t="shared" ref="C5168:C5199" si="212">"Active"</f>
        <v>Active</v>
      </c>
    </row>
    <row r="5169" spans="1:3" ht="18" customHeight="1">
      <c r="A5169" t="str">
        <f>"31-0152-3917"</f>
        <v>31-0152-3917</v>
      </c>
      <c r="B5169" t="str">
        <f>"SHCS, 3/8-16 x 1-1/2"", Blk"</f>
        <v>SHCS, 3/8-16 x 1-1/2", Blk</v>
      </c>
      <c r="C5169" t="str">
        <f t="shared" si="212"/>
        <v>Active</v>
      </c>
    </row>
    <row r="5170" spans="1:3" ht="18" customHeight="1">
      <c r="A5170" t="str">
        <f>"31-0152-5542"</f>
        <v>31-0152-5542</v>
      </c>
      <c r="B5170" t="str">
        <f>"Socket Head Cap Screw, SHCS, M5x .8x14mm, Blk"</f>
        <v>Socket Head Cap Screw, SHCS, M5x .8x14mm, Blk</v>
      </c>
      <c r="C5170" t="str">
        <f t="shared" si="212"/>
        <v>Active</v>
      </c>
    </row>
    <row r="5171" spans="1:3" ht="18" customHeight="1">
      <c r="A5171" t="str">
        <f>"31-0160-3400"</f>
        <v>31-0160-3400</v>
      </c>
      <c r="B5171" t="str">
        <f>"Hex Nut, 10-32, Zinc"</f>
        <v>Hex Nut, 10-32, Zinc</v>
      </c>
      <c r="C5171" t="str">
        <f t="shared" si="212"/>
        <v>Active</v>
      </c>
    </row>
    <row r="5172" spans="1:3" ht="18" customHeight="1">
      <c r="A5172" t="str">
        <f>"31-0160-3500"</f>
        <v>31-0160-3500</v>
      </c>
      <c r="B5172" t="str">
        <f>"Hex Nut, 1/4-20, Zinc"</f>
        <v>Hex Nut, 1/4-20, Zinc</v>
      </c>
      <c r="C5172" t="str">
        <f t="shared" si="212"/>
        <v>Active</v>
      </c>
    </row>
    <row r="5173" spans="1:3" ht="18" customHeight="1">
      <c r="A5173" t="str">
        <f>"31-0160-3700"</f>
        <v>31-0160-3700</v>
      </c>
      <c r="B5173" t="str">
        <f>"Hex Nut, 5/16-18, Zinc"</f>
        <v>Hex Nut, 5/16-18, Zinc</v>
      </c>
      <c r="C5173" t="str">
        <f t="shared" si="212"/>
        <v>Active</v>
      </c>
    </row>
    <row r="5174" spans="1:3" ht="18" customHeight="1">
      <c r="A5174" t="str">
        <f>"31-0160-3900"</f>
        <v>31-0160-3900</v>
      </c>
      <c r="B5174" t="str">
        <f>"Hex Nut, 3/8-16, Zinc"</f>
        <v>Hex Nut, 3/8-16, Zinc</v>
      </c>
      <c r="C5174" t="str">
        <f t="shared" si="212"/>
        <v>Active</v>
      </c>
    </row>
    <row r="5175" spans="1:3" ht="18" customHeight="1">
      <c r="A5175" t="str">
        <f>"31-0160-6400"</f>
        <v>31-0160-6400</v>
      </c>
      <c r="B5175" t="str">
        <f>"Hex Nut, M12x1, Zinc"</f>
        <v>Hex Nut, M12x1, Zinc</v>
      </c>
      <c r="C5175" t="str">
        <f t="shared" si="212"/>
        <v>Active</v>
      </c>
    </row>
    <row r="5176" spans="1:3" ht="18" customHeight="1">
      <c r="A5176" t="str">
        <f>"31-0160-9007"</f>
        <v>31-0160-9007</v>
      </c>
      <c r="B5176" t="str">
        <f>"Riv-Nut, 10-32,  Barrel Type"</f>
        <v>Riv-Nut, 10-32,  Barrel Type</v>
      </c>
      <c r="C5176" t="str">
        <f t="shared" si="212"/>
        <v>Active</v>
      </c>
    </row>
    <row r="5177" spans="1:3" ht="18" customHeight="1">
      <c r="A5177" t="str">
        <f>"31-0160-9008"</f>
        <v>31-0160-9008</v>
      </c>
      <c r="B5177" t="str">
        <f>"Saddle Insert, X-axis, LH"</f>
        <v>Saddle Insert, X-axis, LH</v>
      </c>
      <c r="C5177" t="str">
        <f t="shared" si="212"/>
        <v>Active</v>
      </c>
    </row>
    <row r="5178" spans="1:3" ht="18" customHeight="1">
      <c r="A5178" t="str">
        <f>"31-0160-9009"</f>
        <v>31-0160-9009</v>
      </c>
      <c r="B5178" t="str">
        <f>"Saddle Insert, Y-axis, RT"</f>
        <v>Saddle Insert, Y-axis, RT</v>
      </c>
      <c r="C5178" t="str">
        <f t="shared" si="212"/>
        <v>Active</v>
      </c>
    </row>
    <row r="5179" spans="1:3" ht="18" customHeight="1">
      <c r="A5179" t="str">
        <f>"31-0160-9024"</f>
        <v>31-0160-9024</v>
      </c>
      <c r="B5179" t="str">
        <f>"T-Slot Nut, M5 (10-32)"</f>
        <v>T-Slot Nut, M5 (10-32)</v>
      </c>
      <c r="C5179" t="str">
        <f t="shared" si="212"/>
        <v>Active</v>
      </c>
    </row>
    <row r="5180" spans="1:3" ht="18" customHeight="1">
      <c r="A5180" t="str">
        <f>"31-0160-9025"</f>
        <v>31-0160-9025</v>
      </c>
      <c r="B5180" t="str">
        <f>"Nut, Back Lash, Y-axis Coarse tooth ""old"" style"</f>
        <v>Nut, Back Lash, Y-axis Coarse tooth "old" style</v>
      </c>
      <c r="C5180" t="str">
        <f t="shared" si="212"/>
        <v>Active</v>
      </c>
    </row>
    <row r="5181" spans="1:3" ht="18" customHeight="1">
      <c r="A5181" t="str">
        <f>"31-0160-9026"</f>
        <v>31-0160-9026</v>
      </c>
      <c r="B5181" t="str">
        <f>"Nut, Back Lash, X-axis Coarse tooth ""old"" style"</f>
        <v>Nut, Back Lash, X-axis Coarse tooth "old" style</v>
      </c>
      <c r="C5181" t="str">
        <f t="shared" si="212"/>
        <v>Active</v>
      </c>
    </row>
    <row r="5182" spans="1:3" ht="18" customHeight="1">
      <c r="A5182" t="str">
        <f>"31-0160-9030"</f>
        <v>31-0160-9030</v>
      </c>
      <c r="B5182" t="str">
        <f>"3355 Double Bolt Assy 5/16+T-Nut,15Series 80/20"</f>
        <v>3355 Double Bolt Assy 5/16+T-Nut,15Series 80/20</v>
      </c>
      <c r="C5182" t="str">
        <f t="shared" si="212"/>
        <v>Active</v>
      </c>
    </row>
    <row r="5183" spans="1:3" ht="18" customHeight="1">
      <c r="A5183" t="str">
        <f>"31-0160-9031"</f>
        <v>31-0160-9031</v>
      </c>
      <c r="B5183" t="str">
        <f>"3357 TriplBoltAssy 5/16,18x0.687+T-Nut,15S 80/20"</f>
        <v>3357 TriplBoltAssy 5/16,18x0.687+T-Nut,15S 80/20</v>
      </c>
      <c r="C5183" t="str">
        <f t="shared" si="212"/>
        <v>Active</v>
      </c>
    </row>
    <row r="5184" spans="1:3" ht="18" customHeight="1">
      <c r="A5184" t="str">
        <f>"31-0160-9032"</f>
        <v>31-0160-9032</v>
      </c>
      <c r="B5184" t="str">
        <f>"3320 BoltAssy 5/16-18x0.687+T-Nut,15Series 80/20"</f>
        <v>3320 BoltAssy 5/16-18x0.687+T-Nut,15Series 80/20</v>
      </c>
      <c r="C5184" t="str">
        <f t="shared" si="212"/>
        <v>Active</v>
      </c>
    </row>
    <row r="5185" spans="1:3" ht="18" customHeight="1">
      <c r="A5185" t="str">
        <f>"31-0161-3900"</f>
        <v>31-0161-3900</v>
      </c>
      <c r="B5185" t="str">
        <f>"Hex Nut, 3/8-16"", Stainless Steel"</f>
        <v>Hex Nut, 3/8-16", Stainless Steel</v>
      </c>
      <c r="C5185" t="str">
        <f t="shared" si="212"/>
        <v>Active</v>
      </c>
    </row>
    <row r="5186" spans="1:3" ht="18" customHeight="1">
      <c r="A5186" t="str">
        <f>"31-0162-0001"</f>
        <v>31-0162-0001</v>
      </c>
      <c r="B5186" t="str">
        <f>"Hex Nut, M8, Blk"</f>
        <v>Hex Nut, M8, Blk</v>
      </c>
      <c r="C5186" t="str">
        <f t="shared" si="212"/>
        <v>Active</v>
      </c>
    </row>
    <row r="5187" spans="1:3" ht="18" customHeight="1">
      <c r="A5187" t="str">
        <f>"31-0162-3400"</f>
        <v>31-0162-3400</v>
      </c>
      <c r="B5187" t="str">
        <f>"Hex Nut, 10-32, Blk"</f>
        <v>Hex Nut, 10-32, Blk</v>
      </c>
      <c r="C5187" t="str">
        <f t="shared" si="212"/>
        <v>Active</v>
      </c>
    </row>
    <row r="5188" spans="1:3" ht="18" customHeight="1">
      <c r="A5188" t="str">
        <f>"31-0164-0001"</f>
        <v>31-0164-0001</v>
      </c>
      <c r="B5188" t="str">
        <f>"Hex Nut, M6 5mm H, Zinc"</f>
        <v>Hex Nut, M6 5mm H, Zinc</v>
      </c>
      <c r="C5188" t="str">
        <f t="shared" si="212"/>
        <v>Active</v>
      </c>
    </row>
    <row r="5189" spans="1:3" ht="18" customHeight="1">
      <c r="A5189" t="str">
        <f>"31-0165-3900"</f>
        <v>31-0165-3900</v>
      </c>
      <c r="B5189" t="str">
        <f>"Hex Nut, 3/8-16, Nylon"</f>
        <v>Hex Nut, 3/8-16, Nylon</v>
      </c>
      <c r="C5189" t="str">
        <f t="shared" si="212"/>
        <v>Active</v>
      </c>
    </row>
    <row r="5190" spans="1:3" ht="18" customHeight="1">
      <c r="A5190" t="str">
        <f>"31-0169-2900"</f>
        <v>31-0169-2900</v>
      </c>
      <c r="B5190" t="str">
        <f>"Keps Nut, 6-32, Zinc"</f>
        <v>Keps Nut, 6-32, Zinc</v>
      </c>
      <c r="C5190" t="str">
        <f t="shared" si="212"/>
        <v>Active</v>
      </c>
    </row>
    <row r="5191" spans="1:3" ht="18" customHeight="1">
      <c r="A5191" t="str">
        <f>"31-0169-3400"</f>
        <v>31-0169-3400</v>
      </c>
      <c r="B5191" t="str">
        <f>"Keps Nut, 10-32, Zinc"</f>
        <v>Keps Nut, 10-32, Zinc</v>
      </c>
      <c r="C5191" t="str">
        <f t="shared" si="212"/>
        <v>Active</v>
      </c>
    </row>
    <row r="5192" spans="1:3" ht="18" customHeight="1">
      <c r="A5192" t="str">
        <f>"31-0169-3500"</f>
        <v>31-0169-3500</v>
      </c>
      <c r="B5192" t="str">
        <f>"Keps Nut, 1/4-20, Zinc"</f>
        <v>Keps Nut, 1/4-20, Zinc</v>
      </c>
      <c r="C5192" t="str">
        <f t="shared" si="212"/>
        <v>Active</v>
      </c>
    </row>
    <row r="5193" spans="1:3" ht="18" customHeight="1">
      <c r="A5193" t="str">
        <f>"31-0170-3511"</f>
        <v>31-0170-3511</v>
      </c>
      <c r="B5193" t="str">
        <f>"Carriage Bolt, 1/4-20 x 3/4"", Zinc"</f>
        <v>Carriage Bolt, 1/4-20 x 3/4", Zinc</v>
      </c>
      <c r="C5193" t="str">
        <f t="shared" si="212"/>
        <v>Active</v>
      </c>
    </row>
    <row r="5194" spans="1:3" ht="18" customHeight="1">
      <c r="A5194" t="str">
        <f>"31-0170-3513"</f>
        <v>31-0170-3513</v>
      </c>
      <c r="B5194" t="str">
        <f>"Carriage Bolt, 1/4-20 x 1"", Zinc"</f>
        <v>Carriage Bolt, 1/4-20 x 1", Zinc</v>
      </c>
      <c r="C5194" t="str">
        <f t="shared" si="212"/>
        <v>Active</v>
      </c>
    </row>
    <row r="5195" spans="1:3" ht="18" customHeight="1">
      <c r="A5195" t="str">
        <f>"31-0170-3515"</f>
        <v>31-0170-3515</v>
      </c>
      <c r="B5195" t="str">
        <f>"Carriage Bolt, 1/4-20 x 1-1/4"", Zinc"</f>
        <v>Carriage Bolt, 1/4-20 x 1-1/4", Zinc</v>
      </c>
      <c r="C5195" t="str">
        <f t="shared" si="212"/>
        <v>Active</v>
      </c>
    </row>
    <row r="5196" spans="1:3" ht="18" customHeight="1">
      <c r="A5196" t="str">
        <f>"31-0182-3402"</f>
        <v>31-0182-3402</v>
      </c>
      <c r="B5196" t="str">
        <f>"Socket Set Screw,SSS, 10-32x3/16"", Blk, CupPoint"</f>
        <v>Socket Set Screw,SSS, 10-32x3/16", Blk, CupPoint</v>
      </c>
      <c r="C5196" t="str">
        <f t="shared" si="212"/>
        <v>Active</v>
      </c>
    </row>
    <row r="5197" spans="1:3" ht="18" customHeight="1">
      <c r="A5197" t="str">
        <f>"31-0182-3505"</f>
        <v>31-0182-3505</v>
      </c>
      <c r="B5197" t="str">
        <f>"SSS, 1/4-20 x 3/8"", Blk"</f>
        <v>SSS, 1/4-20 x 3/8", Blk</v>
      </c>
      <c r="C5197" t="str">
        <f t="shared" si="212"/>
        <v>Active</v>
      </c>
    </row>
    <row r="5198" spans="1:3" ht="18" customHeight="1">
      <c r="A5198" t="str">
        <f>"31-0182-3517"</f>
        <v>31-0182-3517</v>
      </c>
      <c r="B5198" t="str">
        <f>"SSS, 1/4-20 x 1-1/2"", Blk"</f>
        <v>SSS, 1/4-20 x 1-1/2", Blk</v>
      </c>
      <c r="C5198" t="str">
        <f t="shared" si="212"/>
        <v>Active</v>
      </c>
    </row>
    <row r="5199" spans="1:3" ht="18" customHeight="1">
      <c r="A5199" t="str">
        <f>"31-0190-9001"</f>
        <v>31-0190-9001</v>
      </c>
      <c r="B5199" t="str">
        <f>"Thumb Screw, SLM Shield"</f>
        <v>Thumb Screw, SLM Shield</v>
      </c>
      <c r="C5199" t="str">
        <f t="shared" si="212"/>
        <v>Active</v>
      </c>
    </row>
    <row r="5200" spans="1:3" ht="18" customHeight="1">
      <c r="A5200" t="str">
        <f>"31-0191-3507"</f>
        <v>31-0191-3507</v>
      </c>
      <c r="B5200" t="str">
        <f>"Thumb Screw, 1/4-20 x 1/2"", Nylon"</f>
        <v>Thumb Screw, 1/4-20 x 1/2", Nylon</v>
      </c>
      <c r="C5200" t="str">
        <f t="shared" ref="C5200:C5231" si="213">"Active"</f>
        <v>Active</v>
      </c>
    </row>
    <row r="5201" spans="1:3" ht="18" customHeight="1">
      <c r="A5201" t="str">
        <f>"31-0200-0001"</f>
        <v>31-0200-0001</v>
      </c>
      <c r="B5201" t="str">
        <f>"Flat Washer, M8, Zinc"</f>
        <v>Flat Washer, M8, Zinc</v>
      </c>
      <c r="C5201" t="str">
        <f t="shared" si="213"/>
        <v>Active</v>
      </c>
    </row>
    <row r="5202" spans="1:3" ht="18" customHeight="1">
      <c r="A5202" t="str">
        <f>"31-0200-0003"</f>
        <v>31-0200-0003</v>
      </c>
      <c r="B5202" t="str">
        <f>"Washer, Flat, .34ID x .69OD x .065TH, Steel"</f>
        <v>Washer, Flat, .34ID x .69OD x .065TH, Steel</v>
      </c>
      <c r="C5202" t="str">
        <f t="shared" si="213"/>
        <v>Active</v>
      </c>
    </row>
    <row r="5203" spans="1:3" ht="18" customHeight="1">
      <c r="A5203" t="str">
        <f>"31-0200-0008"</f>
        <v>31-0200-0008</v>
      </c>
      <c r="B5203" t="str">
        <f>"Washer, Flat, 1/4"", 1/2""OD x .045""TH"</f>
        <v>Washer, Flat, 1/4", 1/2"OD x .045"TH</v>
      </c>
      <c r="C5203" t="str">
        <f t="shared" si="213"/>
        <v>Active</v>
      </c>
    </row>
    <row r="5204" spans="1:3" ht="18" customHeight="1">
      <c r="A5204" t="str">
        <f>"31-0200-0009"</f>
        <v>31-0200-0009</v>
      </c>
      <c r="B5204" t="str">
        <f>"Washer, Flat, #10, 0.50""OD x 0.045"" TH, Zinc"</f>
        <v>Washer, Flat, #10, 0.50"OD x 0.045" TH, Zinc</v>
      </c>
      <c r="C5204" t="str">
        <f t="shared" si="213"/>
        <v>Active</v>
      </c>
    </row>
    <row r="5205" spans="1:3" ht="18" customHeight="1">
      <c r="A5205" t="str">
        <f>"31-0200-0014"</f>
        <v>31-0200-0014</v>
      </c>
      <c r="B5205" t="str">
        <f>"Washer Flat, #6-32, 0.375""ODx0.045""TH"</f>
        <v>Washer Flat, #6-32, 0.375"ODx0.045"TH</v>
      </c>
      <c r="C5205" t="str">
        <f t="shared" si="213"/>
        <v>Active</v>
      </c>
    </row>
    <row r="5206" spans="1:3" ht="18" customHeight="1">
      <c r="A5206" t="str">
        <f>"31-0200-0016"</f>
        <v>31-0200-0016</v>
      </c>
      <c r="B5206" t="str">
        <f>"Washer, Flat, Blk, #10 x .031TH, 0.375""OD"</f>
        <v>Washer, Flat, Blk, #10 x .031TH, 0.375"OD</v>
      </c>
      <c r="C5206" t="str">
        <f t="shared" si="213"/>
        <v>Active</v>
      </c>
    </row>
    <row r="5207" spans="1:3" ht="18" customHeight="1">
      <c r="A5207" t="str">
        <f>"31-0200-0017"</f>
        <v>31-0200-0017</v>
      </c>
      <c r="B5207" t="str">
        <f>"Washer, Flat, Blk, 3/8"", 0.625""OD, 0.050""TH, Blk"</f>
        <v>Washer, Flat, Blk, 3/8", 0.625"OD, 0.050"TH, Blk</v>
      </c>
      <c r="C5207" t="str">
        <f t="shared" si="213"/>
        <v>Active</v>
      </c>
    </row>
    <row r="5208" spans="1:3" ht="18" customHeight="1">
      <c r="A5208" t="str">
        <f>"31-0200-0024"</f>
        <v>31-0200-0024</v>
      </c>
      <c r="B5208" t="str">
        <f>"Washer, Flat, 1/4"", 5/8""OD x 1/16""TH, SAE 8"</f>
        <v>Washer, Flat, 1/4", 5/8"OD x 1/16"TH, SAE 8</v>
      </c>
      <c r="C5208" t="str">
        <f t="shared" si="213"/>
        <v>Active</v>
      </c>
    </row>
    <row r="5209" spans="1:3" ht="18" customHeight="1">
      <c r="A5209" t="str">
        <f>"31-0200-0026"</f>
        <v>31-0200-0026</v>
      </c>
      <c r="B5209" t="str">
        <f>"Washer, USS Flat, 7/16""ID X 1""OD X 0.078""TH"</f>
        <v>Washer, USS Flat, 7/16"ID X 1"OD X 0.078"TH</v>
      </c>
      <c r="C5209" t="str">
        <f t="shared" si="213"/>
        <v>Active</v>
      </c>
    </row>
    <row r="5210" spans="1:3" ht="18" customHeight="1">
      <c r="A5210" t="str">
        <f>"31-0200-0033"</f>
        <v>31-0200-0033</v>
      </c>
      <c r="B5210" t="str">
        <f>"Washer, Flat, 5/16"""</f>
        <v>Washer, Flat, 5/16"</v>
      </c>
      <c r="C5210" t="str">
        <f t="shared" si="213"/>
        <v>Active</v>
      </c>
    </row>
    <row r="5211" spans="1:3" ht="18" customHeight="1">
      <c r="A5211" t="str">
        <f>"31-0200-0034"</f>
        <v>31-0200-0034</v>
      </c>
      <c r="B5211" t="str">
        <f>"lock washer, split spring, black, M6"</f>
        <v>lock washer, split spring, black, M6</v>
      </c>
      <c r="C5211" t="str">
        <f t="shared" si="213"/>
        <v>Active</v>
      </c>
    </row>
    <row r="5212" spans="1:3" ht="18" customHeight="1">
      <c r="A5212" t="str">
        <f>"31-0201-0000"</f>
        <v>31-0201-0000</v>
      </c>
      <c r="B5212" t="str">
        <f>"Washer, Lock, 3/8"", Stainless Steel"</f>
        <v>Washer, Lock, 3/8", Stainless Steel</v>
      </c>
      <c r="C5212" t="str">
        <f t="shared" si="213"/>
        <v>Active</v>
      </c>
    </row>
    <row r="5213" spans="1:3" ht="18" customHeight="1">
      <c r="A5213" t="str">
        <f>"31-0201-0005"</f>
        <v>31-0201-0005</v>
      </c>
      <c r="B5213" t="str">
        <f>"Washer, Lock, #10, Blk"</f>
        <v>Washer, Lock, #10, Blk</v>
      </c>
      <c r="C5213" t="str">
        <f t="shared" si="213"/>
        <v>Active</v>
      </c>
    </row>
    <row r="5214" spans="1:3" ht="18" customHeight="1">
      <c r="A5214" t="str">
        <f>"31-0201-0007"</f>
        <v>31-0201-0007</v>
      </c>
      <c r="B5214" t="str">
        <f>"Washer, Lock, Internal Tooth, #10"</f>
        <v>Washer, Lock, Internal Tooth, #10</v>
      </c>
      <c r="C5214" t="str">
        <f t="shared" si="213"/>
        <v>Active</v>
      </c>
    </row>
    <row r="5215" spans="1:3" ht="18" customHeight="1">
      <c r="A5215" t="str">
        <f>"31-0201-0010"</f>
        <v>31-0201-0010</v>
      </c>
      <c r="B5215" t="str">
        <f>"Washer, Lock, Zinc, 1/4"""</f>
        <v>Washer, Lock, Zinc, 1/4"</v>
      </c>
      <c r="C5215" t="str">
        <f t="shared" si="213"/>
        <v>Active</v>
      </c>
    </row>
    <row r="5216" spans="1:3" ht="18" customHeight="1">
      <c r="A5216" t="str">
        <f>"31-0201-0012"</f>
        <v>31-0201-0012</v>
      </c>
      <c r="B5216" t="str">
        <f>"Washer, Lock, #8, Galvanized,"</f>
        <v>Washer, Lock, #8, Galvanized,</v>
      </c>
      <c r="C5216" t="str">
        <f t="shared" si="213"/>
        <v>Active</v>
      </c>
    </row>
    <row r="5217" spans="1:3" ht="18" customHeight="1">
      <c r="A5217" t="str">
        <f>"31-0201-1601"</f>
        <v>31-0201-1601</v>
      </c>
      <c r="B5217" t="str">
        <f>"Washer, Lock, 5/16"", Zinc"</f>
        <v>Washer, Lock, 5/16", Zinc</v>
      </c>
      <c r="C5217" t="str">
        <f t="shared" si="213"/>
        <v>Active</v>
      </c>
    </row>
    <row r="5218" spans="1:3" ht="18" customHeight="1">
      <c r="A5218" t="str">
        <f>"31-0330-0009"</f>
        <v>31-0330-0009</v>
      </c>
      <c r="B5218" t="str">
        <f>"Coupling, Sherline, SLM/SLT"</f>
        <v>Coupling, Sherline, SLM/SLT</v>
      </c>
      <c r="C5218" t="str">
        <f t="shared" si="213"/>
        <v>Active</v>
      </c>
    </row>
    <row r="5219" spans="1:3" ht="18" customHeight="1">
      <c r="A5219" t="str">
        <f>"31-0400-0030"</f>
        <v>31-0400-0030</v>
      </c>
      <c r="B5219" t="str">
        <f>"Fitting, Elbow, 1/8"" NPT to 1/4"" Tube"</f>
        <v>Fitting, Elbow, 1/8" NPT to 1/4" Tube</v>
      </c>
      <c r="C5219" t="str">
        <f t="shared" si="213"/>
        <v>Active</v>
      </c>
    </row>
    <row r="5220" spans="1:3" ht="18" customHeight="1">
      <c r="A5220" t="str">
        <f>"31-0400-0035"</f>
        <v>31-0400-0035</v>
      </c>
      <c r="B5220" t="str">
        <f>"Tubing, 1/4"", Flexible, Blk Urethane"</f>
        <v>Tubing, 1/4", Flexible, Blk Urethane</v>
      </c>
      <c r="C5220" t="str">
        <f t="shared" si="213"/>
        <v>Active</v>
      </c>
    </row>
    <row r="5221" spans="1:3" ht="18" customHeight="1">
      <c r="A5221" t="str">
        <f>"31-0400-0040"</f>
        <v>31-0400-0040</v>
      </c>
      <c r="B5221" t="str">
        <f>"Fitting, 1/4"" Tube to 1/4"" Tube, Bulkhead"</f>
        <v>Fitting, 1/4" Tube to 1/4" Tube, Bulkhead</v>
      </c>
      <c r="C5221" t="str">
        <f t="shared" si="213"/>
        <v>Active</v>
      </c>
    </row>
    <row r="5222" spans="1:3" ht="18" customHeight="1">
      <c r="A5222" t="str">
        <f>"31-0400-0046"</f>
        <v>31-0400-0046</v>
      </c>
      <c r="B5222" t="str">
        <f>"Fitting, Brass, Elbow, 1/8"" NPTto 1/8"" NPT"</f>
        <v>Fitting, Brass, Elbow, 1/8" NPTto 1/8" NPT</v>
      </c>
      <c r="C5222" t="str">
        <f t="shared" si="213"/>
        <v>Active</v>
      </c>
    </row>
    <row r="5223" spans="1:3" ht="18" customHeight="1">
      <c r="A5223" t="str">
        <f>"31-0400-0051"</f>
        <v>31-0400-0051</v>
      </c>
      <c r="B5223" t="str">
        <f>"Fitting, Nipple, 1/4"" NPT Male"</f>
        <v>Fitting, Nipple, 1/4" NPT Male</v>
      </c>
      <c r="C5223" t="str">
        <f t="shared" si="213"/>
        <v>Active</v>
      </c>
    </row>
    <row r="5224" spans="1:3" ht="18" customHeight="1">
      <c r="A5224" t="str">
        <f>"31-0400-0053"</f>
        <v>31-0400-0053</v>
      </c>
      <c r="B5224" t="str">
        <f>"Fitting, Plug, 1/8"" NPT, Hex Head"</f>
        <v>Fitting, Plug, 1/8" NPT, Hex Head</v>
      </c>
      <c r="C5224" t="str">
        <f t="shared" si="213"/>
        <v>Active</v>
      </c>
    </row>
    <row r="5225" spans="1:3" ht="18" customHeight="1">
      <c r="A5225" t="str">
        <f>"31-0400-0057"</f>
        <v>31-0400-0057</v>
      </c>
      <c r="B5225" t="str">
        <f>"Fitting, Brass, Tee, 1/8"" NPT Female"</f>
        <v>Fitting, Brass, Tee, 1/8" NPT Female</v>
      </c>
      <c r="C5225" t="str">
        <f t="shared" si="213"/>
        <v>Active</v>
      </c>
    </row>
    <row r="5226" spans="1:3" ht="18" customHeight="1">
      <c r="A5226" t="str">
        <f>"31-0400-0062"</f>
        <v>31-0400-0062</v>
      </c>
      <c r="B5226" t="str">
        <f>"Fitting, Brass,Reducer, 1/8"" NPT M to 1/4"" NPT M"</f>
        <v>Fitting, Brass,Reducer, 1/8" NPT M to 1/4" NPT M</v>
      </c>
      <c r="C5226" t="str">
        <f t="shared" si="213"/>
        <v>Active</v>
      </c>
    </row>
    <row r="5227" spans="1:3" ht="18" customHeight="1">
      <c r="A5227" t="str">
        <f>"31-0400-0063"</f>
        <v>31-0400-0063</v>
      </c>
      <c r="B5227" t="str">
        <f>"Fitting, Tee, 1/4"" Tube"</f>
        <v>Fitting, Tee, 1/4" Tube</v>
      </c>
      <c r="C5227" t="str">
        <f t="shared" si="213"/>
        <v>Active</v>
      </c>
    </row>
    <row r="5228" spans="1:3" ht="18" customHeight="1">
      <c r="A5228" t="str">
        <f>"31-0400-0071"</f>
        <v>31-0400-0071</v>
      </c>
      <c r="B5228" t="str">
        <f>"Fitting, 1/4"" Tube to 1/4"" NPT"</f>
        <v>Fitting, 1/4" Tube to 1/4" NPT</v>
      </c>
      <c r="C5228" t="str">
        <f t="shared" si="213"/>
        <v>Active</v>
      </c>
    </row>
    <row r="5229" spans="1:3" ht="18" customHeight="1">
      <c r="A5229" t="str">
        <f>"31-0400-0081"</f>
        <v>31-0400-0081</v>
      </c>
      <c r="B5229" t="str">
        <f>"Super Rapid Tee fitting C6540-6 for 6mm"</f>
        <v>Super Rapid Tee fitting C6540-6 for 6mm</v>
      </c>
      <c r="C5229" t="str">
        <f t="shared" si="213"/>
        <v>Active</v>
      </c>
    </row>
    <row r="5230" spans="1:3" ht="18" customHeight="1">
      <c r="A5230" t="str">
        <f>"31-0400-0082"</f>
        <v>31-0400-0082</v>
      </c>
      <c r="B5230" t="str">
        <f>"Super Rapid Tee fitting C6540-8 for 8mm"</f>
        <v>Super Rapid Tee fitting C6540-8 for 8mm</v>
      </c>
      <c r="C5230" t="str">
        <f t="shared" si="213"/>
        <v>Active</v>
      </c>
    </row>
    <row r="5231" spans="1:3" ht="18" customHeight="1">
      <c r="A5231" t="str">
        <f>"31-0400-0083"</f>
        <v>31-0400-0083</v>
      </c>
      <c r="B5231" t="str">
        <f>"Rapid Fitting C6800-6-8 for tube 6mm"</f>
        <v>Rapid Fitting C6800-6-8 for tube 6mm</v>
      </c>
      <c r="C5231" t="str">
        <f t="shared" si="213"/>
        <v>Active</v>
      </c>
    </row>
    <row r="5232" spans="1:3" ht="18" customHeight="1">
      <c r="A5232" t="str">
        <f>"31-0400-0084"</f>
        <v>31-0400-0084</v>
      </c>
      <c r="B5232" t="str">
        <f>"Rapid Fitting C6850-8-6 for tube 6mm"</f>
        <v>Rapid Fitting C6850-8-6 for tube 6mm</v>
      </c>
      <c r="C5232" t="str">
        <f t="shared" ref="C5232:C5262" si="214">"Active"</f>
        <v>Active</v>
      </c>
    </row>
    <row r="5233" spans="1:3" ht="18" customHeight="1">
      <c r="A5233" t="str">
        <f>"31-0401-0015"</f>
        <v>31-0401-0015</v>
      </c>
      <c r="B5233" t="str">
        <f>"Fitting, Bleeder, 1/8"" NPT to 1/4"" Tube"</f>
        <v>Fitting, Bleeder, 1/8" NPT to 1/4" Tube</v>
      </c>
      <c r="C5233" t="str">
        <f t="shared" si="214"/>
        <v>Active</v>
      </c>
    </row>
    <row r="5234" spans="1:3" ht="18" customHeight="1">
      <c r="A5234" t="str">
        <f>"31-0401-0018"</f>
        <v>31-0401-0018</v>
      </c>
      <c r="B5234" t="str">
        <f>"Fitting, Reducer, 1/4"" NPT Fem to 1/2"" NPT Male"</f>
        <v>Fitting, Reducer, 1/4" NPT Fem to 1/2" NPT Male</v>
      </c>
      <c r="C5234" t="str">
        <f t="shared" si="214"/>
        <v>Active</v>
      </c>
    </row>
    <row r="5235" spans="1:3" ht="18" customHeight="1">
      <c r="A5235" t="str">
        <f>"31-0401-0038"</f>
        <v>31-0401-0038</v>
      </c>
      <c r="B5235" t="str">
        <f>"Fitting, 1/8"" Filter Breather Vent"</f>
        <v>Fitting, 1/8" Filter Breather Vent</v>
      </c>
      <c r="C5235" t="str">
        <f t="shared" si="214"/>
        <v>Active</v>
      </c>
    </row>
    <row r="5236" spans="1:3" ht="18" customHeight="1">
      <c r="A5236" t="str">
        <f>"31-0402-0002"</f>
        <v>31-0402-0002</v>
      </c>
      <c r="B5236" t="str">
        <f>"Fitting,Hyd Adap.,1/4"" NPT Male,UN 9/16-18 Male"</f>
        <v>Fitting,Hyd Adap.,1/4" NPT Male,UN 9/16-18 Male</v>
      </c>
      <c r="C5236" t="str">
        <f t="shared" si="214"/>
        <v>Active</v>
      </c>
    </row>
    <row r="5237" spans="1:3" ht="18" customHeight="1">
      <c r="A5237" t="str">
        <f>"31-0402-0009"</f>
        <v>31-0402-0009</v>
      </c>
      <c r="B5237" t="str">
        <f>"Pressure Gauge, Hyd, 1/4"" NPT M 4000 PSI"</f>
        <v>Pressure Gauge, Hyd, 1/4" NPT M 4000 PSI</v>
      </c>
      <c r="C5237" t="str">
        <f t="shared" si="214"/>
        <v>Active</v>
      </c>
    </row>
    <row r="5238" spans="1:3" ht="18" customHeight="1">
      <c r="A5238" t="str">
        <f>"31-0402-0014"</f>
        <v>31-0402-0014</v>
      </c>
      <c r="B5238" t="str">
        <f>"Hose Whip Restraint WRF085, 300mm"</f>
        <v>Hose Whip Restraint WRF085, 300mm</v>
      </c>
      <c r="C5238" t="str">
        <f t="shared" si="214"/>
        <v>Active</v>
      </c>
    </row>
    <row r="5239" spans="1:3" ht="18" customHeight="1">
      <c r="A5239" t="str">
        <f>"31-0402-0015"</f>
        <v>31-0402-0015</v>
      </c>
      <c r="B5239" t="str">
        <f>"Hose Collars Whip Restraint WRC1313, for d 13mm"</f>
        <v>Hose Collars Whip Restraint WRC1313, for d 13mm</v>
      </c>
      <c r="C5239" t="str">
        <f t="shared" si="214"/>
        <v>Active</v>
      </c>
    </row>
    <row r="5240" spans="1:3" ht="18" customHeight="1">
      <c r="A5240" t="str">
        <f>"31-0600-0002"</f>
        <v>31-0600-0002</v>
      </c>
      <c r="B5240" t="str">
        <f>"Spindle drive belt"</f>
        <v>Spindle drive belt</v>
      </c>
      <c r="C5240" t="str">
        <f t="shared" si="214"/>
        <v>Active</v>
      </c>
    </row>
    <row r="5241" spans="1:3" ht="18" customHeight="1">
      <c r="A5241" t="str">
        <f>"31-0600-0004"</f>
        <v>31-0600-0004</v>
      </c>
      <c r="B5241" t="str">
        <f>"Belt, Timing, 1/4"", MB330, SLT/SLM"</f>
        <v>Belt, Timing, 1/4", MB330, SLT/SLM</v>
      </c>
      <c r="C5241" t="str">
        <f t="shared" si="214"/>
        <v>Active</v>
      </c>
    </row>
    <row r="5242" spans="1:3" ht="18" customHeight="1">
      <c r="A5242" t="str">
        <f>"31-0600-0010"</f>
        <v>31-0600-0010</v>
      </c>
      <c r="B5242" t="str">
        <f>"Belt, Timing, 80XL037, SPLM/PLT Stepper Motor"</f>
        <v>Belt, Timing, 80XL037, SPLM/PLT Stepper Motor</v>
      </c>
      <c r="C5242" t="str">
        <f t="shared" si="214"/>
        <v>Active</v>
      </c>
    </row>
    <row r="5243" spans="1:3" ht="18" customHeight="1">
      <c r="A5243" t="str">
        <f>"31-0600-0011"</f>
        <v>31-0600-0011</v>
      </c>
      <c r="B5243" t="str">
        <f>"Belt,Timing, 5K MX Spindle"</f>
        <v>Belt,Timing, 5K MX Spindle</v>
      </c>
      <c r="C5243" t="str">
        <f t="shared" si="214"/>
        <v>Active</v>
      </c>
    </row>
    <row r="5244" spans="1:3" ht="18" customHeight="1">
      <c r="A5244" t="str">
        <f>"31-0600-0012"</f>
        <v>31-0600-0012</v>
      </c>
      <c r="B5244" t="str">
        <f>"Belt, V , 2L220, SLT Spindle"</f>
        <v>Belt, V , 2L220, SLT Spindle</v>
      </c>
      <c r="C5244" t="str">
        <f t="shared" si="214"/>
        <v>Active</v>
      </c>
    </row>
    <row r="5245" spans="1:3" ht="18" customHeight="1">
      <c r="A5245" t="str">
        <f>"31-0600-0017"</f>
        <v>31-0600-0017</v>
      </c>
      <c r="B5245" t="str">
        <f>"Belt, V, 2L130, EXM Spindle Head"</f>
        <v>Belt, V, 2L130, EXM Spindle Head</v>
      </c>
      <c r="C5245" t="str">
        <f t="shared" si="214"/>
        <v>Active</v>
      </c>
    </row>
    <row r="5246" spans="1:3" ht="18" customHeight="1">
      <c r="A5246" t="str">
        <f>"31-0800-0174"</f>
        <v>31-0800-0174</v>
      </c>
      <c r="B5246" t="str">
        <f>"Lead screw, Z Axis, CNC Ready Lathe"</f>
        <v>Lead screw, Z Axis, CNC Ready Lathe</v>
      </c>
      <c r="C5246" t="str">
        <f t="shared" si="214"/>
        <v>Active</v>
      </c>
    </row>
    <row r="5247" spans="1:3" ht="18" customHeight="1">
      <c r="A5247" t="str">
        <f>"31-0800-0310"</f>
        <v>31-0800-0310</v>
      </c>
      <c r="B5247" t="str">
        <f>"Locating Slider Block Dual Axis Air Vise"</f>
        <v>Locating Slider Block Dual Axis Air Vise</v>
      </c>
      <c r="C5247" t="str">
        <f t="shared" si="214"/>
        <v>Active</v>
      </c>
    </row>
    <row r="5248" spans="1:3" ht="18" customHeight="1">
      <c r="A5248" t="str">
        <f>"31-0804-0030"</f>
        <v>31-0804-0030</v>
      </c>
      <c r="B5248" t="str">
        <f>"Tool Holder Spring Post, ExpertMill"</f>
        <v>Tool Holder Spring Post, ExpertMill</v>
      </c>
      <c r="C5248" t="str">
        <f t="shared" si="214"/>
        <v>Active</v>
      </c>
    </row>
    <row r="5249" spans="1:3" ht="18" customHeight="1">
      <c r="A5249" t="str">
        <f>"31-0804-0035"</f>
        <v>31-0804-0035</v>
      </c>
      <c r="B5249" t="str">
        <f>"Leadscrew, ExpertMill"</f>
        <v>Leadscrew, ExpertMill</v>
      </c>
      <c r="C5249" t="str">
        <f t="shared" si="214"/>
        <v>Active</v>
      </c>
    </row>
    <row r="5250" spans="1:3" ht="18" customHeight="1">
      <c r="A5250" t="str">
        <f>"31-0900-0014"</f>
        <v>31-0900-0014</v>
      </c>
      <c r="B5250" t="str">
        <f>"Chuck, 0-3/8"", J2 Jacobs w/Key"</f>
        <v>Chuck, 0-3/8", J2 Jacobs w/Key</v>
      </c>
      <c r="C5250" t="str">
        <f t="shared" si="214"/>
        <v>Active</v>
      </c>
    </row>
    <row r="5251" spans="1:3" ht="18" customHeight="1">
      <c r="A5251" t="str">
        <f>"31-0900-0054"</f>
        <v>31-0900-0054</v>
      </c>
      <c r="B5251" t="str">
        <f>"End Mill, 1/8"", 4 Flute, 3/8"" Shank, Ctr Cutting"</f>
        <v>End Mill, 1/8", 4 Flute, 3/8" Shank, Ctr Cutting</v>
      </c>
      <c r="C5251" t="str">
        <f t="shared" si="214"/>
        <v>Active</v>
      </c>
    </row>
    <row r="5252" spans="1:3" ht="18" customHeight="1">
      <c r="A5252" t="str">
        <f>"31-0900-0150"</f>
        <v>31-0900-0150</v>
      </c>
      <c r="B5252" t="str">
        <f>"Tool Holder, Profiling"</f>
        <v>Tool Holder, Profiling</v>
      </c>
      <c r="C5252" t="str">
        <f t="shared" si="214"/>
        <v>Active</v>
      </c>
    </row>
    <row r="5253" spans="1:3" ht="18" customHeight="1">
      <c r="A5253" t="str">
        <f>"31-0900-0198"</f>
        <v>31-0900-0198</v>
      </c>
      <c r="B5253" t="str">
        <f>"Insert, Carbide, Profiling #220.5 X .008 Rad Tip"</f>
        <v>Insert, Carbide, Profiling #220.5 X .008 Rad Tip</v>
      </c>
      <c r="C5253" t="str">
        <f t="shared" si="214"/>
        <v>Active</v>
      </c>
    </row>
    <row r="5254" spans="1:3" ht="18" customHeight="1">
      <c r="A5254" t="str">
        <f>"31-0900-0200"</f>
        <v>31-0900-0200</v>
      </c>
      <c r="B5254" t="str">
        <f>"Tool, Parting,.045 Cutoff Tool spectraLIGHT"</f>
        <v>Tool, Parting,.045 Cutoff Tool spectraLIGHT</v>
      </c>
      <c r="C5254" t="str">
        <f t="shared" si="214"/>
        <v>Active</v>
      </c>
    </row>
    <row r="5255" spans="1:3" ht="18" customHeight="1">
      <c r="A5255" t="str">
        <f>"31-0900-0231"</f>
        <v>31-0900-0231</v>
      </c>
      <c r="B5255" t="str">
        <f>"End Mill, 2 mm, 4 Flute, Carbide, 3 mm Shank"</f>
        <v>End Mill, 2 mm, 4 Flute, Carbide, 3 mm Shank</v>
      </c>
      <c r="C5255" t="str">
        <f t="shared" si="214"/>
        <v>Active</v>
      </c>
    </row>
    <row r="5256" spans="1:3" ht="18" customHeight="1">
      <c r="A5256" t="str">
        <f>"31-0900-0311"</f>
        <v>31-0900-0311</v>
      </c>
      <c r="B5256" t="str">
        <f>"Lock, Back Lash, SLM/SLT, Course Tooth"</f>
        <v>Lock, Back Lash, SLM/SLT, Course Tooth</v>
      </c>
      <c r="C5256" t="str">
        <f t="shared" si="214"/>
        <v>Active</v>
      </c>
    </row>
    <row r="5257" spans="1:3" ht="18" customHeight="1">
      <c r="A5257" t="str">
        <f>"31-1000-0090"</f>
        <v>31-1000-0090</v>
      </c>
      <c r="B5257" t="str">
        <f>"Cover, Universal, EXM, SPLM &amp; PLT"</f>
        <v>Cover, Universal, EXM, SPLM &amp; PLT</v>
      </c>
      <c r="C5257" t="str">
        <f t="shared" si="214"/>
        <v>Active</v>
      </c>
    </row>
    <row r="5258" spans="1:3" ht="18" customHeight="1">
      <c r="A5258" t="str">
        <f>"31-1000-0096"</f>
        <v>31-1000-0096</v>
      </c>
      <c r="B5258" t="str">
        <f>"Foam, Control Box, Universal, 2 Piece Set"</f>
        <v>Foam, Control Box, Universal, 2 Piece Set</v>
      </c>
      <c r="C5258" t="str">
        <f t="shared" si="214"/>
        <v>Active</v>
      </c>
    </row>
    <row r="5259" spans="1:3" ht="18" customHeight="1">
      <c r="A5259" t="str">
        <f>"31-1000-0098"</f>
        <v>31-1000-0098</v>
      </c>
      <c r="B5259" t="str">
        <f>"Pallet, Universal, EXM, SPLM &amp; PLT"</f>
        <v>Pallet, Universal, EXM, SPLM &amp; PLT</v>
      </c>
      <c r="C5259" t="str">
        <f t="shared" si="214"/>
        <v>Active</v>
      </c>
    </row>
    <row r="5260" spans="1:3" ht="18" customHeight="1">
      <c r="A5260" t="str">
        <f>"31-1000-0099"</f>
        <v>31-1000-0099</v>
      </c>
      <c r="B5260" t="str">
        <f>"Box,35"" X 12"" X 13"" for Pump Pack"</f>
        <v>Box,35" X 12" X 13" for Pump Pack</v>
      </c>
      <c r="C5260" t="str">
        <f t="shared" si="214"/>
        <v>Active</v>
      </c>
    </row>
    <row r="5261" spans="1:3" ht="18" customHeight="1">
      <c r="A5261" t="str">
        <f>"31-1000-0106"</f>
        <v>31-1000-0106</v>
      </c>
      <c r="B5261" t="str">
        <f>"29 x 17 x 20"" Corrugated Boxes 10/bundle"</f>
        <v>29 x 17 x 20" Corrugated Boxes 10/bundle</v>
      </c>
      <c r="C5261" t="str">
        <f t="shared" si="214"/>
        <v>Active</v>
      </c>
    </row>
    <row r="5262" spans="1:3" ht="18" customHeight="1">
      <c r="A5262" t="str">
        <f>"31-1000-0142"</f>
        <v>31-1000-0142</v>
      </c>
      <c r="B5262" t="str">
        <f>"22 x 20 x 10"" Corrugated Boxes 15/bundle"</f>
        <v>22 x 20 x 10" Corrugated Boxes 15/bundle</v>
      </c>
      <c r="C5262" t="str">
        <f t="shared" si="214"/>
        <v>Active</v>
      </c>
    </row>
    <row r="5263" spans="1:3" ht="18" customHeight="1">
      <c r="A5263" t="str">
        <f>"31-1000-0203"</f>
        <v>31-1000-0203</v>
      </c>
      <c r="B5263" t="str">
        <f>"Sign, CNC Milling Technology"</f>
        <v>Sign, CNC Milling Technology</v>
      </c>
      <c r="C5263" t="str">
        <f>"Inactive"</f>
        <v>Inactive</v>
      </c>
    </row>
    <row r="5264" spans="1:3" ht="18" customHeight="1">
      <c r="A5264" t="str">
        <f>"31-1000-0205"</f>
        <v>31-1000-0205</v>
      </c>
      <c r="B5264" t="str">
        <f>"Sign, CNC Turning Technology"</f>
        <v>Sign, CNC Turning Technology</v>
      </c>
      <c r="C5264" t="str">
        <f>"Inactive"</f>
        <v>Inactive</v>
      </c>
    </row>
    <row r="5265" spans="1:3" ht="18" customHeight="1">
      <c r="A5265" t="str">
        <f>"31-1000-0212"</f>
        <v>31-1000-0212</v>
      </c>
      <c r="B5265" t="str">
        <f>"Sign, Hydraulics Technology"</f>
        <v>Sign, Hydraulics Technology</v>
      </c>
      <c r="C5265" t="str">
        <f>"Inactive"</f>
        <v>Inactive</v>
      </c>
    </row>
    <row r="5266" spans="1:3" ht="18" customHeight="1">
      <c r="A5266" t="str">
        <f>"31-1000-0220"</f>
        <v>31-1000-0220</v>
      </c>
      <c r="B5266" t="str">
        <f>"Sign, Programmable Logic Control"</f>
        <v>Sign, Programmable Logic Control</v>
      </c>
      <c r="C5266" t="str">
        <f>"Inactive"</f>
        <v>Inactive</v>
      </c>
    </row>
    <row r="5267" spans="1:3" ht="18" customHeight="1">
      <c r="A5267" t="str">
        <f>"31-1000-0225"</f>
        <v>31-1000-0225</v>
      </c>
      <c r="B5267" t="str">
        <f>"Sign, Robotics and Automation"</f>
        <v>Sign, Robotics and Automation</v>
      </c>
      <c r="C5267" t="str">
        <f>"Inactive"</f>
        <v>Inactive</v>
      </c>
    </row>
    <row r="5268" spans="1:3" ht="18" customHeight="1">
      <c r="A5268" t="str">
        <f>"31-1101-0044"</f>
        <v>31-1101-0044</v>
      </c>
      <c r="B5268" t="str">
        <f>"CIM Stock, Anodized Aluminum Block, Pen Holder"</f>
        <v>CIM Stock, Anodized Aluminum Block, Pen Holder</v>
      </c>
      <c r="C5268" t="str">
        <f t="shared" ref="C5268:C5299" si="215">"Active"</f>
        <v>Active</v>
      </c>
    </row>
    <row r="5269" spans="1:3" ht="18" customHeight="1">
      <c r="A5269" t="str">
        <f>"31-1102-0018"</f>
        <v>31-1102-0018</v>
      </c>
      <c r="B5269" t="str">
        <f>"CIM Stock, Brass, 0.565"" OD x 3.55"", Pen Holder"</f>
        <v>CIM Stock, Brass, 0.565" OD x 3.55", Pen Holder</v>
      </c>
      <c r="C5269" t="str">
        <f t="shared" si="215"/>
        <v>Active</v>
      </c>
    </row>
    <row r="5270" spans="1:3" ht="18" customHeight="1">
      <c r="A5270" t="str">
        <f>"31-1103-0013"</f>
        <v>31-1103-0013</v>
      </c>
      <c r="B5270" t="str">
        <f>"Stock, Grey PVC Cylinder, 46 mm dia X 28 mm long"</f>
        <v>Stock, Grey PVC Cylinder, 46 mm dia X 28 mm long</v>
      </c>
      <c r="C5270" t="str">
        <f t="shared" si="215"/>
        <v>Active</v>
      </c>
    </row>
    <row r="5271" spans="1:3" ht="18" customHeight="1">
      <c r="A5271" t="str">
        <f>"31-1103-0014"</f>
        <v>31-1103-0014</v>
      </c>
      <c r="B5271" t="str">
        <f>"Stock, Grey PVC Cylinder, 35 mm dia x 28 mm long"</f>
        <v>Stock, Grey PVC Cylinder, 35 mm dia x 28 mm long</v>
      </c>
      <c r="C5271" t="str">
        <f t="shared" si="215"/>
        <v>Active</v>
      </c>
    </row>
    <row r="5272" spans="1:3" ht="18" customHeight="1">
      <c r="A5272" t="str">
        <f>"31-1103-0015"</f>
        <v>31-1103-0015</v>
      </c>
      <c r="B5272" t="str">
        <f>"Stock, Grey PVC Cylinder, 26 mm dia x 28 mm long"</f>
        <v>Stock, Grey PVC Cylinder, 26 mm dia x 28 mm long</v>
      </c>
      <c r="C5272" t="str">
        <f t="shared" si="215"/>
        <v>Active</v>
      </c>
    </row>
    <row r="5273" spans="1:3" ht="18" customHeight="1">
      <c r="A5273" t="str">
        <f>"31-1103-0018"</f>
        <v>31-1103-0018</v>
      </c>
      <c r="B5273" t="str">
        <f>"CIM Stock, Wh/Blk Plastic Sandwich, 0.75""x2""x3"""</f>
        <v>CIM Stock, Wh/Blk Plastic Sandwich, 0.75"x2"x3"</v>
      </c>
      <c r="C5273" t="str">
        <f t="shared" si="215"/>
        <v>Active</v>
      </c>
    </row>
    <row r="5274" spans="1:3" ht="18" customHeight="1">
      <c r="A5274" t="str">
        <f>"31-1103-0019"</f>
        <v>31-1103-0019</v>
      </c>
      <c r="B5274" t="str">
        <f>"CIM Stock, Plexiglass Block, 4-1/8""x 2"" x 3/4"""</f>
        <v>CIM Stock, Plexiglass Block, 4-1/8"x 2" x 3/4"</v>
      </c>
      <c r="C5274" t="str">
        <f t="shared" si="215"/>
        <v>Active</v>
      </c>
    </row>
    <row r="5275" spans="1:3" ht="18" customHeight="1">
      <c r="A5275" t="str">
        <f>"31-1200-0012"</f>
        <v>31-1200-0012</v>
      </c>
      <c r="B5275" t="str">
        <f>"Motor, Stepper, SLM/SLT"</f>
        <v>Motor, Stepper, SLM/SLT</v>
      </c>
      <c r="C5275" t="str">
        <f t="shared" si="215"/>
        <v>Active</v>
      </c>
    </row>
    <row r="5276" spans="1:3" ht="18" customHeight="1">
      <c r="A5276" t="str">
        <f>"31-1200-0016"</f>
        <v>31-1200-0016</v>
      </c>
      <c r="B5276" t="str">
        <f>"Motor, Stepper, PLT/SPLM"</f>
        <v>Motor, Stepper, PLT/SPLM</v>
      </c>
      <c r="C5276" t="str">
        <f t="shared" si="215"/>
        <v>Active</v>
      </c>
    </row>
    <row r="5277" spans="1:3" ht="18" customHeight="1">
      <c r="A5277" t="str">
        <f>"31-1200-0028"</f>
        <v>31-1200-0028</v>
      </c>
      <c r="B5277" t="str">
        <f>"Motor, 1 HP, 90V, Permanent Magnet"</f>
        <v>Motor, 1 HP, 90V, Permanent Magnet</v>
      </c>
      <c r="C5277" t="str">
        <f t="shared" si="215"/>
        <v>Active</v>
      </c>
    </row>
    <row r="5278" spans="1:3" ht="18" customHeight="1">
      <c r="A5278" t="str">
        <f>"31-1200-0029"</f>
        <v>31-1200-0029</v>
      </c>
      <c r="B5278" t="str">
        <f>"Motor, 1HP, 180V, Permanent Magnet"</f>
        <v>Motor, 1HP, 180V, Permanent Magnet</v>
      </c>
      <c r="C5278" t="str">
        <f t="shared" si="215"/>
        <v>Active</v>
      </c>
    </row>
    <row r="5279" spans="1:3" ht="18" customHeight="1">
      <c r="A5279" t="str">
        <f>"31-1200-0055"</f>
        <v>31-1200-0055</v>
      </c>
      <c r="B5279" t="str">
        <f>"Motor, Stepper, Single Stack"</f>
        <v>Motor, Stepper, Single Stack</v>
      </c>
      <c r="C5279" t="str">
        <f t="shared" si="215"/>
        <v>Active</v>
      </c>
    </row>
    <row r="5280" spans="1:3" ht="18" customHeight="1">
      <c r="A5280" t="str">
        <f>"31-1200-0056"</f>
        <v>31-1200-0056</v>
      </c>
      <c r="B5280" t="str">
        <f>"Motor, Stepper, Double Stack"</f>
        <v>Motor, Stepper, Double Stack</v>
      </c>
      <c r="C5280" t="str">
        <f t="shared" si="215"/>
        <v>Active</v>
      </c>
    </row>
    <row r="5281" spans="1:3" ht="18" customHeight="1">
      <c r="A5281" t="str">
        <f>"31-1200-0060"</f>
        <v>31-1200-0060</v>
      </c>
      <c r="B5281" t="str">
        <f>"Hydraulic Pump Power Unit"</f>
        <v>Hydraulic Pump Power Unit</v>
      </c>
      <c r="C5281" t="str">
        <f t="shared" si="215"/>
        <v>Active</v>
      </c>
    </row>
    <row r="5282" spans="1:3" ht="18" customHeight="1">
      <c r="A5282" t="str">
        <f>"31-1402-0001"</f>
        <v>31-1402-0001</v>
      </c>
      <c r="B5282" t="str">
        <f>"Dividers, Short"</f>
        <v>Dividers, Short</v>
      </c>
      <c r="C5282" t="str">
        <f t="shared" si="215"/>
        <v>Active</v>
      </c>
    </row>
    <row r="5283" spans="1:3" ht="18" customHeight="1">
      <c r="A5283" t="str">
        <f>"31-1402-0002"</f>
        <v>31-1402-0002</v>
      </c>
      <c r="B5283" t="str">
        <f>"Dividers, Long"</f>
        <v>Dividers, Long</v>
      </c>
      <c r="C5283" t="str">
        <f t="shared" si="215"/>
        <v>Active</v>
      </c>
    </row>
    <row r="5284" spans="1:3" ht="18" customHeight="1">
      <c r="A5284" t="str">
        <f>"31-1402-0003"</f>
        <v>31-1402-0003</v>
      </c>
      <c r="B5284" t="str">
        <f>"Pallet Pkging, Grey Tote Container"</f>
        <v>Pallet Pkging, Grey Tote Container</v>
      </c>
      <c r="C5284" t="str">
        <f t="shared" si="215"/>
        <v>Active</v>
      </c>
    </row>
    <row r="5285" spans="1:3" ht="18" customHeight="1">
      <c r="A5285" t="str">
        <f>"31-1500-0000"</f>
        <v>31-1500-0000</v>
      </c>
      <c r="B5285" t="str">
        <f>"Anchor Coupling, Bulkhead Coolant Ready"</f>
        <v>Anchor Coupling, Bulkhead Coolant Ready</v>
      </c>
      <c r="C5285" t="str">
        <f t="shared" si="215"/>
        <v>Active</v>
      </c>
    </row>
    <row r="5286" spans="1:3" ht="18" customHeight="1">
      <c r="A5286" t="str">
        <f>"31-1600-0004"</f>
        <v>31-1600-0004</v>
      </c>
      <c r="B5286" t="str">
        <f>"Liquid Tight Fitting, Blk, PG16"</f>
        <v>Liquid Tight Fitting, Blk, PG16</v>
      </c>
      <c r="C5286" t="str">
        <f t="shared" si="215"/>
        <v>Active</v>
      </c>
    </row>
    <row r="5287" spans="1:3" ht="18" customHeight="1">
      <c r="A5287" t="str">
        <f>"31-1700-0001"</f>
        <v>31-1700-0001</v>
      </c>
      <c r="B5287" t="str">
        <f>"6""/150 mm Steel Rule (16r, 4 scales)"</f>
        <v>6"/150 mm Steel Rule (16r, 4 scales)</v>
      </c>
      <c r="C5287" t="str">
        <f t="shared" si="215"/>
        <v>Active</v>
      </c>
    </row>
    <row r="5288" spans="1:3" ht="18" customHeight="1">
      <c r="A5288" t="str">
        <f>"31-1700-0002"</f>
        <v>31-1700-0002</v>
      </c>
      <c r="B5288" t="str">
        <f>"300mm #34 Metric/inch Stl Rule"</f>
        <v>300mm #34 Metric/inch Stl Rule</v>
      </c>
      <c r="C5288" t="str">
        <f t="shared" si="215"/>
        <v>Active</v>
      </c>
    </row>
    <row r="5289" spans="1:3" ht="18" customHeight="1">
      <c r="A5289" t="str">
        <f>"31-1700-0004"</f>
        <v>31-1700-0004</v>
      </c>
      <c r="B5289" t="str">
        <f>"Caliper, Digital, Electronic, #798B-6/150"</f>
        <v>Caliper, Digital, Electronic, #798B-6/150</v>
      </c>
      <c r="C5289" t="str">
        <f t="shared" si="215"/>
        <v>Active</v>
      </c>
    </row>
    <row r="5290" spans="1:3" ht="18" customHeight="1">
      <c r="A5290" t="str">
        <f>"31-1700-0007"</f>
        <v>31-1700-0007</v>
      </c>
      <c r="B5290" t="str">
        <f>"4"" Inside Caliper"</f>
        <v>4" Inside Caliper</v>
      </c>
      <c r="C5290" t="str">
        <f t="shared" si="215"/>
        <v>Active</v>
      </c>
    </row>
    <row r="5291" spans="1:3" ht="18" customHeight="1">
      <c r="A5291" t="str">
        <f>"31-1700-0008"</f>
        <v>31-1700-0008</v>
      </c>
      <c r="B5291" t="str">
        <f>"4"" Outside Caliper"</f>
        <v>4" Outside Caliper</v>
      </c>
      <c r="C5291" t="str">
        <f t="shared" si="215"/>
        <v>Active</v>
      </c>
    </row>
    <row r="5292" spans="1:3" ht="18" customHeight="1">
      <c r="A5292" t="str">
        <f>"31-1700-0010"</f>
        <v>31-1700-0010</v>
      </c>
      <c r="B5292" t="str">
        <f>"Indicator Clamp"</f>
        <v>Indicator Clamp</v>
      </c>
      <c r="C5292" t="str">
        <f t="shared" si="215"/>
        <v>Active</v>
      </c>
    </row>
    <row r="5293" spans="1:3" ht="18" customHeight="1">
      <c r="A5293" t="str">
        <f>"31-1700-0011"</f>
        <v>31-1700-0011</v>
      </c>
      <c r="B5293" t="str">
        <f>"Height Gage Attachment"</f>
        <v>Height Gage Attachment</v>
      </c>
      <c r="C5293" t="str">
        <f t="shared" si="215"/>
        <v>Active</v>
      </c>
    </row>
    <row r="5294" spans="1:3" ht="18" customHeight="1">
      <c r="A5294" t="str">
        <f>"31-1700-0012"</f>
        <v>31-1700-0012</v>
      </c>
      <c r="B5294" t="str">
        <f>"6"" Digital Height Gage #3751AZ-6/150"</f>
        <v>6" Digital Height Gage #3751AZ-6/150</v>
      </c>
      <c r="C5294" t="str">
        <f t="shared" si="215"/>
        <v>Active</v>
      </c>
    </row>
    <row r="5295" spans="1:3" ht="18" customHeight="1">
      <c r="A5295" t="str">
        <f>"31-1700-0013"</f>
        <v>31-1700-0013</v>
      </c>
      <c r="B5295" t="str">
        <f>"Steel Protractor"</f>
        <v>Steel Protractor</v>
      </c>
      <c r="C5295" t="str">
        <f t="shared" si="215"/>
        <v>Active</v>
      </c>
    </row>
    <row r="5296" spans="1:3" ht="18" customHeight="1">
      <c r="A5296" t="str">
        <f>"31-1700-0015"</f>
        <v>31-1700-0015</v>
      </c>
      <c r="B5296" t="str">
        <f>"Book, ""Tools &amp; Rules for Precision Measuring"""</f>
        <v>Book, "Tools &amp; Rules for Precision Measuring"</v>
      </c>
      <c r="C5296" t="str">
        <f t="shared" si="215"/>
        <v>Active</v>
      </c>
    </row>
    <row r="5297" spans="1:3" ht="18" customHeight="1">
      <c r="A5297" t="str">
        <f>"31-1700-0016"</f>
        <v>31-1700-0016</v>
      </c>
      <c r="B5297" t="str">
        <f>"Educational charts, set of 16, 3 ring size"</f>
        <v>Educational charts, set of 16, 3 ring size</v>
      </c>
      <c r="C5297" t="str">
        <f t="shared" si="215"/>
        <v>Active</v>
      </c>
    </row>
    <row r="5298" spans="1:3" ht="18" customHeight="1">
      <c r="A5298" t="str">
        <f>"31-1700-0017"</f>
        <v>31-1700-0017</v>
      </c>
      <c r="B5298" t="str">
        <f>"Wall chart, Inch/metric Tap Drill Sizes"</f>
        <v>Wall chart, Inch/metric Tap Drill Sizes</v>
      </c>
      <c r="C5298" t="str">
        <f t="shared" si="215"/>
        <v>Active</v>
      </c>
    </row>
    <row r="5299" spans="1:3" ht="18" customHeight="1">
      <c r="A5299" t="str">
        <f>"31-1700-0018"</f>
        <v>31-1700-0018</v>
      </c>
      <c r="B5299" t="str">
        <f>"Card, Inch/metric Tap Drill Sizes"</f>
        <v>Card, Inch/metric Tap Drill Sizes</v>
      </c>
      <c r="C5299" t="str">
        <f t="shared" si="215"/>
        <v>Active</v>
      </c>
    </row>
    <row r="5300" spans="1:3" ht="18" customHeight="1">
      <c r="A5300" t="str">
        <f>"31-1700-0019"</f>
        <v>31-1700-0019</v>
      </c>
      <c r="B5300" t="str">
        <f>"Card, Millimeter/inch Equivalents"</f>
        <v>Card, Millimeter/inch Equivalents</v>
      </c>
      <c r="C5300" t="str">
        <f t="shared" ref="C5300:C5329" si="216">"Active"</f>
        <v>Active</v>
      </c>
    </row>
    <row r="5301" spans="1:3" ht="18" customHeight="1">
      <c r="A5301" t="str">
        <f>"31-1700-0020"</f>
        <v>31-1700-0020</v>
      </c>
      <c r="B5301" t="str">
        <f>"Granite Surface Plate, Crystal Pink, 12""x8""x 2"""</f>
        <v>Granite Surface Plate, Crystal Pink, 12"x8"x 2"</v>
      </c>
      <c r="C5301" t="str">
        <f t="shared" si="216"/>
        <v>Active</v>
      </c>
    </row>
    <row r="5302" spans="1:3" ht="18" customHeight="1">
      <c r="A5302" t="str">
        <f>"31-1700-0022"</f>
        <v>31-1700-0022</v>
      </c>
      <c r="B5302" t="str">
        <f>"SPC Interface USB Cable for 798B #PT63388 w/ CD"</f>
        <v>SPC Interface USB Cable for 798B #PT63388 w/ CD</v>
      </c>
      <c r="C5302" t="str">
        <f t="shared" si="216"/>
        <v>Active</v>
      </c>
    </row>
    <row r="5303" spans="1:3" ht="18" customHeight="1">
      <c r="A5303" t="str">
        <f>"31-1700-0024"</f>
        <v>31-1700-0024</v>
      </c>
      <c r="B5303" t="str">
        <f>"Ground Slotted Angle Plate 3.5"" x 3"" x 2.5"""</f>
        <v>Ground Slotted Angle Plate 3.5" x 3" x 2.5"</v>
      </c>
      <c r="C5303" t="str">
        <f t="shared" si="216"/>
        <v>Active</v>
      </c>
    </row>
    <row r="5304" spans="1:3" ht="18" customHeight="1">
      <c r="A5304" t="str">
        <f>"31-1700-0025"</f>
        <v>31-1700-0025</v>
      </c>
      <c r="B5304" t="str">
        <f>"REC, 12"" Ruler"</f>
        <v>REC, 12" Ruler</v>
      </c>
      <c r="C5304" t="str">
        <f t="shared" si="216"/>
        <v>Active</v>
      </c>
    </row>
    <row r="5305" spans="1:3" ht="18" customHeight="1">
      <c r="A5305" t="str">
        <f>"31-1700-0026"</f>
        <v>31-1700-0026</v>
      </c>
      <c r="B5305" t="str">
        <f>"Tool Case, ""A"" w/ Foam"</f>
        <v>Tool Case, "A" w/ Foam</v>
      </c>
      <c r="C5305" t="str">
        <f t="shared" si="216"/>
        <v>Active</v>
      </c>
    </row>
    <row r="5306" spans="1:3" ht="18" customHeight="1">
      <c r="A5306" t="str">
        <f>"31-1700-0027"</f>
        <v>31-1700-0027</v>
      </c>
      <c r="B5306" t="str">
        <f>"Tool case, ""B"" w/ Foam Holds surface plate"</f>
        <v>Tool case, "B" w/ Foam Holds surface plate</v>
      </c>
      <c r="C5306" t="str">
        <f t="shared" si="216"/>
        <v>Active</v>
      </c>
    </row>
    <row r="5307" spans="1:3" ht="18" customHeight="1">
      <c r="A5307" t="str">
        <f>"31-1700-0028"</f>
        <v>31-1700-0028</v>
      </c>
      <c r="B5307" t="str">
        <f>"Plastic Box For Plug Gages"</f>
        <v>Plastic Box For Plug Gages</v>
      </c>
      <c r="C5307" t="str">
        <f t="shared" si="216"/>
        <v>Active</v>
      </c>
    </row>
    <row r="5308" spans="1:3" ht="18" customHeight="1">
      <c r="A5308" t="str">
        <f>"31-1700-0046"</f>
        <v>31-1700-0046</v>
      </c>
      <c r="B5308" t="str">
        <f>"Case, Leather, Brgndy 7 1/4"" x 2 1/8""x 5"""</f>
        <v>Case, Leather, Brgndy 7 1/4" x 2 1/8"x 5"</v>
      </c>
      <c r="C5308" t="str">
        <f t="shared" si="216"/>
        <v>Active</v>
      </c>
    </row>
    <row r="5309" spans="1:3" ht="18" customHeight="1">
      <c r="A5309" t="str">
        <f>"31-1800-0000"</f>
        <v>31-1800-0000</v>
      </c>
      <c r="B5309" t="str">
        <f>"REC, Protractor, General #29"</f>
        <v>REC, Protractor, General #29</v>
      </c>
      <c r="C5309" t="str">
        <f t="shared" si="216"/>
        <v>Active</v>
      </c>
    </row>
    <row r="5310" spans="1:3" ht="18" customHeight="1">
      <c r="A5310" t="str">
        <f>"31-1800-0001"</f>
        <v>31-1800-0001</v>
      </c>
      <c r="B5310" t="str">
        <f>"REC, Stop Watch, Tenths/Second"</f>
        <v>REC, Stop Watch, Tenths/Second</v>
      </c>
      <c r="C5310" t="str">
        <f t="shared" si="216"/>
        <v>Active</v>
      </c>
    </row>
    <row r="5311" spans="1:3" ht="18" customHeight="1">
      <c r="A5311" t="str">
        <f>"31-1800-0002"</f>
        <v>31-1800-0002</v>
      </c>
      <c r="B5311" t="str">
        <f>"REC, Electrical Tape, Black,3/4"" Wide"</f>
        <v>REC, Electrical Tape, Black,3/4" Wide</v>
      </c>
      <c r="C5311" t="str">
        <f t="shared" si="216"/>
        <v>Active</v>
      </c>
    </row>
    <row r="5312" spans="1:3" ht="18" customHeight="1">
      <c r="A5312" t="str">
        <f>"31-1800-0003"</f>
        <v>31-1800-0003</v>
      </c>
      <c r="B5312" t="str">
        <f>"REC, Masking Tape, 1"" Wide"</f>
        <v>REC, Masking Tape, 1" Wide</v>
      </c>
      <c r="C5312" t="str">
        <f t="shared" si="216"/>
        <v>Active</v>
      </c>
    </row>
    <row r="5313" spans="1:3" ht="18" customHeight="1">
      <c r="A5313" t="str">
        <f>"31-1800-0005"</f>
        <v>31-1800-0005</v>
      </c>
      <c r="B5313" t="str">
        <f>"REC, String, Construction Grade Line"</f>
        <v>REC, String, Construction Grade Line</v>
      </c>
      <c r="C5313" t="str">
        <f t="shared" si="216"/>
        <v>Active</v>
      </c>
    </row>
    <row r="5314" spans="1:3" ht="18" customHeight="1">
      <c r="A5314" t="str">
        <f>"31-1800-0006"</f>
        <v>31-1800-0006</v>
      </c>
      <c r="B5314" t="str">
        <f>"REC, 5lb Plate Weight, Olympic,  2"" ID"</f>
        <v>REC, 5lb Plate Weight, Olympic,  2" ID</v>
      </c>
      <c r="C5314" t="str">
        <f t="shared" si="216"/>
        <v>Active</v>
      </c>
    </row>
    <row r="5315" spans="1:3" ht="18" customHeight="1">
      <c r="A5315" t="str">
        <f>"31-1800-0007"</f>
        <v>31-1800-0007</v>
      </c>
      <c r="B5315" t="str">
        <f>"REC, Dry Erase Marker, Blk, 12 Pack"</f>
        <v>REC, Dry Erase Marker, Blk, 12 Pack</v>
      </c>
      <c r="C5315" t="str">
        <f t="shared" si="216"/>
        <v>Active</v>
      </c>
    </row>
    <row r="5316" spans="1:3" ht="18" customHeight="1">
      <c r="A5316" t="str">
        <f>"31-1800-0008"</f>
        <v>31-1800-0008</v>
      </c>
      <c r="B5316" t="str">
        <f>"REC, Dry Erase Marker, Blue, 12 Pack"</f>
        <v>REC, Dry Erase Marker, Blue, 12 Pack</v>
      </c>
      <c r="C5316" t="str">
        <f t="shared" si="216"/>
        <v>Active</v>
      </c>
    </row>
    <row r="5317" spans="1:3" ht="18" customHeight="1">
      <c r="A5317" t="str">
        <f>"31-1800-0009"</f>
        <v>31-1800-0009</v>
      </c>
      <c r="B5317" t="str">
        <f>"REC, Elastic Band, #16, 1/4lb Bag"</f>
        <v>REC, Elastic Band, #16, 1/4lb Bag</v>
      </c>
      <c r="C5317" t="str">
        <f t="shared" si="216"/>
        <v>Active</v>
      </c>
    </row>
    <row r="5318" spans="1:3" ht="18" customHeight="1">
      <c r="A5318" t="str">
        <f>"31-1800-0010"</f>
        <v>31-1800-0010</v>
      </c>
      <c r="B5318" t="str">
        <f>"REC, 8-32 x 1"" BHCS, Box of 100"</f>
        <v>REC, 8-32 x 1" BHCS, Box of 100</v>
      </c>
      <c r="C5318" t="str">
        <f t="shared" si="216"/>
        <v>Active</v>
      </c>
    </row>
    <row r="5319" spans="1:3" ht="18" customHeight="1">
      <c r="A5319" t="str">
        <f>"31-1800-0011"</f>
        <v>31-1800-0011</v>
      </c>
      <c r="B5319" t="str">
        <f>"REC, Composition Book, Engineering Notebook"</f>
        <v>REC, Composition Book, Engineering Notebook</v>
      </c>
      <c r="C5319" t="str">
        <f t="shared" si="216"/>
        <v>Active</v>
      </c>
    </row>
    <row r="5320" spans="1:3" ht="18" customHeight="1">
      <c r="A5320" t="str">
        <f>"31-1800-0012"</f>
        <v>31-1800-0012</v>
      </c>
      <c r="B5320" t="str">
        <f>"REC, 3 Ring Binder, 1"""</f>
        <v>REC, 3 Ring Binder, 1"</v>
      </c>
      <c r="C5320" t="str">
        <f t="shared" si="216"/>
        <v>Active</v>
      </c>
    </row>
    <row r="5321" spans="1:3" ht="18" customHeight="1">
      <c r="A5321" t="str">
        <f>"31-1800-0013"</f>
        <v>31-1800-0013</v>
      </c>
      <c r="B5321" t="str">
        <f>"REC, Tape Measure, 12 ft, Single Scale"</f>
        <v>REC, Tape Measure, 12 ft, Single Scale</v>
      </c>
      <c r="C5321" t="str">
        <f t="shared" si="216"/>
        <v>Active</v>
      </c>
    </row>
    <row r="5322" spans="1:3" ht="18" customHeight="1">
      <c r="A5322" t="str">
        <f>"31-2010-0007"</f>
        <v>31-2010-0007</v>
      </c>
      <c r="B5322" t="str">
        <f>"Knob, Spec II, for Speed Control"</f>
        <v>Knob, Spec II, for Speed Control</v>
      </c>
      <c r="C5322" t="str">
        <f t="shared" si="216"/>
        <v>Active</v>
      </c>
    </row>
    <row r="5323" spans="1:3" ht="18" customHeight="1">
      <c r="A5323" t="str">
        <f>"31-2010-0019"</f>
        <v>31-2010-0019</v>
      </c>
      <c r="B5323" t="str">
        <f>"Handle, Expert Mill Shield"</f>
        <v>Handle, Expert Mill Shield</v>
      </c>
      <c r="C5323" t="str">
        <f t="shared" si="216"/>
        <v>Active</v>
      </c>
    </row>
    <row r="5324" spans="1:3" ht="18" customHeight="1">
      <c r="A5324" t="str">
        <f>"31-3000-0001"</f>
        <v>31-3000-0001</v>
      </c>
      <c r="B5324" t="str">
        <f>"Push Pins, Box of 100"</f>
        <v>Push Pins, Box of 100</v>
      </c>
      <c r="C5324" t="str">
        <f t="shared" si="216"/>
        <v>Active</v>
      </c>
    </row>
    <row r="5325" spans="1:3" ht="18" customHeight="1">
      <c r="A5325" t="str">
        <f>"31-3000-0002"</f>
        <v>31-3000-0002</v>
      </c>
      <c r="B5325" t="str">
        <f>"Sponge, Cellulose, 6-3/8""x 3-5/8""x1"", Pkg of 6"</f>
        <v>Sponge, Cellulose, 6-3/8"x 3-5/8"x1", Pkg of 6</v>
      </c>
      <c r="C5325" t="str">
        <f t="shared" si="216"/>
        <v>Active</v>
      </c>
    </row>
    <row r="5326" spans="1:3" ht="18" customHeight="1">
      <c r="A5326" t="str">
        <f>"31-3000-0003"</f>
        <v>31-3000-0003</v>
      </c>
      <c r="B5326" t="str">
        <f>"Balsa Beams and Glue Kit"</f>
        <v>Balsa Beams and Glue Kit</v>
      </c>
      <c r="C5326" t="str">
        <f t="shared" si="216"/>
        <v>Active</v>
      </c>
    </row>
    <row r="5327" spans="1:3" ht="18" customHeight="1">
      <c r="A5327" t="str">
        <f>"31-3000-0004"</f>
        <v>31-3000-0004</v>
      </c>
      <c r="B5327" t="str">
        <f>"11""x17"" Graph Paper, 4 Squares Per Inch"</f>
        <v>11"x17" Graph Paper, 4 Squares Per Inch</v>
      </c>
      <c r="C5327" t="str">
        <f t="shared" si="216"/>
        <v>Active</v>
      </c>
    </row>
    <row r="5328" spans="1:3" ht="18" customHeight="1">
      <c r="A5328" t="str">
        <f>"31-3000-0005"</f>
        <v>31-3000-0005</v>
      </c>
      <c r="B5328" t="str">
        <f>"Wax Paper, 11.9"" x 75ft"</f>
        <v>Wax Paper, 11.9" x 75ft</v>
      </c>
      <c r="C5328" t="str">
        <f t="shared" si="216"/>
        <v>Active</v>
      </c>
    </row>
    <row r="5329" spans="1:3" ht="18" customHeight="1">
      <c r="A5329" t="str">
        <f>"31-3000-0006"</f>
        <v>31-3000-0006</v>
      </c>
      <c r="B5329" t="str">
        <f>"Twisted Nylon Twine 0.046"" Diameter, 900 ft"</f>
        <v>Twisted Nylon Twine 0.046" Diameter, 900 ft</v>
      </c>
      <c r="C5329" t="str">
        <f t="shared" si="216"/>
        <v>Active</v>
      </c>
    </row>
    <row r="5330" spans="1:3" ht="18" customHeight="1">
      <c r="A5330" t="str">
        <f>"31-3000-0007"</f>
        <v>31-3000-0007</v>
      </c>
      <c r="B5330" t="str">
        <f>"1/8"" Polybraid Rope, 5ft Long"</f>
        <v>1/8" Polybraid Rope, 5ft Long</v>
      </c>
      <c r="C5330" t="str">
        <f>"Inactive"</f>
        <v>Inactive</v>
      </c>
    </row>
    <row r="5331" spans="1:3" ht="18" customHeight="1">
      <c r="A5331" t="str">
        <f>"31-3000-0008"</f>
        <v>31-3000-0008</v>
      </c>
      <c r="B5331" t="str">
        <f>"1/8"" Polybraid Rope, 6ft Long"</f>
        <v>1/8" Polybraid Rope, 6ft Long</v>
      </c>
      <c r="C5331" t="str">
        <f>"Active"</f>
        <v>Active</v>
      </c>
    </row>
    <row r="5332" spans="1:3" ht="18" customHeight="1">
      <c r="A5332" t="str">
        <f>"31-3000-5010"</f>
        <v>31-3000-5010</v>
      </c>
      <c r="B5332" t="str">
        <f>"Buster II Mat. Test. w/Fixtures,Samples&amp;Software"</f>
        <v>Buster II Mat. Test. w/Fixtures,Samples&amp;Software</v>
      </c>
      <c r="C5332" t="str">
        <f>"Inactive"</f>
        <v>Inactive</v>
      </c>
    </row>
    <row r="5333" spans="1:3" ht="18" customHeight="1">
      <c r="A5333" t="str">
        <f>"310001"</f>
        <v>310001</v>
      </c>
      <c r="B5333" t="str">
        <f>"Nut Hex.  - Zinc  M2"</f>
        <v>Nut Hex.  - Zinc  M2</v>
      </c>
      <c r="C5333" t="str">
        <f t="shared" ref="C5333:C5348" si="217">"Active"</f>
        <v>Active</v>
      </c>
    </row>
    <row r="5334" spans="1:3" ht="18" customHeight="1">
      <c r="A5334" t="str">
        <f>"310002"</f>
        <v>310002</v>
      </c>
      <c r="B5334" t="str">
        <f>"Nut Hex.  - Zinc   M3"</f>
        <v>Nut Hex.  - Zinc   M3</v>
      </c>
      <c r="C5334" t="str">
        <f t="shared" si="217"/>
        <v>Active</v>
      </c>
    </row>
    <row r="5335" spans="1:3" ht="18" customHeight="1">
      <c r="A5335" t="str">
        <f>"310003"</f>
        <v>310003</v>
      </c>
      <c r="B5335" t="str">
        <f>"Nut Hex. Lock  - Zinc M4 x 5 DIN985"</f>
        <v>Nut Hex. Lock  - Zinc M4 x 5 DIN985</v>
      </c>
      <c r="C5335" t="str">
        <f t="shared" si="217"/>
        <v>Active</v>
      </c>
    </row>
    <row r="5336" spans="1:3" ht="18" customHeight="1">
      <c r="A5336" t="str">
        <f>"310005"</f>
        <v>310005</v>
      </c>
      <c r="B5336" t="str">
        <f>"Nut Hex. - Zinc   M4"</f>
        <v>Nut Hex. - Zinc   M4</v>
      </c>
      <c r="C5336" t="str">
        <f t="shared" si="217"/>
        <v>Active</v>
      </c>
    </row>
    <row r="5337" spans="1:3" ht="18" customHeight="1">
      <c r="A5337" t="str">
        <f>"310006"</f>
        <v>310006</v>
      </c>
      <c r="B5337" t="str">
        <f>"Nut Hex. - Blk.   M4"</f>
        <v>Nut Hex. - Blk.   M4</v>
      </c>
      <c r="C5337" t="str">
        <f t="shared" si="217"/>
        <v>Active</v>
      </c>
    </row>
    <row r="5338" spans="1:3" ht="18" customHeight="1">
      <c r="A5338" t="str">
        <f>"310007"</f>
        <v>310007</v>
      </c>
      <c r="B5338" t="str">
        <f>"Nut Hex. Lock  - Zinc    M3 x 4  DIN985"</f>
        <v>Nut Hex. Lock  - Zinc    M3 x 4  DIN985</v>
      </c>
      <c r="C5338" t="str">
        <f t="shared" si="217"/>
        <v>Active</v>
      </c>
    </row>
    <row r="5339" spans="1:3" ht="18" customHeight="1">
      <c r="A5339" t="str">
        <f>"310008"</f>
        <v>310008</v>
      </c>
      <c r="B5339" t="str">
        <f>"Nut Hex.&amp; Washer Zinc M3xh=3.7mm BN712"</f>
        <v>Nut Hex.&amp; Washer Zinc M3xh=3.7mm BN712</v>
      </c>
      <c r="C5339" t="str">
        <f t="shared" si="217"/>
        <v>Active</v>
      </c>
    </row>
    <row r="5340" spans="1:3" ht="18" customHeight="1">
      <c r="A5340" t="str">
        <f>"310201"</f>
        <v>310201</v>
      </c>
      <c r="B5340" t="str">
        <f>"Nut Hex. - Zinc   M6 x 5"</f>
        <v>Nut Hex. - Zinc   M6 x 5</v>
      </c>
      <c r="C5340" t="str">
        <f t="shared" si="217"/>
        <v>Active</v>
      </c>
    </row>
    <row r="5341" spans="1:3" ht="18" customHeight="1">
      <c r="A5341" t="str">
        <f>"310202"</f>
        <v>310202</v>
      </c>
      <c r="B5341" t="str">
        <f>"Nut Hex. Lock - Zinc M6"</f>
        <v>Nut Hex. Lock - Zinc M6</v>
      </c>
      <c r="C5341" t="str">
        <f t="shared" si="217"/>
        <v>Active</v>
      </c>
    </row>
    <row r="5342" spans="1:3" ht="18" customHeight="1">
      <c r="A5342" t="str">
        <f>"310203"</f>
        <v>310203</v>
      </c>
      <c r="B5342" t="str">
        <f>"Nut Hex. - Blk.   M5"</f>
        <v>Nut Hex. - Blk.   M5</v>
      </c>
      <c r="C5342" t="str">
        <f t="shared" si="217"/>
        <v>Active</v>
      </c>
    </row>
    <row r="5343" spans="1:3" ht="18" customHeight="1">
      <c r="A5343" t="str">
        <f>"310204"</f>
        <v>310204</v>
      </c>
      <c r="B5343" t="str">
        <f>"Nut Hex. - Zinc M5"</f>
        <v>Nut Hex. - Zinc M5</v>
      </c>
      <c r="C5343" t="str">
        <f t="shared" si="217"/>
        <v>Active</v>
      </c>
    </row>
    <row r="5344" spans="1:3" ht="18" customHeight="1">
      <c r="A5344" t="str">
        <f>"310205"</f>
        <v>310205</v>
      </c>
      <c r="B5344" t="str">
        <f>"Nut Hex. - Zinc   M6 x 3.2"</f>
        <v>Nut Hex. - Zinc   M6 x 3.2</v>
      </c>
      <c r="C5344" t="str">
        <f t="shared" si="217"/>
        <v>Active</v>
      </c>
    </row>
    <row r="5345" spans="1:3" ht="18" customHeight="1">
      <c r="A5345" t="str">
        <f>"310207"</f>
        <v>310207</v>
      </c>
      <c r="B5345" t="str">
        <f>"Nut Hex. - St.St.    M5"</f>
        <v>Nut Hex. - St.St.    M5</v>
      </c>
      <c r="C5345" t="str">
        <f t="shared" si="217"/>
        <v>Active</v>
      </c>
    </row>
    <row r="5346" spans="1:3" ht="18" customHeight="1">
      <c r="A5346" t="str">
        <f>"310210"</f>
        <v>310210</v>
      </c>
      <c r="B5346" t="str">
        <f>"Nut Knurled Knob Black  M5  PF FS31"</f>
        <v>Nut Knurled Knob Black  M5  PF FS31</v>
      </c>
      <c r="C5346" t="str">
        <f t="shared" si="217"/>
        <v>Active</v>
      </c>
    </row>
    <row r="5347" spans="1:3" ht="18" customHeight="1">
      <c r="A5347" t="str">
        <f>"310211"</f>
        <v>310211</v>
      </c>
      <c r="B5347" t="str">
        <f>"Nut Hex. Lock - Zinc  M5"</f>
        <v>Nut Hex. Lock - Zinc  M5</v>
      </c>
      <c r="C5347" t="str">
        <f t="shared" si="217"/>
        <v>Active</v>
      </c>
    </row>
    <row r="5348" spans="1:3" ht="18" customHeight="1">
      <c r="A5348" t="str">
        <f>"310401"</f>
        <v>310401</v>
      </c>
      <c r="B5348" t="str">
        <f>"Nut Bearing Lock   M10 x 0.75  KM0"</f>
        <v>Nut Bearing Lock   M10 x 0.75  KM0</v>
      </c>
      <c r="C5348" t="str">
        <f t="shared" si="217"/>
        <v>Active</v>
      </c>
    </row>
    <row r="5349" spans="1:3" ht="18" customHeight="1">
      <c r="A5349" t="str">
        <f>"310401-10"</f>
        <v>310401-10</v>
      </c>
      <c r="B5349" t="str">
        <f>"Nut Bearing Lock   M10 x 0.75  KM0"</f>
        <v>Nut Bearing Lock   M10 x 0.75  KM0</v>
      </c>
      <c r="C5349" t="str">
        <f>"Not for sale"</f>
        <v>Not for sale</v>
      </c>
    </row>
    <row r="5350" spans="1:3" ht="18" customHeight="1">
      <c r="A5350" t="str">
        <f>"310402"</f>
        <v>310402</v>
      </c>
      <c r="B5350" t="str">
        <f>"Nut Bearing Lock M25x 1.5 KM5"</f>
        <v>Nut Bearing Lock M25x 1.5 KM5</v>
      </c>
      <c r="C5350" t="str">
        <f>"Active"</f>
        <v>Active</v>
      </c>
    </row>
    <row r="5351" spans="1:3" ht="18" customHeight="1">
      <c r="A5351" t="str">
        <f>"310402-10"</f>
        <v>310402-10</v>
      </c>
      <c r="B5351" t="str">
        <f>"Nut Bearing Lock  M25 x 1.5    KM5"</f>
        <v>Nut Bearing Lock  M25 x 1.5    KM5</v>
      </c>
      <c r="C5351" t="str">
        <f>"Not for sale"</f>
        <v>Not for sale</v>
      </c>
    </row>
    <row r="5352" spans="1:3" ht="18" customHeight="1">
      <c r="A5352" t="str">
        <f>"310403"</f>
        <v>310403</v>
      </c>
      <c r="B5352" t="str">
        <f>"Nut Hex. - Blk.    M8"</f>
        <v>Nut Hex. - Blk.    M8</v>
      </c>
      <c r="C5352" t="str">
        <f>"Active"</f>
        <v>Active</v>
      </c>
    </row>
    <row r="5353" spans="1:3" ht="18" customHeight="1">
      <c r="A5353" t="str">
        <f>"310404"</f>
        <v>310404</v>
      </c>
      <c r="B5353" t="str">
        <f>"Nut Hex. - Zinc   M12"</f>
        <v>Nut Hex. - Zinc   M12</v>
      </c>
      <c r="C5353" t="str">
        <f>"Active"</f>
        <v>Active</v>
      </c>
    </row>
    <row r="5354" spans="1:3" ht="18" customHeight="1">
      <c r="A5354" t="str">
        <f>"310405"</f>
        <v>310405</v>
      </c>
      <c r="B5354" t="str">
        <f>"Nut Hex. Lock     M10"</f>
        <v>Nut Hex. Lock     M10</v>
      </c>
      <c r="C5354" t="str">
        <f>"Active"</f>
        <v>Active</v>
      </c>
    </row>
    <row r="5355" spans="1:3" ht="18" customHeight="1">
      <c r="A5355" t="str">
        <f>"310406"</f>
        <v>310406</v>
      </c>
      <c r="B5355" t="str">
        <f>"Nut Bearing Lock   M12 x 1  KM1"</f>
        <v>Nut Bearing Lock   M12 x 1  KM1</v>
      </c>
      <c r="C5355" t="str">
        <f>"Active"</f>
        <v>Active</v>
      </c>
    </row>
    <row r="5356" spans="1:3" ht="18" customHeight="1">
      <c r="A5356" t="str">
        <f>"310406-10"</f>
        <v>310406-10</v>
      </c>
      <c r="B5356" t="str">
        <f>"Nut Bearing Lock   M12 x 1  KM1"</f>
        <v>Nut Bearing Lock   M12 x 1  KM1</v>
      </c>
      <c r="C5356" t="str">
        <f>"Not for sale"</f>
        <v>Not for sale</v>
      </c>
    </row>
    <row r="5357" spans="1:3" ht="18" customHeight="1">
      <c r="A5357" t="str">
        <f>"310407"</f>
        <v>310407</v>
      </c>
      <c r="B5357" t="str">
        <f>"Nut Hex. - Zinc M16"</f>
        <v>Nut Hex. - Zinc M16</v>
      </c>
      <c r="C5357" t="str">
        <f t="shared" ref="C5357:C5396" si="218">"Active"</f>
        <v>Active</v>
      </c>
    </row>
    <row r="5358" spans="1:3" ht="18" customHeight="1">
      <c r="A5358" t="str">
        <f>"310409"</f>
        <v>310409</v>
      </c>
      <c r="B5358" t="str">
        <f>"Nut Hex.Lock - Zinc M8"</f>
        <v>Nut Hex.Lock - Zinc M8</v>
      </c>
      <c r="C5358" t="str">
        <f t="shared" si="218"/>
        <v>Active</v>
      </c>
    </row>
    <row r="5359" spans="1:3" ht="18" customHeight="1">
      <c r="A5359" t="str">
        <f>"310601"</f>
        <v>310601</v>
      </c>
      <c r="B5359" t="str">
        <f>"Nut Hex. - Nickel   4-40 x 3/16 """</f>
        <v>Nut Hex. - Nickel   4-40 x 3/16 "</v>
      </c>
      <c r="C5359" t="str">
        <f t="shared" si="218"/>
        <v>Active</v>
      </c>
    </row>
    <row r="5360" spans="1:3" ht="18" customHeight="1">
      <c r="A5360" t="str">
        <f>"310604"</f>
        <v>310604</v>
      </c>
      <c r="B5360" t="str">
        <f>"Nut Hex.  - Zinc   4-40"</f>
        <v>Nut Hex.  - Zinc   4-40</v>
      </c>
      <c r="C5360" t="str">
        <f t="shared" si="218"/>
        <v>Active</v>
      </c>
    </row>
    <row r="5361" spans="1:3" ht="18" customHeight="1">
      <c r="A5361" t="str">
        <f>"310605"</f>
        <v>310605</v>
      </c>
      <c r="B5361" t="str">
        <f>"Nut Hex. - Zinc   NC6,  6-32 x 5/16 """</f>
        <v>Nut Hex. - Zinc   NC6,  6-32 x 5/16 "</v>
      </c>
      <c r="C5361" t="str">
        <f t="shared" si="218"/>
        <v>Active</v>
      </c>
    </row>
    <row r="5362" spans="1:3" ht="18" customHeight="1">
      <c r="A5362" t="str">
        <f>"310608"</f>
        <v>310608</v>
      </c>
      <c r="B5362" t="str">
        <f>"Nut Hex. Spacer - Zinc   4-40 x 1/4""  (6mm)"</f>
        <v>Nut Hex. Spacer - Zinc   4-40 x 1/4"  (6mm)</v>
      </c>
      <c r="C5362" t="str">
        <f t="shared" si="218"/>
        <v>Active</v>
      </c>
    </row>
    <row r="5363" spans="1:3" ht="18" customHeight="1">
      <c r="A5363" t="str">
        <f>"310803"</f>
        <v>310803</v>
      </c>
      <c r="B5363" t="str">
        <f>"Nut Hex. - Zinc    #8-32"</f>
        <v>Nut Hex. - Zinc    #8-32</v>
      </c>
      <c r="C5363" t="str">
        <f t="shared" si="218"/>
        <v>Active</v>
      </c>
    </row>
    <row r="5364" spans="1:3" ht="18" customHeight="1">
      <c r="A5364" t="str">
        <f>"310807"</f>
        <v>310807</v>
      </c>
      <c r="B5364" t="str">
        <f>"Nut Hex. Lock - Zinc    #10-32 x 5mm"</f>
        <v>Nut Hex. Lock - Zinc    #10-32 x 5mm</v>
      </c>
      <c r="C5364" t="str">
        <f t="shared" si="218"/>
        <v>Active</v>
      </c>
    </row>
    <row r="5365" spans="1:3" ht="18" customHeight="1">
      <c r="A5365" t="str">
        <f>"311001"</f>
        <v>311001</v>
      </c>
      <c r="B5365" t="str">
        <f>"Nut Hex. Zinc 5/16""-18 UNC"</f>
        <v>Nut Hex. Zinc 5/16"-18 UNC</v>
      </c>
      <c r="C5365" t="str">
        <f t="shared" si="218"/>
        <v>Active</v>
      </c>
    </row>
    <row r="5366" spans="1:3" ht="18" customHeight="1">
      <c r="A5366" t="str">
        <f>"311002"</f>
        <v>311002</v>
      </c>
      <c r="B5366" t="str">
        <f>"Nut Hex. - Zinc     1/4"""</f>
        <v>Nut Hex. - Zinc     1/4"</v>
      </c>
      <c r="C5366" t="str">
        <f t="shared" si="218"/>
        <v>Active</v>
      </c>
    </row>
    <row r="5367" spans="1:3" ht="18" customHeight="1">
      <c r="A5367" t="str">
        <f>"311006"</f>
        <v>311006</v>
      </c>
      <c r="B5367" t="str">
        <f>"Nut Tee - Zinc 1/4"" BN226"</f>
        <v>Nut Tee - Zinc 1/4" BN226</v>
      </c>
      <c r="C5367" t="str">
        <f t="shared" si="218"/>
        <v>Active</v>
      </c>
    </row>
    <row r="5368" spans="1:3" ht="18" customHeight="1">
      <c r="A5368" t="str">
        <f>"312001"</f>
        <v>312001</v>
      </c>
      <c r="B5368" t="str">
        <f>"Nut Spring - Blk.  d4.2   a=16.5,b=11,S=0.5"</f>
        <v>Nut Spring - Blk.  d4.2   a=16.5,b=11,S=0.5</v>
      </c>
      <c r="C5368" t="str">
        <f t="shared" si="218"/>
        <v>Active</v>
      </c>
    </row>
    <row r="5369" spans="1:3" ht="18" customHeight="1">
      <c r="A5369" t="str">
        <f>"312003"</f>
        <v>312003</v>
      </c>
      <c r="B5369" t="str">
        <f>"Nut PG29    AGRO 8029"</f>
        <v>Nut PG29    AGRO 8029</v>
      </c>
      <c r="C5369" t="str">
        <f t="shared" si="218"/>
        <v>Active</v>
      </c>
    </row>
    <row r="5370" spans="1:3" ht="18" customHeight="1">
      <c r="A5370" t="str">
        <f>"312004"</f>
        <v>312004</v>
      </c>
      <c r="B5370" t="str">
        <f>"Nut Self clinching M4 PEM A=1.37"</f>
        <v>Nut Self clinching M4 PEM A=1.37</v>
      </c>
      <c r="C5370" t="str">
        <f t="shared" si="218"/>
        <v>Active</v>
      </c>
    </row>
    <row r="5371" spans="1:3" ht="18" customHeight="1">
      <c r="A5371" t="str">
        <f>"312005"</f>
        <v>312005</v>
      </c>
      <c r="B5371" t="str">
        <f>"T-slot Nut 5 St M4, IT0.0.370.06"</f>
        <v>T-slot Nut 5 St M4, IT0.0.370.06</v>
      </c>
      <c r="C5371" t="str">
        <f t="shared" si="218"/>
        <v>Active</v>
      </c>
    </row>
    <row r="5372" spans="1:3" ht="18" customHeight="1">
      <c r="A5372" t="str">
        <f>"312006"</f>
        <v>312006</v>
      </c>
      <c r="B5372" t="str">
        <f>"Nut T-Slot 8 plastic ST/PA M6,IT00416.17"</f>
        <v>Nut T-Slot 8 plastic ST/PA M6,IT00416.17</v>
      </c>
      <c r="C5372" t="str">
        <f t="shared" si="218"/>
        <v>Active</v>
      </c>
    </row>
    <row r="5373" spans="1:3" ht="18" customHeight="1">
      <c r="A5373" t="str">
        <f>"312007"</f>
        <v>312007</v>
      </c>
      <c r="B5373" t="str">
        <f>"T-slot Nut 5, M5 ITEM 0.0.370.01"</f>
        <v>T-slot Nut 5, M5 ITEM 0.0.370.01</v>
      </c>
      <c r="C5373" t="str">
        <f t="shared" si="218"/>
        <v>Active</v>
      </c>
    </row>
    <row r="5374" spans="1:3" ht="18" customHeight="1">
      <c r="A5374" t="str">
        <f>"312009"</f>
        <v>312009</v>
      </c>
      <c r="B5374" t="str">
        <f>"T-Slot Nut 8 Zn M5, IT0.0.373.44"</f>
        <v>T-Slot Nut 8 Zn M5, IT0.0.373.44</v>
      </c>
      <c r="C5374" t="str">
        <f t="shared" si="218"/>
        <v>Active</v>
      </c>
    </row>
    <row r="5375" spans="1:3" ht="18" customHeight="1">
      <c r="A5375" t="str">
        <f>"312011"</f>
        <v>312011</v>
      </c>
      <c r="B5375" t="str">
        <f>"T-Slot Nut8 Zn M4 IT0.0.373.58"</f>
        <v>T-Slot Nut8 Zn M4 IT0.0.373.58</v>
      </c>
      <c r="C5375" t="str">
        <f t="shared" si="218"/>
        <v>Active</v>
      </c>
    </row>
    <row r="5376" spans="1:3" ht="18" customHeight="1">
      <c r="A5376" t="str">
        <f>"312012"</f>
        <v>312012</v>
      </c>
      <c r="B5376" t="str">
        <f>"Standard Fast Set 8, ITEM 0.0.026.07"</f>
        <v>Standard Fast Set 8, ITEM 0.0.026.07</v>
      </c>
      <c r="C5376" t="str">
        <f t="shared" si="218"/>
        <v>Active</v>
      </c>
    </row>
    <row r="5377" spans="1:3" ht="18" customHeight="1">
      <c r="A5377" t="str">
        <f>"312013"</f>
        <v>312013</v>
      </c>
      <c r="B5377" t="str">
        <f>"Universal Fast Set 8, ITEM 0.0.026.92"</f>
        <v>Universal Fast Set 8, ITEM 0.0.026.92</v>
      </c>
      <c r="C5377" t="str">
        <f t="shared" si="218"/>
        <v>Active</v>
      </c>
    </row>
    <row r="5378" spans="1:3" ht="18" customHeight="1">
      <c r="A5378" t="str">
        <f>"312014"</f>
        <v>312014</v>
      </c>
      <c r="B5378" t="str">
        <f>"Nut T-Slot 8 St  M6 heavy duty   IT0.427.75"</f>
        <v>Nut T-Slot 8 St  M6 heavy duty   IT0.427.75</v>
      </c>
      <c r="C5378" t="str">
        <f t="shared" si="218"/>
        <v>Active</v>
      </c>
    </row>
    <row r="5379" spans="1:3" ht="18" customHeight="1">
      <c r="A5379" t="str">
        <f>"312016"</f>
        <v>312016</v>
      </c>
      <c r="B5379" t="str">
        <f>"Nut T-Slot 8 St/PA M4  ITEM 00.416.23"</f>
        <v>Nut T-Slot 8 St/PA M4  ITEM 00.416.23</v>
      </c>
      <c r="C5379" t="str">
        <f t="shared" si="218"/>
        <v>Active</v>
      </c>
    </row>
    <row r="5380" spans="1:3" ht="18" customHeight="1">
      <c r="A5380" t="str">
        <f>"312017"</f>
        <v>312017</v>
      </c>
      <c r="B5380" t="str">
        <f>"Nut T-Slot 8 St M6, IT0026.23"</f>
        <v>Nut T-Slot 8 St M6, IT0026.23</v>
      </c>
      <c r="C5380" t="str">
        <f t="shared" si="218"/>
        <v>Active</v>
      </c>
    </row>
    <row r="5381" spans="1:3" ht="18" customHeight="1">
      <c r="A5381" t="str">
        <f>"312018"</f>
        <v>312018</v>
      </c>
      <c r="B5381" t="str">
        <f>"Universal Holder ITEM 0.0.418.24"</f>
        <v>Universal Holder ITEM 0.0.418.24</v>
      </c>
      <c r="C5381" t="str">
        <f t="shared" si="218"/>
        <v>Active</v>
      </c>
    </row>
    <row r="5382" spans="1:3" ht="18" customHeight="1">
      <c r="A5382" t="str">
        <f>"312019"</f>
        <v>312019</v>
      </c>
      <c r="B5382" t="str">
        <f>"Nut T-Slot 8 St M8, IT0026.18"</f>
        <v>Nut T-Slot 8 St M8, IT0026.18</v>
      </c>
      <c r="C5382" t="str">
        <f t="shared" si="218"/>
        <v>Active</v>
      </c>
    </row>
    <row r="5383" spans="1:3" ht="18" customHeight="1">
      <c r="A5383" t="str">
        <f>"312020"</f>
        <v>312020</v>
      </c>
      <c r="B5383" t="str">
        <f>"Fasterning Standard Set 5,ITEM 0370.08"</f>
        <v>Fasterning Standard Set 5,ITEM 0370.08</v>
      </c>
      <c r="C5383" t="str">
        <f t="shared" si="218"/>
        <v>Active</v>
      </c>
    </row>
    <row r="5384" spans="1:3" ht="18" customHeight="1">
      <c r="A5384" t="str">
        <f>"312021"</f>
        <v>312021</v>
      </c>
      <c r="B5384" t="str">
        <f>"T-Slot Nut V 8 St M5 IT00.480.54"</f>
        <v>T-Slot Nut V 8 St M5 IT00.480.54</v>
      </c>
      <c r="C5384" t="str">
        <f t="shared" si="218"/>
        <v>Active</v>
      </c>
    </row>
    <row r="5385" spans="1:3" ht="18" customHeight="1">
      <c r="A5385" t="str">
        <f>"312022"</f>
        <v>312022</v>
      </c>
      <c r="B5385" t="str">
        <f>"Set Angle bracket 5   IT425.02"</f>
        <v>Set Angle bracket 5   IT425.02</v>
      </c>
      <c r="C5385" t="str">
        <f t="shared" si="218"/>
        <v>Active</v>
      </c>
    </row>
    <row r="5386" spans="1:3" ht="18" customHeight="1">
      <c r="A5386" t="str">
        <f>"312023"</f>
        <v>312023</v>
      </c>
      <c r="B5386" t="str">
        <f>"Universal Fastening Set 5, ITEM 0.0.370.27"</f>
        <v>Universal Fastening Set 5, ITEM 0.0.370.27</v>
      </c>
      <c r="C5386" t="str">
        <f t="shared" si="218"/>
        <v>Active</v>
      </c>
    </row>
    <row r="5387" spans="1:3" ht="18" customHeight="1">
      <c r="A5387" t="str">
        <f>"312031"</f>
        <v>312031</v>
      </c>
      <c r="B5387" t="str">
        <f>"T-Slot Nut 5, M3, IT00.437.19"</f>
        <v>T-Slot Nut 5, M3, IT00.437.19</v>
      </c>
      <c r="C5387" t="str">
        <f t="shared" si="218"/>
        <v>Active</v>
      </c>
    </row>
    <row r="5388" spans="1:3" ht="18" customHeight="1">
      <c r="A5388" t="str">
        <f>"312032"</f>
        <v>312032</v>
      </c>
      <c r="B5388" t="str">
        <f>"Nut T-Slot 8 plastic ST/PA M5, IT00416.20"</f>
        <v>Nut T-Slot 8 plastic ST/PA M5, IT00416.20</v>
      </c>
      <c r="C5388" t="str">
        <f t="shared" si="218"/>
        <v>Active</v>
      </c>
    </row>
    <row r="5389" spans="1:3" ht="18" customHeight="1">
      <c r="A5389" t="str">
        <f>"312033"</f>
        <v>312033</v>
      </c>
      <c r="B5389" t="str">
        <f>"Foot Clamp D80-M16, IT0026530"</f>
        <v>Foot Clamp D80-M16, IT0026530</v>
      </c>
      <c r="C5389" t="str">
        <f t="shared" si="218"/>
        <v>Active</v>
      </c>
    </row>
    <row r="5390" spans="1:3" ht="18" customHeight="1">
      <c r="A5390" t="str">
        <f>"312034"</f>
        <v>312034</v>
      </c>
      <c r="B5390" t="str">
        <f>"Foot Clamp D60   IT439.37"</f>
        <v>Foot Clamp D60   IT439.37</v>
      </c>
      <c r="C5390" t="str">
        <f t="shared" si="218"/>
        <v>Active</v>
      </c>
    </row>
    <row r="5391" spans="1:3" ht="18" customHeight="1">
      <c r="A5391" t="str">
        <f>"312036"</f>
        <v>312036</v>
      </c>
      <c r="B5391" t="str">
        <f>"Limit Switch Holder D12   IT00.406.42"</f>
        <v>Limit Switch Holder D12   IT00.406.42</v>
      </c>
      <c r="C5391" t="str">
        <f t="shared" si="218"/>
        <v>Active</v>
      </c>
    </row>
    <row r="5392" spans="1:3" ht="18" customHeight="1">
      <c r="A5392" t="str">
        <f>"312037"</f>
        <v>312037</v>
      </c>
      <c r="B5392" t="str">
        <f>"T-Slot Nut V 8 St M6, IT00.480.50"</f>
        <v>T-Slot Nut V 8 St M6, IT00.480.50</v>
      </c>
      <c r="C5392" t="str">
        <f t="shared" si="218"/>
        <v>Active</v>
      </c>
    </row>
    <row r="5393" spans="1:3" ht="18" customHeight="1">
      <c r="A5393" t="str">
        <f>"312038"</f>
        <v>312038</v>
      </c>
      <c r="B5393" t="str">
        <f>"T-Slot Nut V 8 St M8, IT00480.48"</f>
        <v>T-Slot Nut V 8 St M8, IT00480.48</v>
      </c>
      <c r="C5393" t="str">
        <f t="shared" si="218"/>
        <v>Active</v>
      </c>
    </row>
    <row r="5394" spans="1:3" ht="18" customHeight="1">
      <c r="A5394" t="str">
        <f>"312039"</f>
        <v>312039</v>
      </c>
      <c r="B5394" t="str">
        <f>"Nut T-Slot 8 St M4   IT00480.57"</f>
        <v>Nut T-Slot 8 St M4   IT00480.57</v>
      </c>
      <c r="C5394" t="str">
        <f t="shared" si="218"/>
        <v>Active</v>
      </c>
    </row>
    <row r="5395" spans="1:3" ht="18" customHeight="1">
      <c r="A5395" t="str">
        <f>"312041"</f>
        <v>312041</v>
      </c>
      <c r="B5395" t="str">
        <f>"Base Plate 8/Transport M6 IT000.406.23, M16"</f>
        <v>Base Plate 8/Transport M6 IT000.406.23, M16</v>
      </c>
      <c r="C5395" t="str">
        <f t="shared" si="218"/>
        <v>Active</v>
      </c>
    </row>
    <row r="5396" spans="1:3" ht="18" customHeight="1">
      <c r="A5396" t="str">
        <f>"312042"</f>
        <v>312042</v>
      </c>
      <c r="B5396" t="str">
        <f>"Knuckle Foot D80, St.cast M16x100, 00.265.29"</f>
        <v>Knuckle Foot D80, St.cast M16x100, 00.265.29</v>
      </c>
      <c r="C5396" t="str">
        <f t="shared" si="218"/>
        <v>Active</v>
      </c>
    </row>
    <row r="5397" spans="1:3" ht="18" customHeight="1">
      <c r="A5397" t="str">
        <f>"312043"</f>
        <v>312043</v>
      </c>
      <c r="B5397" t="str">
        <f>"Angle ITEM Stiffener 80X80"</f>
        <v>Angle ITEM Stiffener 80X80</v>
      </c>
      <c r="C5397" t="str">
        <f>"New"</f>
        <v>New</v>
      </c>
    </row>
    <row r="5398" spans="1:3" ht="18" customHeight="1">
      <c r="A5398" t="str">
        <f>"312201"</f>
        <v>312201</v>
      </c>
      <c r="B5398" t="str">
        <f>"Helicoil -  M5x1D"</f>
        <v>Helicoil -  M5x1D</v>
      </c>
      <c r="C5398" t="str">
        <f t="shared" ref="C5398:C5429" si="219">"Active"</f>
        <v>Active</v>
      </c>
    </row>
    <row r="5399" spans="1:3" ht="18" customHeight="1">
      <c r="A5399" t="str">
        <f>"312202"</f>
        <v>312202</v>
      </c>
      <c r="B5399" t="str">
        <f>"Helical - M4 x 1D"</f>
        <v>Helical - M4 x 1D</v>
      </c>
      <c r="C5399" t="str">
        <f t="shared" si="219"/>
        <v>Active</v>
      </c>
    </row>
    <row r="5400" spans="1:3" ht="18" customHeight="1">
      <c r="A5400" t="str">
        <f>"312204"</f>
        <v>312204</v>
      </c>
      <c r="B5400" t="str">
        <f>"Helicoil - M4x1.5D"</f>
        <v>Helicoil - M4x1.5D</v>
      </c>
      <c r="C5400" t="str">
        <f t="shared" si="219"/>
        <v>Active</v>
      </c>
    </row>
    <row r="5401" spans="1:3" ht="18" customHeight="1">
      <c r="A5401" t="str">
        <f>"312207"</f>
        <v>312207</v>
      </c>
      <c r="B5401" t="str">
        <f>"Helicoil -  M5x1.5D"</f>
        <v>Helicoil -  M5x1.5D</v>
      </c>
      <c r="C5401" t="str">
        <f t="shared" si="219"/>
        <v>Active</v>
      </c>
    </row>
    <row r="5402" spans="1:3" ht="18" customHeight="1">
      <c r="A5402" t="str">
        <f>"313001"</f>
        <v>313001</v>
      </c>
      <c r="B5402" t="str">
        <f>"Washer - Flat Blk. M3, D7xd3.5x0.5"</f>
        <v>Washer - Flat Blk. M3, D7xd3.5x0.5</v>
      </c>
      <c r="C5402" t="str">
        <f t="shared" si="219"/>
        <v>Active</v>
      </c>
    </row>
    <row r="5403" spans="1:3" ht="18" customHeight="1">
      <c r="A5403" t="str">
        <f>"313002"</f>
        <v>313002</v>
      </c>
      <c r="B5403" t="str">
        <f>"Washer - Flat Blk. M3.5, D8xd3.7x0.5"</f>
        <v>Washer - Flat Blk. M3.5, D8xd3.7x0.5</v>
      </c>
      <c r="C5403" t="str">
        <f t="shared" si="219"/>
        <v>Active</v>
      </c>
    </row>
    <row r="5404" spans="1:3" ht="18" customHeight="1">
      <c r="A5404" t="str">
        <f>"313003"</f>
        <v>313003</v>
      </c>
      <c r="B5404" t="str">
        <f>"Nut Hex. Lock  - Zinc M4 x 5 DIN985"</f>
        <v>Nut Hex. Lock  - Zinc M4 x 5 DIN985</v>
      </c>
      <c r="C5404" t="str">
        <f t="shared" si="219"/>
        <v>Active</v>
      </c>
    </row>
    <row r="5405" spans="1:3" ht="18" customHeight="1">
      <c r="A5405" t="str">
        <f>"313004"</f>
        <v>313004</v>
      </c>
      <c r="B5405" t="str">
        <f>"Washer - Flat Blk.  #10   D10  xd5  x1.2"</f>
        <v>Washer - Flat Blk.  #10   D10  xd5  x1.2</v>
      </c>
      <c r="C5405" t="str">
        <f t="shared" si="219"/>
        <v>Active</v>
      </c>
    </row>
    <row r="5406" spans="1:3" ht="18" customHeight="1">
      <c r="A5406" t="str">
        <f>"313005"</f>
        <v>313005</v>
      </c>
      <c r="B5406" t="str">
        <f>"Washer - Flat Blk. M6, D12.5xd6.4x1.5"</f>
        <v>Washer - Flat Blk. M6, D12.5xd6.4x1.5</v>
      </c>
      <c r="C5406" t="str">
        <f t="shared" si="219"/>
        <v>Active</v>
      </c>
    </row>
    <row r="5407" spans="1:3" ht="18" customHeight="1">
      <c r="A5407" t="str">
        <f>"313006"</f>
        <v>313006</v>
      </c>
      <c r="B5407" t="str">
        <f>"Washer Flat Zinc M3   D7.0 x d3.2 x 0.5"</f>
        <v>Washer Flat Zinc M3   D7.0 x d3.2 x 0.5</v>
      </c>
      <c r="C5407" t="str">
        <f t="shared" si="219"/>
        <v>Active</v>
      </c>
    </row>
    <row r="5408" spans="1:3" ht="18" customHeight="1">
      <c r="A5408" t="str">
        <f>"313007"</f>
        <v>313007</v>
      </c>
      <c r="B5408" t="str">
        <f>"Washer - Flat Zinc M4 D9 x 4.3 x 0.8"</f>
        <v>Washer - Flat Zinc M4 D9 x 4.3 x 0.8</v>
      </c>
      <c r="C5408" t="str">
        <f t="shared" si="219"/>
        <v>Active</v>
      </c>
    </row>
    <row r="5409" spans="1:3" ht="18" customHeight="1">
      <c r="A5409" t="str">
        <f>"313008"</f>
        <v>313008</v>
      </c>
      <c r="B5409" t="str">
        <f>"Washer Flat Zinc M8 D17xd8.4x1.6"</f>
        <v>Washer Flat Zinc M8 D17xd8.4x1.6</v>
      </c>
      <c r="C5409" t="str">
        <f t="shared" si="219"/>
        <v>Active</v>
      </c>
    </row>
    <row r="5410" spans="1:3" ht="18" customHeight="1">
      <c r="A5410" t="str">
        <f>"313009"</f>
        <v>313009</v>
      </c>
      <c r="B5410" t="str">
        <f>"Washer - Flat Fiber  M4, D10.5xd4.3x1.5"</f>
        <v>Washer - Flat Fiber  M4, D10.5xd4.3x1.5</v>
      </c>
      <c r="C5410" t="str">
        <f t="shared" si="219"/>
        <v>Active</v>
      </c>
    </row>
    <row r="5411" spans="1:3" ht="18" customHeight="1">
      <c r="A5411" t="str">
        <f>"313010"</f>
        <v>313010</v>
      </c>
      <c r="B5411" t="str">
        <f>"Washer - Flat Fiber M3, D8xd1/8 x1"</f>
        <v>Washer - Flat Fiber M3, D8xd1/8 x1</v>
      </c>
      <c r="C5411" t="str">
        <f t="shared" si="219"/>
        <v>Active</v>
      </c>
    </row>
    <row r="5412" spans="1:3" ht="18" customHeight="1">
      <c r="A5412" t="str">
        <f>"313011"</f>
        <v>313011</v>
      </c>
      <c r="B5412" t="str">
        <f>"Washer-Flat Zinc D11/16xd5/16 x1.2"</f>
        <v>Washer-Flat Zinc D11/16xd5/16 x1.2</v>
      </c>
      <c r="C5412" t="str">
        <f t="shared" si="219"/>
        <v>Active</v>
      </c>
    </row>
    <row r="5413" spans="1:3" ht="18" customHeight="1">
      <c r="A5413" t="str">
        <f>"313012"</f>
        <v>313012</v>
      </c>
      <c r="B5413" t="str">
        <f>"Washer-Flat Blk., M5 D10xd5.3x1"</f>
        <v>Washer-Flat Blk., M5 D10xd5.3x1</v>
      </c>
      <c r="C5413" t="str">
        <f t="shared" si="219"/>
        <v>Active</v>
      </c>
    </row>
    <row r="5414" spans="1:3" ht="18" customHeight="1">
      <c r="A5414" t="str">
        <f>"313013"</f>
        <v>313013</v>
      </c>
      <c r="B5414" t="str">
        <f>"Washer-Flat Blk. M8, D17xd8.4x1.6"</f>
        <v>Washer-Flat Blk. M8, D17xd8.4x1.6</v>
      </c>
      <c r="C5414" t="str">
        <f t="shared" si="219"/>
        <v>Active</v>
      </c>
    </row>
    <row r="5415" spans="1:3" ht="18" customHeight="1">
      <c r="A5415" t="str">
        <f>"313014"</f>
        <v>313014</v>
      </c>
      <c r="B5415" t="str">
        <f>"Washer - Flat Zinc. M8, D19 x d8.5 x 2.5"</f>
        <v>Washer - Flat Zinc. M8, D19 x d8.5 x 2.5</v>
      </c>
      <c r="C5415" t="str">
        <f t="shared" si="219"/>
        <v>Active</v>
      </c>
    </row>
    <row r="5416" spans="1:3" ht="18" customHeight="1">
      <c r="A5416" t="str">
        <f>"313015"</f>
        <v>313015</v>
      </c>
      <c r="B5416" t="str">
        <f>"Washer-Flat Blk. M10 D20xd10x2"</f>
        <v>Washer-Flat Blk. M10 D20xd10x2</v>
      </c>
      <c r="C5416" t="str">
        <f t="shared" si="219"/>
        <v>Active</v>
      </c>
    </row>
    <row r="5417" spans="1:3" ht="18" customHeight="1">
      <c r="A5417" t="str">
        <f>"313016"</f>
        <v>313016</v>
      </c>
      <c r="B5417" t="str">
        <f>"Washer - Flat Zinc  5/16"", 2.5mm thick. (BN 732)"</f>
        <v>Washer - Flat Zinc  5/16", 2.5mm thick. (BN 732)</v>
      </c>
      <c r="C5417" t="str">
        <f t="shared" si="219"/>
        <v>Active</v>
      </c>
    </row>
    <row r="5418" spans="1:3" ht="18" customHeight="1">
      <c r="A5418" t="str">
        <f>"313017"</f>
        <v>313017</v>
      </c>
      <c r="B5418" t="str">
        <f>"Washer-Flat Zinc M5, D10.5xd5.3x1"</f>
        <v>Washer-Flat Zinc M5, D10.5xd5.3x1</v>
      </c>
      <c r="C5418" t="str">
        <f t="shared" si="219"/>
        <v>Active</v>
      </c>
    </row>
    <row r="5419" spans="1:3" ht="18" customHeight="1">
      <c r="A5419" t="str">
        <f>"313018"</f>
        <v>313018</v>
      </c>
      <c r="B5419" t="str">
        <f>"Washer-Flat Zinc. M6, D16 x d6.4 x 1.6"</f>
        <v>Washer-Flat Zinc. M6, D16 x d6.4 x 1.6</v>
      </c>
      <c r="C5419" t="str">
        <f t="shared" si="219"/>
        <v>Active</v>
      </c>
    </row>
    <row r="5420" spans="1:3" ht="18" customHeight="1">
      <c r="A5420" t="str">
        <f>"313019"</f>
        <v>313019</v>
      </c>
      <c r="B5420" t="str">
        <f>"Washer-Flat  St.St. M6, D12xd6.4x1.6 DIN125"</f>
        <v>Washer-Flat  St.St. M6, D12xd6.4x1.6 DIN125</v>
      </c>
      <c r="C5420" t="str">
        <f t="shared" si="219"/>
        <v>Active</v>
      </c>
    </row>
    <row r="5421" spans="1:3" ht="18" customHeight="1">
      <c r="A5421" t="str">
        <f>"313021"</f>
        <v>313021</v>
      </c>
      <c r="B5421" t="str">
        <f>"Washer-Flat  St.St.ID=5.3,OD=10,S=1"</f>
        <v>Washer-Flat  St.St.ID=5.3,OD=10,S=1</v>
      </c>
      <c r="C5421" t="str">
        <f t="shared" si="219"/>
        <v>Active</v>
      </c>
    </row>
    <row r="5422" spans="1:3" ht="18" customHeight="1">
      <c r="A5422" t="str">
        <f>"313022"</f>
        <v>313022</v>
      </c>
      <c r="B5422" t="str">
        <f>"Washer - Flat Blk. M5, D12 x d5.3 x 1"</f>
        <v>Washer - Flat Blk. M5, D12 x d5.3 x 1</v>
      </c>
      <c r="C5422" t="str">
        <f t="shared" si="219"/>
        <v>Active</v>
      </c>
    </row>
    <row r="5423" spans="1:3" ht="18" customHeight="1">
      <c r="A5423" t="str">
        <f>"313023"</f>
        <v>313023</v>
      </c>
      <c r="B5423" t="str">
        <f>"Washer-Flat Zinc M16 D30 x d17x 3"</f>
        <v>Washer-Flat Zinc M16 D30 x d17x 3</v>
      </c>
      <c r="C5423" t="str">
        <f t="shared" si="219"/>
        <v>Active</v>
      </c>
    </row>
    <row r="5424" spans="1:3" ht="18" customHeight="1">
      <c r="A5424" t="str">
        <f>"313024"</f>
        <v>313024</v>
      </c>
      <c r="B5424" t="str">
        <f>"Washer - Flat Fiber  M4, D8xd4.3x1.5"</f>
        <v>Washer - Flat Fiber  M4, D8xd4.3x1.5</v>
      </c>
      <c r="C5424" t="str">
        <f t="shared" si="219"/>
        <v>Active</v>
      </c>
    </row>
    <row r="5425" spans="1:3" ht="18" customHeight="1">
      <c r="A5425" t="str">
        <f>"313025"</f>
        <v>313025</v>
      </c>
      <c r="B5425" t="str">
        <f>"Washer- Flat  St.St. M5 D15 x d5.3 x 1.2"</f>
        <v>Washer- Flat  St.St. M5 D15 x d5.3 x 1.2</v>
      </c>
      <c r="C5425" t="str">
        <f t="shared" si="219"/>
        <v>Active</v>
      </c>
    </row>
    <row r="5426" spans="1:3" ht="18" customHeight="1">
      <c r="A5426" t="str">
        <f>"313026"</f>
        <v>313026</v>
      </c>
      <c r="B5426" t="str">
        <f>"Washer - Flat Fiber  M5, D10xd5.2x1.5"</f>
        <v>Washer - Flat Fiber  M5, D10xd5.2x1.5</v>
      </c>
      <c r="C5426" t="str">
        <f t="shared" si="219"/>
        <v>Active</v>
      </c>
    </row>
    <row r="5427" spans="1:3" ht="18" customHeight="1">
      <c r="A5427" t="str">
        <f>"313027"</f>
        <v>313027</v>
      </c>
      <c r="B5427" t="str">
        <f>"Washer - Flat Blk.  M12"</f>
        <v>Washer - Flat Blk.  M12</v>
      </c>
      <c r="C5427" t="str">
        <f t="shared" si="219"/>
        <v>Active</v>
      </c>
    </row>
    <row r="5428" spans="1:3" ht="18" customHeight="1">
      <c r="A5428" t="str">
        <f>"314001"</f>
        <v>314001</v>
      </c>
      <c r="B5428" t="str">
        <f>"Washer - Spring Zinc 4-40"</f>
        <v>Washer - Spring Zinc 4-40</v>
      </c>
      <c r="C5428" t="str">
        <f t="shared" si="219"/>
        <v>Active</v>
      </c>
    </row>
    <row r="5429" spans="1:3" ht="18" customHeight="1">
      <c r="A5429" t="str">
        <f>"314002"</f>
        <v>314002</v>
      </c>
      <c r="B5429" t="str">
        <f>"Washer - Spring Blk.   M3"</f>
        <v>Washer - Spring Blk.   M3</v>
      </c>
      <c r="C5429" t="str">
        <f t="shared" si="219"/>
        <v>Active</v>
      </c>
    </row>
    <row r="5430" spans="1:3" ht="18" customHeight="1">
      <c r="A5430" t="str">
        <f>"314003"</f>
        <v>314003</v>
      </c>
      <c r="B5430" t="str">
        <f>"Washer - Spring Blk.  UN#6"</f>
        <v>Washer - Spring Blk.  UN#6</v>
      </c>
      <c r="C5430" t="str">
        <f t="shared" ref="C5430:C5448" si="220">"Active"</f>
        <v>Active</v>
      </c>
    </row>
    <row r="5431" spans="1:3" ht="18" customHeight="1">
      <c r="A5431" t="str">
        <f>"314004"</f>
        <v>314004</v>
      </c>
      <c r="B5431" t="str">
        <f>"Washer - Spring Blk. M4 8-32"</f>
        <v>Washer - Spring Blk. M4 8-32</v>
      </c>
      <c r="C5431" t="str">
        <f t="shared" si="220"/>
        <v>Active</v>
      </c>
    </row>
    <row r="5432" spans="1:3" ht="18" customHeight="1">
      <c r="A5432" t="str">
        <f>"314005"</f>
        <v>314005</v>
      </c>
      <c r="B5432" t="str">
        <f>"Washer - Spring Blk. 10-32"</f>
        <v>Washer - Spring Blk. 10-32</v>
      </c>
      <c r="C5432" t="str">
        <f t="shared" si="220"/>
        <v>Active</v>
      </c>
    </row>
    <row r="5433" spans="1:3" ht="18" customHeight="1">
      <c r="A5433" t="str">
        <f>"314006"</f>
        <v>314006</v>
      </c>
      <c r="B5433" t="str">
        <f>"Washer-Spring Blk.  ""¼#UN"</f>
        <v>Washer-Spring Blk.  "¼#UN</v>
      </c>
      <c r="C5433" t="str">
        <f t="shared" si="220"/>
        <v>Active</v>
      </c>
    </row>
    <row r="5434" spans="1:3" ht="18" customHeight="1">
      <c r="A5434" t="str">
        <f>"314007"</f>
        <v>314007</v>
      </c>
      <c r="B5434" t="str">
        <f>"Washer-Bellville Blk. M10    D20 x d10 x 0.5"</f>
        <v>Washer-Bellville Blk. M10    D20 x d10 x 0.5</v>
      </c>
      <c r="C5434" t="str">
        <f t="shared" si="220"/>
        <v>Active</v>
      </c>
    </row>
    <row r="5435" spans="1:3" ht="18" customHeight="1">
      <c r="A5435" t="str">
        <f>"314009"</f>
        <v>314009</v>
      </c>
      <c r="B5435" t="str">
        <f>"Washer - Spring Blk.  M6"</f>
        <v>Washer - Spring Blk.  M6</v>
      </c>
      <c r="C5435" t="str">
        <f t="shared" si="220"/>
        <v>Active</v>
      </c>
    </row>
    <row r="5436" spans="1:3" ht="18" customHeight="1">
      <c r="A5436" t="str">
        <f>"314011"</f>
        <v>314011</v>
      </c>
      <c r="B5436" t="str">
        <f>"Washer - Spring Blk.  M5"</f>
        <v>Washer - Spring Blk.  M5</v>
      </c>
      <c r="C5436" t="str">
        <f t="shared" si="220"/>
        <v>Active</v>
      </c>
    </row>
    <row r="5437" spans="1:3" ht="18" customHeight="1">
      <c r="A5437" t="str">
        <f>"314012"</f>
        <v>314012</v>
      </c>
      <c r="B5437" t="str">
        <f>"Washer-Bellvile Blk.   M4   D8 x d4.2 x 0.3"</f>
        <v>Washer-Bellvile Blk.   M4   D8 x d4.2 x 0.3</v>
      </c>
      <c r="C5437" t="str">
        <f t="shared" si="220"/>
        <v>Active</v>
      </c>
    </row>
    <row r="5438" spans="1:3" ht="18" customHeight="1">
      <c r="A5438" t="str">
        <f>"314013"</f>
        <v>314013</v>
      </c>
      <c r="B5438" t="str">
        <f>"Washer - Spring Blk.   UN#4   0.6mm"</f>
        <v>Washer - Spring Blk.   UN#4   0.6mm</v>
      </c>
      <c r="C5438" t="str">
        <f t="shared" si="220"/>
        <v>Active</v>
      </c>
    </row>
    <row r="5439" spans="1:3" ht="18" customHeight="1">
      <c r="A5439" t="str">
        <f>"314014"</f>
        <v>314014</v>
      </c>
      <c r="B5439" t="str">
        <f>"Washer - Spring twist  Blk.   M6   Type B"</f>
        <v>Washer - Spring twist  Blk.   M6   Type B</v>
      </c>
      <c r="C5439" t="str">
        <f t="shared" si="220"/>
        <v>Active</v>
      </c>
    </row>
    <row r="5440" spans="1:3" ht="18" customHeight="1">
      <c r="A5440" t="str">
        <f>"314015"</f>
        <v>314015</v>
      </c>
      <c r="B5440" t="str">
        <f>"Washer Ribbed lock    M4"</f>
        <v>Washer Ribbed lock    M4</v>
      </c>
      <c r="C5440" t="str">
        <f t="shared" si="220"/>
        <v>Active</v>
      </c>
    </row>
    <row r="5441" spans="1:3" ht="18" customHeight="1">
      <c r="A5441" t="str">
        <f>"314016"</f>
        <v>314016</v>
      </c>
      <c r="B5441" t="str">
        <f>"Washer Ribbed lock    M5"</f>
        <v>Washer Ribbed lock    M5</v>
      </c>
      <c r="C5441" t="str">
        <f t="shared" si="220"/>
        <v>Active</v>
      </c>
    </row>
    <row r="5442" spans="1:3" ht="18" customHeight="1">
      <c r="A5442" t="str">
        <f>"314017"</f>
        <v>314017</v>
      </c>
      <c r="B5442" t="str">
        <f>"Washer Ribbed lock    M6"</f>
        <v>Washer Ribbed lock    M6</v>
      </c>
      <c r="C5442" t="str">
        <f t="shared" si="220"/>
        <v>Active</v>
      </c>
    </row>
    <row r="5443" spans="1:3" ht="18" customHeight="1">
      <c r="A5443" t="str">
        <f>"314018"</f>
        <v>314018</v>
      </c>
      <c r="B5443" t="str">
        <f>"Washer-Bellvile Blk. M5, D10xd5.2x0.4"</f>
        <v>Washer-Bellvile Blk. M5, D10xd5.2x0.4</v>
      </c>
      <c r="C5443" t="str">
        <f t="shared" si="220"/>
        <v>Active</v>
      </c>
    </row>
    <row r="5444" spans="1:3" ht="18" customHeight="1">
      <c r="A5444" t="str">
        <f>"314019"</f>
        <v>314019</v>
      </c>
      <c r="B5444" t="str">
        <f>"Washer - Spring Blk.  M8"</f>
        <v>Washer - Spring Blk.  M8</v>
      </c>
      <c r="C5444" t="str">
        <f t="shared" si="220"/>
        <v>Active</v>
      </c>
    </row>
    <row r="5445" spans="1:3" ht="18" customHeight="1">
      <c r="A5445" t="str">
        <f>"314020"</f>
        <v>314020</v>
      </c>
      <c r="B5445" t="str">
        <f>"Washer - Spring Blk.  M10"</f>
        <v>Washer - Spring Blk.  M10</v>
      </c>
      <c r="C5445" t="str">
        <f t="shared" si="220"/>
        <v>Active</v>
      </c>
    </row>
    <row r="5446" spans="1:3" ht="18" customHeight="1">
      <c r="A5446" t="str">
        <f>"314021"</f>
        <v>314021</v>
      </c>
      <c r="B5446" t="str">
        <f>"Washer - Spring Blk.   M12"</f>
        <v>Washer - Spring Blk.   M12</v>
      </c>
      <c r="C5446" t="str">
        <f t="shared" si="220"/>
        <v>Active</v>
      </c>
    </row>
    <row r="5447" spans="1:3" ht="18" customHeight="1">
      <c r="A5447" t="str">
        <f>"314022"</f>
        <v>314022</v>
      </c>
      <c r="B5447" t="str">
        <f>"148-3-21 Shim Ring 1/4"" d=6.4,D=12.7, S=0.1mm"</f>
        <v>148-3-21 Shim Ring 1/4" d=6.4,D=12.7, S=0.1mm</v>
      </c>
      <c r="C5447" t="str">
        <f t="shared" si="220"/>
        <v>Active</v>
      </c>
    </row>
    <row r="5448" spans="1:3" ht="18" customHeight="1">
      <c r="A5448" t="str">
        <f>"314501"</f>
        <v>314501</v>
      </c>
      <c r="B5448" t="str">
        <f>"Washer Bearing Lock    M10 AW00X"</f>
        <v>Washer Bearing Lock    M10 AW00X</v>
      </c>
      <c r="C5448" t="str">
        <f t="shared" si="220"/>
        <v>Active</v>
      </c>
    </row>
    <row r="5449" spans="1:3" ht="18" customHeight="1">
      <c r="A5449" t="str">
        <f>"314501-10"</f>
        <v>314501-10</v>
      </c>
      <c r="B5449" t="str">
        <f>"Washer Bearing Lock    M10 AW00X"</f>
        <v>Washer Bearing Lock    M10 AW00X</v>
      </c>
      <c r="C5449" t="str">
        <f>"Not for sale"</f>
        <v>Not for sale</v>
      </c>
    </row>
    <row r="5450" spans="1:3" ht="18" customHeight="1">
      <c r="A5450" t="str">
        <f>"314502"</f>
        <v>314502</v>
      </c>
      <c r="B5450" t="str">
        <f>"Washer-Ext. Teeth Blk. M3 D6xd3.3 x 0.4"</f>
        <v>Washer-Ext. Teeth Blk. M3 D6xd3.3 x 0.4</v>
      </c>
      <c r="C5450" t="str">
        <f t="shared" ref="C5450:C5467" si="221">"Active"</f>
        <v>Active</v>
      </c>
    </row>
    <row r="5451" spans="1:3" ht="18" customHeight="1">
      <c r="A5451" t="str">
        <f>"314503"</f>
        <v>314503</v>
      </c>
      <c r="B5451" t="str">
        <f>"Washer-Ext. Teeth Blk. M2, D4.5xd2.2x0.3"</f>
        <v>Washer-Ext. Teeth Blk. M2, D4.5xd2.2x0.3</v>
      </c>
      <c r="C5451" t="str">
        <f t="shared" si="221"/>
        <v>Active</v>
      </c>
    </row>
    <row r="5452" spans="1:3" ht="18" customHeight="1">
      <c r="A5452" t="str">
        <f>"314504"</f>
        <v>314504</v>
      </c>
      <c r="B5452" t="str">
        <f>"Washer - Ext. Teeth, Zinc  M3   D6 x d3.2 x 0.4"</f>
        <v>Washer - Ext. Teeth, Zinc  M3   D6 x d3.2 x 0.4</v>
      </c>
      <c r="C5452" t="str">
        <f t="shared" si="221"/>
        <v>Active</v>
      </c>
    </row>
    <row r="5453" spans="1:3" ht="18" customHeight="1">
      <c r="A5453" t="str">
        <f>"314505"</f>
        <v>314505</v>
      </c>
      <c r="B5453" t="str">
        <f>"Washer - Ext. Teeth, Zinc M4, D8xd4.3x0.5"</f>
        <v>Washer - Ext. Teeth, Zinc M4, D8xd4.3x0.5</v>
      </c>
      <c r="C5453" t="str">
        <f t="shared" si="221"/>
        <v>Active</v>
      </c>
    </row>
    <row r="5454" spans="1:3" ht="18" customHeight="1">
      <c r="A5454" t="str">
        <f>"314506"</f>
        <v>314506</v>
      </c>
      <c r="B5454" t="str">
        <f>"Washer - Ext. Teeth, Blk. NC6   D6.7xd3.7x0.4"</f>
        <v>Washer - Ext. Teeth, Blk. NC6   D6.7xd3.7x0.4</v>
      </c>
      <c r="C5454" t="str">
        <f t="shared" si="221"/>
        <v>Active</v>
      </c>
    </row>
    <row r="5455" spans="1:3" ht="18" customHeight="1">
      <c r="A5455" t="str">
        <f>"314507"</f>
        <v>314507</v>
      </c>
      <c r="B5455" t="str">
        <f>"Washer - Ext. Teeth, Zinc NC4  D5.3 x d2.7 x 0.4"</f>
        <v>Washer - Ext. Teeth, Zinc NC4  D5.3 x d2.7 x 0.4</v>
      </c>
      <c r="C5455" t="str">
        <f t="shared" si="221"/>
        <v>Active</v>
      </c>
    </row>
    <row r="5456" spans="1:3" ht="18" customHeight="1">
      <c r="A5456" t="str">
        <f>"314508"</f>
        <v>314508</v>
      </c>
      <c r="B5456" t="str">
        <f>"Washer - Int. Teeth, Blk.  M5  D10 x d5.3 x 0.6"</f>
        <v>Washer - Int. Teeth, Blk.  M5  D10 x d5.3 x 0.6</v>
      </c>
      <c r="C5456" t="str">
        <f t="shared" si="221"/>
        <v>Active</v>
      </c>
    </row>
    <row r="5457" spans="1:3" ht="18" customHeight="1">
      <c r="A5457" t="str">
        <f>"314509"</f>
        <v>314509</v>
      </c>
      <c r="B5457" t="str">
        <f>"Washer - Int. Teeth, Blk. M4, D8 x d4.3 x 0.5"</f>
        <v>Washer - Int. Teeth, Blk. M4, D8 x d4.3 x 0.5</v>
      </c>
      <c r="C5457" t="str">
        <f t="shared" si="221"/>
        <v>Active</v>
      </c>
    </row>
    <row r="5458" spans="1:3" ht="18" customHeight="1">
      <c r="A5458" t="str">
        <f>"314510"</f>
        <v>314510</v>
      </c>
      <c r="B5458" t="str">
        <f>"Washer - Int. Teeth, Blk.   M6  D11x d6.4 x 0.7"</f>
        <v>Washer - Int. Teeth, Blk.   M6  D11x d6.4 x 0.7</v>
      </c>
      <c r="C5458" t="str">
        <f t="shared" si="221"/>
        <v>Active</v>
      </c>
    </row>
    <row r="5459" spans="1:3" ht="18" customHeight="1">
      <c r="A5459" t="str">
        <f>"314512"</f>
        <v>314512</v>
      </c>
      <c r="B5459" t="str">
        <f>"Washer - Ext. Teeth, Zinc   M6  D11x d6.4 x 0.7"</f>
        <v>Washer - Ext. Teeth, Zinc   M6  D11x d6.4 x 0.7</v>
      </c>
      <c r="C5459" t="str">
        <f t="shared" si="221"/>
        <v>Active</v>
      </c>
    </row>
    <row r="5460" spans="1:3" ht="18" customHeight="1">
      <c r="A5460" t="str">
        <f>"314513"</f>
        <v>314513</v>
      </c>
      <c r="B5460" t="str">
        <f>"Washer Bearing Lock M12(MB1)Magnesium phosphat"</f>
        <v>Washer Bearing Lock M12(MB1)Magnesium phosphat</v>
      </c>
      <c r="C5460" t="str">
        <f t="shared" si="221"/>
        <v>Active</v>
      </c>
    </row>
    <row r="5461" spans="1:3" ht="18" customHeight="1">
      <c r="A5461" t="str">
        <f>"314513-10"</f>
        <v>314513-10</v>
      </c>
      <c r="B5461" t="str">
        <f>"Washer Bearing Lock  M12 (MB1)"</f>
        <v>Washer Bearing Lock  M12 (MB1)</v>
      </c>
      <c r="C5461" t="str">
        <f t="shared" si="221"/>
        <v>Active</v>
      </c>
    </row>
    <row r="5462" spans="1:3" ht="18" customHeight="1">
      <c r="A5462" t="str">
        <f>"314514"</f>
        <v>314514</v>
      </c>
      <c r="B5462" t="str">
        <f>"Washer-Ext. Teeth, Zinc M5, D9xd5.3x0.6"</f>
        <v>Washer-Ext. Teeth, Zinc M5, D9xd5.3x0.6</v>
      </c>
      <c r="C5462" t="str">
        <f t="shared" si="221"/>
        <v>Active</v>
      </c>
    </row>
    <row r="5463" spans="1:3" ht="18" customHeight="1">
      <c r="A5463" t="str">
        <f>"315002"</f>
        <v>315002</v>
      </c>
      <c r="B5463" t="str">
        <f>"Spacer Nylon White- ID=3.5, OD=6.35 ,L=8mm"</f>
        <v>Spacer Nylon White- ID=3.5, OD=6.35 ,L=8mm</v>
      </c>
      <c r="C5463" t="str">
        <f t="shared" si="221"/>
        <v>Active</v>
      </c>
    </row>
    <row r="5464" spans="1:3" ht="18" customHeight="1">
      <c r="A5464" t="str">
        <f>"315007"</f>
        <v>315007</v>
      </c>
      <c r="B5464" t="str">
        <f>"Spacer Nylon White -ID=3.6, OD=7, L=7.2mm"</f>
        <v>Spacer Nylon White -ID=3.6, OD=7, L=7.2mm</v>
      </c>
      <c r="C5464" t="str">
        <f t="shared" si="221"/>
        <v>Active</v>
      </c>
    </row>
    <row r="5465" spans="1:3" ht="18" customHeight="1">
      <c r="A5465" t="str">
        <f>"315008"</f>
        <v>315008</v>
      </c>
      <c r="B5465" t="str">
        <f>"Spacer Nylon White -ID=3.6, OD=7, L=6.4mm"</f>
        <v>Spacer Nylon White -ID=3.6, OD=7, L=6.4mm</v>
      </c>
      <c r="C5465" t="str">
        <f t="shared" si="221"/>
        <v>Active</v>
      </c>
    </row>
    <row r="5466" spans="1:3" ht="18" customHeight="1">
      <c r="A5466" t="str">
        <f>"315009"</f>
        <v>315009</v>
      </c>
      <c r="B5466" t="str">
        <f>"Spacer Nylon White ID=5, OD=10, L=0.8mm"</f>
        <v>Spacer Nylon White ID=5, OD=10, L=0.8mm</v>
      </c>
      <c r="C5466" t="str">
        <f t="shared" si="221"/>
        <v>Active</v>
      </c>
    </row>
    <row r="5467" spans="1:3" ht="18" customHeight="1">
      <c r="A5467" t="str">
        <f>"315010"</f>
        <v>315010</v>
      </c>
      <c r="B5467" t="str">
        <f>"Spacer Delarin White ID=6.1, OD=8, L=5.3mm"</f>
        <v>Spacer Delarin White ID=6.1, OD=8, L=5.3mm</v>
      </c>
      <c r="C5467" t="str">
        <f t="shared" si="221"/>
        <v>Active</v>
      </c>
    </row>
    <row r="5468" spans="1:3" ht="18" customHeight="1">
      <c r="A5468" t="str">
        <f>"315011"</f>
        <v>315011</v>
      </c>
      <c r="B5468" t="str">
        <f>"Spacer Nylon Black-ID=4.5, OD=8, L=5mm"</f>
        <v>Spacer Nylon Black-ID=4.5, OD=8, L=5mm</v>
      </c>
      <c r="C5468" t="str">
        <f>"Phase Out"</f>
        <v>Phase Out</v>
      </c>
    </row>
    <row r="5469" spans="1:3" ht="18" customHeight="1">
      <c r="A5469" t="str">
        <f>"315012"</f>
        <v>315012</v>
      </c>
      <c r="B5469" t="str">
        <f>"Spacer Nylon White-ID=4.3, OD6.35, L=12.7mm"</f>
        <v>Spacer Nylon White-ID=4.3, OD6.35, L=12.7mm</v>
      </c>
      <c r="C5469" t="str">
        <f>"Active"</f>
        <v>Active</v>
      </c>
    </row>
    <row r="5470" spans="1:3" ht="18" customHeight="1">
      <c r="A5470" t="str">
        <f>"315014"</f>
        <v>315014</v>
      </c>
      <c r="B5470" t="str">
        <f>"Spacer Delarin Black -ID=6.1, OD=8.5,L=6mm"</f>
        <v>Spacer Delarin Black -ID=6.1, OD=8.5,L=6mm</v>
      </c>
      <c r="C5470" t="str">
        <f>"Active"</f>
        <v>Active</v>
      </c>
    </row>
    <row r="5471" spans="1:3" ht="18" customHeight="1">
      <c r="A5471" t="str">
        <f>"315015"</f>
        <v>315015</v>
      </c>
      <c r="B5471" t="str">
        <f>"Spacer Rect. with 3 Holes - 14 x 12"</f>
        <v>Spacer Rect. with 3 Holes - 14 x 12</v>
      </c>
      <c r="C5471" t="str">
        <f>"Active"</f>
        <v>Active</v>
      </c>
    </row>
    <row r="5472" spans="1:3" ht="18" customHeight="1">
      <c r="A5472" t="str">
        <f>"315016"</f>
        <v>315016</v>
      </c>
      <c r="B5472" t="str">
        <f>"Nylon Spacer White ID=4.34, OD=6.3, L=8mm"</f>
        <v>Nylon Spacer White ID=4.34, OD=6.3, L=8mm</v>
      </c>
      <c r="C5472" t="str">
        <f>"ECO-N2Buy"</f>
        <v>ECO-N2Buy</v>
      </c>
    </row>
    <row r="5473" spans="1:3" ht="18" customHeight="1">
      <c r="A5473" t="str">
        <f>"315017"</f>
        <v>315017</v>
      </c>
      <c r="B5473" t="str">
        <f>"Spacer Nylon Black ID=5.3, OD=9.5,L=3.8mm"</f>
        <v>Spacer Nylon Black ID=5.3, OD=9.5,L=3.8mm</v>
      </c>
      <c r="C5473" t="str">
        <f>"Phase Out"</f>
        <v>Phase Out</v>
      </c>
    </row>
    <row r="5474" spans="1:3" ht="18" customHeight="1">
      <c r="A5474" t="str">
        <f>"315018"</f>
        <v>315018</v>
      </c>
      <c r="B5474" t="str">
        <f>"PVC adaptor for Camera, new camera"</f>
        <v>PVC adaptor for Camera, new camera</v>
      </c>
      <c r="C5474" t="str">
        <f t="shared" ref="C5474:C5520" si="222">"Active"</f>
        <v>Active</v>
      </c>
    </row>
    <row r="5475" spans="1:3" ht="18" customHeight="1">
      <c r="A5475" t="str">
        <f>"315201"</f>
        <v>315201</v>
      </c>
      <c r="B5475" t="str">
        <f>"Flange Pulley   D 2-1/4""  x d 1.701"""</f>
        <v>Flange Pulley   D 2-1/4"  x d 1.701"</v>
      </c>
      <c r="C5475" t="str">
        <f t="shared" si="222"/>
        <v>Active</v>
      </c>
    </row>
    <row r="5476" spans="1:3" ht="18" customHeight="1">
      <c r="A5476" t="str">
        <f>"315202"</f>
        <v>315202</v>
      </c>
      <c r="B5476" t="str">
        <f>"Flange Pulley   D 1-11/16""  x d 1.222"""</f>
        <v>Flange Pulley   D 1-11/16"  x d 1.222"</v>
      </c>
      <c r="C5476" t="str">
        <f t="shared" si="222"/>
        <v>Active</v>
      </c>
    </row>
    <row r="5477" spans="1:3" ht="18" customHeight="1">
      <c r="A5477" t="str">
        <f>"315203"</f>
        <v>315203</v>
      </c>
      <c r="B5477" t="str">
        <f>"Flange Pulley D14.7x d8.18x0.64, A6A 50-16FA"</f>
        <v>Flange Pulley D14.7x d8.18x0.64, A6A 50-16FA</v>
      </c>
      <c r="C5477" t="str">
        <f t="shared" si="222"/>
        <v>Active</v>
      </c>
    </row>
    <row r="5478" spans="1:3" ht="18" customHeight="1">
      <c r="A5478" t="str">
        <f>"315204"</f>
        <v>315204</v>
      </c>
      <c r="B5478" t="str">
        <f>"Flange Pulley   D16.1 x d9.5 x 1"</f>
        <v>Flange Pulley   D16.1 x d9.5 x 1</v>
      </c>
      <c r="C5478" t="str">
        <f t="shared" si="222"/>
        <v>Active</v>
      </c>
    </row>
    <row r="5479" spans="1:3" ht="18" customHeight="1">
      <c r="A5479" t="str">
        <f>"315205"</f>
        <v>315205</v>
      </c>
      <c r="B5479" t="str">
        <f>"MXL Pulley Flange D24xd15.9x1.32, A6A5M030FA"</f>
        <v>MXL Pulley Flange D24xd15.9x1.32, A6A5M030FA</v>
      </c>
      <c r="C5479" t="str">
        <f t="shared" si="222"/>
        <v>Active</v>
      </c>
    </row>
    <row r="5480" spans="1:3" ht="18" customHeight="1">
      <c r="A5480" t="str">
        <f>"316001"</f>
        <v>316001</v>
      </c>
      <c r="B5480" t="str">
        <f>"Ring Retaining - External   D 8   DIN471"</f>
        <v>Ring Retaining - External   D 8   DIN471</v>
      </c>
      <c r="C5480" t="str">
        <f t="shared" si="222"/>
        <v>Active</v>
      </c>
    </row>
    <row r="5481" spans="1:3" ht="18" customHeight="1">
      <c r="A5481" t="str">
        <f>"316003"</f>
        <v>316003</v>
      </c>
      <c r="B5481" t="str">
        <f>"Ring Retaining - External   D 10  DIN471"</f>
        <v>Ring Retaining - External   D 10  DIN471</v>
      </c>
      <c r="C5481" t="str">
        <f t="shared" si="222"/>
        <v>Active</v>
      </c>
    </row>
    <row r="5482" spans="1:3" ht="18" customHeight="1">
      <c r="A5482" t="str">
        <f>"316004"</f>
        <v>316004</v>
      </c>
      <c r="B5482" t="str">
        <f>"Ring Retaining - External   D 12  DIN471"</f>
        <v>Ring Retaining - External   D 12  DIN471</v>
      </c>
      <c r="C5482" t="str">
        <f t="shared" si="222"/>
        <v>Active</v>
      </c>
    </row>
    <row r="5483" spans="1:3" ht="18" customHeight="1">
      <c r="A5483" t="str">
        <f>"316006"</f>
        <v>316006</v>
      </c>
      <c r="B5483" t="str">
        <f>"E-Ring for ShaftD=0.125"", 9Q29-12A"</f>
        <v>E-Ring for ShaftD=0.125", 9Q29-12A</v>
      </c>
      <c r="C5483" t="str">
        <f t="shared" si="222"/>
        <v>Active</v>
      </c>
    </row>
    <row r="5484" spans="1:3" ht="18" customHeight="1">
      <c r="A5484" t="str">
        <f>"316008"</f>
        <v>316008</v>
      </c>
      <c r="B5484" t="str">
        <f>"V-Retaining Ring-External D12 Type A, BN829"</f>
        <v>V-Retaining Ring-External D12 Type A, BN829</v>
      </c>
      <c r="C5484" t="str">
        <f t="shared" si="222"/>
        <v>Active</v>
      </c>
    </row>
    <row r="5485" spans="1:3" ht="18" customHeight="1">
      <c r="A5485" t="str">
        <f>"316009"</f>
        <v>316009</v>
      </c>
      <c r="B5485" t="str">
        <f>"Quick lock  D 3    BN833"</f>
        <v>Quick lock  D 3    BN833</v>
      </c>
      <c r="C5485" t="str">
        <f t="shared" si="222"/>
        <v>Active</v>
      </c>
    </row>
    <row r="5486" spans="1:3" ht="18" customHeight="1">
      <c r="A5486" t="str">
        <f>"316010"</f>
        <v>316010</v>
      </c>
      <c r="B5486" t="str">
        <f>"E-Ring for Shaft  D 5.5   BN813"</f>
        <v>E-Ring for Shaft  D 5.5   BN813</v>
      </c>
      <c r="C5486" t="str">
        <f t="shared" si="222"/>
        <v>Active</v>
      </c>
    </row>
    <row r="5487" spans="1:3" ht="18" customHeight="1">
      <c r="A5487" t="str">
        <f>"316011"</f>
        <v>316011</v>
      </c>
      <c r="B5487" t="str">
        <f>"Ring Retaining - External  D 5   DIN 6799"</f>
        <v>Ring Retaining - External  D 5   DIN 6799</v>
      </c>
      <c r="C5487" t="str">
        <f t="shared" si="222"/>
        <v>Active</v>
      </c>
    </row>
    <row r="5488" spans="1:3" ht="18" customHeight="1">
      <c r="A5488" t="str">
        <f>"316301"</f>
        <v>316301</v>
      </c>
      <c r="B5488" t="str">
        <f>"Ring Retaining - External  D 20   DIN471"</f>
        <v>Ring Retaining - External  D 20   DIN471</v>
      </c>
      <c r="C5488" t="str">
        <f t="shared" si="222"/>
        <v>Active</v>
      </c>
    </row>
    <row r="5489" spans="1:3" ht="18" customHeight="1">
      <c r="A5489" t="str">
        <f>"316302"</f>
        <v>316302</v>
      </c>
      <c r="B5489" t="str">
        <f>"Ring Retaining-External D25 DIN471"</f>
        <v>Ring Retaining-External D25 DIN471</v>
      </c>
      <c r="C5489" t="str">
        <f t="shared" si="222"/>
        <v>Active</v>
      </c>
    </row>
    <row r="5490" spans="1:3" ht="18" customHeight="1">
      <c r="A5490" t="str">
        <f>"316303"</f>
        <v>316303</v>
      </c>
      <c r="B5490" t="str">
        <f>"Ring Retaining -Internal BN 830 16"</f>
        <v>Ring Retaining -Internal BN 830 16</v>
      </c>
      <c r="C5490" t="str">
        <f t="shared" si="222"/>
        <v>Active</v>
      </c>
    </row>
    <row r="5491" spans="1:3" ht="18" customHeight="1">
      <c r="A5491" t="str">
        <f>"316307"</f>
        <v>316307</v>
      </c>
      <c r="B5491" t="str">
        <f>"Ring Retaining - Internal d26   DIN472"</f>
        <v>Ring Retaining - Internal d26   DIN472</v>
      </c>
      <c r="C5491" t="str">
        <f t="shared" si="222"/>
        <v>Active</v>
      </c>
    </row>
    <row r="5492" spans="1:3" ht="18" customHeight="1">
      <c r="A5492" t="str">
        <f>"316309"</f>
        <v>316309</v>
      </c>
      <c r="B5492" t="str">
        <f>"Ring Retaining - Internal   d 24"</f>
        <v>Ring Retaining - Internal   d 24</v>
      </c>
      <c r="C5492" t="str">
        <f t="shared" si="222"/>
        <v>Active</v>
      </c>
    </row>
    <row r="5493" spans="1:3" ht="18" customHeight="1">
      <c r="A5493" t="str">
        <f>"316501"</f>
        <v>316501</v>
      </c>
      <c r="B5493" t="str">
        <f>"Ring Retaining - External for shaft  D50  DIN471"</f>
        <v>Ring Retaining - External for shaft  D50  DIN471</v>
      </c>
      <c r="C5493" t="str">
        <f t="shared" si="222"/>
        <v>Active</v>
      </c>
    </row>
    <row r="5494" spans="1:3" ht="18" customHeight="1">
      <c r="A5494" t="str">
        <f>"316502"</f>
        <v>316502</v>
      </c>
      <c r="B5494" t="str">
        <f>"Ring Retaining - External for shaft  D55  DIN471"</f>
        <v>Ring Retaining - External for shaft  D55  DIN471</v>
      </c>
      <c r="C5494" t="str">
        <f t="shared" si="222"/>
        <v>Active</v>
      </c>
    </row>
    <row r="5495" spans="1:3" ht="18" customHeight="1">
      <c r="A5495" t="str">
        <f>"317501"</f>
        <v>317501</v>
      </c>
      <c r="B5495" t="str">
        <f>"Pin Dowel-Precision D=0.125x0.375"",A9X31-0412"</f>
        <v>Pin Dowel-Precision D=0.125x0.375",A9X31-0412</v>
      </c>
      <c r="C5495" t="str">
        <f t="shared" si="222"/>
        <v>Active</v>
      </c>
    </row>
    <row r="5496" spans="1:3" ht="18" customHeight="1">
      <c r="A5496" t="str">
        <f>"317502"</f>
        <v>317502</v>
      </c>
      <c r="B5496" t="str">
        <f>"Ball-Precision - d 5/32"""</f>
        <v>Ball-Precision - d 5/32"</v>
      </c>
      <c r="C5496" t="str">
        <f t="shared" si="222"/>
        <v>Active</v>
      </c>
    </row>
    <row r="5497" spans="1:3" ht="18" customHeight="1">
      <c r="A5497" t="str">
        <f>"317505"</f>
        <v>317505</v>
      </c>
      <c r="B5497" t="str">
        <f>"Pin Dowel - Precision  D=5h6 x 100 mm"</f>
        <v>Pin Dowel - Precision  D=5h6 x 100 mm</v>
      </c>
      <c r="C5497" t="str">
        <f t="shared" si="222"/>
        <v>Active</v>
      </c>
    </row>
    <row r="5498" spans="1:3" ht="18" customHeight="1">
      <c r="A5498" t="str">
        <f>"317507"</f>
        <v>317507</v>
      </c>
      <c r="B5498" t="str">
        <f>"Pin Dowel - Precision   D=5h6 x 95 mm"</f>
        <v>Pin Dowel - Precision   D=5h6 x 95 mm</v>
      </c>
      <c r="C5498" t="str">
        <f t="shared" si="222"/>
        <v>Active</v>
      </c>
    </row>
    <row r="5499" spans="1:3" ht="18" customHeight="1">
      <c r="A5499" t="str">
        <f>"317508"</f>
        <v>317508</v>
      </c>
      <c r="B5499" t="str">
        <f>"Pin Dowel -Precision  D 2 x 13.8 mm  NR"</f>
        <v>Pin Dowel -Precision  D 2 x 13.8 mm  NR</v>
      </c>
      <c r="C5499" t="str">
        <f t="shared" si="222"/>
        <v>Active</v>
      </c>
    </row>
    <row r="5500" spans="1:3" ht="18" customHeight="1">
      <c r="A5500" t="str">
        <f>"317509"</f>
        <v>317509</v>
      </c>
      <c r="B5500" t="str">
        <f>"Pin  Dowel - blk.  D 3 x 25 mm  DIN 660"</f>
        <v>Pin  Dowel - blk.  D 3 x 25 mm  DIN 660</v>
      </c>
      <c r="C5500" t="str">
        <f t="shared" si="222"/>
        <v>Active</v>
      </c>
    </row>
    <row r="5501" spans="1:3" ht="18" customHeight="1">
      <c r="A5501" t="str">
        <f>"317510"</f>
        <v>317510</v>
      </c>
      <c r="B5501" t="str">
        <f>"Pin Dowel - Precision    D 0.125"" h7 x 18mm"</f>
        <v>Pin Dowel - Precision    D 0.125" h7 x 18mm</v>
      </c>
      <c r="C5501" t="str">
        <f t="shared" si="222"/>
        <v>Active</v>
      </c>
    </row>
    <row r="5502" spans="1:3" ht="18" customHeight="1">
      <c r="A5502" t="str">
        <f>"317511"</f>
        <v>317511</v>
      </c>
      <c r="B5502" t="str">
        <f>"Pin Dowel - Precision   D 1.5x7.8 mm   SKF RN BF"</f>
        <v>Pin Dowel - Precision   D 1.5x7.8 mm   SKF RN BF</v>
      </c>
      <c r="C5502" t="str">
        <f t="shared" si="222"/>
        <v>Active</v>
      </c>
    </row>
    <row r="5503" spans="1:3" ht="18" customHeight="1">
      <c r="A5503" t="str">
        <f>"317512"</f>
        <v>317512</v>
      </c>
      <c r="B5503" t="str">
        <f>"Pin Dowel - Precision    D 4h6 x 8 mm   DIN6325"</f>
        <v>Pin Dowel - Precision    D 4h6 x 8 mm   DIN6325</v>
      </c>
      <c r="C5503" t="str">
        <f t="shared" si="222"/>
        <v>Active</v>
      </c>
    </row>
    <row r="5504" spans="1:3" ht="18" customHeight="1">
      <c r="A5504" t="str">
        <f>"317513"</f>
        <v>317513</v>
      </c>
      <c r="B5504" t="str">
        <f>"Ball-Precision - d4.5 SKF"</f>
        <v>Ball-Precision - d4.5 SKF</v>
      </c>
      <c r="C5504" t="str">
        <f t="shared" si="222"/>
        <v>Active</v>
      </c>
    </row>
    <row r="5505" spans="1:3" ht="18" customHeight="1">
      <c r="A5505" t="str">
        <f>"317514"</f>
        <v>317514</v>
      </c>
      <c r="B5505" t="str">
        <f>"Pin Dowel - Precision D 5h6 x 30 mm   DIN6325"</f>
        <v>Pin Dowel - Precision D 5h6 x 30 mm   DIN6325</v>
      </c>
      <c r="C5505" t="str">
        <f t="shared" si="222"/>
        <v>Active</v>
      </c>
    </row>
    <row r="5506" spans="1:3" ht="18" customHeight="1">
      <c r="A5506" t="str">
        <f>"317801"</f>
        <v>317801</v>
      </c>
      <c r="B5506" t="str">
        <f>"Pin Straight C D 0.125"" x 1.250"</f>
        <v>Pin Straight C D 0.125" x 1.250</v>
      </c>
      <c r="C5506" t="str">
        <f t="shared" si="222"/>
        <v>Active</v>
      </c>
    </row>
    <row r="5507" spans="1:3" ht="18" customHeight="1">
      <c r="A5507" t="str">
        <f>"317803"</f>
        <v>317803</v>
      </c>
      <c r="B5507" t="str">
        <f>"Pin Straight C   D 3 x 10 mm"</f>
        <v>Pin Straight C   D 3 x 10 mm</v>
      </c>
      <c r="C5507" t="str">
        <f t="shared" si="222"/>
        <v>Active</v>
      </c>
    </row>
    <row r="5508" spans="1:3" ht="18" customHeight="1">
      <c r="A5508" t="str">
        <f>"317805"</f>
        <v>317805</v>
      </c>
      <c r="B5508" t="str">
        <f>"Pin Straight  Slotted  D 3x10mm   DIN 1481"</f>
        <v>Pin Straight  Slotted  D 3x10mm   DIN 1481</v>
      </c>
      <c r="C5508" t="str">
        <f t="shared" si="222"/>
        <v>Active</v>
      </c>
    </row>
    <row r="5509" spans="1:3" ht="18" customHeight="1">
      <c r="A5509" t="str">
        <f>"318001"</f>
        <v>318001</v>
      </c>
      <c r="B5509" t="str">
        <f>"Key - Square  3x3x10mm   DIN 6885 A"</f>
        <v>Key - Square  3x3x10mm   DIN 6885 A</v>
      </c>
      <c r="C5509" t="str">
        <f t="shared" si="222"/>
        <v>Active</v>
      </c>
    </row>
    <row r="5510" spans="1:3" ht="18" customHeight="1">
      <c r="A5510" t="str">
        <f>"318002"</f>
        <v>318002</v>
      </c>
      <c r="B5510" t="str">
        <f>"Key - Square  6x6x25mm  DIN 6885 A"</f>
        <v>Key - Square  6x6x25mm  DIN 6885 A</v>
      </c>
      <c r="C5510" t="str">
        <f t="shared" si="222"/>
        <v>Active</v>
      </c>
    </row>
    <row r="5511" spans="1:3" ht="18" customHeight="1">
      <c r="A5511" t="str">
        <f>"318005"</f>
        <v>318005</v>
      </c>
      <c r="B5511" t="str">
        <f>"Key - Square ASRS 4x4x12"</f>
        <v>Key - Square ASRS 4x4x12</v>
      </c>
      <c r="C5511" t="str">
        <f t="shared" si="222"/>
        <v>Active</v>
      </c>
    </row>
    <row r="5512" spans="1:3" ht="18" customHeight="1">
      <c r="A5512" t="str">
        <f>"318006"</f>
        <v>318006</v>
      </c>
      <c r="B5512" t="str">
        <f>"Key - Square  5x5x25mm  DIN 6885 A"</f>
        <v>Key - Square  5x5x25mm  DIN 6885 A</v>
      </c>
      <c r="C5512" t="str">
        <f t="shared" si="222"/>
        <v>Active</v>
      </c>
    </row>
    <row r="5513" spans="1:3" ht="18" customHeight="1">
      <c r="A5513" t="str">
        <f>"318007"</f>
        <v>318007</v>
      </c>
      <c r="B5513" t="str">
        <f>"Parallel Key-8x7x30mm DIN 6885A"</f>
        <v>Parallel Key-8x7x30mm DIN 6885A</v>
      </c>
      <c r="C5513" t="str">
        <f t="shared" si="222"/>
        <v>Active</v>
      </c>
    </row>
    <row r="5514" spans="1:3" ht="18" customHeight="1">
      <c r="A5514" t="str">
        <f>"318202"</f>
        <v>318202</v>
      </c>
      <c r="B5514" t="str">
        <f>"Rivet - Blind  D3 x 8-10mm"</f>
        <v>Rivet - Blind  D3 x 8-10mm</v>
      </c>
      <c r="C5514" t="str">
        <f t="shared" si="222"/>
        <v>Active</v>
      </c>
    </row>
    <row r="5515" spans="1:3" ht="18" customHeight="1">
      <c r="A5515" t="str">
        <f>"318203"</f>
        <v>318203</v>
      </c>
      <c r="B5515" t="str">
        <f>"Rivet - Blind  D4 x 12mm"</f>
        <v>Rivet - Blind  D4 x 12mm</v>
      </c>
      <c r="C5515" t="str">
        <f t="shared" si="222"/>
        <v>Active</v>
      </c>
    </row>
    <row r="5516" spans="1:3" ht="18" customHeight="1">
      <c r="A5516" t="str">
        <f>"318401"</f>
        <v>318401</v>
      </c>
      <c r="B5516" t="str">
        <f>"Leveling Screw Foot  DIN 6311-25S"</f>
        <v>Leveling Screw Foot  DIN 6311-25S</v>
      </c>
      <c r="C5516" t="str">
        <f t="shared" si="222"/>
        <v>Active</v>
      </c>
    </row>
    <row r="5517" spans="1:3" ht="18" customHeight="1">
      <c r="A5517" t="str">
        <f>"318403"</f>
        <v>318403</v>
      </c>
      <c r="B5517" t="str">
        <f>"Wheel with Break 3/8""  GZ23051H0  + M130835"</f>
        <v>Wheel with Break 3/8"  GZ23051H0  + M130835</v>
      </c>
      <c r="C5517" t="str">
        <f t="shared" si="222"/>
        <v>Active</v>
      </c>
    </row>
    <row r="5518" spans="1:3" ht="18" customHeight="1">
      <c r="A5518" t="str">
        <f>"318404"</f>
        <v>318404</v>
      </c>
      <c r="B5518" t="str">
        <f>"Wheel without Break 3/8""  GZ13051H0  + M130835"</f>
        <v>Wheel without Break 3/8"  GZ13051H0  + M130835</v>
      </c>
      <c r="C5518" t="str">
        <f t="shared" si="222"/>
        <v>Active</v>
      </c>
    </row>
    <row r="5519" spans="1:3" ht="18" customHeight="1">
      <c r="A5519" t="str">
        <f>"318407"</f>
        <v>318407</v>
      </c>
      <c r="B5519" t="str">
        <f>"Caster Wheel D50mm Gray Rubber+Break+Scr M8x40"</f>
        <v>Caster Wheel D50mm Gray Rubber+Break+Scr M8x40</v>
      </c>
      <c r="C5519" t="str">
        <f t="shared" si="222"/>
        <v>Active</v>
      </c>
    </row>
    <row r="5520" spans="1:3" ht="18" customHeight="1">
      <c r="A5520" t="str">
        <f>"318408"</f>
        <v>318408</v>
      </c>
      <c r="B5520" t="str">
        <f>"Caster Wheel D50mm Gray Rubber+ScrM8x40+Nut"</f>
        <v>Caster Wheel D50mm Gray Rubber+ScrM8x40+Nut</v>
      </c>
      <c r="C5520" t="str">
        <f t="shared" si="222"/>
        <v>Active</v>
      </c>
    </row>
    <row r="5521" spans="1:3" ht="18" customHeight="1">
      <c r="A5521" t="str">
        <f>"318409"</f>
        <v>318409</v>
      </c>
      <c r="B5521" t="str">
        <f>"Caster Wheel 4"", Swivel W/O Stopper"</f>
        <v>Caster Wheel 4", Swivel W/O Stopper</v>
      </c>
      <c r="C5521" t="str">
        <f>"New"</f>
        <v>New</v>
      </c>
    </row>
    <row r="5522" spans="1:3" ht="18" customHeight="1">
      <c r="A5522" t="str">
        <f>"318410"</f>
        <v>318410</v>
      </c>
      <c r="B5522" t="str">
        <f>"Caster Wheel 4"", Swivel With Stopper"</f>
        <v>Caster Wheel 4", Swivel With Stopper</v>
      </c>
      <c r="C5522" t="str">
        <f>"New"</f>
        <v>New</v>
      </c>
    </row>
    <row r="5523" spans="1:3" ht="18" customHeight="1">
      <c r="A5523" t="str">
        <f>"318411"</f>
        <v>318411</v>
      </c>
      <c r="B5523" t="str">
        <f>"Slider, Reponi 14"" Length with stopper, Drawer"</f>
        <v>Slider, Reponi 14" Length with stopper, Drawer</v>
      </c>
      <c r="C5523" t="str">
        <f>"Active"</f>
        <v>Active</v>
      </c>
    </row>
    <row r="5524" spans="1:3" ht="18" customHeight="1">
      <c r="A5524" t="str">
        <f>"318412"</f>
        <v>318412</v>
      </c>
      <c r="B5524" t="str">
        <f>"Wall Arm Monitor Mounting"</f>
        <v>Wall Arm Monitor Mounting</v>
      </c>
      <c r="C5524" t="str">
        <f>"Active"</f>
        <v>Active</v>
      </c>
    </row>
    <row r="5525" spans="1:3" ht="18" customHeight="1">
      <c r="A5525" t="str">
        <f>"318413"</f>
        <v>318413</v>
      </c>
      <c r="B5525" t="str">
        <f>"Mount Plate, Pressed Screw ON, Hingle, Door"</f>
        <v>Mount Plate, Pressed Screw ON, Hingle, Door</v>
      </c>
      <c r="C5525" t="str">
        <f>"New"</f>
        <v>New</v>
      </c>
    </row>
    <row r="5526" spans="1:3" ht="18" customHeight="1">
      <c r="A5526" t="str">
        <f>"318414"</f>
        <v>318414</v>
      </c>
      <c r="B5526" t="str">
        <f>"Hingle, Door"</f>
        <v>Hingle, Door</v>
      </c>
      <c r="C5526" t="str">
        <f>"New"</f>
        <v>New</v>
      </c>
    </row>
    <row r="5527" spans="1:3" ht="18" customHeight="1">
      <c r="A5527" t="str">
        <f>"319001"</f>
        <v>319001</v>
      </c>
      <c r="B5527" t="str">
        <f>"Oldham bld Coupling 3 parts HUCO 234.19.19(3/16)"</f>
        <v>Oldham bld Coupling 3 parts HUCO 234.19.19(3/16)</v>
      </c>
      <c r="C5527" t="str">
        <f>"Active"</f>
        <v>Active</v>
      </c>
    </row>
    <row r="5528" spans="1:3" ht="18" customHeight="1">
      <c r="A5528" t="str">
        <f>"319003"</f>
        <v>319003</v>
      </c>
      <c r="B5528" t="str">
        <f>"CouplingFlexible HeliCal AC075-8-10, d=6, d=8 mm"</f>
        <v>CouplingFlexible HeliCal AC075-8-10, d=6, d=8 mm</v>
      </c>
      <c r="C5528" t="str">
        <f>"Phase Out"</f>
        <v>Phase Out</v>
      </c>
    </row>
    <row r="5529" spans="1:3" ht="18" customHeight="1">
      <c r="A5529" t="str">
        <f>"319008"</f>
        <v>319008</v>
      </c>
      <c r="B5529" t="str">
        <f>"Coupling Oldham -Hub only d 5mm,  HUCO 232.13.20"</f>
        <v>Coupling Oldham -Hub only d 5mm,  HUCO 232.13.20</v>
      </c>
      <c r="C5529" t="str">
        <f t="shared" ref="C5529:C5537" si="223">"Active"</f>
        <v>Active</v>
      </c>
    </row>
    <row r="5530" spans="1:3" ht="18" customHeight="1">
      <c r="A5530" t="str">
        <f>"319009"</f>
        <v>319009</v>
      </c>
      <c r="B5530" t="str">
        <f>"Coupling Oldham -Hub only d 4mm  HUCO 232.13.18"</f>
        <v>Coupling Oldham -Hub only d 4mm  HUCO 232.13.18</v>
      </c>
      <c r="C5530" t="str">
        <f t="shared" si="223"/>
        <v>Active</v>
      </c>
    </row>
    <row r="5531" spans="1:3" ht="18" customHeight="1">
      <c r="A5531" t="str">
        <f>"319010"</f>
        <v>319010</v>
      </c>
      <c r="B5531" t="str">
        <f>"Washer To Coupling HUCO 236.13, D12.7"</f>
        <v>Washer To Coupling HUCO 236.13, D12.7</v>
      </c>
      <c r="C5531" t="str">
        <f t="shared" si="223"/>
        <v>Active</v>
      </c>
    </row>
    <row r="5532" spans="1:3" ht="18" customHeight="1">
      <c r="A5532" t="str">
        <f>"319011"</f>
        <v>319011</v>
      </c>
      <c r="B5532" t="str">
        <f>"Elec. Brake spring  1/4""  24DC  FSB001"</f>
        <v>Elec. Brake spring  1/4"  24DC  FSB001</v>
      </c>
      <c r="C5532" t="str">
        <f t="shared" si="223"/>
        <v>Active</v>
      </c>
    </row>
    <row r="5533" spans="1:3" ht="18" customHeight="1">
      <c r="A5533" t="str">
        <f>"319012"</f>
        <v>319012</v>
      </c>
      <c r="B5533" t="str">
        <f>"Coupling Oldham -Hub only  d3/8""  HUCO 234.25.31"</f>
        <v>Coupling Oldham -Hub only  d3/8"  HUCO 234.25.31</v>
      </c>
      <c r="C5533" t="str">
        <f t="shared" si="223"/>
        <v>Active</v>
      </c>
    </row>
    <row r="5534" spans="1:3" ht="18" customHeight="1">
      <c r="A5534" t="str">
        <f>"319013"</f>
        <v>319013</v>
      </c>
      <c r="B5534" t="str">
        <f>"Coupling Oldham -Hub only  d 8mm  HUCO 232.25.28"</f>
        <v>Coupling Oldham -Hub only  d 8mm  HUCO 232.25.28</v>
      </c>
      <c r="C5534" t="str">
        <f t="shared" si="223"/>
        <v>Active</v>
      </c>
    </row>
    <row r="5535" spans="1:3" ht="18" customHeight="1">
      <c r="A5535" t="str">
        <f>"319014"</f>
        <v>319014</v>
      </c>
      <c r="B5535" t="str">
        <f>"Washer To Coupling   HUCO 236.25"</f>
        <v>Washer To Coupling   HUCO 236.25</v>
      </c>
      <c r="C5535" t="str">
        <f t="shared" si="223"/>
        <v>Active</v>
      </c>
    </row>
    <row r="5536" spans="1:3" ht="18" customHeight="1">
      <c r="A5536" t="str">
        <f>"319019"</f>
        <v>319019</v>
      </c>
      <c r="B5536" t="str">
        <f>"Coupling Flexible Shaft d 1/4""  AC075-8-8"</f>
        <v>Coupling Flexible Shaft d 1/4"  AC075-8-8</v>
      </c>
      <c r="C5536" t="str">
        <f t="shared" si="223"/>
        <v>Active</v>
      </c>
    </row>
    <row r="5537" spans="1:3" ht="18" customHeight="1">
      <c r="A5537" t="str">
        <f>"319020"</f>
        <v>319020</v>
      </c>
      <c r="B5537" t="str">
        <f>"Coupling Oldham-Hub only HUCO 232.13.24, d=1/4"""</f>
        <v>Coupling Oldham-Hub only HUCO 232.13.24, d=1/4"</v>
      </c>
      <c r="C5537" t="str">
        <f t="shared" si="223"/>
        <v>Active</v>
      </c>
    </row>
    <row r="5538" spans="1:3" ht="18" customHeight="1">
      <c r="A5538" t="str">
        <f>"319021"</f>
        <v>319021</v>
      </c>
      <c r="B5538" t="str">
        <f>"Friction Torque Limiter  LC85-1, 130Nm, Catalog"</f>
        <v>Friction Torque Limiter  LC85-1, 130Nm, Catalog</v>
      </c>
      <c r="C5538" t="str">
        <f>"Phase Out"</f>
        <v>Phase Out</v>
      </c>
    </row>
    <row r="5539" spans="1:3" ht="18" customHeight="1">
      <c r="A5539" t="str">
        <f>"319022"</f>
        <v>319022</v>
      </c>
      <c r="B5539" t="str">
        <f>"Coupling Machining d 44  ROTEX GS 19/24 AL"</f>
        <v>Coupling Machining d 44  ROTEX GS 19/24 AL</v>
      </c>
      <c r="C5539" t="str">
        <f>"Not for sale"</f>
        <v>Not for sale</v>
      </c>
    </row>
    <row r="5540" spans="1:3" ht="18" customHeight="1">
      <c r="A5540" t="str">
        <f>"319023"</f>
        <v>319023</v>
      </c>
      <c r="B5540" t="str">
        <f>"Coupling Machining d 20  ROTEX GS 19/24 AL"</f>
        <v>Coupling Machining d 20  ROTEX GS 19/24 AL</v>
      </c>
      <c r="C5540" t="str">
        <f t="shared" ref="C5540:C5571" si="224">"Active"</f>
        <v>Active</v>
      </c>
    </row>
    <row r="5541" spans="1:3" ht="18" customHeight="1">
      <c r="A5541" t="str">
        <f>"319024"</f>
        <v>319024</v>
      </c>
      <c r="B5541" t="str">
        <f>"Friction Torque Limiter, LC50, 50Nm, Sharavali"</f>
        <v>Friction Torque Limiter, LC50, 50Nm, Sharavali</v>
      </c>
      <c r="C5541" t="str">
        <f t="shared" si="224"/>
        <v>Active</v>
      </c>
    </row>
    <row r="5542" spans="1:3" ht="18" customHeight="1">
      <c r="A5542" t="str">
        <f>"319025"</f>
        <v>319025</v>
      </c>
      <c r="B5542" t="str">
        <f>"Coupling Adapter D=16,ID=4, ID=7.5mm"</f>
        <v>Coupling Adapter D=16,ID=4, ID=7.5mm</v>
      </c>
      <c r="C5542" t="str">
        <f t="shared" si="224"/>
        <v>Active</v>
      </c>
    </row>
    <row r="5543" spans="1:3" ht="18" customHeight="1">
      <c r="A5543" t="str">
        <f>"319201"</f>
        <v>319201</v>
      </c>
      <c r="B5543" t="str">
        <f>"Belt Timing - Pitch 1/5"",   116XL037"</f>
        <v>Belt Timing - Pitch 1/5",   116XL037</v>
      </c>
      <c r="C5543" t="str">
        <f t="shared" si="224"/>
        <v>Active</v>
      </c>
    </row>
    <row r="5544" spans="1:3" ht="18" customHeight="1">
      <c r="A5544" t="str">
        <f>"319202"</f>
        <v>319202</v>
      </c>
      <c r="B5544" t="str">
        <f>"Belt Timing - Pitch 1/5"",  220XL037"</f>
        <v>Belt Timing - Pitch 1/5",  220XL037</v>
      </c>
      <c r="C5544" t="str">
        <f t="shared" si="224"/>
        <v>Active</v>
      </c>
    </row>
    <row r="5545" spans="1:3" ht="18" customHeight="1">
      <c r="A5545" t="str">
        <f>"319203"</f>
        <v>319203</v>
      </c>
      <c r="B5545" t="str">
        <f>"Belt Timing-Pitch 3/8"" ,240L050"</f>
        <v>Belt Timing-Pitch 3/8" ,240L050</v>
      </c>
      <c r="C5545" t="str">
        <f t="shared" si="224"/>
        <v>Active</v>
      </c>
    </row>
    <row r="5546" spans="1:3" ht="18" customHeight="1">
      <c r="A5546" t="str">
        <f>"319204"</f>
        <v>319204</v>
      </c>
      <c r="B5546" t="str">
        <f>"Belt Timing - Pitch 2.032mm,   6Z16M134095"</f>
        <v>Belt Timing - Pitch 2.032mm,   6Z16M134095</v>
      </c>
      <c r="C5546" t="str">
        <f t="shared" si="224"/>
        <v>Active</v>
      </c>
    </row>
    <row r="5547" spans="1:3" ht="18" customHeight="1">
      <c r="A5547" t="str">
        <f>"319205"</f>
        <v>319205</v>
      </c>
      <c r="B5547" t="str">
        <f>"Belt Conveyor Blk. Endless, TWOPLY 1628x88-1mm"</f>
        <v>Belt Conveyor Blk. Endless, TWOPLY 1628x88-1mm</v>
      </c>
      <c r="C5547" t="str">
        <f t="shared" si="224"/>
        <v>Active</v>
      </c>
    </row>
    <row r="5548" spans="1:3" ht="18" customHeight="1">
      <c r="A5548" t="str">
        <f>"319210"</f>
        <v>319210</v>
      </c>
      <c r="B5548" t="str">
        <f>"Roller Chain Link  08 B1 - 1/2"""</f>
        <v>Roller Chain Link  08 B1 - 1/2"</v>
      </c>
      <c r="C5548" t="str">
        <f t="shared" si="224"/>
        <v>Active</v>
      </c>
    </row>
    <row r="5549" spans="1:3" ht="18" customHeight="1">
      <c r="A5549" t="str">
        <f>"319211"</f>
        <v>319211</v>
      </c>
      <c r="B5549" t="str">
        <f>"Conn. Link- Roller Chain P=1/2"" W=5/16  ISO08B-1"</f>
        <v>Conn. Link- Roller Chain P=1/2" W=5/16  ISO08B-1</v>
      </c>
      <c r="C5549" t="str">
        <f t="shared" si="224"/>
        <v>Active</v>
      </c>
    </row>
    <row r="5550" spans="1:3" ht="18" customHeight="1">
      <c r="A5550" t="str">
        <f>"319213"</f>
        <v>319213</v>
      </c>
      <c r="B5550" t="str">
        <f>"Belt Timing-Pitch 1/5"", 120XL037"</f>
        <v>Belt Timing-Pitch 1/5", 120XL037</v>
      </c>
      <c r="C5550" t="str">
        <f t="shared" si="224"/>
        <v>Active</v>
      </c>
    </row>
    <row r="5551" spans="1:3" ht="18" customHeight="1">
      <c r="A5551" t="str">
        <f>"319214"</f>
        <v>319214</v>
      </c>
      <c r="B5551" t="str">
        <f>"Belt Timing - Pitch 1/5"",  140XL037"</f>
        <v>Belt Timing - Pitch 1/5",  140XL037</v>
      </c>
      <c r="C5551" t="str">
        <f t="shared" si="224"/>
        <v>Active</v>
      </c>
    </row>
    <row r="5552" spans="1:3" ht="18" customHeight="1">
      <c r="A5552" t="str">
        <f>"319215"</f>
        <v>319215</v>
      </c>
      <c r="B5552" t="str">
        <f>"Belt Timing - Pitch 3mm,   HTD 43T"</f>
        <v>Belt Timing - Pitch 3mm,   HTD 43T</v>
      </c>
      <c r="C5552" t="str">
        <f t="shared" si="224"/>
        <v>Active</v>
      </c>
    </row>
    <row r="5553" spans="1:3" ht="18" customHeight="1">
      <c r="A5553" t="str">
        <f>"319216"</f>
        <v>319216</v>
      </c>
      <c r="B5553" t="str">
        <f>"Belt Timing - Pitch 0.08"",   140T"</f>
        <v>Belt Timing - Pitch 0.08",   140T</v>
      </c>
      <c r="C5553" t="str">
        <f t="shared" si="224"/>
        <v>Active</v>
      </c>
    </row>
    <row r="5554" spans="1:3" ht="18" customHeight="1">
      <c r="A5554" t="str">
        <f>"319220"</f>
        <v>319220</v>
      </c>
      <c r="B5554" t="str">
        <f>"Belt Timing - Pitch 2.03mm, WIDTH=9.5, L=1000 mm"</f>
        <v>Belt Timing - Pitch 2.03mm, WIDTH=9.5, L=1000 mm</v>
      </c>
      <c r="C5554" t="str">
        <f t="shared" si="224"/>
        <v>Active</v>
      </c>
    </row>
    <row r="5555" spans="1:3" ht="18" customHeight="1">
      <c r="A5555" t="str">
        <f>"319225"</f>
        <v>319225</v>
      </c>
      <c r="B5555" t="str">
        <f>"Belt Timing Tens.Block 8 R25 ITEM 426.29"</f>
        <v>Belt Timing Tens.Block 8 R25 ITEM 426.29</v>
      </c>
      <c r="C5555" t="str">
        <f t="shared" si="224"/>
        <v>Active</v>
      </c>
    </row>
    <row r="5556" spans="1:3" ht="18" customHeight="1">
      <c r="A5556" t="str">
        <f>"319226"</f>
        <v>319226</v>
      </c>
      <c r="B5556" t="str">
        <f>"Belt Timing Fix Block 8R25,7Pieces ITEM426.30"</f>
        <v>Belt Timing Fix Block 8R25,7Pieces ITEM426.30</v>
      </c>
      <c r="C5556" t="str">
        <f t="shared" si="224"/>
        <v>Active</v>
      </c>
    </row>
    <row r="5557" spans="1:3" ht="18" customHeight="1">
      <c r="A5557" t="str">
        <f>"319227"</f>
        <v>319227</v>
      </c>
      <c r="B5557" t="str">
        <f>"Belt Timing R25,10T ITEM 337.10, L=3312mm"</f>
        <v>Belt Timing R25,10T ITEM 337.10, L=3312mm</v>
      </c>
      <c r="C5557" t="str">
        <f t="shared" si="224"/>
        <v>Active</v>
      </c>
    </row>
    <row r="5558" spans="1:3" ht="18" customHeight="1">
      <c r="A5558" t="str">
        <f>"319228"</f>
        <v>319228</v>
      </c>
      <c r="B5558" t="str">
        <f>"Belt Timing HTD   069090A6R23M"</f>
        <v>Belt Timing HTD   069090A6R23M</v>
      </c>
      <c r="C5558" t="str">
        <f t="shared" si="224"/>
        <v>Active</v>
      </c>
    </row>
    <row r="5559" spans="1:3" ht="18" customHeight="1">
      <c r="A5559" t="str">
        <f>"319229"</f>
        <v>319229</v>
      </c>
      <c r="B5559" t="str">
        <f>"Belt Timing - Pitch 2.032mm, T=65   6B16M065060"</f>
        <v>Belt Timing - Pitch 2.032mm, T=65   6B16M065060</v>
      </c>
      <c r="C5559" t="str">
        <f t="shared" si="224"/>
        <v>Active</v>
      </c>
    </row>
    <row r="5560" spans="1:3" ht="18" customHeight="1">
      <c r="A5560" t="str">
        <f>"319230"</f>
        <v>319230</v>
      </c>
      <c r="B5560" t="str">
        <f>"Belt Timing - Pitch 2.032mm, T=70   6B16M070060"</f>
        <v>Belt Timing - Pitch 2.032mm, T=70   6B16M070060</v>
      </c>
      <c r="C5560" t="str">
        <f t="shared" si="224"/>
        <v>Active</v>
      </c>
    </row>
    <row r="5561" spans="1:3" ht="18" customHeight="1">
      <c r="A5561" t="str">
        <f>"319231"</f>
        <v>319231</v>
      </c>
      <c r="B5561" t="str">
        <f>"Belt Timing clip   ITEM 400.07"</f>
        <v>Belt Timing clip   ITEM 400.07</v>
      </c>
      <c r="C5561" t="str">
        <f t="shared" si="224"/>
        <v>Active</v>
      </c>
    </row>
    <row r="5562" spans="1:3" ht="18" customHeight="1">
      <c r="A5562" t="str">
        <f>"319232"</f>
        <v>319232</v>
      </c>
      <c r="B5562" t="str">
        <f>"Belt Timing tensor   ITEM 400.06"</f>
        <v>Belt Timing tensor   ITEM 400.06</v>
      </c>
      <c r="C5562" t="str">
        <f t="shared" si="224"/>
        <v>Active</v>
      </c>
    </row>
    <row r="5563" spans="1:3" ht="18" customHeight="1">
      <c r="A5563" t="str">
        <f>"319233"</f>
        <v>319233</v>
      </c>
      <c r="B5563" t="str">
        <f>"Belt Timing - R=10, T=5   ITEM 400.04"</f>
        <v>Belt Timing - R=10, T=5   ITEM 400.04</v>
      </c>
      <c r="C5563" t="str">
        <f t="shared" si="224"/>
        <v>Active</v>
      </c>
    </row>
    <row r="5564" spans="1:3" ht="18" customHeight="1">
      <c r="A5564" t="str">
        <f>"319235"</f>
        <v>319235</v>
      </c>
      <c r="B5564" t="str">
        <f>"Timing Belt ST-25T10 open, 25x1312mm"</f>
        <v>Timing Belt ST-25T10 open, 25x1312mm</v>
      </c>
      <c r="C5564" t="str">
        <f t="shared" si="224"/>
        <v>Active</v>
      </c>
    </row>
    <row r="5565" spans="1:3" ht="18" customHeight="1">
      <c r="A5565" t="str">
        <f>"319236"</f>
        <v>319236</v>
      </c>
      <c r="B5565" t="str">
        <f>"Belt Timing - 2112 mm  R25T10, ITEM 337.10"</f>
        <v>Belt Timing - 2112 mm  R25T10, ITEM 337.10</v>
      </c>
      <c r="C5565" t="str">
        <f t="shared" si="224"/>
        <v>Active</v>
      </c>
    </row>
    <row r="5566" spans="1:3" ht="18" customHeight="1">
      <c r="A5566" t="str">
        <f>"319237"</f>
        <v>319237</v>
      </c>
      <c r="B5566" t="str">
        <f>"X Timing Belt T2.5x730mm open,300-0162-00,Solido"</f>
        <v>X Timing Belt T2.5x730mm open,300-0162-00,Solido</v>
      </c>
      <c r="C5566" t="str">
        <f t="shared" si="224"/>
        <v>Active</v>
      </c>
    </row>
    <row r="5567" spans="1:3" ht="18" customHeight="1">
      <c r="A5567" t="str">
        <f>"319238"</f>
        <v>319238</v>
      </c>
      <c r="B5567" t="str">
        <f>"Z Tim.Belt T2.5x1300mm Close,300-0160-00,Solido"</f>
        <v>Z Tim.Belt T2.5x1300mm Close,300-0160-00,Solido</v>
      </c>
      <c r="C5567" t="str">
        <f t="shared" si="224"/>
        <v>Active</v>
      </c>
    </row>
    <row r="5568" spans="1:3" ht="18" customHeight="1">
      <c r="A5568" t="str">
        <f>"319239"</f>
        <v>319239</v>
      </c>
      <c r="B5568" t="str">
        <f>"Feeder&amp;Y BeltT2.5x182mm Close,300-0161-00,Solido"</f>
        <v>Feeder&amp;Y BeltT2.5x182mm Close,300-0161-00,Solido</v>
      </c>
      <c r="C5568" t="str">
        <f t="shared" si="224"/>
        <v>Active</v>
      </c>
    </row>
    <row r="5569" spans="1:3" ht="18" customHeight="1">
      <c r="A5569" t="str">
        <f>"319240"</f>
        <v>319240</v>
      </c>
      <c r="B5569" t="str">
        <f>"Timing Belt T10x2812mm , open"</f>
        <v>Timing Belt T10x2812mm , open</v>
      </c>
      <c r="C5569" t="str">
        <f t="shared" si="224"/>
        <v>Active</v>
      </c>
    </row>
    <row r="5570" spans="1:3" ht="18" customHeight="1">
      <c r="A5570" t="str">
        <f>"319401"</f>
        <v>319401</v>
      </c>
      <c r="B5570" t="str">
        <f>"Gear Spur - 72 Teeth,PD=3""  L=1/4""   1C1-N24072"</f>
        <v>Gear Spur - 72 Teeth,PD=3"  L=1/4"   1C1-N24072</v>
      </c>
      <c r="C5570" t="str">
        <f t="shared" si="224"/>
        <v>Active</v>
      </c>
    </row>
    <row r="5571" spans="1:3" ht="18" customHeight="1">
      <c r="A5571" t="str">
        <f>"319402"</f>
        <v>319402</v>
      </c>
      <c r="B5571" t="str">
        <f>"Gear Spur -Pitch=24,  120Teeth,PD=5""  L=1/4"""</f>
        <v>Gear Spur -Pitch=24,  120Teeth,PD=5"  L=1/4"</v>
      </c>
      <c r="C5571" t="str">
        <f t="shared" si="224"/>
        <v>Active</v>
      </c>
    </row>
    <row r="5572" spans="1:3" ht="18" customHeight="1">
      <c r="A5572" t="str">
        <f>"319403"</f>
        <v>319403</v>
      </c>
      <c r="B5572" t="str">
        <f>"Gear Spur-Pitch=24, 18Teeth, PD.75"" 1C-2RL12222"</f>
        <v>Gear Spur-Pitch=24, 18Teeth, PD.75" 1C-2RL12222</v>
      </c>
      <c r="C5572" t="str">
        <f t="shared" ref="C5572:C5603" si="225">"Active"</f>
        <v>Active</v>
      </c>
    </row>
    <row r="5573" spans="1:3" ht="18" customHeight="1">
      <c r="A5573" t="str">
        <f>"319404"</f>
        <v>319404</v>
      </c>
      <c r="B5573" t="str">
        <f>"Spur Gear-18TeethBlk+2Scr SCORBOT ER3/5"</f>
        <v>Spur Gear-18TeethBlk+2Scr SCORBOT ER3/5</v>
      </c>
      <c r="C5573" t="str">
        <f t="shared" si="225"/>
        <v>Active</v>
      </c>
    </row>
    <row r="5574" spans="1:3" ht="18" customHeight="1">
      <c r="A5574" t="str">
        <f>"319406"</f>
        <v>319406</v>
      </c>
      <c r="B5574" t="str">
        <f>"Pulley Timing Pitch1/5"" 12T+ screw D0.744"</f>
        <v>Pulley Timing Pitch1/5" 12T+ screw D0.744</v>
      </c>
      <c r="C5574" t="str">
        <f t="shared" si="225"/>
        <v>Active</v>
      </c>
    </row>
    <row r="5575" spans="1:3" ht="18" customHeight="1">
      <c r="A5575" t="str">
        <f>"319409"</f>
        <v>319409</v>
      </c>
      <c r="B5575" t="str">
        <f>"Pulley Timing  w. Flanges   18Teeth"</f>
        <v>Pulley Timing  w. Flanges   18Teeth</v>
      </c>
      <c r="C5575" t="str">
        <f t="shared" si="225"/>
        <v>Active</v>
      </c>
    </row>
    <row r="5576" spans="1:3" ht="18" customHeight="1">
      <c r="A5576" t="str">
        <f>"319410"</f>
        <v>319410</v>
      </c>
      <c r="B5576" t="str">
        <f>"Sprocket Roller Chain 22Teeth  B1x 1/2"" - Blank"</f>
        <v>Sprocket Roller Chain 22Teeth  B1x 1/2" - Blank</v>
      </c>
      <c r="C5576" t="str">
        <f t="shared" si="225"/>
        <v>Active</v>
      </c>
    </row>
    <row r="5577" spans="1:3" ht="18" customHeight="1">
      <c r="A5577" t="str">
        <f>"319412"</f>
        <v>319412</v>
      </c>
      <c r="B5577" t="str">
        <f>"Pulley Timing Stock 21T HTD Pitch=3mm"</f>
        <v>Pulley Timing Stock 21T HTD Pitch=3mm</v>
      </c>
      <c r="C5577" t="str">
        <f t="shared" si="225"/>
        <v>Active</v>
      </c>
    </row>
    <row r="5578" spans="1:3" ht="18" customHeight="1">
      <c r="A5578" t="str">
        <f>"319413"</f>
        <v>319413</v>
      </c>
      <c r="B5578" t="str">
        <f>"Pulley Timing Belt  11T  HTD Pitch=3mm"</f>
        <v>Pulley Timing Belt  11T  HTD Pitch=3mm</v>
      </c>
      <c r="C5578" t="str">
        <f t="shared" si="225"/>
        <v>Active</v>
      </c>
    </row>
    <row r="5579" spans="1:3" ht="18" customHeight="1">
      <c r="A5579" t="str">
        <f>"319414"</f>
        <v>319414</v>
      </c>
      <c r="B5579" t="str">
        <f>"Pulley Timing  Stock 30T   6A15-030MXL06"</f>
        <v>Pulley Timing  Stock 30T   6A15-030MXL06</v>
      </c>
      <c r="C5579" t="str">
        <f t="shared" si="225"/>
        <v>Active</v>
      </c>
    </row>
    <row r="5580" spans="1:3" ht="18" customHeight="1">
      <c r="A5580" t="str">
        <f>"319415"</f>
        <v>319415</v>
      </c>
      <c r="B5580" t="str">
        <f>"Pulley Timing Belt  32T  P=1/5"", C3-32H3712"</f>
        <v>Pulley Timing Belt  32T  P=1/5", C3-32H3712</v>
      </c>
      <c r="C5580" t="str">
        <f t="shared" si="225"/>
        <v>Active</v>
      </c>
    </row>
    <row r="5581" spans="1:3" ht="18" customHeight="1">
      <c r="A5581" t="str">
        <f>"319416"</f>
        <v>319416</v>
      </c>
      <c r="B5581" t="str">
        <f>"XLTiming Belt Pulley"</f>
        <v>XLTiming Belt Pulley</v>
      </c>
      <c r="C5581" t="str">
        <f t="shared" si="225"/>
        <v>Active</v>
      </c>
    </row>
    <row r="5582" spans="1:3" ht="18" customHeight="1">
      <c r="A5582" t="str">
        <f>"319417"</f>
        <v>319417</v>
      </c>
      <c r="B5582" t="str">
        <f>"Gear Spur - Pitch=24, 72 Teeth, PD=3"", L=1/4"""</f>
        <v>Gear Spur - Pitch=24, 72 Teeth, PD=3", L=1/4"</v>
      </c>
      <c r="C5582" t="str">
        <f t="shared" si="225"/>
        <v>Active</v>
      </c>
    </row>
    <row r="5583" spans="1:3" ht="18" customHeight="1">
      <c r="A5583" t="str">
        <f>"319419"</f>
        <v>319419</v>
      </c>
      <c r="B5583" t="str">
        <f>"Gear Spur -Pitch=24 ,18 Teeth,PD=.75"" ,B=d1/4"""</f>
        <v>Gear Spur -Pitch=24 ,18 Teeth,PD=.75" ,B=d1/4"</v>
      </c>
      <c r="C5583" t="str">
        <f t="shared" si="225"/>
        <v>Active</v>
      </c>
    </row>
    <row r="5584" spans="1:3" ht="18" customHeight="1">
      <c r="A5584" t="str">
        <f>"319420"</f>
        <v>319420</v>
      </c>
      <c r="B5584" t="str">
        <f>"Gear Spur-Pitch=24, 18 Teeth,PD=0.75"",B=3/16"""</f>
        <v>Gear Spur-Pitch=24, 18 Teeth,PD=0.75",B=3/16"</v>
      </c>
      <c r="C5584" t="str">
        <f t="shared" si="225"/>
        <v>Active</v>
      </c>
    </row>
    <row r="5585" spans="1:3" ht="18" customHeight="1">
      <c r="A5585" t="str">
        <f>"319427"</f>
        <v>319427</v>
      </c>
      <c r="B5585" t="str">
        <f>"Pulley Timing Stock 14T A6A38M014T16"</f>
        <v>Pulley Timing Stock 14T A6A38M014T16</v>
      </c>
      <c r="C5585" t="str">
        <f t="shared" si="225"/>
        <v>Active</v>
      </c>
    </row>
    <row r="5586" spans="1:3" ht="18" customHeight="1">
      <c r="A5586" t="str">
        <f>"319429"</f>
        <v>319429</v>
      </c>
      <c r="B5586" t="str">
        <f>"Pulley Timing Stock 55T  A6A15M055MXL18"</f>
        <v>Pulley Timing Stock 55T  A6A15M055MXL18</v>
      </c>
      <c r="C5586" t="str">
        <f t="shared" si="225"/>
        <v>Active</v>
      </c>
    </row>
    <row r="5587" spans="1:3" ht="18" customHeight="1">
      <c r="A5587" t="str">
        <f>"319430"</f>
        <v>319430</v>
      </c>
      <c r="B5587" t="str">
        <f>"Timing Pulley Stock T5"</f>
        <v>Timing Pulley Stock T5</v>
      </c>
      <c r="C5587" t="str">
        <f t="shared" si="225"/>
        <v>Active</v>
      </c>
    </row>
    <row r="5588" spans="1:3" ht="18" customHeight="1">
      <c r="A5588" t="str">
        <f>"319606"</f>
        <v>319606</v>
      </c>
      <c r="B5588" t="str">
        <f>"Pulley Timing Stock T80, P=2.03mm, L=200mm"</f>
        <v>Pulley Timing Stock T80, P=2.03mm, L=200mm</v>
      </c>
      <c r="C5588" t="str">
        <f t="shared" si="225"/>
        <v>Active</v>
      </c>
    </row>
    <row r="5589" spans="1:3" ht="18" customHeight="1">
      <c r="A5589" t="str">
        <f>"319607"</f>
        <v>319607</v>
      </c>
      <c r="B5589" t="str">
        <f>"Pulley Timing Stock T21,P=2.03mm, A6A15-021MLX04"</f>
        <v>Pulley Timing Stock T21,P=2.03mm, A6A15-021MLX04</v>
      </c>
      <c r="C5589" t="str">
        <f t="shared" si="225"/>
        <v>Active</v>
      </c>
    </row>
    <row r="5590" spans="1:3" ht="18" customHeight="1">
      <c r="A5590" t="str">
        <f>"319608"</f>
        <v>319608</v>
      </c>
      <c r="B5590" t="str">
        <f>"Pulley Timing Stock T56, A6A22M056TM20 HTD 3mm"</f>
        <v>Pulley Timing Stock T56, A6A22M056TM20 HTD 3mm</v>
      </c>
      <c r="C5590" t="str">
        <f t="shared" si="225"/>
        <v>Active</v>
      </c>
    </row>
    <row r="5591" spans="1:3" ht="18" customHeight="1">
      <c r="A5591" t="str">
        <f>"32-0000-0011"</f>
        <v>32-0000-0011</v>
      </c>
      <c r="B5591" t="str">
        <f>"Valve, Solenoid, Pneumatic"</f>
        <v>Valve, Solenoid, Pneumatic</v>
      </c>
      <c r="C5591" t="str">
        <f t="shared" si="225"/>
        <v>Active</v>
      </c>
    </row>
    <row r="5592" spans="1:3" ht="18" customHeight="1">
      <c r="A5592" t="str">
        <f>"32-0000-0014"</f>
        <v>32-0000-0014</v>
      </c>
      <c r="B5592" t="str">
        <f>"Speed Control, 230VAC input, 0-180VdC output"</f>
        <v>Speed Control, 230VAC input, 0-180VdC output</v>
      </c>
      <c r="C5592" t="str">
        <f t="shared" si="225"/>
        <v>Active</v>
      </c>
    </row>
    <row r="5593" spans="1:3" ht="18" customHeight="1">
      <c r="A5593" t="str">
        <f>"32-0000-0025"</f>
        <v>32-0000-0025</v>
      </c>
      <c r="B5593" t="str">
        <f>"Speed Control, 115VAC input, 0-90VdC output"</f>
        <v>Speed Control, 115VAC input, 0-90VdC output</v>
      </c>
      <c r="C5593" t="str">
        <f t="shared" si="225"/>
        <v>Active</v>
      </c>
    </row>
    <row r="5594" spans="1:3" ht="18" customHeight="1">
      <c r="A5594" t="str">
        <f>"32-0000-0083"</f>
        <v>32-0000-0083</v>
      </c>
      <c r="B5594" t="str">
        <f>"Solenoid, 240VAC Coil for 1/8"" valve"</f>
        <v>Solenoid, 240VAC Coil for 1/8" valve</v>
      </c>
      <c r="C5594" t="str">
        <f t="shared" si="225"/>
        <v>Active</v>
      </c>
    </row>
    <row r="5595" spans="1:3" ht="18" customHeight="1">
      <c r="A5595" t="str">
        <f>"32-0000-0107"</f>
        <v>32-0000-0107</v>
      </c>
      <c r="B5595" t="str">
        <f>"Speed Control, 115VAC, 0-130VdC output, 10A, 1HP"</f>
        <v>Speed Control, 115VAC, 0-130VdC output, 10A, 1HP</v>
      </c>
      <c r="C5595" t="str">
        <f t="shared" si="225"/>
        <v>Active</v>
      </c>
    </row>
    <row r="5596" spans="1:3" ht="18" customHeight="1">
      <c r="A5596" t="str">
        <f>"32-0000-0110"</f>
        <v>32-0000-0110</v>
      </c>
      <c r="B5596" t="str">
        <f>"Speed DC Motor Control, Input 115/230 VAC"</f>
        <v>Speed DC Motor Control, Input 115/230 VAC</v>
      </c>
      <c r="C5596" t="str">
        <f t="shared" si="225"/>
        <v>Active</v>
      </c>
    </row>
    <row r="5597" spans="1:3" ht="18" customHeight="1">
      <c r="A5597" t="str">
        <f>"32-1100-0042"</f>
        <v>32-1100-0042</v>
      </c>
      <c r="B5597" t="str">
        <f>"Resistor, 100K ohm, 1/4W , 1%, metal film"</f>
        <v>Resistor, 100K ohm, 1/4W , 1%, metal film</v>
      </c>
      <c r="C5597" t="str">
        <f t="shared" si="225"/>
        <v>Active</v>
      </c>
    </row>
    <row r="5598" spans="1:3" ht="18" customHeight="1">
      <c r="A5598" t="str">
        <f>"32-1100-0044"</f>
        <v>32-1100-0044</v>
      </c>
      <c r="B5598" t="str">
        <f>"Resistor, 1.5K ohm, 1/4W, 1%, metal film"</f>
        <v>Resistor, 1.5K ohm, 1/4W, 1%, metal film</v>
      </c>
      <c r="C5598" t="str">
        <f t="shared" si="225"/>
        <v>Active</v>
      </c>
    </row>
    <row r="5599" spans="1:3" ht="18" customHeight="1">
      <c r="A5599" t="str">
        <f>"32-1100-0084"</f>
        <v>32-1100-0084</v>
      </c>
      <c r="B5599" t="str">
        <f>"Resistor, 10K ohm, 1/4W, 5%, carbon film"</f>
        <v>Resistor, 10K ohm, 1/4W, 5%, carbon film</v>
      </c>
      <c r="C5599" t="str">
        <f t="shared" si="225"/>
        <v>Active</v>
      </c>
    </row>
    <row r="5600" spans="1:3" ht="18" customHeight="1">
      <c r="A5600" t="str">
        <f>"32-1100-0085"</f>
        <v>32-1100-0085</v>
      </c>
      <c r="B5600" t="str">
        <f>"Resistor, 1K ohm, 1/4W, 5%, carbon film"</f>
        <v>Resistor, 1K ohm, 1/4W, 5%, carbon film</v>
      </c>
      <c r="C5600" t="str">
        <f t="shared" si="225"/>
        <v>Active</v>
      </c>
    </row>
    <row r="5601" spans="1:3" ht="18" customHeight="1">
      <c r="A5601" t="str">
        <f>"32-1400-0003"</f>
        <v>32-1400-0003</v>
      </c>
      <c r="B5601" t="str">
        <f>"Potentiometer, 10K ohm, 2W, with SPDT switch"</f>
        <v>Potentiometer, 10K ohm, 2W, with SPDT switch</v>
      </c>
      <c r="C5601" t="str">
        <f t="shared" si="225"/>
        <v>Active</v>
      </c>
    </row>
    <row r="5602" spans="1:3" ht="18" customHeight="1">
      <c r="A5602" t="str">
        <f>"32-2100-0024"</f>
        <v>32-2100-0024</v>
      </c>
      <c r="B5602" t="str">
        <f>"Capacitor, 10uF, 25V, electrolytic, radial"</f>
        <v>Capacitor, 10uF, 25V, electrolytic, radial</v>
      </c>
      <c r="C5602" t="str">
        <f t="shared" si="225"/>
        <v>Active</v>
      </c>
    </row>
    <row r="5603" spans="1:3" ht="18" customHeight="1">
      <c r="A5603" t="str">
        <f>"32-2700-0005"</f>
        <v>32-2700-0005</v>
      </c>
      <c r="B5603" t="str">
        <f>"Capacitor, 0.01uF, 50V, monolythic, ceramic"</f>
        <v>Capacitor, 0.01uF, 50V, monolythic, ceramic</v>
      </c>
      <c r="C5603" t="str">
        <f t="shared" si="225"/>
        <v>Active</v>
      </c>
    </row>
    <row r="5604" spans="1:3" ht="18" customHeight="1">
      <c r="A5604" t="str">
        <f>"32-4100-0040"</f>
        <v>32-4100-0040</v>
      </c>
      <c r="B5604" t="str">
        <f>"IC, LM555 Timer, 4.5V-16V, 100nS, DIP8"</f>
        <v>IC, LM555 Timer, 4.5V-16V, 100nS, DIP8</v>
      </c>
      <c r="C5604" t="str">
        <f t="shared" ref="C5604:C5635" si="226">"Active"</f>
        <v>Active</v>
      </c>
    </row>
    <row r="5605" spans="1:3" ht="18" customHeight="1">
      <c r="A5605" t="str">
        <f>"32-5200-0027"</f>
        <v>32-5200-0027</v>
      </c>
      <c r="B5605" t="str">
        <f>"Wire, 16 awg, white, 26/30 strand, UL1007/UL1569"</f>
        <v>Wire, 16 awg, white, 26/30 strand, UL1007/UL1569</v>
      </c>
      <c r="C5605" t="str">
        <f t="shared" si="226"/>
        <v>Active</v>
      </c>
    </row>
    <row r="5606" spans="1:3" ht="18" customHeight="1">
      <c r="A5606" t="str">
        <f>"32-5200-0087"</f>
        <v>32-5200-0087</v>
      </c>
      <c r="B5606" t="str">
        <f>"Wire, 16 awg, black, 26/30 strand, MTW, UL1015"</f>
        <v>Wire, 16 awg, black, 26/30 strand, MTW, UL1015</v>
      </c>
      <c r="C5606" t="str">
        <f t="shared" si="226"/>
        <v>Active</v>
      </c>
    </row>
    <row r="5607" spans="1:3" ht="18" customHeight="1">
      <c r="A5607" t="str">
        <f>"32-5200-0088"</f>
        <v>32-5200-0088</v>
      </c>
      <c r="B5607" t="str">
        <f>"Wire, 16 awg, white, 26/30 strand, MTW, UL1015"</f>
        <v>Wire, 16 awg, white, 26/30 strand, MTW, UL1015</v>
      </c>
      <c r="C5607" t="str">
        <f t="shared" si="226"/>
        <v>Active</v>
      </c>
    </row>
    <row r="5608" spans="1:3" ht="18" customHeight="1">
      <c r="A5608" t="str">
        <f>"32-5200-0089"</f>
        <v>32-5200-0089</v>
      </c>
      <c r="B5608" t="str">
        <f>"Wire, 16 awg, brown, 26/30 strand, MTW, UL1015"</f>
        <v>Wire, 16 awg, brown, 26/30 strand, MTW, UL1015</v>
      </c>
      <c r="C5608" t="str">
        <f t="shared" si="226"/>
        <v>Active</v>
      </c>
    </row>
    <row r="5609" spans="1:3" ht="18" customHeight="1">
      <c r="A5609" t="str">
        <f>"32-5200-0090"</f>
        <v>32-5200-0090</v>
      </c>
      <c r="B5609" t="str">
        <f>"Wire, 16 awg, green, 26/30 strand, MTW, UL1015"</f>
        <v>Wire, 16 awg, green, 26/30 strand, MTW, UL1015</v>
      </c>
      <c r="C5609" t="str">
        <f t="shared" si="226"/>
        <v>Active</v>
      </c>
    </row>
    <row r="5610" spans="1:3" ht="18" customHeight="1">
      <c r="A5610" t="str">
        <f>"32-5200-0091"</f>
        <v>32-5200-0091</v>
      </c>
      <c r="B5610" t="str">
        <f>"Wire, 16 awg, blue, 26/30 strand, MTW, UL1015"</f>
        <v>Wire, 16 awg, blue, 26/30 strand, MTW, UL1015</v>
      </c>
      <c r="C5610" t="str">
        <f t="shared" si="226"/>
        <v>Active</v>
      </c>
    </row>
    <row r="5611" spans="1:3" ht="18" customHeight="1">
      <c r="A5611" t="str">
        <f>"32-5200-0092"</f>
        <v>32-5200-0092</v>
      </c>
      <c r="B5611" t="str">
        <f>"Wire, 16 awg, red, 26/30 strand, MTW, UL1015"</f>
        <v>Wire, 16 awg, red, 26/30 strand, MTW, UL1015</v>
      </c>
      <c r="C5611" t="str">
        <f t="shared" si="226"/>
        <v>Active</v>
      </c>
    </row>
    <row r="5612" spans="1:3" ht="18" customHeight="1">
      <c r="A5612" t="str">
        <f>"32-5200-0093"</f>
        <v>32-5200-0093</v>
      </c>
      <c r="B5612" t="str">
        <f>"Wire, 16 awg, orange, 26/30 strand, MTW, UL1015"</f>
        <v>Wire, 16 awg, orange, 26/30 strand, MTW, UL1015</v>
      </c>
      <c r="C5612" t="str">
        <f t="shared" si="226"/>
        <v>Active</v>
      </c>
    </row>
    <row r="5613" spans="1:3" ht="18" customHeight="1">
      <c r="A5613" t="str">
        <f>"32-5200-0094"</f>
        <v>32-5200-0094</v>
      </c>
      <c r="B5613" t="str">
        <f>"Wire, 16 awg, violet, 26/30 strand, MTW, UL1015"</f>
        <v>Wire, 16 awg, violet, 26/30 strand, MTW, UL1015</v>
      </c>
      <c r="C5613" t="str">
        <f t="shared" si="226"/>
        <v>Active</v>
      </c>
    </row>
    <row r="5614" spans="1:3" ht="18" customHeight="1">
      <c r="A5614" t="str">
        <f>"32-5200-0095"</f>
        <v>32-5200-0095</v>
      </c>
      <c r="B5614" t="str">
        <f>"Wire, 16 awg, pink, 26/30 strand, MTW, UL1015"</f>
        <v>Wire, 16 awg, pink, 26/30 strand, MTW, UL1015</v>
      </c>
      <c r="C5614" t="str">
        <f t="shared" si="226"/>
        <v>Active</v>
      </c>
    </row>
    <row r="5615" spans="1:3" ht="18" customHeight="1">
      <c r="A5615" t="str">
        <f>"32-5200-0096"</f>
        <v>32-5200-0096</v>
      </c>
      <c r="B5615" t="str">
        <f>"Wire, 16 awg, gray, 26/30 strand, MTW, UL1015"</f>
        <v>Wire, 16 awg, gray, 26/30 strand, MTW, UL1015</v>
      </c>
      <c r="C5615" t="str">
        <f t="shared" si="226"/>
        <v>Active</v>
      </c>
    </row>
    <row r="5616" spans="1:3" ht="18" customHeight="1">
      <c r="A5616" t="str">
        <f>"32-5200-0097"</f>
        <v>32-5200-0097</v>
      </c>
      <c r="B5616" t="str">
        <f>"Wire, 16 awg, yellow, 26/30 strand, MTW, UL1015"</f>
        <v>Wire, 16 awg, yellow, 26/30 strand, MTW, UL1015</v>
      </c>
      <c r="C5616" t="str">
        <f t="shared" si="226"/>
        <v>Active</v>
      </c>
    </row>
    <row r="5617" spans="1:3" ht="18" customHeight="1">
      <c r="A5617" t="str">
        <f>"32-5200-0098"</f>
        <v>32-5200-0098</v>
      </c>
      <c r="B5617" t="str">
        <f>"Wire, 22 awg, black, 7/30 strand, UL1061"</f>
        <v>Wire, 22 awg, black, 7/30 strand, UL1061</v>
      </c>
      <c r="C5617" t="str">
        <f t="shared" si="226"/>
        <v>Active</v>
      </c>
    </row>
    <row r="5618" spans="1:3" ht="18" customHeight="1">
      <c r="A5618" t="str">
        <f>"32-5200-0099"</f>
        <v>32-5200-0099</v>
      </c>
      <c r="B5618" t="str">
        <f>"Wire, 22 awg, white, 7/30 strand, UL1015"</f>
        <v>Wire, 22 awg, white, 7/30 strand, UL1015</v>
      </c>
      <c r="C5618" t="str">
        <f t="shared" si="226"/>
        <v>Active</v>
      </c>
    </row>
    <row r="5619" spans="1:3" ht="18" customHeight="1">
      <c r="A5619" t="str">
        <f>"32-5200-0100"</f>
        <v>32-5200-0100</v>
      </c>
      <c r="B5619" t="str">
        <f>"Wire, 22 awg, red, 7/30 strand, UL1015"</f>
        <v>Wire, 22 awg, red, 7/30 strand, UL1015</v>
      </c>
      <c r="C5619" t="str">
        <f t="shared" si="226"/>
        <v>Active</v>
      </c>
    </row>
    <row r="5620" spans="1:3" ht="18" customHeight="1">
      <c r="A5620" t="str">
        <f>"32-5200-0101"</f>
        <v>32-5200-0101</v>
      </c>
      <c r="B5620" t="str">
        <f>"Wire, 22 awg, orange, 7/30 strand, UL1015"</f>
        <v>Wire, 22 awg, orange, 7/30 strand, UL1015</v>
      </c>
      <c r="C5620" t="str">
        <f t="shared" si="226"/>
        <v>Active</v>
      </c>
    </row>
    <row r="5621" spans="1:3" ht="18" customHeight="1">
      <c r="A5621" t="str">
        <f>"32-5200-0102"</f>
        <v>32-5200-0102</v>
      </c>
      <c r="B5621" t="str">
        <f>"Wire, 22 awg, yellow, 7/30 strand, UL1015"</f>
        <v>Wire, 22 awg, yellow, 7/30 strand, UL1015</v>
      </c>
      <c r="C5621" t="str">
        <f t="shared" si="226"/>
        <v>Active</v>
      </c>
    </row>
    <row r="5622" spans="1:3" ht="18" customHeight="1">
      <c r="A5622" t="str">
        <f>"32-5200-0103"</f>
        <v>32-5200-0103</v>
      </c>
      <c r="B5622" t="str">
        <f>"Wire, 22 awg, green, 7/30 strand, UL1015"</f>
        <v>Wire, 22 awg, green, 7/30 strand, UL1015</v>
      </c>
      <c r="C5622" t="str">
        <f t="shared" si="226"/>
        <v>Active</v>
      </c>
    </row>
    <row r="5623" spans="1:3" ht="18" customHeight="1">
      <c r="A5623" t="str">
        <f>"32-5200-0104"</f>
        <v>32-5200-0104</v>
      </c>
      <c r="B5623" t="str">
        <f>"Wire, 22 awg, blue, 7/30 strand, UL1015"</f>
        <v>Wire, 22 awg, blue, 7/30 strand, UL1015</v>
      </c>
      <c r="C5623" t="str">
        <f t="shared" si="226"/>
        <v>Active</v>
      </c>
    </row>
    <row r="5624" spans="1:3" ht="18" customHeight="1">
      <c r="A5624" t="str">
        <f>"32-5200-0105"</f>
        <v>32-5200-0105</v>
      </c>
      <c r="B5624" t="str">
        <f>"Wire, 22 awg, brown, 7/30 strand, UL1015"</f>
        <v>Wire, 22 awg, brown, 7/30 strand, UL1015</v>
      </c>
      <c r="C5624" t="str">
        <f t="shared" si="226"/>
        <v>Active</v>
      </c>
    </row>
    <row r="5625" spans="1:3" ht="18" customHeight="1">
      <c r="A5625" t="str">
        <f>"32-5200-0106"</f>
        <v>32-5200-0106</v>
      </c>
      <c r="B5625" t="str">
        <f>"Wire, 22 awg, gray, 7/30 strand, UL1015"</f>
        <v>Wire, 22 awg, gray, 7/30 strand, UL1015</v>
      </c>
      <c r="C5625" t="str">
        <f t="shared" si="226"/>
        <v>Active</v>
      </c>
    </row>
    <row r="5626" spans="1:3" ht="18" customHeight="1">
      <c r="A5626" t="str">
        <f>"32-5200-0108"</f>
        <v>32-5200-0108</v>
      </c>
      <c r="B5626" t="str">
        <f>"Wire, 12 awg, black, solid strand, THHN"</f>
        <v>Wire, 12 awg, black, solid strand, THHN</v>
      </c>
      <c r="C5626" t="str">
        <f t="shared" si="226"/>
        <v>Active</v>
      </c>
    </row>
    <row r="5627" spans="1:3" ht="18" customHeight="1">
      <c r="A5627" t="str">
        <f>"32-5200-0109"</f>
        <v>32-5200-0109</v>
      </c>
      <c r="B5627" t="str">
        <f>"Wire, 14 awg, black, solid strand, THHN"</f>
        <v>Wire, 14 awg, black, solid strand, THHN</v>
      </c>
      <c r="C5627" t="str">
        <f t="shared" si="226"/>
        <v>Active</v>
      </c>
    </row>
    <row r="5628" spans="1:3" ht="18" customHeight="1">
      <c r="A5628" t="str">
        <f>"32-5300-0026"</f>
        <v>32-5300-0026</v>
      </c>
      <c r="B5628" t="str">
        <f>"Cable, Robot Interface, DB9F-to-Blunt,"</f>
        <v>Cable, Robot Interface, DB9F-to-Blunt,</v>
      </c>
      <c r="C5628" t="str">
        <f t="shared" si="226"/>
        <v>Active</v>
      </c>
    </row>
    <row r="5629" spans="1:3" ht="18" customHeight="1">
      <c r="A5629" t="str">
        <f>"32-5300-0054"</f>
        <v>32-5300-0054</v>
      </c>
      <c r="B5629" t="str">
        <f>"Cable, 22/4C, shielded, PVC, UL2464"</f>
        <v>Cable, 22/4C, shielded, PVC, UL2464</v>
      </c>
      <c r="C5629" t="str">
        <f t="shared" si="226"/>
        <v>Active</v>
      </c>
    </row>
    <row r="5630" spans="1:3" ht="18" customHeight="1">
      <c r="A5630" t="str">
        <f>"32-5400-0350"</f>
        <v>32-5400-0350</v>
      </c>
      <c r="B5630" t="str">
        <f>"Cable Assembly, VMC-4000 BMC"</f>
        <v>Cable Assembly, VMC-4000 BMC</v>
      </c>
      <c r="C5630" t="str">
        <f t="shared" si="226"/>
        <v>Active</v>
      </c>
    </row>
    <row r="5631" spans="1:3" ht="18" customHeight="1">
      <c r="A5631" t="str">
        <f>"32-5400-0633"</f>
        <v>32-5400-0633</v>
      </c>
      <c r="B5631" t="str">
        <f>"Cable Assembly, EXM/SPLM, Robot/CNC Integration"</f>
        <v>Cable Assembly, EXM/SPLM, Robot/CNC Integration</v>
      </c>
      <c r="C5631" t="str">
        <f t="shared" si="226"/>
        <v>Active</v>
      </c>
    </row>
    <row r="5632" spans="1:3" ht="18" customHeight="1">
      <c r="A5632" t="str">
        <f>"32-6100-0002"</f>
        <v>32-6100-0002</v>
      </c>
      <c r="B5632" t="str">
        <f>"Contact Block, NO, green, FOR CUSTOMER SERVICE"</f>
        <v>Contact Block, NO, green, FOR CUSTOMER SERVICE</v>
      </c>
      <c r="C5632" t="str">
        <f t="shared" si="226"/>
        <v>Active</v>
      </c>
    </row>
    <row r="5633" spans="1:3" ht="18" customHeight="1">
      <c r="A5633" t="str">
        <f>"32-6100-0003"</f>
        <v>32-6100-0003</v>
      </c>
      <c r="B5633" t="str">
        <f>"Contact Block, NC, red, FOR CUSTOMER SERVICE"</f>
        <v>Contact Block, NC, red, FOR CUSTOMER SERVICE</v>
      </c>
      <c r="C5633" t="str">
        <f t="shared" si="226"/>
        <v>Active</v>
      </c>
    </row>
    <row r="5634" spans="1:3" ht="18" customHeight="1">
      <c r="A5634" t="str">
        <f>"32-6100-0004"</f>
        <v>32-6100-0004</v>
      </c>
      <c r="B5634" t="str">
        <f>"Contact Block, NC, 5A, snap mount w/carrier"</f>
        <v>Contact Block, NC, 5A, snap mount w/carrier</v>
      </c>
      <c r="C5634" t="str">
        <f t="shared" si="226"/>
        <v>Active</v>
      </c>
    </row>
    <row r="5635" spans="1:3" ht="18" customHeight="1">
      <c r="A5635" t="str">
        <f>"32-6200-0001"</f>
        <v>32-6200-0001</v>
      </c>
      <c r="B5635" t="str">
        <f>"Switch, E-Stop PB, FOR CUSTOMER SERVICE"</f>
        <v>Switch, E-Stop PB, FOR CUSTOMER SERVICE</v>
      </c>
      <c r="C5635" t="str">
        <f t="shared" si="226"/>
        <v>Active</v>
      </c>
    </row>
    <row r="5636" spans="1:3" ht="18" customHeight="1">
      <c r="A5636" t="str">
        <f>"32-6200-0005"</f>
        <v>32-6200-0005</v>
      </c>
      <c r="B5636" t="str">
        <f>"Switch, Magnetic"</f>
        <v>Switch, Magnetic</v>
      </c>
      <c r="C5636" t="str">
        <f t="shared" ref="C5636:C5667" si="227">"Active"</f>
        <v>Active</v>
      </c>
    </row>
    <row r="5637" spans="1:3" ht="18" customHeight="1">
      <c r="A5637" t="str">
        <f>"32-6200-0007"</f>
        <v>32-6200-0007</v>
      </c>
      <c r="B5637" t="str">
        <f>"Switch, limit, roller lever, SPDT, 10A, .110 tab"</f>
        <v>Switch, limit, roller lever, SPDT, 10A, .110 tab</v>
      </c>
      <c r="C5637" t="str">
        <f t="shared" si="227"/>
        <v>Active</v>
      </c>
    </row>
    <row r="5638" spans="1:3" ht="18" customHeight="1">
      <c r="A5638" t="str">
        <f>"32-6200-0010"</f>
        <v>32-6200-0010</v>
      </c>
      <c r="B5638" t="str">
        <f>"Switch, magnetic reed, SPDT, NO/NC, wide gap"</f>
        <v>Switch, magnetic reed, SPDT, NO/NC, wide gap</v>
      </c>
      <c r="C5638" t="str">
        <f t="shared" si="227"/>
        <v>Active</v>
      </c>
    </row>
    <row r="5639" spans="1:3" ht="18" customHeight="1">
      <c r="A5639" t="str">
        <f>"32-6200-0017"</f>
        <v>32-6200-0017</v>
      </c>
      <c r="B5639" t="str">
        <f>"Switch, E-Stop PB, twist release, 22mm"</f>
        <v>Switch, E-Stop PB, twist release, 22mm</v>
      </c>
      <c r="C5639" t="str">
        <f t="shared" si="227"/>
        <v>Active</v>
      </c>
    </row>
    <row r="5640" spans="1:3" ht="18" customHeight="1">
      <c r="A5640" t="str">
        <f>"32-6200-0043"</f>
        <v>32-6200-0043</v>
      </c>
      <c r="B5640" t="str">
        <f>"Switch, toggle, miniature, on-on, SPDT, 3A"</f>
        <v>Switch, toggle, miniature, on-on, SPDT, 3A</v>
      </c>
      <c r="C5640" t="str">
        <f t="shared" si="227"/>
        <v>Active</v>
      </c>
    </row>
    <row r="5641" spans="1:3" ht="18" customHeight="1">
      <c r="A5641" t="str">
        <f>"32-6200-0048"</f>
        <v>32-6200-0048</v>
      </c>
      <c r="B5641" t="str">
        <f>"Switch, toggle, miniature, on-on, SPDT 5A solder"</f>
        <v>Switch, toggle, miniature, on-on, SPDT 5A solder</v>
      </c>
      <c r="C5641" t="str">
        <f t="shared" si="227"/>
        <v>Active</v>
      </c>
    </row>
    <row r="5642" spans="1:3" ht="18" customHeight="1">
      <c r="A5642" t="str">
        <f>"32-7102-0001"</f>
        <v>32-7102-0001</v>
      </c>
      <c r="B5642" t="str">
        <f>"Connector, housing, 2-pos, shunt"</f>
        <v>Connector, housing, 2-pos, shunt</v>
      </c>
      <c r="C5642" t="str">
        <f t="shared" si="227"/>
        <v>Active</v>
      </c>
    </row>
    <row r="5643" spans="1:3" ht="18" customHeight="1">
      <c r="A5643" t="str">
        <f>"32-7301-0001"</f>
        <v>32-7301-0001</v>
      </c>
      <c r="B5643" t="str">
        <f>"Testpoint, miniature, black"</f>
        <v>Testpoint, miniature, black</v>
      </c>
      <c r="C5643" t="str">
        <f t="shared" si="227"/>
        <v>Active</v>
      </c>
    </row>
    <row r="5644" spans="1:3" ht="18" customHeight="1">
      <c r="A5644" t="str">
        <f>"32-7301-0002"</f>
        <v>32-7301-0002</v>
      </c>
      <c r="B5644" t="str">
        <f>"Testpoint, Miniature, White"</f>
        <v>Testpoint, Miniature, White</v>
      </c>
      <c r="C5644" t="str">
        <f t="shared" si="227"/>
        <v>Active</v>
      </c>
    </row>
    <row r="5645" spans="1:3" ht="18" customHeight="1">
      <c r="A5645" t="str">
        <f>"32-7301-0003"</f>
        <v>32-7301-0003</v>
      </c>
      <c r="B5645" t="str">
        <f>"Testpoint, Miniature, Red"</f>
        <v>Testpoint, Miniature, Red</v>
      </c>
      <c r="C5645" t="str">
        <f t="shared" si="227"/>
        <v>Active</v>
      </c>
    </row>
    <row r="5646" spans="1:3" ht="18" customHeight="1">
      <c r="A5646" t="str">
        <f>"32-7302-0007"</f>
        <v>32-7302-0007</v>
      </c>
      <c r="B5646" t="str">
        <f>"Connector, header, 3-pin, 0.1 spacing, SIP"</f>
        <v>Connector, header, 3-pin, 0.1 spacing, SIP</v>
      </c>
      <c r="C5646" t="str">
        <f t="shared" si="227"/>
        <v>Active</v>
      </c>
    </row>
    <row r="5647" spans="1:3" ht="18" customHeight="1">
      <c r="A5647" t="str">
        <f>"32-7320-0000"</f>
        <v>32-7320-0000</v>
      </c>
      <c r="B5647" t="str">
        <f>"Connector, test point, yellow, PCB"</f>
        <v>Connector, test point, yellow, PCB</v>
      </c>
      <c r="C5647" t="str">
        <f t="shared" si="227"/>
        <v>Active</v>
      </c>
    </row>
    <row r="5648" spans="1:3" ht="18" customHeight="1">
      <c r="A5648" t="str">
        <f>"32-7406-0002"</f>
        <v>32-7406-0002</v>
      </c>
      <c r="B5648" t="str">
        <f>"Connector, housing, 6-pos, 0.1 spacing, locking"</f>
        <v>Connector, housing, 6-pos, 0.1 spacing, locking</v>
      </c>
      <c r="C5648" t="str">
        <f t="shared" si="227"/>
        <v>Active</v>
      </c>
    </row>
    <row r="5649" spans="1:3" ht="18" customHeight="1">
      <c r="A5649" t="str">
        <f>"32-7608-0001"</f>
        <v>32-7608-0001</v>
      </c>
      <c r="B5649" t="str">
        <f>"Socket, 8 pin, DIP, 0.3 spacing"</f>
        <v>Socket, 8 pin, DIP, 0.3 spacing</v>
      </c>
      <c r="C5649" t="str">
        <f t="shared" si="227"/>
        <v>Active</v>
      </c>
    </row>
    <row r="5650" spans="1:3" ht="18" customHeight="1">
      <c r="A5650" t="str">
        <f>"32-7700-0001"</f>
        <v>32-7700-0001</v>
      </c>
      <c r="B5650" t="str">
        <f>"Connector, Fork, #8 stud, 22-18 awg, red"</f>
        <v>Connector, Fork, #8 stud, 22-18 awg, red</v>
      </c>
      <c r="C5650" t="str">
        <f t="shared" si="227"/>
        <v>Active</v>
      </c>
    </row>
    <row r="5651" spans="1:3" ht="18" customHeight="1">
      <c r="A5651" t="str">
        <f>"32-7700-0008"</f>
        <v>32-7700-0008</v>
      </c>
      <c r="B5651" t="str">
        <f>"Connector, Ring, #10 stud, 16-14 awg, blue"</f>
        <v>Connector, Ring, #10 stud, 16-14 awg, blue</v>
      </c>
      <c r="C5651" t="str">
        <f t="shared" si="227"/>
        <v>Active</v>
      </c>
    </row>
    <row r="5652" spans="1:3" ht="18" customHeight="1">
      <c r="A5652" t="str">
        <f>"32-7700-0010"</f>
        <v>32-7700-0010</v>
      </c>
      <c r="B5652" t="str">
        <f>"Connector, Spade, .187 female, 16-14 awg, blue"</f>
        <v>Connector, Spade, .187 female, 16-14 awg, blue</v>
      </c>
      <c r="C5652" t="str">
        <f t="shared" si="227"/>
        <v>Active</v>
      </c>
    </row>
    <row r="5653" spans="1:3" ht="18" customHeight="1">
      <c r="A5653" t="str">
        <f>"32-7700-0025"</f>
        <v>32-7700-0025</v>
      </c>
      <c r="B5653" t="str">
        <f>"Connector, Ring, #10 stud, 14-16 awg, blue, CE"</f>
        <v>Connector, Ring, #10 stud, 14-16 awg, blue, CE</v>
      </c>
      <c r="C5653" t="str">
        <f t="shared" si="227"/>
        <v>Active</v>
      </c>
    </row>
    <row r="5654" spans="1:3" ht="18" customHeight="1">
      <c r="A5654" t="str">
        <f>"32-7700-0026"</f>
        <v>32-7700-0026</v>
      </c>
      <c r="B5654" t="str">
        <f>"Connector, Ring, 1/4 stud, 14-16 awg, blue"</f>
        <v>Connector, Ring, 1/4 stud, 14-16 awg, blue</v>
      </c>
      <c r="C5654" t="str">
        <f t="shared" si="227"/>
        <v>Active</v>
      </c>
    </row>
    <row r="5655" spans="1:3" ht="18" customHeight="1">
      <c r="A5655" t="str">
        <f>"32-7700-0027"</f>
        <v>32-7700-0027</v>
      </c>
      <c r="B5655" t="str">
        <f>"Connector, Spade, .250 female,16-14awg, blue, CE"</f>
        <v>Connector, Spade, .250 female,16-14awg, blue, CE</v>
      </c>
      <c r="C5655" t="str">
        <f t="shared" si="227"/>
        <v>Active</v>
      </c>
    </row>
    <row r="5656" spans="1:3" ht="18" customHeight="1">
      <c r="A5656" t="str">
        <f>"32-7700-0029"</f>
        <v>32-7700-0029</v>
      </c>
      <c r="B5656" t="str">
        <f>"Connector, Flag, .250 female, 16-14awg, blue, CE"</f>
        <v>Connector, Flag, .250 female, 16-14awg, blue, CE</v>
      </c>
      <c r="C5656" t="str">
        <f t="shared" si="227"/>
        <v>Active</v>
      </c>
    </row>
    <row r="5657" spans="1:3" ht="18" customHeight="1">
      <c r="A5657" t="str">
        <f>"32-7700-0030"</f>
        <v>32-7700-0030</v>
      </c>
      <c r="B5657" t="str">
        <f>"Connector, Ring, #8 stud, 22-18 awg, red"</f>
        <v>Connector, Ring, #8 stud, 22-18 awg, red</v>
      </c>
      <c r="C5657" t="str">
        <f t="shared" si="227"/>
        <v>Active</v>
      </c>
    </row>
    <row r="5658" spans="1:3" ht="18" customHeight="1">
      <c r="A5658" t="str">
        <f>"32-7700-0033"</f>
        <v>32-7700-0033</v>
      </c>
      <c r="B5658" t="str">
        <f>"Connector, Fork, #8 stud, 16-14 awg, blue"</f>
        <v>Connector, Fork, #8 stud, 16-14 awg, blue</v>
      </c>
      <c r="C5658" t="str">
        <f t="shared" si="227"/>
        <v>Active</v>
      </c>
    </row>
    <row r="5659" spans="1:3" ht="18" customHeight="1">
      <c r="A5659" t="str">
        <f>"32-7700-0035"</f>
        <v>32-7700-0035</v>
      </c>
      <c r="B5659" t="str">
        <f>"Connector, Fork, #6 stud, 16-14 awg, blue"</f>
        <v>Connector, Fork, #6 stud, 16-14 awg, blue</v>
      </c>
      <c r="C5659" t="str">
        <f t="shared" si="227"/>
        <v>Active</v>
      </c>
    </row>
    <row r="5660" spans="1:3" ht="18" customHeight="1">
      <c r="A5660" t="str">
        <f>"32-7900-0030"</f>
        <v>32-7900-0030</v>
      </c>
      <c r="B5660" t="str">
        <f>"Connector, terminal, high pressure, 30-24 awg"</f>
        <v>Connector, terminal, high pressure, 30-24 awg</v>
      </c>
      <c r="C5660" t="str">
        <f t="shared" si="227"/>
        <v>Active</v>
      </c>
    </row>
    <row r="5661" spans="1:3" ht="18" customHeight="1">
      <c r="A5661" t="str">
        <f>"32-7900-0034"</f>
        <v>32-7900-0034</v>
      </c>
      <c r="B5661" t="str">
        <f>"Connector, ferrule, 24 awg, 8mm barrel, yellow"</f>
        <v>Connector, ferrule, 24 awg, 8mm barrel, yellow</v>
      </c>
      <c r="C5661" t="str">
        <f t="shared" si="227"/>
        <v>Active</v>
      </c>
    </row>
    <row r="5662" spans="1:3" ht="18" customHeight="1">
      <c r="A5662" t="str">
        <f>"32-7900-0036"</f>
        <v>32-7900-0036</v>
      </c>
      <c r="B5662" t="str">
        <f>"End sleeve conn. 16 awg, 6mm barrel, black"</f>
        <v>End sleeve conn. 16 awg, 6mm barrel, black</v>
      </c>
      <c r="C5662" t="str">
        <f t="shared" si="227"/>
        <v>Active</v>
      </c>
    </row>
    <row r="5663" spans="1:3" ht="18" customHeight="1">
      <c r="A5663" t="str">
        <f>"32-7900-0056"</f>
        <v>32-7900-0056</v>
      </c>
      <c r="B5663" t="str">
        <f>"Connector, ferrule, 22 awg, 8mm barrel, white"</f>
        <v>Connector, ferrule, 22 awg, 8mm barrel, white</v>
      </c>
      <c r="C5663" t="str">
        <f t="shared" si="227"/>
        <v>Active</v>
      </c>
    </row>
    <row r="5664" spans="1:3" ht="18" customHeight="1">
      <c r="A5664" t="str">
        <f>"32-8100-0010"</f>
        <v>32-8100-0010</v>
      </c>
      <c r="B5664" t="str">
        <f>"Tubing, heat shrink, 1/4""-1/8"", black"</f>
        <v>Tubing, heat shrink, 1/4"-1/8", black</v>
      </c>
      <c r="C5664" t="str">
        <f t="shared" si="227"/>
        <v>Active</v>
      </c>
    </row>
    <row r="5665" spans="1:3" ht="18" customHeight="1">
      <c r="A5665" t="str">
        <f>"32-8100-0011"</f>
        <v>32-8100-0011</v>
      </c>
      <c r="B5665" t="str">
        <f>"Tubing, heat shrink, 1/8""-1/16"", black"</f>
        <v>Tubing, heat shrink, 1/8"-1/16", black</v>
      </c>
      <c r="C5665" t="str">
        <f t="shared" si="227"/>
        <v>Active</v>
      </c>
    </row>
    <row r="5666" spans="1:3" ht="18" customHeight="1">
      <c r="A5666" t="str">
        <f>"32-8100-0012"</f>
        <v>32-8100-0012</v>
      </c>
      <c r="B5666" t="str">
        <f>"Wire Nut, 18-14 AWG"</f>
        <v>Wire Nut, 18-14 AWG</v>
      </c>
      <c r="C5666" t="str">
        <f t="shared" si="227"/>
        <v>Active</v>
      </c>
    </row>
    <row r="5667" spans="1:3" ht="18" customHeight="1">
      <c r="A5667" t="str">
        <f>"32-8100-0021"</f>
        <v>32-8100-0021</v>
      </c>
      <c r="B5667" t="str">
        <f>"Tubing, heat shrink, 3/4"", black"</f>
        <v>Tubing, heat shrink, 3/4", black</v>
      </c>
      <c r="C5667" t="str">
        <f t="shared" si="227"/>
        <v>Active</v>
      </c>
    </row>
    <row r="5668" spans="1:3" ht="18" customHeight="1">
      <c r="A5668" t="str">
        <f>"32-8300-0009"</f>
        <v>32-8300-0009</v>
      </c>
      <c r="B5668" t="str">
        <f>"Strain Relief, liquid tight, plastic, PG13.5"</f>
        <v>Strain Relief, liquid tight, plastic, PG13.5</v>
      </c>
      <c r="C5668" t="str">
        <f t="shared" ref="C5668:C5699" si="228">"Active"</f>
        <v>Active</v>
      </c>
    </row>
    <row r="5669" spans="1:3" ht="18" customHeight="1">
      <c r="A5669" t="str">
        <f>"32-8300-0014"</f>
        <v>32-8300-0014</v>
      </c>
      <c r="B5669" t="str">
        <f>"Strain Relief, liquid tight, plastic, PG11"</f>
        <v>Strain Relief, liquid tight, plastic, PG11</v>
      </c>
      <c r="C5669" t="str">
        <f t="shared" si="228"/>
        <v>Active</v>
      </c>
    </row>
    <row r="5670" spans="1:3" ht="18" customHeight="1">
      <c r="A5670" t="str">
        <f>"32-8300-0015"</f>
        <v>32-8300-0015</v>
      </c>
      <c r="B5670" t="str">
        <f>"Strain Relief, liquid tight, plastic, PG9"</f>
        <v>Strain Relief, liquid tight, plastic, PG9</v>
      </c>
      <c r="C5670" t="str">
        <f t="shared" si="228"/>
        <v>Active</v>
      </c>
    </row>
    <row r="5671" spans="1:3" ht="18" customHeight="1">
      <c r="A5671" t="str">
        <f>"32-8400-0000"</f>
        <v>32-8400-0000</v>
      </c>
      <c r="B5671" t="str">
        <f>"DIN rail, 35mm x 15mm, perforated steel"</f>
        <v>DIN rail, 35mm x 15mm, perforated steel</v>
      </c>
      <c r="C5671" t="str">
        <f t="shared" si="228"/>
        <v>Active</v>
      </c>
    </row>
    <row r="5672" spans="1:3" ht="18" customHeight="1">
      <c r="A5672" t="str">
        <f>"32-8500-0001"</f>
        <v>32-8500-0001</v>
      </c>
      <c r="B5672" t="str">
        <f>"Clamp, cord clip, 3/16"", adhesive, nylon, white"</f>
        <v>Clamp, cord clip, 3/16", adhesive, nylon, white</v>
      </c>
      <c r="C5672" t="str">
        <f t="shared" si="228"/>
        <v>Active</v>
      </c>
    </row>
    <row r="5673" spans="1:3" ht="18" customHeight="1">
      <c r="A5673" t="str">
        <f>"32-8500-0002"</f>
        <v>32-8500-0002</v>
      </c>
      <c r="B5673" t="str">
        <f>"Cable Tie, 11"", nylon, black"</f>
        <v>Cable Tie, 11", nylon, black</v>
      </c>
      <c r="C5673" t="str">
        <f t="shared" si="228"/>
        <v>Active</v>
      </c>
    </row>
    <row r="5674" spans="1:3" ht="18" customHeight="1">
      <c r="A5674" t="str">
        <f>"32-8500-0003"</f>
        <v>32-8500-0003</v>
      </c>
      <c r="B5674" t="str">
        <f>"Cable Tie, 4"", nylon, white"</f>
        <v>Cable Tie, 4", nylon, white</v>
      </c>
      <c r="C5674" t="str">
        <f t="shared" si="228"/>
        <v>Active</v>
      </c>
    </row>
    <row r="5675" spans="1:3" ht="18" customHeight="1">
      <c r="A5675" t="str">
        <f>"32-8500-0007"</f>
        <v>32-8500-0007</v>
      </c>
      <c r="B5675" t="str">
        <f>"Clamp, P-clip, 1/4"" dia, nylon, white"</f>
        <v>Clamp, P-clip, 1/4" dia, nylon, white</v>
      </c>
      <c r="C5675" t="str">
        <f t="shared" si="228"/>
        <v>Active</v>
      </c>
    </row>
    <row r="5676" spans="1:3" ht="18" customHeight="1">
      <c r="A5676" t="str">
        <f>"32-8500-0008"</f>
        <v>32-8500-0008</v>
      </c>
      <c r="B5676" t="str">
        <f>"Clamp, P-clip, 1/8"" dia, nylon, black"</f>
        <v>Clamp, P-clip, 1/8" dia, nylon, black</v>
      </c>
      <c r="C5676" t="str">
        <f t="shared" si="228"/>
        <v>Active</v>
      </c>
    </row>
    <row r="5677" spans="1:3" ht="18" customHeight="1">
      <c r="A5677" t="str">
        <f>"32-8500-0010"</f>
        <v>32-8500-0010</v>
      </c>
      <c r="B5677" t="str">
        <f>"Clamp, P-clip, 3/8"" dia, nylon, white"</f>
        <v>Clamp, P-clip, 3/8" dia, nylon, white</v>
      </c>
      <c r="C5677" t="str">
        <f t="shared" si="228"/>
        <v>Active</v>
      </c>
    </row>
    <row r="5678" spans="1:3" ht="18" customHeight="1">
      <c r="A5678" t="str">
        <f>"32-8500-0011"</f>
        <v>32-8500-0011</v>
      </c>
      <c r="B5678" t="str">
        <f>"Clamp, P-clip, 3/16"" dia, nylon, black"</f>
        <v>Clamp, P-clip, 3/16" dia, nylon, black</v>
      </c>
      <c r="C5678" t="str">
        <f t="shared" si="228"/>
        <v>Active</v>
      </c>
    </row>
    <row r="5679" spans="1:3" ht="18" customHeight="1">
      <c r="A5679" t="str">
        <f>"32-8500-0013"</f>
        <v>32-8500-0013</v>
      </c>
      <c r="B5679" t="str">
        <f>"Clamp, P-clip, 5/16"" dia, nylon, white"</f>
        <v>Clamp, P-clip, 5/16" dia, nylon, white</v>
      </c>
      <c r="C5679" t="str">
        <f t="shared" si="228"/>
        <v>Active</v>
      </c>
    </row>
    <row r="5680" spans="1:3" ht="18" customHeight="1">
      <c r="A5680" t="str">
        <f>"32-8500-0014"</f>
        <v>32-8500-0014</v>
      </c>
      <c r="B5680" t="str">
        <f>"Clamp, P-clip, 5/16"" dia, self aligning, white"</f>
        <v>Clamp, P-clip, 5/16" dia, self aligning, white</v>
      </c>
      <c r="C5680" t="str">
        <f t="shared" si="228"/>
        <v>Active</v>
      </c>
    </row>
    <row r="5681" spans="1:3" ht="18" customHeight="1">
      <c r="A5681" t="str">
        <f>"32-8500-0016"</f>
        <v>32-8500-0016</v>
      </c>
      <c r="B5681" t="str">
        <f>"Clamp, cord clip, 1/2"", adhesive, nylon, white"</f>
        <v>Clamp, cord clip, 1/2", adhesive, nylon, white</v>
      </c>
      <c r="C5681" t="str">
        <f t="shared" si="228"/>
        <v>Active</v>
      </c>
    </row>
    <row r="5682" spans="1:3" ht="18" customHeight="1">
      <c r="A5682" t="str">
        <f>"32-8500-0018"</f>
        <v>32-8500-0018</v>
      </c>
      <c r="B5682" t="str">
        <f>"Cable Tie, 6"", nylon, slim line, black"</f>
        <v>Cable Tie, 6", nylon, slim line, black</v>
      </c>
      <c r="C5682" t="str">
        <f t="shared" si="228"/>
        <v>Active</v>
      </c>
    </row>
    <row r="5683" spans="1:3" ht="18" customHeight="1">
      <c r="A5683" t="str">
        <f>"32-8500-0019"</f>
        <v>32-8500-0019</v>
      </c>
      <c r="B5683" t="str">
        <f>"Clamp, P-clip, 7/16"" dia, self aligning, white"</f>
        <v>Clamp, P-clip, 7/16" dia, self aligning, white</v>
      </c>
      <c r="C5683" t="str">
        <f t="shared" si="228"/>
        <v>Active</v>
      </c>
    </row>
    <row r="5684" spans="1:3" ht="18" customHeight="1">
      <c r="A5684" t="str">
        <f>"32-8500-0020"</f>
        <v>32-8500-0020</v>
      </c>
      <c r="B5684" t="str">
        <f>"Clamp, P-clip, 1/2"" dia, nylon, white"</f>
        <v>Clamp, P-clip, 1/2" dia, nylon, white</v>
      </c>
      <c r="C5684" t="str">
        <f t="shared" si="228"/>
        <v>Active</v>
      </c>
    </row>
    <row r="5685" spans="1:3" ht="18" customHeight="1">
      <c r="A5685" t="str">
        <f>"320002"</f>
        <v>320002</v>
      </c>
      <c r="B5685" t="str">
        <f>"Bearing Ball - D 13 x d 6 x 3.5mm  618/6"</f>
        <v>Bearing Ball - D 13 x d 6 x 3.5mm  618/6</v>
      </c>
      <c r="C5685" t="str">
        <f t="shared" si="228"/>
        <v>Active</v>
      </c>
    </row>
    <row r="5686" spans="1:3" ht="18" customHeight="1">
      <c r="A5686" t="str">
        <f>"320003"</f>
        <v>320003</v>
      </c>
      <c r="B5686" t="str">
        <f>"Bearing Ball d8xD16x4mm, 618/8"</f>
        <v>Bearing Ball d8xD16x4mm, 618/8</v>
      </c>
      <c r="C5686" t="str">
        <f t="shared" si="228"/>
        <v>Active</v>
      </c>
    </row>
    <row r="5687" spans="1:3" ht="18" customHeight="1">
      <c r="A5687" t="str">
        <f>"320004"</f>
        <v>320004</v>
      </c>
      <c r="B5687" t="str">
        <f>"Bearing Ball-6800ZZ, D19xd10x5mm"</f>
        <v>Bearing Ball-6800ZZ, D19xd10x5mm</v>
      </c>
      <c r="C5687" t="str">
        <f t="shared" si="228"/>
        <v>Active</v>
      </c>
    </row>
    <row r="5688" spans="1:3" ht="18" customHeight="1">
      <c r="A5688" t="str">
        <f>"320005"</f>
        <v>320005</v>
      </c>
      <c r="B5688" t="str">
        <f>"Bearing Ball-D22xd8x7mm 608-ZZ"</f>
        <v>Bearing Ball-D22xd8x7mm 608-ZZ</v>
      </c>
      <c r="C5688" t="str">
        <f t="shared" si="228"/>
        <v>Active</v>
      </c>
    </row>
    <row r="5689" spans="1:3" ht="18" customHeight="1">
      <c r="A5689" t="str">
        <f>"320006"</f>
        <v>320006</v>
      </c>
      <c r="B5689" t="str">
        <f>"Bearing Ball - D 26 x d 10 x 8mm  6000ZZ"</f>
        <v>Bearing Ball - D 26 x d 10 x 8mm  6000ZZ</v>
      </c>
      <c r="C5689" t="str">
        <f t="shared" si="228"/>
        <v>Active</v>
      </c>
    </row>
    <row r="5690" spans="1:3" ht="18" customHeight="1">
      <c r="A5690" t="str">
        <f>"320009"</f>
        <v>320009</v>
      </c>
      <c r="B5690" t="str">
        <f>"Bearing Ball Shielded - D24 x d12 x 6mm  6901ZZ"</f>
        <v>Bearing Ball Shielded - D24 x d12 x 6mm  6901ZZ</v>
      </c>
      <c r="C5690" t="str">
        <f t="shared" si="228"/>
        <v>Active</v>
      </c>
    </row>
    <row r="5691" spans="1:3" ht="18" customHeight="1">
      <c r="A5691" t="str">
        <f>"320010"</f>
        <v>320010</v>
      </c>
      <c r="B5691" t="str">
        <f>"Bearing Ball - D 19 x d 6 x 6mm   626"</f>
        <v>Bearing Ball - D 19 x d 6 x 6mm   626</v>
      </c>
      <c r="C5691" t="str">
        <f t="shared" si="228"/>
        <v>Active</v>
      </c>
    </row>
    <row r="5692" spans="1:3" ht="18" customHeight="1">
      <c r="A5692" t="str">
        <f>"320011"</f>
        <v>320011</v>
      </c>
      <c r="B5692" t="str">
        <f>"Bearing Ball - D 21 x d 6 x 7mm   E6"</f>
        <v>Bearing Ball - D 21 x d 6 x 7mm   E6</v>
      </c>
      <c r="C5692" t="str">
        <f t="shared" si="228"/>
        <v>Active</v>
      </c>
    </row>
    <row r="5693" spans="1:3" ht="18" customHeight="1">
      <c r="A5693" t="str">
        <f>"320012"</f>
        <v>320012</v>
      </c>
      <c r="B5693" t="str">
        <f>"Bearing Ball - D 16 x d 5 x 5mm  E5"</f>
        <v>Bearing Ball - D 16 x d 5 x 5mm  E5</v>
      </c>
      <c r="C5693" t="str">
        <f t="shared" si="228"/>
        <v>Active</v>
      </c>
    </row>
    <row r="5694" spans="1:3" ht="18" customHeight="1">
      <c r="A5694" t="str">
        <f>"320013"</f>
        <v>320013</v>
      </c>
      <c r="B5694" t="str">
        <f>"Bearing Ball - D 16 x d 5 x 5mm   625DDU NSK"</f>
        <v>Bearing Ball - D 16 x d 5 x 5mm   625DDU NSK</v>
      </c>
      <c r="C5694" t="str">
        <f t="shared" si="228"/>
        <v>Active</v>
      </c>
    </row>
    <row r="5695" spans="1:3" ht="18" customHeight="1">
      <c r="A5695" t="str">
        <f>"320014"</f>
        <v>320014</v>
      </c>
      <c r="B5695" t="str">
        <f>"Bearing Ball - D 14 x d 7  x 5mm  687ZZ NSK"</f>
        <v>Bearing Ball - D 14 x d 7  x 5mm  687ZZ NSK</v>
      </c>
      <c r="C5695" t="str">
        <f t="shared" si="228"/>
        <v>Active</v>
      </c>
    </row>
    <row r="5696" spans="1:3" ht="18" customHeight="1">
      <c r="A5696" t="str">
        <f>"320015"</f>
        <v>320015</v>
      </c>
      <c r="B5696" t="str">
        <f>"Bearing Ball - D 11 x d 5 x 5mm   685ZZ NSK"</f>
        <v>Bearing Ball - D 11 x d 5 x 5mm   685ZZ NSK</v>
      </c>
      <c r="C5696" t="str">
        <f t="shared" si="228"/>
        <v>Active</v>
      </c>
    </row>
    <row r="5697" spans="1:3" ht="18" customHeight="1">
      <c r="A5697" t="str">
        <f>"320201"</f>
        <v>320201</v>
      </c>
      <c r="B5697" t="str">
        <f>"Bearing Ball - D 32 x d 20 x 7mm  61804"</f>
        <v>Bearing Ball - D 32 x d 20 x 7mm  61804</v>
      </c>
      <c r="C5697" t="str">
        <f t="shared" si="228"/>
        <v>Active</v>
      </c>
    </row>
    <row r="5698" spans="1:3" ht="18" customHeight="1">
      <c r="A5698" t="str">
        <f>"320202"</f>
        <v>320202</v>
      </c>
      <c r="B5698" t="str">
        <f>"Bearing Ball - D 35 x d 17 x 8 mm"</f>
        <v>Bearing Ball - D 35 x d 17 x 8 mm</v>
      </c>
      <c r="C5698" t="str">
        <f t="shared" si="228"/>
        <v>Active</v>
      </c>
    </row>
    <row r="5699" spans="1:3" ht="18" customHeight="1">
      <c r="A5699" t="str">
        <f>"320203"</f>
        <v>320203</v>
      </c>
      <c r="B5699" t="str">
        <f>"Bearing Ball - D 47 x d 25 x 8mm   16005"</f>
        <v>Bearing Ball - D 47 x d 25 x 8mm   16005</v>
      </c>
      <c r="C5699" t="str">
        <f t="shared" si="228"/>
        <v>Active</v>
      </c>
    </row>
    <row r="5700" spans="1:3" ht="18" customHeight="1">
      <c r="A5700" t="str">
        <f>"320204"</f>
        <v>320204</v>
      </c>
      <c r="B5700" t="str">
        <f>"Bearing Ball - D 65 x d 50 x 7mm, 61810"</f>
        <v>Bearing Ball - D 65 x d 50 x 7mm, 61810</v>
      </c>
      <c r="C5700" t="str">
        <f t="shared" ref="C5700:C5733" si="229">"Active"</f>
        <v>Active</v>
      </c>
    </row>
    <row r="5701" spans="1:3" ht="18" customHeight="1">
      <c r="A5701" t="str">
        <f>"320205"</f>
        <v>320205</v>
      </c>
      <c r="B5701" t="str">
        <f>"Bearing Ball - D 72 x d 55 x 9mm, 61811"</f>
        <v>Bearing Ball - D 72 x d 55 x 9mm, 61811</v>
      </c>
      <c r="C5701" t="str">
        <f t="shared" si="229"/>
        <v>Active</v>
      </c>
    </row>
    <row r="5702" spans="1:3" ht="18" customHeight="1">
      <c r="A5702" t="str">
        <f>"320210"</f>
        <v>320210</v>
      </c>
      <c r="B5702" t="str">
        <f>"Bearing Ball - D 35 x d 15 x 11mm   7202BE"</f>
        <v>Bearing Ball - D 35 x d 15 x 11mm   7202BE</v>
      </c>
      <c r="C5702" t="str">
        <f t="shared" si="229"/>
        <v>Active</v>
      </c>
    </row>
    <row r="5703" spans="1:3" ht="18" customHeight="1">
      <c r="A5703" t="str">
        <f>"320211"</f>
        <v>320211</v>
      </c>
      <c r="B5703" t="str">
        <f>"Bearing Ball - D 32 x d 12 x 10mm     7201BE"</f>
        <v>Bearing Ball - D 32 x d 12 x 10mm     7201BE</v>
      </c>
      <c r="C5703" t="str">
        <f t="shared" si="229"/>
        <v>Active</v>
      </c>
    </row>
    <row r="5704" spans="1:3" ht="18" customHeight="1">
      <c r="A5704" t="str">
        <f>"320217"</f>
        <v>320217</v>
      </c>
      <c r="B5704" t="str">
        <f>"Roller hardened polished  D14K, ITEM 294.52"</f>
        <v>Roller hardened polished  D14K, ITEM 294.52</v>
      </c>
      <c r="C5704" t="str">
        <f t="shared" si="229"/>
        <v>Active</v>
      </c>
    </row>
    <row r="5705" spans="1:3" ht="18" customHeight="1">
      <c r="A5705" t="str">
        <f>"320218"</f>
        <v>320218</v>
      </c>
      <c r="B5705" t="str">
        <f>"Bearing Ball Single RowDG  D72xd55x9mm  6811VV"</f>
        <v>Bearing Ball Single RowDG  D72xd55x9mm  6811VV</v>
      </c>
      <c r="C5705" t="str">
        <f t="shared" si="229"/>
        <v>Active</v>
      </c>
    </row>
    <row r="5706" spans="1:3" ht="18" customHeight="1">
      <c r="A5706" t="str">
        <f>"320219"</f>
        <v>320219</v>
      </c>
      <c r="B5706" t="str">
        <f>"Roller D6 ITEM 356.03"</f>
        <v>Roller D6 ITEM 356.03</v>
      </c>
      <c r="C5706" t="str">
        <f t="shared" si="229"/>
        <v>Active</v>
      </c>
    </row>
    <row r="5707" spans="1:3" ht="18" customHeight="1">
      <c r="A5707" t="str">
        <f>"320501"</f>
        <v>320501</v>
      </c>
      <c r="B5707" t="str">
        <f>"Thrust Needle &amp; Cage Assy  D24xd10x2mm   AXK1024"</f>
        <v>Thrust Needle &amp; Cage Assy  D24xd10x2mm   AXK1024</v>
      </c>
      <c r="C5707" t="str">
        <f t="shared" si="229"/>
        <v>Active</v>
      </c>
    </row>
    <row r="5708" spans="1:3" ht="18" customHeight="1">
      <c r="A5708" t="str">
        <f>"320502"</f>
        <v>320502</v>
      </c>
      <c r="B5708" t="str">
        <f>"Washer Thrust - D24xd10x1mm  AS1024"</f>
        <v>Washer Thrust - D24xd10x1mm  AS1024</v>
      </c>
      <c r="C5708" t="str">
        <f t="shared" si="229"/>
        <v>Active</v>
      </c>
    </row>
    <row r="5709" spans="1:3" ht="18" customHeight="1">
      <c r="A5709" t="str">
        <f>"320503"</f>
        <v>320503</v>
      </c>
      <c r="B5709" t="str">
        <f>"Washer  Thrust  D24xd10x2.75mm  LS1024"</f>
        <v>Washer  Thrust  D24xd10x2.75mm  LS1024</v>
      </c>
      <c r="C5709" t="str">
        <f t="shared" si="229"/>
        <v>Active</v>
      </c>
    </row>
    <row r="5710" spans="1:3" ht="18" customHeight="1">
      <c r="A5710" t="str">
        <f>"320504"</f>
        <v>320504</v>
      </c>
      <c r="B5710" t="str">
        <f>"Thrust Needle &amp; Cage Assy  D26xd12x2mm  AXK1226"</f>
        <v>Thrust Needle &amp; Cage Assy  D26xd12x2mm  AXK1226</v>
      </c>
      <c r="C5710" t="str">
        <f t="shared" si="229"/>
        <v>Active</v>
      </c>
    </row>
    <row r="5711" spans="1:3" ht="18" customHeight="1">
      <c r="A5711" t="str">
        <f>"320505"</f>
        <v>320505</v>
      </c>
      <c r="B5711" t="str">
        <f>"Washer  Thrust   D 26 x d 12 x1 mm  AS1226"</f>
        <v>Washer  Thrust   D 26 x d 12 x1 mm  AS1226</v>
      </c>
      <c r="C5711" t="str">
        <f t="shared" si="229"/>
        <v>Active</v>
      </c>
    </row>
    <row r="5712" spans="1:3" ht="18" customHeight="1">
      <c r="A5712" t="str">
        <f>"320601"</f>
        <v>320601</v>
      </c>
      <c r="B5712" t="str">
        <f>"Bearing with Housing d=20 UCL204"</f>
        <v>Bearing with Housing d=20 UCL204</v>
      </c>
      <c r="C5712" t="str">
        <f t="shared" si="229"/>
        <v>Active</v>
      </c>
    </row>
    <row r="5713" spans="1:3" ht="18" customHeight="1">
      <c r="A5713" t="str">
        <f>"320701"</f>
        <v>320701</v>
      </c>
      <c r="B5713" t="str">
        <f>"Bearing Needle Roller   D16 xd 12 x 10   HK1210B"</f>
        <v>Bearing Needle Roller   D16 xd 12 x 10   HK1210B</v>
      </c>
      <c r="C5713" t="str">
        <f t="shared" si="229"/>
        <v>Active</v>
      </c>
    </row>
    <row r="5714" spans="1:3" ht="18" customHeight="1">
      <c r="A5714" t="str">
        <f>"320702"</f>
        <v>320702</v>
      </c>
      <c r="B5714" t="str">
        <f>"Bearing Needle Roller  D19 x d12 x 16   NK12/16A"</f>
        <v>Bearing Needle Roller  D19 x d12 x 16   NK12/16A</v>
      </c>
      <c r="C5714" t="str">
        <f t="shared" si="229"/>
        <v>Active</v>
      </c>
    </row>
    <row r="5715" spans="1:3" ht="18" customHeight="1">
      <c r="A5715" t="str">
        <f>"320706"</f>
        <v>320706</v>
      </c>
      <c r="B5715" t="str">
        <f>"Bearing Cross Roller     CRB 5013 T1"</f>
        <v>Bearing Cross Roller     CRB 5013 T1</v>
      </c>
      <c r="C5715" t="str">
        <f t="shared" si="229"/>
        <v>Active</v>
      </c>
    </row>
    <row r="5716" spans="1:3" ht="18" customHeight="1">
      <c r="A5716" t="str">
        <f>"321001"</f>
        <v>321001</v>
      </c>
      <c r="B5716" t="str">
        <f>"Needle Roller Bearing B-44, D7/16""x d1/4""x 1/4"""</f>
        <v>Needle Roller Bearing B-44, D7/16"x d1/4"x 1/4"</v>
      </c>
      <c r="C5716" t="str">
        <f t="shared" si="229"/>
        <v>Active</v>
      </c>
    </row>
    <row r="5717" spans="1:3" ht="18" customHeight="1">
      <c r="A5717" t="str">
        <f>"321201"</f>
        <v>321201</v>
      </c>
      <c r="B5717" t="str">
        <f>"Bearing Friction  D 23 x d 20 x 30"</f>
        <v>Bearing Friction  D 23 x d 20 x 30</v>
      </c>
      <c r="C5717" t="str">
        <f t="shared" si="229"/>
        <v>Active</v>
      </c>
    </row>
    <row r="5718" spans="1:3" ht="18" customHeight="1">
      <c r="A5718" t="str">
        <f>"321203"</f>
        <v>321203</v>
      </c>
      <c r="B5718" t="str">
        <f>"Bearing Sintered- Flange  D0.2215xd0.126x0141"</f>
        <v>Bearing Sintered- Flange  D0.2215xd0.126x0141</v>
      </c>
      <c r="C5718" t="str">
        <f t="shared" si="229"/>
        <v>Active</v>
      </c>
    </row>
    <row r="5719" spans="1:3" ht="18" customHeight="1">
      <c r="A5719" t="str">
        <f>"321204"</f>
        <v>321204</v>
      </c>
      <c r="B5719" t="str">
        <f>"Bearing Sintered - Flange  A7B4-F102 d=0.188"</f>
        <v>Bearing Sintered - Flange  A7B4-F102 d=0.188</v>
      </c>
      <c r="C5719" t="str">
        <f t="shared" si="229"/>
        <v>Active</v>
      </c>
    </row>
    <row r="5720" spans="1:3" ht="18" customHeight="1">
      <c r="A5720" t="str">
        <f>"321205"</f>
        <v>321205</v>
      </c>
      <c r="B5720" t="str">
        <f>"Bearing Sintered - Flange A 7B 4F-106 ,d=0.251"</f>
        <v>Bearing Sintered - Flange A 7B 4F-106 ,d=0.251</v>
      </c>
      <c r="C5720" t="str">
        <f t="shared" si="229"/>
        <v>Active</v>
      </c>
    </row>
    <row r="5721" spans="1:3" ht="18" customHeight="1">
      <c r="A5721" t="str">
        <f>"321206"</f>
        <v>321206</v>
      </c>
      <c r="B5721" t="str">
        <f>"Bearing Friction - Fibro No: 277.1.0500.016"</f>
        <v>Bearing Friction - Fibro No: 277.1.0500.016</v>
      </c>
      <c r="C5721" t="str">
        <f t="shared" si="229"/>
        <v>Active</v>
      </c>
    </row>
    <row r="5722" spans="1:3" ht="18" customHeight="1">
      <c r="A5722" t="str">
        <f>"321207"</f>
        <v>321207</v>
      </c>
      <c r="B5722" t="str">
        <f>"Bearing Friction -  MCM-10-02"</f>
        <v>Bearing Friction -  MCM-10-02</v>
      </c>
      <c r="C5722" t="str">
        <f t="shared" si="229"/>
        <v>Active</v>
      </c>
    </row>
    <row r="5723" spans="1:3" ht="18" customHeight="1">
      <c r="A5723" t="str">
        <f>"321209"</f>
        <v>321209</v>
      </c>
      <c r="B5723" t="str">
        <f>"Bearing Friction - GSM-0810-16"</f>
        <v>Bearing Friction - GSM-0810-16</v>
      </c>
      <c r="C5723" t="str">
        <f t="shared" si="229"/>
        <v>Active</v>
      </c>
    </row>
    <row r="5724" spans="1:3" ht="18" customHeight="1">
      <c r="A5724" t="str">
        <f>"323002"</f>
        <v>323002</v>
      </c>
      <c r="B5724" t="str">
        <f>"Harmonic Drive Unit    HDUF 14-100-2-BL3 SP1665"</f>
        <v>Harmonic Drive Unit    HDUF 14-100-2-BL3 SP1665</v>
      </c>
      <c r="C5724" t="str">
        <f t="shared" si="229"/>
        <v>Active</v>
      </c>
    </row>
    <row r="5725" spans="1:3" ht="18" customHeight="1">
      <c r="A5725" t="str">
        <f>"323003"</f>
        <v>323003</v>
      </c>
      <c r="B5725" t="str">
        <f>"Harmonic Drive Unit   HDUF 20-160-2-BL3-SP1577"</f>
        <v>Harmonic Drive Unit   HDUF 20-160-2-BL3-SP1577</v>
      </c>
      <c r="C5725" t="str">
        <f t="shared" si="229"/>
        <v>Active</v>
      </c>
    </row>
    <row r="5726" spans="1:3" ht="18" customHeight="1">
      <c r="A5726" t="str">
        <f>"323004"</f>
        <v>323004</v>
      </c>
      <c r="B5726" t="str">
        <f>"Harmonic Drive Unit HDUR 20-160-2-GR-SP2017"</f>
        <v>Harmonic Drive Unit HDUR 20-160-2-GR-SP2017</v>
      </c>
      <c r="C5726" t="str">
        <f t="shared" si="229"/>
        <v>Active</v>
      </c>
    </row>
    <row r="5727" spans="1:3" ht="18" customHeight="1">
      <c r="A5727" t="str">
        <f>"324001"</f>
        <v>324001</v>
      </c>
      <c r="B5727" t="str">
        <f>"Fitting Barbed  w/Gasket  #10-32 OD=1/8"" Tube BF"</f>
        <v>Fitting Barbed  w/Gasket  #10-32 OD=1/8" Tube BF</v>
      </c>
      <c r="C5727" t="str">
        <f t="shared" si="229"/>
        <v>Active</v>
      </c>
    </row>
    <row r="5728" spans="1:3" ht="18" customHeight="1">
      <c r="A5728" t="str">
        <f>"324002"</f>
        <v>324002</v>
      </c>
      <c r="B5728" t="str">
        <f>"Adapter BF1 # 10-32 to Diam1/4"</f>
        <v>Adapter BF1 # 10-32 to Diam1/4</v>
      </c>
      <c r="C5728" t="str">
        <f t="shared" si="229"/>
        <v>Active</v>
      </c>
    </row>
    <row r="5729" spans="1:3" ht="18" customHeight="1">
      <c r="A5729" t="str">
        <f>"324003"</f>
        <v>324003</v>
      </c>
      <c r="B5729" t="str">
        <f>"Fitting Plug PF NPT 10-32"""</f>
        <v>Fitting Plug PF NPT 10-32"</v>
      </c>
      <c r="C5729" t="str">
        <f t="shared" si="229"/>
        <v>Active</v>
      </c>
    </row>
    <row r="5730" spans="1:3" ht="18" customHeight="1">
      <c r="A5730" t="str">
        <f>"324004"</f>
        <v>324004</v>
      </c>
      <c r="B5730" t="str">
        <f>"Fitting Rapid  1/4 to tube6 CS65106-14"</f>
        <v>Fitting Rapid  1/4 to tube6 CS65106-14</v>
      </c>
      <c r="C5730" t="str">
        <f t="shared" si="229"/>
        <v>Active</v>
      </c>
    </row>
    <row r="5731" spans="1:3" ht="18" customHeight="1">
      <c r="A5731" t="str">
        <f>"324005"</f>
        <v>324005</v>
      </c>
      <c r="B5731" t="str">
        <f>"Fitting Panel Push  1/4"" O.D Tube SMC"</f>
        <v>Fitting Panel Push  1/4" O.D Tube SMC</v>
      </c>
      <c r="C5731" t="str">
        <f t="shared" si="229"/>
        <v>Active</v>
      </c>
    </row>
    <row r="5732" spans="1:3" ht="18" customHeight="1">
      <c r="A5732" t="str">
        <f>"324006"</f>
        <v>324006</v>
      </c>
      <c r="B5732" t="str">
        <f>"Fitting Pipe Barbed  NPT d1/8"",1/4"", Tube PBF1"</f>
        <v>Fitting Pipe Barbed  NPT d1/8",1/4", Tube PBF1</v>
      </c>
      <c r="C5732" t="str">
        <f t="shared" si="229"/>
        <v>Active</v>
      </c>
    </row>
    <row r="5733" spans="1:3" ht="18" customHeight="1">
      <c r="A5733" t="str">
        <f>"324008"</f>
        <v>324008</v>
      </c>
      <c r="B5733" t="str">
        <f>"Reducer Bushing NPT 1/8""M  to 10-32F      RBF"</f>
        <v>Reducer Bushing NPT 1/8"M  to 10-32F      RBF</v>
      </c>
      <c r="C5733" t="str">
        <f t="shared" si="229"/>
        <v>Active</v>
      </c>
    </row>
    <row r="5734" spans="1:3" ht="18" customHeight="1">
      <c r="A5734" t="str">
        <f>"324009"</f>
        <v>324009</v>
      </c>
      <c r="B5734" t="str">
        <f>"Suction Silicon Pad NVR-25S"</f>
        <v>Suction Silicon Pad NVR-25S</v>
      </c>
      <c r="C5734" t="str">
        <f>"ECO-N2Buy"</f>
        <v>ECO-N2Buy</v>
      </c>
    </row>
    <row r="5735" spans="1:3" ht="18" customHeight="1">
      <c r="A5735" t="str">
        <f>"324010"</f>
        <v>324010</v>
      </c>
      <c r="B5735" t="str">
        <f>"Suction Silicon  Pad     NVR-30S"</f>
        <v>Suction Silicon  Pad     NVR-30S</v>
      </c>
      <c r="C5735" t="str">
        <f>"Active"</f>
        <v>Active</v>
      </c>
    </row>
    <row r="5736" spans="1:3" ht="18" customHeight="1">
      <c r="A5736" t="str">
        <f>"324011"</f>
        <v>324011</v>
      </c>
      <c r="B5736" t="str">
        <f>"Adaptor Suction Pad M5"</f>
        <v>Adaptor Suction Pad M5</v>
      </c>
      <c r="C5736" t="str">
        <f>"ECO-N2Buy"</f>
        <v>ECO-N2Buy</v>
      </c>
    </row>
    <row r="5737" spans="1:3" ht="18" customHeight="1">
      <c r="A5737" t="str">
        <f>"324012"</f>
        <v>324012</v>
      </c>
      <c r="B5737" t="str">
        <f>"Hose Barb-Wht. Plastic M 1/8""d Tube PMC22-02 CPC"</f>
        <v>Hose Barb-Wht. Plastic M 1/8"d Tube PMC22-02 CPC</v>
      </c>
      <c r="C5737" t="str">
        <f t="shared" ref="C5737:C5768" si="230">"Active"</f>
        <v>Active</v>
      </c>
    </row>
    <row r="5738" spans="1:3" ht="18" customHeight="1">
      <c r="A5738" t="str">
        <f>"324013"</f>
        <v>324013</v>
      </c>
      <c r="B5738" t="str">
        <f>"Double Pneu. Connector ID 1/8""F Tube White  CPC"</f>
        <v>Double Pneu. Connector ID 1/8"F Tube White  CPC</v>
      </c>
      <c r="C5738" t="str">
        <f t="shared" si="230"/>
        <v>Active</v>
      </c>
    </row>
    <row r="5739" spans="1:3" ht="18" customHeight="1">
      <c r="A5739" t="str">
        <f>"324014"</f>
        <v>324014</v>
      </c>
      <c r="B5739" t="str">
        <f>"Connector Double Pneu. ID 1/8""M Tube  Blk.   CPC"</f>
        <v>Connector Double Pneu. ID 1/8"M Tube  Blk.   CPC</v>
      </c>
      <c r="C5739" t="str">
        <f t="shared" si="230"/>
        <v>Active</v>
      </c>
    </row>
    <row r="5740" spans="1:3" ht="18" customHeight="1">
      <c r="A5740" t="str">
        <f>"324018"</f>
        <v>324018</v>
      </c>
      <c r="B5740" t="str">
        <f>"Plug Fitting + O-RING BSP 1/4"""</f>
        <v>Plug Fitting + O-RING BSP 1/4"</v>
      </c>
      <c r="C5740" t="str">
        <f t="shared" si="230"/>
        <v>Active</v>
      </c>
    </row>
    <row r="5741" spans="1:3" ht="18" customHeight="1">
      <c r="A5741" t="str">
        <f>"324019"</f>
        <v>324019</v>
      </c>
      <c r="B5741" t="str">
        <f>"PneumaticMuffler-Silencer  C2901 1/4""-17"</f>
        <v>PneumaticMuffler-Silencer  C2901 1/4"-17</v>
      </c>
      <c r="C5741" t="str">
        <f t="shared" si="230"/>
        <v>Active</v>
      </c>
    </row>
    <row r="5742" spans="1:3" ht="18" customHeight="1">
      <c r="A5742" t="str">
        <f>"324021"</f>
        <v>324021</v>
      </c>
      <c r="B5742" t="str">
        <f>"Fitting Push - 1/8"" for Tube OD=1/4"""</f>
        <v>Fitting Push - 1/8" for Tube OD=1/4"</v>
      </c>
      <c r="C5742" t="str">
        <f t="shared" si="230"/>
        <v>Active</v>
      </c>
    </row>
    <row r="5743" spans="1:3" ht="18" customHeight="1">
      <c r="A5743" t="str">
        <f>"324023"</f>
        <v>324023</v>
      </c>
      <c r="B5743" t="str">
        <f>"Connector Fast Tube, D=1/4,d=1/8  SMC-02 CPC"</f>
        <v>Connector Fast Tube, D=1/4,d=1/8  SMC-02 CPC</v>
      </c>
      <c r="C5743" t="str">
        <f t="shared" si="230"/>
        <v>Active</v>
      </c>
    </row>
    <row r="5744" spans="1:3" ht="18" customHeight="1">
      <c r="A5744" t="str">
        <f>"324024"</f>
        <v>324024</v>
      </c>
      <c r="B5744" t="str">
        <f>"Manifold 3 Valve  MPM-3"</f>
        <v>Manifold 3 Valve  MPM-3</v>
      </c>
      <c r="C5744" t="str">
        <f t="shared" si="230"/>
        <v>Active</v>
      </c>
    </row>
    <row r="5745" spans="1:3" ht="18" customHeight="1">
      <c r="A5745" t="str">
        <f>"324028"</f>
        <v>324028</v>
      </c>
      <c r="B5745" t="str">
        <f>"Pneumatic Muffler - 1/8""  C2901- 1/8"""</f>
        <v>Pneumatic Muffler - 1/8"  C2901- 1/8"</v>
      </c>
      <c r="C5745" t="str">
        <f t="shared" si="230"/>
        <v>Active</v>
      </c>
    </row>
    <row r="5746" spans="1:3" ht="18" customHeight="1">
      <c r="A5746" t="str">
        <f>"324029"</f>
        <v>324029</v>
      </c>
      <c r="B5746" t="str">
        <f>"T-Fitting - 3 Tube ID=1/8  Plastic  HT-4"</f>
        <v>T-Fitting - 3 Tube ID=1/8  Plastic  HT-4</v>
      </c>
      <c r="C5746" t="str">
        <f t="shared" si="230"/>
        <v>Active</v>
      </c>
    </row>
    <row r="5747" spans="1:3" ht="18" customHeight="1">
      <c r="A5747" t="str">
        <f>"324030"</f>
        <v>324030</v>
      </c>
      <c r="B5747" t="str">
        <f>"T-Fitting  -3 Tube ID=1/16  Plastic  HT-2"</f>
        <v>T-Fitting  -3 Tube ID=1/16  Plastic  HT-2</v>
      </c>
      <c r="C5747" t="str">
        <f t="shared" si="230"/>
        <v>Active</v>
      </c>
    </row>
    <row r="5748" spans="1:3" ht="18" customHeight="1">
      <c r="A5748" t="str">
        <f>"324032"</f>
        <v>324032</v>
      </c>
      <c r="B5748" t="str">
        <f>"Nipple Rotary for PG29  AGRO 2429.01"</f>
        <v>Nipple Rotary for PG29  AGRO 2429.01</v>
      </c>
      <c r="C5748" t="str">
        <f t="shared" si="230"/>
        <v>Active</v>
      </c>
    </row>
    <row r="5749" spans="1:3" ht="18" customHeight="1">
      <c r="A5749" t="str">
        <f>"324034"</f>
        <v>324034</v>
      </c>
      <c r="B5749" t="str">
        <f>"Reducer Bushing NPT 1/8"" to M5 female"</f>
        <v>Reducer Bushing NPT 1/8" to M5 female</v>
      </c>
      <c r="C5749" t="str">
        <f t="shared" si="230"/>
        <v>Active</v>
      </c>
    </row>
    <row r="5750" spans="1:3" ht="18" customHeight="1">
      <c r="A5750" t="str">
        <f>"324035"</f>
        <v>324035</v>
      </c>
      <c r="B5750" t="str">
        <f>"Flash-Rapid 90- 1/8""-5mm  CS6520518"</f>
        <v>Flash-Rapid 90- 1/8"-5mm  CS6520518</v>
      </c>
      <c r="C5750" t="str">
        <f t="shared" si="230"/>
        <v>Active</v>
      </c>
    </row>
    <row r="5751" spans="1:3" ht="18" customHeight="1">
      <c r="A5751" t="str">
        <f>"324036"</f>
        <v>324036</v>
      </c>
      <c r="B5751" t="str">
        <f>"Strait Flash 5M tO 5 mm C651105M5"</f>
        <v>Strait Flash 5M tO 5 mm C651105M5</v>
      </c>
      <c r="C5751" t="str">
        <f t="shared" si="230"/>
        <v>Active</v>
      </c>
    </row>
    <row r="5752" spans="1:3" ht="18" customHeight="1">
      <c r="A5752" t="str">
        <f>"324037"</f>
        <v>324037</v>
      </c>
      <c r="B5752" t="str">
        <f>"Strait Flash 1/8"" To 5mm  6511-5-1/8"</f>
        <v>Strait Flash 1/8" To 5mm  6511-5-1/8</v>
      </c>
      <c r="C5752" t="str">
        <f t="shared" si="230"/>
        <v>Active</v>
      </c>
    </row>
    <row r="5753" spans="1:3" ht="18" customHeight="1">
      <c r="A5753" t="str">
        <f>"324038"</f>
        <v>324038</v>
      </c>
      <c r="B5753" t="str">
        <f>"Fast Connection Female 1/8"", 5051"</f>
        <v>Fast Connection Female 1/8", 5051</v>
      </c>
      <c r="C5753" t="str">
        <f t="shared" si="230"/>
        <v>Active</v>
      </c>
    </row>
    <row r="5754" spans="1:3" ht="18" customHeight="1">
      <c r="A5754" t="str">
        <f>"324039"</f>
        <v>324039</v>
      </c>
      <c r="B5754" t="str">
        <f>"Fast Connection Male 1/8""  5350"</f>
        <v>Fast Connection Male 1/8"  5350</v>
      </c>
      <c r="C5754" t="str">
        <f t="shared" si="230"/>
        <v>Active</v>
      </c>
    </row>
    <row r="5755" spans="1:3" ht="18" customHeight="1">
      <c r="A5755" t="str">
        <f>"324040"</f>
        <v>324040</v>
      </c>
      <c r="B5755" t="str">
        <f>"Flash ˜90 d=6mm 1/8""  C6520618"</f>
        <v>Flash ˜90 d=6mm 1/8"  C6520618</v>
      </c>
      <c r="C5755" t="str">
        <f t="shared" si="230"/>
        <v>Active</v>
      </c>
    </row>
    <row r="5756" spans="1:3" ht="18" customHeight="1">
      <c r="A5756" t="str">
        <f>"324041"</f>
        <v>324041</v>
      </c>
      <c r="B5756" t="str">
        <f>"Pipe Fitting  1/8""  C250018"</f>
        <v>Pipe Fitting  1/8"  C250018</v>
      </c>
      <c r="C5756" t="str">
        <f t="shared" si="230"/>
        <v>Active</v>
      </c>
    </row>
    <row r="5757" spans="1:3" ht="18" customHeight="1">
      <c r="A5757" t="str">
        <f>"324042"</f>
        <v>324042</v>
      </c>
      <c r="B5757" t="str">
        <f>"Fixing flange for Valve CC 114ST"</f>
        <v>Fixing flange for Valve CC 114ST</v>
      </c>
      <c r="C5757" t="str">
        <f t="shared" si="230"/>
        <v>Active</v>
      </c>
    </row>
    <row r="5758" spans="1:3" ht="18" customHeight="1">
      <c r="A5758" t="str">
        <f>"324043"</f>
        <v>324043</v>
      </c>
      <c r="B5758" t="str">
        <f>"One Way Flow Contr. Valve  CMCU704"</f>
        <v>One Way Flow Contr. Valve  CMCU704</v>
      </c>
      <c r="C5758" t="str">
        <f t="shared" si="230"/>
        <v>Active</v>
      </c>
    </row>
    <row r="5759" spans="1:3" ht="18" customHeight="1">
      <c r="A5759" t="str">
        <f>"324044"</f>
        <v>324044</v>
      </c>
      <c r="B5759" t="str">
        <f>"Rapid fitting 1/8""-5mm C6610518"</f>
        <v>Rapid fitting 1/8"-5mm C6610518</v>
      </c>
      <c r="C5759" t="str">
        <f t="shared" si="230"/>
        <v>Active</v>
      </c>
    </row>
    <row r="5760" spans="1:3" ht="18" customHeight="1">
      <c r="A5760" t="str">
        <f>"324045"</f>
        <v>324045</v>
      </c>
      <c r="B5760" t="str">
        <f>"Reducer Bushing  NPT 1/8"" x 1/4""   (42201)"</f>
        <v>Reducer Bushing  NPT 1/8" x 1/4"   (42201)</v>
      </c>
      <c r="C5760" t="str">
        <f t="shared" si="230"/>
        <v>Active</v>
      </c>
    </row>
    <row r="5761" spans="1:3" ht="18" customHeight="1">
      <c r="A5761" t="str">
        <f>"324046"</f>
        <v>324046</v>
      </c>
      <c r="B5761" t="str">
        <f>"Quick Connection Male Ball Head 1/4""BSP, 90000"</f>
        <v>Quick Connection Male Ball Head 1/4"BSP, 90000</v>
      </c>
      <c r="C5761" t="str">
        <f t="shared" si="230"/>
        <v>Active</v>
      </c>
    </row>
    <row r="5762" spans="1:3" ht="18" customHeight="1">
      <c r="A5762" t="str">
        <f>"324047"</f>
        <v>324047</v>
      </c>
      <c r="B5762" t="str">
        <f>"Gasket Copper 1/4"" D=18.8 x d=13.5 x 1.5,(22605)"</f>
        <v>Gasket Copper 1/4" D=18.8 x d=13.5 x 1.5,(22605)</v>
      </c>
      <c r="C5762" t="str">
        <f t="shared" si="230"/>
        <v>Active</v>
      </c>
    </row>
    <row r="5763" spans="1:3" ht="18" customHeight="1">
      <c r="A5763" t="str">
        <f>"324048"</f>
        <v>324048</v>
      </c>
      <c r="B5763" t="str">
        <f>"Reducer Bushing BSP 1/4"" x 1/4"", 42100"</f>
        <v>Reducer Bushing BSP 1/4" x 1/4", 42100</v>
      </c>
      <c r="C5763" t="str">
        <f t="shared" si="230"/>
        <v>Active</v>
      </c>
    </row>
    <row r="5764" spans="1:3" ht="18" customHeight="1">
      <c r="A5764" t="str">
        <f>"324050"</f>
        <v>324050</v>
      </c>
      <c r="B5764" t="str">
        <f>"Female Fast Connection  1/4"" BSP   (90010)"</f>
        <v>Female Fast Connection  1/4" BSP   (90010)</v>
      </c>
      <c r="C5764" t="str">
        <f t="shared" si="230"/>
        <v>Active</v>
      </c>
    </row>
    <row r="5765" spans="1:3" ht="18" customHeight="1">
      <c r="A5765" t="str">
        <f>"324052"</f>
        <v>324052</v>
      </c>
      <c r="B5765" t="str">
        <f>"Reducer Bushing  BSP 1/4""   (68 FCOMPLET)"</f>
        <v>Reducer Bushing  BSP 1/4"   (68 FCOMPLET)</v>
      </c>
      <c r="C5765" t="str">
        <f t="shared" si="230"/>
        <v>Active</v>
      </c>
    </row>
    <row r="5766" spans="1:3" ht="18" customHeight="1">
      <c r="A5766" t="str">
        <f>"324053"</f>
        <v>324053</v>
      </c>
      <c r="B5766" t="str">
        <f>"Reducer Bushing BSP 3/8""x1/4""-42210"</f>
        <v>Reducer Bushing BSP 3/8"x1/4"-42210</v>
      </c>
      <c r="C5766" t="str">
        <f t="shared" si="230"/>
        <v>Active</v>
      </c>
    </row>
    <row r="5767" spans="1:3" ht="18" customHeight="1">
      <c r="A5767" t="str">
        <f>"324056"</f>
        <v>324056</v>
      </c>
      <c r="B5767" t="str">
        <f>"Reducer Bushing  NPT 1/4"" x 1/4""    (1225)"</f>
        <v>Reducer Bushing  NPT 1/4" x 1/4"    (1225)</v>
      </c>
      <c r="C5767" t="str">
        <f t="shared" si="230"/>
        <v>Active</v>
      </c>
    </row>
    <row r="5768" spans="1:3" ht="18" customHeight="1">
      <c r="A5768" t="str">
        <f>"324057"</f>
        <v>324057</v>
      </c>
      <c r="B5768" t="str">
        <f>"Node ""T"" 3 x NPT 1/4"" 41090"</f>
        <v>Node "T" 3 x NPT 1/4" 41090</v>
      </c>
      <c r="C5768" t="str">
        <f t="shared" si="230"/>
        <v>Active</v>
      </c>
    </row>
    <row r="5769" spans="1:3" ht="18" customHeight="1">
      <c r="A5769" t="str">
        <f>"324058"</f>
        <v>324058</v>
      </c>
      <c r="B5769" t="str">
        <f>"Gasket Copper  3/8""   (22602)"</f>
        <v>Gasket Copper  3/8"   (22602)</v>
      </c>
      <c r="C5769" t="str">
        <f t="shared" ref="C5769:C5800" si="231">"Active"</f>
        <v>Active</v>
      </c>
    </row>
    <row r="5770" spans="1:3" ht="18" customHeight="1">
      <c r="A5770" t="str">
        <f>"324059"</f>
        <v>324059</v>
      </c>
      <c r="B5770" t="str">
        <f>"""T"" connector  d5 C6540-5"</f>
        <v>"T" connector  d5 C6540-5</v>
      </c>
      <c r="C5770" t="str">
        <f t="shared" si="231"/>
        <v>Active</v>
      </c>
    </row>
    <row r="5771" spans="1:3" ht="18" customHeight="1">
      <c r="A5771" t="str">
        <f>"324060"</f>
        <v>324060</v>
      </c>
      <c r="B5771" t="str">
        <f>"Super-rapid Fitting d5  658005"</f>
        <v>Super-rapid Fitting d5  658005</v>
      </c>
      <c r="C5771" t="str">
        <f t="shared" si="231"/>
        <v>Active</v>
      </c>
    </row>
    <row r="5772" spans="1:3" ht="18" customHeight="1">
      <c r="A5772" t="str">
        <f>"324061"</f>
        <v>324061</v>
      </c>
      <c r="B5772" t="str">
        <f>"Quick Release Coupling  9-15"</f>
        <v>Quick Release Coupling  9-15</v>
      </c>
      <c r="C5772" t="str">
        <f t="shared" si="231"/>
        <v>Active</v>
      </c>
    </row>
    <row r="5773" spans="1:3" ht="18" customHeight="1">
      <c r="A5773" t="str">
        <f>"324062"</f>
        <v>324062</v>
      </c>
      <c r="B5773" t="str">
        <f>"Copper Gasket 1/2"""</f>
        <v>Copper Gasket 1/2"</v>
      </c>
      <c r="C5773" t="str">
        <f t="shared" si="231"/>
        <v>Active</v>
      </c>
    </row>
    <row r="5774" spans="1:3" ht="18" customHeight="1">
      <c r="A5774" t="str">
        <f>"324064"</f>
        <v>324064</v>
      </c>
      <c r="B5774" t="str">
        <f>"Head for Cylinder d20  CG20"</f>
        <v>Head for Cylinder d20  CG20</v>
      </c>
      <c r="C5774" t="str">
        <f t="shared" si="231"/>
        <v>Active</v>
      </c>
    </row>
    <row r="5775" spans="1:3" ht="18" customHeight="1">
      <c r="A5775" t="str">
        <f>"324066"</f>
        <v>324066</v>
      </c>
      <c r="B5775" t="str">
        <f>"Plug &amp; O-ring, BSP 3/8"", 1215"</f>
        <v>Plug &amp; O-ring, BSP 3/8", 1215</v>
      </c>
      <c r="C5775" t="str">
        <f t="shared" si="231"/>
        <v>Active</v>
      </c>
    </row>
    <row r="5776" spans="1:3" ht="18" customHeight="1">
      <c r="A5776" t="str">
        <f>"324067"</f>
        <v>324067</v>
      </c>
      <c r="B5776" t="str">
        <f>"CapAllen+O-ring, BSP 3/8"""</f>
        <v>CapAllen+O-ring, BSP 3/8"</v>
      </c>
      <c r="C5776" t="str">
        <f t="shared" si="231"/>
        <v>Active</v>
      </c>
    </row>
    <row r="5777" spans="1:3" ht="18" customHeight="1">
      <c r="A5777" t="str">
        <f>"324068"</f>
        <v>324068</v>
      </c>
      <c r="B5777" t="str">
        <f>"Adp.Fiting 90 W.rec 1/4""  15804"</f>
        <v>Adp.Fiting 90 W.rec 1/4"  15804</v>
      </c>
      <c r="C5777" t="str">
        <f t="shared" si="231"/>
        <v>Active</v>
      </c>
    </row>
    <row r="5778" spans="1:3" ht="18" customHeight="1">
      <c r="A5778" t="str">
        <f>"324069"</f>
        <v>324069</v>
      </c>
      <c r="B5778" t="str">
        <f>"Adapter Fitting for Cable Pg16"</f>
        <v>Adapter Fitting for Cable Pg16</v>
      </c>
      <c r="C5778" t="str">
        <f t="shared" si="231"/>
        <v>Active</v>
      </c>
    </row>
    <row r="5779" spans="1:3" ht="18" customHeight="1">
      <c r="A5779" t="str">
        <f>"324070"</f>
        <v>324070</v>
      </c>
      <c r="B5779" t="str">
        <f>"Adapter Fitting PG11 for Cable 8mm"</f>
        <v>Adapter Fitting PG11 for Cable 8mm</v>
      </c>
      <c r="C5779" t="str">
        <f t="shared" si="231"/>
        <v>Active</v>
      </c>
    </row>
    <row r="5780" spans="1:3" ht="18" customHeight="1">
      <c r="A5780" t="str">
        <f>"324071"</f>
        <v>324071</v>
      </c>
      <c r="B5780" t="str">
        <f>"Fitting 90, 680004-5"</f>
        <v>Fitting 90, 680004-5</v>
      </c>
      <c r="C5780" t="str">
        <f t="shared" si="231"/>
        <v>Active</v>
      </c>
    </row>
    <row r="5781" spans="1:3" ht="18" customHeight="1">
      <c r="A5781" t="str">
        <f>"324073"</f>
        <v>324073</v>
      </c>
      <c r="B5781" t="str">
        <f>"Fast Connection Male Ba.H.  NPT 1/4"""</f>
        <v>Fast Connection Male Ba.H.  NPT 1/4"</v>
      </c>
      <c r="C5781" t="str">
        <f t="shared" si="231"/>
        <v>Active</v>
      </c>
    </row>
    <row r="5782" spans="1:3" ht="18" customHeight="1">
      <c r="A5782" t="str">
        <f>"324074"</f>
        <v>324074</v>
      </c>
      <c r="B5782" t="str">
        <f>"Reducer Bushing  BSP 1/4"" x 1/2"""</f>
        <v>Reducer Bushing  BSP 1/4" x 1/2"</v>
      </c>
      <c r="C5782" t="str">
        <f t="shared" si="231"/>
        <v>Active</v>
      </c>
    </row>
    <row r="5783" spans="1:3" ht="18" customHeight="1">
      <c r="A5783" t="str">
        <f>"324075"</f>
        <v>324075</v>
      </c>
      <c r="B5783" t="str">
        <f>"Adp.Fiting 90 With record BSP 1/4"""</f>
        <v>Adp.Fiting 90 With record BSP 1/4"</v>
      </c>
      <c r="C5783" t="str">
        <f t="shared" si="231"/>
        <v>Active</v>
      </c>
    </row>
    <row r="5784" spans="1:3" ht="18" customHeight="1">
      <c r="A5784" t="str">
        <f>"324080"</f>
        <v>324080</v>
      </c>
      <c r="B5784" t="str">
        <f>"Quick Srainge Fitting  1/4"", CS65100514"</f>
        <v>Quick Srainge Fitting  1/4", CS65100514</v>
      </c>
      <c r="C5784" t="str">
        <f t="shared" si="231"/>
        <v>Active</v>
      </c>
    </row>
    <row r="5785" spans="1:3" ht="18" customHeight="1">
      <c r="A5785" t="str">
        <f>"324081"</f>
        <v>324081</v>
      </c>
      <c r="B5785" t="str">
        <f>"Straight fitting1/8"" to 4mm S6510-4-1/8"""</f>
        <v>Straight fitting1/8" to 4mm S6510-4-1/8"</v>
      </c>
      <c r="C5785" t="str">
        <f t="shared" si="231"/>
        <v>Active</v>
      </c>
    </row>
    <row r="5786" spans="1:3" ht="18" customHeight="1">
      <c r="A5786" t="str">
        <f>"324082"</f>
        <v>324082</v>
      </c>
      <c r="B5786" t="str">
        <f>"Manifold 5 Valve  N-MPM5"</f>
        <v>Manifold 5 Valve  N-MPM5</v>
      </c>
      <c r="C5786" t="str">
        <f t="shared" si="231"/>
        <v>Active</v>
      </c>
    </row>
    <row r="5787" spans="1:3" ht="18" customHeight="1">
      <c r="A5787" t="str">
        <f>"324084"</f>
        <v>324084</v>
      </c>
      <c r="B5787" t="str">
        <f>"Flash 90˜ M5 Male-d=5mm  C652105M5"</f>
        <v>Flash 90˜ M5 Male-d=5mm  C652105M5</v>
      </c>
      <c r="C5787" t="str">
        <f t="shared" si="231"/>
        <v>Active</v>
      </c>
    </row>
    <row r="5788" spans="1:3" ht="18" customHeight="1">
      <c r="A5788" t="str">
        <f>"324085"</f>
        <v>324085</v>
      </c>
      <c r="B5788" t="str">
        <f>"Fitting 90  1/8"" Male  CS2010-1/8"</f>
        <v>Fitting 90  1/8" Male  CS2010-1/8</v>
      </c>
      <c r="C5788" t="str">
        <f t="shared" si="231"/>
        <v>Active</v>
      </c>
    </row>
    <row r="5789" spans="1:3" ht="18" customHeight="1">
      <c r="A5789" t="str">
        <f>"324086"</f>
        <v>324086</v>
      </c>
      <c r="B5789" t="str">
        <f>"Pipe Fiting Female  1/8""  C2543-1/8"</f>
        <v>Pipe Fiting Female  1/8"  C2543-1/8</v>
      </c>
      <c r="C5789" t="str">
        <f t="shared" si="231"/>
        <v>Active</v>
      </c>
    </row>
    <row r="5790" spans="1:3" ht="18" customHeight="1">
      <c r="A5790" t="str">
        <f>"324087"</f>
        <v>324087</v>
      </c>
      <c r="B5790" t="str">
        <f>"Pipe Fiting Female 1/8""  C6430-5-18"</f>
        <v>Pipe Fiting Female 1/8"  C6430-5-18</v>
      </c>
      <c r="C5790" t="str">
        <f t="shared" si="231"/>
        <v>Active</v>
      </c>
    </row>
    <row r="5791" spans="1:3" ht="18" customHeight="1">
      <c r="A5791" t="str">
        <f>"324088"</f>
        <v>324088</v>
      </c>
      <c r="B5791" t="str">
        <f>"Pipe Fit. Male/Female 1/8  C2520-1/8-1/8"</f>
        <v>Pipe Fit. Male/Female 1/8  C2520-1/8-1/8</v>
      </c>
      <c r="C5791" t="str">
        <f t="shared" si="231"/>
        <v>Active</v>
      </c>
    </row>
    <row r="5792" spans="1:3" ht="18" customHeight="1">
      <c r="A5792" t="str">
        <f>"324090"</f>
        <v>324090</v>
      </c>
      <c r="B5792" t="str">
        <f>"Panel Push Fitting 4mm  PISCO PM4M"</f>
        <v>Panel Push Fitting 4mm  PISCO PM4M</v>
      </c>
      <c r="C5792" t="str">
        <f t="shared" si="231"/>
        <v>Active</v>
      </c>
    </row>
    <row r="5793" spans="1:3" ht="18" customHeight="1">
      <c r="A5793" t="str">
        <f>"324091"</f>
        <v>324091</v>
      </c>
      <c r="B5793" t="str">
        <f>"Pipe Fit.T-  Female 1/8""  C2003 1/8"</f>
        <v>Pipe Fit.T-  Female 1/8"  C2003 1/8</v>
      </c>
      <c r="C5793" t="str">
        <f t="shared" si="231"/>
        <v>Active</v>
      </c>
    </row>
    <row r="5794" spans="1:3" ht="18" customHeight="1">
      <c r="A5794" t="str">
        <f>"324092"</f>
        <v>324092</v>
      </c>
      <c r="B5794" t="str">
        <f>"Teeth Fitt. ID=7 +Gasket  C2600718"</f>
        <v>Teeth Fitt. ID=7 +Gasket  C2600718</v>
      </c>
      <c r="C5794" t="str">
        <f t="shared" si="231"/>
        <v>Active</v>
      </c>
    </row>
    <row r="5795" spans="1:3" ht="18" customHeight="1">
      <c r="A5795" t="str">
        <f>"324094"</f>
        <v>324094</v>
      </c>
      <c r="B5795" t="str">
        <f>"Adapter 1/4"" NPT  x 1/4"" BSP"</f>
        <v>Adapter 1/4" NPT  x 1/4" BSP</v>
      </c>
      <c r="C5795" t="str">
        <f t="shared" si="231"/>
        <v>Active</v>
      </c>
    </row>
    <row r="5796" spans="1:3" ht="18" customHeight="1">
      <c r="A5796" t="str">
        <f>"324095"</f>
        <v>324095</v>
      </c>
      <c r="B5796" t="str">
        <f>"""T"" connector UNION TEE PE6M"</f>
        <v>"T" connector UNION TEE PE6M</v>
      </c>
      <c r="C5796" t="str">
        <f t="shared" si="231"/>
        <v>Active</v>
      </c>
    </row>
    <row r="5797" spans="1:3" ht="18" customHeight="1">
      <c r="A5797" t="str">
        <f>"324098"</f>
        <v>324098</v>
      </c>
      <c r="B5797" t="str">
        <f>"Plug M5 &amp; o-ring, C2611-M5"</f>
        <v>Plug M5 &amp; o-ring, C2611-M5</v>
      </c>
      <c r="C5797" t="str">
        <f t="shared" si="231"/>
        <v>Active</v>
      </c>
    </row>
    <row r="5798" spans="1:3" ht="18" customHeight="1">
      <c r="A5798" t="str">
        <f>"324101"</f>
        <v>324101</v>
      </c>
      <c r="B5798" t="str">
        <f>"Hydra Pwr Unit 220V/50Hz, Q=3.5L/min,Pmax=210Bar"</f>
        <v>Hydra Pwr Unit 220V/50Hz, Q=3.5L/min,Pmax=210Bar</v>
      </c>
      <c r="C5798" t="str">
        <f t="shared" si="231"/>
        <v>Active</v>
      </c>
    </row>
    <row r="5799" spans="1:3" ht="18" customHeight="1">
      <c r="A5799" t="str">
        <f>"324102"</f>
        <v>324102</v>
      </c>
      <c r="B5799" t="str">
        <f>"Cylinder 1-1/8""X6""M  PHD  Tom Tau Mb"</f>
        <v>Cylinder 1-1/8"X6"M  PHD  Tom Tau Mb</v>
      </c>
      <c r="C5799" t="str">
        <f t="shared" si="231"/>
        <v>Active</v>
      </c>
    </row>
    <row r="5800" spans="1:3" ht="18" customHeight="1">
      <c r="A5800" t="str">
        <f>"324103"</f>
        <v>324103</v>
      </c>
      <c r="B5800" t="str">
        <f>"Valve 4/3 Direct. Open Cen  BM20/1,D8 A,B,T-con"</f>
        <v>Valve 4/3 Direct. Open Cen  BM20/1,D8 A,B,T-con</v>
      </c>
      <c r="C5800" t="str">
        <f t="shared" si="231"/>
        <v>Active</v>
      </c>
    </row>
    <row r="5801" spans="1:3" ht="18" customHeight="1">
      <c r="A5801" t="str">
        <f>"324104"</f>
        <v>324104</v>
      </c>
      <c r="B5801" t="str">
        <f>"Strait Two Way  1251 BSP 1/4""     (89050)"</f>
        <v>Strait Two Way  1251 BSP 1/4"     (89050)</v>
      </c>
      <c r="C5801" t="str">
        <f t="shared" ref="C5801:C5816" si="232">"Active"</f>
        <v>Active</v>
      </c>
    </row>
    <row r="5802" spans="1:3" ht="18" customHeight="1">
      <c r="A5802" t="str">
        <f>"324105"</f>
        <v>324105</v>
      </c>
      <c r="B5802" t="str">
        <f>"Strait One Way  1253-5 BSP 1/4""     (89120)"</f>
        <v>Strait One Way  1253-5 BSP 1/4"     (89120)</v>
      </c>
      <c r="C5802" t="str">
        <f t="shared" si="232"/>
        <v>Active</v>
      </c>
    </row>
    <row r="5803" spans="1:3" ht="18" customHeight="1">
      <c r="A5803" t="str">
        <f>"324108"</f>
        <v>324108</v>
      </c>
      <c r="B5803" t="str">
        <f>"Flow Gage  1/4"" NPTF  H201A-020"</f>
        <v>Flow Gage  1/4" NPTF  H201A-020</v>
      </c>
      <c r="C5803" t="str">
        <f t="shared" si="232"/>
        <v>Active</v>
      </c>
    </row>
    <row r="5804" spans="1:3" ht="18" customHeight="1">
      <c r="A5804" t="str">
        <f>"324109"</f>
        <v>324109</v>
      </c>
      <c r="B5804" t="str">
        <f>"Pressure Gage  0-100 bar     (81490)"</f>
        <v>Pressure Gage  0-100 bar     (81490)</v>
      </c>
      <c r="C5804" t="str">
        <f t="shared" si="232"/>
        <v>Active</v>
      </c>
    </row>
    <row r="5805" spans="1:3" ht="18" customHeight="1">
      <c r="A5805" t="str">
        <f>"324110"</f>
        <v>324110</v>
      </c>
      <c r="B5805" t="str">
        <f>"Valve 4/3 Didect. Clos.Cen  B20/1, A8, 150072000"</f>
        <v>Valve 4/3 Didect. Clos.Cen  B20/1, A8, 150072000</v>
      </c>
      <c r="C5805" t="str">
        <f t="shared" si="232"/>
        <v>Active</v>
      </c>
    </row>
    <row r="5806" spans="1:3" ht="18" customHeight="1">
      <c r="A5806" t="str">
        <f>"324111"</f>
        <v>324111</v>
      </c>
      <c r="B5806" t="str">
        <f>"Pressure Reducing valve Vickers PRV1-10-S-3G-24"</f>
        <v>Pressure Reducing valve Vickers PRV1-10-S-3G-24</v>
      </c>
      <c r="C5806" t="str">
        <f t="shared" si="232"/>
        <v>Active</v>
      </c>
    </row>
    <row r="5807" spans="1:3" ht="18" customHeight="1">
      <c r="A5807" t="str">
        <f>"324112"</f>
        <v>324112</v>
      </c>
      <c r="B5807" t="str">
        <f>"Thermostat with Well d63, BSP 1/2"", L=42"</f>
        <v>Thermostat with Well d63, BSP 1/2", L=42</v>
      </c>
      <c r="C5807" t="str">
        <f t="shared" si="232"/>
        <v>Active</v>
      </c>
    </row>
    <row r="5808" spans="1:3" ht="18" customHeight="1">
      <c r="A5808" t="str">
        <f>"324114"</f>
        <v>324114</v>
      </c>
      <c r="B5808" t="str">
        <f>"Valve 4/3 Elc.Elc.Tandem 24V DC+Leds,VE0071502IR"</f>
        <v>Valve 4/3 Elc.Elc.Tandem 24V DC+Leds,VE0071502IR</v>
      </c>
      <c r="C5808" t="str">
        <f t="shared" si="232"/>
        <v>Active</v>
      </c>
    </row>
    <row r="5809" spans="1:3" ht="18" customHeight="1">
      <c r="A5809" t="str">
        <f>"324116"</f>
        <v>324116</v>
      </c>
      <c r="B5809" t="str">
        <f>"Valve 4/2  Elec. Spring"</f>
        <v>Valve 4/2  Elec. Spring</v>
      </c>
      <c r="C5809" t="str">
        <f t="shared" si="232"/>
        <v>Active</v>
      </c>
    </row>
    <row r="5810" spans="1:3" ht="18" customHeight="1">
      <c r="A5810" t="str">
        <f>"324118"</f>
        <v>324118</v>
      </c>
      <c r="B5810" t="str">
        <f>"Pressure Gage 1/4BSP,Dbl.Sc 0-60bar/pci"</f>
        <v>Pressure Gage 1/4BSP,Dbl.Sc 0-60bar/pci</v>
      </c>
      <c r="C5810" t="str">
        <f t="shared" si="232"/>
        <v>Active</v>
      </c>
    </row>
    <row r="5811" spans="1:3" ht="18" customHeight="1">
      <c r="A5811" t="str">
        <f>"324119"</f>
        <v>324119</v>
      </c>
      <c r="B5811" t="str">
        <f>"Valve Solenoid 2/2 NO SV4-10-C-0,1/4BSP, 24V"</f>
        <v>Valve Solenoid 2/2 NO SV4-10-C-0,1/4BSP, 24V</v>
      </c>
      <c r="C5811" t="str">
        <f t="shared" si="232"/>
        <v>Active</v>
      </c>
    </row>
    <row r="5812" spans="1:3" ht="18" customHeight="1">
      <c r="A5812" t="str">
        <f>"324120"</f>
        <v>324120</v>
      </c>
      <c r="B5812" t="str">
        <f>"Cylinder  HVB 3/4"" X 6"" M PHD"</f>
        <v>Cylinder  HVB 3/4" X 6" M PHD</v>
      </c>
      <c r="C5812" t="str">
        <f t="shared" si="232"/>
        <v>Active</v>
      </c>
    </row>
    <row r="5813" spans="1:3" ht="18" customHeight="1">
      <c r="A5813" t="str">
        <f>"324121"</f>
        <v>324121</v>
      </c>
      <c r="B5813" t="str">
        <f>"Valve Relief White  CP20/14 5-100bar 3x1/4BSP"</f>
        <v>Valve Relief White  CP20/14 5-100bar 3x1/4BSP</v>
      </c>
      <c r="C5813" t="str">
        <f t="shared" si="232"/>
        <v>Active</v>
      </c>
    </row>
    <row r="5814" spans="1:3" ht="18" customHeight="1">
      <c r="A5814" t="str">
        <f>"324122"</f>
        <v>324122</v>
      </c>
      <c r="B5814" t="str">
        <f>"Hydra Pwr Unit 110V/60Hz Q=3.5L/min, Pmax=210Bar"</f>
        <v>Hydra Pwr Unit 110V/60Hz Q=3.5L/min, Pmax=210Bar</v>
      </c>
      <c r="C5814" t="str">
        <f t="shared" si="232"/>
        <v>Active</v>
      </c>
    </row>
    <row r="5815" spans="1:3" ht="18" customHeight="1">
      <c r="A5815" t="str">
        <f>"324124"</f>
        <v>324124</v>
      </c>
      <c r="B5815" t="str">
        <f>"Adapter Fitting PG13.5 for Cable"</f>
        <v>Adapter Fitting PG13.5 for Cable</v>
      </c>
      <c r="C5815" t="str">
        <f t="shared" si="232"/>
        <v>Active</v>
      </c>
    </row>
    <row r="5816" spans="1:3" ht="18" customHeight="1">
      <c r="A5816" t="str">
        <f>"324130"</f>
        <v>324130</v>
      </c>
      <c r="B5816" t="str">
        <f>"Gasket Copper D=18.0 x d=12.5 x 1.5,CSR121815"</f>
        <v>Gasket Copper D=18.0 x d=12.5 x 1.5,CSR121815</v>
      </c>
      <c r="C5816" t="str">
        <f t="shared" si="232"/>
        <v>Active</v>
      </c>
    </row>
    <row r="5817" spans="1:3" ht="18" customHeight="1">
      <c r="A5817" t="str">
        <f>"324137"</f>
        <v>324137</v>
      </c>
      <c r="B5817" t="str">
        <f>"Pump Rule 500GPH 24V-Model 26D"</f>
        <v>Pump Rule 500GPH 24V-Model 26D</v>
      </c>
      <c r="C5817" t="str">
        <f>"Phase Out"</f>
        <v>Phase Out</v>
      </c>
    </row>
    <row r="5818" spans="1:3" ht="18" customHeight="1">
      <c r="A5818" t="str">
        <f>"324142"</f>
        <v>324142</v>
      </c>
      <c r="B5818" t="str">
        <f>"Water Pump NC mixride 3/4"</f>
        <v>Water Pump NC mixride 3/4</v>
      </c>
      <c r="C5818" t="str">
        <f t="shared" ref="C5818:C5847" si="233">"Active"</f>
        <v>Active</v>
      </c>
    </row>
    <row r="5819" spans="1:3" ht="18" customHeight="1">
      <c r="A5819" t="str">
        <f>"324143"</f>
        <v>324143</v>
      </c>
      <c r="B5819" t="str">
        <f>"Shut-Off Bal Valve, Male-female 3/4"" stopcock"</f>
        <v>Shut-Off Bal Valve, Male-female 3/4" stopcock</v>
      </c>
      <c r="C5819" t="str">
        <f t="shared" si="233"/>
        <v>Active</v>
      </c>
    </row>
    <row r="5820" spans="1:3" ht="18" customHeight="1">
      <c r="A5820" t="str">
        <f>"324144"</f>
        <v>324144</v>
      </c>
      <c r="B5820" t="str">
        <f>"Electric Manifold Valve 1""with S-390-2W-12VDC-NC"</f>
        <v>Electric Manifold Valve 1"with S-390-2W-12VDC-NC</v>
      </c>
      <c r="C5820" t="str">
        <f t="shared" si="233"/>
        <v>Active</v>
      </c>
    </row>
    <row r="5821" spans="1:3" ht="18" customHeight="1">
      <c r="A5821" t="str">
        <f>"324145"</f>
        <v>324145</v>
      </c>
      <c r="B5821" t="str">
        <f>"Electric Start For MIXRITE"</f>
        <v>Electric Start For MIXRITE</v>
      </c>
      <c r="C5821" t="str">
        <f t="shared" si="233"/>
        <v>Active</v>
      </c>
    </row>
    <row r="5822" spans="1:3" ht="18" customHeight="1">
      <c r="A5822" t="str">
        <f>"324146"</f>
        <v>324146</v>
      </c>
      <c r="B5822" t="str">
        <f>"Gasket set for MIXRITE"</f>
        <v>Gasket set for MIXRITE</v>
      </c>
      <c r="C5822" t="str">
        <f t="shared" si="233"/>
        <v>Active</v>
      </c>
    </row>
    <row r="5823" spans="1:3" ht="18" customHeight="1">
      <c r="A5823" t="str">
        <f>"324147"</f>
        <v>324147</v>
      </c>
      <c r="B5823" t="str">
        <f>"Angle Set Valve, Male 3/4"", inlet&amp;outlet 03049"</f>
        <v>Angle Set Valve, Male 3/4", inlet&amp;outlet 03049</v>
      </c>
      <c r="C5823" t="str">
        <f t="shared" si="233"/>
        <v>Active</v>
      </c>
    </row>
    <row r="5824" spans="1:3" ht="18" customHeight="1">
      <c r="A5824" t="str">
        <f>"324148"</f>
        <v>324148</v>
      </c>
      <c r="B5824" t="str">
        <f>"Fenestrated"</f>
        <v>Fenestrated</v>
      </c>
      <c r="C5824" t="str">
        <f t="shared" si="233"/>
        <v>Active</v>
      </c>
    </row>
    <row r="5825" spans="1:3" ht="18" customHeight="1">
      <c r="A5825" t="str">
        <f>"324149"</f>
        <v>324149</v>
      </c>
      <c r="B5825" t="str">
        <f>"Valve Flow Divider, Hydraulic, Ratio 50:50,1/4"</f>
        <v>Valve Flow Divider, Hydraulic, Ratio 50:50,1/4</v>
      </c>
      <c r="C5825" t="str">
        <f t="shared" si="233"/>
        <v>Active</v>
      </c>
    </row>
    <row r="5826" spans="1:3" ht="18" customHeight="1">
      <c r="A5826" t="str">
        <f>"324150"</f>
        <v>324150</v>
      </c>
      <c r="B5826" t="str">
        <f>"Oxygen meter and Tensiometer - body"</f>
        <v>Oxygen meter and Tensiometer - body</v>
      </c>
      <c r="C5826" t="str">
        <f t="shared" si="233"/>
        <v>Active</v>
      </c>
    </row>
    <row r="5827" spans="1:3" ht="18" customHeight="1">
      <c r="A5827" t="str">
        <f>"324151"</f>
        <v>324151</v>
      </c>
      <c r="B5827" t="str">
        <f>"Oxygen meter and Tensiometer - ceramic"</f>
        <v>Oxygen meter and Tensiometer - ceramic</v>
      </c>
      <c r="C5827" t="str">
        <f t="shared" si="233"/>
        <v>Active</v>
      </c>
    </row>
    <row r="5828" spans="1:3" ht="18" customHeight="1">
      <c r="A5828" t="str">
        <f>"324152"</f>
        <v>324152</v>
      </c>
      <c r="B5828" t="str">
        <f>"Oxygen meter and Tensiometer - head"</f>
        <v>Oxygen meter and Tensiometer - head</v>
      </c>
      <c r="C5828" t="str">
        <f t="shared" si="233"/>
        <v>Active</v>
      </c>
    </row>
    <row r="5829" spans="1:3" ht="18" customHeight="1">
      <c r="A5829" t="str">
        <f>"324153"</f>
        <v>324153</v>
      </c>
      <c r="B5829" t="str">
        <f>"Wireless Tensiometer with 1.5 km range"</f>
        <v>Wireless Tensiometer with 1.5 km range</v>
      </c>
      <c r="C5829" t="str">
        <f t="shared" si="233"/>
        <v>Active</v>
      </c>
    </row>
    <row r="5830" spans="1:3" ht="18" customHeight="1">
      <c r="A5830" t="str">
        <f>"324154"</f>
        <v>324154</v>
      </c>
      <c r="B5830" t="str">
        <f>"Oxygen meter and Tensiometer - body"</f>
        <v>Oxygen meter and Tensiometer - body</v>
      </c>
      <c r="C5830" t="str">
        <f t="shared" si="233"/>
        <v>Active</v>
      </c>
    </row>
    <row r="5831" spans="1:3" ht="18" customHeight="1">
      <c r="A5831" t="str">
        <f>"324155"</f>
        <v>324155</v>
      </c>
      <c r="B5831" t="str">
        <f>"Communication card lightening protection"</f>
        <v>Communication card lightening protection</v>
      </c>
      <c r="C5831" t="str">
        <f t="shared" si="233"/>
        <v>Active</v>
      </c>
    </row>
    <row r="5832" spans="1:3" ht="18" customHeight="1">
      <c r="A5832" t="str">
        <f>"324156"</f>
        <v>324156</v>
      </c>
      <c r="B5832" t="str">
        <f>"Lightening protection card for controller"</f>
        <v>Lightening protection card for controller</v>
      </c>
      <c r="C5832" t="str">
        <f t="shared" si="233"/>
        <v>Active</v>
      </c>
    </row>
    <row r="5833" spans="1:3" ht="18" customHeight="1">
      <c r="A5833" t="str">
        <f>"324157"</f>
        <v>324157</v>
      </c>
      <c r="B5833" t="str">
        <f>"Oxygen meter and Tensiometer"</f>
        <v>Oxygen meter and Tensiometer</v>
      </c>
      <c r="C5833" t="str">
        <f t="shared" si="233"/>
        <v>Active</v>
      </c>
    </row>
    <row r="5834" spans="1:3" ht="18" customHeight="1">
      <c r="A5834" t="str">
        <f>"324158"</f>
        <v>324158</v>
      </c>
      <c r="B5834" t="str">
        <f>"Thermometer"</f>
        <v>Thermometer</v>
      </c>
      <c r="C5834" t="str">
        <f t="shared" si="233"/>
        <v>Active</v>
      </c>
    </row>
    <row r="5835" spans="1:3" ht="18" customHeight="1">
      <c r="A5835" t="str">
        <f>"324159"</f>
        <v>324159</v>
      </c>
      <c r="B5835" t="str">
        <f>"Electronic thermometer and humidity meter"</f>
        <v>Electronic thermometer and humidity meter</v>
      </c>
      <c r="C5835" t="str">
        <f t="shared" si="233"/>
        <v>Active</v>
      </c>
    </row>
    <row r="5836" spans="1:3" ht="18" customHeight="1">
      <c r="A5836" t="str">
        <f>"324160"</f>
        <v>324160</v>
      </c>
      <c r="B5836" t="str">
        <f>"Analog pressure meter, 0 to 10 Bar"</f>
        <v>Analog pressure meter, 0 to 10 Bar</v>
      </c>
      <c r="C5836" t="str">
        <f t="shared" si="233"/>
        <v>Active</v>
      </c>
    </row>
    <row r="5837" spans="1:3" ht="18" customHeight="1">
      <c r="A5837" t="str">
        <f>"324161"</f>
        <v>324161</v>
      </c>
      <c r="B5837" t="str">
        <f>"Global radiation meter"</f>
        <v>Global radiation meter</v>
      </c>
      <c r="C5837" t="str">
        <f t="shared" si="233"/>
        <v>Active</v>
      </c>
    </row>
    <row r="5838" spans="1:3" ht="18" customHeight="1">
      <c r="A5838" t="str">
        <f>"324162"</f>
        <v>324162</v>
      </c>
      <c r="B5838" t="str">
        <f>"Cellular RS232 modem without sim"</f>
        <v>Cellular RS232 modem without sim</v>
      </c>
      <c r="C5838" t="str">
        <f t="shared" si="233"/>
        <v>Active</v>
      </c>
    </row>
    <row r="5839" spans="1:3" ht="18" customHeight="1">
      <c r="A5839" t="str">
        <f>"324163"</f>
        <v>324163</v>
      </c>
      <c r="B5839" t="str">
        <f>"Minicomputer - FitPC including XP"</f>
        <v>Minicomputer - FitPC including XP</v>
      </c>
      <c r="C5839" t="str">
        <f t="shared" si="233"/>
        <v>Active</v>
      </c>
    </row>
    <row r="5840" spans="1:3" ht="18" customHeight="1">
      <c r="A5840" t="str">
        <f>"324164"</f>
        <v>324164</v>
      </c>
      <c r="B5840" t="str">
        <f>"Internal level switch"</f>
        <v>Internal level switch</v>
      </c>
      <c r="C5840" t="str">
        <f t="shared" si="233"/>
        <v>Active</v>
      </c>
    </row>
    <row r="5841" spans="1:3" ht="18" customHeight="1">
      <c r="A5841" t="str">
        <f>"324165"</f>
        <v>324165</v>
      </c>
      <c r="B5841" t="str">
        <f>"Pump as replacement part"</f>
        <v>Pump as replacement part</v>
      </c>
      <c r="C5841" t="str">
        <f t="shared" si="233"/>
        <v>Active</v>
      </c>
    </row>
    <row r="5842" spans="1:3" ht="18" customHeight="1">
      <c r="A5842" t="str">
        <f>"324166"</f>
        <v>324166</v>
      </c>
      <c r="B5842" t="str">
        <f>"Add. pump for AAG system include.AAG  Prog."</f>
        <v>Add. pump for AAG system include.AAG  Prog.</v>
      </c>
      <c r="C5842" t="str">
        <f t="shared" si="233"/>
        <v>Active</v>
      </c>
    </row>
    <row r="5843" spans="1:3" ht="18" customHeight="1">
      <c r="A5843" t="str">
        <f>"324167"</f>
        <v>324167</v>
      </c>
      <c r="B5843" t="str">
        <f>"Tube for peristaltic pump"</f>
        <v>Tube for peristaltic pump</v>
      </c>
      <c r="C5843" t="str">
        <f t="shared" si="233"/>
        <v>Active</v>
      </c>
    </row>
    <row r="5844" spans="1:3" ht="18" customHeight="1">
      <c r="A5844" t="str">
        <f>"324168"</f>
        <v>324168</v>
      </c>
      <c r="B5844" t="str">
        <f>"Breathable cell for moisture meter"</f>
        <v>Breathable cell for moisture meter</v>
      </c>
      <c r="C5844" t="str">
        <f t="shared" si="233"/>
        <v>Active</v>
      </c>
    </row>
    <row r="5845" spans="1:3" ht="18" customHeight="1">
      <c r="A5845" t="str">
        <f>"324169"</f>
        <v>324169</v>
      </c>
      <c r="B5845" t="str">
        <f>"Pressure Transmitter MFM489"</f>
        <v>Pressure Transmitter MFM489</v>
      </c>
      <c r="C5845" t="str">
        <f t="shared" si="233"/>
        <v>Active</v>
      </c>
    </row>
    <row r="5846" spans="1:3" ht="18" customHeight="1">
      <c r="A5846" t="str">
        <f>"324170"</f>
        <v>324170</v>
      </c>
      <c r="B5846" t="str">
        <f>"Measuring conductivity system for Roots"</f>
        <v>Measuring conductivity system for Roots</v>
      </c>
      <c r="C5846" t="str">
        <f t="shared" si="233"/>
        <v>Active</v>
      </c>
    </row>
    <row r="5847" spans="1:3" ht="18" customHeight="1">
      <c r="A5847" t="str">
        <f>"324171"</f>
        <v>324171</v>
      </c>
      <c r="B5847" t="str">
        <f>"Tensiometer(100-)-0 MB including complete oxygen"</f>
        <v>Tensiometer(100-)-0 MB including complete oxygen</v>
      </c>
      <c r="C5847" t="str">
        <f t="shared" si="233"/>
        <v>Active</v>
      </c>
    </row>
    <row r="5848" spans="1:3" ht="18" customHeight="1">
      <c r="A5848" t="str">
        <f>"324201"</f>
        <v>324201</v>
      </c>
      <c r="B5848" t="str">
        <f>"Generator Vacuum  NV03-05, change # 324315"</f>
        <v>Generator Vacuum  NV03-05, change # 324315</v>
      </c>
      <c r="C5848" t="str">
        <f>"ECO-N2Buy"</f>
        <v>ECO-N2Buy</v>
      </c>
    </row>
    <row r="5849" spans="1:3" ht="18" customHeight="1">
      <c r="A5849" t="str">
        <f>"324202"</f>
        <v>324202</v>
      </c>
      <c r="B5849" t="str">
        <f>"Air Brush Set change for diam.4"</f>
        <v>Air Brush Set change for diam.4</v>
      </c>
      <c r="C5849" t="str">
        <f>"ECO-N2Buy"</f>
        <v>ECO-N2Buy</v>
      </c>
    </row>
    <row r="5850" spans="1:3" ht="18" customHeight="1">
      <c r="A5850" t="str">
        <f>"324206"</f>
        <v>324206</v>
      </c>
      <c r="B5850" t="str">
        <f>"Fast Conn.-White Plastic #10/32, PMCD18-1032CPC"</f>
        <v>Fast Conn.-White Plastic #10/32, PMCD18-1032CPC</v>
      </c>
      <c r="C5850" t="str">
        <f>"Active"</f>
        <v>Active</v>
      </c>
    </row>
    <row r="5851" spans="1:3" ht="18" customHeight="1">
      <c r="A5851" t="str">
        <f>"324207"</f>
        <v>324207</v>
      </c>
      <c r="B5851" t="str">
        <f>"Air Flow Reducer - M5 JSS4-M5A  D 4mm  PISCO"</f>
        <v>Air Flow Reducer - M5 JSS4-M5A  D 4mm  PISCO</v>
      </c>
      <c r="C5851" t="str">
        <f>"Active"</f>
        <v>Active</v>
      </c>
    </row>
    <row r="5852" spans="1:3" ht="18" customHeight="1">
      <c r="A5852" t="str">
        <f>"324208"</f>
        <v>324208</v>
      </c>
      <c r="B5852" t="str">
        <f>"Valve 4/2 Sol.  24VDC  410 39"</f>
        <v>Valve 4/2 Sol.  24VDC  410 39</v>
      </c>
      <c r="C5852" t="str">
        <f>"Active"</f>
        <v>Active</v>
      </c>
    </row>
    <row r="5853" spans="1:3" ht="18" customHeight="1">
      <c r="A5853" t="str">
        <f>"324209"</f>
        <v>324209</v>
      </c>
      <c r="B5853" t="str">
        <f>"Valve 4 Way 1/8-27NPSF 12VDC 410"</f>
        <v>Valve 4 Way 1/8-27NPSF 12VDC 410</v>
      </c>
      <c r="C5853" t="str">
        <f>"Active"</f>
        <v>Active</v>
      </c>
    </row>
    <row r="5854" spans="1:3" ht="18" customHeight="1">
      <c r="A5854" t="str">
        <f>"324210"</f>
        <v>324210</v>
      </c>
      <c r="B5854" t="str">
        <f>"Cilinder Double Act.Magnetic,25+Nut,C24N2A25A300"</f>
        <v>Cilinder Double Act.Magnetic,25+Nut,C24N2A25A300</v>
      </c>
      <c r="C5854" t="str">
        <f>"Not for sale"</f>
        <v>Not for sale</v>
      </c>
    </row>
    <row r="5855" spans="1:3" ht="18" customHeight="1">
      <c r="A5855" t="str">
        <f>"324211"</f>
        <v>324211</v>
      </c>
      <c r="B5855" t="str">
        <f>"Rear Trunnion bracket I-27-25"</f>
        <v>Rear Trunnion bracket I-27-25</v>
      </c>
      <c r="C5855" t="str">
        <f>"Not for sale"</f>
        <v>Not for sale</v>
      </c>
    </row>
    <row r="5856" spans="1:3" ht="18" customHeight="1">
      <c r="A5856" t="str">
        <f>"324212"</f>
        <v>324212</v>
      </c>
      <c r="B5856" t="str">
        <f>"Swivel Ball Joint for Pneum. Cylind. GA-32, M10"</f>
        <v>Swivel Ball Joint for Pneum. Cylind. GA-32, M10</v>
      </c>
      <c r="C5856" t="str">
        <f>"Not for sale"</f>
        <v>Not for sale</v>
      </c>
    </row>
    <row r="5857" spans="1:3" ht="18" customHeight="1">
      <c r="A5857" t="str">
        <f>"324213"</f>
        <v>324213</v>
      </c>
      <c r="B5857" t="str">
        <f>"Reducer Air Flow  - 1/8""M"</f>
        <v>Reducer Air Flow  - 1/8"M</v>
      </c>
      <c r="C5857" t="str">
        <f t="shared" ref="C5857:C5882" si="234">"Active"</f>
        <v>Active</v>
      </c>
    </row>
    <row r="5858" spans="1:3" ht="18" customHeight="1">
      <c r="A5858" t="str">
        <f>"324215"</f>
        <v>324215</v>
      </c>
      <c r="B5858" t="str">
        <f>"Air Compressor 230V 50Hz, 48L 8Bar 50dB AC-F2-50"</f>
        <v>Air Compressor 230V 50Hz, 48L 8Bar 50dB AC-F2-50</v>
      </c>
      <c r="C5858" t="str">
        <f t="shared" si="234"/>
        <v>Active</v>
      </c>
    </row>
    <row r="5859" spans="1:3" ht="18" customHeight="1">
      <c r="A5859" t="str">
        <f>"324218"</f>
        <v>324218</v>
      </c>
      <c r="B5859" t="str">
        <f>"Valve 3 Way - 1/8-27NPSF  24VDC 310 39"</f>
        <v>Valve 3 Way - 1/8-27NPSF  24VDC 310 39</v>
      </c>
      <c r="C5859" t="str">
        <f t="shared" si="234"/>
        <v>Active</v>
      </c>
    </row>
    <row r="5860" spans="1:3" ht="18" customHeight="1">
      <c r="A5860" t="str">
        <f>"324220"</f>
        <v>324220</v>
      </c>
      <c r="B5860" t="str">
        <f>"Fabco-Air PANCAKE LINE Mini Cyl. Pancake E-5-X"</f>
        <v>Fabco-Air PANCAKE LINE Mini Cyl. Pancake E-5-X</v>
      </c>
      <c r="C5860" t="str">
        <f t="shared" si="234"/>
        <v>Active</v>
      </c>
    </row>
    <row r="5861" spans="1:3" ht="18" customHeight="1">
      <c r="A5861" t="str">
        <f>"324222"</f>
        <v>324222</v>
      </c>
      <c r="B5861" t="str">
        <f>"Valve 5/2 Pneu.Oper.-Bist  358-033 P max 10 bar"</f>
        <v>Valve 5/2 Pneu.Oper.-Bist  358-033 P max 10 bar</v>
      </c>
      <c r="C5861" t="str">
        <f t="shared" si="234"/>
        <v>Active</v>
      </c>
    </row>
    <row r="5862" spans="1:3" ht="18" customHeight="1">
      <c r="A5862" t="str">
        <f>"324223"</f>
        <v>324223</v>
      </c>
      <c r="B5862" t="str">
        <f>"Valve Push Button Pn 3/2 C338-915  P.B. Mushroom"</f>
        <v>Valve Push Button Pn 3/2 C338-915  P.B. Mushroom</v>
      </c>
      <c r="C5862" t="str">
        <f t="shared" si="234"/>
        <v>Active</v>
      </c>
    </row>
    <row r="5863" spans="1:3" ht="18" customHeight="1">
      <c r="A5863" t="str">
        <f>"324224"</f>
        <v>324224</v>
      </c>
      <c r="B5863" t="str">
        <f>"Valve Pneumatic 3/2 Hand C338990"</f>
        <v>Valve Pneumatic 3/2 Hand C338990</v>
      </c>
      <c r="C5863" t="str">
        <f t="shared" si="234"/>
        <v>Active</v>
      </c>
    </row>
    <row r="5864" spans="1:3" ht="18" customHeight="1">
      <c r="A5864" t="str">
        <f>"324225"</f>
        <v>324225</v>
      </c>
      <c r="B5864" t="str">
        <f>"Valve Limit 3/2 Two Way M5  235-955"</f>
        <v>Valve Limit 3/2 Two Way M5  235-955</v>
      </c>
      <c r="C5864" t="str">
        <f t="shared" si="234"/>
        <v>Active</v>
      </c>
    </row>
    <row r="5865" spans="1:3" ht="18" customHeight="1">
      <c r="A5865" t="str">
        <f>"324226"</f>
        <v>324226</v>
      </c>
      <c r="B5865" t="str">
        <f>"Valve 3/2 Air Spring  338-035"</f>
        <v>Valve 3/2 Air Spring  338-035</v>
      </c>
      <c r="C5865" t="str">
        <f t="shared" si="234"/>
        <v>Active</v>
      </c>
    </row>
    <row r="5866" spans="1:3" ht="18" customHeight="1">
      <c r="A5866" t="str">
        <f>"324227"</f>
        <v>324227</v>
      </c>
      <c r="B5866" t="str">
        <f>"Valve Pap 2-LR SB4-B"</f>
        <v>Valve Pap 2-LR SB4-B</v>
      </c>
      <c r="C5866" t="str">
        <f t="shared" si="234"/>
        <v>Active</v>
      </c>
    </row>
    <row r="5867" spans="1:3" ht="18" customHeight="1">
      <c r="A5867" t="str">
        <f>"324228"</f>
        <v>324228</v>
      </c>
      <c r="B5867" t="str">
        <f>"Valve Pap 2-LD-SB4-B"</f>
        <v>Valve Pap 2-LD-SB4-B</v>
      </c>
      <c r="C5867" t="str">
        <f t="shared" si="234"/>
        <v>Active</v>
      </c>
    </row>
    <row r="5868" spans="1:3" ht="18" customHeight="1">
      <c r="A5868" t="str">
        <f>"324229"</f>
        <v>324229</v>
      </c>
      <c r="B5868" t="str">
        <f>"Valve Pap 2-LT-SB4-B"</f>
        <v>Valve Pap 2-LT-SB4-B</v>
      </c>
      <c r="C5868" t="str">
        <f t="shared" si="234"/>
        <v>Active</v>
      </c>
    </row>
    <row r="5869" spans="1:3" ht="18" customHeight="1">
      <c r="A5869" t="str">
        <f>"324230"</f>
        <v>324230</v>
      </c>
      <c r="B5869" t="str">
        <f>"Pressure Regulator/filter  CN208DOO"</f>
        <v>Pressure Regulator/filter  CN208DOO</v>
      </c>
      <c r="C5869" t="str">
        <f t="shared" si="234"/>
        <v>Active</v>
      </c>
    </row>
    <row r="5870" spans="1:3" ht="18" customHeight="1">
      <c r="A5870" t="str">
        <f>"324231"</f>
        <v>324231</v>
      </c>
      <c r="B5870" t="str">
        <f>"Valve Slide On-Off  CVMS118"</f>
        <v>Valve Slide On-Off  CVMS118</v>
      </c>
      <c r="C5870" t="str">
        <f t="shared" si="234"/>
        <v>Active</v>
      </c>
    </row>
    <row r="5871" spans="1:3" ht="18" customHeight="1">
      <c r="A5871" t="str">
        <f>"324232"</f>
        <v>324232</v>
      </c>
      <c r="B5871" t="str">
        <f>"Double Acting Cylinder+Nut C24N2A25A080 ,magneti"</f>
        <v>Double Acting Cylinder+Nut C24N2A25A080 ,magneti</v>
      </c>
      <c r="C5871" t="str">
        <f t="shared" si="234"/>
        <v>Active</v>
      </c>
    </row>
    <row r="5872" spans="1:3" ht="18" customHeight="1">
      <c r="A5872" t="str">
        <f>"324233"</f>
        <v>324233</v>
      </c>
      <c r="B5872" t="str">
        <f>"Foot for Cylinder + Nut  CB2025"</f>
        <v>Foot for Cylinder + Nut  CB2025</v>
      </c>
      <c r="C5872" t="str">
        <f t="shared" si="234"/>
        <v>Active</v>
      </c>
    </row>
    <row r="5873" spans="1:3" ht="18" customHeight="1">
      <c r="A5873" t="str">
        <f>"324234"</f>
        <v>324234</v>
      </c>
      <c r="B5873" t="str">
        <f>"Valve Pulse Clippard  UCPV1"</f>
        <v>Valve Pulse Clippard  UCPV1</v>
      </c>
      <c r="C5873" t="str">
        <f t="shared" si="234"/>
        <v>Active</v>
      </c>
    </row>
    <row r="5874" spans="1:3" ht="18" customHeight="1">
      <c r="A5874" t="str">
        <f>"324235"</f>
        <v>324235</v>
      </c>
      <c r="B5874" t="str">
        <f>"Valve 3-WAY DELAY UCR331   Clippard Minimat"</f>
        <v>Valve 3-WAY DELAY UCR331   Clippard Minimat</v>
      </c>
      <c r="C5874" t="str">
        <f t="shared" si="234"/>
        <v>Active</v>
      </c>
    </row>
    <row r="5875" spans="1:3" ht="18" customHeight="1">
      <c r="A5875" t="str">
        <f>"324236"</f>
        <v>324236</v>
      </c>
      <c r="B5875" t="str">
        <f>"Valve 5/2 Elc. Elc. ""1/8"</f>
        <v>Valve 5/2 Elc. Elc. "1/8</v>
      </c>
      <c r="C5875" t="str">
        <f t="shared" si="234"/>
        <v>Active</v>
      </c>
    </row>
    <row r="5876" spans="1:3" ht="18" customHeight="1">
      <c r="A5876" t="str">
        <f>"324237"</f>
        <v>324237</v>
      </c>
      <c r="B5876" t="str">
        <f>"Coil CA73 V24DC - 5W"</f>
        <v>Coil CA73 V24DC - 5W</v>
      </c>
      <c r="C5876" t="str">
        <f t="shared" si="234"/>
        <v>Active</v>
      </c>
    </row>
    <row r="5877" spans="1:3" ht="18" customHeight="1">
      <c r="A5877" t="str">
        <f>"324241"</f>
        <v>324241</v>
      </c>
      <c r="B5877" t="str">
        <f>"Clamp for Cylinder d25"</f>
        <v>Clamp for Cylinder d25</v>
      </c>
      <c r="C5877" t="str">
        <f t="shared" si="234"/>
        <v>Active</v>
      </c>
    </row>
    <row r="5878" spans="1:3" ht="18" customHeight="1">
      <c r="A5878" t="str">
        <f>"324242"</f>
        <v>324242</v>
      </c>
      <c r="B5878" t="str">
        <f>"Lubricator 1/8  CN208LOO"</f>
        <v>Lubricator 1/8  CN208LOO</v>
      </c>
      <c r="C5878" t="str">
        <f t="shared" si="234"/>
        <v>Active</v>
      </c>
    </row>
    <row r="5879" spans="1:3" ht="18" customHeight="1">
      <c r="A5879" t="str">
        <f>"324243"</f>
        <v>324243</v>
      </c>
      <c r="B5879" t="str">
        <f>"PressGauge-rear thread 12bar,FM3A4012, 40mm 1/8"""</f>
        <v>PressGauge-rear thread 12bar,FM3A4012, 40mm 1/8"</v>
      </c>
      <c r="C5879" t="str">
        <f t="shared" si="234"/>
        <v>Active</v>
      </c>
    </row>
    <row r="5880" spans="1:3" ht="18" customHeight="1">
      <c r="A5880" t="str">
        <f>"324244"</f>
        <v>324244</v>
      </c>
      <c r="B5880" t="str">
        <f>"Cylinder Double Act.Magn+Nut 16N2A12A125,CAMOZZI"</f>
        <v>Cylinder Double Act.Magn+Nut 16N2A12A125,CAMOZZI</v>
      </c>
      <c r="C5880" t="str">
        <f t="shared" si="234"/>
        <v>Active</v>
      </c>
    </row>
    <row r="5881" spans="1:3" ht="18" customHeight="1">
      <c r="A5881" t="str">
        <f>"324245"</f>
        <v>324245</v>
      </c>
      <c r="B5881" t="str">
        <f>"Air Flow Reducer- M5 JSC4-M5A D4mm PISCO"</f>
        <v>Air Flow Reducer- M5 JSC4-M5A D4mm PISCO</v>
      </c>
      <c r="C5881" t="str">
        <f t="shared" si="234"/>
        <v>Active</v>
      </c>
    </row>
    <row r="5882" spans="1:3" ht="18" customHeight="1">
      <c r="A5882" t="str">
        <f>"324246"</f>
        <v>324246</v>
      </c>
      <c r="B5882" t="str">
        <f>"Pn.Cylinder Double  16N2A10A125+nut, CAMOZZI"</f>
        <v>Pn.Cylinder Double  16N2A10A125+nut, CAMOZZI</v>
      </c>
      <c r="C5882" t="str">
        <f t="shared" si="234"/>
        <v>Active</v>
      </c>
    </row>
    <row r="5883" spans="1:3" ht="18" customHeight="1">
      <c r="A5883" t="str">
        <f>"324247"</f>
        <v>324247</v>
      </c>
      <c r="B5883" t="str">
        <f>"Rodless Cylinder ser.50 BC2M10SK6,Stroke 154mm"</f>
        <v>Rodless Cylinder ser.50 BC2M10SK6,Stroke 154mm</v>
      </c>
      <c r="C5883" t="str">
        <f>"Not for sale"</f>
        <v>Not for sale</v>
      </c>
    </row>
    <row r="5884" spans="1:3" ht="18" customHeight="1">
      <c r="A5884" t="str">
        <f>"324250"</f>
        <v>324250</v>
      </c>
      <c r="B5884" t="str">
        <f>"Tooling adaptor Modul Slave RHC-1M-T"</f>
        <v>Tooling adaptor Modul Slave RHC-1M-T</v>
      </c>
      <c r="C5884" t="str">
        <f t="shared" ref="C5884:C5906" si="235">"Active"</f>
        <v>Active</v>
      </c>
    </row>
    <row r="5885" spans="1:3" ht="18" customHeight="1">
      <c r="A5885" t="str">
        <f>"324251"</f>
        <v>324251</v>
      </c>
      <c r="B5885" t="str">
        <f>"Tool-Change.Robot Adap.Master  ROBOHAND,RHC-1M-R"</f>
        <v>Tool-Change.Robot Adap.Master  ROBOHAND,RHC-1M-R</v>
      </c>
      <c r="C5885" t="str">
        <f t="shared" si="235"/>
        <v>Active</v>
      </c>
    </row>
    <row r="5886" spans="1:3" ht="18" customHeight="1">
      <c r="A5886" t="str">
        <f>"324252"</f>
        <v>324252</v>
      </c>
      <c r="B5886" t="str">
        <f>"Valve One Way Flow Control CRFU-483 3"</f>
        <v>Valve One Way Flow Control CRFU-483 3</v>
      </c>
      <c r="C5886" t="str">
        <f t="shared" si="235"/>
        <v>Active</v>
      </c>
    </row>
    <row r="5887" spans="1:3" ht="18" customHeight="1">
      <c r="A5887" t="str">
        <f>"324253"</f>
        <v>324253</v>
      </c>
      <c r="B5887" t="str">
        <f>"Pressure Regulator  CMOO8 -ROO"</f>
        <v>Pressure Regulator  CMOO8 -ROO</v>
      </c>
      <c r="C5887" t="str">
        <f t="shared" si="235"/>
        <v>Active</v>
      </c>
    </row>
    <row r="5888" spans="1:3" ht="18" customHeight="1">
      <c r="A5888" t="str">
        <f>"324254"</f>
        <v>324254</v>
      </c>
      <c r="B5888" t="str">
        <f>"Clear Conn. with Led for Sol.24V, KB132L34T9"</f>
        <v>Clear Conn. with Led for Sol.24V, KB132L34T9</v>
      </c>
      <c r="C5888" t="str">
        <f t="shared" si="235"/>
        <v>Active</v>
      </c>
    </row>
    <row r="5889" spans="1:3" ht="18" customHeight="1">
      <c r="A5889" t="str">
        <f>"324258"</f>
        <v>324258</v>
      </c>
      <c r="B5889" t="str">
        <f>"PressureGauge-lower threa 0-1bar, 40mm, FM104001"</f>
        <v>PressureGauge-lower threa 0-1bar, 40mm, FM104001</v>
      </c>
      <c r="C5889" t="str">
        <f t="shared" si="235"/>
        <v>Active</v>
      </c>
    </row>
    <row r="5890" spans="1:3" ht="18" customHeight="1">
      <c r="A5890" t="str">
        <f>"324259"</f>
        <v>324259</v>
      </c>
      <c r="B5890" t="str">
        <f>"Valve Pressure  0-2bar  S1VS18"</f>
        <v>Valve Pressure  0-2bar  S1VS18</v>
      </c>
      <c r="C5890" t="str">
        <f t="shared" si="235"/>
        <v>Active</v>
      </c>
    </row>
    <row r="5891" spans="1:3" ht="18" customHeight="1">
      <c r="A5891" t="str">
        <f>"324265"</f>
        <v>324265</v>
      </c>
      <c r="B5891" t="str">
        <f>"Vacuum Generator  VPVP002 1/8""+ PAD d 30"</f>
        <v>Vacuum Generator  VPVP002 1/8"+ PAD d 30</v>
      </c>
      <c r="C5891" t="str">
        <f t="shared" si="235"/>
        <v>Active</v>
      </c>
    </row>
    <row r="5892" spans="1:3" ht="18" customHeight="1">
      <c r="A5892" t="str">
        <f>"324277"</f>
        <v>324277</v>
      </c>
      <c r="B5892" t="str">
        <f>"One Way Flow Elbow, JSC4-01(1/8""),d=4mm"</f>
        <v>One Way Flow Elbow, JSC4-01(1/8"),d=4mm</v>
      </c>
      <c r="C5892" t="str">
        <f t="shared" si="235"/>
        <v>Active</v>
      </c>
    </row>
    <row r="5893" spans="1:3" ht="18" customHeight="1">
      <c r="A5893" t="str">
        <f>"324284"</f>
        <v>324284</v>
      </c>
      <c r="B5893" t="str">
        <f>"Air Compressor 230V 50Hz, 25L 8Bar 50dB AC-F2-25"</f>
        <v>Air Compressor 230V 50Hz, 25L 8Bar 50dB AC-F2-25</v>
      </c>
      <c r="C5893" t="str">
        <f t="shared" si="235"/>
        <v>Active</v>
      </c>
    </row>
    <row r="5894" spans="1:3" ht="18" customHeight="1">
      <c r="A5894" t="str">
        <f>"324286"</f>
        <v>324286</v>
      </c>
      <c r="B5894" t="str">
        <f>"Pressure Gage Back  0-2.5 bar/psi, 1/8"""</f>
        <v>Pressure Gage Back  0-2.5 bar/psi, 1/8"</v>
      </c>
      <c r="C5894" t="str">
        <f t="shared" si="235"/>
        <v>Active</v>
      </c>
    </row>
    <row r="5895" spans="1:3" ht="18" customHeight="1">
      <c r="A5895" t="str">
        <f>"324288"</f>
        <v>324288</v>
      </c>
      <c r="B5895" t="str">
        <f>"3/2Sol/Spr Valve  C338-015-020-A70"</f>
        <v>3/2Sol/Spr Valve  C338-015-020-A70</v>
      </c>
      <c r="C5895" t="str">
        <f t="shared" si="235"/>
        <v>Active</v>
      </c>
    </row>
    <row r="5896" spans="1:3" ht="18" customHeight="1">
      <c r="A5896" t="str">
        <f>"324304"</f>
        <v>324304</v>
      </c>
      <c r="B5896" t="str">
        <f>"One direct Flow contr valve Elbow min JSC3 M5MAK"</f>
        <v>One direct Flow contr valve Elbow min JSC3 M5MAK</v>
      </c>
      <c r="C5896" t="str">
        <f t="shared" si="235"/>
        <v>Active</v>
      </c>
    </row>
    <row r="5897" spans="1:3" ht="18" customHeight="1">
      <c r="A5897" t="str">
        <f>"324305"</f>
        <v>324305</v>
      </c>
      <c r="B5897" t="str">
        <f>"DoubActCylinder+2NutsM10x1.25,C24N2A25A500magnet"</f>
        <v>DoubActCylinder+2NutsM10x1.25,C24N2A25A500magnet</v>
      </c>
      <c r="C5897" t="str">
        <f t="shared" si="235"/>
        <v>Active</v>
      </c>
    </row>
    <row r="5898" spans="1:3" ht="18" customHeight="1">
      <c r="A5898" t="str">
        <f>"324310"</f>
        <v>324310</v>
      </c>
      <c r="B5898" t="str">
        <f>"Manifold 4 Valve  MPM-4"</f>
        <v>Manifold 4 Valve  MPM-4</v>
      </c>
      <c r="C5898" t="str">
        <f t="shared" si="235"/>
        <v>Active</v>
      </c>
    </row>
    <row r="5899" spans="1:3" ht="18" customHeight="1">
      <c r="A5899" t="str">
        <f>"324314"</f>
        <v>324314</v>
      </c>
      <c r="B5899" t="str">
        <f>"Vacuum Pad/Cylinder/Genre VSPE 20-20 LN-4J PISCO"</f>
        <v>Vacuum Pad/Cylinder/Genre VSPE 20-20 LN-4J PISCO</v>
      </c>
      <c r="C5899" t="str">
        <f t="shared" si="235"/>
        <v>Active</v>
      </c>
    </row>
    <row r="5900" spans="1:3" ht="18" customHeight="1">
      <c r="A5900" t="str">
        <f>"324316"</f>
        <v>324316</v>
      </c>
      <c r="B5900" t="str">
        <f>"Pneumatic Gripper MHF2-16D2, stroke 64mm"</f>
        <v>Pneumatic Gripper MHF2-16D2, stroke 64mm</v>
      </c>
      <c r="C5900" t="str">
        <f t="shared" si="235"/>
        <v>Active</v>
      </c>
    </row>
    <row r="5901" spans="1:3" ht="18" customHeight="1">
      <c r="A5901" t="str">
        <f>"324317"</f>
        <v>324317</v>
      </c>
      <c r="B5901" t="str">
        <f>"Cylinder+Bracket+Rodfor C24216050+I16+G16+GST220"</f>
        <v>Cylinder+Bracket+Rodfor C24216050+I16+G16+GST220</v>
      </c>
      <c r="C5901" t="str">
        <f t="shared" si="235"/>
        <v>Active</v>
      </c>
    </row>
    <row r="5902" spans="1:3" ht="18" customHeight="1">
      <c r="A5902" t="str">
        <f>"324320"</f>
        <v>324320</v>
      </c>
      <c r="B5902" t="str">
        <f>"90 deg.Air fitting for pneumatic piston - Black"</f>
        <v>90 deg.Air fitting for pneumatic piston - Black</v>
      </c>
      <c r="C5902" t="str">
        <f t="shared" si="235"/>
        <v>Active</v>
      </c>
    </row>
    <row r="5903" spans="1:3" ht="18" customHeight="1">
      <c r="A5903" t="str">
        <f>"324321"</f>
        <v>324321</v>
      </c>
      <c r="B5903" t="str">
        <f>"90 deg.Air fitting for pneumatic piston - Blue"</f>
        <v>90 deg.Air fitting for pneumatic piston - Blue</v>
      </c>
      <c r="C5903" t="str">
        <f t="shared" si="235"/>
        <v>Active</v>
      </c>
    </row>
    <row r="5904" spans="1:3" ht="18" customHeight="1">
      <c r="A5904" t="str">
        <f>"324322"</f>
        <v>324322</v>
      </c>
      <c r="B5904" t="str">
        <f>"90 deg.Air fitting for blow off ring - Black"</f>
        <v>90 deg.Air fitting for blow off ring - Black</v>
      </c>
      <c r="C5904" t="str">
        <f t="shared" si="235"/>
        <v>Active</v>
      </c>
    </row>
    <row r="5905" spans="1:3" ht="18" customHeight="1">
      <c r="A5905" t="str">
        <f>"324323"</f>
        <v>324323</v>
      </c>
      <c r="B5905" t="str">
        <f>"Straight air fitting -Blue"</f>
        <v>Straight air fitting -Blue</v>
      </c>
      <c r="C5905" t="str">
        <f t="shared" si="235"/>
        <v>Active</v>
      </c>
    </row>
    <row r="5906" spans="1:3" ht="18" customHeight="1">
      <c r="A5906" t="str">
        <f>"324325"</f>
        <v>324325</v>
      </c>
      <c r="B5906" t="str">
        <f>"Air Compressor 110V 60Hz, 23L 8Bar 50dB SL50-8"</f>
        <v>Air Compressor 110V 60Hz, 23L 8Bar 50dB SL50-8</v>
      </c>
      <c r="C5906" t="str">
        <f t="shared" si="235"/>
        <v>Active</v>
      </c>
    </row>
    <row r="5907" spans="1:3" ht="18" customHeight="1">
      <c r="A5907" t="str">
        <f>"324401"</f>
        <v>324401</v>
      </c>
      <c r="B5907" t="str">
        <f>"Air Tube-Orange OD=1/4""xID=1/8""URH1-0804-ORS-..."</f>
        <v>Air Tube-Orange OD=1/4"xID=1/8"URH1-0804-ORS-...</v>
      </c>
      <c r="C5907" t="str">
        <f>"ECO-N2Buy"</f>
        <v>ECO-N2Buy</v>
      </c>
    </row>
    <row r="5908" spans="1:3" ht="18" customHeight="1">
      <c r="A5908" t="str">
        <f>"324402"</f>
        <v>324402</v>
      </c>
      <c r="B5908" t="str">
        <f>"Air Tube-OrangeOD=1/8""xID=1/16""URH1-0402-ORS-..."</f>
        <v>Air Tube-OrangeOD=1/8"xID=1/16"URH1-0402-ORS-...</v>
      </c>
      <c r="C5908" t="str">
        <f>"ECO-N2Buy"</f>
        <v>ECO-N2Buy</v>
      </c>
    </row>
    <row r="5909" spans="1:3" ht="18" customHeight="1">
      <c r="A5909" t="str">
        <f>"324403"</f>
        <v>324403</v>
      </c>
      <c r="B5909" t="str">
        <f>"Tube Air - Blk.  OD=1/4"" x ID=3/16"""</f>
        <v>Tube Air - Blk.  OD=1/4" x ID=3/16"</v>
      </c>
      <c r="C5909" t="str">
        <f t="shared" ref="C5909:C5923" si="236">"Active"</f>
        <v>Active</v>
      </c>
    </row>
    <row r="5910" spans="1:3" ht="18" customHeight="1">
      <c r="A5910" t="str">
        <f>"324405"</f>
        <v>324405</v>
      </c>
      <c r="B5910" t="str">
        <f>"Air Tube-Clear OD=1/8""xID=1/16""URH1-0402-CLT-..."</f>
        <v>Air Tube-Clear OD=1/8"xID=1/16"URH1-0402-CLT-...</v>
      </c>
      <c r="C5910" t="str">
        <f t="shared" si="236"/>
        <v>Active</v>
      </c>
    </row>
    <row r="5911" spans="1:3" ht="18" customHeight="1">
      <c r="A5911" t="str">
        <f>"324406"</f>
        <v>324406</v>
      </c>
      <c r="B5911" t="str">
        <f>"Air Tube-Clear OD=1/4""xID=1/8""URH1-0804-CLT-..."</f>
        <v>Air Tube-Clear OD=1/4"xID=1/8"URH1-0804-CLT-...</v>
      </c>
      <c r="C5911" t="str">
        <f t="shared" si="236"/>
        <v>Active</v>
      </c>
    </row>
    <row r="5912" spans="1:3" ht="18" customHeight="1">
      <c r="A5912" t="str">
        <f>"324407"</f>
        <v>324407</v>
      </c>
      <c r="B5912" t="str">
        <f>"Tube Air Double - Black-Gray  OD=1/4"" x ID=1/8"""</f>
        <v>Tube Air Double - Black-Gray  OD=1/4" x ID=1/8"</v>
      </c>
      <c r="C5912" t="str">
        <f t="shared" si="236"/>
        <v>Active</v>
      </c>
    </row>
    <row r="5913" spans="1:3" ht="18" customHeight="1">
      <c r="A5913" t="str">
        <f>"324409"</f>
        <v>324409</v>
      </c>
      <c r="B5913" t="str">
        <f>"Tube Hydraulic  L=2M  BSP 1/4""x1/4"" 100R1 AT"</f>
        <v>Tube Hydraulic  L=2M  BSP 1/4"x1/4" 100R1 AT</v>
      </c>
      <c r="C5913" t="str">
        <f t="shared" si="236"/>
        <v>Active</v>
      </c>
    </row>
    <row r="5914" spans="1:3" ht="18" customHeight="1">
      <c r="A5914" t="str">
        <f>"324410"</f>
        <v>324410</v>
      </c>
      <c r="B5914" t="str">
        <f>"Tube Hydraulic L=0.8M  BSP 1/4""x1/4"" 100R1 AT"</f>
        <v>Tube Hydraulic L=0.8M  BSP 1/4"x1/4" 100R1 AT</v>
      </c>
      <c r="C5914" t="str">
        <f t="shared" si="236"/>
        <v>Active</v>
      </c>
    </row>
    <row r="5915" spans="1:3" ht="18" customHeight="1">
      <c r="A5915" t="str">
        <f>"324411"</f>
        <v>324411</v>
      </c>
      <c r="B5915" t="str">
        <f>"Tube Hydraulic L=0.5M  BSP 1/4""x1/4"" 100R1 AT"</f>
        <v>Tube Hydraulic L=0.5M  BSP 1/4"x1/4" 100R1 AT</v>
      </c>
      <c r="C5915" t="str">
        <f t="shared" si="236"/>
        <v>Active</v>
      </c>
    </row>
    <row r="5916" spans="1:3" ht="18" customHeight="1">
      <c r="A5916" t="str">
        <f>"324414"</f>
        <v>324414</v>
      </c>
      <c r="B5916" t="str">
        <f>"Transparent Flexible Air Tube OD=5mm x ID=3mm"</f>
        <v>Transparent Flexible Air Tube OD=5mm x ID=3mm</v>
      </c>
      <c r="C5916" t="str">
        <f t="shared" si="236"/>
        <v>Active</v>
      </c>
    </row>
    <row r="5917" spans="1:3" ht="18" customHeight="1">
      <c r="A5917" t="str">
        <f>"324415"</f>
        <v>324415</v>
      </c>
      <c r="B5917" t="str">
        <f>"Tube Air  Flexible - Blue   OD=5mm  x ID=3mm"</f>
        <v>Tube Air  Flexible - Blue   OD=5mm  x ID=3mm</v>
      </c>
      <c r="C5917" t="str">
        <f t="shared" si="236"/>
        <v>Active</v>
      </c>
    </row>
    <row r="5918" spans="1:3" ht="18" customHeight="1">
      <c r="A5918" t="str">
        <f>"324416"</f>
        <v>324416</v>
      </c>
      <c r="B5918" t="str">
        <f>"Tube Air Flexible-Clear UB OD=6mmxID=4 mm"</f>
        <v>Tube Air Flexible-Clear UB OD=6mmxID=4 mm</v>
      </c>
      <c r="C5918" t="str">
        <f t="shared" si="236"/>
        <v>Active</v>
      </c>
    </row>
    <row r="5919" spans="1:3" ht="18" customHeight="1">
      <c r="A5919" t="str">
        <f>"324417"</f>
        <v>324417</v>
      </c>
      <c r="B5919" t="str">
        <f>"Air Tube - Black, OD=4mm x ID=2mm"</f>
        <v>Air Tube - Black, OD=4mm x ID=2mm</v>
      </c>
      <c r="C5919" t="str">
        <f t="shared" si="236"/>
        <v>Active</v>
      </c>
    </row>
    <row r="5920" spans="1:3" ht="18" customHeight="1">
      <c r="A5920" t="str">
        <f>"324418"</f>
        <v>324418</v>
      </c>
      <c r="B5920" t="str">
        <f>"Tube Square Flexible"</f>
        <v>Tube Square Flexible</v>
      </c>
      <c r="C5920" t="str">
        <f t="shared" si="236"/>
        <v>Active</v>
      </c>
    </row>
    <row r="5921" spans="1:3" ht="18" customHeight="1">
      <c r="A5921" t="str">
        <f>"324419"</f>
        <v>324419</v>
      </c>
      <c r="B5921" t="str">
        <f>"Tube Round Flexible"</f>
        <v>Tube Round Flexible</v>
      </c>
      <c r="C5921" t="str">
        <f t="shared" si="236"/>
        <v>Active</v>
      </c>
    </row>
    <row r="5922" spans="1:3" ht="18" customHeight="1">
      <c r="A5922" t="str">
        <f>"324420"</f>
        <v>324420</v>
      </c>
      <c r="B5922" t="str">
        <f>"Polyurethane Tube Clear, U-04025, OD=4xID=2.5mm"</f>
        <v>Polyurethane Tube Clear, U-04025, OD=4xID=2.5mm</v>
      </c>
      <c r="C5922" t="str">
        <f t="shared" si="236"/>
        <v>Active</v>
      </c>
    </row>
    <row r="5923" spans="1:3" ht="18" customHeight="1">
      <c r="A5923" t="str">
        <f>"324423"</f>
        <v>324423</v>
      </c>
      <c r="B5923" t="str">
        <f>"Tube Twin Coil ULF04-2F-1M B.B PISCO"</f>
        <v>Tube Twin Coil ULF04-2F-1M B.B PISCO</v>
      </c>
      <c r="C5923" t="str">
        <f t="shared" si="236"/>
        <v>Active</v>
      </c>
    </row>
    <row r="5924" spans="1:3" ht="18" customHeight="1">
      <c r="A5924" t="str">
        <f>"324425"</f>
        <v>324425</v>
      </c>
      <c r="B5924" t="str">
        <f>"Tube Flexible - Clear  I.D.=19 mm"</f>
        <v>Tube Flexible - Clear  I.D.=19 mm</v>
      </c>
      <c r="C5924" t="str">
        <f>"Phase Out"</f>
        <v>Phase Out</v>
      </c>
    </row>
    <row r="5925" spans="1:3" ht="18" customHeight="1">
      <c r="A5925" t="str">
        <f>"324428"</f>
        <v>324428</v>
      </c>
      <c r="B5925" t="str">
        <f>"Duble Air Tube Black-Grey flexible D=1/8xd=1/16"""</f>
        <v>Duble Air Tube Black-Grey flexible D=1/8xd=1/16"</v>
      </c>
      <c r="C5925" t="str">
        <f>"Active"</f>
        <v>Active</v>
      </c>
    </row>
    <row r="5926" spans="1:3" ht="18" customHeight="1">
      <c r="A5926" t="str">
        <f>"324429"</f>
        <v>324429</v>
      </c>
      <c r="B5926" t="str">
        <f>"Flexible Clear Tube I.D.=10 mm"</f>
        <v>Flexible Clear Tube I.D.=10 mm</v>
      </c>
      <c r="C5926" t="str">
        <f>"Active"</f>
        <v>Active</v>
      </c>
    </row>
    <row r="5927" spans="1:3" ht="18" customHeight="1">
      <c r="A5927" t="str">
        <f>"324432"</f>
        <v>324432</v>
      </c>
      <c r="B5927" t="str">
        <f>"Tube Air Twin Coil ig  ULF03-2F-2.5 B.B PISCO"</f>
        <v>Tube Air Twin Coil ig  ULF03-2F-2.5 B.B PISCO</v>
      </c>
      <c r="C5927" t="str">
        <f>"Active"</f>
        <v>Active</v>
      </c>
    </row>
    <row r="5928" spans="1:3" ht="18" customHeight="1">
      <c r="A5928" t="str">
        <f>"324433"</f>
        <v>324433</v>
      </c>
      <c r="B5928" t="str">
        <f>"Tube Air Twin - Black UQ04-2F-10  PISCO"</f>
        <v>Tube Air Twin - Black UQ04-2F-10  PISCO</v>
      </c>
      <c r="C5928" t="str">
        <f>"ECO-N2Buy"</f>
        <v>ECO-N2Buy</v>
      </c>
    </row>
    <row r="5929" spans="1:3" ht="18" customHeight="1">
      <c r="A5929" t="str">
        <f>"324434"</f>
        <v>324434</v>
      </c>
      <c r="B5929" t="str">
        <f>"Tube Air Flexible-Black 3mm, UB0320 PISCO"</f>
        <v>Tube Air Flexible-Black 3mm, UB0320 PISCO</v>
      </c>
      <c r="C5929" t="str">
        <f t="shared" ref="C5929:C5935" si="237">"Active"</f>
        <v>Active</v>
      </c>
    </row>
    <row r="5930" spans="1:3" ht="18" customHeight="1">
      <c r="A5930" t="str">
        <f>"324435"</f>
        <v>324435</v>
      </c>
      <c r="B5930" t="str">
        <f>"Tube Control 8mm, 100 meter per bundle"</f>
        <v>Tube Control 8mm, 100 meter per bundle</v>
      </c>
      <c r="C5930" t="str">
        <f t="shared" si="237"/>
        <v>Active</v>
      </c>
    </row>
    <row r="5931" spans="1:3" ht="18" customHeight="1">
      <c r="A5931" t="str">
        <f>"324436"</f>
        <v>324436</v>
      </c>
      <c r="B5931" t="str">
        <f>"Pipe Clear PVC, diameter 11-16 mm"</f>
        <v>Pipe Clear PVC, diameter 11-16 mm</v>
      </c>
      <c r="C5931" t="str">
        <f t="shared" si="237"/>
        <v>Active</v>
      </c>
    </row>
    <row r="5932" spans="1:3" ht="18" customHeight="1">
      <c r="A5932" t="str">
        <f>"324437"</f>
        <v>324437</v>
      </c>
      <c r="B5932" t="str">
        <f>"Pipe Tend Not Packed-Poly 100M Per bundle (25/4)"</f>
        <v>Pipe Tend Not Packed-Poly 100M Per bundle (25/4)</v>
      </c>
      <c r="C5932" t="str">
        <f t="shared" si="237"/>
        <v>Active</v>
      </c>
    </row>
    <row r="5933" spans="1:3" ht="18" customHeight="1">
      <c r="A5933" t="str">
        <f>"324438"</f>
        <v>324438</v>
      </c>
      <c r="B5933" t="str">
        <f>"Pipe 2 Holes Each 30cm, 600M Per Bundle Hydro-P"</f>
        <v>Pipe 2 Holes Each 30cm, 600M Per Bundle Hydro-P</v>
      </c>
      <c r="C5933" t="str">
        <f t="shared" si="237"/>
        <v>Active</v>
      </c>
    </row>
    <row r="5934" spans="1:3" ht="18" customHeight="1">
      <c r="A5934" t="str">
        <f>"324439"</f>
        <v>324439</v>
      </c>
      <c r="B5934" t="str">
        <f>"Pipe, Aluminum  6"" (152mm), 5m"</f>
        <v>Pipe, Aluminum  6" (152mm), 5m</v>
      </c>
      <c r="C5934" t="str">
        <f t="shared" si="237"/>
        <v>Active</v>
      </c>
    </row>
    <row r="5935" spans="1:3" ht="18" customHeight="1">
      <c r="A5935" t="str">
        <f>"324440"</f>
        <v>324440</v>
      </c>
      <c r="B5935" t="str">
        <f>"Tube Air Flexible Clear ID=5mm, OD=8mm"</f>
        <v>Tube Air Flexible Clear ID=5mm, OD=8mm</v>
      </c>
      <c r="C5935" t="str">
        <f t="shared" si="237"/>
        <v>Active</v>
      </c>
    </row>
    <row r="5936" spans="1:3" ht="18" customHeight="1">
      <c r="A5936" t="str">
        <f>"324504"</f>
        <v>324504</v>
      </c>
      <c r="B5936" t="str">
        <f>"Fitting Angle for tube 19mm -ID"</f>
        <v>Fitting Angle for tube 19mm -ID</v>
      </c>
      <c r="C5936" t="str">
        <f>"Phase Out"</f>
        <v>Phase Out</v>
      </c>
    </row>
    <row r="5937" spans="1:3" ht="18" customHeight="1">
      <c r="A5937" t="str">
        <f>"324513"</f>
        <v>324513</v>
      </c>
      <c r="B5937" t="str">
        <f>"Cover -Female  male 3/4"</f>
        <v>Cover -Female  male 3/4</v>
      </c>
      <c r="C5937" t="str">
        <f t="shared" ref="C5937:C5968" si="238">"Active"</f>
        <v>Active</v>
      </c>
    </row>
    <row r="5938" spans="1:3" ht="18" customHeight="1">
      <c r="A5938" t="str">
        <f>"324518"</f>
        <v>324518</v>
      </c>
      <c r="B5938" t="str">
        <f>"CPC HOSE BARB  PTC 220-10"</f>
        <v>CPC HOSE BARB  PTC 220-10</v>
      </c>
      <c r="C5938" t="str">
        <f t="shared" si="238"/>
        <v>Active</v>
      </c>
    </row>
    <row r="5939" spans="1:3" ht="18" customHeight="1">
      <c r="A5939" t="str">
        <f>"324522"</f>
        <v>324522</v>
      </c>
      <c r="B5939" t="str">
        <f>"Fitting male1/4,female1/8 C-S2530-14-18"</f>
        <v>Fitting male1/4,female1/8 C-S2530-14-18</v>
      </c>
      <c r="C5939" t="str">
        <f t="shared" si="238"/>
        <v>Active</v>
      </c>
    </row>
    <row r="5940" spans="1:3" ht="18" customHeight="1">
      <c r="A5940" t="str">
        <f>"324542"</f>
        <v>324542</v>
      </c>
      <c r="B5940" t="str">
        <f>"Quick fitting pneumatic PC4-M5M Pisco"</f>
        <v>Quick fitting pneumatic PC4-M5M Pisco</v>
      </c>
      <c r="C5940" t="str">
        <f t="shared" si="238"/>
        <v>Active</v>
      </c>
    </row>
    <row r="5941" spans="1:3" ht="18" customHeight="1">
      <c r="A5941" t="str">
        <f>"324543"</f>
        <v>324543</v>
      </c>
      <c r="B5941" t="str">
        <f>"Quick fitting pneumatic  A4Z-male3/8, female1/8"</f>
        <v>Quick fitting pneumatic  A4Z-male3/8, female1/8</v>
      </c>
      <c r="C5941" t="str">
        <f t="shared" si="238"/>
        <v>Active</v>
      </c>
    </row>
    <row r="5942" spans="1:3" ht="18" customHeight="1">
      <c r="A5942" t="str">
        <f>"324544"</f>
        <v>324544</v>
      </c>
      <c r="B5942" t="str">
        <f>"Quick swivel elbow PL03-M5C Sang/Pisco"</f>
        <v>Quick swivel elbow PL03-M5C Sang/Pisco</v>
      </c>
      <c r="C5942" t="str">
        <f t="shared" si="238"/>
        <v>Active</v>
      </c>
    </row>
    <row r="5943" spans="1:3" ht="18" customHeight="1">
      <c r="A5943" t="str">
        <f>"324545"</f>
        <v>324545</v>
      </c>
      <c r="B5943" t="str">
        <f>"Quick Union Straight PG4-3M Pisco"</f>
        <v>Quick Union Straight PG4-3M Pisco</v>
      </c>
      <c r="C5943" t="str">
        <f t="shared" si="238"/>
        <v>Active</v>
      </c>
    </row>
    <row r="5944" spans="1:3" ht="18" customHeight="1">
      <c r="A5944" t="str">
        <f>"324546"</f>
        <v>324546</v>
      </c>
      <c r="B5944" t="str">
        <f>"Quick fitting pneumatic PC03-M5C Sang/Pisco"</f>
        <v>Quick fitting pneumatic PC03-M5C Sang/Pisco</v>
      </c>
      <c r="C5944" t="str">
        <f t="shared" si="238"/>
        <v>Active</v>
      </c>
    </row>
    <row r="5945" spans="1:3" ht="18" customHeight="1">
      <c r="A5945" t="str">
        <f>"324547"</f>
        <v>324547</v>
      </c>
      <c r="B5945" t="str">
        <f>"Adaptor Difernt Diam. Straight 4&gt;&gt;6mm, PG06-4"</f>
        <v>Adaptor Difernt Diam. Straight 4&gt;&gt;6mm, PG06-4</v>
      </c>
      <c r="C5945" t="str">
        <f t="shared" si="238"/>
        <v>Active</v>
      </c>
    </row>
    <row r="5946" spans="1:3" ht="18" customHeight="1">
      <c r="A5946" t="str">
        <f>"324551"</f>
        <v>324551</v>
      </c>
      <c r="B5946" t="str">
        <f>"Straight Flash Con 1/8""to 6mm  6510-6-1/8"" -quic"</f>
        <v>Straight Flash Con 1/8"to 6mm  6510-6-1/8" -quic</v>
      </c>
      <c r="C5946" t="str">
        <f t="shared" si="238"/>
        <v>Active</v>
      </c>
    </row>
    <row r="5947" spans="1:3" ht="18" customHeight="1">
      <c r="A5947" t="str">
        <f>"324552"</f>
        <v>324552</v>
      </c>
      <c r="B5947" t="str">
        <f>"Quick union Y for pipe 1/4 - P/Y 1/4"" Pisco"</f>
        <v>Quick union Y for pipe 1/4 - P/Y 1/4" Pisco</v>
      </c>
      <c r="C5947" t="str">
        <f t="shared" si="238"/>
        <v>Active</v>
      </c>
    </row>
    <row r="5948" spans="1:3" ht="18" customHeight="1">
      <c r="A5948" t="str">
        <f>"324553"</f>
        <v>324553</v>
      </c>
      <c r="B5948" t="str">
        <f>"Fitting M3/8"", F1/8""  C2531"</f>
        <v>Fitting M3/8", F1/8"  C2531</v>
      </c>
      <c r="C5948" t="str">
        <f t="shared" si="238"/>
        <v>Active</v>
      </c>
    </row>
    <row r="5949" spans="1:3" ht="18" customHeight="1">
      <c r="A5949" t="str">
        <f>"324554"</f>
        <v>324554</v>
      </c>
      <c r="B5949" t="str">
        <f>"Quick union T for pipe PE 1/4"" Pisco"</f>
        <v>Quick union T for pipe PE 1/4" Pisco</v>
      </c>
      <c r="C5949" t="str">
        <f t="shared" si="238"/>
        <v>Active</v>
      </c>
    </row>
    <row r="5950" spans="1:3" ht="18" customHeight="1">
      <c r="A5950" t="str">
        <f>"324555"</f>
        <v>324555</v>
      </c>
      <c r="B5950" t="str">
        <f>"Connector Control-Plastic 1/4 for Pipe 8"</f>
        <v>Connector Control-Plastic 1/4 for Pipe 8</v>
      </c>
      <c r="C5950" t="str">
        <f t="shared" si="238"/>
        <v>Active</v>
      </c>
    </row>
    <row r="5951" spans="1:3" ht="18" customHeight="1">
      <c r="A5951" t="str">
        <f>"324556"</f>
        <v>324556</v>
      </c>
      <c r="B5951" t="str">
        <f>"Water tank -Exit 3/4, 100 Liter"</f>
        <v>Water tank -Exit 3/4, 100 Liter</v>
      </c>
      <c r="C5951" t="str">
        <f t="shared" si="238"/>
        <v>Active</v>
      </c>
    </row>
    <row r="5952" spans="1:3" ht="18" customHeight="1">
      <c r="A5952" t="str">
        <f>"324557"</f>
        <v>324557</v>
      </c>
      <c r="B5952" t="str">
        <f>"Volumetric Counter 1 liter, 3/4"</f>
        <v>Volumetric Counter 1 liter, 3/4</v>
      </c>
      <c r="C5952" t="str">
        <f t="shared" si="238"/>
        <v>Active</v>
      </c>
    </row>
    <row r="5953" spans="1:3" ht="18" customHeight="1">
      <c r="A5953" t="str">
        <f>"324558"</f>
        <v>324558</v>
      </c>
      <c r="B5953" t="str">
        <f>"Fitting- End 12mm, 50 units per bundle"</f>
        <v>Fitting- End 12mm, 50 units per bundle</v>
      </c>
      <c r="C5953" t="str">
        <f t="shared" si="238"/>
        <v>Active</v>
      </c>
    </row>
    <row r="5954" spans="1:3" ht="18" customHeight="1">
      <c r="A5954" t="str">
        <f>"324559"</f>
        <v>324559</v>
      </c>
      <c r="B5954" t="str">
        <f>"Fitting Drawing-Pin,  8mm x 1/8"</f>
        <v>Fitting Drawing-Pin,  8mm x 1/8</v>
      </c>
      <c r="C5954" t="str">
        <f t="shared" si="238"/>
        <v>Active</v>
      </c>
    </row>
    <row r="5955" spans="1:3" ht="18" customHeight="1">
      <c r="A5955" t="str">
        <f>"324560"</f>
        <v>324560</v>
      </c>
      <c r="B5955" t="str">
        <f>"Back Flow Preventor RP-500, 3/4BSP"</f>
        <v>Back Flow Preventor RP-500, 3/4BSP</v>
      </c>
      <c r="C5955" t="str">
        <f t="shared" si="238"/>
        <v>Active</v>
      </c>
    </row>
    <row r="5956" spans="1:3" ht="18" customHeight="1">
      <c r="A5956" t="str">
        <f>"324561"</f>
        <v>324561</v>
      </c>
      <c r="B5956" t="str">
        <f>"Filter&amp;Stopper Manual NDJ 3/4,grid 130micr"</f>
        <v>Filter&amp;Stopper Manual NDJ 3/4,grid 130micr</v>
      </c>
      <c r="C5956" t="str">
        <f t="shared" si="238"/>
        <v>Active</v>
      </c>
    </row>
    <row r="5957" spans="1:3" ht="18" customHeight="1">
      <c r="A5957" t="str">
        <f>"324562"</f>
        <v>324562</v>
      </c>
      <c r="B5957" t="str">
        <f>"תחילית שן Prefix Black 12mm"</f>
        <v>תחילית שן Prefix Black 12mm</v>
      </c>
      <c r="C5957" t="str">
        <f t="shared" si="238"/>
        <v>Active</v>
      </c>
    </row>
    <row r="5958" spans="1:3" ht="18" customHeight="1">
      <c r="A5958" t="str">
        <f>"324563"</f>
        <v>324563</v>
      </c>
      <c r="B5958" t="str">
        <f>"Nipple Beyond Black Plastic 1  -3/4"</f>
        <v>Nipple Beyond Black Plastic 1  -3/4</v>
      </c>
      <c r="C5958" t="str">
        <f t="shared" si="238"/>
        <v>Active</v>
      </c>
    </row>
    <row r="5959" spans="1:3" ht="18" customHeight="1">
      <c r="A5959" t="str">
        <f>"324564"</f>
        <v>324564</v>
      </c>
      <c r="B5959" t="str">
        <f>"Bushing Plastic Female1/4 ,male-3/4"</f>
        <v>Bushing Plastic Female1/4 ,male-3/4</v>
      </c>
      <c r="C5959" t="str">
        <f t="shared" si="238"/>
        <v>Active</v>
      </c>
    </row>
    <row r="5960" spans="1:3" ht="18" customHeight="1">
      <c r="A5960" t="str">
        <f>"324565"</f>
        <v>324565</v>
      </c>
      <c r="B5960" t="str">
        <f>"Tube 15mm x 3/4    PVC"</f>
        <v>Tube 15mm x 3/4    PVC</v>
      </c>
      <c r="C5960" t="str">
        <f t="shared" si="238"/>
        <v>Active</v>
      </c>
    </row>
    <row r="5961" spans="1:3" ht="18" customHeight="1">
      <c r="A5961" t="str">
        <f>"324566"</f>
        <v>324566</v>
      </c>
      <c r="B5961" t="str">
        <f>"Tube 25mm x 3/4    PVC"</f>
        <v>Tube 25mm x 3/4    PVC</v>
      </c>
      <c r="C5961" t="str">
        <f t="shared" si="238"/>
        <v>Active</v>
      </c>
    </row>
    <row r="5962" spans="1:3" ht="18" customHeight="1">
      <c r="A5962" t="str">
        <f>"324567"</f>
        <v>324567</v>
      </c>
      <c r="B5962" t="str">
        <f>"Angle 90, 25x25"</f>
        <v>Angle 90, 25x25</v>
      </c>
      <c r="C5962" t="str">
        <f t="shared" si="238"/>
        <v>Active</v>
      </c>
    </row>
    <row r="5963" spans="1:3" ht="18" customHeight="1">
      <c r="A5963" t="str">
        <f>"324568"</f>
        <v>324568</v>
      </c>
      <c r="B5963" t="str">
        <f>"Coupling 32x 1"</f>
        <v>Coupling 32x 1</v>
      </c>
      <c r="C5963" t="str">
        <f t="shared" si="238"/>
        <v>Active</v>
      </c>
    </row>
    <row r="5964" spans="1:3" ht="18" customHeight="1">
      <c r="A5964" t="str">
        <f>"324569"</f>
        <v>324569</v>
      </c>
      <c r="B5964" t="str">
        <f>"Angle 90, 32x32"</f>
        <v>Angle 90, 32x32</v>
      </c>
      <c r="C5964" t="str">
        <f t="shared" si="238"/>
        <v>Active</v>
      </c>
    </row>
    <row r="5965" spans="1:3" ht="18" customHeight="1">
      <c r="A5965" t="str">
        <f>"324570"</f>
        <v>324570</v>
      </c>
      <c r="B5965" t="str">
        <f>"Pell - Cord 1   x 3/4  , Plastic"</f>
        <v>Pell - Cord 1   x 3/4  , Plastic</v>
      </c>
      <c r="C5965" t="str">
        <f t="shared" si="238"/>
        <v>Active</v>
      </c>
    </row>
    <row r="5966" spans="1:3" ht="18" customHeight="1">
      <c r="A5966" t="str">
        <f>"324571"</f>
        <v>324571</v>
      </c>
      <c r="B5966" t="str">
        <f>"Tube 10mm x 3/4    PVC"</f>
        <v>Tube 10mm x 3/4    PVC</v>
      </c>
      <c r="C5966" t="str">
        <f t="shared" si="238"/>
        <v>Active</v>
      </c>
    </row>
    <row r="5967" spans="1:3" ht="18" customHeight="1">
      <c r="A5967" t="str">
        <f>"324572"</f>
        <v>324572</v>
      </c>
      <c r="B5967" t="str">
        <f>"Pell - Cord 1   Angle, Plastic"</f>
        <v>Pell - Cord 1   Angle, Plastic</v>
      </c>
      <c r="C5967" t="str">
        <f t="shared" si="238"/>
        <v>Active</v>
      </c>
    </row>
    <row r="5968" spans="1:3" ht="18" customHeight="1">
      <c r="A5968" t="str">
        <f>"324573"</f>
        <v>324573</v>
      </c>
      <c r="B5968" t="str">
        <f>"Fitting angle Swivel 25-3/4 Female"</f>
        <v>Fitting angle Swivel 25-3/4 Female</v>
      </c>
      <c r="C5968" t="str">
        <f t="shared" si="238"/>
        <v>Active</v>
      </c>
    </row>
    <row r="5969" spans="1:3" ht="18" customHeight="1">
      <c r="A5969" t="str">
        <f>"324574"</f>
        <v>324574</v>
      </c>
      <c r="B5969" t="str">
        <f>"Adaptor 3/4 Female, 050107"</f>
        <v>Adaptor 3/4 Female, 050107</v>
      </c>
      <c r="C5969" t="str">
        <f t="shared" ref="C5969:C5998" si="239">"Active"</f>
        <v>Active</v>
      </c>
    </row>
    <row r="5970" spans="1:3" ht="18" customHeight="1">
      <c r="A5970" t="str">
        <f>"324575"</f>
        <v>324575</v>
      </c>
      <c r="B5970" t="str">
        <f>"Fitting - T,  3/4   Female"</f>
        <v>Fitting - T,  3/4   Female</v>
      </c>
      <c r="C5970" t="str">
        <f t="shared" si="239"/>
        <v>Active</v>
      </c>
    </row>
    <row r="5971" spans="1:3" ht="18" customHeight="1">
      <c r="A5971" t="str">
        <f>"324576"</f>
        <v>324576</v>
      </c>
      <c r="B5971" t="str">
        <f>"Cap For Screw Allen, BSP 3/8  , L=15"</f>
        <v>Cap For Screw Allen, BSP 3/8  , L=15</v>
      </c>
      <c r="C5971" t="str">
        <f t="shared" si="239"/>
        <v>Active</v>
      </c>
    </row>
    <row r="5972" spans="1:3" ht="18" customHeight="1">
      <c r="A5972" t="str">
        <f>"324577"</f>
        <v>324577</v>
      </c>
      <c r="B5972" t="str">
        <f>"Adaptor Female 3/4-1"</f>
        <v>Adaptor Female 3/4-1</v>
      </c>
      <c r="C5972" t="str">
        <f t="shared" si="239"/>
        <v>Active</v>
      </c>
    </row>
    <row r="5973" spans="1:3" ht="18" customHeight="1">
      <c r="A5973" t="str">
        <f>"324579"</f>
        <v>324579</v>
      </c>
      <c r="B5973" t="str">
        <f>"Bushing, Male 1"" to Female 3/4"""</f>
        <v>Bushing, Male 1" to Female 3/4"</v>
      </c>
      <c r="C5973" t="str">
        <f t="shared" si="239"/>
        <v>Active</v>
      </c>
    </row>
    <row r="5974" spans="1:3" ht="18" customHeight="1">
      <c r="A5974" t="str">
        <f>"324580"</f>
        <v>324580</v>
      </c>
      <c r="B5974" t="str">
        <f>"Cap Threaded Male 1"""</f>
        <v>Cap Threaded Male 1"</v>
      </c>
      <c r="C5974" t="str">
        <f t="shared" si="239"/>
        <v>Active</v>
      </c>
    </row>
    <row r="5975" spans="1:3" ht="18" customHeight="1">
      <c r="A5975" t="str">
        <f>"324581"</f>
        <v>324581</v>
      </c>
      <c r="B5975" t="str">
        <f>"Fitting Thread. Male 1"", Pipe 25mm"</f>
        <v>Fitting Thread. Male 1", Pipe 25mm</v>
      </c>
      <c r="C5975" t="str">
        <f t="shared" si="239"/>
        <v>Active</v>
      </c>
    </row>
    <row r="5976" spans="1:3" ht="18" customHeight="1">
      <c r="A5976" t="str">
        <f>"324582"</f>
        <v>324582</v>
      </c>
      <c r="B5976" t="str">
        <f>"Fitting-Tooth, Male 3/4"", pipe 16mm"</f>
        <v>Fitting-Tooth, Male 3/4", pipe 16mm</v>
      </c>
      <c r="C5976" t="str">
        <f t="shared" si="239"/>
        <v>Active</v>
      </c>
    </row>
    <row r="5977" spans="1:3" ht="18" customHeight="1">
      <c r="A5977" t="str">
        <f>"324583"</f>
        <v>324583</v>
      </c>
      <c r="B5977" t="str">
        <f>"Fenestrated, d=7.5mm"</f>
        <v>Fenestrated, d=7.5mm</v>
      </c>
      <c r="C5977" t="str">
        <f t="shared" si="239"/>
        <v>Active</v>
      </c>
    </row>
    <row r="5978" spans="1:3" ht="18" customHeight="1">
      <c r="A5978" t="str">
        <f>"324602"</f>
        <v>324602</v>
      </c>
      <c r="B5978" t="str">
        <f>"Flex. 1"" Metal Tube,TamarPVC Coated - Black"</f>
        <v>Flex. 1" Metal Tube,TamarPVC Coated - Black</v>
      </c>
      <c r="C5978" t="str">
        <f t="shared" si="239"/>
        <v>Active</v>
      </c>
    </row>
    <row r="5979" spans="1:3" ht="18" customHeight="1">
      <c r="A5979" t="str">
        <f>"324605"</f>
        <v>324605</v>
      </c>
      <c r="B5979" t="str">
        <f>"Braided ExpandableSleeving Gray PanduitSE38P-TR8"</f>
        <v>Braided ExpandableSleeving Gray PanduitSE38P-TR8</v>
      </c>
      <c r="C5979" t="str">
        <f t="shared" si="239"/>
        <v>Active</v>
      </c>
    </row>
    <row r="5980" spans="1:3" ht="18" customHeight="1">
      <c r="A5980" t="str">
        <f>"324609"</f>
        <v>324609</v>
      </c>
      <c r="B5980" t="str">
        <f>"Spiral Tube-White ID=6, OD-7.8,W=11mm"</f>
        <v>Spiral Tube-White ID=6, OD-7.8,W=11mm</v>
      </c>
      <c r="C5980" t="str">
        <f t="shared" si="239"/>
        <v>Active</v>
      </c>
    </row>
    <row r="5981" spans="1:3" ht="18" customHeight="1">
      <c r="A5981" t="str">
        <f>"324610"</f>
        <v>324610</v>
      </c>
      <c r="B5981" t="str">
        <f>"Spiral Tube - WhiteOD=4.5, ID-3.2, W-7"</f>
        <v>Spiral Tube - WhiteOD=4.5, ID-3.2, W-7</v>
      </c>
      <c r="C5981" t="str">
        <f t="shared" si="239"/>
        <v>Active</v>
      </c>
    </row>
    <row r="5982" spans="1:3" ht="18" customHeight="1">
      <c r="A5982" t="str">
        <f>"324615"</f>
        <v>324615</v>
      </c>
      <c r="B5982" t="str">
        <f>"Cable, Duckt End  - Square, IGUS 580.05.1"</f>
        <v>Cable, Duckt End  - Square, IGUS 580.05.1</v>
      </c>
      <c r="C5982" t="str">
        <f t="shared" si="239"/>
        <v>Active</v>
      </c>
    </row>
    <row r="5983" spans="1:3" ht="18" customHeight="1">
      <c r="A5983" t="str">
        <f>"324616"</f>
        <v>324616</v>
      </c>
      <c r="B5983" t="str">
        <f>"End-Bracket with Pin ZLK-L 0555 #52441"</f>
        <v>End-Bracket with Pin ZLK-L 0555 #52441</v>
      </c>
      <c r="C5983" t="str">
        <f t="shared" si="239"/>
        <v>Active</v>
      </c>
    </row>
    <row r="5984" spans="1:3" ht="18" customHeight="1">
      <c r="A5984" t="str">
        <f>"324618"</f>
        <v>324618</v>
      </c>
      <c r="B5984" t="str">
        <f>"Cable Zipping Tubing Blk.- d=50mm"</f>
        <v>Cable Zipping Tubing Blk.- d=50mm</v>
      </c>
      <c r="C5984" t="str">
        <f t="shared" si="239"/>
        <v>Active</v>
      </c>
    </row>
    <row r="5985" spans="1:3" ht="18" customHeight="1">
      <c r="A5985" t="str">
        <f>"324619"</f>
        <v>324619</v>
      </c>
      <c r="B5985" t="str">
        <f>"Flex. 1.25"" Metal TubePVC Coated - Black"</f>
        <v>Flex. 1.25" Metal TubePVC Coated - Black</v>
      </c>
      <c r="C5985" t="str">
        <f t="shared" si="239"/>
        <v>Active</v>
      </c>
    </row>
    <row r="5986" spans="1:3" ht="18" customHeight="1">
      <c r="A5986" t="str">
        <f>"324620"</f>
        <v>324620</v>
      </c>
      <c r="B5986" t="str">
        <f>"BOXGV1-C01"</f>
        <v>BOXGV1-C01</v>
      </c>
      <c r="C5986" t="str">
        <f t="shared" si="239"/>
        <v>Active</v>
      </c>
    </row>
    <row r="5987" spans="1:3" ht="18" customHeight="1">
      <c r="A5987" t="str">
        <f>"324621"</f>
        <v>324621</v>
      </c>
      <c r="B5987" t="str">
        <f>"Insulated Enclosure TN2-B1"</f>
        <v>Insulated Enclosure TN2-B1</v>
      </c>
      <c r="C5987" t="str">
        <f t="shared" si="239"/>
        <v>Active</v>
      </c>
    </row>
    <row r="5988" spans="1:3" ht="18" customHeight="1">
      <c r="A5988" t="str">
        <f>"324622"</f>
        <v>324622</v>
      </c>
      <c r="B5988" t="str">
        <f>"BOX 94x65x57mm, TK PS 97-6-m"</f>
        <v>BOX 94x65x57mm, TK PS 97-6-m</v>
      </c>
      <c r="C5988" t="str">
        <f t="shared" si="239"/>
        <v>Active</v>
      </c>
    </row>
    <row r="5989" spans="1:3" ht="18" customHeight="1">
      <c r="A5989" t="str">
        <f>"324623"</f>
        <v>324623</v>
      </c>
      <c r="B5989" t="str">
        <f>"MetalCab. 70x50x25cmCRN-75/250KT70x50x25HIMEL"</f>
        <v>MetalCab. 70x50x25cmCRN-75/250KT70x50x25HIMEL</v>
      </c>
      <c r="C5989" t="str">
        <f t="shared" si="239"/>
        <v>Active</v>
      </c>
    </row>
    <row r="5990" spans="1:3" ht="18" customHeight="1">
      <c r="A5990" t="str">
        <f>"324625"</f>
        <v>324625</v>
      </c>
      <c r="B5990" t="str">
        <f>"Mounting Bracket45 piecesIGUS-07.30.028"</f>
        <v>Mounting Bracket45 piecesIGUS-07.30.028</v>
      </c>
      <c r="C5990" t="str">
        <f t="shared" si="239"/>
        <v>Active</v>
      </c>
    </row>
    <row r="5991" spans="1:3" ht="18" customHeight="1">
      <c r="A5991" t="str">
        <f>"324626"</f>
        <v>324626</v>
      </c>
      <c r="B5991" t="str">
        <f>"IGUSIGUS-060.30.12"</f>
        <v>IGUSIGUS-060.30.12</v>
      </c>
      <c r="C5991" t="str">
        <f t="shared" si="239"/>
        <v>Active</v>
      </c>
    </row>
    <row r="5992" spans="1:3" ht="18" customHeight="1">
      <c r="A5992" t="str">
        <f>"324632"</f>
        <v>324632</v>
      </c>
      <c r="B5992" t="str">
        <f>"MetalBox+Wind 400x300x200mm CRN-43/200 KT HIMEL"</f>
        <v>MetalBox+Wind 400x300x200mm CRN-43/200 KT HIMEL</v>
      </c>
      <c r="C5992" t="str">
        <f t="shared" si="239"/>
        <v>Active</v>
      </c>
    </row>
    <row r="5993" spans="1:3" ht="18" customHeight="1">
      <c r="A5993" t="str">
        <f>"324635"</f>
        <v>324635</v>
      </c>
      <c r="B5993" t="str">
        <f>"Edge protection jack. PVC White-grey 209-0805"</f>
        <v>Edge protection jack. PVC White-grey 209-0805</v>
      </c>
      <c r="C5993" t="str">
        <f t="shared" si="239"/>
        <v>Active</v>
      </c>
    </row>
    <row r="5994" spans="1:3" ht="18" customHeight="1">
      <c r="A5994" t="str">
        <f>"324644"</f>
        <v>324644</v>
      </c>
      <c r="B5994" t="str">
        <f>"Plastic cable drag0555.030.050.080 KabelSch"</f>
        <v>Plastic cable drag0555.030.050.080 KabelSch</v>
      </c>
      <c r="C5994" t="str">
        <f t="shared" si="239"/>
        <v>Active</v>
      </c>
    </row>
    <row r="5995" spans="1:3" ht="18" customHeight="1">
      <c r="A5995" t="str">
        <f>"324645"</f>
        <v>324645</v>
      </c>
      <c r="B5995" t="str">
        <f>"End-Bracket with Hole ZLK-L 0555#52440"</f>
        <v>End-Bracket with Hole ZLK-L 0555#52440</v>
      </c>
      <c r="C5995" t="str">
        <f t="shared" si="239"/>
        <v>Active</v>
      </c>
    </row>
    <row r="5996" spans="1:3" ht="18" customHeight="1">
      <c r="A5996" t="str">
        <f>"324646"</f>
        <v>324646</v>
      </c>
      <c r="B5996" t="str">
        <f>"IGUSIGUS-14.3.075"</f>
        <v>IGUSIGUS-14.3.075</v>
      </c>
      <c r="C5996" t="str">
        <f t="shared" si="239"/>
        <v>Active</v>
      </c>
    </row>
    <row r="5997" spans="1:3" ht="18" customHeight="1">
      <c r="A5997" t="str">
        <f>"324647"</f>
        <v>324647</v>
      </c>
      <c r="B5997" t="str">
        <f>"Mounting BracketIGUS-114.3.1Pz"</f>
        <v>Mounting BracketIGUS-114.3.1Pz</v>
      </c>
      <c r="C5997" t="str">
        <f t="shared" si="239"/>
        <v>Active</v>
      </c>
    </row>
    <row r="5998" spans="1:3" ht="18" customHeight="1">
      <c r="A5998" t="str">
        <f>"324648"</f>
        <v>324648</v>
      </c>
      <c r="B5998" t="str">
        <f>"Mounting BracketIGUS-114.3.2 PZ"</f>
        <v>Mounting BracketIGUS-114.3.2 PZ</v>
      </c>
      <c r="C5998" t="str">
        <f t="shared" si="239"/>
        <v>Active</v>
      </c>
    </row>
    <row r="5999" spans="1:3" ht="18" customHeight="1">
      <c r="A5999" t="str">
        <f>"324650"</f>
        <v>324650</v>
      </c>
      <c r="B5999" t="str">
        <f>"Metal Box 300x250x200mmCRN-3025/200 KT  HIMEL"</f>
        <v>Metal Box 300x250x200mmCRN-3025/200 KT  HIMEL</v>
      </c>
      <c r="C5999" t="str">
        <f>"ECO-N2Buy"</f>
        <v>ECO-N2Buy</v>
      </c>
    </row>
    <row r="6000" spans="1:3" ht="18" customHeight="1">
      <c r="A6000" t="str">
        <f>"324651"</f>
        <v>324651</v>
      </c>
      <c r="B6000" t="str">
        <f>"Advanced Controlled Greenhouse"</f>
        <v>Advanced Controlled Greenhouse</v>
      </c>
      <c r="C6000" t="str">
        <f>"Active"</f>
        <v>Active</v>
      </c>
    </row>
    <row r="6001" spans="1:3" ht="18" customHeight="1">
      <c r="A6001" t="str">
        <f>"324721"</f>
        <v>324721</v>
      </c>
      <c r="B6001" t="str">
        <f>"Multiflex termoplas.chain REX 1755 Ch. Pitch 40"</f>
        <v>Multiflex termoplas.chain REX 1755 Ch. Pitch 40</v>
      </c>
      <c r="C6001" t="str">
        <f>"Active"</f>
        <v>Active</v>
      </c>
    </row>
    <row r="6002" spans="1:3" ht="18" customHeight="1">
      <c r="A6002" t="str">
        <f>"324722"</f>
        <v>324722</v>
      </c>
      <c r="B6002" t="str">
        <f>"Adjustable Gravity Feeder 15 x 30 x 28 cm"</f>
        <v>Adjustable Gravity Feeder 15 x 30 x 28 cm</v>
      </c>
      <c r="C6002" t="str">
        <f>"Active"</f>
        <v>Active</v>
      </c>
    </row>
    <row r="6003" spans="1:3" ht="18" customHeight="1">
      <c r="A6003" t="str">
        <f>"324908"</f>
        <v>324908</v>
      </c>
      <c r="B6003" t="str">
        <f>"Handle Light Duty ITEM 0.0.26.44, AL"</f>
        <v>Handle Light Duty ITEM 0.0.26.44, AL</v>
      </c>
      <c r="C6003" t="str">
        <f>"Active"</f>
        <v>Active</v>
      </c>
    </row>
    <row r="6004" spans="1:3" ht="18" customHeight="1">
      <c r="A6004" t="str">
        <f>"324910"</f>
        <v>324910</v>
      </c>
      <c r="B6004" t="str">
        <f>"Set Rulesr Triangular 45*_Metric-15cm/inch"</f>
        <v>Set Rulesr Triangular 45*_Metric-15cm/inch</v>
      </c>
      <c r="C6004" t="str">
        <f>"Active"</f>
        <v>Active</v>
      </c>
    </row>
    <row r="6005" spans="1:3" ht="18" customHeight="1">
      <c r="A6005" t="str">
        <f>"324912"</f>
        <v>324912</v>
      </c>
      <c r="B6005" t="str">
        <f>"Miniature car - Toys'R'Us b=22,h=32,L=75mm-MAX"</f>
        <v>Miniature car - Toys'R'Us b=22,h=32,L=75mm-MAX</v>
      </c>
      <c r="C6005" t="str">
        <f>"Phase Out"</f>
        <v>Phase Out</v>
      </c>
    </row>
    <row r="6006" spans="1:3" ht="18" customHeight="1">
      <c r="A6006" t="str">
        <f>"324913"</f>
        <v>324913</v>
      </c>
      <c r="B6006" t="str">
        <f>"Doll-toy-ESHEDTECNOLOGIES"</f>
        <v>Doll-toy-ESHEDTECNOLOGIES</v>
      </c>
      <c r="C6006" t="str">
        <f>"Inactive"</f>
        <v>Inactive</v>
      </c>
    </row>
    <row r="6007" spans="1:3" ht="18" customHeight="1">
      <c r="A6007" t="str">
        <f>"324914"</f>
        <v>324914</v>
      </c>
      <c r="B6007" t="str">
        <f>"Fisher Pr.shape-sort. toy"</f>
        <v>Fisher Pr.shape-sort. toy</v>
      </c>
      <c r="C6007" t="str">
        <f>"Inactive"</f>
        <v>Inactive</v>
      </c>
    </row>
    <row r="6008" spans="1:3" ht="18" customHeight="1">
      <c r="A6008" t="str">
        <f>"324915"</f>
        <v>324915</v>
      </c>
      <c r="B6008" t="str">
        <f>"Handle cranked  ITEM 00416.83, AL 200x80"</f>
        <v>Handle cranked  ITEM 00416.83, AL 200x80</v>
      </c>
      <c r="C6008" t="str">
        <f>"Active"</f>
        <v>Active</v>
      </c>
    </row>
    <row r="6009" spans="1:3" ht="18" customHeight="1">
      <c r="A6009" t="str">
        <f>"324916"</f>
        <v>324916</v>
      </c>
      <c r="B6009" t="str">
        <f>"Set for Handle Fastening ITEM 00418.82"</f>
        <v>Set for Handle Fastening ITEM 00418.82</v>
      </c>
      <c r="C6009" t="str">
        <f>"Active"</f>
        <v>Active</v>
      </c>
    </row>
    <row r="6010" spans="1:3" ht="18" customHeight="1">
      <c r="A6010" t="str">
        <f>"327003"</f>
        <v>327003</v>
      </c>
      <c r="B6010" t="str">
        <f>"Envelope Protective for CD witht.print 16.5x16cm"</f>
        <v>Envelope Protective for CD witht.print 16.5x16cm</v>
      </c>
      <c r="C6010" t="str">
        <f>"Active"</f>
        <v>Active</v>
      </c>
    </row>
    <row r="6011" spans="1:3" ht="18" customHeight="1">
      <c r="A6011" t="str">
        <f>"327004"</f>
        <v>327004</v>
      </c>
      <c r="B6011" t="str">
        <f>"Bag Packing LIST 220 x 110 mm"</f>
        <v>Bag Packing LIST 220 x 110 mm</v>
      </c>
      <c r="C6011" t="str">
        <f>"Active"</f>
        <v>Active</v>
      </c>
    </row>
    <row r="6012" spans="1:3" ht="18" customHeight="1">
      <c r="A6012" t="str">
        <f>"327005"</f>
        <v>327005</v>
      </c>
      <c r="B6012" t="str">
        <f>"Bag Plastic  260 x 360 mm"</f>
        <v>Bag Plastic  260 x 360 mm</v>
      </c>
      <c r="C6012" t="str">
        <f>"Active"</f>
        <v>Active</v>
      </c>
    </row>
    <row r="6013" spans="1:3" ht="18" customHeight="1">
      <c r="A6013" t="str">
        <f>"327006"</f>
        <v>327006</v>
      </c>
      <c r="B6013" t="str">
        <f>"Bag Plastic  107 x 157 mm"</f>
        <v>Bag Plastic  107 x 157 mm</v>
      </c>
      <c r="C6013" t="str">
        <f>"Inactive"</f>
        <v>Inactive</v>
      </c>
    </row>
    <row r="6014" spans="1:3" ht="18" customHeight="1">
      <c r="A6014" t="str">
        <f>"327008"</f>
        <v>327008</v>
      </c>
      <c r="B6014" t="str">
        <f>"Bag Plastic  180 x 260mm"</f>
        <v>Bag Plastic  180 x 260mm</v>
      </c>
      <c r="C6014" t="str">
        <f>"Active"</f>
        <v>Active</v>
      </c>
    </row>
    <row r="6015" spans="1:3" ht="18" customHeight="1">
      <c r="A6015" t="str">
        <f>"327009"</f>
        <v>327009</v>
      </c>
      <c r="B6015" t="str">
        <f>"Bag Plastic 100x130 mm"</f>
        <v>Bag Plastic 100x130 mm</v>
      </c>
      <c r="C6015" t="str">
        <f>"Inactive"</f>
        <v>Inactive</v>
      </c>
    </row>
    <row r="6016" spans="1:3" ht="18" customHeight="1">
      <c r="A6016" t="str">
        <f>"327010"</f>
        <v>327010</v>
      </c>
      <c r="B6016" t="str">
        <f>"Wire Plastic Coated Tie"</f>
        <v>Wire Plastic Coated Tie</v>
      </c>
      <c r="C6016" t="str">
        <f t="shared" ref="C6016:C6057" si="240">"Active"</f>
        <v>Active</v>
      </c>
    </row>
    <row r="6017" spans="1:3" ht="18" customHeight="1">
      <c r="A6017" t="str">
        <f>"327011"</f>
        <v>327011</v>
      </c>
      <c r="B6017" t="str">
        <f>"Bag Anti-Static 210 x 300 mm"</f>
        <v>Bag Anti-Static 210 x 300 mm</v>
      </c>
      <c r="C6017" t="str">
        <f t="shared" si="240"/>
        <v>Active</v>
      </c>
    </row>
    <row r="6018" spans="1:3" ht="18" customHeight="1">
      <c r="A6018" t="str">
        <f>"327012"</f>
        <v>327012</v>
      </c>
      <c r="B6018" t="str">
        <f>"Bag Plastic 800 x 800 mm"</f>
        <v>Bag Plastic 800 x 800 mm</v>
      </c>
      <c r="C6018" t="str">
        <f t="shared" si="240"/>
        <v>Active</v>
      </c>
    </row>
    <row r="6019" spans="1:3" ht="18" customHeight="1">
      <c r="A6019" t="str">
        <f>"327013"</f>
        <v>327013</v>
      </c>
      <c r="B6019" t="str">
        <f>"Case Polys. 2 Pieces  AC Controller"</f>
        <v>Case Polys. 2 Pieces  AC Controller</v>
      </c>
      <c r="C6019" t="str">
        <f t="shared" si="240"/>
        <v>Active</v>
      </c>
    </row>
    <row r="6020" spans="1:3" ht="18" customHeight="1">
      <c r="A6020" t="str">
        <f>"327014"</f>
        <v>327014</v>
      </c>
      <c r="B6020" t="str">
        <f>"Board Polyester L=770, W=160, H=100 (mm)"</f>
        <v>Board Polyester L=770, W=160, H=100 (mm)</v>
      </c>
      <c r="C6020" t="str">
        <f t="shared" si="240"/>
        <v>Active</v>
      </c>
    </row>
    <row r="6021" spans="1:3" ht="18" customHeight="1">
      <c r="A6021" t="str">
        <f>"327015"</f>
        <v>327015</v>
      </c>
      <c r="B6021" t="str">
        <f>"Bag Plastic 380 x 500 mm"</f>
        <v>Bag Plastic 380 x 500 mm</v>
      </c>
      <c r="C6021" t="str">
        <f t="shared" si="240"/>
        <v>Active</v>
      </c>
    </row>
    <row r="6022" spans="1:3" ht="18" customHeight="1">
      <c r="A6022" t="str">
        <f>"327016"</f>
        <v>327016</v>
      </c>
      <c r="B6022" t="str">
        <f>"Board Polyester L=1250, W=500, H=30 (mm)"</f>
        <v>Board Polyester L=1250, W=500, H=30 (mm)</v>
      </c>
      <c r="C6022" t="str">
        <f t="shared" si="240"/>
        <v>Active</v>
      </c>
    </row>
    <row r="6023" spans="1:3" ht="18" customHeight="1">
      <c r="A6023" t="str">
        <f>"327017"</f>
        <v>327017</v>
      </c>
      <c r="B6023" t="str">
        <f>"Masking-Tape White 19mm"</f>
        <v>Masking-Tape White 19mm</v>
      </c>
      <c r="C6023" t="str">
        <f t="shared" si="240"/>
        <v>Active</v>
      </c>
    </row>
    <row r="6024" spans="1:3" ht="18" customHeight="1">
      <c r="A6024" t="str">
        <f>"327018"</f>
        <v>327018</v>
      </c>
      <c r="B6024" t="str">
        <f>"Masking-Tape D164, Black, 12mm"</f>
        <v>Masking-Tape D164, Black, 12mm</v>
      </c>
      <c r="C6024" t="str">
        <f t="shared" si="240"/>
        <v>Active</v>
      </c>
    </row>
    <row r="6025" spans="1:3" ht="18" customHeight="1">
      <c r="A6025" t="str">
        <f>"327019"</f>
        <v>327019</v>
      </c>
      <c r="B6025" t="str">
        <f>"Plastic Bag   100x150"</f>
        <v>Plastic Bag   100x150</v>
      </c>
      <c r="C6025" t="str">
        <f t="shared" si="240"/>
        <v>Active</v>
      </c>
    </row>
    <row r="6026" spans="1:3" ht="18" customHeight="1">
      <c r="A6026" t="str">
        <f>"327020"</f>
        <v>327020</v>
      </c>
      <c r="B6026" t="str">
        <f>"Bubble Nylon 2 layer 0.5M"</f>
        <v>Bubble Nylon 2 layer 0.5M</v>
      </c>
      <c r="C6026" t="str">
        <f t="shared" si="240"/>
        <v>Active</v>
      </c>
    </row>
    <row r="6027" spans="1:3" ht="18" customHeight="1">
      <c r="A6027" t="str">
        <f>"327021"</f>
        <v>327021</v>
      </c>
      <c r="B6027" t="str">
        <f>"Bubble Nylon 2 layer 1M"</f>
        <v>Bubble Nylon 2 layer 1M</v>
      </c>
      <c r="C6027" t="str">
        <f t="shared" si="240"/>
        <v>Active</v>
      </c>
    </row>
    <row r="6028" spans="1:3" ht="18" customHeight="1">
      <c r="A6028" t="str">
        <f>"327022"</f>
        <v>327022</v>
      </c>
      <c r="B6028" t="str">
        <f>"Board Polyester L=1250, W=530, H=30mm"</f>
        <v>Board Polyester L=1250, W=530, H=30mm</v>
      </c>
      <c r="C6028" t="str">
        <f t="shared" si="240"/>
        <v>Active</v>
      </c>
    </row>
    <row r="6029" spans="1:3" ht="18" customHeight="1">
      <c r="A6029" t="str">
        <f>"327023"</f>
        <v>327023</v>
      </c>
      <c r="B6029" t="str">
        <f>"Surface Antistatic  6mm"</f>
        <v>Surface Antistatic  6mm</v>
      </c>
      <c r="C6029" t="str">
        <f t="shared" si="240"/>
        <v>Active</v>
      </c>
    </row>
    <row r="6030" spans="1:3" ht="18" customHeight="1">
      <c r="A6030" t="str">
        <f>"327024"</f>
        <v>327024</v>
      </c>
      <c r="B6030" t="str">
        <f>"Bag Anti-Static 150 x 100 mm"</f>
        <v>Bag Anti-Static 150 x 100 mm</v>
      </c>
      <c r="C6030" t="str">
        <f t="shared" si="240"/>
        <v>Active</v>
      </c>
    </row>
    <row r="6031" spans="1:3" ht="18" customHeight="1">
      <c r="A6031" t="str">
        <f>"327025"</f>
        <v>327025</v>
      </c>
      <c r="B6031" t="str">
        <f>"CD Case"</f>
        <v>CD Case</v>
      </c>
      <c r="C6031" t="str">
        <f t="shared" si="240"/>
        <v>Active</v>
      </c>
    </row>
    <row r="6032" spans="1:3" ht="18" customHeight="1">
      <c r="A6032" t="str">
        <f>"327026"</f>
        <v>327026</v>
      </c>
      <c r="B6032" t="str">
        <f>"CD Wallet 1/2"" -5 CD's, Mag. Cat. No. CDPXU5"</f>
        <v>CD Wallet 1/2" -5 CD's, Mag. Cat. No. CDPXU5</v>
      </c>
      <c r="C6032" t="str">
        <f t="shared" si="240"/>
        <v>Active</v>
      </c>
    </row>
    <row r="6033" spans="1:3" ht="18" customHeight="1">
      <c r="A6033" t="str">
        <f>"327027"</f>
        <v>327027</v>
      </c>
      <c r="B6033" t="str">
        <f>"CD Wallet 1"" -10 CD's, Mag. Cat. No. CDPXU"</f>
        <v>CD Wallet 1" -10 CD's, Mag. Cat. No. CDPXU</v>
      </c>
      <c r="C6033" t="str">
        <f t="shared" si="240"/>
        <v>Active</v>
      </c>
    </row>
    <row r="6034" spans="1:3" ht="18" customHeight="1">
      <c r="A6034" t="str">
        <f>"327028"</f>
        <v>327028</v>
      </c>
      <c r="B6034" t="str">
        <f>"CD Wallet -20 CD's, Mag. Cat. No. CDPXU20"</f>
        <v>CD Wallet -20 CD's, Mag. Cat. No. CDPXU20</v>
      </c>
      <c r="C6034" t="str">
        <f t="shared" si="240"/>
        <v>Active</v>
      </c>
    </row>
    <row r="6035" spans="1:3" ht="18" customHeight="1">
      <c r="A6035" t="str">
        <f>"327029"</f>
        <v>327029</v>
      </c>
      <c r="B6035" t="str">
        <f>"CD wallet- Insert"</f>
        <v>CD wallet- Insert</v>
      </c>
      <c r="C6035" t="str">
        <f t="shared" si="240"/>
        <v>Active</v>
      </c>
    </row>
    <row r="6036" spans="1:3" ht="18" customHeight="1">
      <c r="A6036" t="str">
        <f>"327030"</f>
        <v>327030</v>
      </c>
      <c r="B6036" t="str">
        <f>"6 inserts,  includes Intelitek logo+ blue"</f>
        <v>6 inserts,  includes Intelitek logo+ blue</v>
      </c>
      <c r="C6036" t="str">
        <f t="shared" si="240"/>
        <v>Active</v>
      </c>
    </row>
    <row r="6037" spans="1:3" ht="18" customHeight="1">
      <c r="A6037" t="str">
        <f>"327031"</f>
        <v>327031</v>
      </c>
      <c r="B6037" t="str">
        <f>"6 inserts,  includes Intelitek logo+ light blue"</f>
        <v>6 inserts,  includes Intelitek logo+ light blue</v>
      </c>
      <c r="C6037" t="str">
        <f t="shared" si="240"/>
        <v>Active</v>
      </c>
    </row>
    <row r="6038" spans="1:3" ht="18" customHeight="1">
      <c r="A6038" t="str">
        <f>"327079"</f>
        <v>327079</v>
      </c>
      <c r="B6038" t="str">
        <f>"Sorting Bin+3 Partitions  500x240x100mm"</f>
        <v>Sorting Bin+3 Partitions  500x240x100mm</v>
      </c>
      <c r="C6038" t="str">
        <f t="shared" si="240"/>
        <v>Active</v>
      </c>
    </row>
    <row r="6039" spans="1:3" ht="18" customHeight="1">
      <c r="A6039" t="str">
        <f>"327080"</f>
        <v>327080</v>
      </c>
      <c r="B6039" t="str">
        <f>"Box Anti-Static 55MC  280x400x600 mm"</f>
        <v>Box Anti-Static 55MC  280x400x600 mm</v>
      </c>
      <c r="C6039" t="str">
        <f t="shared" si="240"/>
        <v>Active</v>
      </c>
    </row>
    <row r="6040" spans="1:3" ht="18" customHeight="1">
      <c r="A6040" t="str">
        <f>"327081"</f>
        <v>327081</v>
      </c>
      <c r="B6040" t="str">
        <f>"Nail base for packing"</f>
        <v>Nail base for packing</v>
      </c>
      <c r="C6040" t="str">
        <f t="shared" si="240"/>
        <v>Active</v>
      </c>
    </row>
    <row r="6041" spans="1:3" ht="18" customHeight="1">
      <c r="A6041" t="str">
        <f>"327082"</f>
        <v>327082</v>
      </c>
      <c r="B6041" t="str">
        <f>"Clip, Metal, For 327018"</f>
        <v>Clip, Metal, For 327018</v>
      </c>
      <c r="C6041" t="str">
        <f t="shared" si="240"/>
        <v>Active</v>
      </c>
    </row>
    <row r="6042" spans="1:3" ht="18" customHeight="1">
      <c r="A6042" t="str">
        <f>"327083"</f>
        <v>327083</v>
      </c>
      <c r="B6042" t="str">
        <f>"Bag Bubble 3 layer_320x160_50mm"</f>
        <v>Bag Bubble 3 layer_320x160_50mm</v>
      </c>
      <c r="C6042" t="str">
        <f t="shared" si="240"/>
        <v>Active</v>
      </c>
    </row>
    <row r="6043" spans="1:3" ht="18" customHeight="1">
      <c r="A6043" t="str">
        <f>"327084"</f>
        <v>327084</v>
      </c>
      <c r="B6043" t="str">
        <f>"Case Storage  for IDsystem SPI Pounce"</f>
        <v>Case Storage  for IDsystem SPI Pounce</v>
      </c>
      <c r="C6043" t="str">
        <f t="shared" si="240"/>
        <v>Active</v>
      </c>
    </row>
    <row r="6044" spans="1:3" ht="18" customHeight="1">
      <c r="A6044" t="str">
        <f>"327085"</f>
        <v>327085</v>
      </c>
      <c r="B6044" t="str">
        <f>"Box CD Slim"</f>
        <v>Box CD Slim</v>
      </c>
      <c r="C6044" t="str">
        <f t="shared" si="240"/>
        <v>Active</v>
      </c>
    </row>
    <row r="6045" spans="1:3" ht="18" customHeight="1">
      <c r="A6045" t="str">
        <f>"327086"</f>
        <v>327086</v>
      </c>
      <c r="B6045" t="str">
        <f>"Black Surface"</f>
        <v>Black Surface</v>
      </c>
      <c r="C6045" t="str">
        <f t="shared" si="240"/>
        <v>Active</v>
      </c>
    </row>
    <row r="6046" spans="1:3" ht="18" customHeight="1">
      <c r="A6046" t="str">
        <f>"327087"</f>
        <v>327087</v>
      </c>
      <c r="B6046" t="str">
        <f>"Band Strip  Black 15mm"</f>
        <v>Band Strip  Black 15mm</v>
      </c>
      <c r="C6046" t="str">
        <f t="shared" si="240"/>
        <v>Active</v>
      </c>
    </row>
    <row r="6047" spans="1:3" ht="18" customHeight="1">
      <c r="A6047" t="str">
        <f>"327088"</f>
        <v>327088</v>
      </c>
      <c r="B6047" t="str">
        <f>"Clasp Plastic Bands For  15 mm"</f>
        <v>Clasp Plastic Bands For  15 mm</v>
      </c>
      <c r="C6047" t="str">
        <f t="shared" si="240"/>
        <v>Active</v>
      </c>
    </row>
    <row r="6048" spans="1:3" ht="18" customHeight="1">
      <c r="A6048" t="str">
        <f>"327089"</f>
        <v>327089</v>
      </c>
      <c r="B6048" t="str">
        <f>"Board Polyester  1/4"</f>
        <v>Board Polyester  1/4</v>
      </c>
      <c r="C6048" t="str">
        <f t="shared" si="240"/>
        <v>Active</v>
      </c>
    </row>
    <row r="6049" spans="1:3" ht="18" customHeight="1">
      <c r="A6049" t="str">
        <f>"327090"</f>
        <v>327090</v>
      </c>
      <c r="B6049" t="str">
        <f>"Paper Packing Brown  680mm RL"</f>
        <v>Paper Packing Brown  680mm RL</v>
      </c>
      <c r="C6049" t="str">
        <f t="shared" si="240"/>
        <v>Active</v>
      </c>
    </row>
    <row r="6050" spans="1:3" ht="18" customHeight="1">
      <c r="A6050" t="str">
        <f>"327091"</f>
        <v>327091</v>
      </c>
      <c r="B6050" t="str">
        <f>"Band Sticky Transparent  75 mm"</f>
        <v>Band Sticky Transparent  75 mm</v>
      </c>
      <c r="C6050" t="str">
        <f t="shared" si="240"/>
        <v>Active</v>
      </c>
    </row>
    <row r="6051" spans="1:3" ht="18" customHeight="1">
      <c r="A6051" t="str">
        <f>"327092"</f>
        <v>327092</v>
      </c>
      <c r="B6051" t="str">
        <f>"Band Sticky Transparent  50 mm"</f>
        <v>Band Sticky Transparent  50 mm</v>
      </c>
      <c r="C6051" t="str">
        <f t="shared" si="240"/>
        <v>Active</v>
      </c>
    </row>
    <row r="6052" spans="1:3" ht="18" customHeight="1">
      <c r="A6052" t="str">
        <f>"327093"</f>
        <v>327093</v>
      </c>
      <c r="B6052" t="str">
        <f>"Band Sticky Brown 75 mm"</f>
        <v>Band Sticky Brown 75 mm</v>
      </c>
      <c r="C6052" t="str">
        <f t="shared" si="240"/>
        <v>Active</v>
      </c>
    </row>
    <row r="6053" spans="1:3" ht="18" customHeight="1">
      <c r="A6053" t="str">
        <f>"327094"</f>
        <v>327094</v>
      </c>
      <c r="B6053" t="str">
        <f>"Band Sticky Brown 50 mm"</f>
        <v>Band Sticky Brown 50 mm</v>
      </c>
      <c r="C6053" t="str">
        <f t="shared" si="240"/>
        <v>Active</v>
      </c>
    </row>
    <row r="6054" spans="1:3" ht="18" customHeight="1">
      <c r="A6054" t="str">
        <f>"327095"</f>
        <v>327095</v>
      </c>
      <c r="B6054" t="str">
        <f>"Paper Industrial Role  300 mm  WHITE"</f>
        <v>Paper Industrial Role  300 mm  WHITE</v>
      </c>
      <c r="C6054" t="str">
        <f t="shared" si="240"/>
        <v>Active</v>
      </c>
    </row>
    <row r="6055" spans="1:3" ht="18" customHeight="1">
      <c r="A6055" t="str">
        <f>"327096"</f>
        <v>327096</v>
      </c>
      <c r="B6055" t="str">
        <f>"Band Strip  Black 15mm"</f>
        <v>Band Strip  Black 15mm</v>
      </c>
      <c r="C6055" t="str">
        <f t="shared" si="240"/>
        <v>Active</v>
      </c>
    </row>
    <row r="6056" spans="1:3" ht="18" customHeight="1">
      <c r="A6056" t="str">
        <f>"327097"</f>
        <v>327097</v>
      </c>
      <c r="B6056" t="str">
        <f>"Band Strip  Black 20mm"</f>
        <v>Band Strip  Black 20mm</v>
      </c>
      <c r="C6056" t="str">
        <f t="shared" si="240"/>
        <v>Active</v>
      </c>
    </row>
    <row r="6057" spans="1:3" ht="18" customHeight="1">
      <c r="A6057" t="str">
        <f>"327201"</f>
        <v>327201</v>
      </c>
      <c r="B6057" t="str">
        <f>"Sheet Polyethylene width 180cm"</f>
        <v>Sheet Polyethylene width 180cm</v>
      </c>
      <c r="C6057" t="str">
        <f t="shared" si="240"/>
        <v>Active</v>
      </c>
    </row>
    <row r="6058" spans="1:3" ht="18" customHeight="1">
      <c r="A6058" t="str">
        <f>"327202"</f>
        <v>327202</v>
      </c>
      <c r="B6058" t="str">
        <f>"Sheet Polyethylene width 240cm"</f>
        <v>Sheet Polyethylene width 240cm</v>
      </c>
      <c r="C6058" t="str">
        <f>"Phase Out"</f>
        <v>Phase Out</v>
      </c>
    </row>
    <row r="6059" spans="1:3" ht="18" customHeight="1">
      <c r="A6059" t="str">
        <f>"327203"</f>
        <v>327203</v>
      </c>
      <c r="B6059" t="str">
        <f>"Sheet Plastic Wrapping width 500mm"</f>
        <v>Sheet Plastic Wrapping width 500mm</v>
      </c>
      <c r="C6059" t="str">
        <f>"Active"</f>
        <v>Active</v>
      </c>
    </row>
    <row r="6060" spans="1:3" ht="18" customHeight="1">
      <c r="A6060" t="str">
        <f>"327204"</f>
        <v>327204</v>
      </c>
      <c r="B6060" t="str">
        <f>"Sheet Plastic Wrapping width 100mm"</f>
        <v>Sheet Plastic Wrapping width 100mm</v>
      </c>
      <c r="C6060" t="str">
        <f>"Active"</f>
        <v>Active</v>
      </c>
    </row>
    <row r="6061" spans="1:3" ht="18" customHeight="1">
      <c r="A6061" t="str">
        <f>"327501"</f>
        <v>327501</v>
      </c>
      <c r="B6061" t="str">
        <f>"Polyurethane Foam Mater. Type A - Red"</f>
        <v>Polyurethane Foam Mater. Type A - Red</v>
      </c>
      <c r="C6061" t="str">
        <f>"Inactive"</f>
        <v>Inactive</v>
      </c>
    </row>
    <row r="6062" spans="1:3" ht="18" customHeight="1">
      <c r="A6062" t="str">
        <f>"327502"</f>
        <v>327502</v>
      </c>
      <c r="B6062" t="str">
        <f>"Polyurethane Foam Mater. Type B - Blue"</f>
        <v>Polyurethane Foam Mater. Type B - Blue</v>
      </c>
      <c r="C6062" t="str">
        <f>"Inactive"</f>
        <v>Inactive</v>
      </c>
    </row>
    <row r="6063" spans="1:3" ht="18" customHeight="1">
      <c r="A6063" t="str">
        <f>"327503"</f>
        <v>327503</v>
      </c>
      <c r="B6063" t="str">
        <f>"Sheet Neoprene Black"</f>
        <v>Sheet Neoprene Black</v>
      </c>
      <c r="C6063" t="str">
        <f t="shared" ref="C6063:C6070" si="241">"Active"</f>
        <v>Active</v>
      </c>
    </row>
    <row r="6064" spans="1:3" ht="18" customHeight="1">
      <c r="A6064" t="str">
        <f>"327504"</f>
        <v>327504</v>
      </c>
      <c r="B6064" t="str">
        <f>"Rod AKULON - d10mm"</f>
        <v>Rod AKULON - d10mm</v>
      </c>
      <c r="C6064" t="str">
        <f t="shared" si="241"/>
        <v>Active</v>
      </c>
    </row>
    <row r="6065" spans="1:3" ht="18" customHeight="1">
      <c r="A6065" t="str">
        <f>"327505"</f>
        <v>327505</v>
      </c>
      <c r="B6065" t="str">
        <f>"Bar Round PVC - diameter Ø25±2 mm"</f>
        <v>Bar Round PVC - diameter Ø25±2 mm</v>
      </c>
      <c r="C6065" t="str">
        <f t="shared" si="241"/>
        <v>Active</v>
      </c>
    </row>
    <row r="6066" spans="1:3" ht="18" customHeight="1">
      <c r="A6066" t="str">
        <f>"327506"</f>
        <v>327506</v>
      </c>
      <c r="B6066" t="str">
        <f>"Bar Round PVC - d35mm"</f>
        <v>Bar Round PVC - d35mm</v>
      </c>
      <c r="C6066" t="str">
        <f t="shared" si="241"/>
        <v>Active</v>
      </c>
    </row>
    <row r="6067" spans="1:3" ht="18" customHeight="1">
      <c r="A6067" t="str">
        <f>"327507"</f>
        <v>327507</v>
      </c>
      <c r="B6067" t="str">
        <f>"Bar Round PVC - d46mm"</f>
        <v>Bar Round PVC - d46mm</v>
      </c>
      <c r="C6067" t="str">
        <f t="shared" si="241"/>
        <v>Active</v>
      </c>
    </row>
    <row r="6068" spans="1:3" ht="18" customHeight="1">
      <c r="A6068" t="str">
        <f>"327508"</f>
        <v>327508</v>
      </c>
      <c r="B6068" t="str">
        <f>"1M Width, Black (תועצה ןיא) Sheet Rubber"</f>
        <v>1M Width, Black (תועצה ןיא) Sheet Rubber</v>
      </c>
      <c r="C6068" t="str">
        <f t="shared" si="241"/>
        <v>Active</v>
      </c>
    </row>
    <row r="6069" spans="1:3" ht="18" customHeight="1">
      <c r="A6069" t="str">
        <f>"327509"</f>
        <v>327509</v>
      </c>
      <c r="B6069" t="str">
        <f>"Block Polystone.M Black PE-HMG 1000 (328x328x60)"</f>
        <v>Block Polystone.M Black PE-HMG 1000 (328x328x60)</v>
      </c>
      <c r="C6069" t="str">
        <f t="shared" si="241"/>
        <v>Active</v>
      </c>
    </row>
    <row r="6070" spans="1:3" ht="18" customHeight="1">
      <c r="A6070" t="str">
        <f>"327510"</f>
        <v>327510</v>
      </c>
      <c r="B6070" t="str">
        <f>"Fibroflex 254.5.016"</f>
        <v>Fibroflex 254.5.016</v>
      </c>
      <c r="C6070" t="str">
        <f t="shared" si="241"/>
        <v>Active</v>
      </c>
    </row>
    <row r="6071" spans="1:3" ht="18" customHeight="1">
      <c r="A6071" t="str">
        <f>"327801"</f>
        <v>327801</v>
      </c>
      <c r="B6071" t="str">
        <f>"Lead Bar"</f>
        <v>Lead Bar</v>
      </c>
      <c r="C6071" t="str">
        <f>"Inactive"</f>
        <v>Inactive</v>
      </c>
    </row>
    <row r="6072" spans="1:3" ht="18" customHeight="1">
      <c r="A6072" t="str">
        <f>"328001"</f>
        <v>328001</v>
      </c>
      <c r="B6072" t="str">
        <f>"Grease Bearing - Molikote BR 2 plus"</f>
        <v>Grease Bearing - Molikote BR 2 plus</v>
      </c>
      <c r="C6072" t="str">
        <f t="shared" ref="C6072:C6113" si="242">"Active"</f>
        <v>Active</v>
      </c>
    </row>
    <row r="6073" spans="1:3" ht="18" customHeight="1">
      <c r="A6073" t="str">
        <f>"328002"</f>
        <v>328002</v>
      </c>
      <c r="B6073" t="str">
        <f>"Grease Harmonic Drive HC-1 or SK-1A"</f>
        <v>Grease Harmonic Drive HC-1 or SK-1A</v>
      </c>
      <c r="C6073" t="str">
        <f t="shared" si="242"/>
        <v>Active</v>
      </c>
    </row>
    <row r="6074" spans="1:3" ht="18" customHeight="1">
      <c r="A6074" t="str">
        <f>"328003"</f>
        <v>328003</v>
      </c>
      <c r="B6074" t="str">
        <f>"Oil Hydraulic 10W"</f>
        <v>Oil Hydraulic 10W</v>
      </c>
      <c r="C6074" t="str">
        <f t="shared" si="242"/>
        <v>Active</v>
      </c>
    </row>
    <row r="6075" spans="1:3" ht="18" customHeight="1">
      <c r="A6075" t="str">
        <f>"328004"</f>
        <v>328004</v>
      </c>
      <c r="B6075" t="str">
        <f>"Grease Silicone OKS1110"</f>
        <v>Grease Silicone OKS1110</v>
      </c>
      <c r="C6075" t="str">
        <f t="shared" si="242"/>
        <v>Active</v>
      </c>
    </row>
    <row r="6076" spans="1:3" ht="18" customHeight="1">
      <c r="A6076" t="str">
        <f>"328005"</f>
        <v>328005</v>
      </c>
      <c r="B6076" t="str">
        <f>"Oil COMP-OUND 58"</f>
        <v>Oil COMP-OUND 58</v>
      </c>
      <c r="C6076" t="str">
        <f t="shared" si="242"/>
        <v>Active</v>
      </c>
    </row>
    <row r="6077" spans="1:3" ht="18" customHeight="1">
      <c r="A6077" t="str">
        <f>"328006"</f>
        <v>328006</v>
      </c>
      <c r="B6077" t="str">
        <f>"Grease -Plastic Bearing Molykote PG75 Plastislip"</f>
        <v>Grease -Plastic Bearing Molykote PG75 Plastislip</v>
      </c>
      <c r="C6077" t="str">
        <f t="shared" si="242"/>
        <v>Active</v>
      </c>
    </row>
    <row r="6078" spans="1:3" ht="18" customHeight="1">
      <c r="A6078" t="str">
        <f>"328007"</f>
        <v>328007</v>
      </c>
      <c r="B6078" t="str">
        <f>"Spray WD-40 0.4 LT   MACHSAN ADAR"</f>
        <v>Spray WD-40 0.4 LT   MACHSAN ADAR</v>
      </c>
      <c r="C6078" t="str">
        <f t="shared" si="242"/>
        <v>Active</v>
      </c>
    </row>
    <row r="6079" spans="1:3" ht="18" customHeight="1">
      <c r="A6079" t="str">
        <f>"328008"</f>
        <v>328008</v>
      </c>
      <c r="B6079" t="str">
        <f>"Heat Sink Compound Servisol"</f>
        <v>Heat Sink Compound Servisol</v>
      </c>
      <c r="C6079" t="str">
        <f t="shared" si="242"/>
        <v>Active</v>
      </c>
    </row>
    <row r="6080" spans="1:3" ht="18" customHeight="1">
      <c r="A6080" t="str">
        <f>"328009"</f>
        <v>328009</v>
      </c>
      <c r="B6080" t="str">
        <f>"Oil Hydrulic - 10W or Sadol S300"</f>
        <v>Oil Hydrulic - 10W or Sadol S300</v>
      </c>
      <c r="C6080" t="str">
        <f t="shared" si="242"/>
        <v>Active</v>
      </c>
    </row>
    <row r="6081" spans="1:3" ht="18" customHeight="1">
      <c r="A6081" t="str">
        <f>"328010"</f>
        <v>328010</v>
      </c>
      <c r="B6081" t="str">
        <f>"Grease Bearing - Molikote 165 LT"</f>
        <v>Grease Bearing - Molikote 165 LT</v>
      </c>
      <c r="C6081" t="str">
        <f t="shared" si="242"/>
        <v>Active</v>
      </c>
    </row>
    <row r="6082" spans="1:3" ht="18" customHeight="1">
      <c r="A6082" t="str">
        <f>"328011"</f>
        <v>328011</v>
      </c>
      <c r="B6082" t="str">
        <f>"Tip for M.I.G."</f>
        <v>Tip for M.I.G.</v>
      </c>
      <c r="C6082" t="str">
        <f t="shared" si="242"/>
        <v>Active</v>
      </c>
    </row>
    <row r="6083" spans="1:3" ht="18" customHeight="1">
      <c r="A6083" t="str">
        <f>"328012"</f>
        <v>328012</v>
      </c>
      <c r="B6083" t="str">
        <f>"Grease Timing belt  Synthetic fluid"</f>
        <v>Grease Timing belt  Synthetic fluid</v>
      </c>
      <c r="C6083" t="str">
        <f t="shared" si="242"/>
        <v>Active</v>
      </c>
    </row>
    <row r="6084" spans="1:3" ht="18" customHeight="1">
      <c r="A6084" t="str">
        <f>"328013"</f>
        <v>328013</v>
      </c>
      <c r="B6084" t="str">
        <f>"Spirt 1 litter"</f>
        <v>Spirt 1 litter</v>
      </c>
      <c r="C6084" t="str">
        <f t="shared" si="242"/>
        <v>Active</v>
      </c>
    </row>
    <row r="6085" spans="1:3" ht="18" customHeight="1">
      <c r="A6085" t="str">
        <f>"328014"</f>
        <v>328014</v>
      </c>
      <c r="B6085" t="str">
        <f>"Micro particled Grease SK-2 for Harmonic Drive"</f>
        <v>Micro particled Grease SK-2 for Harmonic Drive</v>
      </c>
      <c r="C6085" t="str">
        <f t="shared" si="242"/>
        <v>Active</v>
      </c>
    </row>
    <row r="6086" spans="1:3" ht="18" customHeight="1">
      <c r="A6086" t="str">
        <f>"328201"</f>
        <v>328201</v>
      </c>
      <c r="B6086" t="str">
        <f>"Glue Plastic &amp; Metal LO 279"</f>
        <v>Glue Plastic &amp; Metal LO 279</v>
      </c>
      <c r="C6086" t="str">
        <f t="shared" si="242"/>
        <v>Active</v>
      </c>
    </row>
    <row r="6087" spans="1:3" ht="18" customHeight="1">
      <c r="A6087" t="str">
        <f>"328202"</f>
        <v>328202</v>
      </c>
      <c r="B6087" t="str">
        <f>"Primmer L-151"</f>
        <v>Primmer L-151</v>
      </c>
      <c r="C6087" t="str">
        <f t="shared" si="242"/>
        <v>Active</v>
      </c>
    </row>
    <row r="6088" spans="1:3" ht="18" customHeight="1">
      <c r="A6088" t="str">
        <f>"328203"</f>
        <v>328203</v>
      </c>
      <c r="B6088" t="str">
        <f>"Glue SICOMET  5019 LOCKTITE 416"</f>
        <v>Glue SICOMET  5019 LOCKTITE 416</v>
      </c>
      <c r="C6088" t="str">
        <f t="shared" si="242"/>
        <v>Active</v>
      </c>
    </row>
    <row r="6089" spans="1:3" ht="18" customHeight="1">
      <c r="A6089" t="str">
        <f>"328204"</f>
        <v>328204</v>
      </c>
      <c r="B6089" t="str">
        <f>"Glue SICOMET 85 LOCKTITE  3744"</f>
        <v>Glue SICOMET 85 LOCKTITE  3744</v>
      </c>
      <c r="C6089" t="str">
        <f t="shared" si="242"/>
        <v>Active</v>
      </c>
    </row>
    <row r="6090" spans="1:3" ht="18" customHeight="1">
      <c r="A6090" t="str">
        <f>"328205"</f>
        <v>328205</v>
      </c>
      <c r="B6090" t="str">
        <f>"Glue SICOMET 99 LOCKTITE 3954"</f>
        <v>Glue SICOMET 99 LOCKTITE 3954</v>
      </c>
      <c r="C6090" t="str">
        <f t="shared" si="242"/>
        <v>Active</v>
      </c>
    </row>
    <row r="6091" spans="1:3" ht="18" customHeight="1">
      <c r="A6091" t="str">
        <f>"328206"</f>
        <v>328206</v>
      </c>
      <c r="B6091" t="str">
        <f>"Glue OMNIFIT  5017 LOCKTITE 222"</f>
        <v>Glue OMNIFIT  5017 LOCKTITE 222</v>
      </c>
      <c r="C6091" t="str">
        <f t="shared" si="242"/>
        <v>Active</v>
      </c>
    </row>
    <row r="6092" spans="1:3" ht="18" customHeight="1">
      <c r="A6092" t="str">
        <f>"328207"</f>
        <v>328207</v>
      </c>
      <c r="B6092" t="str">
        <f>"Glue LOCKTITE  242"</f>
        <v>Glue LOCKTITE  242</v>
      </c>
      <c r="C6092" t="str">
        <f t="shared" si="242"/>
        <v>Active</v>
      </c>
    </row>
    <row r="6093" spans="1:3" ht="18" customHeight="1">
      <c r="A6093" t="str">
        <f>"328208"</f>
        <v>328208</v>
      </c>
      <c r="B6093" t="str">
        <f>"0"</f>
        <v>0</v>
      </c>
      <c r="C6093" t="str">
        <f t="shared" si="242"/>
        <v>Active</v>
      </c>
    </row>
    <row r="6094" spans="1:3" ht="18" customHeight="1">
      <c r="A6094" t="str">
        <f>"328209"</f>
        <v>328209</v>
      </c>
      <c r="B6094" t="str">
        <f>"Glue LOCKTITE 1  50gr' Bottle"</f>
        <v>Glue LOCKTITE 1  50gr' Bottle</v>
      </c>
      <c r="C6094" t="str">
        <f t="shared" si="242"/>
        <v>Active</v>
      </c>
    </row>
    <row r="6095" spans="1:3" ht="18" customHeight="1">
      <c r="A6095" t="str">
        <f>"328210"</f>
        <v>328210</v>
      </c>
      <c r="B6095" t="str">
        <f>"Glue Hot Rod"</f>
        <v>Glue Hot Rod</v>
      </c>
      <c r="C6095" t="str">
        <f t="shared" si="242"/>
        <v>Active</v>
      </c>
    </row>
    <row r="6096" spans="1:3" ht="18" customHeight="1">
      <c r="A6096" t="str">
        <f>"328211"</f>
        <v>328211</v>
      </c>
      <c r="B6096" t="str">
        <f>"Glue LOCKTITE 638  50gr"</f>
        <v>Glue LOCKTITE 638  50gr</v>
      </c>
      <c r="C6096" t="str">
        <f t="shared" si="242"/>
        <v>Active</v>
      </c>
    </row>
    <row r="6097" spans="1:3" ht="18" customHeight="1">
      <c r="A6097" t="str">
        <f>"328212"</f>
        <v>328212</v>
      </c>
      <c r="B6097" t="str">
        <f>"Glue Contact"</f>
        <v>Glue Contact</v>
      </c>
      <c r="C6097" t="str">
        <f t="shared" si="242"/>
        <v>Active</v>
      </c>
    </row>
    <row r="6098" spans="1:3" ht="18" customHeight="1">
      <c r="A6098" t="str">
        <f>"328213"</f>
        <v>328213</v>
      </c>
      <c r="B6098" t="str">
        <f>"Tape Teflon Seal"</f>
        <v>Tape Teflon Seal</v>
      </c>
      <c r="C6098" t="str">
        <f t="shared" si="242"/>
        <v>Active</v>
      </c>
    </row>
    <row r="6099" spans="1:3" ht="18" customHeight="1">
      <c r="A6099" t="str">
        <f>"328214"</f>
        <v>328214</v>
      </c>
      <c r="B6099" t="str">
        <f>"Glue Caulking tube  525"</f>
        <v>Glue Caulking tube  525</v>
      </c>
      <c r="C6099" t="str">
        <f t="shared" si="242"/>
        <v>Active</v>
      </c>
    </row>
    <row r="6100" spans="1:3" ht="18" customHeight="1">
      <c r="A6100" t="str">
        <f>"328215"</f>
        <v>328215</v>
      </c>
      <c r="B6100" t="str">
        <f>"Activator 747T"</f>
        <v>Activator 747T</v>
      </c>
      <c r="C6100" t="str">
        <f t="shared" si="242"/>
        <v>Active</v>
      </c>
    </row>
    <row r="6101" spans="1:3" ht="18" customHeight="1">
      <c r="A6101" t="str">
        <f>"328216"</f>
        <v>328216</v>
      </c>
      <c r="B6101" t="str">
        <f>"Tape Two sides  3MTM VHB 4950,1/2"""</f>
        <v>Tape Two sides  3MTM VHB 4950,1/2"</v>
      </c>
      <c r="C6101" t="str">
        <f t="shared" si="242"/>
        <v>Active</v>
      </c>
    </row>
    <row r="6102" spans="1:3" ht="18" customHeight="1">
      <c r="A6102" t="str">
        <f>"328217"</f>
        <v>328217</v>
      </c>
      <c r="B6102" t="str">
        <f>"Glue Strengthening CYBERBOND TM 44"</f>
        <v>Glue Strengthening CYBERBOND TM 44</v>
      </c>
      <c r="C6102" t="str">
        <f t="shared" si="242"/>
        <v>Active</v>
      </c>
    </row>
    <row r="6103" spans="1:3" ht="18" customHeight="1">
      <c r="A6103" t="str">
        <f>"328218"</f>
        <v>328218</v>
      </c>
      <c r="B6103" t="str">
        <f>"Glue LOCTITE 330 Multi-Bond"</f>
        <v>Glue LOCTITE 330 Multi-Bond</v>
      </c>
      <c r="C6103" t="str">
        <f t="shared" si="242"/>
        <v>Active</v>
      </c>
    </row>
    <row r="6104" spans="1:3" ht="18" customHeight="1">
      <c r="A6104" t="str">
        <f>"328219"</f>
        <v>328219</v>
      </c>
      <c r="B6104" t="str">
        <f>"Glue LOCKTITE 460 20 cc"</f>
        <v>Glue LOCKTITE 460 20 cc</v>
      </c>
      <c r="C6104" t="str">
        <f t="shared" si="242"/>
        <v>Active</v>
      </c>
    </row>
    <row r="6105" spans="1:3" ht="18" customHeight="1">
      <c r="A6105" t="str">
        <f>"328220"</f>
        <v>328220</v>
      </c>
      <c r="B6105" t="str">
        <f>"Glue ROTASIGN  OR-LACK"</f>
        <v>Glue ROTASIGN  OR-LACK</v>
      </c>
      <c r="C6105" t="str">
        <f t="shared" si="242"/>
        <v>Active</v>
      </c>
    </row>
    <row r="6106" spans="1:3" ht="18" customHeight="1">
      <c r="A6106" t="str">
        <f>"328221"</f>
        <v>328221</v>
      </c>
      <c r="B6106" t="str">
        <f>"Tape Brand Scotch 3M"</f>
        <v>Tape Brand Scotch 3M</v>
      </c>
      <c r="C6106" t="str">
        <f t="shared" si="242"/>
        <v>Active</v>
      </c>
    </row>
    <row r="6107" spans="1:3" ht="18" customHeight="1">
      <c r="A6107" t="str">
        <f>"328222"</f>
        <v>328222</v>
      </c>
      <c r="B6107" t="str">
        <f>"Glue Thred sealant for plastic Loctite 5331"</f>
        <v>Glue Thred sealant for plastic Loctite 5331</v>
      </c>
      <c r="C6107" t="str">
        <f t="shared" si="242"/>
        <v>Active</v>
      </c>
    </row>
    <row r="6108" spans="1:3" ht="18" customHeight="1">
      <c r="A6108" t="str">
        <f>"328223"</f>
        <v>328223</v>
      </c>
      <c r="B6108" t="str">
        <f>"Grease Silicone"</f>
        <v>Grease Silicone</v>
      </c>
      <c r="C6108" t="str">
        <f t="shared" si="242"/>
        <v>Active</v>
      </c>
    </row>
    <row r="6109" spans="1:3" ht="18" customHeight="1">
      <c r="A6109" t="str">
        <f>"328224"</f>
        <v>328224</v>
      </c>
      <c r="B6109" t="str">
        <f>"Silicone RTV 100%"</f>
        <v>Silicone RTV 100%</v>
      </c>
      <c r="C6109" t="str">
        <f t="shared" si="242"/>
        <v>Active</v>
      </c>
    </row>
    <row r="6110" spans="1:3" ht="18" customHeight="1">
      <c r="A6110" t="str">
        <f>"328225"</f>
        <v>328225</v>
      </c>
      <c r="B6110" t="str">
        <f>"Tape Brand Double-side 5-7 cm"</f>
        <v>Tape Brand Double-side 5-7 cm</v>
      </c>
      <c r="C6110" t="str">
        <f t="shared" si="242"/>
        <v>Active</v>
      </c>
    </row>
    <row r="6111" spans="1:3" ht="18" customHeight="1">
      <c r="A6111" t="str">
        <f>"328226"</f>
        <v>328226</v>
      </c>
      <c r="B6111" t="str">
        <f>"Tape Teflon Seal 12mm x0.075mm x10M"</f>
        <v>Tape Teflon Seal 12mm x0.075mm x10M</v>
      </c>
      <c r="C6111" t="str">
        <f t="shared" si="242"/>
        <v>Active</v>
      </c>
    </row>
    <row r="6112" spans="1:3" ht="18" customHeight="1">
      <c r="A6112" t="str">
        <f>"328401"</f>
        <v>328401</v>
      </c>
      <c r="B6112" t="str">
        <f>"Spray Clean Polyurethane ."</f>
        <v>Spray Clean Polyurethane .</v>
      </c>
      <c r="C6112" t="str">
        <f t="shared" si="242"/>
        <v>Active</v>
      </c>
    </row>
    <row r="6113" spans="1:3" ht="18" customHeight="1">
      <c r="A6113" t="str">
        <f>"328402"</f>
        <v>328402</v>
      </c>
      <c r="B6113" t="str">
        <f>"Liquid Clean Polyurethane ."</f>
        <v>Liquid Clean Polyurethane .</v>
      </c>
      <c r="C6113" t="str">
        <f t="shared" si="242"/>
        <v>Active</v>
      </c>
    </row>
    <row r="6114" spans="1:3" ht="18" customHeight="1">
      <c r="A6114" t="str">
        <f>"328403"</f>
        <v>328403</v>
      </c>
      <c r="B6114" t="str">
        <f>"Solvent"</f>
        <v>Solvent</v>
      </c>
      <c r="C6114" t="str">
        <f>"Inactive"</f>
        <v>Inactive</v>
      </c>
    </row>
    <row r="6115" spans="1:3" ht="18" customHeight="1">
      <c r="A6115" t="str">
        <f>"328404"</f>
        <v>328404</v>
      </c>
      <c r="B6115" t="str">
        <f>"Wire Soldering  SN63/0.6/2 N.C"</f>
        <v>Wire Soldering  SN63/0.6/2 N.C</v>
      </c>
      <c r="C6115" t="str">
        <f t="shared" ref="C6115:C6146" si="243">"Active"</f>
        <v>Active</v>
      </c>
    </row>
    <row r="6116" spans="1:3" ht="18" customHeight="1">
      <c r="A6116" t="str">
        <f>"328405"</f>
        <v>328405</v>
      </c>
      <c r="B6116" t="str">
        <f>"Wire Soldering SN63/1.0/2 N.C"</f>
        <v>Wire Soldering SN63/1.0/2 N.C</v>
      </c>
      <c r="C6116" t="str">
        <f t="shared" si="243"/>
        <v>Active</v>
      </c>
    </row>
    <row r="6117" spans="1:3" ht="18" customHeight="1">
      <c r="A6117" t="str">
        <f>"328406"</f>
        <v>328406</v>
      </c>
      <c r="B6117" t="str">
        <f>"Cleaning PC Board"</f>
        <v>Cleaning PC Board</v>
      </c>
      <c r="C6117" t="str">
        <f t="shared" si="243"/>
        <v>Active</v>
      </c>
    </row>
    <row r="6118" spans="1:3" ht="18" customHeight="1">
      <c r="A6118" t="str">
        <f>"328407"</f>
        <v>328407</v>
      </c>
      <c r="B6118" t="str">
        <f>"Cleaning solvent Mec.part"</f>
        <v>Cleaning solvent Mec.part</v>
      </c>
      <c r="C6118" t="str">
        <f t="shared" si="243"/>
        <v>Active</v>
      </c>
    </row>
    <row r="6119" spans="1:3" ht="18" customHeight="1">
      <c r="A6119" t="str">
        <f>"328408"</f>
        <v>328408</v>
      </c>
      <c r="B6119" t="str">
        <f>"Black ink B19551XL-BK - Canon IP7250"</f>
        <v>Black ink B19551XL-BK - Canon IP7250</v>
      </c>
      <c r="C6119" t="str">
        <f t="shared" si="243"/>
        <v>Active</v>
      </c>
    </row>
    <row r="6120" spans="1:3" ht="18" customHeight="1">
      <c r="A6120" t="str">
        <f>"328409"</f>
        <v>328409</v>
      </c>
      <c r="B6120" t="str">
        <f>"Blue ink 551XL-C - Canon IP7250"</f>
        <v>Blue ink 551XL-C - Canon IP7250</v>
      </c>
      <c r="C6120" t="str">
        <f t="shared" si="243"/>
        <v>Active</v>
      </c>
    </row>
    <row r="6121" spans="1:3" ht="18" customHeight="1">
      <c r="A6121" t="str">
        <f>"328410"</f>
        <v>328410</v>
      </c>
      <c r="B6121" t="str">
        <f>"Red ink 551XL-M - Canon IP7250"</f>
        <v>Red ink 551XL-M - Canon IP7250</v>
      </c>
      <c r="C6121" t="str">
        <f t="shared" si="243"/>
        <v>Active</v>
      </c>
    </row>
    <row r="6122" spans="1:3" ht="18" customHeight="1">
      <c r="A6122" t="str">
        <f>"328411"</f>
        <v>328411</v>
      </c>
      <c r="B6122" t="str">
        <f>"Yellow ink 551XL-Y - Canon IP7250"</f>
        <v>Yellow ink 551XL-Y - Canon IP7250</v>
      </c>
      <c r="C6122" t="str">
        <f t="shared" si="243"/>
        <v>Active</v>
      </c>
    </row>
    <row r="6123" spans="1:3" ht="18" customHeight="1">
      <c r="A6123" t="str">
        <f>"328412"</f>
        <v>328412</v>
      </c>
      <c r="B6123" t="str">
        <f>"Black ink 550XL-PGBK - Canon IP7250"</f>
        <v>Black ink 550XL-PGBK - Canon IP7250</v>
      </c>
      <c r="C6123" t="str">
        <f t="shared" si="243"/>
        <v>Active</v>
      </c>
    </row>
    <row r="6124" spans="1:3" ht="18" customHeight="1">
      <c r="A6124" t="str">
        <f>"33-2017-4101"</f>
        <v>33-2017-4101</v>
      </c>
      <c r="B6124" t="str">
        <f>"Software, PLT 3000  Ver. 4.1.0.1 PCI\ISA"</f>
        <v>Software, PLT 3000  Ver. 4.1.0.1 PCI\ISA</v>
      </c>
      <c r="C6124" t="str">
        <f t="shared" si="243"/>
        <v>Active</v>
      </c>
    </row>
    <row r="6125" spans="1:3" ht="18" customHeight="1">
      <c r="A6125" t="str">
        <f>"33-2018-3400"</f>
        <v>33-2018-3400</v>
      </c>
      <c r="B6125" t="str">
        <f>"Software,SLM 0200  Ver. 3.4.0.0 PCI\ISA"</f>
        <v>Software,SLM 0200  Ver. 3.4.0.0 PCI\ISA</v>
      </c>
      <c r="C6125" t="str">
        <f t="shared" si="243"/>
        <v>Active</v>
      </c>
    </row>
    <row r="6126" spans="1:3" ht="18" customHeight="1">
      <c r="A6126" t="str">
        <f>"33-2019-3400"</f>
        <v>33-2019-3400</v>
      </c>
      <c r="B6126" t="str">
        <f>"Software,SLT 0400  Ver. 3.4.0.0 PCI\ISA"</f>
        <v>Software,SLT 0400  Ver. 3.4.0.0 PCI\ISA</v>
      </c>
      <c r="C6126" t="str">
        <f t="shared" si="243"/>
        <v>Active</v>
      </c>
    </row>
    <row r="6127" spans="1:3" ht="18" customHeight="1">
      <c r="A6127" t="str">
        <f>"33-2032-3400"</f>
        <v>33-2032-3400</v>
      </c>
      <c r="B6127" t="str">
        <f>"Software, PLM-1000  Ver. 3.4.0.0 PCI\ISA"</f>
        <v>Software, PLM-1000  Ver. 3.4.0.0 PCI\ISA</v>
      </c>
      <c r="C6127" t="str">
        <f t="shared" si="243"/>
        <v>Active</v>
      </c>
    </row>
    <row r="6128" spans="1:3" ht="18" customHeight="1">
      <c r="A6128" t="str">
        <f>"33-2040-4061"</f>
        <v>33-2040-4061</v>
      </c>
      <c r="B6128" t="str">
        <f>"ICNC control software version 4.0.6.1"</f>
        <v>ICNC control software version 4.0.6.1</v>
      </c>
      <c r="C6128" t="str">
        <f t="shared" si="243"/>
        <v>Active</v>
      </c>
    </row>
    <row r="6129" spans="1:3" ht="18" customHeight="1">
      <c r="A6129" t="str">
        <f>"33-2040-5001"</f>
        <v>33-2040-5001</v>
      </c>
      <c r="B6129" t="str">
        <f>"ICNC control software"</f>
        <v>ICNC control software</v>
      </c>
      <c r="C6129" t="str">
        <f t="shared" si="243"/>
        <v>Active</v>
      </c>
    </row>
    <row r="6130" spans="1:3" ht="18" customHeight="1">
      <c r="A6130" t="str">
        <f>"330002"</f>
        <v>330002</v>
      </c>
      <c r="B6130" t="str">
        <f>"Heat Sink - Machined  ER5/7 Controller Driver"</f>
        <v>Heat Sink - Machined  ER5/7 Controller Driver</v>
      </c>
      <c r="C6130" t="str">
        <f t="shared" si="243"/>
        <v>Active</v>
      </c>
    </row>
    <row r="6131" spans="1:3" ht="18" customHeight="1">
      <c r="A6131" t="str">
        <f>"330005"</f>
        <v>330005</v>
      </c>
      <c r="B6131" t="str">
        <f>"Heat Sink for TO-220  574902 Vert.Mount=1.375"""</f>
        <v>Heat Sink for TO-220  574902 Vert.Mount=1.375"</v>
      </c>
      <c r="C6131" t="str">
        <f t="shared" si="243"/>
        <v>Active</v>
      </c>
    </row>
    <row r="6132" spans="1:3" ht="18" customHeight="1">
      <c r="A6132" t="str">
        <f>"330009"</f>
        <v>330009</v>
      </c>
      <c r="B6132" t="str">
        <f>"Heat Sink for TO-220  531102b02500 - 2"""</f>
        <v>Heat Sink for TO-220  531102b02500 - 2"</v>
      </c>
      <c r="C6132" t="str">
        <f t="shared" si="243"/>
        <v>Active</v>
      </c>
    </row>
    <row r="6133" spans="1:3" ht="18" customHeight="1">
      <c r="A6133" t="str">
        <f>"330201"</f>
        <v>330201</v>
      </c>
      <c r="B6133" t="str">
        <f>"Key Allen - 3/64"""</f>
        <v>Key Allen - 3/64"</v>
      </c>
      <c r="C6133" t="str">
        <f t="shared" si="243"/>
        <v>Active</v>
      </c>
    </row>
    <row r="6134" spans="1:3" ht="18" customHeight="1">
      <c r="A6134" t="str">
        <f>"330202"</f>
        <v>330202</v>
      </c>
      <c r="B6134" t="str">
        <f>"Key Allen - 1/16"""</f>
        <v>Key Allen - 1/16"</v>
      </c>
      <c r="C6134" t="str">
        <f t="shared" si="243"/>
        <v>Active</v>
      </c>
    </row>
    <row r="6135" spans="1:3" ht="18" customHeight="1">
      <c r="A6135" t="str">
        <f>"330203"</f>
        <v>330203</v>
      </c>
      <c r="B6135" t="str">
        <f>"Key Allen - 5/64"""</f>
        <v>Key Allen - 5/64"</v>
      </c>
      <c r="C6135" t="str">
        <f t="shared" si="243"/>
        <v>Active</v>
      </c>
    </row>
    <row r="6136" spans="1:3" ht="18" customHeight="1">
      <c r="A6136" t="str">
        <f>"330204"</f>
        <v>330204</v>
      </c>
      <c r="B6136" t="str">
        <f>"Key Allen - 3/32"""</f>
        <v>Key Allen - 3/32"</v>
      </c>
      <c r="C6136" t="str">
        <f t="shared" si="243"/>
        <v>Active</v>
      </c>
    </row>
    <row r="6137" spans="1:3" ht="18" customHeight="1">
      <c r="A6137" t="str">
        <f>"330205"</f>
        <v>330205</v>
      </c>
      <c r="B6137" t="str">
        <f>"Key Allen - 7/64"""</f>
        <v>Key Allen - 7/64"</v>
      </c>
      <c r="C6137" t="str">
        <f t="shared" si="243"/>
        <v>Active</v>
      </c>
    </row>
    <row r="6138" spans="1:3" ht="18" customHeight="1">
      <c r="A6138" t="str">
        <f>"330206"</f>
        <v>330206</v>
      </c>
      <c r="B6138" t="str">
        <f>"Key Allen - 1/8"""</f>
        <v>Key Allen - 1/8"</v>
      </c>
      <c r="C6138" t="str">
        <f t="shared" si="243"/>
        <v>Active</v>
      </c>
    </row>
    <row r="6139" spans="1:3" ht="18" customHeight="1">
      <c r="A6139" t="str">
        <f>"330207"</f>
        <v>330207</v>
      </c>
      <c r="B6139" t="str">
        <f>"Key Allen - 9/64"""</f>
        <v>Key Allen - 9/64"</v>
      </c>
      <c r="C6139" t="str">
        <f t="shared" si="243"/>
        <v>Active</v>
      </c>
    </row>
    <row r="6140" spans="1:3" ht="18" customHeight="1">
      <c r="A6140" t="str">
        <f>"330208"</f>
        <v>330208</v>
      </c>
      <c r="B6140" t="str">
        <f>"Key Allen - 5/32"""</f>
        <v>Key Allen - 5/32"</v>
      </c>
      <c r="C6140" t="str">
        <f t="shared" si="243"/>
        <v>Active</v>
      </c>
    </row>
    <row r="6141" spans="1:3" ht="18" customHeight="1">
      <c r="A6141" t="str">
        <f>"330209"</f>
        <v>330209</v>
      </c>
      <c r="B6141" t="str">
        <f>"Key Allen - 3/16""  L=130mm"</f>
        <v>Key Allen - 3/16"  L=130mm</v>
      </c>
      <c r="C6141" t="str">
        <f t="shared" si="243"/>
        <v>Active</v>
      </c>
    </row>
    <row r="6142" spans="1:3" ht="18" customHeight="1">
      <c r="A6142" t="str">
        <f>"330210"</f>
        <v>330210</v>
      </c>
      <c r="B6142" t="str">
        <f>"Set Allen 1/8,9/64,5/32,7/64,3/32,5/64,1/16,.05"""</f>
        <v>Set Allen 1/8,9/64,5/32,7/64,3/32,5/64,1/16,.05"</v>
      </c>
      <c r="C6142" t="str">
        <f t="shared" si="243"/>
        <v>Active</v>
      </c>
    </row>
    <row r="6143" spans="1:3" ht="18" customHeight="1">
      <c r="A6143" t="str">
        <f>"330211"</f>
        <v>330211</v>
      </c>
      <c r="B6143" t="str">
        <f>"Set Allen 4,3,2.5,2,1.5,1"</f>
        <v>Set Allen 4,3,2.5,2,1.5,1</v>
      </c>
      <c r="C6143" t="str">
        <f t="shared" si="243"/>
        <v>Active</v>
      </c>
    </row>
    <row r="6144" spans="1:3" ht="18" customHeight="1">
      <c r="A6144" t="str">
        <f>"330212"</f>
        <v>330212</v>
      </c>
      <c r="B6144" t="str">
        <f>"Key Allen T-Hand 12mm , L=200mm"</f>
        <v>Key Allen T-Hand 12mm , L=200mm</v>
      </c>
      <c r="C6144" t="str">
        <f t="shared" si="243"/>
        <v>Active</v>
      </c>
    </row>
    <row r="6145" spans="1:3" ht="18" customHeight="1">
      <c r="A6145" t="str">
        <f>"330213"</f>
        <v>330213</v>
      </c>
      <c r="B6145" t="str">
        <f>"Key Allen - 6 mm"</f>
        <v>Key Allen - 6 mm</v>
      </c>
      <c r="C6145" t="str">
        <f t="shared" si="243"/>
        <v>Active</v>
      </c>
    </row>
    <row r="6146" spans="1:3" ht="18" customHeight="1">
      <c r="A6146" t="str">
        <f>"330214"</f>
        <v>330214</v>
      </c>
      <c r="B6146" t="str">
        <f>"Screwdriver Flat 3mm, Length 120mm"</f>
        <v>Screwdriver Flat 3mm, Length 120mm</v>
      </c>
      <c r="C6146" t="str">
        <f t="shared" si="243"/>
        <v>Active</v>
      </c>
    </row>
    <row r="6147" spans="1:3" ht="18" customHeight="1">
      <c r="A6147" t="str">
        <f>"330216"</f>
        <v>330216</v>
      </c>
      <c r="B6147" t="str">
        <f>"Screw driver Phillips Magnet  5x100x197 Rubber"</f>
        <v>Screw driver Phillips Magnet  5x100x197 Rubber</v>
      </c>
      <c r="C6147" t="str">
        <f>"Inactive"</f>
        <v>Inactive</v>
      </c>
    </row>
    <row r="6148" spans="1:3" ht="18" customHeight="1">
      <c r="A6148" t="str">
        <f>"330217"</f>
        <v>330217</v>
      </c>
      <c r="B6148" t="str">
        <f>"Wrench Socket Opening M4, L=260 ,d=9.6 ,S=7mm"</f>
        <v>Wrench Socket Opening M4, L=260 ,d=9.6 ,S=7mm</v>
      </c>
      <c r="C6148" t="str">
        <f>"Inactive"</f>
        <v>Inactive</v>
      </c>
    </row>
    <row r="6149" spans="1:3" ht="18" customHeight="1">
      <c r="A6149" t="str">
        <f>"330218"</f>
        <v>330218</v>
      </c>
      <c r="B6149" t="str">
        <f>"Glasses Protective"</f>
        <v>Glasses Protective</v>
      </c>
      <c r="C6149" t="str">
        <f t="shared" ref="C6149:C6159" si="244">"Active"</f>
        <v>Active</v>
      </c>
    </row>
    <row r="6150" spans="1:3" ht="18" customHeight="1">
      <c r="A6150" t="str">
        <f>"330219"</f>
        <v>330219</v>
      </c>
      <c r="B6150" t="str">
        <f>"Key Allen for Screw#2-56&amp;M2  CV86802-0.03"</f>
        <v>Key Allen for Screw#2-56&amp;M2  CV86802-0.03</v>
      </c>
      <c r="C6150" t="str">
        <f t="shared" si="244"/>
        <v>Active</v>
      </c>
    </row>
    <row r="6151" spans="1:3" ht="18" customHeight="1">
      <c r="A6151" t="str">
        <f>"330220"</f>
        <v>330220</v>
      </c>
      <c r="B6151" t="str">
        <f>"Gloves Pair of Welding"</f>
        <v>Gloves Pair of Welding</v>
      </c>
      <c r="C6151" t="str">
        <f t="shared" si="244"/>
        <v>Active</v>
      </c>
    </row>
    <row r="6152" spans="1:3" ht="18" customHeight="1">
      <c r="A6152" t="str">
        <f>"330221"</f>
        <v>330221</v>
      </c>
      <c r="B6152" t="str">
        <f>"Plier"</f>
        <v>Plier</v>
      </c>
      <c r="C6152" t="str">
        <f t="shared" si="244"/>
        <v>Active</v>
      </c>
    </row>
    <row r="6153" spans="1:3" ht="18" customHeight="1">
      <c r="A6153" t="str">
        <f>"330222"</f>
        <v>330222</v>
      </c>
      <c r="B6153" t="str">
        <f>"Glasses Welder  STD: CE EN175 ANSIZ87.1"</f>
        <v>Glasses Welder  STD: CE EN175 ANSIZ87.1</v>
      </c>
      <c r="C6153" t="str">
        <f t="shared" si="244"/>
        <v>Active</v>
      </c>
    </row>
    <row r="6154" spans="1:3" ht="18" customHeight="1">
      <c r="A6154" t="str">
        <f>"330223"</f>
        <v>330223</v>
      </c>
      <c r="B6154" t="str">
        <f>"Set Allen ME3mm,+ME4 mm"</f>
        <v>Set Allen ME3mm,+ME4 mm</v>
      </c>
      <c r="C6154" t="str">
        <f t="shared" si="244"/>
        <v>Active</v>
      </c>
    </row>
    <row r="6155" spans="1:3" ht="18" customHeight="1">
      <c r="A6155" t="str">
        <f>"330224"</f>
        <v>330224</v>
      </c>
      <c r="B6155" t="str">
        <f>"Key Allen 3mm, L=130-150mm"</f>
        <v>Key Allen 3mm, L=130-150mm</v>
      </c>
      <c r="C6155" t="str">
        <f t="shared" si="244"/>
        <v>Active</v>
      </c>
    </row>
    <row r="6156" spans="1:3" ht="18" customHeight="1">
      <c r="A6156" t="str">
        <f>"330225"</f>
        <v>330225</v>
      </c>
      <c r="B6156" t="str">
        <f>"Key Allen 4mm, L=120-140mm"</f>
        <v>Key Allen 4mm, L=120-140mm</v>
      </c>
      <c r="C6156" t="str">
        <f t="shared" si="244"/>
        <v>Active</v>
      </c>
    </row>
    <row r="6157" spans="1:3" ht="18" customHeight="1">
      <c r="A6157" t="str">
        <f>"330226"</f>
        <v>330226</v>
      </c>
      <c r="B6157" t="str">
        <f>"Gloves"</f>
        <v>Gloves</v>
      </c>
      <c r="C6157" t="str">
        <f t="shared" si="244"/>
        <v>Active</v>
      </c>
    </row>
    <row r="6158" spans="1:3" ht="18" customHeight="1">
      <c r="A6158" t="str">
        <f>"330227"</f>
        <v>330227</v>
      </c>
      <c r="B6158" t="str">
        <f>"Dressing gown"</f>
        <v>Dressing gown</v>
      </c>
      <c r="C6158" t="str">
        <f t="shared" si="244"/>
        <v>Active</v>
      </c>
    </row>
    <row r="6159" spans="1:3" ht="18" customHeight="1">
      <c r="A6159" t="str">
        <f>"330228"</f>
        <v>330228</v>
      </c>
      <c r="B6159" t="str">
        <f>"Open 15 Angle Wrench 41mm"</f>
        <v>Open 15 Angle Wrench 41mm</v>
      </c>
      <c r="C6159" t="str">
        <f t="shared" si="244"/>
        <v>Active</v>
      </c>
    </row>
    <row r="6160" spans="1:3" ht="18" customHeight="1">
      <c r="A6160" t="str">
        <f>"330229"</f>
        <v>330229</v>
      </c>
      <c r="B6160" t="str">
        <f>"Closing Tool for Button Push Emerg.Stop #410837"</f>
        <v>Closing Tool for Button Push Emerg.Stop #410837</v>
      </c>
      <c r="C6160" t="str">
        <f>"New"</f>
        <v>New</v>
      </c>
    </row>
    <row r="6161" spans="1:3" ht="18" customHeight="1">
      <c r="A6161" t="str">
        <f>"34-0000-6000"</f>
        <v>34-0000-6000</v>
      </c>
      <c r="B6161" t="str">
        <f>"Benchmill 6000 Quick Start Guide"</f>
        <v>Benchmill 6000 Quick Start Guide</v>
      </c>
      <c r="C6161" t="str">
        <f>"Active"</f>
        <v>Active</v>
      </c>
    </row>
    <row r="6162" spans="1:3" ht="18" customHeight="1">
      <c r="A6162" t="str">
        <f>"34-0000-6000-ES"</f>
        <v>34-0000-6000-ES</v>
      </c>
      <c r="B6162" t="str">
        <f>"BenchMill 6000 Quick Start Guide, ES"</f>
        <v>BenchMill 6000 Quick Start Guide, ES</v>
      </c>
      <c r="C6162" t="str">
        <f>"New"</f>
        <v>New</v>
      </c>
    </row>
    <row r="6163" spans="1:3" ht="18" customHeight="1">
      <c r="A6163" t="str">
        <f>"34-0000-7000"</f>
        <v>34-0000-7000</v>
      </c>
      <c r="B6163" t="str">
        <f>"Benchturn 7000 Quick Start Guide"</f>
        <v>Benchturn 7000 Quick Start Guide</v>
      </c>
      <c r="C6163" t="str">
        <f>"Active"</f>
        <v>Active</v>
      </c>
    </row>
    <row r="6164" spans="1:3" ht="18" customHeight="1">
      <c r="A6164" t="str">
        <f>"34-0000-7000-ES"</f>
        <v>34-0000-7000-ES</v>
      </c>
      <c r="B6164" t="str">
        <f>"BenchTurn 7000 Quick Start Guide, ES"</f>
        <v>BenchTurn 7000 Quick Start Guide, ES</v>
      </c>
      <c r="C6164" t="str">
        <f>"New"</f>
        <v>New</v>
      </c>
    </row>
    <row r="6165" spans="1:3" ht="18" customHeight="1">
      <c r="A6165" t="str">
        <f>"34-0000-8000"</f>
        <v>34-0000-8000</v>
      </c>
      <c r="B6165" t="str">
        <f>"Promill 8000 Quick Start Guide"</f>
        <v>Promill 8000 Quick Start Guide</v>
      </c>
      <c r="C6165" t="str">
        <f t="shared" ref="C6165:C6175" si="245">"Active"</f>
        <v>Active</v>
      </c>
    </row>
    <row r="6166" spans="1:3" ht="18" customHeight="1">
      <c r="A6166" t="str">
        <f>"34-0000-9000"</f>
        <v>34-0000-9000</v>
      </c>
      <c r="B6166" t="str">
        <f>"Proturn 9000 Quick Start Guide"</f>
        <v>Proturn 9000 Quick Start Guide</v>
      </c>
      <c r="C6166" t="str">
        <f t="shared" si="245"/>
        <v>Active</v>
      </c>
    </row>
    <row r="6167" spans="1:3" ht="18" customHeight="1">
      <c r="A6167" t="str">
        <f>"34-1000-0090"</f>
        <v>34-1000-0090</v>
      </c>
      <c r="B6167" t="str">
        <f>"Intelitek domed logo label"</f>
        <v>Intelitek domed logo label</v>
      </c>
      <c r="C6167" t="str">
        <f t="shared" si="245"/>
        <v>Active</v>
      </c>
    </row>
    <row r="6168" spans="1:3" ht="18" customHeight="1">
      <c r="A6168" t="str">
        <f>"34-1000-0094"</f>
        <v>34-1000-0094</v>
      </c>
      <c r="B6168" t="str">
        <f>"Jobmaster Logo, Lexan Label"</f>
        <v>Jobmaster Logo, Lexan Label</v>
      </c>
      <c r="C6168" t="str">
        <f t="shared" si="245"/>
        <v>Active</v>
      </c>
    </row>
    <row r="6169" spans="1:3" ht="18" customHeight="1">
      <c r="A6169" t="str">
        <f>"34-1000-0095"</f>
        <v>34-1000-0095</v>
      </c>
      <c r="B6169" t="str">
        <f>"Jobmaster Motor Load Lexan Label"</f>
        <v>Jobmaster Motor Load Lexan Label</v>
      </c>
      <c r="C6169" t="str">
        <f t="shared" si="245"/>
        <v>Active</v>
      </c>
    </row>
    <row r="6170" spans="1:3" ht="18" customHeight="1">
      <c r="A6170" t="str">
        <f>"34-1000-0096"</f>
        <v>34-1000-0096</v>
      </c>
      <c r="B6170" t="str">
        <f>"Label, JM/GS, AC/DC Adjustable Power Box"</f>
        <v>Label, JM/GS, AC/DC Adjustable Power Box</v>
      </c>
      <c r="C6170" t="str">
        <f t="shared" si="245"/>
        <v>Active</v>
      </c>
    </row>
    <row r="6171" spans="1:3" ht="18" customHeight="1">
      <c r="A6171" t="str">
        <f>"34-1000-0097"</f>
        <v>34-1000-0097</v>
      </c>
      <c r="B6171" t="str">
        <f>"Label, JM, EMMC 1600, Yellow Adhesive Vinyl"</f>
        <v>Label, JM, EMMC 1600, Yellow Adhesive Vinyl</v>
      </c>
      <c r="C6171" t="str">
        <f t="shared" si="245"/>
        <v>Active</v>
      </c>
    </row>
    <row r="6172" spans="1:3" ht="18" customHeight="1">
      <c r="A6172" t="str">
        <f>"34-1000-0098"</f>
        <v>34-1000-0098</v>
      </c>
      <c r="B6172" t="str">
        <f>"intelitek, sticker Adhesive Vinyl"</f>
        <v>intelitek, sticker Adhesive Vinyl</v>
      </c>
      <c r="C6172" t="str">
        <f t="shared" si="245"/>
        <v>Active</v>
      </c>
    </row>
    <row r="6173" spans="1:3" ht="18" customHeight="1">
      <c r="A6173" t="str">
        <f>"34-1000-0100"</f>
        <v>34-1000-0100</v>
      </c>
      <c r="B6173" t="str">
        <f>"Sticker, Rotating Shaft Warning"</f>
        <v>Sticker, Rotating Shaft Warning</v>
      </c>
      <c r="C6173" t="str">
        <f t="shared" si="245"/>
        <v>Active</v>
      </c>
    </row>
    <row r="6174" spans="1:3" ht="18" customHeight="1">
      <c r="A6174" t="str">
        <f>"34-1000-0102"</f>
        <v>34-1000-0102</v>
      </c>
      <c r="B6174" t="str">
        <f>"Sticker, potentiometer, small"</f>
        <v>Sticker, potentiometer, small</v>
      </c>
      <c r="C6174" t="str">
        <f t="shared" si="245"/>
        <v>Active</v>
      </c>
    </row>
    <row r="6175" spans="1:3" ht="18" customHeight="1">
      <c r="A6175" t="str">
        <f>"34-1000-0103"</f>
        <v>34-1000-0103</v>
      </c>
      <c r="B6175" t="str">
        <f>"Sticker, potentiometer, large"</f>
        <v>Sticker, potentiometer, large</v>
      </c>
      <c r="C6175" t="str">
        <f t="shared" si="245"/>
        <v>Active</v>
      </c>
    </row>
    <row r="6176" spans="1:3" ht="18" customHeight="1">
      <c r="A6176" t="str">
        <f>"34-1000-1014"</f>
        <v>34-1000-1014</v>
      </c>
      <c r="B6176" t="str">
        <f>"Sticker, Mechatronics (Adhesive Vinyl 3 colors)"</f>
        <v>Sticker, Mechatronics (Adhesive Vinyl 3 colors)</v>
      </c>
      <c r="C6176" t="str">
        <f>"New"</f>
        <v>New</v>
      </c>
    </row>
    <row r="6177" spans="1:3" ht="18" customHeight="1">
      <c r="A6177" t="str">
        <f>"34-1000-VCRV"</f>
        <v>34-1000-VCRV</v>
      </c>
      <c r="B6177" t="str">
        <f>"VCarve Pro Licensing Notification Document"</f>
        <v>VCarve Pro Licensing Notification Document</v>
      </c>
      <c r="C6177" t="str">
        <f t="shared" ref="C6177:C6193" si="246">"Active"</f>
        <v>Active</v>
      </c>
    </row>
    <row r="6178" spans="1:3" ht="18" customHeight="1">
      <c r="A6178" t="str">
        <f>"34-1270-0002"</f>
        <v>34-1270-0002</v>
      </c>
      <c r="B6178" t="str">
        <f>"JM, ID Label, w/Serial Number"</f>
        <v>JM, ID Label, w/Serial Number</v>
      </c>
      <c r="C6178" t="str">
        <f t="shared" si="246"/>
        <v>Active</v>
      </c>
    </row>
    <row r="6179" spans="1:3" ht="18" customHeight="1">
      <c r="A6179" t="str">
        <f>"34-1270-0003"</f>
        <v>34-1270-0003</v>
      </c>
      <c r="B6179" t="str">
        <f>"Label Tape, P-Touch, 1/2"" Black Ink on White"</f>
        <v>Label Tape, P-Touch, 1/2" Black Ink on White</v>
      </c>
      <c r="C6179" t="str">
        <f t="shared" si="246"/>
        <v>Active</v>
      </c>
    </row>
    <row r="6180" spans="1:3" ht="18" customHeight="1">
      <c r="A6180" t="str">
        <f>"34-6007-0000"</f>
        <v>34-6007-0000</v>
      </c>
      <c r="B6180" t="str">
        <f>"Web Licensing Instructions"</f>
        <v>Web Licensing Instructions</v>
      </c>
      <c r="C6180" t="str">
        <f t="shared" si="246"/>
        <v>Active</v>
      </c>
    </row>
    <row r="6181" spans="1:3" ht="18" customHeight="1">
      <c r="A6181" t="str">
        <f>"34-7018-9000"</f>
        <v>34-7018-9000</v>
      </c>
      <c r="B6181" t="str">
        <f>"Install Guide Robotic Workcell"</f>
        <v>Install Guide Robotic Workcell</v>
      </c>
      <c r="C6181" t="str">
        <f t="shared" si="246"/>
        <v>Active</v>
      </c>
    </row>
    <row r="6182" spans="1:3" ht="18" customHeight="1">
      <c r="A6182" t="str">
        <f>"34-8008-9000"</f>
        <v>34-8008-9000</v>
      </c>
      <c r="B6182" t="str">
        <f>"Install Guide, Hydraulics 1 w/ HydaFlex, LM Lab"</f>
        <v>Install Guide, Hydraulics 1 w/ HydaFlex, LM Lab</v>
      </c>
      <c r="C6182" t="str">
        <f t="shared" si="246"/>
        <v>Active</v>
      </c>
    </row>
    <row r="6183" spans="1:3" ht="18" customHeight="1">
      <c r="A6183" t="str">
        <f>"34-8009-9000"</f>
        <v>34-8009-9000</v>
      </c>
      <c r="B6183" t="str">
        <f>"Install Guide, PLC 1 w/ MicroLogix, LM Lab"</f>
        <v>Install Guide, PLC 1 w/ MicroLogix, LM Lab</v>
      </c>
      <c r="C6183" t="str">
        <f t="shared" si="246"/>
        <v>Active</v>
      </c>
    </row>
    <row r="6184" spans="1:3" ht="18" customHeight="1">
      <c r="A6184" t="str">
        <f>"34-8030-9000"</f>
        <v>34-8030-9000</v>
      </c>
      <c r="B6184" t="str">
        <f>"Install Guide, Welding w/ ER4U, LM Lab"</f>
        <v>Install Guide, Welding w/ ER4U, LM Lab</v>
      </c>
      <c r="C6184" t="str">
        <f t="shared" si="246"/>
        <v>Active</v>
      </c>
    </row>
    <row r="6185" spans="1:3" ht="18" customHeight="1">
      <c r="A6185" t="str">
        <f>"34-8068-9000"</f>
        <v>34-8068-9000</v>
      </c>
      <c r="B6185" t="str">
        <f>"Install Guide, Pneumatics 1 w/ PneuFlex, LM Lab"</f>
        <v>Install Guide, Pneumatics 1 w/ PneuFlex, LM Lab</v>
      </c>
      <c r="C6185" t="str">
        <f t="shared" si="246"/>
        <v>Active</v>
      </c>
    </row>
    <row r="6186" spans="1:3" ht="18" customHeight="1">
      <c r="A6186" t="str">
        <f>"34-8082-9000"</f>
        <v>34-8082-9000</v>
      </c>
      <c r="B6186" t="str">
        <f>"Install Guide, RMH1 w/ ER4U, LM Lab"</f>
        <v>Install Guide, RMH1 w/ ER4U, LM Lab</v>
      </c>
      <c r="C6186" t="str">
        <f t="shared" si="246"/>
        <v>Active</v>
      </c>
    </row>
    <row r="6187" spans="1:3" ht="18" customHeight="1">
      <c r="A6187" t="str">
        <f>"34-8105-9000"</f>
        <v>34-8105-9000</v>
      </c>
      <c r="B6187" t="str">
        <f>"REC 1, Cortex, Standalone Install Guide"</f>
        <v>REC 1, Cortex, Standalone Install Guide</v>
      </c>
      <c r="C6187" t="str">
        <f t="shared" si="246"/>
        <v>Active</v>
      </c>
    </row>
    <row r="6188" spans="1:3" ht="18" customHeight="1">
      <c r="A6188" t="str">
        <f>"34-LS00-0200"</f>
        <v>34-LS00-0200</v>
      </c>
      <c r="B6188" t="str">
        <f>"JM, LS200 Install Guide"</f>
        <v>JM, LS200 Install Guide</v>
      </c>
      <c r="C6188" t="str">
        <f t="shared" si="246"/>
        <v>Active</v>
      </c>
    </row>
    <row r="6189" spans="1:3" ht="18" customHeight="1">
      <c r="A6189" t="str">
        <f>"34-LS00-0201"</f>
        <v>34-LS00-0201</v>
      </c>
      <c r="B6189" t="str">
        <f>"JM, Mobile Bench LS200 &amp; PLCLine Install Guide"</f>
        <v>JM, Mobile Bench LS200 &amp; PLCLine Install Guide</v>
      </c>
      <c r="C6189" t="str">
        <f t="shared" si="246"/>
        <v>Active</v>
      </c>
    </row>
    <row r="6190" spans="1:3" ht="18" customHeight="1">
      <c r="A6190" t="str">
        <f>"34-LS00-0202"</f>
        <v>34-LS00-0202</v>
      </c>
      <c r="B6190" t="str">
        <f>"JM, Mobile Bench LS200 &amp; PneuFlex Install Guide"</f>
        <v>JM, Mobile Bench LS200 &amp; PneuFlex Install Guide</v>
      </c>
      <c r="C6190" t="str">
        <f t="shared" si="246"/>
        <v>Active</v>
      </c>
    </row>
    <row r="6191" spans="1:3" ht="18" customHeight="1">
      <c r="A6191" t="str">
        <f>"34-LS00-0203"</f>
        <v>34-LS00-0203</v>
      </c>
      <c r="B6191" t="str">
        <f>"JM, Mobile Bench LS200 &amp; HydraFlex Install Guide"</f>
        <v>JM, Mobile Bench LS200 &amp; HydraFlex Install Guide</v>
      </c>
      <c r="C6191" t="str">
        <f t="shared" si="246"/>
        <v>Active</v>
      </c>
    </row>
    <row r="6192" spans="1:3" ht="18" customHeight="1">
      <c r="A6192" t="str">
        <f>"35-1002-0000"</f>
        <v>35-1002-0000</v>
      </c>
      <c r="B6192" t="str">
        <f>"Data Sheet-Benchman MX"</f>
        <v>Data Sheet-Benchman MX</v>
      </c>
      <c r="C6192" t="str">
        <f t="shared" si="246"/>
        <v>Active</v>
      </c>
    </row>
    <row r="6193" spans="1:3" ht="18" customHeight="1">
      <c r="A6193" t="str">
        <f>"35-1005-6500"</f>
        <v>35-1005-6500</v>
      </c>
      <c r="B6193" t="str">
        <f>"DS01_SW_SpectraCAD_CAM"</f>
        <v>DS01_SW_SpectraCAD_CAM</v>
      </c>
      <c r="C6193" t="str">
        <f t="shared" si="246"/>
        <v>Active</v>
      </c>
    </row>
    <row r="6194" spans="1:3" ht="18" customHeight="1">
      <c r="A6194" t="str">
        <f>"35-1005-6500ES"</f>
        <v>35-1005-6500ES</v>
      </c>
      <c r="B6194" t="str">
        <f>"DS01_SW_SpectraCAD_CAM_es"</f>
        <v>DS01_SW_SpectraCAD_CAM_es</v>
      </c>
      <c r="C6194" t="str">
        <f>"New"</f>
        <v>New</v>
      </c>
    </row>
    <row r="6195" spans="1:3" ht="18" customHeight="1">
      <c r="A6195" t="str">
        <f>"35-1005-8600"</f>
        <v>35-1005-8600</v>
      </c>
      <c r="B6195" t="str">
        <f>"DS01_HW_SCORBOT-ER4u_Educational_Robot"</f>
        <v>DS01_HW_SCORBOT-ER4u_Educational_Robot</v>
      </c>
      <c r="C6195" t="str">
        <f>"Active"</f>
        <v>Active</v>
      </c>
    </row>
    <row r="6196" spans="1:3" ht="18" customHeight="1">
      <c r="A6196" t="str">
        <f>"35-1005-8600ES"</f>
        <v>35-1005-8600ES</v>
      </c>
      <c r="B6196" t="str">
        <f>"DS01_HW_SCORBOT-ER4u_Educational_Robot_es"</f>
        <v>DS01_HW_SCORBOT-ER4u_Educational_Robot_es</v>
      </c>
      <c r="C6196" t="str">
        <f>"New"</f>
        <v>New</v>
      </c>
    </row>
    <row r="6197" spans="1:3" ht="18" customHeight="1">
      <c r="A6197" t="str">
        <f>"35-1005-8800"</f>
        <v>35-1005-8800</v>
      </c>
      <c r="B6197" t="str">
        <f>"BR01_Intelitek_profile"</f>
        <v>BR01_Intelitek_profile</v>
      </c>
      <c r="C6197" t="str">
        <f>"Active"</f>
        <v>Active</v>
      </c>
    </row>
    <row r="6198" spans="1:3" ht="18" customHeight="1">
      <c r="A6198" t="str">
        <f>"35-1005-8800ES"</f>
        <v>35-1005-8800ES</v>
      </c>
      <c r="B6198" t="str">
        <f>"BR01_Intelitek_prf_es"</f>
        <v>BR01_Intelitek_prf_es</v>
      </c>
      <c r="C6198" t="str">
        <f>"New"</f>
        <v>New</v>
      </c>
    </row>
    <row r="6199" spans="1:3" ht="18" customHeight="1">
      <c r="A6199" t="str">
        <f>"35-1005-9200"</f>
        <v>35-1005-9200</v>
      </c>
      <c r="B6199" t="str">
        <f>"BR01_CIM"</f>
        <v>BR01_CIM</v>
      </c>
      <c r="C6199" t="str">
        <f>"Active"</f>
        <v>Active</v>
      </c>
    </row>
    <row r="6200" spans="1:3" ht="18" customHeight="1">
      <c r="A6200" t="str">
        <f>"35-1005-9200ES"</f>
        <v>35-1005-9200ES</v>
      </c>
      <c r="B6200" t="str">
        <f>"BR01_CIM_es"</f>
        <v>BR01_CIM_es</v>
      </c>
      <c r="C6200" t="str">
        <f>"New"</f>
        <v>New</v>
      </c>
    </row>
    <row r="6201" spans="1:3" ht="18" customHeight="1">
      <c r="A6201" t="str">
        <f>"35-1006-6600"</f>
        <v>35-1006-6600</v>
      </c>
      <c r="B6201" t="str">
        <f>"DS01_HW_SCORBOT-ER9Pro_Educational_Robot"</f>
        <v>DS01_HW_SCORBOT-ER9Pro_Educational_Robot</v>
      </c>
      <c r="C6201" t="str">
        <f>"Active"</f>
        <v>Active</v>
      </c>
    </row>
    <row r="6202" spans="1:3" ht="18" customHeight="1">
      <c r="A6202" t="str">
        <f>"35-1006-6600ES"</f>
        <v>35-1006-6600ES</v>
      </c>
      <c r="B6202" t="str">
        <f>"DS01_HW_SCORBOT-ER9Pro_Educational_Robot_es"</f>
        <v>DS01_HW_SCORBOT-ER9Pro_Educational_Robot_es</v>
      </c>
      <c r="C6202" t="str">
        <f>"New"</f>
        <v>New</v>
      </c>
    </row>
    <row r="6203" spans="1:3" ht="18" customHeight="1">
      <c r="A6203" t="str">
        <f>"35-1006-6700"</f>
        <v>35-1006-6700</v>
      </c>
      <c r="B6203" t="str">
        <f>"DS01_HW_SCORA-ER14Pro_Mechanical_Arm"</f>
        <v>DS01_HW_SCORA-ER14Pro_Mechanical_Arm</v>
      </c>
      <c r="C6203" t="str">
        <f>"Active"</f>
        <v>Active</v>
      </c>
    </row>
    <row r="6204" spans="1:3" ht="18" customHeight="1">
      <c r="A6204" t="str">
        <f>"35-1006-6700ES"</f>
        <v>35-1006-6700ES</v>
      </c>
      <c r="B6204" t="str">
        <f>"DS01_HW_SCORA-ER14Pro_Mechanical_Arm_es"</f>
        <v>DS01_HW_SCORA-ER14Pro_Mechanical_Arm_es</v>
      </c>
      <c r="C6204" t="str">
        <f>"New"</f>
        <v>New</v>
      </c>
    </row>
    <row r="6205" spans="1:3" ht="18" customHeight="1">
      <c r="A6205" t="str">
        <f>"35-1006-7000"</f>
        <v>35-1006-7000</v>
      </c>
      <c r="B6205" t="str">
        <f>"DS01_HW_BenchTurn7000_CNC_Turn_Center"</f>
        <v>DS01_HW_BenchTurn7000_CNC_Turn_Center</v>
      </c>
      <c r="C6205" t="str">
        <f>"Active"</f>
        <v>Active</v>
      </c>
    </row>
    <row r="6206" spans="1:3" ht="18" customHeight="1">
      <c r="A6206" t="str">
        <f>"35-1006-7000ES"</f>
        <v>35-1006-7000ES</v>
      </c>
      <c r="B6206" t="str">
        <f>"DS01_HW_BenchTurn7000_CNC_Turn_Center_es"</f>
        <v>DS01_HW_BenchTurn7000_CNC_Turn_Center_es</v>
      </c>
      <c r="C6206" t="str">
        <f>"New"</f>
        <v>New</v>
      </c>
    </row>
    <row r="6207" spans="1:3" ht="18" customHeight="1">
      <c r="A6207" t="str">
        <f>"35-1006-7100"</f>
        <v>35-1006-7100</v>
      </c>
      <c r="B6207" t="str">
        <f>"DS01_HW_ProTurn9000_CNC_Turn_Center"</f>
        <v>DS01_HW_ProTurn9000_CNC_Turn_Center</v>
      </c>
      <c r="C6207" t="str">
        <f>"Active"</f>
        <v>Active</v>
      </c>
    </row>
    <row r="6208" spans="1:3" ht="18" customHeight="1">
      <c r="A6208" t="str">
        <f>"35-1006-7100ES"</f>
        <v>35-1006-7100ES</v>
      </c>
      <c r="B6208" t="str">
        <f>"DS01_HW_ProTurn9000_CNC_Turn_Center_es"</f>
        <v>DS01_HW_ProTurn9000_CNC_Turn_Center_es</v>
      </c>
      <c r="C6208" t="str">
        <f>"New"</f>
        <v>New</v>
      </c>
    </row>
    <row r="6209" spans="1:3" ht="18" customHeight="1">
      <c r="A6209" t="str">
        <f>"35-1006-7400"</f>
        <v>35-1006-7400</v>
      </c>
      <c r="B6209" t="str">
        <f>"DS01_HW_BenchMill6000_CNC_Mill_Center"</f>
        <v>DS01_HW_BenchMill6000_CNC_Mill_Center</v>
      </c>
      <c r="C6209" t="str">
        <f>"Active"</f>
        <v>Active</v>
      </c>
    </row>
    <row r="6210" spans="1:3" ht="18" customHeight="1">
      <c r="A6210" t="str">
        <f>"35-1006-7400ES"</f>
        <v>35-1006-7400ES</v>
      </c>
      <c r="B6210" t="str">
        <f>"DS01_HW_BenchMill6000_CNC_Mill_Center_es"</f>
        <v>DS01_HW_BenchMill6000_CNC_Mill_Center_es</v>
      </c>
      <c r="C6210" t="str">
        <f>"New"</f>
        <v>New</v>
      </c>
    </row>
    <row r="6211" spans="1:3" ht="18" customHeight="1">
      <c r="A6211" t="str">
        <f>"35-1006-7600"</f>
        <v>35-1006-7600</v>
      </c>
      <c r="B6211" t="str">
        <f>"DS01_HW_ProMill8000_CNC_Machine_Center"</f>
        <v>DS01_HW_ProMill8000_CNC_Machine_Center</v>
      </c>
      <c r="C6211" t="str">
        <f>"Active"</f>
        <v>Active</v>
      </c>
    </row>
    <row r="6212" spans="1:3" ht="18" customHeight="1">
      <c r="A6212" t="str">
        <f>"35-1006-7600ES"</f>
        <v>35-1006-7600ES</v>
      </c>
      <c r="B6212" t="str">
        <f>"DS01_HW_ProMill8000_CNC_Machine_Center_es"</f>
        <v>DS01_HW_ProMill8000_CNC_Machine_Center_es</v>
      </c>
      <c r="C6212" t="str">
        <f>"New"</f>
        <v>New</v>
      </c>
    </row>
    <row r="6213" spans="1:3" ht="18" customHeight="1">
      <c r="A6213" t="str">
        <f>"35-1006-8900"</f>
        <v>35-1006-8900</v>
      </c>
      <c r="B6213" t="str">
        <f>"DS01_EL_Welding_virtual_lab"</f>
        <v>DS01_EL_Welding_virtual_lab</v>
      </c>
      <c r="C6213" t="str">
        <f>"Active"</f>
        <v>Active</v>
      </c>
    </row>
    <row r="6214" spans="1:3" ht="18" customHeight="1">
      <c r="A6214" t="str">
        <f>"35-1006-8900ES"</f>
        <v>35-1006-8900ES</v>
      </c>
      <c r="B6214" t="str">
        <f>"DS01_EL_Welding_virtual_lab_es"</f>
        <v>DS01_EL_Welding_virtual_lab_es</v>
      </c>
      <c r="C6214" t="str">
        <f>"New"</f>
        <v>New</v>
      </c>
    </row>
    <row r="6215" spans="1:3" ht="18" customHeight="1">
      <c r="A6215" t="str">
        <f>"35-1006-9200"</f>
        <v>35-1006-9200</v>
      </c>
      <c r="B6215" t="str">
        <f>"DS01_EL_Plastics"</f>
        <v>DS01_EL_Plastics</v>
      </c>
      <c r="C6215" t="str">
        <f>"Active"</f>
        <v>Active</v>
      </c>
    </row>
    <row r="6216" spans="1:3" ht="18" customHeight="1">
      <c r="A6216" t="str">
        <f>"35-1006-9200ES"</f>
        <v>35-1006-9200ES</v>
      </c>
      <c r="B6216" t="str">
        <f>"DS01_EL_Plastics_es"</f>
        <v>DS01_EL_Plastics_es</v>
      </c>
      <c r="C6216" t="str">
        <f>"New"</f>
        <v>New</v>
      </c>
    </row>
    <row r="6217" spans="1:3" ht="18" customHeight="1">
      <c r="A6217" t="str">
        <f>"35-1006-9300"</f>
        <v>35-1006-9300</v>
      </c>
      <c r="B6217" t="str">
        <f>"DS01_EL_Robotics"</f>
        <v>DS01_EL_Robotics</v>
      </c>
      <c r="C6217" t="str">
        <f>"Active"</f>
        <v>Active</v>
      </c>
    </row>
    <row r="6218" spans="1:3" ht="18" customHeight="1">
      <c r="A6218" t="str">
        <f>"35-1006-9300ES"</f>
        <v>35-1006-9300ES</v>
      </c>
      <c r="B6218" t="str">
        <f>"DS01_EL_Robotics_es"</f>
        <v>DS01_EL_Robotics_es</v>
      </c>
      <c r="C6218" t="str">
        <f>"New"</f>
        <v>New</v>
      </c>
    </row>
    <row r="6219" spans="1:3" ht="18" customHeight="1">
      <c r="A6219" t="str">
        <f>"35-1006-9600"</f>
        <v>35-1006-9600</v>
      </c>
      <c r="B6219" t="str">
        <f>"DS01_EL_Mechanisms"</f>
        <v>DS01_EL_Mechanisms</v>
      </c>
      <c r="C6219" t="str">
        <f>"Active"</f>
        <v>Active</v>
      </c>
    </row>
    <row r="6220" spans="1:3" ht="18" customHeight="1">
      <c r="A6220" t="str">
        <f>"35-1006-9600ES"</f>
        <v>35-1006-9600ES</v>
      </c>
      <c r="B6220" t="str">
        <f>"DS01_EL_Mechanisms_es"</f>
        <v>DS01_EL_Mechanisms_es</v>
      </c>
      <c r="C6220" t="str">
        <f>"New"</f>
        <v>New</v>
      </c>
    </row>
    <row r="6221" spans="1:3" ht="18" customHeight="1">
      <c r="A6221" t="str">
        <f>"35-1006-9700"</f>
        <v>35-1006-9700</v>
      </c>
      <c r="B6221" t="str">
        <f>"DS01_EL_Fiber Optics"</f>
        <v>DS01_EL_Fiber Optics</v>
      </c>
      <c r="C6221" t="str">
        <f>"Active"</f>
        <v>Active</v>
      </c>
    </row>
    <row r="6222" spans="1:3" ht="18" customHeight="1">
      <c r="A6222" t="str">
        <f>"35-1006-9700ES"</f>
        <v>35-1006-9700ES</v>
      </c>
      <c r="B6222" t="str">
        <f>"DS01_EL_Fiber Optics_es"</f>
        <v>DS01_EL_Fiber Optics_es</v>
      </c>
      <c r="C6222" t="str">
        <f>"New"</f>
        <v>New</v>
      </c>
    </row>
    <row r="6223" spans="1:3" ht="18" customHeight="1">
      <c r="A6223" t="str">
        <f>"35-1007-1200"</f>
        <v>35-1007-1200</v>
      </c>
      <c r="B6223" t="str">
        <f>"DS01_EL_Vision"</f>
        <v>DS01_EL_Vision</v>
      </c>
      <c r="C6223" t="str">
        <f>"Active"</f>
        <v>Active</v>
      </c>
    </row>
    <row r="6224" spans="1:3" ht="18" customHeight="1">
      <c r="A6224" t="str">
        <f>"35-1007-1200ES"</f>
        <v>35-1007-1200ES</v>
      </c>
      <c r="B6224" t="str">
        <f>"DS01_EL_Vision_es"</f>
        <v>DS01_EL_Vision_es</v>
      </c>
      <c r="C6224" t="str">
        <f>"New"</f>
        <v>New</v>
      </c>
    </row>
    <row r="6225" spans="1:3" ht="18" customHeight="1">
      <c r="A6225" t="str">
        <f>"35-1007-1700"</f>
        <v>35-1007-1700</v>
      </c>
      <c r="B6225" t="str">
        <f>"DS01_EL_Construction_Technology"</f>
        <v>DS01_EL_Construction_Technology</v>
      </c>
      <c r="C6225" t="str">
        <f>"Active"</f>
        <v>Active</v>
      </c>
    </row>
    <row r="6226" spans="1:3" ht="18" customHeight="1">
      <c r="A6226" t="str">
        <f>"35-1007-1700ES"</f>
        <v>35-1007-1700ES</v>
      </c>
      <c r="B6226" t="str">
        <f>"DS01_EL_Construction_Technology_es"</f>
        <v>DS01_EL_Construction_Technology_es</v>
      </c>
      <c r="C6226" t="str">
        <f>"New"</f>
        <v>New</v>
      </c>
    </row>
    <row r="6227" spans="1:3" ht="18" customHeight="1">
      <c r="A6227" t="str">
        <f>"35-1007-2100"</f>
        <v>35-1007-2100</v>
      </c>
      <c r="B6227" t="str">
        <f>"DS01_EL_Civil_Environmental_Engineering"</f>
        <v>DS01_EL_Civil_Environmental_Engineering</v>
      </c>
      <c r="C6227" t="str">
        <f>"Active"</f>
        <v>Active</v>
      </c>
    </row>
    <row r="6228" spans="1:3" ht="18" customHeight="1">
      <c r="A6228" t="str">
        <f>"35-1007-2100ES"</f>
        <v>35-1007-2100ES</v>
      </c>
      <c r="B6228" t="str">
        <f>"DS01_EL_Civil_Environmental_Engineering_es"</f>
        <v>DS01_EL_Civil_Environmental_Engineering_es</v>
      </c>
      <c r="C6228" t="str">
        <f>"New"</f>
        <v>New</v>
      </c>
    </row>
    <row r="6229" spans="1:3" ht="18" customHeight="1">
      <c r="A6229" t="str">
        <f>"35-1007-2400"</f>
        <v>35-1007-2400</v>
      </c>
      <c r="B6229" t="str">
        <f>"DS01_EL_Electrical_electronics"</f>
        <v>DS01_EL_Electrical_electronics</v>
      </c>
      <c r="C6229" t="str">
        <f>"Active"</f>
        <v>Active</v>
      </c>
    </row>
    <row r="6230" spans="1:3" ht="18" customHeight="1">
      <c r="A6230" t="str">
        <f>"35-1007-2400ES"</f>
        <v>35-1007-2400ES</v>
      </c>
      <c r="B6230" t="str">
        <f>"DS01_EL_Electrical_electronics_es"</f>
        <v>DS01_EL_Electrical_electronics_es</v>
      </c>
      <c r="C6230" t="str">
        <f>"New"</f>
        <v>New</v>
      </c>
    </row>
    <row r="6231" spans="1:3" ht="18" customHeight="1">
      <c r="A6231" t="str">
        <f>"35-1007-3200"</f>
        <v>35-1007-3200</v>
      </c>
      <c r="B6231" t="str">
        <f>"DS01_SW_CNC_Base_Motion_FANUC"</f>
        <v>DS01_SW_CNC_Base_Motion_FANUC</v>
      </c>
      <c r="C6231" t="str">
        <f>"Active"</f>
        <v>Active</v>
      </c>
    </row>
    <row r="6232" spans="1:3" ht="18" customHeight="1">
      <c r="A6232" t="str">
        <f>"35-1007-3200ES"</f>
        <v>35-1007-3200ES</v>
      </c>
      <c r="B6232" t="str">
        <f>"DS01_SW_CNC_Base_Motion_FANUC_es"</f>
        <v>DS01_SW_CNC_Base_Motion_FANUC_es</v>
      </c>
      <c r="C6232" t="str">
        <f>"New"</f>
        <v>New</v>
      </c>
    </row>
    <row r="6233" spans="1:3" ht="18" customHeight="1">
      <c r="A6233" t="str">
        <f>"35-1007-3300"</f>
        <v>35-1007-3300</v>
      </c>
      <c r="B6233" t="str">
        <f>"DS01_BU_Hydraulics"</f>
        <v>DS01_BU_Hydraulics</v>
      </c>
      <c r="C6233" t="str">
        <f>"Active"</f>
        <v>Active</v>
      </c>
    </row>
    <row r="6234" spans="1:3" ht="18" customHeight="1">
      <c r="A6234" t="str">
        <f>"35-1007-3300ES"</f>
        <v>35-1007-3300ES</v>
      </c>
      <c r="B6234" t="str">
        <f>"DS01_BU_Hydraulics_es"</f>
        <v>DS01_BU_Hydraulics_es</v>
      </c>
      <c r="C6234" t="str">
        <f>"New"</f>
        <v>New</v>
      </c>
    </row>
    <row r="6235" spans="1:3" ht="18" customHeight="1">
      <c r="A6235" t="str">
        <f>"35-1007-3400"</f>
        <v>35-1007-3400</v>
      </c>
      <c r="B6235" t="str">
        <f>"DS01_BU_Pneumatics"</f>
        <v>DS01_BU_Pneumatics</v>
      </c>
      <c r="C6235" t="str">
        <f>"Active"</f>
        <v>Active</v>
      </c>
    </row>
    <row r="6236" spans="1:3" ht="18" customHeight="1">
      <c r="A6236" t="str">
        <f>"35-1007-3400ES"</f>
        <v>35-1007-3400ES</v>
      </c>
      <c r="B6236" t="str">
        <f>"DS01_BU_Pneumatics_es"</f>
        <v>DS01_BU_Pneumatics_es</v>
      </c>
      <c r="C6236" t="str">
        <f>"New"</f>
        <v>New</v>
      </c>
    </row>
    <row r="6237" spans="1:3" ht="18" customHeight="1">
      <c r="A6237" t="str">
        <f>"35-1007-3500"</f>
        <v>35-1007-3500</v>
      </c>
      <c r="B6237" t="str">
        <f>"DS01_HW_MOTOMAN_MH5F_Industrial_Robot"</f>
        <v>DS01_HW_MOTOMAN_MH5F_Industrial_Robot</v>
      </c>
      <c r="C6237" t="str">
        <f>"Active"</f>
        <v>Active</v>
      </c>
    </row>
    <row r="6238" spans="1:3" ht="18" customHeight="1">
      <c r="A6238" t="str">
        <f>"35-1007-3500ES"</f>
        <v>35-1007-3500ES</v>
      </c>
      <c r="B6238" t="str">
        <f>"DS01_HW_MOTOMAN_MH5F_Industrial_Robot_es"</f>
        <v>DS01_HW_MOTOMAN_MH5F_Industrial_Robot_es</v>
      </c>
      <c r="C6238" t="str">
        <f>"New"</f>
        <v>New</v>
      </c>
    </row>
    <row r="6239" spans="1:3" ht="18" customHeight="1">
      <c r="A6239" t="str">
        <f>"35-1007-3600"</f>
        <v>35-1007-3600</v>
      </c>
      <c r="B6239" t="str">
        <f>"DS01_BU_PLC"</f>
        <v>DS01_BU_PLC</v>
      </c>
      <c r="C6239" t="str">
        <f>"Active"</f>
        <v>Active</v>
      </c>
    </row>
    <row r="6240" spans="1:3" ht="18" customHeight="1">
      <c r="A6240" t="str">
        <f>"35-1007-3600ES"</f>
        <v>35-1007-3600ES</v>
      </c>
      <c r="B6240" t="str">
        <f>"DS01_BU_PLC_es"</f>
        <v>DS01_BU_PLC_es</v>
      </c>
      <c r="C6240" t="str">
        <f>"New"</f>
        <v>New</v>
      </c>
    </row>
    <row r="6241" spans="1:3" ht="18" customHeight="1">
      <c r="A6241" t="str">
        <f>"35-1007-3800"</f>
        <v>35-1007-3800</v>
      </c>
      <c r="B6241" t="str">
        <f>"DS01_BU_ProcessControl"</f>
        <v>DS01_BU_ProcessControl</v>
      </c>
      <c r="C6241" t="str">
        <f>"Active"</f>
        <v>Active</v>
      </c>
    </row>
    <row r="6242" spans="1:3" ht="18" customHeight="1">
      <c r="A6242" t="str">
        <f>"35-1007-3800ES"</f>
        <v>35-1007-3800ES</v>
      </c>
      <c r="B6242" t="str">
        <f>"DS01_BU_ProcessControl_es"</f>
        <v>DS01_BU_ProcessControl_es</v>
      </c>
      <c r="C6242" t="str">
        <f>"New"</f>
        <v>New</v>
      </c>
    </row>
    <row r="6243" spans="1:3" ht="18" customHeight="1">
      <c r="A6243" t="str">
        <f>"35-1007-4400"</f>
        <v>35-1007-4400</v>
      </c>
      <c r="B6243" t="str">
        <f>"DS01_SW_Robot_Scorbase_Robocell"</f>
        <v>DS01_SW_Robot_Scorbase_Robocell</v>
      </c>
      <c r="C6243" t="str">
        <f>"Active"</f>
        <v>Active</v>
      </c>
    </row>
    <row r="6244" spans="1:3" ht="18" customHeight="1">
      <c r="A6244" t="str">
        <f>"35-1007-4400ES"</f>
        <v>35-1007-4400ES</v>
      </c>
      <c r="B6244" t="str">
        <f>"DS01_SW_Robot_Scorbase_Robocell_es"</f>
        <v>DS01_SW_Robot_Scorbase_Robocell_es</v>
      </c>
      <c r="C6244" t="str">
        <f>"New"</f>
        <v>New</v>
      </c>
    </row>
    <row r="6245" spans="1:3" ht="18" customHeight="1">
      <c r="A6245" t="str">
        <f>"35-1007-5300"</f>
        <v>35-1007-5300</v>
      </c>
      <c r="B6245" t="str">
        <f>"BR01_Elearning"</f>
        <v>BR01_Elearning</v>
      </c>
      <c r="C6245" t="str">
        <f>"Active"</f>
        <v>Active</v>
      </c>
    </row>
    <row r="6246" spans="1:3" ht="18" customHeight="1">
      <c r="A6246" t="str">
        <f>"35-1007-5300ES"</f>
        <v>35-1007-5300ES</v>
      </c>
      <c r="B6246" t="str">
        <f>"BR01_Elearn_es"</f>
        <v>BR01_Elearn_es</v>
      </c>
      <c r="C6246" t="str">
        <f>"New"</f>
        <v>New</v>
      </c>
    </row>
    <row r="6247" spans="1:3" ht="18" customHeight="1">
      <c r="A6247" t="str">
        <f>"35-1007-5400"</f>
        <v>35-1007-5400</v>
      </c>
      <c r="B6247" t="str">
        <f>"BR01_AdvancedManufacturing"</f>
        <v>BR01_AdvancedManufacturing</v>
      </c>
      <c r="C6247" t="str">
        <f>"Active"</f>
        <v>Active</v>
      </c>
    </row>
    <row r="6248" spans="1:3" ht="18" customHeight="1">
      <c r="A6248" t="str">
        <f>"35-1007-5400ES"</f>
        <v>35-1007-5400ES</v>
      </c>
      <c r="B6248" t="str">
        <f>"BR01_AdvMnfctr_es"</f>
        <v>BR01_AdvMnfctr_es</v>
      </c>
      <c r="C6248" t="str">
        <f>"New"</f>
        <v>New</v>
      </c>
    </row>
    <row r="6249" spans="1:3" ht="18" customHeight="1">
      <c r="A6249" t="str">
        <f>"35-1007-5500"</f>
        <v>35-1007-5500</v>
      </c>
      <c r="B6249" t="str">
        <f>"BR01_Automation"</f>
        <v>BR01_Automation</v>
      </c>
      <c r="C6249" t="str">
        <f>"Active"</f>
        <v>Active</v>
      </c>
    </row>
    <row r="6250" spans="1:3" ht="18" customHeight="1">
      <c r="A6250" t="str">
        <f>"35-1007-5500ES"</f>
        <v>35-1007-5500ES</v>
      </c>
      <c r="B6250" t="str">
        <f>"BR01_Atmt_es"</f>
        <v>BR01_Atmt_es</v>
      </c>
      <c r="C6250" t="str">
        <f>"New"</f>
        <v>New</v>
      </c>
    </row>
    <row r="6251" spans="1:3" ht="18" customHeight="1">
      <c r="A6251" t="str">
        <f>"35-1007-5600"</f>
        <v>35-1007-5600</v>
      </c>
      <c r="B6251" t="str">
        <f>"BR01_Engineering"</f>
        <v>BR01_Engineering</v>
      </c>
      <c r="C6251" t="str">
        <f>"Active"</f>
        <v>Active</v>
      </c>
    </row>
    <row r="6252" spans="1:3" ht="18" customHeight="1">
      <c r="A6252" t="str">
        <f>"35-1007-5600ES"</f>
        <v>35-1007-5600ES</v>
      </c>
      <c r="B6252" t="str">
        <f>"BR01_Eng_es"</f>
        <v>BR01_Eng_es</v>
      </c>
      <c r="C6252" t="str">
        <f>"New"</f>
        <v>New</v>
      </c>
    </row>
    <row r="6253" spans="1:3" ht="18" customHeight="1">
      <c r="A6253" t="str">
        <f>"35-1007-5700"</f>
        <v>35-1007-5700</v>
      </c>
      <c r="B6253" t="str">
        <f>"DS01_BU_Foundations"</f>
        <v>DS01_BU_Foundations</v>
      </c>
      <c r="C6253" t="str">
        <f>"Active"</f>
        <v>Active</v>
      </c>
    </row>
    <row r="6254" spans="1:3" ht="18" customHeight="1">
      <c r="A6254" t="str">
        <f>"35-1007-5800"</f>
        <v>35-1007-5800</v>
      </c>
      <c r="B6254" t="str">
        <f>"DS01_BU_REC"</f>
        <v>DS01_BU_REC</v>
      </c>
      <c r="C6254" t="str">
        <f>"Active"</f>
        <v>Active</v>
      </c>
    </row>
    <row r="6255" spans="1:3" ht="18" customHeight="1">
      <c r="A6255" t="str">
        <f>"35-1007-5900"</f>
        <v>35-1007-5900</v>
      </c>
      <c r="B6255" t="str">
        <f>"DS01_BU_STEM"</f>
        <v>DS01_BU_STEM</v>
      </c>
      <c r="C6255" t="str">
        <f>"Active"</f>
        <v>Active</v>
      </c>
    </row>
    <row r="6256" spans="1:3" ht="18" customHeight="1">
      <c r="A6256" t="str">
        <f>"35-1007-5900ES"</f>
        <v>35-1007-5900ES</v>
      </c>
      <c r="B6256" t="str">
        <f>"DS01_BU_STEM_es"</f>
        <v>DS01_BU_STEM_es</v>
      </c>
      <c r="C6256" t="str">
        <f>"New"</f>
        <v>New</v>
      </c>
    </row>
    <row r="6257" spans="1:3" ht="18" customHeight="1">
      <c r="A6257" t="str">
        <f>"35-1007-6000"</f>
        <v>35-1007-6000</v>
      </c>
      <c r="B6257" t="str">
        <f>"DS01_BU_GreenTech"</f>
        <v>DS01_BU_GreenTech</v>
      </c>
      <c r="C6257" t="str">
        <f>"Active"</f>
        <v>Active</v>
      </c>
    </row>
    <row r="6258" spans="1:3" ht="18" customHeight="1">
      <c r="A6258" t="str">
        <f>"35-1007-6000ES"</f>
        <v>35-1007-6000ES</v>
      </c>
      <c r="B6258" t="str">
        <f>"DS01_BU_GreenTech_es"</f>
        <v>DS01_BU_GreenTech_es</v>
      </c>
      <c r="C6258" t="str">
        <f>"New"</f>
        <v>New</v>
      </c>
    </row>
    <row r="6259" spans="1:3" ht="18" customHeight="1">
      <c r="A6259" t="str">
        <f>"35-1007-6100"</f>
        <v>35-1007-6100</v>
      </c>
      <c r="B6259" t="str">
        <f>"DS01_BU_CIM"</f>
        <v>DS01_BU_CIM</v>
      </c>
      <c r="C6259" t="str">
        <f>"Active"</f>
        <v>Active</v>
      </c>
    </row>
    <row r="6260" spans="1:3" ht="18" customHeight="1">
      <c r="A6260" t="str">
        <f>"35-1007-6100ES"</f>
        <v>35-1007-6100ES</v>
      </c>
      <c r="B6260" t="str">
        <f>"DS01_BU_CIM_es"</f>
        <v>DS01_BU_CIM_es</v>
      </c>
      <c r="C6260" t="str">
        <f>"New"</f>
        <v>New</v>
      </c>
    </row>
    <row r="6261" spans="1:3" ht="18" customHeight="1">
      <c r="A6261" t="str">
        <f>"35-1007-6200"</f>
        <v>35-1007-6200</v>
      </c>
      <c r="B6261" t="str">
        <f>"BR01_IndustrialMaintenance"</f>
        <v>BR01_IndustrialMaintenance</v>
      </c>
      <c r="C6261" t="str">
        <f>"Active"</f>
        <v>Active</v>
      </c>
    </row>
    <row r="6262" spans="1:3" ht="18" customHeight="1">
      <c r="A6262" t="str">
        <f>"35-1007-6200ES"</f>
        <v>35-1007-6200ES</v>
      </c>
      <c r="B6262" t="str">
        <f>"BR01_IndMaint_es"</f>
        <v>BR01_IndMaint_es</v>
      </c>
      <c r="C6262" t="str">
        <f>"New"</f>
        <v>New</v>
      </c>
    </row>
    <row r="6263" spans="1:3" ht="18" customHeight="1">
      <c r="A6263" t="str">
        <f>"35-1007-6300"</f>
        <v>35-1007-6300</v>
      </c>
      <c r="B6263" t="str">
        <f>"DS01_BU_JM_Basic_electricity"</f>
        <v>DS01_BU_JM_Basic_electricity</v>
      </c>
      <c r="C6263" t="str">
        <f>"Active"</f>
        <v>Active</v>
      </c>
    </row>
    <row r="6264" spans="1:3" ht="18" customHeight="1">
      <c r="A6264" t="str">
        <f>"35-1007-6400"</f>
        <v>35-1007-6400</v>
      </c>
      <c r="B6264" t="str">
        <f>"DS01_BU_JM_MotorControl"</f>
        <v>DS01_BU_JM_MotorControl</v>
      </c>
      <c r="C6264" t="str">
        <f>"Active"</f>
        <v>Active</v>
      </c>
    </row>
    <row r="6265" spans="1:3" ht="18" customHeight="1">
      <c r="A6265" t="str">
        <f>"35-1007-6500"</f>
        <v>35-1007-6500</v>
      </c>
      <c r="B6265" t="str">
        <f>"DS01_BU_JM_IndustrialPower"</f>
        <v>DS01_BU_JM_IndustrialPower</v>
      </c>
      <c r="C6265" t="str">
        <f>"Active"</f>
        <v>Active</v>
      </c>
    </row>
    <row r="6266" spans="1:3" ht="18" customHeight="1">
      <c r="A6266" t="str">
        <f>"35-1007-6600"</f>
        <v>35-1007-6600</v>
      </c>
      <c r="B6266" t="str">
        <f>"DS01_BU_JMMechSeries"</f>
        <v>DS01_BU_JMMechSeries</v>
      </c>
      <c r="C6266" t="str">
        <f>"ECO-N2Mnf"</f>
        <v>ECO-N2Mnf</v>
      </c>
    </row>
    <row r="6267" spans="1:3" ht="18" customHeight="1">
      <c r="A6267" t="str">
        <f>"35-1007-6700"</f>
        <v>35-1007-6700</v>
      </c>
      <c r="B6267" t="str">
        <f>"DS01_BU_JM1600"</f>
        <v>DS01_BU_JM1600</v>
      </c>
      <c r="C6267" t="str">
        <f>"Active"</f>
        <v>Active</v>
      </c>
    </row>
    <row r="6268" spans="1:3" ht="18" customHeight="1">
      <c r="A6268" t="str">
        <f>"35-1007-6800"</f>
        <v>35-1007-6800</v>
      </c>
      <c r="B6268" t="str">
        <f>"DS01_BU_Agriculture"</f>
        <v>DS01_BU_Agriculture</v>
      </c>
      <c r="C6268" t="str">
        <f>"Active"</f>
        <v>Active</v>
      </c>
    </row>
    <row r="6269" spans="1:3" ht="18" customHeight="1">
      <c r="A6269" t="str">
        <f>"35-1007-6800ES"</f>
        <v>35-1007-6800ES</v>
      </c>
      <c r="B6269" t="str">
        <f>"DS01_BU_Agriculture_es"</f>
        <v>DS01_BU_Agriculture_es</v>
      </c>
      <c r="C6269" t="str">
        <f>"New"</f>
        <v>New</v>
      </c>
    </row>
    <row r="6270" spans="1:3" ht="18" customHeight="1">
      <c r="A6270" t="str">
        <f>"35-1007-6900"</f>
        <v>35-1007-6900</v>
      </c>
      <c r="B6270" t="str">
        <f>"DS01_SW_ProLandscape"</f>
        <v>DS01_SW_ProLandscape</v>
      </c>
      <c r="C6270" t="str">
        <f>"Active"</f>
        <v>Active</v>
      </c>
    </row>
    <row r="6271" spans="1:3" ht="18" customHeight="1">
      <c r="A6271" t="str">
        <f>"35-1007-6900ES"</f>
        <v>35-1007-6900ES</v>
      </c>
      <c r="B6271" t="str">
        <f>"DS01_SW_ProLandscape_es"</f>
        <v>DS01_SW_ProLandscape_es</v>
      </c>
      <c r="C6271" t="str">
        <f>"New"</f>
        <v>New</v>
      </c>
    </row>
    <row r="6272" spans="1:3" ht="18" customHeight="1">
      <c r="A6272" t="str">
        <f>"35-1007-7000"</f>
        <v>35-1007-7000</v>
      </c>
      <c r="B6272" t="str">
        <f>"DS01_SW_EasyC"</f>
        <v>DS01_SW_EasyC</v>
      </c>
      <c r="C6272" t="str">
        <f>"Active"</f>
        <v>Active</v>
      </c>
    </row>
    <row r="6273" spans="1:3" ht="18" customHeight="1">
      <c r="A6273" t="str">
        <f>"35-1007-7000ES"</f>
        <v>35-1007-7000ES</v>
      </c>
      <c r="B6273" t="str">
        <f>"DS01_SW_EasyC_es"</f>
        <v>DS01_SW_EasyC_es</v>
      </c>
      <c r="C6273" t="str">
        <f>"New"</f>
        <v>New</v>
      </c>
    </row>
    <row r="6274" spans="1:3" ht="18" customHeight="1">
      <c r="A6274" t="str">
        <f>"35-1007-7100"</f>
        <v>35-1007-7100</v>
      </c>
      <c r="B6274" t="str">
        <f>"DS01_EL_LearnMate"</f>
        <v>DS01_EL_LearnMate</v>
      </c>
      <c r="C6274" t="str">
        <f>"Active"</f>
        <v>Active</v>
      </c>
    </row>
    <row r="6275" spans="1:3" ht="18" customHeight="1">
      <c r="A6275" t="str">
        <f>"35-1007-7200"</f>
        <v>35-1007-7200</v>
      </c>
      <c r="B6275" t="str">
        <f>"DS01_EL_Intro_Engineering"</f>
        <v>DS01_EL_Intro_Engineering</v>
      </c>
      <c r="C6275" t="str">
        <f>"Active"</f>
        <v>Active</v>
      </c>
    </row>
    <row r="6276" spans="1:3" ht="18" customHeight="1">
      <c r="A6276" t="str">
        <f>"35-1007-7200ES"</f>
        <v>35-1007-7200ES</v>
      </c>
      <c r="B6276" t="str">
        <f>"DS01_EL_Intro_Engineering_es"</f>
        <v>DS01_EL_Intro_Engineering_es</v>
      </c>
      <c r="C6276" t="str">
        <f>"New"</f>
        <v>New</v>
      </c>
    </row>
    <row r="6277" spans="1:3" ht="18" customHeight="1">
      <c r="A6277" t="str">
        <f>"35-1007-7300"</f>
        <v>35-1007-7300</v>
      </c>
      <c r="B6277" t="str">
        <f>"DS01_EL_Intro_AdvancedManufacturing"</f>
        <v>DS01_EL_Intro_AdvancedManufacturing</v>
      </c>
      <c r="C6277" t="str">
        <f>"Active"</f>
        <v>Active</v>
      </c>
    </row>
    <row r="6278" spans="1:3" ht="18" customHeight="1">
      <c r="A6278" t="str">
        <f>"35-1007-7300ES"</f>
        <v>35-1007-7300ES</v>
      </c>
      <c r="B6278" t="str">
        <f>"DS01_EL_Intro_AdvancedManufacturing_es"</f>
        <v>DS01_EL_Intro_AdvancedManufacturing_es</v>
      </c>
      <c r="C6278" t="str">
        <f>"New"</f>
        <v>New</v>
      </c>
    </row>
    <row r="6279" spans="1:3" ht="18" customHeight="1">
      <c r="A6279" t="str">
        <f>"35-1007-7400"</f>
        <v>35-1007-7400</v>
      </c>
      <c r="B6279" t="str">
        <f>"DS01_EL_MechanicalMeasurement_QC"</f>
        <v>DS01_EL_MechanicalMeasurement_QC</v>
      </c>
      <c r="C6279" t="str">
        <f>"Active"</f>
        <v>Active</v>
      </c>
    </row>
    <row r="6280" spans="1:3" ht="18" customHeight="1">
      <c r="A6280" t="str">
        <f>"35-1007-7400ES"</f>
        <v>35-1007-7400ES</v>
      </c>
      <c r="B6280" t="str">
        <f>"DS01_EL_MechanicalMeasurement_QC_es"</f>
        <v>DS01_EL_MechanicalMeasurement_QC_es</v>
      </c>
      <c r="C6280" t="str">
        <f>"New"</f>
        <v>New</v>
      </c>
    </row>
    <row r="6281" spans="1:3" ht="18" customHeight="1">
      <c r="A6281" t="str">
        <f>"35-1007-7500"</f>
        <v>35-1007-7500</v>
      </c>
      <c r="B6281" t="str">
        <f>"DS01_EL_Employability"</f>
        <v>DS01_EL_Employability</v>
      </c>
      <c r="C6281" t="str">
        <f>"Active"</f>
        <v>Active</v>
      </c>
    </row>
    <row r="6282" spans="1:3" ht="18" customHeight="1">
      <c r="A6282" t="str">
        <f>"35-1007-7500ES"</f>
        <v>35-1007-7500ES</v>
      </c>
      <c r="B6282" t="str">
        <f>"DS01_EL_Employability_es"</f>
        <v>DS01_EL_Employability_es</v>
      </c>
      <c r="C6282" t="str">
        <f>"New"</f>
        <v>New</v>
      </c>
    </row>
    <row r="6283" spans="1:3" ht="18" customHeight="1">
      <c r="A6283" t="str">
        <f>"35-1007-7600"</f>
        <v>35-1007-7600</v>
      </c>
      <c r="B6283" t="str">
        <f>"DS01_EL_CNC_Milling6000_virtual_lab"</f>
        <v>DS01_EL_CNC_Milling6000_virtual_lab</v>
      </c>
      <c r="C6283" t="str">
        <f>"Active"</f>
        <v>Active</v>
      </c>
    </row>
    <row r="6284" spans="1:3" ht="18" customHeight="1">
      <c r="A6284" t="str">
        <f>"35-1007-7600ES"</f>
        <v>35-1007-7600ES</v>
      </c>
      <c r="B6284" t="str">
        <f>"DS01_EL_CNC_Milling6000_virtual_lab_es"</f>
        <v>DS01_EL_CNC_Milling6000_virtual_lab_es</v>
      </c>
      <c r="C6284" t="str">
        <f>"New"</f>
        <v>New</v>
      </c>
    </row>
    <row r="6285" spans="1:3" ht="18" customHeight="1">
      <c r="A6285" t="str">
        <f>"35-1007-7700"</f>
        <v>35-1007-7700</v>
      </c>
      <c r="B6285" t="str">
        <f>"DS01_EL_CNC_Milling8000_virtual_lab"</f>
        <v>DS01_EL_CNC_Milling8000_virtual_lab</v>
      </c>
      <c r="C6285" t="str">
        <f>"Active"</f>
        <v>Active</v>
      </c>
    </row>
    <row r="6286" spans="1:3" ht="18" customHeight="1">
      <c r="A6286" t="str">
        <f>"35-1007-7700ES"</f>
        <v>35-1007-7700ES</v>
      </c>
      <c r="B6286" t="str">
        <f>"DS01_EL_CNC_Milling8000_virtual_lab_es"</f>
        <v>DS01_EL_CNC_Milling8000_virtual_lab_es</v>
      </c>
      <c r="C6286" t="str">
        <f>"New"</f>
        <v>New</v>
      </c>
    </row>
    <row r="6287" spans="1:3" ht="18" customHeight="1">
      <c r="A6287" t="str">
        <f>"35-1007-7800"</f>
        <v>35-1007-7800</v>
      </c>
      <c r="B6287" t="str">
        <f>"DS01_EL_CNC_Turning7000_virtual_lab"</f>
        <v>DS01_EL_CNC_Turning7000_virtual_lab</v>
      </c>
      <c r="C6287" t="str">
        <f>"Active"</f>
        <v>Active</v>
      </c>
    </row>
    <row r="6288" spans="1:3" ht="18" customHeight="1">
      <c r="A6288" t="str">
        <f>"35-1007-7800ES"</f>
        <v>35-1007-7800ES</v>
      </c>
      <c r="B6288" t="str">
        <f>"DS01_EL_CNC_Turning7000_virtual_lab_es"</f>
        <v>DS01_EL_CNC_Turning7000_virtual_lab_es</v>
      </c>
      <c r="C6288" t="str">
        <f>"New"</f>
        <v>New</v>
      </c>
    </row>
    <row r="6289" spans="1:3" ht="18" customHeight="1">
      <c r="A6289" t="str">
        <f>"35-1007-7900"</f>
        <v>35-1007-7900</v>
      </c>
      <c r="B6289" t="str">
        <f>"DS01_EL_CNC_Turning9000_virtual_lab"</f>
        <v>DS01_EL_CNC_Turning9000_virtual_lab</v>
      </c>
      <c r="C6289" t="str">
        <f>"Active"</f>
        <v>Active</v>
      </c>
    </row>
    <row r="6290" spans="1:3" ht="18" customHeight="1">
      <c r="A6290" t="str">
        <f>"35-1007-7900ES"</f>
        <v>35-1007-7900ES</v>
      </c>
      <c r="B6290" t="str">
        <f>"DS01_EL_CNC_Turning9000_virtual_lab_es"</f>
        <v>DS01_EL_CNC_Turning9000_virtual_lab_es</v>
      </c>
      <c r="C6290" t="str">
        <f>"New"</f>
        <v>New</v>
      </c>
    </row>
    <row r="6291" spans="1:3" ht="18" customHeight="1">
      <c r="A6291" t="str">
        <f>"35-1007-8000"</f>
        <v>35-1007-8000</v>
      </c>
      <c r="B6291" t="str">
        <f>"DS01_EL_RMH1_2_er4u_virtual_lab"</f>
        <v>DS01_EL_RMH1_2_er4u_virtual_lab</v>
      </c>
      <c r="C6291" t="str">
        <f>"Active"</f>
        <v>Active</v>
      </c>
    </row>
    <row r="6292" spans="1:3" ht="18" customHeight="1">
      <c r="A6292" t="str">
        <f>"35-1007-8000ES"</f>
        <v>35-1007-8000ES</v>
      </c>
      <c r="B6292" t="str">
        <f>"DS01_EL_RMH1_2_er4u_virtual_lab_es"</f>
        <v>DS01_EL_RMH1_2_er4u_virtual_lab_es</v>
      </c>
      <c r="C6292" t="str">
        <f>"New"</f>
        <v>New</v>
      </c>
    </row>
    <row r="6293" spans="1:3" ht="18" customHeight="1">
      <c r="A6293" t="str">
        <f>"35-1007-8100"</f>
        <v>35-1007-8100</v>
      </c>
      <c r="B6293" t="str">
        <f>"DS01_EL_RMH1_2_er9_virtual_lab"</f>
        <v>DS01_EL_RMH1_2_er9_virtual_lab</v>
      </c>
      <c r="C6293" t="str">
        <f>"Active"</f>
        <v>Active</v>
      </c>
    </row>
    <row r="6294" spans="1:3" ht="18" customHeight="1">
      <c r="A6294" t="str">
        <f>"35-1007-8100ES"</f>
        <v>35-1007-8100ES</v>
      </c>
      <c r="B6294" t="str">
        <f>"DS01_EL_RMH1_2_er9_virtual_lab_es"</f>
        <v>DS01_EL_RMH1_2_er9_virtual_lab_es</v>
      </c>
      <c r="C6294" t="str">
        <f>"New"</f>
        <v>New</v>
      </c>
    </row>
    <row r="6295" spans="1:3" ht="18" customHeight="1">
      <c r="A6295" t="str">
        <f>"35-1007-8200"</f>
        <v>35-1007-8200</v>
      </c>
      <c r="B6295" t="str">
        <f>"DS01_EL_CAD_ProEngineer_Solidworks"</f>
        <v>DS01_EL_CAD_ProEngineer_Solidworks</v>
      </c>
      <c r="C6295" t="str">
        <f>"Active"</f>
        <v>Active</v>
      </c>
    </row>
    <row r="6296" spans="1:3" ht="18" customHeight="1">
      <c r="A6296" t="str">
        <f>"35-1007-8200ES"</f>
        <v>35-1007-8200ES</v>
      </c>
      <c r="B6296" t="str">
        <f>"DS01_EL_CAD_ProEngineer_Solidworks_es"</f>
        <v>DS01_EL_CAD_ProEngineer_Solidworks_es</v>
      </c>
      <c r="C6296" t="str">
        <f>"New"</f>
        <v>New</v>
      </c>
    </row>
    <row r="6297" spans="1:3" ht="18" customHeight="1">
      <c r="A6297" t="str">
        <f>"35-1007-8300"</f>
        <v>35-1007-8300</v>
      </c>
      <c r="B6297" t="str">
        <f>"DS01_EL_Rapid Prototyping"</f>
        <v>DS01_EL_Rapid Prototyping</v>
      </c>
      <c r="C6297" t="str">
        <f>"Active"</f>
        <v>Active</v>
      </c>
    </row>
    <row r="6298" spans="1:3" ht="18" customHeight="1">
      <c r="A6298" t="str">
        <f>"35-1007-8300ES"</f>
        <v>35-1007-8300ES</v>
      </c>
      <c r="B6298" t="str">
        <f>"DS01_EL_Rapid Prototyping_es"</f>
        <v>DS01_EL_Rapid Prototyping_es</v>
      </c>
      <c r="C6298" t="str">
        <f>"New"</f>
        <v>New</v>
      </c>
    </row>
    <row r="6299" spans="1:3" ht="18" customHeight="1">
      <c r="A6299" t="str">
        <f>"35-1007-8400"</f>
        <v>35-1007-8400</v>
      </c>
      <c r="B6299" t="str">
        <f>"DS01_EL_Materials_testing"</f>
        <v>DS01_EL_Materials_testing</v>
      </c>
      <c r="C6299" t="str">
        <f>"Active"</f>
        <v>Active</v>
      </c>
    </row>
    <row r="6300" spans="1:3" ht="18" customHeight="1">
      <c r="A6300" t="str">
        <f>"35-1007-8400ES"</f>
        <v>35-1007-8400ES</v>
      </c>
      <c r="B6300" t="str">
        <f>"DS01_EL_Materials_testing_es"</f>
        <v>DS01_EL_Materials_testing_es</v>
      </c>
      <c r="C6300" t="str">
        <f>"New"</f>
        <v>New</v>
      </c>
    </row>
    <row r="6301" spans="1:3" ht="18" customHeight="1">
      <c r="A6301" t="str">
        <f>"35-1007-8500"</f>
        <v>35-1007-8500</v>
      </c>
      <c r="B6301" t="str">
        <f>"DS01_EL_FundamentalSciences_Biology"</f>
        <v>DS01_EL_FundamentalSciences_Biology</v>
      </c>
      <c r="C6301" t="str">
        <f>"Active"</f>
        <v>Active</v>
      </c>
    </row>
    <row r="6302" spans="1:3" ht="18" customHeight="1">
      <c r="A6302" t="str">
        <f>"35-1007-8500ES"</f>
        <v>35-1007-8500ES</v>
      </c>
      <c r="B6302" t="str">
        <f>"DS01_EL_FundamentalSciences_Biology_es"</f>
        <v>DS01_EL_FundamentalSciences_Biology_es</v>
      </c>
      <c r="C6302" t="str">
        <f>"New"</f>
        <v>New</v>
      </c>
    </row>
    <row r="6303" spans="1:3" ht="18" customHeight="1">
      <c r="A6303" t="str">
        <f>"35-1007-8600"</f>
        <v>35-1007-8600</v>
      </c>
      <c r="B6303" t="str">
        <f>"DS01_EL_FundamentalSciences_Chemistry"</f>
        <v>DS01_EL_FundamentalSciences_Chemistry</v>
      </c>
      <c r="C6303" t="str">
        <f>"Active"</f>
        <v>Active</v>
      </c>
    </row>
    <row r="6304" spans="1:3" ht="18" customHeight="1">
      <c r="A6304" t="str">
        <f>"35-1007-8600ES"</f>
        <v>35-1007-8600ES</v>
      </c>
      <c r="B6304" t="str">
        <f>"DS01_EL_FundamentalSciences_Chemistry_es"</f>
        <v>DS01_EL_FundamentalSciences_Chemistry_es</v>
      </c>
      <c r="C6304" t="str">
        <f>"New"</f>
        <v>New</v>
      </c>
    </row>
    <row r="6305" spans="1:3" ht="18" customHeight="1">
      <c r="A6305" t="str">
        <f>"35-1007-8700"</f>
        <v>35-1007-8700</v>
      </c>
      <c r="B6305" t="str">
        <f>"DS01_EL_FundamentalSciences_Physics"</f>
        <v>DS01_EL_FundamentalSciences_Physics</v>
      </c>
      <c r="C6305" t="str">
        <f>"Active"</f>
        <v>Active</v>
      </c>
    </row>
    <row r="6306" spans="1:3" ht="18" customHeight="1">
      <c r="A6306" t="str">
        <f>"35-1007-8700ES"</f>
        <v>35-1007-8700ES</v>
      </c>
      <c r="B6306" t="str">
        <f>"DS01_EL_FundamentalSciences_Physics_es"</f>
        <v>DS01_EL_FundamentalSciences_Physics_es</v>
      </c>
      <c r="C6306" t="str">
        <f>"New"</f>
        <v>New</v>
      </c>
    </row>
    <row r="6307" spans="1:3" ht="18" customHeight="1">
      <c r="A6307" t="str">
        <f>"35-1007-8800"</f>
        <v>35-1007-8800</v>
      </c>
      <c r="B6307" t="str">
        <f>"DS01_EL_FundamentalSciences_Technology"</f>
        <v>DS01_EL_FundamentalSciences_Technology</v>
      </c>
      <c r="C6307" t="str">
        <f>"Active"</f>
        <v>Active</v>
      </c>
    </row>
    <row r="6308" spans="1:3" ht="18" customHeight="1">
      <c r="A6308" t="str">
        <f>"35-1007-8800ES"</f>
        <v>35-1007-8800ES</v>
      </c>
      <c r="B6308" t="str">
        <f>"DS01_EL_FundamentalSciences_Technology_es"</f>
        <v>DS01_EL_FundamentalSciences_Technology_es</v>
      </c>
      <c r="C6308" t="str">
        <f>"New"</f>
        <v>New</v>
      </c>
    </row>
    <row r="6309" spans="1:3" ht="18" customHeight="1">
      <c r="A6309" t="str">
        <f>"35-1007-8900"</f>
        <v>35-1007-8900</v>
      </c>
      <c r="B6309" t="str">
        <f>"DS01_EL_FundamentalSciences_Mathematics"</f>
        <v>DS01_EL_FundamentalSciences_Mathematics</v>
      </c>
      <c r="C6309" t="str">
        <f>"Active"</f>
        <v>Active</v>
      </c>
    </row>
    <row r="6310" spans="1:3" ht="18" customHeight="1">
      <c r="A6310" t="str">
        <f>"35-1007-8900ES"</f>
        <v>35-1007-8900ES</v>
      </c>
      <c r="B6310" t="str">
        <f>"DS01_EL_FundamentalSciences_Mathematics_es"</f>
        <v>DS01_EL_FundamentalSciences_Mathematics_es</v>
      </c>
      <c r="C6310" t="str">
        <f>"New"</f>
        <v>New</v>
      </c>
    </row>
    <row r="6311" spans="1:3" ht="18" customHeight="1">
      <c r="A6311" t="str">
        <f>"35-1007-9000"</f>
        <v>35-1007-9000</v>
      </c>
      <c r="B6311" t="str">
        <f>"BR01-Projects"</f>
        <v>BR01-Projects</v>
      </c>
      <c r="C6311" t="str">
        <f>"Active"</f>
        <v>Active</v>
      </c>
    </row>
    <row r="6312" spans="1:3" ht="18" customHeight="1">
      <c r="A6312" t="str">
        <f>"35-1007-9000ES"</f>
        <v>35-1007-9000ES</v>
      </c>
      <c r="B6312" t="str">
        <f>"BR01_Projects_es"</f>
        <v>BR01_Projects_es</v>
      </c>
      <c r="C6312" t="str">
        <f>"New"</f>
        <v>New</v>
      </c>
    </row>
    <row r="6313" spans="1:3" ht="18" customHeight="1">
      <c r="A6313" t="str">
        <f>"35-1007-9300"</f>
        <v>35-1007-9300</v>
      </c>
      <c r="B6313" t="str">
        <f>"BR01-BU_REC"</f>
        <v>BR01-BU_REC</v>
      </c>
      <c r="C6313" t="str">
        <f>"Active"</f>
        <v>Active</v>
      </c>
    </row>
    <row r="6314" spans="1:3" ht="18" customHeight="1">
      <c r="A6314" t="str">
        <f>"35-1007-9300ES"</f>
        <v>35-1007-9300ES</v>
      </c>
      <c r="B6314" t="str">
        <f>"BR01_BU_REC_es"</f>
        <v>BR01_BU_REC_es</v>
      </c>
      <c r="C6314" t="str">
        <f>"New"</f>
        <v>New</v>
      </c>
    </row>
    <row r="6315" spans="1:3" ht="18" customHeight="1">
      <c r="A6315" t="str">
        <f>"35-1007-9400"</f>
        <v>35-1007-9400</v>
      </c>
      <c r="B6315" t="str">
        <f>"BR01-BU_REC-EBD"</f>
        <v>BR01-BU_REC-EBD</v>
      </c>
      <c r="C6315" t="str">
        <f>"Active"</f>
        <v>Active</v>
      </c>
    </row>
    <row r="6316" spans="1:3" ht="18" customHeight="1">
      <c r="A6316" t="str">
        <f>"35-1007-9500"</f>
        <v>35-1007-9500</v>
      </c>
      <c r="B6316" t="str">
        <f>"DS01-BU_REC-EBD "</f>
        <v>DS01-BU_REC-EBD </v>
      </c>
      <c r="C6316" t="str">
        <f>"Active"</f>
        <v>Active</v>
      </c>
    </row>
    <row r="6317" spans="1:3" ht="18" customHeight="1">
      <c r="A6317" t="str">
        <f>"35-1007-9600"</f>
        <v>35-1007-9600</v>
      </c>
      <c r="B6317" t="str">
        <f>"DS01_EL_CompRobo"</f>
        <v>DS01_EL_CompRobo</v>
      </c>
      <c r="C6317" t="str">
        <f>"Active"</f>
        <v>Active</v>
      </c>
    </row>
    <row r="6318" spans="1:3" ht="18" customHeight="1">
      <c r="A6318" t="str">
        <f>"35-1007-9600ES"</f>
        <v>35-1007-9600ES</v>
      </c>
      <c r="B6318" t="str">
        <f>"DS01_EL_CompRobo_es"</f>
        <v>DS01_EL_CompRobo_es</v>
      </c>
      <c r="C6318" t="str">
        <f>"New"</f>
        <v>New</v>
      </c>
    </row>
    <row r="6319" spans="1:3" ht="18" customHeight="1">
      <c r="A6319" t="str">
        <f>"35-1007-9700"</f>
        <v>35-1007-9700</v>
      </c>
      <c r="B6319" t="str">
        <f>"BR01-BU_JM"</f>
        <v>BR01-BU_JM</v>
      </c>
      <c r="C6319" t="str">
        <f>"Active"</f>
        <v>Active</v>
      </c>
    </row>
    <row r="6320" spans="1:3" ht="18" customHeight="1">
      <c r="A6320" t="str">
        <f>"35-1007-9700ES"</f>
        <v>35-1007-9700ES</v>
      </c>
      <c r="B6320" t="str">
        <f>"BR01_BU_JM_es"</f>
        <v>BR01_BU_JM_es</v>
      </c>
      <c r="C6320" t="str">
        <f>"New"</f>
        <v>New</v>
      </c>
    </row>
    <row r="6321" spans="1:3" ht="18" customHeight="1">
      <c r="A6321" t="str">
        <f>"35-1007-9800"</f>
        <v>35-1007-9800</v>
      </c>
      <c r="B6321" t="str">
        <f>"Brochure Process Control"</f>
        <v>Brochure Process Control</v>
      </c>
      <c r="C6321" t="str">
        <f>"Active"</f>
        <v>Active</v>
      </c>
    </row>
    <row r="6322" spans="1:3" ht="18" customHeight="1">
      <c r="A6322" t="str">
        <f>"35-1008-4100"</f>
        <v>35-1008-4100</v>
      </c>
      <c r="B6322" t="str">
        <f>"Intelitek_folder"</f>
        <v>Intelitek_folder</v>
      </c>
      <c r="C6322" t="str">
        <f>"ECO+NFS"</f>
        <v>ECO+NFS</v>
      </c>
    </row>
    <row r="6323" spans="1:3" ht="18" customHeight="1">
      <c r="A6323" t="str">
        <f>"35-1010-0001"</f>
        <v>35-1010-0001</v>
      </c>
      <c r="B6323" t="str">
        <f>"DS01_SAPP-ProcessControl-Chemical"</f>
        <v>DS01_SAPP-ProcessControl-Chemical</v>
      </c>
      <c r="C6323" t="str">
        <f t="shared" ref="C6323:C6340" si="247">"Active"</f>
        <v>Active</v>
      </c>
    </row>
    <row r="6324" spans="1:3" ht="18" customHeight="1">
      <c r="A6324" t="str">
        <f>"35-1010-0002"</f>
        <v>35-1010-0002</v>
      </c>
      <c r="B6324" t="str">
        <f>"DS01_SAPP-ProcessControl-Flow"</f>
        <v>DS01_SAPP-ProcessControl-Flow</v>
      </c>
      <c r="C6324" t="str">
        <f t="shared" si="247"/>
        <v>Active</v>
      </c>
    </row>
    <row r="6325" spans="1:3" ht="18" customHeight="1">
      <c r="A6325" t="str">
        <f>"35-1010-0003"</f>
        <v>35-1010-0003</v>
      </c>
      <c r="B6325" t="str">
        <f>"DS01_SAPP-ProcessControl-Instrumentation"</f>
        <v>DS01_SAPP-ProcessControl-Instrumentation</v>
      </c>
      <c r="C6325" t="str">
        <f t="shared" si="247"/>
        <v>Active</v>
      </c>
    </row>
    <row r="6326" spans="1:3" ht="18" customHeight="1">
      <c r="A6326" t="str">
        <f>"35-1010-0004"</f>
        <v>35-1010-0004</v>
      </c>
      <c r="B6326" t="str">
        <f>"DS01_SAPP-ProcessControl-Level"</f>
        <v>DS01_SAPP-ProcessControl-Level</v>
      </c>
      <c r="C6326" t="str">
        <f t="shared" si="247"/>
        <v>Active</v>
      </c>
    </row>
    <row r="6327" spans="1:3" ht="18" customHeight="1">
      <c r="A6327" t="str">
        <f>"35-1010-0005"</f>
        <v>35-1010-0005</v>
      </c>
      <c r="B6327" t="str">
        <f>"DS01_SAPP-ProcessControl-Pressure"</f>
        <v>DS01_SAPP-ProcessControl-Pressure</v>
      </c>
      <c r="C6327" t="str">
        <f t="shared" si="247"/>
        <v>Active</v>
      </c>
    </row>
    <row r="6328" spans="1:3" ht="18" customHeight="1">
      <c r="A6328" t="str">
        <f>"35-1010-0006"</f>
        <v>35-1010-0006</v>
      </c>
      <c r="B6328" t="str">
        <f>"DS01_SAPP-ProcessControl-Temperature"</f>
        <v>DS01_SAPP-ProcessControl-Temperature</v>
      </c>
      <c r="C6328" t="str">
        <f t="shared" si="247"/>
        <v>Active</v>
      </c>
    </row>
    <row r="6329" spans="1:3" ht="18" customHeight="1">
      <c r="A6329" t="str">
        <f>"35-1010-0007"</f>
        <v>35-1010-0007</v>
      </c>
      <c r="B6329" t="str">
        <f>"BR_Exploring Robotics"</f>
        <v>BR_Exploring Robotics</v>
      </c>
      <c r="C6329" t="str">
        <f t="shared" si="247"/>
        <v>Active</v>
      </c>
    </row>
    <row r="6330" spans="1:3" ht="18" customHeight="1">
      <c r="A6330" t="str">
        <f>"35-1010-0008"</f>
        <v>35-1010-0008</v>
      </c>
      <c r="B6330" t="str">
        <f>"BR_Advanced Engineering"</f>
        <v>BR_Advanced Engineering</v>
      </c>
      <c r="C6330" t="str">
        <f t="shared" si="247"/>
        <v>Active</v>
      </c>
    </row>
    <row r="6331" spans="1:3" ht="18" customHeight="1">
      <c r="A6331" t="str">
        <f>"35-1010-0009"</f>
        <v>35-1010-0009</v>
      </c>
      <c r="B6331" t="str">
        <f>"BR_Cyton Robotic Arms"</f>
        <v>BR_Cyton Robotic Arms</v>
      </c>
      <c r="C6331" t="str">
        <f t="shared" si="247"/>
        <v>Active</v>
      </c>
    </row>
    <row r="6332" spans="1:3" ht="18" customHeight="1">
      <c r="A6332" t="str">
        <f>"35-1010-0010"</f>
        <v>35-1010-0010</v>
      </c>
      <c r="B6332" t="str">
        <f>"BR_Augmented Training Technology For Welding"</f>
        <v>BR_Augmented Training Technology For Welding</v>
      </c>
      <c r="C6332" t="str">
        <f t="shared" si="247"/>
        <v>Active</v>
      </c>
    </row>
    <row r="6333" spans="1:3" ht="18" customHeight="1">
      <c r="A6333" t="str">
        <f>"35-1010-0010ES"</f>
        <v>35-1010-0010ES</v>
      </c>
      <c r="B6333" t="str">
        <f>"BR_Augmented Training Technology For Welding_es"</f>
        <v>BR_Augmented Training Technology For Welding_es</v>
      </c>
      <c r="C6333" t="str">
        <f t="shared" si="247"/>
        <v>Active</v>
      </c>
    </row>
    <row r="6334" spans="1:3" ht="18" customHeight="1">
      <c r="A6334" t="str">
        <f>"35-1010-0011"</f>
        <v>35-1010-0011</v>
      </c>
      <c r="B6334" t="str">
        <f>"DS_Inspire Creativity ThroughSTEAM &amp; 3D Printing"</f>
        <v>DS_Inspire Creativity ThroughSTEAM &amp; 3D Printing</v>
      </c>
      <c r="C6334" t="str">
        <f t="shared" si="247"/>
        <v>Active</v>
      </c>
    </row>
    <row r="6335" spans="1:3" ht="18" customHeight="1">
      <c r="A6335" t="str">
        <f>"35-1010-0012"</f>
        <v>35-1010-0012</v>
      </c>
      <c r="B6335" t="str">
        <f>"Brochure, 3D Printing"</f>
        <v>Brochure, 3D Printing</v>
      </c>
      <c r="C6335" t="str">
        <f t="shared" si="247"/>
        <v>Active</v>
      </c>
    </row>
    <row r="6336" spans="1:3" ht="18" customHeight="1">
      <c r="A6336" t="str">
        <f>"35-1010-0013"</f>
        <v>35-1010-0013</v>
      </c>
      <c r="B6336" t="str">
        <f>"Brochure, CoderZ"</f>
        <v>Brochure, CoderZ</v>
      </c>
      <c r="C6336" t="str">
        <f t="shared" si="247"/>
        <v>Active</v>
      </c>
    </row>
    <row r="6337" spans="1:3" ht="18" customHeight="1">
      <c r="A6337" t="str">
        <f>"35-1010-0014"</f>
        <v>35-1010-0014</v>
      </c>
      <c r="B6337" t="str">
        <f>"Brochure, InspirED"</f>
        <v>Brochure, InspirED</v>
      </c>
      <c r="C6337" t="str">
        <f t="shared" si="247"/>
        <v>Active</v>
      </c>
    </row>
    <row r="6338" spans="1:3" ht="18" customHeight="1">
      <c r="A6338" t="str">
        <f>"35-1010-0015"</f>
        <v>35-1010-0015</v>
      </c>
      <c r="B6338" t="str">
        <f>"Brochure, CNC machining"</f>
        <v>Brochure, CNC machining</v>
      </c>
      <c r="C6338" t="str">
        <f t="shared" si="247"/>
        <v>Active</v>
      </c>
    </row>
    <row r="6339" spans="1:3" ht="18" customHeight="1">
      <c r="A6339" t="str">
        <f>"35-1010-0016"</f>
        <v>35-1010-0016</v>
      </c>
      <c r="B6339" t="str">
        <f>"Brochure, STEM pathways"</f>
        <v>Brochure, STEM pathways</v>
      </c>
      <c r="C6339" t="str">
        <f t="shared" si="247"/>
        <v>Active</v>
      </c>
    </row>
    <row r="6340" spans="1:3" ht="18" customHeight="1">
      <c r="A6340" t="str">
        <f>"35-1010-0017"</f>
        <v>35-1010-0017</v>
      </c>
      <c r="B6340" t="str">
        <f>"Brochure, CNC Router"</f>
        <v>Brochure, CNC Router</v>
      </c>
      <c r="C6340" t="str">
        <f t="shared" si="247"/>
        <v>Active</v>
      </c>
    </row>
    <row r="6341" spans="1:3" ht="18" customHeight="1">
      <c r="A6341" t="str">
        <f>"35-1010-0017ES"</f>
        <v>35-1010-0017ES</v>
      </c>
      <c r="B6341" t="str">
        <f>"Brochure, CNC Router_es"</f>
        <v>Brochure, CNC Router_es</v>
      </c>
      <c r="C6341" t="str">
        <f>"New"</f>
        <v>New</v>
      </c>
    </row>
    <row r="6342" spans="1:3" ht="18" customHeight="1">
      <c r="A6342" t="str">
        <f>"35-1800-0000"</f>
        <v>35-1800-0000</v>
      </c>
      <c r="B6342" t="str">
        <f>"Catalog – CAT1_Catalog"</f>
        <v>Catalog – CAT1_Catalog</v>
      </c>
      <c r="C6342" t="str">
        <f t="shared" ref="C6342:C6373" si="248">"Active"</f>
        <v>Active</v>
      </c>
    </row>
    <row r="6343" spans="1:3" ht="18" customHeight="1">
      <c r="A6343" t="str">
        <f>"35-2006-1023"</f>
        <v>35-2006-1023</v>
      </c>
      <c r="B6343" t="str">
        <f>"BrouchureEngin.Curriculum RoboticsEngineeringCur"</f>
        <v>BrouchureEngin.Curriculum RoboticsEngineeringCur</v>
      </c>
      <c r="C6343" t="str">
        <f t="shared" si="248"/>
        <v>Active</v>
      </c>
    </row>
    <row r="6344" spans="1:3" ht="18" customHeight="1">
      <c r="A6344" t="str">
        <f>"35-2006-1115"</f>
        <v>35-2006-1115</v>
      </c>
      <c r="B6344" t="str">
        <f>"Brochure for CNCBase &amp; CNCMotion"</f>
        <v>Brochure for CNCBase &amp; CNCMotion</v>
      </c>
      <c r="C6344" t="str">
        <f t="shared" si="248"/>
        <v>Active</v>
      </c>
    </row>
    <row r="6345" spans="1:3" ht="18" customHeight="1">
      <c r="A6345" t="str">
        <f>"35-2007-0115"</f>
        <v>35-2007-0115</v>
      </c>
      <c r="B6345" t="str">
        <f>"Poster-REC"</f>
        <v>Poster-REC</v>
      </c>
      <c r="C6345" t="str">
        <f t="shared" si="248"/>
        <v>Active</v>
      </c>
    </row>
    <row r="6346" spans="1:3" ht="18" customHeight="1">
      <c r="A6346" t="str">
        <f>"35-2007-0301"</f>
        <v>35-2007-0301</v>
      </c>
      <c r="B6346" t="str">
        <f>"Banner-Learnmate Programs Postup - US"</f>
        <v>Banner-Learnmate Programs Postup - US</v>
      </c>
      <c r="C6346" t="str">
        <f t="shared" si="248"/>
        <v>Active</v>
      </c>
    </row>
    <row r="6347" spans="1:3" ht="18" customHeight="1">
      <c r="A6347" t="str">
        <f>"35-2007-0302"</f>
        <v>35-2007-0302</v>
      </c>
      <c r="B6347" t="str">
        <f>"Banner-Learnmate Programs Postup - International"</f>
        <v>Banner-Learnmate Programs Postup - International</v>
      </c>
      <c r="C6347" t="str">
        <f t="shared" si="248"/>
        <v>Active</v>
      </c>
    </row>
    <row r="6348" spans="1:3" ht="18" customHeight="1">
      <c r="A6348" t="str">
        <f>"35-2007-0319"</f>
        <v>35-2007-0319</v>
      </c>
      <c r="B6348" t="str">
        <f>"Data Sheet-REC Semester 1 Pkg"</f>
        <v>Data Sheet-REC Semester 1 Pkg</v>
      </c>
      <c r="C6348" t="str">
        <f t="shared" si="248"/>
        <v>Active</v>
      </c>
    </row>
    <row r="6349" spans="1:3" ht="18" customHeight="1">
      <c r="A6349" t="str">
        <f>"35-2007-0322"</f>
        <v>35-2007-0322</v>
      </c>
      <c r="B6349" t="str">
        <f>"Banner-Postup: CNC Machines - International"</f>
        <v>Banner-Postup: CNC Machines - International</v>
      </c>
      <c r="C6349" t="str">
        <f t="shared" si="248"/>
        <v>Active</v>
      </c>
    </row>
    <row r="6350" spans="1:3" ht="18" customHeight="1">
      <c r="A6350" t="str">
        <f>"35-2007-0330"</f>
        <v>35-2007-0330</v>
      </c>
      <c r="B6350" t="str">
        <f>"Brochure-REC - 8p fullsize"</f>
        <v>Brochure-REC - 8p fullsize</v>
      </c>
      <c r="C6350" t="str">
        <f t="shared" si="248"/>
        <v>Active</v>
      </c>
    </row>
    <row r="6351" spans="1:3" ht="18" customHeight="1">
      <c r="A6351" t="str">
        <f>"35-2007-0411"</f>
        <v>35-2007-0411</v>
      </c>
      <c r="B6351" t="str">
        <f>"Data Sheet-skillsUSA Package"</f>
        <v>Data Sheet-skillsUSA Package</v>
      </c>
      <c r="C6351" t="str">
        <f t="shared" si="248"/>
        <v>Active</v>
      </c>
    </row>
    <row r="6352" spans="1:3" ht="18" customHeight="1">
      <c r="A6352" t="str">
        <f>"35-2007-1019"</f>
        <v>35-2007-1019</v>
      </c>
      <c r="B6352" t="str">
        <f>"Banner-Postup: Benchtop Robotics - International"</f>
        <v>Banner-Postup: Benchtop Robotics - International</v>
      </c>
      <c r="C6352" t="str">
        <f t="shared" si="248"/>
        <v>Active</v>
      </c>
    </row>
    <row r="6353" spans="1:3" ht="18" customHeight="1">
      <c r="A6353" t="str">
        <f>"35-2007-1126"</f>
        <v>35-2007-1126</v>
      </c>
      <c r="B6353" t="str">
        <f>"Banner-Postup: Jobmaster - International"</f>
        <v>Banner-Postup: Jobmaster - International</v>
      </c>
      <c r="C6353" t="str">
        <f t="shared" si="248"/>
        <v>Active</v>
      </c>
    </row>
    <row r="6354" spans="1:3" ht="18" customHeight="1">
      <c r="A6354" t="str">
        <f>"35-2008-0220"</f>
        <v>35-2008-0220</v>
      </c>
      <c r="B6354" t="str">
        <f>"Banner, LM Lab"</f>
        <v>Banner, LM Lab</v>
      </c>
      <c r="C6354" t="str">
        <f t="shared" si="248"/>
        <v>Active</v>
      </c>
    </row>
    <row r="6355" spans="1:3" ht="18" customHeight="1">
      <c r="A6355" t="str">
        <f>"35-2008-0307"</f>
        <v>35-2008-0307</v>
      </c>
      <c r="B6355" t="str">
        <f>"Poster-JobMaster"</f>
        <v>Poster-JobMaster</v>
      </c>
      <c r="C6355" t="str">
        <f t="shared" si="248"/>
        <v>Active</v>
      </c>
    </row>
    <row r="6356" spans="1:3" ht="18" customHeight="1">
      <c r="A6356" t="str">
        <f>"35-2008-0415"</f>
        <v>35-2008-0415</v>
      </c>
      <c r="B6356" t="str">
        <f>"Data Sheet-REC Semester 2 Pkg"</f>
        <v>Data Sheet-REC Semester 2 Pkg</v>
      </c>
      <c r="C6356" t="str">
        <f t="shared" si="248"/>
        <v>Active</v>
      </c>
    </row>
    <row r="6357" spans="1:3" ht="18" customHeight="1">
      <c r="A6357" t="str">
        <f>"35-3087-DS01"</f>
        <v>35-3087-DS01</v>
      </c>
      <c r="B6357" t="str">
        <f>"Data Sheet-Solido SD300Pro"</f>
        <v>Data Sheet-Solido SD300Pro</v>
      </c>
      <c r="C6357" t="str">
        <f t="shared" si="248"/>
        <v>Active</v>
      </c>
    </row>
    <row r="6358" spans="1:3" ht="18" customHeight="1">
      <c r="A6358" t="str">
        <f>"35-3095-DS01"</f>
        <v>35-3095-DS01</v>
      </c>
      <c r="B6358" t="str">
        <f>"Data Sheet-Introduction Engineering"</f>
        <v>Data Sheet-Introduction Engineering</v>
      </c>
      <c r="C6358" t="str">
        <f t="shared" si="248"/>
        <v>Active</v>
      </c>
    </row>
    <row r="6359" spans="1:3" ht="18" customHeight="1">
      <c r="A6359" t="str">
        <f>"35-3096-DS01"</f>
        <v>35-3096-DS01</v>
      </c>
      <c r="B6359" t="str">
        <f>"Data Sheet-Introduction to Advanced Mfg"</f>
        <v>Data Sheet-Introduction to Advanced Mfg</v>
      </c>
      <c r="C6359" t="str">
        <f t="shared" si="248"/>
        <v>Active</v>
      </c>
    </row>
    <row r="6360" spans="1:3" ht="18" customHeight="1">
      <c r="A6360" t="str">
        <f>"35-3097-DS01"</f>
        <v>35-3097-DS01</v>
      </c>
      <c r="B6360" t="str">
        <f>"Data Sheet-Employability"</f>
        <v>Data Sheet-Employability</v>
      </c>
      <c r="C6360" t="str">
        <f t="shared" si="248"/>
        <v>Active</v>
      </c>
    </row>
    <row r="6361" spans="1:3" ht="18" customHeight="1">
      <c r="A6361" t="str">
        <f>"35-ARRA-WP01"</f>
        <v>35-ARRA-WP01</v>
      </c>
      <c r="B6361" t="str">
        <f>"Brochure-STEM Edu.: Pathway to Amer. Recovery"</f>
        <v>Brochure-STEM Edu.: Pathway to Amer. Recovery</v>
      </c>
      <c r="C6361" t="str">
        <f t="shared" si="248"/>
        <v>Active</v>
      </c>
    </row>
    <row r="6362" spans="1:3" ht="18" customHeight="1">
      <c r="A6362" t="str">
        <f>"35-BA01A-DS01"</f>
        <v>35-BA01A-DS01</v>
      </c>
      <c r="B6362" t="str">
        <f>"Data Sheet-JobMaster Math1"</f>
        <v>Data Sheet-JobMaster Math1</v>
      </c>
      <c r="C6362" t="str">
        <f t="shared" si="248"/>
        <v>Active</v>
      </c>
    </row>
    <row r="6363" spans="1:3" ht="18" customHeight="1">
      <c r="A6363" t="str">
        <f>"35-BA01B-DS01"</f>
        <v>35-BA01B-DS01</v>
      </c>
      <c r="B6363" t="str">
        <f>"Data Sheet-JobMaster Math2"</f>
        <v>Data Sheet-JobMaster Math2</v>
      </c>
      <c r="C6363" t="str">
        <f t="shared" si="248"/>
        <v>Active</v>
      </c>
    </row>
    <row r="6364" spans="1:3" ht="18" customHeight="1">
      <c r="A6364" t="str">
        <f>"35-BA02-DS01"</f>
        <v>35-BA02-DS01</v>
      </c>
      <c r="B6364" t="str">
        <f>"Data Sheet-JobMaster Blueprint Reading"</f>
        <v>Data Sheet-JobMaster Blueprint Reading</v>
      </c>
      <c r="C6364" t="str">
        <f t="shared" si="248"/>
        <v>Active</v>
      </c>
    </row>
    <row r="6365" spans="1:3" ht="18" customHeight="1">
      <c r="A6365" t="str">
        <f>"35-BA03-DS01"</f>
        <v>35-BA03-DS01</v>
      </c>
      <c r="B6365" t="str">
        <f>"Data Sheet-JobMaster Lubrication"</f>
        <v>Data Sheet-JobMaster Lubrication</v>
      </c>
      <c r="C6365" t="str">
        <f t="shared" si="248"/>
        <v>Active</v>
      </c>
    </row>
    <row r="6366" spans="1:3" ht="18" customHeight="1">
      <c r="A6366" t="str">
        <f>"35-BA04-DS01"</f>
        <v>35-BA04-DS01</v>
      </c>
      <c r="B6366" t="str">
        <f>"Data Sheet-JobMaster Fasteners"</f>
        <v>Data Sheet-JobMaster Fasteners</v>
      </c>
      <c r="C6366" t="str">
        <f t="shared" si="248"/>
        <v>Active</v>
      </c>
    </row>
    <row r="6367" spans="1:3" ht="18" customHeight="1">
      <c r="A6367" t="str">
        <f>"35-BA05-DS01"</f>
        <v>35-BA05-DS01</v>
      </c>
      <c r="B6367" t="str">
        <f>"Data Sheet-JobMaster Hand Tools"</f>
        <v>Data Sheet-JobMaster Hand Tools</v>
      </c>
      <c r="C6367" t="str">
        <f t="shared" si="248"/>
        <v>Active</v>
      </c>
    </row>
    <row r="6368" spans="1:3" ht="18" customHeight="1">
      <c r="A6368" t="str">
        <f>"35-BA06-DS01"</f>
        <v>35-BA06-DS01</v>
      </c>
      <c r="B6368" t="str">
        <f>"Data Sheet-JobMaster Power Tools"</f>
        <v>Data Sheet-JobMaster Power Tools</v>
      </c>
      <c r="C6368" t="str">
        <f t="shared" si="248"/>
        <v>Active</v>
      </c>
    </row>
    <row r="6369" spans="1:3" ht="18" customHeight="1">
      <c r="A6369" t="str">
        <f>"35-BN01-PROG"</f>
        <v>35-BN01-PROG</v>
      </c>
      <c r="B6369" t="str">
        <f>"Banner, Programs"</f>
        <v>Banner, Programs</v>
      </c>
      <c r="C6369" t="str">
        <f t="shared" si="248"/>
        <v>Active</v>
      </c>
    </row>
    <row r="6370" spans="1:3" ht="18" customHeight="1">
      <c r="A6370" t="str">
        <f>"35-BR01-PFND"</f>
        <v>35-BR01-PFND</v>
      </c>
      <c r="B6370" t="str">
        <f>"Brochure-Foundations - 8p Program"</f>
        <v>Brochure-Foundations - 8p Program</v>
      </c>
      <c r="C6370" t="str">
        <f t="shared" si="248"/>
        <v>Active</v>
      </c>
    </row>
    <row r="6371" spans="1:3" ht="18" customHeight="1">
      <c r="A6371" t="str">
        <f>"35-BR01-PJIM"</f>
        <v>35-BR01-PJIM</v>
      </c>
      <c r="B6371" t="str">
        <f>"Brochure-Jobmaster - 12p Program"</f>
        <v>Brochure-Jobmaster - 12p Program</v>
      </c>
      <c r="C6371" t="str">
        <f t="shared" si="248"/>
        <v>Active</v>
      </c>
    </row>
    <row r="6372" spans="1:3" ht="18" customHeight="1">
      <c r="A6372" t="str">
        <f>"35-BR01-RECC"</f>
        <v>35-BR01-RECC</v>
      </c>
      <c r="B6372" t="str">
        <f>"Brochure-REC/Cortex - 4p Program"</f>
        <v>Brochure-REC/Cortex - 4p Program</v>
      </c>
      <c r="C6372" t="str">
        <f t="shared" si="248"/>
        <v>Active</v>
      </c>
    </row>
    <row r="6373" spans="1:3" ht="18" customHeight="1">
      <c r="A6373" t="str">
        <f>"35-BR02-LM05"</f>
        <v>35-BR02-LM05</v>
      </c>
      <c r="B6373" t="str">
        <f>"Brochure-LearnMate v5 - 8p"</f>
        <v>Brochure-LearnMate v5 - 8p</v>
      </c>
      <c r="C6373" t="str">
        <f t="shared" si="248"/>
        <v>Active</v>
      </c>
    </row>
    <row r="6374" spans="1:3" ht="18" customHeight="1">
      <c r="A6374" t="str">
        <f>"35-BSC1-DS01"</f>
        <v>35-BSC1-DS01</v>
      </c>
      <c r="B6374" t="str">
        <f>"Data Sheet-Greystone Bearing Service Cart"</f>
        <v>Data Sheet-Greystone Bearing Service Cart</v>
      </c>
      <c r="C6374" t="str">
        <f>"Inactive"</f>
        <v>Inactive</v>
      </c>
    </row>
    <row r="6375" spans="1:3" ht="18" customHeight="1">
      <c r="A6375" t="str">
        <f>"35-DS01-0201"</f>
        <v>35-DS01-0201</v>
      </c>
      <c r="B6375" t="str">
        <f>"Data Sheet-spectraLIGHT 0200 Machining Center"</f>
        <v>Data Sheet-spectraLIGHT 0200 Machining Center</v>
      </c>
      <c r="C6375" t="str">
        <f t="shared" ref="C6375:C6400" si="249">"Active"</f>
        <v>Active</v>
      </c>
    </row>
    <row r="6376" spans="1:3" ht="18" customHeight="1">
      <c r="A6376" t="str">
        <f>"35-DS01-0401"</f>
        <v>35-DS01-0401</v>
      </c>
      <c r="B6376" t="str">
        <f>"Data Sheet-spectraLIGHT 0400 Machining Center"</f>
        <v>Data Sheet-spectraLIGHT 0400 Machining Center</v>
      </c>
      <c r="C6376" t="str">
        <f t="shared" si="249"/>
        <v>Active</v>
      </c>
    </row>
    <row r="6377" spans="1:3" ht="18" customHeight="1">
      <c r="A6377" t="str">
        <f>"35-DS01-1600"</f>
        <v>35-DS01-1600</v>
      </c>
      <c r="B6377" t="str">
        <f>"Data Sheet-JM 1600 Maintenance Cell"</f>
        <v>Data Sheet-JM 1600 Maintenance Cell</v>
      </c>
      <c r="C6377" t="str">
        <f t="shared" si="249"/>
        <v>Active</v>
      </c>
    </row>
    <row r="6378" spans="1:3" ht="18" customHeight="1">
      <c r="A6378" t="str">
        <f>"35-DS01-3001"</f>
        <v>35-DS01-3001</v>
      </c>
      <c r="B6378" t="str">
        <f>"Data Sheet-proLIGHT 3000 Turning Center"</f>
        <v>Data Sheet-proLIGHT 3000 Turning Center</v>
      </c>
      <c r="C6378" t="str">
        <f t="shared" si="249"/>
        <v>Active</v>
      </c>
    </row>
    <row r="6379" spans="1:3" ht="18" customHeight="1">
      <c r="A6379" t="str">
        <f>"35-DS01-ECV4"</f>
        <v>35-DS01-ECV4</v>
      </c>
      <c r="B6379" t="str">
        <f>"Data Sheet-EasyC V4 Cortex"</f>
        <v>Data Sheet-EasyC V4 Cortex</v>
      </c>
      <c r="C6379" t="str">
        <f t="shared" si="249"/>
        <v>Active</v>
      </c>
    </row>
    <row r="6380" spans="1:3" ht="18" customHeight="1">
      <c r="A6380" t="str">
        <f>"35-EA01A-DS01"</f>
        <v>35-EA01A-DS01</v>
      </c>
      <c r="B6380" t="str">
        <f>"Data Sheet-JobMaster Electrical Circuits"</f>
        <v>Data Sheet-JobMaster Electrical Circuits</v>
      </c>
      <c r="C6380" t="str">
        <f t="shared" si="249"/>
        <v>Active</v>
      </c>
    </row>
    <row r="6381" spans="1:3" ht="18" customHeight="1">
      <c r="A6381" t="str">
        <f>"35-EA01B-DS01"</f>
        <v>35-EA01B-DS01</v>
      </c>
      <c r="B6381" t="str">
        <f>"Data Sheet-JobMaster Resistors and Conductors"</f>
        <v>Data Sheet-JobMaster Resistors and Conductors</v>
      </c>
      <c r="C6381" t="str">
        <f t="shared" si="249"/>
        <v>Active</v>
      </c>
    </row>
    <row r="6382" spans="1:3" ht="18" customHeight="1">
      <c r="A6382" t="str">
        <f>"35-EA01C-DS01"</f>
        <v>35-EA01C-DS01</v>
      </c>
      <c r="B6382" t="str">
        <f>"Data Sheet-JobMaster LCR Circuits"</f>
        <v>Data Sheet-JobMaster LCR Circuits</v>
      </c>
      <c r="C6382" t="str">
        <f t="shared" si="249"/>
        <v>Active</v>
      </c>
    </row>
    <row r="6383" spans="1:3" ht="18" customHeight="1">
      <c r="A6383" t="str">
        <f>"35-EA01D-DS01"</f>
        <v>35-EA01D-DS01</v>
      </c>
      <c r="B6383" t="str">
        <f>"Data Sheet-JobMaster Motors Generators"</f>
        <v>Data Sheet-JobMaster Motors Generators</v>
      </c>
      <c r="C6383" t="str">
        <f t="shared" si="249"/>
        <v>Active</v>
      </c>
    </row>
    <row r="6384" spans="1:3" ht="18" customHeight="1">
      <c r="A6384" t="str">
        <f>"35-EA04-DS01"</f>
        <v>35-EA04-DS01</v>
      </c>
      <c r="B6384" t="str">
        <f>"Data Sheet-JobMaster Motors"</f>
        <v>Data Sheet-JobMaster Motors</v>
      </c>
      <c r="C6384" t="str">
        <f t="shared" si="249"/>
        <v>Active</v>
      </c>
    </row>
    <row r="6385" spans="1:3" ht="18" customHeight="1">
      <c r="A6385" t="str">
        <f>"35-EA07-DS01"</f>
        <v>35-EA07-DS01</v>
      </c>
      <c r="B6385" t="str">
        <f>"Data Sheet-JobMaster Motor Starters"</f>
        <v>Data Sheet-JobMaster Motor Starters</v>
      </c>
      <c r="C6385" t="str">
        <f t="shared" si="249"/>
        <v>Active</v>
      </c>
    </row>
    <row r="6386" spans="1:3" ht="18" customHeight="1">
      <c r="A6386" t="str">
        <f>"35-EB01A-DS01"</f>
        <v>35-EB01A-DS01</v>
      </c>
      <c r="B6386" t="str">
        <f>"Data Sheet-JobMaster Oscilloscope"</f>
        <v>Data Sheet-JobMaster Oscilloscope</v>
      </c>
      <c r="C6386" t="str">
        <f t="shared" si="249"/>
        <v>Active</v>
      </c>
    </row>
    <row r="6387" spans="1:3" ht="18" customHeight="1">
      <c r="A6387" t="str">
        <f>"35-EB01B-DS01"</f>
        <v>35-EB01B-DS01</v>
      </c>
      <c r="B6387" t="str">
        <f>"Data Sheet-JobMaster Digital Multimeter"</f>
        <v>Data Sheet-JobMaster Digital Multimeter</v>
      </c>
      <c r="C6387" t="str">
        <f t="shared" si="249"/>
        <v>Active</v>
      </c>
    </row>
    <row r="6388" spans="1:3" ht="18" customHeight="1">
      <c r="A6388" t="str">
        <f>"35-EB01C-DS01"</f>
        <v>35-EB01C-DS01</v>
      </c>
      <c r="B6388" t="str">
        <f>"Data Sheet-JobMaster Handheld Oscilloscope"</f>
        <v>Data Sheet-JobMaster Handheld Oscilloscope</v>
      </c>
      <c r="C6388" t="str">
        <f t="shared" si="249"/>
        <v>Active</v>
      </c>
    </row>
    <row r="6389" spans="1:3" ht="18" customHeight="1">
      <c r="A6389" t="str">
        <f>"35-EB02A-DS01"</f>
        <v>35-EB02A-DS01</v>
      </c>
      <c r="B6389" t="str">
        <f>"Data Sheet-JobMaster DC Power Supplies"</f>
        <v>Data Sheet-JobMaster DC Power Supplies</v>
      </c>
      <c r="C6389" t="str">
        <f t="shared" si="249"/>
        <v>Active</v>
      </c>
    </row>
    <row r="6390" spans="1:3" ht="18" customHeight="1">
      <c r="A6390" t="str">
        <f>"35-EB02B-DS01"</f>
        <v>35-EB02B-DS01</v>
      </c>
      <c r="B6390" t="str">
        <f>"Data Sheet-JobMaster 1 &amp; 3-Phase Power Supplies"</f>
        <v>Data Sheet-JobMaster 1 &amp; 3-Phase Power Supplies</v>
      </c>
      <c r="C6390" t="str">
        <f t="shared" si="249"/>
        <v>Active</v>
      </c>
    </row>
    <row r="6391" spans="1:3" ht="18" customHeight="1">
      <c r="A6391" t="str">
        <f>"35-EB03-DS01"</f>
        <v>35-EB03-DS01</v>
      </c>
      <c r="B6391" t="str">
        <f>"Data Sheet-JobMaster Thyrisor Motor Drives"</f>
        <v>Data Sheet-JobMaster Thyrisor Motor Drives</v>
      </c>
      <c r="C6391" t="str">
        <f t="shared" si="249"/>
        <v>Active</v>
      </c>
    </row>
    <row r="6392" spans="1:3" ht="18" customHeight="1">
      <c r="A6392" t="str">
        <f>"35-EB04-DS01"</f>
        <v>35-EB04-DS01</v>
      </c>
      <c r="B6392" t="str">
        <f>"Data Sheet-JobMaster Timers"</f>
        <v>Data Sheet-JobMaster Timers</v>
      </c>
      <c r="C6392" t="str">
        <f t="shared" si="249"/>
        <v>Active</v>
      </c>
    </row>
    <row r="6393" spans="1:3" ht="18" customHeight="1">
      <c r="A6393" t="str">
        <f>"35-EB05-DS01"</f>
        <v>35-EB05-DS01</v>
      </c>
      <c r="B6393" t="str">
        <f>"Data Sheet-JobMaster Stepper Motor Drives"</f>
        <v>Data Sheet-JobMaster Stepper Motor Drives</v>
      </c>
      <c r="C6393" t="str">
        <f t="shared" si="249"/>
        <v>Active</v>
      </c>
    </row>
    <row r="6394" spans="1:3" ht="18" customHeight="1">
      <c r="A6394" t="str">
        <f>"35-EB06-DS01"</f>
        <v>35-EB06-DS01</v>
      </c>
      <c r="B6394" t="str">
        <f>"Data Sheet-JobMaster Servo Motor Drives"</f>
        <v>Data Sheet-JobMaster Servo Motor Drives</v>
      </c>
      <c r="C6394" t="str">
        <f t="shared" si="249"/>
        <v>Active</v>
      </c>
    </row>
    <row r="6395" spans="1:3" ht="18" customHeight="1">
      <c r="A6395" t="str">
        <f>"35-IMC1-DS01"</f>
        <v>35-IMC1-DS01</v>
      </c>
      <c r="B6395" t="str">
        <f>"Data Sheet-Greystone Basic Electricity"</f>
        <v>Data Sheet-Greystone Basic Electricity</v>
      </c>
      <c r="C6395" t="str">
        <f t="shared" si="249"/>
        <v>Active</v>
      </c>
    </row>
    <row r="6396" spans="1:3" ht="18" customHeight="1">
      <c r="A6396" t="str">
        <f>"35-IMC2-DS01"</f>
        <v>35-IMC2-DS01</v>
      </c>
      <c r="B6396" t="str">
        <f>"Data Sheet-Greystone Motor Control"</f>
        <v>Data Sheet-Greystone Motor Control</v>
      </c>
      <c r="C6396" t="str">
        <f t="shared" si="249"/>
        <v>Active</v>
      </c>
    </row>
    <row r="6397" spans="1:3" ht="18" customHeight="1">
      <c r="A6397" t="str">
        <f>"35-IMC3-DS01"</f>
        <v>35-IMC3-DS01</v>
      </c>
      <c r="B6397" t="str">
        <f>"Data Sheet-Greystone Motor Sensors"</f>
        <v>Data Sheet-Greystone Motor Sensors</v>
      </c>
      <c r="C6397" t="str">
        <f t="shared" si="249"/>
        <v>Active</v>
      </c>
    </row>
    <row r="6398" spans="1:3" ht="18" customHeight="1">
      <c r="A6398" t="str">
        <f>"35-IMC4-DS01"</f>
        <v>35-IMC4-DS01</v>
      </c>
      <c r="B6398" t="str">
        <f>"Data Sheet-Greystone Motor Drives"</f>
        <v>Data Sheet-Greystone Motor Drives</v>
      </c>
      <c r="C6398" t="str">
        <f t="shared" si="249"/>
        <v>Active</v>
      </c>
    </row>
    <row r="6399" spans="1:3" ht="18" customHeight="1">
      <c r="A6399" t="str">
        <f>"35-IMC8-DS01"</f>
        <v>35-IMC8-DS01</v>
      </c>
      <c r="B6399" t="str">
        <f>"Data Sheet-Greystone Motors"</f>
        <v>Data Sheet-Greystone Motors</v>
      </c>
      <c r="C6399" t="str">
        <f t="shared" si="249"/>
        <v>Active</v>
      </c>
    </row>
    <row r="6400" spans="1:3" ht="18" customHeight="1">
      <c r="A6400" t="str">
        <f>"35-IMP1-DS01"</f>
        <v>35-IMP1-DS01</v>
      </c>
      <c r="B6400" t="str">
        <f>"Data Sheet-Greystone Mechanical Bench"</f>
        <v>Data Sheet-Greystone Mechanical Bench</v>
      </c>
      <c r="C6400" t="str">
        <f t="shared" si="249"/>
        <v>Active</v>
      </c>
    </row>
    <row r="6401" spans="1:3" ht="18" customHeight="1">
      <c r="A6401" t="str">
        <f>"35-IMP1-DS02"</f>
        <v>35-IMP1-DS02</v>
      </c>
      <c r="B6401" t="str">
        <f>"Data Sheet-Greystone Vibration Analysis Tools"</f>
        <v>Data Sheet-Greystone Vibration Analysis Tools</v>
      </c>
      <c r="C6401" t="str">
        <f>"Inactive"</f>
        <v>Inactive</v>
      </c>
    </row>
    <row r="6402" spans="1:3" ht="18" customHeight="1">
      <c r="A6402" t="str">
        <f>"35-IMP1-DS03"</f>
        <v>35-IMP1-DS03</v>
      </c>
      <c r="B6402" t="str">
        <f>"Data Sheet-Greystone Laser Alignment Tools"</f>
        <v>Data Sheet-Greystone Laser Alignment Tools</v>
      </c>
      <c r="C6402" t="str">
        <f>"Inactive"</f>
        <v>Inactive</v>
      </c>
    </row>
    <row r="6403" spans="1:3" ht="18" customHeight="1">
      <c r="A6403" t="str">
        <f>"35-LIB2-CLUS"</f>
        <v>35-LIB2-CLUS</v>
      </c>
      <c r="B6403" t="str">
        <f>"Brochure-Career Cluster Matrix - 8pg"</f>
        <v>Brochure-Career Cluster Matrix - 8pg</v>
      </c>
      <c r="C6403" t="str">
        <f t="shared" ref="C6403:C6416" si="250">"Active"</f>
        <v>Active</v>
      </c>
    </row>
    <row r="6404" spans="1:3" ht="18" customHeight="1">
      <c r="A6404" t="str">
        <f>"35-LOTO-DS01"</f>
        <v>35-LOTO-DS01</v>
      </c>
      <c r="B6404" t="str">
        <f>"Data Sheet-JobMaster Lockout/Tagout"</f>
        <v>Data Sheet-JobMaster Lockout/Tagout</v>
      </c>
      <c r="C6404" t="str">
        <f t="shared" si="250"/>
        <v>Active</v>
      </c>
    </row>
    <row r="6405" spans="1:3" ht="18" customHeight="1">
      <c r="A6405" t="str">
        <f>"35-LS00-DS01"</f>
        <v>35-LS00-DS01</v>
      </c>
      <c r="B6405" t="str">
        <f>"Data Sheet-JobMaster Learning Station"</f>
        <v>Data Sheet-JobMaster Learning Station</v>
      </c>
      <c r="C6405" t="str">
        <f t="shared" si="250"/>
        <v>Active</v>
      </c>
    </row>
    <row r="6406" spans="1:3" ht="18" customHeight="1">
      <c r="A6406" t="str">
        <f>"35-PC00-DS01"</f>
        <v>35-PC00-DS01</v>
      </c>
      <c r="B6406" t="str">
        <f>"Data Sheet-JobMaster PC Panels"</f>
        <v>Data Sheet-JobMaster PC Panels</v>
      </c>
      <c r="C6406" t="str">
        <f t="shared" si="250"/>
        <v>Active</v>
      </c>
    </row>
    <row r="6407" spans="1:3" ht="18" customHeight="1">
      <c r="A6407" t="str">
        <f>"35-PMIM-BR01"</f>
        <v>35-PMIM-BR01</v>
      </c>
      <c r="B6407" t="str">
        <f>"Brochure-JobMaster - 8pg Program"</f>
        <v>Brochure-JobMaster - 8pg Program</v>
      </c>
      <c r="C6407" t="str">
        <f t="shared" si="250"/>
        <v>Active</v>
      </c>
    </row>
    <row r="6408" spans="1:3" ht="18" customHeight="1">
      <c r="A6408" t="str">
        <f>"35-PMIM-BR02"</f>
        <v>35-PMIM-BR02</v>
      </c>
      <c r="B6408" t="str">
        <f>"Brochure-JobMaster - 8p Program - international"</f>
        <v>Brochure-JobMaster - 8p Program - international</v>
      </c>
      <c r="C6408" t="str">
        <f t="shared" si="250"/>
        <v>Active</v>
      </c>
    </row>
    <row r="6409" spans="1:3" ht="18" customHeight="1">
      <c r="A6409" t="str">
        <f>"35-PO10-JM01"</f>
        <v>35-PO10-JM01</v>
      </c>
      <c r="B6409" t="str">
        <f>"Poster-Jobmaster - 2-sided"</f>
        <v>Poster-Jobmaster - 2-sided</v>
      </c>
      <c r="C6409" t="str">
        <f t="shared" si="250"/>
        <v>Active</v>
      </c>
    </row>
    <row r="6410" spans="1:3" ht="18" customHeight="1">
      <c r="A6410" t="str">
        <f>"35-PRAG-DS01"</f>
        <v>35-PRAG-DS01</v>
      </c>
      <c r="B6410" t="str">
        <f>"Data Sheet-AgriGreen Program"</f>
        <v>Data Sheet-AgriGreen Program</v>
      </c>
      <c r="C6410" t="str">
        <f t="shared" si="250"/>
        <v>Active</v>
      </c>
    </row>
    <row r="6411" spans="1:3" ht="18" customHeight="1">
      <c r="A6411" t="str">
        <f>"35-PREC-EBD1"</f>
        <v>35-PREC-EBD1</v>
      </c>
      <c r="B6411" t="str">
        <f>"Data Sheet-Robotics Engr. and Auto. EbD Pathway"</f>
        <v>Data Sheet-Robotics Engr. and Auto. EbD Pathway</v>
      </c>
      <c r="C6411" t="str">
        <f t="shared" si="250"/>
        <v>Active</v>
      </c>
    </row>
    <row r="6412" spans="1:3" ht="18" customHeight="1">
      <c r="A6412" t="str">
        <f>"35-PROG-LIB1"</f>
        <v>35-PROG-LIB1</v>
      </c>
      <c r="B6412" t="str">
        <f>"Brochure-Program Matrix 8 page"</f>
        <v>Brochure-Program Matrix 8 page</v>
      </c>
      <c r="C6412" t="str">
        <f t="shared" si="250"/>
        <v>Active</v>
      </c>
    </row>
    <row r="6413" spans="1:3" ht="18" customHeight="1">
      <c r="A6413" t="str">
        <f>"35-PU01-LM50"</f>
        <v>35-PU01-LM50</v>
      </c>
      <c r="B6413" t="str">
        <f>"Pull-up Banner - Learnmate"</f>
        <v>Pull-up Banner - Learnmate</v>
      </c>
      <c r="C6413" t="str">
        <f t="shared" si="250"/>
        <v>Active</v>
      </c>
    </row>
    <row r="6414" spans="1:3" ht="18" customHeight="1">
      <c r="A6414" t="str">
        <f>"35-PU01-PGTC"</f>
        <v>35-PU01-PGTC</v>
      </c>
      <c r="B6414" t="str">
        <f>"Pull-up Banner - GTC"</f>
        <v>Pull-up Banner - GTC</v>
      </c>
      <c r="C6414" t="str">
        <f t="shared" si="250"/>
        <v>Active</v>
      </c>
    </row>
    <row r="6415" spans="1:3" ht="18" customHeight="1">
      <c r="A6415" t="str">
        <f>"35-PU01-PROG"</f>
        <v>35-PU01-PROG</v>
      </c>
      <c r="B6415" t="str">
        <f>"Pull-up Banner - STEM Programs"</f>
        <v>Pull-up Banner - STEM Programs</v>
      </c>
      <c r="C6415" t="str">
        <f t="shared" si="250"/>
        <v>Active</v>
      </c>
    </row>
    <row r="6416" spans="1:3" ht="18" customHeight="1">
      <c r="A6416" t="str">
        <f>"35-RP09-DS01"</f>
        <v>35-RP09-DS01</v>
      </c>
      <c r="B6416" t="str">
        <f>"Data Sheet-Rapid Prototyping"</f>
        <v>Data Sheet-Rapid Prototyping</v>
      </c>
      <c r="C6416" t="str">
        <f t="shared" si="250"/>
        <v>Active</v>
      </c>
    </row>
    <row r="6417" spans="1:3" ht="18" customHeight="1">
      <c r="A6417" t="str">
        <f>"35-RWAC-DS01"</f>
        <v>35-RWAC-DS01</v>
      </c>
      <c r="B6417" t="str">
        <f>"Data Sheet-Greystone Residential Wiring"</f>
        <v>Data Sheet-Greystone Residential Wiring</v>
      </c>
      <c r="C6417" t="str">
        <f>"Inactive"</f>
        <v>Inactive</v>
      </c>
    </row>
    <row r="6418" spans="1:3" ht="18" customHeight="1">
      <c r="A6418" t="str">
        <f>"35001"</f>
        <v>35001</v>
      </c>
      <c r="B6418" t="str">
        <f>"Proximity Sensor w/Power Supply for Conveyor"</f>
        <v>Proximity Sensor w/Power Supply for Conveyor</v>
      </c>
      <c r="C6418" t="str">
        <f>"Phase Out"</f>
        <v>Phase Out</v>
      </c>
    </row>
    <row r="6419" spans="1:3" ht="18" customHeight="1">
      <c r="A6419" t="str">
        <f>"35070PLTW"</f>
        <v>35070PLTW</v>
      </c>
      <c r="B6419" t="str">
        <f>"Software, ER-OpenCIM (30 seat) for PLTW"</f>
        <v>Software, ER-OpenCIM (30 seat) for PLTW</v>
      </c>
      <c r="C6419" t="str">
        <f t="shared" ref="C6419:C6437" si="251">"Active"</f>
        <v>Active</v>
      </c>
    </row>
    <row r="6420" spans="1:3" ht="18" customHeight="1">
      <c r="A6420" t="str">
        <f>"35BI01"</f>
        <v>35BI01</v>
      </c>
      <c r="B6420" t="str">
        <f>"Stand with 3 right angle rods"</f>
        <v>Stand with 3 right angle rods</v>
      </c>
      <c r="C6420" t="str">
        <f t="shared" si="251"/>
        <v>Active</v>
      </c>
    </row>
    <row r="6421" spans="1:3" ht="18" customHeight="1">
      <c r="A6421" t="str">
        <f>"35BI03"</f>
        <v>35BI03</v>
      </c>
      <c r="B6421" t="str">
        <f>"Stopwatch"</f>
        <v>Stopwatch</v>
      </c>
      <c r="C6421" t="str">
        <f t="shared" si="251"/>
        <v>Active</v>
      </c>
    </row>
    <row r="6422" spans="1:3" ht="18" customHeight="1">
      <c r="A6422" t="str">
        <f>"35BI04"</f>
        <v>35BI04</v>
      </c>
      <c r="B6422" t="str">
        <f>"Compass"</f>
        <v>Compass</v>
      </c>
      <c r="C6422" t="str">
        <f t="shared" si="251"/>
        <v>Active</v>
      </c>
    </row>
    <row r="6423" spans="1:3" ht="18" customHeight="1">
      <c r="A6423" t="str">
        <f>"35BI05"</f>
        <v>35BI05</v>
      </c>
      <c r="B6423" t="str">
        <f>"Plastic bags"</f>
        <v>Plastic bags</v>
      </c>
      <c r="C6423" t="str">
        <f t="shared" si="251"/>
        <v>Active</v>
      </c>
    </row>
    <row r="6424" spans="1:3" ht="18" customHeight="1">
      <c r="A6424" t="str">
        <f>"35BI06"</f>
        <v>35BI06</v>
      </c>
      <c r="B6424" t="str">
        <f>"Tape measure"</f>
        <v>Tape measure</v>
      </c>
      <c r="C6424" t="str">
        <f t="shared" si="251"/>
        <v>Active</v>
      </c>
    </row>
    <row r="6425" spans="1:3" ht="18" customHeight="1">
      <c r="A6425" t="str">
        <f>"35BI07"</f>
        <v>35BI07</v>
      </c>
      <c r="B6425" t="str">
        <f>"White sticky tape"</f>
        <v>White sticky tape</v>
      </c>
      <c r="C6425" t="str">
        <f t="shared" si="251"/>
        <v>Active</v>
      </c>
    </row>
    <row r="6426" spans="1:3" ht="18" customHeight="1">
      <c r="A6426" t="str">
        <f>"35BI08"</f>
        <v>35BI08</v>
      </c>
      <c r="B6426" t="str">
        <f>"String"</f>
        <v>String</v>
      </c>
      <c r="C6426" t="str">
        <f t="shared" si="251"/>
        <v>Active</v>
      </c>
    </row>
    <row r="6427" spans="1:3" ht="18" customHeight="1">
      <c r="A6427" t="str">
        <f>"35BI09"</f>
        <v>35BI09</v>
      </c>
      <c r="B6427" t="str">
        <f>"Weight 100g"</f>
        <v>Weight 100g</v>
      </c>
      <c r="C6427" t="str">
        <f t="shared" si="251"/>
        <v>Active</v>
      </c>
    </row>
    <row r="6428" spans="1:3" ht="18" customHeight="1">
      <c r="A6428" t="str">
        <f>"35BI10"</f>
        <v>35BI10</v>
      </c>
      <c r="B6428" t="str">
        <f>"Needles No. 23"</f>
        <v>Needles No. 23</v>
      </c>
      <c r="C6428" t="str">
        <f t="shared" si="251"/>
        <v>Active</v>
      </c>
    </row>
    <row r="6429" spans="1:3" ht="18" customHeight="1">
      <c r="A6429" t="str">
        <f>"35BI11"</f>
        <v>35BI11</v>
      </c>
      <c r="B6429" t="str">
        <f>"Latex Tubes"</f>
        <v>Latex Tubes</v>
      </c>
      <c r="C6429" t="str">
        <f t="shared" si="251"/>
        <v>Active</v>
      </c>
    </row>
    <row r="6430" spans="1:3" ht="18" customHeight="1">
      <c r="A6430" t="str">
        <f>"35BI12"</f>
        <v>35BI12</v>
      </c>
      <c r="B6430" t="str">
        <f>"Three way valves"</f>
        <v>Three way valves</v>
      </c>
      <c r="C6430" t="str">
        <f t="shared" si="251"/>
        <v>Active</v>
      </c>
    </row>
    <row r="6431" spans="1:3" ht="18" customHeight="1">
      <c r="A6431" t="str">
        <f>"35BI13"</f>
        <v>35BI13</v>
      </c>
      <c r="B6431" t="str">
        <f>"Corks for 250ml flasks"</f>
        <v>Corks for 250ml flasks</v>
      </c>
      <c r="C6431" t="str">
        <f t="shared" si="251"/>
        <v>Active</v>
      </c>
    </row>
    <row r="6432" spans="1:3" ht="18" customHeight="1">
      <c r="A6432" t="str">
        <f>"35BI14"</f>
        <v>35BI14</v>
      </c>
      <c r="B6432" t="str">
        <f>"Magnifying Glass"</f>
        <v>Magnifying Glass</v>
      </c>
      <c r="C6432" t="str">
        <f t="shared" si="251"/>
        <v>Active</v>
      </c>
    </row>
    <row r="6433" spans="1:3" ht="18" customHeight="1">
      <c r="A6433" t="str">
        <f>"35BI15"</f>
        <v>35BI15</v>
      </c>
      <c r="B6433" t="str">
        <f>"Stanley Knife"</f>
        <v>Stanley Knife</v>
      </c>
      <c r="C6433" t="str">
        <f t="shared" si="251"/>
        <v>Active</v>
      </c>
    </row>
    <row r="6434" spans="1:3" ht="18" customHeight="1">
      <c r="A6434" t="str">
        <f>"35BI16"</f>
        <v>35BI16</v>
      </c>
      <c r="B6434" t="str">
        <f>"30 cm Ruler"</f>
        <v>30 cm Ruler</v>
      </c>
      <c r="C6434" t="str">
        <f t="shared" si="251"/>
        <v>Active</v>
      </c>
    </row>
    <row r="6435" spans="1:3" ht="18" customHeight="1">
      <c r="A6435" t="str">
        <f>"35BI17"</f>
        <v>35BI17</v>
      </c>
      <c r="B6435" t="str">
        <f>"A mortar"</f>
        <v>A mortar</v>
      </c>
      <c r="C6435" t="str">
        <f t="shared" si="251"/>
        <v>Active</v>
      </c>
    </row>
    <row r="6436" spans="1:3" ht="18" customHeight="1">
      <c r="A6436" t="str">
        <f>"35BI18"</f>
        <v>35BI18</v>
      </c>
      <c r="B6436" t="str">
        <f>"Glass beads"</f>
        <v>Glass beads</v>
      </c>
      <c r="C6436" t="str">
        <f t="shared" si="251"/>
        <v>Active</v>
      </c>
    </row>
    <row r="6437" spans="1:3" ht="18" customHeight="1">
      <c r="A6437" t="str">
        <f>"35BI19"</f>
        <v>35BI19</v>
      </c>
      <c r="B6437" t="str">
        <f>"2.5ml plastic syringe"</f>
        <v>2.5ml plastic syringe</v>
      </c>
      <c r="C6437" t="str">
        <f t="shared" si="251"/>
        <v>Active</v>
      </c>
    </row>
    <row r="6438" spans="1:3" ht="18" customHeight="1">
      <c r="A6438" t="str">
        <f>"35BI20"</f>
        <v>35BI20</v>
      </c>
      <c r="B6438" t="str">
        <f>"Bright source of light (150W halogen lamp)"</f>
        <v>Bright source of light (150W halogen lamp)</v>
      </c>
      <c r="C6438" t="str">
        <f>"New"</f>
        <v>New</v>
      </c>
    </row>
    <row r="6439" spans="1:3" ht="18" customHeight="1">
      <c r="A6439" t="str">
        <f>"35BI21"</f>
        <v>35BI21</v>
      </c>
      <c r="B6439" t="str">
        <f>"500 ml Glass Flask"</f>
        <v>500 ml Glass Flask</v>
      </c>
      <c r="C6439" t="str">
        <f t="shared" ref="C6439:C6470" si="252">"Active"</f>
        <v>Active</v>
      </c>
    </row>
    <row r="6440" spans="1:3" ht="18" customHeight="1">
      <c r="A6440" t="str">
        <f>"35BI22"</f>
        <v>35BI22</v>
      </c>
      <c r="B6440" t="str">
        <f>"Glass Flasks 250ml"</f>
        <v>Glass Flasks 250ml</v>
      </c>
      <c r="C6440" t="str">
        <f t="shared" si="252"/>
        <v>Active</v>
      </c>
    </row>
    <row r="6441" spans="1:3" ht="18" customHeight="1">
      <c r="A6441" t="str">
        <f>"35BI23"</f>
        <v>35BI23</v>
      </c>
      <c r="B6441" t="str">
        <f>"1 ml pipette"</f>
        <v>1 ml pipette</v>
      </c>
      <c r="C6441" t="str">
        <f t="shared" si="252"/>
        <v>Active</v>
      </c>
    </row>
    <row r="6442" spans="1:3" ht="18" customHeight="1">
      <c r="A6442" t="str">
        <f>"35BI24"</f>
        <v>35BI24</v>
      </c>
      <c r="B6442" t="str">
        <f>"50 ml test tube"</f>
        <v>50 ml test tube</v>
      </c>
      <c r="C6442" t="str">
        <f t="shared" si="252"/>
        <v>Active</v>
      </c>
    </row>
    <row r="6443" spans="1:3" ht="18" customHeight="1">
      <c r="A6443" t="str">
        <f>"35BI25"</f>
        <v>35BI25</v>
      </c>
      <c r="B6443" t="str">
        <f>"5ml pipette"</f>
        <v>5ml pipette</v>
      </c>
      <c r="C6443" t="str">
        <f t="shared" si="252"/>
        <v>Active</v>
      </c>
    </row>
    <row r="6444" spans="1:3" ht="18" customHeight="1">
      <c r="A6444" t="str">
        <f>"35BI26"</f>
        <v>35BI26</v>
      </c>
      <c r="B6444" t="str">
        <f>"50 ml glass bottles with rubber corks"</f>
        <v>50 ml glass bottles with rubber corks</v>
      </c>
      <c r="C6444" t="str">
        <f t="shared" si="252"/>
        <v>Active</v>
      </c>
    </row>
    <row r="6445" spans="1:3" ht="18" customHeight="1">
      <c r="A6445" t="str">
        <f>"35BI28"</f>
        <v>35BI28</v>
      </c>
      <c r="B6445" t="str">
        <f>"500 ml flat plastic bottle"</f>
        <v>500 ml flat plastic bottle</v>
      </c>
      <c r="C6445" t="str">
        <f t="shared" si="252"/>
        <v>Active</v>
      </c>
    </row>
    <row r="6446" spans="1:3" ht="18" customHeight="1">
      <c r="A6446" t="str">
        <f>"35BI29"</f>
        <v>35BI29</v>
      </c>
      <c r="B6446" t="str">
        <f>"12 Test-tubes"</f>
        <v>12 Test-tubes</v>
      </c>
      <c r="C6446" t="str">
        <f t="shared" si="252"/>
        <v>Active</v>
      </c>
    </row>
    <row r="6447" spans="1:3" ht="18" customHeight="1">
      <c r="A6447" t="str">
        <f>"35BI30"</f>
        <v>35BI30</v>
      </c>
      <c r="B6447" t="str">
        <f>"Test-tube rack"</f>
        <v>Test-tube rack</v>
      </c>
      <c r="C6447" t="str">
        <f t="shared" si="252"/>
        <v>Active</v>
      </c>
    </row>
    <row r="6448" spans="1:3" ht="18" customHeight="1">
      <c r="A6448" t="str">
        <f>"35BI32"</f>
        <v>35BI32</v>
      </c>
      <c r="B6448" t="str">
        <f>"250 ml clay jugs, with clay covers"</f>
        <v>250 ml clay jugs, with clay covers</v>
      </c>
      <c r="C6448" t="str">
        <f t="shared" si="252"/>
        <v>Active</v>
      </c>
    </row>
    <row r="6449" spans="1:3" ht="18" customHeight="1">
      <c r="A6449" t="str">
        <f>"35BI33"</f>
        <v>35BI33</v>
      </c>
      <c r="B6449" t="str">
        <f>"500ml flat plastic bottle"</f>
        <v>500ml flat plastic bottle</v>
      </c>
      <c r="C6449" t="str">
        <f t="shared" si="252"/>
        <v>Active</v>
      </c>
    </row>
    <row r="6450" spans="1:3" ht="18" customHeight="1">
      <c r="A6450" t="str">
        <f>"35BI34"</f>
        <v>35BI34</v>
      </c>
      <c r="B6450" t="str">
        <f>"1 liter water bottle"</f>
        <v>1 liter water bottle</v>
      </c>
      <c r="C6450" t="str">
        <f t="shared" si="252"/>
        <v>Active</v>
      </c>
    </row>
    <row r="6451" spans="1:3" ht="18" customHeight="1">
      <c r="A6451" t="str">
        <f>"35BI35"</f>
        <v>35BI35</v>
      </c>
      <c r="B6451" t="str">
        <f>"10 ml glass bottles"</f>
        <v>10 ml glass bottles</v>
      </c>
      <c r="C6451" t="str">
        <f t="shared" si="252"/>
        <v>Active</v>
      </c>
    </row>
    <row r="6452" spans="1:3" ht="18" customHeight="1">
      <c r="A6452" t="str">
        <f>"35BI36"</f>
        <v>35BI36</v>
      </c>
      <c r="B6452" t="str">
        <f>"0.6 liter thermos"</f>
        <v>0.6 liter thermos</v>
      </c>
      <c r="C6452" t="str">
        <f t="shared" si="252"/>
        <v>Active</v>
      </c>
    </row>
    <row r="6453" spans="1:3" ht="18" customHeight="1">
      <c r="A6453" t="str">
        <f>"35BI37"</f>
        <v>35BI37</v>
      </c>
      <c r="B6453" t="str">
        <f>"Small Plastic bags"</f>
        <v>Small Plastic bags</v>
      </c>
      <c r="C6453" t="str">
        <f t="shared" si="252"/>
        <v>Active</v>
      </c>
    </row>
    <row r="6454" spans="1:3" ht="18" customHeight="1">
      <c r="A6454" t="str">
        <f>"35BI40"</f>
        <v>35BI40</v>
      </c>
      <c r="B6454" t="str">
        <f>"Cork 500ml glass flask"</f>
        <v>Cork 500ml glass flask</v>
      </c>
      <c r="C6454" t="str">
        <f t="shared" si="252"/>
        <v>Active</v>
      </c>
    </row>
    <row r="6455" spans="1:3" ht="18" customHeight="1">
      <c r="A6455" t="str">
        <f>"35BI42"</f>
        <v>35BI42</v>
      </c>
      <c r="B6455" t="str">
        <f>"Cork 10ml test tube"</f>
        <v>Cork 10ml test tube</v>
      </c>
      <c r="C6455" t="str">
        <f t="shared" si="252"/>
        <v>Active</v>
      </c>
    </row>
    <row r="6456" spans="1:3" ht="18" customHeight="1">
      <c r="A6456" t="str">
        <f>"35BI43"</f>
        <v>35BI43</v>
      </c>
      <c r="B6456" t="str">
        <f>"Fork"</f>
        <v>Fork</v>
      </c>
      <c r="C6456" t="str">
        <f t="shared" si="252"/>
        <v>Active</v>
      </c>
    </row>
    <row r="6457" spans="1:3" ht="18" customHeight="1">
      <c r="A6457" t="str">
        <f>"35BI44"</f>
        <v>35BI44</v>
      </c>
      <c r="B6457" t="str">
        <f>"Gauze sheet 10X10 cm box"</f>
        <v>Gauze sheet 10X10 cm box</v>
      </c>
      <c r="C6457" t="str">
        <f t="shared" si="252"/>
        <v>Active</v>
      </c>
    </row>
    <row r="6458" spans="1:3" ht="18" customHeight="1">
      <c r="A6458" t="str">
        <f>"35BI45"</f>
        <v>35BI45</v>
      </c>
      <c r="B6458" t="str">
        <f>"scooper"</f>
        <v>scooper</v>
      </c>
      <c r="C6458" t="str">
        <f t="shared" si="252"/>
        <v>Active</v>
      </c>
    </row>
    <row r="6459" spans="1:3" ht="18" customHeight="1">
      <c r="A6459" t="str">
        <f>"35BI46"</f>
        <v>35BI46</v>
      </c>
      <c r="B6459" t="str">
        <f>"Pump for pipette 2ml"</f>
        <v>Pump for pipette 2ml</v>
      </c>
      <c r="C6459" t="str">
        <f t="shared" si="252"/>
        <v>Active</v>
      </c>
    </row>
    <row r="6460" spans="1:3" ht="18" customHeight="1">
      <c r="A6460" t="str">
        <f>"35BI47"</f>
        <v>35BI47</v>
      </c>
      <c r="B6460" t="str">
        <f>"Pump for pipette 10ml"</f>
        <v>Pump for pipette 10ml</v>
      </c>
      <c r="C6460" t="str">
        <f t="shared" si="252"/>
        <v>Active</v>
      </c>
    </row>
    <row r="6461" spans="1:3" ht="18" customHeight="1">
      <c r="A6461" t="str">
        <f>"35BI49"</f>
        <v>35BI49</v>
      </c>
      <c r="B6461" t="str">
        <f>"Tooth picks box"</f>
        <v>Tooth picks box</v>
      </c>
      <c r="C6461" t="str">
        <f t="shared" si="252"/>
        <v>Active</v>
      </c>
    </row>
    <row r="6462" spans="1:3" ht="18" customHeight="1">
      <c r="A6462" t="str">
        <f>"35CH01"</f>
        <v>35CH01</v>
      </c>
      <c r="B6462" t="str">
        <f>"Magnetic Stirrer"</f>
        <v>Magnetic Stirrer</v>
      </c>
      <c r="C6462" t="str">
        <f t="shared" si="252"/>
        <v>Active</v>
      </c>
    </row>
    <row r="6463" spans="1:3" ht="18" customHeight="1">
      <c r="A6463" t="str">
        <f>"35CH02"</f>
        <v>35CH02</v>
      </c>
      <c r="B6463" t="str">
        <f>"Lab stand with right-angle clamp"</f>
        <v>Lab stand with right-angle clamp</v>
      </c>
      <c r="C6463" t="str">
        <f t="shared" si="252"/>
        <v>Active</v>
      </c>
    </row>
    <row r="6464" spans="1:3" ht="18" customHeight="1">
      <c r="A6464" t="str">
        <f>"35CH03"</f>
        <v>35CH03</v>
      </c>
      <c r="B6464" t="str">
        <f>"Thermometer"</f>
        <v>Thermometer</v>
      </c>
      <c r="C6464" t="str">
        <f t="shared" si="252"/>
        <v>Active</v>
      </c>
    </row>
    <row r="6465" spans="1:3" ht="18" customHeight="1">
      <c r="A6465" t="str">
        <f>"35CH04"</f>
        <v>35CH04</v>
      </c>
      <c r="B6465" t="str">
        <f>"Lab scale"</f>
        <v>Lab scale</v>
      </c>
      <c r="C6465" t="str">
        <f t="shared" si="252"/>
        <v>Active</v>
      </c>
    </row>
    <row r="6466" spans="1:3" ht="18" customHeight="1">
      <c r="A6466" t="str">
        <f>"35CH05"</f>
        <v>35CH05</v>
      </c>
      <c r="B6466" t="str">
        <f>"23 gauge syringe needles"</f>
        <v>23 gauge syringe needles</v>
      </c>
      <c r="C6466" t="str">
        <f t="shared" si="252"/>
        <v>Active</v>
      </c>
    </row>
    <row r="6467" spans="1:3" ht="18" customHeight="1">
      <c r="A6467" t="str">
        <f>"35CH06"</f>
        <v>35CH06</v>
      </c>
      <c r="B6467" t="str">
        <f>"10 cm latex tubes"</f>
        <v>10 cm latex tubes</v>
      </c>
      <c r="C6467" t="str">
        <f t="shared" si="252"/>
        <v>Active</v>
      </c>
    </row>
    <row r="6468" spans="1:3" ht="18" customHeight="1">
      <c r="A6468" t="str">
        <f>"35CH07"</f>
        <v>35CH07</v>
      </c>
      <c r="B6468" t="str">
        <f>"Three-way valve"</f>
        <v>Three-way valve</v>
      </c>
      <c r="C6468" t="str">
        <f t="shared" si="252"/>
        <v>Active</v>
      </c>
    </row>
    <row r="6469" spans="1:3" ht="18" customHeight="1">
      <c r="A6469" t="str">
        <f>"35CH08"</f>
        <v>35CH08</v>
      </c>
      <c r="B6469" t="str">
        <f>"20 ml syringe"</f>
        <v>20 ml syringe</v>
      </c>
      <c r="C6469" t="str">
        <f t="shared" si="252"/>
        <v>Active</v>
      </c>
    </row>
    <row r="6470" spans="1:3" ht="18" customHeight="1">
      <c r="A6470" t="str">
        <f>"35CH09"</f>
        <v>35CH09</v>
      </c>
      <c r="B6470" t="str">
        <f>"100 cm latex tube"</f>
        <v>100 cm latex tube</v>
      </c>
      <c r="C6470" t="str">
        <f t="shared" si="252"/>
        <v>Active</v>
      </c>
    </row>
    <row r="6471" spans="1:3" ht="18" customHeight="1">
      <c r="A6471" t="str">
        <f>"35CH10"</f>
        <v>35CH10</v>
      </c>
      <c r="B6471" t="str">
        <f>"50 ml burette pipette"</f>
        <v>50 ml burette pipette</v>
      </c>
      <c r="C6471" t="str">
        <f t="shared" ref="C6471:C6502" si="253">"Active"</f>
        <v>Active</v>
      </c>
    </row>
    <row r="6472" spans="1:3" ht="18" customHeight="1">
      <c r="A6472" t="str">
        <f>"35CH11"</f>
        <v>35CH11</v>
      </c>
      <c r="B6472" t="str">
        <f>"Glass funnel"</f>
        <v>Glass funnel</v>
      </c>
      <c r="C6472" t="str">
        <f t="shared" si="253"/>
        <v>Active</v>
      </c>
    </row>
    <row r="6473" spans="1:3" ht="18" customHeight="1">
      <c r="A6473" t="str">
        <f>"35CH12"</f>
        <v>35CH12</v>
      </c>
      <c r="B6473" t="str">
        <f>"10 ml glass flasks with rubber corks"</f>
        <v>10 ml glass flasks with rubber corks</v>
      </c>
      <c r="C6473" t="str">
        <f t="shared" si="253"/>
        <v>Active</v>
      </c>
    </row>
    <row r="6474" spans="1:3" ht="18" customHeight="1">
      <c r="A6474" t="str">
        <f>"35CH13"</f>
        <v>35CH13</v>
      </c>
      <c r="B6474" t="str">
        <f>"10 cm glass rod for stirring"</f>
        <v>10 cm glass rod for stirring</v>
      </c>
      <c r="C6474" t="str">
        <f t="shared" si="253"/>
        <v>Active</v>
      </c>
    </row>
    <row r="6475" spans="1:3" ht="18" customHeight="1">
      <c r="A6475" t="str">
        <f>"35CH14"</f>
        <v>35CH14</v>
      </c>
      <c r="B6475" t="str">
        <f>"100 ml glass flask"</f>
        <v>100 ml glass flask</v>
      </c>
      <c r="C6475" t="str">
        <f t="shared" si="253"/>
        <v>Active</v>
      </c>
    </row>
    <row r="6476" spans="1:3" ht="18" customHeight="1">
      <c r="A6476" t="str">
        <f>"35CH15"</f>
        <v>35CH15</v>
      </c>
      <c r="B6476" t="str">
        <f>"250 ml beaker"</f>
        <v>250 ml beaker</v>
      </c>
      <c r="C6476" t="str">
        <f t="shared" si="253"/>
        <v>Active</v>
      </c>
    </row>
    <row r="6477" spans="1:3" ht="18" customHeight="1">
      <c r="A6477" t="str">
        <f>"35CH16"</f>
        <v>35CH16</v>
      </c>
      <c r="B6477" t="str">
        <f>"10 ml glass flask"</f>
        <v>10 ml glass flask</v>
      </c>
      <c r="C6477" t="str">
        <f t="shared" si="253"/>
        <v>Active</v>
      </c>
    </row>
    <row r="6478" spans="1:3" ht="18" customHeight="1">
      <c r="A6478" t="str">
        <f>"35CH17"</f>
        <v>35CH17</v>
      </c>
      <c r="B6478" t="str">
        <f>"Graduated cylinder"</f>
        <v>Graduated cylinder</v>
      </c>
      <c r="C6478" t="str">
        <f t="shared" si="253"/>
        <v>Active</v>
      </c>
    </row>
    <row r="6479" spans="1:3" ht="18" customHeight="1">
      <c r="A6479" t="str">
        <f>"35CH18"</f>
        <v>35CH18</v>
      </c>
      <c r="B6479" t="str">
        <f>"Beaker 1000ML"</f>
        <v>Beaker 1000ML</v>
      </c>
      <c r="C6479" t="str">
        <f t="shared" si="253"/>
        <v>Active</v>
      </c>
    </row>
    <row r="6480" spans="1:3" ht="18" customHeight="1">
      <c r="A6480" t="str">
        <f>"35CH19"</f>
        <v>35CH19</v>
      </c>
      <c r="B6480" t="str">
        <f>"test tubes"</f>
        <v>test tubes</v>
      </c>
      <c r="C6480" t="str">
        <f t="shared" si="253"/>
        <v>Active</v>
      </c>
    </row>
    <row r="6481" spans="1:3" ht="18" customHeight="1">
      <c r="A6481" t="str">
        <f>"35CH20"</f>
        <v>35CH20</v>
      </c>
      <c r="B6481" t="str">
        <f>"100 ml beakers"</f>
        <v>100 ml beakers</v>
      </c>
      <c r="C6481" t="str">
        <f t="shared" si="253"/>
        <v>Active</v>
      </c>
    </row>
    <row r="6482" spans="1:3" ht="18" customHeight="1">
      <c r="A6482" t="str">
        <f>"35CH21"</f>
        <v>35CH21</v>
      </c>
      <c r="B6482" t="str">
        <f>"Pipettes 5 ml"</f>
        <v>Pipettes 5 ml</v>
      </c>
      <c r="C6482" t="str">
        <f t="shared" si="253"/>
        <v>Active</v>
      </c>
    </row>
    <row r="6483" spans="1:3" ht="18" customHeight="1">
      <c r="A6483" t="str">
        <f>"35CH22"</f>
        <v>35CH22</v>
      </c>
      <c r="B6483" t="str">
        <f>"Polystyrene Cup"</f>
        <v>Polystyrene Cup</v>
      </c>
      <c r="C6483" t="str">
        <f t="shared" si="253"/>
        <v>Active</v>
      </c>
    </row>
    <row r="6484" spans="1:3" ht="18" customHeight="1">
      <c r="A6484" t="str">
        <f>"35CH23"</f>
        <v>35CH23</v>
      </c>
      <c r="B6484" t="str">
        <f>"Aluminum paper roll"</f>
        <v>Aluminum paper roll</v>
      </c>
      <c r="C6484" t="str">
        <f t="shared" si="253"/>
        <v>Active</v>
      </c>
    </row>
    <row r="6485" spans="1:3" ht="18" customHeight="1">
      <c r="A6485" t="str">
        <f>"35CH24"</f>
        <v>35CH24</v>
      </c>
      <c r="B6485" t="str">
        <f>"Wooden board 5cm x 5cm"</f>
        <v>Wooden board 5cm x 5cm</v>
      </c>
      <c r="C6485" t="str">
        <f t="shared" si="253"/>
        <v>Active</v>
      </c>
    </row>
    <row r="6486" spans="1:3" ht="18" customHeight="1">
      <c r="A6486" t="str">
        <f>"35CH25"</f>
        <v>35CH25</v>
      </c>
      <c r="B6486" t="str">
        <f>"2.5 ml syringe"</f>
        <v>2.5 ml syringe</v>
      </c>
      <c r="C6486" t="str">
        <f t="shared" si="253"/>
        <v>Active</v>
      </c>
    </row>
    <row r="6487" spans="1:3" ht="18" customHeight="1">
      <c r="A6487" t="str">
        <f>"35CH26"</f>
        <v>35CH26</v>
      </c>
      <c r="B6487" t="str">
        <f>"50 ml syringe"</f>
        <v>50 ml syringe</v>
      </c>
      <c r="C6487" t="str">
        <f t="shared" si="253"/>
        <v>Active</v>
      </c>
    </row>
    <row r="6488" spans="1:3" ht="18" customHeight="1">
      <c r="A6488" t="str">
        <f>"35CH28"</f>
        <v>35CH28</v>
      </c>
      <c r="B6488" t="str">
        <f>"Match box"</f>
        <v>Match box</v>
      </c>
      <c r="C6488" t="str">
        <f t="shared" si="253"/>
        <v>Active</v>
      </c>
    </row>
    <row r="6489" spans="1:3" ht="18" customHeight="1">
      <c r="A6489" t="str">
        <f>"35CH29"</f>
        <v>35CH29</v>
      </c>
      <c r="B6489" t="str">
        <f>"Ring stand for 100ml beaker"</f>
        <v>Ring stand for 100ml beaker</v>
      </c>
      <c r="C6489" t="str">
        <f t="shared" si="253"/>
        <v>Active</v>
      </c>
    </row>
    <row r="6490" spans="1:3" ht="18" customHeight="1">
      <c r="A6490" t="str">
        <f>"35CH30"</f>
        <v>35CH30</v>
      </c>
      <c r="B6490" t="str">
        <f>"Candle"</f>
        <v>Candle</v>
      </c>
      <c r="C6490" t="str">
        <f t="shared" si="253"/>
        <v>Active</v>
      </c>
    </row>
    <row r="6491" spans="1:3" ht="18" customHeight="1">
      <c r="A6491" t="str">
        <f>"35CH32"</f>
        <v>35CH32</v>
      </c>
      <c r="B6491" t="str">
        <f>"Cork 50ml glass flask"</f>
        <v>Cork 50ml glass flask</v>
      </c>
      <c r="C6491" t="str">
        <f t="shared" si="253"/>
        <v>Active</v>
      </c>
    </row>
    <row r="6492" spans="1:3" ht="18" customHeight="1">
      <c r="A6492" t="str">
        <f>"35CH33"</f>
        <v>35CH33</v>
      </c>
      <c r="B6492" t="str">
        <f>"Cork 250ml glass flask"</f>
        <v>Cork 250ml glass flask</v>
      </c>
      <c r="C6492" t="str">
        <f t="shared" si="253"/>
        <v>Active</v>
      </c>
    </row>
    <row r="6493" spans="1:3" ht="18" customHeight="1">
      <c r="A6493" t="str">
        <f>"35CH34"</f>
        <v>35CH34</v>
      </c>
      <c r="B6493" t="str">
        <f>"Cork 10 ml test tubes"</f>
        <v>Cork 10 ml test tubes</v>
      </c>
      <c r="C6493" t="str">
        <f t="shared" si="253"/>
        <v>Active</v>
      </c>
    </row>
    <row r="6494" spans="1:3" ht="18" customHeight="1">
      <c r="A6494" t="str">
        <f>"35CH35"</f>
        <v>35CH35</v>
      </c>
      <c r="B6494" t="str">
        <f>"10 ml test tubes with caps"</f>
        <v>10 ml test tubes with caps</v>
      </c>
      <c r="C6494" t="str">
        <f t="shared" si="253"/>
        <v>Active</v>
      </c>
    </row>
    <row r="6495" spans="1:3" ht="18" customHeight="1">
      <c r="A6495" t="str">
        <f>"35CH37"</f>
        <v>35CH37</v>
      </c>
      <c r="B6495" t="str">
        <f>"Test tubes + stand"</f>
        <v>Test tubes + stand</v>
      </c>
      <c r="C6495" t="str">
        <f t="shared" si="253"/>
        <v>Active</v>
      </c>
    </row>
    <row r="6496" spans="1:3" ht="18" customHeight="1">
      <c r="A6496" t="str">
        <f>"35CH38"</f>
        <v>35CH38</v>
      </c>
      <c r="B6496" t="str">
        <f>"Sheet of Styrofoam (10cm x 10cm)"</f>
        <v>Sheet of Styrofoam (10cm x 10cm)</v>
      </c>
      <c r="C6496" t="str">
        <f t="shared" si="253"/>
        <v>Active</v>
      </c>
    </row>
    <row r="6497" spans="1:3" ht="18" customHeight="1">
      <c r="A6497" t="str">
        <f>"35CH39"</f>
        <v>35CH39</v>
      </c>
      <c r="B6497" t="str">
        <f>"Plastic spoons or small spatula for stirring in"</f>
        <v>Plastic spoons or small spatula for stirring in</v>
      </c>
      <c r="C6497" t="str">
        <f t="shared" si="253"/>
        <v>Active</v>
      </c>
    </row>
    <row r="6498" spans="1:3" ht="18" customHeight="1">
      <c r="A6498" t="str">
        <f>"35CH40"</f>
        <v>35CH40</v>
      </c>
      <c r="B6498" t="str">
        <f>"Filter paper : 10cm diameter - box"</f>
        <v>Filter paper : 10cm diameter - box</v>
      </c>
      <c r="C6498" t="str">
        <f t="shared" si="253"/>
        <v>Active</v>
      </c>
    </row>
    <row r="6499" spans="1:3" ht="18" customHeight="1">
      <c r="A6499" t="str">
        <f>"35CH41"</f>
        <v>35CH41</v>
      </c>
      <c r="B6499" t="str">
        <f>"Pump for pipette - 2ml"</f>
        <v>Pump for pipette - 2ml</v>
      </c>
      <c r="C6499" t="str">
        <f t="shared" si="253"/>
        <v>Active</v>
      </c>
    </row>
    <row r="6500" spans="1:3" ht="18" customHeight="1">
      <c r="A6500" t="str">
        <f>"35CH42"</f>
        <v>35CH42</v>
      </c>
      <c r="B6500" t="str">
        <f>"Pump for pipette - 10ml"</f>
        <v>Pump for pipette - 10ml</v>
      </c>
      <c r="C6500" t="str">
        <f t="shared" si="253"/>
        <v>Active</v>
      </c>
    </row>
    <row r="6501" spans="1:3" ht="18" customHeight="1">
      <c r="A6501" t="str">
        <f>"35CH43"</f>
        <v>35CH43</v>
      </c>
      <c r="B6501" t="str">
        <f>"Safety glasses"</f>
        <v>Safety glasses</v>
      </c>
      <c r="C6501" t="str">
        <f t="shared" si="253"/>
        <v>Active</v>
      </c>
    </row>
    <row r="6502" spans="1:3" ht="18" customHeight="1">
      <c r="A6502" t="str">
        <f>"35CH44"</f>
        <v>35CH44</v>
      </c>
      <c r="B6502" t="str">
        <f>"Latex gloves box"</f>
        <v>Latex gloves box</v>
      </c>
      <c r="C6502" t="str">
        <f t="shared" si="253"/>
        <v>Active</v>
      </c>
    </row>
    <row r="6503" spans="1:3" ht="18" customHeight="1">
      <c r="A6503" t="str">
        <f>"35CH45"</f>
        <v>35CH45</v>
      </c>
      <c r="B6503" t="str">
        <f>"Styrofoam balls"</f>
        <v>Styrofoam balls</v>
      </c>
      <c r="C6503" t="str">
        <f t="shared" ref="C6503:C6523" si="254">"Active"</f>
        <v>Active</v>
      </c>
    </row>
    <row r="6504" spans="1:3" ht="18" customHeight="1">
      <c r="A6504" t="str">
        <f>"35CH46"</f>
        <v>35CH46</v>
      </c>
      <c r="B6504" t="str">
        <f>"Pipe cleaners"</f>
        <v>Pipe cleaners</v>
      </c>
      <c r="C6504" t="str">
        <f t="shared" si="254"/>
        <v>Active</v>
      </c>
    </row>
    <row r="6505" spans="1:3" ht="18" customHeight="1">
      <c r="A6505" t="str">
        <f>"35CH47"</f>
        <v>35CH47</v>
      </c>
      <c r="B6505" t="str">
        <f>"250ml glass Erlenmeyer"</f>
        <v>250ml glass Erlenmeyer</v>
      </c>
      <c r="C6505" t="str">
        <f t="shared" si="254"/>
        <v>Active</v>
      </c>
    </row>
    <row r="6506" spans="1:3" ht="18" customHeight="1">
      <c r="A6506" t="str">
        <f>"35CH48"</f>
        <v>35CH48</v>
      </c>
      <c r="B6506" t="str">
        <f>"Plasticine"</f>
        <v>Plasticine</v>
      </c>
      <c r="C6506" t="str">
        <f t="shared" si="254"/>
        <v>Active</v>
      </c>
    </row>
    <row r="6507" spans="1:3" ht="18" customHeight="1">
      <c r="A6507" t="str">
        <f>"35CH49"</f>
        <v>35CH49</v>
      </c>
      <c r="B6507" t="str">
        <f>"50 ml test tubes"</f>
        <v>50 ml test tubes</v>
      </c>
      <c r="C6507" t="str">
        <f t="shared" si="254"/>
        <v>Active</v>
      </c>
    </row>
    <row r="6508" spans="1:3" ht="18" customHeight="1">
      <c r="A6508" t="str">
        <f>"35CH50"</f>
        <v>35CH50</v>
      </c>
      <c r="B6508" t="str">
        <f>"rubber cork for 50 ml test tube"</f>
        <v>rubber cork for 50 ml test tube</v>
      </c>
      <c r="C6508" t="str">
        <f t="shared" si="254"/>
        <v>Active</v>
      </c>
    </row>
    <row r="6509" spans="1:3" ht="18" customHeight="1">
      <c r="A6509" t="str">
        <f>"35CH51"</f>
        <v>35CH51</v>
      </c>
      <c r="B6509" t="str">
        <f>"Thermometer 10-110V"</f>
        <v>Thermometer 10-110V</v>
      </c>
      <c r="C6509" t="str">
        <f t="shared" si="254"/>
        <v>Active</v>
      </c>
    </row>
    <row r="6510" spans="1:3" ht="18" customHeight="1">
      <c r="A6510" t="str">
        <f>"35CH52"</f>
        <v>35CH52</v>
      </c>
      <c r="B6510" t="str">
        <f>"cap with hole"</f>
        <v>cap with hole</v>
      </c>
      <c r="C6510" t="str">
        <f t="shared" si="254"/>
        <v>Active</v>
      </c>
    </row>
    <row r="6511" spans="1:3" ht="18" customHeight="1">
      <c r="A6511" t="str">
        <f>"35CH53"</f>
        <v>35CH53</v>
      </c>
      <c r="B6511" t="str">
        <f>"lipig condensor"</f>
        <v>lipig condensor</v>
      </c>
      <c r="C6511" t="str">
        <f t="shared" si="254"/>
        <v>Active</v>
      </c>
    </row>
    <row r="6512" spans="1:3" ht="18" customHeight="1">
      <c r="A6512" t="str">
        <f>"35CH54"</f>
        <v>35CH54</v>
      </c>
      <c r="B6512" t="str">
        <f>"adaptor for condensor"</f>
        <v>adaptor for condensor</v>
      </c>
      <c r="C6512" t="str">
        <f t="shared" si="254"/>
        <v>Active</v>
      </c>
    </row>
    <row r="6513" spans="1:3" ht="18" customHeight="1">
      <c r="A6513" t="str">
        <f>"35CH55"</f>
        <v>35CH55</v>
      </c>
      <c r="B6513" t="str">
        <f>"distilling flask"</f>
        <v>distilling flask</v>
      </c>
      <c r="C6513" t="str">
        <f t="shared" si="254"/>
        <v>Active</v>
      </c>
    </row>
    <row r="6514" spans="1:3" ht="18" customHeight="1">
      <c r="A6514" t="str">
        <f>"35CH56"</f>
        <v>35CH56</v>
      </c>
      <c r="B6514" t="str">
        <f>"arlenmayer"</f>
        <v>arlenmayer</v>
      </c>
      <c r="C6514" t="str">
        <f t="shared" si="254"/>
        <v>Active</v>
      </c>
    </row>
    <row r="6515" spans="1:3" ht="18" customHeight="1">
      <c r="A6515" t="str">
        <f>"35CH57"</f>
        <v>35CH57</v>
      </c>
      <c r="B6515" t="str">
        <f>"boiling stones"</f>
        <v>boiling stones</v>
      </c>
      <c r="C6515" t="str">
        <f t="shared" si="254"/>
        <v>Active</v>
      </c>
    </row>
    <row r="6516" spans="1:3" ht="18" customHeight="1">
      <c r="A6516" t="str">
        <f>"35CH58"</f>
        <v>35CH58</v>
      </c>
      <c r="B6516" t="str">
        <f>"funnel"</f>
        <v>funnel</v>
      </c>
      <c r="C6516" t="str">
        <f t="shared" si="254"/>
        <v>Active</v>
      </c>
    </row>
    <row r="6517" spans="1:3" ht="18" customHeight="1">
      <c r="A6517" t="str">
        <f>"35CH59"</f>
        <v>35CH59</v>
      </c>
      <c r="B6517" t="str">
        <f>"pirex beeker 10 ml"</f>
        <v>pirex beeker 10 ml</v>
      </c>
      <c r="C6517" t="str">
        <f t="shared" si="254"/>
        <v>Active</v>
      </c>
    </row>
    <row r="6518" spans="1:3" ht="18" customHeight="1">
      <c r="A6518" t="str">
        <f>"35CH60"</f>
        <v>35CH60</v>
      </c>
      <c r="B6518" t="str">
        <f>"pirex glass 250 ml"</f>
        <v>pirex glass 250 ml</v>
      </c>
      <c r="C6518" t="str">
        <f t="shared" si="254"/>
        <v>Active</v>
      </c>
    </row>
    <row r="6519" spans="1:3" ht="18" customHeight="1">
      <c r="A6519" t="str">
        <f>"35CH61"</f>
        <v>35CH61</v>
      </c>
      <c r="B6519" t="str">
        <f>"pirex glass 600 ml"</f>
        <v>pirex glass 600 ml</v>
      </c>
      <c r="C6519" t="str">
        <f t="shared" si="254"/>
        <v>Active</v>
      </c>
    </row>
    <row r="6520" spans="1:3" ht="18" customHeight="1">
      <c r="A6520" t="str">
        <f>"35CH62"</f>
        <v>35CH62</v>
      </c>
      <c r="B6520" t="str">
        <f>"tweezers"</f>
        <v>tweezers</v>
      </c>
      <c r="C6520" t="str">
        <f t="shared" si="254"/>
        <v>Active</v>
      </c>
    </row>
    <row r="6521" spans="1:3" ht="18" customHeight="1">
      <c r="A6521" t="str">
        <f>"35CH63"</f>
        <v>35CH63</v>
      </c>
      <c r="B6521" t="str">
        <f>"safety glasses"</f>
        <v>safety glasses</v>
      </c>
      <c r="C6521" t="str">
        <f t="shared" si="254"/>
        <v>Active</v>
      </c>
    </row>
    <row r="6522" spans="1:3" ht="18" customHeight="1">
      <c r="A6522" t="str">
        <f>"35CH64"</f>
        <v>35CH64</v>
      </c>
      <c r="B6522" t="str">
        <f>"Cork 100ml OD35,ID30, H24"</f>
        <v>Cork 100ml OD35,ID30, H24</v>
      </c>
      <c r="C6522" t="str">
        <f t="shared" si="254"/>
        <v>Active</v>
      </c>
    </row>
    <row r="6523" spans="1:3" ht="18" customHeight="1">
      <c r="A6523" t="str">
        <f>"35PH01"</f>
        <v>35PH01</v>
      </c>
      <c r="B6523" t="str">
        <f>"Rheostat 15 ohm"</f>
        <v>Rheostat 15 ohm</v>
      </c>
      <c r="C6523" t="str">
        <f t="shared" si="254"/>
        <v>Active</v>
      </c>
    </row>
    <row r="6524" spans="1:3" ht="18" customHeight="1">
      <c r="A6524" t="str">
        <f>"35PH02"</f>
        <v>35PH02</v>
      </c>
      <c r="B6524" t="str">
        <f>"Diode (changed for #408209)"</f>
        <v>Diode (changed for #408209)</v>
      </c>
      <c r="C6524" t="str">
        <f>"Not for purc"</f>
        <v>Not for purc</v>
      </c>
    </row>
    <row r="6525" spans="1:3" ht="18" customHeight="1">
      <c r="A6525" t="str">
        <f>"35PH03"</f>
        <v>35PH03</v>
      </c>
      <c r="B6525" t="str">
        <f>"Signal generator with power amplifier"</f>
        <v>Signal generator with power amplifier</v>
      </c>
      <c r="C6525" t="str">
        <f>"Active"</f>
        <v>Active</v>
      </c>
    </row>
    <row r="6526" spans="1:3" ht="18" customHeight="1">
      <c r="A6526" t="str">
        <f>"35PH04"</f>
        <v>35PH04</v>
      </c>
      <c r="B6526" t="str">
        <f>"Laboratory scales"</f>
        <v>Laboratory scales</v>
      </c>
      <c r="C6526" t="str">
        <f>"Active"</f>
        <v>Active</v>
      </c>
    </row>
    <row r="6527" spans="1:3" ht="18" customHeight="1">
      <c r="A6527" t="str">
        <f>"35PH05"</f>
        <v>35PH05</v>
      </c>
      <c r="B6527" t="str">
        <f>"Level"</f>
        <v>Level</v>
      </c>
      <c r="C6527" t="str">
        <f>"Active"</f>
        <v>Active</v>
      </c>
    </row>
    <row r="6528" spans="1:3" ht="18" customHeight="1">
      <c r="A6528" t="str">
        <f>"35PH06"</f>
        <v>35PH06</v>
      </c>
      <c r="B6528" t="str">
        <f>"Capacitor C~20 microF (changed for #404508)"</f>
        <v>Capacitor C~20 microF (changed for #404508)</v>
      </c>
      <c r="C6528" t="str">
        <f>"Inactive"</f>
        <v>Inactive</v>
      </c>
    </row>
    <row r="6529" spans="1:3" ht="18" customHeight="1">
      <c r="A6529" t="str">
        <f>"35PH07"</f>
        <v>35PH07</v>
      </c>
      <c r="B6529" t="str">
        <f>"Spring 15 N/m"</f>
        <v>Spring 15 N/m</v>
      </c>
      <c r="C6529" t="str">
        <f t="shared" ref="C6529:C6572" si="255">"Active"</f>
        <v>Active</v>
      </c>
    </row>
    <row r="6530" spans="1:3" ht="18" customHeight="1">
      <c r="A6530" t="str">
        <f>"35PH08"</f>
        <v>35PH08</v>
      </c>
      <c r="B6530" t="str">
        <f>"Mass Hangar with slotted masses"</f>
        <v>Mass Hangar with slotted masses</v>
      </c>
      <c r="C6530" t="str">
        <f t="shared" si="255"/>
        <v>Active</v>
      </c>
    </row>
    <row r="6531" spans="1:3" ht="18" customHeight="1">
      <c r="A6531" t="str">
        <f>"35PH09"</f>
        <v>35PH09</v>
      </c>
      <c r="B6531" t="str">
        <f>"Stand and right angle clamps"</f>
        <v>Stand and right angle clamps</v>
      </c>
      <c r="C6531" t="str">
        <f t="shared" si="255"/>
        <v>Active</v>
      </c>
    </row>
    <row r="6532" spans="1:3" ht="18" customHeight="1">
      <c r="A6532" t="str">
        <f>"35PH10"</f>
        <v>35PH10</v>
      </c>
      <c r="B6532" t="str">
        <f>"Weight 100 g"</f>
        <v>Weight 100 g</v>
      </c>
      <c r="C6532" t="str">
        <f t="shared" si="255"/>
        <v>Active</v>
      </c>
    </row>
    <row r="6533" spans="1:3" ht="18" customHeight="1">
      <c r="A6533" t="str">
        <f>"35PH11"</f>
        <v>35PH11</v>
      </c>
      <c r="B6533" t="str">
        <f>"Weight 10g"</f>
        <v>Weight 10g</v>
      </c>
      <c r="C6533" t="str">
        <f t="shared" si="255"/>
        <v>Active</v>
      </c>
    </row>
    <row r="6534" spans="1:3" ht="18" customHeight="1">
      <c r="A6534" t="str">
        <f>"35PH12"</f>
        <v>35PH12</v>
      </c>
      <c r="B6534" t="str">
        <f>"Weight 20g"</f>
        <v>Weight 20g</v>
      </c>
      <c r="C6534" t="str">
        <f t="shared" si="255"/>
        <v>Active</v>
      </c>
    </row>
    <row r="6535" spans="1:3" ht="18" customHeight="1">
      <c r="A6535" t="str">
        <f>"35PH13"</f>
        <v>35PH13</v>
      </c>
      <c r="B6535" t="str">
        <f>"1.5 V battery holder"</f>
        <v>1.5 V battery holder</v>
      </c>
      <c r="C6535" t="str">
        <f t="shared" si="255"/>
        <v>Active</v>
      </c>
    </row>
    <row r="6536" spans="1:3" ht="18" customHeight="1">
      <c r="A6536" t="str">
        <f>"35PH14"</f>
        <v>35PH14</v>
      </c>
      <c r="B6536" t="str">
        <f>"Torch bulbs 2.2 V"</f>
        <v>Torch bulbs 2.2 V</v>
      </c>
      <c r="C6536" t="str">
        <f t="shared" si="255"/>
        <v>Active</v>
      </c>
    </row>
    <row r="6537" spans="1:3" ht="18" customHeight="1">
      <c r="A6537" t="str">
        <f>"35PH15"</f>
        <v>35PH15</v>
      </c>
      <c r="B6537" t="str">
        <f>"Conducting wires (5M)"</f>
        <v>Conducting wires (5M)</v>
      </c>
      <c r="C6537" t="str">
        <f t="shared" si="255"/>
        <v>Active</v>
      </c>
    </row>
    <row r="6538" spans="1:3" ht="18" customHeight="1">
      <c r="A6538" t="str">
        <f>"35PH16"</f>
        <v>35PH16</v>
      </c>
      <c r="B6538" t="str">
        <f>"Switch (on/off)"</f>
        <v>Switch (on/off)</v>
      </c>
      <c r="C6538" t="str">
        <f t="shared" si="255"/>
        <v>Active</v>
      </c>
    </row>
    <row r="6539" spans="1:3" ht="18" customHeight="1">
      <c r="A6539" t="str">
        <f>"35PH17"</f>
        <v>35PH17</v>
      </c>
      <c r="B6539" t="str">
        <f>"Nichrome Resistance wire  diameter 0.5mm (5M)"</f>
        <v>Nichrome Resistance wire  diameter 0.5mm (5M)</v>
      </c>
      <c r="C6539" t="str">
        <f t="shared" si="255"/>
        <v>Active</v>
      </c>
    </row>
    <row r="6540" spans="1:3" ht="18" customHeight="1">
      <c r="A6540" t="str">
        <f>"35PH18"</f>
        <v>35PH18</v>
      </c>
      <c r="B6540" t="str">
        <f>"Aligator clips"</f>
        <v>Aligator clips</v>
      </c>
      <c r="C6540" t="str">
        <f t="shared" si="255"/>
        <v>Active</v>
      </c>
    </row>
    <row r="6541" spans="1:3" ht="18" customHeight="1">
      <c r="A6541" t="str">
        <f>"35PH19"</f>
        <v>35PH19</v>
      </c>
      <c r="B6541" t="str">
        <f>"Resistor 15.2ohm"</f>
        <v>Resistor 15.2ohm</v>
      </c>
      <c r="C6541" t="str">
        <f t="shared" si="255"/>
        <v>Active</v>
      </c>
    </row>
    <row r="6542" spans="1:3" ht="18" customHeight="1">
      <c r="A6542" t="str">
        <f>"35PH20"</f>
        <v>35PH20</v>
      </c>
      <c r="B6542" t="str">
        <f>"Resistor 25.6ohm"</f>
        <v>Resistor 25.6ohm</v>
      </c>
      <c r="C6542" t="str">
        <f t="shared" si="255"/>
        <v>Active</v>
      </c>
    </row>
    <row r="6543" spans="1:3" ht="18" customHeight="1">
      <c r="A6543" t="str">
        <f>"35PH21"</f>
        <v>35PH21</v>
      </c>
      <c r="B6543" t="str">
        <f>"Resistor 33ohm"</f>
        <v>Resistor 33ohm</v>
      </c>
      <c r="C6543" t="str">
        <f t="shared" si="255"/>
        <v>Active</v>
      </c>
    </row>
    <row r="6544" spans="1:3" ht="18" customHeight="1">
      <c r="A6544" t="str">
        <f>"35PH22"</f>
        <v>35PH22</v>
      </c>
      <c r="B6544" t="str">
        <f>"Resistor 8.2 ohm"</f>
        <v>Resistor 8.2 ohm</v>
      </c>
      <c r="C6544" t="str">
        <f t="shared" si="255"/>
        <v>Active</v>
      </c>
    </row>
    <row r="6545" spans="1:3" ht="18" customHeight="1">
      <c r="A6545" t="str">
        <f>"35PH23"</f>
        <v>35PH23</v>
      </c>
      <c r="B6545" t="str">
        <f>"Resistor 2.2 ohm"</f>
        <v>Resistor 2.2 ohm</v>
      </c>
      <c r="C6545" t="str">
        <f t="shared" si="255"/>
        <v>Active</v>
      </c>
    </row>
    <row r="6546" spans="1:3" ht="18" customHeight="1">
      <c r="A6546" t="str">
        <f>"35PH24"</f>
        <v>35PH24</v>
      </c>
      <c r="B6546" t="str">
        <f>"Box of capacitors"</f>
        <v>Box of capacitors</v>
      </c>
      <c r="C6546" t="str">
        <f t="shared" si="255"/>
        <v>Active</v>
      </c>
    </row>
    <row r="6547" spans="1:3" ht="18" customHeight="1">
      <c r="A6547" t="str">
        <f>"35PH25"</f>
        <v>35PH25</v>
      </c>
      <c r="B6547" t="str">
        <f>"Box of resistors"</f>
        <v>Box of resistors</v>
      </c>
      <c r="C6547" t="str">
        <f t="shared" si="255"/>
        <v>Active</v>
      </c>
    </row>
    <row r="6548" spans="1:3" ht="18" customHeight="1">
      <c r="A6548" t="str">
        <f>"35PH26"</f>
        <v>35PH26</v>
      </c>
      <c r="B6548" t="str">
        <f>"Switch one pole, two positions (1P2T)"</f>
        <v>Switch one pole, two positions (1P2T)</v>
      </c>
      <c r="C6548" t="str">
        <f t="shared" si="255"/>
        <v>Active</v>
      </c>
    </row>
    <row r="6549" spans="1:3" ht="18" customHeight="1">
      <c r="A6549" t="str">
        <f>"35PH27"</f>
        <v>35PH27</v>
      </c>
      <c r="B6549" t="str">
        <f>"Bar magnet"</f>
        <v>Bar magnet</v>
      </c>
      <c r="C6549" t="str">
        <f t="shared" si="255"/>
        <v>Active</v>
      </c>
    </row>
    <row r="6550" spans="1:3" ht="18" customHeight="1">
      <c r="A6550" t="str">
        <f>"35PH28"</f>
        <v>35PH28</v>
      </c>
      <c r="B6550" t="str">
        <f>"10A DC power Supply"</f>
        <v>10A DC power Supply</v>
      </c>
      <c r="C6550" t="str">
        <f t="shared" si="255"/>
        <v>Active</v>
      </c>
    </row>
    <row r="6551" spans="1:3" ht="18" customHeight="1">
      <c r="A6551" t="str">
        <f>"35PH29"</f>
        <v>35PH29</v>
      </c>
      <c r="B6551" t="str">
        <f>"Plastic rods"</f>
        <v>Plastic rods</v>
      </c>
      <c r="C6551" t="str">
        <f t="shared" si="255"/>
        <v>Active</v>
      </c>
    </row>
    <row r="6552" spans="1:3" ht="18" customHeight="1">
      <c r="A6552" t="str">
        <f>"35PH30"</f>
        <v>35PH30</v>
      </c>
      <c r="B6552" t="str">
        <f>"Basket ball diam.~9"", weight~5 kg"</f>
        <v>Basket ball diam.~9", weight~5 kg</v>
      </c>
      <c r="C6552" t="str">
        <f t="shared" si="255"/>
        <v>Active</v>
      </c>
    </row>
    <row r="6553" spans="1:3" ht="18" customHeight="1">
      <c r="A6553" t="str">
        <f>"35PH31"</f>
        <v>35PH31</v>
      </c>
      <c r="B6553" t="str">
        <f>"Ping pong ball"</f>
        <v>Ping pong ball</v>
      </c>
      <c r="C6553" t="str">
        <f t="shared" si="255"/>
        <v>Active</v>
      </c>
    </row>
    <row r="6554" spans="1:3" ht="18" customHeight="1">
      <c r="A6554" t="str">
        <f>"35PH32"</f>
        <v>35PH32</v>
      </c>
      <c r="B6554" t="str">
        <f>"Plasic ruler 30 cm"</f>
        <v>Plasic ruler 30 cm</v>
      </c>
      <c r="C6554" t="str">
        <f t="shared" si="255"/>
        <v>Active</v>
      </c>
    </row>
    <row r="6555" spans="1:3" ht="18" customHeight="1">
      <c r="A6555" t="str">
        <f>"35PH33"</f>
        <v>35PH33</v>
      </c>
      <c r="B6555" t="str">
        <f>"Meter stick"</f>
        <v>Meter stick</v>
      </c>
      <c r="C6555" t="str">
        <f t="shared" si="255"/>
        <v>Active</v>
      </c>
    </row>
    <row r="6556" spans="1:3" ht="18" customHeight="1">
      <c r="A6556" t="str">
        <f>"35PH34"</f>
        <v>35PH34</v>
      </c>
      <c r="B6556" t="str">
        <f>"Masking tape"</f>
        <v>Masking tape</v>
      </c>
      <c r="C6556" t="str">
        <f t="shared" si="255"/>
        <v>Active</v>
      </c>
    </row>
    <row r="6557" spans="1:3" ht="18" customHeight="1">
      <c r="A6557" t="str">
        <f>"35PH35"</f>
        <v>35PH35</v>
      </c>
      <c r="B6557" t="str">
        <f>"String roll"</f>
        <v>String roll</v>
      </c>
      <c r="C6557" t="str">
        <f t="shared" si="255"/>
        <v>Active</v>
      </c>
    </row>
    <row r="6558" spans="1:3" ht="18" customHeight="1">
      <c r="A6558" t="str">
        <f>"35PH36"</f>
        <v>35PH36</v>
      </c>
      <c r="B6558" t="str">
        <f>"Wooden weight block"</f>
        <v>Wooden weight block</v>
      </c>
      <c r="C6558" t="str">
        <f t="shared" si="255"/>
        <v>Active</v>
      </c>
    </row>
    <row r="6559" spans="1:3" ht="18" customHeight="1">
      <c r="A6559" t="str">
        <f>"35PH37"</f>
        <v>35PH37</v>
      </c>
      <c r="B6559" t="str">
        <f>"Rubber bands"</f>
        <v>Rubber bands</v>
      </c>
      <c r="C6559" t="str">
        <f t="shared" si="255"/>
        <v>Active</v>
      </c>
    </row>
    <row r="6560" spans="1:3" ht="18" customHeight="1">
      <c r="A6560" t="str">
        <f>"35PH38"</f>
        <v>35PH38</v>
      </c>
      <c r="B6560" t="str">
        <f>"1.5 V batteries"</f>
        <v>1.5 V batteries</v>
      </c>
      <c r="C6560" t="str">
        <f t="shared" si="255"/>
        <v>Active</v>
      </c>
    </row>
    <row r="6561" spans="1:3" ht="18" customHeight="1">
      <c r="A6561" t="str">
        <f>"35PH39"</f>
        <v>35PH39</v>
      </c>
      <c r="B6561" t="str">
        <f>"Clear tape"</f>
        <v>Clear tape</v>
      </c>
      <c r="C6561" t="str">
        <f t="shared" si="255"/>
        <v>Active</v>
      </c>
    </row>
    <row r="6562" spans="1:3" ht="18" customHeight="1">
      <c r="A6562" t="str">
        <f>"35PH40"</f>
        <v>35PH40</v>
      </c>
      <c r="B6562" t="str">
        <f>"Plastic ruler"</f>
        <v>Plastic ruler</v>
      </c>
      <c r="C6562" t="str">
        <f t="shared" si="255"/>
        <v>Active</v>
      </c>
    </row>
    <row r="6563" spans="1:3" ht="18" customHeight="1">
      <c r="A6563" t="str">
        <f>"35PH41"</f>
        <v>35PH41</v>
      </c>
      <c r="B6563" t="str">
        <f>"Marble"</f>
        <v>Marble</v>
      </c>
      <c r="C6563" t="str">
        <f t="shared" si="255"/>
        <v>Active</v>
      </c>
    </row>
    <row r="6564" spans="1:3" ht="18" customHeight="1">
      <c r="A6564" t="str">
        <f>"35PH42"</f>
        <v>35PH42</v>
      </c>
      <c r="B6564" t="str">
        <f>"Bulb 3.8V"</f>
        <v>Bulb 3.8V</v>
      </c>
      <c r="C6564" t="str">
        <f t="shared" si="255"/>
        <v>Active</v>
      </c>
    </row>
    <row r="6565" spans="1:3" ht="18" customHeight="1">
      <c r="A6565" t="str">
        <f>"35PH43"</f>
        <v>35PH43</v>
      </c>
      <c r="B6565" t="str">
        <f>"Bulb holder"</f>
        <v>Bulb holder</v>
      </c>
      <c r="C6565" t="str">
        <f t="shared" si="255"/>
        <v>Active</v>
      </c>
    </row>
    <row r="6566" spans="1:3" ht="18" customHeight="1">
      <c r="A6566" t="str">
        <f>"35PH44"</f>
        <v>35PH44</v>
      </c>
      <c r="B6566" t="str">
        <f>"Protractor"</f>
        <v>Protractor</v>
      </c>
      <c r="C6566" t="str">
        <f t="shared" si="255"/>
        <v>Active</v>
      </c>
    </row>
    <row r="6567" spans="1:3" ht="18" customHeight="1">
      <c r="A6567" t="str">
        <f>"35PH45"</f>
        <v>35PH45</v>
      </c>
      <c r="B6567" t="str">
        <f>"Caliper"</f>
        <v>Caliper</v>
      </c>
      <c r="C6567" t="str">
        <f t="shared" si="255"/>
        <v>Active</v>
      </c>
    </row>
    <row r="6568" spans="1:3" ht="18" customHeight="1">
      <c r="A6568" t="str">
        <f>"35PH46"</f>
        <v>35PH46</v>
      </c>
      <c r="B6568" t="str">
        <f>"500 turnsCoil"</f>
        <v>500 turnsCoil</v>
      </c>
      <c r="C6568" t="str">
        <f t="shared" si="255"/>
        <v>Active</v>
      </c>
    </row>
    <row r="6569" spans="1:3" ht="18" customHeight="1">
      <c r="A6569" t="str">
        <f>"35PH47"</f>
        <v>35PH47</v>
      </c>
      <c r="B6569" t="str">
        <f>"Weight 600g"</f>
        <v>Weight 600g</v>
      </c>
      <c r="C6569" t="str">
        <f t="shared" si="255"/>
        <v>Active</v>
      </c>
    </row>
    <row r="6570" spans="1:3" ht="18" customHeight="1">
      <c r="A6570" t="str">
        <f>"35PH48"</f>
        <v>35PH48</v>
      </c>
      <c r="B6570" t="str">
        <f>"Transformer set"</f>
        <v>Transformer set</v>
      </c>
      <c r="C6570" t="str">
        <f t="shared" si="255"/>
        <v>Active</v>
      </c>
    </row>
    <row r="6571" spans="1:3" ht="18" customHeight="1">
      <c r="A6571" t="str">
        <f>"35PH49"</f>
        <v>35PH49</v>
      </c>
      <c r="B6571" t="str">
        <f>"Wire with banana connector"</f>
        <v>Wire with banana connector</v>
      </c>
      <c r="C6571" t="str">
        <f t="shared" si="255"/>
        <v>Active</v>
      </c>
    </row>
    <row r="6572" spans="1:3" ht="18" customHeight="1">
      <c r="A6572" t="str">
        <f>"35PH50"</f>
        <v>35PH50</v>
      </c>
      <c r="B6572" t="str">
        <f>"Adjustable spanner"</f>
        <v>Adjustable spanner</v>
      </c>
      <c r="C6572" t="str">
        <f t="shared" si="255"/>
        <v>Active</v>
      </c>
    </row>
    <row r="6573" spans="1:3" ht="18" customHeight="1">
      <c r="A6573" t="str">
        <f>"35PH51"</f>
        <v>35PH51</v>
      </c>
      <c r="B6573" t="str">
        <f>"flat Screwdriver(changed for #330214)"</f>
        <v>flat Screwdriver(changed for #330214)</v>
      </c>
      <c r="C6573" t="str">
        <f>"Inactive"</f>
        <v>Inactive</v>
      </c>
    </row>
    <row r="6574" spans="1:3" ht="18" customHeight="1">
      <c r="A6574" t="str">
        <f>"35PH52"</f>
        <v>35PH52</v>
      </c>
      <c r="B6574" t="str">
        <f>"Polystyrene square 10x10 CM"</f>
        <v>Polystyrene square 10x10 CM</v>
      </c>
      <c r="C6574" t="str">
        <f t="shared" ref="C6574:C6605" si="256">"Active"</f>
        <v>Active</v>
      </c>
    </row>
    <row r="6575" spans="1:3" ht="18" customHeight="1">
      <c r="A6575" t="str">
        <f>"35SC01"</f>
        <v>35SC01</v>
      </c>
      <c r="B6575" t="str">
        <f>"USBLink"</f>
        <v>USBLink</v>
      </c>
      <c r="C6575" t="str">
        <f t="shared" si="256"/>
        <v>Active</v>
      </c>
    </row>
    <row r="6576" spans="1:3" ht="18" customHeight="1">
      <c r="A6576" t="str">
        <f>"35SC02"</f>
        <v>35SC02</v>
      </c>
      <c r="B6576" t="str">
        <f>"Cable sensor 1.5m"</f>
        <v>Cable sensor 1.5m</v>
      </c>
      <c r="C6576" t="str">
        <f t="shared" si="256"/>
        <v>Active</v>
      </c>
    </row>
    <row r="6577" spans="1:3" ht="18" customHeight="1">
      <c r="A6577" t="str">
        <f>"35SC04"</f>
        <v>35SC04</v>
      </c>
      <c r="B6577" t="str">
        <f>"Humidity sensor +/-5%"</f>
        <v>Humidity sensor +/-5%</v>
      </c>
      <c r="C6577" t="str">
        <f t="shared" si="256"/>
        <v>Active</v>
      </c>
    </row>
    <row r="6578" spans="1:3" ht="18" customHeight="1">
      <c r="A6578" t="str">
        <f>"35SC05"</f>
        <v>35SC05</v>
      </c>
      <c r="B6578" t="str">
        <f>"Light sensor"</f>
        <v>Light sensor</v>
      </c>
      <c r="C6578" t="str">
        <f t="shared" si="256"/>
        <v>Active</v>
      </c>
    </row>
    <row r="6579" spans="1:3" ht="18" customHeight="1">
      <c r="A6579" t="str">
        <f>"35SC06"</f>
        <v>35SC06</v>
      </c>
      <c r="B6579" t="str">
        <f>"PH sensor (Included Electrode)"</f>
        <v>PH sensor (Included Electrode)</v>
      </c>
      <c r="C6579" t="str">
        <f t="shared" si="256"/>
        <v>Active</v>
      </c>
    </row>
    <row r="6580" spans="1:3" ht="18" customHeight="1">
      <c r="A6580" t="str">
        <f>"35SC08"</f>
        <v>35SC08</v>
      </c>
      <c r="B6580" t="str">
        <f>"Heart rate sensor"</f>
        <v>Heart rate sensor</v>
      </c>
      <c r="C6580" t="str">
        <f t="shared" si="256"/>
        <v>Active</v>
      </c>
    </row>
    <row r="6581" spans="1:3" ht="18" customHeight="1">
      <c r="A6581" t="str">
        <f>"35SC09"</f>
        <v>35SC09</v>
      </c>
      <c r="B6581" t="str">
        <f>"Colorimeter sensor"</f>
        <v>Colorimeter sensor</v>
      </c>
      <c r="C6581" t="str">
        <f t="shared" si="256"/>
        <v>Active</v>
      </c>
    </row>
    <row r="6582" spans="1:3" ht="18" customHeight="1">
      <c r="A6582" t="str">
        <f>"35SC10"</f>
        <v>35SC10</v>
      </c>
      <c r="B6582" t="str">
        <f>"NTC Cable-25-110C"</f>
        <v>NTC Cable-25-110C</v>
      </c>
      <c r="C6582" t="str">
        <f t="shared" si="256"/>
        <v>Active</v>
      </c>
    </row>
    <row r="6583" spans="1:3" ht="18" customHeight="1">
      <c r="A6583" t="str">
        <f>"35SC12"</f>
        <v>35SC12</v>
      </c>
      <c r="B6583" t="str">
        <f>"Pressure sensor 1150mB"</f>
        <v>Pressure sensor 1150mB</v>
      </c>
      <c r="C6583" t="str">
        <f t="shared" si="256"/>
        <v>Active</v>
      </c>
    </row>
    <row r="6584" spans="1:3" ht="18" customHeight="1">
      <c r="A6584" t="str">
        <f>"35SC13"</f>
        <v>35SC13</v>
      </c>
      <c r="B6584" t="str">
        <f>"Conductivity sensor"</f>
        <v>Conductivity sensor</v>
      </c>
      <c r="C6584" t="str">
        <f t="shared" si="256"/>
        <v>Active</v>
      </c>
    </row>
    <row r="6585" spans="1:3" ht="18" customHeight="1">
      <c r="A6585" t="str">
        <f>"35SC14"</f>
        <v>35SC14</v>
      </c>
      <c r="B6585" t="str">
        <f>"Pressure sensor 700Kpa"</f>
        <v>Pressure sensor 700Kpa</v>
      </c>
      <c r="C6585" t="str">
        <f t="shared" si="256"/>
        <v>Active</v>
      </c>
    </row>
    <row r="6586" spans="1:3" ht="18" customHeight="1">
      <c r="A6586" t="str">
        <f>"35SC15"</f>
        <v>35SC15</v>
      </c>
      <c r="B6586" t="str">
        <f>"Current sensor 2.5A"</f>
        <v>Current sensor 2.5A</v>
      </c>
      <c r="C6586" t="str">
        <f t="shared" si="256"/>
        <v>Active</v>
      </c>
    </row>
    <row r="6587" spans="1:3" ht="18" customHeight="1">
      <c r="A6587" t="str">
        <f>"35SC16"</f>
        <v>35SC16</v>
      </c>
      <c r="B6587" t="str">
        <f>"Distance sensor .2 to10m"</f>
        <v>Distance sensor .2 to10m</v>
      </c>
      <c r="C6587" t="str">
        <f t="shared" si="256"/>
        <v>Active</v>
      </c>
    </row>
    <row r="6588" spans="1:3" ht="18" customHeight="1">
      <c r="A6588" t="str">
        <f>"35SC17"</f>
        <v>35SC17</v>
      </c>
      <c r="B6588" t="str">
        <f>"Force sensor"</f>
        <v>Force sensor</v>
      </c>
      <c r="C6588" t="str">
        <f t="shared" si="256"/>
        <v>Active</v>
      </c>
    </row>
    <row r="6589" spans="1:3" ht="18" customHeight="1">
      <c r="A6589" t="str">
        <f>"35SC18"</f>
        <v>35SC18</v>
      </c>
      <c r="B6589" t="str">
        <f>"Sensor magnetic field"</f>
        <v>Sensor magnetic field</v>
      </c>
      <c r="C6589" t="str">
        <f t="shared" si="256"/>
        <v>Active</v>
      </c>
    </row>
    <row r="6590" spans="1:3" ht="18" customHeight="1">
      <c r="A6590" t="str">
        <f>"35SC19"</f>
        <v>35SC19</v>
      </c>
      <c r="B6590" t="str">
        <f>"Voltage multy range sensor"</f>
        <v>Voltage multy range sensor</v>
      </c>
      <c r="C6590" t="str">
        <f t="shared" si="256"/>
        <v>Active</v>
      </c>
    </row>
    <row r="6591" spans="1:3" ht="18" customHeight="1">
      <c r="A6591" t="str">
        <f>"35SC20"</f>
        <v>35SC20</v>
      </c>
      <c r="B6591" t="str">
        <f>"Current sensor 250mA"</f>
        <v>Current sensor 250mA</v>
      </c>
      <c r="C6591" t="str">
        <f t="shared" si="256"/>
        <v>Active</v>
      </c>
    </row>
    <row r="6592" spans="1:3" ht="18" customHeight="1">
      <c r="A6592" t="str">
        <f>"35SC21"</f>
        <v>35SC21</v>
      </c>
      <c r="B6592" t="str">
        <f>"Photogate sensor"</f>
        <v>Photogate sensor</v>
      </c>
      <c r="C6592" t="str">
        <f t="shared" si="256"/>
        <v>Active</v>
      </c>
    </row>
    <row r="6593" spans="1:3" ht="18" customHeight="1">
      <c r="A6593" t="str">
        <f>"35SC22"</f>
        <v>35SC22</v>
      </c>
      <c r="B6593" t="str">
        <f>"Rotary motion sensor"</f>
        <v>Rotary motion sensor</v>
      </c>
      <c r="C6593" t="str">
        <f t="shared" si="256"/>
        <v>Active</v>
      </c>
    </row>
    <row r="6594" spans="1:3" ht="18" customHeight="1">
      <c r="A6594" t="str">
        <f>"35SC23"</f>
        <v>35SC23</v>
      </c>
      <c r="B6594" t="str">
        <f>"Dynamic system"</f>
        <v>Dynamic system</v>
      </c>
      <c r="C6594" t="str">
        <f t="shared" si="256"/>
        <v>Active</v>
      </c>
    </row>
    <row r="6595" spans="1:3" ht="18" customHeight="1">
      <c r="A6595" t="str">
        <f>"35SC24"</f>
        <v>35SC24</v>
      </c>
      <c r="B6595" t="str">
        <f>"Splitter Cable"</f>
        <v>Splitter Cable</v>
      </c>
      <c r="C6595" t="str">
        <f t="shared" si="256"/>
        <v>Active</v>
      </c>
    </row>
    <row r="6596" spans="1:3" ht="18" customHeight="1">
      <c r="A6596" t="str">
        <f>"35SC25"</f>
        <v>35SC25</v>
      </c>
      <c r="B6596" t="str">
        <f>"Oxygen sensor che"</f>
        <v>Oxygen sensor che</v>
      </c>
      <c r="C6596" t="str">
        <f t="shared" si="256"/>
        <v>Active</v>
      </c>
    </row>
    <row r="6597" spans="1:3" ht="18" customHeight="1">
      <c r="A6597" t="str">
        <f>"35SC26"</f>
        <v>35SC26</v>
      </c>
      <c r="B6597" t="str">
        <f>"Microphone"</f>
        <v>Microphone</v>
      </c>
      <c r="C6597" t="str">
        <f t="shared" si="256"/>
        <v>Active</v>
      </c>
    </row>
    <row r="6598" spans="1:3" ht="18" customHeight="1">
      <c r="A6598" t="str">
        <f>"35SC27"</f>
        <v>35SC27</v>
      </c>
      <c r="B6598" t="str">
        <f>"CO2 Sensor (350-5000 ppm)"</f>
        <v>CO2 Sensor (350-5000 ppm)</v>
      </c>
      <c r="C6598" t="str">
        <f t="shared" si="256"/>
        <v>Active</v>
      </c>
    </row>
    <row r="6599" spans="1:3" ht="18" customHeight="1">
      <c r="A6599" t="str">
        <f>"35SC28"</f>
        <v>35SC28</v>
      </c>
      <c r="B6599" t="str">
        <f>"Flow Rate"</f>
        <v>Flow Rate</v>
      </c>
      <c r="C6599" t="str">
        <f t="shared" si="256"/>
        <v>Active</v>
      </c>
    </row>
    <row r="6600" spans="1:3" ht="18" customHeight="1">
      <c r="A6600" t="str">
        <f>"35SC29"</f>
        <v>35SC29</v>
      </c>
      <c r="B6600" t="str">
        <f>"Drop Counter"</f>
        <v>Drop Counter</v>
      </c>
      <c r="C6600" t="str">
        <f t="shared" si="256"/>
        <v>Active</v>
      </c>
    </row>
    <row r="6601" spans="1:3" ht="18" customHeight="1">
      <c r="A6601" t="str">
        <f>"35SU01"</f>
        <v>35SU01</v>
      </c>
      <c r="B6601" t="str">
        <f>"Aluminum Case"</f>
        <v>Aluminum Case</v>
      </c>
      <c r="C6601" t="str">
        <f t="shared" si="256"/>
        <v>Active</v>
      </c>
    </row>
    <row r="6602" spans="1:3" ht="18" customHeight="1">
      <c r="A6602" t="str">
        <f>"36-0000-0006"</f>
        <v>36-0000-0006</v>
      </c>
      <c r="B6602" t="str">
        <f>"JM, Gage, Wire, US Standard Mitutoyo"</f>
        <v>JM, Gage, Wire, US Standard Mitutoyo</v>
      </c>
      <c r="C6602" t="str">
        <f t="shared" si="256"/>
        <v>Active</v>
      </c>
    </row>
    <row r="6603" spans="1:3" ht="18" customHeight="1">
      <c r="A6603" t="str">
        <f>"36-0000-0007"</f>
        <v>36-0000-0007</v>
      </c>
      <c r="B6603" t="str">
        <f>"JM, Resistance Coil Package"</f>
        <v>JM, Resistance Coil Package</v>
      </c>
      <c r="C6603" t="str">
        <f t="shared" si="256"/>
        <v>Active</v>
      </c>
    </row>
    <row r="6604" spans="1:3" ht="18" customHeight="1">
      <c r="A6604" t="str">
        <f>"36-0000-0008"</f>
        <v>36-0000-0008</v>
      </c>
      <c r="B6604" t="str">
        <f>"JM, Solar Cell, Encapsulated 0.45V/200mA"</f>
        <v>JM, Solar Cell, Encapsulated 0.45V/200mA</v>
      </c>
      <c r="C6604" t="str">
        <f t="shared" si="256"/>
        <v>Active</v>
      </c>
    </row>
    <row r="6605" spans="1:3" ht="18" customHeight="1">
      <c r="A6605" t="str">
        <f>"36-0000-0009"</f>
        <v>36-0000-0009</v>
      </c>
      <c r="B6605" t="str">
        <f>"JM, Mini Compass, 1.50"" Diameter"</f>
        <v>JM, Mini Compass, 1.50" Diameter</v>
      </c>
      <c r="C6605" t="str">
        <f t="shared" si="256"/>
        <v>Active</v>
      </c>
    </row>
    <row r="6606" spans="1:3" ht="18" customHeight="1">
      <c r="A6606" t="str">
        <f>"36-0000-0010"</f>
        <v>36-0000-0010</v>
      </c>
      <c r="B6606" t="str">
        <f>"JM, N&amp;S Marked Bar Magnet, 2"""</f>
        <v>JM, N&amp;S Marked Bar Magnet, 2"</v>
      </c>
      <c r="C6606" t="str">
        <f t="shared" ref="C6606:C6637" si="257">"Active"</f>
        <v>Active</v>
      </c>
    </row>
    <row r="6607" spans="1:3" ht="18" customHeight="1">
      <c r="A6607" t="str">
        <f>"36-0000-0011"</f>
        <v>36-0000-0011</v>
      </c>
      <c r="B6607" t="str">
        <f>"JM, Thermocouple, J-type Surface Mount (SA1-J)"</f>
        <v>JM, Thermocouple, J-type Surface Mount (SA1-J)</v>
      </c>
      <c r="C6607" t="str">
        <f t="shared" si="257"/>
        <v>Active</v>
      </c>
    </row>
    <row r="6608" spans="1:3" ht="18" customHeight="1">
      <c r="A6608" t="str">
        <f>"36-0000-0012"</f>
        <v>36-0000-0012</v>
      </c>
      <c r="B6608" t="str">
        <f>"JM, Candelabra Socket, Night Light Bulbs"</f>
        <v>JM, Candelabra Socket, Night Light Bulbs</v>
      </c>
      <c r="C6608" t="str">
        <f t="shared" si="257"/>
        <v>Active</v>
      </c>
    </row>
    <row r="6609" spans="1:3" ht="18" customHeight="1">
      <c r="A6609" t="str">
        <f>"36-0000-0013"</f>
        <v>36-0000-0013</v>
      </c>
      <c r="B6609" t="str">
        <f>"JM, Miniature Socket, Flashlight Bulbs"</f>
        <v>JM, Miniature Socket, Flashlight Bulbs</v>
      </c>
      <c r="C6609" t="str">
        <f t="shared" si="257"/>
        <v>Active</v>
      </c>
    </row>
    <row r="6610" spans="1:3" ht="18" customHeight="1">
      <c r="A6610" t="str">
        <f>"36-0000-0014"</f>
        <v>36-0000-0014</v>
      </c>
      <c r="B6610" t="str">
        <f>"JM, 87dB Pulse Buzzer Radio Shack"</f>
        <v>JM, 87dB Pulse Buzzer Radio Shack</v>
      </c>
      <c r="C6610" t="str">
        <f t="shared" si="257"/>
        <v>Active</v>
      </c>
    </row>
    <row r="6611" spans="1:3" ht="18" customHeight="1">
      <c r="A6611" t="str">
        <f>"36-0000-0018"</f>
        <v>36-0000-0018</v>
      </c>
      <c r="B6611" t="str">
        <f>"JM, Speed Control, DC115V, SCR"</f>
        <v>JM, Speed Control, DC115V, SCR</v>
      </c>
      <c r="C6611" t="str">
        <f t="shared" si="257"/>
        <v>Active</v>
      </c>
    </row>
    <row r="6612" spans="1:3" ht="18" customHeight="1">
      <c r="A6612" t="str">
        <f>"36-0000-0019"</f>
        <v>36-0000-0019</v>
      </c>
      <c r="B6612" t="str">
        <f>"JM, Velcro, 3/4"", Sticky Back, Normal Strength"</f>
        <v>JM, Velcro, 3/4", Sticky Back, Normal Strength</v>
      </c>
      <c r="C6612" t="str">
        <f t="shared" si="257"/>
        <v>Active</v>
      </c>
    </row>
    <row r="6613" spans="1:3" ht="18" customHeight="1">
      <c r="A6613" t="str">
        <f>"36-0000-0021"</f>
        <v>36-0000-0021</v>
      </c>
      <c r="B6613" t="str">
        <f>"JM, Velcro,1 1/2"", StickyBack,IndustrialStrength"</f>
        <v>JM, Velcro,1 1/2", StickyBack,IndustrialStrength</v>
      </c>
      <c r="C6613" t="str">
        <f t="shared" si="257"/>
        <v>Active</v>
      </c>
    </row>
    <row r="6614" spans="1:3" ht="18" customHeight="1">
      <c r="A6614" t="str">
        <f>"36-0000-0023"</f>
        <v>36-0000-0023</v>
      </c>
      <c r="B6614" t="str">
        <f>"JM, Drive, AC Adjustable, 3ph,2hp"</f>
        <v>JM, Drive, AC Adjustable, 3ph,2hp</v>
      </c>
      <c r="C6614" t="str">
        <f t="shared" si="257"/>
        <v>Active</v>
      </c>
    </row>
    <row r="6615" spans="1:3" ht="18" customHeight="1">
      <c r="A6615" t="str">
        <f>"36-0000-0024"</f>
        <v>36-0000-0024</v>
      </c>
      <c r="B6615" t="str">
        <f>"JM, PLC, IDEC microSMART, 24V FC4A-C16R2"</f>
        <v>JM, PLC, IDEC microSMART, 24V FC4A-C16R2</v>
      </c>
      <c r="C6615" t="str">
        <f t="shared" si="257"/>
        <v>Active</v>
      </c>
    </row>
    <row r="6616" spans="1:3" ht="18" customHeight="1">
      <c r="A6616" t="str">
        <f>"36-0000-0025"</f>
        <v>36-0000-0025</v>
      </c>
      <c r="B6616" t="str">
        <f>"JM, Drive, SCR DC, Reversing, 0.75/1,5hp"</f>
        <v>JM, Drive, SCR DC, Reversing, 0.75/1,5hp</v>
      </c>
      <c r="C6616" t="str">
        <f t="shared" si="257"/>
        <v>Active</v>
      </c>
    </row>
    <row r="6617" spans="1:3" ht="18" customHeight="1">
      <c r="A6617" t="str">
        <f>"36-0000-0026"</f>
        <v>36-0000-0026</v>
      </c>
      <c r="B6617" t="str">
        <f>"JM, Drive, AC Adjustable, 115V 1P In,230V 3P Out"</f>
        <v>JM, Drive, AC Adjustable, 115V 1P In,230V 3P Out</v>
      </c>
      <c r="C6617" t="str">
        <f t="shared" si="257"/>
        <v>Active</v>
      </c>
    </row>
    <row r="6618" spans="1:3" ht="18" customHeight="1">
      <c r="A6618" t="str">
        <f>"36-0000-0033"</f>
        <v>36-0000-0033</v>
      </c>
      <c r="B6618" t="str">
        <f>"JM, Drive, AC Adj, 220V, 3ph in 3 ph out, 1.0hp"</f>
        <v>JM, Drive, AC Adj, 220V, 3ph in 3 ph out, 1.0hp</v>
      </c>
      <c r="C6618" t="str">
        <f t="shared" si="257"/>
        <v>Active</v>
      </c>
    </row>
    <row r="6619" spans="1:3" ht="18" customHeight="1">
      <c r="A6619" t="str">
        <f>"36-0000-0034"</f>
        <v>36-0000-0034</v>
      </c>
      <c r="B6619" t="str">
        <f>"JM, Caution Tape, 2"", 18yd Roll"</f>
        <v>JM, Caution Tape, 2", 18yd Roll</v>
      </c>
      <c r="C6619" t="str">
        <f t="shared" si="257"/>
        <v>Active</v>
      </c>
    </row>
    <row r="6620" spans="1:3" ht="18" customHeight="1">
      <c r="A6620" t="str">
        <f>"36-0000-0036"</f>
        <v>36-0000-0036</v>
      </c>
      <c r="B6620" t="str">
        <f>"JM, Drive, Soft Starter,3Phase Input,3A, No Encl"</f>
        <v>JM, Drive, Soft Starter,3Phase Input,3A, No Encl</v>
      </c>
      <c r="C6620" t="str">
        <f t="shared" si="257"/>
        <v>Active</v>
      </c>
    </row>
    <row r="6621" spans="1:3" ht="18" customHeight="1">
      <c r="A6621" t="str">
        <f>"36-0000-0037"</f>
        <v>36-0000-0037</v>
      </c>
      <c r="B6621" t="str">
        <f>"JM, Drive, PWM 3A DC, 0-130V, No Encl."</f>
        <v>JM, Drive, PWM 3A DC, 0-130V, No Encl.</v>
      </c>
      <c r="C6621" t="str">
        <f t="shared" si="257"/>
        <v>Active</v>
      </c>
    </row>
    <row r="6622" spans="1:3" ht="18" customHeight="1">
      <c r="A6622" t="str">
        <f>"36-0000-0038"</f>
        <v>36-0000-0038</v>
      </c>
      <c r="B6622" t="str">
        <f>"JM, Battery, D-cell"</f>
        <v>JM, Battery, D-cell</v>
      </c>
      <c r="C6622" t="str">
        <f t="shared" si="257"/>
        <v>Active</v>
      </c>
    </row>
    <row r="6623" spans="1:3" ht="18" customHeight="1">
      <c r="A6623" t="str">
        <f>"36-0000-0039"</f>
        <v>36-0000-0039</v>
      </c>
      <c r="B6623" t="str">
        <f>"JM, Basket, 24"""</f>
        <v>JM, Basket, 24"</v>
      </c>
      <c r="C6623" t="str">
        <f t="shared" si="257"/>
        <v>Active</v>
      </c>
    </row>
    <row r="6624" spans="1:3" ht="18" customHeight="1">
      <c r="A6624" t="str">
        <f>"36-0000-0040"</f>
        <v>36-0000-0040</v>
      </c>
      <c r="B6624" t="str">
        <f>"JM, Heatgun, 1200W, dual temperature"</f>
        <v>JM, Heatgun, 1200W, dual temperature</v>
      </c>
      <c r="C6624" t="str">
        <f t="shared" si="257"/>
        <v>Active</v>
      </c>
    </row>
    <row r="6625" spans="1:3" ht="18" customHeight="1">
      <c r="A6625" t="str">
        <f>"36-0000-0041"</f>
        <v>36-0000-0041</v>
      </c>
      <c r="B6625" t="str">
        <f>"JM, Flashlight, heavy-duty, 2-AA cell"</f>
        <v>JM, Flashlight, heavy-duty, 2-AA cell</v>
      </c>
      <c r="C6625" t="str">
        <f t="shared" si="257"/>
        <v>Active</v>
      </c>
    </row>
    <row r="6626" spans="1:3" ht="18" customHeight="1">
      <c r="A6626" t="str">
        <f>"36-0000-0042"</f>
        <v>36-0000-0042</v>
      </c>
      <c r="B6626" t="str">
        <f>"JM, Velco Strap, 8in x 1/2in, black"</f>
        <v>JM, Velco Strap, 8in x 1/2in, black</v>
      </c>
      <c r="C6626" t="str">
        <f t="shared" si="257"/>
        <v>Active</v>
      </c>
    </row>
    <row r="6627" spans="1:3" ht="18" customHeight="1">
      <c r="A6627" t="str">
        <f>"36-0000-0045"</f>
        <v>36-0000-0045</v>
      </c>
      <c r="B6627" t="str">
        <f>"JM, Drive, AC Adjustable, 230V 1P In,230V 3P Out"</f>
        <v>JM, Drive, AC Adjustable, 230V 1P In,230V 3P Out</v>
      </c>
      <c r="C6627" t="str">
        <f t="shared" si="257"/>
        <v>Active</v>
      </c>
    </row>
    <row r="6628" spans="1:3" ht="18" customHeight="1">
      <c r="A6628" t="str">
        <f>"36-0100-0001"</f>
        <v>36-0100-0001</v>
      </c>
      <c r="B6628" t="str">
        <f>"JM, HHCS, 1/4-20 x 1/2"", 100pk"</f>
        <v>JM, HHCS, 1/4-20 x 1/2", 100pk</v>
      </c>
      <c r="C6628" t="str">
        <f t="shared" si="257"/>
        <v>Active</v>
      </c>
    </row>
    <row r="6629" spans="1:3" ht="18" customHeight="1">
      <c r="A6629" t="str">
        <f>"36-0100-0002"</f>
        <v>36-0100-0002</v>
      </c>
      <c r="B6629" t="str">
        <f>"JM, HHCS, 1/4-20 x 3/4"", 100pk"</f>
        <v>JM, HHCS, 1/4-20 x 3/4", 100pk</v>
      </c>
      <c r="C6629" t="str">
        <f t="shared" si="257"/>
        <v>Active</v>
      </c>
    </row>
    <row r="6630" spans="1:3" ht="18" customHeight="1">
      <c r="A6630" t="str">
        <f>"36-0101-0001"</f>
        <v>36-0101-0001</v>
      </c>
      <c r="B6630" t="str">
        <f>"JM, PHMS, 6-32 x 1/2"", 100pk"</f>
        <v>JM, PHMS, 6-32 x 1/2", 100pk</v>
      </c>
      <c r="C6630" t="str">
        <f t="shared" si="257"/>
        <v>Active</v>
      </c>
    </row>
    <row r="6631" spans="1:3" ht="18" customHeight="1">
      <c r="A6631" t="str">
        <f>"36-0101-0002"</f>
        <v>36-0101-0002</v>
      </c>
      <c r="B6631" t="str">
        <f>"JM, PHMS, 6-32 x 3/4"", 100pk"</f>
        <v>JM, PHMS, 6-32 x 3/4", 100pk</v>
      </c>
      <c r="C6631" t="str">
        <f t="shared" si="257"/>
        <v>Active</v>
      </c>
    </row>
    <row r="6632" spans="1:3" ht="18" customHeight="1">
      <c r="A6632" t="str">
        <f>"36-0101-0003"</f>
        <v>36-0101-0003</v>
      </c>
      <c r="B6632" t="str">
        <f>"JM, PHMS, 8-32 x 1/2"", 100pk"</f>
        <v>JM, PHMS, 8-32 x 1/2", 100pk</v>
      </c>
      <c r="C6632" t="str">
        <f t="shared" si="257"/>
        <v>Active</v>
      </c>
    </row>
    <row r="6633" spans="1:3" ht="18" customHeight="1">
      <c r="A6633" t="str">
        <f>"36-0101-0004"</f>
        <v>36-0101-0004</v>
      </c>
      <c r="B6633" t="str">
        <f>"JM, PHMS, 6-32 x 1-1/2"", 100pk"</f>
        <v>JM, PHMS, 6-32 x 1-1/2", 100pk</v>
      </c>
      <c r="C6633" t="str">
        <f t="shared" si="257"/>
        <v>Active</v>
      </c>
    </row>
    <row r="6634" spans="1:3" ht="18" customHeight="1">
      <c r="A6634" t="str">
        <f>"36-0102-0001"</f>
        <v>36-0102-0001</v>
      </c>
      <c r="B6634" t="str">
        <f>"JM, Keps Nut, 6-32, 100pk"</f>
        <v>JM, Keps Nut, 6-32, 100pk</v>
      </c>
      <c r="C6634" t="str">
        <f t="shared" si="257"/>
        <v>Active</v>
      </c>
    </row>
    <row r="6635" spans="1:3" ht="18" customHeight="1">
      <c r="A6635" t="str">
        <f>"36-0102-0002"</f>
        <v>36-0102-0002</v>
      </c>
      <c r="B6635" t="str">
        <f>"JM, Keps Nut, 8-32, 100pk"</f>
        <v>JM, Keps Nut, 8-32, 100pk</v>
      </c>
      <c r="C6635" t="str">
        <f t="shared" si="257"/>
        <v>Active</v>
      </c>
    </row>
    <row r="6636" spans="1:3" ht="18" customHeight="1">
      <c r="A6636" t="str">
        <f>"36-0102-0003"</f>
        <v>36-0102-0003</v>
      </c>
      <c r="B6636" t="str">
        <f>"JM, Hex Nut, 1/4-20, Zinc, 100pk"</f>
        <v>JM, Hex Nut, 1/4-20, Zinc, 100pk</v>
      </c>
      <c r="C6636" t="str">
        <f t="shared" si="257"/>
        <v>Active</v>
      </c>
    </row>
    <row r="6637" spans="1:3" ht="18" customHeight="1">
      <c r="A6637" t="str">
        <f>"36-0104-0001"</f>
        <v>36-0104-0001</v>
      </c>
      <c r="B6637" t="str">
        <f>"JM, Flat Washer,#6, 0.049thk,100pk"</f>
        <v>JM, Flat Washer,#6, 0.049thk,100pk</v>
      </c>
      <c r="C6637" t="str">
        <f t="shared" si="257"/>
        <v>Active</v>
      </c>
    </row>
    <row r="6638" spans="1:3" ht="18" customHeight="1">
      <c r="A6638" t="str">
        <f>"36-0104-0002"</f>
        <v>36-0104-0002</v>
      </c>
      <c r="B6638" t="str">
        <f>"JM, Flat Washer,#8, 0.049thk,100pk"</f>
        <v>JM, Flat Washer,#8, 0.049thk,100pk</v>
      </c>
      <c r="C6638" t="str">
        <f t="shared" ref="C6638:C6663" si="258">"Active"</f>
        <v>Active</v>
      </c>
    </row>
    <row r="6639" spans="1:3" ht="18" customHeight="1">
      <c r="A6639" t="str">
        <f>"36-0104-0003"</f>
        <v>36-0104-0003</v>
      </c>
      <c r="B6639" t="str">
        <f>"JM, Flat Washer, 1/4"", 0.045thk 100pk"</f>
        <v>JM, Flat Washer, 1/4", 0.045thk 100pk</v>
      </c>
      <c r="C6639" t="str">
        <f t="shared" si="258"/>
        <v>Active</v>
      </c>
    </row>
    <row r="6640" spans="1:3" ht="18" customHeight="1">
      <c r="A6640" t="str">
        <f>"36-0104-0004"</f>
        <v>36-0104-0004</v>
      </c>
      <c r="B6640" t="str">
        <f>"JM, Lock Washer, 1/4"", 100pk"</f>
        <v>JM, Lock Washer, 1/4", 100pk</v>
      </c>
      <c r="C6640" t="str">
        <f t="shared" si="258"/>
        <v>Active</v>
      </c>
    </row>
    <row r="6641" spans="1:3" ht="18" customHeight="1">
      <c r="A6641" t="str">
        <f>"36-0190-0002"</f>
        <v>36-0190-0002</v>
      </c>
      <c r="B6641" t="str">
        <f>"JM, Drop-in, Z-Nuts, 1/4-20 80/20 #3933"</f>
        <v>JM, Drop-in, Z-Nuts, 1/4-20 80/20 #3933</v>
      </c>
      <c r="C6641" t="str">
        <f t="shared" si="258"/>
        <v>Active</v>
      </c>
    </row>
    <row r="6642" spans="1:3" ht="18" customHeight="1">
      <c r="A6642" t="str">
        <f>"36-0190-0003"</f>
        <v>36-0190-0003</v>
      </c>
      <c r="B6642" t="str">
        <f>"JM, Roll-in Nut, 1/4-20, w/spring 80/20"</f>
        <v>JM, Roll-in Nut, 1/4-20, w/spring 80/20</v>
      </c>
      <c r="C6642" t="str">
        <f t="shared" si="258"/>
        <v>Active</v>
      </c>
    </row>
    <row r="6643" spans="1:3" ht="18" customHeight="1">
      <c r="A6643" t="str">
        <f>"36-0190-0004"</f>
        <v>36-0190-0004</v>
      </c>
      <c r="B6643" t="str">
        <f>"JM, Thumb Nuts, Nylon, 1/4-20"</f>
        <v>JM, Thumb Nuts, Nylon, 1/4-20</v>
      </c>
      <c r="C6643" t="str">
        <f t="shared" si="258"/>
        <v>Active</v>
      </c>
    </row>
    <row r="6644" spans="1:3" ht="18" customHeight="1">
      <c r="A6644" t="str">
        <f>"36-0190-0005"</f>
        <v>36-0190-0005</v>
      </c>
      <c r="B6644" t="str">
        <f>"JM, Wing Nut, Nylon, 1/4-20"</f>
        <v>JM, Wing Nut, Nylon, 1/4-20</v>
      </c>
      <c r="C6644" t="str">
        <f t="shared" si="258"/>
        <v>Active</v>
      </c>
    </row>
    <row r="6645" spans="1:3" ht="18" customHeight="1">
      <c r="A6645" t="str">
        <f>"36-0190-0006"</f>
        <v>36-0190-0006</v>
      </c>
      <c r="B6645" t="str">
        <f>"JM, Key Stock, 1/8"" x 1/8"", 12""long"</f>
        <v>JM, Key Stock, 1/8" x 1/8", 12"long</v>
      </c>
      <c r="C6645" t="str">
        <f t="shared" si="258"/>
        <v>Active</v>
      </c>
    </row>
    <row r="6646" spans="1:3" ht="18" customHeight="1">
      <c r="A6646" t="str">
        <f>"36-0190-0007"</f>
        <v>36-0190-0007</v>
      </c>
      <c r="B6646" t="str">
        <f>"JM, Roll-in Nut,1/4-20, w/set screw 80/20"</f>
        <v>JM, Roll-in Nut,1/4-20, w/set screw 80/20</v>
      </c>
      <c r="C6646" t="str">
        <f t="shared" si="258"/>
        <v>Active</v>
      </c>
    </row>
    <row r="6647" spans="1:3" ht="18" customHeight="1">
      <c r="A6647" t="str">
        <f>"36-0190-0008"</f>
        <v>36-0190-0008</v>
      </c>
      <c r="B6647" t="str">
        <f>"JM, Keystock, 3/16"" x 3/16"", 12"" Length"</f>
        <v>JM, Keystock, 3/16" x 3/16", 12" Length</v>
      </c>
      <c r="C6647" t="str">
        <f t="shared" si="258"/>
        <v>Active</v>
      </c>
    </row>
    <row r="6648" spans="1:3" ht="18" customHeight="1">
      <c r="A6648" t="str">
        <f>"36-0214-0001"</f>
        <v>36-0214-0001</v>
      </c>
      <c r="B6648" t="str">
        <f>"JM, Grommet 5/8"" ID, 1/8"" T, 7/8"" Dia Panel Hole"</f>
        <v>JM, Grommet 5/8" ID, 1/8" T, 7/8" Dia Panel Hole</v>
      </c>
      <c r="C6648" t="str">
        <f t="shared" si="258"/>
        <v>Active</v>
      </c>
    </row>
    <row r="6649" spans="1:3" ht="18" customHeight="1">
      <c r="A6649" t="str">
        <f>"36-0300-0001"</f>
        <v>36-0300-0001</v>
      </c>
      <c r="B6649" t="str">
        <f>"JM, Conveyor, Flat Belt, 6"" x 8ft Mini-Mover"</f>
        <v>JM, Conveyor, Flat Belt, 6" x 8ft Mini-Mover</v>
      </c>
      <c r="C6649" t="str">
        <f t="shared" si="258"/>
        <v>Active</v>
      </c>
    </row>
    <row r="6650" spans="1:3" ht="18" customHeight="1">
      <c r="A6650" t="str">
        <f>"36-0300-0002"</f>
        <v>36-0300-0002</v>
      </c>
      <c r="B6650" t="str">
        <f>"JM, Speed Reducer, 60:1, C-Face"</f>
        <v>JM, Speed Reducer, 60:1, C-Face</v>
      </c>
      <c r="C6650" t="str">
        <f t="shared" si="258"/>
        <v>Active</v>
      </c>
    </row>
    <row r="6651" spans="1:3" ht="18" customHeight="1">
      <c r="A6651" t="str">
        <f>"36-0300-0003"</f>
        <v>36-0300-0003</v>
      </c>
      <c r="B6651" t="str">
        <f>"JM, Speed Reducer, 92:1 Parallel Shaft"</f>
        <v>JM, Speed Reducer, 92:1 Parallel Shaft</v>
      </c>
      <c r="C6651" t="str">
        <f t="shared" si="258"/>
        <v>Active</v>
      </c>
    </row>
    <row r="6652" spans="1:3" ht="18" customHeight="1">
      <c r="A6652" t="str">
        <f>"36-0310-0001"</f>
        <v>36-0310-0001</v>
      </c>
      <c r="B6652" t="str">
        <f>"JM, Shaft, 5/8"",3/16"" Keyway, 12"" Length w/flat"</f>
        <v>JM, Shaft, 5/8",3/16" Keyway, 12" Length w/flat</v>
      </c>
      <c r="C6652" t="str">
        <f t="shared" si="258"/>
        <v>Active</v>
      </c>
    </row>
    <row r="6653" spans="1:3" ht="18" customHeight="1">
      <c r="A6653" t="str">
        <f>"36-0310-0002"</f>
        <v>36-0310-0002</v>
      </c>
      <c r="B6653" t="str">
        <f>"JM, Shaft, 5/8"",3/16"" Keyway, 16"" Length w/flat"</f>
        <v>JM, Shaft, 5/8",3/16" Keyway, 16" Length w/flat</v>
      </c>
      <c r="C6653" t="str">
        <f t="shared" si="258"/>
        <v>Active</v>
      </c>
    </row>
    <row r="6654" spans="1:3" ht="18" customHeight="1">
      <c r="A6654" t="str">
        <f>"36-0310-0003"</f>
        <v>36-0310-0003</v>
      </c>
      <c r="B6654" t="str">
        <f>"JM, Shaft, 5/8"",3/16"" Keyway, 10"" Length w/flat"</f>
        <v>JM, Shaft, 5/8",3/16" Keyway, 10" Length w/flat</v>
      </c>
      <c r="C6654" t="str">
        <f t="shared" si="258"/>
        <v>Active</v>
      </c>
    </row>
    <row r="6655" spans="1:3" ht="18" customHeight="1">
      <c r="A6655" t="str">
        <f>"36-0310-0004"</f>
        <v>36-0310-0004</v>
      </c>
      <c r="B6655" t="str">
        <f>"JM, Shaft, 5/8"" w/Flats, 16"" Vibration Analysis"</f>
        <v>JM, Shaft, 5/8" w/Flats, 16" Vibration Analysis</v>
      </c>
      <c r="C6655" t="str">
        <f t="shared" si="258"/>
        <v>Active</v>
      </c>
    </row>
    <row r="6656" spans="1:3" ht="18" customHeight="1">
      <c r="A6656" t="str">
        <f>"36-0310-0006"</f>
        <v>36-0310-0006</v>
      </c>
      <c r="B6656" t="str">
        <f>"JM, Shaft, 5/8"",3/16"" Keyway, 5"" Length w/Flat"</f>
        <v>JM, Shaft, 5/8",3/16" Keyway, 5" Length w/Flat</v>
      </c>
      <c r="C6656" t="str">
        <f t="shared" si="258"/>
        <v>Active</v>
      </c>
    </row>
    <row r="6657" spans="1:3" ht="18" customHeight="1">
      <c r="A6657" t="str">
        <f>"36-0310-0010"</f>
        <v>36-0310-0010</v>
      </c>
      <c r="B6657" t="str">
        <f>"JM, Gauge Pin, 12.00mm"</f>
        <v>JM, Gauge Pin, 12.00mm</v>
      </c>
      <c r="C6657" t="str">
        <f t="shared" si="258"/>
        <v>Active</v>
      </c>
    </row>
    <row r="6658" spans="1:3" ht="18" customHeight="1">
      <c r="A6658" t="str">
        <f>"36-0310-0011"</f>
        <v>36-0310-0011</v>
      </c>
      <c r="B6658" t="str">
        <f>"JM, Gauge Pin, 12.01mm"</f>
        <v>JM, Gauge Pin, 12.01mm</v>
      </c>
      <c r="C6658" t="str">
        <f t="shared" si="258"/>
        <v>Active</v>
      </c>
    </row>
    <row r="6659" spans="1:3" ht="18" customHeight="1">
      <c r="A6659" t="str">
        <f>"36-0310-0012"</f>
        <v>36-0310-0012</v>
      </c>
      <c r="B6659" t="str">
        <f>"JM, Shaft, 5/8"" keyed w/flat, 5"""</f>
        <v>JM, Shaft, 5/8" keyed w/flat, 5"</v>
      </c>
      <c r="C6659" t="str">
        <f t="shared" si="258"/>
        <v>Active</v>
      </c>
    </row>
    <row r="6660" spans="1:3" ht="18" customHeight="1">
      <c r="A6660" t="str">
        <f>"36-0320-0001"</f>
        <v>36-0320-0001</v>
      </c>
      <c r="B6660" t="str">
        <f>"JM, Sprocket, 14 Tooth, 5/8""Bore w/Keyway, #40"</f>
        <v>JM, Sprocket, 14 Tooth, 5/8"Bore w/Keyway, #40</v>
      </c>
      <c r="C6660" t="str">
        <f t="shared" si="258"/>
        <v>Active</v>
      </c>
    </row>
    <row r="6661" spans="1:3" ht="18" customHeight="1">
      <c r="A6661" t="str">
        <f>"36-0320-0002"</f>
        <v>36-0320-0002</v>
      </c>
      <c r="B6661" t="str">
        <f>"JM, Sprocket, 20 Tooth, 1-1/4""Bore #40"</f>
        <v>JM, Sprocket, 20 Tooth, 1-1/4"Bore #40</v>
      </c>
      <c r="C6661" t="str">
        <f t="shared" si="258"/>
        <v>Active</v>
      </c>
    </row>
    <row r="6662" spans="1:3" ht="18" customHeight="1">
      <c r="A6662" t="str">
        <f>"36-0320-0003"</f>
        <v>36-0320-0003</v>
      </c>
      <c r="B6662" t="str">
        <f>"JM, Chain, Roller, 1/2"" Pitch,10ft"</f>
        <v>JM, Chain, Roller, 1/2" Pitch,10ft</v>
      </c>
      <c r="C6662" t="str">
        <f t="shared" si="258"/>
        <v>Active</v>
      </c>
    </row>
    <row r="6663" spans="1:3" ht="18" customHeight="1">
      <c r="A6663" t="str">
        <f>"36-0320-0004"</f>
        <v>36-0320-0004</v>
      </c>
      <c r="B6663" t="str">
        <f>"JM, Link, Roller Chain, 5pk"</f>
        <v>JM, Link, Roller Chain, 5pk</v>
      </c>
      <c r="C6663" t="str">
        <f t="shared" si="258"/>
        <v>Active</v>
      </c>
    </row>
    <row r="6664" spans="1:3" ht="18" customHeight="1">
      <c r="A6664" t="str">
        <f>"36-0320-0005"</f>
        <v>36-0320-0005</v>
      </c>
      <c r="B6664" t="str">
        <f>"JM, Sprocket, 18 Tooth, 5/8"" Bore, 3/16"" Keyway"</f>
        <v>JM, Sprocket, 18 Tooth, 5/8" Bore, 3/16" Keyway</v>
      </c>
      <c r="C6664" t="str">
        <f>"Not for purc"</f>
        <v>Not for purc</v>
      </c>
    </row>
    <row r="6665" spans="1:3" ht="18" customHeight="1">
      <c r="A6665" t="str">
        <f>"36-0320-0005P"</f>
        <v>36-0320-0005P</v>
      </c>
      <c r="B6665" t="str">
        <f>"JM, Sprocket, 18 Tooth, 5/8"" Bore"</f>
        <v>JM, Sprocket, 18 Tooth, 5/8" Bore</v>
      </c>
      <c r="C6665" t="str">
        <f t="shared" ref="C6665:C6696" si="259">"Active"</f>
        <v>Active</v>
      </c>
    </row>
    <row r="6666" spans="1:3" ht="18" customHeight="1">
      <c r="A6666" t="str">
        <f>"36-0320-0006"</f>
        <v>36-0320-0006</v>
      </c>
      <c r="B6666" t="str">
        <f>"JM, Sprocket, 24T, Bushed Bore"</f>
        <v>JM, Sprocket, 24T, Bushed Bore</v>
      </c>
      <c r="C6666" t="str">
        <f t="shared" si="259"/>
        <v>Active</v>
      </c>
    </row>
    <row r="6667" spans="1:3" ht="18" customHeight="1">
      <c r="A6667" t="str">
        <f>"36-0320-0007"</f>
        <v>36-0320-0007</v>
      </c>
      <c r="B6667" t="str">
        <f>"JM, Sprocket, 30T, Bushed Bore"</f>
        <v>JM, Sprocket, 30T, Bushed Bore</v>
      </c>
      <c r="C6667" t="str">
        <f t="shared" si="259"/>
        <v>Active</v>
      </c>
    </row>
    <row r="6668" spans="1:3" ht="18" customHeight="1">
      <c r="A6668" t="str">
        <f>"36-0320-0008"</f>
        <v>36-0320-0008</v>
      </c>
      <c r="B6668" t="str">
        <f>"JM, Sheave, V-belt,Single Groove 5/8""Bore, 2.80"""</f>
        <v>JM, Sheave, V-belt,Single Groove 5/8"Bore, 2.80"</v>
      </c>
      <c r="C6668" t="str">
        <f t="shared" si="259"/>
        <v>Active</v>
      </c>
    </row>
    <row r="6669" spans="1:3" ht="18" customHeight="1">
      <c r="A6669" t="str">
        <f>"36-0320-0009"</f>
        <v>36-0320-0009</v>
      </c>
      <c r="B6669" t="str">
        <f>"JM, Sheave, V-belt,Single Groove 5/8""Bore, 4.45"""</f>
        <v>JM, Sheave, V-belt,Single Groove 5/8"Bore, 4.45"</v>
      </c>
      <c r="C6669" t="str">
        <f t="shared" si="259"/>
        <v>Active</v>
      </c>
    </row>
    <row r="6670" spans="1:3" ht="18" customHeight="1">
      <c r="A6670" t="str">
        <f>"36-0320-0010"</f>
        <v>36-0320-0010</v>
      </c>
      <c r="B6670" t="str">
        <f>"JM, Sheave, Variable Pitch, 5/8"""</f>
        <v>JM, Sheave, Variable Pitch, 5/8"</v>
      </c>
      <c r="C6670" t="str">
        <f t="shared" si="259"/>
        <v>Active</v>
      </c>
    </row>
    <row r="6671" spans="1:3" ht="18" customHeight="1">
      <c r="A6671" t="str">
        <f>"36-0320-0013"</f>
        <v>36-0320-0013</v>
      </c>
      <c r="B6671" t="str">
        <f>"Pulley Gearbelt 18 Grooves 1/2"" machining"</f>
        <v>Pulley Gearbelt 18 Grooves 1/2" machining</v>
      </c>
      <c r="C6671" t="str">
        <f t="shared" si="259"/>
        <v>Active</v>
      </c>
    </row>
    <row r="6672" spans="1:3" ht="18" customHeight="1">
      <c r="A6672" t="str">
        <f>"36-0320-0013P"</f>
        <v>36-0320-0013P</v>
      </c>
      <c r="B6672" t="str">
        <f>"Pulley Gearbelt 18Grooves 1/2"" Pitch 2.865"" Dia."</f>
        <v>Pulley Gearbelt 18Grooves 1/2" Pitch 2.865" Dia.</v>
      </c>
      <c r="C6672" t="str">
        <f t="shared" si="259"/>
        <v>Active</v>
      </c>
    </row>
    <row r="6673" spans="1:3" ht="18" customHeight="1">
      <c r="A6673" t="str">
        <f>"36-0320-0014"</f>
        <v>36-0320-0014</v>
      </c>
      <c r="B6673" t="str">
        <f>"Pulley Gearbelt 26 Grooves 1/2"" Pitch 4.138 Dia."</f>
        <v>Pulley Gearbelt 26 Grooves 1/2" Pitch 4.138 Dia.</v>
      </c>
      <c r="C6673" t="str">
        <f t="shared" si="259"/>
        <v>Active</v>
      </c>
    </row>
    <row r="6674" spans="1:3" ht="18" customHeight="1">
      <c r="A6674" t="str">
        <f>"36-0320-0018"</f>
        <v>36-0320-0018</v>
      </c>
      <c r="B6674" t="str">
        <f>"JM,Gear,Spur,40T,16 D.P.,5/8""Bore, 3/16"" Keyway"</f>
        <v>JM,Gear,Spur,40T,16 D.P.,5/8"Bore, 3/16" Keyway</v>
      </c>
      <c r="C6674" t="str">
        <f t="shared" si="259"/>
        <v>Active</v>
      </c>
    </row>
    <row r="6675" spans="1:3" ht="18" customHeight="1">
      <c r="A6675" t="str">
        <f>"36-0320-0018P"</f>
        <v>36-0320-0018P</v>
      </c>
      <c r="B6675" t="str">
        <f>"JM, Gear, Spur, 40T, 16 D.P., 5/8"" Bore"</f>
        <v>JM, Gear, Spur, 40T, 16 D.P., 5/8" Bore</v>
      </c>
      <c r="C6675" t="str">
        <f t="shared" si="259"/>
        <v>Active</v>
      </c>
    </row>
    <row r="6676" spans="1:3" ht="18" customHeight="1">
      <c r="A6676" t="str">
        <f>"36-0320-0019"</f>
        <v>36-0320-0019</v>
      </c>
      <c r="B6676" t="str">
        <f>"JM, Gear,Spur,56T,16D.P., 5/8""Bore,3/16""Keyway"</f>
        <v>JM, Gear,Spur,56T,16D.P., 5/8"Bore,3/16"Keyway</v>
      </c>
      <c r="C6676" t="str">
        <f t="shared" si="259"/>
        <v>Active</v>
      </c>
    </row>
    <row r="6677" spans="1:3" ht="18" customHeight="1">
      <c r="A6677" t="str">
        <f>"36-0320-0019P"</f>
        <v>36-0320-0019P</v>
      </c>
      <c r="B6677" t="str">
        <f>"JM, Gear, Spur, 56T, 16D.P., 5/8"" Bore"</f>
        <v>JM, Gear, Spur, 56T, 16D.P., 5/8" Bore</v>
      </c>
      <c r="C6677" t="str">
        <f t="shared" si="259"/>
        <v>Active</v>
      </c>
    </row>
    <row r="6678" spans="1:3" ht="18" customHeight="1">
      <c r="A6678" t="str">
        <f>"36-0320-0021"</f>
        <v>36-0320-0021</v>
      </c>
      <c r="B6678" t="str">
        <f>"JM,Gear,Helical,18T14.5°PA,5/8""Bore3/16""Kw,Right"</f>
        <v>JM,Gear,Helical,18T14.5°PA,5/8"Bore3/16"Kw,Right</v>
      </c>
      <c r="C6678" t="str">
        <f t="shared" si="259"/>
        <v>Active</v>
      </c>
    </row>
    <row r="6679" spans="1:3" ht="18" customHeight="1">
      <c r="A6679" t="str">
        <f>"36-0320-0021P"</f>
        <v>36-0320-0021P</v>
      </c>
      <c r="B6679" t="str">
        <f>"JM, Gear,Helical,18T,14.5°PA,5/8""Bore,Right"</f>
        <v>JM, Gear,Helical,18T,14.5°PA,5/8"Bore,Right</v>
      </c>
      <c r="C6679" t="str">
        <f t="shared" si="259"/>
        <v>Active</v>
      </c>
    </row>
    <row r="6680" spans="1:3" ht="18" customHeight="1">
      <c r="A6680" t="str">
        <f>"36-0320-0022"</f>
        <v>36-0320-0022</v>
      </c>
      <c r="B6680" t="str">
        <f>"JM,Gear,Helical,30T,14.5°PA,5/8""Bore3/16""KwRight"</f>
        <v>JM,Gear,Helical,30T,14.5°PA,5/8"Bore3/16"KwRight</v>
      </c>
      <c r="C6680" t="str">
        <f t="shared" si="259"/>
        <v>Active</v>
      </c>
    </row>
    <row r="6681" spans="1:3" ht="18" customHeight="1">
      <c r="A6681" t="str">
        <f>"36-0320-0022P"</f>
        <v>36-0320-0022P</v>
      </c>
      <c r="B6681" t="str">
        <f>"JM, Gear, Helical, 30T, 14.5°PA, 5/8""Bore"</f>
        <v>JM, Gear, Helical, 30T, 14.5°PA, 5/8"Bore</v>
      </c>
      <c r="C6681" t="str">
        <f t="shared" si="259"/>
        <v>Active</v>
      </c>
    </row>
    <row r="6682" spans="1:3" ht="18" customHeight="1">
      <c r="A6682" t="str">
        <f>"36-0320-0024"</f>
        <v>36-0320-0024</v>
      </c>
      <c r="B6682" t="str">
        <f>"JM,Gear,Miter,18T,12D.P.,5/8""Bore,3/16""Keyway"</f>
        <v>JM,Gear,Miter,18T,12D.P.,5/8"Bore,3/16"Keyway</v>
      </c>
      <c r="C6682" t="str">
        <f t="shared" si="259"/>
        <v>Active</v>
      </c>
    </row>
    <row r="6683" spans="1:3" ht="18" customHeight="1">
      <c r="A6683" t="str">
        <f>"36-0320-0024P"</f>
        <v>36-0320-0024P</v>
      </c>
      <c r="B6683" t="str">
        <f>"JM, Gear, Miter, 18T, 12 D.P., 5/8"" Bore"</f>
        <v>JM, Gear, Miter, 18T, 12 D.P., 5/8" Bore</v>
      </c>
      <c r="C6683" t="str">
        <f t="shared" si="259"/>
        <v>Active</v>
      </c>
    </row>
    <row r="6684" spans="1:3" ht="18" customHeight="1">
      <c r="A6684" t="str">
        <f>"36-0320-0025"</f>
        <v>36-0320-0025</v>
      </c>
      <c r="B6684" t="str">
        <f>"JM, Gear,Worm,30T,10 D.P.,5/8""Bore,3/16""Kw,Right"</f>
        <v>JM, Gear,Worm,30T,10 D.P.,5/8"Bore,3/16"Kw,Right</v>
      </c>
      <c r="C6684" t="str">
        <f t="shared" si="259"/>
        <v>Active</v>
      </c>
    </row>
    <row r="6685" spans="1:3" ht="18" customHeight="1">
      <c r="A6685" t="str">
        <f>"36-0320-0025P"</f>
        <v>36-0320-0025P</v>
      </c>
      <c r="B6685" t="str">
        <f>"JM, Gear, Worm, 30T,14.5°PA, 5/8"" Bore,Right"</f>
        <v>JM, Gear, Worm, 30T,14.5°PA, 5/8" Bore,Right</v>
      </c>
      <c r="C6685" t="str">
        <f t="shared" si="259"/>
        <v>Active</v>
      </c>
    </row>
    <row r="6686" spans="1:3" ht="18" customHeight="1">
      <c r="A6686" t="str">
        <f>"36-0320-0026"</f>
        <v>36-0320-0026</v>
      </c>
      <c r="B6686" t="str">
        <f>"JM, Worm, 10 D.P.,  5/8"" Bore, Right Hand"</f>
        <v>JM, Worm, 10 D.P.,  5/8" Bore, Right Hand</v>
      </c>
      <c r="C6686" t="str">
        <f t="shared" si="259"/>
        <v>Active</v>
      </c>
    </row>
    <row r="6687" spans="1:3" ht="18" customHeight="1">
      <c r="A6687" t="str">
        <f>"36-0320-0026P"</f>
        <v>36-0320-0026P</v>
      </c>
      <c r="B6687" t="str">
        <f>"JM, Worm, 10 D.P., 5/8"" Bore, Right Hand"</f>
        <v>JM, Worm, 10 D.P., 5/8" Bore, Right Hand</v>
      </c>
      <c r="C6687" t="str">
        <f t="shared" si="259"/>
        <v>Active</v>
      </c>
    </row>
    <row r="6688" spans="1:3" ht="18" customHeight="1">
      <c r="A6688" t="str">
        <f>"36-0320-0027"</f>
        <v>36-0320-0027</v>
      </c>
      <c r="B6688" t="str">
        <f>"JM, Gear,Spur, 24T,16 D.P.,5/8""Bore,3/16""Keyway"</f>
        <v>JM, Gear,Spur, 24T,16 D.P.,5/8"Bore,3/16"Keyway</v>
      </c>
      <c r="C6688" t="str">
        <f t="shared" si="259"/>
        <v>Active</v>
      </c>
    </row>
    <row r="6689" spans="1:3" ht="18" customHeight="1">
      <c r="A6689" t="str">
        <f>"36-0320-0027P"</f>
        <v>36-0320-0027P</v>
      </c>
      <c r="B6689" t="str">
        <f>"JM, Gear, Spur, 24T, 16D.P.,  5/8"" Bore"</f>
        <v>JM, Gear, Spur, 24T, 16D.P.,  5/8" Bore</v>
      </c>
      <c r="C6689" t="str">
        <f t="shared" si="259"/>
        <v>Active</v>
      </c>
    </row>
    <row r="6690" spans="1:3" ht="18" customHeight="1">
      <c r="A6690" t="str">
        <f>"36-0320-0028"</f>
        <v>36-0320-0028</v>
      </c>
      <c r="B6690" t="str">
        <f>"JM,Gear,Helical30T,14.5°PA,5/8""Bore,3/16""Kw,Left"</f>
        <v>JM,Gear,Helical30T,14.5°PA,5/8"Bore,3/16"Kw,Left</v>
      </c>
      <c r="C6690" t="str">
        <f t="shared" si="259"/>
        <v>Active</v>
      </c>
    </row>
    <row r="6691" spans="1:3" ht="18" customHeight="1">
      <c r="A6691" t="str">
        <f>"36-0320-0028P"</f>
        <v>36-0320-0028P</v>
      </c>
      <c r="B6691" t="str">
        <f>"JM, Gear, Helical, 30T, 14.5°,5/8"" Bore, Left"</f>
        <v>JM, Gear, Helical, 30T, 14.5°,5/8" Bore, Left</v>
      </c>
      <c r="C6691" t="str">
        <f t="shared" si="259"/>
        <v>Active</v>
      </c>
    </row>
    <row r="6692" spans="1:3" ht="18" customHeight="1">
      <c r="A6692" t="str">
        <f>"36-0320-0029"</f>
        <v>36-0320-0029</v>
      </c>
      <c r="B6692" t="str">
        <f>"JM, Chain Link, Offset, #40, 5pk"</f>
        <v>JM, Chain Link, Offset, #40, 5pk</v>
      </c>
      <c r="C6692" t="str">
        <f t="shared" si="259"/>
        <v>Active</v>
      </c>
    </row>
    <row r="6693" spans="1:3" ht="18" customHeight="1">
      <c r="A6693" t="str">
        <f>"36-0400-0001"</f>
        <v>36-0400-0001</v>
      </c>
      <c r="B6693" t="str">
        <f>"JM, Piston, 1-1/4"" Bore, 4"", Dbl Actg, Pivot End"</f>
        <v>JM, Piston, 1-1/4" Bore, 4", Dbl Actg, Pivot End</v>
      </c>
      <c r="C6693" t="str">
        <f t="shared" si="259"/>
        <v>Active</v>
      </c>
    </row>
    <row r="6694" spans="1:3" ht="18" customHeight="1">
      <c r="A6694" t="str">
        <f>"36-0400-0002"</f>
        <v>36-0400-0002</v>
      </c>
      <c r="B6694" t="str">
        <f>"JM, Mount, Piston, 1-1/4"" Bore"</f>
        <v>JM, Mount, Piston, 1-1/4" Bore</v>
      </c>
      <c r="C6694" t="str">
        <f t="shared" si="259"/>
        <v>Active</v>
      </c>
    </row>
    <row r="6695" spans="1:3" ht="18" customHeight="1">
      <c r="A6695" t="str">
        <f>"36-0400-0003"</f>
        <v>36-0400-0003</v>
      </c>
      <c r="B6695" t="str">
        <f>"JM, Valve, Soleniod, 1/8""NPT 120V, 4-way, 2pos"</f>
        <v>JM, Valve, Soleniod, 1/8"NPT 120V, 4-way, 2pos</v>
      </c>
      <c r="C6695" t="str">
        <f t="shared" si="259"/>
        <v>Active</v>
      </c>
    </row>
    <row r="6696" spans="1:3" ht="18" customHeight="1">
      <c r="A6696" t="str">
        <f>"36-0400-0004"</f>
        <v>36-0400-0004</v>
      </c>
      <c r="B6696" t="str">
        <f>"JM, Valve, Soleniod, 1/8""NPT 120V, 3-way, 2pos"</f>
        <v>JM, Valve, Soleniod, 1/8"NPT 120V, 3-way, 2pos</v>
      </c>
      <c r="C6696" t="str">
        <f t="shared" si="259"/>
        <v>Active</v>
      </c>
    </row>
    <row r="6697" spans="1:3" ht="18" customHeight="1">
      <c r="A6697" t="str">
        <f>"36-0400-0005"</f>
        <v>36-0400-0005</v>
      </c>
      <c r="B6697" t="str">
        <f>"JM, Filter/Regulator, 1/4""NPT, 2pc"</f>
        <v>JM, Filter/Regulator, 1/4"NPT, 2pc</v>
      </c>
      <c r="C6697" t="str">
        <f t="shared" ref="C6697:C6724" si="260">"Active"</f>
        <v>Active</v>
      </c>
    </row>
    <row r="6698" spans="1:3" ht="18" customHeight="1">
      <c r="A6698" t="str">
        <f>"36-0400-0006"</f>
        <v>36-0400-0006</v>
      </c>
      <c r="B6698" t="str">
        <f>"JM, Gauge, Pressure, 160psi Panel Mount"</f>
        <v>JM, Gauge, Pressure, 160psi Panel Mount</v>
      </c>
      <c r="C6698" t="str">
        <f t="shared" si="260"/>
        <v>Active</v>
      </c>
    </row>
    <row r="6699" spans="1:3" ht="18" customHeight="1">
      <c r="A6699" t="str">
        <f>"36-0400-0007"</f>
        <v>36-0400-0007</v>
      </c>
      <c r="B6699" t="str">
        <f>"JM, Gauge, Pressure, 60psi Panel Mount"</f>
        <v>JM, Gauge, Pressure, 60psi Panel Mount</v>
      </c>
      <c r="C6699" t="str">
        <f t="shared" si="260"/>
        <v>Active</v>
      </c>
    </row>
    <row r="6700" spans="1:3" ht="18" customHeight="1">
      <c r="A6700" t="str">
        <f>"36-0400-0008"</f>
        <v>36-0400-0008</v>
      </c>
      <c r="B6700" t="str">
        <f>"JM, Valve, Lockout, 1/4""NPT"</f>
        <v>JM, Valve, Lockout, 1/4"NPT</v>
      </c>
      <c r="C6700" t="str">
        <f t="shared" si="260"/>
        <v>Active</v>
      </c>
    </row>
    <row r="6701" spans="1:3" ht="18" customHeight="1">
      <c r="A6701" t="str">
        <f>"36-0400-0011"</f>
        <v>36-0400-0011</v>
      </c>
      <c r="B6701" t="str">
        <f>"JM, Fitting, Tee 1/4"" Tube to 1/4"" NPT"</f>
        <v>JM, Fitting, Tee 1/4" Tube to 1/4" NPT</v>
      </c>
      <c r="C6701" t="str">
        <f t="shared" si="260"/>
        <v>Active</v>
      </c>
    </row>
    <row r="6702" spans="1:3" ht="18" customHeight="1">
      <c r="A6702" t="str">
        <f>"36-0400-0012"</f>
        <v>36-0400-0012</v>
      </c>
      <c r="B6702" t="str">
        <f>"JM, Fitting, Triple Elbow, 1/4"" Tube, 1/4"" NPT"</f>
        <v>JM, Fitting, Triple Elbow, 1/4" Tube, 1/4" NPT</v>
      </c>
      <c r="C6702" t="str">
        <f t="shared" si="260"/>
        <v>Active</v>
      </c>
    </row>
    <row r="6703" spans="1:3" ht="18" customHeight="1">
      <c r="A6703" t="str">
        <f>"36-0400-0013"</f>
        <v>36-0400-0013</v>
      </c>
      <c r="B6703" t="str">
        <f>"JM, Fitting, Female Elbow, 1/4"" Tube to 1/8"" NPT"</f>
        <v>JM, Fitting, Female Elbow, 1/4" Tube to 1/8" NPT</v>
      </c>
      <c r="C6703" t="str">
        <f t="shared" si="260"/>
        <v>Active</v>
      </c>
    </row>
    <row r="6704" spans="1:3" ht="18" customHeight="1">
      <c r="A6704" t="str">
        <f>"36-0400-0014"</f>
        <v>36-0400-0014</v>
      </c>
      <c r="B6704" t="str">
        <f>"JM, Gauge, Pressure, 60psi, 1-1/2"" Dia"</f>
        <v>JM, Gauge, Pressure, 60psi, 1-1/2" Dia</v>
      </c>
      <c r="C6704" t="str">
        <f t="shared" si="260"/>
        <v>Active</v>
      </c>
    </row>
    <row r="6705" spans="1:3" ht="18" customHeight="1">
      <c r="A6705" t="str">
        <f>"36-0500-0001"</f>
        <v>36-0500-0001</v>
      </c>
      <c r="B6705" t="str">
        <f>"JM, Bearing, Flanged, 5/8"""</f>
        <v>JM, Bearing, Flanged, 5/8"</v>
      </c>
      <c r="C6705" t="str">
        <f t="shared" si="260"/>
        <v>Active</v>
      </c>
    </row>
    <row r="6706" spans="1:3" ht="18" customHeight="1">
      <c r="A6706" t="str">
        <f>"36-0500-0002"</f>
        <v>36-0500-0002</v>
      </c>
      <c r="B6706" t="str">
        <f>"JM, Bearing, Pillow Block, 5/8"""</f>
        <v>JM, Bearing, Pillow Block, 5/8"</v>
      </c>
      <c r="C6706" t="str">
        <f t="shared" si="260"/>
        <v>Active</v>
      </c>
    </row>
    <row r="6707" spans="1:3" ht="18" customHeight="1">
      <c r="A6707" t="str">
        <f>"36-0500-0003"</f>
        <v>36-0500-0003</v>
      </c>
      <c r="B6707" t="str">
        <f>"JM, Bearing, Pillow Block, 5/8"" Pressed Housing"</f>
        <v>JM, Bearing, Pillow Block, 5/8" Pressed Housing</v>
      </c>
      <c r="C6707" t="str">
        <f t="shared" si="260"/>
        <v>Active</v>
      </c>
    </row>
    <row r="6708" spans="1:3" ht="18" customHeight="1">
      <c r="A6708" t="str">
        <f>"36-0500-0013"</f>
        <v>36-0500-0013</v>
      </c>
      <c r="B6708" t="str">
        <f>"JM, Bearing, Plain Bronze, 12mm w/Flange"</f>
        <v>JM, Bearing, Plain Bronze, 12mm w/Flange</v>
      </c>
      <c r="C6708" t="str">
        <f t="shared" si="260"/>
        <v>Active</v>
      </c>
    </row>
    <row r="6709" spans="1:3" ht="18" customHeight="1">
      <c r="A6709" t="str">
        <f>"36-0500-0014"</f>
        <v>36-0500-0014</v>
      </c>
      <c r="B6709" t="str">
        <f>"JM, Bearing, 12mm, Thrust, Cage"</f>
        <v>JM, Bearing, 12mm, Thrust, Cage</v>
      </c>
      <c r="C6709" t="str">
        <f t="shared" si="260"/>
        <v>Active</v>
      </c>
    </row>
    <row r="6710" spans="1:3" ht="18" customHeight="1">
      <c r="A6710" t="str">
        <f>"36-0500-0015"</f>
        <v>36-0500-0015</v>
      </c>
      <c r="B6710" t="str">
        <f>"JM, Bearing, 12mm Thrust, Washer"</f>
        <v>JM, Bearing, 12mm Thrust, Washer</v>
      </c>
      <c r="C6710" t="str">
        <f t="shared" si="260"/>
        <v>Active</v>
      </c>
    </row>
    <row r="6711" spans="1:3" ht="18" customHeight="1">
      <c r="A6711" t="str">
        <f>"36-0500-0016"</f>
        <v>36-0500-0016</v>
      </c>
      <c r="B6711" t="str">
        <f>"JM, Bearing, 12mm Angular Contact"</f>
        <v>JM, Bearing, 12mm Angular Contact</v>
      </c>
      <c r="C6711" t="str">
        <f t="shared" si="260"/>
        <v>Active</v>
      </c>
    </row>
    <row r="6712" spans="1:3" ht="18" customHeight="1">
      <c r="A6712" t="str">
        <f>"36-0500-0017"</f>
        <v>36-0500-0017</v>
      </c>
      <c r="B6712" t="str">
        <f>"JM, Bearing, 12mm Single Row Ball Unshielded"</f>
        <v>JM, Bearing, 12mm Single Row Ball Unshielded</v>
      </c>
      <c r="C6712" t="str">
        <f t="shared" si="260"/>
        <v>Active</v>
      </c>
    </row>
    <row r="6713" spans="1:3" ht="18" customHeight="1">
      <c r="A6713" t="str">
        <f>"36-0500-0018"</f>
        <v>36-0500-0018</v>
      </c>
      <c r="B6713" t="str">
        <f>"JM, Bearing, 12mm Single Row Ball Shielded"</f>
        <v>JM, Bearing, 12mm Single Row Ball Shielded</v>
      </c>
      <c r="C6713" t="str">
        <f t="shared" si="260"/>
        <v>Active</v>
      </c>
    </row>
    <row r="6714" spans="1:3" ht="18" customHeight="1">
      <c r="A6714" t="str">
        <f>"36-0500-0019"</f>
        <v>36-0500-0019</v>
      </c>
      <c r="B6714" t="str">
        <f>"JM, Bearing, 25mm Taper Roller w/Cone"</f>
        <v>JM, Bearing, 25mm Taper Roller w/Cone</v>
      </c>
      <c r="C6714" t="str">
        <f t="shared" si="260"/>
        <v>Active</v>
      </c>
    </row>
    <row r="6715" spans="1:3" ht="18" customHeight="1">
      <c r="A6715" t="str">
        <f>"36-0500-0020"</f>
        <v>36-0500-0020</v>
      </c>
      <c r="B6715" t="str">
        <f>"JM, Bearing, 25mm Single Row Ball Unshielded"</f>
        <v>JM, Bearing, 25mm Single Row Ball Unshielded</v>
      </c>
      <c r="C6715" t="str">
        <f t="shared" si="260"/>
        <v>Active</v>
      </c>
    </row>
    <row r="6716" spans="1:3" ht="18" customHeight="1">
      <c r="A6716" t="str">
        <f>"36-0500-0021"</f>
        <v>36-0500-0021</v>
      </c>
      <c r="B6716" t="str">
        <f>"JM, flange mounted ball bearing, 5/8"" shaft"</f>
        <v>JM, flange mounted ball bearing, 5/8" shaft</v>
      </c>
      <c r="C6716" t="str">
        <f t="shared" si="260"/>
        <v>Active</v>
      </c>
    </row>
    <row r="6717" spans="1:3" ht="18" customHeight="1">
      <c r="A6717" t="str">
        <f>"36-0510-0001"</f>
        <v>36-0510-0001</v>
      </c>
      <c r="B6717" t="str">
        <f>"QD Bushing Split Taper QT, 5/8"" in"</f>
        <v>QD Bushing Split Taper QT, 5/8" in</v>
      </c>
      <c r="C6717" t="str">
        <f t="shared" si="260"/>
        <v>Active</v>
      </c>
    </row>
    <row r="6718" spans="1:3" ht="18" customHeight="1">
      <c r="A6718" t="str">
        <f>"36-0510-0002"</f>
        <v>36-0510-0002</v>
      </c>
      <c r="B6718" t="str">
        <f>"JM, Shaft Collar, Steel, 5/8"""</f>
        <v>JM, Shaft Collar, Steel, 5/8"</v>
      </c>
      <c r="C6718" t="str">
        <f t="shared" si="260"/>
        <v>Active</v>
      </c>
    </row>
    <row r="6719" spans="1:3" ht="18" customHeight="1">
      <c r="A6719" t="str">
        <f>"36-0510-0003"</f>
        <v>36-0510-0003</v>
      </c>
      <c r="B6719" t="str">
        <f>"JM, Coupling Body, Chain, 5/8"""</f>
        <v>JM, Coupling Body, Chain, 5/8"</v>
      </c>
      <c r="C6719" t="str">
        <f t="shared" si="260"/>
        <v>Active</v>
      </c>
    </row>
    <row r="6720" spans="1:3" ht="18" customHeight="1">
      <c r="A6720" t="str">
        <f>"36-0510-0004"</f>
        <v>36-0510-0004</v>
      </c>
      <c r="B6720" t="str">
        <f>"JM, Coupling Chain, Delrin"</f>
        <v>JM, Coupling Chain, Delrin</v>
      </c>
      <c r="C6720" t="str">
        <f t="shared" si="260"/>
        <v>Active</v>
      </c>
    </row>
    <row r="6721" spans="1:3" ht="18" customHeight="1">
      <c r="A6721" t="str">
        <f>"36-0510-0005"</f>
        <v>36-0510-0005</v>
      </c>
      <c r="B6721" t="str">
        <f>"JM, Coupling Body, S-Flex, 5/8"""</f>
        <v>JM, Coupling Body, S-Flex, 5/8"</v>
      </c>
      <c r="C6721" t="str">
        <f t="shared" si="260"/>
        <v>Active</v>
      </c>
    </row>
    <row r="6722" spans="1:3" ht="18" customHeight="1">
      <c r="A6722" t="str">
        <f>"36-0510-0006"</f>
        <v>36-0510-0006</v>
      </c>
      <c r="B6722" t="str">
        <f>"JM, Coupling Insert, S-Flex, 5/8"""</f>
        <v>JM, Coupling Insert, S-Flex, 5/8"</v>
      </c>
      <c r="C6722" t="str">
        <f t="shared" si="260"/>
        <v>Active</v>
      </c>
    </row>
    <row r="6723" spans="1:3" ht="18" customHeight="1">
      <c r="A6723" t="str">
        <f>"36-0510-0007"</f>
        <v>36-0510-0007</v>
      </c>
      <c r="B6723" t="str">
        <f>"JM, Coupling Body, Jaw Type, 5/8"""</f>
        <v>JM, Coupling Body, Jaw Type, 5/8"</v>
      </c>
      <c r="C6723" t="str">
        <f t="shared" si="260"/>
        <v>Active</v>
      </c>
    </row>
    <row r="6724" spans="1:3" ht="18" customHeight="1">
      <c r="A6724" t="str">
        <f>"36-0510-0008"</f>
        <v>36-0510-0008</v>
      </c>
      <c r="B6724" t="str">
        <f>"JM, Coupler Insert, Jaw Type"</f>
        <v>JM, Coupler Insert, Jaw Type</v>
      </c>
      <c r="C6724" t="str">
        <f t="shared" si="260"/>
        <v>Active</v>
      </c>
    </row>
    <row r="6725" spans="1:3" ht="18" customHeight="1">
      <c r="A6725" t="str">
        <f>"36-0510-0009"</f>
        <v>36-0510-0009</v>
      </c>
      <c r="B6725" t="str">
        <f>"CouplingHub,Grid1020T,5/8"",3/16""Keyway,Machining"</f>
        <v>CouplingHub,Grid1020T,5/8",3/16"Keyway,Machining</v>
      </c>
      <c r="C6725" t="str">
        <f>"Not for purc"</f>
        <v>Not for purc</v>
      </c>
    </row>
    <row r="6726" spans="1:3" ht="18" customHeight="1">
      <c r="A6726" t="str">
        <f>"36-0510-0009P"</f>
        <v>36-0510-0009P</v>
      </c>
      <c r="B6726" t="str">
        <f>"Coupling Hub Only, Grid Type Falk 1020T x5/8"""</f>
        <v>Coupling Hub Only, Grid Type Falk 1020T x5/8"</v>
      </c>
      <c r="C6726" t="str">
        <f t="shared" ref="C6726:C6756" si="261">"Active"</f>
        <v>Active</v>
      </c>
    </row>
    <row r="6727" spans="1:3" ht="18" customHeight="1">
      <c r="A6727" t="str">
        <f>"36-0510-0010"</f>
        <v>36-0510-0010</v>
      </c>
      <c r="B6727" t="str">
        <f>"JM, Coupling Grid"</f>
        <v>JM, Coupling Grid</v>
      </c>
      <c r="C6727" t="str">
        <f t="shared" si="261"/>
        <v>Active</v>
      </c>
    </row>
    <row r="6728" spans="1:3" ht="18" customHeight="1">
      <c r="A6728" t="str">
        <f>"36-0510-0011"</f>
        <v>36-0510-0011</v>
      </c>
      <c r="B6728" t="str">
        <f>"Coupling U-joint, 5/8""+ machining"</f>
        <v>Coupling U-joint, 5/8"+ machining</v>
      </c>
      <c r="C6728" t="str">
        <f t="shared" si="261"/>
        <v>Active</v>
      </c>
    </row>
    <row r="6729" spans="1:3" ht="18" customHeight="1">
      <c r="A6729" t="str">
        <f>"36-0510-0011P"</f>
        <v>36-0510-0011P</v>
      </c>
      <c r="B6729" t="str">
        <f>"Coupling U-Joint, 5/8"" Bore"</f>
        <v>Coupling U-Joint, 5/8" Bore</v>
      </c>
      <c r="C6729" t="str">
        <f t="shared" si="261"/>
        <v>Active</v>
      </c>
    </row>
    <row r="6730" spans="1:3" ht="18" customHeight="1">
      <c r="A6730" t="str">
        <f>"36-0510-0012"</f>
        <v>36-0510-0012</v>
      </c>
      <c r="B6730" t="str">
        <f>"מQD Bushing Split Taper QT, 1/2"" i"</f>
        <v>מQD Bushing Split Taper QT, 1/2" i</v>
      </c>
      <c r="C6730" t="str">
        <f t="shared" si="261"/>
        <v>Active</v>
      </c>
    </row>
    <row r="6731" spans="1:3" ht="18" customHeight="1">
      <c r="A6731" t="str">
        <f>"36-0510-0013"</f>
        <v>36-0510-0013</v>
      </c>
      <c r="B6731" t="str">
        <f>"JM, Coupling, Rigid, 1/2"" w/Keyway"</f>
        <v>JM, Coupling, Rigid, 1/2" w/Keyway</v>
      </c>
      <c r="C6731" t="str">
        <f t="shared" si="261"/>
        <v>Active</v>
      </c>
    </row>
    <row r="6732" spans="1:3" ht="18" customHeight="1">
      <c r="A6732" t="str">
        <f>"36-0510-0014"</f>
        <v>36-0510-0014</v>
      </c>
      <c r="B6732" t="str">
        <f>"JM, Bushing, Reducer, 1/2"" to 5/8"""</f>
        <v>JM, Bushing, Reducer, 1/2" to 5/8"</v>
      </c>
      <c r="C6732" t="str">
        <f t="shared" si="261"/>
        <v>Active</v>
      </c>
    </row>
    <row r="6733" spans="1:3" ht="18" customHeight="1">
      <c r="A6733" t="str">
        <f>"36-0510-0015"</f>
        <v>36-0510-0015</v>
      </c>
      <c r="B6733" t="str">
        <f>"JM, Coupling  Body, Jaw Type, 1/2"" Bore"</f>
        <v>JM, Coupling  Body, Jaw Type, 1/2" Bore</v>
      </c>
      <c r="C6733" t="str">
        <f t="shared" si="261"/>
        <v>Active</v>
      </c>
    </row>
    <row r="6734" spans="1:3" ht="18" customHeight="1">
      <c r="A6734" t="str">
        <f>"36-0510-0016"</f>
        <v>36-0510-0016</v>
      </c>
      <c r="B6734" t="str">
        <f>"JM, Coupling  Body, Jaw Type, 5/8"" Bore"</f>
        <v>JM, Coupling  Body, Jaw Type, 5/8" Bore</v>
      </c>
      <c r="C6734" t="str">
        <f t="shared" si="261"/>
        <v>Active</v>
      </c>
    </row>
    <row r="6735" spans="1:3" ht="18" customHeight="1">
      <c r="A6735" t="str">
        <f>"36-0510-0017"</f>
        <v>36-0510-0017</v>
      </c>
      <c r="B6735" t="str">
        <f>"JM, Coupling  Insert, Jaw Type Size L050"</f>
        <v>JM, Coupling  Insert, Jaw Type Size L050</v>
      </c>
      <c r="C6735" t="str">
        <f t="shared" si="261"/>
        <v>Active</v>
      </c>
    </row>
    <row r="6736" spans="1:3" ht="18" customHeight="1">
      <c r="A6736" t="str">
        <f>"36-0510-0018"</f>
        <v>36-0510-0018</v>
      </c>
      <c r="B6736" t="str">
        <f>"JM, Coupling Body, Jaw Type, Sze L050, 3/8"" Bore"</f>
        <v>JM, Coupling Body, Jaw Type, Sze L050, 3/8" Bore</v>
      </c>
      <c r="C6736" t="str">
        <f t="shared" si="261"/>
        <v>Active</v>
      </c>
    </row>
    <row r="6737" spans="1:3" ht="18" customHeight="1">
      <c r="A6737" t="str">
        <f>"36-0510-0019"</f>
        <v>36-0510-0019</v>
      </c>
      <c r="B6737" t="str">
        <f>"JM, Coupling  Body, Jaw Type, 5/16"" Bore"</f>
        <v>JM, Coupling  Body, Jaw Type, 5/16" Bore</v>
      </c>
      <c r="C6737" t="str">
        <f t="shared" si="261"/>
        <v>Active</v>
      </c>
    </row>
    <row r="6738" spans="1:3" ht="18" customHeight="1">
      <c r="A6738" t="str">
        <f>"36-0600-0001"</f>
        <v>36-0600-0001</v>
      </c>
      <c r="B6738" t="str">
        <f>"JM, V-Belt, 1/2"" x 54"""</f>
        <v>JM, V-Belt, 1/2" x 54"</v>
      </c>
      <c r="C6738" t="str">
        <f t="shared" si="261"/>
        <v>Active</v>
      </c>
    </row>
    <row r="6739" spans="1:3" ht="18" customHeight="1">
      <c r="A6739" t="str">
        <f>"36-0600-0002"</f>
        <v>36-0600-0002</v>
      </c>
      <c r="B6739" t="str">
        <f>"JM, V-Belt, 1/2"" x 50"""</f>
        <v>JM, V-Belt, 1/2" x 50"</v>
      </c>
      <c r="C6739" t="str">
        <f t="shared" si="261"/>
        <v>Active</v>
      </c>
    </row>
    <row r="6740" spans="1:3" ht="18" customHeight="1">
      <c r="A6740" t="str">
        <f>"36-0600-0003"</f>
        <v>36-0600-0003</v>
      </c>
      <c r="B6740" t="str">
        <f>"JM, Belt, Gear, 108 Teeth, 54"""</f>
        <v>JM, Belt, Gear, 108 Teeth, 54"</v>
      </c>
      <c r="C6740" t="str">
        <f t="shared" si="261"/>
        <v>Active</v>
      </c>
    </row>
    <row r="6741" spans="1:3" ht="18" customHeight="1">
      <c r="A6741" t="str">
        <f>"36-0700-0003"</f>
        <v>36-0700-0003</v>
      </c>
      <c r="B6741" t="str">
        <f>"JM, Greystone Frame, IMP-1 80/20 Kit"</f>
        <v>JM, Greystone Frame, IMP-1 80/20 Kit</v>
      </c>
      <c r="C6741" t="str">
        <f t="shared" si="261"/>
        <v>Active</v>
      </c>
    </row>
    <row r="6742" spans="1:3" ht="18" customHeight="1">
      <c r="A6742" t="str">
        <f>"36-0700-0010"</f>
        <v>36-0700-0010</v>
      </c>
      <c r="B6742" t="str">
        <f>"JM, Frame LS200 80/20 Kit"</f>
        <v>JM, Frame LS200 80/20 Kit</v>
      </c>
      <c r="C6742" t="str">
        <f t="shared" si="261"/>
        <v>Active</v>
      </c>
    </row>
    <row r="6743" spans="1:3" ht="18" customHeight="1">
      <c r="A6743" t="str">
        <f>"36-0700-0011"</f>
        <v>36-0700-0011</v>
      </c>
      <c r="B6743" t="str">
        <f>"JM, 1600 Mant. Cell Frame 80/20 Kit"</f>
        <v>JM, 1600 Mant. Cell Frame 80/20 Kit</v>
      </c>
      <c r="C6743" t="str">
        <f t="shared" si="261"/>
        <v>Active</v>
      </c>
    </row>
    <row r="6744" spans="1:3" ht="18" customHeight="1">
      <c r="A6744" t="str">
        <f>"36-0700-0013"</f>
        <v>36-0700-0013</v>
      </c>
      <c r="B6744" t="str">
        <f>"JM, Frame, Bearing Service Cart 80/20 Kit"</f>
        <v>JM, Frame, Bearing Service Cart 80/20 Kit</v>
      </c>
      <c r="C6744" t="str">
        <f t="shared" si="261"/>
        <v>Active</v>
      </c>
    </row>
    <row r="6745" spans="1:3" ht="18" customHeight="1">
      <c r="A6745" t="str">
        <f>"36-0700-0020"</f>
        <v>36-0700-0020</v>
      </c>
      <c r="B6745" t="str">
        <f>"JM, Gray Storage Drawer 15""x18""x8-1/4"""</f>
        <v>JM, Gray Storage Drawer 15"x18"x8-1/4"</v>
      </c>
      <c r="C6745" t="str">
        <f t="shared" si="261"/>
        <v>Active</v>
      </c>
    </row>
    <row r="6746" spans="1:3" ht="18" customHeight="1">
      <c r="A6746" t="str">
        <f>"36-0700-0021"</f>
        <v>36-0700-0021</v>
      </c>
      <c r="B6746" t="str">
        <f>"JM, Plate, Pump/Motor, Mounting 22x18x1-3/4"""</f>
        <v>JM, Plate, Pump/Motor, Mounting 22x18x1-3/4"</v>
      </c>
      <c r="C6746" t="str">
        <f t="shared" si="261"/>
        <v>Active</v>
      </c>
    </row>
    <row r="6747" spans="1:3" ht="18" customHeight="1">
      <c r="A6747" t="str">
        <f>"36-0700-0022"</f>
        <v>36-0700-0022</v>
      </c>
      <c r="B6747" t="str">
        <f>"JM, Open Style Cable Tray 6""W, 7'L Section"</f>
        <v>JM, Open Style Cable Tray 6"W, 7'L Section</v>
      </c>
      <c r="C6747" t="str">
        <f t="shared" si="261"/>
        <v>Active</v>
      </c>
    </row>
    <row r="6748" spans="1:3" ht="18" customHeight="1">
      <c r="A6748" t="str">
        <f>"36-0700-0023"</f>
        <v>36-0700-0023</v>
      </c>
      <c r="B6748" t="str">
        <f>"JM, Hold Down Clamp, Open Style Cable Tray"</f>
        <v>JM, Hold Down Clamp, Open Style Cable Tray</v>
      </c>
      <c r="C6748" t="str">
        <f t="shared" si="261"/>
        <v>Active</v>
      </c>
    </row>
    <row r="6749" spans="1:3" ht="18" customHeight="1">
      <c r="A6749" t="str">
        <f>"36-0700-0024"</f>
        <v>36-0700-0024</v>
      </c>
      <c r="B6749" t="str">
        <f>"JM, Mount, 2""x2"",Conveyor Lite Series,Mini-Mover"</f>
        <v>JM, Mount, 2"x2",Conveyor Lite Series,Mini-Mover</v>
      </c>
      <c r="C6749" t="str">
        <f t="shared" si="261"/>
        <v>Active</v>
      </c>
    </row>
    <row r="6750" spans="1:3" ht="18" customHeight="1">
      <c r="A6750" t="str">
        <f>"36-0700-0025P"</f>
        <v>36-0700-0025P</v>
      </c>
      <c r="B6750" t="str">
        <f>"JM, Ladder Style Cable Tray, 10ft"</f>
        <v>JM, Ladder Style Cable Tray, 10ft</v>
      </c>
      <c r="C6750" t="str">
        <f t="shared" si="261"/>
        <v>Active</v>
      </c>
    </row>
    <row r="6751" spans="1:3" ht="18" customHeight="1">
      <c r="A6751" t="str">
        <f>"36-0700-0026"</f>
        <v>36-0700-0026</v>
      </c>
      <c r="B6751" t="str">
        <f>"JM, Ladder Style Cable Tray, 90deg Out.Bend, 24"""</f>
        <v>JM, Ladder Style Cable Tray, 90deg Out.Bend, 24"</v>
      </c>
      <c r="C6751" t="str">
        <f t="shared" si="261"/>
        <v>Active</v>
      </c>
    </row>
    <row r="6752" spans="1:3" ht="18" customHeight="1">
      <c r="A6752" t="str">
        <f>"36-0700-0028"</f>
        <v>36-0700-0028</v>
      </c>
      <c r="B6752" t="str">
        <f>"JM, Splice Plate,Ladder Style Cable Tray w/ Hdwr"</f>
        <v>JM, Splice Plate,Ladder Style Cable Tray w/ Hdwr</v>
      </c>
      <c r="C6752" t="str">
        <f t="shared" si="261"/>
        <v>Active</v>
      </c>
    </row>
    <row r="6753" spans="1:3" ht="18" customHeight="1">
      <c r="A6753" t="str">
        <f>"36-0700-0029"</f>
        <v>36-0700-0029</v>
      </c>
      <c r="B6753" t="str">
        <f>"JM, Clamp, Ladder Style Cable Tray"</f>
        <v>JM, Clamp, Ladder Style Cable Tray</v>
      </c>
      <c r="C6753" t="str">
        <f t="shared" si="261"/>
        <v>Active</v>
      </c>
    </row>
    <row r="6754" spans="1:3" ht="18" customHeight="1">
      <c r="A6754" t="str">
        <f>"36-0700-0030P"</f>
        <v>36-0700-0030P</v>
      </c>
      <c r="B6754" t="str">
        <f>"JM, NEMA1 Wireway, 4""sq, w/KO, 10'"</f>
        <v>JM, NEMA1 Wireway, 4"sq, w/KO, 10'</v>
      </c>
      <c r="C6754" t="str">
        <f t="shared" si="261"/>
        <v>Active</v>
      </c>
    </row>
    <row r="6755" spans="1:3" ht="18" customHeight="1">
      <c r="A6755" t="str">
        <f>"36-0700-0031"</f>
        <v>36-0700-0031</v>
      </c>
      <c r="B6755" t="str">
        <f>"JM, Wireway Endplate, 4"""</f>
        <v>JM, Wireway Endplate, 4"</v>
      </c>
      <c r="C6755" t="str">
        <f t="shared" si="261"/>
        <v>Active</v>
      </c>
    </row>
    <row r="6756" spans="1:3" ht="18" customHeight="1">
      <c r="A6756" t="str">
        <f>"36-0700-0032"</f>
        <v>36-0700-0032</v>
      </c>
      <c r="B6756" t="str">
        <f>"JM, IMP1 Mounting Plate, Top Ends"</f>
        <v>JM, IMP1 Mounting Plate, Top Ends</v>
      </c>
      <c r="C6756" t="str">
        <f t="shared" si="261"/>
        <v>Active</v>
      </c>
    </row>
    <row r="6757" spans="1:3" ht="18" customHeight="1">
      <c r="A6757" t="str">
        <f>"36-0700-0033"</f>
        <v>36-0700-0033</v>
      </c>
      <c r="B6757" t="str">
        <f>"JM, IMP1  Shelf  13.56""x14"""</f>
        <v>JM, IMP1  Shelf  13.56"x14"</v>
      </c>
      <c r="C6757" t="str">
        <f>"New"</f>
        <v>New</v>
      </c>
    </row>
    <row r="6758" spans="1:3" ht="18" customHeight="1">
      <c r="A6758" t="str">
        <f>"36-0700-0034"</f>
        <v>36-0700-0034</v>
      </c>
      <c r="B6758" t="str">
        <f>"JM, IMP1 Mounting Plate,Top Center"</f>
        <v>JM, IMP1 Mounting Plate,Top Center</v>
      </c>
      <c r="C6758" t="str">
        <f t="shared" ref="C6758:C6770" si="262">"Active"</f>
        <v>Active</v>
      </c>
    </row>
    <row r="6759" spans="1:3" ht="18" customHeight="1">
      <c r="A6759" t="str">
        <f>"36-0700-0035"</f>
        <v>36-0700-0035</v>
      </c>
      <c r="B6759" t="str">
        <f>"JM, IMP1  Shelf, Gear Box, 13.56""x14"""</f>
        <v>JM, IMP1  Shelf, Gear Box, 13.56"x14"</v>
      </c>
      <c r="C6759" t="str">
        <f t="shared" si="262"/>
        <v>Active</v>
      </c>
    </row>
    <row r="6760" spans="1:3" ht="18" customHeight="1">
      <c r="A6760" t="str">
        <f>"36-0700-0036"</f>
        <v>36-0700-0036</v>
      </c>
      <c r="B6760" t="str">
        <f>"JM, IMP1  Shelf, Gears, 13.56""x14"""</f>
        <v>JM, IMP1  Shelf, Gears, 13.56"x14"</v>
      </c>
      <c r="C6760" t="str">
        <f t="shared" si="262"/>
        <v>Active</v>
      </c>
    </row>
    <row r="6761" spans="1:3" ht="18" customHeight="1">
      <c r="A6761" t="str">
        <f>"36-0700-0037"</f>
        <v>36-0700-0037</v>
      </c>
      <c r="B6761" t="str">
        <f>"JM, IMP  Shelf, Pulley and Sprocket,22.19""x14"""</f>
        <v>JM, IMP  Shelf, Pulley and Sprocket,22.19"x14"</v>
      </c>
      <c r="C6761" t="str">
        <f t="shared" si="262"/>
        <v>Active</v>
      </c>
    </row>
    <row r="6762" spans="1:3" ht="18" customHeight="1">
      <c r="A6762" t="str">
        <f>"36-0700-0038"</f>
        <v>36-0700-0038</v>
      </c>
      <c r="B6762" t="str">
        <f>"JM,IMP1Shelf,Motor&amp;Mount&amp;SpeedReducer,22.19""x14"""</f>
        <v>JM,IMP1Shelf,Motor&amp;Mount&amp;SpeedReducer,22.19"x14"</v>
      </c>
      <c r="C6762" t="str">
        <f t="shared" si="262"/>
        <v>Active</v>
      </c>
    </row>
    <row r="6763" spans="1:3" ht="18" customHeight="1">
      <c r="A6763" t="str">
        <f>"36-0700-0039"</f>
        <v>36-0700-0039</v>
      </c>
      <c r="B6763" t="str">
        <f>"JM,IMP1 Shelf,Brake&amp;Speed Reducer, 22.19""x14"""</f>
        <v>JM,IMP1 Shelf,Brake&amp;Speed Reducer, 22.19"x14"</v>
      </c>
      <c r="C6763" t="str">
        <f t="shared" si="262"/>
        <v>Active</v>
      </c>
    </row>
    <row r="6764" spans="1:3" ht="18" customHeight="1">
      <c r="A6764" t="str">
        <f>"36-0700-0040"</f>
        <v>36-0700-0040</v>
      </c>
      <c r="B6764" t="str">
        <f>"JM, IMP1  Shelf, Shaft and Bearings, 13.56""x14"""</f>
        <v>JM, IMP1  Shelf, Shaft and Bearings, 13.56"x14"</v>
      </c>
      <c r="C6764" t="str">
        <f t="shared" si="262"/>
        <v>Active</v>
      </c>
    </row>
    <row r="6765" spans="1:3" ht="18" customHeight="1">
      <c r="A6765" t="str">
        <f>"36-0700-0041"</f>
        <v>36-0700-0041</v>
      </c>
      <c r="B6765" t="str">
        <f>"JM, IMP1  Shelf, Couplings, 13.56""x14"""</f>
        <v>JM, IMP1  Shelf, Couplings, 13.56"x14"</v>
      </c>
      <c r="C6765" t="str">
        <f t="shared" si="262"/>
        <v>Active</v>
      </c>
    </row>
    <row r="6766" spans="1:3" ht="18" customHeight="1">
      <c r="A6766" t="str">
        <f>"36-0700-0042"</f>
        <v>36-0700-0042</v>
      </c>
      <c r="B6766" t="str">
        <f>"JM, Mount, Motor Base, Adjust 10-5/8"" x 6-1/2"""</f>
        <v>JM, Mount, Motor Base, Adjust 10-5/8" x 6-1/2"</v>
      </c>
      <c r="C6766" t="str">
        <f t="shared" si="262"/>
        <v>Active</v>
      </c>
    </row>
    <row r="6767" spans="1:3" ht="18" customHeight="1">
      <c r="A6767" t="str">
        <f>"36-0700-0045"</f>
        <v>36-0700-0045</v>
      </c>
      <c r="B6767" t="str">
        <f>"JM, EMMC 1600 Parts Tunnel"</f>
        <v>JM, EMMC 1600 Parts Tunnel</v>
      </c>
      <c r="C6767" t="str">
        <f t="shared" si="262"/>
        <v>Active</v>
      </c>
    </row>
    <row r="6768" spans="1:3" ht="18" customHeight="1">
      <c r="A6768" t="str">
        <f>"36-0700-0046"</f>
        <v>36-0700-0046</v>
      </c>
      <c r="B6768" t="str">
        <f>"JM, EMMC 1600 Chain Guard, Back"</f>
        <v>JM, EMMC 1600 Chain Guard, Back</v>
      </c>
      <c r="C6768" t="str">
        <f t="shared" si="262"/>
        <v>Active</v>
      </c>
    </row>
    <row r="6769" spans="1:3" ht="18" customHeight="1">
      <c r="A6769" t="str">
        <f>"36-0700-0047"</f>
        <v>36-0700-0047</v>
      </c>
      <c r="B6769" t="str">
        <f>"JM, EMMC 1600 Chain Guard, Front"</f>
        <v>JM, EMMC 1600 Chain Guard, Front</v>
      </c>
      <c r="C6769" t="str">
        <f t="shared" si="262"/>
        <v>Active</v>
      </c>
    </row>
    <row r="6770" spans="1:3" ht="18" customHeight="1">
      <c r="A6770" t="str">
        <f>"36-0700-0048"</f>
        <v>36-0700-0048</v>
      </c>
      <c r="B6770" t="str">
        <f>"JM, Bracket, EMMC-1600 Prox. Sensor"</f>
        <v>JM, Bracket, EMMC-1600 Prox. Sensor</v>
      </c>
      <c r="C6770" t="str">
        <f t="shared" si="262"/>
        <v>Active</v>
      </c>
    </row>
    <row r="6771" spans="1:3" ht="18" customHeight="1">
      <c r="A6771" t="str">
        <f>"36-0700-0050"</f>
        <v>36-0700-0050</v>
      </c>
      <c r="B6771" t="str">
        <f>"36-0800JM, IMP1  Shelf, bearings"</f>
        <v>36-0800JM, IMP1  Shelf, bearings</v>
      </c>
      <c r="C6771" t="str">
        <f>"ECO-Process"</f>
        <v>ECO-Process</v>
      </c>
    </row>
    <row r="6772" spans="1:3" ht="18" customHeight="1">
      <c r="A6772" t="str">
        <f>"36-0700-0051"</f>
        <v>36-0700-0051</v>
      </c>
      <c r="B6772" t="str">
        <f>"JM, IMP1 Mount Plate, BSC"</f>
        <v>JM, IMP1 Mount Plate, BSC</v>
      </c>
      <c r="C6772" t="str">
        <f>"Active"</f>
        <v>Active</v>
      </c>
    </row>
    <row r="6773" spans="1:3" ht="18" customHeight="1">
      <c r="A6773" t="str">
        <f>"36-0700-0052"</f>
        <v>36-0700-0052</v>
      </c>
      <c r="B6773" t="str">
        <f>"Top Mounting Plate,JM Mech. Bench"</f>
        <v>Top Mounting Plate,JM Mech. Bench</v>
      </c>
      <c r="C6773" t="str">
        <f>"New"</f>
        <v>New</v>
      </c>
    </row>
    <row r="6774" spans="1:3" ht="18" customHeight="1">
      <c r="A6774" t="str">
        <f>"36-0700-0053"</f>
        <v>36-0700-0053</v>
      </c>
      <c r="B6774" t="str">
        <f>"Shelf for Power Controller, ME10 JM"</f>
        <v>Shelf for Power Controller, ME10 JM</v>
      </c>
      <c r="C6774" t="str">
        <f>"ECO-N2Buy"</f>
        <v>ECO-N2Buy</v>
      </c>
    </row>
    <row r="6775" spans="1:3" ht="18" customHeight="1">
      <c r="A6775" t="str">
        <f>"36-0700-0054"</f>
        <v>36-0700-0054</v>
      </c>
      <c r="B6775" t="str">
        <f>"Top Plate+ PressNuts,JM Mech. Bench"</f>
        <v>Top Plate+ PressNuts,JM Mech. Bench</v>
      </c>
      <c r="C6775" t="str">
        <f>"ECO-N2Buy"</f>
        <v>ECO-N2Buy</v>
      </c>
    </row>
    <row r="6776" spans="1:3" ht="18" customHeight="1">
      <c r="A6776" t="str">
        <f>"36-0700-0055"</f>
        <v>36-0700-0055</v>
      </c>
      <c r="B6776" t="str">
        <f>"Shelf for Bearings 14""x13.56"" Mec. Bench, JM"</f>
        <v>Shelf for Bearings 14"x13.56" Mec. Bench, JM</v>
      </c>
      <c r="C6776" t="str">
        <f>"Active"</f>
        <v>Active</v>
      </c>
    </row>
    <row r="6777" spans="1:3" ht="18" customHeight="1">
      <c r="A6777" t="str">
        <f>"36-0700-0056"</f>
        <v>36-0700-0056</v>
      </c>
      <c r="B6777" t="str">
        <f>"Shelf for couplings 14""x13.56"", Mech. Bench, JM"</f>
        <v>Shelf for couplings 14"x13.56", Mech. Bench, JM</v>
      </c>
      <c r="C6777" t="str">
        <f>"ECO-N2Buy"</f>
        <v>ECO-N2Buy</v>
      </c>
    </row>
    <row r="6778" spans="1:3" ht="18" customHeight="1">
      <c r="A6778" t="str">
        <f>"36-0700-0057"</f>
        <v>36-0700-0057</v>
      </c>
      <c r="B6778" t="str">
        <f>"Shelf 14""x22"" for Motor,Mech.Bench, JM"</f>
        <v>Shelf 14"x22" for Motor,Mech.Bench, JM</v>
      </c>
      <c r="C6778" t="str">
        <f>"ECO-N2Buy"</f>
        <v>ECO-N2Buy</v>
      </c>
    </row>
    <row r="6779" spans="1:3" ht="18" customHeight="1">
      <c r="A6779" t="str">
        <f>"36-0700-0059"</f>
        <v>36-0700-0059</v>
      </c>
      <c r="B6779" t="str">
        <f>"Metal Box for JM Electricals Assy,200x150x80mm"</f>
        <v>Metal Box for JM Electricals Assy,200x150x80mm</v>
      </c>
      <c r="C6779" t="str">
        <f>"Active"</f>
        <v>Active</v>
      </c>
    </row>
    <row r="6780" spans="1:3" ht="18" customHeight="1">
      <c r="A6780" t="str">
        <f>"36-0700-0060"</f>
        <v>36-0700-0060</v>
      </c>
      <c r="B6780" t="str">
        <f>"Electrical Bench 45""x32""x70"" (1140x213x1742mm)"</f>
        <v>Electrical Bench 45"x32"x70" (1140x213x1742mm)</v>
      </c>
      <c r="C6780" t="str">
        <f>"New"</f>
        <v>New</v>
      </c>
    </row>
    <row r="6781" spans="1:3" ht="18" customHeight="1">
      <c r="A6781" t="str">
        <f>"36-0700-0061"</f>
        <v>36-0700-0061</v>
      </c>
      <c r="B6781" t="str">
        <f>"Clear Polycarbonate Panel for E061, JM"</f>
        <v>Clear Polycarbonate Panel for E061, JM</v>
      </c>
      <c r="C6781" t="str">
        <f t="shared" ref="C6781:C6790" si="263">"Active"</f>
        <v>Active</v>
      </c>
    </row>
    <row r="6782" spans="1:3" ht="18" customHeight="1">
      <c r="A6782" t="str">
        <f>"36-0700-0071"</f>
        <v>36-0700-0071</v>
      </c>
      <c r="B6782" t="str">
        <f>"Front Panel for E071, JM"</f>
        <v>Front Panel for E071, JM</v>
      </c>
      <c r="C6782" t="str">
        <f t="shared" si="263"/>
        <v>Active</v>
      </c>
    </row>
    <row r="6783" spans="1:3" ht="18" customHeight="1">
      <c r="A6783" t="str">
        <f>"36-0700-0087"</f>
        <v>36-0700-0087</v>
      </c>
      <c r="B6783" t="str">
        <f>"Clear Plycarbonte Panel E087, JM"</f>
        <v>Clear Plycarbonte Panel E087, JM</v>
      </c>
      <c r="C6783" t="str">
        <f t="shared" si="263"/>
        <v>Active</v>
      </c>
    </row>
    <row r="6784" spans="1:3" ht="18" customHeight="1">
      <c r="A6784" t="str">
        <f>"36-0700-0152"</f>
        <v>36-0700-0152</v>
      </c>
      <c r="B6784" t="str">
        <f>"Front Panel for E152, JM"</f>
        <v>Front Panel for E152, JM</v>
      </c>
      <c r="C6784" t="str">
        <f t="shared" si="263"/>
        <v>Active</v>
      </c>
    </row>
    <row r="6785" spans="1:3" ht="18" customHeight="1">
      <c r="A6785" t="str">
        <f>"36-0700-0154"</f>
        <v>36-0700-0154</v>
      </c>
      <c r="B6785" t="str">
        <f>"Front Panel for E154, JM"</f>
        <v>Front Panel for E154, JM</v>
      </c>
      <c r="C6785" t="str">
        <f t="shared" si="263"/>
        <v>Active</v>
      </c>
    </row>
    <row r="6786" spans="1:3" ht="18" customHeight="1">
      <c r="A6786" t="str">
        <f>"36-0701-0001"</f>
        <v>36-0701-0001</v>
      </c>
      <c r="B6786" t="str">
        <f>"Profile,Spacer, 1.5""x1.5""x5-1/4"" 80/20"</f>
        <v>Profile,Spacer, 1.5"x1.5"x5-1/4" 80/20</v>
      </c>
      <c r="C6786" t="str">
        <f t="shared" si="263"/>
        <v>Active</v>
      </c>
    </row>
    <row r="6787" spans="1:3" ht="18" customHeight="1">
      <c r="A6787" t="str">
        <f>"36-0701-0003"</f>
        <v>36-0701-0003</v>
      </c>
      <c r="B6787" t="str">
        <f>"JM, Spacers, 1.5""x1.5""x2.5"" 80/20"</f>
        <v>JM, Spacers, 1.5"x1.5"x2.5" 80/20</v>
      </c>
      <c r="C6787" t="str">
        <f t="shared" si="263"/>
        <v>Active</v>
      </c>
    </row>
    <row r="6788" spans="1:3" ht="18" customHeight="1">
      <c r="A6788" t="str">
        <f>"36-0701-0004"</f>
        <v>36-0701-0004</v>
      </c>
      <c r="B6788" t="str">
        <f>"4312, 15 Series, 7 Hole Tee Joint Plate"</f>
        <v>4312, 15 Series, 7 Hole Tee Joint Plate</v>
      </c>
      <c r="C6788" t="str">
        <f t="shared" si="263"/>
        <v>Active</v>
      </c>
    </row>
    <row r="6789" spans="1:3" ht="18" customHeight="1">
      <c r="A6789" t="str">
        <f>"36-0800-0001"</f>
        <v>36-0800-0001</v>
      </c>
      <c r="B6789" t="str">
        <f>"JM, IMP1 Bench Drawslide Mount"</f>
        <v>JM, IMP1 Bench Drawslide Mount</v>
      </c>
      <c r="C6789" t="str">
        <f t="shared" si="263"/>
        <v>Active</v>
      </c>
    </row>
    <row r="6790" spans="1:3" ht="18" customHeight="1">
      <c r="A6790" t="str">
        <f>"36-0800-0002"</f>
        <v>36-0800-0002</v>
      </c>
      <c r="B6790" t="str">
        <f>"JM, IMP1 Bench Shelf Mount"</f>
        <v>JM, IMP1 Bench Shelf Mount</v>
      </c>
      <c r="C6790" t="str">
        <f t="shared" si="263"/>
        <v>Active</v>
      </c>
    </row>
    <row r="6791" spans="1:3" ht="18" customHeight="1">
      <c r="A6791" t="str">
        <f>"36-0800-0003"</f>
        <v>36-0800-0003</v>
      </c>
      <c r="B6791" t="str">
        <f>"JM, Rigid Coupling, 5/8"" Bore, 3/16"" Keyway"</f>
        <v>JM, Rigid Coupling, 5/8" Bore, 3/16" Keyway</v>
      </c>
      <c r="C6791" t="str">
        <f>"Not for purc"</f>
        <v>Not for purc</v>
      </c>
    </row>
    <row r="6792" spans="1:3" ht="18" customHeight="1">
      <c r="A6792" t="str">
        <f>"36-0800-0004"</f>
        <v>36-0800-0004</v>
      </c>
      <c r="B6792" t="str">
        <f>"JM, Mount, Bearing, Vibration Analysis"</f>
        <v>JM, Mount, Bearing, Vibration Analysis</v>
      </c>
      <c r="C6792" t="str">
        <f t="shared" ref="C6792:C6823" si="264">"Active"</f>
        <v>Active</v>
      </c>
    </row>
    <row r="6793" spans="1:3" ht="18" customHeight="1">
      <c r="A6793" t="str">
        <f>"36-0800-0005"</f>
        <v>36-0800-0005</v>
      </c>
      <c r="B6793" t="str">
        <f>"JM, Rotor, Balanced, Vibration Analysis"</f>
        <v>JM, Rotor, Balanced, Vibration Analysis</v>
      </c>
      <c r="C6793" t="str">
        <f t="shared" si="264"/>
        <v>Active</v>
      </c>
    </row>
    <row r="6794" spans="1:3" ht="18" customHeight="1">
      <c r="A6794" t="str">
        <f>"36-0800-0006"</f>
        <v>36-0800-0006</v>
      </c>
      <c r="B6794" t="str">
        <f>"JM, Rotor, Eccentric, Vibration Analysis"</f>
        <v>JM, Rotor, Eccentric, Vibration Analysis</v>
      </c>
      <c r="C6794" t="str">
        <f t="shared" si="264"/>
        <v>Active</v>
      </c>
    </row>
    <row r="6795" spans="1:3" ht="18" customHeight="1">
      <c r="A6795" t="str">
        <f>"36-0800-0007"</f>
        <v>36-0800-0007</v>
      </c>
      <c r="B6795" t="str">
        <f>"JM, Rotor, Cocked, Vibration Analysis"</f>
        <v>JM, Rotor, Cocked, Vibration Analysis</v>
      </c>
      <c r="C6795" t="str">
        <f t="shared" si="264"/>
        <v>Active</v>
      </c>
    </row>
    <row r="6796" spans="1:3" ht="18" customHeight="1">
      <c r="A6796" t="str">
        <f>"36-0800-0012"</f>
        <v>36-0800-0012</v>
      </c>
      <c r="B6796" t="str">
        <f>"JM, Gearbox End, IMP-1"</f>
        <v>JM, Gearbox End, IMP-1</v>
      </c>
      <c r="C6796" t="str">
        <f t="shared" si="264"/>
        <v>Active</v>
      </c>
    </row>
    <row r="6797" spans="1:3" ht="18" customHeight="1">
      <c r="A6797" t="str">
        <f>"36-0800-0013"</f>
        <v>36-0800-0013</v>
      </c>
      <c r="B6797" t="str">
        <f>"JM, Gearbox Top, IMP-1"</f>
        <v>JM, Gearbox Top, IMP-1</v>
      </c>
      <c r="C6797" t="str">
        <f t="shared" si="264"/>
        <v>Active</v>
      </c>
    </row>
    <row r="6798" spans="1:3" ht="18" customHeight="1">
      <c r="A6798" t="str">
        <f>"36-0800-0015"</f>
        <v>36-0800-0015</v>
      </c>
      <c r="B6798" t="str">
        <f>"JM, EMMC-1600 Feeder Block, 3.5"""</f>
        <v>JM, EMMC-1600 Feeder Block, 3.5"</v>
      </c>
      <c r="C6798" t="str">
        <f t="shared" si="264"/>
        <v>Active</v>
      </c>
    </row>
    <row r="6799" spans="1:3" ht="18" customHeight="1">
      <c r="A6799" t="str">
        <f>"36-0800-0016"</f>
        <v>36-0800-0016</v>
      </c>
      <c r="B6799" t="str">
        <f>"JM, EMMC-1600 Feeder Tube"</f>
        <v>JM, EMMC-1600 Feeder Tube</v>
      </c>
      <c r="C6799" t="str">
        <f t="shared" si="264"/>
        <v>Active</v>
      </c>
    </row>
    <row r="6800" spans="1:3" ht="18" customHeight="1">
      <c r="A6800" t="str">
        <f>"36-0800-0017"</f>
        <v>36-0800-0017</v>
      </c>
      <c r="B6800" t="str">
        <f>"JM, EMMC-1600 Feeder Base"</f>
        <v>JM, EMMC-1600 Feeder Base</v>
      </c>
      <c r="C6800" t="str">
        <f t="shared" si="264"/>
        <v>Active</v>
      </c>
    </row>
    <row r="6801" spans="1:3" ht="18" customHeight="1">
      <c r="A6801" t="str">
        <f>"36-0800-0020"</f>
        <v>36-0800-0020</v>
      </c>
      <c r="B6801" t="str">
        <f>"JM, Safety Guard, IMP1"</f>
        <v>JM, Safety Guard, IMP1</v>
      </c>
      <c r="C6801" t="str">
        <f t="shared" si="264"/>
        <v>Active</v>
      </c>
    </row>
    <row r="6802" spans="1:3" ht="18" customHeight="1">
      <c r="A6802" t="str">
        <f>"36-0800-0021"</f>
        <v>36-0800-0021</v>
      </c>
      <c r="B6802" t="str">
        <f>"JM, EMMC Parts Feeder Ramp"</f>
        <v>JM, EMMC Parts Feeder Ramp</v>
      </c>
      <c r="C6802" t="str">
        <f t="shared" si="264"/>
        <v>Active</v>
      </c>
    </row>
    <row r="6803" spans="1:3" ht="18" customHeight="1">
      <c r="A6803" t="str">
        <f>"36-0800-0031"</f>
        <v>36-0800-0031</v>
      </c>
      <c r="B6803" t="str">
        <f>"Safety Polycarb. Guard for E003 (3 Phase Transf)"</f>
        <v>Safety Polycarb. Guard for E003 (3 Phase Transf)</v>
      </c>
      <c r="C6803" t="str">
        <f t="shared" si="264"/>
        <v>Active</v>
      </c>
    </row>
    <row r="6804" spans="1:3" ht="18" customHeight="1">
      <c r="A6804" t="str">
        <f>"36-0800-0033"</f>
        <v>36-0800-0033</v>
      </c>
      <c r="B6804" t="str">
        <f>"Spacer for Vice 80x45x35 mm"</f>
        <v>Spacer for Vice 80x45x35 mm</v>
      </c>
      <c r="C6804" t="str">
        <f t="shared" si="264"/>
        <v>Active</v>
      </c>
    </row>
    <row r="6805" spans="1:3" ht="18" customHeight="1">
      <c r="A6805" t="str">
        <f>"36-0800-0035"</f>
        <v>36-0800-0035</v>
      </c>
      <c r="B6805" t="str">
        <f>"T10, R25 Timing Belt Tensior"</f>
        <v>T10, R25 Timing Belt Tensior</v>
      </c>
      <c r="C6805" t="str">
        <f t="shared" si="264"/>
        <v>Active</v>
      </c>
    </row>
    <row r="6806" spans="1:3" ht="18" customHeight="1">
      <c r="A6806" t="str">
        <f>"36-0800-0036"</f>
        <v>36-0800-0036</v>
      </c>
      <c r="B6806" t="str">
        <f>"T10, R25 Timing Belt Fixing"</f>
        <v>T10, R25 Timing Belt Fixing</v>
      </c>
      <c r="C6806" t="str">
        <f t="shared" si="264"/>
        <v>Active</v>
      </c>
    </row>
    <row r="6807" spans="1:3" ht="18" customHeight="1">
      <c r="A6807" t="str">
        <f>"36-0800-0037"</f>
        <v>36-0800-0037</v>
      </c>
      <c r="B6807" t="str">
        <f>"T10, R25 Timing Belt Tension Adapter"</f>
        <v>T10, R25 Timing Belt Tension Adapter</v>
      </c>
      <c r="C6807" t="str">
        <f t="shared" si="264"/>
        <v>Active</v>
      </c>
    </row>
    <row r="6808" spans="1:3" ht="18" customHeight="1">
      <c r="A6808" t="str">
        <f>"36-0800-0038"</f>
        <v>36-0800-0038</v>
      </c>
      <c r="B6808" t="str">
        <f>"T10, R25 Timing Belt Tension Support"</f>
        <v>T10, R25 Timing Belt Tension Support</v>
      </c>
      <c r="C6808" t="str">
        <f t="shared" si="264"/>
        <v>Active</v>
      </c>
    </row>
    <row r="6809" spans="1:3" ht="18" customHeight="1">
      <c r="A6809" t="str">
        <f>"36-0900-0001"</f>
        <v>36-0900-0001</v>
      </c>
      <c r="B6809" t="str">
        <f>"JM, Chain Puller"</f>
        <v>JM, Chain Puller</v>
      </c>
      <c r="C6809" t="str">
        <f t="shared" si="264"/>
        <v>Active</v>
      </c>
    </row>
    <row r="6810" spans="1:3" ht="18" customHeight="1">
      <c r="A6810" t="str">
        <f>"36-0900-0002"</f>
        <v>36-0900-0002</v>
      </c>
      <c r="B6810" t="str">
        <f>"JM, Chain Detacher"</f>
        <v>JM, Chain Detacher</v>
      </c>
      <c r="C6810" t="str">
        <f t="shared" si="264"/>
        <v>Active</v>
      </c>
    </row>
    <row r="6811" spans="1:3" ht="18" customHeight="1">
      <c r="A6811" t="str">
        <f>"36-0900-0003"</f>
        <v>36-0900-0003</v>
      </c>
      <c r="B6811" t="str">
        <f>"JM, Tester, V-belt Tension"</f>
        <v>JM, Tester, V-belt Tension</v>
      </c>
      <c r="C6811" t="str">
        <f t="shared" si="264"/>
        <v>Active</v>
      </c>
    </row>
    <row r="6812" spans="1:3" ht="18" customHeight="1">
      <c r="A6812" t="str">
        <f>"36-0900-0004"</f>
        <v>36-0900-0004</v>
      </c>
      <c r="B6812" t="str">
        <f>"JM, Feeler Gauge Set"</f>
        <v>JM, Feeler Gauge Set</v>
      </c>
      <c r="C6812" t="str">
        <f t="shared" si="264"/>
        <v>Active</v>
      </c>
    </row>
    <row r="6813" spans="1:3" ht="18" customHeight="1">
      <c r="A6813" t="str">
        <f>"36-0900-0005"</f>
        <v>36-0900-0005</v>
      </c>
      <c r="B6813" t="str">
        <f>"JM, Shim Assortment, 80pc, Slotted w/tab"</f>
        <v>JM, Shim Assortment, 80pc, Slotted w/tab</v>
      </c>
      <c r="C6813" t="str">
        <f t="shared" si="264"/>
        <v>Active</v>
      </c>
    </row>
    <row r="6814" spans="1:3" ht="18" customHeight="1">
      <c r="A6814" t="str">
        <f>"36-0900-0006"</f>
        <v>36-0900-0006</v>
      </c>
      <c r="B6814" t="str">
        <f>"JM, Ruler, Metal, 36"""</f>
        <v>JM, Ruler, Metal, 36"</v>
      </c>
      <c r="C6814" t="str">
        <f t="shared" si="264"/>
        <v>Active</v>
      </c>
    </row>
    <row r="6815" spans="1:3" ht="18" customHeight="1">
      <c r="A6815" t="str">
        <f>"36-0900-0007"</f>
        <v>36-0900-0007</v>
      </c>
      <c r="B6815" t="str">
        <f>"JM, Dial Indicator Set"</f>
        <v>JM, Dial Indicator Set</v>
      </c>
      <c r="C6815" t="str">
        <f t="shared" si="264"/>
        <v>Active</v>
      </c>
    </row>
    <row r="6816" spans="1:3" ht="18" customHeight="1">
      <c r="A6816" t="str">
        <f>"36-0900-0008"</f>
        <v>36-0900-0008</v>
      </c>
      <c r="B6816" t="str">
        <f>"JM, Magnetic Base"</f>
        <v>JM, Magnetic Base</v>
      </c>
      <c r="C6816" t="str">
        <f t="shared" si="264"/>
        <v>Active</v>
      </c>
    </row>
    <row r="6817" spans="1:3" ht="18" customHeight="1">
      <c r="A6817" t="str">
        <f>"36-0900-0009"</f>
        <v>36-0900-0009</v>
      </c>
      <c r="B6817" t="str">
        <f>"JM, Level, Torpedo, 7.5"""</f>
        <v>JM, Level, Torpedo, 7.5"</v>
      </c>
      <c r="C6817" t="str">
        <f t="shared" si="264"/>
        <v>Active</v>
      </c>
    </row>
    <row r="6818" spans="1:3" ht="18" customHeight="1">
      <c r="A6818" t="str">
        <f>"36-0900-0010"</f>
        <v>36-0900-0010</v>
      </c>
      <c r="B6818" t="str">
        <f>"JM, Puller, Bearing, 3-Jaw Type"</f>
        <v>JM, Puller, Bearing, 3-Jaw Type</v>
      </c>
      <c r="C6818" t="str">
        <f t="shared" si="264"/>
        <v>Active</v>
      </c>
    </row>
    <row r="6819" spans="1:3" ht="18" customHeight="1">
      <c r="A6819" t="str">
        <f>"36-0900-0012"</f>
        <v>36-0900-0012</v>
      </c>
      <c r="B6819" t="str">
        <f>"JM, Arbor Press, 1 Ton"</f>
        <v>JM, Arbor Press, 1 Ton</v>
      </c>
      <c r="C6819" t="str">
        <f t="shared" si="264"/>
        <v>Active</v>
      </c>
    </row>
    <row r="6820" spans="1:3" ht="18" customHeight="1">
      <c r="A6820" t="str">
        <f>"36-0900-0013"</f>
        <v>36-0900-0013</v>
      </c>
      <c r="B6820" t="str">
        <f>"JM, Taper Gage, 1/32"" to 5/8"""</f>
        <v>JM, Taper Gage, 1/32" to 5/8"</v>
      </c>
      <c r="C6820" t="str">
        <f t="shared" si="264"/>
        <v>Active</v>
      </c>
    </row>
    <row r="6821" spans="1:3" ht="18" customHeight="1">
      <c r="A6821" t="str">
        <f>"36-0900-0014"</f>
        <v>36-0900-0014</v>
      </c>
      <c r="B6821" t="str">
        <f>"JM, Bushing Driver Set, Metric, 17 Pcs."</f>
        <v>JM, Bushing Driver Set, Metric, 17 Pcs.</v>
      </c>
      <c r="C6821" t="str">
        <f t="shared" si="264"/>
        <v>Active</v>
      </c>
    </row>
    <row r="6822" spans="1:3" ht="18" customHeight="1">
      <c r="A6822" t="str">
        <f>"36-0900-0015"</f>
        <v>36-0900-0015</v>
      </c>
      <c r="B6822" t="str">
        <f>"JM, Gloves, Hot Mill, Large, Pair"</f>
        <v>JM, Gloves, Hot Mill, Large, Pair</v>
      </c>
      <c r="C6822" t="str">
        <f t="shared" si="264"/>
        <v>Active</v>
      </c>
    </row>
    <row r="6823" spans="1:3" ht="18" customHeight="1">
      <c r="A6823" t="str">
        <f>"36-0900-0016"</f>
        <v>36-0900-0016</v>
      </c>
      <c r="B6823" t="str">
        <f>"45-52MM ER-32 SPANNER HOOK WRENCH FOR ER CHUCK N"</f>
        <v>45-52MM ER-32 SPANNER HOOK WRENCH FOR ER CHUCK N</v>
      </c>
      <c r="C6823" t="str">
        <f t="shared" si="264"/>
        <v>Active</v>
      </c>
    </row>
    <row r="6824" spans="1:3" ht="18" customHeight="1">
      <c r="A6824" t="str">
        <f>"36-0901-0006"</f>
        <v>36-0901-0006</v>
      </c>
      <c r="B6824" t="str">
        <f>"JM, Grease Gun,  Lever Type"</f>
        <v>JM, Grease Gun,  Lever Type</v>
      </c>
      <c r="C6824" t="str">
        <f t="shared" ref="C6824:C6855" si="265">"Active"</f>
        <v>Active</v>
      </c>
    </row>
    <row r="6825" spans="1:3" ht="18" customHeight="1">
      <c r="A6825" t="str">
        <f>"36-0901-0007"</f>
        <v>36-0901-0007</v>
      </c>
      <c r="B6825" t="str">
        <f>"JM, Packer, Wheel Bearing"</f>
        <v>JM, Packer, Wheel Bearing</v>
      </c>
      <c r="C6825" t="str">
        <f t="shared" si="265"/>
        <v>Active</v>
      </c>
    </row>
    <row r="6826" spans="1:3" ht="18" customHeight="1">
      <c r="A6826" t="str">
        <f>"36-0901-0008"</f>
        <v>36-0901-0008</v>
      </c>
      <c r="B6826" t="str">
        <f>"JM, Bearing heater, 3/8"" - 5 3/4"" No Therm, 120V"</f>
        <v>JM, Bearing heater, 3/8" - 5 3/4" No Therm, 120V</v>
      </c>
      <c r="C6826" t="str">
        <f t="shared" si="265"/>
        <v>Active</v>
      </c>
    </row>
    <row r="6827" spans="1:3" ht="18" customHeight="1">
      <c r="A6827" t="str">
        <f>"36-0901-0009"</f>
        <v>36-0901-0009</v>
      </c>
      <c r="B6827" t="str">
        <f>"JM, Bearing heater, 3/8"" - 5 3/4"" No Therm, 220V"</f>
        <v>JM, Bearing heater, 3/8" - 5 3/4" No Therm, 220V</v>
      </c>
      <c r="C6827" t="str">
        <f t="shared" si="265"/>
        <v>Active</v>
      </c>
    </row>
    <row r="6828" spans="1:3" ht="18" customHeight="1">
      <c r="A6828" t="str">
        <f>"36-1000-0003"</f>
        <v>36-1000-0003</v>
      </c>
      <c r="B6828" t="str">
        <f>"JM, Packaging, Greystone, IMP-1, Pallet &amp; Crate"</f>
        <v>JM, Packaging, Greystone, IMP-1, Pallet &amp; Crate</v>
      </c>
      <c r="C6828" t="str">
        <f t="shared" si="265"/>
        <v>Active</v>
      </c>
    </row>
    <row r="6829" spans="1:3" ht="18" customHeight="1">
      <c r="A6829" t="str">
        <f>"36-1000-0004"</f>
        <v>36-1000-0004</v>
      </c>
      <c r="B6829" t="str">
        <f>"JM, Packaging, Jobmaster, 1600 Long Crate"</f>
        <v>JM, Packaging, Jobmaster, 1600 Long Crate</v>
      </c>
      <c r="C6829" t="str">
        <f t="shared" si="265"/>
        <v>Active</v>
      </c>
    </row>
    <row r="6830" spans="1:3" ht="18" customHeight="1">
      <c r="A6830" t="str">
        <f>"36-1001-0001"</f>
        <v>36-1001-0001</v>
      </c>
      <c r="B6830" t="str">
        <f>"JM, Lockout Tags, 25pk"</f>
        <v>JM, Lockout Tags, 25pk</v>
      </c>
      <c r="C6830" t="str">
        <f t="shared" si="265"/>
        <v>Active</v>
      </c>
    </row>
    <row r="6831" spans="1:3" ht="18" customHeight="1">
      <c r="A6831" t="str">
        <f>"36-1200-0001"</f>
        <v>36-1200-0001</v>
      </c>
      <c r="B6831" t="str">
        <f>"JM, Motor/Generator Kit"</f>
        <v>JM, Motor/Generator Kit</v>
      </c>
      <c r="C6831" t="str">
        <f t="shared" si="265"/>
        <v>Active</v>
      </c>
    </row>
    <row r="6832" spans="1:3" ht="18" customHeight="1">
      <c r="A6832" t="str">
        <f>"36-1200-0002"</f>
        <v>36-1200-0002</v>
      </c>
      <c r="B6832" t="str">
        <f>"JM, 3ph motor, .13hp, 1725rpm w/ thermostat"</f>
        <v>JM, 3ph motor, .13hp, 1725rpm w/ thermostat</v>
      </c>
      <c r="C6832" t="str">
        <f t="shared" si="265"/>
        <v>Active</v>
      </c>
    </row>
    <row r="6833" spans="1:3" ht="18" customHeight="1">
      <c r="A6833" t="str">
        <f>"36-1200-0003"</f>
        <v>36-1200-0003</v>
      </c>
      <c r="B6833" t="str">
        <f>"JM, 1ph motor, .08hp, 1725rpm Baldor L3351"</f>
        <v>JM, 1ph motor, .08hp, 1725rpm Baldor L3351</v>
      </c>
      <c r="C6833" t="str">
        <f t="shared" si="265"/>
        <v>Active</v>
      </c>
    </row>
    <row r="6834" spans="1:3" ht="18" customHeight="1">
      <c r="A6834" t="str">
        <f>"36-1200-0004"</f>
        <v>36-1200-0004</v>
      </c>
      <c r="B6834" t="str">
        <f>"JM, Motor, DC, 12/24V"</f>
        <v>JM, Motor, DC, 12/24V</v>
      </c>
      <c r="C6834" t="str">
        <f t="shared" si="265"/>
        <v>Active</v>
      </c>
    </row>
    <row r="6835" spans="1:3" ht="18" customHeight="1">
      <c r="A6835" t="str">
        <f>"36-1200-0006"</f>
        <v>36-1200-0006</v>
      </c>
      <c r="B6835" t="str">
        <f>"JM, Motor, 1/3hp, C-Face, 3ph"</f>
        <v>JM, Motor, 1/3hp, C-Face, 3ph</v>
      </c>
      <c r="C6835" t="str">
        <f t="shared" si="265"/>
        <v>Active</v>
      </c>
    </row>
    <row r="6836" spans="1:3" ht="18" customHeight="1">
      <c r="A6836" t="str">
        <f>"36-1200-0007"</f>
        <v>36-1200-0007</v>
      </c>
      <c r="B6836" t="str">
        <f>"JM, Motor, 1/4hp, C-Face, 90vdc"</f>
        <v>JM, Motor, 1/4hp, C-Face, 90vdc</v>
      </c>
      <c r="C6836" t="str">
        <f t="shared" si="265"/>
        <v>Active</v>
      </c>
    </row>
    <row r="6837" spans="1:3" ht="18" customHeight="1">
      <c r="A6837" t="str">
        <f>"36-1200-0008"</f>
        <v>36-1200-0008</v>
      </c>
      <c r="B6837" t="str">
        <f>"JM, Blower, 115V, 4-3/16"" Diameter"</f>
        <v>JM, Blower, 115V, 4-3/16" Diameter</v>
      </c>
      <c r="C6837" t="str">
        <f t="shared" si="265"/>
        <v>Active</v>
      </c>
    </row>
    <row r="6838" spans="1:3" ht="18" customHeight="1">
      <c r="A6838" t="str">
        <f>"36-1200-0009"</f>
        <v>36-1200-0009</v>
      </c>
      <c r="B6838" t="str">
        <f>"JM, Brake, Motor, C-Face, 3ft-lb"</f>
        <v>JM, Brake, Motor, C-Face, 3ft-lb</v>
      </c>
      <c r="C6838" t="str">
        <f t="shared" si="265"/>
        <v>Active</v>
      </c>
    </row>
    <row r="6839" spans="1:3" ht="18" customHeight="1">
      <c r="A6839" t="str">
        <f>"36-1200-0010"</f>
        <v>36-1200-0010</v>
      </c>
      <c r="B6839" t="str">
        <f>"JM, Motor, 1/2hp, C-Face"</f>
        <v>JM, Motor, 1/2hp, C-Face</v>
      </c>
      <c r="C6839" t="str">
        <f t="shared" si="265"/>
        <v>Active</v>
      </c>
    </row>
    <row r="6840" spans="1:3" ht="18" customHeight="1">
      <c r="A6840" t="str">
        <f>"36-1200-0011"</f>
        <v>36-1200-0011</v>
      </c>
      <c r="B6840" t="str">
        <f>"JM, Brake, Magnetic Particle, 0.6-35 lb"</f>
        <v>JM, Brake, Magnetic Particle, 0.6-35 lb</v>
      </c>
      <c r="C6840" t="str">
        <f t="shared" si="265"/>
        <v>Active</v>
      </c>
    </row>
    <row r="6841" spans="1:3" ht="18" customHeight="1">
      <c r="A6841" t="str">
        <f>"36-1200-0013"</f>
        <v>36-1200-0013</v>
      </c>
      <c r="B6841" t="str">
        <f>"JM, Motor, Split-phase, 220V"</f>
        <v>JM, Motor, Split-phase, 220V</v>
      </c>
      <c r="C6841" t="str">
        <f t="shared" si="265"/>
        <v>Active</v>
      </c>
    </row>
    <row r="6842" spans="1:3" ht="18" customHeight="1">
      <c r="A6842" t="str">
        <f>"36-1200-0014"</f>
        <v>36-1200-0014</v>
      </c>
      <c r="B6842" t="str">
        <f>"JM, Motor, Shaded Pole, 220V"</f>
        <v>JM, Motor, Shaded Pole, 220V</v>
      </c>
      <c r="C6842" t="str">
        <f t="shared" si="265"/>
        <v>Active</v>
      </c>
    </row>
    <row r="6843" spans="1:3" ht="18" customHeight="1">
      <c r="A6843" t="str">
        <f>"36-1200-0015"</f>
        <v>36-1200-0015</v>
      </c>
      <c r="B6843" t="str">
        <f>"JM, Motor, 90VDC, NEMA42"</f>
        <v>JM, Motor, 90VDC, NEMA42</v>
      </c>
      <c r="C6843" t="str">
        <f t="shared" si="265"/>
        <v>Active</v>
      </c>
    </row>
    <row r="6844" spans="1:3" ht="18" customHeight="1">
      <c r="A6844" t="str">
        <f>"36-1200-0016"</f>
        <v>36-1200-0016</v>
      </c>
      <c r="B6844" t="str">
        <f>"JM, Motor, 1/15 hp, AC/DC, w/Base"</f>
        <v>JM, Motor, 1/15 hp, AC/DC, w/Base</v>
      </c>
      <c r="C6844" t="str">
        <f t="shared" si="265"/>
        <v>Active</v>
      </c>
    </row>
    <row r="6845" spans="1:3" ht="18" customHeight="1">
      <c r="A6845" t="str">
        <f>"36-1200-0017"</f>
        <v>36-1200-0017</v>
      </c>
      <c r="B6845" t="str">
        <f>"JM, Motor, Stepper, 12V, Unipolar 7.5 Degree"</f>
        <v>JM, Motor, Stepper, 12V, Unipolar 7.5 Degree</v>
      </c>
      <c r="C6845" t="str">
        <f t="shared" si="265"/>
        <v>Active</v>
      </c>
    </row>
    <row r="6846" spans="1:3" ht="18" customHeight="1">
      <c r="A6846" t="str">
        <f>"36-1200-0018"</f>
        <v>36-1200-0018</v>
      </c>
      <c r="B6846" t="str">
        <f>"JM, Motor, Servo, 6VDC, 0-180 degree, 44g"</f>
        <v>JM, Motor, Servo, 6VDC, 0-180 degree, 44g</v>
      </c>
      <c r="C6846" t="str">
        <f t="shared" si="265"/>
        <v>Active</v>
      </c>
    </row>
    <row r="6847" spans="1:3" ht="18" customHeight="1">
      <c r="A6847" t="str">
        <f>"36-1200-0019"</f>
        <v>36-1200-0019</v>
      </c>
      <c r="B6847" t="str">
        <f>"JM, Motor, Shaded Pole, Enclosed, 110/220V"</f>
        <v>JM, Motor, Shaded Pole, Enclosed, 110/220V</v>
      </c>
      <c r="C6847" t="str">
        <f t="shared" si="265"/>
        <v>Active</v>
      </c>
    </row>
    <row r="6848" spans="1:3" ht="18" customHeight="1">
      <c r="A6848" t="str">
        <f>"36-1200-0020"</f>
        <v>36-1200-0020</v>
      </c>
      <c r="B6848" t="str">
        <f>"JM, Motor, 180VDC, NEMA42"</f>
        <v>JM, Motor, 180VDC, NEMA42</v>
      </c>
      <c r="C6848" t="str">
        <f t="shared" si="265"/>
        <v>Active</v>
      </c>
    </row>
    <row r="6849" spans="1:3" ht="18" customHeight="1">
      <c r="A6849" t="str">
        <f>"36-1200-0021"</f>
        <v>36-1200-0021</v>
      </c>
      <c r="B6849" t="str">
        <f>"JM, Motor, Split-phase, 220V, 50/60Hz"</f>
        <v>JM, Motor, Split-phase, 220V, 50/60Hz</v>
      </c>
      <c r="C6849" t="str">
        <f t="shared" si="265"/>
        <v>Active</v>
      </c>
    </row>
    <row r="6850" spans="1:3" ht="18" customHeight="1">
      <c r="A6850" t="str">
        <f>"36-1300-0001"</f>
        <v>36-1300-0001</v>
      </c>
      <c r="B6850" t="str">
        <f>"JM, Drawer Slide, 14"", Side Mount (2pk)"</f>
        <v>JM, Drawer Slide, 14", Side Mount (2pk)</v>
      </c>
      <c r="C6850" t="str">
        <f t="shared" si="265"/>
        <v>Active</v>
      </c>
    </row>
    <row r="6851" spans="1:3" ht="18" customHeight="1">
      <c r="A6851" t="str">
        <f>"36-1300-0002"</f>
        <v>36-1300-0002</v>
      </c>
      <c r="B6851" t="str">
        <f>"JM, Handle, 3"", Black, 8-32 Thread"</f>
        <v>JM, Handle, 3", Black, 8-32 Thread</v>
      </c>
      <c r="C6851" t="str">
        <f t="shared" si="265"/>
        <v>Active</v>
      </c>
    </row>
    <row r="6852" spans="1:3" ht="18" customHeight="1">
      <c r="A6852" t="str">
        <f>"36-1300-0003"</f>
        <v>36-1300-0003</v>
      </c>
      <c r="B6852" t="str">
        <f>"JM, L-Bracket, 1"""</f>
        <v>JM, L-Bracket, 1"</v>
      </c>
      <c r="C6852" t="str">
        <f t="shared" si="265"/>
        <v>Active</v>
      </c>
    </row>
    <row r="6853" spans="1:3" ht="18" customHeight="1">
      <c r="A6853" t="str">
        <f>"36-1300-0004"</f>
        <v>36-1300-0004</v>
      </c>
      <c r="B6853" t="str">
        <f>"JM, Knob, Cast, 5/8"" Bore"</f>
        <v>JM, Knob, Cast, 5/8" Bore</v>
      </c>
      <c r="C6853" t="str">
        <f t="shared" si="265"/>
        <v>Active</v>
      </c>
    </row>
    <row r="6854" spans="1:3" ht="18" customHeight="1">
      <c r="A6854" t="str">
        <f>"36-1300-0004P"</f>
        <v>36-1300-0004P</v>
      </c>
      <c r="B6854" t="str">
        <f>"JM, Knob, Cast, 5/8"" Bore"</f>
        <v>JM, Knob, Cast, 5/8" Bore</v>
      </c>
      <c r="C6854" t="str">
        <f t="shared" si="265"/>
        <v>Active</v>
      </c>
    </row>
    <row r="6855" spans="1:3" ht="18" customHeight="1">
      <c r="A6855" t="str">
        <f>"36-1300-0005"</f>
        <v>36-1300-0005</v>
      </c>
      <c r="B6855" t="str">
        <f>"JM, Bracket, Photoelectric Sensor Right Angle"</f>
        <v>JM, Bracket, Photoelectric Sensor Right Angle</v>
      </c>
      <c r="C6855" t="str">
        <f t="shared" si="265"/>
        <v>Active</v>
      </c>
    </row>
    <row r="6856" spans="1:3" ht="18" customHeight="1">
      <c r="A6856" t="str">
        <f>"36-1300-0006"</f>
        <v>36-1300-0006</v>
      </c>
      <c r="B6856" t="str">
        <f>"JM, Bracket, Proximity Sensor, 12mm, 90deg"</f>
        <v>JM, Bracket, Proximity Sensor, 12mm, 90deg</v>
      </c>
      <c r="C6856" t="str">
        <f t="shared" ref="C6856:C6872" si="266">"Active"</f>
        <v>Active</v>
      </c>
    </row>
    <row r="6857" spans="1:3" ht="18" customHeight="1">
      <c r="A6857" t="str">
        <f>"36-1300-0007"</f>
        <v>36-1300-0007</v>
      </c>
      <c r="B6857" t="str">
        <f>"JM, Steel Rod, 3/16"" dia X 36""long for EMMC"</f>
        <v>JM, Steel Rod, 3/16" dia X 36"long for EMMC</v>
      </c>
      <c r="C6857" t="str">
        <f t="shared" si="266"/>
        <v>Active</v>
      </c>
    </row>
    <row r="6858" spans="1:3" ht="18" customHeight="1">
      <c r="A6858" t="str">
        <f>"36-1300-0008"</f>
        <v>36-1300-0008</v>
      </c>
      <c r="B6858" t="str">
        <f>"JM, L-Bracket, 2-1/2"""</f>
        <v>JM, L-Bracket, 2-1/2"</v>
      </c>
      <c r="C6858" t="str">
        <f t="shared" si="266"/>
        <v>Active</v>
      </c>
    </row>
    <row r="6859" spans="1:3" ht="18" customHeight="1">
      <c r="A6859" t="str">
        <f>"36-1300-0009"</f>
        <v>36-1300-0009</v>
      </c>
      <c r="B6859" t="str">
        <f>"JM, Knob, Plastic, 1/4-20 x 5/8"" Screw"</f>
        <v>JM, Knob, Plastic, 1/4-20 x 5/8" Screw</v>
      </c>
      <c r="C6859" t="str">
        <f t="shared" si="266"/>
        <v>Active</v>
      </c>
    </row>
    <row r="6860" spans="1:3" ht="18" customHeight="1">
      <c r="A6860" t="str">
        <f>"36-1300-0010"</f>
        <v>36-1300-0010</v>
      </c>
      <c r="B6860" t="str">
        <f>"JM, Grip Clip, 3/8-5/8"", Steel"</f>
        <v>JM, Grip Clip, 3/8-5/8", Steel</v>
      </c>
      <c r="C6860" t="str">
        <f t="shared" si="266"/>
        <v>Active</v>
      </c>
    </row>
    <row r="6861" spans="1:3" ht="18" customHeight="1">
      <c r="A6861" t="str">
        <f>"36-1300-0011"</f>
        <v>36-1300-0011</v>
      </c>
      <c r="B6861" t="str">
        <f>"JM, Grip Clip, 3/4-1 1/8"", Steel"</f>
        <v>JM, Grip Clip, 3/4-1 1/8", Steel</v>
      </c>
      <c r="C6861" t="str">
        <f t="shared" si="266"/>
        <v>Active</v>
      </c>
    </row>
    <row r="6862" spans="1:3" ht="18" customHeight="1">
      <c r="A6862" t="str">
        <f>"36-1300-0012"</f>
        <v>36-1300-0012</v>
      </c>
      <c r="B6862" t="str">
        <f>"JM, Grip Clip, 1 - 1-3/8"", Steel"</f>
        <v>JM, Grip Clip, 1 - 1-3/8", Steel</v>
      </c>
      <c r="C6862" t="str">
        <f t="shared" si="266"/>
        <v>Active</v>
      </c>
    </row>
    <row r="6863" spans="1:3" ht="18" customHeight="1">
      <c r="A6863" t="str">
        <f>"36-1300-0013"</f>
        <v>36-1300-0013</v>
      </c>
      <c r="B6863" t="str">
        <f>"JM, Spacer, Nylon, 5/8""OD, 1/4""ID 3/8"", Round"</f>
        <v>JM, Spacer, Nylon, 5/8"OD, 1/4"ID 3/8", Round</v>
      </c>
      <c r="C6863" t="str">
        <f t="shared" si="266"/>
        <v>Active</v>
      </c>
    </row>
    <row r="6864" spans="1:3" ht="18" customHeight="1">
      <c r="A6864" t="str">
        <f>"36-1300-0014"</f>
        <v>36-1300-0014</v>
      </c>
      <c r="B6864" t="str">
        <f>"JM, Spacer, Nylon, 1/2""OD,1/4-20 Threaded ID,1"""</f>
        <v>JM, Spacer, Nylon, 1/2"OD,1/4-20 Threaded ID,1"</v>
      </c>
      <c r="C6864" t="str">
        <f t="shared" si="266"/>
        <v>Active</v>
      </c>
    </row>
    <row r="6865" spans="1:3" ht="18" customHeight="1">
      <c r="A6865" t="str">
        <f>"36-1300-0015"</f>
        <v>36-1300-0015</v>
      </c>
      <c r="B6865" t="str">
        <f>"JM, Bracket, Capacitor Mounting, 1.25"""</f>
        <v>JM, Bracket, Capacitor Mounting, 1.25"</v>
      </c>
      <c r="C6865" t="str">
        <f t="shared" si="266"/>
        <v>Active</v>
      </c>
    </row>
    <row r="6866" spans="1:3" ht="18" customHeight="1">
      <c r="A6866" t="str">
        <f>"36-1300-0016"</f>
        <v>36-1300-0016</v>
      </c>
      <c r="B6866" t="str">
        <f>"JM, Spacer, Nylon, 1/4""OD, #6ID 1/2"", Round"</f>
        <v>JM, Spacer, Nylon, 1/4"OD, #6ID 1/2", Round</v>
      </c>
      <c r="C6866" t="str">
        <f t="shared" si="266"/>
        <v>Active</v>
      </c>
    </row>
    <row r="6867" spans="1:3" ht="18" customHeight="1">
      <c r="A6867" t="str">
        <f>"36-1300-0017"</f>
        <v>36-1300-0017</v>
      </c>
      <c r="B6867" t="str">
        <f>"JM, L-Bracket, 2.0"""</f>
        <v>JM, L-Bracket, 2.0"</v>
      </c>
      <c r="C6867" t="str">
        <f t="shared" si="266"/>
        <v>Active</v>
      </c>
    </row>
    <row r="6868" spans="1:3" ht="18" customHeight="1">
      <c r="A6868" t="str">
        <f>"36-1300-0018"</f>
        <v>36-1300-0018</v>
      </c>
      <c r="B6868" t="str">
        <f>"JM, U bolt, 1-1/4in pipe, 5/16 diameter"</f>
        <v>JM, U bolt, 1-1/4in pipe, 5/16 diameter</v>
      </c>
      <c r="C6868" t="str">
        <f t="shared" si="266"/>
        <v>Active</v>
      </c>
    </row>
    <row r="6869" spans="1:3" ht="18" customHeight="1">
      <c r="A6869" t="str">
        <f>"36-1300-0019"</f>
        <v>36-1300-0019</v>
      </c>
      <c r="B6869" t="str">
        <f>"JM, U bolt, 2in pipe, 5/16 diameter"</f>
        <v>JM, U bolt, 2in pipe, 5/16 diameter</v>
      </c>
      <c r="C6869" t="str">
        <f t="shared" si="266"/>
        <v>Active</v>
      </c>
    </row>
    <row r="6870" spans="1:3" ht="18" customHeight="1">
      <c r="A6870" t="str">
        <f>"36-1400-0001"</f>
        <v>36-1400-0001</v>
      </c>
      <c r="B6870" t="str">
        <f>"JM, Blank Panel, Gray 3/8"" HDPE (8""X11.5"")"</f>
        <v>JM, Blank Panel, Gray 3/8" HDPE (8"X11.5")</v>
      </c>
      <c r="C6870" t="str">
        <f t="shared" si="266"/>
        <v>Active</v>
      </c>
    </row>
    <row r="6871" spans="1:3" ht="18" customHeight="1">
      <c r="A6871" t="str">
        <f>"36-1400-0006"</f>
        <v>36-1400-0006</v>
      </c>
      <c r="B6871" t="str">
        <f>"JM, Blank Panel, Gray 3/8"" HDPE (16""X11.5"")"</f>
        <v>JM, Blank Panel, Gray 3/8" HDPE (16"X11.5")</v>
      </c>
      <c r="C6871" t="str">
        <f t="shared" si="266"/>
        <v>Active</v>
      </c>
    </row>
    <row r="6872" spans="1:3" ht="18" customHeight="1">
      <c r="A6872" t="str">
        <f>"36-1400-0010"</f>
        <v>36-1400-0010</v>
      </c>
      <c r="B6872" t="str">
        <f>"Lower Blue Shelf for Hydraulic LS200 Mobile JM"</f>
        <v>Lower Blue Shelf for Hydraulic LS200 Mobile JM</v>
      </c>
      <c r="C6872" t="str">
        <f t="shared" si="266"/>
        <v>Active</v>
      </c>
    </row>
    <row r="6873" spans="1:3" ht="18" customHeight="1">
      <c r="A6873" t="str">
        <f>"36-1400-0011"</f>
        <v>36-1400-0011</v>
      </c>
      <c r="B6873" t="str">
        <f>"Lower Blue Shelf for Pneu LS200 Mobile, JM"</f>
        <v>Lower Blue Shelf for Pneu LS200 Mobile, JM</v>
      </c>
      <c r="C6873" t="str">
        <f>"New"</f>
        <v>New</v>
      </c>
    </row>
    <row r="6874" spans="1:3" ht="18" customHeight="1">
      <c r="A6874" t="str">
        <f>"36-2100-1001"</f>
        <v>36-2100-1001</v>
      </c>
      <c r="B6874" t="str">
        <f>"JM, Resistor, Comp, 470Kohm, 10%, 2W, Ceramic"</f>
        <v>JM, Resistor, Comp, 470Kohm, 10%, 2W, Ceramic</v>
      </c>
      <c r="C6874" t="str">
        <f t="shared" ref="C6874:C6905" si="267">"Active"</f>
        <v>Active</v>
      </c>
    </row>
    <row r="6875" spans="1:3" ht="18" customHeight="1">
      <c r="A6875" t="str">
        <f>"36-2100-1002"</f>
        <v>36-2100-1002</v>
      </c>
      <c r="B6875" t="str">
        <f>"JM, Resistor, Carbon Film, 15Kohm 5%, 1/4W"</f>
        <v>JM, Resistor, Carbon Film, 15Kohm 5%, 1/4W</v>
      </c>
      <c r="C6875" t="str">
        <f t="shared" si="267"/>
        <v>Active</v>
      </c>
    </row>
    <row r="6876" spans="1:3" ht="18" customHeight="1">
      <c r="A6876" t="str">
        <f>"36-2200-0001"</f>
        <v>36-2200-0001</v>
      </c>
      <c r="B6876" t="str">
        <f>"JM, Capacitor, 1KuF, 50V, Axial LeadElectrolytic"</f>
        <v>JM, Capacitor, 1KuF, 50V, Axial LeadElectrolytic</v>
      </c>
      <c r="C6876" t="str">
        <f t="shared" si="267"/>
        <v>Active</v>
      </c>
    </row>
    <row r="6877" spans="1:3" ht="18" customHeight="1">
      <c r="A6877" t="str">
        <f>"36-2200-0002"</f>
        <v>36-2200-0002</v>
      </c>
      <c r="B6877" t="str">
        <f>"JM, Capacitor, 2.2uf, 50V, Axial Aluminum"</f>
        <v>JM, Capacitor, 2.2uf, 50V, Axial Aluminum</v>
      </c>
      <c r="C6877" t="str">
        <f t="shared" si="267"/>
        <v>Active</v>
      </c>
    </row>
    <row r="6878" spans="1:3" ht="18" customHeight="1">
      <c r="A6878" t="str">
        <f>"36-2200-0003"</f>
        <v>36-2200-0003</v>
      </c>
      <c r="B6878" t="str">
        <f>"JM, Capacitor, 10uf, 50V, Axial Aluminum"</f>
        <v>JM, Capacitor, 10uf, 50V, Axial Aluminum</v>
      </c>
      <c r="C6878" t="str">
        <f t="shared" si="267"/>
        <v>Active</v>
      </c>
    </row>
    <row r="6879" spans="1:3" ht="18" customHeight="1">
      <c r="A6879" t="str">
        <f>"36-2200-0004"</f>
        <v>36-2200-0004</v>
      </c>
      <c r="B6879" t="str">
        <f>"JM, Capacitor, 22uf, 50V, Axial Aluminum"</f>
        <v>JM, Capacitor, 22uf, 50V, Axial Aluminum</v>
      </c>
      <c r="C6879" t="str">
        <f t="shared" si="267"/>
        <v>Active</v>
      </c>
    </row>
    <row r="6880" spans="1:3" ht="18" customHeight="1">
      <c r="A6880" t="str">
        <f>"36-2200-0005"</f>
        <v>36-2200-0005</v>
      </c>
      <c r="B6880" t="str">
        <f>"JM, Capacitor, 100uf, 50V, Axial Aluminum"</f>
        <v>JM, Capacitor, 100uf, 50V, Axial Aluminum</v>
      </c>
      <c r="C6880" t="str">
        <f t="shared" si="267"/>
        <v>Active</v>
      </c>
    </row>
    <row r="6881" spans="1:3" ht="18" customHeight="1">
      <c r="A6881" t="str">
        <f>"36-2200-0006"</f>
        <v>36-2200-0006</v>
      </c>
      <c r="B6881" t="str">
        <f>"JM, Capacitor, 220uf, 50V, Axial Aluminum"</f>
        <v>JM, Capacitor, 220uf, 50V, Axial Aluminum</v>
      </c>
      <c r="C6881" t="str">
        <f t="shared" si="267"/>
        <v>Active</v>
      </c>
    </row>
    <row r="6882" spans="1:3" ht="18" customHeight="1">
      <c r="A6882" t="str">
        <f>"36-2200-0007"</f>
        <v>36-2200-0007</v>
      </c>
      <c r="B6882" t="str">
        <f>"JM, Capacitor, 470uf, 50V, Axial Aluminum"</f>
        <v>JM, Capacitor, 470uf, 50V, Axial Aluminum</v>
      </c>
      <c r="C6882" t="str">
        <f t="shared" si="267"/>
        <v>Active</v>
      </c>
    </row>
    <row r="6883" spans="1:3" ht="18" customHeight="1">
      <c r="A6883" t="str">
        <f>"36-2200-0008"</f>
        <v>36-2200-0008</v>
      </c>
      <c r="B6883" t="str">
        <f>"JM, Capacitor, 1000uf, 50V, Axial Aluminum"</f>
        <v>JM, Capacitor, 1000uf, 50V, Axial Aluminum</v>
      </c>
      <c r="C6883" t="str">
        <f t="shared" si="267"/>
        <v>Active</v>
      </c>
    </row>
    <row r="6884" spans="1:3" ht="18" customHeight="1">
      <c r="A6884" t="str">
        <f>"36-2200-0009"</f>
        <v>36-2200-0009</v>
      </c>
      <c r="B6884" t="str">
        <f>"JM, Capacitor, 150uf, 63V, Axial Aluminum"</f>
        <v>JM, Capacitor, 150uf, 63V, Axial Aluminum</v>
      </c>
      <c r="C6884" t="str">
        <f t="shared" si="267"/>
        <v>Active</v>
      </c>
    </row>
    <row r="6885" spans="1:3" ht="18" customHeight="1">
      <c r="A6885" t="str">
        <f>"36-2200-0010"</f>
        <v>36-2200-0010</v>
      </c>
      <c r="B6885" t="str">
        <f>"JM, Capacitor, 0.1uf, 600V, Radial Metal Poly."</f>
        <v>JM, Capacitor, 0.1uf, 600V, Radial Metal Poly.</v>
      </c>
      <c r="C6885" t="str">
        <f t="shared" si="267"/>
        <v>Active</v>
      </c>
    </row>
    <row r="6886" spans="1:3" ht="18" customHeight="1">
      <c r="A6886" t="str">
        <f>"36-2200-0011"</f>
        <v>36-2200-0011</v>
      </c>
      <c r="B6886" t="str">
        <f>"JM, Capacitor, 2200uf, 25V Axial, Aluminum"</f>
        <v>JM, Capacitor, 2200uf, 25V Axial, Aluminum</v>
      </c>
      <c r="C6886" t="str">
        <f t="shared" si="267"/>
        <v>Active</v>
      </c>
    </row>
    <row r="6887" spans="1:3" ht="18" customHeight="1">
      <c r="A6887" t="str">
        <f>"36-2200-0013"</f>
        <v>36-2200-0013</v>
      </c>
      <c r="B6887" t="str">
        <f>"JM, Capacitor, 47uf, 25V Axial, Aluminum"</f>
        <v>JM, Capacitor, 47uf, 25V Axial, Aluminum</v>
      </c>
      <c r="C6887" t="str">
        <f t="shared" si="267"/>
        <v>Active</v>
      </c>
    </row>
    <row r="6888" spans="1:3" ht="18" customHeight="1">
      <c r="A6888" t="str">
        <f>"36-2200-0014"</f>
        <v>36-2200-0014</v>
      </c>
      <c r="B6888" t="str">
        <f>"JM, Capacitor, 3.3uf, 10V, Axial Ceramic"</f>
        <v>JM, Capacitor, 3.3uf, 10V, Axial Ceramic</v>
      </c>
      <c r="C6888" t="str">
        <f t="shared" si="267"/>
        <v>Active</v>
      </c>
    </row>
    <row r="6889" spans="1:3" ht="18" customHeight="1">
      <c r="A6889" t="str">
        <f>"36-2200-0015"</f>
        <v>36-2200-0015</v>
      </c>
      <c r="B6889" t="str">
        <f>"JM, Capacitor, .022uF, 100V, monolithic ceramic"</f>
        <v>JM, Capacitor, .022uF, 100V, monolithic ceramic</v>
      </c>
      <c r="C6889" t="str">
        <f t="shared" si="267"/>
        <v>Active</v>
      </c>
    </row>
    <row r="6890" spans="1:3" ht="18" customHeight="1">
      <c r="A6890" t="str">
        <f>"36-2300-1001"</f>
        <v>36-2300-1001</v>
      </c>
      <c r="B6890" t="str">
        <f>"JM, Resistor, Power, 180ohm 5%, 5W, Ceramic"</f>
        <v>JM, Resistor, Power, 180ohm 5%, 5W, Ceramic</v>
      </c>
      <c r="C6890" t="str">
        <f t="shared" si="267"/>
        <v>Active</v>
      </c>
    </row>
    <row r="6891" spans="1:3" ht="18" customHeight="1">
      <c r="A6891" t="str">
        <f>"36-2300-1002"</f>
        <v>36-2300-1002</v>
      </c>
      <c r="B6891" t="str">
        <f>"JM, Resistor, Power, 330ohm 5%, 5W, Ceramic"</f>
        <v>JM, Resistor, Power, 330ohm 5%, 5W, Ceramic</v>
      </c>
      <c r="C6891" t="str">
        <f t="shared" si="267"/>
        <v>Active</v>
      </c>
    </row>
    <row r="6892" spans="1:3" ht="18" customHeight="1">
      <c r="A6892" t="str">
        <f>"36-2300-1003"</f>
        <v>36-2300-1003</v>
      </c>
      <c r="B6892" t="str">
        <f>"JM, Resistor, Power, 470ohm 5%, 5W, Ceramic"</f>
        <v>JM, Resistor, Power, 470ohm 5%, 5W, Ceramic</v>
      </c>
      <c r="C6892" t="str">
        <f t="shared" si="267"/>
        <v>Active</v>
      </c>
    </row>
    <row r="6893" spans="1:3" ht="18" customHeight="1">
      <c r="A6893" t="str">
        <f>"36-2300-1004"</f>
        <v>36-2300-1004</v>
      </c>
      <c r="B6893" t="str">
        <f>"JM, Resistor, Power, 680ohm 5%, 10W, Ceramic"</f>
        <v>JM, Resistor, Power, 680ohm 5%, 10W, Ceramic</v>
      </c>
      <c r="C6893" t="str">
        <f t="shared" si="267"/>
        <v>Active</v>
      </c>
    </row>
    <row r="6894" spans="1:3" ht="18" customHeight="1">
      <c r="A6894" t="str">
        <f>"36-2300-1005"</f>
        <v>36-2300-1005</v>
      </c>
      <c r="B6894" t="str">
        <f>"JM, Resistor, Power, 900ohm, 5%, 8W, Ceramic"</f>
        <v>JM, Resistor, Power, 900ohm, 5%, 8W, Ceramic</v>
      </c>
      <c r="C6894" t="str">
        <f t="shared" si="267"/>
        <v>Active</v>
      </c>
    </row>
    <row r="6895" spans="1:3" ht="18" customHeight="1">
      <c r="A6895" t="str">
        <f>"36-2300-1006"</f>
        <v>36-2300-1006</v>
      </c>
      <c r="B6895" t="str">
        <f>"JM, Resistor, Power, 1.2Kohm 5%, 5W, Ceramic"</f>
        <v>JM, Resistor, Power, 1.2Kohm 5%, 5W, Ceramic</v>
      </c>
      <c r="C6895" t="str">
        <f t="shared" si="267"/>
        <v>Active</v>
      </c>
    </row>
    <row r="6896" spans="1:3" ht="18" customHeight="1">
      <c r="A6896" t="str">
        <f>"36-2300-1007"</f>
        <v>36-2300-1007</v>
      </c>
      <c r="B6896" t="str">
        <f>"JM, Resistor, Power, 2.7Kohm 5%, 10W, Ceramic"</f>
        <v>JM, Resistor, Power, 2.7Kohm 5%, 10W, Ceramic</v>
      </c>
      <c r="C6896" t="str">
        <f t="shared" si="267"/>
        <v>Active</v>
      </c>
    </row>
    <row r="6897" spans="1:3" ht="18" customHeight="1">
      <c r="A6897" t="str">
        <f>"36-2300-1008"</f>
        <v>36-2300-1008</v>
      </c>
      <c r="B6897" t="str">
        <f>"JM, Resistor, Power, 3.3Kohm 5%, 5W, Ceramic"</f>
        <v>JM, Resistor, Power, 3.3Kohm 5%, 5W, Ceramic</v>
      </c>
      <c r="C6897" t="str">
        <f t="shared" si="267"/>
        <v>Active</v>
      </c>
    </row>
    <row r="6898" spans="1:3" ht="18" customHeight="1">
      <c r="A6898" t="str">
        <f>"36-2300-1009"</f>
        <v>36-2300-1009</v>
      </c>
      <c r="B6898" t="str">
        <f>"JM, Resistor, Power, 6Kohm 5%, 5W, Ceramic"</f>
        <v>JM, Resistor, Power, 6Kohm 5%, 5W, Ceramic</v>
      </c>
      <c r="C6898" t="str">
        <f t="shared" si="267"/>
        <v>Active</v>
      </c>
    </row>
    <row r="6899" spans="1:3" ht="18" customHeight="1">
      <c r="A6899" t="str">
        <f>"36-2300-1010"</f>
        <v>36-2300-1010</v>
      </c>
      <c r="B6899" t="str">
        <f>"JM, Resistor, Power, 10Kohm 5%, 20W, Ceramic"</f>
        <v>JM, Resistor, Power, 10Kohm 5%, 20W, Ceramic</v>
      </c>
      <c r="C6899" t="str">
        <f t="shared" si="267"/>
        <v>Active</v>
      </c>
    </row>
    <row r="6900" spans="1:3" ht="18" customHeight="1">
      <c r="A6900" t="str">
        <f>"36-2300-1011"</f>
        <v>36-2300-1011</v>
      </c>
      <c r="B6900" t="str">
        <f>"JM, Resistor, Wire Wound, 10ohm 5%, 5W"</f>
        <v>JM, Resistor, Wire Wound, 10ohm 5%, 5W</v>
      </c>
      <c r="C6900" t="str">
        <f t="shared" si="267"/>
        <v>Active</v>
      </c>
    </row>
    <row r="6901" spans="1:3" ht="18" customHeight="1">
      <c r="A6901" t="str">
        <f>"36-2300-1012"</f>
        <v>36-2300-1012</v>
      </c>
      <c r="B6901" t="str">
        <f>"JM, Resistor, Wire Wound, 400ohm 5%, 5W"</f>
        <v>JM, Resistor, Wire Wound, 400ohm 5%, 5W</v>
      </c>
      <c r="C6901" t="str">
        <f t="shared" si="267"/>
        <v>Active</v>
      </c>
    </row>
    <row r="6902" spans="1:3" ht="18" customHeight="1">
      <c r="A6902" t="str">
        <f>"36-2300-1013"</f>
        <v>36-2300-1013</v>
      </c>
      <c r="B6902" t="str">
        <f>"JM, Resistor, Wire Wound, 900ohm 5%, 5W"</f>
        <v>JM, Resistor, Wire Wound, 900ohm 5%, 5W</v>
      </c>
      <c r="C6902" t="str">
        <f t="shared" si="267"/>
        <v>Active</v>
      </c>
    </row>
    <row r="6903" spans="1:3" ht="18" customHeight="1">
      <c r="A6903" t="str">
        <f>"36-2300-1014"</f>
        <v>36-2300-1014</v>
      </c>
      <c r="B6903" t="str">
        <f>"JM, Resistor, Wire Wound, 10Kohm 5%, 5W"</f>
        <v>JM, Resistor, Wire Wound, 10Kohm 5%, 5W</v>
      </c>
      <c r="C6903" t="str">
        <f t="shared" si="267"/>
        <v>Active</v>
      </c>
    </row>
    <row r="6904" spans="1:3" ht="18" customHeight="1">
      <c r="A6904" t="str">
        <f>"36-2300-1015"</f>
        <v>36-2300-1015</v>
      </c>
      <c r="B6904" t="str">
        <f>"JM, Resistor, Power, 47ohm 5%, 5W"</f>
        <v>JM, Resistor, Power, 47ohm 5%, 5W</v>
      </c>
      <c r="C6904" t="str">
        <f t="shared" si="267"/>
        <v>Active</v>
      </c>
    </row>
    <row r="6905" spans="1:3" ht="18" customHeight="1">
      <c r="A6905" t="str">
        <f>"36-2400-1001"</f>
        <v>36-2400-1001</v>
      </c>
      <c r="B6905" t="str">
        <f>"JM, Rheostat, 100ohm Ohmite RHS100"</f>
        <v>JM, Rheostat, 100ohm Ohmite RHS100</v>
      </c>
      <c r="C6905" t="str">
        <f t="shared" si="267"/>
        <v>Active</v>
      </c>
    </row>
    <row r="6906" spans="1:3" ht="18" customHeight="1">
      <c r="A6906" t="str">
        <f>"36-2400-1002"</f>
        <v>36-2400-1002</v>
      </c>
      <c r="B6906" t="str">
        <f>"JM, 5Kohm Potentiometer"</f>
        <v>JM, 5Kohm Potentiometer</v>
      </c>
      <c r="C6906" t="str">
        <f t="shared" ref="C6906:C6937" si="268">"Active"</f>
        <v>Active</v>
      </c>
    </row>
    <row r="6907" spans="1:3" ht="18" customHeight="1">
      <c r="A6907" t="str">
        <f>"36-2400-1003"</f>
        <v>36-2400-1003</v>
      </c>
      <c r="B6907" t="str">
        <f>"JM, 10Kohm Potentiometer"</f>
        <v>JM, 10Kohm Potentiometer</v>
      </c>
      <c r="C6907" t="str">
        <f t="shared" si="268"/>
        <v>Active</v>
      </c>
    </row>
    <row r="6908" spans="1:3" ht="18" customHeight="1">
      <c r="A6908" t="str">
        <f>"36-2400-1004"</f>
        <v>36-2400-1004</v>
      </c>
      <c r="B6908" t="str">
        <f>"JM, 50Kohm Potentiometer"</f>
        <v>JM, 50Kohm Potentiometer</v>
      </c>
      <c r="C6908" t="str">
        <f t="shared" si="268"/>
        <v>Active</v>
      </c>
    </row>
    <row r="6909" spans="1:3" ht="18" customHeight="1">
      <c r="A6909" t="str">
        <f>"36-2400-1005"</f>
        <v>36-2400-1005</v>
      </c>
      <c r="B6909" t="str">
        <f>"JM, 50Kohm Linear Potentiometer 0.125"" Dia Shaft"</f>
        <v>JM, 50Kohm Linear Potentiometer 0.125" Dia Shaft</v>
      </c>
      <c r="C6909" t="str">
        <f t="shared" si="268"/>
        <v>Active</v>
      </c>
    </row>
    <row r="6910" spans="1:3" ht="18" customHeight="1">
      <c r="A6910" t="str">
        <f>"36-2400-1006"</f>
        <v>36-2400-1006</v>
      </c>
      <c r="B6910" t="str">
        <f>"JM, 500Kohm Linear Potentiometer 0.125""Dia Shaft"</f>
        <v>JM, 500Kohm Linear Potentiometer 0.125"Dia Shaft</v>
      </c>
      <c r="C6910" t="str">
        <f t="shared" si="268"/>
        <v>Active</v>
      </c>
    </row>
    <row r="6911" spans="1:3" ht="18" customHeight="1">
      <c r="A6911" t="str">
        <f>"36-2400-1007"</f>
        <v>36-2400-1007</v>
      </c>
      <c r="B6911" t="str">
        <f>"JM, Potentiometer, 5K, 22mm"</f>
        <v>JM, Potentiometer, 5K, 22mm</v>
      </c>
      <c r="C6911" t="str">
        <f t="shared" si="268"/>
        <v>Active</v>
      </c>
    </row>
    <row r="6912" spans="1:3" ht="18" customHeight="1">
      <c r="A6912" t="str">
        <f>"36-2400-1009"</f>
        <v>36-2400-1009</v>
      </c>
      <c r="B6912" t="str">
        <f>"JM, Potentiometer, 1K, 2W, Carbon, Solder Lug"</f>
        <v>JM, Potentiometer, 1K, 2W, Carbon, Solder Lug</v>
      </c>
      <c r="C6912" t="str">
        <f t="shared" si="268"/>
        <v>Active</v>
      </c>
    </row>
    <row r="6913" spans="1:3" ht="18" customHeight="1">
      <c r="A6913" t="str">
        <f>"36-2400-1010"</f>
        <v>36-2400-1010</v>
      </c>
      <c r="B6913" t="str">
        <f>"JM, Potentiometer,100K, 2W, Carbon, Solder Lug"</f>
        <v>JM, Potentiometer,100K, 2W, Carbon, Solder Lug</v>
      </c>
      <c r="C6913" t="str">
        <f t="shared" si="268"/>
        <v>Active</v>
      </c>
    </row>
    <row r="6914" spans="1:3" ht="18" customHeight="1">
      <c r="A6914" t="str">
        <f>"36-2400-1012"</f>
        <v>36-2400-1012</v>
      </c>
      <c r="B6914" t="str">
        <f>"JM, 500ohm 5W Potentiometer"</f>
        <v>JM, 500ohm 5W Potentiometer</v>
      </c>
      <c r="C6914" t="str">
        <f t="shared" si="268"/>
        <v>Active</v>
      </c>
    </row>
    <row r="6915" spans="1:3" ht="18" customHeight="1">
      <c r="A6915" t="str">
        <f>"36-2400-1013"</f>
        <v>36-2400-1013</v>
      </c>
      <c r="B6915" t="str">
        <f>"JM, 1M 1/4W Potentiometer"</f>
        <v>JM, 1M 1/4W Potentiometer</v>
      </c>
      <c r="C6915" t="str">
        <f t="shared" si="268"/>
        <v>Active</v>
      </c>
    </row>
    <row r="6916" spans="1:3" ht="18" customHeight="1">
      <c r="A6916" t="str">
        <f>"36-2900-0001"</f>
        <v>36-2900-0001</v>
      </c>
      <c r="B6916" t="str">
        <f>"JM, Start Capacitor, 88-106MFD 110V-125V"</f>
        <v>JM, Start Capacitor, 88-106MFD 110V-125V</v>
      </c>
      <c r="C6916" t="str">
        <f t="shared" si="268"/>
        <v>Active</v>
      </c>
    </row>
    <row r="6917" spans="1:3" ht="18" customHeight="1">
      <c r="A6917" t="str">
        <f>"36-2900-0005"</f>
        <v>36-2900-0005</v>
      </c>
      <c r="B6917" t="str">
        <f>"JM, Run Capacitor, 12.5 MFD, 370V"</f>
        <v>JM, Run Capacitor, 12.5 MFD, 370V</v>
      </c>
      <c r="C6917" t="str">
        <f t="shared" si="268"/>
        <v>Active</v>
      </c>
    </row>
    <row r="6918" spans="1:3" ht="18" customHeight="1">
      <c r="A6918" t="str">
        <f>"36-2900-1001"</f>
        <v>36-2900-1001</v>
      </c>
      <c r="B6918" t="str">
        <f>"JM, Resistor, Plug-In HP, 0.25ohm"</f>
        <v>JM, Resistor, Plug-In HP, 0.25ohm</v>
      </c>
      <c r="C6918" t="str">
        <f t="shared" si="268"/>
        <v>Active</v>
      </c>
    </row>
    <row r="6919" spans="1:3" ht="18" customHeight="1">
      <c r="A6919" t="str">
        <f>"36-3200-0001"</f>
        <v>36-3200-0001</v>
      </c>
      <c r="B6919" t="str">
        <f>"JM, Inductor, High Current, 27uH 10%, 4.8A,Axial"</f>
        <v>JM, Inductor, High Current, 27uH 10%, 4.8A,Axial</v>
      </c>
      <c r="C6919" t="str">
        <f t="shared" si="268"/>
        <v>Active</v>
      </c>
    </row>
    <row r="6920" spans="1:3" ht="18" customHeight="1">
      <c r="A6920" t="str">
        <f>"36-3300-0003"</f>
        <v>36-3300-0003</v>
      </c>
      <c r="B6920" t="str">
        <f>"JM, Transformer,110V, 230V to 115V PH100MQMJ"</f>
        <v>JM, Transformer,110V, 230V to 115V PH100MQMJ</v>
      </c>
      <c r="C6920" t="str">
        <f t="shared" si="268"/>
        <v>Active</v>
      </c>
    </row>
    <row r="6921" spans="1:3" ht="18" customHeight="1">
      <c r="A6921" t="str">
        <f>"36-3300-0004"</f>
        <v>36-3300-0004</v>
      </c>
      <c r="B6921" t="str">
        <f>"JM, Transformer, 24v Ouput 40 VA Rating"</f>
        <v>JM, Transformer, 24v Ouput 40 VA Rating</v>
      </c>
      <c r="C6921" t="str">
        <f t="shared" si="268"/>
        <v>Active</v>
      </c>
    </row>
    <row r="6922" spans="1:3" ht="18" customHeight="1">
      <c r="A6922" t="str">
        <f>"36-3300-0005"</f>
        <v>36-3300-0005</v>
      </c>
      <c r="B6922" t="str">
        <f>"JM, Transformer, Bobbins 115V to 24V, 96A"</f>
        <v>JM, Transformer, Bobbins 115V to 24V, 96A</v>
      </c>
      <c r="C6922" t="str">
        <f t="shared" si="268"/>
        <v>Active</v>
      </c>
    </row>
    <row r="6923" spans="1:3" ht="18" customHeight="1">
      <c r="A6923" t="str">
        <f>"36-3300-0006"</f>
        <v>36-3300-0006</v>
      </c>
      <c r="B6923" t="str">
        <f>"JM, Transformer, T, 1KVA"</f>
        <v>JM, Transformer, T, 1KVA</v>
      </c>
      <c r="C6923" t="str">
        <f t="shared" si="268"/>
        <v>Active</v>
      </c>
    </row>
    <row r="6924" spans="1:3" ht="18" customHeight="1">
      <c r="A6924" t="str">
        <f>"36-3300-0007"</f>
        <v>36-3300-0007</v>
      </c>
      <c r="B6924" t="str">
        <f>"JM, Transformer, T, 50VA"</f>
        <v>JM, Transformer, T, 50VA</v>
      </c>
      <c r="C6924" t="str">
        <f t="shared" si="268"/>
        <v>Active</v>
      </c>
    </row>
    <row r="6925" spans="1:3" ht="18" customHeight="1">
      <c r="A6925" t="str">
        <f>"36-3300-0008"</f>
        <v>36-3300-0008</v>
      </c>
      <c r="B6925" t="str">
        <f>"JM, Transformer Finger Guard for PH100MQMJ"</f>
        <v>JM, Transformer Finger Guard for PH100MQMJ</v>
      </c>
      <c r="C6925" t="str">
        <f t="shared" si="268"/>
        <v>Active</v>
      </c>
    </row>
    <row r="6926" spans="1:3" ht="18" customHeight="1">
      <c r="A6926" t="str">
        <f>"36-3300-0010"</f>
        <v>36-3300-0010</v>
      </c>
      <c r="B6926" t="str">
        <f>"JM, Transformer, Intl Voltage, 1KVA, Enclosed"</f>
        <v>JM, Transformer, Intl Voltage, 1KVA, Enclosed</v>
      </c>
      <c r="C6926" t="str">
        <f t="shared" si="268"/>
        <v>Active</v>
      </c>
    </row>
    <row r="6927" spans="1:3" ht="18" customHeight="1">
      <c r="A6927" t="str">
        <f>"36-3300-0012"</f>
        <v>36-3300-0012</v>
      </c>
      <c r="B6927" t="str">
        <f>"JM, Transformer, Tri-volt(8/16/24) 20VA"</f>
        <v>JM, Transformer, Tri-volt(8/16/24) 20VA</v>
      </c>
      <c r="C6927" t="str">
        <f t="shared" si="268"/>
        <v>Active</v>
      </c>
    </row>
    <row r="6928" spans="1:3" ht="18" customHeight="1">
      <c r="A6928" t="str">
        <f>"36-3300-0013"</f>
        <v>36-3300-0013</v>
      </c>
      <c r="B6928" t="str">
        <f>"Transformer VPS24-3300, 80VA, 115/230VAC, 50/60H"</f>
        <v>Transformer VPS24-3300, 80VA, 115/230VAC, 50/60H</v>
      </c>
      <c r="C6928" t="str">
        <f t="shared" si="268"/>
        <v>Active</v>
      </c>
    </row>
    <row r="6929" spans="1:3" ht="18" customHeight="1">
      <c r="A6929" t="str">
        <f>"36-3300-0014"</f>
        <v>36-3300-0014</v>
      </c>
      <c r="B6929" t="str">
        <f>"Transformer VPS24-1800, 43VA, 115/230VAC, 50/60H"</f>
        <v>Transformer VPS24-1800, 43VA, 115/230VAC, 50/60H</v>
      </c>
      <c r="C6929" t="str">
        <f t="shared" si="268"/>
        <v>Active</v>
      </c>
    </row>
    <row r="6930" spans="1:3" ht="18" customHeight="1">
      <c r="A6930" t="str">
        <f>"36-3900-0001"</f>
        <v>36-3900-0001</v>
      </c>
      <c r="B6930" t="str">
        <f>"JM, Primary-Secondary Coil Assembly"</f>
        <v>JM, Primary-Secondary Coil Assembly</v>
      </c>
      <c r="C6930" t="str">
        <f t="shared" si="268"/>
        <v>Active</v>
      </c>
    </row>
    <row r="6931" spans="1:3" ht="18" customHeight="1">
      <c r="A6931" t="str">
        <f>"36-4500-0001"</f>
        <v>36-4500-0001</v>
      </c>
      <c r="B6931" t="str">
        <f>"JM, Bridge Rectifier, 4A, 50IPV"</f>
        <v>JM, Bridge Rectifier, 4A, 50IPV</v>
      </c>
      <c r="C6931" t="str">
        <f t="shared" si="268"/>
        <v>Active</v>
      </c>
    </row>
    <row r="6932" spans="1:3" ht="18" customHeight="1">
      <c r="A6932" t="str">
        <f>"36-4500-0002"</f>
        <v>36-4500-0002</v>
      </c>
      <c r="B6932" t="str">
        <f>"JM, Bridge Rectifier, 25A, 200V"</f>
        <v>JM, Bridge Rectifier, 25A, 200V</v>
      </c>
      <c r="C6932" t="str">
        <f t="shared" si="268"/>
        <v>Active</v>
      </c>
    </row>
    <row r="6933" spans="1:3" ht="18" customHeight="1">
      <c r="A6933" t="str">
        <f>"36-4500-0003"</f>
        <v>36-4500-0003</v>
      </c>
      <c r="B6933" t="str">
        <f>"JM, Bridge Rectifier, 3-Phase 1200V, 60A"</f>
        <v>JM, Bridge Rectifier, 3-Phase 1200V, 60A</v>
      </c>
      <c r="C6933" t="str">
        <f t="shared" si="268"/>
        <v>Active</v>
      </c>
    </row>
    <row r="6934" spans="1:3" ht="18" customHeight="1">
      <c r="A6934" t="str">
        <f>"36-4600-0001"</f>
        <v>36-4600-0001</v>
      </c>
      <c r="B6934" t="str">
        <f>"JM, Zener Diode, Vz: 15V,Izt:170mA"</f>
        <v>JM, Zener Diode, Vz: 15V,Izt:170mA</v>
      </c>
      <c r="C6934" t="str">
        <f t="shared" si="268"/>
        <v>Active</v>
      </c>
    </row>
    <row r="6935" spans="1:3" ht="18" customHeight="1">
      <c r="A6935" t="str">
        <f>"36-4600-0002"</f>
        <v>36-4600-0002</v>
      </c>
      <c r="B6935" t="str">
        <f>"JM, Recovery Rectifier, 16A, 1.23V"</f>
        <v>JM, Recovery Rectifier, 16A, 1.23V</v>
      </c>
      <c r="C6935" t="str">
        <f t="shared" si="268"/>
        <v>Active</v>
      </c>
    </row>
    <row r="6936" spans="1:3" ht="18" customHeight="1">
      <c r="A6936" t="str">
        <f>"36-4900-0001"</f>
        <v>36-4900-0001</v>
      </c>
      <c r="B6936" t="str">
        <f>"JM, SCR Thyristor, 25A"</f>
        <v>JM, SCR Thyristor, 25A</v>
      </c>
      <c r="C6936" t="str">
        <f t="shared" si="268"/>
        <v>Active</v>
      </c>
    </row>
    <row r="6937" spans="1:3" ht="18" customHeight="1">
      <c r="A6937" t="str">
        <f>"36-4900-0002"</f>
        <v>36-4900-0002</v>
      </c>
      <c r="B6937" t="str">
        <f>"JM, Triac, 15A, 600V"</f>
        <v>JM, Triac, 15A, 600V</v>
      </c>
      <c r="C6937" t="str">
        <f t="shared" si="268"/>
        <v>Active</v>
      </c>
    </row>
    <row r="6938" spans="1:3" ht="18" customHeight="1">
      <c r="A6938" t="str">
        <f>"36-4900-0003"</f>
        <v>36-4900-0003</v>
      </c>
      <c r="B6938" t="str">
        <f>"JM, Diac, 36V"</f>
        <v>JM, Diac, 36V</v>
      </c>
      <c r="C6938" t="str">
        <f t="shared" ref="C6938:C6969" si="269">"Active"</f>
        <v>Active</v>
      </c>
    </row>
    <row r="6939" spans="1:3" ht="18" customHeight="1">
      <c r="A6939" t="str">
        <f>"36-5200-0001"</f>
        <v>36-5200-0001</v>
      </c>
      <c r="B6939" t="str">
        <f>"JM, Wire, 14awg, Thhn, Black 500ft roll"</f>
        <v>JM, Wire, 14awg, Thhn, Black 500ft roll</v>
      </c>
      <c r="C6939" t="str">
        <f t="shared" si="269"/>
        <v>Active</v>
      </c>
    </row>
    <row r="6940" spans="1:3" ht="18" customHeight="1">
      <c r="A6940" t="str">
        <f>"36-5200-0002"</f>
        <v>36-5200-0002</v>
      </c>
      <c r="B6940" t="str">
        <f>"JM, Wire, 14awg, Thhn, White 500ft roll"</f>
        <v>JM, Wire, 14awg, Thhn, White 500ft roll</v>
      </c>
      <c r="C6940" t="str">
        <f t="shared" si="269"/>
        <v>Active</v>
      </c>
    </row>
    <row r="6941" spans="1:3" ht="18" customHeight="1">
      <c r="A6941" t="str">
        <f>"36-5200-0003"</f>
        <v>36-5200-0003</v>
      </c>
      <c r="B6941" t="str">
        <f>"JM, Wire, 14awg, Thhn, Green 500ft roll"</f>
        <v>JM, Wire, 14awg, Thhn, Green 500ft roll</v>
      </c>
      <c r="C6941" t="str">
        <f t="shared" si="269"/>
        <v>Active</v>
      </c>
    </row>
    <row r="6942" spans="1:3" ht="18" customHeight="1">
      <c r="A6942" t="str">
        <f>"36-5200-0004"</f>
        <v>36-5200-0004</v>
      </c>
      <c r="B6942" t="str">
        <f>"JM, Wire, 14awg, Thhn, Red 500ft roll"</f>
        <v>JM, Wire, 14awg, Thhn, Red 500ft roll</v>
      </c>
      <c r="C6942" t="str">
        <f t="shared" si="269"/>
        <v>Active</v>
      </c>
    </row>
    <row r="6943" spans="1:3" ht="18" customHeight="1">
      <c r="A6943" t="str">
        <f>"36-5200-0005"</f>
        <v>36-5200-0005</v>
      </c>
      <c r="B6943" t="str">
        <f>"JM, Wire, 3 spool pack, 20AWG, 25ft each"</f>
        <v>JM, Wire, 3 spool pack, 20AWG, 25ft each</v>
      </c>
      <c r="C6943" t="str">
        <f t="shared" si="269"/>
        <v>Active</v>
      </c>
    </row>
    <row r="6944" spans="1:3" ht="18" customHeight="1">
      <c r="A6944" t="str">
        <f>"36-5200-0006"</f>
        <v>36-5200-0006</v>
      </c>
      <c r="B6944" t="str">
        <f>"JM, Wire, 14awg, Thhn, Blue 500ft roll"</f>
        <v>JM, Wire, 14awg, Thhn, Blue 500ft roll</v>
      </c>
      <c r="C6944" t="str">
        <f t="shared" si="269"/>
        <v>Active</v>
      </c>
    </row>
    <row r="6945" spans="1:3" ht="18" customHeight="1">
      <c r="A6945" t="str">
        <f>"36-5300-0001"</f>
        <v>36-5300-0001</v>
      </c>
      <c r="B6945" t="str">
        <f>"JM, Powersupply Cord, 8ft Power First 1FD82"</f>
        <v>JM, Powersupply Cord, 8ft Power First 1FD82</v>
      </c>
      <c r="C6945" t="str">
        <f t="shared" si="269"/>
        <v>Active</v>
      </c>
    </row>
    <row r="6946" spans="1:3" ht="18" customHeight="1">
      <c r="A6946" t="str">
        <f>"36-5300-0003"</f>
        <v>36-5300-0003</v>
      </c>
      <c r="B6946" t="str">
        <f>"JM, Cable,Fiber Optic,120mm Sense"</f>
        <v>JM, Cable,Fiber Optic,120mm Sense</v>
      </c>
      <c r="C6946" t="str">
        <f t="shared" si="269"/>
        <v>Active</v>
      </c>
    </row>
    <row r="6947" spans="1:3" ht="18" customHeight="1">
      <c r="A6947" t="str">
        <f>"36-5300-0004"</f>
        <v>36-5300-0004</v>
      </c>
      <c r="B6947" t="str">
        <f>"JM, Cable, 14awg, 4 conductor, 250ft roll"</f>
        <v>JM, Cable, 14awg, 4 conductor, 250ft roll</v>
      </c>
      <c r="C6947" t="str">
        <f t="shared" si="269"/>
        <v>Active</v>
      </c>
    </row>
    <row r="6948" spans="1:3" ht="18" customHeight="1">
      <c r="A6948" t="str">
        <f>"36-5300-0005"</f>
        <v>36-5300-0005</v>
      </c>
      <c r="B6948" t="str">
        <f>"JM, Cable, 16AWG, 4 Conductor, 1ft"</f>
        <v>JM, Cable, 16AWG, 4 Conductor, 1ft</v>
      </c>
      <c r="C6948" t="str">
        <f t="shared" si="269"/>
        <v>Active</v>
      </c>
    </row>
    <row r="6949" spans="1:3" ht="18" customHeight="1">
      <c r="A6949" t="str">
        <f>"36-5300-0007"</f>
        <v>36-5300-0007</v>
      </c>
      <c r="B6949" t="str">
        <f>"JM, Powersupply Cord, 8ft 14/3C, 15Amp, 1FD92"</f>
        <v>JM, Powersupply Cord, 8ft 14/3C, 15Amp, 1FD92</v>
      </c>
      <c r="C6949" t="str">
        <f t="shared" si="269"/>
        <v>Active</v>
      </c>
    </row>
    <row r="6950" spans="1:3" ht="18" customHeight="1">
      <c r="A6950" t="str">
        <f>"36-5300-0008"</f>
        <v>36-5300-0008</v>
      </c>
      <c r="B6950" t="str">
        <f>"JM, Cable, 14AWG, 4 Conductor, 1ft"</f>
        <v>JM, Cable, 14AWG, 4 Conductor, 1ft</v>
      </c>
      <c r="C6950" t="str">
        <f t="shared" si="269"/>
        <v>Active</v>
      </c>
    </row>
    <row r="6951" spans="1:3" ht="18" customHeight="1">
      <c r="A6951" t="str">
        <f>"36-6200-0001"</f>
        <v>36-6200-0001</v>
      </c>
      <c r="B6951" t="str">
        <f>"JM, Switch, Toggle, SPST"</f>
        <v>JM, Switch, Toggle, SPST</v>
      </c>
      <c r="C6951" t="str">
        <f t="shared" si="269"/>
        <v>Active</v>
      </c>
    </row>
    <row r="6952" spans="1:3" ht="18" customHeight="1">
      <c r="A6952" t="str">
        <f>"36-6200-0003"</f>
        <v>36-6200-0003</v>
      </c>
      <c r="B6952" t="str">
        <f>"JM, Switch,Toggle, SPST, Flat Lever"</f>
        <v>JM, Switch,Toggle, SPST, Flat Lever</v>
      </c>
      <c r="C6952" t="str">
        <f t="shared" si="269"/>
        <v>Active</v>
      </c>
    </row>
    <row r="6953" spans="1:3" ht="18" customHeight="1">
      <c r="A6953" t="str">
        <f>"36-6200-0004"</f>
        <v>36-6200-0004</v>
      </c>
      <c r="B6953" t="str">
        <f>"JM, Switch,Toggle, DPDT, Flat Lever"</f>
        <v>JM, Switch,Toggle, DPDT, Flat Lever</v>
      </c>
      <c r="C6953" t="str">
        <f t="shared" si="269"/>
        <v>Active</v>
      </c>
    </row>
    <row r="6954" spans="1:3" ht="18" customHeight="1">
      <c r="A6954" t="str">
        <f>"36-6200-0005"</f>
        <v>36-6200-0005</v>
      </c>
      <c r="B6954" t="str">
        <f>"JM, Switch, PB, Momentary Black, NO w/Contact"</f>
        <v>JM, Switch, PB, Momentary Black, NO w/Contact</v>
      </c>
      <c r="C6954" t="str">
        <f t="shared" si="269"/>
        <v>Active</v>
      </c>
    </row>
    <row r="6955" spans="1:3" ht="18" customHeight="1">
      <c r="A6955" t="str">
        <f>"36-6200-0006"</f>
        <v>36-6200-0006</v>
      </c>
      <c r="B6955" t="str">
        <f>"JM, Switch, PB, Momentary Red, NC w/Contact"</f>
        <v>JM, Switch, PB, Momentary Red, NC w/Contact</v>
      </c>
      <c r="C6955" t="str">
        <f t="shared" si="269"/>
        <v>Active</v>
      </c>
    </row>
    <row r="6956" spans="1:3" ht="18" customHeight="1">
      <c r="A6956" t="str">
        <f>"36-6200-0007"</f>
        <v>36-6200-0007</v>
      </c>
      <c r="B6956" t="str">
        <f>"JM, Switch, PB, Moment. Red LED, NC w/Contact"</f>
        <v>JM, Switch, PB, Moment. Red LED, NC w/Contact</v>
      </c>
      <c r="C6956" t="str">
        <f t="shared" si="269"/>
        <v>Active</v>
      </c>
    </row>
    <row r="6957" spans="1:3" ht="18" customHeight="1">
      <c r="A6957" t="str">
        <f>"36-6200-0008"</f>
        <v>36-6200-0008</v>
      </c>
      <c r="B6957" t="str">
        <f>"JM, Switch, PB, Moment. Green LED, NO w/Contact"</f>
        <v>JM, Switch, PB, Moment. Green LED, NO w/Contact</v>
      </c>
      <c r="C6957" t="str">
        <f t="shared" si="269"/>
        <v>Active</v>
      </c>
    </row>
    <row r="6958" spans="1:3" ht="18" customHeight="1">
      <c r="A6958" t="str">
        <f>"36-6200-0009"</f>
        <v>36-6200-0009</v>
      </c>
      <c r="B6958" t="str">
        <f>"JM, Switch, PB, Moment. Yel. LED, NO w/Contact"</f>
        <v>JM, Switch, PB, Moment. Yel. LED, NO w/Contact</v>
      </c>
      <c r="C6958" t="str">
        <f t="shared" si="269"/>
        <v>Active</v>
      </c>
    </row>
    <row r="6959" spans="1:3" ht="18" customHeight="1">
      <c r="A6959" t="str">
        <f>"36-6200-0010"</f>
        <v>36-6200-0010</v>
      </c>
      <c r="B6959" t="str">
        <f>"JM, Switch, 3 Pos, Blk, Maintained"</f>
        <v>JM, Switch, 3 Pos, Blk, Maintained</v>
      </c>
      <c r="C6959" t="str">
        <f t="shared" si="269"/>
        <v>Active</v>
      </c>
    </row>
    <row r="6960" spans="1:3" ht="18" customHeight="1">
      <c r="A6960" t="str">
        <f>"36-6200-0012"</f>
        <v>36-6200-0012</v>
      </c>
      <c r="B6960" t="str">
        <f>"JM, Switch, Toggle, 3pst ON/OFF"</f>
        <v>JM, Switch, Toggle, 3pst ON/OFF</v>
      </c>
      <c r="C6960" t="str">
        <f t="shared" si="269"/>
        <v>Active</v>
      </c>
    </row>
    <row r="6961" spans="1:3" ht="18" customHeight="1">
      <c r="A6961" t="str">
        <f>"36-6200-0013"</f>
        <v>36-6200-0013</v>
      </c>
      <c r="B6961" t="str">
        <f>"JM, Switch, 120V, 15A w/GRN AC"</f>
        <v>JM, Switch, 120V, 15A w/GRN AC</v>
      </c>
      <c r="C6961" t="str">
        <f t="shared" si="269"/>
        <v>Active</v>
      </c>
    </row>
    <row r="6962" spans="1:3" ht="18" customHeight="1">
      <c r="A6962" t="str">
        <f>"36-6200-0018"</f>
        <v>36-6200-0018</v>
      </c>
      <c r="B6962" t="str">
        <f>"JM, Switch, Momentary PB 3A, NO, Red"</f>
        <v>JM, Switch, Momentary PB 3A, NO, Red</v>
      </c>
      <c r="C6962" t="str">
        <f t="shared" si="269"/>
        <v>Active</v>
      </c>
    </row>
    <row r="6963" spans="1:3" ht="18" customHeight="1">
      <c r="A6963" t="str">
        <f>"36-6200-0019"</f>
        <v>36-6200-0019</v>
      </c>
      <c r="B6963" t="str">
        <f>"JM, Switch, Momentary PB 3A, NC, Black"</f>
        <v>JM, Switch, Momentary PB 3A, NC, Black</v>
      </c>
      <c r="C6963" t="str">
        <f t="shared" si="269"/>
        <v>Active</v>
      </c>
    </row>
    <row r="6964" spans="1:3" ht="18" customHeight="1">
      <c r="A6964" t="str">
        <f>"36-6200-0020"</f>
        <v>36-6200-0020</v>
      </c>
      <c r="B6964" t="str">
        <f>"JM, Switch, PB, Push-on/off, 4A, 250V"</f>
        <v>JM, Switch, PB, Push-on/off, 4A, 250V</v>
      </c>
      <c r="C6964" t="str">
        <f t="shared" si="269"/>
        <v>Active</v>
      </c>
    </row>
    <row r="6965" spans="1:3" ht="18" customHeight="1">
      <c r="A6965" t="str">
        <f>"36-6200-0021"</f>
        <v>36-6200-0021</v>
      </c>
      <c r="B6965" t="str">
        <f>"JM, Solenoid, 24V, Box Frame"</f>
        <v>JM, Solenoid, 24V, Box Frame</v>
      </c>
      <c r="C6965" t="str">
        <f t="shared" si="269"/>
        <v>Active</v>
      </c>
    </row>
    <row r="6966" spans="1:3" ht="18" customHeight="1">
      <c r="A6966" t="str">
        <f>"36-6200-0022"</f>
        <v>36-6200-0022</v>
      </c>
      <c r="B6966" t="str">
        <f>"JM, Switch, Proximity, 34mm dia"</f>
        <v>JM, Switch, Proximity, 34mm dia</v>
      </c>
      <c r="C6966" t="str">
        <f t="shared" si="269"/>
        <v>Active</v>
      </c>
    </row>
    <row r="6967" spans="1:3" ht="18" customHeight="1">
      <c r="A6967" t="str">
        <f>"36-6200-0024"</f>
        <v>36-6200-0024</v>
      </c>
      <c r="B6967" t="str">
        <f>"JM, Switch, Photoelectic Fiber Optic"</f>
        <v>JM, Switch, Photoelectic Fiber Optic</v>
      </c>
      <c r="C6967" t="str">
        <f t="shared" si="269"/>
        <v>Active</v>
      </c>
    </row>
    <row r="6968" spans="1:3" ht="18" customHeight="1">
      <c r="A6968" t="str">
        <f>"36-6200-0025"</f>
        <v>36-6200-0025</v>
      </c>
      <c r="B6968" t="str">
        <f>"JM, Switch, Rotary Cam, 2pole"</f>
        <v>JM, Switch, Rotary Cam, 2pole</v>
      </c>
      <c r="C6968" t="str">
        <f t="shared" si="269"/>
        <v>Active</v>
      </c>
    </row>
    <row r="6969" spans="1:3" ht="18" customHeight="1">
      <c r="A6969" t="str">
        <f>"36-6200-0026"</f>
        <v>36-6200-0026</v>
      </c>
      <c r="B6969" t="str">
        <f>"JM, Switch, Keylock, 10A"</f>
        <v>JM, Switch, Keylock, 10A</v>
      </c>
      <c r="C6969" t="str">
        <f t="shared" si="269"/>
        <v>Active</v>
      </c>
    </row>
    <row r="6970" spans="1:3" ht="18" customHeight="1">
      <c r="A6970" t="str">
        <f>"36-6200-0027"</f>
        <v>36-6200-0027</v>
      </c>
      <c r="B6970" t="str">
        <f>"JM, Switch, Limit, Plunger, SPDT NEMA1 Enclosed"</f>
        <v>JM, Switch, Limit, Plunger, SPDT NEMA1 Enclosed</v>
      </c>
      <c r="C6970" t="str">
        <f t="shared" ref="C6970:C7001" si="270">"Active"</f>
        <v>Active</v>
      </c>
    </row>
    <row r="6971" spans="1:3" ht="18" customHeight="1">
      <c r="A6971" t="str">
        <f>"36-6200-0028"</f>
        <v>36-6200-0028</v>
      </c>
      <c r="B6971" t="str">
        <f>"JM, Switch, 2 pos, Blk, Maintained"</f>
        <v>JM, Switch, 2 pos, Blk, Maintained</v>
      </c>
      <c r="C6971" t="str">
        <f t="shared" si="270"/>
        <v>Active</v>
      </c>
    </row>
    <row r="6972" spans="1:3" ht="18" customHeight="1">
      <c r="A6972" t="str">
        <f>"36-6200-0029"</f>
        <v>36-6200-0029</v>
      </c>
      <c r="B6972" t="str">
        <f>"JM, Contact Block, NO, Green, 22mm Switch"</f>
        <v>JM, Contact Block, NO, Green, 22mm Switch</v>
      </c>
      <c r="C6972" t="str">
        <f t="shared" si="270"/>
        <v>Active</v>
      </c>
    </row>
    <row r="6973" spans="1:3" ht="18" customHeight="1">
      <c r="A6973" t="str">
        <f>"36-6200-0030"</f>
        <v>36-6200-0030</v>
      </c>
      <c r="B6973" t="str">
        <f>"JM, Switch, 3 pos, blk, return to center"</f>
        <v>JM, Switch, 3 pos, blk, return to center</v>
      </c>
      <c r="C6973" t="str">
        <f t="shared" si="270"/>
        <v>Active</v>
      </c>
    </row>
    <row r="6974" spans="1:3" ht="18" customHeight="1">
      <c r="A6974" t="str">
        <f>"36-6200-0031"</f>
        <v>36-6200-0031</v>
      </c>
      <c r="B6974" t="str">
        <f>"JM, Switch, Rotary, 3 Position, 6A"</f>
        <v>JM, Switch, Rotary, 3 Position, 6A</v>
      </c>
      <c r="C6974" t="str">
        <f t="shared" si="270"/>
        <v>Active</v>
      </c>
    </row>
    <row r="6975" spans="1:3" ht="18" customHeight="1">
      <c r="A6975" t="str">
        <f>"36-6200-0032"</f>
        <v>36-6200-0032</v>
      </c>
      <c r="B6975" t="str">
        <f>"JM, Limit Switch, Snap Action, One-Way Lever"</f>
        <v>JM, Limit Switch, Snap Action, One-Way Lever</v>
      </c>
      <c r="C6975" t="str">
        <f t="shared" si="270"/>
        <v>Active</v>
      </c>
    </row>
    <row r="6976" spans="1:3" ht="18" customHeight="1">
      <c r="A6976" t="str">
        <f>"36-6200-0033"</f>
        <v>36-6200-0033</v>
      </c>
      <c r="B6976" t="str">
        <f>"JM, Photoelectric Sensor, 12-24VDC w/ 6ft Cable"</f>
        <v>JM, Photoelectric Sensor, 12-24VDC w/ 6ft Cable</v>
      </c>
      <c r="C6976" t="str">
        <f t="shared" si="270"/>
        <v>Active</v>
      </c>
    </row>
    <row r="6977" spans="1:3" ht="18" customHeight="1">
      <c r="A6977" t="str">
        <f>"36-6200-0034"</f>
        <v>36-6200-0034</v>
      </c>
      <c r="B6977" t="str">
        <f>"JM, Proximity Sensor, 12mm dia DC, NO"</f>
        <v>JM, Proximity Sensor, 12mm dia DC, NO</v>
      </c>
      <c r="C6977" t="str">
        <f t="shared" si="270"/>
        <v>Active</v>
      </c>
    </row>
    <row r="6978" spans="1:3" ht="18" customHeight="1">
      <c r="A6978" t="str">
        <f>"36-6200-0035"</f>
        <v>36-6200-0035</v>
      </c>
      <c r="B6978" t="str">
        <f>"JM, Switch, pressure, 40-100psi NEMA1 Enclosed"</f>
        <v>JM, Switch, pressure, 40-100psi NEMA1 Enclosed</v>
      </c>
      <c r="C6978" t="str">
        <f t="shared" si="270"/>
        <v>Active</v>
      </c>
    </row>
    <row r="6979" spans="1:3" ht="18" customHeight="1">
      <c r="A6979" t="str">
        <f>"36-6200-0036"</f>
        <v>36-6200-0036</v>
      </c>
      <c r="B6979" t="str">
        <f>"JM, Switch, Liquid Level, 1/4"" x 1/2"" NPT"</f>
        <v>JM, Switch, Liquid Level, 1/4" x 1/2" NPT</v>
      </c>
      <c r="C6979" t="str">
        <f t="shared" si="270"/>
        <v>Active</v>
      </c>
    </row>
    <row r="6980" spans="1:3" ht="18" customHeight="1">
      <c r="A6980" t="str">
        <f>"36-6200-0037"</f>
        <v>36-6200-0037</v>
      </c>
      <c r="B6980" t="str">
        <f>"JM, Switch, Liquid Level, Float 1/4"" NPT"</f>
        <v>JM, Switch, Liquid Level, Float 1/4" NPT</v>
      </c>
      <c r="C6980" t="str">
        <f t="shared" si="270"/>
        <v>Active</v>
      </c>
    </row>
    <row r="6981" spans="1:3" ht="18" customHeight="1">
      <c r="A6981" t="str">
        <f>"36-6200-0042"</f>
        <v>36-6200-0042</v>
      </c>
      <c r="B6981" t="str">
        <f>"JM, Switch, Toggle, SPDT, (On, off, on)"</f>
        <v>JM, Switch, Toggle, SPDT, (On, off, on)</v>
      </c>
      <c r="C6981" t="str">
        <f t="shared" si="270"/>
        <v>Active</v>
      </c>
    </row>
    <row r="6982" spans="1:3" ht="18" customHeight="1">
      <c r="A6982" t="str">
        <f>"36-6200-0043"</f>
        <v>36-6200-0043</v>
      </c>
      <c r="B6982" t="str">
        <f>"JM, Contact Block, NC, Red, 22mm Switch"</f>
        <v>JM, Contact Block, NC, Red, 22mm Switch</v>
      </c>
      <c r="C6982" t="str">
        <f t="shared" si="270"/>
        <v>Active</v>
      </c>
    </row>
    <row r="6983" spans="1:3" ht="18" customHeight="1">
      <c r="A6983" t="str">
        <f>"36-6200-0044"</f>
        <v>36-6200-0044</v>
      </c>
      <c r="B6983" t="str">
        <f>"Contact Block, NC, E-Stop"</f>
        <v>Contact Block, NC, E-Stop</v>
      </c>
      <c r="C6983" t="str">
        <f t="shared" si="270"/>
        <v>Active</v>
      </c>
    </row>
    <row r="6984" spans="1:3" ht="18" customHeight="1">
      <c r="A6984" t="str">
        <f>"36-6200-0045"</f>
        <v>36-6200-0045</v>
      </c>
      <c r="B6984" t="str">
        <f>"JM, Switch, 2-pole w/enclosure"</f>
        <v>JM, Switch, 2-pole w/enclosure</v>
      </c>
      <c r="C6984" t="str">
        <f t="shared" si="270"/>
        <v>Active</v>
      </c>
    </row>
    <row r="6985" spans="1:3" ht="18" customHeight="1">
      <c r="A6985" t="str">
        <f>"36-6200-0046"</f>
        <v>36-6200-0046</v>
      </c>
      <c r="B6985" t="str">
        <f>"JM, Contact block,1-NO/1-NC for Manual Starter"</f>
        <v>JM, Contact block,1-NO/1-NC for Manual Starter</v>
      </c>
      <c r="C6985" t="str">
        <f t="shared" si="270"/>
        <v>Active</v>
      </c>
    </row>
    <row r="6986" spans="1:3" ht="18" customHeight="1">
      <c r="A6986" t="str">
        <f>"36-6200-0047"</f>
        <v>36-6200-0047</v>
      </c>
      <c r="B6986" t="str">
        <f>"JM, Switch, Keylock, 10A, Off-Mom, 22mm"</f>
        <v>JM, Switch, Keylock, 10A, Off-Mom, 22mm</v>
      </c>
      <c r="C6986" t="str">
        <f t="shared" si="270"/>
        <v>Active</v>
      </c>
    </row>
    <row r="6987" spans="1:3" ht="18" customHeight="1">
      <c r="A6987" t="str">
        <f>"36-6300-0004"</f>
        <v>36-6300-0004</v>
      </c>
      <c r="B6987" t="str">
        <f>"JM, Contactor, Mini, 6A, 24V"</f>
        <v>JM, Contactor, Mini, 6A, 24V</v>
      </c>
      <c r="C6987" t="str">
        <f t="shared" si="270"/>
        <v>Active</v>
      </c>
    </row>
    <row r="6988" spans="1:3" ht="18" customHeight="1">
      <c r="A6988" t="str">
        <f>"36-6300-0005"</f>
        <v>36-6300-0005</v>
      </c>
      <c r="B6988" t="str">
        <f>"JM, Relay, 8 pin, DPDT"</f>
        <v>JM, Relay, 8 pin, DPDT</v>
      </c>
      <c r="C6988" t="str">
        <f t="shared" si="270"/>
        <v>Active</v>
      </c>
    </row>
    <row r="6989" spans="1:3" ht="18" customHeight="1">
      <c r="A6989" t="str">
        <f>"36-6300-0006"</f>
        <v>36-6300-0006</v>
      </c>
      <c r="B6989" t="str">
        <f>"JM, Socket, Relay, 8 Pin"</f>
        <v>JM, Socket, Relay, 8 Pin</v>
      </c>
      <c r="C6989" t="str">
        <f t="shared" si="270"/>
        <v>Active</v>
      </c>
    </row>
    <row r="6990" spans="1:3" ht="18" customHeight="1">
      <c r="A6990" t="str">
        <f>"36-6300-0007"</f>
        <v>36-6300-0007</v>
      </c>
      <c r="B6990" t="str">
        <f>"JM, Relay, Thermal Overload 0.8-1.2A"</f>
        <v>JM, Relay, Thermal Overload 0.8-1.2A</v>
      </c>
      <c r="C6990" t="str">
        <f t="shared" si="270"/>
        <v>Active</v>
      </c>
    </row>
    <row r="6991" spans="1:3" ht="18" customHeight="1">
      <c r="A6991" t="str">
        <f>"36-6300-0008"</f>
        <v>36-6300-0008</v>
      </c>
      <c r="B6991" t="str">
        <f>"JM, Relay, 120V 2PDT 15A LED Test PB"</f>
        <v>JM, Relay, 120V 2PDT 15A LED Test PB</v>
      </c>
      <c r="C6991" t="str">
        <f t="shared" si="270"/>
        <v>Active</v>
      </c>
    </row>
    <row r="6992" spans="1:3" ht="18" customHeight="1">
      <c r="A6992" t="str">
        <f>"36-6300-0009"</f>
        <v>36-6300-0009</v>
      </c>
      <c r="B6992" t="str">
        <f>"JM, Relay, Socket 782/AD-70S2 Square"</f>
        <v>JM, Relay, Socket 782/AD-70S2 Square</v>
      </c>
      <c r="C6992" t="str">
        <f t="shared" si="270"/>
        <v>Active</v>
      </c>
    </row>
    <row r="6993" spans="1:3" ht="18" customHeight="1">
      <c r="A6993" t="str">
        <f>"36-6300-0011"</f>
        <v>36-6300-0011</v>
      </c>
      <c r="B6993" t="str">
        <f>"JM, Timer Multi-mode 2PDT 100-240V, 0.055-60H"</f>
        <v>JM, Timer Multi-mode 2PDT 100-240V, 0.055-60H</v>
      </c>
      <c r="C6993" t="str">
        <f t="shared" si="270"/>
        <v>Active</v>
      </c>
    </row>
    <row r="6994" spans="1:3" ht="18" customHeight="1">
      <c r="A6994" t="str">
        <f>"36-6300-0012"</f>
        <v>36-6300-0012</v>
      </c>
      <c r="B6994" t="str">
        <f>"JM, Relay, Socket Mount for MS4SM"</f>
        <v>JM, Relay, Socket Mount for MS4SM</v>
      </c>
      <c r="C6994" t="str">
        <f t="shared" si="270"/>
        <v>Active</v>
      </c>
    </row>
    <row r="6995" spans="1:3" ht="18" customHeight="1">
      <c r="A6995" t="str">
        <f>"36-6300-0013"</f>
        <v>36-6300-0013</v>
      </c>
      <c r="B6995" t="str">
        <f>"JM, Contactor, 9A, 43mm"</f>
        <v>JM, Contactor, 9A, 43mm</v>
      </c>
      <c r="C6995" t="str">
        <f t="shared" si="270"/>
        <v>Active</v>
      </c>
    </row>
    <row r="6996" spans="1:3" ht="18" customHeight="1">
      <c r="A6996" t="str">
        <f>"36-6300-0014"</f>
        <v>36-6300-0014</v>
      </c>
      <c r="B6996" t="str">
        <f>"JM, AUX Contact 1NO/1NC E02-E4 SIDE"</f>
        <v>JM, AUX Contact 1NO/1NC E02-E4 SIDE</v>
      </c>
      <c r="C6996" t="str">
        <f t="shared" si="270"/>
        <v>Active</v>
      </c>
    </row>
    <row r="6997" spans="1:3" ht="18" customHeight="1">
      <c r="A6997" t="str">
        <f>"36-6300-0015"</f>
        <v>36-6300-0015</v>
      </c>
      <c r="B6997" t="str">
        <f>"JM, AUX Contact 2NO/2NC E02-E4 FRONT"</f>
        <v>JM, AUX Contact 2NO/2NC E02-E4 FRONT</v>
      </c>
      <c r="C6997" t="str">
        <f t="shared" si="270"/>
        <v>Active</v>
      </c>
    </row>
    <row r="6998" spans="1:3" ht="18" customHeight="1">
      <c r="A6998" t="str">
        <f>"36-6300-0016"</f>
        <v>36-6300-0016</v>
      </c>
      <c r="B6998" t="str">
        <f>"JM, Interlock UNit E02-E4"</f>
        <v>JM, Interlock UNit E02-E4</v>
      </c>
      <c r="C6998" t="str">
        <f t="shared" si="270"/>
        <v>Active</v>
      </c>
    </row>
    <row r="6999" spans="1:3" ht="18" customHeight="1">
      <c r="A6999" t="str">
        <f>"36-6300-0017"</f>
        <v>36-6300-0017</v>
      </c>
      <c r="B6999" t="str">
        <f>"JM, Rev Kit Load Side SW-E02-E05"</f>
        <v>JM, Rev Kit Load Side SW-E02-E05</v>
      </c>
      <c r="C6999" t="str">
        <f t="shared" si="270"/>
        <v>Active</v>
      </c>
    </row>
    <row r="7000" spans="1:3" ht="18" customHeight="1">
      <c r="A7000" t="str">
        <f>"36-6300-0022"</f>
        <v>36-6300-0022</v>
      </c>
      <c r="B7000" t="str">
        <f>"Relay, 11 pin, 3PDT, 240V"</f>
        <v>Relay, 11 pin, 3PDT, 240V</v>
      </c>
      <c r="C7000" t="str">
        <f t="shared" si="270"/>
        <v>Active</v>
      </c>
    </row>
    <row r="7001" spans="1:3" ht="18" customHeight="1">
      <c r="A7001" t="str">
        <f>"36-6300-0023"</f>
        <v>36-6300-0023</v>
      </c>
      <c r="B7001" t="str">
        <f>"JM, Socket, Relay, 11 Pin"</f>
        <v>JM, Socket, Relay, 11 Pin</v>
      </c>
      <c r="C7001" t="str">
        <f t="shared" si="270"/>
        <v>Active</v>
      </c>
    </row>
    <row r="7002" spans="1:3" ht="18" customHeight="1">
      <c r="A7002" t="str">
        <f>"36-6300-0024"</f>
        <v>36-6300-0024</v>
      </c>
      <c r="B7002" t="str">
        <f>"JM, Contactor, Mini, 6A, 110V"</f>
        <v>JM, Contactor, Mini, 6A, 110V</v>
      </c>
      <c r="C7002" t="str">
        <f t="shared" ref="C7002:C7033" si="271">"Active"</f>
        <v>Active</v>
      </c>
    </row>
    <row r="7003" spans="1:3" ht="18" customHeight="1">
      <c r="A7003" t="str">
        <f>"36-6300-0025"</f>
        <v>36-6300-0025</v>
      </c>
      <c r="B7003" t="str">
        <f>"JM, Relay, Overload, 1.2-1.8 Amps"</f>
        <v>JM, Relay, Overload, 1.2-1.8 Amps</v>
      </c>
      <c r="C7003" t="str">
        <f t="shared" si="271"/>
        <v>Active</v>
      </c>
    </row>
    <row r="7004" spans="1:3" ht="18" customHeight="1">
      <c r="A7004" t="str">
        <f>"36-6300-0026"</f>
        <v>36-6300-0026</v>
      </c>
      <c r="B7004" t="str">
        <f>"JM, Relay,14 pin, 4pdt, 120VAC, 3A"</f>
        <v>JM, Relay,14 pin, 4pdt, 120VAC, 3A</v>
      </c>
      <c r="C7004" t="str">
        <f t="shared" si="271"/>
        <v>Active</v>
      </c>
    </row>
    <row r="7005" spans="1:3" ht="18" customHeight="1">
      <c r="A7005" t="str">
        <f>"36-6300-0027"</f>
        <v>36-6300-0027</v>
      </c>
      <c r="B7005" t="str">
        <f>"JM, Socket, Relay, 14pin"</f>
        <v>JM, Socket, Relay, 14pin</v>
      </c>
      <c r="C7005" t="str">
        <f t="shared" si="271"/>
        <v>Active</v>
      </c>
    </row>
    <row r="7006" spans="1:3" ht="18" customHeight="1">
      <c r="A7006" t="str">
        <f>"36-6300-0028"</f>
        <v>36-6300-0028</v>
      </c>
      <c r="B7006" t="str">
        <f>"JM, Relay, Time Delay, 120V"</f>
        <v>JM, Relay, Time Delay, 120V</v>
      </c>
      <c r="C7006" t="str">
        <f t="shared" si="271"/>
        <v>Active</v>
      </c>
    </row>
    <row r="7007" spans="1:3" ht="18" customHeight="1">
      <c r="A7007" t="str">
        <f>"36-6300-0029"</f>
        <v>36-6300-0029</v>
      </c>
      <c r="B7007" t="str">
        <f>"JM, Socket, Relay, 11 Pin, Octal"</f>
        <v>JM, Socket, Relay, 11 Pin, Octal</v>
      </c>
      <c r="C7007" t="str">
        <f t="shared" si="271"/>
        <v>Active</v>
      </c>
    </row>
    <row r="7008" spans="1:3" ht="18" customHeight="1">
      <c r="A7008" t="str">
        <f>"36-6300-0030"</f>
        <v>36-6300-0030</v>
      </c>
      <c r="B7008" t="str">
        <f>"JM, Contactor, Lighting, 3 Pole"</f>
        <v>JM, Contactor, Lighting, 3 Pole</v>
      </c>
      <c r="C7008" t="str">
        <f t="shared" si="271"/>
        <v>Active</v>
      </c>
    </row>
    <row r="7009" spans="1:3" ht="18" customHeight="1">
      <c r="A7009" t="str">
        <f>"36-6300-0031"</f>
        <v>36-6300-0031</v>
      </c>
      <c r="B7009" t="str">
        <f>"JM, Contactor, Lighting, 4 Pole"</f>
        <v>JM, Contactor, Lighting, 4 Pole</v>
      </c>
      <c r="C7009" t="str">
        <f t="shared" si="271"/>
        <v>Active</v>
      </c>
    </row>
    <row r="7010" spans="1:3" ht="18" customHeight="1">
      <c r="A7010" t="str">
        <f>"36-6300-0032"</f>
        <v>36-6300-0032</v>
      </c>
      <c r="B7010" t="str">
        <f>"JM, AUX Contact 1NO/1NO, IEC"</f>
        <v>JM, AUX Contact 1NO/1NO, IEC</v>
      </c>
      <c r="C7010" t="str">
        <f t="shared" si="271"/>
        <v>Active</v>
      </c>
    </row>
    <row r="7011" spans="1:3" ht="18" customHeight="1">
      <c r="A7011" t="str">
        <f>"36-6300-0034"</f>
        <v>36-6300-0034</v>
      </c>
      <c r="B7011" t="str">
        <f>"JM, Relay, 12V, 30A, SPDT, Auto"</f>
        <v>JM, Relay, 12V, 30A, SPDT, Auto</v>
      </c>
      <c r="C7011" t="str">
        <f t="shared" si="271"/>
        <v>Active</v>
      </c>
    </row>
    <row r="7012" spans="1:3" ht="18" customHeight="1">
      <c r="A7012" t="str">
        <f>"36-6300-0035"</f>
        <v>36-6300-0035</v>
      </c>
      <c r="B7012" t="str">
        <f>"JM, Relay, Solid State, .1-100minDelay,24-240VAC"</f>
        <v>JM, Relay, Solid State, .1-100minDelay,24-240VAC</v>
      </c>
      <c r="C7012" t="str">
        <f t="shared" si="271"/>
        <v>Active</v>
      </c>
    </row>
    <row r="7013" spans="1:3" ht="18" customHeight="1">
      <c r="A7013" t="str">
        <f>"36-6300-0036"</f>
        <v>36-6300-0036</v>
      </c>
      <c r="B7013" t="str">
        <f>"JM, Relay, Power, 120V, DPST-NO"</f>
        <v>JM, Relay, Power, 120V, DPST-NO</v>
      </c>
      <c r="C7013" t="str">
        <f t="shared" si="271"/>
        <v>Active</v>
      </c>
    </row>
    <row r="7014" spans="1:3" ht="18" customHeight="1">
      <c r="A7014" t="str">
        <f>"36-6300-0037"</f>
        <v>36-6300-0037</v>
      </c>
      <c r="B7014" t="str">
        <f>"JM, Timer Mechanism, Electronic 125V"</f>
        <v>JM, Timer Mechanism, Electronic 125V</v>
      </c>
      <c r="C7014" t="str">
        <f t="shared" si="271"/>
        <v>Active</v>
      </c>
    </row>
    <row r="7015" spans="1:3" ht="18" customHeight="1">
      <c r="A7015" t="str">
        <f>"36-6300-0038"</f>
        <v>36-6300-0038</v>
      </c>
      <c r="B7015" t="str">
        <f>"JM, Relay, Time Delay, DPDT, Multi-Function"</f>
        <v>JM, Relay, Time Delay, DPDT, Multi-Function</v>
      </c>
      <c r="C7015" t="str">
        <f t="shared" si="271"/>
        <v>Active</v>
      </c>
    </row>
    <row r="7016" spans="1:3" ht="18" customHeight="1">
      <c r="A7016" t="str">
        <f>"36-6300-0040"</f>
        <v>36-6300-0040</v>
      </c>
      <c r="B7016" t="str">
        <f>"JM, Clip, Relay, Metal"</f>
        <v>JM, Clip, Relay, Metal</v>
      </c>
      <c r="C7016" t="str">
        <f t="shared" si="271"/>
        <v>Active</v>
      </c>
    </row>
    <row r="7017" spans="1:3" ht="18" customHeight="1">
      <c r="A7017" t="str">
        <f>"36-6300-0042"</f>
        <v>36-6300-0042</v>
      </c>
      <c r="B7017" t="str">
        <f>"JM, Manual Starter, IEC, 0.63A - 1.0A"</f>
        <v>JM, Manual Starter, IEC, 0.63A - 1.0A</v>
      </c>
      <c r="C7017" t="str">
        <f t="shared" si="271"/>
        <v>Active</v>
      </c>
    </row>
    <row r="7018" spans="1:3" ht="18" customHeight="1">
      <c r="A7018" t="str">
        <f>"36-6300-0043"</f>
        <v>36-6300-0043</v>
      </c>
      <c r="B7018" t="str">
        <f>"JM, Relay mounting base, for TK-E02-120"</f>
        <v>JM, Relay mounting base, for TK-E02-120</v>
      </c>
      <c r="C7018" t="str">
        <f t="shared" si="271"/>
        <v>Active</v>
      </c>
    </row>
    <row r="7019" spans="1:3" ht="18" customHeight="1">
      <c r="A7019" t="str">
        <f>"36-6300-0044"</f>
        <v>36-6300-0044</v>
      </c>
      <c r="B7019" t="str">
        <f>"JM, Line Monitor, 3-Phase, 208-240VAC"</f>
        <v>JM, Line Monitor, 3-Phase, 208-240VAC</v>
      </c>
      <c r="C7019" t="str">
        <f t="shared" si="271"/>
        <v>Active</v>
      </c>
    </row>
    <row r="7020" spans="1:3" ht="18" customHeight="1">
      <c r="A7020" t="str">
        <f>"36-6300-0045"</f>
        <v>36-6300-0045</v>
      </c>
      <c r="B7020" t="str">
        <f>"JM, Socket, 3-Phase Line Monitor"</f>
        <v>JM, Socket, 3-Phase Line Monitor</v>
      </c>
      <c r="C7020" t="str">
        <f t="shared" si="271"/>
        <v>Active</v>
      </c>
    </row>
    <row r="7021" spans="1:3" ht="18" customHeight="1">
      <c r="A7021" t="str">
        <f>"36-6300-0047"</f>
        <v>36-6300-0047</v>
      </c>
      <c r="B7021" t="str">
        <f>"Digital Panel Ammeter Murata DCA-20PC-5-DC1-RL-C"</f>
        <v>Digital Panel Ammeter Murata DCA-20PC-5-DC1-RL-C</v>
      </c>
      <c r="C7021" t="str">
        <f t="shared" si="271"/>
        <v>Active</v>
      </c>
    </row>
    <row r="7022" spans="1:3" ht="18" customHeight="1">
      <c r="A7022" t="str">
        <f>"36-6300-0048"</f>
        <v>36-6300-0048</v>
      </c>
      <c r="B7022" t="str">
        <f>"Relay, 14 pin, 4PDT, Miniature, 240V"</f>
        <v>Relay, 14 pin, 4PDT, Miniature, 240V</v>
      </c>
      <c r="C7022" t="str">
        <f t="shared" si="271"/>
        <v>Active</v>
      </c>
    </row>
    <row r="7023" spans="1:3" ht="18" customHeight="1">
      <c r="A7023" t="str">
        <f>"36-6300-0049"</f>
        <v>36-6300-0049</v>
      </c>
      <c r="B7023" t="str">
        <f>"JM, Socket, Relay, Miniature, 14 Pin"</f>
        <v>JM, Socket, Relay, Miniature, 14 Pin</v>
      </c>
      <c r="C7023" t="str">
        <f t="shared" si="271"/>
        <v>Active</v>
      </c>
    </row>
    <row r="7024" spans="1:3" ht="18" customHeight="1">
      <c r="A7024" t="str">
        <f>"36-6300-0050"</f>
        <v>36-6300-0050</v>
      </c>
      <c r="B7024" t="str">
        <f>"JM, Clip, Relay, Miniature, Metal"</f>
        <v>JM, Clip, Relay, Miniature, Metal</v>
      </c>
      <c r="C7024" t="str">
        <f t="shared" si="271"/>
        <v>Active</v>
      </c>
    </row>
    <row r="7025" spans="1:3" ht="18" customHeight="1">
      <c r="A7025" t="str">
        <f>"36-6300-0051"</f>
        <v>36-6300-0051</v>
      </c>
      <c r="B7025" t="str">
        <f>"Relay, 14 pin, 4PDT, Miniature, 120V"</f>
        <v>Relay, 14 pin, 4PDT, Miniature, 120V</v>
      </c>
      <c r="C7025" t="str">
        <f t="shared" si="271"/>
        <v>Active</v>
      </c>
    </row>
    <row r="7026" spans="1:3" ht="18" customHeight="1">
      <c r="A7026" t="str">
        <f>"36-6500-0001"</f>
        <v>36-6500-0001</v>
      </c>
      <c r="B7026" t="str">
        <f>"JM, Midget Fuse Block, 30A, 1 Pole"</f>
        <v>JM, Midget Fuse Block, 30A, 1 Pole</v>
      </c>
      <c r="C7026" t="str">
        <f t="shared" si="271"/>
        <v>Active</v>
      </c>
    </row>
    <row r="7027" spans="1:3" ht="18" customHeight="1">
      <c r="A7027" t="str">
        <f>"36-6500-0003"</f>
        <v>36-6500-0003</v>
      </c>
      <c r="B7027" t="str">
        <f>"JM, Fuse, Midget, 10A, Fast Acting"</f>
        <v>JM, Fuse, Midget, 10A, Fast Acting</v>
      </c>
      <c r="C7027" t="str">
        <f t="shared" si="271"/>
        <v>Active</v>
      </c>
    </row>
    <row r="7028" spans="1:3" ht="18" customHeight="1">
      <c r="A7028" t="str">
        <f>"36-6500-0004"</f>
        <v>36-6500-0004</v>
      </c>
      <c r="B7028" t="str">
        <f>"JM, Midget Fuse Block, 30A, 2pole"</f>
        <v>JM, Midget Fuse Block, 30A, 2pole</v>
      </c>
      <c r="C7028" t="str">
        <f t="shared" si="271"/>
        <v>Active</v>
      </c>
    </row>
    <row r="7029" spans="1:3" ht="18" customHeight="1">
      <c r="A7029" t="str">
        <f>"36-6500-0006"</f>
        <v>36-6500-0006</v>
      </c>
      <c r="B7029" t="str">
        <f>"JM, Fuse, FNM, 6A, 250V"</f>
        <v>JM, Fuse, FNM, 6A, 250V</v>
      </c>
      <c r="C7029" t="str">
        <f t="shared" si="271"/>
        <v>Active</v>
      </c>
    </row>
    <row r="7030" spans="1:3" ht="18" customHeight="1">
      <c r="A7030" t="str">
        <f>"36-6500-0007"</f>
        <v>36-6500-0007</v>
      </c>
      <c r="B7030" t="str">
        <f>"JM, Fuse, Non-Delay, 3A"</f>
        <v>JM, Fuse, Non-Delay, 3A</v>
      </c>
      <c r="C7030" t="str">
        <f t="shared" si="271"/>
        <v>Active</v>
      </c>
    </row>
    <row r="7031" spans="1:3" ht="18" customHeight="1">
      <c r="A7031" t="str">
        <f>"36-6500-0008"</f>
        <v>36-6500-0008</v>
      </c>
      <c r="B7031" t="str">
        <f>"JM, Midget Fuse, 2A"</f>
        <v>JM, Midget Fuse, 2A</v>
      </c>
      <c r="C7031" t="str">
        <f t="shared" si="271"/>
        <v>Active</v>
      </c>
    </row>
    <row r="7032" spans="1:3" ht="18" customHeight="1">
      <c r="A7032" t="str">
        <f>"36-6500-0009"</f>
        <v>36-6500-0009</v>
      </c>
      <c r="B7032" t="str">
        <f>"JM, Fuse, Non-Delay, 10A"</f>
        <v>JM, Fuse, Non-Delay, 10A</v>
      </c>
      <c r="C7032" t="str">
        <f t="shared" si="271"/>
        <v>Active</v>
      </c>
    </row>
    <row r="7033" spans="1:3" ht="18" customHeight="1">
      <c r="A7033" t="str">
        <f>"36-6500-0010"</f>
        <v>36-6500-0010</v>
      </c>
      <c r="B7033" t="str">
        <f>"JM, Fuse, Thermal Unit, A1.16"</f>
        <v>JM, Fuse, Thermal Unit, A1.16</v>
      </c>
      <c r="C7033" t="str">
        <f t="shared" si="271"/>
        <v>Active</v>
      </c>
    </row>
    <row r="7034" spans="1:3" ht="18" customHeight="1">
      <c r="A7034" t="str">
        <f>"36-6500-0011"</f>
        <v>36-6500-0011</v>
      </c>
      <c r="B7034" t="str">
        <f>"JM, Midget Fuse Block, 30A, 3 pole"</f>
        <v>JM, Midget Fuse Block, 30A, 3 pole</v>
      </c>
      <c r="C7034" t="str">
        <f t="shared" ref="C7034:C7069" si="272">"Active"</f>
        <v>Active</v>
      </c>
    </row>
    <row r="7035" spans="1:3" ht="18" customHeight="1">
      <c r="A7035" t="str">
        <f>"36-6500-0012"</f>
        <v>36-6500-0012</v>
      </c>
      <c r="B7035" t="str">
        <f>"JM, Fuse, Thermal Unit, A.49"</f>
        <v>JM, Fuse, Thermal Unit, A.49</v>
      </c>
      <c r="C7035" t="str">
        <f t="shared" si="272"/>
        <v>Active</v>
      </c>
    </row>
    <row r="7036" spans="1:3" ht="18" customHeight="1">
      <c r="A7036" t="str">
        <f>"36-6550-0001"</f>
        <v>36-6550-0001</v>
      </c>
      <c r="B7036" t="str">
        <f>"JM, Fuse Puller, 9/32-1/2 inch diameter"</f>
        <v>JM, Fuse Puller, 9/32-1/2 inch diameter</v>
      </c>
      <c r="C7036" t="str">
        <f t="shared" si="272"/>
        <v>Active</v>
      </c>
    </row>
    <row r="7037" spans="1:3" ht="18" customHeight="1">
      <c r="A7037" t="str">
        <f>"36-6600-0001"</f>
        <v>36-6600-0001</v>
      </c>
      <c r="B7037" t="str">
        <f>"JM, Breaker, Circuit, 5A Carling"</f>
        <v>JM, Breaker, Circuit, 5A Carling</v>
      </c>
      <c r="C7037" t="str">
        <f t="shared" si="272"/>
        <v>Active</v>
      </c>
    </row>
    <row r="7038" spans="1:3" ht="18" customHeight="1">
      <c r="A7038" t="str">
        <f>"36-6600-0008"</f>
        <v>36-6600-0008</v>
      </c>
      <c r="B7038" t="str">
        <f>"JM, Cicuit Breaker, 20A, 3pole"</f>
        <v>JM, Cicuit Breaker, 20A, 3pole</v>
      </c>
      <c r="C7038" t="str">
        <f t="shared" si="272"/>
        <v>Active</v>
      </c>
    </row>
    <row r="7039" spans="1:3" ht="18" customHeight="1">
      <c r="A7039" t="str">
        <f>"36-6600-0009"</f>
        <v>36-6600-0009</v>
      </c>
      <c r="B7039" t="str">
        <f>"JM, Cicuit Breaker, 20A, 2pole"</f>
        <v>JM, Cicuit Breaker, 20A, 2pole</v>
      </c>
      <c r="C7039" t="str">
        <f t="shared" si="272"/>
        <v>Active</v>
      </c>
    </row>
    <row r="7040" spans="1:3" ht="18" customHeight="1">
      <c r="A7040" t="str">
        <f>"36-6600-0014"</f>
        <v>36-6600-0014</v>
      </c>
      <c r="B7040" t="str">
        <f>"JM, Shunt Trip, 240V, right side mount"</f>
        <v>JM, Shunt Trip, 240V, right side mount</v>
      </c>
      <c r="C7040" t="str">
        <f t="shared" si="272"/>
        <v>Active</v>
      </c>
    </row>
    <row r="7041" spans="1:3" ht="18" customHeight="1">
      <c r="A7041" t="str">
        <f>"36-6600-0015"</f>
        <v>36-6600-0015</v>
      </c>
      <c r="B7041" t="str">
        <f>"JM, Circuit Breaker, 2A, 3 pole"</f>
        <v>JM, Circuit Breaker, 2A, 3 pole</v>
      </c>
      <c r="C7041" t="str">
        <f t="shared" si="272"/>
        <v>Active</v>
      </c>
    </row>
    <row r="7042" spans="1:3" ht="18" customHeight="1">
      <c r="A7042" t="str">
        <f>"36-7700-0001"</f>
        <v>36-7700-0001</v>
      </c>
      <c r="B7042" t="str">
        <f>"JM, Terminal, Fork, Blue, 18-14awg 100pk"</f>
        <v>JM, Terminal, Fork, Blue, 18-14awg 100pk</v>
      </c>
      <c r="C7042" t="str">
        <f t="shared" si="272"/>
        <v>Active</v>
      </c>
    </row>
    <row r="7043" spans="1:3" ht="18" customHeight="1">
      <c r="A7043" t="str">
        <f>"36-7700-0003"</f>
        <v>36-7700-0003</v>
      </c>
      <c r="B7043" t="str">
        <f>"JM, Connector, Push In, 3 Port"</f>
        <v>JM, Connector, Push In, 3 Port</v>
      </c>
      <c r="C7043" t="str">
        <f t="shared" si="272"/>
        <v>Active</v>
      </c>
    </row>
    <row r="7044" spans="1:3" ht="18" customHeight="1">
      <c r="A7044" t="str">
        <f>"36-7700-0004"</f>
        <v>36-7700-0004</v>
      </c>
      <c r="B7044" t="str">
        <f>"JM, Connector, Push In, 4 Port"</f>
        <v>JM, Connector, Push In, 4 Port</v>
      </c>
      <c r="C7044" t="str">
        <f t="shared" si="272"/>
        <v>Active</v>
      </c>
    </row>
    <row r="7045" spans="1:3" ht="18" customHeight="1">
      <c r="A7045" t="str">
        <f>"36-7700-0005"</f>
        <v>36-7700-0005</v>
      </c>
      <c r="B7045" t="str">
        <f>"JM, Terminal, Female Spade, Blue 14-16AWG, 100pk"</f>
        <v>JM, Terminal, Female Spade, Blue 14-16AWG, 100pk</v>
      </c>
      <c r="C7045" t="str">
        <f t="shared" si="272"/>
        <v>Active</v>
      </c>
    </row>
    <row r="7046" spans="1:3" ht="18" customHeight="1">
      <c r="A7046" t="str">
        <f>"36-7700-0006"</f>
        <v>36-7700-0006</v>
      </c>
      <c r="B7046" t="str">
        <f>"JM, Terminal, Female Spade, .187 14-16AWG, 100pk"</f>
        <v>JM, Terminal, Female Spade, .187 14-16AWG, 100pk</v>
      </c>
      <c r="C7046" t="str">
        <f t="shared" si="272"/>
        <v>Active</v>
      </c>
    </row>
    <row r="7047" spans="1:3" ht="18" customHeight="1">
      <c r="A7047" t="str">
        <f>"36-7700-0007"</f>
        <v>36-7700-0007</v>
      </c>
      <c r="B7047" t="str">
        <f>"JM, Wire Nut, Yellow, 18-14AWG 100pk"</f>
        <v>JM, Wire Nut, Yellow, 18-14AWG 100pk</v>
      </c>
      <c r="C7047" t="str">
        <f t="shared" si="272"/>
        <v>Active</v>
      </c>
    </row>
    <row r="7048" spans="1:3" ht="18" customHeight="1">
      <c r="A7048" t="str">
        <f>"36-7700-0008"</f>
        <v>36-7700-0008</v>
      </c>
      <c r="B7048" t="str">
        <f>"JM, Terminal, Ring 1/4"", Blue 18-14 AWG, 100pk"</f>
        <v>JM, Terminal, Ring 1/4", Blue 18-14 AWG, 100pk</v>
      </c>
      <c r="C7048" t="str">
        <f t="shared" si="272"/>
        <v>Active</v>
      </c>
    </row>
    <row r="7049" spans="1:3" ht="18" customHeight="1">
      <c r="A7049" t="str">
        <f>"36-7700-0009"</f>
        <v>36-7700-0009</v>
      </c>
      <c r="B7049" t="str">
        <f>"JM, Terminal, Butt, Blue 16-14AWG 100pk"</f>
        <v>JM, Terminal, Butt, Blue 16-14AWG 100pk</v>
      </c>
      <c r="C7049" t="str">
        <f t="shared" si="272"/>
        <v>Active</v>
      </c>
    </row>
    <row r="7050" spans="1:3" ht="18" customHeight="1">
      <c r="A7050" t="str">
        <f>"36-7700-0010"</f>
        <v>36-7700-0010</v>
      </c>
      <c r="B7050" t="str">
        <f>"JM, Connector, Push In, 2 Port"</f>
        <v>JM, Connector, Push In, 2 Port</v>
      </c>
      <c r="C7050" t="str">
        <f t="shared" si="272"/>
        <v>Active</v>
      </c>
    </row>
    <row r="7051" spans="1:3" ht="18" customHeight="1">
      <c r="A7051" t="str">
        <f>"36-7900-0001"</f>
        <v>36-7900-0001</v>
      </c>
      <c r="B7051" t="str">
        <f>"862-0603 Terminal Block, 3 poles, white"</f>
        <v>862-0603 Terminal Block, 3 poles, white</v>
      </c>
      <c r="C7051" t="str">
        <f t="shared" si="272"/>
        <v>Active</v>
      </c>
    </row>
    <row r="7052" spans="1:3" ht="18" customHeight="1">
      <c r="A7052" t="str">
        <f>"36-7900-0002"</f>
        <v>36-7900-0002</v>
      </c>
      <c r="B7052" t="str">
        <f>"JM, Terminal Block, 3/8"" Sectional Flat Mount"</f>
        <v>JM, Terminal Block, 3/8" Sectional Flat Mount</v>
      </c>
      <c r="C7052" t="str">
        <f t="shared" si="272"/>
        <v>Active</v>
      </c>
    </row>
    <row r="7053" spans="1:3" ht="18" customHeight="1">
      <c r="A7053" t="str">
        <f>"36-7900-0003"</f>
        <v>36-7900-0003</v>
      </c>
      <c r="B7053" t="str">
        <f>"JM, Terminal Block End Cap Flat Mount,Marathon"</f>
        <v>JM, Terminal Block End Cap Flat Mount,Marathon</v>
      </c>
      <c r="C7053" t="str">
        <f t="shared" si="272"/>
        <v>Active</v>
      </c>
    </row>
    <row r="7054" spans="1:3" ht="18" customHeight="1">
      <c r="A7054" t="str">
        <f>"36-7900-0004"</f>
        <v>36-7900-0004</v>
      </c>
      <c r="B7054" t="str">
        <f>"JM, Connector, Straight Tang Copper, 1 Conductor"</f>
        <v>JM, Connector, Straight Tang Copper, 1 Conductor</v>
      </c>
      <c r="C7054" t="str">
        <f t="shared" si="272"/>
        <v>Active</v>
      </c>
    </row>
    <row r="7055" spans="1:3" ht="18" customHeight="1">
      <c r="A7055" t="str">
        <f>"36-7900-0005"</f>
        <v>36-7900-0005</v>
      </c>
      <c r="B7055" t="str">
        <f>"862-0605 Terminal Block, 5 poles, white"</f>
        <v>862-0605 Terminal Block, 5 poles, white</v>
      </c>
      <c r="C7055" t="str">
        <f t="shared" si="272"/>
        <v>Active</v>
      </c>
    </row>
    <row r="7056" spans="1:3" ht="18" customHeight="1">
      <c r="A7056" t="str">
        <f>"36-7900-0006"</f>
        <v>36-7900-0006</v>
      </c>
      <c r="B7056" t="str">
        <f>"862-0604 Terminal Block, 4 poles, white"</f>
        <v>862-0604 Terminal Block, 4 poles, white</v>
      </c>
      <c r="C7056" t="str">
        <f t="shared" si="272"/>
        <v>Active</v>
      </c>
    </row>
    <row r="7057" spans="1:3" ht="18" customHeight="1">
      <c r="A7057" t="str">
        <f>"36-7900-0011"</f>
        <v>36-7900-0011</v>
      </c>
      <c r="B7057" t="str">
        <f>"Connector 3-conductor TB with lever 221-413"</f>
        <v>Connector 3-conductor TB with lever 221-413</v>
      </c>
      <c r="C7057" t="str">
        <f t="shared" si="272"/>
        <v>Active</v>
      </c>
    </row>
    <row r="7058" spans="1:3" ht="18" customHeight="1">
      <c r="A7058" t="str">
        <f>"36-7900-0012"</f>
        <v>36-7900-0012</v>
      </c>
      <c r="B7058" t="str">
        <f>"Connector 2-conductor TB with lever 221-412"</f>
        <v>Connector 2-conductor TB with lever 221-412</v>
      </c>
      <c r="C7058" t="str">
        <f t="shared" si="272"/>
        <v>Active</v>
      </c>
    </row>
    <row r="7059" spans="1:3" ht="18" customHeight="1">
      <c r="A7059" t="str">
        <f>"36-7900-0013"</f>
        <v>36-7900-0013</v>
      </c>
      <c r="B7059" t="str">
        <f>"Connector 5-conductor TB with lever 221-415"</f>
        <v>Connector 5-conductor TB with lever 221-415</v>
      </c>
      <c r="C7059" t="str">
        <f t="shared" si="272"/>
        <v>Active</v>
      </c>
    </row>
    <row r="7060" spans="1:3" ht="18" customHeight="1">
      <c r="A7060" t="str">
        <f>"36-7902-0001"</f>
        <v>36-7902-0001</v>
      </c>
      <c r="B7060" t="str">
        <f>"JM, DPLX-Receptacle-NEMA5-15R"</f>
        <v>JM, DPLX-Receptacle-NEMA5-15R</v>
      </c>
      <c r="C7060" t="str">
        <f t="shared" si="272"/>
        <v>Active</v>
      </c>
    </row>
    <row r="7061" spans="1:3" ht="18" customHeight="1">
      <c r="A7061" t="str">
        <f>"36-7902-0007"</f>
        <v>36-7902-0007</v>
      </c>
      <c r="B7061" t="str">
        <f>"JM, Receptacle, GFCI, 15A Commerical Grade"</f>
        <v>JM, Receptacle, GFCI, 15A Commerical Grade</v>
      </c>
      <c r="C7061" t="str">
        <f t="shared" si="272"/>
        <v>Active</v>
      </c>
    </row>
    <row r="7062" spans="1:3" ht="18" customHeight="1">
      <c r="A7062" t="str">
        <f>"36-7902-0008"</f>
        <v>36-7902-0008</v>
      </c>
      <c r="B7062" t="str">
        <f>"JM, Receptacle, Twist-lock, NEMA L15-20, 4-wire"</f>
        <v>JM, Receptacle, Twist-lock, NEMA L15-20, 4-wire</v>
      </c>
      <c r="C7062" t="str">
        <f t="shared" si="272"/>
        <v>Active</v>
      </c>
    </row>
    <row r="7063" spans="1:3" ht="18" customHeight="1">
      <c r="A7063" t="str">
        <f>"36-7902-0009"</f>
        <v>36-7902-0009</v>
      </c>
      <c r="B7063" t="str">
        <f>"JM, Plug, Twist-lock, NEMA L15-20 4-wire, 250V"</f>
        <v>JM, Plug, Twist-lock, NEMA L15-20 4-wire, 250V</v>
      </c>
      <c r="C7063" t="str">
        <f t="shared" si="272"/>
        <v>Active</v>
      </c>
    </row>
    <row r="7064" spans="1:3" ht="18" customHeight="1">
      <c r="A7064" t="str">
        <f>"36-8100-0003"</f>
        <v>36-8100-0003</v>
      </c>
      <c r="B7064" t="str">
        <f>"JM, Heatsink, TO-3, 76.3mm2"</f>
        <v>JM, Heatsink, TO-3, 76.3mm2</v>
      </c>
      <c r="C7064" t="str">
        <f t="shared" si="272"/>
        <v>Active</v>
      </c>
    </row>
    <row r="7065" spans="1:3" ht="18" customHeight="1">
      <c r="A7065" t="str">
        <f>"36-8100-0004"</f>
        <v>36-8100-0004</v>
      </c>
      <c r="B7065" t="str">
        <f>"Hexagonal Knob, shaft 6 mm"</f>
        <v>Hexagonal Knob, shaft 6 mm</v>
      </c>
      <c r="C7065" t="str">
        <f t="shared" si="272"/>
        <v>Active</v>
      </c>
    </row>
    <row r="7066" spans="1:3" ht="18" customHeight="1">
      <c r="A7066" t="str">
        <f>"36-8100-0007"</f>
        <v>36-8100-0007</v>
      </c>
      <c r="B7066" t="str">
        <f>"JM, Fan Guard, Wire, 6 5/64"" dia"</f>
        <v>JM, Fan Guard, Wire, 6 5/64" dia</v>
      </c>
      <c r="C7066" t="str">
        <f t="shared" si="272"/>
        <v>Active</v>
      </c>
    </row>
    <row r="7067" spans="1:3" ht="18" customHeight="1">
      <c r="A7067" t="str">
        <f>"36-8200-0001"</f>
        <v>36-8200-0001</v>
      </c>
      <c r="B7067" t="str">
        <f>"JM, Adjustable Voltage Power Supply"</f>
        <v>JM, Adjustable Voltage Power Supply</v>
      </c>
      <c r="C7067" t="str">
        <f t="shared" si="272"/>
        <v>Active</v>
      </c>
    </row>
    <row r="7068" spans="1:3" ht="18" customHeight="1">
      <c r="A7068" t="str">
        <f>"36-8200-0002"</f>
        <v>36-8200-0002</v>
      </c>
      <c r="B7068" t="str">
        <f>"JM, Kit, Speed Control, Triac Vellman"</f>
        <v>JM, Kit, Speed Control, Triac Vellman</v>
      </c>
      <c r="C7068" t="str">
        <f t="shared" si="272"/>
        <v>Active</v>
      </c>
    </row>
    <row r="7069" spans="1:3" ht="18" customHeight="1">
      <c r="A7069" t="str">
        <f>"36-8200-0003"</f>
        <v>36-8200-0003</v>
      </c>
      <c r="B7069" t="str">
        <f>"JM, Kit, Speed Control, PWM"</f>
        <v>JM, Kit, Speed Control, PWM</v>
      </c>
      <c r="C7069" t="str">
        <f t="shared" si="272"/>
        <v>Active</v>
      </c>
    </row>
    <row r="7070" spans="1:3" ht="18" customHeight="1">
      <c r="A7070" t="str">
        <f>"36-8200-0005"</f>
        <v>36-8200-0005</v>
      </c>
      <c r="B7070" t="str">
        <f>"JM, Kit, Stepper Motor KitsRus K-109"</f>
        <v>JM, Kit, Stepper Motor KitsRus K-109</v>
      </c>
      <c r="C7070" t="str">
        <f>"Phase Out"</f>
        <v>Phase Out</v>
      </c>
    </row>
    <row r="7071" spans="1:3" ht="18" customHeight="1">
      <c r="A7071" t="str">
        <f>"36-8200-0006"</f>
        <v>36-8200-0006</v>
      </c>
      <c r="B7071" t="str">
        <f>"JM, Kit, Servo, KitsRus K-102"</f>
        <v>JM, Kit, Servo, KitsRus K-102</v>
      </c>
      <c r="C7071" t="str">
        <f t="shared" ref="C7071:C7102" si="273">"Active"</f>
        <v>Active</v>
      </c>
    </row>
    <row r="7072" spans="1:3" ht="18" customHeight="1">
      <c r="A7072" t="str">
        <f>"36-8200-0007"</f>
        <v>36-8200-0007</v>
      </c>
      <c r="B7072" t="str">
        <f>"JM, IC PC Board, General Purpose"</f>
        <v>JM, IC PC Board, General Purpose</v>
      </c>
      <c r="C7072" t="str">
        <f t="shared" si="273"/>
        <v>Active</v>
      </c>
    </row>
    <row r="7073" spans="1:3" ht="18" customHeight="1">
      <c r="A7073" t="str">
        <f>"36-8400-0001"</f>
        <v>36-8400-0001</v>
      </c>
      <c r="B7073" t="str">
        <f>"JM, Handle Guard Kit Square D 2510FL1"</f>
        <v>JM, Handle Guard Kit Square D 2510FL1</v>
      </c>
      <c r="C7073" t="str">
        <f t="shared" si="273"/>
        <v>Active</v>
      </c>
    </row>
    <row r="7074" spans="1:3" ht="18" customHeight="1">
      <c r="A7074" t="str">
        <f>"36-8400-0002"</f>
        <v>36-8400-0002</v>
      </c>
      <c r="B7074" t="str">
        <f>"JM, Switch Plate ON-OFF Carling Y01"</f>
        <v>JM, Switch Plate ON-OFF Carling Y01</v>
      </c>
      <c r="C7074" t="str">
        <f t="shared" si="273"/>
        <v>Active</v>
      </c>
    </row>
    <row r="7075" spans="1:3" ht="18" customHeight="1">
      <c r="A7075" t="str">
        <f>"36-8400-0003"</f>
        <v>36-8400-0003</v>
      </c>
      <c r="B7075" t="str">
        <f>"JM, Enclosure, ALTECH, 3.19in"</f>
        <v>JM, Enclosure, ALTECH, 3.19in</v>
      </c>
      <c r="C7075" t="str">
        <f t="shared" si="273"/>
        <v>Active</v>
      </c>
    </row>
    <row r="7076" spans="1:3" ht="18" customHeight="1">
      <c r="A7076" t="str">
        <f>"36-8400-0004"</f>
        <v>36-8400-0004</v>
      </c>
      <c r="B7076" t="str">
        <f>"JM, Enclosure, ALTECH, 5.12in"</f>
        <v>JM, Enclosure, ALTECH, 5.12in</v>
      </c>
      <c r="C7076" t="str">
        <f t="shared" si="273"/>
        <v>Active</v>
      </c>
    </row>
    <row r="7077" spans="1:3" ht="18" customHeight="1">
      <c r="A7077" t="str">
        <f>"36-8400-0005"</f>
        <v>36-8400-0005</v>
      </c>
      <c r="B7077" t="str">
        <f>"JM, Component Mount Box, 22mm Hole"</f>
        <v>JM, Component Mount Box, 22mm Hole</v>
      </c>
      <c r="C7077" t="str">
        <f t="shared" si="273"/>
        <v>Active</v>
      </c>
    </row>
    <row r="7078" spans="1:3" ht="18" customHeight="1">
      <c r="A7078" t="str">
        <f>"36-8400-0007"</f>
        <v>36-8400-0007</v>
      </c>
      <c r="B7078" t="str">
        <f>"JM, Battery Box, 4 D-Cell"</f>
        <v>JM, Battery Box, 4 D-Cell</v>
      </c>
      <c r="C7078" t="str">
        <f t="shared" si="273"/>
        <v>Active</v>
      </c>
    </row>
    <row r="7079" spans="1:3" ht="18" customHeight="1">
      <c r="A7079" t="str">
        <f>"36-8400-0008"</f>
        <v>36-8400-0008</v>
      </c>
      <c r="B7079" t="str">
        <f>"JM, Component Mount Box, 22mm, 2 Holes"</f>
        <v>JM, Component Mount Box, 22mm, 2 Holes</v>
      </c>
      <c r="C7079" t="str">
        <f t="shared" si="273"/>
        <v>Active</v>
      </c>
    </row>
    <row r="7080" spans="1:3" ht="18" customHeight="1">
      <c r="A7080" t="str">
        <f>"36-8400-0009"</f>
        <v>36-8400-0009</v>
      </c>
      <c r="B7080" t="str">
        <f>"JM, Component Mount Box, 22mm, 3 Holes"</f>
        <v>JM, Component Mount Box, 22mm, 3 Holes</v>
      </c>
      <c r="C7080" t="str">
        <f t="shared" si="273"/>
        <v>Active</v>
      </c>
    </row>
    <row r="7081" spans="1:3" ht="18" customHeight="1">
      <c r="A7081" t="str">
        <f>"36-8400-0018"</f>
        <v>36-8400-0018</v>
      </c>
      <c r="B7081" t="str">
        <f>"JM, Enclosure, Custom Fault Switch, 2 Hole"</f>
        <v>JM, Enclosure, Custom Fault Switch, 2 Hole</v>
      </c>
      <c r="C7081" t="str">
        <f t="shared" si="273"/>
        <v>Active</v>
      </c>
    </row>
    <row r="7082" spans="1:3" ht="18" customHeight="1">
      <c r="A7082" t="str">
        <f>"36-8400-0020"</f>
        <v>36-8400-0020</v>
      </c>
      <c r="B7082" t="str">
        <f>"JM, Cover, Clear, Thermostat Inside Depth 3-1/2"""</f>
        <v>JM, Cover, Clear, Thermostat Inside Depth 3-1/2"</v>
      </c>
      <c r="C7082" t="str">
        <f t="shared" si="273"/>
        <v>Active</v>
      </c>
    </row>
    <row r="7083" spans="1:3" ht="18" customHeight="1">
      <c r="A7083" t="str">
        <f>"36-8400-0021"</f>
        <v>36-8400-0021</v>
      </c>
      <c r="B7083" t="str">
        <f>"JM, Enclosure, 12x10x4, w/Door"</f>
        <v>JM, Enclosure, 12x10x4, w/Door</v>
      </c>
      <c r="C7083" t="str">
        <f t="shared" si="273"/>
        <v>Active</v>
      </c>
    </row>
    <row r="7084" spans="1:3" ht="18" customHeight="1">
      <c r="A7084" t="str">
        <f>"36-8400-0022"</f>
        <v>36-8400-0022</v>
      </c>
      <c r="B7084" t="str">
        <f>"JM, Sub-Plate, Enclosure, 12x10"</f>
        <v>JM, Sub-Plate, Enclosure, 12x10</v>
      </c>
      <c r="C7084" t="str">
        <f t="shared" si="273"/>
        <v>Active</v>
      </c>
    </row>
    <row r="7085" spans="1:3" ht="18" customHeight="1">
      <c r="A7085" t="str">
        <f>"36-8400-0023"</f>
        <v>36-8400-0023</v>
      </c>
      <c r="B7085" t="str">
        <f>"JM, Enclosure, 8x6x4, Screw Cover w/KNs"</f>
        <v>JM, Enclosure, 8x6x4, Screw Cover w/KNs</v>
      </c>
      <c r="C7085" t="str">
        <f t="shared" si="273"/>
        <v>Active</v>
      </c>
    </row>
    <row r="7086" spans="1:3" ht="18" customHeight="1">
      <c r="A7086" t="str">
        <f>"36-8400-0024"</f>
        <v>36-8400-0024</v>
      </c>
      <c r="B7086" t="str">
        <f>"Enclosure 65x65mm Polystyrene115-401 PS77-6 gray"</f>
        <v>Enclosure 65x65mm Polystyrene115-401 PS77-6 gray</v>
      </c>
      <c r="C7086" t="str">
        <f t="shared" si="273"/>
        <v>Active</v>
      </c>
    </row>
    <row r="7087" spans="1:3" ht="18" customHeight="1">
      <c r="A7087" t="str">
        <f>"36-8400-0025P"</f>
        <v>36-8400-0025P</v>
      </c>
      <c r="B7087" t="str">
        <f>"JM, Load Center, 100A w/Main Breaker"</f>
        <v>JM, Load Center, 100A w/Main Breaker</v>
      </c>
      <c r="C7087" t="str">
        <f t="shared" si="273"/>
        <v>Active</v>
      </c>
    </row>
    <row r="7088" spans="1:3" ht="18" customHeight="1">
      <c r="A7088" t="str">
        <f>"36-8400-0026"</f>
        <v>36-8400-0026</v>
      </c>
      <c r="B7088" t="str">
        <f>"JM, Enclosure, Switch, Safety, 30A"</f>
        <v>JM, Enclosure, Switch, Safety, 30A</v>
      </c>
      <c r="C7088" t="str">
        <f t="shared" si="273"/>
        <v>Active</v>
      </c>
    </row>
    <row r="7089" spans="1:3" ht="18" customHeight="1">
      <c r="A7089" t="str">
        <f>"36-8400-0027"</f>
        <v>36-8400-0027</v>
      </c>
      <c r="B7089" t="str">
        <f>"JM, Handy Box, Metal, 4x2, w/1/2"" KNs"</f>
        <v>JM, Handy Box, Metal, 4x2, w/1/2" KNs</v>
      </c>
      <c r="C7089" t="str">
        <f t="shared" si="273"/>
        <v>Active</v>
      </c>
    </row>
    <row r="7090" spans="1:3" ht="18" customHeight="1">
      <c r="A7090" t="str">
        <f>"36-8400-0028"</f>
        <v>36-8400-0028</v>
      </c>
      <c r="B7090" t="str">
        <f>"JM, Body, Conduit, 3/4"", Type C"</f>
        <v>JM, Body, Conduit, 3/4", Type C</v>
      </c>
      <c r="C7090" t="str">
        <f t="shared" si="273"/>
        <v>Active</v>
      </c>
    </row>
    <row r="7091" spans="1:3" ht="18" customHeight="1">
      <c r="A7091" t="str">
        <f>"36-8400-0029"</f>
        <v>36-8400-0029</v>
      </c>
      <c r="B7091" t="str">
        <f>"JM, Body, Conduit, 3/4"", Type T"</f>
        <v>JM, Body, Conduit, 3/4", Type T</v>
      </c>
      <c r="C7091" t="str">
        <f t="shared" si="273"/>
        <v>Active</v>
      </c>
    </row>
    <row r="7092" spans="1:3" ht="18" customHeight="1">
      <c r="A7092" t="str">
        <f>"36-8400-0030"</f>
        <v>36-8400-0030</v>
      </c>
      <c r="B7092" t="str">
        <f>"JM, Body, Conduit, 3/4"", Type LB"</f>
        <v>JM, Body, Conduit, 3/4", Type LB</v>
      </c>
      <c r="C7092" t="str">
        <f t="shared" si="273"/>
        <v>Active</v>
      </c>
    </row>
    <row r="7093" spans="1:3" ht="18" customHeight="1">
      <c r="A7093" t="str">
        <f>"36-8400-0031"</f>
        <v>36-8400-0031</v>
      </c>
      <c r="B7093" t="str">
        <f>"JM, Body, Conduit, 3/4"", Type LL"</f>
        <v>JM, Body, Conduit, 3/4", Type LL</v>
      </c>
      <c r="C7093" t="str">
        <f t="shared" si="273"/>
        <v>Active</v>
      </c>
    </row>
    <row r="7094" spans="1:3" ht="18" customHeight="1">
      <c r="A7094" t="str">
        <f>"36-8400-0032"</f>
        <v>36-8400-0032</v>
      </c>
      <c r="B7094" t="str">
        <f>"JM, Body, Conduit, 3/4"", Type LR"</f>
        <v>JM, Body, Conduit, 3/4", Type LR</v>
      </c>
      <c r="C7094" t="str">
        <f t="shared" si="273"/>
        <v>Active</v>
      </c>
    </row>
    <row r="7095" spans="1:3" ht="18" customHeight="1">
      <c r="A7095" t="str">
        <f>"36-8400-0033"</f>
        <v>36-8400-0033</v>
      </c>
      <c r="B7095" t="str">
        <f>"JM, Cover, Conduit Body, 3/4"""</f>
        <v>JM, Cover, Conduit Body, 3/4"</v>
      </c>
      <c r="C7095" t="str">
        <f t="shared" si="273"/>
        <v>Active</v>
      </c>
    </row>
    <row r="7096" spans="1:3" ht="18" customHeight="1">
      <c r="A7096" t="str">
        <f>"36-8400-0034"</f>
        <v>36-8400-0034</v>
      </c>
      <c r="B7096" t="str">
        <f>"JM, Gasket, Conduit Body, 3/4"""</f>
        <v>JM, Gasket, Conduit Body, 3/4"</v>
      </c>
      <c r="C7096" t="str">
        <f t="shared" si="273"/>
        <v>Active</v>
      </c>
    </row>
    <row r="7097" spans="1:3" ht="18" customHeight="1">
      <c r="A7097" t="str">
        <f>"36-8400-0035"</f>
        <v>36-8400-0035</v>
      </c>
      <c r="B7097" t="str">
        <f>"JM, 110v Outlet encl., Metal,4x2-1/8"" w/3/4"" KNs"</f>
        <v>JM, 110v Outlet encl., Metal,4x2-1/8" w/3/4" KNs</v>
      </c>
      <c r="C7097" t="str">
        <f t="shared" si="273"/>
        <v>Active</v>
      </c>
    </row>
    <row r="7098" spans="1:3" ht="18" customHeight="1">
      <c r="A7098" t="str">
        <f>"36-8400-0039"</f>
        <v>36-8400-0039</v>
      </c>
      <c r="B7098" t="str">
        <f>"JM, Box, Octagon, 4""x4"", Metal"</f>
        <v>JM, Box, Octagon, 4"x4", Metal</v>
      </c>
      <c r="C7098" t="str">
        <f t="shared" si="273"/>
        <v>Active</v>
      </c>
    </row>
    <row r="7099" spans="1:3" ht="18" customHeight="1">
      <c r="A7099" t="str">
        <f>"36-8400-0040"</f>
        <v>36-8400-0040</v>
      </c>
      <c r="B7099" t="str">
        <f>"JM, Box, Square, 4-11/16"", Metal"</f>
        <v>JM, Box, Square, 4-11/16", Metal</v>
      </c>
      <c r="C7099" t="str">
        <f t="shared" si="273"/>
        <v>Active</v>
      </c>
    </row>
    <row r="7100" spans="1:3" ht="18" customHeight="1">
      <c r="A7100" t="str">
        <f>"36-8400-0041"</f>
        <v>36-8400-0041</v>
      </c>
      <c r="B7100" t="str">
        <f>"JM, Cover, Octagon, 4"", Blank"</f>
        <v>JM, Cover, Octagon, 4", Blank</v>
      </c>
      <c r="C7100" t="str">
        <f t="shared" si="273"/>
        <v>Active</v>
      </c>
    </row>
    <row r="7101" spans="1:3" ht="18" customHeight="1">
      <c r="A7101" t="str">
        <f>"36-8400-0042"</f>
        <v>36-8400-0042</v>
      </c>
      <c r="B7101" t="str">
        <f>"JM, Cover, Square, 4-11/16"", Blank"</f>
        <v>JM, Cover, Square, 4-11/16", Blank</v>
      </c>
      <c r="C7101" t="str">
        <f t="shared" si="273"/>
        <v>Active</v>
      </c>
    </row>
    <row r="7102" spans="1:3" ht="18" customHeight="1">
      <c r="A7102" t="str">
        <f>"36-8400-0043"</f>
        <v>36-8400-0043</v>
      </c>
      <c r="B7102" t="str">
        <f>"JM, Enclosure, NEMA, 8x8x6 Screw Cover, No-KO"</f>
        <v>JM, Enclosure, NEMA, 8x8x6 Screw Cover, No-KO</v>
      </c>
      <c r="C7102" t="str">
        <f t="shared" si="273"/>
        <v>Active</v>
      </c>
    </row>
    <row r="7103" spans="1:3" ht="18" customHeight="1">
      <c r="A7103" t="str">
        <f>"36-8400-0044"</f>
        <v>36-8400-0044</v>
      </c>
      <c r="B7103" t="str">
        <f>"JM, Cover, Load Center, Surface"</f>
        <v>JM, Cover, Load Center, Surface</v>
      </c>
      <c r="C7103" t="str">
        <f t="shared" ref="C7103:C7134" si="274">"Active"</f>
        <v>Active</v>
      </c>
    </row>
    <row r="7104" spans="1:3" ht="18" customHeight="1">
      <c r="A7104" t="str">
        <f>"36-8400-0045"</f>
        <v>36-8400-0045</v>
      </c>
      <c r="B7104" t="str">
        <f>"JM, Enclosure, NEMA, 16x12x6, Door"</f>
        <v>JM, Enclosure, NEMA, 16x12x6, Door</v>
      </c>
      <c r="C7104" t="str">
        <f t="shared" si="274"/>
        <v>Active</v>
      </c>
    </row>
    <row r="7105" spans="1:3" ht="18" customHeight="1">
      <c r="A7105" t="str">
        <f>"36-8400-0046"</f>
        <v>36-8400-0046</v>
      </c>
      <c r="B7105" t="str">
        <f>"JM, Sub Panel for 16x12 Enclosure"</f>
        <v>JM, Sub Panel for 16x12 Enclosure</v>
      </c>
      <c r="C7105" t="str">
        <f t="shared" si="274"/>
        <v>Active</v>
      </c>
    </row>
    <row r="7106" spans="1:3" ht="18" customHeight="1">
      <c r="A7106" t="str">
        <f>"36-8400-0047"</f>
        <v>36-8400-0047</v>
      </c>
      <c r="B7106" t="str">
        <f>"JM, Enclosure, NEMA, 12x10x6, Door"</f>
        <v>JM, Enclosure, NEMA, 12x10x6, Door</v>
      </c>
      <c r="C7106" t="str">
        <f t="shared" si="274"/>
        <v>Active</v>
      </c>
    </row>
    <row r="7107" spans="1:3" ht="18" customHeight="1">
      <c r="A7107" t="str">
        <f>"36-8400-0049"</f>
        <v>36-8400-0049</v>
      </c>
      <c r="B7107" t="str">
        <f>"JM, Enclosure, NEMA, 12x12x6, Door"</f>
        <v>JM, Enclosure, NEMA, 12x12x6, Door</v>
      </c>
      <c r="C7107" t="str">
        <f t="shared" si="274"/>
        <v>Active</v>
      </c>
    </row>
    <row r="7108" spans="1:3" ht="18" customHeight="1">
      <c r="A7108" t="str">
        <f>"36-8400-0050"</f>
        <v>36-8400-0050</v>
      </c>
      <c r="B7108" t="str">
        <f>"JM, Sub Panel for 12x12 Enclosure"</f>
        <v>JM, Sub Panel for 12x12 Enclosure</v>
      </c>
      <c r="C7108" t="str">
        <f t="shared" si="274"/>
        <v>Active</v>
      </c>
    </row>
    <row r="7109" spans="1:3" ht="18" customHeight="1">
      <c r="A7109" t="str">
        <f>"36-8400-0054"</f>
        <v>36-8400-0054</v>
      </c>
      <c r="B7109" t="str">
        <f>"JM, Enclosure, Custom Fault Switch Single Hole"</f>
        <v>JM, Enclosure, Custom Fault Switch Single Hole</v>
      </c>
      <c r="C7109" t="str">
        <f t="shared" si="274"/>
        <v>Active</v>
      </c>
    </row>
    <row r="7110" spans="1:3" ht="18" customHeight="1">
      <c r="A7110" t="str">
        <f>"36-8400-0055"</f>
        <v>36-8400-0055</v>
      </c>
      <c r="B7110" t="str">
        <f>"JM, Cover, Plastic, Single Gang Light"</f>
        <v>JM, Cover, Plastic, Single Gang Light</v>
      </c>
      <c r="C7110" t="str">
        <f t="shared" si="274"/>
        <v>Active</v>
      </c>
    </row>
    <row r="7111" spans="1:3" ht="18" customHeight="1">
      <c r="A7111" t="str">
        <f>"36-8400-0056"</f>
        <v>36-8400-0056</v>
      </c>
      <c r="B7111" t="str">
        <f>"JM, Cover, Plastic, Single Gang GFCI Outlet"</f>
        <v>JM, Cover, Plastic, Single Gang GFCI Outlet</v>
      </c>
      <c r="C7111" t="str">
        <f t="shared" si="274"/>
        <v>Active</v>
      </c>
    </row>
    <row r="7112" spans="1:3" ht="18" customHeight="1">
      <c r="A7112" t="str">
        <f>"36-8400-0058"</f>
        <v>36-8400-0058</v>
      </c>
      <c r="B7112" t="str">
        <f>"JM, Cover, Handy Box, Twist-lock"</f>
        <v>JM, Cover, Handy Box, Twist-lock</v>
      </c>
      <c r="C7112" t="str">
        <f t="shared" si="274"/>
        <v>Active</v>
      </c>
    </row>
    <row r="7113" spans="1:3" ht="18" customHeight="1">
      <c r="A7113" t="str">
        <f>"36-8400-0060"</f>
        <v>36-8400-0060</v>
      </c>
      <c r="B7113" t="str">
        <f>"JM, Cover, Handy Box, Duplex Outlet"</f>
        <v>JM, Cover, Handy Box, Duplex Outlet</v>
      </c>
      <c r="C7113" t="str">
        <f t="shared" si="274"/>
        <v>Active</v>
      </c>
    </row>
    <row r="7114" spans="1:3" ht="18" customHeight="1">
      <c r="A7114" t="str">
        <f>"36-8401-0001"</f>
        <v>36-8401-0001</v>
      </c>
      <c r="B7114" t="str">
        <f>"JM, Legend Plate ""Start"" E22NS33"</f>
        <v>JM, Legend Plate "Start" E22NS33</v>
      </c>
      <c r="C7114" t="str">
        <f t="shared" si="274"/>
        <v>Active</v>
      </c>
    </row>
    <row r="7115" spans="1:3" ht="18" customHeight="1">
      <c r="A7115" t="str">
        <f>"36-8401-0002"</f>
        <v>36-8401-0002</v>
      </c>
      <c r="B7115" t="str">
        <f>"JM, Legend Plate ""Stop"" E22NS34"</f>
        <v>JM, Legend Plate "Stop" E22NS34</v>
      </c>
      <c r="C7115" t="str">
        <f t="shared" si="274"/>
        <v>Active</v>
      </c>
    </row>
    <row r="7116" spans="1:3" ht="18" customHeight="1">
      <c r="A7116" t="str">
        <f>"36-8401-0003"</f>
        <v>36-8401-0003</v>
      </c>
      <c r="B7116" t="str">
        <f>"JM, Legend Plate ""Reverse"" E22NS30"</f>
        <v>JM, Legend Plate "Reverse" E22NS30</v>
      </c>
      <c r="C7116" t="str">
        <f t="shared" si="274"/>
        <v>Active</v>
      </c>
    </row>
    <row r="7117" spans="1:3" ht="18" customHeight="1">
      <c r="A7117" t="str">
        <f>"36-8401-0004"</f>
        <v>36-8401-0004</v>
      </c>
      <c r="B7117" t="str">
        <f>"JM, Legend Plate, Hand-Off-Auto"</f>
        <v>JM, Legend Plate, Hand-Off-Auto</v>
      </c>
      <c r="C7117" t="str">
        <f t="shared" si="274"/>
        <v>Active</v>
      </c>
    </row>
    <row r="7118" spans="1:3" ht="18" customHeight="1">
      <c r="A7118" t="str">
        <f>"36-8401-0006"</f>
        <v>36-8401-0006</v>
      </c>
      <c r="B7118" t="str">
        <f>"JM, Legend Plate, For-Off-Rev"</f>
        <v>JM, Legend Plate, For-Off-Rev</v>
      </c>
      <c r="C7118" t="str">
        <f t="shared" si="274"/>
        <v>Active</v>
      </c>
    </row>
    <row r="7119" spans="1:3" ht="18" customHeight="1">
      <c r="A7119" t="str">
        <f>"36-8401-0008"</f>
        <v>36-8401-0008</v>
      </c>
      <c r="B7119" t="str">
        <f>"JM, Legend Plate, 0%-100%"</f>
        <v>JM, Legend Plate, 0%-100%</v>
      </c>
      <c r="C7119" t="str">
        <f t="shared" si="274"/>
        <v>Active</v>
      </c>
    </row>
    <row r="7120" spans="1:3" ht="18" customHeight="1">
      <c r="A7120" t="str">
        <f>"36-8401-0009"</f>
        <v>36-8401-0009</v>
      </c>
      <c r="B7120" t="str">
        <f>"JM, Legend Plate Blank"</f>
        <v>JM, Legend Plate Blank</v>
      </c>
      <c r="C7120" t="str">
        <f t="shared" si="274"/>
        <v>Active</v>
      </c>
    </row>
    <row r="7121" spans="1:3" ht="18" customHeight="1">
      <c r="A7121" t="str">
        <f>"36-8401-0010"</f>
        <v>36-8401-0010</v>
      </c>
      <c r="B7121" t="str">
        <f>"JM,Scale,Rotary Dial,2""dia,0-360deg,0.062""thickn"</f>
        <v>JM,Scale,Rotary Dial,2"dia,0-360deg,0.062"thickn</v>
      </c>
      <c r="C7121" t="str">
        <f t="shared" si="274"/>
        <v>Active</v>
      </c>
    </row>
    <row r="7122" spans="1:3" ht="18" customHeight="1">
      <c r="A7122" t="str">
        <f>"36-8401-0011"</f>
        <v>36-8401-0011</v>
      </c>
      <c r="B7122" t="str">
        <f>"JM, Mounting Hub, 0.120"" ID, For Rotary Scale"</f>
        <v>JM, Mounting Hub, 0.120" ID, For Rotary Scale</v>
      </c>
      <c r="C7122" t="str">
        <f t="shared" si="274"/>
        <v>Active</v>
      </c>
    </row>
    <row r="7123" spans="1:3" ht="18" customHeight="1">
      <c r="A7123" t="str">
        <f>"36-8401-0012"</f>
        <v>36-8401-0012</v>
      </c>
      <c r="B7123" t="str">
        <f>"Legend Plate ""for-rev"""</f>
        <v>Legend Plate "for-rev"</v>
      </c>
      <c r="C7123" t="str">
        <f t="shared" si="274"/>
        <v>Active</v>
      </c>
    </row>
    <row r="7124" spans="1:3" ht="18" customHeight="1">
      <c r="A7124" t="str">
        <f>"36-8402-0006"</f>
        <v>36-8402-0006</v>
      </c>
      <c r="B7124" t="str">
        <f>"JM, Nipple, Conduit, 1"" Close-in"</f>
        <v>JM, Nipple, Conduit, 1" Close-in</v>
      </c>
      <c r="C7124" t="str">
        <f t="shared" si="274"/>
        <v>Active</v>
      </c>
    </row>
    <row r="7125" spans="1:3" ht="18" customHeight="1">
      <c r="A7125" t="str">
        <f>"36-8402-0007"</f>
        <v>36-8402-0007</v>
      </c>
      <c r="B7125" t="str">
        <f>"JM, Locknut, 1"" Conduit"</f>
        <v>JM, Locknut, 1" Conduit</v>
      </c>
      <c r="C7125" t="str">
        <f t="shared" si="274"/>
        <v>Active</v>
      </c>
    </row>
    <row r="7126" spans="1:3" ht="18" customHeight="1">
      <c r="A7126" t="str">
        <f>"36-8408-0001"</f>
        <v>36-8408-0001</v>
      </c>
      <c r="B7126" t="str">
        <f>"JM, Enclosure Assy, Contrl Station Start/Stop"</f>
        <v>JM, Enclosure Assy, Contrl Station Start/Stop</v>
      </c>
      <c r="C7126" t="str">
        <f t="shared" si="274"/>
        <v>Active</v>
      </c>
    </row>
    <row r="7127" spans="1:3" ht="18" customHeight="1">
      <c r="A7127" t="str">
        <f>"36-8408-0002"</f>
        <v>36-8408-0002</v>
      </c>
      <c r="B7127" t="str">
        <f>"JM, Enclosure Assy, Contrl Station E-Stop"</f>
        <v>JM, Enclosure Assy, Contrl Station E-Stop</v>
      </c>
      <c r="C7127" t="str">
        <f t="shared" si="274"/>
        <v>Active</v>
      </c>
    </row>
    <row r="7128" spans="1:3" ht="18" customHeight="1">
      <c r="A7128" t="str">
        <f>"36-8500-0001"</f>
        <v>36-8500-0001</v>
      </c>
      <c r="B7128" t="str">
        <f>"JM, Cable Clamp, 3-hole, 1-1/2 to 1-7/8, Nylon"</f>
        <v>JM, Cable Clamp, 3-hole, 1-1/2 to 1-7/8, Nylon</v>
      </c>
      <c r="C7128" t="str">
        <f t="shared" si="274"/>
        <v>Active</v>
      </c>
    </row>
    <row r="7129" spans="1:3" ht="18" customHeight="1">
      <c r="A7129" t="str">
        <f>"36-8500-0002"</f>
        <v>36-8500-0002</v>
      </c>
      <c r="B7129" t="str">
        <f>"JM, 3/8"" Clamp for 1/2"" KO"</f>
        <v>JM, 3/8" Clamp for 1/2" KO</v>
      </c>
      <c r="C7129" t="str">
        <f t="shared" si="274"/>
        <v>Active</v>
      </c>
    </row>
    <row r="7130" spans="1:3" ht="18" customHeight="1">
      <c r="A7130" t="str">
        <f>"36-8500-0003"</f>
        <v>36-8500-0003</v>
      </c>
      <c r="B7130" t="str">
        <f>"JM, Connector, Setscrew, 3/4""EMT"</f>
        <v>JM, Connector, Setscrew, 3/4"EMT</v>
      </c>
      <c r="C7130" t="str">
        <f t="shared" si="274"/>
        <v>Active</v>
      </c>
    </row>
    <row r="7131" spans="1:3" ht="18" customHeight="1">
      <c r="A7131" t="str">
        <f>"36-8500-0004"</f>
        <v>36-8500-0004</v>
      </c>
      <c r="B7131" t="str">
        <f>"JM, Coupling, Setscrew, 3/4""EMT"</f>
        <v>JM, Coupling, Setscrew, 3/4"EMT</v>
      </c>
      <c r="C7131" t="str">
        <f t="shared" si="274"/>
        <v>Active</v>
      </c>
    </row>
    <row r="7132" spans="1:3" ht="18" customHeight="1">
      <c r="A7132" t="str">
        <f>"36-8500-0006"</f>
        <v>36-8500-0006</v>
      </c>
      <c r="B7132" t="str">
        <f>"JM, Connector,Compression, 3/4""EMT"</f>
        <v>JM, Connector,Compression, 3/4"EMT</v>
      </c>
      <c r="C7132" t="str">
        <f t="shared" si="274"/>
        <v>Active</v>
      </c>
    </row>
    <row r="7133" spans="1:3" ht="18" customHeight="1">
      <c r="A7133" t="str">
        <f>"36-8500-0007"</f>
        <v>36-8500-0007</v>
      </c>
      <c r="B7133" t="str">
        <f>"JM, Hanger, Conduit, 3/4"" EMT"</f>
        <v>JM, Hanger, Conduit, 3/4" EMT</v>
      </c>
      <c r="C7133" t="str">
        <f t="shared" si="274"/>
        <v>Active</v>
      </c>
    </row>
    <row r="7134" spans="1:3" ht="18" customHeight="1">
      <c r="A7134" t="str">
        <f>"36-8500-0009"</f>
        <v>36-8500-0009</v>
      </c>
      <c r="B7134" t="str">
        <f>"JM, Connector, Squeeze, 3/4"""</f>
        <v>JM, Connector, Squeeze, 3/4"</v>
      </c>
      <c r="C7134" t="str">
        <f t="shared" si="274"/>
        <v>Active</v>
      </c>
    </row>
    <row r="7135" spans="1:3" ht="18" customHeight="1">
      <c r="A7135" t="str">
        <f>"36-8500-0010"</f>
        <v>36-8500-0010</v>
      </c>
      <c r="B7135" t="str">
        <f>"JM, Bushing, Conduit, 3/4"""</f>
        <v>JM, Bushing, Conduit, 3/4"</v>
      </c>
      <c r="C7135" t="str">
        <f t="shared" ref="C7135:C7162" si="275">"Active"</f>
        <v>Active</v>
      </c>
    </row>
    <row r="7136" spans="1:3" ht="18" customHeight="1">
      <c r="A7136" t="str">
        <f>"36-8500-0011"</f>
        <v>36-8500-0011</v>
      </c>
      <c r="B7136" t="str">
        <f>"JM, Strain Relief, Cord Grip, 3/4"" NPT"</f>
        <v>JM, Strain Relief, Cord Grip, 3/4" NPT</v>
      </c>
      <c r="C7136" t="str">
        <f t="shared" si="275"/>
        <v>Active</v>
      </c>
    </row>
    <row r="7137" spans="1:3" ht="18" customHeight="1">
      <c r="A7137" t="str">
        <f>"36-8500-0012"</f>
        <v>36-8500-0012</v>
      </c>
      <c r="B7137" t="str">
        <f>"JM, Support, Cord Grip, 3"" Eye 0.73"" Cable"</f>
        <v>JM, Support, Cord Grip, 3" Eye 0.73" Cable</v>
      </c>
      <c r="C7137" t="str">
        <f t="shared" si="275"/>
        <v>Active</v>
      </c>
    </row>
    <row r="7138" spans="1:3" ht="18" customHeight="1">
      <c r="A7138" t="str">
        <f>"36-8500-0014"</f>
        <v>36-8500-0014</v>
      </c>
      <c r="B7138" t="str">
        <f>"JM, Connector, Squeeze 90deg, Flex Conduit, 3/4"""</f>
        <v>JM, Connector, Squeeze 90deg, Flex Conduit, 3/4"</v>
      </c>
      <c r="C7138" t="str">
        <f t="shared" si="275"/>
        <v>Active</v>
      </c>
    </row>
    <row r="7139" spans="1:3" ht="18" customHeight="1">
      <c r="A7139" t="str">
        <f>"36-8500-0015"</f>
        <v>36-8500-0015</v>
      </c>
      <c r="B7139" t="str">
        <f>"JM, Connector, Flex Conduit, 1/2"" Liquid Tight"</f>
        <v>JM, Connector, Flex Conduit, 1/2" Liquid Tight</v>
      </c>
      <c r="C7139" t="str">
        <f t="shared" si="275"/>
        <v>Active</v>
      </c>
    </row>
    <row r="7140" spans="1:3" ht="18" customHeight="1">
      <c r="A7140" t="str">
        <f>"36-8500-0016"</f>
        <v>36-8500-0016</v>
      </c>
      <c r="B7140" t="str">
        <f>"JM, Connector, 1/2"" Liquid Tight, 90deg"</f>
        <v>JM, Connector, 1/2" Liquid Tight, 90deg</v>
      </c>
      <c r="C7140" t="str">
        <f t="shared" si="275"/>
        <v>Active</v>
      </c>
    </row>
    <row r="7141" spans="1:3" ht="18" customHeight="1">
      <c r="A7141" t="str">
        <f>"36-8500-0017"</f>
        <v>36-8500-0017</v>
      </c>
      <c r="B7141" t="str">
        <f>"JM, Bushing, Conduit, 1/2"""</f>
        <v>JM, Bushing, Conduit, 1/2"</v>
      </c>
      <c r="C7141" t="str">
        <f t="shared" si="275"/>
        <v>Active</v>
      </c>
    </row>
    <row r="7142" spans="1:3" ht="18" customHeight="1">
      <c r="A7142" t="str">
        <f>"36-8500-0018"</f>
        <v>36-8500-0018</v>
      </c>
      <c r="B7142" t="str">
        <f>"JM, Bushing, Nylon, blk, 0.875"" 25pk"</f>
        <v>JM, Bushing, Nylon, blk, 0.875" 25pk</v>
      </c>
      <c r="C7142" t="str">
        <f t="shared" si="275"/>
        <v>Active</v>
      </c>
    </row>
    <row r="7143" spans="1:3" ht="18" customHeight="1">
      <c r="A7143" t="str">
        <f>"36-8500-0019"</f>
        <v>36-8500-0019</v>
      </c>
      <c r="B7143" t="str">
        <f>"JM, Nipple, Conduit, 3/4"""</f>
        <v>JM, Nipple, Conduit, 3/4"</v>
      </c>
      <c r="C7143" t="str">
        <f t="shared" si="275"/>
        <v>Active</v>
      </c>
    </row>
    <row r="7144" spans="1:3" ht="18" customHeight="1">
      <c r="A7144" t="str">
        <f>"36-8500-0020"</f>
        <v>36-8500-0020</v>
      </c>
      <c r="B7144" t="str">
        <f>"JM, Cable Tie, 8"", Natural, 100pk"</f>
        <v>JM, Cable Tie, 8", Natural, 100pk</v>
      </c>
      <c r="C7144" t="str">
        <f t="shared" si="275"/>
        <v>Active</v>
      </c>
    </row>
    <row r="7145" spans="1:3" ht="18" customHeight="1">
      <c r="A7145" t="str">
        <f>"36-8500-0021"</f>
        <v>36-8500-0021</v>
      </c>
      <c r="B7145" t="str">
        <f>"JM, Cable Tie, 4"", Natural, 100pk"</f>
        <v>JM, Cable Tie, 4", Natural, 100pk</v>
      </c>
      <c r="C7145" t="str">
        <f t="shared" si="275"/>
        <v>Active</v>
      </c>
    </row>
    <row r="7146" spans="1:3" ht="18" customHeight="1">
      <c r="A7146" t="str">
        <f>"36-8500-0022"</f>
        <v>36-8500-0022</v>
      </c>
      <c r="B7146" t="str">
        <f>"JM, Cable Clamp, Nylon, 1/4"", 25pk"</f>
        <v>JM, Cable Clamp, Nylon, 1/4", 25pk</v>
      </c>
      <c r="C7146" t="str">
        <f t="shared" si="275"/>
        <v>Active</v>
      </c>
    </row>
    <row r="7147" spans="1:3" ht="18" customHeight="1">
      <c r="A7147" t="str">
        <f>"36-8500-0023"</f>
        <v>36-8500-0023</v>
      </c>
      <c r="B7147" t="str">
        <f>"JM, Spiral Wrap, 1/4"", 100ft roll"</f>
        <v>JM, Spiral Wrap, 1/4", 100ft roll</v>
      </c>
      <c r="C7147" t="str">
        <f t="shared" si="275"/>
        <v>Active</v>
      </c>
    </row>
    <row r="7148" spans="1:3" ht="18" customHeight="1">
      <c r="A7148" t="str">
        <f>"36-8500-0024"</f>
        <v>36-8500-0024</v>
      </c>
      <c r="B7148" t="str">
        <f>"JM, Hanger, Conduit, 1/2"" EMT"</f>
        <v>JM, Hanger, Conduit, 1/2" EMT</v>
      </c>
      <c r="C7148" t="str">
        <f t="shared" si="275"/>
        <v>Active</v>
      </c>
    </row>
    <row r="7149" spans="1:3" ht="18" customHeight="1">
      <c r="A7149" t="str">
        <f>"36-8500-0025"</f>
        <v>36-8500-0025</v>
      </c>
      <c r="B7149" t="str">
        <f>"JM, Strap, One Hole, 1/4"", Midget"</f>
        <v>JM, Strap, One Hole, 1/4", Midget</v>
      </c>
      <c r="C7149" t="str">
        <f t="shared" si="275"/>
        <v>Active</v>
      </c>
    </row>
    <row r="7150" spans="1:3" ht="18" customHeight="1">
      <c r="A7150" t="str">
        <f>"36-8500-0026"</f>
        <v>36-8500-0026</v>
      </c>
      <c r="B7150" t="str">
        <f>"JM, Cable tie base,screw mount, 1.5"" square"</f>
        <v>JM, Cable tie base,screw mount, 1.5" square</v>
      </c>
      <c r="C7150" t="str">
        <f t="shared" si="275"/>
        <v>Active</v>
      </c>
    </row>
    <row r="7151" spans="1:3" ht="18" customHeight="1">
      <c r="A7151" t="str">
        <f>"36-8501-0001"</f>
        <v>36-8501-0001</v>
      </c>
      <c r="B7151" t="str">
        <f>"JM, Conduit, 3/4"" EMT, 10ft Long"</f>
        <v>JM, Conduit, 3/4" EMT, 10ft Long</v>
      </c>
      <c r="C7151" t="str">
        <f t="shared" si="275"/>
        <v>Active</v>
      </c>
    </row>
    <row r="7152" spans="1:3" ht="18" customHeight="1">
      <c r="A7152" t="str">
        <f>"36-8501-0002"</f>
        <v>36-8501-0002</v>
      </c>
      <c r="B7152" t="str">
        <f>"JM, Conduit, 3/4"" Flexible Metal 50ft"</f>
        <v>JM, Conduit, 3/4" Flexible Metal 50ft</v>
      </c>
      <c r="C7152" t="str">
        <f t="shared" si="275"/>
        <v>Active</v>
      </c>
    </row>
    <row r="7153" spans="1:3" ht="18" customHeight="1">
      <c r="A7153" t="str">
        <f>"36-8501-0003"</f>
        <v>36-8501-0003</v>
      </c>
      <c r="B7153" t="str">
        <f>"JM, Conduit, 1/2"" Liquid Tight Flexible 50ft"</f>
        <v>JM, Conduit, 1/2" Liquid Tight Flexible 50ft</v>
      </c>
      <c r="C7153" t="str">
        <f t="shared" si="275"/>
        <v>Active</v>
      </c>
    </row>
    <row r="7154" spans="1:3" ht="18" customHeight="1">
      <c r="A7154" t="str">
        <f>"36-8900-0001"</f>
        <v>36-8900-0001</v>
      </c>
      <c r="B7154" t="str">
        <f>"JM, Current Meter, 100-0-100 3.5""X3.5"""</f>
        <v>JM, Current Meter, 100-0-100 3.5"X3.5"</v>
      </c>
      <c r="C7154" t="str">
        <f t="shared" si="275"/>
        <v>Active</v>
      </c>
    </row>
    <row r="7155" spans="1:3" ht="18" customHeight="1">
      <c r="A7155" t="str">
        <f>"36-8900-0003"</f>
        <v>36-8900-0003</v>
      </c>
      <c r="B7155" t="str">
        <f>"JM, Oscilloscope, 30MHz, Analog BK"</f>
        <v>JM, Oscilloscope, 30MHz, Analog BK</v>
      </c>
      <c r="C7155" t="str">
        <f t="shared" si="275"/>
        <v>Active</v>
      </c>
    </row>
    <row r="7156" spans="1:3" ht="18" customHeight="1">
      <c r="A7156" t="str">
        <f>"36-8900-0004"</f>
        <v>36-8900-0004</v>
      </c>
      <c r="B7156" t="str">
        <f>"JM, Power Supply, 3-12V @ 2A Adjustable"</f>
        <v>JM, Power Supply, 3-12V @ 2A Adjustable</v>
      </c>
      <c r="C7156" t="str">
        <f t="shared" si="275"/>
        <v>Active</v>
      </c>
    </row>
    <row r="7157" spans="1:3" ht="18" customHeight="1">
      <c r="A7157" t="str">
        <f>"36-8900-0007"</f>
        <v>36-8900-0007</v>
      </c>
      <c r="B7157" t="str">
        <f>"JM, Digital Multimeter, Fluke-115"</f>
        <v>JM, Digital Multimeter, Fluke-115</v>
      </c>
      <c r="C7157" t="str">
        <f t="shared" si="275"/>
        <v>Active</v>
      </c>
    </row>
    <row r="7158" spans="1:3" ht="18" customHeight="1">
      <c r="A7158" t="str">
        <f>"36-8900-0008"</f>
        <v>36-8900-0008</v>
      </c>
      <c r="B7158" t="str">
        <f>"JM, Remote Control, 4-Channel On/Off"</f>
        <v>JM, Remote Control, 4-Channel On/Off</v>
      </c>
      <c r="C7158" t="str">
        <f t="shared" si="275"/>
        <v>Active</v>
      </c>
    </row>
    <row r="7159" spans="1:3" ht="18" customHeight="1">
      <c r="A7159" t="str">
        <f>"36-8900-0009"</f>
        <v>36-8900-0009</v>
      </c>
      <c r="B7159" t="str">
        <f>"JM, Meter, Digital Vibration"</f>
        <v>JM, Meter, Digital Vibration</v>
      </c>
      <c r="C7159" t="str">
        <f t="shared" si="275"/>
        <v>Active</v>
      </c>
    </row>
    <row r="7160" spans="1:3" ht="18" customHeight="1">
      <c r="A7160" t="str">
        <f>"36-8900-0011"</f>
        <v>36-8900-0011</v>
      </c>
      <c r="B7160" t="str">
        <f>"JM, PW Supply, 0-24VDC 220VAC In, w/meter, Encl."</f>
        <v>JM, PW Supply, 0-24VDC 220VAC In, w/meter, Encl.</v>
      </c>
      <c r="C7160" t="str">
        <f t="shared" si="275"/>
        <v>Active</v>
      </c>
    </row>
    <row r="7161" spans="1:3" ht="18" customHeight="1">
      <c r="A7161" t="str">
        <f>"36-8900-0012"</f>
        <v>36-8900-0012</v>
      </c>
      <c r="B7161" t="str">
        <f>"JM, Power Supply, 12VDC, 3.33A"</f>
        <v>JM, Power Supply, 12VDC, 3.33A</v>
      </c>
      <c r="C7161" t="str">
        <f t="shared" si="275"/>
        <v>Active</v>
      </c>
    </row>
    <row r="7162" spans="1:3" ht="18" customHeight="1">
      <c r="A7162" t="str">
        <f>"36-8900-0014"</f>
        <v>36-8900-0014</v>
      </c>
      <c r="B7162" t="str">
        <f>"JM, IC Test Clip, 16 Position"</f>
        <v>JM, IC Test Clip, 16 Position</v>
      </c>
      <c r="C7162" t="str">
        <f t="shared" si="275"/>
        <v>Active</v>
      </c>
    </row>
    <row r="7163" spans="1:3" ht="18" customHeight="1">
      <c r="A7163" t="str">
        <f>"36-8900-0021"</f>
        <v>36-8900-0021</v>
      </c>
      <c r="B7163" t="str">
        <f>"JM, Laser Shaft Alignment Kit"</f>
        <v>JM, Laser Shaft Alignment Kit</v>
      </c>
      <c r="C7163" t="str">
        <f>"ECO+NFS"</f>
        <v>ECO+NFS</v>
      </c>
    </row>
    <row r="7164" spans="1:3" ht="18" customHeight="1">
      <c r="A7164" t="str">
        <f>"36-8900-0022"</f>
        <v>36-8900-0022</v>
      </c>
      <c r="B7164" t="str">
        <f>"JM, Laser Belt Alignment Kit"</f>
        <v>JM, Laser Belt Alignment Kit</v>
      </c>
      <c r="C7164" t="str">
        <f t="shared" ref="C7164:C7195" si="276">"Active"</f>
        <v>Active</v>
      </c>
    </row>
    <row r="7165" spans="1:3" ht="18" customHeight="1">
      <c r="A7165" t="str">
        <f>"36-8900-0023"</f>
        <v>36-8900-0023</v>
      </c>
      <c r="B7165" t="str">
        <f>"JM, Digital Photo Tachometer"</f>
        <v>JM, Digital Photo Tachometer</v>
      </c>
      <c r="C7165" t="str">
        <f t="shared" si="276"/>
        <v>Active</v>
      </c>
    </row>
    <row r="7166" spans="1:3" ht="18" customHeight="1">
      <c r="A7166" t="str">
        <f>"36-8900-0024"</f>
        <v>36-8900-0024</v>
      </c>
      <c r="B7166" t="str">
        <f>"JM, Thermometer, Infrared"</f>
        <v>JM, Thermometer, Infrared</v>
      </c>
      <c r="C7166" t="str">
        <f t="shared" si="276"/>
        <v>Active</v>
      </c>
    </row>
    <row r="7167" spans="1:3" ht="18" customHeight="1">
      <c r="A7167" t="str">
        <f>"36-8900-0025"</f>
        <v>36-8900-0025</v>
      </c>
      <c r="B7167" t="str">
        <f>"JM, Oscilloscope, 5MHz, Hand Held"</f>
        <v>JM, Oscilloscope, 5MHz, Hand Held</v>
      </c>
      <c r="C7167" t="str">
        <f t="shared" si="276"/>
        <v>Active</v>
      </c>
    </row>
    <row r="7168" spans="1:3" ht="18" customHeight="1">
      <c r="A7168" t="str">
        <f>"36-8900-0032"</f>
        <v>36-8900-0032</v>
      </c>
      <c r="B7168" t="str">
        <f>"JM, Power Supply MW RQ-65D, 5,12,24VDC"</f>
        <v>JM, Power Supply MW RQ-65D, 5,12,24VDC</v>
      </c>
      <c r="C7168" t="str">
        <f t="shared" si="276"/>
        <v>Active</v>
      </c>
    </row>
    <row r="7169" spans="1:3" ht="18" customHeight="1">
      <c r="A7169" t="str">
        <f>"36-9000-0001"</f>
        <v>36-9000-0001</v>
      </c>
      <c r="B7169" t="str">
        <f>"JM, Red Lamp Assy Incadescent 120V, 22mm"</f>
        <v>JM, Red Lamp Assy Incadescent 120V, 22mm</v>
      </c>
      <c r="C7169" t="str">
        <f t="shared" si="276"/>
        <v>Active</v>
      </c>
    </row>
    <row r="7170" spans="1:3" ht="18" customHeight="1">
      <c r="A7170" t="str">
        <f>"36-9000-0004"</f>
        <v>36-9000-0004</v>
      </c>
      <c r="B7170" t="str">
        <f>"JM, Bulb, Flashlight, 3.7V@0.30A"</f>
        <v>JM, Bulb, Flashlight, 3.7V@0.30A</v>
      </c>
      <c r="C7170" t="str">
        <f t="shared" si="276"/>
        <v>Active</v>
      </c>
    </row>
    <row r="7171" spans="1:3" ht="18" customHeight="1">
      <c r="A7171" t="str">
        <f>"36-9000-0005"</f>
        <v>36-9000-0005</v>
      </c>
      <c r="B7171" t="str">
        <f>"JM, Bulb, Flashlight, 6.3V@0.15A"</f>
        <v>JM, Bulb, Flashlight, 6.3V@0.15A</v>
      </c>
      <c r="C7171" t="str">
        <f t="shared" si="276"/>
        <v>Active</v>
      </c>
    </row>
    <row r="7172" spans="1:3" ht="18" customHeight="1">
      <c r="A7172" t="str">
        <f>"36-9000-0006"</f>
        <v>36-9000-0006</v>
      </c>
      <c r="B7172" t="str">
        <f>"JM, 12V Jumbo Red Lamp Assy"</f>
        <v>JM, 12V Jumbo Red Lamp Assy</v>
      </c>
      <c r="C7172" t="str">
        <f t="shared" si="276"/>
        <v>Active</v>
      </c>
    </row>
    <row r="7173" spans="1:3" ht="18" customHeight="1">
      <c r="A7173" t="str">
        <f>"36-9000-0008"</f>
        <v>36-9000-0008</v>
      </c>
      <c r="B7173" t="str">
        <f>"JM, Raised Indicator Light, Red, 250V"</f>
        <v>JM, Raised Indicator Light, Red, 250V</v>
      </c>
      <c r="C7173" t="str">
        <f t="shared" si="276"/>
        <v>Active</v>
      </c>
    </row>
    <row r="7174" spans="1:3" ht="18" customHeight="1">
      <c r="A7174" t="str">
        <f>"36-9000-0013"</f>
        <v>36-9000-0013</v>
      </c>
      <c r="B7174" t="str">
        <f>"JM, Blub, Light, 24V"</f>
        <v>JM, Blub, Light, 24V</v>
      </c>
      <c r="C7174" t="str">
        <f t="shared" si="276"/>
        <v>Active</v>
      </c>
    </row>
    <row r="7175" spans="1:3" ht="18" customHeight="1">
      <c r="A7175" t="str">
        <f>"36-9000-0014"</f>
        <v>36-9000-0014</v>
      </c>
      <c r="B7175" t="str">
        <f>"JM, Indicator Light, Red, 125V"</f>
        <v>JM, Indicator Light, Red, 125V</v>
      </c>
      <c r="C7175" t="str">
        <f t="shared" si="276"/>
        <v>Active</v>
      </c>
    </row>
    <row r="7176" spans="1:3" ht="18" customHeight="1">
      <c r="A7176" t="str">
        <f>"36-9000-0019"</f>
        <v>36-9000-0019</v>
      </c>
      <c r="B7176" t="str">
        <f>"JM, Strobe Light, Red, Low Profile"</f>
        <v>JM, Strobe Light, Red, Low Profile</v>
      </c>
      <c r="C7176" t="str">
        <f t="shared" si="276"/>
        <v>Active</v>
      </c>
    </row>
    <row r="7177" spans="1:3" ht="18" customHeight="1">
      <c r="A7177" t="str">
        <f>"36-9000-0020"</f>
        <v>36-9000-0020</v>
      </c>
      <c r="B7177" t="str">
        <f>"JM, Strobe Light, Amber, Low Profile"</f>
        <v>JM, Strobe Light, Amber, Low Profile</v>
      </c>
      <c r="C7177" t="str">
        <f t="shared" si="276"/>
        <v>Active</v>
      </c>
    </row>
    <row r="7178" spans="1:3" ht="18" customHeight="1">
      <c r="A7178" t="str">
        <f>"36-9000-0021"</f>
        <v>36-9000-0021</v>
      </c>
      <c r="B7178" t="str">
        <f>"JM, Fixture, Low Bay HID Light, w/Lamp"</f>
        <v>JM, Fixture, Low Bay HID Light, w/Lamp</v>
      </c>
      <c r="C7178" t="str">
        <f t="shared" si="276"/>
        <v>Active</v>
      </c>
    </row>
    <row r="7179" spans="1:3" ht="18" customHeight="1">
      <c r="A7179" t="str">
        <f>"36-9000-0022P"</f>
        <v>36-9000-0022P</v>
      </c>
      <c r="B7179" t="str">
        <f>"JM, Fixture, High Bay Light, 250W"</f>
        <v>JM, Fixture, High Bay Light, 250W</v>
      </c>
      <c r="C7179" t="str">
        <f t="shared" si="276"/>
        <v>Active</v>
      </c>
    </row>
    <row r="7180" spans="1:3" ht="18" customHeight="1">
      <c r="A7180" t="str">
        <f>"36-9000-0023"</f>
        <v>36-9000-0023</v>
      </c>
      <c r="B7180" t="str">
        <f>"JM, Lamp, HID, 250W"</f>
        <v>JM, Lamp, HID, 250W</v>
      </c>
      <c r="C7180" t="str">
        <f t="shared" si="276"/>
        <v>Active</v>
      </c>
    </row>
    <row r="7181" spans="1:3" ht="18" customHeight="1">
      <c r="A7181" t="str">
        <f>"36-9000-0024"</f>
        <v>36-9000-0024</v>
      </c>
      <c r="B7181" t="str">
        <f>"JM, Fixture, Emergency Light"</f>
        <v>JM, Fixture, Emergency Light</v>
      </c>
      <c r="C7181" t="str">
        <f t="shared" si="276"/>
        <v>Active</v>
      </c>
    </row>
    <row r="7182" spans="1:3" ht="18" customHeight="1">
      <c r="A7182" t="str">
        <f>"36-9000-0025"</f>
        <v>36-9000-0025</v>
      </c>
      <c r="B7182" t="str">
        <f>"JM, Fixture, Floodlight, 70W"</f>
        <v>JM, Fixture, Floodlight, 70W</v>
      </c>
      <c r="C7182" t="str">
        <f t="shared" si="276"/>
        <v>Active</v>
      </c>
    </row>
    <row r="7183" spans="1:3" ht="18" customHeight="1">
      <c r="A7183" t="str">
        <f>"36-9000-0026"</f>
        <v>36-9000-0026</v>
      </c>
      <c r="B7183" t="str">
        <f>"JM, Fixture, Pendant Mount, 300W Incandescent m9"</f>
        <v>JM, Fixture, Pendant Mount, 300W Incandescent m9</v>
      </c>
      <c r="C7183" t="str">
        <f t="shared" si="276"/>
        <v>Active</v>
      </c>
    </row>
    <row r="7184" spans="1:3" ht="18" customHeight="1">
      <c r="A7184" t="str">
        <f>"36-9000-0027"</f>
        <v>36-9000-0027</v>
      </c>
      <c r="B7184" t="str">
        <f>"JM, Lamp, Incandescent, 150W-300W"</f>
        <v>JM, Lamp, Incandescent, 150W-300W</v>
      </c>
      <c r="C7184" t="str">
        <f t="shared" si="276"/>
        <v>Active</v>
      </c>
    </row>
    <row r="7185" spans="1:3" ht="18" customHeight="1">
      <c r="A7185" t="str">
        <f>"36-9000-0028"</f>
        <v>36-9000-0028</v>
      </c>
      <c r="B7185" t="str">
        <f>"JM, Fixture, General Duty, 4ft Fluorescent Light"</f>
        <v>JM, Fixture, General Duty, 4ft Fluorescent Light</v>
      </c>
      <c r="C7185" t="str">
        <f t="shared" si="276"/>
        <v>Active</v>
      </c>
    </row>
    <row r="7186" spans="1:3" ht="18" customHeight="1">
      <c r="A7186" t="str">
        <f>"36-9000-0029"</f>
        <v>36-9000-0029</v>
      </c>
      <c r="B7186" t="str">
        <f>"JM, Light, Pilot, Instrument 120V, Red"</f>
        <v>JM, Light, Pilot, Instrument 120V, Red</v>
      </c>
      <c r="C7186" t="str">
        <f t="shared" si="276"/>
        <v>Active</v>
      </c>
    </row>
    <row r="7187" spans="1:3" ht="18" customHeight="1">
      <c r="A7187" t="str">
        <f>"36-9000-0030"</f>
        <v>36-9000-0030</v>
      </c>
      <c r="B7187" t="str">
        <f>"JM, Light, Pilot, Instrument 120V, Amber"</f>
        <v>JM, Light, Pilot, Instrument 120V, Amber</v>
      </c>
      <c r="C7187" t="str">
        <f t="shared" si="276"/>
        <v>Active</v>
      </c>
    </row>
    <row r="7188" spans="1:3" ht="18" customHeight="1">
      <c r="A7188" t="str">
        <f>"36-9000-0031"</f>
        <v>36-9000-0031</v>
      </c>
      <c r="B7188" t="str">
        <f>"JM, Light, Pilot, Instrument 120V, Green"</f>
        <v>JM, Light, Pilot, Instrument 120V, Green</v>
      </c>
      <c r="C7188" t="str">
        <f t="shared" si="276"/>
        <v>Active</v>
      </c>
    </row>
    <row r="7189" spans="1:3" ht="18" customHeight="1">
      <c r="A7189" t="str">
        <f>"36-9000-0034"</f>
        <v>36-9000-0034</v>
      </c>
      <c r="B7189" t="str">
        <f>"JM, Raised Indicator Light, 125V, Amber"</f>
        <v>JM, Raised Indicator Light, 125V, Amber</v>
      </c>
      <c r="C7189" t="str">
        <f t="shared" si="276"/>
        <v>Active</v>
      </c>
    </row>
    <row r="7190" spans="1:3" ht="18" customHeight="1">
      <c r="A7190" t="str">
        <f>"36-9000-0035"</f>
        <v>36-9000-0035</v>
      </c>
      <c r="B7190" t="str">
        <f>"JM, Raised Indicator Light, 125V, Green"</f>
        <v>JM, Raised Indicator Light, 125V, Green</v>
      </c>
      <c r="C7190" t="str">
        <f t="shared" si="276"/>
        <v>Active</v>
      </c>
    </row>
    <row r="7191" spans="1:3" ht="18" customHeight="1">
      <c r="A7191" t="str">
        <f>"36-9000-0036"</f>
        <v>36-9000-0036</v>
      </c>
      <c r="B7191" t="str">
        <f>"JM, Lamp, Florescent, 32W, 48"", T8"</f>
        <v>JM, Lamp, Florescent, 32W, 48", T8</v>
      </c>
      <c r="C7191" t="str">
        <f t="shared" si="276"/>
        <v>Active</v>
      </c>
    </row>
    <row r="7192" spans="1:3" ht="18" customHeight="1">
      <c r="A7192" t="str">
        <f>"36-9000-0038"</f>
        <v>36-9000-0038</v>
      </c>
      <c r="B7192" t="str">
        <f>"JM, Light, Task, Clamp-On, 120V"</f>
        <v>JM, Light, Task, Clamp-On, 120V</v>
      </c>
      <c r="C7192" t="str">
        <f t="shared" si="276"/>
        <v>Active</v>
      </c>
    </row>
    <row r="7193" spans="1:3" ht="18" customHeight="1">
      <c r="A7193" t="str">
        <f>"36-9000-0039"</f>
        <v>36-9000-0039</v>
      </c>
      <c r="B7193" t="str">
        <f>"JM, Lamp, ED28, 150W, HID"</f>
        <v>JM, Lamp, ED28, 150W, HID</v>
      </c>
      <c r="C7193" t="str">
        <f t="shared" si="276"/>
        <v>Active</v>
      </c>
    </row>
    <row r="7194" spans="1:3" ht="18" customHeight="1">
      <c r="A7194" t="str">
        <f>"36-9000-0040"</f>
        <v>36-9000-0040</v>
      </c>
      <c r="B7194" t="str">
        <f>"JM, Fixture Reflector, High Bay Encl, Aluminum"</f>
        <v>JM, Fixture Reflector, High Bay Encl, Aluminum</v>
      </c>
      <c r="C7194" t="str">
        <f t="shared" si="276"/>
        <v>Active</v>
      </c>
    </row>
    <row r="7195" spans="1:3" ht="18" customHeight="1">
      <c r="A7195" t="str">
        <f>"36-9000-0047"</f>
        <v>36-9000-0047</v>
      </c>
      <c r="B7195" t="str">
        <f>"JM, Light, Task, Clamp-On, 220V"</f>
        <v>JM, Light, Task, Clamp-On, 220V</v>
      </c>
      <c r="C7195" t="str">
        <f t="shared" si="276"/>
        <v>Active</v>
      </c>
    </row>
    <row r="7196" spans="1:3" ht="18" customHeight="1">
      <c r="A7196" t="str">
        <f>"36-9000-0048"</f>
        <v>36-9000-0048</v>
      </c>
      <c r="B7196" t="str">
        <f>"JM, LED Bulb, E12, Amber, 0.72W"</f>
        <v>JM, LED Bulb, E12, Amber, 0.72W</v>
      </c>
      <c r="C7196" t="str">
        <f t="shared" ref="C7196:C7227" si="277">"Active"</f>
        <v>Active</v>
      </c>
    </row>
    <row r="7197" spans="1:3" ht="18" customHeight="1">
      <c r="A7197" t="str">
        <f>"36-9000-0049"</f>
        <v>36-9000-0049</v>
      </c>
      <c r="B7197" t="str">
        <f>"JM, LED Bulb, E26, 230V, 9W, 3000K"</f>
        <v>JM, LED Bulb, E26, 230V, 9W, 3000K</v>
      </c>
      <c r="C7197" t="str">
        <f t="shared" si="277"/>
        <v>Active</v>
      </c>
    </row>
    <row r="7198" spans="1:3" ht="18" customHeight="1">
      <c r="A7198" t="str">
        <f>"36-9200-0002"</f>
        <v>36-9200-0002</v>
      </c>
      <c r="B7198" t="str">
        <f>"JM, PLC Power Supply"</f>
        <v>JM, PLC Power Supply</v>
      </c>
      <c r="C7198" t="str">
        <f t="shared" si="277"/>
        <v>Active</v>
      </c>
    </row>
    <row r="7199" spans="1:3" ht="18" customHeight="1">
      <c r="A7199" t="str">
        <f>"36-BA01A-IG01"</f>
        <v>36-BA01A-IG01</v>
      </c>
      <c r="B7199" t="str">
        <f>"JM, BA01A: Mathematics for Technicians I, Guide"</f>
        <v>JM, BA01A: Mathematics for Technicians I, Guide</v>
      </c>
      <c r="C7199" t="str">
        <f t="shared" si="277"/>
        <v>Active</v>
      </c>
    </row>
    <row r="7200" spans="1:3" ht="18" customHeight="1">
      <c r="A7200" t="str">
        <f>"36-BA01B-IG01"</f>
        <v>36-BA01B-IG01</v>
      </c>
      <c r="B7200" t="str">
        <f>"JM, BA01B: Mathematics for Technicians II, Guide"</f>
        <v>JM, BA01B: Mathematics for Technicians II, Guide</v>
      </c>
      <c r="C7200" t="str">
        <f t="shared" si="277"/>
        <v>Active</v>
      </c>
    </row>
    <row r="7201" spans="1:3" ht="18" customHeight="1">
      <c r="A7201" t="str">
        <f>"36-BA02-IG01"</f>
        <v>36-BA02-IG01</v>
      </c>
      <c r="B7201" t="str">
        <f>"JM, BA02: Mechanical Blueprint Reading,  Guide"</f>
        <v>JM, BA02: Mechanical Blueprint Reading,  Guide</v>
      </c>
      <c r="C7201" t="str">
        <f t="shared" si="277"/>
        <v>Active</v>
      </c>
    </row>
    <row r="7202" spans="1:3" ht="18" customHeight="1">
      <c r="A7202" t="str">
        <f>"36-BA03-IG01"</f>
        <v>36-BA03-IG01</v>
      </c>
      <c r="B7202" t="str">
        <f>"JM, BA03: Lubrication for Technicians, Guide"</f>
        <v>JM, BA03: Lubrication for Technicians, Guide</v>
      </c>
      <c r="C7202" t="str">
        <f t="shared" si="277"/>
        <v>Active</v>
      </c>
    </row>
    <row r="7203" spans="1:3" ht="18" customHeight="1">
      <c r="A7203" t="str">
        <f>"36-BA04-IG01"</f>
        <v>36-BA04-IG01</v>
      </c>
      <c r="B7203" t="str">
        <f>"JM, BA04: Mechanical Fasteners, Guide"</f>
        <v>JM, BA04: Mechanical Fasteners, Guide</v>
      </c>
      <c r="C7203" t="str">
        <f t="shared" si="277"/>
        <v>Active</v>
      </c>
    </row>
    <row r="7204" spans="1:3" ht="18" customHeight="1">
      <c r="A7204" t="str">
        <f>"36-BA05-IG01"</f>
        <v>36-BA05-IG01</v>
      </c>
      <c r="B7204" t="str">
        <f>"JM, BA05: Basic Hand Tools, Guide"</f>
        <v>JM, BA05: Basic Hand Tools, Guide</v>
      </c>
      <c r="C7204" t="str">
        <f t="shared" si="277"/>
        <v>Active</v>
      </c>
    </row>
    <row r="7205" spans="1:3" ht="18" customHeight="1">
      <c r="A7205" t="str">
        <f>"36-BA06-IG01"</f>
        <v>36-BA06-IG01</v>
      </c>
      <c r="B7205" t="str">
        <f>"JM, BA06: Power Tools, Guide"</f>
        <v>JM, BA06: Power Tools, Guide</v>
      </c>
      <c r="C7205" t="str">
        <f t="shared" si="277"/>
        <v>Active</v>
      </c>
    </row>
    <row r="7206" spans="1:3" ht="18" customHeight="1">
      <c r="A7206" t="str">
        <f>"36-C350-6100"</f>
        <v>36-C350-6100</v>
      </c>
      <c r="B7206" t="str">
        <f>"PLC A/B SLC5/03, Finished Panel, 16""x11.5"""</f>
        <v>PLC A/B SLC5/03, Finished Panel, 16"x11.5"</v>
      </c>
      <c r="C7206" t="str">
        <f t="shared" si="277"/>
        <v>Active</v>
      </c>
    </row>
    <row r="7207" spans="1:3" ht="18" customHeight="1">
      <c r="A7207" t="str">
        <f>"36-EA01A-IG01"</f>
        <v>36-EA01A-IG01</v>
      </c>
      <c r="B7207" t="str">
        <f>"JM, PDF on CD Electrical Circuits - EA01A"</f>
        <v>JM, PDF on CD Electrical Circuits - EA01A</v>
      </c>
      <c r="C7207" t="str">
        <f t="shared" si="277"/>
        <v>Active</v>
      </c>
    </row>
    <row r="7208" spans="1:3" ht="18" customHeight="1">
      <c r="A7208" t="str">
        <f>"36-EA01B-IG01"</f>
        <v>36-EA01B-IG01</v>
      </c>
      <c r="B7208" t="str">
        <f>"JM, PDF on CD Resistors &amp; Conductors - EA01B"</f>
        <v>JM, PDF on CD Resistors &amp; Conductors - EA01B</v>
      </c>
      <c r="C7208" t="str">
        <f t="shared" si="277"/>
        <v>Active</v>
      </c>
    </row>
    <row r="7209" spans="1:3" ht="18" customHeight="1">
      <c r="A7209" t="str">
        <f>"36-EA01C-IG01"</f>
        <v>36-EA01C-IG01</v>
      </c>
      <c r="B7209" t="str">
        <f>"JM, PDF on CD LCR Circuits - EA01C"</f>
        <v>JM, PDF on CD LCR Circuits - EA01C</v>
      </c>
      <c r="C7209" t="str">
        <f t="shared" si="277"/>
        <v>Active</v>
      </c>
    </row>
    <row r="7210" spans="1:3" ht="18" customHeight="1">
      <c r="A7210" t="str">
        <f>"36-EA01D-IG01"</f>
        <v>36-EA01D-IG01</v>
      </c>
      <c r="B7210" t="str">
        <f>"JM, PDF on CD Motors and Generators - EA01D"</f>
        <v>JM, PDF on CD Motors and Generators - EA01D</v>
      </c>
      <c r="C7210" t="str">
        <f t="shared" si="277"/>
        <v>Active</v>
      </c>
    </row>
    <row r="7211" spans="1:3" ht="18" customHeight="1">
      <c r="A7211" t="str">
        <f>"36-EA02-IG01"</f>
        <v>36-EA02-IG01</v>
      </c>
      <c r="B7211" t="str">
        <f>"JM, PDF on CD Electric Circuit Protection - EA02"</f>
        <v>JM, PDF on CD Electric Circuit Protection - EA02</v>
      </c>
      <c r="C7211" t="str">
        <f t="shared" si="277"/>
        <v>Active</v>
      </c>
    </row>
    <row r="7212" spans="1:3" ht="18" customHeight="1">
      <c r="A7212" t="str">
        <f>"36-EA03-IG01"</f>
        <v>36-EA03-IG01</v>
      </c>
      <c r="B7212" t="str">
        <f>"JM, PDF on CD 3 Phase Transformers- EA03"</f>
        <v>JM, PDF on CD 3 Phase Transformers- EA03</v>
      </c>
      <c r="C7212" t="str">
        <f t="shared" si="277"/>
        <v>Active</v>
      </c>
    </row>
    <row r="7213" spans="1:3" ht="18" customHeight="1">
      <c r="A7213" t="str">
        <f>"36-EA04-IG01"</f>
        <v>36-EA04-IG01</v>
      </c>
      <c r="B7213" t="str">
        <f>"JM, PDF on CD Electric Motors - EA04"</f>
        <v>JM, PDF on CD Electric Motors - EA04</v>
      </c>
      <c r="C7213" t="str">
        <f t="shared" si="277"/>
        <v>Active</v>
      </c>
    </row>
    <row r="7214" spans="1:3" ht="18" customHeight="1">
      <c r="A7214" t="str">
        <f>"36-EA07-IG01"</f>
        <v>36-EA07-IG01</v>
      </c>
      <c r="B7214" t="str">
        <f>"JM, PDF on CD Electromagnetic Starters- EA04"</f>
        <v>JM, PDF on CD Electromagnetic Starters- EA04</v>
      </c>
      <c r="C7214" t="str">
        <f t="shared" si="277"/>
        <v>Active</v>
      </c>
    </row>
    <row r="7215" spans="1:3" ht="18" customHeight="1">
      <c r="A7215" t="str">
        <f>"36-EA08-IG01"</f>
        <v>36-EA08-IG01</v>
      </c>
      <c r="B7215" t="str">
        <f>"JM, PDF on CD Relays and Timers - EA08"</f>
        <v>JM, PDF on CD Relays and Timers - EA08</v>
      </c>
      <c r="C7215" t="str">
        <f t="shared" si="277"/>
        <v>Active</v>
      </c>
    </row>
    <row r="7216" spans="1:3" ht="18" customHeight="1">
      <c r="A7216" t="str">
        <f>"36-EA09-IG01"</f>
        <v>36-EA09-IG01</v>
      </c>
      <c r="B7216" t="str">
        <f>"JM, PDF on CD Sensors - EA09"</f>
        <v>JM, PDF on CD Sensors - EA09</v>
      </c>
      <c r="C7216" t="str">
        <f t="shared" si="277"/>
        <v>Active</v>
      </c>
    </row>
    <row r="7217" spans="1:3" ht="18" customHeight="1">
      <c r="A7217" t="str">
        <f>"36-EA11-IG01"</f>
        <v>36-EA11-IG01</v>
      </c>
      <c r="B7217" t="str">
        <f>"JM, PDF on CD Solid State Voltage Starter - EA11"</f>
        <v>JM, PDF on CD Solid State Voltage Starter - EA11</v>
      </c>
      <c r="C7217" t="str">
        <f t="shared" si="277"/>
        <v>Active</v>
      </c>
    </row>
    <row r="7218" spans="1:3" ht="18" customHeight="1">
      <c r="A7218" t="str">
        <f>"36-EA12-IG01"</f>
        <v>36-EA12-IG01</v>
      </c>
      <c r="B7218" t="str">
        <f>"JM, PDF on CD Variable Frequency Drive- EA12"</f>
        <v>JM, PDF on CD Variable Frequency Drive- EA12</v>
      </c>
      <c r="C7218" t="str">
        <f t="shared" si="277"/>
        <v>Active</v>
      </c>
    </row>
    <row r="7219" spans="1:3" ht="18" customHeight="1">
      <c r="A7219" t="str">
        <f>"36-EA16-IG01"</f>
        <v>36-EA16-IG01</v>
      </c>
      <c r="B7219" t="str">
        <f>"JM, PDF on CD DC Motor Drives - EA16"</f>
        <v>JM, PDF on CD DC Motor Drives - EA16</v>
      </c>
      <c r="C7219" t="str">
        <f t="shared" si="277"/>
        <v>Active</v>
      </c>
    </row>
    <row r="7220" spans="1:3" ht="18" customHeight="1">
      <c r="A7220" t="str">
        <f>"36-EB01A-IG01"</f>
        <v>36-EB01A-IG01</v>
      </c>
      <c r="B7220" t="str">
        <f>"JM, PDF on CD Oscilloscope - EB01A"</f>
        <v>JM, PDF on CD Oscilloscope - EB01A</v>
      </c>
      <c r="C7220" t="str">
        <f t="shared" si="277"/>
        <v>Active</v>
      </c>
    </row>
    <row r="7221" spans="1:3" ht="18" customHeight="1">
      <c r="A7221" t="str">
        <f>"36-EB01B-IG01"</f>
        <v>36-EB01B-IG01</v>
      </c>
      <c r="B7221" t="str">
        <f>"JM, PDF on CD Digital Multimeter - EB01B"</f>
        <v>JM, PDF on CD Digital Multimeter - EB01B</v>
      </c>
      <c r="C7221" t="str">
        <f t="shared" si="277"/>
        <v>Active</v>
      </c>
    </row>
    <row r="7222" spans="1:3" ht="18" customHeight="1">
      <c r="A7222" t="str">
        <f>"36-EB01C-IG01"</f>
        <v>36-EB01C-IG01</v>
      </c>
      <c r="B7222" t="str">
        <f>"JM, PDF on CD Hand Held Oscilloscope - EB01C"</f>
        <v>JM, PDF on CD Hand Held Oscilloscope - EB01C</v>
      </c>
      <c r="C7222" t="str">
        <f t="shared" si="277"/>
        <v>Active</v>
      </c>
    </row>
    <row r="7223" spans="1:3" ht="18" customHeight="1">
      <c r="A7223" t="str">
        <f>"36-EB02A-IG01"</f>
        <v>36-EB02A-IG01</v>
      </c>
      <c r="B7223" t="str">
        <f>"JM, PDF on CD DC Power Supplies - EB02A"</f>
        <v>JM, PDF on CD DC Power Supplies - EB02A</v>
      </c>
      <c r="C7223" t="str">
        <f t="shared" si="277"/>
        <v>Active</v>
      </c>
    </row>
    <row r="7224" spans="1:3" ht="18" customHeight="1">
      <c r="A7224" t="str">
        <f>"36-EB02B-IG01"</f>
        <v>36-EB02B-IG01</v>
      </c>
      <c r="B7224" t="str">
        <f>"JM, PDF on CD Single&amp;3 Phase Power - EB02B"</f>
        <v>JM, PDF on CD Single&amp;3 Phase Power - EB02B</v>
      </c>
      <c r="C7224" t="str">
        <f t="shared" si="277"/>
        <v>Active</v>
      </c>
    </row>
    <row r="7225" spans="1:3" ht="18" customHeight="1">
      <c r="A7225" t="str">
        <f>"36-EB03-IG01"</f>
        <v>36-EB03-IG01</v>
      </c>
      <c r="B7225" t="str">
        <f>"JM, PDF on CD Thyristor Motor Drives - EB03"</f>
        <v>JM, PDF on CD Thyristor Motor Drives - EB03</v>
      </c>
      <c r="C7225" t="str">
        <f t="shared" si="277"/>
        <v>Active</v>
      </c>
    </row>
    <row r="7226" spans="1:3" ht="18" customHeight="1">
      <c r="A7226" t="str">
        <f>"36-EB04-IG01"</f>
        <v>36-EB04-IG01</v>
      </c>
      <c r="B7226" t="str">
        <f>"JM, PDF on CD Electronic Timers &amp; Triggers- EB04"</f>
        <v>JM, PDF on CD Electronic Timers &amp; Triggers- EB04</v>
      </c>
      <c r="C7226" t="str">
        <f t="shared" si="277"/>
        <v>Active</v>
      </c>
    </row>
    <row r="7227" spans="1:3" ht="18" customHeight="1">
      <c r="A7227" t="str">
        <f>"36-EB05-IG01"</f>
        <v>36-EB05-IG01</v>
      </c>
      <c r="B7227" t="str">
        <f>"JM, PDF on CD Basic Stepper Motor &amp; Drives- EB05"</f>
        <v>JM, PDF on CD Basic Stepper Motor &amp; Drives- EB05</v>
      </c>
      <c r="C7227" t="str">
        <f t="shared" si="277"/>
        <v>Active</v>
      </c>
    </row>
    <row r="7228" spans="1:3" ht="18" customHeight="1">
      <c r="A7228" t="str">
        <f>"36-EB06-IG01"</f>
        <v>36-EB06-IG01</v>
      </c>
      <c r="B7228" t="str">
        <f>"JM, PDF on CD Basic Servo Motor Drives - EB06"</f>
        <v>JM, PDF on CD Basic Servo Motor Drives - EB06</v>
      </c>
      <c r="C7228" t="str">
        <f t="shared" ref="C7228:C7251" si="278">"Active"</f>
        <v>Active</v>
      </c>
    </row>
    <row r="7229" spans="1:3" ht="18" customHeight="1">
      <c r="A7229" t="str">
        <f>"36-IMP1-CD01"</f>
        <v>36-IMP1-CD01</v>
      </c>
      <c r="B7229" t="str">
        <f>"JM, DocCD, , IMP-1:Mech. Power Transmission"</f>
        <v>JM, DocCD, , IMP-1:Mech. Power Transmission</v>
      </c>
      <c r="C7229" t="str">
        <f t="shared" si="278"/>
        <v>Active</v>
      </c>
    </row>
    <row r="7230" spans="1:3" ht="18" customHeight="1">
      <c r="A7230" t="str">
        <f>"36-ME01-TG01"</f>
        <v>36-ME01-TG01</v>
      </c>
      <c r="B7230" t="str">
        <f>"JM ME01 Teacher Guide"</f>
        <v>JM ME01 Teacher Guide</v>
      </c>
      <c r="C7230" t="str">
        <f t="shared" si="278"/>
        <v>Active</v>
      </c>
    </row>
    <row r="7231" spans="1:3" ht="18" customHeight="1">
      <c r="A7231" t="str">
        <f>"36-ME01-TG01-ES"</f>
        <v>36-ME01-TG01-ES</v>
      </c>
      <c r="B7231" t="str">
        <f>"JM ME01 Teacher Guide, ES"</f>
        <v>JM ME01 Teacher Guide, ES</v>
      </c>
      <c r="C7231" t="str">
        <f t="shared" si="278"/>
        <v>Active</v>
      </c>
    </row>
    <row r="7232" spans="1:3" ht="18" customHeight="1">
      <c r="A7232" t="str">
        <f>"36-ME02-TG01"</f>
        <v>36-ME02-TG01</v>
      </c>
      <c r="B7232" t="str">
        <f>"JM ME02 Teacher Guide"</f>
        <v>JM ME02 Teacher Guide</v>
      </c>
      <c r="C7232" t="str">
        <f t="shared" si="278"/>
        <v>Active</v>
      </c>
    </row>
    <row r="7233" spans="1:3" ht="18" customHeight="1">
      <c r="A7233" t="str">
        <f>"36-ME02-TG01-ES"</f>
        <v>36-ME02-TG01-ES</v>
      </c>
      <c r="B7233" t="str">
        <f>"JM ME02 Teacher Guide, ES"</f>
        <v>JM ME02 Teacher Guide, ES</v>
      </c>
      <c r="C7233" t="str">
        <f t="shared" si="278"/>
        <v>Active</v>
      </c>
    </row>
    <row r="7234" spans="1:3" ht="18" customHeight="1">
      <c r="A7234" t="str">
        <f>"36-ME03-TG01"</f>
        <v>36-ME03-TG01</v>
      </c>
      <c r="B7234" t="str">
        <f>"JM ME03 Teacher Guide"</f>
        <v>JM ME03 Teacher Guide</v>
      </c>
      <c r="C7234" t="str">
        <f t="shared" si="278"/>
        <v>Active</v>
      </c>
    </row>
    <row r="7235" spans="1:3" ht="18" customHeight="1">
      <c r="A7235" t="str">
        <f>"36-ME03-TG01-ES"</f>
        <v>36-ME03-TG01-ES</v>
      </c>
      <c r="B7235" t="str">
        <f>"JM ME03 Teacher Guide, ES"</f>
        <v>JM ME03 Teacher Guide, ES</v>
      </c>
      <c r="C7235" t="str">
        <f t="shared" si="278"/>
        <v>Active</v>
      </c>
    </row>
    <row r="7236" spans="1:3" ht="18" customHeight="1">
      <c r="A7236" t="str">
        <f>"36-ME04-TG01"</f>
        <v>36-ME04-TG01</v>
      </c>
      <c r="B7236" t="str">
        <f>"JM ME04 Teacher Guide"</f>
        <v>JM ME04 Teacher Guide</v>
      </c>
      <c r="C7236" t="str">
        <f t="shared" si="278"/>
        <v>Active</v>
      </c>
    </row>
    <row r="7237" spans="1:3" ht="18" customHeight="1">
      <c r="A7237" t="str">
        <f>"36-ME04-TG01-ES"</f>
        <v>36-ME04-TG01-ES</v>
      </c>
      <c r="B7237" t="str">
        <f>"JM ME04 Teacher Guide, ES"</f>
        <v>JM ME04 Teacher Guide, ES</v>
      </c>
      <c r="C7237" t="str">
        <f t="shared" si="278"/>
        <v>Active</v>
      </c>
    </row>
    <row r="7238" spans="1:3" ht="18" customHeight="1">
      <c r="A7238" t="str">
        <f>"36-ME05-TG01"</f>
        <v>36-ME05-TG01</v>
      </c>
      <c r="B7238" t="str">
        <f>"JM ME05 Teacher Guide"</f>
        <v>JM ME05 Teacher Guide</v>
      </c>
      <c r="C7238" t="str">
        <f t="shared" si="278"/>
        <v>Active</v>
      </c>
    </row>
    <row r="7239" spans="1:3" ht="18" customHeight="1">
      <c r="A7239" t="str">
        <f>"36-ME05-TG01-ES"</f>
        <v>36-ME05-TG01-ES</v>
      </c>
      <c r="B7239" t="str">
        <f>"JM ME05 Teacher Guide, ES"</f>
        <v>JM ME05 Teacher Guide, ES</v>
      </c>
      <c r="C7239" t="str">
        <f t="shared" si="278"/>
        <v>Active</v>
      </c>
    </row>
    <row r="7240" spans="1:3" ht="18" customHeight="1">
      <c r="A7240" t="str">
        <f>"36-ME06-TG01"</f>
        <v>36-ME06-TG01</v>
      </c>
      <c r="B7240" t="str">
        <f>"JM ME06 Teacher Guide"</f>
        <v>JM ME06 Teacher Guide</v>
      </c>
      <c r="C7240" t="str">
        <f t="shared" si="278"/>
        <v>Active</v>
      </c>
    </row>
    <row r="7241" spans="1:3" ht="18" customHeight="1">
      <c r="A7241" t="str">
        <f>"36-ME06-TG01-ES"</f>
        <v>36-ME06-TG01-ES</v>
      </c>
      <c r="B7241" t="str">
        <f>"JM ME06 Teacher Guide, ES"</f>
        <v>JM ME06 Teacher Guide, ES</v>
      </c>
      <c r="C7241" t="str">
        <f t="shared" si="278"/>
        <v>Active</v>
      </c>
    </row>
    <row r="7242" spans="1:3" ht="18" customHeight="1">
      <c r="A7242" t="str">
        <f>"36-ME07-TG01"</f>
        <v>36-ME07-TG01</v>
      </c>
      <c r="B7242" t="str">
        <f>"JM ME07 Teacher Guide"</f>
        <v>JM ME07 Teacher Guide</v>
      </c>
      <c r="C7242" t="str">
        <f t="shared" si="278"/>
        <v>Active</v>
      </c>
    </row>
    <row r="7243" spans="1:3" ht="18" customHeight="1">
      <c r="A7243" t="str">
        <f>"36-ME07-TG01-ES"</f>
        <v>36-ME07-TG01-ES</v>
      </c>
      <c r="B7243" t="str">
        <f>"JM ME07 Teacher Guide, ES"</f>
        <v>JM ME07 Teacher Guide, ES</v>
      </c>
      <c r="C7243" t="str">
        <f t="shared" si="278"/>
        <v>Active</v>
      </c>
    </row>
    <row r="7244" spans="1:3" ht="18" customHeight="1">
      <c r="A7244" t="str">
        <f>"36-ME08-TG01"</f>
        <v>36-ME08-TG01</v>
      </c>
      <c r="B7244" t="str">
        <f>"JM ME08 Teacher Guide"</f>
        <v>JM ME08 Teacher Guide</v>
      </c>
      <c r="C7244" t="str">
        <f t="shared" si="278"/>
        <v>Active</v>
      </c>
    </row>
    <row r="7245" spans="1:3" ht="18" customHeight="1">
      <c r="A7245" t="str">
        <f>"36-ME08-TG01-ES"</f>
        <v>36-ME08-TG01-ES</v>
      </c>
      <c r="B7245" t="str">
        <f>"JM ME08 Teacher Guide, ES"</f>
        <v>JM ME08 Teacher Guide, ES</v>
      </c>
      <c r="C7245" t="str">
        <f t="shared" si="278"/>
        <v>Active</v>
      </c>
    </row>
    <row r="7246" spans="1:3" ht="18" customHeight="1">
      <c r="A7246" t="str">
        <f>"36-ME09-TG01"</f>
        <v>36-ME09-TG01</v>
      </c>
      <c r="B7246" t="str">
        <f>"JM ME09 Teacher Guide"</f>
        <v>JM ME09 Teacher Guide</v>
      </c>
      <c r="C7246" t="str">
        <f t="shared" si="278"/>
        <v>Active</v>
      </c>
    </row>
    <row r="7247" spans="1:3" ht="18" customHeight="1">
      <c r="A7247" t="str">
        <f>"36-ME09-TG01-ES"</f>
        <v>36-ME09-TG01-ES</v>
      </c>
      <c r="B7247" t="str">
        <f>"JM ME09 Teacher Guide, ES"</f>
        <v>JM ME09 Teacher Guide, ES</v>
      </c>
      <c r="C7247" t="str">
        <f t="shared" si="278"/>
        <v>Active</v>
      </c>
    </row>
    <row r="7248" spans="1:3" ht="18" customHeight="1">
      <c r="A7248" t="str">
        <f>"36-ME10-IG01"</f>
        <v>36-ME10-IG01</v>
      </c>
      <c r="B7248" t="str">
        <f>"JM, PDF on CD Power Transmission Install - ME10"</f>
        <v>JM, PDF on CD Power Transmission Install - ME10</v>
      </c>
      <c r="C7248" t="str">
        <f t="shared" si="278"/>
        <v>Active</v>
      </c>
    </row>
    <row r="7249" spans="1:3" ht="18" customHeight="1">
      <c r="A7249" t="str">
        <f>"36-ME10-IG01-ES"</f>
        <v>36-ME10-IG01-ES</v>
      </c>
      <c r="B7249" t="str">
        <f>"JM ME10 Installation Guide, ES"</f>
        <v>JM ME10 Installation Guide, ES</v>
      </c>
      <c r="C7249" t="str">
        <f t="shared" si="278"/>
        <v>Active</v>
      </c>
    </row>
    <row r="7250" spans="1:3" ht="18" customHeight="1">
      <c r="A7250" t="str">
        <f>"36-ME10-TG01"</f>
        <v>36-ME10-TG01</v>
      </c>
      <c r="B7250" t="str">
        <f>"JM ME10 Teacher Guide"</f>
        <v>JM ME10 Teacher Guide</v>
      </c>
      <c r="C7250" t="str">
        <f t="shared" si="278"/>
        <v>Active</v>
      </c>
    </row>
    <row r="7251" spans="1:3" ht="18" customHeight="1">
      <c r="A7251" t="str">
        <f>"36-ME10-TG01-ES"</f>
        <v>36-ME10-TG01-ES</v>
      </c>
      <c r="B7251" t="str">
        <f>"JM ME10 Teacher Guide, ES"</f>
        <v>JM ME10 Teacher Guide, ES</v>
      </c>
      <c r="C7251" t="str">
        <f t="shared" si="278"/>
        <v>Active</v>
      </c>
    </row>
    <row r="7252" spans="1:3" ht="18" customHeight="1">
      <c r="A7252" t="str">
        <f>"36-ME11-IG01"</f>
        <v>36-ME11-IG01</v>
      </c>
      <c r="B7252" t="str">
        <f>"JM, PDF on CD Laser Alignment Install - ME11"</f>
        <v>JM, PDF on CD Laser Alignment Install - ME11</v>
      </c>
      <c r="C7252" t="str">
        <f>"ECO-N2Mnf"</f>
        <v>ECO-N2Mnf</v>
      </c>
    </row>
    <row r="7253" spans="1:3" ht="18" customHeight="1">
      <c r="A7253" t="str">
        <f>"36-ME11-IG01-ES"</f>
        <v>36-ME11-IG01-ES</v>
      </c>
      <c r="B7253" t="str">
        <f>"JM ME11 Installation Guide, ES"</f>
        <v>JM ME11 Installation Guide, ES</v>
      </c>
      <c r="C7253" t="str">
        <f>"ECO-N2Mnf"</f>
        <v>ECO-N2Mnf</v>
      </c>
    </row>
    <row r="7254" spans="1:3" ht="18" customHeight="1">
      <c r="A7254" t="str">
        <f>"36-ME11-TG01"</f>
        <v>36-ME11-TG01</v>
      </c>
      <c r="B7254" t="str">
        <f>"JM ME11 Teacher Guide"</f>
        <v>JM ME11 Teacher Guide</v>
      </c>
      <c r="C7254" t="str">
        <f>"ECO-N2Mnf"</f>
        <v>ECO-N2Mnf</v>
      </c>
    </row>
    <row r="7255" spans="1:3" ht="18" customHeight="1">
      <c r="A7255" t="str">
        <f>"36-ME11-TG01-ES"</f>
        <v>36-ME11-TG01-ES</v>
      </c>
      <c r="B7255" t="str">
        <f>"JM ME11 Teacher Guide, ES"</f>
        <v>JM ME11 Teacher Guide, ES</v>
      </c>
      <c r="C7255" t="str">
        <f>"ECO-N2Mnf"</f>
        <v>ECO-N2Mnf</v>
      </c>
    </row>
    <row r="7256" spans="1:3" ht="18" customHeight="1">
      <c r="A7256" t="str">
        <f>"36-ME12-IG01"</f>
        <v>36-ME12-IG01</v>
      </c>
      <c r="B7256" t="str">
        <f>"JM, PDF on CD Vibration Analysis Install - ME12"</f>
        <v>JM, PDF on CD Vibration Analysis Install - ME12</v>
      </c>
      <c r="C7256" t="str">
        <f t="shared" ref="C7256:C7269" si="279">"Active"</f>
        <v>Active</v>
      </c>
    </row>
    <row r="7257" spans="1:3" ht="18" customHeight="1">
      <c r="A7257" t="str">
        <f>"36-ME12-IG01-ES"</f>
        <v>36-ME12-IG01-ES</v>
      </c>
      <c r="B7257" t="str">
        <f>"JM ME12 Installation Guide, ES"</f>
        <v>JM ME12 Installation Guide, ES</v>
      </c>
      <c r="C7257" t="str">
        <f t="shared" si="279"/>
        <v>Active</v>
      </c>
    </row>
    <row r="7258" spans="1:3" ht="18" customHeight="1">
      <c r="A7258" t="str">
        <f>"36-ME12-TG01"</f>
        <v>36-ME12-TG01</v>
      </c>
      <c r="B7258" t="str">
        <f>"JM ME12 Teacher Guide"</f>
        <v>JM ME12 Teacher Guide</v>
      </c>
      <c r="C7258" t="str">
        <f t="shared" si="279"/>
        <v>Active</v>
      </c>
    </row>
    <row r="7259" spans="1:3" ht="18" customHeight="1">
      <c r="A7259" t="str">
        <f>"36-ME12-TG01-ES"</f>
        <v>36-ME12-TG01-ES</v>
      </c>
      <c r="B7259" t="str">
        <f>"JM ME12 Teacher Guide, ES"</f>
        <v>JM ME12 Teacher Guide, ES</v>
      </c>
      <c r="C7259" t="str">
        <f t="shared" si="279"/>
        <v>Active</v>
      </c>
    </row>
    <row r="7260" spans="1:3" ht="18" customHeight="1">
      <c r="A7260" t="str">
        <f>"36-ME13-TG01"</f>
        <v>36-ME13-TG01</v>
      </c>
      <c r="B7260" t="str">
        <f>"JM ME13 Teacher Guide"</f>
        <v>JM ME13 Teacher Guide</v>
      </c>
      <c r="C7260" t="str">
        <f t="shared" si="279"/>
        <v>Active</v>
      </c>
    </row>
    <row r="7261" spans="1:3" ht="18" customHeight="1">
      <c r="A7261" t="str">
        <f>"36-ME13-TG01-ES"</f>
        <v>36-ME13-TG01-ES</v>
      </c>
      <c r="B7261" t="str">
        <f>"JM ME13 Teacher Guide, ES"</f>
        <v>JM ME13 Teacher Guide, ES</v>
      </c>
      <c r="C7261" t="str">
        <f t="shared" si="279"/>
        <v>Active</v>
      </c>
    </row>
    <row r="7262" spans="1:3" ht="18" customHeight="1">
      <c r="A7262" t="str">
        <f>"38-1001-0000"</f>
        <v>38-1001-0000</v>
      </c>
      <c r="B7262" t="str">
        <f>"Controller support set 1"</f>
        <v>Controller support set 1</v>
      </c>
      <c r="C7262" t="str">
        <f t="shared" si="279"/>
        <v>Active</v>
      </c>
    </row>
    <row r="7263" spans="1:3" ht="18" customHeight="1">
      <c r="A7263" t="str">
        <f>"38-1002-0000"</f>
        <v>38-1002-0000</v>
      </c>
      <c r="B7263" t="str">
        <f>"2 ZTE+2 covers"</f>
        <v>2 ZTE+2 covers</v>
      </c>
      <c r="C7263" t="str">
        <f t="shared" si="279"/>
        <v>Active</v>
      </c>
    </row>
    <row r="7264" spans="1:3" ht="18" customHeight="1">
      <c r="A7264" t="str">
        <f>"38-1003-0000"</f>
        <v>38-1003-0000</v>
      </c>
      <c r="B7264" t="str">
        <f>"Electronic Modules &amp; Sensor Set"</f>
        <v>Electronic Modules &amp; Sensor Set</v>
      </c>
      <c r="C7264" t="str">
        <f t="shared" si="279"/>
        <v>Active</v>
      </c>
    </row>
    <row r="7265" spans="1:3" ht="18" customHeight="1">
      <c r="A7265" t="str">
        <f>"38-1004-0000"</f>
        <v>38-1004-0000</v>
      </c>
      <c r="B7265" t="str">
        <f>"Additional Touch sensor"</f>
        <v>Additional Touch sensor</v>
      </c>
      <c r="C7265" t="str">
        <f t="shared" si="279"/>
        <v>Active</v>
      </c>
    </row>
    <row r="7266" spans="1:3" ht="18" customHeight="1">
      <c r="A7266" t="str">
        <f>"38-1005-0000"</f>
        <v>38-1005-0000</v>
      </c>
      <c r="B7266" t="str">
        <f>"Additional Reflected LightSensor (EOPD) (1)"</f>
        <v>Additional Reflected LightSensor (EOPD) (1)</v>
      </c>
      <c r="C7266" t="str">
        <f t="shared" si="279"/>
        <v>Active</v>
      </c>
    </row>
    <row r="7267" spans="1:3" ht="18" customHeight="1">
      <c r="A7267" t="str">
        <f>"38-1006-0000"</f>
        <v>38-1006-0000</v>
      </c>
      <c r="B7267" t="str">
        <f>"Color sensor"</f>
        <v>Color sensor</v>
      </c>
      <c r="C7267" t="str">
        <f t="shared" si="279"/>
        <v>Active</v>
      </c>
    </row>
    <row r="7268" spans="1:3" ht="18" customHeight="1">
      <c r="A7268" t="str">
        <f>"38-1007-0000"</f>
        <v>38-1007-0000</v>
      </c>
      <c r="B7268" t="str">
        <f>"Pitsco Student Kit"</f>
        <v>Pitsco Student Kit</v>
      </c>
      <c r="C7268" t="str">
        <f t="shared" si="279"/>
        <v>Active</v>
      </c>
    </row>
    <row r="7269" spans="1:3" ht="18" customHeight="1">
      <c r="A7269" t="str">
        <f>"39-0000-0029"</f>
        <v>39-0000-0029</v>
      </c>
      <c r="B7269" t="str">
        <f>"Safety Glasses, clear"</f>
        <v>Safety Glasses, clear</v>
      </c>
      <c r="C7269" t="str">
        <f t="shared" si="279"/>
        <v>Active</v>
      </c>
    </row>
    <row r="7270" spans="1:3" ht="18" customHeight="1">
      <c r="A7270" t="str">
        <f>"39-0000-0029old"</f>
        <v>39-0000-0029old</v>
      </c>
      <c r="B7270" t="str">
        <f>"Safety Glasses, clear"</f>
        <v>Safety Glasses, clear</v>
      </c>
      <c r="C7270" t="str">
        <f>"Inactive"</f>
        <v>Inactive</v>
      </c>
    </row>
    <row r="7271" spans="1:3" ht="18" customHeight="1">
      <c r="A7271" t="str">
        <f>"39-0000-0058"</f>
        <v>39-0000-0058</v>
      </c>
      <c r="B7271" t="str">
        <f>"TriGEL 300S Lubricant, EXM"</f>
        <v>TriGEL 300S Lubricant, EXM</v>
      </c>
      <c r="C7271" t="str">
        <f t="shared" ref="C7271:C7334" si="280">"Active"</f>
        <v>Active</v>
      </c>
    </row>
    <row r="7272" spans="1:3" ht="18" customHeight="1">
      <c r="A7272" t="str">
        <f>"39-0000-0074"</f>
        <v>39-0000-0074</v>
      </c>
      <c r="B7272" t="str">
        <f>"Hydraulic Oil Funnel Polyethylene"</f>
        <v>Hydraulic Oil Funnel Polyethylene</v>
      </c>
      <c r="C7272" t="str">
        <f t="shared" si="280"/>
        <v>Active</v>
      </c>
    </row>
    <row r="7273" spans="1:3" ht="18" customHeight="1">
      <c r="A7273" t="str">
        <f>"39-0000-0079"</f>
        <v>39-0000-0079</v>
      </c>
      <c r="B7273" t="str">
        <f>"6"" Dial Caliper"</f>
        <v>6" Dial Caliper</v>
      </c>
      <c r="C7273" t="str">
        <f t="shared" si="280"/>
        <v>Active</v>
      </c>
    </row>
    <row r="7274" spans="1:3" ht="18" customHeight="1">
      <c r="A7274" t="str">
        <f>"39-0000-0086"</f>
        <v>39-0000-0086</v>
      </c>
      <c r="B7274" t="str">
        <f>"Hydraulic Oil"</f>
        <v>Hydraulic Oil</v>
      </c>
      <c r="C7274" t="str">
        <f t="shared" si="280"/>
        <v>Active</v>
      </c>
    </row>
    <row r="7275" spans="1:3" ht="18" customHeight="1">
      <c r="A7275" t="str">
        <f>"39-0000-0088"</f>
        <v>39-0000-0088</v>
      </c>
      <c r="B7275" t="str">
        <f>"REC, Precision Scale, 10 lbs x 0.1 oz"</f>
        <v>REC, Precision Scale, 10 lbs x 0.1 oz</v>
      </c>
      <c r="C7275" t="str">
        <f t="shared" si="280"/>
        <v>Active</v>
      </c>
    </row>
    <row r="7276" spans="1:3" ht="18" customHeight="1">
      <c r="A7276" t="str">
        <f>"39-0000-0090"</f>
        <v>39-0000-0090</v>
      </c>
      <c r="B7276" t="str">
        <f>"REC, Spring Scale, 11 lbs x 0.1 lbs"</f>
        <v>REC, Spring Scale, 11 lbs x 0.1 lbs</v>
      </c>
      <c r="C7276" t="str">
        <f t="shared" si="280"/>
        <v>Active</v>
      </c>
    </row>
    <row r="7277" spans="1:3" ht="18" customHeight="1">
      <c r="A7277" t="str">
        <f>"39-0000-0101"</f>
        <v>39-0000-0101</v>
      </c>
      <c r="B7277" t="str">
        <f>"Intelitek Screwdriver"</f>
        <v>Intelitek Screwdriver</v>
      </c>
      <c r="C7277" t="str">
        <f t="shared" si="280"/>
        <v>Active</v>
      </c>
    </row>
    <row r="7278" spans="1:3" ht="18" customHeight="1">
      <c r="A7278" t="str">
        <f>"39-0000-0103"</f>
        <v>39-0000-0103</v>
      </c>
      <c r="B7278" t="str">
        <f>"Grease, Bearing, NLGI 2/3 14.1oz tube, red"</f>
        <v>Grease, Bearing, NLGI 2/3 14.1oz tube, red</v>
      </c>
      <c r="C7278" t="str">
        <f t="shared" si="280"/>
        <v>Active</v>
      </c>
    </row>
    <row r="7279" spans="1:3" ht="18" customHeight="1">
      <c r="A7279" t="str">
        <f>"400001"</f>
        <v>400001</v>
      </c>
      <c r="B7279" t="str">
        <f>"Resistor-0.1ך 5W 5%0"</f>
        <v>Resistor-0.1ך 5W 5%0</v>
      </c>
      <c r="C7279" t="str">
        <f t="shared" si="280"/>
        <v>Active</v>
      </c>
    </row>
    <row r="7280" spans="1:3" ht="18" customHeight="1">
      <c r="A7280" t="str">
        <f>"400003"</f>
        <v>400003</v>
      </c>
      <c r="B7280" t="str">
        <f>"Resistor  10R   ¼W   5%"</f>
        <v>Resistor  10R   ¼W   5%</v>
      </c>
      <c r="C7280" t="str">
        <f t="shared" si="280"/>
        <v>Active</v>
      </c>
    </row>
    <row r="7281" spans="1:3" ht="18" customHeight="1">
      <c r="A7281" t="str">
        <f>"400004"</f>
        <v>400004</v>
      </c>
      <c r="B7281" t="str">
        <f>"Resistor  100R  ¼W  5%"</f>
        <v>Resistor  100R  ¼W  5%</v>
      </c>
      <c r="C7281" t="str">
        <f t="shared" si="280"/>
        <v>Active</v>
      </c>
    </row>
    <row r="7282" spans="1:3" ht="18" customHeight="1">
      <c r="A7282" t="str">
        <f>"400006"</f>
        <v>400006</v>
      </c>
      <c r="B7282" t="str">
        <f>"Resistor  220R  ¼W  5%"</f>
        <v>Resistor  220R  ¼W  5%</v>
      </c>
      <c r="C7282" t="str">
        <f t="shared" si="280"/>
        <v>Active</v>
      </c>
    </row>
    <row r="7283" spans="1:3" ht="18" customHeight="1">
      <c r="A7283" t="str">
        <f>"400007"</f>
        <v>400007</v>
      </c>
      <c r="B7283" t="str">
        <f>"Resistor  240R  ¼W  5%"</f>
        <v>Resistor  240R  ¼W  5%</v>
      </c>
      <c r="C7283" t="str">
        <f t="shared" si="280"/>
        <v>Active</v>
      </c>
    </row>
    <row r="7284" spans="1:3" ht="18" customHeight="1">
      <c r="A7284" t="str">
        <f>"400012"</f>
        <v>400012</v>
      </c>
      <c r="B7284" t="str">
        <f>"Resistor  470R  ¼W  5%"</f>
        <v>Resistor  470R  ¼W  5%</v>
      </c>
      <c r="C7284" t="str">
        <f t="shared" si="280"/>
        <v>Active</v>
      </c>
    </row>
    <row r="7285" spans="1:3" ht="18" customHeight="1">
      <c r="A7285" t="str">
        <f>"400013"</f>
        <v>400013</v>
      </c>
      <c r="B7285" t="str">
        <f>"Resistor  51R  ¼W  5%"</f>
        <v>Resistor  51R  ¼W  5%</v>
      </c>
      <c r="C7285" t="str">
        <f t="shared" si="280"/>
        <v>Active</v>
      </c>
    </row>
    <row r="7286" spans="1:3" ht="18" customHeight="1">
      <c r="A7286" t="str">
        <f>"400015"</f>
        <v>400015</v>
      </c>
      <c r="B7286" t="str">
        <f>"Resistor  560R  ¼W  5%"</f>
        <v>Resistor  560R  ¼W  5%</v>
      </c>
      <c r="C7286" t="str">
        <f t="shared" si="280"/>
        <v>Active</v>
      </c>
    </row>
    <row r="7287" spans="1:3" ht="18" customHeight="1">
      <c r="A7287" t="str">
        <f>"400018"</f>
        <v>400018</v>
      </c>
      <c r="B7287" t="str">
        <f>"Resistor  820R  ¼W  5%"</f>
        <v>Resistor  820R  ¼W  5%</v>
      </c>
      <c r="C7287" t="str">
        <f t="shared" si="280"/>
        <v>Active</v>
      </c>
    </row>
    <row r="7288" spans="1:3" ht="18" customHeight="1">
      <c r="A7288" t="str">
        <f>"400021"</f>
        <v>400021</v>
      </c>
      <c r="B7288" t="str">
        <f>"Resistor  910R  ½W  5%"</f>
        <v>Resistor  910R  ½W  5%</v>
      </c>
      <c r="C7288" t="str">
        <f t="shared" si="280"/>
        <v>Active</v>
      </c>
    </row>
    <row r="7289" spans="1:3" ht="18" customHeight="1">
      <c r="A7289" t="str">
        <f>"400025"</f>
        <v>400025</v>
      </c>
      <c r="B7289" t="str">
        <f>"Resistor  4.7R 1/8W  5%"</f>
        <v>Resistor  4.7R 1/8W  5%</v>
      </c>
      <c r="C7289" t="str">
        <f t="shared" si="280"/>
        <v>Active</v>
      </c>
    </row>
    <row r="7290" spans="1:3" ht="18" customHeight="1">
      <c r="A7290" t="str">
        <f>"400026"</f>
        <v>400026</v>
      </c>
      <c r="B7290" t="str">
        <f>"Resistor  120R 1/8W  5%"</f>
        <v>Resistor  120R 1/8W  5%</v>
      </c>
      <c r="C7290" t="str">
        <f t="shared" si="280"/>
        <v>Active</v>
      </c>
    </row>
    <row r="7291" spans="1:3" ht="18" customHeight="1">
      <c r="A7291" t="str">
        <f>"400029"</f>
        <v>400029</v>
      </c>
      <c r="B7291" t="str">
        <f>"Resistor  150R 1/8W  1%"</f>
        <v>Resistor  150R 1/8W  1%</v>
      </c>
      <c r="C7291" t="str">
        <f t="shared" si="280"/>
        <v>Active</v>
      </c>
    </row>
    <row r="7292" spans="1:3" ht="18" customHeight="1">
      <c r="A7292" t="str">
        <f>"400032"</f>
        <v>400032</v>
      </c>
      <c r="B7292" t="str">
        <f>"Resistor  100R 1/8W  5%"</f>
        <v>Resistor  100R 1/8W  5%</v>
      </c>
      <c r="C7292" t="str">
        <f t="shared" si="280"/>
        <v>Active</v>
      </c>
    </row>
    <row r="7293" spans="1:3" ht="18" customHeight="1">
      <c r="A7293" t="str">
        <f>"400033"</f>
        <v>400033</v>
      </c>
      <c r="B7293" t="str">
        <f>"Resistor  0.51R 2W  5%"</f>
        <v>Resistor  0.51R 2W  5%</v>
      </c>
      <c r="C7293" t="str">
        <f t="shared" si="280"/>
        <v>Active</v>
      </c>
    </row>
    <row r="7294" spans="1:3" ht="18" customHeight="1">
      <c r="A7294" t="str">
        <f>"400034"</f>
        <v>400034</v>
      </c>
      <c r="B7294" t="str">
        <f>"Resistor  0.05R 3W  5%,Axial, TH"</f>
        <v>Resistor  0.05R 3W  5%,Axial, TH</v>
      </c>
      <c r="C7294" t="str">
        <f t="shared" si="280"/>
        <v>Active</v>
      </c>
    </row>
    <row r="7295" spans="1:3" ht="18" customHeight="1">
      <c r="A7295" t="str">
        <f>"400039"</f>
        <v>400039</v>
      </c>
      <c r="B7295" t="str">
        <f>"Resistor  4.7R  ¼W   1%"</f>
        <v>Resistor  4.7R  ¼W   1%</v>
      </c>
      <c r="C7295" t="str">
        <f t="shared" si="280"/>
        <v>Active</v>
      </c>
    </row>
    <row r="7296" spans="1:3" ht="18" customHeight="1">
      <c r="A7296" t="str">
        <f>"400041"</f>
        <v>400041</v>
      </c>
      <c r="B7296" t="str">
        <f>"Resistor  270R  ¼W   5%"</f>
        <v>Resistor  270R  ¼W   5%</v>
      </c>
      <c r="C7296" t="str">
        <f t="shared" si="280"/>
        <v>Active</v>
      </c>
    </row>
    <row r="7297" spans="1:3" ht="18" customHeight="1">
      <c r="A7297" t="str">
        <f>"400042"</f>
        <v>400042</v>
      </c>
      <c r="B7297" t="str">
        <f>"Resistor  51R   5%,  SMD 0805"</f>
        <v>Resistor  51R   5%,  SMD 0805</v>
      </c>
      <c r="C7297" t="str">
        <f t="shared" si="280"/>
        <v>Active</v>
      </c>
    </row>
    <row r="7298" spans="1:3" ht="18" customHeight="1">
      <c r="A7298" t="str">
        <f>"400046"</f>
        <v>400046</v>
      </c>
      <c r="B7298" t="str">
        <f>"Resistor  0.025R  3W  1%, ZOLOTOV COP."</f>
        <v>Resistor  0.025R  3W  1%, ZOLOTOV COP.</v>
      </c>
      <c r="C7298" t="str">
        <f t="shared" si="280"/>
        <v>Active</v>
      </c>
    </row>
    <row r="7299" spans="1:3" ht="18" customHeight="1">
      <c r="A7299" t="str">
        <f>"400047"</f>
        <v>400047</v>
      </c>
      <c r="B7299" t="str">
        <f>"Resistor  47R  1/8W   5%"</f>
        <v>Resistor  47R  1/8W   5%</v>
      </c>
      <c r="C7299" t="str">
        <f t="shared" si="280"/>
        <v>Active</v>
      </c>
    </row>
    <row r="7300" spans="1:3" ht="18" customHeight="1">
      <c r="A7300" t="str">
        <f>"400049"</f>
        <v>400049</v>
      </c>
      <c r="B7300" t="str">
        <f>"Resistor  1R  1/8W   5%"</f>
        <v>Resistor  1R  1/8W   5%</v>
      </c>
      <c r="C7300" t="str">
        <f t="shared" si="280"/>
        <v>Active</v>
      </c>
    </row>
    <row r="7301" spans="1:3" ht="18" customHeight="1">
      <c r="A7301" t="str">
        <f>"400050"</f>
        <v>400050</v>
      </c>
      <c r="B7301" t="str">
        <f>"Resistor  30R  1/8W   5%"</f>
        <v>Resistor  30R  1/8W   5%</v>
      </c>
      <c r="C7301" t="str">
        <f t="shared" si="280"/>
        <v>Active</v>
      </c>
    </row>
    <row r="7302" spans="1:3" ht="18" customHeight="1">
      <c r="A7302" t="str">
        <f>"400053"</f>
        <v>400053</v>
      </c>
      <c r="B7302" t="str">
        <f>"Resistor   82R   ¼W  5%"</f>
        <v>Resistor   82R   ¼W  5%</v>
      </c>
      <c r="C7302" t="str">
        <f t="shared" si="280"/>
        <v>Active</v>
      </c>
    </row>
    <row r="7303" spans="1:3" ht="18" customHeight="1">
      <c r="A7303" t="str">
        <f>"400059"</f>
        <v>400059</v>
      </c>
      <c r="B7303" t="str">
        <f>"Resistor   0R  5%, SMD 0805"</f>
        <v>Resistor   0R  5%, SMD 0805</v>
      </c>
      <c r="C7303" t="str">
        <f t="shared" si="280"/>
        <v>Active</v>
      </c>
    </row>
    <row r="7304" spans="1:3" ht="18" customHeight="1">
      <c r="A7304" t="str">
        <f>"400061"</f>
        <v>400061</v>
      </c>
      <c r="B7304" t="str">
        <f>"Resistor  330R  5%, SMD 0805"</f>
        <v>Resistor  330R  5%, SMD 0805</v>
      </c>
      <c r="C7304" t="str">
        <f t="shared" si="280"/>
        <v>Active</v>
      </c>
    </row>
    <row r="7305" spans="1:3" ht="18" customHeight="1">
      <c r="A7305" t="str">
        <f>"400062"</f>
        <v>400062</v>
      </c>
      <c r="B7305" t="str">
        <f>"Resistor  10R  5%,  SMD 0805"</f>
        <v>Resistor  10R  5%,  SMD 0805</v>
      </c>
      <c r="C7305" t="str">
        <f t="shared" si="280"/>
        <v>Active</v>
      </c>
    </row>
    <row r="7306" spans="1:3" ht="18" customHeight="1">
      <c r="A7306" t="str">
        <f>"400063"</f>
        <v>400063</v>
      </c>
      <c r="B7306" t="str">
        <f>"Resistor  24R  0.1W  5%, SMD 0805"</f>
        <v>Resistor  24R  0.1W  5%, SMD 0805</v>
      </c>
      <c r="C7306" t="str">
        <f t="shared" si="280"/>
        <v>Active</v>
      </c>
    </row>
    <row r="7307" spans="1:3" ht="18" customHeight="1">
      <c r="A7307" t="str">
        <f>"400064"</f>
        <v>400064</v>
      </c>
      <c r="B7307" t="str">
        <f>"Resistor  47R  0.1W  5%, SMD 0805"</f>
        <v>Resistor  47R  0.1W  5%, SMD 0805</v>
      </c>
      <c r="C7307" t="str">
        <f t="shared" si="280"/>
        <v>Active</v>
      </c>
    </row>
    <row r="7308" spans="1:3" ht="18" customHeight="1">
      <c r="A7308" t="str">
        <f>"400065"</f>
        <v>400065</v>
      </c>
      <c r="B7308" t="str">
        <f>"Resistor  100R  5%,  SMD 0805"</f>
        <v>Resistor  100R  5%,  SMD 0805</v>
      </c>
      <c r="C7308" t="str">
        <f t="shared" si="280"/>
        <v>Active</v>
      </c>
    </row>
    <row r="7309" spans="1:3" ht="18" customHeight="1">
      <c r="A7309" t="str">
        <f>"400066"</f>
        <v>400066</v>
      </c>
      <c r="B7309" t="str">
        <f>"Resistor  10R  5%,  SMD 0603"</f>
        <v>Resistor  10R  5%,  SMD 0603</v>
      </c>
      <c r="C7309" t="str">
        <f t="shared" si="280"/>
        <v>Active</v>
      </c>
    </row>
    <row r="7310" spans="1:3" ht="18" customHeight="1">
      <c r="A7310" t="str">
        <f>"400067"</f>
        <v>400067</v>
      </c>
      <c r="B7310" t="str">
        <f>"Resistor  22R  5%, SMD 0603"</f>
        <v>Resistor  22R  5%, SMD 0603</v>
      </c>
      <c r="C7310" t="str">
        <f t="shared" si="280"/>
        <v>Active</v>
      </c>
    </row>
    <row r="7311" spans="1:3" ht="18" customHeight="1">
      <c r="A7311" t="str">
        <f>"400068"</f>
        <v>400068</v>
      </c>
      <c r="B7311" t="str">
        <f>"Resistor  100R  5%, SMD 0603"</f>
        <v>Resistor  100R  5%, SMD 0603</v>
      </c>
      <c r="C7311" t="str">
        <f t="shared" si="280"/>
        <v>Active</v>
      </c>
    </row>
    <row r="7312" spans="1:3" ht="18" customHeight="1">
      <c r="A7312" t="str">
        <f>"400069"</f>
        <v>400069</v>
      </c>
      <c r="B7312" t="str">
        <f>"Resistor  680R  5%, SMD 0603"</f>
        <v>Resistor  680R  5%, SMD 0603</v>
      </c>
      <c r="C7312" t="str">
        <f t="shared" si="280"/>
        <v>Active</v>
      </c>
    </row>
    <row r="7313" spans="1:3" ht="18" customHeight="1">
      <c r="A7313" t="str">
        <f>"400070"</f>
        <v>400070</v>
      </c>
      <c r="B7313" t="str">
        <f>"Resistor  680R  5%, SMD 0805"</f>
        <v>Resistor  680R  5%, SMD 0805</v>
      </c>
      <c r="C7313" t="str">
        <f t="shared" si="280"/>
        <v>Active</v>
      </c>
    </row>
    <row r="7314" spans="1:3" ht="18" customHeight="1">
      <c r="A7314" t="str">
        <f>"400071"</f>
        <v>400071</v>
      </c>
      <c r="B7314" t="str">
        <f>"Resistor  750R  5%, SMD 0805"</f>
        <v>Resistor  750R  5%, SMD 0805</v>
      </c>
      <c r="C7314" t="str">
        <f t="shared" si="280"/>
        <v>Active</v>
      </c>
    </row>
    <row r="7315" spans="1:3" ht="18" customHeight="1">
      <c r="A7315" t="str">
        <f>"400072"</f>
        <v>400072</v>
      </c>
      <c r="B7315" t="str">
        <f>"Resistor  0R  ½W  5%, Axial, TH"</f>
        <v>Resistor  0R  ½W  5%, Axial, TH</v>
      </c>
      <c r="C7315" t="str">
        <f t="shared" si="280"/>
        <v>Active</v>
      </c>
    </row>
    <row r="7316" spans="1:3" ht="18" customHeight="1">
      <c r="A7316" t="str">
        <f>"400073"</f>
        <v>400073</v>
      </c>
      <c r="B7316" t="str">
        <f>"Resistor  0.05R 3W 1%, SMD, MP725-0050 CADDOCK"</f>
        <v>Resistor  0.05R 3W 1%, SMD, MP725-0050 CADDOCK</v>
      </c>
      <c r="C7316" t="str">
        <f t="shared" si="280"/>
        <v>Active</v>
      </c>
    </row>
    <row r="7317" spans="1:3" ht="18" customHeight="1">
      <c r="A7317" t="str">
        <f>"400074"</f>
        <v>400074</v>
      </c>
      <c r="B7317" t="str">
        <f>"Resistor  0R  5%, SMD 0603"</f>
        <v>Resistor  0R  5%, SMD 0603</v>
      </c>
      <c r="C7317" t="str">
        <f t="shared" si="280"/>
        <v>Active</v>
      </c>
    </row>
    <row r="7318" spans="1:3" ht="18" customHeight="1">
      <c r="A7318" t="str">
        <f>"400075"</f>
        <v>400075</v>
      </c>
      <c r="B7318" t="str">
        <f>"RES. 0603 47R 1% SMD"</f>
        <v>RES. 0603 47R 1% SMD</v>
      </c>
      <c r="C7318" t="str">
        <f t="shared" si="280"/>
        <v>Active</v>
      </c>
    </row>
    <row r="7319" spans="1:3" ht="18" customHeight="1">
      <c r="A7319" t="str">
        <f>"400301"</f>
        <v>400301</v>
      </c>
      <c r="B7319" t="str">
        <f>"Resistor 1.5K   ¼W  5%"</f>
        <v>Resistor 1.5K   ¼W  5%</v>
      </c>
      <c r="C7319" t="str">
        <f t="shared" si="280"/>
        <v>Active</v>
      </c>
    </row>
    <row r="7320" spans="1:3" ht="18" customHeight="1">
      <c r="A7320" t="str">
        <f>"400303"</f>
        <v>400303</v>
      </c>
      <c r="B7320" t="str">
        <f>"Resistor 1K   ¼W  5%"</f>
        <v>Resistor 1K   ¼W  5%</v>
      </c>
      <c r="C7320" t="str">
        <f t="shared" si="280"/>
        <v>Active</v>
      </c>
    </row>
    <row r="7321" spans="1:3" ht="18" customHeight="1">
      <c r="A7321" t="str">
        <f>"400306"</f>
        <v>400306</v>
      </c>
      <c r="B7321" t="str">
        <f>"Resistor  2K  ¼W  5%"</f>
        <v>Resistor  2K  ¼W  5%</v>
      </c>
      <c r="C7321" t="str">
        <f t="shared" si="280"/>
        <v>Active</v>
      </c>
    </row>
    <row r="7322" spans="1:3" ht="18" customHeight="1">
      <c r="A7322" t="str">
        <f>"400309"</f>
        <v>400309</v>
      </c>
      <c r="B7322" t="str">
        <f>"Resistor  3K   ¼W  5%"</f>
        <v>Resistor  3K   ¼W  5%</v>
      </c>
      <c r="C7322" t="str">
        <f t="shared" si="280"/>
        <v>Active</v>
      </c>
    </row>
    <row r="7323" spans="1:3" ht="18" customHeight="1">
      <c r="A7323" t="str">
        <f>"400310"</f>
        <v>400310</v>
      </c>
      <c r="B7323" t="str">
        <f>"Resistor  4.7K   ¼W  5%"</f>
        <v>Resistor  4.7K   ¼W  5%</v>
      </c>
      <c r="C7323" t="str">
        <f t="shared" si="280"/>
        <v>Active</v>
      </c>
    </row>
    <row r="7324" spans="1:3" ht="18" customHeight="1">
      <c r="A7324" t="str">
        <f>"400312"</f>
        <v>400312</v>
      </c>
      <c r="B7324" t="str">
        <f>"Resistor, 2k, ½W, 5%"</f>
        <v>Resistor, 2k, ½W, 5%</v>
      </c>
      <c r="C7324" t="str">
        <f t="shared" si="280"/>
        <v>Active</v>
      </c>
    </row>
    <row r="7325" spans="1:3" ht="18" customHeight="1">
      <c r="A7325" t="str">
        <f>"400325"</f>
        <v>400325</v>
      </c>
      <c r="B7325" t="str">
        <f>"Resistor  2.49K   ¼W  1%"</f>
        <v>Resistor  2.49K   ¼W  1%</v>
      </c>
      <c r="C7325" t="str">
        <f t="shared" si="280"/>
        <v>Active</v>
      </c>
    </row>
    <row r="7326" spans="1:3" ht="18" customHeight="1">
      <c r="A7326" t="str">
        <f>"400328"</f>
        <v>400328</v>
      </c>
      <c r="B7326" t="str">
        <f>"Resistor  2.2K 1/8W  5%"</f>
        <v>Resistor  2.2K 1/8W  5%</v>
      </c>
      <c r="C7326" t="str">
        <f t="shared" si="280"/>
        <v>Active</v>
      </c>
    </row>
    <row r="7327" spans="1:3" ht="18" customHeight="1">
      <c r="A7327" t="str">
        <f>"400329"</f>
        <v>400329</v>
      </c>
      <c r="B7327" t="str">
        <f>"Resistor  2.7K 1/8W  5%"</f>
        <v>Resistor  2.7K 1/8W  5%</v>
      </c>
      <c r="C7327" t="str">
        <f t="shared" si="280"/>
        <v>Active</v>
      </c>
    </row>
    <row r="7328" spans="1:3" ht="18" customHeight="1">
      <c r="A7328" t="str">
        <f>"400331"</f>
        <v>400331</v>
      </c>
      <c r="B7328" t="str">
        <f>"Resistor  4.7K 1/8W  1%"</f>
        <v>Resistor  4.7K 1/8W  1%</v>
      </c>
      <c r="C7328" t="str">
        <f t="shared" si="280"/>
        <v>Active</v>
      </c>
    </row>
    <row r="7329" spans="1:3" ht="18" customHeight="1">
      <c r="A7329" t="str">
        <f>"400333"</f>
        <v>400333</v>
      </c>
      <c r="B7329" t="str">
        <f>"Resistor  1K 1/8W  1%"</f>
        <v>Resistor  1K 1/8W  1%</v>
      </c>
      <c r="C7329" t="str">
        <f t="shared" si="280"/>
        <v>Active</v>
      </c>
    </row>
    <row r="7330" spans="1:3" ht="18" customHeight="1">
      <c r="A7330" t="str">
        <f>"400337"</f>
        <v>400337</v>
      </c>
      <c r="B7330" t="str">
        <f>"Resistor  4.7K  ½W   5%"</f>
        <v>Resistor  4.7K  ½W   5%</v>
      </c>
      <c r="C7330" t="str">
        <f t="shared" si="280"/>
        <v>Active</v>
      </c>
    </row>
    <row r="7331" spans="1:3" ht="18" customHeight="1">
      <c r="A7331" t="str">
        <f>"400338"</f>
        <v>400338</v>
      </c>
      <c r="B7331" t="str">
        <f>"Resistor  3.9K  ½W  5%"</f>
        <v>Resistor  3.9K  ½W  5%</v>
      </c>
      <c r="C7331" t="str">
        <f t="shared" si="280"/>
        <v>Active</v>
      </c>
    </row>
    <row r="7332" spans="1:3" ht="18" customHeight="1">
      <c r="A7332" t="str">
        <f>"400339"</f>
        <v>400339</v>
      </c>
      <c r="B7332" t="str">
        <f>"Resistor 2.2K   5%, SMD 0805"</f>
        <v>Resistor 2.2K   5%, SMD 0805</v>
      </c>
      <c r="C7332" t="str">
        <f t="shared" si="280"/>
        <v>Active</v>
      </c>
    </row>
    <row r="7333" spans="1:3" ht="18" customHeight="1">
      <c r="A7333" t="str">
        <f>"400340"</f>
        <v>400340</v>
      </c>
      <c r="B7333" t="str">
        <f>"Resistor  1.2K  5%  1/8W"</f>
        <v>Resistor  1.2K  5%  1/8W</v>
      </c>
      <c r="C7333" t="str">
        <f t="shared" si="280"/>
        <v>Active</v>
      </c>
    </row>
    <row r="7334" spans="1:3" ht="18" customHeight="1">
      <c r="A7334" t="str">
        <f>"400343"</f>
        <v>400343</v>
      </c>
      <c r="B7334" t="str">
        <f>"Resistor  2K  1W  5%"</f>
        <v>Resistor  2K  1W  5%</v>
      </c>
      <c r="C7334" t="str">
        <f t="shared" si="280"/>
        <v>Active</v>
      </c>
    </row>
    <row r="7335" spans="1:3" ht="18" customHeight="1">
      <c r="A7335" t="str">
        <f>"400345"</f>
        <v>400345</v>
      </c>
      <c r="B7335" t="str">
        <f>"Resistor  3K  5%  0.1W, SMD 0805"</f>
        <v>Resistor  3K  5%  0.1W, SMD 0805</v>
      </c>
      <c r="C7335" t="str">
        <f t="shared" ref="C7335:C7398" si="281">"Active"</f>
        <v>Active</v>
      </c>
    </row>
    <row r="7336" spans="1:3" ht="18" customHeight="1">
      <c r="A7336" t="str">
        <f>"400346"</f>
        <v>400346</v>
      </c>
      <c r="B7336" t="str">
        <f>"Resistor  3.3K 5%  0.1W, SMD 0805"</f>
        <v>Resistor  3.3K 5%  0.1W, SMD 0805</v>
      </c>
      <c r="C7336" t="str">
        <f t="shared" si="281"/>
        <v>Active</v>
      </c>
    </row>
    <row r="7337" spans="1:3" ht="18" customHeight="1">
      <c r="A7337" t="str">
        <f>"400347"</f>
        <v>400347</v>
      </c>
      <c r="B7337" t="str">
        <f>"Resistor  2.4K 5%  0.1W, SMD 0805"</f>
        <v>Resistor  2.4K 5%  0.1W, SMD 0805</v>
      </c>
      <c r="C7337" t="str">
        <f t="shared" si="281"/>
        <v>Active</v>
      </c>
    </row>
    <row r="7338" spans="1:3" ht="18" customHeight="1">
      <c r="A7338" t="str">
        <f>"400348"</f>
        <v>400348</v>
      </c>
      <c r="B7338" t="str">
        <f>"Resistor  1K  1%, SMD 0805"</f>
        <v>Resistor  1K  1%, SMD 0805</v>
      </c>
      <c r="C7338" t="str">
        <f t="shared" si="281"/>
        <v>Active</v>
      </c>
    </row>
    <row r="7339" spans="1:3" ht="18" customHeight="1">
      <c r="A7339" t="str">
        <f>"400350"</f>
        <v>400350</v>
      </c>
      <c r="B7339" t="str">
        <f>"Resistor  4.7K 1/4W  5%, SMD 1206"</f>
        <v>Resistor  4.7K 1/4W  5%, SMD 1206</v>
      </c>
      <c r="C7339" t="str">
        <f t="shared" si="281"/>
        <v>Active</v>
      </c>
    </row>
    <row r="7340" spans="1:3" ht="18" customHeight="1">
      <c r="A7340" t="str">
        <f>"400351"</f>
        <v>400351</v>
      </c>
      <c r="B7340" t="str">
        <f>"Resistor  1K  1%, SMD 0603"</f>
        <v>Resistor  1K  1%, SMD 0603</v>
      </c>
      <c r="C7340" t="str">
        <f t="shared" si="281"/>
        <v>Active</v>
      </c>
    </row>
    <row r="7341" spans="1:3" ht="18" customHeight="1">
      <c r="A7341" t="str">
        <f>"400352"</f>
        <v>400352</v>
      </c>
      <c r="B7341" t="str">
        <f>"Resistor  1.5K 1%, SMD 0603"</f>
        <v>Resistor  1.5K 1%, SMD 0603</v>
      </c>
      <c r="C7341" t="str">
        <f t="shared" si="281"/>
        <v>Active</v>
      </c>
    </row>
    <row r="7342" spans="1:3" ht="18" customHeight="1">
      <c r="A7342" t="str">
        <f>"400353"</f>
        <v>400353</v>
      </c>
      <c r="B7342" t="str">
        <f>"Resistor  2K  1%, SMD 0603"</f>
        <v>Resistor  2K  1%, SMD 0603</v>
      </c>
      <c r="C7342" t="str">
        <f t="shared" si="281"/>
        <v>Active</v>
      </c>
    </row>
    <row r="7343" spans="1:3" ht="18" customHeight="1">
      <c r="A7343" t="str">
        <f>"400354"</f>
        <v>400354</v>
      </c>
      <c r="B7343" t="str">
        <f>"Resistor  4.7K  5%, SMD 0603"</f>
        <v>Resistor  4.7K  5%, SMD 0603</v>
      </c>
      <c r="C7343" t="str">
        <f t="shared" si="281"/>
        <v>Active</v>
      </c>
    </row>
    <row r="7344" spans="1:3" ht="18" customHeight="1">
      <c r="A7344" t="str">
        <f>"400355"</f>
        <v>400355</v>
      </c>
      <c r="B7344" t="str">
        <f>"Resistor  4.99K  1%, SMD 0603"</f>
        <v>Resistor  4.99K  1%, SMD 0603</v>
      </c>
      <c r="C7344" t="str">
        <f t="shared" si="281"/>
        <v>Active</v>
      </c>
    </row>
    <row r="7345" spans="1:3" ht="18" customHeight="1">
      <c r="A7345" t="str">
        <f>"400356"</f>
        <v>400356</v>
      </c>
      <c r="B7345" t="str">
        <f>"Resistor  1.5K  5%, SMD 0805"</f>
        <v>Resistor  1.5K  5%, SMD 0805</v>
      </c>
      <c r="C7345" t="str">
        <f t="shared" si="281"/>
        <v>Active</v>
      </c>
    </row>
    <row r="7346" spans="1:3" ht="18" customHeight="1">
      <c r="A7346" t="str">
        <f>"400357"</f>
        <v>400357</v>
      </c>
      <c r="B7346" t="str">
        <f>"Resistor  2K  1%, SMD 0805"</f>
        <v>Resistor  2K  1%, SMD 0805</v>
      </c>
      <c r="C7346" t="str">
        <f t="shared" si="281"/>
        <v>Active</v>
      </c>
    </row>
    <row r="7347" spans="1:3" ht="18" customHeight="1">
      <c r="A7347" t="str">
        <f>"400358"</f>
        <v>400358</v>
      </c>
      <c r="B7347" t="str">
        <f>"Resistor  4.99K  1%, SMD 0805"</f>
        <v>Resistor  4.99K  1%, SMD 0805</v>
      </c>
      <c r="C7347" t="str">
        <f t="shared" si="281"/>
        <v>Active</v>
      </c>
    </row>
    <row r="7348" spans="1:3" ht="18" customHeight="1">
      <c r="A7348" t="str">
        <f>"400359"</f>
        <v>400359</v>
      </c>
      <c r="B7348" t="str">
        <f>"Resistor  4.7K  5%, SMD 0805"</f>
        <v>Resistor  4.7K  5%, SMD 0805</v>
      </c>
      <c r="C7348" t="str">
        <f t="shared" si="281"/>
        <v>Active</v>
      </c>
    </row>
    <row r="7349" spans="1:3" ht="18" customHeight="1">
      <c r="A7349" t="str">
        <f>"400360"</f>
        <v>400360</v>
      </c>
      <c r="B7349" t="str">
        <f>"Resistor  3.16K  1%, SMD 0603"</f>
        <v>Resistor  3.16K  1%, SMD 0603</v>
      </c>
      <c r="C7349" t="str">
        <f t="shared" si="281"/>
        <v>Active</v>
      </c>
    </row>
    <row r="7350" spans="1:3" ht="18" customHeight="1">
      <c r="A7350" t="str">
        <f>"400361"</f>
        <v>400361</v>
      </c>
      <c r="B7350" t="str">
        <f>"RES. 0603 1.2K 1% SMD"</f>
        <v>RES. 0603 1.2K 1% SMD</v>
      </c>
      <c r="C7350" t="str">
        <f t="shared" si="281"/>
        <v>Active</v>
      </c>
    </row>
    <row r="7351" spans="1:3" ht="18" customHeight="1">
      <c r="A7351" t="str">
        <f>"400601"</f>
        <v>400601</v>
      </c>
      <c r="B7351" t="str">
        <f>"Resistor  5.6K   ¼W   5%"</f>
        <v>Resistor  5.6K   ¼W   5%</v>
      </c>
      <c r="C7351" t="str">
        <f t="shared" si="281"/>
        <v>Active</v>
      </c>
    </row>
    <row r="7352" spans="1:3" ht="18" customHeight="1">
      <c r="A7352" t="str">
        <f>"400602"</f>
        <v>400602</v>
      </c>
      <c r="B7352" t="str">
        <f>"Resistor  10K   ¼W  5%"</f>
        <v>Resistor  10K   ¼W  5%</v>
      </c>
      <c r="C7352" t="str">
        <f t="shared" si="281"/>
        <v>Active</v>
      </c>
    </row>
    <row r="7353" spans="1:3" ht="18" customHeight="1">
      <c r="A7353" t="str">
        <f>"400603"</f>
        <v>400603</v>
      </c>
      <c r="B7353" t="str">
        <f>"Resistor  7.5K   ¼W  5%"</f>
        <v>Resistor  7.5K   ¼W  5%</v>
      </c>
      <c r="C7353" t="str">
        <f t="shared" si="281"/>
        <v>Active</v>
      </c>
    </row>
    <row r="7354" spans="1:3" ht="18" customHeight="1">
      <c r="A7354" t="str">
        <f>"400604"</f>
        <v>400604</v>
      </c>
      <c r="B7354" t="str">
        <f>"Resistor  8.2K   ¼W  5%"</f>
        <v>Resistor  8.2K   ¼W  5%</v>
      </c>
      <c r="C7354" t="str">
        <f t="shared" si="281"/>
        <v>Active</v>
      </c>
    </row>
    <row r="7355" spans="1:3" ht="18" customHeight="1">
      <c r="A7355" t="str">
        <f>"400605"</f>
        <v>400605</v>
      </c>
      <c r="B7355" t="str">
        <f>"Resistor  10K  1/8W  1%"</f>
        <v>Resistor  10K  1/8W  1%</v>
      </c>
      <c r="C7355" t="str">
        <f t="shared" si="281"/>
        <v>Active</v>
      </c>
    </row>
    <row r="7356" spans="1:3" ht="18" customHeight="1">
      <c r="A7356" t="str">
        <f>"400606"</f>
        <v>400606</v>
      </c>
      <c r="B7356" t="str">
        <f>"Resistor  5.1K  1/8W  1%"</f>
        <v>Resistor  5.1K  1/8W  1%</v>
      </c>
      <c r="C7356" t="str">
        <f t="shared" si="281"/>
        <v>Active</v>
      </c>
    </row>
    <row r="7357" spans="1:3" ht="18" customHeight="1">
      <c r="A7357" t="str">
        <f>"400609"</f>
        <v>400609</v>
      </c>
      <c r="B7357" t="str">
        <f>"Resistor  5.1K   ¼W  5%"</f>
        <v>Resistor  5.1K   ¼W  5%</v>
      </c>
      <c r="C7357" t="str">
        <f t="shared" si="281"/>
        <v>Active</v>
      </c>
    </row>
    <row r="7358" spans="1:3" ht="18" customHeight="1">
      <c r="A7358" t="str">
        <f>"400610"</f>
        <v>400610</v>
      </c>
      <c r="B7358" t="str">
        <f>"Resistor  5.6K  1/8W  5%"</f>
        <v>Resistor  5.6K  1/8W  5%</v>
      </c>
      <c r="C7358" t="str">
        <f t="shared" si="281"/>
        <v>Active</v>
      </c>
    </row>
    <row r="7359" spans="1:3" ht="18" customHeight="1">
      <c r="A7359" t="str">
        <f>"400611"</f>
        <v>400611</v>
      </c>
      <c r="B7359" t="str">
        <f>"Resistor  5.1K  5%  0.1W, SMD 0805"</f>
        <v>Resistor  5.1K  5%  0.1W, SMD 0805</v>
      </c>
      <c r="C7359" t="str">
        <f t="shared" si="281"/>
        <v>Active</v>
      </c>
    </row>
    <row r="7360" spans="1:3" ht="18" customHeight="1">
      <c r="A7360" t="str">
        <f>"400612"</f>
        <v>400612</v>
      </c>
      <c r="B7360" t="str">
        <f>"Resistor  10K  5%, SMD 0805"</f>
        <v>Resistor  10K  5%, SMD 0805</v>
      </c>
      <c r="C7360" t="str">
        <f t="shared" si="281"/>
        <v>Active</v>
      </c>
    </row>
    <row r="7361" spans="1:3" ht="18" customHeight="1">
      <c r="A7361" t="str">
        <f>"400613"</f>
        <v>400613</v>
      </c>
      <c r="B7361" t="str">
        <f>"Resistor   7.5K 5%, SMD 0805"</f>
        <v>Resistor   7.5K 5%, SMD 0805</v>
      </c>
      <c r="C7361" t="str">
        <f t="shared" si="281"/>
        <v>Active</v>
      </c>
    </row>
    <row r="7362" spans="1:3" ht="18" customHeight="1">
      <c r="A7362" t="str">
        <f>"400614"</f>
        <v>400614</v>
      </c>
      <c r="B7362" t="str">
        <f>"Resistor  10K 0.1W 1%, SMD 0805  TC=100PT"</f>
        <v>Resistor  10K 0.1W 1%, SMD 0805  TC=100PT</v>
      </c>
      <c r="C7362" t="str">
        <f t="shared" si="281"/>
        <v>Active</v>
      </c>
    </row>
    <row r="7363" spans="1:3" ht="18" customHeight="1">
      <c r="A7363" t="str">
        <f>"400615"</f>
        <v>400615</v>
      </c>
      <c r="B7363" t="str">
        <f>"Resistor  6.19K  1%, SMD 0603"</f>
        <v>Resistor  6.19K  1%, SMD 0603</v>
      </c>
      <c r="C7363" t="str">
        <f t="shared" si="281"/>
        <v>Active</v>
      </c>
    </row>
    <row r="7364" spans="1:3" ht="18" customHeight="1">
      <c r="A7364" t="str">
        <f>"400616"</f>
        <v>400616</v>
      </c>
      <c r="B7364" t="str">
        <f>"Resistor  7.5K  1%, SMD 0603"</f>
        <v>Resistor  7.5K  1%, SMD 0603</v>
      </c>
      <c r="C7364" t="str">
        <f t="shared" si="281"/>
        <v>Active</v>
      </c>
    </row>
    <row r="7365" spans="1:3" ht="18" customHeight="1">
      <c r="A7365" t="str">
        <f>"400617"</f>
        <v>400617</v>
      </c>
      <c r="B7365" t="str">
        <f>"Resistor  10.0K  1%, SMD 0603"</f>
        <v>Resistor  10.0K  1%, SMD 0603</v>
      </c>
      <c r="C7365" t="str">
        <f t="shared" si="281"/>
        <v>Active</v>
      </c>
    </row>
    <row r="7366" spans="1:3" ht="18" customHeight="1">
      <c r="A7366" t="str">
        <f>"400618"</f>
        <v>400618</v>
      </c>
      <c r="B7366" t="str">
        <f>"Resistor  7.5K  5%, SMD 1206"</f>
        <v>Resistor  7.5K  5%, SMD 1206</v>
      </c>
      <c r="C7366" t="str">
        <f t="shared" si="281"/>
        <v>Active</v>
      </c>
    </row>
    <row r="7367" spans="1:3" ht="18" customHeight="1">
      <c r="A7367" t="str">
        <f>"400619"</f>
        <v>400619</v>
      </c>
      <c r="B7367" t="str">
        <f>"Resistor 10R 5%, SMD 0603"</f>
        <v>Resistor 10R 5%, SMD 0603</v>
      </c>
      <c r="C7367" t="str">
        <f t="shared" si="281"/>
        <v>Active</v>
      </c>
    </row>
    <row r="7368" spans="1:3" ht="18" customHeight="1">
      <c r="A7368" t="str">
        <f>"400903"</f>
        <v>400903</v>
      </c>
      <c r="B7368" t="str">
        <f>"Resistor  20K   ¼W  5%"</f>
        <v>Resistor  20K   ¼W  5%</v>
      </c>
      <c r="C7368" t="str">
        <f t="shared" si="281"/>
        <v>Active</v>
      </c>
    </row>
    <row r="7369" spans="1:3" ht="18" customHeight="1">
      <c r="A7369" t="str">
        <f>"400904"</f>
        <v>400904</v>
      </c>
      <c r="B7369" t="str">
        <f>"Resistor  20K   ¼W  1%"</f>
        <v>Resistor  20K   ¼W  1%</v>
      </c>
      <c r="C7369" t="str">
        <f t="shared" si="281"/>
        <v>Active</v>
      </c>
    </row>
    <row r="7370" spans="1:3" ht="18" customHeight="1">
      <c r="A7370" t="str">
        <f>"400905"</f>
        <v>400905</v>
      </c>
      <c r="B7370" t="str">
        <f>"Resistor  18K  1/8W  1%"</f>
        <v>Resistor  18K  1/8W  1%</v>
      </c>
      <c r="C7370" t="str">
        <f t="shared" si="281"/>
        <v>Active</v>
      </c>
    </row>
    <row r="7371" spans="1:3" ht="18" customHeight="1">
      <c r="A7371" t="str">
        <f>"400906"</f>
        <v>400906</v>
      </c>
      <c r="B7371" t="str">
        <f>"Resistor  20K  1/8W  1%"</f>
        <v>Resistor  20K  1/8W  1%</v>
      </c>
      <c r="C7371" t="str">
        <f t="shared" si="281"/>
        <v>Active</v>
      </c>
    </row>
    <row r="7372" spans="1:3" ht="18" customHeight="1">
      <c r="A7372" t="str">
        <f>"400907"</f>
        <v>400907</v>
      </c>
      <c r="B7372" t="str">
        <f>"Resistor  15K  1/8W  5%"</f>
        <v>Resistor  15K  1/8W  5%</v>
      </c>
      <c r="C7372" t="str">
        <f t="shared" si="281"/>
        <v>Active</v>
      </c>
    </row>
    <row r="7373" spans="1:3" ht="18" customHeight="1">
      <c r="A7373" t="str">
        <f>"400912"</f>
        <v>400912</v>
      </c>
      <c r="B7373" t="str">
        <f>"Resistor  20K 1%, SMD 0805"</f>
        <v>Resistor  20K 1%, SMD 0805</v>
      </c>
      <c r="C7373" t="str">
        <f t="shared" si="281"/>
        <v>Active</v>
      </c>
    </row>
    <row r="7374" spans="1:3" ht="18" customHeight="1">
      <c r="A7374" t="str">
        <f>"400913"</f>
        <v>400913</v>
      </c>
      <c r="B7374" t="str">
        <f>"Resistor  20K 5%, SMD 0805"</f>
        <v>Resistor  20K 5%, SMD 0805</v>
      </c>
      <c r="C7374" t="str">
        <f t="shared" si="281"/>
        <v>Active</v>
      </c>
    </row>
    <row r="7375" spans="1:3" ht="18" customHeight="1">
      <c r="A7375" t="str">
        <f>"400914"</f>
        <v>400914</v>
      </c>
      <c r="B7375" t="str">
        <f>"Resistor  15K 1%, SMD 0603"</f>
        <v>Resistor  15K 1%, SMD 0603</v>
      </c>
      <c r="C7375" t="str">
        <f t="shared" si="281"/>
        <v>Active</v>
      </c>
    </row>
    <row r="7376" spans="1:3" ht="18" customHeight="1">
      <c r="A7376" t="str">
        <f>"400915"</f>
        <v>400915</v>
      </c>
      <c r="B7376" t="str">
        <f>"Resistor  17.4K 1%, SMD 0603"</f>
        <v>Resistor  17.4K 1%, SMD 0603</v>
      </c>
      <c r="C7376" t="str">
        <f t="shared" si="281"/>
        <v>Active</v>
      </c>
    </row>
    <row r="7377" spans="1:3" ht="18" customHeight="1">
      <c r="A7377" t="str">
        <f>"400916"</f>
        <v>400916</v>
      </c>
      <c r="B7377" t="str">
        <f>"RES.0603 20.0K 1% SMD"</f>
        <v>RES.0603 20.0K 1% SMD</v>
      </c>
      <c r="C7377" t="str">
        <f t="shared" si="281"/>
        <v>Active</v>
      </c>
    </row>
    <row r="7378" spans="1:3" ht="18" customHeight="1">
      <c r="A7378" t="str">
        <f>"400917"</f>
        <v>400917</v>
      </c>
      <c r="B7378" t="str">
        <f>"RES. 0603 22.0K 1% SMD"</f>
        <v>RES. 0603 22.0K 1% SMD</v>
      </c>
      <c r="C7378" t="str">
        <f t="shared" si="281"/>
        <v>Active</v>
      </c>
    </row>
    <row r="7379" spans="1:3" ht="18" customHeight="1">
      <c r="A7379" t="str">
        <f>"400918"</f>
        <v>400918</v>
      </c>
      <c r="B7379" t="str">
        <f>"Resistor 18K 1%,SMD 0603"</f>
        <v>Resistor 18K 1%,SMD 0603</v>
      </c>
      <c r="C7379" t="str">
        <f t="shared" si="281"/>
        <v>Active</v>
      </c>
    </row>
    <row r="7380" spans="1:3" ht="18" customHeight="1">
      <c r="A7380" t="str">
        <f>"401202"</f>
        <v>401202</v>
      </c>
      <c r="B7380" t="str">
        <f>"Resistor  1M   ¼W  5%"</f>
        <v>Resistor  1M   ¼W  5%</v>
      </c>
      <c r="C7380" t="str">
        <f t="shared" si="281"/>
        <v>Active</v>
      </c>
    </row>
    <row r="7381" spans="1:3" ht="18" customHeight="1">
      <c r="A7381" t="str">
        <f>"401204"</f>
        <v>401204</v>
      </c>
      <c r="B7381" t="str">
        <f>"Resistor  30K   ¼W  5%"</f>
        <v>Resistor  30K   ¼W  5%</v>
      </c>
      <c r="C7381" t="str">
        <f t="shared" si="281"/>
        <v>Active</v>
      </c>
    </row>
    <row r="7382" spans="1:3" ht="18" customHeight="1">
      <c r="A7382" t="str">
        <f>"401208"</f>
        <v>401208</v>
      </c>
      <c r="B7382" t="str">
        <f>"Resistor  47K   ¼W  5%"</f>
        <v>Resistor  47K   ¼W  5%</v>
      </c>
      <c r="C7382" t="str">
        <f t="shared" si="281"/>
        <v>Active</v>
      </c>
    </row>
    <row r="7383" spans="1:3" ht="18" customHeight="1">
      <c r="A7383" t="str">
        <f>"401215"</f>
        <v>401215</v>
      </c>
      <c r="B7383" t="str">
        <f>"Resistor  100K   ¼W  1%"</f>
        <v>Resistor  100K   ¼W  1%</v>
      </c>
      <c r="C7383" t="str">
        <f t="shared" si="281"/>
        <v>Active</v>
      </c>
    </row>
    <row r="7384" spans="1:3" ht="18" customHeight="1">
      <c r="A7384" t="str">
        <f>"401216"</f>
        <v>401216</v>
      </c>
      <c r="B7384" t="str">
        <f>"Resistor  200K   ¼W  1%"</f>
        <v>Resistor  200K   ¼W  1%</v>
      </c>
      <c r="C7384" t="str">
        <f t="shared" si="281"/>
        <v>Active</v>
      </c>
    </row>
    <row r="7385" spans="1:3" ht="18" customHeight="1">
      <c r="A7385" t="str">
        <f>"401217"</f>
        <v>401217</v>
      </c>
      <c r="B7385" t="str">
        <f>"Resistor  2M   ¼W  1%"</f>
        <v>Resistor  2M   ¼W  1%</v>
      </c>
      <c r="C7385" t="str">
        <f t="shared" si="281"/>
        <v>Active</v>
      </c>
    </row>
    <row r="7386" spans="1:3" ht="18" customHeight="1">
      <c r="A7386" t="str">
        <f>"401221"</f>
        <v>401221</v>
      </c>
      <c r="B7386" t="str">
        <f>"Resistor  200K   ¼W  5%"</f>
        <v>Resistor  200K   ¼W  5%</v>
      </c>
      <c r="C7386" t="str">
        <f t="shared" si="281"/>
        <v>Active</v>
      </c>
    </row>
    <row r="7387" spans="1:3" ht="18" customHeight="1">
      <c r="A7387" t="str">
        <f>"401223"</f>
        <v>401223</v>
      </c>
      <c r="B7387" t="str">
        <f>"Resistor  100K  1/8W  5%"</f>
        <v>Resistor  100K  1/8W  5%</v>
      </c>
      <c r="C7387" t="str">
        <f t="shared" si="281"/>
        <v>Active</v>
      </c>
    </row>
    <row r="7388" spans="1:3" ht="18" customHeight="1">
      <c r="A7388" t="str">
        <f>"401224"</f>
        <v>401224</v>
      </c>
      <c r="B7388" t="str">
        <f>"Resistor  1M  1/8W  5%"</f>
        <v>Resistor  1M  1/8W  5%</v>
      </c>
      <c r="C7388" t="str">
        <f t="shared" si="281"/>
        <v>Active</v>
      </c>
    </row>
    <row r="7389" spans="1:3" ht="18" customHeight="1">
      <c r="A7389" t="str">
        <f>"401225"</f>
        <v>401225</v>
      </c>
      <c r="B7389" t="str">
        <f>"Resistor  200K  1/8W  5%"</f>
        <v>Resistor  200K  1/8W  5%</v>
      </c>
      <c r="C7389" t="str">
        <f t="shared" si="281"/>
        <v>Active</v>
      </c>
    </row>
    <row r="7390" spans="1:3" ht="18" customHeight="1">
      <c r="A7390" t="str">
        <f>"401226"</f>
        <v>401226</v>
      </c>
      <c r="B7390" t="str">
        <f>"Resistor  30K  1/8W  5%"</f>
        <v>Resistor  30K  1/8W  5%</v>
      </c>
      <c r="C7390" t="str">
        <f t="shared" si="281"/>
        <v>Active</v>
      </c>
    </row>
    <row r="7391" spans="1:3" ht="18" customHeight="1">
      <c r="A7391" t="str">
        <f>"401230"</f>
        <v>401230</v>
      </c>
      <c r="B7391" t="str">
        <f>"Resistor  47K  1/8W  5%"</f>
        <v>Resistor  47K  1/8W  5%</v>
      </c>
      <c r="C7391" t="str">
        <f t="shared" si="281"/>
        <v>Active</v>
      </c>
    </row>
    <row r="7392" spans="1:3" ht="18" customHeight="1">
      <c r="A7392" t="str">
        <f>"401233"</f>
        <v>401233</v>
      </c>
      <c r="B7392" t="str">
        <f>"Resistor  270K  1/8W  5%"</f>
        <v>Resistor  270K  1/8W  5%</v>
      </c>
      <c r="C7392" t="str">
        <f t="shared" si="281"/>
        <v>Active</v>
      </c>
    </row>
    <row r="7393" spans="1:3" ht="18" customHeight="1">
      <c r="A7393" t="str">
        <f>"401234"</f>
        <v>401234</v>
      </c>
      <c r="B7393" t="str">
        <f>"Resistor  39K  1/8W  5%"</f>
        <v>Resistor  39K  1/8W  5%</v>
      </c>
      <c r="C7393" t="str">
        <f t="shared" si="281"/>
        <v>Active</v>
      </c>
    </row>
    <row r="7394" spans="1:3" ht="18" customHeight="1">
      <c r="A7394" t="str">
        <f>"401235"</f>
        <v>401235</v>
      </c>
      <c r="B7394" t="str">
        <f>"Resistor  82K  1/8W  5%"</f>
        <v>Resistor  82K  1/8W  5%</v>
      </c>
      <c r="C7394" t="str">
        <f t="shared" si="281"/>
        <v>Active</v>
      </c>
    </row>
    <row r="7395" spans="1:3" ht="18" customHeight="1">
      <c r="A7395" t="str">
        <f>"401237"</f>
        <v>401237</v>
      </c>
      <c r="B7395" t="str">
        <f>"Resistor  1.2M 1/8W  5%"</f>
        <v>Resistor  1.2M 1/8W  5%</v>
      </c>
      <c r="C7395" t="str">
        <f t="shared" si="281"/>
        <v>Active</v>
      </c>
    </row>
    <row r="7396" spans="1:3" ht="18" customHeight="1">
      <c r="A7396" t="str">
        <f>"401240"</f>
        <v>401240</v>
      </c>
      <c r="B7396" t="str">
        <f>"Resistor  30K  1/8W  1%"</f>
        <v>Resistor  30K  1/8W  1%</v>
      </c>
      <c r="C7396" t="str">
        <f t="shared" si="281"/>
        <v>Active</v>
      </c>
    </row>
    <row r="7397" spans="1:3" ht="18" customHeight="1">
      <c r="A7397" t="str">
        <f>"401244"</f>
        <v>401244</v>
      </c>
      <c r="B7397" t="str">
        <f>"Resistor  1M  0.1W  5%, SMD 0805"</f>
        <v>Resistor  1M  0.1W  5%, SMD 0805</v>
      </c>
      <c r="C7397" t="str">
        <f t="shared" si="281"/>
        <v>Active</v>
      </c>
    </row>
    <row r="7398" spans="1:3" ht="18" customHeight="1">
      <c r="A7398" t="str">
        <f>"401245"</f>
        <v>401245</v>
      </c>
      <c r="B7398" t="str">
        <f>"Resistor  47K 1/8W  5%, SMD 0805"</f>
        <v>Resistor  47K 1/8W  5%, SMD 0805</v>
      </c>
      <c r="C7398" t="str">
        <f t="shared" si="281"/>
        <v>Active</v>
      </c>
    </row>
    <row r="7399" spans="1:3" ht="18" customHeight="1">
      <c r="A7399" t="str">
        <f>"401246"</f>
        <v>401246</v>
      </c>
      <c r="B7399" t="str">
        <f>"Resistor  24K  5%, SMD 0603"</f>
        <v>Resistor  24K  5%, SMD 0603</v>
      </c>
      <c r="C7399" t="str">
        <f t="shared" ref="C7399:C7462" si="282">"Active"</f>
        <v>Active</v>
      </c>
    </row>
    <row r="7400" spans="1:3" ht="18" customHeight="1">
      <c r="A7400" t="str">
        <f>"401247"</f>
        <v>401247</v>
      </c>
      <c r="B7400" t="str">
        <f>"Resistor  37.4K 1%, SMD 0603"</f>
        <v>Resistor  37.4K 1%, SMD 0603</v>
      </c>
      <c r="C7400" t="str">
        <f t="shared" si="282"/>
        <v>Active</v>
      </c>
    </row>
    <row r="7401" spans="1:3" ht="18" customHeight="1">
      <c r="A7401" t="str">
        <f>"401248"</f>
        <v>401248</v>
      </c>
      <c r="B7401" t="str">
        <f>"Resistor  47K  5%, SMD 0603"</f>
        <v>Resistor  47K  5%, SMD 0603</v>
      </c>
      <c r="C7401" t="str">
        <f t="shared" si="282"/>
        <v>Active</v>
      </c>
    </row>
    <row r="7402" spans="1:3" ht="18" customHeight="1">
      <c r="A7402" t="str">
        <f>"401249"</f>
        <v>401249</v>
      </c>
      <c r="B7402" t="str">
        <f>"Resistor  100K  5%, SMD 0603"</f>
        <v>Resistor  100K  5%, SMD 0603</v>
      </c>
      <c r="C7402" t="str">
        <f t="shared" si="282"/>
        <v>Active</v>
      </c>
    </row>
    <row r="7403" spans="1:3" ht="18" customHeight="1">
      <c r="A7403" t="str">
        <f>"401251"</f>
        <v>401251</v>
      </c>
      <c r="B7403" t="str">
        <f>"Resistor  51K  5%, SMD 0603"</f>
        <v>Resistor  51K  5%, SMD 0603</v>
      </c>
      <c r="C7403" t="str">
        <f t="shared" si="282"/>
        <v>Active</v>
      </c>
    </row>
    <row r="7404" spans="1:3" ht="18" customHeight="1">
      <c r="A7404" t="str">
        <f>"401252"</f>
        <v>401252</v>
      </c>
      <c r="B7404" t="str">
        <f>"Resistor  49.9K  1%, SMD 0603"</f>
        <v>Resistor  49.9K  1%, SMD 0603</v>
      </c>
      <c r="C7404" t="str">
        <f t="shared" si="282"/>
        <v>Active</v>
      </c>
    </row>
    <row r="7405" spans="1:3" ht="18" customHeight="1">
      <c r="A7405" t="str">
        <f>"401253"</f>
        <v>401253</v>
      </c>
      <c r="B7405" t="str">
        <f>"Resistor  1M  5%, SMD 0603"</f>
        <v>Resistor  1M  5%, SMD 0603</v>
      </c>
      <c r="C7405" t="str">
        <f t="shared" si="282"/>
        <v>Active</v>
      </c>
    </row>
    <row r="7406" spans="1:3" ht="18" customHeight="1">
      <c r="A7406" t="str">
        <f>"401254"</f>
        <v>401254</v>
      </c>
      <c r="B7406" t="str">
        <f>"RES. 0603 1.2M 1% SMD"</f>
        <v>RES. 0603 1.2M 1% SMD</v>
      </c>
      <c r="C7406" t="str">
        <f t="shared" si="282"/>
        <v>Active</v>
      </c>
    </row>
    <row r="7407" spans="1:3" ht="18" customHeight="1">
      <c r="A7407" t="str">
        <f>"401255"</f>
        <v>401255</v>
      </c>
      <c r="B7407" t="str">
        <f>"RES. 0603 2.0M 1% SMD"</f>
        <v>RES. 0603 2.0M 1% SMD</v>
      </c>
      <c r="C7407" t="str">
        <f t="shared" si="282"/>
        <v>Active</v>
      </c>
    </row>
    <row r="7408" spans="1:3" ht="18" customHeight="1">
      <c r="A7408" t="str">
        <f>"401256"</f>
        <v>401256</v>
      </c>
      <c r="B7408" t="str">
        <f>"RES. 0603 30.0K 1% SMD"</f>
        <v>RES. 0603 30.0K 1% SMD</v>
      </c>
      <c r="C7408" t="str">
        <f t="shared" si="282"/>
        <v>Active</v>
      </c>
    </row>
    <row r="7409" spans="1:3" ht="18" customHeight="1">
      <c r="A7409" t="str">
        <f>"402002"</f>
        <v>402002</v>
      </c>
      <c r="B7409" t="str">
        <f>"Resistor  Network  10K, 10 Pin, 9 Resistor"</f>
        <v>Resistor  Network  10K, 10 Pin, 9 Resistor</v>
      </c>
      <c r="C7409" t="str">
        <f t="shared" si="282"/>
        <v>Active</v>
      </c>
    </row>
    <row r="7410" spans="1:3" ht="18" customHeight="1">
      <c r="A7410" t="str">
        <f>"402007"</f>
        <v>402007</v>
      </c>
      <c r="B7410" t="str">
        <f>"Resistor  Network   2.2K, 10 Pin, 9 Resistor"</f>
        <v>Resistor  Network   2.2K, 10 Pin, 9 Resistor</v>
      </c>
      <c r="C7410" t="str">
        <f t="shared" si="282"/>
        <v>Active</v>
      </c>
    </row>
    <row r="7411" spans="1:3" ht="18" customHeight="1">
      <c r="A7411" t="str">
        <f>"402008"</f>
        <v>402008</v>
      </c>
      <c r="B7411" t="str">
        <f>"Resistor  Network  2.7K, 10 Pin, 9 Resistor"</f>
        <v>Resistor  Network  2.7K, 10 Pin, 9 Resistor</v>
      </c>
      <c r="C7411" t="str">
        <f t="shared" si="282"/>
        <v>Active</v>
      </c>
    </row>
    <row r="7412" spans="1:3" ht="18" customHeight="1">
      <c r="A7412" t="str">
        <f>"402013"</f>
        <v>402013</v>
      </c>
      <c r="B7412" t="str">
        <f>"Resistor Network  4.7K, 10 Pin, 9 Resistor"</f>
        <v>Resistor Network  4.7K, 10 Pin, 9 Resistor</v>
      </c>
      <c r="C7412" t="str">
        <f t="shared" si="282"/>
        <v>Active</v>
      </c>
    </row>
    <row r="7413" spans="1:3" ht="18" customHeight="1">
      <c r="A7413" t="str">
        <f>"402029"</f>
        <v>402029</v>
      </c>
      <c r="B7413" t="str">
        <f>"Resistor  Network 10K, 8 Pin, 7 Resistor"</f>
        <v>Resistor  Network 10K, 8 Pin, 7 Resistor</v>
      </c>
      <c r="C7413" t="str">
        <f t="shared" si="282"/>
        <v>Active</v>
      </c>
    </row>
    <row r="7414" spans="1:3" ht="18" customHeight="1">
      <c r="A7414" t="str">
        <f>"402038"</f>
        <v>402038</v>
      </c>
      <c r="B7414" t="str">
        <f>"Resistor Network  2.7K, 6 Pin, 5 Resistor"</f>
        <v>Resistor Network  2.7K, 6 Pin, 5 Resistor</v>
      </c>
      <c r="C7414" t="str">
        <f t="shared" si="282"/>
        <v>Active</v>
      </c>
    </row>
    <row r="7415" spans="1:3" ht="18" customHeight="1">
      <c r="A7415" t="str">
        <f>"402039"</f>
        <v>402039</v>
      </c>
      <c r="B7415" t="str">
        <f>"Resistor Network  2K, 8 Pin, 7 Resistor"</f>
        <v>Resistor Network  2K, 8 Pin, 7 Resistor</v>
      </c>
      <c r="C7415" t="str">
        <f t="shared" si="282"/>
        <v>Active</v>
      </c>
    </row>
    <row r="7416" spans="1:3" ht="18" customHeight="1">
      <c r="A7416" t="str">
        <f>"402040"</f>
        <v>402040</v>
      </c>
      <c r="B7416" t="str">
        <f>"Resistor Network   12K, 8 Pin, 7 Resistor"</f>
        <v>Resistor Network   12K, 8 Pin, 7 Resistor</v>
      </c>
      <c r="C7416" t="str">
        <f t="shared" si="282"/>
        <v>Active</v>
      </c>
    </row>
    <row r="7417" spans="1:3" ht="18" customHeight="1">
      <c r="A7417" t="str">
        <f>"402042"</f>
        <v>402042</v>
      </c>
      <c r="B7417" t="str">
        <f>"Resistor Network   22K, 10 Pin, 9 Resistor"</f>
        <v>Resistor Network   22K, 10 Pin, 9 Resistor</v>
      </c>
      <c r="C7417" t="str">
        <f t="shared" si="282"/>
        <v>Active</v>
      </c>
    </row>
    <row r="7418" spans="1:3" ht="18" customHeight="1">
      <c r="A7418" t="str">
        <f>"402051"</f>
        <v>402051</v>
      </c>
      <c r="B7418" t="str">
        <f>"Resistor Network   10K, 6 Pin, 5 Resistor"</f>
        <v>Resistor Network   10K, 6 Pin, 5 Resistor</v>
      </c>
      <c r="C7418" t="str">
        <f t="shared" si="282"/>
        <v>Active</v>
      </c>
    </row>
    <row r="7419" spans="1:3" ht="18" customHeight="1">
      <c r="A7419" t="str">
        <f>"402052"</f>
        <v>402052</v>
      </c>
      <c r="B7419" t="str">
        <f>"Resistor Network   47R, 8 Pin, 7 Resistor"</f>
        <v>Resistor Network   47R, 8 Pin, 7 Resistor</v>
      </c>
      <c r="C7419" t="str">
        <f t="shared" si="282"/>
        <v>Active</v>
      </c>
    </row>
    <row r="7420" spans="1:3" ht="18" customHeight="1">
      <c r="A7420" t="str">
        <f>"402055"</f>
        <v>402055</v>
      </c>
      <c r="B7420" t="str">
        <f>"Resistor  Network  3.3K 5%, 10 Pin, 9 Resistor"</f>
        <v>Resistor  Network  3.3K 5%, 10 Pin, 9 Resistor</v>
      </c>
      <c r="C7420" t="str">
        <f t="shared" si="282"/>
        <v>Active</v>
      </c>
    </row>
    <row r="7421" spans="1:3" ht="18" customHeight="1">
      <c r="A7421" t="str">
        <f>"403008"</f>
        <v>403008</v>
      </c>
      <c r="B7421" t="str">
        <f>"Resistor Network  100K, 8 Pin, 4 Resistor"</f>
        <v>Resistor Network  100K, 8 Pin, 4 Resistor</v>
      </c>
      <c r="C7421" t="str">
        <f t="shared" si="282"/>
        <v>Active</v>
      </c>
    </row>
    <row r="7422" spans="1:3" ht="18" customHeight="1">
      <c r="A7422" t="str">
        <f>"403009"</f>
        <v>403009</v>
      </c>
      <c r="B7422" t="str">
        <f>"Resistor  Network 10K, 8 Pin, 4 Resistor"</f>
        <v>Resistor  Network 10K, 8 Pin, 4 Resistor</v>
      </c>
      <c r="C7422" t="str">
        <f t="shared" si="282"/>
        <v>Active</v>
      </c>
    </row>
    <row r="7423" spans="1:3" ht="18" customHeight="1">
      <c r="A7423" t="str">
        <f>"403016"</f>
        <v>403016</v>
      </c>
      <c r="B7423" t="str">
        <f>"Resistor Network  4.7K,8 Pin, 4 Resistor"</f>
        <v>Resistor Network  4.7K,8 Pin, 4 Resistor</v>
      </c>
      <c r="C7423" t="str">
        <f t="shared" si="282"/>
        <v>Active</v>
      </c>
    </row>
    <row r="7424" spans="1:3" ht="18" customHeight="1">
      <c r="A7424" t="str">
        <f>"403018"</f>
        <v>403018</v>
      </c>
      <c r="B7424" t="str">
        <f>"Resistor  Network, 330R, 8 Pin, 4 Resist"</f>
        <v>Resistor  Network, 330R, 8 Pin, 4 Resist</v>
      </c>
      <c r="C7424" t="str">
        <f t="shared" si="282"/>
        <v>Active</v>
      </c>
    </row>
    <row r="7425" spans="1:3" ht="18" customHeight="1">
      <c r="A7425" t="str">
        <f>"403019"</f>
        <v>403019</v>
      </c>
      <c r="B7425" t="str">
        <f>"Resistor  Network, 6.8K, 8 Pin, 4 Resist"</f>
        <v>Resistor  Network, 6.8K, 8 Pin, 4 Resist</v>
      </c>
      <c r="C7425" t="str">
        <f t="shared" si="282"/>
        <v>Active</v>
      </c>
    </row>
    <row r="7426" spans="1:3" ht="18" customHeight="1">
      <c r="A7426" t="str">
        <f>"403022"</f>
        <v>403022</v>
      </c>
      <c r="B7426" t="str">
        <f>"Resistor Network  1M, 8 Pin, 4 Resistor"</f>
        <v>Resistor Network  1M, 8 Pin, 4 Resistor</v>
      </c>
      <c r="C7426" t="str">
        <f t="shared" si="282"/>
        <v>Active</v>
      </c>
    </row>
    <row r="7427" spans="1:3" ht="18" customHeight="1">
      <c r="A7427" t="str">
        <f>"403506"</f>
        <v>403506</v>
      </c>
      <c r="B7427" t="str">
        <f>"Trimmer  10K Multiturn , Side Screw"</f>
        <v>Trimmer  10K Multiturn , Side Screw</v>
      </c>
      <c r="C7427" t="str">
        <f t="shared" si="282"/>
        <v>Active</v>
      </c>
    </row>
    <row r="7428" spans="1:3" ht="18" customHeight="1">
      <c r="A7428" t="str">
        <f>"403509"</f>
        <v>403509</v>
      </c>
      <c r="B7428" t="str">
        <f>"Trimmer  2K, Multiturn Side Screw"</f>
        <v>Trimmer  2K, Multiturn Side Screw</v>
      </c>
      <c r="C7428" t="str">
        <f t="shared" si="282"/>
        <v>Active</v>
      </c>
    </row>
    <row r="7429" spans="1:3" ht="18" customHeight="1">
      <c r="A7429" t="str">
        <f>"403511"</f>
        <v>403511</v>
      </c>
      <c r="B7429" t="str">
        <f>"Trimmer  2.5K, Screw above  One-turn"</f>
        <v>Trimmer  2.5K, Screw above  One-turn</v>
      </c>
      <c r="C7429" t="str">
        <f t="shared" si="282"/>
        <v>Active</v>
      </c>
    </row>
    <row r="7430" spans="1:3" ht="18" customHeight="1">
      <c r="A7430" t="str">
        <f>"403513"</f>
        <v>403513</v>
      </c>
      <c r="B7430" t="str">
        <f>"Selector, 43x3 ,Welding+Nut, DS3"</f>
        <v>Selector, 43x3 ,Welding+Nut, DS3</v>
      </c>
      <c r="C7430" t="str">
        <f t="shared" si="282"/>
        <v>Active</v>
      </c>
    </row>
    <row r="7431" spans="1:3" ht="18" customHeight="1">
      <c r="A7431" t="str">
        <f>"403514"</f>
        <v>403514</v>
      </c>
      <c r="B7431" t="str">
        <f>"Trimmer for Panel, 10K"</f>
        <v>Trimmer for Panel, 10K</v>
      </c>
      <c r="C7431" t="str">
        <f t="shared" si="282"/>
        <v>Active</v>
      </c>
    </row>
    <row r="7432" spans="1:3" ht="18" customHeight="1">
      <c r="A7432" t="str">
        <f>"403515"</f>
        <v>403515</v>
      </c>
      <c r="B7432" t="str">
        <f>"Trimmer for Panel, 1K"</f>
        <v>Trimmer for Panel, 1K</v>
      </c>
      <c r="C7432" t="str">
        <f t="shared" si="282"/>
        <v>Active</v>
      </c>
    </row>
    <row r="7433" spans="1:3" ht="18" customHeight="1">
      <c r="A7433" t="str">
        <f>"403518"</f>
        <v>403518</v>
      </c>
      <c r="B7433" t="str">
        <f>"TrimPot BOURNS SMD 5K 3313J-2-502E"</f>
        <v>TrimPot BOURNS SMD 5K 3313J-2-502E</v>
      </c>
      <c r="C7433" t="str">
        <f t="shared" si="282"/>
        <v>Active</v>
      </c>
    </row>
    <row r="7434" spans="1:3" ht="18" customHeight="1">
      <c r="A7434" t="str">
        <f>"403519"</f>
        <v>403519</v>
      </c>
      <c r="B7434" t="str">
        <f>"TrimPot SMD 2K MFGPN 3313J-2-202E BOURNS"</f>
        <v>TrimPot SMD 2K MFGPN 3313J-2-202E BOURNS</v>
      </c>
      <c r="C7434" t="str">
        <f t="shared" si="282"/>
        <v>Active</v>
      </c>
    </row>
    <row r="7435" spans="1:3" ht="18" customHeight="1">
      <c r="A7435" t="str">
        <f>"404501"</f>
        <v>404501</v>
      </c>
      <c r="B7435" t="str">
        <f>"Elec. Capcit.-10000†F/80v"</f>
        <v>Elec. Capcit.-10000†F/80v</v>
      </c>
      <c r="C7435" t="str">
        <f t="shared" si="282"/>
        <v>Active</v>
      </c>
    </row>
    <row r="7436" spans="1:3" ht="18" customHeight="1">
      <c r="A7436" t="str">
        <f>"404503"</f>
        <v>404503</v>
      </c>
      <c r="B7436" t="str">
        <f>"Capacitor Elec. 100µF 25V 2.5mm gap"</f>
        <v>Capacitor Elec. 100µF 25V 2.5mm gap</v>
      </c>
      <c r="C7436" t="str">
        <f t="shared" si="282"/>
        <v>Active</v>
      </c>
    </row>
    <row r="7437" spans="1:3" ht="18" customHeight="1">
      <c r="A7437" t="str">
        <f>"404504"</f>
        <v>404504</v>
      </c>
      <c r="B7437" t="str">
        <f>"Capacitor Elec. 10µF 16V, H=11,D=5,Gap=2.5 mm"</f>
        <v>Capacitor Elec. 10µF 16V, H=11,D=5,Gap=2.5 mm</v>
      </c>
      <c r="C7437" t="str">
        <f t="shared" si="282"/>
        <v>Active</v>
      </c>
    </row>
    <row r="7438" spans="1:3" ht="18" customHeight="1">
      <c r="A7438" t="str">
        <f>"404505"</f>
        <v>404505</v>
      </c>
      <c r="B7438" t="str">
        <f>"Capacitor Elec. 2.2µF 25V, H=11,D=5,Gap=2.5 mm"</f>
        <v>Capacitor Elec. 2.2µF 25V, H=11,D=5,Gap=2.5 mm</v>
      </c>
      <c r="C7438" t="str">
        <f t="shared" si="282"/>
        <v>Active</v>
      </c>
    </row>
    <row r="7439" spans="1:3" ht="18" customHeight="1">
      <c r="A7439" t="str">
        <f>"404508"</f>
        <v>404508</v>
      </c>
      <c r="B7439" t="str">
        <f>"Capacitor Elec. 22µF 25V, H=11,D=5,Gap=2.5 mm"</f>
        <v>Capacitor Elec. 22µF 25V, H=11,D=5,Gap=2.5 mm</v>
      </c>
      <c r="C7439" t="str">
        <f t="shared" si="282"/>
        <v>Active</v>
      </c>
    </row>
    <row r="7440" spans="1:3" ht="18" customHeight="1">
      <c r="A7440" t="str">
        <f>"404512"</f>
        <v>404512</v>
      </c>
      <c r="B7440" t="str">
        <f>"Capacitor Elec. 47µF 25V, H=11,D=5,Gap=2.5 mm"</f>
        <v>Capacitor Elec. 47µF 25V, H=11,D=5,Gap=2.5 mm</v>
      </c>
      <c r="C7440" t="str">
        <f t="shared" si="282"/>
        <v>Active</v>
      </c>
    </row>
    <row r="7441" spans="1:3" ht="18" customHeight="1">
      <c r="A7441" t="str">
        <f>"404513"</f>
        <v>404513</v>
      </c>
      <c r="B7441" t="str">
        <f>"Capacitor Elec. 47µF 50V, H=11,D=8,Gap=3 mm"</f>
        <v>Capacitor Elec. 47µF 50V, H=11,D=8,Gap=3 mm</v>
      </c>
      <c r="C7441" t="str">
        <f t="shared" si="282"/>
        <v>Active</v>
      </c>
    </row>
    <row r="7442" spans="1:3" ht="18" customHeight="1">
      <c r="A7442" t="str">
        <f>"404516"</f>
        <v>404516</v>
      </c>
      <c r="B7442" t="str">
        <f>"Capacitor Elec. 10µF 25V, H=11,D=5,Gap=2.5 mm"</f>
        <v>Capacitor Elec. 10µF 25V, H=11,D=5,Gap=2.5 mm</v>
      </c>
      <c r="C7442" t="str">
        <f t="shared" si="282"/>
        <v>Active</v>
      </c>
    </row>
    <row r="7443" spans="1:3" ht="18" customHeight="1">
      <c r="A7443" t="str">
        <f>"404522"</f>
        <v>404522</v>
      </c>
      <c r="B7443" t="str">
        <f>"Capacitor Elec. 3300µF 25V"</f>
        <v>Capacitor Elec. 3300µF 25V</v>
      </c>
      <c r="C7443" t="str">
        <f t="shared" si="282"/>
        <v>Active</v>
      </c>
    </row>
    <row r="7444" spans="1:3" ht="18" customHeight="1">
      <c r="A7444" t="str">
        <f>"404523"</f>
        <v>404523</v>
      </c>
      <c r="B7444" t="str">
        <f>"Capacitor Elec. 4700µF 50V, H=42,D=22,Gap=10 mm"</f>
        <v>Capacitor Elec. 4700µF 50V, H=42,D=22,Gap=10 mm</v>
      </c>
      <c r="C7444" t="str">
        <f t="shared" si="282"/>
        <v>Active</v>
      </c>
    </row>
    <row r="7445" spans="1:3" ht="18" customHeight="1">
      <c r="A7445" t="str">
        <f>"404524"</f>
        <v>404524</v>
      </c>
      <c r="B7445" t="str">
        <f>"Capacitor Elec. 100µF 100V"</f>
        <v>Capacitor Elec. 100µF 100V</v>
      </c>
      <c r="C7445" t="str">
        <f t="shared" si="282"/>
        <v>Active</v>
      </c>
    </row>
    <row r="7446" spans="1:3" ht="18" customHeight="1">
      <c r="A7446" t="str">
        <f>"404525"</f>
        <v>404525</v>
      </c>
      <c r="B7446" t="str">
        <f>"Capacitor Elec. 33µF 16V, H=11,D=5,Gap=2.5 mm"</f>
        <v>Capacitor Elec. 33µF 16V, H=11,D=5,Gap=2.5 mm</v>
      </c>
      <c r="C7446" t="str">
        <f t="shared" si="282"/>
        <v>Active</v>
      </c>
    </row>
    <row r="7447" spans="1:3" ht="18" customHeight="1">
      <c r="A7447" t="str">
        <f>"404529"</f>
        <v>404529</v>
      </c>
      <c r="B7447" t="str">
        <f>"Capacitor Elec. 10000µF 16V, D=18,Gap=7.5 mm"</f>
        <v>Capacitor Elec. 10000µF 16V, D=18,Gap=7.5 mm</v>
      </c>
      <c r="C7447" t="str">
        <f t="shared" si="282"/>
        <v>Active</v>
      </c>
    </row>
    <row r="7448" spans="1:3" ht="18" customHeight="1">
      <c r="A7448" t="str">
        <f>"404530"</f>
        <v>404530</v>
      </c>
      <c r="B7448" t="str">
        <f>"Capacitor Elec. 37000µF 75V"</f>
        <v>Capacitor Elec. 37000µF 75V</v>
      </c>
      <c r="C7448" t="str">
        <f t="shared" si="282"/>
        <v>Active</v>
      </c>
    </row>
    <row r="7449" spans="1:3" ht="18" customHeight="1">
      <c r="A7449" t="str">
        <f>"404532"</f>
        <v>404532</v>
      </c>
      <c r="B7449" t="str">
        <f>"Capacitor Elec. 1000µF 35V"</f>
        <v>Capacitor Elec. 1000µF 35V</v>
      </c>
      <c r="C7449" t="str">
        <f t="shared" si="282"/>
        <v>Active</v>
      </c>
    </row>
    <row r="7450" spans="1:3" ht="18" customHeight="1">
      <c r="A7450" t="str">
        <f>"404534"</f>
        <v>404534</v>
      </c>
      <c r="B7450" t="str">
        <f>"Capacitor Elec. 220µF 50V, H=17,D=10,Gap=5 mm"</f>
        <v>Capacitor Elec. 220µF 50V, H=17,D=10,Gap=5 mm</v>
      </c>
      <c r="C7450" t="str">
        <f t="shared" si="282"/>
        <v>Active</v>
      </c>
    </row>
    <row r="7451" spans="1:3" ht="18" customHeight="1">
      <c r="A7451" t="str">
        <f>"404537"</f>
        <v>404537</v>
      </c>
      <c r="B7451" t="str">
        <f>"Capacitor Elec. 47µF 35V, H=11,D=6,Gap=2.5 mm"</f>
        <v>Capacitor Elec. 47µF 35V, H=11,D=6,Gap=2.5 mm</v>
      </c>
      <c r="C7451" t="str">
        <f t="shared" si="282"/>
        <v>Active</v>
      </c>
    </row>
    <row r="7452" spans="1:3" ht="18" customHeight="1">
      <c r="A7452" t="str">
        <f>"404540"</f>
        <v>404540</v>
      </c>
      <c r="B7452" t="str">
        <f>"Capacitor Elec.  100µF 16V, 6.3x12"</f>
        <v>Capacitor Elec.  100µF 16V, 6.3x12</v>
      </c>
      <c r="C7452" t="str">
        <f t="shared" si="282"/>
        <v>Active</v>
      </c>
    </row>
    <row r="7453" spans="1:3" ht="18" customHeight="1">
      <c r="A7453" t="str">
        <f>"404541"</f>
        <v>404541</v>
      </c>
      <c r="B7453" t="str">
        <f>"Capacitor Elec. 100µF 63V, SMD SIZE G"</f>
        <v>Capacitor Elec. 100µF 63V, SMD SIZE G</v>
      </c>
      <c r="C7453" t="str">
        <f t="shared" si="282"/>
        <v>Active</v>
      </c>
    </row>
    <row r="7454" spans="1:3" ht="18" customHeight="1">
      <c r="A7454" t="str">
        <f>"404542"</f>
        <v>404542</v>
      </c>
      <c r="B7454" t="str">
        <f>"Capacitor Elec.  100µF 6.3V, SMD  SIZE D,"</f>
        <v>Capacitor Elec.  100µF 6.3V, SMD  SIZE D,</v>
      </c>
      <c r="C7454" t="str">
        <f t="shared" si="282"/>
        <v>Active</v>
      </c>
    </row>
    <row r="7455" spans="1:3" ht="18" customHeight="1">
      <c r="A7455" t="str">
        <f>"404543"</f>
        <v>404543</v>
      </c>
      <c r="B7455" t="str">
        <f>"Capacitor Elec.  47µF 63V, Radial 8x11"</f>
        <v>Capacitor Elec.  47µF 63V, Radial 8x11</v>
      </c>
      <c r="C7455" t="str">
        <f t="shared" si="282"/>
        <v>Active</v>
      </c>
    </row>
    <row r="7456" spans="1:3" ht="18" customHeight="1">
      <c r="A7456" t="str">
        <f>"404544"</f>
        <v>404544</v>
      </c>
      <c r="B7456" t="str">
        <f>"Capacitor Elec. 1000µF 63V, Radial 16x32,Gap=7.5"</f>
        <v>Capacitor Elec. 1000µF 63V, Radial 16x32,Gap=7.5</v>
      </c>
      <c r="C7456" t="str">
        <f t="shared" si="282"/>
        <v>Active</v>
      </c>
    </row>
    <row r="7457" spans="1:3" ht="18" customHeight="1">
      <c r="A7457" t="str">
        <f>"404545"</f>
        <v>404545</v>
      </c>
      <c r="B7457" t="str">
        <f>"Capacitor Elec.  220µF 35V, Radial 8x12"</f>
        <v>Capacitor Elec.  220µF 35V, Radial 8x12</v>
      </c>
      <c r="C7457" t="str">
        <f t="shared" si="282"/>
        <v>Active</v>
      </c>
    </row>
    <row r="7458" spans="1:3" ht="18" customHeight="1">
      <c r="A7458" t="str">
        <f>"404546"</f>
        <v>404546</v>
      </c>
      <c r="B7458" t="str">
        <f>"Capacitor Elec.  470µF 16V, Radial 8x12"</f>
        <v>Capacitor Elec.  470µF 16V, Radial 8x12</v>
      </c>
      <c r="C7458" t="str">
        <f t="shared" si="282"/>
        <v>Active</v>
      </c>
    </row>
    <row r="7459" spans="1:3" ht="18" customHeight="1">
      <c r="A7459" t="str">
        <f>"404547"</f>
        <v>404547</v>
      </c>
      <c r="B7459" t="str">
        <f>"Capacitor Elec.  100µF 16V, SMD  SIZE D"</f>
        <v>Capacitor Elec.  100µF 16V, SMD  SIZE D</v>
      </c>
      <c r="C7459" t="str">
        <f t="shared" si="282"/>
        <v>Active</v>
      </c>
    </row>
    <row r="7460" spans="1:3" ht="18" customHeight="1">
      <c r="A7460" t="str">
        <f>"405301"</f>
        <v>405301</v>
      </c>
      <c r="B7460" t="str">
        <f>"Capacitor 0.01µF, VP41BY103MAT, Gap=5 mm"</f>
        <v>Capacitor 0.01µF, VP41BY103MAT, Gap=5 mm</v>
      </c>
      <c r="C7460" t="str">
        <f t="shared" si="282"/>
        <v>Active</v>
      </c>
    </row>
    <row r="7461" spans="1:3" ht="18" customHeight="1">
      <c r="A7461" t="str">
        <f>"405302"</f>
        <v>405302</v>
      </c>
      <c r="B7461" t="str">
        <f>"Capacitor 0.1µF 10%, Gap=2.5 mm"</f>
        <v>Capacitor 0.1µF 10%, Gap=2.5 mm</v>
      </c>
      <c r="C7461" t="str">
        <f t="shared" si="282"/>
        <v>Active</v>
      </c>
    </row>
    <row r="7462" spans="1:3" ht="18" customHeight="1">
      <c r="A7462" t="str">
        <f>"405303"</f>
        <v>405303</v>
      </c>
      <c r="B7462" t="str">
        <f>"Capacitor 0.1µF ,X7R Gap=5 mm"</f>
        <v>Capacitor 0.1µF ,X7R Gap=5 mm</v>
      </c>
      <c r="C7462" t="str">
        <f t="shared" si="282"/>
        <v>Active</v>
      </c>
    </row>
    <row r="7463" spans="1:3" ht="18" customHeight="1">
      <c r="A7463" t="str">
        <f>"405304"</f>
        <v>405304</v>
      </c>
      <c r="B7463" t="str">
        <f>"Capacitor 0.47µF  20%, Gap=5 mm"</f>
        <v>Capacitor 0.47µF  20%, Gap=5 mm</v>
      </c>
      <c r="C7463" t="str">
        <f t="shared" ref="C7463:C7526" si="283">"Active"</f>
        <v>Active</v>
      </c>
    </row>
    <row r="7464" spans="1:3" ht="18" customHeight="1">
      <c r="A7464" t="str">
        <f>"405305"</f>
        <v>405305</v>
      </c>
      <c r="B7464" t="str">
        <f>"Capacitor 1000pF 20%, Gap=5 mm"</f>
        <v>Capacitor 1000pF 20%, Gap=5 mm</v>
      </c>
      <c r="C7464" t="str">
        <f t="shared" si="283"/>
        <v>Active</v>
      </c>
    </row>
    <row r="7465" spans="1:3" ht="18" customHeight="1">
      <c r="A7465" t="str">
        <f>"405306"</f>
        <v>405306</v>
      </c>
      <c r="B7465" t="str">
        <f>"Capacitor 100pF  20%, Gap=5 mm"</f>
        <v>Capacitor 100pF  20%, Gap=5 mm</v>
      </c>
      <c r="C7465" t="str">
        <f t="shared" si="283"/>
        <v>Active</v>
      </c>
    </row>
    <row r="7466" spans="1:3" ht="18" customHeight="1">
      <c r="A7466" t="str">
        <f>"405307"</f>
        <v>405307</v>
      </c>
      <c r="B7466" t="str">
        <f>"Capacitor 1µF 50V 20%, Gap=5 mm"</f>
        <v>Capacitor 1µF 50V 20%, Gap=5 mm</v>
      </c>
      <c r="C7466" t="str">
        <f t="shared" si="283"/>
        <v>Active</v>
      </c>
    </row>
    <row r="7467" spans="1:3" ht="18" customHeight="1">
      <c r="A7467" t="str">
        <f>"405311"</f>
        <v>405311</v>
      </c>
      <c r="B7467" t="str">
        <f>"Capacitor 470pF, Gap=5 mm"</f>
        <v>Capacitor 470pF, Gap=5 mm</v>
      </c>
      <c r="C7467" t="str">
        <f t="shared" si="283"/>
        <v>Active</v>
      </c>
    </row>
    <row r="7468" spans="1:3" ht="18" customHeight="1">
      <c r="A7468" t="str">
        <f>"405312"</f>
        <v>405312</v>
      </c>
      <c r="B7468" t="str">
        <f>"Capacitor 47pF, Gap=5 mm"</f>
        <v>Capacitor 47pF, Gap=5 mm</v>
      </c>
      <c r="C7468" t="str">
        <f t="shared" si="283"/>
        <v>Active</v>
      </c>
    </row>
    <row r="7469" spans="1:3" ht="18" customHeight="1">
      <c r="A7469" t="str">
        <f>"405318"</f>
        <v>405318</v>
      </c>
      <c r="B7469" t="str">
        <f>"Capacitor 0.1µF 100V, Gap=5 mm"</f>
        <v>Capacitor 0.1µF 100V, Gap=5 mm</v>
      </c>
      <c r="C7469" t="str">
        <f t="shared" si="283"/>
        <v>Active</v>
      </c>
    </row>
    <row r="7470" spans="1:3" ht="18" customHeight="1">
      <c r="A7470" t="str">
        <f>"405322"</f>
        <v>405322</v>
      </c>
      <c r="B7470" t="str">
        <f>"Capacitor 2.2nF, Gap=5 mm"</f>
        <v>Capacitor 2.2nF, Gap=5 mm</v>
      </c>
      <c r="C7470" t="str">
        <f t="shared" si="283"/>
        <v>Active</v>
      </c>
    </row>
    <row r="7471" spans="1:3" ht="18" customHeight="1">
      <c r="A7471" t="str">
        <f>"405323"</f>
        <v>405323</v>
      </c>
      <c r="B7471" t="str">
        <f>"Capacitor 220pF  20%, Gap=5 mm"</f>
        <v>Capacitor 220pF  20%, Gap=5 mm</v>
      </c>
      <c r="C7471" t="str">
        <f t="shared" si="283"/>
        <v>Active</v>
      </c>
    </row>
    <row r="7472" spans="1:3" ht="18" customHeight="1">
      <c r="A7472" t="str">
        <f>"405325"</f>
        <v>405325</v>
      </c>
      <c r="B7472" t="str">
        <f>"Capacitor 120pF, Gap=5 mm"</f>
        <v>Capacitor 120pF, Gap=5 mm</v>
      </c>
      <c r="C7472" t="str">
        <f t="shared" si="283"/>
        <v>Active</v>
      </c>
    </row>
    <row r="7473" spans="1:3" ht="18" customHeight="1">
      <c r="A7473" t="str">
        <f>"405326"</f>
        <v>405326</v>
      </c>
      <c r="B7473" t="str">
        <f>"Capacitor  0.01µF 50V X7R, 0805"</f>
        <v>Capacitor  0.01µF 50V X7R, 0805</v>
      </c>
      <c r="C7473" t="str">
        <f t="shared" si="283"/>
        <v>Active</v>
      </c>
    </row>
    <row r="7474" spans="1:3" ht="18" customHeight="1">
      <c r="A7474" t="str">
        <f>"405327"</f>
        <v>405327</v>
      </c>
      <c r="B7474" t="str">
        <f>"Capacitor  0.1µF Z5U, 0805"</f>
        <v>Capacitor  0.1µF Z5U, 0805</v>
      </c>
      <c r="C7474" t="str">
        <f t="shared" si="283"/>
        <v>Active</v>
      </c>
    </row>
    <row r="7475" spans="1:3" ht="18" customHeight="1">
      <c r="A7475" t="str">
        <f>"405328"</f>
        <v>405328</v>
      </c>
      <c r="B7475" t="str">
        <f>"Capacitor Polyester 4.7µF 100V, Gap=22 mm"</f>
        <v>Capacitor Polyester 4.7µF 100V, Gap=22 mm</v>
      </c>
      <c r="C7475" t="str">
        <f t="shared" si="283"/>
        <v>Active</v>
      </c>
    </row>
    <row r="7476" spans="1:3" ht="18" customHeight="1">
      <c r="A7476" t="str">
        <f>"405329"</f>
        <v>405329</v>
      </c>
      <c r="B7476" t="str">
        <f>"Capacitor 180pF X7R, Gap=5 mm"</f>
        <v>Capacitor 180pF X7R, Gap=5 mm</v>
      </c>
      <c r="C7476" t="str">
        <f t="shared" si="283"/>
        <v>Active</v>
      </c>
    </row>
    <row r="7477" spans="1:3" ht="18" customHeight="1">
      <c r="A7477" t="str">
        <f>"405331"</f>
        <v>405331</v>
      </c>
      <c r="B7477" t="str">
        <f>"Capacitor 22pF 200V, Gap=5 mm"</f>
        <v>Capacitor 22pF 200V, Gap=5 mm</v>
      </c>
      <c r="C7477" t="str">
        <f t="shared" si="283"/>
        <v>Active</v>
      </c>
    </row>
    <row r="7478" spans="1:3" ht="18" customHeight="1">
      <c r="A7478" t="str">
        <f>"405339"</f>
        <v>405339</v>
      </c>
      <c r="B7478" t="str">
        <f>"Capacitor  0.1µF X7R, 0805"</f>
        <v>Capacitor  0.1µF X7R, 0805</v>
      </c>
      <c r="C7478" t="str">
        <f t="shared" si="283"/>
        <v>Active</v>
      </c>
    </row>
    <row r="7479" spans="1:3" ht="18" customHeight="1">
      <c r="A7479" t="str">
        <f>"405340"</f>
        <v>405340</v>
      </c>
      <c r="B7479" t="str">
        <f>"Capacitor 100pF X7R, 0805"</f>
        <v>Capacitor 100pF X7R, 0805</v>
      </c>
      <c r="C7479" t="str">
        <f t="shared" si="283"/>
        <v>Active</v>
      </c>
    </row>
    <row r="7480" spans="1:3" ht="18" customHeight="1">
      <c r="A7480" t="str">
        <f>"405341"</f>
        <v>405341</v>
      </c>
      <c r="B7480" t="str">
        <f>"Capacitor 15pF  X7R, 0805"</f>
        <v>Capacitor 15pF  X7R, 0805</v>
      </c>
      <c r="C7480" t="str">
        <f t="shared" si="283"/>
        <v>Active</v>
      </c>
    </row>
    <row r="7481" spans="1:3" ht="18" customHeight="1">
      <c r="A7481" t="str">
        <f>"405342"</f>
        <v>405342</v>
      </c>
      <c r="B7481" t="str">
        <f>"Capacitor 22pF COG, 0805"</f>
        <v>Capacitor 22pF COG, 0805</v>
      </c>
      <c r="C7481" t="str">
        <f t="shared" si="283"/>
        <v>Active</v>
      </c>
    </row>
    <row r="7482" spans="1:3" ht="18" customHeight="1">
      <c r="A7482" t="str">
        <f>"405343"</f>
        <v>405343</v>
      </c>
      <c r="B7482" t="str">
        <f>"Capacitor 1nF 100V X7R, 0402"</f>
        <v>Capacitor 1nF 100V X7R, 0402</v>
      </c>
      <c r="C7482" t="str">
        <f t="shared" si="283"/>
        <v>Active</v>
      </c>
    </row>
    <row r="7483" spans="1:3" ht="18" customHeight="1">
      <c r="A7483" t="str">
        <f>"405344"</f>
        <v>405344</v>
      </c>
      <c r="B7483" t="str">
        <f>"Capacitor  100pF 50V  NPO,  0402"</f>
        <v>Capacitor  100pF 50V  NPO,  0402</v>
      </c>
      <c r="C7483" t="str">
        <f t="shared" si="283"/>
        <v>Active</v>
      </c>
    </row>
    <row r="7484" spans="1:3" ht="18" customHeight="1">
      <c r="A7484" t="str">
        <f>"405345"</f>
        <v>405345</v>
      </c>
      <c r="B7484" t="str">
        <f>"Capacitor 0.1µF 50V X7R, 0603"</f>
        <v>Capacitor 0.1µF 50V X7R, 0603</v>
      </c>
      <c r="C7484" t="str">
        <f t="shared" si="283"/>
        <v>Active</v>
      </c>
    </row>
    <row r="7485" spans="1:3" ht="18" customHeight="1">
      <c r="A7485" t="str">
        <f>"405346"</f>
        <v>405346</v>
      </c>
      <c r="B7485" t="str">
        <f>"Capacitor 100pF 50V NPO, 0603"</f>
        <v>Capacitor 100pF 50V NPO, 0603</v>
      </c>
      <c r="C7485" t="str">
        <f t="shared" si="283"/>
        <v>Active</v>
      </c>
    </row>
    <row r="7486" spans="1:3" ht="18" customHeight="1">
      <c r="A7486" t="str">
        <f>"405347"</f>
        <v>405347</v>
      </c>
      <c r="B7486" t="str">
        <f>"Capacitor 470pF 50V NPO, 0603"</f>
        <v>Capacitor 470pF 50V NPO, 0603</v>
      </c>
      <c r="C7486" t="str">
        <f t="shared" si="283"/>
        <v>Active</v>
      </c>
    </row>
    <row r="7487" spans="1:3" ht="18" customHeight="1">
      <c r="A7487" t="str">
        <f>"405348"</f>
        <v>405348</v>
      </c>
      <c r="B7487" t="str">
        <f>"Capacitor 10pF 50V NPO, 0603"</f>
        <v>Capacitor 10pF 50V NPO, 0603</v>
      </c>
      <c r="C7487" t="str">
        <f t="shared" si="283"/>
        <v>Active</v>
      </c>
    </row>
    <row r="7488" spans="1:3" ht="18" customHeight="1">
      <c r="A7488" t="str">
        <f>"405349"</f>
        <v>405349</v>
      </c>
      <c r="B7488" t="str">
        <f>"Capacitor 1nF 50V X7R, 0603"</f>
        <v>Capacitor 1nF 50V X7R, 0603</v>
      </c>
      <c r="C7488" t="str">
        <f t="shared" si="283"/>
        <v>Active</v>
      </c>
    </row>
    <row r="7489" spans="1:3" ht="18" customHeight="1">
      <c r="A7489" t="str">
        <f>"405350"</f>
        <v>405350</v>
      </c>
      <c r="B7489" t="str">
        <f>"Capacitor 10nF 25V X7R, 0603"</f>
        <v>Capacitor 10nF 25V X7R, 0603</v>
      </c>
      <c r="C7489" t="str">
        <f t="shared" si="283"/>
        <v>Active</v>
      </c>
    </row>
    <row r="7490" spans="1:3" ht="18" customHeight="1">
      <c r="A7490" t="str">
        <f>"405351"</f>
        <v>405351</v>
      </c>
      <c r="B7490" t="str">
        <f>"Capacitor 22pF 50V NPO, 0603"</f>
        <v>Capacitor 22pF 50V NPO, 0603</v>
      </c>
      <c r="C7490" t="str">
        <f t="shared" si="283"/>
        <v>Active</v>
      </c>
    </row>
    <row r="7491" spans="1:3" ht="18" customHeight="1">
      <c r="A7491" t="str">
        <f>"405353"</f>
        <v>405353</v>
      </c>
      <c r="B7491" t="str">
        <f>"Capacitor 330pF 50V NPO, 0603"</f>
        <v>Capacitor 330pF 50V NPO, 0603</v>
      </c>
      <c r="C7491" t="str">
        <f t="shared" si="283"/>
        <v>Active</v>
      </c>
    </row>
    <row r="7492" spans="1:3" ht="18" customHeight="1">
      <c r="A7492" t="str">
        <f>"405354"</f>
        <v>405354</v>
      </c>
      <c r="B7492" t="str">
        <f>"Capacitor 2.2µF 10V X7R, 0805"</f>
        <v>Capacitor 2.2µF 10V X7R, 0805</v>
      </c>
      <c r="C7492" t="str">
        <f t="shared" si="283"/>
        <v>Active</v>
      </c>
    </row>
    <row r="7493" spans="1:3" ht="18" customHeight="1">
      <c r="A7493" t="str">
        <f>"405355"</f>
        <v>405355</v>
      </c>
      <c r="B7493" t="str">
        <f>"Capacitor 0.1µF 100V X7R, 1206"</f>
        <v>Capacitor 0.1µF 100V X7R, 1206</v>
      </c>
      <c r="C7493" t="str">
        <f t="shared" si="283"/>
        <v>Active</v>
      </c>
    </row>
    <row r="7494" spans="1:3" ht="18" customHeight="1">
      <c r="A7494" t="str">
        <f>"405357"</f>
        <v>405357</v>
      </c>
      <c r="B7494" t="str">
        <f>"CAP. 0603 100nF AVX CM105X7R104K16AT"</f>
        <v>CAP. 0603 100nF AVX CM105X7R104K16AT</v>
      </c>
      <c r="C7494" t="str">
        <f t="shared" si="283"/>
        <v>Active</v>
      </c>
    </row>
    <row r="7495" spans="1:3" ht="18" customHeight="1">
      <c r="A7495" t="str">
        <f>"405359"</f>
        <v>405359</v>
      </c>
      <c r="B7495" t="str">
        <f>"Capacitor 470pF 500V, 1206"</f>
        <v>Capacitor 470pF 500V, 1206</v>
      </c>
      <c r="C7495" t="str">
        <f t="shared" si="283"/>
        <v>Active</v>
      </c>
    </row>
    <row r="7496" spans="1:3" ht="18" customHeight="1">
      <c r="A7496" t="str">
        <f>"405360"</f>
        <v>405360</v>
      </c>
      <c r="B7496" t="str">
        <f>"Capacitor  680pF, 0603"</f>
        <v>Capacitor  680pF, 0603</v>
      </c>
      <c r="C7496" t="str">
        <f t="shared" si="283"/>
        <v>Active</v>
      </c>
    </row>
    <row r="7497" spans="1:3" ht="18" customHeight="1">
      <c r="A7497" t="str">
        <f>"405361"</f>
        <v>405361</v>
      </c>
      <c r="B7497" t="str">
        <f>"Capacitor  0.1µF 100V, 0805"</f>
        <v>Capacitor  0.1µF 100V, 0805</v>
      </c>
      <c r="C7497" t="str">
        <f t="shared" si="283"/>
        <v>Active</v>
      </c>
    </row>
    <row r="7498" spans="1:3" ht="18" customHeight="1">
      <c r="A7498" t="str">
        <f>"405363"</f>
        <v>405363</v>
      </c>
      <c r="B7498" t="str">
        <f>"Capacitor  2.2nF, 0402"</f>
        <v>Capacitor  2.2nF, 0402</v>
      </c>
      <c r="C7498" t="str">
        <f t="shared" si="283"/>
        <v>Active</v>
      </c>
    </row>
    <row r="7499" spans="1:3" ht="18" customHeight="1">
      <c r="A7499" t="str">
        <f>"405364"</f>
        <v>405364</v>
      </c>
      <c r="B7499" t="str">
        <f>"CAP. 180pF SMD 0603"</f>
        <v>CAP. 180pF SMD 0603</v>
      </c>
      <c r="C7499" t="str">
        <f t="shared" si="283"/>
        <v>Active</v>
      </c>
    </row>
    <row r="7500" spans="1:3" ht="18" customHeight="1">
      <c r="A7500" t="str">
        <f>"405365"</f>
        <v>405365</v>
      </c>
      <c r="B7500" t="str">
        <f>"Capacitor 0.33uF, 16V, 0603"</f>
        <v>Capacitor 0.33uF, 16V, 0603</v>
      </c>
      <c r="C7500" t="str">
        <f t="shared" si="283"/>
        <v>Active</v>
      </c>
    </row>
    <row r="7501" spans="1:3" ht="18" customHeight="1">
      <c r="A7501" t="str">
        <f>"405503"</f>
        <v>405503</v>
      </c>
      <c r="B7501" t="str">
        <f>"Capacitor, Tantalum   47µF 16V, Gap=2.5 mm"</f>
        <v>Capacitor, Tantalum   47µF 16V, Gap=2.5 mm</v>
      </c>
      <c r="C7501" t="str">
        <f t="shared" si="283"/>
        <v>Active</v>
      </c>
    </row>
    <row r="7502" spans="1:3" ht="18" customHeight="1">
      <c r="A7502" t="str">
        <f>"405504"</f>
        <v>405504</v>
      </c>
      <c r="B7502" t="str">
        <f>"Capacitor, Tantalum 1µF 16V, Gap=2.5 mm"</f>
        <v>Capacitor, Tantalum 1µF 16V, Gap=2.5 mm</v>
      </c>
      <c r="C7502" t="str">
        <f t="shared" si="283"/>
        <v>Active</v>
      </c>
    </row>
    <row r="7503" spans="1:3" ht="18" customHeight="1">
      <c r="A7503" t="str">
        <f>"405506"</f>
        <v>405506</v>
      </c>
      <c r="B7503" t="str">
        <f>"Capacitor, Tantalum   2.2µF 35V, Gap=5 mm"</f>
        <v>Capacitor, Tantalum   2.2µF 35V, Gap=5 mm</v>
      </c>
      <c r="C7503" t="str">
        <f t="shared" si="283"/>
        <v>Active</v>
      </c>
    </row>
    <row r="7504" spans="1:3" ht="18" customHeight="1">
      <c r="A7504" t="str">
        <f>"405516"</f>
        <v>405516</v>
      </c>
      <c r="B7504" t="str">
        <f>"Capacitor, Tantalum  10µF 16V, SMD, CASE B"</f>
        <v>Capacitor, Tantalum  10µF 16V, SMD, CASE B</v>
      </c>
      <c r="C7504" t="str">
        <f t="shared" si="283"/>
        <v>Active</v>
      </c>
    </row>
    <row r="7505" spans="1:3" ht="18" customHeight="1">
      <c r="A7505" t="str">
        <f>"405517"</f>
        <v>405517</v>
      </c>
      <c r="B7505" t="str">
        <f>"Capacitor, Tantalum 1µF 16V, SMD, CASE B"</f>
        <v>Capacitor, Tantalum 1µF 16V, SMD, CASE B</v>
      </c>
      <c r="C7505" t="str">
        <f t="shared" si="283"/>
        <v>Active</v>
      </c>
    </row>
    <row r="7506" spans="1:3" ht="18" customHeight="1">
      <c r="A7506" t="str">
        <f>"405518"</f>
        <v>405518</v>
      </c>
      <c r="B7506" t="str">
        <f>"Capacitor, Tantalum 4.7µF 10V, SMD, CASE A"</f>
        <v>Capacitor, Tantalum 4.7µF 10V, SMD, CASE A</v>
      </c>
      <c r="C7506" t="str">
        <f t="shared" si="283"/>
        <v>Active</v>
      </c>
    </row>
    <row r="7507" spans="1:3" ht="18" customHeight="1">
      <c r="A7507" t="str">
        <f>"405519"</f>
        <v>405519</v>
      </c>
      <c r="B7507" t="str">
        <f>"Capacitor, Tantalum  10µF 6.3V, SMD, CASE A"</f>
        <v>Capacitor, Tantalum  10µF 6.3V, SMD, CASE A</v>
      </c>
      <c r="C7507" t="str">
        <f t="shared" si="283"/>
        <v>Active</v>
      </c>
    </row>
    <row r="7508" spans="1:3" ht="18" customHeight="1">
      <c r="A7508" t="str">
        <f>"405537"</f>
        <v>405537</v>
      </c>
      <c r="B7508" t="str">
        <f>"Capacitor  1µF 100V AVX P/N, 1206"</f>
        <v>Capacitor  1µF 100V AVX P/N, 1206</v>
      </c>
      <c r="C7508" t="str">
        <f t="shared" si="283"/>
        <v>Active</v>
      </c>
    </row>
    <row r="7509" spans="1:3" ht="18" customHeight="1">
      <c r="A7509" t="str">
        <f>"406004"</f>
        <v>406004</v>
      </c>
      <c r="B7509" t="str">
        <f>"EPROM     27C512-150"</f>
        <v>EPROM     27C512-150</v>
      </c>
      <c r="C7509" t="str">
        <f t="shared" si="283"/>
        <v>Active</v>
      </c>
    </row>
    <row r="7510" spans="1:3" ht="18" customHeight="1">
      <c r="A7510" t="str">
        <f>"406010"</f>
        <v>406010</v>
      </c>
      <c r="B7510" t="str">
        <f>"PALCE16V8H-25PC/4Rev Let J or D or G or M"</f>
        <v>PALCE16V8H-25PC/4Rev Let J or D or G or M</v>
      </c>
      <c r="C7510" t="str">
        <f t="shared" si="283"/>
        <v>Active</v>
      </c>
    </row>
    <row r="7511" spans="1:3" ht="18" customHeight="1">
      <c r="A7511" t="str">
        <f>"406011"</f>
        <v>406011</v>
      </c>
      <c r="B7511" t="str">
        <f>"IC, PLD MACH130-20JC(15-18JC)"</f>
        <v>IC, PLD MACH130-20JC(15-18JC)</v>
      </c>
      <c r="C7511" t="str">
        <f t="shared" si="283"/>
        <v>Active</v>
      </c>
    </row>
    <row r="7512" spans="1:3" ht="18" customHeight="1">
      <c r="A7512" t="str">
        <f>"406012"</f>
        <v>406012</v>
      </c>
      <c r="B7512" t="str">
        <f>"IC, 128Kx8 E‎PROM,  W27E010-70 Winbond Only"</f>
        <v>IC, 128Kx8 E‎PROM,  W27E010-70 Winbond Only</v>
      </c>
      <c r="C7512" t="str">
        <f t="shared" si="283"/>
        <v>Active</v>
      </c>
    </row>
    <row r="7513" spans="1:3" ht="18" customHeight="1">
      <c r="A7513" t="str">
        <f>"406017"</f>
        <v>406017</v>
      </c>
      <c r="B7513" t="str">
        <f>"IC SMD LPV358M, SO8, Mnf: National"</f>
        <v>IC SMD LPV358M, SO8, Mnf: National</v>
      </c>
      <c r="C7513" t="str">
        <f t="shared" si="283"/>
        <v>Active</v>
      </c>
    </row>
    <row r="7514" spans="1:3" ht="18" customHeight="1">
      <c r="A7514" t="str">
        <f>"406018"</f>
        <v>406018</v>
      </c>
      <c r="B7514" t="str">
        <f>"IC SMD LPV324MSOIC14, Mnf: National"</f>
        <v>IC SMD LPV324MSOIC14, Mnf: National</v>
      </c>
      <c r="C7514" t="str">
        <f t="shared" si="283"/>
        <v>Active</v>
      </c>
    </row>
    <row r="7515" spans="1:3" ht="18" customHeight="1">
      <c r="A7515" t="str">
        <f>"406210"</f>
        <v>406210</v>
      </c>
      <c r="B7515" t="str">
        <f>"PIC17C42A-/25L"</f>
        <v>PIC17C42A-/25L</v>
      </c>
      <c r="C7515" t="str">
        <f t="shared" si="283"/>
        <v>Active</v>
      </c>
    </row>
    <row r="7516" spans="1:3" ht="18" customHeight="1">
      <c r="A7516" t="str">
        <f>"406213"</f>
        <v>406213</v>
      </c>
      <c r="B7516" t="str">
        <f>"IC UPD70F3025AGC-33-8EU-A, V853A -LQFP100"</f>
        <v>IC UPD70F3025AGC-33-8EU-A, V853A -LQFP100</v>
      </c>
      <c r="C7516" t="str">
        <f t="shared" si="283"/>
        <v>Active</v>
      </c>
    </row>
    <row r="7517" spans="1:3" ht="18" customHeight="1">
      <c r="A7517" t="str">
        <f>"406214"</f>
        <v>406214</v>
      </c>
      <c r="B7517" t="str">
        <f>"IC.PARALLAX SX48BD SMDPARALLAX SX48BD/TQ-G"</f>
        <v>IC.PARALLAX SX48BD SMDPARALLAX SX48BD/TQ-G</v>
      </c>
      <c r="C7517" t="str">
        <f t="shared" si="283"/>
        <v>Active</v>
      </c>
    </row>
    <row r="7518" spans="1:3" ht="18" customHeight="1">
      <c r="A7518" t="str">
        <f>"406216"</f>
        <v>406216</v>
      </c>
      <c r="B7518" t="str">
        <f>"IC SMD AT91SAM7A3, TQFP100, Mnf: Atmel"</f>
        <v>IC SMD AT91SAM7A3, TQFP100, Mnf: Atmel</v>
      </c>
      <c r="C7518" t="str">
        <f t="shared" si="283"/>
        <v>Active</v>
      </c>
    </row>
    <row r="7519" spans="1:3" ht="18" customHeight="1">
      <c r="A7519" t="str">
        <f>"406217"</f>
        <v>406217</v>
      </c>
      <c r="B7519" t="str">
        <f>"Microchip PIC17C42A-25P/Q,MQFP-44"</f>
        <v>Microchip PIC17C42A-25P/Q,MQFP-44</v>
      </c>
      <c r="C7519" t="str">
        <f t="shared" si="283"/>
        <v>Active</v>
      </c>
    </row>
    <row r="7520" spans="1:3" ht="18" customHeight="1">
      <c r="A7520" t="str">
        <f>"406505"</f>
        <v>406505</v>
      </c>
      <c r="B7520" t="str">
        <f>"IC, 74HC04"</f>
        <v>IC, 74HC04</v>
      </c>
      <c r="C7520" t="str">
        <f t="shared" si="283"/>
        <v>Active</v>
      </c>
    </row>
    <row r="7521" spans="1:3" ht="18" customHeight="1">
      <c r="A7521" t="str">
        <f>"406506"</f>
        <v>406506</v>
      </c>
      <c r="B7521" t="str">
        <f>"IC       74HC08IC       74HC08"</f>
        <v>IC       74HC08IC       74HC08</v>
      </c>
      <c r="C7521" t="str">
        <f t="shared" si="283"/>
        <v>Active</v>
      </c>
    </row>
    <row r="7522" spans="1:3" ht="18" customHeight="1">
      <c r="A7522" t="str">
        <f>"406511"</f>
        <v>406511</v>
      </c>
      <c r="B7522" t="str">
        <f>"IC, 74HC139"</f>
        <v>IC, 74HC139</v>
      </c>
      <c r="C7522" t="str">
        <f t="shared" si="283"/>
        <v>Active</v>
      </c>
    </row>
    <row r="7523" spans="1:3" ht="18" customHeight="1">
      <c r="A7523" t="str">
        <f>"406512"</f>
        <v>406512</v>
      </c>
      <c r="B7523" t="str">
        <f>"IC      74HC14MM74HC14N    DIP PKG"</f>
        <v>IC      74HC14MM74HC14N    DIP PKG</v>
      </c>
      <c r="C7523" t="str">
        <f t="shared" si="283"/>
        <v>Active</v>
      </c>
    </row>
    <row r="7524" spans="1:3" ht="18" customHeight="1">
      <c r="A7524" t="str">
        <f>"406513"</f>
        <v>406513</v>
      </c>
      <c r="B7524" t="str">
        <f>"IC, 74HC154 SLIM PKG"</f>
        <v>IC, 74HC154 SLIM PKG</v>
      </c>
      <c r="C7524" t="str">
        <f t="shared" si="283"/>
        <v>Active</v>
      </c>
    </row>
    <row r="7525" spans="1:3" ht="18" customHeight="1">
      <c r="A7525" t="str">
        <f>"406518"</f>
        <v>406518</v>
      </c>
      <c r="B7525" t="str">
        <f>"IC       74HC245IC       74HC245"</f>
        <v>IC       74HC245IC       74HC245</v>
      </c>
      <c r="C7525" t="str">
        <f t="shared" si="283"/>
        <v>Active</v>
      </c>
    </row>
    <row r="7526" spans="1:3" ht="18" customHeight="1">
      <c r="A7526" t="str">
        <f>"406520"</f>
        <v>406520</v>
      </c>
      <c r="B7526" t="str">
        <f>"IC  74HC273"</f>
        <v>IC  74HC273</v>
      </c>
      <c r="C7526" t="str">
        <f t="shared" si="283"/>
        <v>Active</v>
      </c>
    </row>
    <row r="7527" spans="1:3" ht="18" customHeight="1">
      <c r="A7527" t="str">
        <f>"406522"</f>
        <v>406522</v>
      </c>
      <c r="B7527" t="str">
        <f>"IC  74HC32"</f>
        <v>IC  74HC32</v>
      </c>
      <c r="C7527" t="str">
        <f t="shared" ref="C7527:C7590" si="284">"Active"</f>
        <v>Active</v>
      </c>
    </row>
    <row r="7528" spans="1:3" ht="18" customHeight="1">
      <c r="A7528" t="str">
        <f>"406523"</f>
        <v>406523</v>
      </c>
      <c r="B7528" t="str">
        <f>"IC, 74HC365"</f>
        <v>IC, 74HC365</v>
      </c>
      <c r="C7528" t="str">
        <f t="shared" si="284"/>
        <v>Active</v>
      </c>
    </row>
    <row r="7529" spans="1:3" ht="18" customHeight="1">
      <c r="A7529" t="str">
        <f>"406527"</f>
        <v>406527</v>
      </c>
      <c r="B7529" t="str">
        <f>"IC, 74HC563"</f>
        <v>IC, 74HC563</v>
      </c>
      <c r="C7529" t="str">
        <f t="shared" si="284"/>
        <v>Active</v>
      </c>
    </row>
    <row r="7530" spans="1:3" ht="18" customHeight="1">
      <c r="A7530" t="str">
        <f>"406534"</f>
        <v>406534</v>
      </c>
      <c r="B7530" t="str">
        <f>"IC  74HC373"</f>
        <v>IC  74HC373</v>
      </c>
      <c r="C7530" t="str">
        <f t="shared" si="284"/>
        <v>Active</v>
      </c>
    </row>
    <row r="7531" spans="1:3" ht="18" customHeight="1">
      <c r="A7531" t="str">
        <f>"406535"</f>
        <v>406535</v>
      </c>
      <c r="B7531" t="str">
        <f>"IC   74HC393"</f>
        <v>IC   74HC393</v>
      </c>
      <c r="C7531" t="str">
        <f t="shared" si="284"/>
        <v>Active</v>
      </c>
    </row>
    <row r="7532" spans="1:3" ht="18" customHeight="1">
      <c r="A7532" t="str">
        <f>"406538"</f>
        <v>406538</v>
      </c>
      <c r="B7532" t="str">
        <f>"IC UCN5804B DIP"</f>
        <v>IC UCN5804B DIP</v>
      </c>
      <c r="C7532" t="str">
        <f t="shared" si="284"/>
        <v>Active</v>
      </c>
    </row>
    <row r="7533" spans="1:3" ht="18" customHeight="1">
      <c r="A7533" t="str">
        <f>"406606"</f>
        <v>406606</v>
      </c>
      <c r="B7533" t="str">
        <f>"74HC688 8Bit Equ Comprtor"</f>
        <v>74HC688 8Bit Equ Comprtor</v>
      </c>
      <c r="C7533" t="str">
        <f t="shared" si="284"/>
        <v>Active</v>
      </c>
    </row>
    <row r="7534" spans="1:3" ht="18" customHeight="1">
      <c r="A7534" t="str">
        <f>"406607"</f>
        <v>406607</v>
      </c>
      <c r="B7534" t="str">
        <f>"IC  74HC244D, SOL20,  SMD"</f>
        <v>IC  74HC244D, SOL20,  SMD</v>
      </c>
      <c r="C7534" t="str">
        <f t="shared" si="284"/>
        <v>Active</v>
      </c>
    </row>
    <row r="7535" spans="1:3" ht="18" customHeight="1">
      <c r="A7535" t="str">
        <f>"406608"</f>
        <v>406608</v>
      </c>
      <c r="B7535" t="str">
        <f>"IC  74HC273, SOL20, SMD"</f>
        <v>IC  74HC273, SOL20, SMD</v>
      </c>
      <c r="C7535" t="str">
        <f t="shared" si="284"/>
        <v>Active</v>
      </c>
    </row>
    <row r="7536" spans="1:3" ht="18" customHeight="1">
      <c r="A7536" t="str">
        <f>"406609"</f>
        <v>406609</v>
      </c>
      <c r="B7536" t="str">
        <f>"IC  74HC05, SO14, SMD"</f>
        <v>IC  74HC05, SO14, SMD</v>
      </c>
      <c r="C7536" t="str">
        <f t="shared" si="284"/>
        <v>Active</v>
      </c>
    </row>
    <row r="7537" spans="1:3" ht="18" customHeight="1">
      <c r="A7537" t="str">
        <f>"406610"</f>
        <v>406610</v>
      </c>
      <c r="B7537" t="str">
        <f>"IC   74HC14, SO14, SMD"</f>
        <v>IC   74HC14, SO14, SMD</v>
      </c>
      <c r="C7537" t="str">
        <f t="shared" si="284"/>
        <v>Active</v>
      </c>
    </row>
    <row r="7538" spans="1:3" ht="18" customHeight="1">
      <c r="A7538" t="str">
        <f>"406612"</f>
        <v>406612</v>
      </c>
      <c r="B7538" t="str">
        <f>"IC  74HC240D, SOL20,  SMD"</f>
        <v>IC  74HC240D, SOL20,  SMD</v>
      </c>
      <c r="C7538" t="str">
        <f t="shared" si="284"/>
        <v>Active</v>
      </c>
    </row>
    <row r="7539" spans="1:3" ht="18" customHeight="1">
      <c r="A7539" t="str">
        <f>"406613"</f>
        <v>406613</v>
      </c>
      <c r="B7539" t="str">
        <f>"IC  CD74HCT125M, SO14,   SMD"</f>
        <v>IC  CD74HCT125M, SO14,   SMD</v>
      </c>
      <c r="C7539" t="str">
        <f t="shared" si="284"/>
        <v>Active</v>
      </c>
    </row>
    <row r="7540" spans="1:3" ht="18" customHeight="1">
      <c r="A7540" t="str">
        <f>"406614"</f>
        <v>406614</v>
      </c>
      <c r="B7540" t="str">
        <f>"IC  74HCT374D, SOL20,  SMD"</f>
        <v>IC  74HCT374D, SOL20,  SMD</v>
      </c>
      <c r="C7540" t="str">
        <f t="shared" si="284"/>
        <v>Active</v>
      </c>
    </row>
    <row r="7541" spans="1:3" ht="18" customHeight="1">
      <c r="A7541" t="str">
        <f>"406615"</f>
        <v>406615</v>
      </c>
      <c r="B7541" t="str">
        <f>"IC  CD74HCT138M,  SO16, SMD"</f>
        <v>IC  CD74HCT138M,  SO16, SMD</v>
      </c>
      <c r="C7541" t="str">
        <f t="shared" si="284"/>
        <v>Active</v>
      </c>
    </row>
    <row r="7542" spans="1:3" ht="18" customHeight="1">
      <c r="A7542" t="str">
        <f>"406616"</f>
        <v>406616</v>
      </c>
      <c r="B7542" t="str">
        <f>"IC  CD74HCT02M, SO14,  SMD"</f>
        <v>IC  CD74HCT02M, SO14,  SMD</v>
      </c>
      <c r="C7542" t="str">
        <f t="shared" si="284"/>
        <v>Active</v>
      </c>
    </row>
    <row r="7543" spans="1:3" ht="18" customHeight="1">
      <c r="A7543" t="str">
        <f>"406617"</f>
        <v>406617</v>
      </c>
      <c r="B7543" t="str">
        <f>"IC  CD74HC14M, SO14, , SMD"</f>
        <v>IC  CD74HC14M, SO14, , SMD</v>
      </c>
      <c r="C7543" t="str">
        <f t="shared" si="284"/>
        <v>Active</v>
      </c>
    </row>
    <row r="7544" spans="1:3" ht="18" customHeight="1">
      <c r="A7544" t="str">
        <f>"406618"</f>
        <v>406618</v>
      </c>
      <c r="B7544" t="str">
        <f>"IC  74HCT74D, SO14, SMD"</f>
        <v>IC  74HCT74D, SO14, SMD</v>
      </c>
      <c r="C7544" t="str">
        <f t="shared" si="284"/>
        <v>Active</v>
      </c>
    </row>
    <row r="7545" spans="1:3" ht="18" customHeight="1">
      <c r="A7545" t="str">
        <f>"406619"</f>
        <v>406619</v>
      </c>
      <c r="B7545" t="str">
        <f>"IC  M74HC20M1R, SO14, SMD"</f>
        <v>IC  M74HC20M1R, SO14, SMD</v>
      </c>
      <c r="C7545" t="str">
        <f t="shared" si="284"/>
        <v>Active</v>
      </c>
    </row>
    <row r="7546" spans="1:3" ht="18" customHeight="1">
      <c r="A7546" t="str">
        <f>"406620"</f>
        <v>406620</v>
      </c>
      <c r="B7546" t="str">
        <f>"IC  CD74HC02M, SO14, Mnf: TI, SMD"</f>
        <v>IC  CD74HC02M, SO14, Mnf: TI, SMD</v>
      </c>
      <c r="C7546" t="str">
        <f t="shared" si="284"/>
        <v>Active</v>
      </c>
    </row>
    <row r="7547" spans="1:3" ht="18" customHeight="1">
      <c r="A7547" t="str">
        <f>"406621"</f>
        <v>406621</v>
      </c>
      <c r="B7547" t="str">
        <f>"IC  CD74HCT273M, SOL20, SMD"</f>
        <v>IC  CD74HCT273M, SOL20, SMD</v>
      </c>
      <c r="C7547" t="str">
        <f t="shared" si="284"/>
        <v>Active</v>
      </c>
    </row>
    <row r="7548" spans="1:3" ht="18" customHeight="1">
      <c r="A7548" t="str">
        <f>"406622"</f>
        <v>406622</v>
      </c>
      <c r="B7548" t="str">
        <f>"IC  CD74HCT14MT, SO14, Mnf:  SMD"</f>
        <v>IC  CD74HCT14MT, SO14, Mnf:  SMD</v>
      </c>
      <c r="C7548" t="str">
        <f t="shared" si="284"/>
        <v>Active</v>
      </c>
    </row>
    <row r="7549" spans="1:3" ht="18" customHeight="1">
      <c r="A7549" t="str">
        <f>"406802"</f>
        <v>406802</v>
      </c>
      <c r="B7549" t="str">
        <f>"IC       74LS02IC       74LS02"</f>
        <v>IC       74LS02IC       74LS02</v>
      </c>
      <c r="C7549" t="str">
        <f t="shared" si="284"/>
        <v>Active</v>
      </c>
    </row>
    <row r="7550" spans="1:3" ht="18" customHeight="1">
      <c r="A7550" t="str">
        <f>"406806"</f>
        <v>406806</v>
      </c>
      <c r="B7550" t="str">
        <f>"IC       74LS13IC       74LS13"</f>
        <v>IC       74LS13IC       74LS13</v>
      </c>
      <c r="C7550" t="str">
        <f t="shared" si="284"/>
        <v>Active</v>
      </c>
    </row>
    <row r="7551" spans="1:3" ht="18" customHeight="1">
      <c r="A7551" t="str">
        <f>"406808"</f>
        <v>406808</v>
      </c>
      <c r="B7551" t="str">
        <f>"IC       74LS14IC      DM74LS14N"</f>
        <v>IC       74LS14IC      DM74LS14N</v>
      </c>
      <c r="C7551" t="str">
        <f t="shared" si="284"/>
        <v>Active</v>
      </c>
    </row>
    <row r="7552" spans="1:3" ht="18" customHeight="1">
      <c r="A7552" t="str">
        <f>"406813"</f>
        <v>406813</v>
      </c>
      <c r="B7552" t="str">
        <f>"IC       74LS32IC       74LS32"</f>
        <v>IC       74LS32IC       74LS32</v>
      </c>
      <c r="C7552" t="str">
        <f t="shared" si="284"/>
        <v>Active</v>
      </c>
    </row>
    <row r="7553" spans="1:3" ht="18" customHeight="1">
      <c r="A7553" t="str">
        <f>"406820"</f>
        <v>406820</v>
      </c>
      <c r="B7553" t="str">
        <f>"IC       74LS10P or NIC       74LS10P or N"</f>
        <v>IC       74LS10P or NIC       74LS10P or N</v>
      </c>
      <c r="C7553" t="str">
        <f t="shared" si="284"/>
        <v>Active</v>
      </c>
    </row>
    <row r="7554" spans="1:3" ht="18" customHeight="1">
      <c r="A7554" t="str">
        <f>"407702"</f>
        <v>407702</v>
      </c>
      <c r="B7554" t="str">
        <f>"IC   1455,  MOT&amp;PHILPS&amp;NS&amp;SIL&amp;TI ONLY"</f>
        <v>IC   1455,  MOT&amp;PHILPS&amp;NS&amp;SIL&amp;TI ONLY</v>
      </c>
      <c r="C7554" t="str">
        <f t="shared" si="284"/>
        <v>Active</v>
      </c>
    </row>
    <row r="7555" spans="1:3" ht="18" customHeight="1">
      <c r="A7555" t="str">
        <f>"407703"</f>
        <v>407703</v>
      </c>
      <c r="B7555" t="str">
        <f>"IC, MC1488, Motorola &amp; National"</f>
        <v>IC, MC1488, Motorola &amp; National</v>
      </c>
      <c r="C7555" t="str">
        <f t="shared" si="284"/>
        <v>Active</v>
      </c>
    </row>
    <row r="7556" spans="1:3" ht="18" customHeight="1">
      <c r="A7556" t="str">
        <f>"407704"</f>
        <v>407704</v>
      </c>
      <c r="B7556" t="str">
        <f>"IC, 1489, Motorola &amp; National"</f>
        <v>IC, 1489, Motorola &amp; National</v>
      </c>
      <c r="C7556" t="str">
        <f t="shared" si="284"/>
        <v>Active</v>
      </c>
    </row>
    <row r="7557" spans="1:3" ht="18" customHeight="1">
      <c r="A7557" t="str">
        <f>"407705"</f>
        <v>407705</v>
      </c>
      <c r="B7557" t="str">
        <f>"IC       4011IC       4011"</f>
        <v>IC       4011IC       4011</v>
      </c>
      <c r="C7557" t="str">
        <f t="shared" si="284"/>
        <v>Active</v>
      </c>
    </row>
    <row r="7558" spans="1:3" ht="18" customHeight="1">
      <c r="A7558" t="str">
        <f>"407710"</f>
        <v>407710</v>
      </c>
      <c r="B7558" t="str">
        <f>"IC       4050IC       4050"</f>
        <v>IC       4050IC       4050</v>
      </c>
      <c r="C7558" t="str">
        <f t="shared" si="284"/>
        <v>Active</v>
      </c>
    </row>
    <row r="7559" spans="1:3" ht="18" customHeight="1">
      <c r="A7559" t="str">
        <f>"407712"</f>
        <v>407712</v>
      </c>
      <c r="B7559" t="str">
        <f>"IC      HCTL2000IC      HCTL2000"</f>
        <v>IC      HCTL2000IC      HCTL2000</v>
      </c>
      <c r="C7559" t="str">
        <f t="shared" si="284"/>
        <v>Active</v>
      </c>
    </row>
    <row r="7560" spans="1:3" ht="18" customHeight="1">
      <c r="A7560" t="str">
        <f>"407713"</f>
        <v>407713</v>
      </c>
      <c r="B7560" t="str">
        <f>"IC  ISQ5 or CNY74-4IC  ISQ5 or CNY74-4"</f>
        <v>IC  ISQ5 or CNY74-4IC  ISQ5 or CNY74-4</v>
      </c>
      <c r="C7560" t="str">
        <f t="shared" si="284"/>
        <v>Active</v>
      </c>
    </row>
    <row r="7561" spans="1:3" ht="18" customHeight="1">
      <c r="A7561" t="str">
        <f>"407714"</f>
        <v>407714</v>
      </c>
      <c r="B7561" t="str">
        <f>"IC       LF347IC       LF347"</f>
        <v>IC       LF347IC       LF347</v>
      </c>
      <c r="C7561" t="str">
        <f t="shared" si="284"/>
        <v>Active</v>
      </c>
    </row>
    <row r="7562" spans="1:3" ht="18" customHeight="1">
      <c r="A7562" t="str">
        <f>"407715"</f>
        <v>407715</v>
      </c>
      <c r="B7562" t="str">
        <f>"IC       LF347IC       LM311N"</f>
        <v>IC       LF347IC       LM311N</v>
      </c>
      <c r="C7562" t="str">
        <f t="shared" si="284"/>
        <v>Active</v>
      </c>
    </row>
    <row r="7563" spans="1:3" ht="18" customHeight="1">
      <c r="A7563" t="str">
        <f>"407716"</f>
        <v>407716</v>
      </c>
      <c r="B7563" t="str">
        <f>"IC       LM339IC       LM339"</f>
        <v>IC       LM339IC       LM339</v>
      </c>
      <c r="C7563" t="str">
        <f t="shared" si="284"/>
        <v>Active</v>
      </c>
    </row>
    <row r="7564" spans="1:3" ht="18" customHeight="1">
      <c r="A7564" t="str">
        <f>"407719"</f>
        <v>407719</v>
      </c>
      <c r="B7564" t="str">
        <f>"IC     ULN2803ST,  ULN2803A"</f>
        <v>IC     ULN2803ST,  ULN2803A</v>
      </c>
      <c r="C7564" t="str">
        <f t="shared" si="284"/>
        <v>Active</v>
      </c>
    </row>
    <row r="7565" spans="1:3" ht="18" customHeight="1">
      <c r="A7565" t="str">
        <f>"407728"</f>
        <v>407728</v>
      </c>
      <c r="B7565" t="str">
        <f>"IC    4N25 (OPTO CUPLER)"</f>
        <v>IC    4N25 (OPTO CUPLER)</v>
      </c>
      <c r="C7565" t="str">
        <f t="shared" si="284"/>
        <v>Active</v>
      </c>
    </row>
    <row r="7566" spans="1:3" ht="18" customHeight="1">
      <c r="A7566" t="str">
        <f>"407729"</f>
        <v>407729</v>
      </c>
      <c r="B7566" t="str">
        <f>"HCTL2020 DIP pkg ( H.P.)"</f>
        <v>HCTL2020 DIP pkg ( H.P.)</v>
      </c>
      <c r="C7566" t="str">
        <f t="shared" si="284"/>
        <v>Active</v>
      </c>
    </row>
    <row r="7567" spans="1:3" ht="18" customHeight="1">
      <c r="A7567" t="str">
        <f>"407730"</f>
        <v>407730</v>
      </c>
      <c r="B7567" t="str">
        <f>"IC   4093 MOTOROLA/ ON, IC   4093"</f>
        <v>IC   4093 MOTOROLA/ ON, IC   4093</v>
      </c>
      <c r="C7567" t="str">
        <f t="shared" si="284"/>
        <v>Active</v>
      </c>
    </row>
    <row r="7568" spans="1:3" ht="18" customHeight="1">
      <c r="A7568" t="str">
        <f>"407732"</f>
        <v>407732</v>
      </c>
      <c r="B7568" t="str">
        <f>"IC       4050 SMD74HC4050DR2 (smd)"</f>
        <v>IC       4050 SMD74HC4050DR2 (smd)</v>
      </c>
      <c r="C7568" t="str">
        <f t="shared" si="284"/>
        <v>Active</v>
      </c>
    </row>
    <row r="7569" spans="1:3" ht="18" customHeight="1">
      <c r="A7569" t="str">
        <f>"407733"</f>
        <v>407733</v>
      </c>
      <c r="B7569" t="str">
        <f>"IC  MPQ2222  MOTOROLA (ON)"</f>
        <v>IC  MPQ2222  MOTOROLA (ON)</v>
      </c>
      <c r="C7569" t="str">
        <f t="shared" si="284"/>
        <v>Active</v>
      </c>
    </row>
    <row r="7570" spans="1:3" ht="18" customHeight="1">
      <c r="A7570" t="str">
        <f>"407734"</f>
        <v>407734</v>
      </c>
      <c r="B7570" t="str">
        <f>"IC   4012"</f>
        <v>IC   4012</v>
      </c>
      <c r="C7570" t="str">
        <f t="shared" si="284"/>
        <v>Active</v>
      </c>
    </row>
    <row r="7571" spans="1:3" ht="18" customHeight="1">
      <c r="A7571" t="str">
        <f>"407736"</f>
        <v>407736</v>
      </c>
      <c r="B7571" t="str">
        <f>"IC, MC14C89P, MOTOROLA ONLY"</f>
        <v>IC, MC14C89P, MOTOROLA ONLY</v>
      </c>
      <c r="C7571" t="str">
        <f t="shared" si="284"/>
        <v>Active</v>
      </c>
    </row>
    <row r="7572" spans="1:3" ht="18" customHeight="1">
      <c r="A7572" t="str">
        <f>"407737"</f>
        <v>407737</v>
      </c>
      <c r="B7572" t="str">
        <f>"232  IC  RS232 IntrfaceMAXIM &amp; Intersil"</f>
        <v>232  IC  RS232 IntrfaceMAXIM &amp; Intersil</v>
      </c>
      <c r="C7572" t="str">
        <f t="shared" si="284"/>
        <v>Active</v>
      </c>
    </row>
    <row r="7573" spans="1:3" ht="18" customHeight="1">
      <c r="A7573" t="str">
        <f>"407740"</f>
        <v>407740</v>
      </c>
      <c r="B7573" t="str">
        <f>"AMP, LM358  DUAL OPERAT,  Texas Instrument"</f>
        <v>AMP, LM358  DUAL OPERAT,  Texas Instrument</v>
      </c>
      <c r="C7573" t="str">
        <f t="shared" si="284"/>
        <v>Active</v>
      </c>
    </row>
    <row r="7574" spans="1:3" ht="18" customHeight="1">
      <c r="A7574" t="str">
        <f>"407743"</f>
        <v>407743</v>
      </c>
      <c r="B7574" t="str">
        <f>"AMP, LMD 18200T,  EASTRONICS"</f>
        <v>AMP, LMD 18200T,  EASTRONICS</v>
      </c>
      <c r="C7574" t="str">
        <f t="shared" si="284"/>
        <v>Active</v>
      </c>
    </row>
    <row r="7575" spans="1:3" ht="18" customHeight="1">
      <c r="A7575" t="str">
        <f>"407748"</f>
        <v>407748</v>
      </c>
      <c r="B7575" t="str">
        <f>"Under volt. sensing cktMOTOROLA ONLY (ON SEMI)"</f>
        <v>Under volt. sensing cktMOTOROLA ONLY (ON SEMI)</v>
      </c>
      <c r="C7575" t="str">
        <f t="shared" si="284"/>
        <v>Active</v>
      </c>
    </row>
    <row r="7576" spans="1:3" ht="18" customHeight="1">
      <c r="A7576" t="str">
        <f>"407749"</f>
        <v>407749</v>
      </c>
      <c r="B7576" t="str">
        <f>"Low quad operational Amp. LM324N"</f>
        <v>Low quad operational Amp. LM324N</v>
      </c>
      <c r="C7576" t="str">
        <f t="shared" si="284"/>
        <v>Active</v>
      </c>
    </row>
    <row r="7577" spans="1:3" ht="18" customHeight="1">
      <c r="A7577" t="str">
        <f>"407751"</f>
        <v>407751</v>
      </c>
      <c r="B7577" t="str">
        <f>"IC.MIC4469 BNIC.MIC4469 BN , DIP14"</f>
        <v>IC.MIC4469 BNIC.MIC4469 BN , DIP14</v>
      </c>
      <c r="C7577" t="str">
        <f t="shared" si="284"/>
        <v>Active</v>
      </c>
    </row>
    <row r="7578" spans="1:3" ht="18" customHeight="1">
      <c r="A7578" t="str">
        <f>"407753"</f>
        <v>407753</v>
      </c>
      <c r="B7578" t="str">
        <f>"IC 4N33 (OPTO CUPLER)"</f>
        <v>IC 4N33 (OPTO CUPLER)</v>
      </c>
      <c r="C7578" t="str">
        <f t="shared" si="284"/>
        <v>Active</v>
      </c>
    </row>
    <row r="7579" spans="1:3" ht="18" customHeight="1">
      <c r="A7579" t="str">
        <f>"407754"</f>
        <v>407754</v>
      </c>
      <c r="B7579" t="str">
        <f>"OPTO ISO. SMD TCLT1600, SOL4 Wide Body"</f>
        <v>OPTO ISO. SMD TCLT1600, SOL4 Wide Body</v>
      </c>
      <c r="C7579" t="str">
        <f t="shared" si="284"/>
        <v>Active</v>
      </c>
    </row>
    <row r="7580" spans="1:3" ht="18" customHeight="1">
      <c r="A7580" t="str">
        <f>"407755"</f>
        <v>407755</v>
      </c>
      <c r="B7580" t="str">
        <f>"OPTO ISO. SMD TCLT1006, SOL4 Wide Body"</f>
        <v>OPTO ISO. SMD TCLT1006, SOL4 Wide Body</v>
      </c>
      <c r="C7580" t="str">
        <f t="shared" si="284"/>
        <v>Active</v>
      </c>
    </row>
    <row r="7581" spans="1:3" ht="18" customHeight="1">
      <c r="A7581" t="str">
        <f>"407756"</f>
        <v>407756</v>
      </c>
      <c r="B7581" t="str">
        <f>"IC   CD4051BM, SO16,  SMD"</f>
        <v>IC   CD4051BM, SO16,  SMD</v>
      </c>
      <c r="C7581" t="str">
        <f t="shared" si="284"/>
        <v>Active</v>
      </c>
    </row>
    <row r="7582" spans="1:3" ht="18" customHeight="1">
      <c r="A7582" t="str">
        <f>"407757"</f>
        <v>407757</v>
      </c>
      <c r="B7582" t="str">
        <f>"IC   AD5323BRUZ, TSSOP16, SMD"</f>
        <v>IC   AD5323BRUZ, TSSOP16, SMD</v>
      </c>
      <c r="C7582" t="str">
        <f t="shared" si="284"/>
        <v>Active</v>
      </c>
    </row>
    <row r="7583" spans="1:3" ht="18" customHeight="1">
      <c r="A7583" t="str">
        <f>"407758"</f>
        <v>407758</v>
      </c>
      <c r="B7583" t="str">
        <f>"IC   LM4040DIM3-2.5, SOT23, SMD"</f>
        <v>IC   LM4040DIM3-2.5, SOT23, SMD</v>
      </c>
      <c r="C7583" t="str">
        <f t="shared" si="284"/>
        <v>Active</v>
      </c>
    </row>
    <row r="7584" spans="1:3" ht="18" customHeight="1">
      <c r="A7584" t="str">
        <f>"407759"</f>
        <v>407759</v>
      </c>
      <c r="B7584" t="str">
        <f>"IC   ADM3202ARN, SO16,  SMD"</f>
        <v>IC   ADM3202ARN, SO16,  SMD</v>
      </c>
      <c r="C7584" t="str">
        <f t="shared" si="284"/>
        <v>Active</v>
      </c>
    </row>
    <row r="7585" spans="1:3" ht="18" customHeight="1">
      <c r="A7585" t="str">
        <f>"407760"</f>
        <v>407760</v>
      </c>
      <c r="B7585" t="str">
        <f>"IC   ULN2003AD, SO16,  SMD"</f>
        <v>IC   ULN2003AD, SO16,  SMD</v>
      </c>
      <c r="C7585" t="str">
        <f t="shared" si="284"/>
        <v>Active</v>
      </c>
    </row>
    <row r="7586" spans="1:3" ht="18" customHeight="1">
      <c r="A7586" t="str">
        <f>"407761"</f>
        <v>407761</v>
      </c>
      <c r="B7586" t="str">
        <f>"IC   IR2184SPBF, SO8, SMD"</f>
        <v>IC   IR2184SPBF, SO8, SMD</v>
      </c>
      <c r="C7586" t="str">
        <f t="shared" si="284"/>
        <v>Active</v>
      </c>
    </row>
    <row r="7587" spans="1:3" ht="18" customHeight="1">
      <c r="A7587" t="str">
        <f>"407763"</f>
        <v>407763</v>
      </c>
      <c r="B7587" t="str">
        <f>"IC   LM339D, SO14, SMD"</f>
        <v>IC   LM339D, SO14, SMD</v>
      </c>
      <c r="C7587" t="str">
        <f t="shared" si="284"/>
        <v>Active</v>
      </c>
    </row>
    <row r="7588" spans="1:3" ht="18" customHeight="1">
      <c r="A7588" t="str">
        <f>"407764"</f>
        <v>407764</v>
      </c>
      <c r="B7588" t="str">
        <f>"IC SMD LS7184-SSOIC8, Mnf: LSI/CSI"</f>
        <v>IC SMD LS7184-SSOIC8, Mnf: LSI/CSI</v>
      </c>
      <c r="C7588" t="str">
        <f t="shared" si="284"/>
        <v>Active</v>
      </c>
    </row>
    <row r="7589" spans="1:3" ht="18" customHeight="1">
      <c r="A7589" t="str">
        <f>"407765"</f>
        <v>407765</v>
      </c>
      <c r="B7589" t="str">
        <f>"IC   AD5227BUJZ50-R22, SOT23-8"</f>
        <v>IC   AD5227BUJZ50-R22, SOT23-8</v>
      </c>
      <c r="C7589" t="str">
        <f t="shared" si="284"/>
        <v>Active</v>
      </c>
    </row>
    <row r="7590" spans="1:3" ht="18" customHeight="1">
      <c r="A7590" t="str">
        <f>"407766"</f>
        <v>407766</v>
      </c>
      <c r="B7590" t="str">
        <f>"ispMACH LC4256V-75TN100CTQFP100, Mnf: LATTICE"</f>
        <v>ispMACH LC4256V-75TN100CTQFP100, Mnf: LATTICE</v>
      </c>
      <c r="C7590" t="str">
        <f t="shared" si="284"/>
        <v>Active</v>
      </c>
    </row>
    <row r="7591" spans="1:3" ht="18" customHeight="1">
      <c r="A7591" t="str">
        <f>"407767"</f>
        <v>407767</v>
      </c>
      <c r="B7591" t="str">
        <f>"IC  LM2576HVS-ADJ, SMD TO-263"</f>
        <v>IC  LM2576HVS-ADJ, SMD TO-263</v>
      </c>
      <c r="C7591" t="str">
        <f t="shared" ref="C7591:C7645" si="285">"Active"</f>
        <v>Active</v>
      </c>
    </row>
    <row r="7592" spans="1:3" ht="18" customHeight="1">
      <c r="A7592" t="str">
        <f>"407768"</f>
        <v>407768</v>
      </c>
      <c r="B7592" t="str">
        <f>"IC   LMC6492BEM, SO8,  SMD"</f>
        <v>IC   LMC6492BEM, SO8,  SMD</v>
      </c>
      <c r="C7592" t="str">
        <f t="shared" si="285"/>
        <v>Active</v>
      </c>
    </row>
    <row r="7593" spans="1:3" ht="18" customHeight="1">
      <c r="A7593" t="str">
        <f>"407769"</f>
        <v>407769</v>
      </c>
      <c r="B7593" t="str">
        <f>"IC  LM2937IMP-3.3, SMD TO-223"</f>
        <v>IC  LM2937IMP-3.3, SMD TO-223</v>
      </c>
      <c r="C7593" t="str">
        <f t="shared" si="285"/>
        <v>Active</v>
      </c>
    </row>
    <row r="7594" spans="1:3" ht="18" customHeight="1">
      <c r="A7594" t="str">
        <f>"407804"</f>
        <v>407804</v>
      </c>
      <c r="B7594" t="str">
        <f>"IC SMD Max690ACSASO8"</f>
        <v>IC SMD Max690ACSASO8</v>
      </c>
      <c r="C7594" t="str">
        <f t="shared" si="285"/>
        <v>Active</v>
      </c>
    </row>
    <row r="7595" spans="1:3" ht="18" customHeight="1">
      <c r="A7595" t="str">
        <f>"407805"</f>
        <v>407805</v>
      </c>
      <c r="B7595" t="str">
        <f>"IC SMD ADM202 JRN R16ASMD"</f>
        <v>IC SMD ADM202 JRN R16ASMD</v>
      </c>
      <c r="C7595" t="str">
        <f t="shared" si="285"/>
        <v>Active</v>
      </c>
    </row>
    <row r="7596" spans="1:3" ht="18" customHeight="1">
      <c r="A7596" t="str">
        <f>"407806"</f>
        <v>407806</v>
      </c>
      <c r="B7596" t="str">
        <f>"IC SMD LM358SO8, Mnf: National, ON"</f>
        <v>IC SMD LM358SO8, Mnf: National, ON</v>
      </c>
      <c r="C7596" t="str">
        <f t="shared" si="285"/>
        <v>Active</v>
      </c>
    </row>
    <row r="7597" spans="1:3" ht="18" customHeight="1">
      <c r="A7597" t="str">
        <f>"407807"</f>
        <v>407807</v>
      </c>
      <c r="B7597" t="str">
        <f>"IC SMD REF02CSSO08"</f>
        <v>IC SMD REF02CSSO08</v>
      </c>
      <c r="C7597" t="str">
        <f t="shared" si="285"/>
        <v>Active</v>
      </c>
    </row>
    <row r="7598" spans="1:3" ht="18" customHeight="1">
      <c r="A7598" t="str">
        <f>"407808"</f>
        <v>407808</v>
      </c>
      <c r="B7598" t="str">
        <f>"IC SMD USBN9603-28MSOL28"</f>
        <v>IC SMD USBN9603-28MSOL28</v>
      </c>
      <c r="C7598" t="str">
        <f t="shared" si="285"/>
        <v>Active</v>
      </c>
    </row>
    <row r="7599" spans="1:3" ht="18" customHeight="1">
      <c r="A7599" t="str">
        <f>"407809"</f>
        <v>407809</v>
      </c>
      <c r="B7599" t="str">
        <f>"IC SMD MAX823TEUK-TSOT23-5, Mnf: Maxim, TI"</f>
        <v>IC SMD MAX823TEUK-TSOT23-5, Mnf: Maxim, TI</v>
      </c>
      <c r="C7599" t="str">
        <f t="shared" si="285"/>
        <v>Active</v>
      </c>
    </row>
    <row r="7600" spans="1:3" ht="18" customHeight="1">
      <c r="A7600" t="str">
        <f>"407810"</f>
        <v>407810</v>
      </c>
      <c r="B7600" t="str">
        <f>"Undervolt. Sens. IC ON Semi, TSOP-5"</f>
        <v>Undervolt. Sens. IC ON Semi, TSOP-5</v>
      </c>
      <c r="C7600" t="str">
        <f t="shared" si="285"/>
        <v>Active</v>
      </c>
    </row>
    <row r="7601" spans="1:3" ht="18" customHeight="1">
      <c r="A7601" t="str">
        <f>"407811"</f>
        <v>407811</v>
      </c>
      <c r="B7601" t="str">
        <f>"IC SMD LM339AM ON Semi, TSOP-5"</f>
        <v>IC SMD LM339AM ON Semi, TSOP-5</v>
      </c>
      <c r="C7601" t="str">
        <f t="shared" si="285"/>
        <v>Active</v>
      </c>
    </row>
    <row r="7602" spans="1:3" ht="18" customHeight="1">
      <c r="A7602" t="str">
        <f>"407812"</f>
        <v>407812</v>
      </c>
      <c r="B7602" t="str">
        <f>"MAX3232ECWE RS-232 IC SMD MAXIM, 16"</f>
        <v>MAX3232ECWE RS-232 IC SMD MAXIM, 16</v>
      </c>
      <c r="C7602" t="str">
        <f t="shared" si="285"/>
        <v>Active</v>
      </c>
    </row>
    <row r="7603" spans="1:3" ht="18" customHeight="1">
      <c r="A7603" t="str">
        <f>"408001"</f>
        <v>408001</v>
      </c>
      <c r="B7603" t="str">
        <f>"Diode Zener  W747A"</f>
        <v>Diode Zener  W747A</v>
      </c>
      <c r="C7603" t="str">
        <f t="shared" si="285"/>
        <v>Active</v>
      </c>
    </row>
    <row r="7604" spans="1:3" ht="18" customHeight="1">
      <c r="A7604" t="str">
        <f>"408002"</f>
        <v>408002</v>
      </c>
      <c r="B7604" t="str">
        <f>"Diode Zener 1N751A ½W  5.1V"</f>
        <v>Diode Zener 1N751A ½W  5.1V</v>
      </c>
      <c r="C7604" t="str">
        <f t="shared" si="285"/>
        <v>Active</v>
      </c>
    </row>
    <row r="7605" spans="1:3" ht="18" customHeight="1">
      <c r="A7605" t="str">
        <f>"408005"</f>
        <v>408005</v>
      </c>
      <c r="B7605" t="str">
        <f>"Diode Zener  18V  DU4746A"</f>
        <v>Diode Zener  18V  DU4746A</v>
      </c>
      <c r="C7605" t="str">
        <f t="shared" si="285"/>
        <v>Active</v>
      </c>
    </row>
    <row r="7606" spans="1:3" ht="18" customHeight="1">
      <c r="A7606" t="str">
        <f>"408009"</f>
        <v>408009</v>
      </c>
      <c r="B7606" t="str">
        <f>"Diode Zener 1N4744 15V 1W"</f>
        <v>Diode Zener 1N4744 15V 1W</v>
      </c>
      <c r="C7606" t="str">
        <f t="shared" si="285"/>
        <v>Active</v>
      </c>
    </row>
    <row r="7607" spans="1:3" ht="18" customHeight="1">
      <c r="A7607" t="str">
        <f>"408011"</f>
        <v>408011</v>
      </c>
      <c r="B7607" t="str">
        <f>"Diode Zener  1N4752  1W"</f>
        <v>Diode Zener  1N4752  1W</v>
      </c>
      <c r="C7607" t="str">
        <f t="shared" si="285"/>
        <v>Active</v>
      </c>
    </row>
    <row r="7608" spans="1:3" ht="18" customHeight="1">
      <c r="A7608" t="str">
        <f>"408012"</f>
        <v>408012</v>
      </c>
      <c r="B7608" t="str">
        <f>"Diode Zener  56V 1N979A"</f>
        <v>Diode Zener  56V 1N979A</v>
      </c>
      <c r="C7608" t="str">
        <f t="shared" si="285"/>
        <v>Active</v>
      </c>
    </row>
    <row r="7609" spans="1:3" ht="18" customHeight="1">
      <c r="A7609" t="str">
        <f>"408013"</f>
        <v>408013</v>
      </c>
      <c r="B7609" t="str">
        <f>"Diode Zener  2.4V  1N4370A"</f>
        <v>Diode Zener  2.4V  1N4370A</v>
      </c>
      <c r="C7609" t="str">
        <f t="shared" si="285"/>
        <v>Active</v>
      </c>
    </row>
    <row r="7610" spans="1:3" ht="18" customHeight="1">
      <c r="A7610" t="str">
        <f>"408015"</f>
        <v>408015</v>
      </c>
      <c r="B7610" t="str">
        <f>"Diode Zener 1SMA5930BT3G, SMD 16V"</f>
        <v>Diode Zener 1SMA5930BT3G, SMD 16V</v>
      </c>
      <c r="C7610" t="str">
        <f t="shared" si="285"/>
        <v>Active</v>
      </c>
    </row>
    <row r="7611" spans="1:3" ht="18" customHeight="1">
      <c r="A7611" t="str">
        <f>"408102"</f>
        <v>408102</v>
      </c>
      <c r="B7611" t="str">
        <f>"Diode Bridge  4A (Square)"</f>
        <v>Diode Bridge  4A (Square)</v>
      </c>
      <c r="C7611" t="str">
        <f t="shared" si="285"/>
        <v>Active</v>
      </c>
    </row>
    <row r="7612" spans="1:3" ht="18" customHeight="1">
      <c r="A7612" t="str">
        <f>"408103"</f>
        <v>408103</v>
      </c>
      <c r="B7612" t="str">
        <f>"Diode Bridge  25A (Square)"</f>
        <v>Diode Bridge  25A (Square)</v>
      </c>
      <c r="C7612" t="str">
        <f t="shared" si="285"/>
        <v>Active</v>
      </c>
    </row>
    <row r="7613" spans="1:3" ht="18" customHeight="1">
      <c r="A7613" t="str">
        <f>"408107"</f>
        <v>408107</v>
      </c>
      <c r="B7613" t="str">
        <f>"Diode Bridge  2A (Round)"</f>
        <v>Diode Bridge  2A (Round)</v>
      </c>
      <c r="C7613" t="str">
        <f t="shared" si="285"/>
        <v>Active</v>
      </c>
    </row>
    <row r="7614" spans="1:3" ht="18" customHeight="1">
      <c r="A7614" t="str">
        <f>"408201"</f>
        <v>408201</v>
      </c>
      <c r="B7614" t="str">
        <f>"Diode 1N4001/1N4004"</f>
        <v>Diode 1N4001/1N4004</v>
      </c>
      <c r="C7614" t="str">
        <f t="shared" si="285"/>
        <v>Active</v>
      </c>
    </row>
    <row r="7615" spans="1:3" ht="18" customHeight="1">
      <c r="A7615" t="str">
        <f>"408203"</f>
        <v>408203</v>
      </c>
      <c r="B7615" t="str">
        <f>"Diode 1N4148"</f>
        <v>Diode 1N4148</v>
      </c>
      <c r="C7615" t="str">
        <f t="shared" si="285"/>
        <v>Active</v>
      </c>
    </row>
    <row r="7616" spans="1:3" ht="18" customHeight="1">
      <c r="A7616" t="str">
        <f>"408208"</f>
        <v>408208</v>
      </c>
      <c r="B7616" t="str">
        <f>"Diode MR754  (W9005)"</f>
        <v>Diode MR754  (W9005)</v>
      </c>
      <c r="C7616" t="str">
        <f t="shared" si="285"/>
        <v>Active</v>
      </c>
    </row>
    <row r="7617" spans="1:3" ht="18" customHeight="1">
      <c r="A7617" t="str">
        <f>"408209"</f>
        <v>408209</v>
      </c>
      <c r="B7617" t="str">
        <f>"Diode 1N4007"</f>
        <v>Diode 1N4007</v>
      </c>
      <c r="C7617" t="str">
        <f t="shared" si="285"/>
        <v>Active</v>
      </c>
    </row>
    <row r="7618" spans="1:3" ht="18" customHeight="1">
      <c r="A7618" t="str">
        <f>"408210"</f>
        <v>408210</v>
      </c>
      <c r="B7618" t="str">
        <f>"Diode 1N5404"</f>
        <v>Diode 1N5404</v>
      </c>
      <c r="C7618" t="str">
        <f t="shared" si="285"/>
        <v>Active</v>
      </c>
    </row>
    <row r="7619" spans="1:3" ht="18" customHeight="1">
      <c r="A7619" t="str">
        <f>"408211"</f>
        <v>408211</v>
      </c>
      <c r="B7619" t="str">
        <f>"Diode MUR110 100V/1.0A, ultrafast"</f>
        <v>Diode MUR110 100V/1.0A, ultrafast</v>
      </c>
      <c r="C7619" t="str">
        <f t="shared" si="285"/>
        <v>Active</v>
      </c>
    </row>
    <row r="7620" spans="1:3" ht="18" customHeight="1">
      <c r="A7620" t="str">
        <f>"408214"</f>
        <v>408214</v>
      </c>
      <c r="B7620" t="str">
        <f>"Diode 1N4148, SMD Mini - melf"</f>
        <v>Diode 1N4148, SMD Mini - melf</v>
      </c>
      <c r="C7620" t="str">
        <f t="shared" si="285"/>
        <v>Active</v>
      </c>
    </row>
    <row r="7621" spans="1:3" ht="18" customHeight="1">
      <c r="A7621" t="str">
        <f>"408215"</f>
        <v>408215</v>
      </c>
      <c r="B7621" t="str">
        <f>"Diode  BAT54S, SMD SOT23"</f>
        <v>Diode  BAT54S, SMD SOT23</v>
      </c>
      <c r="C7621" t="str">
        <f t="shared" si="285"/>
        <v>Active</v>
      </c>
    </row>
    <row r="7622" spans="1:3" ht="18" customHeight="1">
      <c r="A7622" t="str">
        <f>"408216"</f>
        <v>408216</v>
      </c>
      <c r="B7622" t="str">
        <f>"Diode  Zener BZX84-C15, SMD SOT23"</f>
        <v>Diode  Zener BZX84-C15, SMD SOT23</v>
      </c>
      <c r="C7622" t="str">
        <f t="shared" si="285"/>
        <v>Active</v>
      </c>
    </row>
    <row r="7623" spans="1:3" ht="18" customHeight="1">
      <c r="A7623" t="str">
        <f>"408217"</f>
        <v>408217</v>
      </c>
      <c r="B7623" t="str">
        <f>"Diode  Bridge RS3B, SMD SMC"</f>
        <v>Diode  Bridge RS3B, SMD SMC</v>
      </c>
      <c r="C7623" t="str">
        <f t="shared" si="285"/>
        <v>Active</v>
      </c>
    </row>
    <row r="7624" spans="1:3" ht="18" customHeight="1">
      <c r="A7624" t="str">
        <f>"408218"</f>
        <v>408218</v>
      </c>
      <c r="B7624" t="str">
        <f>"Diode  BAV99, SMD SOT23"</f>
        <v>Diode  BAV99, SMD SOT23</v>
      </c>
      <c r="C7624" t="str">
        <f t="shared" si="285"/>
        <v>Active</v>
      </c>
    </row>
    <row r="7625" spans="1:3" ht="18" customHeight="1">
      <c r="A7625" t="str">
        <f>"408219"</f>
        <v>408219</v>
      </c>
      <c r="B7625" t="str">
        <f>"Diode  MURA110T3, SMA, ON or FAIRCHILD, SMD"</f>
        <v>Diode  MURA110T3, SMA, ON or FAIRCHILD, SMD</v>
      </c>
      <c r="C7625" t="str">
        <f t="shared" si="285"/>
        <v>Active</v>
      </c>
    </row>
    <row r="7626" spans="1:3" ht="18" customHeight="1">
      <c r="A7626" t="str">
        <f>"408220"</f>
        <v>408220</v>
      </c>
      <c r="B7626" t="str">
        <f>"Diode  SMCJ54A, SMD  SMC"</f>
        <v>Diode  SMCJ54A, SMD  SMC</v>
      </c>
      <c r="C7626" t="str">
        <f t="shared" si="285"/>
        <v>Active</v>
      </c>
    </row>
    <row r="7627" spans="1:3" ht="18" customHeight="1">
      <c r="A7627" t="str">
        <f>"408221"</f>
        <v>408221</v>
      </c>
      <c r="B7627" t="str">
        <f>"Diode  30BQ060PBF, SMD  SMC"</f>
        <v>Diode  30BQ060PBF, SMD  SMC</v>
      </c>
      <c r="C7627" t="str">
        <f t="shared" si="285"/>
        <v>Active</v>
      </c>
    </row>
    <row r="7628" spans="1:3" ht="18" customHeight="1">
      <c r="A7628" t="str">
        <f>"408222"</f>
        <v>408222</v>
      </c>
      <c r="B7628" t="str">
        <f>"Diode SMD P6SMBJ6.8ASMB"</f>
        <v>Diode SMD P6SMBJ6.8ASMB</v>
      </c>
      <c r="C7628" t="str">
        <f t="shared" si="285"/>
        <v>Active</v>
      </c>
    </row>
    <row r="7629" spans="1:3" ht="18" customHeight="1">
      <c r="A7629" t="str">
        <f>"408223"</f>
        <v>408223</v>
      </c>
      <c r="B7629" t="str">
        <f>"Diode  Bridge 20ETS12STRLPBF, SMD D2-PAK"</f>
        <v>Diode  Bridge 20ETS12STRLPBF, SMD D2-PAK</v>
      </c>
      <c r="C7629" t="str">
        <f t="shared" si="285"/>
        <v>Active</v>
      </c>
    </row>
    <row r="7630" spans="1:3" ht="18" customHeight="1">
      <c r="A7630" t="str">
        <f>"408224"</f>
        <v>408224</v>
      </c>
      <c r="B7630" t="str">
        <f>"Transorber SMD SMAJ90A"</f>
        <v>Transorber SMD SMAJ90A</v>
      </c>
      <c r="C7630" t="str">
        <f t="shared" si="285"/>
        <v>Active</v>
      </c>
    </row>
    <row r="7631" spans="1:3" ht="18" customHeight="1">
      <c r="A7631" t="str">
        <f>"408225"</f>
        <v>408225</v>
      </c>
      <c r="B7631" t="str">
        <f>"Transorber SMD SMCJ90A P/N SMCJ90ALFCT-ND"</f>
        <v>Transorber SMD SMCJ90A P/N SMCJ90ALFCT-ND</v>
      </c>
      <c r="C7631" t="str">
        <f t="shared" si="285"/>
        <v>Active</v>
      </c>
    </row>
    <row r="7632" spans="1:3" ht="18" customHeight="1">
      <c r="A7632" t="str">
        <f>"408226"</f>
        <v>408226</v>
      </c>
      <c r="B7632" t="str">
        <f>"DIODE SMD 1SS400T1G SOD-523, Reel"</f>
        <v>DIODE SMD 1SS400T1G SOD-523, Reel</v>
      </c>
      <c r="C7632" t="str">
        <f t="shared" si="285"/>
        <v>Active</v>
      </c>
    </row>
    <row r="7633" spans="1:3" ht="18" customHeight="1">
      <c r="A7633" t="str">
        <f>"408401"</f>
        <v>408401</v>
      </c>
      <c r="B7633" t="str">
        <f>"Eyes - Red &amp; Black  ER3/5, H23A1 (HARRIS)"</f>
        <v>Eyes - Red &amp; Black  ER3/5, H23A1 (HARRIS)</v>
      </c>
      <c r="C7633" t="str">
        <f t="shared" si="285"/>
        <v>Active</v>
      </c>
    </row>
    <row r="7634" spans="1:3" ht="18" customHeight="1">
      <c r="A7634" t="str">
        <f>"408403"</f>
        <v>408403</v>
      </c>
      <c r="B7634" t="str">
        <f>"HEDS-5500-K11  ,ER 7 -Encoder"</f>
        <v>HEDS-5500-K11  ,ER 7 -Encoder</v>
      </c>
      <c r="C7634" t="str">
        <f t="shared" si="285"/>
        <v>Active</v>
      </c>
    </row>
    <row r="7635" spans="1:3" ht="18" customHeight="1">
      <c r="A7635" t="str">
        <f>"408404"</f>
        <v>408404</v>
      </c>
      <c r="B7635" t="str">
        <f>"Encoder for ER9/14, HEDS-5540-I14"</f>
        <v>Encoder for ER9/14, HEDS-5540-I14</v>
      </c>
      <c r="C7635" t="str">
        <f t="shared" si="285"/>
        <v>Active</v>
      </c>
    </row>
    <row r="7636" spans="1:3" ht="18" customHeight="1">
      <c r="A7636" t="str">
        <f>"408405"</f>
        <v>408405</v>
      </c>
      <c r="B7636" t="str">
        <f>"Eyes for ER5plus (SMD), TCST 1103 TELEFUNKEN"</f>
        <v>Eyes for ER5plus (SMD), TCST 1103 TELEFUNKEN</v>
      </c>
      <c r="C7636" t="str">
        <f t="shared" si="285"/>
        <v>Active</v>
      </c>
    </row>
    <row r="7637" spans="1:3" ht="18" customHeight="1">
      <c r="A7637" t="str">
        <f>"408501"</f>
        <v>408501</v>
      </c>
      <c r="B7637" t="str">
        <f>"LED - Red 5x2mm, HLMP-S201-D000(LTL-433HR)"</f>
        <v>LED - Red 5x2mm, HLMP-S201-D000(LTL-433HR)</v>
      </c>
      <c r="C7637" t="str">
        <f t="shared" si="285"/>
        <v>Active</v>
      </c>
    </row>
    <row r="7638" spans="1:3" ht="18" customHeight="1">
      <c r="A7638" t="str">
        <f>"408502"</f>
        <v>408502</v>
      </c>
      <c r="B7638" t="str">
        <f>"LED,Red, 3mm"</f>
        <v>LED,Red, 3mm</v>
      </c>
      <c r="C7638" t="str">
        <f t="shared" si="285"/>
        <v>Active</v>
      </c>
    </row>
    <row r="7639" spans="1:3" ht="18" customHeight="1">
      <c r="A7639" t="str">
        <f>"408504"</f>
        <v>408504</v>
      </c>
      <c r="B7639" t="str">
        <f>"LED - Yellow 5x2mm, HLMP S301-B0000"</f>
        <v>LED - Yellow 5x2mm, HLMP S301-B0000</v>
      </c>
      <c r="C7639" t="str">
        <f t="shared" si="285"/>
        <v>Active</v>
      </c>
    </row>
    <row r="7640" spans="1:3" ht="18" customHeight="1">
      <c r="A7640" t="str">
        <f>"408506"</f>
        <v>408506</v>
      </c>
      <c r="B7640" t="str">
        <f>"LED - Green 5x2mm, HLMP-S501-C0000"</f>
        <v>LED - Green 5x2mm, HLMP-S501-C0000</v>
      </c>
      <c r="C7640" t="str">
        <f t="shared" si="285"/>
        <v>Active</v>
      </c>
    </row>
    <row r="7641" spans="1:3" ht="18" customHeight="1">
      <c r="A7641" t="str">
        <f>"408508"</f>
        <v>408508</v>
      </c>
      <c r="B7641" t="str">
        <f>"LED - Green 3mm, HLMP-1503"</f>
        <v>LED - Green 3mm, HLMP-1503</v>
      </c>
      <c r="C7641" t="str">
        <f t="shared" si="285"/>
        <v>Active</v>
      </c>
    </row>
    <row r="7642" spans="1:3" ht="18" customHeight="1">
      <c r="A7642" t="str">
        <f>"408509"</f>
        <v>408509</v>
      </c>
      <c r="B7642" t="str">
        <f>"light Warning- Yellow, 12V Magnetic"</f>
        <v>light Warning- Yellow, 12V Magnetic</v>
      </c>
      <c r="C7642" t="str">
        <f t="shared" si="285"/>
        <v>Active</v>
      </c>
    </row>
    <row r="7643" spans="1:3" ht="18" customHeight="1">
      <c r="A7643" t="str">
        <f>"408510"</f>
        <v>408510</v>
      </c>
      <c r="B7643" t="str">
        <f>"Bulb 230V  2W R10, BAF9S230"</f>
        <v>Bulb 230V  2W R10, BAF9S230</v>
      </c>
      <c r="C7643" t="str">
        <f t="shared" si="285"/>
        <v>Active</v>
      </c>
    </row>
    <row r="7644" spans="1:3" ht="18" customHeight="1">
      <c r="A7644" t="str">
        <f>"408511"</f>
        <v>408511</v>
      </c>
      <c r="B7644" t="str">
        <f>"Black Support N TWS BP1 for Lights 2 Colors"</f>
        <v>Black Support N TWS BP1 for Lights 2 Colors</v>
      </c>
      <c r="C7644" t="str">
        <f t="shared" si="285"/>
        <v>Active</v>
      </c>
    </row>
    <row r="7645" spans="1:3" ht="18" customHeight="1">
      <c r="A7645" t="str">
        <f>"408515"</f>
        <v>408515</v>
      </c>
      <c r="B7645" t="str">
        <f>"Housing LED  3mm (Chassis), OR224105"</f>
        <v>Housing LED  3mm (Chassis), OR224105</v>
      </c>
      <c r="C7645" t="str">
        <f t="shared" si="285"/>
        <v>Active</v>
      </c>
    </row>
    <row r="7646" spans="1:3" ht="18" customHeight="1">
      <c r="A7646" t="str">
        <f>"408516"</f>
        <v>408516</v>
      </c>
      <c r="B7646" t="str">
        <f>"Globe - 2.2V"</f>
        <v>Globe - 2.2V</v>
      </c>
      <c r="C7646" t="str">
        <f>"ECO-N2Buy"</f>
        <v>ECO-N2Buy</v>
      </c>
    </row>
    <row r="7647" spans="1:3" ht="18" customHeight="1">
      <c r="A7647" t="str">
        <f>"408517"</f>
        <v>408517</v>
      </c>
      <c r="B7647" t="str">
        <f>"Globe Cover (2.2V)-Yellow, SB-514"</f>
        <v>Globe Cover (2.2V)-Yellow, SB-514</v>
      </c>
      <c r="C7647" t="str">
        <f>"ECO-N2Buy"</f>
        <v>ECO-N2Buy</v>
      </c>
    </row>
    <row r="7648" spans="1:3" ht="18" customHeight="1">
      <c r="A7648" t="str">
        <f>"408519"</f>
        <v>408519</v>
      </c>
      <c r="B7648" t="str">
        <f>"Lights 2 Colors, Base for Leg, TWS BS 27691"</f>
        <v>Lights 2 Colors, Base for Leg, TWS BS 27691</v>
      </c>
      <c r="C7648" t="str">
        <f>"Inactive"</f>
        <v>Inactive</v>
      </c>
    </row>
    <row r="7649" spans="1:3" ht="18" customHeight="1">
      <c r="A7649" t="str">
        <f>"408520"</f>
        <v>408520</v>
      </c>
      <c r="B7649" t="str">
        <f>"Lamp 24V 5W for Lights 2 Colors, BA15D 27781"</f>
        <v>Lamp 24V 5W for Lights 2 Colors, BA15D 27781</v>
      </c>
      <c r="C7649" t="str">
        <f t="shared" ref="C7649:C7680" si="286">"Active"</f>
        <v>Active</v>
      </c>
    </row>
    <row r="7650" spans="1:3" ht="18" customHeight="1">
      <c r="A7650" t="str">
        <f>"408521"</f>
        <v>408521</v>
      </c>
      <c r="B7650" t="str">
        <f>"Base&amp;CapModule N TWS B.C.27690 forLights 2Colors"</f>
        <v>Base&amp;CapModule N TWS B.C.27690 forLights 2Colors</v>
      </c>
      <c r="C7650" t="str">
        <f t="shared" si="286"/>
        <v>Active</v>
      </c>
    </row>
    <row r="7651" spans="1:3" ht="18" customHeight="1">
      <c r="A7651" t="str">
        <f>"408522"</f>
        <v>408522</v>
      </c>
      <c r="B7651" t="str">
        <f>"Red Body TWS F MT 27633/27657 forLights 2 Colors"</f>
        <v>Red Body TWS F MT 27633/27657 forLights 2 Colors</v>
      </c>
      <c r="C7651" t="str">
        <f t="shared" si="286"/>
        <v>Active</v>
      </c>
    </row>
    <row r="7652" spans="1:3" ht="18" customHeight="1">
      <c r="A7652" t="str">
        <f>"408523"</f>
        <v>408523</v>
      </c>
      <c r="B7652" t="str">
        <f>"GreenBody TWS F MT 27634/27658 forLights 2Colors"</f>
        <v>GreenBody TWS F MT 27634/27658 forLights 2Colors</v>
      </c>
      <c r="C7652" t="str">
        <f t="shared" si="286"/>
        <v>Active</v>
      </c>
    </row>
    <row r="7653" spans="1:3" ht="18" customHeight="1">
      <c r="A7653" t="str">
        <f>"408524"</f>
        <v>408524</v>
      </c>
      <c r="B7653" t="str">
        <f>"Leg 100mm, TWS PR 27692, for Lights 2 Colors"</f>
        <v>Leg 100mm, TWS PR 27692, for Lights 2 Colors</v>
      </c>
      <c r="C7653" t="str">
        <f t="shared" si="286"/>
        <v>Active</v>
      </c>
    </row>
    <row r="7654" spans="1:3" ht="18" customHeight="1">
      <c r="A7654" t="str">
        <f>"408528"</f>
        <v>408528</v>
      </c>
      <c r="B7654" t="str">
        <f>"Lighting Red Flasher24VDC Ba15d 5W,OVOLUX F-MT"</f>
        <v>Lighting Red Flasher24VDC Ba15d 5W,OVOLUX F-MT</v>
      </c>
      <c r="C7654" t="str">
        <f t="shared" si="286"/>
        <v>Active</v>
      </c>
    </row>
    <row r="7655" spans="1:3" ht="18" customHeight="1">
      <c r="A7655" t="str">
        <f>"408529"</f>
        <v>408529</v>
      </c>
      <c r="B7655" t="str">
        <f>"Lamp For  flasher 24VDC  5W, ER-14"</f>
        <v>Lamp For  flasher 24VDC  5W, ER-14</v>
      </c>
      <c r="C7655" t="str">
        <f t="shared" si="286"/>
        <v>Active</v>
      </c>
    </row>
    <row r="7656" spans="1:3" ht="18" customHeight="1">
      <c r="A7656" t="str">
        <f>"408530"</f>
        <v>408530</v>
      </c>
      <c r="B7656" t="str">
        <f>"Lamp 130V  2W B9 20999130"</f>
        <v>Lamp 130V  2W B9 20999130</v>
      </c>
      <c r="C7656" t="str">
        <f t="shared" si="286"/>
        <v>Active</v>
      </c>
    </row>
    <row r="7657" spans="1:3" ht="18" customHeight="1">
      <c r="A7657" t="str">
        <f>"408536"</f>
        <v>408536</v>
      </c>
      <c r="B7657" t="str">
        <f>"LED - Red 5mm, LTL-307P"</f>
        <v>LED - Red 5mm, LTL-307P</v>
      </c>
      <c r="C7657" t="str">
        <f t="shared" si="286"/>
        <v>Active</v>
      </c>
    </row>
    <row r="7658" spans="1:3" ht="18" customHeight="1">
      <c r="A7658" t="str">
        <f>"408537"</f>
        <v>408537</v>
      </c>
      <c r="B7658" t="str">
        <f>"Housing LED 5mm (Chassis), PJP"</f>
        <v>Housing LED 5mm (Chassis), PJP</v>
      </c>
      <c r="C7658" t="str">
        <f t="shared" si="286"/>
        <v>Active</v>
      </c>
    </row>
    <row r="7659" spans="1:3" ht="18" customHeight="1">
      <c r="A7659" t="str">
        <f>"408538"</f>
        <v>408538</v>
      </c>
      <c r="B7659" t="str">
        <f>"LED Transmitter  5mm, light ON LTL 353 URK"</f>
        <v>LED Transmitter  5mm, light ON LTL 353 URK</v>
      </c>
      <c r="C7659" t="str">
        <f t="shared" si="286"/>
        <v>Active</v>
      </c>
    </row>
    <row r="7660" spans="1:3" ht="18" customHeight="1">
      <c r="A7660" t="str">
        <f>"408539"</f>
        <v>408539</v>
      </c>
      <c r="B7660" t="str">
        <f>"LED Receiver (Transistor), LTR 3208"</f>
        <v>LED Receiver (Transistor), LTR 3208</v>
      </c>
      <c r="C7660" t="str">
        <f t="shared" si="286"/>
        <v>Active</v>
      </c>
    </row>
    <row r="7661" spans="1:3" ht="18" customHeight="1">
      <c r="A7661" t="str">
        <f>"408540"</f>
        <v>408540</v>
      </c>
      <c r="B7661" t="str">
        <f>"Bulb 24V, 1.2W  BA9S"</f>
        <v>Bulb 24V, 1.2W  BA9S</v>
      </c>
      <c r="C7661" t="str">
        <f t="shared" si="286"/>
        <v>Active</v>
      </c>
    </row>
    <row r="7662" spans="1:3" ht="18" customHeight="1">
      <c r="A7662" t="str">
        <f>"408542"</f>
        <v>408542</v>
      </c>
      <c r="B7662" t="str">
        <f>"LED, YELLOW, 5mm"</f>
        <v>LED, YELLOW, 5mm</v>
      </c>
      <c r="C7662" t="str">
        <f t="shared" si="286"/>
        <v>Active</v>
      </c>
    </row>
    <row r="7663" spans="1:3" ht="18" customHeight="1">
      <c r="A7663" t="str">
        <f>"408545"</f>
        <v>408545</v>
      </c>
      <c r="B7663" t="str">
        <f>"LED, RED, 8mm"</f>
        <v>LED, RED, 8mm</v>
      </c>
      <c r="C7663" t="str">
        <f t="shared" si="286"/>
        <v>Active</v>
      </c>
    </row>
    <row r="7664" spans="1:3" ht="18" customHeight="1">
      <c r="A7664" t="str">
        <f>"408546"</f>
        <v>408546</v>
      </c>
      <c r="B7664" t="str">
        <f>"Green LED  8mm 8mm,  1.2V LTL-327G"</f>
        <v>Green LED  8mm 8mm,  1.2V LTL-327G</v>
      </c>
      <c r="C7664" t="str">
        <f t="shared" si="286"/>
        <v>Active</v>
      </c>
    </row>
    <row r="7665" spans="1:3" ht="18" customHeight="1">
      <c r="A7665" t="str">
        <f>"408547"</f>
        <v>408547</v>
      </c>
      <c r="B7665" t="str">
        <f>"Yellow LED  8mm 8mm,  1.2V, LTL-327Y"</f>
        <v>Yellow LED  8mm 8mm,  1.2V, LTL-327Y</v>
      </c>
      <c r="C7665" t="str">
        <f t="shared" si="286"/>
        <v>Active</v>
      </c>
    </row>
    <row r="7666" spans="1:3" ht="18" customHeight="1">
      <c r="A7666" t="str">
        <f>"408549"</f>
        <v>408549</v>
      </c>
      <c r="B7666" t="str">
        <f>"LED 2 Colors Red &amp; Green, HLMP - 0800"</f>
        <v>LED 2 Colors Red &amp; Green, HLMP - 0800</v>
      </c>
      <c r="C7666" t="str">
        <f t="shared" si="286"/>
        <v>Active</v>
      </c>
    </row>
    <row r="7667" spans="1:3" ht="18" customHeight="1">
      <c r="A7667" t="str">
        <f>"408551"</f>
        <v>408551</v>
      </c>
      <c r="B7667" t="str">
        <f>"LED  Red Color, 0805 KINGBR. or LITEON"</f>
        <v>LED  Red Color, 0805 KINGBR. or LITEON</v>
      </c>
      <c r="C7667" t="str">
        <f t="shared" si="286"/>
        <v>Active</v>
      </c>
    </row>
    <row r="7668" spans="1:3" ht="18" customHeight="1">
      <c r="A7668" t="str">
        <f>"408552"</f>
        <v>408552</v>
      </c>
      <c r="B7668" t="str">
        <f>"LED Green Color, 0805 KINGBR. or LITEON"</f>
        <v>LED Green Color, 0805 KINGBR. or LITEON</v>
      </c>
      <c r="C7668" t="str">
        <f t="shared" si="286"/>
        <v>Active</v>
      </c>
    </row>
    <row r="7669" spans="1:3" ht="18" customHeight="1">
      <c r="A7669" t="str">
        <f>"408554"</f>
        <v>408554</v>
      </c>
      <c r="B7669" t="str">
        <f>"LED Color: Ultra Bright Red,  0805"</f>
        <v>LED Color: Ultra Bright Red,  0805</v>
      </c>
      <c r="C7669" t="str">
        <f t="shared" si="286"/>
        <v>Active</v>
      </c>
    </row>
    <row r="7670" spans="1:3" ht="18" customHeight="1">
      <c r="A7670" t="str">
        <f>"408555"</f>
        <v>408555</v>
      </c>
      <c r="B7670" t="str">
        <f>"LED Amber Color, 0805  Agilent or LITEON"</f>
        <v>LED Amber Color, 0805  Agilent or LITEON</v>
      </c>
      <c r="C7670" t="str">
        <f t="shared" si="286"/>
        <v>Active</v>
      </c>
    </row>
    <row r="7671" spans="1:3" ht="18" customHeight="1">
      <c r="A7671" t="str">
        <f>"408556"</f>
        <v>408556</v>
      </c>
      <c r="B7671" t="str">
        <f>"LED Yellow Color, 0805  KP-2012SYC"</f>
        <v>LED Yellow Color, 0805  KP-2012SYC</v>
      </c>
      <c r="C7671" t="str">
        <f t="shared" si="286"/>
        <v>Active</v>
      </c>
    </row>
    <row r="7672" spans="1:3" ht="18" customHeight="1">
      <c r="A7672" t="str">
        <f>"408557"</f>
        <v>408557</v>
      </c>
      <c r="B7672" t="str">
        <f>"LED Red/Green, 1210"</f>
        <v>LED Red/Green, 1210</v>
      </c>
      <c r="C7672" t="str">
        <f t="shared" si="286"/>
        <v>Active</v>
      </c>
    </row>
    <row r="7673" spans="1:3" ht="18" customHeight="1">
      <c r="A7673" t="str">
        <f>"408558"</f>
        <v>408558</v>
      </c>
      <c r="B7673" t="str">
        <f>"LED Red for Emergency Button, P/N A16-12DSR, 12V"</f>
        <v>LED Red for Emergency Button, P/N A16-12DSR, 12V</v>
      </c>
      <c r="C7673" t="str">
        <f t="shared" si="286"/>
        <v>Active</v>
      </c>
    </row>
    <row r="7674" spans="1:3" ht="18" customHeight="1">
      <c r="A7674" t="str">
        <f>"408559"</f>
        <v>408559</v>
      </c>
      <c r="B7674" t="str">
        <f>"LED Light, 4 parts, W/O Resistor 2V RED R736-R"</f>
        <v>LED Light, 4 parts, W/O Resistor 2V RED R736-R</v>
      </c>
      <c r="C7674" t="str">
        <f t="shared" si="286"/>
        <v>Active</v>
      </c>
    </row>
    <row r="7675" spans="1:3" ht="18" customHeight="1">
      <c r="A7675" t="str">
        <f>"408560"</f>
        <v>408560</v>
      </c>
      <c r="B7675" t="str">
        <f>"LED  Light-4 parts, W/O Resistor 2V GREEN R736-G"</f>
        <v>LED  Light-4 parts, W/O Resistor 2V GREEN R736-G</v>
      </c>
      <c r="C7675" t="str">
        <f t="shared" si="286"/>
        <v>Active</v>
      </c>
    </row>
    <row r="7676" spans="1:3" ht="18" customHeight="1">
      <c r="A7676" t="str">
        <f>"408911"</f>
        <v>408911</v>
      </c>
      <c r="B7676" t="str">
        <f>"Crystal - 11.0592 MHz, JAUCH"</f>
        <v>Crystal - 11.0592 MHz, JAUCH</v>
      </c>
      <c r="C7676" t="str">
        <f t="shared" si="286"/>
        <v>Active</v>
      </c>
    </row>
    <row r="7677" spans="1:3" ht="18" customHeight="1">
      <c r="A7677" t="str">
        <f>"408912"</f>
        <v>408912</v>
      </c>
      <c r="B7677" t="str">
        <f>"Crystal 6.5536 MHz, SMD"</f>
        <v>Crystal 6.5536 MHz, SMD</v>
      </c>
      <c r="C7677" t="str">
        <f t="shared" si="286"/>
        <v>Active</v>
      </c>
    </row>
    <row r="7678" spans="1:3" ht="18" customHeight="1">
      <c r="A7678" t="str">
        <f>"408913"</f>
        <v>408913</v>
      </c>
      <c r="B7678" t="str">
        <f>"Crystal  24 MHz, JCO14-2B-2400 or 3B"</f>
        <v>Crystal  24 MHz, JCO14-2B-2400 or 3B</v>
      </c>
      <c r="C7678" t="str">
        <f t="shared" si="286"/>
        <v>Active</v>
      </c>
    </row>
    <row r="7679" spans="1:3" ht="18" customHeight="1">
      <c r="A7679" t="str">
        <f>"408914"</f>
        <v>408914</v>
      </c>
      <c r="B7679" t="str">
        <f>"Crystal Resonator 50MHz MURATA"</f>
        <v>Crystal Resonator 50MHz MURATA</v>
      </c>
      <c r="C7679" t="str">
        <f t="shared" si="286"/>
        <v>Active</v>
      </c>
    </row>
    <row r="7680" spans="1:3" ht="18" customHeight="1">
      <c r="A7680" t="str">
        <f>"408916"</f>
        <v>408916</v>
      </c>
      <c r="B7680" t="str">
        <f>"Crystal SMD 18.432MHz"</f>
        <v>Crystal SMD 18.432MHz</v>
      </c>
      <c r="C7680" t="str">
        <f t="shared" si="286"/>
        <v>Active</v>
      </c>
    </row>
    <row r="7681" spans="1:3" ht="18" customHeight="1">
      <c r="A7681" t="str">
        <f>"408917"</f>
        <v>408917</v>
      </c>
      <c r="B7681" t="str">
        <f>"CRYSTAL SMD Mnf:JAUCH Q11,05920-SMU4-30-30/30-LF"</f>
        <v>CRYSTAL SMD Mnf:JAUCH Q11,05920-SMU4-30-30/30-LF</v>
      </c>
      <c r="C7681" t="str">
        <f t="shared" ref="C7681:C7712" si="287">"Active"</f>
        <v>Active</v>
      </c>
    </row>
    <row r="7682" spans="1:3" ht="18" customHeight="1">
      <c r="A7682" t="str">
        <f>"409004"</f>
        <v>409004</v>
      </c>
      <c r="B7682" t="str">
        <f>"Transistor - MPSA13/14"</f>
        <v>Transistor - MPSA13/14</v>
      </c>
      <c r="C7682" t="str">
        <f t="shared" si="287"/>
        <v>Active</v>
      </c>
    </row>
    <row r="7683" spans="1:3" ht="18" customHeight="1">
      <c r="A7683" t="str">
        <f>"409006"</f>
        <v>409006</v>
      </c>
      <c r="B7683" t="str">
        <f>"Transistor - VNO106N3"</f>
        <v>Transistor - VNO106N3</v>
      </c>
      <c r="C7683" t="str">
        <f t="shared" si="287"/>
        <v>Active</v>
      </c>
    </row>
    <row r="7684" spans="1:3" ht="18" customHeight="1">
      <c r="A7684" t="str">
        <f>"409008"</f>
        <v>409008</v>
      </c>
      <c r="B7684" t="str">
        <f>"Transistor - IRF9520"</f>
        <v>Transistor - IRF9520</v>
      </c>
      <c r="C7684" t="str">
        <f t="shared" si="287"/>
        <v>Active</v>
      </c>
    </row>
    <row r="7685" spans="1:3" ht="18" customHeight="1">
      <c r="A7685" t="str">
        <f>"409009"</f>
        <v>409009</v>
      </c>
      <c r="B7685" t="str">
        <f>"Transistor - IRF640"</f>
        <v>Transistor - IRF640</v>
      </c>
      <c r="C7685" t="str">
        <f t="shared" si="287"/>
        <v>Active</v>
      </c>
    </row>
    <row r="7686" spans="1:3" ht="18" customHeight="1">
      <c r="A7686" t="str">
        <f>"409011"</f>
        <v>409011</v>
      </c>
      <c r="B7686" t="str">
        <f>"Transistor - PN2222A"</f>
        <v>Transistor - PN2222A</v>
      </c>
      <c r="C7686" t="str">
        <f t="shared" si="287"/>
        <v>Active</v>
      </c>
    </row>
    <row r="7687" spans="1:3" ht="18" customHeight="1">
      <c r="A7687" t="str">
        <f>"409012"</f>
        <v>409012</v>
      </c>
      <c r="B7687" t="str">
        <f>"Transistor - PN2907A"</f>
        <v>Transistor - PN2907A</v>
      </c>
      <c r="C7687" t="str">
        <f t="shared" si="287"/>
        <v>Active</v>
      </c>
    </row>
    <row r="7688" spans="1:3" ht="18" customHeight="1">
      <c r="A7688" t="str">
        <f>"409013"</f>
        <v>409013</v>
      </c>
      <c r="B7688" t="str">
        <f>"Transistor - 2N4033 TO5"</f>
        <v>Transistor - 2N4033 TO5</v>
      </c>
      <c r="C7688" t="str">
        <f t="shared" si="287"/>
        <v>Active</v>
      </c>
    </row>
    <row r="7689" spans="1:3" ht="18" customHeight="1">
      <c r="A7689" t="str">
        <f>"409014"</f>
        <v>409014</v>
      </c>
      <c r="B7689" t="str">
        <f>"Transistor - MPSA42"</f>
        <v>Transistor - MPSA42</v>
      </c>
      <c r="C7689" t="str">
        <f t="shared" si="287"/>
        <v>Active</v>
      </c>
    </row>
    <row r="7690" spans="1:3" ht="18" customHeight="1">
      <c r="A7690" t="str">
        <f>"409017"</f>
        <v>409017</v>
      </c>
      <c r="B7690" t="str">
        <f>"Transistor - RFP40N10"</f>
        <v>Transistor - RFP40N10</v>
      </c>
      <c r="C7690" t="str">
        <f t="shared" si="287"/>
        <v>Active</v>
      </c>
    </row>
    <row r="7691" spans="1:3" ht="18" customHeight="1">
      <c r="A7691" t="str">
        <f>"409022"</f>
        <v>409022</v>
      </c>
      <c r="B7691" t="str">
        <f>"Transistor - FDN302P, SMD SOT23"</f>
        <v>Transistor - FDN302P, SMD SOT23</v>
      </c>
      <c r="C7691" t="str">
        <f t="shared" si="287"/>
        <v>Active</v>
      </c>
    </row>
    <row r="7692" spans="1:3" ht="18" customHeight="1">
      <c r="A7692" t="str">
        <f>"409023"</f>
        <v>409023</v>
      </c>
      <c r="B7692" t="str">
        <f>"Transistor - NPN MJD31C, SMD TO-252 DPAK"</f>
        <v>Transistor - NPN MJD31C, SMD TO-252 DPAK</v>
      </c>
      <c r="C7692" t="str">
        <f t="shared" si="287"/>
        <v>Active</v>
      </c>
    </row>
    <row r="7693" spans="1:3" ht="18" customHeight="1">
      <c r="A7693" t="str">
        <f>"409024"</f>
        <v>409024</v>
      </c>
      <c r="B7693" t="str">
        <f>"Transistor - IRFS4610PBF, SMD D2PAK"</f>
        <v>Transistor - IRFS4610PBF, SMD D2PAK</v>
      </c>
      <c r="C7693" t="str">
        <f t="shared" si="287"/>
        <v>Active</v>
      </c>
    </row>
    <row r="7694" spans="1:3" ht="18" customHeight="1">
      <c r="A7694" t="str">
        <f>"409025"</f>
        <v>409025</v>
      </c>
      <c r="B7694" t="str">
        <f>"Transistor - MMBT2222ALT1G, SMD SOT23"</f>
        <v>Transistor - MMBT2222ALT1G, SMD SOT23</v>
      </c>
      <c r="C7694" t="str">
        <f t="shared" si="287"/>
        <v>Active</v>
      </c>
    </row>
    <row r="7695" spans="1:3" ht="18" customHeight="1">
      <c r="A7695" t="str">
        <f>"409501"</f>
        <v>409501</v>
      </c>
      <c r="B7695" t="str">
        <f>"Voltage Regulator  MC7805 5V"</f>
        <v>Voltage Regulator  MC7805 5V</v>
      </c>
      <c r="C7695" t="str">
        <f t="shared" si="287"/>
        <v>Active</v>
      </c>
    </row>
    <row r="7696" spans="1:3" ht="18" customHeight="1">
      <c r="A7696" t="str">
        <f>"409502"</f>
        <v>409502</v>
      </c>
      <c r="B7696" t="str">
        <f>"Voltage Regulator  MC7812 12V"</f>
        <v>Voltage Regulator  MC7812 12V</v>
      </c>
      <c r="C7696" t="str">
        <f t="shared" si="287"/>
        <v>Active</v>
      </c>
    </row>
    <row r="7697" spans="1:3" ht="18" customHeight="1">
      <c r="A7697" t="str">
        <f>"409505"</f>
        <v>409505</v>
      </c>
      <c r="B7697" t="str">
        <f>"Voltage Regulator  7815 15V"</f>
        <v>Voltage Regulator  7815 15V</v>
      </c>
      <c r="C7697" t="str">
        <f t="shared" si="287"/>
        <v>Active</v>
      </c>
    </row>
    <row r="7698" spans="1:3" ht="18" customHeight="1">
      <c r="A7698" t="str">
        <f>"409507"</f>
        <v>409507</v>
      </c>
      <c r="B7698" t="str">
        <f>"Voltage Regulator  78T05 5V, MC78T05CT"</f>
        <v>Voltage Regulator  78T05 5V, MC78T05CT</v>
      </c>
      <c r="C7698" t="str">
        <f t="shared" si="287"/>
        <v>Active</v>
      </c>
    </row>
    <row r="7699" spans="1:3" ht="18" customHeight="1">
      <c r="A7699" t="str">
        <f>"409512"</f>
        <v>409512</v>
      </c>
      <c r="B7699" t="str">
        <f>"Voltage Regulator  MC7809 9V"</f>
        <v>Voltage Regulator  MC7809 9V</v>
      </c>
      <c r="C7699" t="str">
        <f t="shared" si="287"/>
        <v>Active</v>
      </c>
    </row>
    <row r="7700" spans="1:3" ht="18" customHeight="1">
      <c r="A7700" t="str">
        <f>"410001"</f>
        <v>410001</v>
      </c>
      <c r="B7700" t="str">
        <f>"Socket 8 Pin Black"</f>
        <v>Socket 8 Pin Black</v>
      </c>
      <c r="C7700" t="str">
        <f t="shared" si="287"/>
        <v>Active</v>
      </c>
    </row>
    <row r="7701" spans="1:3" ht="18" customHeight="1">
      <c r="A7701" t="str">
        <f>"410003"</f>
        <v>410003</v>
      </c>
      <c r="B7701" t="str">
        <f>"Socket  16 Pin Black"</f>
        <v>Socket  16 Pin Black</v>
      </c>
      <c r="C7701" t="str">
        <f t="shared" si="287"/>
        <v>Active</v>
      </c>
    </row>
    <row r="7702" spans="1:3" ht="18" customHeight="1">
      <c r="A7702" t="str">
        <f>"410005"</f>
        <v>410005</v>
      </c>
      <c r="B7702" t="str">
        <f>"Socket  20 Pin Black"</f>
        <v>Socket  20 Pin Black</v>
      </c>
      <c r="C7702" t="str">
        <f t="shared" si="287"/>
        <v>Active</v>
      </c>
    </row>
    <row r="7703" spans="1:3" ht="18" customHeight="1">
      <c r="A7703" t="str">
        <f>"410017"</f>
        <v>410017</v>
      </c>
      <c r="B7703" t="str">
        <f>"Socket-84 Pin PLCC"</f>
        <v>Socket-84 Pin PLCC</v>
      </c>
      <c r="C7703" t="str">
        <f t="shared" si="287"/>
        <v>Active</v>
      </c>
    </row>
    <row r="7704" spans="1:3" ht="18" customHeight="1">
      <c r="A7704" t="str">
        <f>"410020"</f>
        <v>410020</v>
      </c>
      <c r="B7704" t="str">
        <f>"Socket-44 Pin PLCC"</f>
        <v>Socket-44 Pin PLCC</v>
      </c>
      <c r="C7704" t="str">
        <f t="shared" si="287"/>
        <v>Active</v>
      </c>
    </row>
    <row r="7705" spans="1:3" ht="18" customHeight="1">
      <c r="A7705" t="str">
        <f>"410021"</f>
        <v>410021</v>
      </c>
      <c r="B7705" t="str">
        <f>"2 Prong European to American Outlet Plug Adapter"</f>
        <v>2 Prong European to American Outlet Plug Adapter</v>
      </c>
      <c r="C7705" t="str">
        <f t="shared" si="287"/>
        <v>Active</v>
      </c>
    </row>
    <row r="7706" spans="1:3" ht="18" customHeight="1">
      <c r="A7706" t="str">
        <f>"410203"</f>
        <v>410203</v>
      </c>
      <c r="B7706" t="str">
        <f>"Relay  24V 1.C.O 10A"</f>
        <v>Relay  24V 1.C.O 10A</v>
      </c>
      <c r="C7706" t="str">
        <f t="shared" si="287"/>
        <v>Active</v>
      </c>
    </row>
    <row r="7707" spans="1:3" ht="18" customHeight="1">
      <c r="A7707" t="str">
        <f>"410204"</f>
        <v>410204</v>
      </c>
      <c r="B7707" t="str">
        <f>"Relay  12V 2.C.O 2A"</f>
        <v>Relay  12V 2.C.O 2A</v>
      </c>
      <c r="C7707" t="str">
        <f t="shared" si="287"/>
        <v>Active</v>
      </c>
    </row>
    <row r="7708" spans="1:3" ht="18" customHeight="1">
      <c r="A7708" t="str">
        <f>"410208"</f>
        <v>410208</v>
      </c>
      <c r="B7708" t="str">
        <f>"Relay CAR  28V/15A"</f>
        <v>Relay CAR  28V/15A</v>
      </c>
      <c r="C7708" t="str">
        <f t="shared" si="287"/>
        <v>Active</v>
      </c>
    </row>
    <row r="7709" spans="1:3" ht="18" customHeight="1">
      <c r="A7709" t="str">
        <f>"410209"</f>
        <v>410209</v>
      </c>
      <c r="B7709" t="str">
        <f>"Relay Power PCB 10A 24V"</f>
        <v>Relay Power PCB 10A 24V</v>
      </c>
      <c r="C7709" t="str">
        <f t="shared" si="287"/>
        <v>Active</v>
      </c>
    </row>
    <row r="7710" spans="1:3" ht="18" customHeight="1">
      <c r="A7710" t="str">
        <f>"410210"</f>
        <v>410210</v>
      </c>
      <c r="B7710" t="str">
        <f>"Relay 24VDC  2.C.O 40.52, Finder"</f>
        <v>Relay 24VDC  2.C.O 40.52, Finder</v>
      </c>
      <c r="C7710" t="str">
        <f t="shared" si="287"/>
        <v>Active</v>
      </c>
    </row>
    <row r="7711" spans="1:3" ht="18" customHeight="1">
      <c r="A7711" t="str">
        <f>"410211"</f>
        <v>410211</v>
      </c>
      <c r="B7711" t="str">
        <f>"Relay Support  95.65, Finder"</f>
        <v>Relay Support  95.65, Finder</v>
      </c>
      <c r="C7711" t="str">
        <f t="shared" si="287"/>
        <v>Active</v>
      </c>
    </row>
    <row r="7712" spans="1:3" ht="18" customHeight="1">
      <c r="A7712" t="str">
        <f>"410214"</f>
        <v>410214</v>
      </c>
      <c r="B7712" t="str">
        <f>"Relay 24VDC  2.C.O,  51SB24T"</f>
        <v>Relay 24VDC  2.C.O,  51SB24T</v>
      </c>
      <c r="C7712" t="str">
        <f t="shared" si="287"/>
        <v>Active</v>
      </c>
    </row>
    <row r="7713" spans="1:3" ht="18" customHeight="1">
      <c r="A7713" t="str">
        <f>"410217"</f>
        <v>410217</v>
      </c>
      <c r="B7713" t="str">
        <f>"Relay, Finder, 12V, 40.52"</f>
        <v>Relay, Finder, 12V, 40.52</v>
      </c>
      <c r="C7713" t="str">
        <f t="shared" ref="C7713:C7727" si="288">"Active"</f>
        <v>Active</v>
      </c>
    </row>
    <row r="7714" spans="1:3" ht="18" customHeight="1">
      <c r="A7714" t="str">
        <f>"410218"</f>
        <v>410218</v>
      </c>
      <c r="B7714" t="str">
        <f>"Relay, DIL Rcoil"</f>
        <v>Relay, DIL Rcoil</v>
      </c>
      <c r="C7714" t="str">
        <f t="shared" si="288"/>
        <v>Active</v>
      </c>
    </row>
    <row r="7715" spans="1:3" ht="18" customHeight="1">
      <c r="A7715" t="str">
        <f>"410219"</f>
        <v>410219</v>
      </c>
      <c r="B7715" t="str">
        <f>"Relay Socket, Support+Term. PYF-14A-14pins"</f>
        <v>Relay Socket, Support+Term. PYF-14A-14pins</v>
      </c>
      <c r="C7715" t="str">
        <f t="shared" si="288"/>
        <v>Active</v>
      </c>
    </row>
    <row r="7716" spans="1:3" ht="18" customHeight="1">
      <c r="A7716" t="str">
        <f>"410220"</f>
        <v>410220</v>
      </c>
      <c r="B7716" t="str">
        <f>"Relay 24V, MY4N"</f>
        <v>Relay 24V, MY4N</v>
      </c>
      <c r="C7716" t="str">
        <f t="shared" si="288"/>
        <v>Active</v>
      </c>
    </row>
    <row r="7717" spans="1:3" ht="18" customHeight="1">
      <c r="A7717" t="str">
        <f>"410226"</f>
        <v>410226</v>
      </c>
      <c r="B7717" t="str">
        <f>"Relay OMRON G5Q-14"</f>
        <v>Relay OMRON G5Q-14</v>
      </c>
      <c r="C7717" t="str">
        <f t="shared" si="288"/>
        <v>Active</v>
      </c>
    </row>
    <row r="7718" spans="1:3" ht="18" customHeight="1">
      <c r="A7718" t="str">
        <f>"410227"</f>
        <v>410227</v>
      </c>
      <c r="B7718" t="str">
        <f>"Relay Support 95.63, Finder"</f>
        <v>Relay Support 95.63, Finder</v>
      </c>
      <c r="C7718" t="str">
        <f t="shared" si="288"/>
        <v>Active</v>
      </c>
    </row>
    <row r="7719" spans="1:3" ht="18" customHeight="1">
      <c r="A7719" t="str">
        <f>"410228"</f>
        <v>410228</v>
      </c>
      <c r="B7719" t="str">
        <f>"Relay 24VDC  10A , TV-5  FRM1-1C1"</f>
        <v>Relay 24VDC  10A , TV-5  FRM1-1C1</v>
      </c>
      <c r="C7719" t="str">
        <f t="shared" si="288"/>
        <v>Active</v>
      </c>
    </row>
    <row r="7720" spans="1:3" ht="18" customHeight="1">
      <c r="A7720" t="str">
        <f>"410229"</f>
        <v>410229</v>
      </c>
      <c r="B7720" t="str">
        <f>"Relay 12VDC  10A , TV-5  FRM1-1C1"</f>
        <v>Relay 12VDC  10A , TV-5  FRM1-1C1</v>
      </c>
      <c r="C7720" t="str">
        <f t="shared" si="288"/>
        <v>Active</v>
      </c>
    </row>
    <row r="7721" spans="1:3" ht="18" customHeight="1">
      <c r="A7721" t="str">
        <f>"410230"</f>
        <v>410230</v>
      </c>
      <c r="B7721" t="str">
        <f>"Solid State Relay, Input 5-24VDC, 1NO"</f>
        <v>Solid State Relay, Input 5-24VDC, 1NO</v>
      </c>
      <c r="C7721" t="str">
        <f t="shared" si="288"/>
        <v>Active</v>
      </c>
    </row>
    <row r="7722" spans="1:3" ht="18" customHeight="1">
      <c r="A7722" t="str">
        <f>"410401"</f>
        <v>410401</v>
      </c>
      <c r="B7722" t="str">
        <f>"Sensor,  Photoelectric, 100mm M18 12-24Vdc"</f>
        <v>Sensor,  Photoelectric, 100mm M18 12-24Vdc</v>
      </c>
      <c r="C7722" t="str">
        <f t="shared" si="288"/>
        <v>Active</v>
      </c>
    </row>
    <row r="7723" spans="1:3" ht="18" customHeight="1">
      <c r="A7723" t="str">
        <f>"410403"</f>
        <v>410403</v>
      </c>
      <c r="B7723" t="str">
        <f>"Sensor,  Magnetic Sw.&amp; Scr., MK04-1A66B-500W"</f>
        <v>Sensor,  Magnetic Sw.&amp; Scr., MK04-1A66B-500W</v>
      </c>
      <c r="C7723" t="str">
        <f t="shared" si="288"/>
        <v>Active</v>
      </c>
    </row>
    <row r="7724" spans="1:3" ht="18" customHeight="1">
      <c r="A7724" t="str">
        <f>"410404"</f>
        <v>410404</v>
      </c>
      <c r="B7724" t="str">
        <f>"Magnet 19.5x10x5mm"</f>
        <v>Magnet 19.5x10x5mm</v>
      </c>
      <c r="C7724" t="str">
        <f t="shared" si="288"/>
        <v>Active</v>
      </c>
    </row>
    <row r="7725" spans="1:3" ht="18" customHeight="1">
      <c r="A7725" t="str">
        <f>"410407"</f>
        <v>410407</v>
      </c>
      <c r="B7725" t="str">
        <f>"Magnet With  M4 Threads, 60x32x15"</f>
        <v>Magnet With  M4 Threads, 60x32x15</v>
      </c>
      <c r="C7725" t="str">
        <f t="shared" si="288"/>
        <v>Active</v>
      </c>
    </row>
    <row r="7726" spans="1:3" ht="18" customHeight="1">
      <c r="A7726" t="str">
        <f>"410409"</f>
        <v>410409</v>
      </c>
      <c r="B7726" t="str">
        <f>"Sensor, Light , MULON LMS-4"</f>
        <v>Sensor, Light , MULON LMS-4</v>
      </c>
      <c r="C7726" t="str">
        <f t="shared" si="288"/>
        <v>Active</v>
      </c>
    </row>
    <row r="7727" spans="1:3" ht="18" customHeight="1">
      <c r="A7727" t="str">
        <f>"410410"</f>
        <v>410410</v>
      </c>
      <c r="B7727" t="str">
        <f>"Magnetic proximity swith"</f>
        <v>Magnetic proximity swith</v>
      </c>
      <c r="C7727" t="str">
        <f t="shared" si="288"/>
        <v>Active</v>
      </c>
    </row>
    <row r="7728" spans="1:3" ht="18" customHeight="1">
      <c r="A7728" t="str">
        <f>"410411"</f>
        <v>410411</v>
      </c>
      <c r="B7728" t="str">
        <f>"""Photoelectric Sensor for conveyor, incl. Bracke"</f>
        <v>"Photoelectric Sensor for conveyor, incl. Bracke</v>
      </c>
      <c r="C7728" t="str">
        <f>"Inactive"</f>
        <v>Inactive</v>
      </c>
    </row>
    <row r="7729" spans="1:3" ht="18" customHeight="1">
      <c r="A7729" t="str">
        <f>"410416"</f>
        <v>410416</v>
      </c>
      <c r="B7729" t="str">
        <f>"Sensor, Prox. F628 SWITCH TL-X5C1-GE 5mm NPN M18"</f>
        <v>Sensor, Prox. F628 SWITCH TL-X5C1-GE 5mm NPN M18</v>
      </c>
      <c r="C7729" t="str">
        <f>"Active"</f>
        <v>Active</v>
      </c>
    </row>
    <row r="7730" spans="1:3" ht="18" customHeight="1">
      <c r="A7730" t="str">
        <f>"410417"</f>
        <v>410417</v>
      </c>
      <c r="B7730" t="str">
        <f>"DC Inductive Proximity Switch M12,4mm, 10-30V,NO"</f>
        <v>DC Inductive Proximity Switch M12,4mm, 10-30V,NO</v>
      </c>
      <c r="C7730" t="str">
        <f>"Active"</f>
        <v>Active</v>
      </c>
    </row>
    <row r="7731" spans="1:3" ht="18" customHeight="1">
      <c r="A7731" t="str">
        <f>"410418"</f>
        <v>410418</v>
      </c>
      <c r="B7731" t="str">
        <f>"Sensor, Prox. DC INDUC.FCU-0501N-A3U2NPN-NO24VDC"</f>
        <v>Sensor, Prox. DC INDUC.FCU-0501N-A3U2NPN-NO24VDC</v>
      </c>
      <c r="C7731" t="str">
        <f>"Active"</f>
        <v>Active</v>
      </c>
    </row>
    <row r="7732" spans="1:3" ht="18" customHeight="1">
      <c r="A7732" t="str">
        <f>"410419"</f>
        <v>410419</v>
      </c>
      <c r="B7732" t="str">
        <f>"Magnetic clip for cabin"</f>
        <v>Magnetic clip for cabin</v>
      </c>
      <c r="C7732" t="str">
        <f>"Phase Out"</f>
        <v>Phase Out</v>
      </c>
    </row>
    <row r="7733" spans="1:3" ht="18" customHeight="1">
      <c r="A7733" t="str">
        <f>"410420"</f>
        <v>410420</v>
      </c>
      <c r="B7733" t="str">
        <f>"Sensor, Magnetic Reed  for PCB 6-A/Mk6-6-A"</f>
        <v>Sensor, Magnetic Reed  for PCB 6-A/Mk6-6-A</v>
      </c>
      <c r="C7733" t="str">
        <f>"Active"</f>
        <v>Active</v>
      </c>
    </row>
    <row r="7734" spans="1:3" ht="18" customHeight="1">
      <c r="A7734" t="str">
        <f>"410421"</f>
        <v>410421</v>
      </c>
      <c r="B7734" t="str">
        <f>"BarCode LASER Scanner -Symbol LS-1220-I200A/300A"</f>
        <v>BarCode LASER Scanner -Symbol LS-1220-I200A/300A</v>
      </c>
      <c r="C7734" t="str">
        <f>"ECO-N2Buy"</f>
        <v>ECO-N2Buy</v>
      </c>
    </row>
    <row r="7735" spans="1:3" ht="18" customHeight="1">
      <c r="A7735" t="str">
        <f>"410430"</f>
        <v>410430</v>
      </c>
      <c r="B7735" t="str">
        <f>"Analog Blood Pressure Indicator"</f>
        <v>Analog Blood Pressure Indicator</v>
      </c>
      <c r="C7735" t="str">
        <f t="shared" ref="C7735:C7751" si="289">"Active"</f>
        <v>Active</v>
      </c>
    </row>
    <row r="7736" spans="1:3" ht="18" customHeight="1">
      <c r="A7736" t="str">
        <f>"410431"</f>
        <v>410431</v>
      </c>
      <c r="B7736" t="str">
        <f>"Sensor, Prox. Shield, 5mm PNP(N.O) M18 10-30Vdc"</f>
        <v>Sensor, Prox. Shield, 5mm PNP(N.O) M18 10-30Vdc</v>
      </c>
      <c r="C7736" t="str">
        <f t="shared" si="289"/>
        <v>Active</v>
      </c>
    </row>
    <row r="7737" spans="1:3" ht="18" customHeight="1">
      <c r="A7737" t="str">
        <f>"410432"</f>
        <v>410432</v>
      </c>
      <c r="B7737" t="str">
        <f>"Pressure Transducer MPX5100DP (Motorola Only)"</f>
        <v>Pressure Transducer MPX5100DP (Motorola Only)</v>
      </c>
      <c r="C7737" t="str">
        <f t="shared" si="289"/>
        <v>Active</v>
      </c>
    </row>
    <row r="7738" spans="1:3" ht="18" customHeight="1">
      <c r="A7738" t="str">
        <f>"410433"</f>
        <v>410433</v>
      </c>
      <c r="B7738" t="str">
        <f>"Sensor, Prox. Capacitive M18 NPN 24VDC NoShield"</f>
        <v>Sensor, Prox. Capacitive M18 NPN 24VDC NoShield</v>
      </c>
      <c r="C7738" t="str">
        <f t="shared" si="289"/>
        <v>Active</v>
      </c>
    </row>
    <row r="7739" spans="1:3" ht="18" customHeight="1">
      <c r="A7739" t="str">
        <f>"410434"</f>
        <v>410434</v>
      </c>
      <c r="B7739" t="str">
        <f>"Sensor, Temp. Probe DCT-DIN Vernier"</f>
        <v>Sensor, Temp. Probe DCT-DIN Vernier</v>
      </c>
      <c r="C7739" t="str">
        <f t="shared" si="289"/>
        <v>Active</v>
      </c>
    </row>
    <row r="7740" spans="1:3" ht="18" customHeight="1">
      <c r="A7740" t="str">
        <f>"410435"</f>
        <v>410435</v>
      </c>
      <c r="B7740" t="str">
        <f>"Sensor, Optic. CONNECT.CN13-PM-K53B"</f>
        <v>Sensor, Optic. CONNECT.CN13-PM-K53B</v>
      </c>
      <c r="C7740" t="str">
        <f t="shared" si="289"/>
        <v>Active</v>
      </c>
    </row>
    <row r="7741" spans="1:3" ht="18" customHeight="1">
      <c r="A7741" t="str">
        <f>"410436"</f>
        <v>410436</v>
      </c>
      <c r="B7741" t="str">
        <f>"PROXIMITY SWITCH FCM2-3015N-A3U2, 15mm,M30"</f>
        <v>PROXIMITY SWITCH FCM2-3015N-A3U2, 15mm,M30</v>
      </c>
      <c r="C7741" t="str">
        <f t="shared" si="289"/>
        <v>Active</v>
      </c>
    </row>
    <row r="7742" spans="1:3" ht="18" customHeight="1">
      <c r="A7742" t="str">
        <f>"410442"</f>
        <v>410442</v>
      </c>
      <c r="B7742" t="str">
        <f>"Magnetic Strips-Black, 1x10x900mm"</f>
        <v>Magnetic Strips-Black, 1x10x900mm</v>
      </c>
      <c r="C7742" t="str">
        <f t="shared" si="289"/>
        <v>Active</v>
      </c>
    </row>
    <row r="7743" spans="1:3" ht="18" customHeight="1">
      <c r="A7743" t="str">
        <f>"410459"</f>
        <v>410459</v>
      </c>
      <c r="B7743" t="str">
        <f>"Magnetic Catch 5  391.32"</f>
        <v>Magnetic Catch 5  391.32</v>
      </c>
      <c r="C7743" t="str">
        <f t="shared" si="289"/>
        <v>Active</v>
      </c>
    </row>
    <row r="7744" spans="1:3" ht="18" customHeight="1">
      <c r="A7744" t="str">
        <f>"410463"</f>
        <v>410463</v>
      </c>
      <c r="B7744" t="str">
        <f>"Sensor, Capacitive Proxim.4mm,M12,12-24Vdc"</f>
        <v>Sensor, Capacitive Proxim.4mm,M12,12-24Vdc</v>
      </c>
      <c r="C7744" t="str">
        <f t="shared" si="289"/>
        <v>Active</v>
      </c>
    </row>
    <row r="7745" spans="1:3" ht="18" customHeight="1">
      <c r="A7745" t="str">
        <f>"410466"</f>
        <v>410466</v>
      </c>
      <c r="B7745" t="str">
        <f>"Light Barrier,  RECEIVER-3RG7823-3BG00, SIEMENS"</f>
        <v>Light Barrier,  RECEIVER-3RG7823-3BG00, SIEMENS</v>
      </c>
      <c r="C7745" t="str">
        <f t="shared" si="289"/>
        <v>Active</v>
      </c>
    </row>
    <row r="7746" spans="1:3" ht="18" customHeight="1">
      <c r="A7746" t="str">
        <f>"410467"</f>
        <v>410467</v>
      </c>
      <c r="B7746" t="str">
        <f>"Light Barrier, TRANSMITTER 3RG7823-3KB00,SIEMENS"</f>
        <v>Light Barrier, TRANSMITTER 3RG7823-3KB00,SIEMENS</v>
      </c>
      <c r="C7746" t="str">
        <f t="shared" si="289"/>
        <v>Active</v>
      </c>
    </row>
    <row r="7747" spans="1:3" ht="18" customHeight="1">
      <c r="A7747" t="str">
        <f>"410468"</f>
        <v>410468</v>
      </c>
      <c r="B7747" t="str">
        <f>"Light Barrier, Mirror-3RG7848-1DL, SIEMENS"</f>
        <v>Light Barrier, Mirror-3RG7848-1DL, SIEMENS</v>
      </c>
      <c r="C7747" t="str">
        <f t="shared" si="289"/>
        <v>Active</v>
      </c>
    </row>
    <row r="7748" spans="1:3" ht="18" customHeight="1">
      <c r="A7748" t="str">
        <f>"410469"</f>
        <v>410469</v>
      </c>
      <c r="B7748" t="str">
        <f>"Reflective Sensor, 300-6015-00, Solido"</f>
        <v>Reflective Sensor, 300-6015-00, Solido</v>
      </c>
      <c r="C7748" t="str">
        <f t="shared" si="289"/>
        <v>Active</v>
      </c>
    </row>
    <row r="7749" spans="1:3" ht="18" customHeight="1">
      <c r="A7749" t="str">
        <f>"410470"</f>
        <v>410470</v>
      </c>
      <c r="B7749" t="str">
        <f>"U Shaped Sensor L=50mm, 300-6019-00, Solido"</f>
        <v>U Shaped Sensor L=50mm, 300-6019-00, Solido</v>
      </c>
      <c r="C7749" t="str">
        <f t="shared" si="289"/>
        <v>Active</v>
      </c>
    </row>
    <row r="7750" spans="1:3" ht="18" customHeight="1">
      <c r="A7750" t="str">
        <f>"410471"</f>
        <v>410471</v>
      </c>
      <c r="B7750" t="str">
        <f>"RFID Reader GP20, 5-12V DC with RS232 Cable"</f>
        <v>RFID Reader GP20, 5-12V DC with RS232 Cable</v>
      </c>
      <c r="C7750" t="str">
        <f t="shared" si="289"/>
        <v>Active</v>
      </c>
    </row>
    <row r="7751" spans="1:3" ht="18" customHeight="1">
      <c r="A7751" t="str">
        <f>"410472"</f>
        <v>410472</v>
      </c>
      <c r="B7751" t="str">
        <f>"RFID Tag 20"</f>
        <v>RFID Tag 20</v>
      </c>
      <c r="C7751" t="str">
        <f t="shared" si="289"/>
        <v>Active</v>
      </c>
    </row>
    <row r="7752" spans="1:3" ht="18" customHeight="1">
      <c r="A7752" t="str">
        <f>"410473"</f>
        <v>410473</v>
      </c>
      <c r="B7752" t="str">
        <f>"Magnet Meder M04 for Magnetic Reed Switch"</f>
        <v>Magnet Meder M04 for Magnetic Reed Switch</v>
      </c>
      <c r="C7752" t="str">
        <f>"New"</f>
        <v>New</v>
      </c>
    </row>
    <row r="7753" spans="1:3" ht="18" customHeight="1">
      <c r="A7753" t="str">
        <f>"410474"</f>
        <v>410474</v>
      </c>
      <c r="B7753" t="str">
        <f>"Magnetic Safety Switch for ME10, Sens. Read Head"</f>
        <v>Magnetic Safety Switch for ME10, Sens. Read Head</v>
      </c>
      <c r="C7753" t="str">
        <f t="shared" ref="C7753:C7784" si="290">"Active"</f>
        <v>Active</v>
      </c>
    </row>
    <row r="7754" spans="1:3" ht="18" customHeight="1">
      <c r="A7754" t="str">
        <f>"410475"</f>
        <v>410475</v>
      </c>
      <c r="B7754" t="str">
        <f>"Magnetic Safety Switch for ME10, Actuator"</f>
        <v>Magnetic Safety Switch for ME10, Actuator</v>
      </c>
      <c r="C7754" t="str">
        <f t="shared" si="290"/>
        <v>Active</v>
      </c>
    </row>
    <row r="7755" spans="1:3" ht="18" customHeight="1">
      <c r="A7755" t="str">
        <f>"410476"</f>
        <v>410476</v>
      </c>
      <c r="B7755" t="str">
        <f>"Coded Magnetic Safety Switch Set, CPC-115006"</f>
        <v>Coded Magnetic Safety Switch Set, CPC-115006</v>
      </c>
      <c r="C7755" t="str">
        <f t="shared" si="290"/>
        <v>Active</v>
      </c>
    </row>
    <row r="7756" spans="1:3" ht="18" customHeight="1">
      <c r="A7756" t="str">
        <f>"410502"</f>
        <v>410502</v>
      </c>
      <c r="B7756" t="str">
        <f>"Fuse, 6A,  Long"</f>
        <v>Fuse, 6A,  Long</v>
      </c>
      <c r="C7756" t="str">
        <f t="shared" si="290"/>
        <v>Active</v>
      </c>
    </row>
    <row r="7757" spans="1:3" ht="18" customHeight="1">
      <c r="A7757" t="str">
        <f>"410504"</f>
        <v>410504</v>
      </c>
      <c r="B7757" t="str">
        <f>"Fuse,  0.5A Short, UL"</f>
        <v>Fuse,  0.5A Short, UL</v>
      </c>
      <c r="C7757" t="str">
        <f t="shared" si="290"/>
        <v>Active</v>
      </c>
    </row>
    <row r="7758" spans="1:3" ht="18" customHeight="1">
      <c r="A7758" t="str">
        <f>"410506"</f>
        <v>410506</v>
      </c>
      <c r="B7758" t="str">
        <f>"Fuse, 1A,  Short (regular)"</f>
        <v>Fuse, 1A,  Short (regular)</v>
      </c>
      <c r="C7758" t="str">
        <f t="shared" si="290"/>
        <v>Active</v>
      </c>
    </row>
    <row r="7759" spans="1:3" ht="18" customHeight="1">
      <c r="A7759" t="str">
        <f>"410509"</f>
        <v>410509</v>
      </c>
      <c r="B7759" t="str">
        <f>"Fuse,  2A Short (regular), UL"</f>
        <v>Fuse,  2A Short (regular), UL</v>
      </c>
      <c r="C7759" t="str">
        <f t="shared" si="290"/>
        <v>Active</v>
      </c>
    </row>
    <row r="7760" spans="1:3" ht="18" customHeight="1">
      <c r="A7760" t="str">
        <f>"410510"</f>
        <v>410510</v>
      </c>
      <c r="B7760" t="str">
        <f>"Fuse, 2.5A, Short (S.B), UL listed"</f>
        <v>Fuse, 2.5A, Short (S.B), UL listed</v>
      </c>
      <c r="C7760" t="str">
        <f t="shared" si="290"/>
        <v>Active</v>
      </c>
    </row>
    <row r="7761" spans="1:3" ht="18" customHeight="1">
      <c r="A7761" t="str">
        <f>"410511"</f>
        <v>410511</v>
      </c>
      <c r="B7761" t="str">
        <f>"Fuse,  4A Short (regular), UL"</f>
        <v>Fuse,  4A Short (regular), UL</v>
      </c>
      <c r="C7761" t="str">
        <f t="shared" si="290"/>
        <v>Active</v>
      </c>
    </row>
    <row r="7762" spans="1:3" ht="18" customHeight="1">
      <c r="A7762" t="str">
        <f>"410515"</f>
        <v>410515</v>
      </c>
      <c r="B7762" t="str">
        <f>"Fuse, 2.5A, Short (N), UL listed"</f>
        <v>Fuse, 2.5A, Short (N), UL listed</v>
      </c>
      <c r="C7762" t="str">
        <f t="shared" si="290"/>
        <v>Active</v>
      </c>
    </row>
    <row r="7763" spans="1:3" ht="18" customHeight="1">
      <c r="A7763" t="str">
        <f>"410516"</f>
        <v>410516</v>
      </c>
      <c r="B7763" t="str">
        <f>"Fuse,  4A Short 20X5 (S.B), UL"</f>
        <v>Fuse,  4A Short 20X5 (S.B), UL</v>
      </c>
      <c r="C7763" t="str">
        <f t="shared" si="290"/>
        <v>Active</v>
      </c>
    </row>
    <row r="7764" spans="1:3" ht="18" customHeight="1">
      <c r="A7764" t="str">
        <f>"410520"</f>
        <v>410520</v>
      </c>
      <c r="B7764" t="str">
        <f>"Fuse, 0.75A  50/60V PTC075, RXE 075/ MF-R075"</f>
        <v>Fuse, 0.75A  50/60V PTC075, RXE 075/ MF-R075</v>
      </c>
      <c r="C7764" t="str">
        <f t="shared" si="290"/>
        <v>Active</v>
      </c>
    </row>
    <row r="7765" spans="1:3" ht="18" customHeight="1">
      <c r="A7765" t="str">
        <f>"410522"</f>
        <v>410522</v>
      </c>
      <c r="B7765" t="str">
        <f>"Fuse,  8A Short (S.B), UL"</f>
        <v>Fuse,  8A Short (S.B), UL</v>
      </c>
      <c r="C7765" t="str">
        <f t="shared" si="290"/>
        <v>Active</v>
      </c>
    </row>
    <row r="7766" spans="1:3" ht="18" customHeight="1">
      <c r="A7766" t="str">
        <f>"410523"</f>
        <v>410523</v>
      </c>
      <c r="B7766" t="str">
        <f>"Fuse, 2A, 250v Short (S.B), 51S (H) UL"</f>
        <v>Fuse, 2A, 250v Short (S.B), 51S (H) UL</v>
      </c>
      <c r="C7766" t="str">
        <f t="shared" si="290"/>
        <v>Active</v>
      </c>
    </row>
    <row r="7767" spans="1:3" ht="18" customHeight="1">
      <c r="A7767" t="str">
        <f>"410524"</f>
        <v>410524</v>
      </c>
      <c r="B7767" t="str">
        <f>"Fuse,  6.3A Short (S.B), UL"</f>
        <v>Fuse,  6.3A Short (S.B), UL</v>
      </c>
      <c r="C7767" t="str">
        <f t="shared" si="290"/>
        <v>Active</v>
      </c>
    </row>
    <row r="7768" spans="1:3" ht="18" customHeight="1">
      <c r="A7768" t="str">
        <f>"410526"</f>
        <v>410526</v>
      </c>
      <c r="B7768" t="str">
        <f>"Fuse, 0.4A, Short (S.B), UL listed"</f>
        <v>Fuse, 0.4A, Short (S.B), UL listed</v>
      </c>
      <c r="C7768" t="str">
        <f t="shared" si="290"/>
        <v>Active</v>
      </c>
    </row>
    <row r="7769" spans="1:3" ht="18" customHeight="1">
      <c r="A7769" t="str">
        <f>"410527"</f>
        <v>410527</v>
      </c>
      <c r="B7769" t="str">
        <f>"Fuse, 0.6A, Short (S.B), UL listed"</f>
        <v>Fuse, 0.6A, Short (S.B), UL listed</v>
      </c>
      <c r="C7769" t="str">
        <f t="shared" si="290"/>
        <v>Active</v>
      </c>
    </row>
    <row r="7770" spans="1:3" ht="18" customHeight="1">
      <c r="A7770" t="str">
        <f>"410528"</f>
        <v>410528</v>
      </c>
      <c r="B7770" t="str">
        <f>"Fuse,  1A Short (S.B), UL"</f>
        <v>Fuse,  1A Short (S.B), UL</v>
      </c>
      <c r="C7770" t="str">
        <f t="shared" si="290"/>
        <v>Active</v>
      </c>
    </row>
    <row r="7771" spans="1:3" ht="18" customHeight="1">
      <c r="A7771" t="str">
        <f>"410530"</f>
        <v>410530</v>
      </c>
      <c r="B7771" t="str">
        <f>"Fuse, 10A Short (S.B), UL"</f>
        <v>Fuse, 10A Short (S.B), UL</v>
      </c>
      <c r="C7771" t="str">
        <f t="shared" si="290"/>
        <v>Active</v>
      </c>
    </row>
    <row r="7772" spans="1:3" ht="18" customHeight="1">
      <c r="A7772" t="str">
        <f>"410531"</f>
        <v>410531</v>
      </c>
      <c r="B7772" t="str">
        <f>"Fuse,  1.25A Short (S.B), UL"</f>
        <v>Fuse,  1.25A Short (S.B), UL</v>
      </c>
      <c r="C7772" t="str">
        <f t="shared" si="290"/>
        <v>Active</v>
      </c>
    </row>
    <row r="7773" spans="1:3" ht="18" customHeight="1">
      <c r="A7773" t="str">
        <f>"410532"</f>
        <v>410532</v>
      </c>
      <c r="B7773" t="str">
        <f>"Fuse-0.8A Short (S.B) 0.8A Short UL listed"</f>
        <v>Fuse-0.8A Short (S.B) 0.8A Short UL listed</v>
      </c>
      <c r="C7773" t="str">
        <f t="shared" si="290"/>
        <v>Active</v>
      </c>
    </row>
    <row r="7774" spans="1:3" ht="18" customHeight="1">
      <c r="A7774" t="str">
        <f>"410533"</f>
        <v>410533</v>
      </c>
      <c r="B7774" t="str">
        <f>"Fuse-1.6A Short (S.B) 1.6A Short UL listed"</f>
        <v>Fuse-1.6A Short (S.B) 1.6A Short UL listed</v>
      </c>
      <c r="C7774" t="str">
        <f t="shared" si="290"/>
        <v>Active</v>
      </c>
    </row>
    <row r="7775" spans="1:3" ht="18" customHeight="1">
      <c r="A7775" t="str">
        <f>"410537"</f>
        <v>410537</v>
      </c>
      <c r="B7775" t="str">
        <f>"Fuse,  5A Short (S.B), UL"</f>
        <v>Fuse,  5A Short (S.B), UL</v>
      </c>
      <c r="C7775" t="str">
        <f t="shared" si="290"/>
        <v>Active</v>
      </c>
    </row>
    <row r="7776" spans="1:3" ht="18" customHeight="1">
      <c r="A7776" t="str">
        <f>"410538"</f>
        <v>410538</v>
      </c>
      <c r="B7776" t="str">
        <f>"Fuse, 0.2A  50/60V PTC020, RXE 020/ MF-R020"</f>
        <v>Fuse, 0.2A  50/60V PTC020, RXE 020/ MF-R020</v>
      </c>
      <c r="C7776" t="str">
        <f t="shared" si="290"/>
        <v>Active</v>
      </c>
    </row>
    <row r="7777" spans="1:3" ht="18" customHeight="1">
      <c r="A7777" t="str">
        <f>"410601"</f>
        <v>410601</v>
      </c>
      <c r="B7777" t="str">
        <f>"Fuse holder-Short on panel 35mm"</f>
        <v>Fuse holder-Short on panel 35mm</v>
      </c>
      <c r="C7777" t="str">
        <f t="shared" si="290"/>
        <v>Active</v>
      </c>
    </row>
    <row r="7778" spans="1:3" ht="18" customHeight="1">
      <c r="A7778" t="str">
        <f>"410602"</f>
        <v>410602</v>
      </c>
      <c r="B7778" t="str">
        <f>"Fuse Case for P.C.B-open"</f>
        <v>Fuse Case for P.C.B-open</v>
      </c>
      <c r="C7778" t="str">
        <f t="shared" si="290"/>
        <v>Active</v>
      </c>
    </row>
    <row r="7779" spans="1:3" ht="18" customHeight="1">
      <c r="A7779" t="str">
        <f>"410605"</f>
        <v>410605</v>
      </c>
      <c r="B7779" t="str">
        <f>"Fuse Case for P.C.B-short"</f>
        <v>Fuse Case for P.C.B-short</v>
      </c>
      <c r="C7779" t="str">
        <f t="shared" si="290"/>
        <v>Active</v>
      </c>
    </row>
    <row r="7780" spans="1:3" ht="18" customHeight="1">
      <c r="A7780" t="str">
        <f>"410606"</f>
        <v>410606</v>
      </c>
      <c r="B7780" t="str">
        <f>"Fuse Case, On Panel"</f>
        <v>Fuse Case, On Panel</v>
      </c>
      <c r="C7780" t="str">
        <f t="shared" si="290"/>
        <v>Active</v>
      </c>
    </row>
    <row r="7781" spans="1:3" ht="18" customHeight="1">
      <c r="A7781" t="str">
        <f>"410701"</f>
        <v>410701</v>
      </c>
      <c r="B7781" t="str">
        <f>"Protector   150V 21mm"</f>
        <v>Protector   150V 21mm</v>
      </c>
      <c r="C7781" t="str">
        <f t="shared" si="290"/>
        <v>Active</v>
      </c>
    </row>
    <row r="7782" spans="1:3" ht="18" customHeight="1">
      <c r="A7782" t="str">
        <f>"410702"</f>
        <v>410702</v>
      </c>
      <c r="B7782" t="str">
        <f>"Protector   275V 16mm"</f>
        <v>Protector   275V 16mm</v>
      </c>
      <c r="C7782" t="str">
        <f t="shared" si="290"/>
        <v>Active</v>
      </c>
    </row>
    <row r="7783" spans="1:3" ht="18" customHeight="1">
      <c r="A7783" t="str">
        <f>"410710"</f>
        <v>410710</v>
      </c>
      <c r="B7783" t="str">
        <f>"Varistors Metal Oxide, 30V AC 07D470K"</f>
        <v>Varistors Metal Oxide, 30V AC 07D470K</v>
      </c>
      <c r="C7783" t="str">
        <f t="shared" si="290"/>
        <v>Active</v>
      </c>
    </row>
    <row r="7784" spans="1:3" ht="18" customHeight="1">
      <c r="A7784" t="str">
        <f>"410711"</f>
        <v>410711</v>
      </c>
      <c r="B7784" t="str">
        <f>"Sensor, Temp. Thermistor B57560G502F"</f>
        <v>Sensor, Temp. Thermistor B57560G502F</v>
      </c>
      <c r="C7784" t="str">
        <f t="shared" si="290"/>
        <v>Active</v>
      </c>
    </row>
    <row r="7785" spans="1:3" ht="18" customHeight="1">
      <c r="A7785" t="str">
        <f>"410712"</f>
        <v>410712</v>
      </c>
      <c r="B7785" t="str">
        <f>"Fuse, P.T.C 1812L020PR, LITTELFUSE, SMD, 1812"</f>
        <v>Fuse, P.T.C 1812L020PR, LITTELFUSE, SMD, 1812</v>
      </c>
      <c r="C7785" t="str">
        <f t="shared" ref="C7785:C7812" si="291">"Active"</f>
        <v>Active</v>
      </c>
    </row>
    <row r="7786" spans="1:3" ht="18" customHeight="1">
      <c r="A7786" t="str">
        <f>"410801"</f>
        <v>410801</v>
      </c>
      <c r="B7786" t="str">
        <f>"Switch, 2 Position  With Disc &amp; 2 Nuts"</f>
        <v>Switch, 2 Position  With Disc &amp; 2 Nuts</v>
      </c>
      <c r="C7786" t="str">
        <f t="shared" si="291"/>
        <v>Active</v>
      </c>
    </row>
    <row r="7787" spans="1:3" ht="18" customHeight="1">
      <c r="A7787" t="str">
        <f>"410803"</f>
        <v>410803</v>
      </c>
      <c r="B7787" t="str">
        <f>"Switch, Micro - 10A"</f>
        <v>Switch, Micro - 10A</v>
      </c>
      <c r="C7787" t="str">
        <f t="shared" si="291"/>
        <v>Active</v>
      </c>
    </row>
    <row r="7788" spans="1:3" ht="18" customHeight="1">
      <c r="A7788" t="str">
        <f>"410808"</f>
        <v>410808</v>
      </c>
      <c r="B7788" t="str">
        <f>"Switch, Micro,  Pulley, 250V  5A, change over"</f>
        <v>Switch, Micro,  Pulley, 250V  5A, change over</v>
      </c>
      <c r="C7788" t="str">
        <f t="shared" si="291"/>
        <v>Active</v>
      </c>
    </row>
    <row r="7789" spans="1:3" ht="18" customHeight="1">
      <c r="A7789" t="str">
        <f>"410812"</f>
        <v>410812</v>
      </c>
      <c r="B7789" t="str">
        <f>"Microsw. Machined, Axis 5"</f>
        <v>Microsw. Machined, Axis 5</v>
      </c>
      <c r="C7789" t="str">
        <f t="shared" si="291"/>
        <v>Active</v>
      </c>
    </row>
    <row r="7790" spans="1:3" ht="18" customHeight="1">
      <c r="A7790" t="str">
        <f>"410817"</f>
        <v>410817</v>
      </c>
      <c r="B7790" t="str">
        <f>"Switch, Slide - 110/220V,"</f>
        <v>Switch, Slide - 110/220V,</v>
      </c>
      <c r="C7790" t="str">
        <f t="shared" si="291"/>
        <v>Active</v>
      </c>
    </row>
    <row r="7791" spans="1:3" ht="18" customHeight="1">
      <c r="A7791" t="str">
        <f>"410822"</f>
        <v>410822</v>
      </c>
      <c r="B7791" t="str">
        <f>"Switch, Slide - 1POLE/2POS, APM NK236"</f>
        <v>Switch, Slide - 1POLE/2POS, APM NK236</v>
      </c>
      <c r="C7791" t="str">
        <f t="shared" si="291"/>
        <v>Active</v>
      </c>
    </row>
    <row r="7792" spans="1:3" ht="18" customHeight="1">
      <c r="A7792" t="str">
        <f>"410823"</f>
        <v>410823</v>
      </c>
      <c r="B7792" t="str">
        <f>"Dip Sw. 2 Position Slide"</f>
        <v>Dip Sw. 2 Position Slide</v>
      </c>
      <c r="C7792" t="str">
        <f t="shared" si="291"/>
        <v>Active</v>
      </c>
    </row>
    <row r="7793" spans="1:3" ht="18" customHeight="1">
      <c r="A7793" t="str">
        <f>"410827"</f>
        <v>410827</v>
      </c>
      <c r="B7793" t="str">
        <f>"Switch, POWER ENTRY CONTROLLER B"</f>
        <v>Switch, POWER ENTRY CONTROLLER B</v>
      </c>
      <c r="C7793" t="str">
        <f t="shared" si="291"/>
        <v>Active</v>
      </c>
    </row>
    <row r="7794" spans="1:3" ht="18" customHeight="1">
      <c r="A7794" t="str">
        <f>"410833"</f>
        <v>410833</v>
      </c>
      <c r="B7794" t="str">
        <f>"Switch AutomatIc, TERMIC 1.6-2.5A"</f>
        <v>Switch AutomatIc, TERMIC 1.6-2.5A</v>
      </c>
      <c r="C7794" t="str">
        <f t="shared" si="291"/>
        <v>Active</v>
      </c>
    </row>
    <row r="7795" spans="1:3" ht="18" customHeight="1">
      <c r="A7795" t="str">
        <f>"410834"</f>
        <v>410834</v>
      </c>
      <c r="B7795" t="str">
        <f>"Selector Head, Red Illuminated TN2IS2R"</f>
        <v>Selector Head, Red Illuminated TN2IS2R</v>
      </c>
      <c r="C7795" t="str">
        <f t="shared" si="291"/>
        <v>Active</v>
      </c>
    </row>
    <row r="7796" spans="1:3" ht="18" customHeight="1">
      <c r="A7796" t="str">
        <f>"410835"</f>
        <v>410835</v>
      </c>
      <c r="B7796" t="str">
        <f>"Contact Block, 1NO, TN2-A(1a) &amp; Base"</f>
        <v>Contact Block, 1NO, TN2-A(1a) &amp; Base</v>
      </c>
      <c r="C7796" t="str">
        <f t="shared" si="291"/>
        <v>Active</v>
      </c>
    </row>
    <row r="7797" spans="1:3" ht="18" customHeight="1">
      <c r="A7797" t="str">
        <f>"410836"</f>
        <v>410836</v>
      </c>
      <c r="B7797" t="str">
        <f>"Bulb Base for TN2 Contacts, TN2-BI"</f>
        <v>Bulb Base for TN2 Contacts, TN2-BI</v>
      </c>
      <c r="C7797" t="str">
        <f t="shared" si="291"/>
        <v>Active</v>
      </c>
    </row>
    <row r="7798" spans="1:3" ht="18" customHeight="1">
      <c r="A7798" t="str">
        <f>"410837"</f>
        <v>410837</v>
      </c>
      <c r="B7798" t="str">
        <f>"Button, Push, Emergency Stop, LUMOTAST 25"</f>
        <v>Button, Push, Emergency Stop, LUMOTAST 25</v>
      </c>
      <c r="C7798" t="str">
        <f t="shared" si="291"/>
        <v>Active</v>
      </c>
    </row>
    <row r="7799" spans="1:3" ht="18" customHeight="1">
      <c r="A7799" t="str">
        <f>"410838"</f>
        <v>410838</v>
      </c>
      <c r="B7799" t="str">
        <f>"Selector, momentary/latch, LUMOTAST 25"</f>
        <v>Selector, momentary/latch, LUMOTAST 25</v>
      </c>
      <c r="C7799" t="str">
        <f t="shared" si="291"/>
        <v>Active</v>
      </c>
    </row>
    <row r="7800" spans="1:3" ht="18" customHeight="1">
      <c r="A7800" t="str">
        <f>"410842"</f>
        <v>410842</v>
      </c>
      <c r="B7800" t="str">
        <f>"Button, Push, Green, 1.30.070.271/0500"</f>
        <v>Button, Push, Green, 1.30.070.271/0500</v>
      </c>
      <c r="C7800" t="str">
        <f t="shared" si="291"/>
        <v>Active</v>
      </c>
    </row>
    <row r="7801" spans="1:3" ht="18" customHeight="1">
      <c r="A7801" t="str">
        <f>"410843"</f>
        <v>410843</v>
      </c>
      <c r="B7801" t="str">
        <f>"Button, Push, Red, 1.30.070.271/0300"</f>
        <v>Button, Push, Red, 1.30.070.271/0300</v>
      </c>
      <c r="C7801" t="str">
        <f t="shared" si="291"/>
        <v>Active</v>
      </c>
    </row>
    <row r="7802" spans="1:3" ht="18" customHeight="1">
      <c r="A7802" t="str">
        <f>"410844"</f>
        <v>410844</v>
      </c>
      <c r="B7802" t="str">
        <f>"Switch, Black, Latching, 130073 021/0104  Shape2"</f>
        <v>Switch, Black, Latching, 130073 021/0104  Shape2</v>
      </c>
      <c r="C7802" t="str">
        <f t="shared" si="291"/>
        <v>Active</v>
      </c>
    </row>
    <row r="7803" spans="1:3" ht="18" customHeight="1">
      <c r="A7803" t="str">
        <f>"410845"</f>
        <v>410845</v>
      </c>
      <c r="B7803" t="str">
        <f>"Button, Push,  Emergency Stop, RED"</f>
        <v>Button, Push,  Emergency Stop, RED</v>
      </c>
      <c r="C7803" t="str">
        <f t="shared" si="291"/>
        <v>Active</v>
      </c>
    </row>
    <row r="7804" spans="1:3" ht="18" customHeight="1">
      <c r="A7804" t="str">
        <f>"410846"</f>
        <v>410846</v>
      </c>
      <c r="B7804" t="str">
        <f>"Switching Units 1NC+1NO RAFIX 120122021"</f>
        <v>Switching Units 1NC+1NO RAFIX 120122021</v>
      </c>
      <c r="C7804" t="str">
        <f t="shared" si="291"/>
        <v>Active</v>
      </c>
    </row>
    <row r="7805" spans="1:3" ht="18" customHeight="1">
      <c r="A7805" t="str">
        <f>"410847"</f>
        <v>410847</v>
      </c>
      <c r="B7805" t="str">
        <f>"Switching Units Standard  2NO"</f>
        <v>Switching Units Standard  2NO</v>
      </c>
      <c r="C7805" t="str">
        <f t="shared" si="291"/>
        <v>Active</v>
      </c>
    </row>
    <row r="7806" spans="1:3" ht="18" customHeight="1">
      <c r="A7806" t="str">
        <f>"410849"</f>
        <v>410849</v>
      </c>
      <c r="B7806" t="str">
        <f>"Switch, Micro, 16A/21A, Pin Planger"</f>
        <v>Switch, Micro, 16A/21A, Pin Planger</v>
      </c>
      <c r="C7806" t="str">
        <f t="shared" si="291"/>
        <v>Active</v>
      </c>
    </row>
    <row r="7807" spans="1:3" ht="18" customHeight="1">
      <c r="A7807" t="str">
        <f>"410850"</f>
        <v>410850</v>
      </c>
      <c r="B7807" t="str">
        <f>"Button, Push, Emergency stop, 1.30074.501/0304"</f>
        <v>Button, Push, Emergency stop, 1.30074.501/0304</v>
      </c>
      <c r="C7807" t="str">
        <f t="shared" si="291"/>
        <v>Active</v>
      </c>
    </row>
    <row r="7808" spans="1:3" ht="18" customHeight="1">
      <c r="A7808" t="str">
        <f>"410854"</f>
        <v>410854</v>
      </c>
      <c r="B7808" t="str">
        <f>"Lamp Socket+Switch-1NC+1NO, 1.20.122.001 RAFIX16"</f>
        <v>Lamp Socket+Switch-1NC+1NO, 1.20.122.001 RAFIX16</v>
      </c>
      <c r="C7808" t="str">
        <f t="shared" si="291"/>
        <v>Active</v>
      </c>
    </row>
    <row r="7809" spans="1:3" ht="18" customHeight="1">
      <c r="A7809" t="str">
        <f>"410855"</f>
        <v>410855</v>
      </c>
      <c r="B7809" t="str">
        <f>"""Switch, Green Rocker -Neon, LRGSCK711CGBE250/N"""</f>
        <v>"Switch, Green Rocker -Neon, LRGSCK711CGBE250/N"</v>
      </c>
      <c r="C7809" t="str">
        <f t="shared" si="291"/>
        <v>Active</v>
      </c>
    </row>
    <row r="7810" spans="1:3" ht="18" customHeight="1">
      <c r="A7810" t="str">
        <f>"410856"</f>
        <v>410856</v>
      </c>
      <c r="B7810" t="str">
        <f>"Button, Push, Emergency stop, 65x65x50"</f>
        <v>Button, Push, Emergency stop, 65x65x50</v>
      </c>
      <c r="C7810" t="str">
        <f t="shared" si="291"/>
        <v>Active</v>
      </c>
    </row>
    <row r="7811" spans="1:3" ht="18" customHeight="1">
      <c r="A7811" t="str">
        <f>"410857"</f>
        <v>410857</v>
      </c>
      <c r="B7811" t="str">
        <f>"Button, Push, Mini, PCB, SPDT (C&amp;k, TP12SH9ABE)"</f>
        <v>Button, Push, Mini, PCB, SPDT (C&amp;k, TP12SH9ABE)</v>
      </c>
      <c r="C7811" t="str">
        <f t="shared" si="291"/>
        <v>Active</v>
      </c>
    </row>
    <row r="7812" spans="1:3" ht="18" customHeight="1">
      <c r="A7812" t="str">
        <f>"410859"</f>
        <v>410859</v>
      </c>
      <c r="B7812" t="str">
        <f>"Switch,  Micro 15A For Jack 38mm"</f>
        <v>Switch,  Micro 15A For Jack 38mm</v>
      </c>
      <c r="C7812" t="str">
        <f t="shared" si="291"/>
        <v>Active</v>
      </c>
    </row>
    <row r="7813" spans="1:3" ht="18" customHeight="1">
      <c r="A7813" t="str">
        <f>"410860"</f>
        <v>410860</v>
      </c>
      <c r="B7813" t="str">
        <f>"Control Units Red  IS2"</f>
        <v>Control Units Red  IS2</v>
      </c>
      <c r="C7813" t="str">
        <f>"ECO-N2Buy"</f>
        <v>ECO-N2Buy</v>
      </c>
    </row>
    <row r="7814" spans="1:3" ht="18" customHeight="1">
      <c r="A7814" t="str">
        <f>"410861"</f>
        <v>410861</v>
      </c>
      <c r="B7814" t="str">
        <f>"Control Units Green  IS3"</f>
        <v>Control Units Green  IS3</v>
      </c>
      <c r="C7814" t="str">
        <f>"ECO-N2Buy"</f>
        <v>ECO-N2Buy</v>
      </c>
    </row>
    <row r="7815" spans="1:3" ht="18" customHeight="1">
      <c r="A7815" t="str">
        <f>"410862"</f>
        <v>410862</v>
      </c>
      <c r="B7815" t="str">
        <f>"Control Units Yellow  IS4"</f>
        <v>Control Units Yellow  IS4</v>
      </c>
      <c r="C7815" t="str">
        <f>"ECO-N2Buy"</f>
        <v>ECO-N2Buy</v>
      </c>
    </row>
    <row r="7816" spans="1:3" ht="18" customHeight="1">
      <c r="A7816" t="str">
        <f>"410863"</f>
        <v>410863</v>
      </c>
      <c r="B7816" t="str">
        <f>"Lamp Base for Control Units  BN"</f>
        <v>Lamp Base for Control Units  BN</v>
      </c>
      <c r="C7816" t="str">
        <f>"ECO-N2Buy"</f>
        <v>ECO-N2Buy</v>
      </c>
    </row>
    <row r="7817" spans="1:3" ht="18" customHeight="1">
      <c r="A7817" t="str">
        <f>"410864"</f>
        <v>410864</v>
      </c>
      <c r="B7817" t="str">
        <f>"Lamp Base"</f>
        <v>Lamp Base</v>
      </c>
      <c r="C7817" t="str">
        <f>"ECO-N2Buy"</f>
        <v>ECO-N2Buy</v>
      </c>
    </row>
    <row r="7818" spans="1:3" ht="18" customHeight="1">
      <c r="A7818" t="str">
        <f>"410865"</f>
        <v>410865</v>
      </c>
      <c r="B7818" t="str">
        <f>"Switch, Micro, Short Roller Lev, 16A OMRON  only"</f>
        <v>Switch, Micro, Short Roller Lev, 16A OMRON  only</v>
      </c>
      <c r="C7818" t="str">
        <f t="shared" ref="C7818:C7824" si="292">"Active"</f>
        <v>Active</v>
      </c>
    </row>
    <row r="7819" spans="1:3" ht="18" customHeight="1">
      <c r="A7819" t="str">
        <f>"410866"</f>
        <v>410866</v>
      </c>
      <c r="B7819" t="str">
        <f>"Switch,  toggle-single pole ON, OFF, ON Red"</f>
        <v>Switch,  toggle-single pole ON, OFF, ON Red</v>
      </c>
      <c r="C7819" t="str">
        <f t="shared" si="292"/>
        <v>Active</v>
      </c>
    </row>
    <row r="7820" spans="1:3" ht="18" customHeight="1">
      <c r="A7820" t="str">
        <f>"410869"</f>
        <v>410869</v>
      </c>
      <c r="B7820" t="str">
        <f>"Lamp, Yellow Head-165124321/1403-Shape4"</f>
        <v>Lamp, Yellow Head-165124321/1403-Shape4</v>
      </c>
      <c r="C7820" t="str">
        <f t="shared" si="292"/>
        <v>Active</v>
      </c>
    </row>
    <row r="7821" spans="1:3" ht="18" customHeight="1">
      <c r="A7821" t="str">
        <f>"410870"</f>
        <v>410870</v>
      </c>
      <c r="B7821" t="str">
        <f>"Lamp socket, 1.71212.001 RAFIX 16"</f>
        <v>Lamp socket, 1.71212.001 RAFIX 16</v>
      </c>
      <c r="C7821" t="str">
        <f t="shared" si="292"/>
        <v>Active</v>
      </c>
    </row>
    <row r="7822" spans="1:3" ht="18" customHeight="1">
      <c r="A7822" t="str">
        <f>"410871"</f>
        <v>410871</v>
      </c>
      <c r="B7822" t="str">
        <f>"Lamp, Green Head, 165124321/1505-Shape4"</f>
        <v>Lamp, Green Head, 165124321/1505-Shape4</v>
      </c>
      <c r="C7822" t="str">
        <f t="shared" si="292"/>
        <v>Active</v>
      </c>
    </row>
    <row r="7823" spans="1:3" ht="18" customHeight="1">
      <c r="A7823" t="str">
        <f>"410872"</f>
        <v>410872</v>
      </c>
      <c r="B7823" t="str">
        <f>"Lamp -Green Head-RAFIX16 24V/1.2w 1.90120.011"</f>
        <v>Lamp -Green Head-RAFIX16 24V/1.2w 1.90120.011</v>
      </c>
      <c r="C7823" t="str">
        <f t="shared" si="292"/>
        <v>Active</v>
      </c>
    </row>
    <row r="7824" spans="1:3" ht="18" customHeight="1">
      <c r="A7824" t="str">
        <f>"410873"</f>
        <v>410873</v>
      </c>
      <c r="B7824" t="str">
        <f>"Pushbutt Flush Head Green 1.30040.001/1505"</f>
        <v>Pushbutt Flush Head Green 1.30040.001/1505</v>
      </c>
      <c r="C7824" t="str">
        <f t="shared" si="292"/>
        <v>Active</v>
      </c>
    </row>
    <row r="7825" spans="1:3" ht="18" customHeight="1">
      <c r="A7825" t="str">
        <f>"410874"</f>
        <v>410874</v>
      </c>
      <c r="B7825" t="str">
        <f>"Button, Push, Green-RAFIX22- 1.30040.001/1306"</f>
        <v>Button, Push, Green-RAFIX22- 1.30040.001/1306</v>
      </c>
      <c r="C7825" t="str">
        <f>"ECO-N2Buy"</f>
        <v>ECO-N2Buy</v>
      </c>
    </row>
    <row r="7826" spans="1:3" ht="18" customHeight="1">
      <c r="A7826" t="str">
        <f>"410875"</f>
        <v>410875</v>
      </c>
      <c r="B7826" t="str">
        <f>"Switching Unit-Standard 2NO-RAFIX22 5.00100.104"</f>
        <v>Switching Unit-Standard 2NO-RAFIX22 5.00100.104</v>
      </c>
      <c r="C7826" t="str">
        <f t="shared" ref="C7826:C7838" si="293">"Active"</f>
        <v>Active</v>
      </c>
    </row>
    <row r="7827" spans="1:3" ht="18" customHeight="1">
      <c r="A7827" t="str">
        <f>"410876"</f>
        <v>410876</v>
      </c>
      <c r="B7827" t="str">
        <f>"Switching Unit-Standard-2NC-RAFIX22 5.00100.103"</f>
        <v>Switching Unit-Standard-2NC-RAFIX22 5.00100.103</v>
      </c>
      <c r="C7827" t="str">
        <f t="shared" si="293"/>
        <v>Active</v>
      </c>
    </row>
    <row r="7828" spans="1:3" ht="18" customHeight="1">
      <c r="A7828" t="str">
        <f>"410877"</f>
        <v>410877</v>
      </c>
      <c r="B7828" t="str">
        <f>"Base for switching unit- RAFIX22- 5.05510.275"</f>
        <v>Base for switching unit- RAFIX22- 5.05510.275</v>
      </c>
      <c r="C7828" t="str">
        <f t="shared" si="293"/>
        <v>Active</v>
      </c>
    </row>
    <row r="7829" spans="1:3" ht="18" customHeight="1">
      <c r="A7829" t="str">
        <f>"410879"</f>
        <v>410879</v>
      </c>
      <c r="B7829" t="str">
        <f>"Switch, Emerg. Box XENL1121-Telsico 5.05510.275"</f>
        <v>Switch, Emerg. Box XENL1121-Telsico 5.05510.275</v>
      </c>
      <c r="C7829" t="str">
        <f t="shared" si="293"/>
        <v>Active</v>
      </c>
    </row>
    <row r="7830" spans="1:3" ht="18" customHeight="1">
      <c r="A7830" t="str">
        <f>"410883"</f>
        <v>410883</v>
      </c>
      <c r="B7830" t="str">
        <f>"Switch, Toggle, double pole, 647H"</f>
        <v>Switch, Toggle, double pole, 647H</v>
      </c>
      <c r="C7830" t="str">
        <f t="shared" si="293"/>
        <v>Active</v>
      </c>
    </row>
    <row r="7831" spans="1:3" ht="18" customHeight="1">
      <c r="A7831" t="str">
        <f>"410886"</f>
        <v>410886</v>
      </c>
      <c r="B7831" t="str">
        <f>"Control relay coil24vdc, 3phase N.O-5.05510.275"</f>
        <v>Control relay coil24vdc, 3phase N.O-5.05510.275</v>
      </c>
      <c r="C7831" t="str">
        <f t="shared" si="293"/>
        <v>Active</v>
      </c>
    </row>
    <row r="7832" spans="1:3" ht="18" customHeight="1">
      <c r="A7832" t="str">
        <f>"410887"</f>
        <v>410887</v>
      </c>
      <c r="B7832" t="str">
        <f>"Button, Push, Red, OMRON P/N A165E-LS-24D-01"</f>
        <v>Button, Push, Red, OMRON P/N A165E-LS-24D-01</v>
      </c>
      <c r="C7832" t="str">
        <f t="shared" si="293"/>
        <v>Active</v>
      </c>
    </row>
    <row r="7833" spans="1:3" ht="18" customHeight="1">
      <c r="A7833" t="str">
        <f>"410889"</f>
        <v>410889</v>
      </c>
      <c r="B7833" t="str">
        <f>"Switch ON/OFF and Cable 2x0.75mm 4m, 220v"</f>
        <v>Switch ON/OFF and Cable 2x0.75mm 4m, 220v</v>
      </c>
      <c r="C7833" t="str">
        <f t="shared" si="293"/>
        <v>Active</v>
      </c>
    </row>
    <row r="7834" spans="1:3" ht="18" customHeight="1">
      <c r="A7834" t="str">
        <f>"410890"</f>
        <v>410890</v>
      </c>
      <c r="B7834" t="str">
        <f>"Indicator Light Red AD16-22DS 24VDC-R, diam 22mm"</f>
        <v>Indicator Light Red AD16-22DS 24VDC-R, diam 22mm</v>
      </c>
      <c r="C7834" t="str">
        <f t="shared" si="293"/>
        <v>Active</v>
      </c>
    </row>
    <row r="7835" spans="1:3" ht="18" customHeight="1">
      <c r="A7835" t="str">
        <f>"410891"</f>
        <v>410891</v>
      </c>
      <c r="B7835" t="str">
        <f>"Indicator Light Yellow AD16-22DS 24VDC-Y, Diam22"</f>
        <v>Indicator Light Yellow AD16-22DS 24VDC-Y, Diam22</v>
      </c>
      <c r="C7835" t="str">
        <f t="shared" si="293"/>
        <v>Active</v>
      </c>
    </row>
    <row r="7836" spans="1:3" ht="18" customHeight="1">
      <c r="A7836" t="str">
        <f>"410892"</f>
        <v>410892</v>
      </c>
      <c r="B7836" t="str">
        <f>"Indicator Light Green AD16-22DS 24VDC-G, Diam 22"</f>
        <v>Indicator Light Green AD16-22DS 24VDC-G, Diam 22</v>
      </c>
      <c r="C7836" t="str">
        <f t="shared" si="293"/>
        <v>Active</v>
      </c>
    </row>
    <row r="7837" spans="1:3" ht="18" customHeight="1">
      <c r="A7837" t="str">
        <f>"410893"</f>
        <v>410893</v>
      </c>
      <c r="B7837" t="str">
        <f>"LEVER - WAGO OPERATING, 231-131"</f>
        <v>LEVER - WAGO OPERATING, 231-131</v>
      </c>
      <c r="C7837" t="str">
        <f t="shared" si="293"/>
        <v>Active</v>
      </c>
    </row>
    <row r="7838" spans="1:3" ht="18" customHeight="1">
      <c r="A7838" t="str">
        <f>"410894"</f>
        <v>410894</v>
      </c>
      <c r="B7838" t="str">
        <f>"Miniature Slide Switches SPDT,OS102011MS2QN1C"</f>
        <v>Miniature Slide Switches SPDT,OS102011MS2QN1C</v>
      </c>
      <c r="C7838" t="str">
        <f t="shared" si="293"/>
        <v>Active</v>
      </c>
    </row>
    <row r="7839" spans="1:3" ht="18" customHeight="1">
      <c r="A7839" t="str">
        <f>"410895"</f>
        <v>410895</v>
      </c>
      <c r="B7839" t="str">
        <f>"Toggle switch 2F A53-73-TABS"</f>
        <v>Toggle switch 2F A53-73-TABS</v>
      </c>
      <c r="C7839" t="str">
        <f>"New"</f>
        <v>New</v>
      </c>
    </row>
    <row r="7840" spans="1:3" ht="18" customHeight="1">
      <c r="A7840" t="str">
        <f>"410896"</f>
        <v>410896</v>
      </c>
      <c r="B7840" t="str">
        <f>"Pilot Indicator Lamp, Red, 19mm"</f>
        <v>Pilot Indicator Lamp, Red, 19mm</v>
      </c>
      <c r="C7840" t="str">
        <f>"New"</f>
        <v>New</v>
      </c>
    </row>
    <row r="7841" spans="1:3" ht="18" customHeight="1">
      <c r="A7841" t="str">
        <f>"410897"</f>
        <v>410897</v>
      </c>
      <c r="B7841" t="str">
        <f>"Illumilnated PushButton Red D=22mm"</f>
        <v>Illumilnated PushButton Red D=22mm</v>
      </c>
      <c r="C7841" t="str">
        <f t="shared" ref="C7841:C7848" si="294">"Active"</f>
        <v>Active</v>
      </c>
    </row>
    <row r="7842" spans="1:3" ht="18" customHeight="1">
      <c r="A7842" t="str">
        <f>"410898"</f>
        <v>410898</v>
      </c>
      <c r="B7842" t="str">
        <f>"Illumilnated PushButton Yellow D=22mm"</f>
        <v>Illumilnated PushButton Yellow D=22mm</v>
      </c>
      <c r="C7842" t="str">
        <f t="shared" si="294"/>
        <v>Active</v>
      </c>
    </row>
    <row r="7843" spans="1:3" ht="18" customHeight="1">
      <c r="A7843" t="str">
        <f>"410899"</f>
        <v>410899</v>
      </c>
      <c r="B7843" t="str">
        <f>"Illumilnated PushButton Green D=22mm"</f>
        <v>Illumilnated PushButton Green D=22mm</v>
      </c>
      <c r="C7843" t="str">
        <f t="shared" si="294"/>
        <v>Active</v>
      </c>
    </row>
    <row r="7844" spans="1:3" ht="18" customHeight="1">
      <c r="A7844" t="str">
        <f>"410900"</f>
        <v>410900</v>
      </c>
      <c r="B7844" t="str">
        <f>"Direct Fixing Block for TN2, Panel Mount, TN2-2"</f>
        <v>Direct Fixing Block for TN2, Panel Mount, TN2-2</v>
      </c>
      <c r="C7844" t="str">
        <f t="shared" si="294"/>
        <v>Active</v>
      </c>
    </row>
    <row r="7845" spans="1:3" ht="18" customHeight="1">
      <c r="A7845" t="str">
        <f>"410901"</f>
        <v>410901</v>
      </c>
      <c r="B7845" t="str">
        <f>"Bulb, LED, 24V, BA9, Red"</f>
        <v>Bulb, LED, 24V, BA9, Red</v>
      </c>
      <c r="C7845" t="str">
        <f t="shared" si="294"/>
        <v>Active</v>
      </c>
    </row>
    <row r="7846" spans="1:3" ht="18" customHeight="1">
      <c r="A7846" t="str">
        <f>"410902"</f>
        <v>410902</v>
      </c>
      <c r="B7846" t="str">
        <f>"Bulb, LED, 24V, BA9, Green"</f>
        <v>Bulb, LED, 24V, BA9, Green</v>
      </c>
      <c r="C7846" t="str">
        <f t="shared" si="294"/>
        <v>Active</v>
      </c>
    </row>
    <row r="7847" spans="1:3" ht="18" customHeight="1">
      <c r="A7847" t="str">
        <f>"410903"</f>
        <v>410903</v>
      </c>
      <c r="B7847" t="str">
        <f>"Bulb, LED, 24V, BA9, Yellow"</f>
        <v>Bulb, LED, 24V, BA9, Yellow</v>
      </c>
      <c r="C7847" t="str">
        <f t="shared" si="294"/>
        <v>Active</v>
      </c>
    </row>
    <row r="7848" spans="1:3" ht="18" customHeight="1">
      <c r="A7848" t="str">
        <f>"410904"</f>
        <v>410904</v>
      </c>
      <c r="B7848" t="str">
        <f>"NO Contact Block for TN2, TN2-A"</f>
        <v>NO Contact Block for TN2, TN2-A</v>
      </c>
      <c r="C7848" t="str">
        <f t="shared" si="294"/>
        <v>Active</v>
      </c>
    </row>
    <row r="7849" spans="1:3" ht="18" customHeight="1">
      <c r="A7849" t="str">
        <f>"411002"</f>
        <v>411002</v>
      </c>
      <c r="B7849" t="str">
        <f>"Buzzer, 3VDC, For Microscop' Table"</f>
        <v>Buzzer, 3VDC, For Microscop' Table</v>
      </c>
      <c r="C7849" t="str">
        <f>"ECO-N2Buy"</f>
        <v>ECO-N2Buy</v>
      </c>
    </row>
    <row r="7850" spans="1:3" ht="18" customHeight="1">
      <c r="A7850" t="str">
        <f>"411004"</f>
        <v>411004</v>
      </c>
      <c r="B7850" t="str">
        <f>"Buzzer, HPE-106A ,Promover, or SW12095-05"</f>
        <v>Buzzer, HPE-106A ,Promover, or SW12095-05</v>
      </c>
      <c r="C7850" t="str">
        <f>"Active"</f>
        <v>Active</v>
      </c>
    </row>
    <row r="7851" spans="1:3" ht="18" customHeight="1">
      <c r="A7851" t="str">
        <f>"411005"</f>
        <v>411005</v>
      </c>
      <c r="B7851" t="str">
        <f>"Buzzer, 12Vdc-HS-3612 or DB-E208"</f>
        <v>Buzzer, 12Vdc-HS-3612 or DB-E208</v>
      </c>
      <c r="C7851" t="str">
        <f>"Active"</f>
        <v>Active</v>
      </c>
    </row>
    <row r="7852" spans="1:3" ht="18" customHeight="1">
      <c r="A7852" t="str">
        <f>"411006"</f>
        <v>411006</v>
      </c>
      <c r="B7852" t="str">
        <f>"Buzzer, for panel 24VDC-400Hz"</f>
        <v>Buzzer, for panel 24VDC-400Hz</v>
      </c>
      <c r="C7852" t="str">
        <f>"Active"</f>
        <v>Active</v>
      </c>
    </row>
    <row r="7853" spans="1:3" ht="18" customHeight="1">
      <c r="A7853" t="str">
        <f>"411007"</f>
        <v>411007</v>
      </c>
      <c r="B7853" t="str">
        <f>"Buzzer HPE-1313065 Promover, or KTG1205CL"</f>
        <v>Buzzer HPE-1313065 Promover, or KTG1205CL</v>
      </c>
      <c r="C7853" t="str">
        <f>"Active"</f>
        <v>Active</v>
      </c>
    </row>
    <row r="7854" spans="1:3" ht="18" customHeight="1">
      <c r="A7854" t="str">
        <f>"411101"</f>
        <v>411101</v>
      </c>
      <c r="B7854" t="str">
        <f>"RFI Power Line Filter+Sw."</f>
        <v>RFI Power Line Filter+Sw.</v>
      </c>
      <c r="C7854" t="str">
        <f>"Active"</f>
        <v>Active</v>
      </c>
    </row>
    <row r="7855" spans="1:3" ht="18" customHeight="1">
      <c r="A7855" t="str">
        <f>"411106"</f>
        <v>411106</v>
      </c>
      <c r="B7855" t="str">
        <f>"Copper Foil Tape Shield with glue"</f>
        <v>Copper Foil Tape Shield with glue</v>
      </c>
      <c r="C7855" t="str">
        <f>"New"</f>
        <v>New</v>
      </c>
    </row>
    <row r="7856" spans="1:3" ht="18" customHeight="1">
      <c r="A7856" t="str">
        <f>"411108"</f>
        <v>411108</v>
      </c>
      <c r="B7856" t="str">
        <f>"EMI Shield-gasket 530mm-SCHLEGEL  E1219G 1x5mm"</f>
        <v>EMI Shield-gasket 530mm-SCHLEGEL  E1219G 1x5mm</v>
      </c>
      <c r="C7856" t="str">
        <f t="shared" ref="C7856:C7867" si="295">"Active"</f>
        <v>Active</v>
      </c>
    </row>
    <row r="7857" spans="1:3" ht="18" customHeight="1">
      <c r="A7857" t="str">
        <f>"411109"</f>
        <v>411109</v>
      </c>
      <c r="B7857" t="str">
        <f>"EMI Shield-gasket 195mm-SCHLEGEL  E1219G 1x5mm"</f>
        <v>EMI Shield-gasket 195mm-SCHLEGEL  E1219G 1x5mm</v>
      </c>
      <c r="C7857" t="str">
        <f t="shared" si="295"/>
        <v>Active</v>
      </c>
    </row>
    <row r="7858" spans="1:3" ht="18" customHeight="1">
      <c r="A7858" t="str">
        <f>"411113"</f>
        <v>411113</v>
      </c>
      <c r="B7858" t="str">
        <f>"RFI Pow.Input+Switch, 10A-10SS6-B1BSR-QBB"</f>
        <v>RFI Pow.Input+Switch, 10A-10SS6-B1BSR-QBB</v>
      </c>
      <c r="C7858" t="str">
        <f t="shared" si="295"/>
        <v>Active</v>
      </c>
    </row>
    <row r="7859" spans="1:3" ht="18" customHeight="1">
      <c r="A7859" t="str">
        <f>"411114"</f>
        <v>411114</v>
      </c>
      <c r="B7859" t="str">
        <f>"FERRITE SMD 0603,T-Y BK1608LM152"</f>
        <v>FERRITE SMD 0603,T-Y BK1608LM152</v>
      </c>
      <c r="C7859" t="str">
        <f t="shared" si="295"/>
        <v>Active</v>
      </c>
    </row>
    <row r="7860" spans="1:3" ht="18" customHeight="1">
      <c r="A7860" t="str">
        <f>"411116"</f>
        <v>411116</v>
      </c>
      <c r="B7860" t="str">
        <f>"FERRITE SMD 0805,T-Y BK2125HS101"</f>
        <v>FERRITE SMD 0805,T-Y BK2125HS101</v>
      </c>
      <c r="C7860" t="str">
        <f t="shared" si="295"/>
        <v>Active</v>
      </c>
    </row>
    <row r="7861" spans="1:3" ht="18" customHeight="1">
      <c r="A7861" t="str">
        <f>"411117"</f>
        <v>411117</v>
      </c>
      <c r="B7861" t="str">
        <f>"INDUCTOR SA1305-470M-BF-Mnf:Kitagawa SMD [RoHS]"</f>
        <v>INDUCTOR SA1305-470M-BF-Mnf:Kitagawa SMD [RoHS]</v>
      </c>
      <c r="C7861" t="str">
        <f t="shared" si="295"/>
        <v>Active</v>
      </c>
    </row>
    <row r="7862" spans="1:3" ht="18" customHeight="1">
      <c r="A7862" t="str">
        <f>"411118"</f>
        <v>411118</v>
      </c>
      <c r="B7862" t="str">
        <f>"INDUCTOR SA1305-100M-BF-Mnf:Kitagawa SMD [RoHS]"</f>
        <v>INDUCTOR SA1305-100M-BF-Mnf:Kitagawa SMD [RoHS]</v>
      </c>
      <c r="C7862" t="str">
        <f t="shared" si="295"/>
        <v>Active</v>
      </c>
    </row>
    <row r="7863" spans="1:3" ht="18" customHeight="1">
      <c r="A7863" t="str">
        <f>"411119"</f>
        <v>411119</v>
      </c>
      <c r="B7863" t="str">
        <f>"Inductor SA1305-680M-BF-Mnf:Kitagawa SMD [RoHS]"</f>
        <v>Inductor SA1305-680M-BF-Mnf:Kitagawa SMD [RoHS]</v>
      </c>
      <c r="C7863" t="str">
        <f t="shared" si="295"/>
        <v>Active</v>
      </c>
    </row>
    <row r="7864" spans="1:3" ht="18" customHeight="1">
      <c r="A7864" t="str">
        <f>"411120"</f>
        <v>411120</v>
      </c>
      <c r="B7864" t="str">
        <f>"Inductor SER1590-102MLB SMD, POWER"</f>
        <v>Inductor SER1590-102MLB SMD, POWER</v>
      </c>
      <c r="C7864" t="str">
        <f t="shared" si="295"/>
        <v>Active</v>
      </c>
    </row>
    <row r="7865" spans="1:3" ht="18" customHeight="1">
      <c r="A7865" t="str">
        <f>"411121"</f>
        <v>411121</v>
      </c>
      <c r="B7865" t="str">
        <f>"Inductor SA1305-101M-BF, Kitagawa, SMD [RoHS]"</f>
        <v>Inductor SA1305-101M-BF, Kitagawa, SMD [RoHS]</v>
      </c>
      <c r="C7865" t="str">
        <f t="shared" si="295"/>
        <v>Active</v>
      </c>
    </row>
    <row r="7866" spans="1:3" ht="18" customHeight="1">
      <c r="A7866" t="str">
        <f>"411122"</f>
        <v>411122</v>
      </c>
      <c r="B7866" t="str">
        <f>"Inductor COMM MODE. CM08RA-20,CM08RA-20 Dia.11mm"</f>
        <v>Inductor COMM MODE. CM08RA-20,CM08RA-20 Dia.11mm</v>
      </c>
      <c r="C7866" t="str">
        <f t="shared" si="295"/>
        <v>Active</v>
      </c>
    </row>
    <row r="7867" spans="1:3" ht="18" customHeight="1">
      <c r="A7867" t="str">
        <f>"411123"</f>
        <v>411123</v>
      </c>
      <c r="B7867" t="str">
        <f>"Inductor  PM2110-331K-RC, dig key , SMD [RoHS]"</f>
        <v>Inductor  PM2110-331K-RC, dig key , SMD [RoHS]</v>
      </c>
      <c r="C7867" t="str">
        <f t="shared" si="295"/>
        <v>Active</v>
      </c>
    </row>
    <row r="7868" spans="1:3" ht="18" customHeight="1">
      <c r="A7868" t="str">
        <f>"411124"</f>
        <v>411124</v>
      </c>
      <c r="B7868" t="str">
        <f>"IEC C19 Power Entry Receptacle (Screw-on)"</f>
        <v>IEC C19 Power Entry Receptacle (Screw-on)</v>
      </c>
      <c r="C7868" t="str">
        <f>"New"</f>
        <v>New</v>
      </c>
    </row>
    <row r="7869" spans="1:3" ht="18" customHeight="1">
      <c r="A7869" t="str">
        <f>"411125"</f>
        <v>411125</v>
      </c>
      <c r="B7869" t="str">
        <f>"AC Power Entry Module w/ 2-pole Fuseholder"</f>
        <v>AC Power Entry Module w/ 2-pole Fuseholder</v>
      </c>
      <c r="C7869" t="str">
        <f>"New"</f>
        <v>New</v>
      </c>
    </row>
    <row r="7870" spans="1:3" ht="18" customHeight="1">
      <c r="A7870" t="str">
        <f>"411126"</f>
        <v>411126</v>
      </c>
      <c r="B7870" t="str">
        <f>"Socket"</f>
        <v>Socket</v>
      </c>
      <c r="C7870" t="str">
        <f>"New"</f>
        <v>New</v>
      </c>
    </row>
    <row r="7871" spans="1:3" ht="18" customHeight="1">
      <c r="A7871" t="str">
        <f>"411201"</f>
        <v>411201</v>
      </c>
      <c r="B7871" t="str">
        <f>"Isolator, Gray for TO220"</f>
        <v>Isolator, Gray for TO220</v>
      </c>
      <c r="C7871" t="str">
        <f t="shared" ref="C7871:C7902" si="296">"Active"</f>
        <v>Active</v>
      </c>
    </row>
    <row r="7872" spans="1:3" ht="18" customHeight="1">
      <c r="A7872" t="str">
        <f>"411202"</f>
        <v>411202</v>
      </c>
      <c r="B7872" t="str">
        <f>"Isolator, Red, Spacer  TO220, d 3.1, D 3.5"</f>
        <v>Isolator, Red, Spacer  TO220, d 3.1, D 3.5</v>
      </c>
      <c r="C7872" t="str">
        <f t="shared" si="296"/>
        <v>Active</v>
      </c>
    </row>
    <row r="7873" spans="1:3" ht="18" customHeight="1">
      <c r="A7873" t="str">
        <f>"411203"</f>
        <v>411203</v>
      </c>
      <c r="B7873" t="str">
        <f>"Isolator,  TO5"</f>
        <v>Isolator,  TO5</v>
      </c>
      <c r="C7873" t="str">
        <f t="shared" si="296"/>
        <v>Active</v>
      </c>
    </row>
    <row r="7874" spans="1:3" ht="18" customHeight="1">
      <c r="A7874" t="str">
        <f>"411204"</f>
        <v>411204</v>
      </c>
      <c r="B7874" t="str">
        <f>"Insulator, With glue, NOMEX 0.38mm THK"</f>
        <v>Insulator, With glue, NOMEX 0.38mm THK</v>
      </c>
      <c r="C7874" t="str">
        <f t="shared" si="296"/>
        <v>Active</v>
      </c>
    </row>
    <row r="7875" spans="1:3" ht="18" customHeight="1">
      <c r="A7875" t="str">
        <f>"411301"</f>
        <v>411301</v>
      </c>
      <c r="B7875" t="str">
        <f>"Heat Shrinkable Tube,  Black, 2.4mm (3/32"")"</f>
        <v>Heat Shrinkable Tube,  Black, 2.4mm (3/32")</v>
      </c>
      <c r="C7875" t="str">
        <f t="shared" si="296"/>
        <v>Active</v>
      </c>
    </row>
    <row r="7876" spans="1:3" ht="18" customHeight="1">
      <c r="A7876" t="str">
        <f>"411302"</f>
        <v>411302</v>
      </c>
      <c r="B7876" t="str">
        <f>"Heat Shinkable Tube,  Black,  3.2mm (1/8"")"</f>
        <v>Heat Shinkable Tube,  Black,  3.2mm (1/8")</v>
      </c>
      <c r="C7876" t="str">
        <f t="shared" si="296"/>
        <v>Active</v>
      </c>
    </row>
    <row r="7877" spans="1:3" ht="18" customHeight="1">
      <c r="A7877" t="str">
        <f>"411303"</f>
        <v>411303</v>
      </c>
      <c r="B7877" t="str">
        <f>"Heat Shrinkable Tube,  Red,  3.2mm (1/8"")"</f>
        <v>Heat Shrinkable Tube,  Red,  3.2mm (1/8")</v>
      </c>
      <c r="C7877" t="str">
        <f t="shared" si="296"/>
        <v>Active</v>
      </c>
    </row>
    <row r="7878" spans="1:3" ht="18" customHeight="1">
      <c r="A7878" t="str">
        <f>"411304"</f>
        <v>411304</v>
      </c>
      <c r="B7878" t="str">
        <f>"Heat Shinkable Tube,  Black , 4.8mm (3/16"")"</f>
        <v>Heat Shinkable Tube,  Black , 4.8mm (3/16")</v>
      </c>
      <c r="C7878" t="str">
        <f t="shared" si="296"/>
        <v>Active</v>
      </c>
    </row>
    <row r="7879" spans="1:3" ht="18" customHeight="1">
      <c r="A7879" t="str">
        <f>"411305"</f>
        <v>411305</v>
      </c>
      <c r="B7879" t="str">
        <f>"Heat Shinkable Tube, Black,  6.35mm (1/4"")"</f>
        <v>Heat Shinkable Tube, Black,  6.35mm (1/4")</v>
      </c>
      <c r="C7879" t="str">
        <f t="shared" si="296"/>
        <v>Active</v>
      </c>
    </row>
    <row r="7880" spans="1:3" ht="18" customHeight="1">
      <c r="A7880" t="str">
        <f>"411306"</f>
        <v>411306</v>
      </c>
      <c r="B7880" t="str">
        <f>"Heat Shrinkable Tube, Black,12.7mm (1/2"")"</f>
        <v>Heat Shrinkable Tube, Black,12.7mm (1/2")</v>
      </c>
      <c r="C7880" t="str">
        <f t="shared" si="296"/>
        <v>Active</v>
      </c>
    </row>
    <row r="7881" spans="1:3" ht="18" customHeight="1">
      <c r="A7881" t="str">
        <f>"411307"</f>
        <v>411307</v>
      </c>
      <c r="B7881" t="str">
        <f>"Heat Shrinkable Tube, Black, 19.1mm (3/4"")"</f>
        <v>Heat Shrinkable Tube, Black, 19.1mm (3/4")</v>
      </c>
      <c r="C7881" t="str">
        <f t="shared" si="296"/>
        <v>Active</v>
      </c>
    </row>
    <row r="7882" spans="1:3" ht="18" customHeight="1">
      <c r="A7882" t="str">
        <f>"411308"</f>
        <v>411308</v>
      </c>
      <c r="B7882" t="str">
        <f>"Heat Shrinkable Tube, Black,  25.4mm (1"")"</f>
        <v>Heat Shrinkable Tube, Black,  25.4mm (1")</v>
      </c>
      <c r="C7882" t="str">
        <f t="shared" si="296"/>
        <v>Active</v>
      </c>
    </row>
    <row r="7883" spans="1:3" ht="18" customHeight="1">
      <c r="A7883" t="str">
        <f>"411309"</f>
        <v>411309</v>
      </c>
      <c r="B7883" t="str">
        <f>"Heat Shrinkable Tube, Black,  1.2mm (3/64"")"</f>
        <v>Heat Shrinkable Tube, Black,  1.2mm (3/64")</v>
      </c>
      <c r="C7883" t="str">
        <f t="shared" si="296"/>
        <v>Active</v>
      </c>
    </row>
    <row r="7884" spans="1:3" ht="18" customHeight="1">
      <c r="A7884" t="str">
        <f>"411310"</f>
        <v>411310</v>
      </c>
      <c r="B7884" t="str">
        <f>"Heat Shrinkable Tube, Black,      8  mm"</f>
        <v>Heat Shrinkable Tube, Black,      8  mm</v>
      </c>
      <c r="C7884" t="str">
        <f t="shared" si="296"/>
        <v>Active</v>
      </c>
    </row>
    <row r="7885" spans="1:3" ht="18" customHeight="1">
      <c r="A7885" t="str">
        <f>"411312"</f>
        <v>411312</v>
      </c>
      <c r="B7885" t="str">
        <f>"Heat Shrinkable Tube, Black,       9.5 mm (3/8"")"</f>
        <v>Heat Shrinkable Tube, Black,       9.5 mm (3/8")</v>
      </c>
      <c r="C7885" t="str">
        <f t="shared" si="296"/>
        <v>Active</v>
      </c>
    </row>
    <row r="7886" spans="1:3" ht="18" customHeight="1">
      <c r="A7886" t="str">
        <f>"411314"</f>
        <v>411314</v>
      </c>
      <c r="B7886" t="str">
        <f>"Heat Shrinkable Tube, Black,   38.1mm (1.5"")"</f>
        <v>Heat Shrinkable Tube, Black,   38.1mm (1.5")</v>
      </c>
      <c r="C7886" t="str">
        <f t="shared" si="296"/>
        <v>Active</v>
      </c>
    </row>
    <row r="7887" spans="1:3" ht="18" customHeight="1">
      <c r="A7887" t="str">
        <f>"411315"</f>
        <v>411315</v>
      </c>
      <c r="B7887" t="str">
        <f>"Heat Shinkable Tube, Black,  Glue 12.7mm (1/2"")"</f>
        <v>Heat Shinkable Tube, Black,  Glue 12.7mm (1/2")</v>
      </c>
      <c r="C7887" t="str">
        <f t="shared" si="296"/>
        <v>Active</v>
      </c>
    </row>
    <row r="7888" spans="1:3" ht="18" customHeight="1">
      <c r="A7888" t="str">
        <f>"411316"</f>
        <v>411316</v>
      </c>
      <c r="B7888" t="str">
        <f>"Heat Shinkable Tube, Red,    2.4mm (3/32"")"</f>
        <v>Heat Shinkable Tube, Red,    2.4mm (3/32")</v>
      </c>
      <c r="C7888" t="str">
        <f t="shared" si="296"/>
        <v>Active</v>
      </c>
    </row>
    <row r="7889" spans="1:3" ht="18" customHeight="1">
      <c r="A7889" t="str">
        <f>"411317"</f>
        <v>411317</v>
      </c>
      <c r="B7889" t="str">
        <f>"Heat Shrinkable Tube, Black,         3 mm"</f>
        <v>Heat Shrinkable Tube, Black,         3 mm</v>
      </c>
      <c r="C7889" t="str">
        <f t="shared" si="296"/>
        <v>Active</v>
      </c>
    </row>
    <row r="7890" spans="1:3" ht="18" customHeight="1">
      <c r="A7890" t="str">
        <f>"411318"</f>
        <v>411318</v>
      </c>
      <c r="B7890" t="str">
        <f>"Heat Shrinkable Tube, Black,      4.8 mm"</f>
        <v>Heat Shrinkable Tube, Black,      4.8 mm</v>
      </c>
      <c r="C7890" t="str">
        <f t="shared" si="296"/>
        <v>Active</v>
      </c>
    </row>
    <row r="7891" spans="1:3" ht="18" customHeight="1">
      <c r="A7891" t="str">
        <f>"411319"</f>
        <v>411319</v>
      </c>
      <c r="B7891" t="str">
        <f>"Heat ShinkableTube, Yel/Gr 3.5mm"</f>
        <v>Heat ShinkableTube, Yel/Gr 3.5mm</v>
      </c>
      <c r="C7891" t="str">
        <f t="shared" si="296"/>
        <v>Active</v>
      </c>
    </row>
    <row r="7892" spans="1:3" ht="18" customHeight="1">
      <c r="A7892" t="str">
        <f>"411403"</f>
        <v>411403</v>
      </c>
      <c r="B7892" t="str">
        <f>"Ring Cable Marking  D3.5-7mm, No. 1"</f>
        <v>Ring Cable Marking  D3.5-7mm, No. 1</v>
      </c>
      <c r="C7892" t="str">
        <f t="shared" si="296"/>
        <v>Active</v>
      </c>
    </row>
    <row r="7893" spans="1:3" ht="18" customHeight="1">
      <c r="A7893" t="str">
        <f>"411404"</f>
        <v>411404</v>
      </c>
      <c r="B7893" t="str">
        <f>"Ring Cable Marking  D3.5-7mm, No. 2"</f>
        <v>Ring Cable Marking  D3.5-7mm, No. 2</v>
      </c>
      <c r="C7893" t="str">
        <f t="shared" si="296"/>
        <v>Active</v>
      </c>
    </row>
    <row r="7894" spans="1:3" ht="18" customHeight="1">
      <c r="A7894" t="str">
        <f>"411405"</f>
        <v>411405</v>
      </c>
      <c r="B7894" t="str">
        <f>"Ring Cable Marking  D3.5-7mm, No. 3"</f>
        <v>Ring Cable Marking  D3.5-7mm, No. 3</v>
      </c>
      <c r="C7894" t="str">
        <f t="shared" si="296"/>
        <v>Active</v>
      </c>
    </row>
    <row r="7895" spans="1:3" ht="18" customHeight="1">
      <c r="A7895" t="str">
        <f>"411406"</f>
        <v>411406</v>
      </c>
      <c r="B7895" t="str">
        <f>"Ring Cable Marking  D3.5-7mm, No. 4"</f>
        <v>Ring Cable Marking  D3.5-7mm, No. 4</v>
      </c>
      <c r="C7895" t="str">
        <f t="shared" si="296"/>
        <v>Active</v>
      </c>
    </row>
    <row r="7896" spans="1:3" ht="18" customHeight="1">
      <c r="A7896" t="str">
        <f>"411407"</f>
        <v>411407</v>
      </c>
      <c r="B7896" t="str">
        <f>"Ring Cable Marking  D3.5-7mm, No. 5"</f>
        <v>Ring Cable Marking  D3.5-7mm, No. 5</v>
      </c>
      <c r="C7896" t="str">
        <f t="shared" si="296"/>
        <v>Active</v>
      </c>
    </row>
    <row r="7897" spans="1:3" ht="18" customHeight="1">
      <c r="A7897" t="str">
        <f>"411408"</f>
        <v>411408</v>
      </c>
      <c r="B7897" t="str">
        <f>"Ring Cable Marking  D3.5-7mm, No. 6"</f>
        <v>Ring Cable Marking  D3.5-7mm, No. 6</v>
      </c>
      <c r="C7897" t="str">
        <f t="shared" si="296"/>
        <v>Active</v>
      </c>
    </row>
    <row r="7898" spans="1:3" ht="18" customHeight="1">
      <c r="A7898" t="str">
        <f>"411409"</f>
        <v>411409</v>
      </c>
      <c r="B7898" t="str">
        <f>"Ring Cable Marking  D5.2-10mm, No. 1"</f>
        <v>Ring Cable Marking  D5.2-10mm, No. 1</v>
      </c>
      <c r="C7898" t="str">
        <f t="shared" si="296"/>
        <v>Active</v>
      </c>
    </row>
    <row r="7899" spans="1:3" ht="18" customHeight="1">
      <c r="A7899" t="str">
        <f>"411410"</f>
        <v>411410</v>
      </c>
      <c r="B7899" t="str">
        <f>"Ring Cable Marking  D5.2-10mm, No. 2"</f>
        <v>Ring Cable Marking  D5.2-10mm, No. 2</v>
      </c>
      <c r="C7899" t="str">
        <f t="shared" si="296"/>
        <v>Active</v>
      </c>
    </row>
    <row r="7900" spans="1:3" ht="18" customHeight="1">
      <c r="A7900" t="str">
        <f>"411411"</f>
        <v>411411</v>
      </c>
      <c r="B7900" t="str">
        <f>"Ring Cable Marking  D5.2-10mm, No. 3"</f>
        <v>Ring Cable Marking  D5.2-10mm, No. 3</v>
      </c>
      <c r="C7900" t="str">
        <f t="shared" si="296"/>
        <v>Active</v>
      </c>
    </row>
    <row r="7901" spans="1:3" ht="18" customHeight="1">
      <c r="A7901" t="str">
        <f>"411412"</f>
        <v>411412</v>
      </c>
      <c r="B7901" t="str">
        <f>"Ring Cable Marking  D5.2-10mm, No. 4"</f>
        <v>Ring Cable Marking  D5.2-10mm, No. 4</v>
      </c>
      <c r="C7901" t="str">
        <f t="shared" si="296"/>
        <v>Active</v>
      </c>
    </row>
    <row r="7902" spans="1:3" ht="18" customHeight="1">
      <c r="A7902" t="str">
        <f>"411413"</f>
        <v>411413</v>
      </c>
      <c r="B7902" t="str">
        <f>"Ring Cable Marking  D5.2-10mm, No. 5"</f>
        <v>Ring Cable Marking  D5.2-10mm, No. 5</v>
      </c>
      <c r="C7902" t="str">
        <f t="shared" si="296"/>
        <v>Active</v>
      </c>
    </row>
    <row r="7903" spans="1:3" ht="18" customHeight="1">
      <c r="A7903" t="str">
        <f>"411414"</f>
        <v>411414</v>
      </c>
      <c r="B7903" t="str">
        <f>"Ring Cable Marking  D5.2-10mm, No. 6"</f>
        <v>Ring Cable Marking  D5.2-10mm, No. 6</v>
      </c>
      <c r="C7903" t="str">
        <f t="shared" ref="C7903:C7934" si="297">"Active"</f>
        <v>Active</v>
      </c>
    </row>
    <row r="7904" spans="1:3" ht="18" customHeight="1">
      <c r="A7904" t="str">
        <f>"411415"</f>
        <v>411415</v>
      </c>
      <c r="B7904" t="str">
        <f>"Ring Cable Marking  D3-5.2mm, No. 1"</f>
        <v>Ring Cable Marking  D3-5.2mm, No. 1</v>
      </c>
      <c r="C7904" t="str">
        <f t="shared" si="297"/>
        <v>Active</v>
      </c>
    </row>
    <row r="7905" spans="1:3" ht="18" customHeight="1">
      <c r="A7905" t="str">
        <f>"411416"</f>
        <v>411416</v>
      </c>
      <c r="B7905" t="str">
        <f>"Ring Cable Marking  D3-5.2mm, No. 2"</f>
        <v>Ring Cable Marking  D3-5.2mm, No. 2</v>
      </c>
      <c r="C7905" t="str">
        <f t="shared" si="297"/>
        <v>Active</v>
      </c>
    </row>
    <row r="7906" spans="1:3" ht="18" customHeight="1">
      <c r="A7906" t="str">
        <f>"411417"</f>
        <v>411417</v>
      </c>
      <c r="B7906" t="str">
        <f>"Ring Cable Marking  D3-5.2mm, No. 3"</f>
        <v>Ring Cable Marking  D3-5.2mm, No. 3</v>
      </c>
      <c r="C7906" t="str">
        <f t="shared" si="297"/>
        <v>Active</v>
      </c>
    </row>
    <row r="7907" spans="1:3" ht="18" customHeight="1">
      <c r="A7907" t="str">
        <f>"411418"</f>
        <v>411418</v>
      </c>
      <c r="B7907" t="str">
        <f>"Ring Cable Marking  D3-5.2mm, No. 4"</f>
        <v>Ring Cable Marking  D3-5.2mm, No. 4</v>
      </c>
      <c r="C7907" t="str">
        <f t="shared" si="297"/>
        <v>Active</v>
      </c>
    </row>
    <row r="7908" spans="1:3" ht="18" customHeight="1">
      <c r="A7908" t="str">
        <f>"411419"</f>
        <v>411419</v>
      </c>
      <c r="B7908" t="str">
        <f>"Ring Cable Marking  D3-5.2mm, No. 5"</f>
        <v>Ring Cable Marking  D3-5.2mm, No. 5</v>
      </c>
      <c r="C7908" t="str">
        <f t="shared" si="297"/>
        <v>Active</v>
      </c>
    </row>
    <row r="7909" spans="1:3" ht="18" customHeight="1">
      <c r="A7909" t="str">
        <f>"411420"</f>
        <v>411420</v>
      </c>
      <c r="B7909" t="str">
        <f>"Ring Cable Marking  D3-5.2mm, No. 6"</f>
        <v>Ring Cable Marking  D3-5.2mm, No. 6</v>
      </c>
      <c r="C7909" t="str">
        <f t="shared" si="297"/>
        <v>Active</v>
      </c>
    </row>
    <row r="7910" spans="1:3" ht="18" customHeight="1">
      <c r="A7910" t="str">
        <f>"411421"</f>
        <v>411421</v>
      </c>
      <c r="B7910" t="str">
        <f>"Ring Cable Marking  D3-5.2mm, No. 7"</f>
        <v>Ring Cable Marking  D3-5.2mm, No. 7</v>
      </c>
      <c r="C7910" t="str">
        <f t="shared" si="297"/>
        <v>Active</v>
      </c>
    </row>
    <row r="7911" spans="1:3" ht="18" customHeight="1">
      <c r="A7911" t="str">
        <f>"411422"</f>
        <v>411422</v>
      </c>
      <c r="B7911" t="str">
        <f>"Ring Cable Marking  D3-5.2mm, No. 8"</f>
        <v>Ring Cable Marking  D3-5.2mm, No. 8</v>
      </c>
      <c r="C7911" t="str">
        <f t="shared" si="297"/>
        <v>Active</v>
      </c>
    </row>
    <row r="7912" spans="1:3" ht="18" customHeight="1">
      <c r="A7912" t="str">
        <f>"411426"</f>
        <v>411426</v>
      </c>
      <c r="B7912" t="str">
        <f>"Ring Cable Marking  D2-3.2mm, No. 1"</f>
        <v>Ring Cable Marking  D2-3.2mm, No. 1</v>
      </c>
      <c r="C7912" t="str">
        <f t="shared" si="297"/>
        <v>Active</v>
      </c>
    </row>
    <row r="7913" spans="1:3" ht="18" customHeight="1">
      <c r="A7913" t="str">
        <f>"411427"</f>
        <v>411427</v>
      </c>
      <c r="B7913" t="str">
        <f>"Ring Cable Marking  D2-3.2mm, No. 2"</f>
        <v>Ring Cable Marking  D2-3.2mm, No. 2</v>
      </c>
      <c r="C7913" t="str">
        <f t="shared" si="297"/>
        <v>Active</v>
      </c>
    </row>
    <row r="7914" spans="1:3" ht="18" customHeight="1">
      <c r="A7914" t="str">
        <f>"411430"</f>
        <v>411430</v>
      </c>
      <c r="B7914" t="str">
        <f>"2-3.2mm No. 5ם Cable Mark.Ring"</f>
        <v>2-3.2mm No. 5ם Cable Mark.Ring</v>
      </c>
      <c r="C7914" t="str">
        <f t="shared" si="297"/>
        <v>Active</v>
      </c>
    </row>
    <row r="7915" spans="1:3" ht="18" customHeight="1">
      <c r="A7915" t="str">
        <f>"411437"</f>
        <v>411437</v>
      </c>
      <c r="B7915" t="str">
        <f>"Ring Cable Marking  D5.2-10mm, No. 0"</f>
        <v>Ring Cable Marking  D5.2-10mm, No. 0</v>
      </c>
      <c r="C7915" t="str">
        <f t="shared" si="297"/>
        <v>Active</v>
      </c>
    </row>
    <row r="7916" spans="1:3" ht="18" customHeight="1">
      <c r="A7916" t="str">
        <f>"411438"</f>
        <v>411438</v>
      </c>
      <c r="B7916" t="str">
        <f>"Ring Cable Marking D3-5.2mm Letter. C - EC-1-C"</f>
        <v>Ring Cable Marking D3-5.2mm Letter. C - EC-1-C</v>
      </c>
      <c r="C7916" t="str">
        <f t="shared" si="297"/>
        <v>Active</v>
      </c>
    </row>
    <row r="7917" spans="1:3" ht="18" customHeight="1">
      <c r="A7917" t="str">
        <f>"411439"</f>
        <v>411439</v>
      </c>
      <c r="B7917" t="str">
        <f>"Ring Cable Marking  D3-5.2mm  Letter. O - EC-1-O"</f>
        <v>Ring Cable Marking  D3-5.2mm  Letter. O - EC-1-O</v>
      </c>
      <c r="C7917" t="str">
        <f t="shared" si="297"/>
        <v>Active</v>
      </c>
    </row>
    <row r="7918" spans="1:3" ht="18" customHeight="1">
      <c r="A7918" t="str">
        <f>"411440"</f>
        <v>411440</v>
      </c>
      <c r="B7918" t="str">
        <f>"Ring Cable Marking  D3-5.2mm Letter. M - EC-1-M"</f>
        <v>Ring Cable Marking  D3-5.2mm Letter. M - EC-1-M</v>
      </c>
      <c r="C7918" t="str">
        <f t="shared" si="297"/>
        <v>Active</v>
      </c>
    </row>
    <row r="7919" spans="1:3" ht="18" customHeight="1">
      <c r="A7919" t="str">
        <f>"411441"</f>
        <v>411441</v>
      </c>
      <c r="B7919" t="str">
        <f>"Ring Cable Marking for wire S=2.5-3mm² Sign""+"""</f>
        <v>Ring Cable Marking for wire S=2.5-3mm² Sign"+"</v>
      </c>
      <c r="C7919" t="str">
        <f t="shared" si="297"/>
        <v>Active</v>
      </c>
    </row>
    <row r="7920" spans="1:3" ht="18" customHeight="1">
      <c r="A7920" t="str">
        <f>"411442"</f>
        <v>411442</v>
      </c>
      <c r="B7920" t="str">
        <f>"Ring Cable Marking for wire S=2.5-3mm² Sign""-"""</f>
        <v>Ring Cable Marking for wire S=2.5-3mm² Sign"-"</v>
      </c>
      <c r="C7920" t="str">
        <f t="shared" si="297"/>
        <v>Active</v>
      </c>
    </row>
    <row r="7921" spans="1:3" ht="18" customHeight="1">
      <c r="A7921" t="str">
        <f>"411601"</f>
        <v>411601</v>
      </c>
      <c r="B7921" t="str">
        <f>"Wire Balden Black  20AWG 259x#44"</f>
        <v>Wire Balden Black  20AWG 259x#44</v>
      </c>
      <c r="C7921" t="str">
        <f t="shared" si="297"/>
        <v>Active</v>
      </c>
    </row>
    <row r="7922" spans="1:3" ht="18" customHeight="1">
      <c r="A7922" t="str">
        <f>"411602"</f>
        <v>411602</v>
      </c>
      <c r="B7922" t="str">
        <f>"Wire Balden Brown 20AWG 259x#44"</f>
        <v>Wire Balden Brown 20AWG 259x#44</v>
      </c>
      <c r="C7922" t="str">
        <f t="shared" si="297"/>
        <v>Active</v>
      </c>
    </row>
    <row r="7923" spans="1:3" ht="18" customHeight="1">
      <c r="A7923" t="str">
        <f>"411603"</f>
        <v>411603</v>
      </c>
      <c r="B7923" t="str">
        <f>"Wire Balden Red 20AWG 259x#44"</f>
        <v>Wire Balden Red 20AWG 259x#44</v>
      </c>
      <c r="C7923" t="str">
        <f t="shared" si="297"/>
        <v>Active</v>
      </c>
    </row>
    <row r="7924" spans="1:3" ht="18" customHeight="1">
      <c r="A7924" t="str">
        <f>"411604"</f>
        <v>411604</v>
      </c>
      <c r="B7924" t="str">
        <f>"Wire Balden Orange 20AWG 259x#44"</f>
        <v>Wire Balden Orange 20AWG 259x#44</v>
      </c>
      <c r="C7924" t="str">
        <f t="shared" si="297"/>
        <v>Active</v>
      </c>
    </row>
    <row r="7925" spans="1:3" ht="18" customHeight="1">
      <c r="A7925" t="str">
        <f>"411605"</f>
        <v>411605</v>
      </c>
      <c r="B7925" t="str">
        <f>"Wire Balden Yellow 20AWG 259x#44"</f>
        <v>Wire Balden Yellow 20AWG 259x#44</v>
      </c>
      <c r="C7925" t="str">
        <f t="shared" si="297"/>
        <v>Active</v>
      </c>
    </row>
    <row r="7926" spans="1:3" ht="18" customHeight="1">
      <c r="A7926" t="str">
        <f>"411606"</f>
        <v>411606</v>
      </c>
      <c r="B7926" t="str">
        <f>"Wire Balden Green 20AWG 259x#44"</f>
        <v>Wire Balden Green 20AWG 259x#44</v>
      </c>
      <c r="C7926" t="str">
        <f t="shared" si="297"/>
        <v>Active</v>
      </c>
    </row>
    <row r="7927" spans="1:3" ht="18" customHeight="1">
      <c r="A7927" t="str">
        <f>"411607"</f>
        <v>411607</v>
      </c>
      <c r="B7927" t="str">
        <f>"Wire Balden Lt.Blu 20AWG 259x#44"</f>
        <v>Wire Balden Lt.Blu 20AWG 259x#44</v>
      </c>
      <c r="C7927" t="str">
        <f t="shared" si="297"/>
        <v>Active</v>
      </c>
    </row>
    <row r="7928" spans="1:3" ht="18" customHeight="1">
      <c r="A7928" t="str">
        <f>"411611"</f>
        <v>411611</v>
      </c>
      <c r="B7928" t="str">
        <f>"Wire Balden Dk.Blu 20AWG 259x#44"</f>
        <v>Wire Balden Dk.Blu 20AWG 259x#44</v>
      </c>
      <c r="C7928" t="str">
        <f t="shared" si="297"/>
        <v>Active</v>
      </c>
    </row>
    <row r="7929" spans="1:3" ht="18" customHeight="1">
      <c r="A7929" t="str">
        <f>"411612"</f>
        <v>411612</v>
      </c>
      <c r="B7929" t="str">
        <f>"Wire Balden Gray 20AWG 259x#44"</f>
        <v>Wire Balden Gray 20AWG 259x#44</v>
      </c>
      <c r="C7929" t="str">
        <f t="shared" si="297"/>
        <v>Active</v>
      </c>
    </row>
    <row r="7930" spans="1:3" ht="18" customHeight="1">
      <c r="A7930" t="str">
        <f>"411615"</f>
        <v>411615</v>
      </c>
      <c r="B7930" t="str">
        <f>"Wire W104  (18AWG)- Black"</f>
        <v>Wire W104  (18AWG)- Black</v>
      </c>
      <c r="C7930" t="str">
        <f t="shared" si="297"/>
        <v>Active</v>
      </c>
    </row>
    <row r="7931" spans="1:3" ht="18" customHeight="1">
      <c r="A7931" t="str">
        <f>"411616"</f>
        <v>411616</v>
      </c>
      <c r="B7931" t="str">
        <f>"W104 Wire (18AWG)-Brown"</f>
        <v>W104 Wire (18AWG)-Brown</v>
      </c>
      <c r="C7931" t="str">
        <f t="shared" si="297"/>
        <v>Active</v>
      </c>
    </row>
    <row r="7932" spans="1:3" ht="18" customHeight="1">
      <c r="A7932" t="str">
        <f>"411617"</f>
        <v>411617</v>
      </c>
      <c r="B7932" t="str">
        <f>"Wire W104 (18AWG)- Red"</f>
        <v>Wire W104 (18AWG)- Red</v>
      </c>
      <c r="C7932" t="str">
        <f t="shared" si="297"/>
        <v>Active</v>
      </c>
    </row>
    <row r="7933" spans="1:3" ht="18" customHeight="1">
      <c r="A7933" t="str">
        <f>"411618"</f>
        <v>411618</v>
      </c>
      <c r="B7933" t="str">
        <f>"W104 Wire (18AWG)-Orange"</f>
        <v>W104 Wire (18AWG)-Orange</v>
      </c>
      <c r="C7933" t="str">
        <f t="shared" si="297"/>
        <v>Active</v>
      </c>
    </row>
    <row r="7934" spans="1:3" ht="18" customHeight="1">
      <c r="A7934" t="str">
        <f>"411619"</f>
        <v>411619</v>
      </c>
      <c r="B7934" t="str">
        <f>"Wire W104 (18AWG)- Yellow"</f>
        <v>Wire W104 (18AWG)- Yellow</v>
      </c>
      <c r="C7934" t="str">
        <f t="shared" si="297"/>
        <v>Active</v>
      </c>
    </row>
    <row r="7935" spans="1:3" ht="18" customHeight="1">
      <c r="A7935" t="str">
        <f>"411620"</f>
        <v>411620</v>
      </c>
      <c r="B7935" t="str">
        <f>"Wire W104 (18AWG)- Green"</f>
        <v>Wire W104 (18AWG)- Green</v>
      </c>
      <c r="C7935" t="str">
        <f t="shared" ref="C7935:C7966" si="298">"Active"</f>
        <v>Active</v>
      </c>
    </row>
    <row r="7936" spans="1:3" ht="18" customHeight="1">
      <c r="A7936" t="str">
        <f>"411621"</f>
        <v>411621</v>
      </c>
      <c r="B7936" t="str">
        <f>"W104 Wire (18AWG)-Blue"</f>
        <v>W104 Wire (18AWG)-Blue</v>
      </c>
      <c r="C7936" t="str">
        <f t="shared" si="298"/>
        <v>Active</v>
      </c>
    </row>
    <row r="7937" spans="1:3" ht="18" customHeight="1">
      <c r="A7937" t="str">
        <f>"411622"</f>
        <v>411622</v>
      </c>
      <c r="B7937" t="str">
        <f>"Wire W104 (18AWG)- Purple"</f>
        <v>Wire W104 (18AWG)- Purple</v>
      </c>
      <c r="C7937" t="str">
        <f t="shared" si="298"/>
        <v>Active</v>
      </c>
    </row>
    <row r="7938" spans="1:3" ht="18" customHeight="1">
      <c r="A7938" t="str">
        <f>"411623"</f>
        <v>411623</v>
      </c>
      <c r="B7938" t="str">
        <f>"Wire W104 (18AWG)- White"</f>
        <v>Wire W104 (18AWG)- White</v>
      </c>
      <c r="C7938" t="str">
        <f t="shared" si="298"/>
        <v>Active</v>
      </c>
    </row>
    <row r="7939" spans="1:3" ht="18" customHeight="1">
      <c r="A7939" t="str">
        <f>"411624"</f>
        <v>411624</v>
      </c>
      <c r="B7939" t="str">
        <f>"W104 Wire (18AWG)-Gray"</f>
        <v>W104 Wire (18AWG)-Gray</v>
      </c>
      <c r="C7939" t="str">
        <f t="shared" si="298"/>
        <v>Active</v>
      </c>
    </row>
    <row r="7940" spans="1:3" ht="18" customHeight="1">
      <c r="A7940" t="str">
        <f>"411625"</f>
        <v>411625</v>
      </c>
      <c r="B7940" t="str">
        <f>"Wire W103 (22AWG)- Black"</f>
        <v>Wire W103 (22AWG)- Black</v>
      </c>
      <c r="C7940" t="str">
        <f t="shared" si="298"/>
        <v>Active</v>
      </c>
    </row>
    <row r="7941" spans="1:3" ht="18" customHeight="1">
      <c r="A7941" t="str">
        <f>"411626"</f>
        <v>411626</v>
      </c>
      <c r="B7941" t="str">
        <f>"Wire W103 (22AWG)- Brown"</f>
        <v>Wire W103 (22AWG)- Brown</v>
      </c>
      <c r="C7941" t="str">
        <f t="shared" si="298"/>
        <v>Active</v>
      </c>
    </row>
    <row r="7942" spans="1:3" ht="18" customHeight="1">
      <c r="A7942" t="str">
        <f>"411627"</f>
        <v>411627</v>
      </c>
      <c r="B7942" t="str">
        <f>"Wire W103 (22AWG)- Red"</f>
        <v>Wire W103 (22AWG)- Red</v>
      </c>
      <c r="C7942" t="str">
        <f t="shared" si="298"/>
        <v>Active</v>
      </c>
    </row>
    <row r="7943" spans="1:3" ht="18" customHeight="1">
      <c r="A7943" t="str">
        <f>"411628"</f>
        <v>411628</v>
      </c>
      <c r="B7943" t="str">
        <f>"Wire W103 (22AWG)- Orange"</f>
        <v>Wire W103 (22AWG)- Orange</v>
      </c>
      <c r="C7943" t="str">
        <f t="shared" si="298"/>
        <v>Active</v>
      </c>
    </row>
    <row r="7944" spans="1:3" ht="18" customHeight="1">
      <c r="A7944" t="str">
        <f>"411629"</f>
        <v>411629</v>
      </c>
      <c r="B7944" t="str">
        <f>"Wire W103 (22AWG)- Yellow"</f>
        <v>Wire W103 (22AWG)- Yellow</v>
      </c>
      <c r="C7944" t="str">
        <f t="shared" si="298"/>
        <v>Active</v>
      </c>
    </row>
    <row r="7945" spans="1:3" ht="18" customHeight="1">
      <c r="A7945" t="str">
        <f>"411630"</f>
        <v>411630</v>
      </c>
      <c r="B7945" t="str">
        <f>"Wire W103 (22AWG)- Green"</f>
        <v>Wire W103 (22AWG)- Green</v>
      </c>
      <c r="C7945" t="str">
        <f t="shared" si="298"/>
        <v>Active</v>
      </c>
    </row>
    <row r="7946" spans="1:3" ht="18" customHeight="1">
      <c r="A7946" t="str">
        <f>"411631"</f>
        <v>411631</v>
      </c>
      <c r="B7946" t="str">
        <f>"Wire W103 (22AWG)- Blue"</f>
        <v>Wire W103 (22AWG)- Blue</v>
      </c>
      <c r="C7946" t="str">
        <f t="shared" si="298"/>
        <v>Active</v>
      </c>
    </row>
    <row r="7947" spans="1:3" ht="18" customHeight="1">
      <c r="A7947" t="str">
        <f>"411632"</f>
        <v>411632</v>
      </c>
      <c r="B7947" t="str">
        <f>"Wire W103 (22AWG)- White"</f>
        <v>Wire W103 (22AWG)- White</v>
      </c>
      <c r="C7947" t="str">
        <f t="shared" si="298"/>
        <v>Active</v>
      </c>
    </row>
    <row r="7948" spans="1:3" ht="18" customHeight="1">
      <c r="A7948" t="str">
        <f>"411633"</f>
        <v>411633</v>
      </c>
      <c r="B7948" t="str">
        <f>"Wire W103 (22AWG)- Purple"</f>
        <v>Wire W103 (22AWG)- Purple</v>
      </c>
      <c r="C7948" t="str">
        <f t="shared" si="298"/>
        <v>Active</v>
      </c>
    </row>
    <row r="7949" spans="1:3" ht="18" customHeight="1">
      <c r="A7949" t="str">
        <f>"411635"</f>
        <v>411635</v>
      </c>
      <c r="B7949" t="str">
        <f>"Flexible Wire  16 AWG Yellow/Green 600V"</f>
        <v>Flexible Wire  16 AWG Yellow/Green 600V</v>
      </c>
      <c r="C7949" t="str">
        <f t="shared" si="298"/>
        <v>Active</v>
      </c>
    </row>
    <row r="7950" spans="1:3" ht="18" customHeight="1">
      <c r="A7950" t="str">
        <f>"411636"</f>
        <v>411636</v>
      </c>
      <c r="B7950" t="str">
        <f>"Flexible Wire  Yellow/Green. 2.5mm‎ 750V"</f>
        <v>Flexible Wire  Yellow/Green. 2.5mm‎ 750V</v>
      </c>
      <c r="C7950" t="str">
        <f t="shared" si="298"/>
        <v>Active</v>
      </c>
    </row>
    <row r="7951" spans="1:3" ht="18" customHeight="1">
      <c r="A7951" t="str">
        <f>"411637"</f>
        <v>411637</v>
      </c>
      <c r="B7951" t="str">
        <f>"Flexible Wire  Yellow/Green. 6mm‎ 750V"</f>
        <v>Flexible Wire  Yellow/Green. 6mm‎ 750V</v>
      </c>
      <c r="C7951" t="str">
        <f t="shared" si="298"/>
        <v>Active</v>
      </c>
    </row>
    <row r="7952" spans="1:3" ht="18" customHeight="1">
      <c r="A7952" t="str">
        <f>"411641"</f>
        <v>411641</v>
      </c>
      <c r="B7952" t="str">
        <f>"Wire Short"</f>
        <v>Wire Short</v>
      </c>
      <c r="C7952" t="str">
        <f t="shared" si="298"/>
        <v>Active</v>
      </c>
    </row>
    <row r="7953" spans="1:3" ht="18" customHeight="1">
      <c r="A7953" t="str">
        <f>"411645"</f>
        <v>411645</v>
      </c>
      <c r="B7953" t="str">
        <f>"Wire 16 AWG brown 600V"</f>
        <v>Wire 16 AWG brown 600V</v>
      </c>
      <c r="C7953" t="str">
        <f t="shared" si="298"/>
        <v>Active</v>
      </c>
    </row>
    <row r="7954" spans="1:3" ht="18" customHeight="1">
      <c r="A7954" t="str">
        <f>"411646"</f>
        <v>411646</v>
      </c>
      <c r="B7954" t="str">
        <f>"Wire 16 AWG blue 600V"</f>
        <v>Wire 16 AWG blue 600V</v>
      </c>
      <c r="C7954" t="str">
        <f t="shared" si="298"/>
        <v>Active</v>
      </c>
    </row>
    <row r="7955" spans="1:3" ht="18" customHeight="1">
      <c r="A7955" t="str">
        <f>"411649"</f>
        <v>411649</v>
      </c>
      <c r="B7955" t="str">
        <f>"Wire, Red Banana Plug Each End, POMONA B-24-2"</f>
        <v>Wire, Red Banana Plug Each End, POMONA B-24-2</v>
      </c>
      <c r="C7955" t="str">
        <f t="shared" si="298"/>
        <v>Active</v>
      </c>
    </row>
    <row r="7956" spans="1:3" ht="18" customHeight="1">
      <c r="A7956" t="str">
        <f>"411650"</f>
        <v>411650</v>
      </c>
      <c r="B7956" t="str">
        <f>"Wire, Black, Banana Plug  End, POMONA B-24-0"</f>
        <v>Wire, Black, Banana Plug  End, POMONA B-24-0</v>
      </c>
      <c r="C7956" t="str">
        <f t="shared" si="298"/>
        <v>Active</v>
      </c>
    </row>
    <row r="7957" spans="1:3" ht="18" customHeight="1">
      <c r="A7957" t="str">
        <f>"411651"</f>
        <v>411651</v>
      </c>
      <c r="B7957" t="str">
        <f>"Wire, Gray, Banana Plug  End, POMONA B-24-8"</f>
        <v>Wire, Gray, Banana Plug  End, POMONA B-24-8</v>
      </c>
      <c r="C7957" t="str">
        <f t="shared" si="298"/>
        <v>Active</v>
      </c>
    </row>
    <row r="7958" spans="1:3" ht="18" customHeight="1">
      <c r="A7958" t="str">
        <f>"411652"</f>
        <v>411652</v>
      </c>
      <c r="B7958" t="str">
        <f>"Wire, Red, Banana Plug Each End, POMONA B-48-2"</f>
        <v>Wire, Red, Banana Plug Each End, POMONA B-48-2</v>
      </c>
      <c r="C7958" t="str">
        <f t="shared" si="298"/>
        <v>Active</v>
      </c>
    </row>
    <row r="7959" spans="1:3" ht="18" customHeight="1">
      <c r="A7959" t="str">
        <f>"411653"</f>
        <v>411653</v>
      </c>
      <c r="B7959" t="str">
        <f>"Wire, Black, Banana Plug Each End, POMONA B-48-0"</f>
        <v>Wire, Black, Banana Plug Each End, POMONA B-48-0</v>
      </c>
      <c r="C7959" t="str">
        <f t="shared" si="298"/>
        <v>Active</v>
      </c>
    </row>
    <row r="7960" spans="1:3" ht="18" customHeight="1">
      <c r="A7960" t="str">
        <f>"411654"</f>
        <v>411654</v>
      </c>
      <c r="B7960" t="str">
        <f>"Wire, Gray, Banana Plug Each End, POMONA B-48-8"</f>
        <v>Wire, Gray, Banana Plug Each End, POMONA B-48-8</v>
      </c>
      <c r="C7960" t="str">
        <f t="shared" si="298"/>
        <v>Active</v>
      </c>
    </row>
    <row r="7961" spans="1:3" ht="18" customHeight="1">
      <c r="A7961" t="str">
        <f>"411655"</f>
        <v>411655</v>
      </c>
      <c r="B7961" t="str">
        <f>"Cable, Fiber Optic Plastic, HP E89328A  AWM VW1"</f>
        <v>Cable, Fiber Optic Plastic, HP E89328A  AWM VW1</v>
      </c>
      <c r="C7961" t="str">
        <f t="shared" si="298"/>
        <v>Active</v>
      </c>
    </row>
    <row r="7962" spans="1:3" ht="18" customHeight="1">
      <c r="A7962" t="str">
        <f>"411658"</f>
        <v>411658</v>
      </c>
      <c r="B7962" t="str">
        <f>"4mm Banana Safety Cable, Red, 200mm"</f>
        <v>4mm Banana Safety Cable, Red, 200mm</v>
      </c>
      <c r="C7962" t="str">
        <f t="shared" si="298"/>
        <v>Active</v>
      </c>
    </row>
    <row r="7963" spans="1:3" ht="18" customHeight="1">
      <c r="A7963" t="str">
        <f>"411659"</f>
        <v>411659</v>
      </c>
      <c r="B7963" t="str">
        <f>"4mm Banana Safety Cable, Blue, 200mm"</f>
        <v>4mm Banana Safety Cable, Blue, 200mm</v>
      </c>
      <c r="C7963" t="str">
        <f t="shared" si="298"/>
        <v>Active</v>
      </c>
    </row>
    <row r="7964" spans="1:3" ht="18" customHeight="1">
      <c r="A7964" t="str">
        <f>"411660"</f>
        <v>411660</v>
      </c>
      <c r="B7964" t="str">
        <f>"4mm Banana Safety Cable, Black, 200mm"</f>
        <v>4mm Banana Safety Cable, Black, 200mm</v>
      </c>
      <c r="C7964" t="str">
        <f t="shared" si="298"/>
        <v>Active</v>
      </c>
    </row>
    <row r="7965" spans="1:3" ht="18" customHeight="1">
      <c r="A7965" t="str">
        <f>"411661"</f>
        <v>411661</v>
      </c>
      <c r="B7965" t="str">
        <f>"4mm Banana Safety Cable, Red, 400mm"</f>
        <v>4mm Banana Safety Cable, Red, 400mm</v>
      </c>
      <c r="C7965" t="str">
        <f t="shared" si="298"/>
        <v>Active</v>
      </c>
    </row>
    <row r="7966" spans="1:3" ht="18" customHeight="1">
      <c r="A7966" t="str">
        <f>"411662"</f>
        <v>411662</v>
      </c>
      <c r="B7966" t="str">
        <f>"4mm Banana Safety Cable, Blue, 400mm"</f>
        <v>4mm Banana Safety Cable, Blue, 400mm</v>
      </c>
      <c r="C7966" t="str">
        <f t="shared" si="298"/>
        <v>Active</v>
      </c>
    </row>
    <row r="7967" spans="1:3" ht="18" customHeight="1">
      <c r="A7967" t="str">
        <f>"411663"</f>
        <v>411663</v>
      </c>
      <c r="B7967" t="str">
        <f>"4mm Banana Safety Cable, Black, 400mm"</f>
        <v>4mm Banana Safety Cable, Black, 400mm</v>
      </c>
      <c r="C7967" t="str">
        <f t="shared" ref="C7967:C7983" si="299">"Active"</f>
        <v>Active</v>
      </c>
    </row>
    <row r="7968" spans="1:3" ht="18" customHeight="1">
      <c r="A7968" t="str">
        <f>"411664"</f>
        <v>411664</v>
      </c>
      <c r="B7968" t="str">
        <f>"4mm Banana Safety Cable, Red, 600mm"</f>
        <v>4mm Banana Safety Cable, Red, 600mm</v>
      </c>
      <c r="C7968" t="str">
        <f t="shared" si="299"/>
        <v>Active</v>
      </c>
    </row>
    <row r="7969" spans="1:3" ht="18" customHeight="1">
      <c r="A7969" t="str">
        <f>"411665"</f>
        <v>411665</v>
      </c>
      <c r="B7969" t="str">
        <f>"4mm Banana Safety Cable, Blue, 600mm"</f>
        <v>4mm Banana Safety Cable, Blue, 600mm</v>
      </c>
      <c r="C7969" t="str">
        <f t="shared" si="299"/>
        <v>Active</v>
      </c>
    </row>
    <row r="7970" spans="1:3" ht="18" customHeight="1">
      <c r="A7970" t="str">
        <f>"411666"</f>
        <v>411666</v>
      </c>
      <c r="B7970" t="str">
        <f>"4mm Banana Safety Cable, Black, 600mm"</f>
        <v>4mm Banana Safety Cable, Black, 600mm</v>
      </c>
      <c r="C7970" t="str">
        <f t="shared" si="299"/>
        <v>Active</v>
      </c>
    </row>
    <row r="7971" spans="1:3" ht="18" customHeight="1">
      <c r="A7971" t="str">
        <f>"411667"</f>
        <v>411667</v>
      </c>
      <c r="B7971" t="str">
        <f>"4mm Banana Safety Cable, Red, 1100mm"</f>
        <v>4mm Banana Safety Cable, Red, 1100mm</v>
      </c>
      <c r="C7971" t="str">
        <f t="shared" si="299"/>
        <v>Active</v>
      </c>
    </row>
    <row r="7972" spans="1:3" ht="18" customHeight="1">
      <c r="A7972" t="str">
        <f>"411668"</f>
        <v>411668</v>
      </c>
      <c r="B7972" t="str">
        <f>"4mm Banana Safety Cable, Blue, 1100mm"</f>
        <v>4mm Banana Safety Cable, Blue, 1100mm</v>
      </c>
      <c r="C7972" t="str">
        <f t="shared" si="299"/>
        <v>Active</v>
      </c>
    </row>
    <row r="7973" spans="1:3" ht="18" customHeight="1">
      <c r="A7973" t="str">
        <f>"411669"</f>
        <v>411669</v>
      </c>
      <c r="B7973" t="str">
        <f>"4mm Banana Safety Cable, Black, 1100mm"</f>
        <v>4mm Banana Safety Cable, Black, 1100mm</v>
      </c>
      <c r="C7973" t="str">
        <f t="shared" si="299"/>
        <v>Active</v>
      </c>
    </row>
    <row r="7974" spans="1:3" ht="18" customHeight="1">
      <c r="A7974" t="str">
        <f>"411800"</f>
        <v>411800</v>
      </c>
      <c r="B7974" t="str">
        <f>"Cable,  Flat40-Pin  Assy., USB-PRO Controller"</f>
        <v>Cable,  Flat40-Pin  Assy., USB-PRO Controller</v>
      </c>
      <c r="C7974" t="str">
        <f t="shared" si="299"/>
        <v>Active</v>
      </c>
    </row>
    <row r="7975" spans="1:3" ht="18" customHeight="1">
      <c r="A7975" t="str">
        <f>"411801"</f>
        <v>411801</v>
      </c>
      <c r="B7975" t="str">
        <f>"Cable, 2x25 Wires, Woven with 7 Strings"</f>
        <v>Cable, 2x25 Wires, Woven with 7 Strings</v>
      </c>
      <c r="C7975" t="str">
        <f t="shared" si="299"/>
        <v>Active</v>
      </c>
    </row>
    <row r="7976" spans="1:3" ht="18" customHeight="1">
      <c r="A7976" t="str">
        <f>"411802"</f>
        <v>411802</v>
      </c>
      <c r="B7976" t="str">
        <f>"Cable, Power American Black, 2m, 10A UL"</f>
        <v>Cable, Power American Black, 2m, 10A UL</v>
      </c>
      <c r="C7976" t="str">
        <f t="shared" si="299"/>
        <v>Active</v>
      </c>
    </row>
    <row r="7977" spans="1:3" ht="18" customHeight="1">
      <c r="A7977" t="str">
        <f>"411803"</f>
        <v>411803</v>
      </c>
      <c r="B7977" t="str">
        <f>"European Power cable 220 V"</f>
        <v>European Power cable 220 V</v>
      </c>
      <c r="C7977" t="str">
        <f t="shared" si="299"/>
        <v>Active</v>
      </c>
    </row>
    <row r="7978" spans="1:3" ht="18" customHeight="1">
      <c r="A7978" t="str">
        <f>"411804"</f>
        <v>411804</v>
      </c>
      <c r="B7978" t="str">
        <f>"Cable, Flat 14 Wire, Colored   28AWG"</f>
        <v>Cable, Flat 14 Wire, Colored   28AWG</v>
      </c>
      <c r="C7978" t="str">
        <f t="shared" si="299"/>
        <v>Active</v>
      </c>
    </row>
    <row r="7979" spans="1:3" ht="18" customHeight="1">
      <c r="A7979" t="str">
        <f>"411806"</f>
        <v>411806</v>
      </c>
      <c r="B7979" t="str">
        <f>"Flat Cable-40P ER5/7 Cont Gray 18cm     MB J13"</f>
        <v>Flat Cable-40P ER5/7 Cont Gray 18cm     MB J13</v>
      </c>
      <c r="C7979" t="str">
        <f t="shared" si="299"/>
        <v>Active</v>
      </c>
    </row>
    <row r="7980" spans="1:3" ht="18" customHeight="1">
      <c r="A7980" t="str">
        <f>"411807"</f>
        <v>411807</v>
      </c>
      <c r="B7980" t="str">
        <f>"Flat Cable-40P Contr.A Gray11cm  MB J10"</f>
        <v>Flat Cable-40P Contr.A Gray11cm  MB J10</v>
      </c>
      <c r="C7980" t="str">
        <f t="shared" si="299"/>
        <v>Active</v>
      </c>
    </row>
    <row r="7981" spans="1:3" ht="18" customHeight="1">
      <c r="A7981" t="str">
        <f>"411808"</f>
        <v>411808</v>
      </c>
      <c r="B7981" t="str">
        <f>"Flat Cable-40P Contr.A Gray28cm  MB J11"</f>
        <v>Flat Cable-40P Contr.A Gray28cm  MB J11</v>
      </c>
      <c r="C7981" t="str">
        <f t="shared" si="299"/>
        <v>Active</v>
      </c>
    </row>
    <row r="7982" spans="1:3" ht="18" customHeight="1">
      <c r="A7982" t="str">
        <f>"411812"</f>
        <v>411812</v>
      </c>
      <c r="B7982" t="str">
        <f>"Cable, Shield, 8 Wire,  Woven, d7mm (8X6005MA)"</f>
        <v>Cable, Shield, 8 Wire,  Woven, d7mm (8X6005MA)</v>
      </c>
      <c r="C7982" t="str">
        <f t="shared" si="299"/>
        <v>Active</v>
      </c>
    </row>
    <row r="7983" spans="1:3" ht="18" customHeight="1">
      <c r="A7983" t="str">
        <f>"411813"</f>
        <v>411813</v>
      </c>
      <c r="B7983" t="str">
        <f>"Cable, Telephone 6/6 Ivory,MLKVCT-6A(YS)"</f>
        <v>Cable, Telephone 6/6 Ivory,MLKVCT-6A(YS)</v>
      </c>
      <c r="C7983" t="str">
        <f t="shared" si="299"/>
        <v>Active</v>
      </c>
    </row>
    <row r="7984" spans="1:3" ht="18" customHeight="1">
      <c r="A7984" t="str">
        <f>"411814"</f>
        <v>411814</v>
      </c>
      <c r="B7984" t="str">
        <f>"Cable, 2 Wires Woven, Black/Black+ White"</f>
        <v>Cable, 2 Wires Woven, Black/Black+ White</v>
      </c>
      <c r="C7984" t="str">
        <f>"Phase Out"</f>
        <v>Phase Out</v>
      </c>
    </row>
    <row r="7985" spans="1:3" ht="18" customHeight="1">
      <c r="A7985" t="str">
        <f>"411816"</f>
        <v>411816</v>
      </c>
      <c r="B7985" t="str">
        <f>"Cable, Telephone 6/6 Ivory, DDK 285D-A66P-IV"</f>
        <v>Cable, Telephone 6/6 Ivory, DDK 285D-A66P-IV</v>
      </c>
      <c r="C7985" t="str">
        <f t="shared" ref="C7985:C7993" si="300">"Active"</f>
        <v>Active</v>
      </c>
    </row>
    <row r="7986" spans="1:3" ht="18" customHeight="1">
      <c r="A7986" t="str">
        <f>"411818"</f>
        <v>411818</v>
      </c>
      <c r="B7986" t="str">
        <f>"Cable, Communication -Gray, 2 Wire Shielded"</f>
        <v>Cable, Communication -Gray, 2 Wire Shielded</v>
      </c>
      <c r="C7986" t="str">
        <f t="shared" si="300"/>
        <v>Active</v>
      </c>
    </row>
    <row r="7987" spans="1:3" ht="18" customHeight="1">
      <c r="A7987" t="str">
        <f>"411823"</f>
        <v>411823</v>
      </c>
      <c r="B7987" t="str">
        <f>"Cable, 25 Wire, Gray, flex., 22AWG"</f>
        <v>Cable, 25 Wire, Gray, flex., 22AWG</v>
      </c>
      <c r="C7987" t="str">
        <f t="shared" si="300"/>
        <v>Active</v>
      </c>
    </row>
    <row r="7988" spans="1:3" ht="18" customHeight="1">
      <c r="A7988" t="str">
        <f>"411824"</f>
        <v>411824</v>
      </c>
      <c r="B7988" t="str">
        <f>"Cable, Shielded, 4 Wire 22AWG, Gray"</f>
        <v>Cable, Shielded, 4 Wire 22AWG, Gray</v>
      </c>
      <c r="C7988" t="str">
        <f t="shared" si="300"/>
        <v>Active</v>
      </c>
    </row>
    <row r="7989" spans="1:3" ht="18" customHeight="1">
      <c r="A7989" t="str">
        <f>"411826"</f>
        <v>411826</v>
      </c>
      <c r="B7989" t="str">
        <f>"Cable, Power Israeli, 2m UL"</f>
        <v>Cable, Power Israeli, 2m UL</v>
      </c>
      <c r="C7989" t="str">
        <f t="shared" si="300"/>
        <v>Active</v>
      </c>
    </row>
    <row r="7990" spans="1:3" ht="18" customHeight="1">
      <c r="A7990" t="str">
        <f>"411829"</f>
        <v>411829</v>
      </c>
      <c r="B7990" t="str">
        <f>"Cable, Electrical  5x1.5"</f>
        <v>Cable, Electrical  5x1.5</v>
      </c>
      <c r="C7990" t="str">
        <f t="shared" si="300"/>
        <v>Active</v>
      </c>
    </row>
    <row r="7991" spans="1:3" ht="18" customHeight="1">
      <c r="A7991" t="str">
        <f>"411832"</f>
        <v>411832</v>
      </c>
      <c r="B7991" t="str">
        <f>"Cable, HP ENCODER HEDS 8903 (300mm)"</f>
        <v>Cable, HP ENCODER HEDS 8903 (300mm)</v>
      </c>
      <c r="C7991" t="str">
        <f t="shared" si="300"/>
        <v>Active</v>
      </c>
    </row>
    <row r="7992" spans="1:3" ht="18" customHeight="1">
      <c r="A7992" t="str">
        <f>"411834"</f>
        <v>411834</v>
      </c>
      <c r="B7992" t="str">
        <f>"Cable, Electrical  3x1.5"</f>
        <v>Cable, Electrical  3x1.5</v>
      </c>
      <c r="C7992" t="str">
        <f t="shared" si="300"/>
        <v>Active</v>
      </c>
    </row>
    <row r="7993" spans="1:3" ht="18" customHeight="1">
      <c r="A7993" t="str">
        <f>"411836"</f>
        <v>411836</v>
      </c>
      <c r="B7993" t="str">
        <f>"Cable, Flat, R.F.C CONT.B&lt;&gt;I/O BOX, Citron"</f>
        <v>Cable, Flat, R.F.C CONT.B&lt;&gt;I/O BOX, Citron</v>
      </c>
      <c r="C7993" t="str">
        <f t="shared" si="300"/>
        <v>Active</v>
      </c>
    </row>
    <row r="7994" spans="1:3" ht="18" customHeight="1">
      <c r="A7994" t="str">
        <f>"411847"</f>
        <v>411847</v>
      </c>
      <c r="B7994" t="str">
        <f>"Cable, Communication For BarCod LS-1220, Symbol"</f>
        <v>Cable, Communication For BarCod LS-1220, Symbol</v>
      </c>
      <c r="C7994" t="str">
        <f>"ECO-N2Buy"</f>
        <v>ECO-N2Buy</v>
      </c>
    </row>
    <row r="7995" spans="1:3" ht="18" customHeight="1">
      <c r="A7995" t="str">
        <f>"411848"</f>
        <v>411848</v>
      </c>
      <c r="B7995" t="str">
        <f>"ALPHA 6024C 6x2x18AWG SHI ALPHA 6024C"</f>
        <v>ALPHA 6024C 6x2x18AWG SHI ALPHA 6024C</v>
      </c>
      <c r="C7995" t="str">
        <f t="shared" ref="C7995:C8012" si="301">"Active"</f>
        <v>Active</v>
      </c>
    </row>
    <row r="7996" spans="1:3" ht="18" customHeight="1">
      <c r="A7996" t="str">
        <f>"411849"</f>
        <v>411849</v>
      </c>
      <c r="B7996" t="str">
        <f>"ALPHA 5480/19C 19x2x24AWG ALPHA 5480/19C"</f>
        <v>ALPHA 5480/19C 19x2x24AWG ALPHA 5480/19C</v>
      </c>
      <c r="C7996" t="str">
        <f t="shared" si="301"/>
        <v>Active</v>
      </c>
    </row>
    <row r="7997" spans="1:3" ht="18" customHeight="1">
      <c r="A7997" t="str">
        <f>"411850"</f>
        <v>411850</v>
      </c>
      <c r="B7997" t="str">
        <f>"Cable, Robot, Shielded, 7 Wire- 850FD-CP 7x0.14"</f>
        <v>Cable, Robot, Shielded, 7 Wire- 850FD-CP 7x0.14</v>
      </c>
      <c r="C7997" t="str">
        <f t="shared" si="301"/>
        <v>Active</v>
      </c>
    </row>
    <row r="7998" spans="1:3" ht="18" customHeight="1">
      <c r="A7998" t="str">
        <f>"411851"</f>
        <v>411851</v>
      </c>
      <c r="B7998" t="str">
        <f>"Cable, Robot 5 Wire-Shielded, FD-CP 5x0.14"</f>
        <v>Cable, Robot 5 Wire-Shielded, FD-CP 5x0.14</v>
      </c>
      <c r="C7998" t="str">
        <f t="shared" si="301"/>
        <v>Active</v>
      </c>
    </row>
    <row r="7999" spans="1:3" ht="18" customHeight="1">
      <c r="A7999" t="str">
        <f>"411852"</f>
        <v>411852</v>
      </c>
      <c r="B7999" t="str">
        <f>"Cable, Robot 3 Wire-Shielded, FD-CP 3x0.14"</f>
        <v>Cable, Robot 3 Wire-Shielded, FD-CP 3x0.14</v>
      </c>
      <c r="C7999" t="str">
        <f t="shared" si="301"/>
        <v>Active</v>
      </c>
    </row>
    <row r="8000" spans="1:3" ht="18" customHeight="1">
      <c r="A8000" t="str">
        <f>"411857"</f>
        <v>411857</v>
      </c>
      <c r="B8000" t="str">
        <f>"Cable, DAIDEN RMFEV-SB 2x0.5mm, Shielded"</f>
        <v>Cable, DAIDEN RMFEV-SB 2x0.5mm, Shielded</v>
      </c>
      <c r="C8000" t="str">
        <f t="shared" si="301"/>
        <v>Active</v>
      </c>
    </row>
    <row r="8001" spans="1:3" ht="18" customHeight="1">
      <c r="A8001" t="str">
        <f>"411858"</f>
        <v>411858</v>
      </c>
      <c r="B8001" t="str">
        <f>"Cable, DAIDEN RMFEV-SB 5x0.2mm, Shielded"</f>
        <v>Cable, DAIDEN RMFEV-SB 5x0.2mm, Shielded</v>
      </c>
      <c r="C8001" t="str">
        <f t="shared" si="301"/>
        <v>Active</v>
      </c>
    </row>
    <row r="8002" spans="1:3" ht="18" customHeight="1">
      <c r="A8002" t="str">
        <f>"411861"</f>
        <v>411861</v>
      </c>
      <c r="B8002" t="str">
        <f>"Cable, telephone TPB, PCS-209R-6P6C,7M,26AWG"</f>
        <v>Cable, telephone TPB, PCS-209R-6P6C,7M,26AWG</v>
      </c>
      <c r="C8002" t="str">
        <f t="shared" si="301"/>
        <v>Active</v>
      </c>
    </row>
    <row r="8003" spans="1:3" ht="18" customHeight="1">
      <c r="A8003" t="str">
        <f>"411862"</f>
        <v>411862</v>
      </c>
      <c r="B8003" t="str">
        <f>"Cable, Flat flexible, Thecnor/Molex TN70-05QB"</f>
        <v>Cable, Flat flexible, Thecnor/Molex TN70-05QB</v>
      </c>
      <c r="C8003" t="str">
        <f t="shared" si="301"/>
        <v>Active</v>
      </c>
    </row>
    <row r="8004" spans="1:3" ht="18" customHeight="1">
      <c r="A8004" t="str">
        <f>"411863"</f>
        <v>411863</v>
      </c>
      <c r="B8004" t="str">
        <f>"Cable, Shielded, 4X2X22AWG"</f>
        <v>Cable, Shielded, 4X2X22AWG</v>
      </c>
      <c r="C8004" t="str">
        <f t="shared" si="301"/>
        <v>Active</v>
      </c>
    </row>
    <row r="8005" spans="1:3" ht="18" customHeight="1">
      <c r="A8005" t="str">
        <f>"411865"</f>
        <v>411865</v>
      </c>
      <c r="B8005" t="str">
        <f>"Cable, Flat -10 Wire, Colored  28AWG"</f>
        <v>Cable, Flat -10 Wire, Colored  28AWG</v>
      </c>
      <c r="C8005" t="str">
        <f t="shared" si="301"/>
        <v>Active</v>
      </c>
    </row>
    <row r="8006" spans="1:3" ht="18" customHeight="1">
      <c r="A8006" t="str">
        <f>"411866"</f>
        <v>411866</v>
      </c>
      <c r="B8006" t="str">
        <f>"Cable, Flat -50 Wire, D-type 50M &lt;=&gt; Header 50F"</f>
        <v>Cable, Flat -50 Wire, D-type 50M &lt;=&gt; Header 50F</v>
      </c>
      <c r="C8006" t="str">
        <f t="shared" si="301"/>
        <v>Active</v>
      </c>
    </row>
    <row r="8007" spans="1:3" ht="18" customHeight="1">
      <c r="A8007" t="str">
        <f>"411867"</f>
        <v>411867</v>
      </c>
      <c r="B8007" t="str">
        <f>"Cable, 20 Wire, Gray 22AWG"</f>
        <v>Cable, 20 Wire, Gray 22AWG</v>
      </c>
      <c r="C8007" t="str">
        <f t="shared" si="301"/>
        <v>Active</v>
      </c>
    </row>
    <row r="8008" spans="1:3" ht="18" customHeight="1">
      <c r="A8008" t="str">
        <f>"411869"</f>
        <v>411869</v>
      </c>
      <c r="B8008" t="str">
        <f>"Cable, DYPE&lt;&gt;HD62M, 28AWG, Twistd+Shiled Covers"</f>
        <v>Cable, DYPE&lt;&gt;HD62M, 28AWG, Twistd+Shiled Covers</v>
      </c>
      <c r="C8008" t="str">
        <f t="shared" si="301"/>
        <v>Active</v>
      </c>
    </row>
    <row r="8009" spans="1:3" ht="18" customHeight="1">
      <c r="A8009" t="str">
        <f>"411870"</f>
        <v>411870</v>
      </c>
      <c r="B8009" t="str">
        <f>"Cable, Flat, 9 Wire 280mm, D-type 9F&lt;&gt;Header 10F"</f>
        <v>Cable, Flat, 9 Wire 280mm, D-type 9F&lt;&gt;Header 10F</v>
      </c>
      <c r="C8009" t="str">
        <f t="shared" si="301"/>
        <v>Active</v>
      </c>
    </row>
    <row r="8010" spans="1:3" ht="18" customHeight="1">
      <c r="A8010" t="str">
        <f>"411872"</f>
        <v>411872</v>
      </c>
      <c r="B8010" t="str">
        <f>"Cable, Electrical White, 3 gid x2.5mm"</f>
        <v>Cable, Electrical White, 3 gid x2.5mm</v>
      </c>
      <c r="C8010" t="str">
        <f t="shared" si="301"/>
        <v>Active</v>
      </c>
    </row>
    <row r="8011" spans="1:3" ht="18" customHeight="1">
      <c r="A8011" t="str">
        <f>"411873"</f>
        <v>411873</v>
      </c>
      <c r="B8011" t="str">
        <f>"Cable, Electrical White, 5 gid x2.5 mm"</f>
        <v>Cable, Electrical White, 5 gid x2.5 mm</v>
      </c>
      <c r="C8011" t="str">
        <f t="shared" si="301"/>
        <v>Active</v>
      </c>
    </row>
    <row r="8012" spans="1:3" ht="18" customHeight="1">
      <c r="A8012" t="str">
        <f>"411875"</f>
        <v>411875</v>
      </c>
      <c r="B8012" t="str">
        <f>"Cable, Grounding For Weld, Orange,  d=16"</f>
        <v>Cable, Grounding For Weld, Orange,  d=16</v>
      </c>
      <c r="C8012" t="str">
        <f t="shared" si="301"/>
        <v>Active</v>
      </c>
    </row>
    <row r="8013" spans="1:3" ht="18" customHeight="1">
      <c r="A8013" t="str">
        <f>"411876"</f>
        <v>411876</v>
      </c>
      <c r="B8013" t="str">
        <f>"Cable, Communication, RS232 9M/9F  1.8 [m]"</f>
        <v>Cable, Communication, RS232 9M/9F  1.8 [m]</v>
      </c>
      <c r="C8013" t="str">
        <f>"ECO-N2Buy"</f>
        <v>ECO-N2Buy</v>
      </c>
    </row>
    <row r="8014" spans="1:3" ht="18" customHeight="1">
      <c r="A8014" t="str">
        <f>"411881"</f>
        <v>411881</v>
      </c>
      <c r="B8014" t="str">
        <f>"Cable, Flat for ER-4U Cont., 28AWG,60pins, 10cm"</f>
        <v>Cable, Flat for ER-4U Cont., 28AWG,60pins, 10cm</v>
      </c>
      <c r="C8014" t="str">
        <f t="shared" ref="C8014:C8045" si="302">"Active"</f>
        <v>Active</v>
      </c>
    </row>
    <row r="8015" spans="1:3" ht="18" customHeight="1">
      <c r="A8015" t="str">
        <f>"411882"</f>
        <v>411882</v>
      </c>
      <c r="B8015" t="str">
        <f>"Cable, Flat for ER-4U Cont., 40pins, 10cm"</f>
        <v>Cable, Flat for ER-4U Cont., 40pins, 10cm</v>
      </c>
      <c r="C8015" t="str">
        <f t="shared" si="302"/>
        <v>Active</v>
      </c>
    </row>
    <row r="8016" spans="1:3" ht="18" customHeight="1">
      <c r="A8016" t="str">
        <f>"411883"</f>
        <v>411883</v>
      </c>
      <c r="B8016" t="str">
        <f>"Cable USB 2.0 High speed UL only, 5m Chingling"</f>
        <v>Cable USB 2.0 High speed UL only, 5m Chingling</v>
      </c>
      <c r="C8016" t="str">
        <f t="shared" si="302"/>
        <v>Active</v>
      </c>
    </row>
    <row r="8017" spans="1:3" ht="18" customHeight="1">
      <c r="A8017" t="str">
        <f>"411888"</f>
        <v>411888</v>
      </c>
      <c r="B8017" t="str">
        <f>"Cable, Communication RS232, MicrologixA/B 1000"</f>
        <v>Cable, Communication RS232, MicrologixA/B 1000</v>
      </c>
      <c r="C8017" t="str">
        <f t="shared" si="302"/>
        <v>Active</v>
      </c>
    </row>
    <row r="8018" spans="1:3" ht="18" customHeight="1">
      <c r="A8018" t="str">
        <f>"411890"</f>
        <v>411890</v>
      </c>
      <c r="B8018" t="str">
        <f>"Cable, Communication  RS232A, USB/Serial"</f>
        <v>Cable, Communication  RS232A, USB/Serial</v>
      </c>
      <c r="C8018" t="str">
        <f t="shared" si="302"/>
        <v>Active</v>
      </c>
    </row>
    <row r="8019" spans="1:3" ht="18" customHeight="1">
      <c r="A8019" t="str">
        <f>"411891"</f>
        <v>411891</v>
      </c>
      <c r="B8019" t="str">
        <f>"Cable, 2 wires 1.5M with Round Plug 2.1x5.5x11mm"</f>
        <v>Cable, 2 wires 1.5M with Round Plug 2.1x5.5x11mm</v>
      </c>
      <c r="C8019" t="str">
        <f t="shared" si="302"/>
        <v>Active</v>
      </c>
    </row>
    <row r="8020" spans="1:3" ht="18" customHeight="1">
      <c r="A8020" t="str">
        <f>"411892"</f>
        <v>411892</v>
      </c>
      <c r="B8020" t="str">
        <f>"USB Extension Cable, shielded, A(M) A(F), 1.5M"</f>
        <v>USB Extension Cable, shielded, A(M) A(F), 1.5M</v>
      </c>
      <c r="C8020" t="str">
        <f t="shared" si="302"/>
        <v>Active</v>
      </c>
    </row>
    <row r="8021" spans="1:3" ht="18" customHeight="1">
      <c r="A8021" t="str">
        <f>"411893"</f>
        <v>411893</v>
      </c>
      <c r="B8021" t="str">
        <f>"Shielded CommunicationCab 68Pin,1m,d=9,PCL-10168"</f>
        <v>Shielded CommunicationCab 68Pin,1m,d=9,PCL-10168</v>
      </c>
      <c r="C8021" t="str">
        <f t="shared" si="302"/>
        <v>Active</v>
      </c>
    </row>
    <row r="8022" spans="1:3" ht="18" customHeight="1">
      <c r="A8022" t="str">
        <f>"411895"</f>
        <v>411895</v>
      </c>
      <c r="B8022" t="str">
        <f>"Cable, SIEMENS 10m, 3RX8000-0CB42-1AL0"</f>
        <v>Cable, SIEMENS 10m, 3RX8000-0CB42-1AL0</v>
      </c>
      <c r="C8022" t="str">
        <f t="shared" si="302"/>
        <v>Active</v>
      </c>
    </row>
    <row r="8023" spans="1:3" ht="18" customHeight="1">
      <c r="A8023" t="str">
        <f>"411896"</f>
        <v>411896</v>
      </c>
      <c r="B8023" t="str">
        <f>"Cable, Power For Motor SGMAH, L=1.8m, YET 004216"</f>
        <v>Cable, Power For Motor SGMAH, L=1.8m, YET 004216</v>
      </c>
      <c r="C8023" t="str">
        <f t="shared" si="302"/>
        <v>Active</v>
      </c>
    </row>
    <row r="8024" spans="1:3" ht="18" customHeight="1">
      <c r="A8024" t="str">
        <f>"411897"</f>
        <v>411897</v>
      </c>
      <c r="B8024" t="str">
        <f>"Cable, Encoder to Motor SGMAH, L=1.8m, YET004141"</f>
        <v>Cable, Encoder to Motor SGMAH, L=1.8m, YET004141</v>
      </c>
      <c r="C8024" t="str">
        <f t="shared" si="302"/>
        <v>Active</v>
      </c>
    </row>
    <row r="8025" spans="1:3" ht="18" customHeight="1">
      <c r="A8025" t="str">
        <f>"411898"</f>
        <v>411898</v>
      </c>
      <c r="B8025" t="str">
        <f>"Cable, I/O 50-Pin for XD, L=1.5m, YET 004219"</f>
        <v>Cable, I/O 50-Pin for XD, L=1.5m, YET 004219</v>
      </c>
      <c r="C8025" t="str">
        <f t="shared" si="302"/>
        <v>Active</v>
      </c>
    </row>
    <row r="8026" spans="1:3" ht="18" customHeight="1">
      <c r="A8026" t="str">
        <f>"411899"</f>
        <v>411899</v>
      </c>
      <c r="B8026" t="str">
        <f>"Cable, Comm. PC-XD, RS422 L=5m, YET 004239"</f>
        <v>Cable, Comm. PC-XD, RS422 L=5m, YET 004239</v>
      </c>
      <c r="C8026" t="str">
        <f t="shared" si="302"/>
        <v>Active</v>
      </c>
    </row>
    <row r="8027" spans="1:3" ht="18" customHeight="1">
      <c r="A8027" t="str">
        <f>"411900"</f>
        <v>411900</v>
      </c>
      <c r="B8027" t="str">
        <f>"Cable, Power, US Plug to C13, 3m"</f>
        <v>Cable, Power, US Plug to C13, 3m</v>
      </c>
      <c r="C8027" t="str">
        <f t="shared" si="302"/>
        <v>Active</v>
      </c>
    </row>
    <row r="8028" spans="1:3" ht="18" customHeight="1">
      <c r="A8028" t="str">
        <f>"411901"</f>
        <v>411901</v>
      </c>
      <c r="B8028" t="str">
        <f>"Cable, Power For Motor SGMAH, 5m  YC0072"</f>
        <v>Cable, Power For Motor SGMAH, 5m  YC0072</v>
      </c>
      <c r="C8028" t="str">
        <f t="shared" si="302"/>
        <v>Active</v>
      </c>
    </row>
    <row r="8029" spans="1:3" ht="18" customHeight="1">
      <c r="A8029" t="str">
        <f>"411902"</f>
        <v>411902</v>
      </c>
      <c r="B8029" t="str">
        <f>"Cable, Encoder For Motor SGMAH, 5m ENC-CBL-05AH"</f>
        <v>Cable, Encoder For Motor SGMAH, 5m ENC-CBL-05AH</v>
      </c>
      <c r="C8029" t="str">
        <f t="shared" si="302"/>
        <v>Active</v>
      </c>
    </row>
    <row r="8030" spans="1:3" ht="18" customHeight="1">
      <c r="A8030" t="str">
        <f>"411904"</f>
        <v>411904</v>
      </c>
      <c r="B8030" t="str">
        <f>"Cable 36 gid for I/O Box, YET P/N 004225"</f>
        <v>Cable 36 gid for I/O Box, YET P/N 004225</v>
      </c>
      <c r="C8030" t="str">
        <f t="shared" si="302"/>
        <v>Active</v>
      </c>
    </row>
    <row r="8031" spans="1:3" ht="18" customHeight="1">
      <c r="A8031" t="str">
        <f>"411905"</f>
        <v>411905</v>
      </c>
      <c r="B8031" t="str">
        <f>"Cable, USB 3m full Speed UL, type A-A, 2 FERRITE"</f>
        <v>Cable, USB 3m full Speed UL, type A-A, 2 FERRITE</v>
      </c>
      <c r="C8031" t="str">
        <f t="shared" si="302"/>
        <v>Active</v>
      </c>
    </row>
    <row r="8032" spans="1:3" ht="18" customHeight="1">
      <c r="A8032" t="str">
        <f>"411906"</f>
        <v>411906</v>
      </c>
      <c r="B8032" t="str">
        <f>"Cable, Communication RS-232, ER-400, D9+411907"</f>
        <v>Cable, Communication RS-232, ER-400, D9+411907</v>
      </c>
      <c r="C8032" t="str">
        <f t="shared" si="302"/>
        <v>Active</v>
      </c>
    </row>
    <row r="8033" spans="1:3" ht="18" customHeight="1">
      <c r="A8033" t="str">
        <f>"411907"</f>
        <v>411907</v>
      </c>
      <c r="B8033" t="str">
        <f>"Cable,  Extension STEREO  for AGV"</f>
        <v>Cable,  Extension STEREO  for AGV</v>
      </c>
      <c r="C8033" t="str">
        <f t="shared" si="302"/>
        <v>Active</v>
      </c>
    </row>
    <row r="8034" spans="1:3" ht="18" customHeight="1">
      <c r="A8034" t="str">
        <f>"411908"</f>
        <v>411908</v>
      </c>
      <c r="B8034" t="str">
        <f>"Power cable for AutoAg. 6x22AWG, AF106F90,6x6005"</f>
        <v>Power cable for AutoAg. 6x22AWG, AF106F90,6x6005</v>
      </c>
      <c r="C8034" t="str">
        <f t="shared" si="302"/>
        <v>Active</v>
      </c>
    </row>
    <row r="8035" spans="1:3" ht="18" customHeight="1">
      <c r="A8035" t="str">
        <f>"411909"</f>
        <v>411909</v>
      </c>
      <c r="B8035" t="str">
        <f>"Control cable - AutoAgronom 9x75mm with numbers"</f>
        <v>Control cable - AutoAgronom 9x75mm with numbers</v>
      </c>
      <c r="C8035" t="str">
        <f t="shared" si="302"/>
        <v>Active</v>
      </c>
    </row>
    <row r="8036" spans="1:3" ht="18" customHeight="1">
      <c r="A8036" t="str">
        <f>"411910"</f>
        <v>411910</v>
      </c>
      <c r="B8036" t="str">
        <f>"Cable Transformer AAG  for Israel"</f>
        <v>Cable Transformer AAG  for Israel</v>
      </c>
      <c r="C8036" t="str">
        <f t="shared" si="302"/>
        <v>Active</v>
      </c>
    </row>
    <row r="8037" spans="1:3" ht="18" customHeight="1">
      <c r="A8037" t="str">
        <f>"411911"</f>
        <v>411911</v>
      </c>
      <c r="B8037" t="str">
        <f>"Cable Transformer AAG  for USA"</f>
        <v>Cable Transformer AAG  for USA</v>
      </c>
      <c r="C8037" t="str">
        <f t="shared" si="302"/>
        <v>Active</v>
      </c>
    </row>
    <row r="8038" spans="1:3" ht="18" customHeight="1">
      <c r="A8038" t="str">
        <f>"411912"</f>
        <v>411912</v>
      </c>
      <c r="B8038" t="str">
        <f>"Cable Transformer AAG  for Europe"</f>
        <v>Cable Transformer AAG  for Europe</v>
      </c>
      <c r="C8038" t="str">
        <f t="shared" si="302"/>
        <v>Active</v>
      </c>
    </row>
    <row r="8039" spans="1:3" ht="18" customHeight="1">
      <c r="A8039" t="str">
        <f>"411913"</f>
        <v>411913</v>
      </c>
      <c r="B8039" t="str">
        <f>"Height Sensor Cable 300-6038-00, Solido"</f>
        <v>Height Sensor Cable 300-6038-00, Solido</v>
      </c>
      <c r="C8039" t="str">
        <f t="shared" si="302"/>
        <v>Active</v>
      </c>
    </row>
    <row r="8040" spans="1:3" ht="18" customHeight="1">
      <c r="A8040" t="str">
        <f>"411914"</f>
        <v>411914</v>
      </c>
      <c r="B8040" t="str">
        <f>"S-Video to S-Video or RCA to RCA - 5m cable"</f>
        <v>S-Video to S-Video or RCA to RCA - 5m cable</v>
      </c>
      <c r="C8040" t="str">
        <f t="shared" si="302"/>
        <v>Active</v>
      </c>
    </row>
    <row r="8041" spans="1:3" ht="18" customHeight="1">
      <c r="A8041" t="str">
        <f>"411915"</f>
        <v>411915</v>
      </c>
      <c r="B8041" t="str">
        <f>"TCP IP Crossing Cable 5M Red"</f>
        <v>TCP IP Crossing Cable 5M Red</v>
      </c>
      <c r="C8041" t="str">
        <f t="shared" si="302"/>
        <v>Active</v>
      </c>
    </row>
    <row r="8042" spans="1:3" ht="18" customHeight="1">
      <c r="A8042" t="str">
        <f>"411916"</f>
        <v>411916</v>
      </c>
      <c r="B8042" t="str">
        <f>"Cable for Programming Pendant NXC100"</f>
        <v>Cable for Programming Pendant NXC100</v>
      </c>
      <c r="C8042" t="str">
        <f t="shared" si="302"/>
        <v>Active</v>
      </c>
    </row>
    <row r="8043" spans="1:3" ht="18" customHeight="1">
      <c r="A8043" t="str">
        <f>"411917"</f>
        <v>411917</v>
      </c>
      <c r="B8043" t="str">
        <f>"Communication cable USB to Micro USB"</f>
        <v>Communication cable USB to Micro USB</v>
      </c>
      <c r="C8043" t="str">
        <f t="shared" si="302"/>
        <v>Active</v>
      </c>
    </row>
    <row r="8044" spans="1:3" ht="18" customHeight="1">
      <c r="A8044" t="str">
        <f>"411918"</f>
        <v>411918</v>
      </c>
      <c r="B8044" t="str">
        <f>"Power Cord, C20 to C19, IS-018"</f>
        <v>Power Cord, C20 to C19, IS-018</v>
      </c>
      <c r="C8044" t="str">
        <f t="shared" si="302"/>
        <v>Active</v>
      </c>
    </row>
    <row r="8045" spans="1:3" ht="18" customHeight="1">
      <c r="A8045" t="str">
        <f>"411919"</f>
        <v>411919</v>
      </c>
      <c r="B8045" t="str">
        <f>"Network cable CAT6 shielded, 0.5M"</f>
        <v>Network cable CAT6 shielded, 0.5M</v>
      </c>
      <c r="C8045" t="str">
        <f t="shared" si="302"/>
        <v>Active</v>
      </c>
    </row>
    <row r="8046" spans="1:3" ht="18" customHeight="1">
      <c r="A8046" t="str">
        <f>"411920"</f>
        <v>411920</v>
      </c>
      <c r="B8046" t="str">
        <f>"USB 2.0 Ethernet Adapter"</f>
        <v>USB 2.0 Ethernet Adapter</v>
      </c>
      <c r="C8046" t="str">
        <f t="shared" ref="C8046:C8077" si="303">"Active"</f>
        <v>Active</v>
      </c>
    </row>
    <row r="8047" spans="1:3" ht="18" customHeight="1">
      <c r="A8047" t="str">
        <f>"411921"</f>
        <v>411921</v>
      </c>
      <c r="B8047" t="str">
        <f>"Network cable CAT5e/CAT6, 0.3M"</f>
        <v>Network cable CAT5e/CAT6, 0.3M</v>
      </c>
      <c r="C8047" t="str">
        <f t="shared" si="303"/>
        <v>Active</v>
      </c>
    </row>
    <row r="8048" spans="1:3" ht="18" customHeight="1">
      <c r="A8048" t="str">
        <f>"411922"</f>
        <v>411922</v>
      </c>
      <c r="B8048" t="str">
        <f>"Network cable CAT5e/CAT6, 1.5M"</f>
        <v>Network cable CAT5e/CAT6, 1.5M</v>
      </c>
      <c r="C8048" t="str">
        <f t="shared" si="303"/>
        <v>Active</v>
      </c>
    </row>
    <row r="8049" spans="1:3" ht="18" customHeight="1">
      <c r="A8049" t="str">
        <f>"412001"</f>
        <v>412001</v>
      </c>
      <c r="B8049" t="str">
        <f>"Connector, 2M 0.100"", Molex 6410-2"</f>
        <v>Connector, 2M 0.100", Molex 6410-2</v>
      </c>
      <c r="C8049" t="str">
        <f t="shared" si="303"/>
        <v>Active</v>
      </c>
    </row>
    <row r="8050" spans="1:3" ht="18" customHeight="1">
      <c r="A8050" t="str">
        <f>"412002"</f>
        <v>412002</v>
      </c>
      <c r="B8050" t="str">
        <f>"Connector, 3M 0.100""  90 , Molex 7478-3A"</f>
        <v>Connector, 3M 0.100"  90 , Molex 7478-3A</v>
      </c>
      <c r="C8050" t="str">
        <f t="shared" si="303"/>
        <v>Active</v>
      </c>
    </row>
    <row r="8051" spans="1:3" ht="18" customHeight="1">
      <c r="A8051" t="str">
        <f>"412003"</f>
        <v>412003</v>
      </c>
      <c r="B8051" t="str">
        <f>"Connector, 4M 0.100"""</f>
        <v>Connector, 4M 0.100"</v>
      </c>
      <c r="C8051" t="str">
        <f t="shared" si="303"/>
        <v>Active</v>
      </c>
    </row>
    <row r="8052" spans="1:3" ht="18" customHeight="1">
      <c r="A8052" t="str">
        <f>"412004"</f>
        <v>412004</v>
      </c>
      <c r="B8052" t="str">
        <f>"Connector, 5M 0.100"", Molex 6410-5"</f>
        <v>Connector, 5M 0.100", Molex 6410-5</v>
      </c>
      <c r="C8052" t="str">
        <f t="shared" si="303"/>
        <v>Active</v>
      </c>
    </row>
    <row r="8053" spans="1:3" ht="18" customHeight="1">
      <c r="A8053" t="str">
        <f>"412005"</f>
        <v>412005</v>
      </c>
      <c r="B8053" t="str">
        <f>"Connector, 6M 0.100"", Molex 6410-6"</f>
        <v>Connector, 6M 0.100", Molex 6410-6</v>
      </c>
      <c r="C8053" t="str">
        <f t="shared" si="303"/>
        <v>Active</v>
      </c>
    </row>
    <row r="8054" spans="1:3" ht="18" customHeight="1">
      <c r="A8054" t="str">
        <f>"412010"</f>
        <v>412010</v>
      </c>
      <c r="B8054" t="str">
        <f>"Connector, 12M 0.100"", Molex 6410-12"</f>
        <v>Connector, 12M 0.100", Molex 6410-12</v>
      </c>
      <c r="C8054" t="str">
        <f t="shared" si="303"/>
        <v>Active</v>
      </c>
    </row>
    <row r="8055" spans="1:3" ht="18" customHeight="1">
      <c r="A8055" t="str">
        <f>"412011"</f>
        <v>412011</v>
      </c>
      <c r="B8055" t="str">
        <f>"Connector- 11M 0.100"" 90 , Molex 5046-11"</f>
        <v>Connector- 11M 0.100" 90 , Molex 5046-11</v>
      </c>
      <c r="C8055" t="str">
        <f t="shared" si="303"/>
        <v>Active</v>
      </c>
    </row>
    <row r="8056" spans="1:3" ht="18" customHeight="1">
      <c r="A8056" t="str">
        <f>"412015"</f>
        <v>412015</v>
      </c>
      <c r="B8056" t="str">
        <f>"Plug 3 Phase, 16A,220/380v, 3P+N+E"</f>
        <v>Plug 3 Phase, 16A,220/380v, 3P+N+E</v>
      </c>
      <c r="C8056" t="str">
        <f t="shared" si="303"/>
        <v>Active</v>
      </c>
    </row>
    <row r="8057" spans="1:3" ht="18" customHeight="1">
      <c r="A8057" t="str">
        <f>"412016"</f>
        <v>412016</v>
      </c>
      <c r="B8057" t="str">
        <f>"Plug American Male, Single phase, 115VAC/15A"</f>
        <v>Plug American Male, Single phase, 115VAC/15A</v>
      </c>
      <c r="C8057" t="str">
        <f t="shared" si="303"/>
        <v>Active</v>
      </c>
    </row>
    <row r="8058" spans="1:3" ht="18" customHeight="1">
      <c r="A8058" t="str">
        <f>"412022"</f>
        <v>412022</v>
      </c>
      <c r="B8058" t="str">
        <f>"Connector, 2M 0.156""  90°"</f>
        <v>Connector, 2M 0.156"  90°</v>
      </c>
      <c r="C8058" t="str">
        <f t="shared" si="303"/>
        <v>Active</v>
      </c>
    </row>
    <row r="8059" spans="1:3" ht="18" customHeight="1">
      <c r="A8059" t="str">
        <f>"412023"</f>
        <v>412023</v>
      </c>
      <c r="B8059" t="str">
        <f>"Connector34M MOLEX,2.54mmDualRow,Black,3micr.Tin"</f>
        <v>Connector34M MOLEX,2.54mmDualRow,Black,3micr.Tin</v>
      </c>
      <c r="C8059" t="str">
        <f t="shared" si="303"/>
        <v>Active</v>
      </c>
    </row>
    <row r="8060" spans="1:3" ht="18" customHeight="1">
      <c r="A8060" t="str">
        <f>"412030"</f>
        <v>412030</v>
      </c>
      <c r="B8060" t="str">
        <f>"Connector, Header 34M"</f>
        <v>Connector, Header 34M</v>
      </c>
      <c r="C8060" t="str">
        <f t="shared" si="303"/>
        <v>Active</v>
      </c>
    </row>
    <row r="8061" spans="1:3" ht="18" customHeight="1">
      <c r="A8061" t="str">
        <f>"412031"</f>
        <v>412031</v>
      </c>
      <c r="B8061" t="str">
        <f>"Connector, Header, 40M Long Pin"</f>
        <v>Connector, Header, 40M Long Pin</v>
      </c>
      <c r="C8061" t="str">
        <f t="shared" si="303"/>
        <v>Active</v>
      </c>
    </row>
    <row r="8062" spans="1:3" ht="18" customHeight="1">
      <c r="A8062" t="str">
        <f>"412040"</f>
        <v>412040</v>
      </c>
      <c r="B8062" t="str">
        <f>"Jumper, 3M to PCB,0.1"" Gap, Molex 4030-3A"</f>
        <v>Jumper, 3M to PCB,0.1" Gap, Molex 4030-3A</v>
      </c>
      <c r="C8062" t="str">
        <f t="shared" si="303"/>
        <v>Active</v>
      </c>
    </row>
    <row r="8063" spans="1:3" ht="18" customHeight="1">
      <c r="A8063" t="str">
        <f>"412049"</f>
        <v>412049</v>
      </c>
      <c r="B8063" t="str">
        <f>"Single Row Header 20pin Straight 0.1"""</f>
        <v>Single Row Header 20pin Straight 0.1"</v>
      </c>
      <c r="C8063" t="str">
        <f t="shared" si="303"/>
        <v>Active</v>
      </c>
    </row>
    <row r="8064" spans="1:3" ht="18" customHeight="1">
      <c r="A8064" t="str">
        <f>"412050"</f>
        <v>412050</v>
      </c>
      <c r="B8064" t="str">
        <f>"Connector, DIN 64M 90° to PCB, TYPE-B"</f>
        <v>Connector, DIN 64M 90° to PCB, TYPE-B</v>
      </c>
      <c r="C8064" t="str">
        <f t="shared" si="303"/>
        <v>Active</v>
      </c>
    </row>
    <row r="8065" spans="1:3" ht="18" customHeight="1">
      <c r="A8065" t="str">
        <f>"412066"</f>
        <v>412066</v>
      </c>
      <c r="B8065" t="str">
        <f>"Connector, 2M 0.165"", Straight, Molex 5566-2A"</f>
        <v>Connector, 2M 0.165", Straight, Molex 5566-2A</v>
      </c>
      <c r="C8065" t="str">
        <f t="shared" si="303"/>
        <v>Active</v>
      </c>
    </row>
    <row r="8066" spans="1:3" ht="18" customHeight="1">
      <c r="A8066" t="str">
        <f>"412067"</f>
        <v>412067</v>
      </c>
      <c r="B8066" t="str">
        <f>"Connector, 4M 0.165"""</f>
        <v>Connector, 4M 0.165"</v>
      </c>
      <c r="C8066" t="str">
        <f t="shared" si="303"/>
        <v>Active</v>
      </c>
    </row>
    <row r="8067" spans="1:3" ht="18" customHeight="1">
      <c r="A8067" t="str">
        <f>"412068"</f>
        <v>412068</v>
      </c>
      <c r="B8067" t="str">
        <f>"Connector, 6M 0.165"", Molex 5566-6A"</f>
        <v>Connector, 6M 0.165", Molex 5566-6A</v>
      </c>
      <c r="C8067" t="str">
        <f t="shared" si="303"/>
        <v>Active</v>
      </c>
    </row>
    <row r="8068" spans="1:3" ht="18" customHeight="1">
      <c r="A8068" t="str">
        <f>"412069"</f>
        <v>412069</v>
      </c>
      <c r="B8068" t="str">
        <f>"Connector, 8M 0.165"""</f>
        <v>Connector, 8M 0.165"</v>
      </c>
      <c r="C8068" t="str">
        <f t="shared" si="303"/>
        <v>Active</v>
      </c>
    </row>
    <row r="8069" spans="1:3" ht="18" customHeight="1">
      <c r="A8069" t="str">
        <f>"412070"</f>
        <v>412070</v>
      </c>
      <c r="B8069" t="str">
        <f>"Connector, 10M 0.165"", Molex 5566-10A"</f>
        <v>Connector, 10M 0.165", Molex 5566-10A</v>
      </c>
      <c r="C8069" t="str">
        <f t="shared" si="303"/>
        <v>Active</v>
      </c>
    </row>
    <row r="8070" spans="1:3" ht="18" customHeight="1">
      <c r="A8070" t="str">
        <f>"412071"</f>
        <v>412071</v>
      </c>
      <c r="B8070" t="str">
        <f>"Connector, 12M 0.165"" 90°"</f>
        <v>Connector, 12M 0.165" 90°</v>
      </c>
      <c r="C8070" t="str">
        <f t="shared" si="303"/>
        <v>Active</v>
      </c>
    </row>
    <row r="8071" spans="1:3" ht="18" customHeight="1">
      <c r="A8071" t="str">
        <f>"412072"</f>
        <v>412072</v>
      </c>
      <c r="B8071" t="str">
        <f>"Connector, 14M 0.165"" 90°, Molex 5566-14A"</f>
        <v>Connector, 14M 0.165" 90°, Molex 5566-14A</v>
      </c>
      <c r="C8071" t="str">
        <f t="shared" si="303"/>
        <v>Active</v>
      </c>
    </row>
    <row r="8072" spans="1:3" ht="18" customHeight="1">
      <c r="A8072" t="str">
        <f>"412074"</f>
        <v>412074</v>
      </c>
      <c r="B8072" t="str">
        <f>"Connector, D-Type Cable 50M"</f>
        <v>Connector, D-Type Cable 50M</v>
      </c>
      <c r="C8072" t="str">
        <f t="shared" si="303"/>
        <v>Active</v>
      </c>
    </row>
    <row r="8073" spans="1:3" ht="18" customHeight="1">
      <c r="A8073" t="str">
        <f>"412075"</f>
        <v>412075</v>
      </c>
      <c r="B8073" t="str">
        <f>"Connector, DSUB for Cable 9M"</f>
        <v>Connector, DSUB for Cable 9M</v>
      </c>
      <c r="C8073" t="str">
        <f t="shared" si="303"/>
        <v>Active</v>
      </c>
    </row>
    <row r="8074" spans="1:3" ht="18" customHeight="1">
      <c r="A8074" t="str">
        <f>"412076"</f>
        <v>412076</v>
      </c>
      <c r="B8074" t="str">
        <f>"Connector, D-Type Cable 25M"</f>
        <v>Connector, D-Type Cable 25M</v>
      </c>
      <c r="C8074" t="str">
        <f t="shared" si="303"/>
        <v>Active</v>
      </c>
    </row>
    <row r="8075" spans="1:3" ht="18" customHeight="1">
      <c r="A8075" t="str">
        <f>"412078"</f>
        <v>412078</v>
      </c>
      <c r="B8075" t="str">
        <f>"Connector, D-Type Cable 37M, Amphenol 717SDC37P"</f>
        <v>Connector, D-Type Cable 37M, Amphenol 717SDC37P</v>
      </c>
      <c r="C8075" t="str">
        <f t="shared" si="303"/>
        <v>Active</v>
      </c>
    </row>
    <row r="8076" spans="1:3" ht="18" customHeight="1">
      <c r="A8076" t="str">
        <f>"412079"</f>
        <v>412079</v>
      </c>
      <c r="B8076" t="str">
        <f>"Connector, For flat Cable Telephone 6M"</f>
        <v>Connector, For flat Cable Telephone 6M</v>
      </c>
      <c r="C8076" t="str">
        <f t="shared" si="303"/>
        <v>Active</v>
      </c>
    </row>
    <row r="8077" spans="1:3" ht="18" customHeight="1">
      <c r="A8077" t="str">
        <f>"412087"</f>
        <v>412087</v>
      </c>
      <c r="B8077" t="str">
        <f>"Connector, Header 50M"</f>
        <v>Connector, Header 50M</v>
      </c>
      <c r="C8077" t="str">
        <f t="shared" si="303"/>
        <v>Active</v>
      </c>
    </row>
    <row r="8078" spans="1:3" ht="18" customHeight="1">
      <c r="A8078" t="str">
        <f>"412092"</f>
        <v>412092</v>
      </c>
      <c r="B8078" t="str">
        <f>"Connector, Header 50M 90° Short"</f>
        <v>Connector, Header 50M 90° Short</v>
      </c>
      <c r="C8078" t="str">
        <f t="shared" ref="C8078:C8109" si="304">"Active"</f>
        <v>Active</v>
      </c>
    </row>
    <row r="8079" spans="1:3" ht="18" customHeight="1">
      <c r="A8079" t="str">
        <f>"412096"</f>
        <v>412096</v>
      </c>
      <c r="B8079" t="str">
        <f>"Connector, Header, 40M to PCB"</f>
        <v>Connector, Header, 40M to PCB</v>
      </c>
      <c r="C8079" t="str">
        <f t="shared" si="304"/>
        <v>Active</v>
      </c>
    </row>
    <row r="8080" spans="1:3" ht="18" customHeight="1">
      <c r="A8080" t="str">
        <f>"412099"</f>
        <v>412099</v>
      </c>
      <c r="B8080" t="str">
        <f>"Connector, DIN 96M 90° to PCB, SIZE C"</f>
        <v>Connector, DIN 96M 90° to PCB, SIZE C</v>
      </c>
      <c r="C8080" t="str">
        <f t="shared" si="304"/>
        <v>Active</v>
      </c>
    </row>
    <row r="8081" spans="1:3" ht="18" customHeight="1">
      <c r="A8081" t="str">
        <f>"412100"</f>
        <v>412100</v>
      </c>
      <c r="B8081" t="str">
        <f>"Connector, Header 4 pin, TD-04SG"</f>
        <v>Connector, Header 4 pin, TD-04SG</v>
      </c>
      <c r="C8081" t="str">
        <f t="shared" si="304"/>
        <v>Active</v>
      </c>
    </row>
    <row r="8082" spans="1:3" ht="18" customHeight="1">
      <c r="A8082" t="str">
        <f>"412101"</f>
        <v>412101</v>
      </c>
      <c r="B8082" t="str">
        <f>"Connector, 12M 0.165"" 90°, Molex 5569-12A"</f>
        <v>Connector, 12M 0.165" 90°, Molex 5569-12A</v>
      </c>
      <c r="C8082" t="str">
        <f t="shared" si="304"/>
        <v>Active</v>
      </c>
    </row>
    <row r="8083" spans="1:3" ht="18" customHeight="1">
      <c r="A8083" t="str">
        <f>"412102"</f>
        <v>412102</v>
      </c>
      <c r="B8083" t="str">
        <f>"Connector, D-Type 50M, Amphenol 17DDH50POL2"</f>
        <v>Connector, D-Type 50M, Amphenol 17DDH50POL2</v>
      </c>
      <c r="C8083" t="str">
        <f t="shared" si="304"/>
        <v>Active</v>
      </c>
    </row>
    <row r="8084" spans="1:3" ht="18" customHeight="1">
      <c r="A8084" t="str">
        <f>"412103"</f>
        <v>412103</v>
      </c>
      <c r="B8084" t="str">
        <f>"Connector, 20M 0.165"", Molex 5566-20A"</f>
        <v>Connector, 20M 0.165", Molex 5566-20A</v>
      </c>
      <c r="C8084" t="str">
        <f t="shared" si="304"/>
        <v>Active</v>
      </c>
    </row>
    <row r="8085" spans="1:3" ht="18" customHeight="1">
      <c r="A8085" t="str">
        <f>"412106"</f>
        <v>412106</v>
      </c>
      <c r="B8085" t="str">
        <f>"Connector, D-Type 37M, Thread,"</f>
        <v>Connector, D-Type 37M, Thread,</v>
      </c>
      <c r="C8085" t="str">
        <f t="shared" si="304"/>
        <v>Active</v>
      </c>
    </row>
    <row r="8086" spans="1:3" ht="18" customHeight="1">
      <c r="A8086" t="str">
        <f>"412107"</f>
        <v>412107</v>
      </c>
      <c r="B8086" t="str">
        <f>"Jumper, 2M to PCB,0.1"" Gap, Molex 4030-2A"</f>
        <v>Jumper, 2M to PCB,0.1" Gap, Molex 4030-2A</v>
      </c>
      <c r="C8086" t="str">
        <f t="shared" si="304"/>
        <v>Active</v>
      </c>
    </row>
    <row r="8087" spans="1:3" ht="18" customHeight="1">
      <c r="A8087" t="str">
        <f>"412108"</f>
        <v>412108</v>
      </c>
      <c r="B8087" t="str">
        <f>"Connector, 4M, 0.156"", Molex 5414-4"</f>
        <v>Connector, 4M, 0.156", Molex 5414-4</v>
      </c>
      <c r="C8087" t="str">
        <f t="shared" si="304"/>
        <v>Active</v>
      </c>
    </row>
    <row r="8088" spans="1:3" ht="18" customHeight="1">
      <c r="A8088" t="str">
        <f>"412109"</f>
        <v>412109</v>
      </c>
      <c r="B8088" t="str">
        <f>"Terminal Cable 6.35X0.8 1P MALE"</f>
        <v>Terminal Cable 6.35X0.8 1P MALE</v>
      </c>
      <c r="C8088" t="str">
        <f t="shared" si="304"/>
        <v>Active</v>
      </c>
    </row>
    <row r="8089" spans="1:3" ht="18" customHeight="1">
      <c r="A8089" t="str">
        <f>"412111"</f>
        <v>412111</v>
      </c>
      <c r="B8089" t="str">
        <f>"RINGLOCK CONNECTOR MALE"</f>
        <v>RINGLOCK CONNECTOR MALE</v>
      </c>
      <c r="C8089" t="str">
        <f t="shared" si="304"/>
        <v>Active</v>
      </c>
    </row>
    <row r="8090" spans="1:3" ht="18" customHeight="1">
      <c r="A8090" t="str">
        <f>"412113"</f>
        <v>412113</v>
      </c>
      <c r="B8090" t="str">
        <f>"Connector, 3M, PCB WAGO"</f>
        <v>Connector, 3M, PCB WAGO</v>
      </c>
      <c r="C8090" t="str">
        <f t="shared" si="304"/>
        <v>Active</v>
      </c>
    </row>
    <row r="8091" spans="1:3" ht="18" customHeight="1">
      <c r="A8091" t="str">
        <f>"412114"</f>
        <v>412114</v>
      </c>
      <c r="B8091" t="str">
        <f>"Connector, 4M, PCB WAGO"</f>
        <v>Connector, 4M, PCB WAGO</v>
      </c>
      <c r="C8091" t="str">
        <f t="shared" si="304"/>
        <v>Active</v>
      </c>
    </row>
    <row r="8092" spans="1:3" ht="18" customHeight="1">
      <c r="A8092" t="str">
        <f>"412115"</f>
        <v>412115</v>
      </c>
      <c r="B8092" t="str">
        <f>"Connector, 5M, PCB WAGO"</f>
        <v>Connector, 5M, PCB WAGO</v>
      </c>
      <c r="C8092" t="str">
        <f t="shared" si="304"/>
        <v>Active</v>
      </c>
    </row>
    <row r="8093" spans="1:3" ht="18" customHeight="1">
      <c r="A8093" t="str">
        <f>"412116"</f>
        <v>412116</v>
      </c>
      <c r="B8093" t="str">
        <f>"Connector, 8M, PCB WAGO"</f>
        <v>Connector, 8M, PCB WAGO</v>
      </c>
      <c r="C8093" t="str">
        <f t="shared" si="304"/>
        <v>Active</v>
      </c>
    </row>
    <row r="8094" spans="1:3" ht="18" customHeight="1">
      <c r="A8094" t="str">
        <f>"412118"</f>
        <v>412118</v>
      </c>
      <c r="B8094" t="str">
        <f>"""Connector, Rnd, Push, Male, Panel, BURNDY """</f>
        <v>"Connector, Rnd, Push, Male, Panel, BURNDY "</v>
      </c>
      <c r="C8094" t="str">
        <f t="shared" si="304"/>
        <v>Active</v>
      </c>
    </row>
    <row r="8095" spans="1:3" ht="18" customHeight="1">
      <c r="A8095" t="str">
        <f>"412121"</f>
        <v>412121</v>
      </c>
      <c r="B8095" t="str">
        <f>"Connector, 3M 0.100"", Molex 6410-3"</f>
        <v>Connector, 3M 0.100", Molex 6410-3</v>
      </c>
      <c r="C8095" t="str">
        <f t="shared" si="304"/>
        <v>Active</v>
      </c>
    </row>
    <row r="8096" spans="1:3" ht="18" customHeight="1">
      <c r="A8096" t="str">
        <f>"412123"</f>
        <v>412123</v>
      </c>
      <c r="B8096" t="str">
        <f>"Connector, Rnd, Cable, 3M w/Cover, Amphenol"</f>
        <v>Connector, Rnd, Cable, 3M w/Cover, Amphenol</v>
      </c>
      <c r="C8096" t="str">
        <f t="shared" si="304"/>
        <v>Active</v>
      </c>
    </row>
    <row r="8097" spans="1:3" ht="18" customHeight="1">
      <c r="A8097" t="str">
        <f>"412125"</f>
        <v>412125</v>
      </c>
      <c r="B8097" t="str">
        <f>"Connector, 4M 0.165"" hanging, Molex 5559-4P"</f>
        <v>Connector, 4M 0.165" hanging, Molex 5559-4P</v>
      </c>
      <c r="C8097" t="str">
        <f t="shared" si="304"/>
        <v>Active</v>
      </c>
    </row>
    <row r="8098" spans="1:3" ht="18" customHeight="1">
      <c r="A8098" t="str">
        <f>"412126"</f>
        <v>412126</v>
      </c>
      <c r="B8098" t="str">
        <f>"Connector, Round 7M w/Cover, T3475-005"</f>
        <v>Connector, Round 7M w/Cover, T3475-005</v>
      </c>
      <c r="C8098" t="str">
        <f t="shared" si="304"/>
        <v>Active</v>
      </c>
    </row>
    <row r="8099" spans="1:3" ht="18" customHeight="1">
      <c r="A8099" t="str">
        <f>"412127"</f>
        <v>412127</v>
      </c>
      <c r="B8099" t="str">
        <f>"Connector, 6M 0.165"" hanging, Molex 5559-6P"</f>
        <v>Connector, 6M 0.165" hanging, Molex 5559-6P</v>
      </c>
      <c r="C8099" t="str">
        <f t="shared" si="304"/>
        <v>Active</v>
      </c>
    </row>
    <row r="8100" spans="1:3" ht="18" customHeight="1">
      <c r="A8100" t="str">
        <f>"412128"</f>
        <v>412128</v>
      </c>
      <c r="B8100" t="str">
        <f>"Plug Israeli Male, Single phase"</f>
        <v>Plug Israeli Male, Single phase</v>
      </c>
      <c r="C8100" t="str">
        <f t="shared" si="304"/>
        <v>Active</v>
      </c>
    </row>
    <row r="8101" spans="1:3" ht="18" customHeight="1">
      <c r="A8101" t="str">
        <f>"412129"</f>
        <v>412129</v>
      </c>
      <c r="B8101" t="str">
        <f>"Connector, 7M 0.100"", Molex 6410-7"</f>
        <v>Connector, 7M 0.100", Molex 6410-7</v>
      </c>
      <c r="C8101" t="str">
        <f t="shared" si="304"/>
        <v>Active</v>
      </c>
    </row>
    <row r="8102" spans="1:3" ht="18" customHeight="1">
      <c r="A8102" t="str">
        <f>"412130"</f>
        <v>412130</v>
      </c>
      <c r="B8102" t="str">
        <f>"Connector, Header10P,PCB Amphenol"</f>
        <v>Connector, Header10P,PCB Amphenol</v>
      </c>
      <c r="C8102" t="str">
        <f t="shared" si="304"/>
        <v>Active</v>
      </c>
    </row>
    <row r="8103" spans="1:3" ht="18" customHeight="1">
      <c r="A8103" t="str">
        <f>"412132"</f>
        <v>412132</v>
      </c>
      <c r="B8103" t="str">
        <f>"Connector, 2M 0.165"", hanging"</f>
        <v>Connector, 2M 0.165", hanging</v>
      </c>
      <c r="C8103" t="str">
        <f t="shared" si="304"/>
        <v>Active</v>
      </c>
    </row>
    <row r="8104" spans="1:3" ht="18" customHeight="1">
      <c r="A8104" t="str">
        <f>"412136"</f>
        <v>412136</v>
      </c>
      <c r="B8104" t="str">
        <f>"Connector, D-Type Cable 15M, Amp. G17S-1510-110"</f>
        <v>Connector, D-Type Cable 15M, Amp. G17S-1510-110</v>
      </c>
      <c r="C8104" t="str">
        <f t="shared" si="304"/>
        <v>Active</v>
      </c>
    </row>
    <row r="8105" spans="1:3" ht="18" customHeight="1">
      <c r="A8105" t="str">
        <f>"412138"</f>
        <v>412138</v>
      </c>
      <c r="B8105" t="str">
        <f>"Connector, Header Open 5x2P, TDB10-SG"</f>
        <v>Connector, Header Open 5x2P, TDB10-SG</v>
      </c>
      <c r="C8105" t="str">
        <f t="shared" si="304"/>
        <v>Active</v>
      </c>
    </row>
    <row r="8106" spans="1:3" ht="18" customHeight="1">
      <c r="A8106" t="str">
        <f>"412141"</f>
        <v>412141</v>
      </c>
      <c r="B8106" t="str">
        <f>"Connector, D-Type, 15M Hi-Density"</f>
        <v>Connector, D-Type, 15M Hi-Density</v>
      </c>
      <c r="C8106" t="str">
        <f t="shared" si="304"/>
        <v>Active</v>
      </c>
    </row>
    <row r="8107" spans="1:3" ht="18" customHeight="1">
      <c r="A8107" t="str">
        <f>"412142"</f>
        <v>412142</v>
      </c>
      <c r="B8107" t="str">
        <f>"socket Banana Red 4mm"</f>
        <v>socket Banana Red 4mm</v>
      </c>
      <c r="C8107" t="str">
        <f t="shared" si="304"/>
        <v>Active</v>
      </c>
    </row>
    <row r="8108" spans="1:3" ht="18" customHeight="1">
      <c r="A8108" t="str">
        <f>"412143"</f>
        <v>412143</v>
      </c>
      <c r="B8108" t="str">
        <f>"socket Banana Black 4mm"</f>
        <v>socket Banana Black 4mm</v>
      </c>
      <c r="C8108" t="str">
        <f t="shared" si="304"/>
        <v>Active</v>
      </c>
    </row>
    <row r="8109" spans="1:3" ht="18" customHeight="1">
      <c r="A8109" t="str">
        <f>"412144"</f>
        <v>412144</v>
      </c>
      <c r="B8109" t="str">
        <f>"Connector, AMP for welder"</f>
        <v>Connector, AMP for welder</v>
      </c>
      <c r="C8109" t="str">
        <f t="shared" si="304"/>
        <v>Active</v>
      </c>
    </row>
    <row r="8110" spans="1:3" ht="18" customHeight="1">
      <c r="A8110" t="str">
        <f>"412145"</f>
        <v>412145</v>
      </c>
      <c r="B8110" t="str">
        <f>"Connector, Male, 8M, Hanging, 0.165, Molex"</f>
        <v>Connector, Male, 8M, Hanging, 0.165, Molex</v>
      </c>
      <c r="C8110" t="str">
        <f t="shared" ref="C8110:C8141" si="305">"Active"</f>
        <v>Active</v>
      </c>
    </row>
    <row r="8111" spans="1:3" ht="18" customHeight="1">
      <c r="A8111" t="str">
        <f>"412146"</f>
        <v>412146</v>
      </c>
      <c r="B8111" t="str">
        <f>"Connector, USB type A, Single Right Angle"</f>
        <v>Connector, USB type A, Single Right Angle</v>
      </c>
      <c r="C8111" t="str">
        <f t="shared" si="305"/>
        <v>Active</v>
      </c>
    </row>
    <row r="8112" spans="1:3" ht="18" customHeight="1">
      <c r="A8112" t="str">
        <f>"412148"</f>
        <v>412148</v>
      </c>
      <c r="B8112" t="str">
        <f>"Connector, Header Straight 40Pin,Latch(HRS)"</f>
        <v>Connector, Header Straight 40Pin,Latch(HRS)</v>
      </c>
      <c r="C8112" t="str">
        <f t="shared" si="305"/>
        <v>Active</v>
      </c>
    </row>
    <row r="8113" spans="1:3" ht="18" customHeight="1">
      <c r="A8113" t="str">
        <f>"412149"</f>
        <v>412149</v>
      </c>
      <c r="B8113" t="str">
        <f>"Connector, Header Straight 60Pin,Latch(HRS)"</f>
        <v>Connector, Header Straight 60Pin,Latch(HRS)</v>
      </c>
      <c r="C8113" t="str">
        <f t="shared" si="305"/>
        <v>Active</v>
      </c>
    </row>
    <row r="8114" spans="1:3" ht="18" customHeight="1">
      <c r="A8114" t="str">
        <f>"412150"</f>
        <v>412150</v>
      </c>
      <c r="B8114" t="str">
        <f>"Connector, Header Straight 60Pin, SMD"</f>
        <v>Connector, Header Straight 60Pin, SMD</v>
      </c>
      <c r="C8114" t="str">
        <f t="shared" si="305"/>
        <v>Active</v>
      </c>
    </row>
    <row r="8115" spans="1:3" ht="18" customHeight="1">
      <c r="A8115" t="str">
        <f>"412151"</f>
        <v>412151</v>
      </c>
      <c r="B8115" t="str">
        <f>"Connector, Header Straight 40Pin, SMD 1.27mm"</f>
        <v>Connector, Header Straight 40Pin, SMD 1.27mm</v>
      </c>
      <c r="C8115" t="str">
        <f t="shared" si="305"/>
        <v>Active</v>
      </c>
    </row>
    <row r="8116" spans="1:3" ht="18" customHeight="1">
      <c r="A8116" t="str">
        <f>"412154"</f>
        <v>412154</v>
      </c>
      <c r="B8116" t="str">
        <f>"Connector, D-Type 37M, 90L, PCB"</f>
        <v>Connector, D-Type 37M, 90L, PCB</v>
      </c>
      <c r="C8116" t="str">
        <f t="shared" si="305"/>
        <v>Active</v>
      </c>
    </row>
    <row r="8117" spans="1:3" ht="18" customHeight="1">
      <c r="A8117" t="str">
        <f>"412155"</f>
        <v>412155</v>
      </c>
      <c r="B8117" t="str">
        <f>"Plug HIROSE 68 Pin, P/N DX30AM-68P, Astragal"</f>
        <v>Plug HIROSE 68 Pin, P/N DX30AM-68P, Astragal</v>
      </c>
      <c r="C8117" t="str">
        <f t="shared" si="305"/>
        <v>Active</v>
      </c>
    </row>
    <row r="8118" spans="1:3" ht="18" customHeight="1">
      <c r="A8118" t="str">
        <f>"412156"</f>
        <v>412156</v>
      </c>
      <c r="B8118" t="str">
        <f>"Connector 12P 0.165"", hanging, Molex 5559"</f>
        <v>Connector 12P 0.165", hanging, Molex 5559</v>
      </c>
      <c r="C8118" t="str">
        <f t="shared" si="305"/>
        <v>Active</v>
      </c>
    </row>
    <row r="8119" spans="1:3" ht="18" customHeight="1">
      <c r="A8119" t="str">
        <f>"412157"</f>
        <v>412157</v>
      </c>
      <c r="B8119" t="str">
        <f>"Plug 2-Pin, screw/term., MC 1.5/2-ST-3.81"</f>
        <v>Plug 2-Pin, screw/term., MC 1.5/2-ST-3.81</v>
      </c>
      <c r="C8119" t="str">
        <f t="shared" si="305"/>
        <v>Active</v>
      </c>
    </row>
    <row r="8120" spans="1:3" ht="18" customHeight="1">
      <c r="A8120" t="str">
        <f>"412158"</f>
        <v>412158</v>
      </c>
      <c r="B8120" t="str">
        <f>"Plug 3-Pin, screw/term., MC 1.5/3-ST-3.81"</f>
        <v>Plug 3-Pin, screw/term., MC 1.5/3-ST-3.81</v>
      </c>
      <c r="C8120" t="str">
        <f t="shared" si="305"/>
        <v>Active</v>
      </c>
    </row>
    <row r="8121" spans="1:3" ht="18" customHeight="1">
      <c r="A8121" t="str">
        <f>"412159"</f>
        <v>412159</v>
      </c>
      <c r="B8121" t="str">
        <f>"Plug 8-Pin, screw/term., MC 1.5/8-ST-3.81"</f>
        <v>Plug 8-Pin, screw/term., MC 1.5/8-ST-3.81</v>
      </c>
      <c r="C8121" t="str">
        <f t="shared" si="305"/>
        <v>Active</v>
      </c>
    </row>
    <row r="8122" spans="1:3" ht="18" customHeight="1">
      <c r="A8122" t="str">
        <f>"412160"</f>
        <v>412160</v>
      </c>
      <c r="B8122" t="str">
        <f>"Plug 10-Pin, screw/term., MC 1.5/10-ST-3.81"</f>
        <v>Plug 10-Pin, screw/term., MC 1.5/10-ST-3.81</v>
      </c>
      <c r="C8122" t="str">
        <f t="shared" si="305"/>
        <v>Active</v>
      </c>
    </row>
    <row r="8123" spans="1:3" ht="18" customHeight="1">
      <c r="A8123" t="str">
        <f>"412161"</f>
        <v>412161</v>
      </c>
      <c r="B8123" t="str">
        <f>"Plug 12-Pin, screw/term., MC 1.5/12-ST-3.81"</f>
        <v>Plug 12-Pin, screw/term., MC 1.5/12-ST-3.81</v>
      </c>
      <c r="C8123" t="str">
        <f t="shared" si="305"/>
        <v>Active</v>
      </c>
    </row>
    <row r="8124" spans="1:3" ht="18" customHeight="1">
      <c r="A8124" t="str">
        <f>"412163"</f>
        <v>412163</v>
      </c>
      <c r="B8124" t="str">
        <f>"HEADER 2x10 SMD MOLEX 01591-0100"</f>
        <v>HEADER 2x10 SMD MOLEX 01591-0100</v>
      </c>
      <c r="C8124" t="str">
        <f t="shared" si="305"/>
        <v>Active</v>
      </c>
    </row>
    <row r="8125" spans="1:3" ht="18" customHeight="1">
      <c r="A8125" t="str">
        <f>"412164"</f>
        <v>412164</v>
      </c>
      <c r="B8125" t="str">
        <f>"Connector50M+Shell3M 10150-3000PE/10350-52A0-008"</f>
        <v>Connector50M+Shell3M 10150-3000PE/10350-52A0-008</v>
      </c>
      <c r="C8125" t="str">
        <f t="shared" si="305"/>
        <v>Active</v>
      </c>
    </row>
    <row r="8126" spans="1:3" ht="18" customHeight="1">
      <c r="A8126" t="str">
        <f>"412165"</f>
        <v>412165</v>
      </c>
      <c r="B8126" t="str">
        <f>"Connector, Amphenol, Male, 7-Pin, 30mm, eco|mate"</f>
        <v>Connector, Amphenol, Male, 7-Pin, 30mm, eco|mate</v>
      </c>
      <c r="C8126" t="str">
        <f t="shared" si="305"/>
        <v>Active</v>
      </c>
    </row>
    <row r="8127" spans="1:3" ht="18" customHeight="1">
      <c r="A8127" t="str">
        <f>"412301"</f>
        <v>412301</v>
      </c>
      <c r="B8127" t="str">
        <f>"Connector, 2F 0.100"", Molex 6471-02"</f>
        <v>Connector, 2F 0.100", Molex 6471-02</v>
      </c>
      <c r="C8127" t="str">
        <f t="shared" si="305"/>
        <v>Active</v>
      </c>
    </row>
    <row r="8128" spans="1:3" ht="18" customHeight="1">
      <c r="A8128" t="str">
        <f>"412303"</f>
        <v>412303</v>
      </c>
      <c r="B8128" t="str">
        <f>"Connector, 4F 0.100"""</f>
        <v>Connector, 4F 0.100"</v>
      </c>
      <c r="C8128" t="str">
        <f t="shared" si="305"/>
        <v>Active</v>
      </c>
    </row>
    <row r="8129" spans="1:3" ht="18" customHeight="1">
      <c r="A8129" t="str">
        <f>"412304"</f>
        <v>412304</v>
      </c>
      <c r="B8129" t="str">
        <f>"Connector, 5F 0.100"""</f>
        <v>Connector, 5F 0.100"</v>
      </c>
      <c r="C8129" t="str">
        <f t="shared" si="305"/>
        <v>Active</v>
      </c>
    </row>
    <row r="8130" spans="1:3" ht="18" customHeight="1">
      <c r="A8130" t="str">
        <f>"412305"</f>
        <v>412305</v>
      </c>
      <c r="B8130" t="str">
        <f>"Connector, 6F 0.100"", Molex 6471-06"</f>
        <v>Connector, 6F 0.100", Molex 6471-06</v>
      </c>
      <c r="C8130" t="str">
        <f t="shared" si="305"/>
        <v>Active</v>
      </c>
    </row>
    <row r="8131" spans="1:3" ht="18" customHeight="1">
      <c r="A8131" t="str">
        <f>"412310"</f>
        <v>412310</v>
      </c>
      <c r="B8131" t="str">
        <f>"Connector, 2F 0.156"", Molex 2139-2"</f>
        <v>Connector, 2F 0.156", Molex 2139-2</v>
      </c>
      <c r="C8131" t="str">
        <f t="shared" si="305"/>
        <v>Active</v>
      </c>
    </row>
    <row r="8132" spans="1:3" ht="18" customHeight="1">
      <c r="A8132" t="str">
        <f>"412316"</f>
        <v>412316</v>
      </c>
      <c r="B8132" t="str">
        <f>"Connector, 10F, 0.156"", Molex 2139-10"</f>
        <v>Connector, 10F, 0.156", Molex 2139-10</v>
      </c>
      <c r="C8132" t="str">
        <f t="shared" si="305"/>
        <v>Active</v>
      </c>
    </row>
    <row r="8133" spans="1:3" ht="18" customHeight="1">
      <c r="A8133" t="str">
        <f>"412321"</f>
        <v>412321</v>
      </c>
      <c r="B8133" t="str">
        <f>"Connector, 12F 0.100"", Molex 6471-121"</f>
        <v>Connector, 12F 0.100", Molex 6471-121</v>
      </c>
      <c r="C8133" t="str">
        <f t="shared" si="305"/>
        <v>Active</v>
      </c>
    </row>
    <row r="8134" spans="1:3" ht="18" customHeight="1">
      <c r="A8134" t="str">
        <f>"412322"</f>
        <v>412322</v>
      </c>
      <c r="B8134" t="str">
        <f>"Connector, 2F 0.165"""</f>
        <v>Connector, 2F 0.165"</v>
      </c>
      <c r="C8134" t="str">
        <f t="shared" si="305"/>
        <v>Active</v>
      </c>
    </row>
    <row r="8135" spans="1:3" ht="18" customHeight="1">
      <c r="A8135" t="str">
        <f>"412323"</f>
        <v>412323</v>
      </c>
      <c r="B8135" t="str">
        <f>"Connector, 4F 0.165"""</f>
        <v>Connector, 4F 0.165"</v>
      </c>
      <c r="C8135" t="str">
        <f t="shared" si="305"/>
        <v>Active</v>
      </c>
    </row>
    <row r="8136" spans="1:3" ht="18" customHeight="1">
      <c r="A8136" t="str">
        <f>"412324"</f>
        <v>412324</v>
      </c>
      <c r="B8136" t="str">
        <f>"Connector, 6F 0.165"""</f>
        <v>Connector, 6F 0.165"</v>
      </c>
      <c r="C8136" t="str">
        <f t="shared" si="305"/>
        <v>Active</v>
      </c>
    </row>
    <row r="8137" spans="1:3" ht="18" customHeight="1">
      <c r="A8137" t="str">
        <f>"412325"</f>
        <v>412325</v>
      </c>
      <c r="B8137" t="str">
        <f>"Connector, F8 0.165"""</f>
        <v>Connector, F8 0.165"</v>
      </c>
      <c r="C8137" t="str">
        <f t="shared" si="305"/>
        <v>Active</v>
      </c>
    </row>
    <row r="8138" spans="1:3" ht="18" customHeight="1">
      <c r="A8138" t="str">
        <f>"412326"</f>
        <v>412326</v>
      </c>
      <c r="B8138" t="str">
        <f>"Connector, 10F 0.165"", Molex 5557-10"</f>
        <v>Connector, 10F 0.165", Molex 5557-10</v>
      </c>
      <c r="C8138" t="str">
        <f t="shared" si="305"/>
        <v>Active</v>
      </c>
    </row>
    <row r="8139" spans="1:3" ht="18" customHeight="1">
      <c r="A8139" t="str">
        <f>"412327"</f>
        <v>412327</v>
      </c>
      <c r="B8139" t="str">
        <f>"Connector, 12F 0.65"""</f>
        <v>Connector, 12F 0.65"</v>
      </c>
      <c r="C8139" t="str">
        <f t="shared" si="305"/>
        <v>Active</v>
      </c>
    </row>
    <row r="8140" spans="1:3" ht="18" customHeight="1">
      <c r="A8140" t="str">
        <f>"412328"</f>
        <v>412328</v>
      </c>
      <c r="B8140" t="str">
        <f>"Connector, 14F 0.165"", Molex 5557-14"</f>
        <v>Connector, 14F 0.165", Molex 5557-14</v>
      </c>
      <c r="C8140" t="str">
        <f t="shared" si="305"/>
        <v>Active</v>
      </c>
    </row>
    <row r="8141" spans="1:3" ht="18" customHeight="1">
      <c r="A8141" t="str">
        <f>"412330"</f>
        <v>412330</v>
      </c>
      <c r="B8141" t="str">
        <f>"Connector, 8w, 2mm, 2Row Housing, RS(BH) 842-810"</f>
        <v>Connector, 8w, 2mm, 2Row Housing, RS(BH) 842-810</v>
      </c>
      <c r="C8141" t="str">
        <f t="shared" si="305"/>
        <v>Active</v>
      </c>
    </row>
    <row r="8142" spans="1:3" ht="18" customHeight="1">
      <c r="A8142" t="str">
        <f>"412332"</f>
        <v>412332</v>
      </c>
      <c r="B8142" t="str">
        <f>"Terminal Block, I.D.=3.2mm x10"</f>
        <v>Terminal Block, I.D.=3.2mm x10</v>
      </c>
      <c r="C8142" t="str">
        <f t="shared" ref="C8142:C8173" si="306">"Active"</f>
        <v>Active</v>
      </c>
    </row>
    <row r="8143" spans="1:3" ht="18" customHeight="1">
      <c r="A8143" t="str">
        <f>"412340"</f>
        <v>412340</v>
      </c>
      <c r="B8143" t="str">
        <f>"Jumper, 2F  0.1"" Gap, EURO DIP EDJ2Z6"</f>
        <v>Jumper, 2F  0.1" Gap, EURO DIP EDJ2Z6</v>
      </c>
      <c r="C8143" t="str">
        <f t="shared" si="306"/>
        <v>Active</v>
      </c>
    </row>
    <row r="8144" spans="1:3" ht="18" customHeight="1">
      <c r="A8144" t="str">
        <f>"412341"</f>
        <v>412341</v>
      </c>
      <c r="B8144" t="str">
        <f>"Connector, D-Type 25F 90° Thread, 17DBH25S-OL2"</f>
        <v>Connector, D-Type 25F 90° Thread, 17DBH25S-OL2</v>
      </c>
      <c r="C8144" t="str">
        <f t="shared" si="306"/>
        <v>Active</v>
      </c>
    </row>
    <row r="8145" spans="1:3" ht="18" customHeight="1">
      <c r="A8145" t="str">
        <f>"412342"</f>
        <v>412342</v>
      </c>
      <c r="B8145" t="str">
        <f>"Connector, D-Type, 50F, Thread, 164A10350X CONEC"</f>
        <v>Connector, D-Type, 50F, Thread, 164A10350X CONEC</v>
      </c>
      <c r="C8145" t="str">
        <f t="shared" si="306"/>
        <v>Active</v>
      </c>
    </row>
    <row r="8146" spans="1:3" ht="18" customHeight="1">
      <c r="A8146" t="str">
        <f>"412345"</f>
        <v>412345</v>
      </c>
      <c r="B8146" t="str">
        <f>"Socket DC Power For Panel 2.1mm"</f>
        <v>Socket DC Power For Panel 2.1mm</v>
      </c>
      <c r="C8146" t="str">
        <f t="shared" si="306"/>
        <v>Active</v>
      </c>
    </row>
    <row r="8147" spans="1:3" ht="18" customHeight="1">
      <c r="A8147" t="str">
        <f>"412353"</f>
        <v>412353</v>
      </c>
      <c r="B8147" t="str">
        <f>"ConnectorMolex34F,DualRow,90142-0034,2.54mmPitch"</f>
        <v>ConnectorMolex34F,DualRow,90142-0034,2.54mmPitch</v>
      </c>
      <c r="C8147" t="str">
        <f t="shared" si="306"/>
        <v>Active</v>
      </c>
    </row>
    <row r="8148" spans="1:3" ht="18" customHeight="1">
      <c r="A8148" t="str">
        <f>"412361"</f>
        <v>412361</v>
      </c>
      <c r="B8148" t="str">
        <f>"Connector, D-Type 9F 90° to PCB"</f>
        <v>Connector, D-Type 9F 90° to PCB</v>
      </c>
      <c r="C8148" t="str">
        <f t="shared" si="306"/>
        <v>Active</v>
      </c>
    </row>
    <row r="8149" spans="1:3" ht="18" customHeight="1">
      <c r="A8149" t="str">
        <f>"412362"</f>
        <v>412362</v>
      </c>
      <c r="B8149" t="str">
        <f>"Connector- Telephone Cable 6F, Molex 95503-2661"</f>
        <v>Connector- Telephone Cable 6F, Molex 95503-2661</v>
      </c>
      <c r="C8149" t="str">
        <f t="shared" si="306"/>
        <v>Active</v>
      </c>
    </row>
    <row r="8150" spans="1:3" ht="18" customHeight="1">
      <c r="A8150" t="str">
        <f>"412366"</f>
        <v>412366</v>
      </c>
      <c r="B8150" t="str">
        <f>"Connector, D-Type 50F 90° to PCB, 17SDE09S-OL2"</f>
        <v>Connector, D-Type 50F 90° to PCB, 17SDE09S-OL2</v>
      </c>
      <c r="C8150" t="str">
        <f t="shared" si="306"/>
        <v>Active</v>
      </c>
    </row>
    <row r="8151" spans="1:3" ht="18" customHeight="1">
      <c r="A8151" t="str">
        <f>"412369"</f>
        <v>412369</v>
      </c>
      <c r="B8151" t="str">
        <f>"Connector, D-Type 9F, PCB, Amphenol 17SDE09S-OL2"</f>
        <v>Connector, D-Type 9F, PCB, Amphenol 17SDE09S-OL2</v>
      </c>
      <c r="C8151" t="str">
        <f t="shared" si="306"/>
        <v>Active</v>
      </c>
    </row>
    <row r="8152" spans="1:3" ht="18" customHeight="1">
      <c r="A8152" t="str">
        <f>"412370"</f>
        <v>412370</v>
      </c>
      <c r="B8152" t="str">
        <f>"Connector, D-Type Cable 9F, Standard hole"</f>
        <v>Connector, D-Type Cable 9F, Standard hole</v>
      </c>
      <c r="C8152" t="str">
        <f t="shared" si="306"/>
        <v>Active</v>
      </c>
    </row>
    <row r="8153" spans="1:3" ht="18" customHeight="1">
      <c r="A8153" t="str">
        <f>"412371"</f>
        <v>412371</v>
      </c>
      <c r="B8153" t="str">
        <f>"Connector, D-Type Cable  25F, Standard hole"</f>
        <v>Connector, D-Type Cable  25F, Standard hole</v>
      </c>
      <c r="C8153" t="str">
        <f t="shared" si="306"/>
        <v>Active</v>
      </c>
    </row>
    <row r="8154" spans="1:3" ht="18" customHeight="1">
      <c r="A8154" t="str">
        <f>"412372"</f>
        <v>412372</v>
      </c>
      <c r="B8154" t="str">
        <f>"Connector, Round 7F to Panel, Amphenol T3478-000"</f>
        <v>Connector, Round 7F to Panel, Amphenol T3478-000</v>
      </c>
      <c r="C8154" t="str">
        <f t="shared" si="306"/>
        <v>Active</v>
      </c>
    </row>
    <row r="8155" spans="1:3" ht="18" customHeight="1">
      <c r="A8155" t="str">
        <f>"412373"</f>
        <v>412373</v>
      </c>
      <c r="B8155" t="str">
        <f>"Connector to Pneu. Valve"</f>
        <v>Connector to Pneu. Valve</v>
      </c>
      <c r="C8155" t="str">
        <f t="shared" si="306"/>
        <v>Active</v>
      </c>
    </row>
    <row r="8156" spans="1:3" ht="18" customHeight="1">
      <c r="A8156" t="str">
        <f>"412378"</f>
        <v>412378</v>
      </c>
      <c r="B8156" t="str">
        <f>"Connector, D-Type Cable 37F, 77SDC37S"</f>
        <v>Connector, D-Type Cable 37F, 77SDC37S</v>
      </c>
      <c r="C8156" t="str">
        <f t="shared" si="306"/>
        <v>Active</v>
      </c>
    </row>
    <row r="8157" spans="1:3" ht="18" customHeight="1">
      <c r="A8157" t="str">
        <f>"412382"</f>
        <v>412382</v>
      </c>
      <c r="B8157" t="str">
        <f>"Connector, D-Type 9F  Thread, 17DEH09S-OL2"</f>
        <v>Connector, D-Type 9F  Thread, 17DEH09S-OL2</v>
      </c>
      <c r="C8157" t="str">
        <f t="shared" si="306"/>
        <v>Active</v>
      </c>
    </row>
    <row r="8158" spans="1:3" ht="18" customHeight="1">
      <c r="A8158" t="str">
        <f>"412385"</f>
        <v>412385</v>
      </c>
      <c r="B8158" t="str">
        <f>"Connector, 20F 0.165"", Molex 5557-20"</f>
        <v>Connector, 20F 0.165", Molex 5557-20</v>
      </c>
      <c r="C8158" t="str">
        <f t="shared" si="306"/>
        <v>Active</v>
      </c>
    </row>
    <row r="8159" spans="1:3" ht="18" customHeight="1">
      <c r="A8159" t="str">
        <f>"412387"</f>
        <v>412387</v>
      </c>
      <c r="B8159" t="str">
        <f>"Connector, D-Type Cable Pressing 37F"</f>
        <v>Connector, D-Type Cable Pressing 37F</v>
      </c>
      <c r="C8159" t="str">
        <f t="shared" si="306"/>
        <v>Active</v>
      </c>
    </row>
    <row r="8160" spans="1:3" ht="18" customHeight="1">
      <c r="A8160" t="str">
        <f>"412388"</f>
        <v>412388</v>
      </c>
      <c r="B8160" t="str">
        <f>"Connector,  Round to Panel, UTG016-19S"</f>
        <v>Connector,  Round to Panel, UTG016-19S</v>
      </c>
      <c r="C8160" t="str">
        <f t="shared" si="306"/>
        <v>Active</v>
      </c>
    </row>
    <row r="8161" spans="1:3" ht="18" customHeight="1">
      <c r="A8161" t="str">
        <f>"412389"</f>
        <v>412389</v>
      </c>
      <c r="B8161" t="str">
        <f>"Connector, 3F orange, WAGO"</f>
        <v>Connector, 3F orange, WAGO</v>
      </c>
      <c r="C8161" t="str">
        <f t="shared" si="306"/>
        <v>Active</v>
      </c>
    </row>
    <row r="8162" spans="1:3" ht="18" customHeight="1">
      <c r="A8162" t="str">
        <f>"412390"</f>
        <v>412390</v>
      </c>
      <c r="B8162" t="str">
        <f>"Connector, 4F orange, WAGO"</f>
        <v>Connector, 4F orange, WAGO</v>
      </c>
      <c r="C8162" t="str">
        <f t="shared" si="306"/>
        <v>Active</v>
      </c>
    </row>
    <row r="8163" spans="1:3" ht="18" customHeight="1">
      <c r="A8163" t="str">
        <f>"412391"</f>
        <v>412391</v>
      </c>
      <c r="B8163" t="str">
        <f>"Connector, 5F orange, WAGO"</f>
        <v>Connector, 5F orange, WAGO</v>
      </c>
      <c r="C8163" t="str">
        <f t="shared" si="306"/>
        <v>Active</v>
      </c>
    </row>
    <row r="8164" spans="1:3" ht="18" customHeight="1">
      <c r="A8164" t="str">
        <f>"412392"</f>
        <v>412392</v>
      </c>
      <c r="B8164" t="str">
        <f>"Connector, 8F orange, WAGO"</f>
        <v>Connector, 8F orange, WAGO</v>
      </c>
      <c r="C8164" t="str">
        <f t="shared" si="306"/>
        <v>Active</v>
      </c>
    </row>
    <row r="8165" spans="1:3" ht="18" customHeight="1">
      <c r="A8165" t="str">
        <f>"412394"</f>
        <v>412394</v>
      </c>
      <c r="B8165" t="str">
        <f>"Connector, 4F, 0.156"", Molex 2139-4"</f>
        <v>Connector, 4F, 0.156", Molex 2139-4</v>
      </c>
      <c r="C8165" t="str">
        <f t="shared" si="306"/>
        <v>Active</v>
      </c>
    </row>
    <row r="8166" spans="1:3" ht="18" customHeight="1">
      <c r="A8166" t="str">
        <f>"412395"</f>
        <v>412395</v>
      </c>
      <c r="B8166" t="str">
        <f>"Connector, Rnd, Female, BURNDY UTG616-19S"</f>
        <v>Connector, Rnd, Female, BURNDY UTG616-19S</v>
      </c>
      <c r="C8166" t="str">
        <f t="shared" si="306"/>
        <v>Active</v>
      </c>
    </row>
    <row r="8167" spans="1:3" ht="18" customHeight="1">
      <c r="A8167" t="str">
        <f>"412396"</f>
        <v>412396</v>
      </c>
      <c r="B8167" t="str">
        <f>"Connector, 3F 0.100"", Molex 6471-03"</f>
        <v>Connector, 3F 0.100", Molex 6471-03</v>
      </c>
      <c r="C8167" t="str">
        <f t="shared" si="306"/>
        <v>Active</v>
      </c>
    </row>
    <row r="8168" spans="1:3" ht="18" customHeight="1">
      <c r="A8168" t="str">
        <f>"412399"</f>
        <v>412399</v>
      </c>
      <c r="B8168" t="str">
        <f>"Connector, Rnd, 37F, Cable, Amphenol T3261-001"</f>
        <v>Connector, Rnd, 37F, Cable, Amphenol T3261-001</v>
      </c>
      <c r="C8168" t="str">
        <f t="shared" si="306"/>
        <v>Active</v>
      </c>
    </row>
    <row r="8169" spans="1:3" ht="18" customHeight="1">
      <c r="A8169" t="str">
        <f>"412404"</f>
        <v>412404</v>
      </c>
      <c r="B8169" t="str">
        <f>"Terminal Block Cable, d=2.9 mm x10"</f>
        <v>Terminal Block Cable, d=2.9 mm x10</v>
      </c>
      <c r="C8169" t="str">
        <f t="shared" si="306"/>
        <v>Active</v>
      </c>
    </row>
    <row r="8170" spans="1:3" ht="18" customHeight="1">
      <c r="A8170" t="str">
        <f>"412406"</f>
        <v>412406</v>
      </c>
      <c r="B8170" t="str">
        <f>"Connector, 7F 0.100"",F884 Molex 6471-07"</f>
        <v>Connector, 7F 0.100",F884 Molex 6471-07</v>
      </c>
      <c r="C8170" t="str">
        <f t="shared" si="306"/>
        <v>Active</v>
      </c>
    </row>
    <row r="8171" spans="1:3" ht="18" customHeight="1">
      <c r="A8171" t="str">
        <f>"412407"</f>
        <v>412407</v>
      </c>
      <c r="B8171" t="str">
        <f>"Connector, 20F, Molex 5229-20 NCPB"</f>
        <v>Connector, 20F, Molex 5229-20 NCPB</v>
      </c>
      <c r="C8171" t="str">
        <f t="shared" si="306"/>
        <v>Active</v>
      </c>
    </row>
    <row r="8172" spans="1:3" ht="18" customHeight="1">
      <c r="A8172" t="str">
        <f>"412408"</f>
        <v>412408</v>
      </c>
      <c r="B8172" t="str">
        <f>"Connector Telephone 6F MOLEX SD-95501-2661"</f>
        <v>Connector Telephone 6F MOLEX SD-95501-2661</v>
      </c>
      <c r="C8172" t="str">
        <f t="shared" si="306"/>
        <v>Active</v>
      </c>
    </row>
    <row r="8173" spans="1:3" ht="18" customHeight="1">
      <c r="A8173" t="str">
        <f>"412409"</f>
        <v>412409</v>
      </c>
      <c r="B8173" t="str">
        <f>"Connector, D-TYPE&lt;&gt;TPB, 25F, TRW DB25HF SOLDER"</f>
        <v>Connector, D-TYPE&lt;&gt;TPB, 25F, TRW DB25HF SOLDER</v>
      </c>
      <c r="C8173" t="str">
        <f t="shared" si="306"/>
        <v>Active</v>
      </c>
    </row>
    <row r="8174" spans="1:3" ht="18" customHeight="1">
      <c r="A8174" t="str">
        <f>"412410"</f>
        <v>412410</v>
      </c>
      <c r="B8174" t="str">
        <f>"Connector, Pressing 4F,  Rafix 5.92025.368"</f>
        <v>Connector, Pressing 4F,  Rafix 5.92025.368</v>
      </c>
      <c r="C8174" t="str">
        <f t="shared" ref="C8174:C8199" si="307">"Active"</f>
        <v>Active</v>
      </c>
    </row>
    <row r="8175" spans="1:3" ht="18" customHeight="1">
      <c r="A8175" t="str">
        <f>"412411"</f>
        <v>412411</v>
      </c>
      <c r="B8175" t="str">
        <f>"Connector, Pressing 10F, Amphenol FRC5-A10-3T-DN"</f>
        <v>Connector, Pressing 10F, Amphenol FRC5-A10-3T-DN</v>
      </c>
      <c r="C8175" t="str">
        <f t="shared" si="307"/>
        <v>Active</v>
      </c>
    </row>
    <row r="8176" spans="1:3" ht="18" customHeight="1">
      <c r="A8176" t="str">
        <f>"412412"</f>
        <v>412412</v>
      </c>
      <c r="B8176" t="str">
        <f>"Connector, straight, D-Type for PCB, 15F 4/40"</f>
        <v>Connector, straight, D-Type for PCB, 15F 4/40</v>
      </c>
      <c r="C8176" t="str">
        <f t="shared" si="307"/>
        <v>Active</v>
      </c>
    </row>
    <row r="8177" spans="1:3" ht="18" customHeight="1">
      <c r="A8177" t="str">
        <f>"412413"</f>
        <v>412413</v>
      </c>
      <c r="B8177" t="str">
        <f>"Banana Socket, RED, K-2074 J_108-0902-001"</f>
        <v>Banana Socket, RED, K-2074 J_108-0902-001</v>
      </c>
      <c r="C8177" t="str">
        <f t="shared" si="307"/>
        <v>Active</v>
      </c>
    </row>
    <row r="8178" spans="1:3" ht="18" customHeight="1">
      <c r="A8178" t="str">
        <f>"412414"</f>
        <v>412414</v>
      </c>
      <c r="B8178" t="str">
        <f>"Banana Socket, BLACK, K-2074 J_108-0903-001"</f>
        <v>Banana Socket, BLACK, K-2074 J_108-0903-001</v>
      </c>
      <c r="C8178" t="str">
        <f t="shared" si="307"/>
        <v>Active</v>
      </c>
    </row>
    <row r="8179" spans="1:3" ht="18" customHeight="1">
      <c r="A8179" t="str">
        <f>"412415"</f>
        <v>412415</v>
      </c>
      <c r="B8179" t="str">
        <f>"Banana Socket, Gray, K-2074 J_108-0913-001 Grey"</f>
        <v>Banana Socket, Gray, K-2074 J_108-0913-001 Grey</v>
      </c>
      <c r="C8179" t="str">
        <f t="shared" si="307"/>
        <v>Active</v>
      </c>
    </row>
    <row r="8180" spans="1:3" ht="18" customHeight="1">
      <c r="A8180" t="str">
        <f>"412417"</f>
        <v>412417</v>
      </c>
      <c r="B8180" t="str">
        <f>"Terminal Block With Fixin, 260-301 WAGO"</f>
        <v>Terminal Block With Fixin, 260-301 WAGO</v>
      </c>
      <c r="C8180" t="str">
        <f t="shared" si="307"/>
        <v>Active</v>
      </c>
    </row>
    <row r="8181" spans="1:3" ht="18" customHeight="1">
      <c r="A8181" t="str">
        <f>"412418"</f>
        <v>412418</v>
      </c>
      <c r="B8181" t="str">
        <f>"Terminal Block With Fixin, Orange, 2CONDUC, WAGO"</f>
        <v>Terminal Block With Fixin, Orange, 2CONDUC, WAGO</v>
      </c>
      <c r="C8181" t="str">
        <f t="shared" si="307"/>
        <v>Active</v>
      </c>
    </row>
    <row r="8182" spans="1:3" ht="18" customHeight="1">
      <c r="A8182" t="str">
        <f>"412419"</f>
        <v>412419</v>
      </c>
      <c r="B8182" t="str">
        <f>"Terminal Block With Foot, CLAMP 2 CONDUCT-GREY"</f>
        <v>Terminal Block With Foot, CLAMP 2 CONDUCT-GREY</v>
      </c>
      <c r="C8182" t="str">
        <f t="shared" si="307"/>
        <v>Active</v>
      </c>
    </row>
    <row r="8183" spans="1:3" ht="18" customHeight="1">
      <c r="A8183" t="str">
        <f>"412420"</f>
        <v>412420</v>
      </c>
      <c r="B8183" t="str">
        <f>"Terminal Block With Fixin,CLAMP 4 CONDUC L.GREY"</f>
        <v>Terminal Block With Fixin,CLAMP 4 CONDUC L.GREY</v>
      </c>
      <c r="C8183" t="str">
        <f t="shared" si="307"/>
        <v>Active</v>
      </c>
    </row>
    <row r="8184" spans="1:3" ht="18" customHeight="1">
      <c r="A8184" t="str">
        <f>"412421"</f>
        <v>412421</v>
      </c>
      <c r="B8184" t="str">
        <f>"Terminal Block With Fixin,4 CONDUCTOR, Orange"</f>
        <v>Terminal Block With Fixin,4 CONDUCTOR, Orange</v>
      </c>
      <c r="C8184" t="str">
        <f t="shared" si="307"/>
        <v>Active</v>
      </c>
    </row>
    <row r="8185" spans="1:3" ht="18" customHeight="1">
      <c r="A8185" t="str">
        <f>"412422"</f>
        <v>412422</v>
      </c>
      <c r="B8185" t="str">
        <f>"End Plate With Fix Flange, 260-371, WAGO"</f>
        <v>End Plate With Fix Flange, 260-371, WAGO</v>
      </c>
      <c r="C8185" t="str">
        <f t="shared" si="307"/>
        <v>Active</v>
      </c>
    </row>
    <row r="8186" spans="1:3" ht="18" customHeight="1">
      <c r="A8186" t="str">
        <f>"412423"</f>
        <v>412423</v>
      </c>
      <c r="B8186" t="str">
        <f>"Jumper, TB-2 Way Comb-type, 260-402, WAGO"</f>
        <v>Jumper, TB-2 Way Comb-type, 260-402, WAGO</v>
      </c>
      <c r="C8186" t="str">
        <f t="shared" si="307"/>
        <v>Active</v>
      </c>
    </row>
    <row r="8187" spans="1:3" ht="18" customHeight="1">
      <c r="A8187" t="str">
        <f>"412424"</f>
        <v>412424</v>
      </c>
      <c r="B8187" t="str">
        <f>"TB -Mounting Foot,209-120 WAGO"</f>
        <v>TB -Mounting Foot,209-120 WAGO</v>
      </c>
      <c r="C8187" t="str">
        <f t="shared" si="307"/>
        <v>Active</v>
      </c>
    </row>
    <row r="8188" spans="1:3" ht="18" customHeight="1">
      <c r="A8188" t="str">
        <f>"412426"</f>
        <v>412426</v>
      </c>
      <c r="B8188" t="str">
        <f>"Sing Con Term Stips &amp; Fix, 231-602/017-000 WAGO"</f>
        <v>Sing Con Term Stips &amp; Fix, 231-602/017-000 WAGO</v>
      </c>
      <c r="C8188" t="str">
        <f t="shared" si="307"/>
        <v>Active</v>
      </c>
    </row>
    <row r="8189" spans="1:3" ht="18" customHeight="1">
      <c r="A8189" t="str">
        <f>"412428"</f>
        <v>412428</v>
      </c>
      <c r="B8189" t="str">
        <f>"Connector, D TYPE 9F FEMALE SOCKET, Straight"</f>
        <v>Connector, D TYPE 9F FEMALE SOCKET, Straight</v>
      </c>
      <c r="C8189" t="str">
        <f t="shared" si="307"/>
        <v>Active</v>
      </c>
    </row>
    <row r="8190" spans="1:3" ht="18" customHeight="1">
      <c r="A8190" t="str">
        <f>"412435"</f>
        <v>412435</v>
      </c>
      <c r="B8190" t="str">
        <f>"Banana Socket mini-2mm,RED"</f>
        <v>Banana Socket mini-2mm,RED</v>
      </c>
      <c r="C8190" t="str">
        <f t="shared" si="307"/>
        <v>Active</v>
      </c>
    </row>
    <row r="8191" spans="1:3" ht="18" customHeight="1">
      <c r="A8191" t="str">
        <f>"412436"</f>
        <v>412436</v>
      </c>
      <c r="B8191" t="str">
        <f>"Banana Socket mini-2mm,Black"</f>
        <v>Banana Socket mini-2mm,Black</v>
      </c>
      <c r="C8191" t="str">
        <f t="shared" si="307"/>
        <v>Active</v>
      </c>
    </row>
    <row r="8192" spans="1:3" ht="18" customHeight="1">
      <c r="A8192" t="str">
        <f>"412437"</f>
        <v>412437</v>
      </c>
      <c r="B8192" t="str">
        <f>"Banana Socket, Green, K-2074"</f>
        <v>Banana Socket, Green, K-2074</v>
      </c>
      <c r="C8192" t="str">
        <f t="shared" si="307"/>
        <v>Active</v>
      </c>
    </row>
    <row r="8193" spans="1:3" ht="18" customHeight="1">
      <c r="A8193" t="str">
        <f>"412447"</f>
        <v>412447</v>
      </c>
      <c r="B8193" t="str">
        <f>"3/3 5.08, Gray (תועצה ןיא) Terminal block 3"</f>
        <v>3/3 5.08, Gray (תועצה ןיא) Terminal block 3</v>
      </c>
      <c r="C8193" t="str">
        <f t="shared" si="307"/>
        <v>Active</v>
      </c>
    </row>
    <row r="8194" spans="1:3" ht="18" customHeight="1">
      <c r="A8194" t="str">
        <f>"412449"</f>
        <v>412449</v>
      </c>
      <c r="B8194" t="str">
        <f>"connector for flat c  SMT, FX2BA-60SA-1.27R"</f>
        <v>connector for flat c  SMT, FX2BA-60SA-1.27R</v>
      </c>
      <c r="C8194" t="str">
        <f t="shared" si="307"/>
        <v>Active</v>
      </c>
    </row>
    <row r="8195" spans="1:3" ht="18" customHeight="1">
      <c r="A8195" t="str">
        <f>"412450"</f>
        <v>412450</v>
      </c>
      <c r="B8195" t="str">
        <f>"connector(HRS), Flat Cable, HIF6-60D-1.27R"</f>
        <v>connector(HRS), Flat Cable, HIF6-60D-1.27R</v>
      </c>
      <c r="C8195" t="str">
        <f t="shared" si="307"/>
        <v>Active</v>
      </c>
    </row>
    <row r="8196" spans="1:3" ht="18" customHeight="1">
      <c r="A8196" t="str">
        <f>"412452"</f>
        <v>412452</v>
      </c>
      <c r="B8196" t="str">
        <f>"Connector, D-Type, 9F 90° to PCB, DR-09ST-2-3"</f>
        <v>Connector, D-Type, 9F 90° to PCB, DR-09ST-2-3</v>
      </c>
      <c r="C8196" t="str">
        <f t="shared" si="307"/>
        <v>Active</v>
      </c>
    </row>
    <row r="8197" spans="1:3" ht="18" customHeight="1">
      <c r="A8197" t="str">
        <f>"412453"</f>
        <v>412453</v>
      </c>
      <c r="B8197" t="str">
        <f>"Terminal block 3 pin, SMKDS 3/3 5.08 BK"</f>
        <v>Terminal block 3 pin, SMKDS 3/3 5.08 BK</v>
      </c>
      <c r="C8197" t="str">
        <f t="shared" si="307"/>
        <v>Active</v>
      </c>
    </row>
    <row r="8198" spans="1:3" ht="18" customHeight="1">
      <c r="A8198" t="str">
        <f>"412454"</f>
        <v>412454</v>
      </c>
      <c r="B8198" t="str">
        <f>"D-SUB Double 9F 90° PCB, DR-09ST-2-3"</f>
        <v>D-SUB Double 9F 90° PCB, DR-09ST-2-3</v>
      </c>
      <c r="C8198" t="str">
        <f t="shared" si="307"/>
        <v>Active</v>
      </c>
    </row>
    <row r="8199" spans="1:3" ht="18" customHeight="1">
      <c r="A8199" t="str">
        <f>"412455"</f>
        <v>412455</v>
      </c>
      <c r="B8199" t="str">
        <f>"Conn.Socket 36Pin, PCB, 10236-52A2JL,YET(4J6007)"</f>
        <v>Conn.Socket 36Pin, PCB, 10236-52A2JL,YET(4J6007)</v>
      </c>
      <c r="C8199" t="str">
        <f t="shared" si="307"/>
        <v>Active</v>
      </c>
    </row>
    <row r="8200" spans="1:3" ht="18" customHeight="1">
      <c r="A8200" t="str">
        <f>"412457"</f>
        <v>412457</v>
      </c>
      <c r="B8200" t="str">
        <f>"Banana Socket, DR BP022R UP"</f>
        <v>Banana Socket, DR BP022R UP</v>
      </c>
      <c r="C8200" t="str">
        <f>"Not for purc"</f>
        <v>Not for purc</v>
      </c>
    </row>
    <row r="8201" spans="1:3" ht="18" customHeight="1">
      <c r="A8201" t="str">
        <f>"412458"</f>
        <v>412458</v>
      </c>
      <c r="B8201" t="str">
        <f>"Banana Socket, DR BP022B UP"</f>
        <v>Banana Socket, DR BP022B UP</v>
      </c>
      <c r="C8201" t="str">
        <f>"Not for purc"</f>
        <v>Not for purc</v>
      </c>
    </row>
    <row r="8202" spans="1:3" ht="18" customHeight="1">
      <c r="A8202" t="str">
        <f>"412459"</f>
        <v>412459</v>
      </c>
      <c r="B8202" t="str">
        <f>"TB Wire Terminal DIN Ral,ADAM-3968, 68pin,SCSI 2"</f>
        <v>TB Wire Terminal DIN Ral,ADAM-3968, 68pin,SCSI 2</v>
      </c>
      <c r="C8202" t="str">
        <f t="shared" ref="C8202:C8218" si="308">"Active"</f>
        <v>Active</v>
      </c>
    </row>
    <row r="8203" spans="1:3" ht="18" customHeight="1">
      <c r="A8203" t="str">
        <f>"412462"</f>
        <v>412462</v>
      </c>
      <c r="B8203" t="str">
        <f>"PCB Terminal 2Pin 90°,PHOENIX MC 1.5/2-G-3.81"</f>
        <v>PCB Terminal 2Pin 90°,PHOENIX MC 1.5/2-G-3.81</v>
      </c>
      <c r="C8203" t="str">
        <f t="shared" si="308"/>
        <v>Active</v>
      </c>
    </row>
    <row r="8204" spans="1:3" ht="18" customHeight="1">
      <c r="A8204" t="str">
        <f>"412463"</f>
        <v>412463</v>
      </c>
      <c r="B8204" t="str">
        <f>"PCB Terminal 3Pin 90°,PHOENIX MC 1.5/3-G-3.81"</f>
        <v>PCB Terminal 3Pin 90°,PHOENIX MC 1.5/3-G-3.81</v>
      </c>
      <c r="C8204" t="str">
        <f t="shared" si="308"/>
        <v>Active</v>
      </c>
    </row>
    <row r="8205" spans="1:3" ht="18" customHeight="1">
      <c r="A8205" t="str">
        <f>"412464"</f>
        <v>412464</v>
      </c>
      <c r="B8205" t="str">
        <f>"PCB Terminal 8Pin 90°,PHOENIX MC 1.5/8-G-3.81"</f>
        <v>PCB Terminal 8Pin 90°,PHOENIX MC 1.5/8-G-3.81</v>
      </c>
      <c r="C8205" t="str">
        <f t="shared" si="308"/>
        <v>Active</v>
      </c>
    </row>
    <row r="8206" spans="1:3" ht="18" customHeight="1">
      <c r="A8206" t="str">
        <f>"412465"</f>
        <v>412465</v>
      </c>
      <c r="B8206" t="str">
        <f>"PCB Terminal 10Pin 90°,PHOENIX MC 1.5/10-G-3.81"</f>
        <v>PCB Terminal 10Pin 90°,PHOENIX MC 1.5/10-G-3.81</v>
      </c>
      <c r="C8206" t="str">
        <f t="shared" si="308"/>
        <v>Active</v>
      </c>
    </row>
    <row r="8207" spans="1:3" ht="18" customHeight="1">
      <c r="A8207" t="str">
        <f>"412466"</f>
        <v>412466</v>
      </c>
      <c r="B8207" t="str">
        <f>"PCB Terminal 12Pin 90°,PHOENIX MC 1.5/12-G-3.81"</f>
        <v>PCB Terminal 12Pin 90°,PHOENIX MC 1.5/12-G-3.81</v>
      </c>
      <c r="C8207" t="str">
        <f t="shared" si="308"/>
        <v>Active</v>
      </c>
    </row>
    <row r="8208" spans="1:3" ht="18" customHeight="1">
      <c r="A8208" t="str">
        <f>"412467"</f>
        <v>412467</v>
      </c>
      <c r="B8208" t="str">
        <f>"Header 1 row 8 pins 2.54"</f>
        <v>Header 1 row 8 pins 2.54</v>
      </c>
      <c r="C8208" t="str">
        <f t="shared" si="308"/>
        <v>Active</v>
      </c>
    </row>
    <row r="8209" spans="1:3" ht="18" customHeight="1">
      <c r="A8209" t="str">
        <f>"412468"</f>
        <v>412468</v>
      </c>
      <c r="B8209" t="str">
        <f>"Conn.D-SUB 50 F, Socket, RA, PCB"</f>
        <v>Conn.D-SUB 50 F, Socket, RA, PCB</v>
      </c>
      <c r="C8209" t="str">
        <f t="shared" si="308"/>
        <v>Active</v>
      </c>
    </row>
    <row r="8210" spans="1:3" ht="18" customHeight="1">
      <c r="A8210" t="str">
        <f>"412471"</f>
        <v>412471</v>
      </c>
      <c r="B8210" t="str">
        <f>"Header 2x10 2.54mm"</f>
        <v>Header 2x10 2.54mm</v>
      </c>
      <c r="C8210" t="str">
        <f t="shared" si="308"/>
        <v>Active</v>
      </c>
    </row>
    <row r="8211" spans="1:3" ht="18" customHeight="1">
      <c r="A8211" t="str">
        <f>"412474"</f>
        <v>412474</v>
      </c>
      <c r="B8211" t="str">
        <f>"Connector, Power, 18-10, YET P/N 4J8010"</f>
        <v>Connector, Power, 18-10, YET P/N 4J8010</v>
      </c>
      <c r="C8211" t="str">
        <f t="shared" si="308"/>
        <v>Active</v>
      </c>
    </row>
    <row r="8212" spans="1:3" ht="18" customHeight="1">
      <c r="A8212" t="str">
        <f>"412475"</f>
        <v>412475</v>
      </c>
      <c r="B8212" t="str">
        <f>"Clamp, CE305710A1 (D265),YET P/N 4J8011"</f>
        <v>Clamp, CE305710A1 (D265),YET P/N 4J8011</v>
      </c>
      <c r="C8212" t="str">
        <f t="shared" si="308"/>
        <v>Active</v>
      </c>
    </row>
    <row r="8213" spans="1:3" ht="18" customHeight="1">
      <c r="A8213" t="str">
        <f>"412476"</f>
        <v>412476</v>
      </c>
      <c r="B8213" t="str">
        <f>"Connector for FPS PSU, PCIB24W9F300A1"</f>
        <v>Connector for FPS PSU, PCIB24W9F300A1</v>
      </c>
      <c r="C8213" t="str">
        <f t="shared" si="308"/>
        <v>Active</v>
      </c>
    </row>
    <row r="8214" spans="1:3" ht="18" customHeight="1">
      <c r="A8214" t="str">
        <f>"412478"</f>
        <v>412478</v>
      </c>
      <c r="B8214" t="str">
        <f>"Terminal MTTB 1.5 Grey,PHOENIX P/N 1414129"</f>
        <v>Terminal MTTB 1.5 Grey,PHOENIX P/N 1414129</v>
      </c>
      <c r="C8214" t="str">
        <f t="shared" si="308"/>
        <v>Active</v>
      </c>
    </row>
    <row r="8215" spans="1:3" ht="18" customHeight="1">
      <c r="A8215" t="str">
        <f>"412479"</f>
        <v>412479</v>
      </c>
      <c r="B8215" t="str">
        <f>"Terminal MTTB 1.5 Blue,PHOENIX P/N 3000926"</f>
        <v>Terminal MTTB 1.5 Blue,PHOENIX P/N 3000926</v>
      </c>
      <c r="C8215" t="str">
        <f t="shared" si="308"/>
        <v>Active</v>
      </c>
    </row>
    <row r="8216" spans="1:3" ht="18" customHeight="1">
      <c r="A8216" t="str">
        <f>"412480"</f>
        <v>412480</v>
      </c>
      <c r="B8216" t="str">
        <f>"Fixed Bridge (short) FBRN 10-4N,PHOENIX 3001624"</f>
        <v>Fixed Bridge (short) FBRN 10-4N,PHOENIX 3001624</v>
      </c>
      <c r="C8216" t="str">
        <f t="shared" si="308"/>
        <v>Active</v>
      </c>
    </row>
    <row r="8217" spans="1:3" ht="18" customHeight="1">
      <c r="A8217" t="str">
        <f>"412481"</f>
        <v>412481</v>
      </c>
      <c r="B8217" t="str">
        <f>"Marker Strip, MTTB 1.5 ZBF4,PHOENIX P/N 0808613"</f>
        <v>Marker Strip, MTTB 1.5 ZBF4,PHOENIX P/N 0808613</v>
      </c>
      <c r="C8217" t="str">
        <f t="shared" si="308"/>
        <v>Active</v>
      </c>
    </row>
    <row r="8218" spans="1:3" ht="18" customHeight="1">
      <c r="A8218" t="str">
        <f>"412482"</f>
        <v>412482</v>
      </c>
      <c r="B8218" t="str">
        <f>"Cover Spacer DG-MTTB 1.5, PHOENIX P/N 3002678"</f>
        <v>Cover Spacer DG-MTTB 1.5, PHOENIX P/N 3002678</v>
      </c>
      <c r="C8218" t="str">
        <f t="shared" si="308"/>
        <v>Active</v>
      </c>
    </row>
    <row r="8219" spans="1:3" ht="18" customHeight="1">
      <c r="A8219" t="str">
        <f>"412484"</f>
        <v>412484</v>
      </c>
      <c r="B8219" t="str">
        <f>"Conn., Power, CE058A1810SDBBAS, 18-10,YET 4J8010"</f>
        <v>Conn., Power, CE058A1810SDBBAS, 18-10,YET 4J8010</v>
      </c>
      <c r="C8219" t="str">
        <f>"ECO-N2Buy"</f>
        <v>ECO-N2Buy</v>
      </c>
    </row>
    <row r="8220" spans="1:3" ht="18" customHeight="1">
      <c r="A8220" t="str">
        <f>"412485"</f>
        <v>412485</v>
      </c>
      <c r="B8220" t="str">
        <f>"Clamp, for connector, CE305710A1 (D265)"</f>
        <v>Clamp, for connector, CE305710A1 (D265)</v>
      </c>
      <c r="C8220" t="str">
        <f>"ECO-N2Buy"</f>
        <v>ECO-N2Buy</v>
      </c>
    </row>
    <row r="8221" spans="1:3" ht="18" customHeight="1">
      <c r="A8221" t="str">
        <f>"412487"</f>
        <v>412487</v>
      </c>
      <c r="B8221" t="str">
        <f>"FFF/FPC Connector 10F MOLEX P/N 52207-1060"</f>
        <v>FFF/FPC Connector 10F MOLEX P/N 52207-1060</v>
      </c>
      <c r="C8221" t="str">
        <f t="shared" ref="C8221:C8266" si="309">"Active"</f>
        <v>Active</v>
      </c>
    </row>
    <row r="8222" spans="1:3" ht="18" customHeight="1">
      <c r="A8222" t="str">
        <f>"412488"</f>
        <v>412488</v>
      </c>
      <c r="B8222" t="str">
        <f>"Connector Telephne 6F MFGPN MOLEX 95501-2661"</f>
        <v>Connector Telephne 6F MFGPN MOLEX 95501-2661</v>
      </c>
      <c r="C8222" t="str">
        <f t="shared" si="309"/>
        <v>Active</v>
      </c>
    </row>
    <row r="8223" spans="1:3" ht="18" customHeight="1">
      <c r="A8223" t="str">
        <f>"412489"</f>
        <v>412489</v>
      </c>
      <c r="B8223" t="str">
        <f>"PCB Terminal 2 Pin, 5.08mm, Blue"</f>
        <v>PCB Terminal 2 Pin, 5.08mm, Blue</v>
      </c>
      <c r="C8223" t="str">
        <f t="shared" si="309"/>
        <v>Active</v>
      </c>
    </row>
    <row r="8224" spans="1:3" ht="18" customHeight="1">
      <c r="A8224" t="str">
        <f>"412490"</f>
        <v>412490</v>
      </c>
      <c r="B8224" t="str">
        <f>"Banana Socket 4mm Red BS-324-LG-R"</f>
        <v>Banana Socket 4mm Red BS-324-LG-R</v>
      </c>
      <c r="C8224" t="str">
        <f t="shared" si="309"/>
        <v>Active</v>
      </c>
    </row>
    <row r="8225" spans="1:3" ht="18" customHeight="1">
      <c r="A8225" t="str">
        <f>"412491"</f>
        <v>412491</v>
      </c>
      <c r="B8225" t="str">
        <f>"Banana Socket 4mm Blue BS-4-LG-B"</f>
        <v>Banana Socket 4mm Blue BS-4-LG-B</v>
      </c>
      <c r="C8225" t="str">
        <f t="shared" si="309"/>
        <v>Active</v>
      </c>
    </row>
    <row r="8226" spans="1:3" ht="18" customHeight="1">
      <c r="A8226" t="str">
        <f>"412492"</f>
        <v>412492</v>
      </c>
      <c r="B8226" t="str">
        <f>"Banana Socket 4mm Black BS-324-LG-B"</f>
        <v>Banana Socket 4mm Black BS-324-LG-B</v>
      </c>
      <c r="C8226" t="str">
        <f t="shared" si="309"/>
        <v>Active</v>
      </c>
    </row>
    <row r="8227" spans="1:3" ht="18" customHeight="1">
      <c r="A8227" t="str">
        <f>"412496"</f>
        <v>412496</v>
      </c>
      <c r="B8227" t="str">
        <f>"RG Connector on panel"</f>
        <v>RG Connector on panel</v>
      </c>
      <c r="C8227" t="str">
        <f t="shared" si="309"/>
        <v>Active</v>
      </c>
    </row>
    <row r="8228" spans="1:3" ht="18" customHeight="1">
      <c r="A8228" t="str">
        <f>"412497"</f>
        <v>412497</v>
      </c>
      <c r="B8228" t="str">
        <f>"Connector, Amphenol, Female, 7-Pin, eco|mate"</f>
        <v>Connector, Amphenol, Female, 7-Pin, eco|mate</v>
      </c>
      <c r="C8228" t="str">
        <f t="shared" si="309"/>
        <v>Active</v>
      </c>
    </row>
    <row r="8229" spans="1:3" ht="18" customHeight="1">
      <c r="A8229" t="str">
        <f>"412601"</f>
        <v>412601</v>
      </c>
      <c r="B8229" t="str">
        <f>"Pin, Con. 0.100"" Female,Molex 2759-TL  22-30AWG"</f>
        <v>Pin, Con. 0.100" Female,Molex 2759-TL  22-30AWG</v>
      </c>
      <c r="C8229" t="str">
        <f t="shared" si="309"/>
        <v>Active</v>
      </c>
    </row>
    <row r="8230" spans="1:3" ht="18" customHeight="1">
      <c r="A8230" t="str">
        <f>"412602"</f>
        <v>412602</v>
      </c>
      <c r="B8230" t="str">
        <f>"Pin, Con. 0.156"" Female,Molex 2478-TL 18-24AWG"</f>
        <v>Pin, Con. 0.156" Female,Molex 2478-TL 18-24AWG</v>
      </c>
      <c r="C8230" t="str">
        <f t="shared" si="309"/>
        <v>Active</v>
      </c>
    </row>
    <row r="8231" spans="1:3" ht="18" customHeight="1">
      <c r="A8231" t="str">
        <f>"412603"</f>
        <v>412603</v>
      </c>
      <c r="B8231" t="str">
        <f>"Pin, square 0.165"" Female, Molex 5556TL,18-24AWG"</f>
        <v>Pin, square 0.165" Female, Molex 5556TL,18-24AWG</v>
      </c>
      <c r="C8231" t="str">
        <f t="shared" si="309"/>
        <v>Active</v>
      </c>
    </row>
    <row r="8232" spans="1:3" ht="18" customHeight="1">
      <c r="A8232" t="str">
        <f>"412604"</f>
        <v>412604</v>
      </c>
      <c r="B8232" t="str">
        <f>"Pin - 10mm  WireWrap"</f>
        <v>Pin - 10mm  WireWrap</v>
      </c>
      <c r="C8232" t="str">
        <f t="shared" si="309"/>
        <v>Active</v>
      </c>
    </row>
    <row r="8233" spans="1:3" ht="18" customHeight="1">
      <c r="A8233" t="str">
        <f>"412605"</f>
        <v>412605</v>
      </c>
      <c r="B8233" t="str">
        <f>"Pin, Rnd, 0.165"" Female, 20-28AWG, Molex1855-TL"</f>
        <v>Pin, Rnd, 0.165" Female, 20-28AWG, Molex1855-TL</v>
      </c>
      <c r="C8233" t="str">
        <f t="shared" si="309"/>
        <v>Active</v>
      </c>
    </row>
    <row r="8234" spans="1:3" ht="18" customHeight="1">
      <c r="A8234" t="str">
        <f>"412609"</f>
        <v>412609</v>
      </c>
      <c r="B8234" t="str">
        <f>"Pin, D-Type Con, Male, 24-28AWG, Molex82024-0404"</f>
        <v>Pin, D-Type Con, Male, 24-28AWG, Molex82024-0404</v>
      </c>
      <c r="C8234" t="str">
        <f t="shared" si="309"/>
        <v>Active</v>
      </c>
    </row>
    <row r="8235" spans="1:3" ht="18" customHeight="1">
      <c r="A8235" t="str">
        <f>"412610"</f>
        <v>412610</v>
      </c>
      <c r="B8235" t="str">
        <f>"Terminal, Ring, Red,DO=8mm x DI=5mm,18-22AWG"</f>
        <v>Terminal, Ring, Red,DO=8mm x DI=5mm,18-22AWG</v>
      </c>
      <c r="C8235" t="str">
        <f t="shared" si="309"/>
        <v>Active</v>
      </c>
    </row>
    <row r="8236" spans="1:3" ht="18" customHeight="1">
      <c r="A8236" t="str">
        <f>"412611"</f>
        <v>412611</v>
      </c>
      <c r="B8236" t="str">
        <f>"Terminal, Ring, Red,DO=8mm xDI=4.5mm,18-22AWG"</f>
        <v>Terminal, Ring, Red,DO=8mm xDI=4.5mm,18-22AWG</v>
      </c>
      <c r="C8236" t="str">
        <f t="shared" si="309"/>
        <v>Active</v>
      </c>
    </row>
    <row r="8237" spans="1:3" ht="18" customHeight="1">
      <c r="A8237" t="str">
        <f>"412612"</f>
        <v>412612</v>
      </c>
      <c r="B8237" t="str">
        <f>"Terminal, Ring, Blue,DO=8mm x DI=5mm, 14-16AWG"</f>
        <v>Terminal, Ring, Blue,DO=8mm x DI=5mm, 14-16AWG</v>
      </c>
      <c r="C8237" t="str">
        <f t="shared" si="309"/>
        <v>Active</v>
      </c>
    </row>
    <row r="8238" spans="1:3" ht="18" customHeight="1">
      <c r="A8238" t="str">
        <f>"412613"</f>
        <v>412613</v>
      </c>
      <c r="B8238" t="str">
        <f>"Terminal, Ring, Blue, DO=8mmxDI=4.5mm,14-16AWG"</f>
        <v>Terminal, Ring, Blue, DO=8mmxDI=4.5mm,14-16AWG</v>
      </c>
      <c r="C8238" t="str">
        <f t="shared" si="309"/>
        <v>Active</v>
      </c>
    </row>
    <row r="8239" spans="1:3" ht="18" customHeight="1">
      <c r="A8239" t="str">
        <f>"412614"</f>
        <v>412614</v>
      </c>
      <c r="B8239" t="str">
        <f>"Terminal, Ring, Yellow, DO=8mmxDI=5mm, 10-12AWG"</f>
        <v>Terminal, Ring, Yellow, DO=8mmxDI=5mm, 10-12AWG</v>
      </c>
      <c r="C8239" t="str">
        <f t="shared" si="309"/>
        <v>Active</v>
      </c>
    </row>
    <row r="8240" spans="1:3" ht="18" customHeight="1">
      <c r="A8240" t="str">
        <f>"412615"</f>
        <v>412615</v>
      </c>
      <c r="B8240" t="str">
        <f>"Terminal, Flat, Red insulator 6.35x0.8mm,18-22AW"</f>
        <v>Terminal, Flat, Red insulator 6.35x0.8mm,18-22AW</v>
      </c>
      <c r="C8240" t="str">
        <f t="shared" si="309"/>
        <v>Active</v>
      </c>
    </row>
    <row r="8241" spans="1:3" ht="18" customHeight="1">
      <c r="A8241" t="str">
        <f>"412616"</f>
        <v>412616</v>
      </c>
      <c r="B8241" t="str">
        <f>"Terminal, Flat, Blue insulator 6.35x0.8mm,14-16A"</f>
        <v>Terminal, Flat, Blue insulator 6.35x0.8mm,14-16A</v>
      </c>
      <c r="C8241" t="str">
        <f t="shared" si="309"/>
        <v>Active</v>
      </c>
    </row>
    <row r="8242" spans="1:3" ht="18" customHeight="1">
      <c r="A8242" t="str">
        <f>"412618"</f>
        <v>412618</v>
      </c>
      <c r="B8242" t="str">
        <f>"Terminal, Spade, Red, Out=7.6,In=3.7,22-18AWG"</f>
        <v>Terminal, Spade, Red, Out=7.6,In=3.7,22-18AWG</v>
      </c>
      <c r="C8242" t="str">
        <f t="shared" si="309"/>
        <v>Active</v>
      </c>
    </row>
    <row r="8243" spans="1:3" ht="18" customHeight="1">
      <c r="A8243" t="str">
        <f>"412620"</f>
        <v>412620</v>
      </c>
      <c r="B8243" t="str">
        <f>"Pin, D-Type Con, Female,24-28AWG"</f>
        <v>Pin, D-Type Con, Female,24-28AWG</v>
      </c>
      <c r="C8243" t="str">
        <f t="shared" si="309"/>
        <v>Active</v>
      </c>
    </row>
    <row r="8244" spans="1:3" ht="18" customHeight="1">
      <c r="A8244" t="str">
        <f>"412621"</f>
        <v>412621</v>
      </c>
      <c r="B8244" t="str">
        <f>"Pin, BURNDY Conn., BURNDY RM16M23K"</f>
        <v>Pin, BURNDY Conn., BURNDY RM16M23K</v>
      </c>
      <c r="C8244" t="str">
        <f t="shared" si="309"/>
        <v>Active</v>
      </c>
    </row>
    <row r="8245" spans="1:3" ht="18" customHeight="1">
      <c r="A8245" t="str">
        <f>"412622"</f>
        <v>412622</v>
      </c>
      <c r="B8245" t="str">
        <f>"Pin, Female Contact, BURNDY RC16M23K"</f>
        <v>Pin, Female Contact, BURNDY RC16M23K</v>
      </c>
      <c r="C8245" t="str">
        <f t="shared" si="309"/>
        <v>Active</v>
      </c>
    </row>
    <row r="8246" spans="1:3" ht="18" customHeight="1">
      <c r="A8246" t="str">
        <f>"412623"</f>
        <v>412623</v>
      </c>
      <c r="B8246" t="str">
        <f>"Terminal, Flat, Fast conn, Yellow"</f>
        <v>Terminal, Flat, Fast conn, Yellow</v>
      </c>
      <c r="C8246" t="str">
        <f t="shared" si="309"/>
        <v>Active</v>
      </c>
    </row>
    <row r="8247" spans="1:3" ht="18" customHeight="1">
      <c r="A8247" t="str">
        <f>"412625"</f>
        <v>412625</v>
      </c>
      <c r="B8247" t="str">
        <f>"Terminal, Flat, Fast Conn., Red 4.75x0.5mm"</f>
        <v>Terminal, Flat, Fast Conn., Red 4.75x0.5mm</v>
      </c>
      <c r="C8247" t="str">
        <f t="shared" si="309"/>
        <v>Active</v>
      </c>
    </row>
    <row r="8248" spans="1:3" ht="18" customHeight="1">
      <c r="A8248" t="str">
        <f>"412626"</f>
        <v>412626</v>
      </c>
      <c r="B8248" t="str">
        <f>"Terminal, Ring, Red, Out=11.5x In=6.8,14-16AWG"</f>
        <v>Terminal, Ring, Red, Out=11.5x In=6.8,14-16AWG</v>
      </c>
      <c r="C8248" t="str">
        <f t="shared" si="309"/>
        <v>Active</v>
      </c>
    </row>
    <row r="8249" spans="1:3" ht="18" customHeight="1">
      <c r="A8249" t="str">
        <f>"412627"</f>
        <v>412627</v>
      </c>
      <c r="B8249" t="str">
        <f>"Terminal, Ring, Red DO=5mm x DI=3mm, 18-24AWG"</f>
        <v>Terminal, Ring, Red DO=5mm x DI=3mm, 18-24AWG</v>
      </c>
      <c r="C8249" t="str">
        <f t="shared" si="309"/>
        <v>Active</v>
      </c>
    </row>
    <row r="8250" spans="1:3" ht="18" customHeight="1">
      <c r="A8250" t="str">
        <f>"412630"</f>
        <v>412630</v>
      </c>
      <c r="B8250" t="str">
        <f>"Pin, square, 0.165"" Female Molex , 22-28AWG"</f>
        <v>Pin, square, 0.165" Female Molex , 22-28AWG</v>
      </c>
      <c r="C8250" t="str">
        <f t="shared" si="309"/>
        <v>Active</v>
      </c>
    </row>
    <row r="8251" spans="1:3" ht="18" customHeight="1">
      <c r="A8251" t="str">
        <f>"412631"</f>
        <v>412631</v>
      </c>
      <c r="B8251" t="str">
        <f>"Pin, square, 0.165"" Male, Molex, 22-28AWG"</f>
        <v>Pin, square, 0.165" Male, Molex, 22-28AWG</v>
      </c>
      <c r="C8251" t="str">
        <f t="shared" si="309"/>
        <v>Active</v>
      </c>
    </row>
    <row r="8252" spans="1:3" ht="18" customHeight="1">
      <c r="A8252" t="str">
        <f>"412633"</f>
        <v>412633</v>
      </c>
      <c r="B8252" t="str">
        <f>"Terminal, Spade, Gold Out=6.7,In=3.7,22-26AWG"</f>
        <v>Terminal, Spade, Gold Out=6.7,In=3.7,22-26AWG</v>
      </c>
      <c r="C8252" t="str">
        <f t="shared" si="309"/>
        <v>Active</v>
      </c>
    </row>
    <row r="8253" spans="1:3" ht="18" customHeight="1">
      <c r="A8253" t="str">
        <f>"412634"</f>
        <v>412634</v>
      </c>
      <c r="B8253" t="str">
        <f>"Terminal, Flat, Red, Fast Conn. ,TAB .187x.020"""</f>
        <v>Terminal, Flat, Red, Fast Conn. ,TAB .187x.020"</v>
      </c>
      <c r="C8253" t="str">
        <f t="shared" si="309"/>
        <v>Active</v>
      </c>
    </row>
    <row r="8254" spans="1:3" ht="18" customHeight="1">
      <c r="A8254" t="str">
        <f>"412635"</f>
        <v>412635</v>
      </c>
      <c r="B8254" t="str">
        <f>"Pin, Con. 0.156"" Female,Molex 2578-TL,22-28AWG"</f>
        <v>Pin, Con. 0.156" Female,Molex 2578-TL,22-28AWG</v>
      </c>
      <c r="C8254" t="str">
        <f t="shared" si="309"/>
        <v>Active</v>
      </c>
    </row>
    <row r="8255" spans="1:3" ht="18" customHeight="1">
      <c r="A8255" t="str">
        <f>"412636"</f>
        <v>412636</v>
      </c>
      <c r="B8255" t="str">
        <f>"x DI=2.18,18-24AWG  ם=Terminal, Ring, Red, DO"</f>
        <v>x DI=2.18,18-24AWG  ם=Terminal, Ring, Red, DO</v>
      </c>
      <c r="C8255" t="str">
        <f t="shared" si="309"/>
        <v>Active</v>
      </c>
    </row>
    <row r="8256" spans="1:3" ht="18" customHeight="1">
      <c r="A8256" t="str">
        <f>"412637"</f>
        <v>412637</v>
      </c>
      <c r="B8256" t="str">
        <f>"Butt Splices, Red, 22 - 18 AWG"</f>
        <v>Butt Splices, Red, 22 - 18 AWG</v>
      </c>
      <c r="C8256" t="str">
        <f t="shared" si="309"/>
        <v>Active</v>
      </c>
    </row>
    <row r="8257" spans="1:3" ht="18" customHeight="1">
      <c r="A8257" t="str">
        <f>"412638"</f>
        <v>412638</v>
      </c>
      <c r="B8257" t="str">
        <f>"Pin, square, 0.165"" Male, Molex 5558-TL 18-24AWG"</f>
        <v>Pin, square, 0.165" Male, Molex 5558-TL 18-24AWG</v>
      </c>
      <c r="C8257" t="str">
        <f t="shared" si="309"/>
        <v>Active</v>
      </c>
    </row>
    <row r="8258" spans="1:3" ht="18" customHeight="1">
      <c r="A8258" t="str">
        <f>"412639"</f>
        <v>412639</v>
      </c>
      <c r="B8258" t="str">
        <f>"Terminal End, 216-203 (Red)"</f>
        <v>Terminal End, 216-203 (Red)</v>
      </c>
      <c r="C8258" t="str">
        <f t="shared" si="309"/>
        <v>Active</v>
      </c>
    </row>
    <row r="8259" spans="1:3" ht="18" customHeight="1">
      <c r="A8259" t="str">
        <f>"412641"</f>
        <v>412641</v>
      </c>
      <c r="B8259" t="str">
        <f>"Terminal, Spade, Red Out=6.2,In=3.7"</f>
        <v>Terminal, Spade, Red Out=6.2,In=3.7</v>
      </c>
      <c r="C8259" t="str">
        <f t="shared" si="309"/>
        <v>Active</v>
      </c>
    </row>
    <row r="8260" spans="1:3" ht="18" customHeight="1">
      <c r="A8260" t="str">
        <f>"412643"</f>
        <v>412643</v>
      </c>
      <c r="B8260" t="str">
        <f>"Pin -AMP Connector to Welder"</f>
        <v>Pin -AMP Connector to Welder</v>
      </c>
      <c r="C8260" t="str">
        <f t="shared" si="309"/>
        <v>Active</v>
      </c>
    </row>
    <row r="8261" spans="1:3" ht="18" customHeight="1">
      <c r="A8261" t="str">
        <f>"412645"</f>
        <v>412645</v>
      </c>
      <c r="B8261" t="str">
        <f>"Terminal, Cable Feet"</f>
        <v>Terminal, Cable Feet</v>
      </c>
      <c r="C8261" t="str">
        <f t="shared" si="309"/>
        <v>Active</v>
      </c>
    </row>
    <row r="8262" spans="1:3" ht="18" customHeight="1">
      <c r="A8262" t="str">
        <f>"412646"</f>
        <v>412646</v>
      </c>
      <c r="B8262" t="str">
        <f>"Wire End, no isolation ,I.D.=2.5, L=7mm"</f>
        <v>Wire End, no isolation ,I.D.=2.5, L=7mm</v>
      </c>
      <c r="C8262" t="str">
        <f t="shared" si="309"/>
        <v>Active</v>
      </c>
    </row>
    <row r="8263" spans="1:3" ht="18" customHeight="1">
      <c r="A8263" t="str">
        <f>"412647"</f>
        <v>412647</v>
      </c>
      <c r="B8263" t="str">
        <f>"Wire End, no isolation ,I.D.=1.5, L=7mm"</f>
        <v>Wire End, no isolation ,I.D.=1.5, L=7mm</v>
      </c>
      <c r="C8263" t="str">
        <f t="shared" si="309"/>
        <v>Active</v>
      </c>
    </row>
    <row r="8264" spans="1:3" ht="18" customHeight="1">
      <c r="A8264" t="str">
        <f>"412648"</f>
        <v>412648</v>
      </c>
      <c r="B8264" t="str">
        <f>"Terminal End, 216-204 (black) WAGO"</f>
        <v>Terminal End, 216-204 (black) WAGO</v>
      </c>
      <c r="C8264" t="str">
        <f t="shared" si="309"/>
        <v>Active</v>
      </c>
    </row>
    <row r="8265" spans="1:3" ht="18" customHeight="1">
      <c r="A8265" t="str">
        <f>"412649"</f>
        <v>412649</v>
      </c>
      <c r="B8265" t="str">
        <f>"Terminal End, 216-207 (grey) WAGO"</f>
        <v>Terminal End, 216-207 (grey) WAGO</v>
      </c>
      <c r="C8265" t="str">
        <f t="shared" si="309"/>
        <v>Active</v>
      </c>
    </row>
    <row r="8266" spans="1:3" ht="18" customHeight="1">
      <c r="A8266" t="str">
        <f>"412650"</f>
        <v>412650</v>
      </c>
      <c r="B8266" t="str">
        <f>"Wire End, no isolation ,I.D.=0.75, L=6mm"</f>
        <v>Wire End, no isolation ,I.D.=0.75, L=6mm</v>
      </c>
      <c r="C8266" t="str">
        <f t="shared" si="309"/>
        <v>Active</v>
      </c>
    </row>
    <row r="8267" spans="1:3" ht="18" customHeight="1">
      <c r="A8267" t="str">
        <f>"412651"</f>
        <v>412651</v>
      </c>
      <c r="B8267" t="str">
        <f>"Ring Terminal - Yellow DO=12mm x DI=8mm, 8AWG"</f>
        <v>Ring Terminal - Yellow DO=12mm x DI=8mm, 8AWG</v>
      </c>
      <c r="C8267" t="str">
        <f>"Not for sale"</f>
        <v>Not for sale</v>
      </c>
    </row>
    <row r="8268" spans="1:3" ht="18" customHeight="1">
      <c r="A8268" t="str">
        <f>"412653"</f>
        <v>412653</v>
      </c>
      <c r="B8268" t="str">
        <f>"Pin MOLEX Female, 22-24AWG,90119-2110"</f>
        <v>Pin MOLEX Female, 22-24AWG,90119-2110</v>
      </c>
      <c r="C8268" t="str">
        <f t="shared" ref="C8268:C8282" si="310">"Active"</f>
        <v>Active</v>
      </c>
    </row>
    <row r="8269" spans="1:3" ht="18" customHeight="1">
      <c r="A8269" t="str">
        <f>"412654"</f>
        <v>412654</v>
      </c>
      <c r="B8269" t="str">
        <f>"Terminal, Flat, Fast Conn. Blue 4.75x0.5mm"</f>
        <v>Terminal, Flat, Fast Conn. Blue 4.75x0.5mm</v>
      </c>
      <c r="C8269" t="str">
        <f t="shared" si="310"/>
        <v>Active</v>
      </c>
    </row>
    <row r="8270" spans="1:3" ht="18" customHeight="1">
      <c r="A8270" t="str">
        <f>"412655"</f>
        <v>412655</v>
      </c>
      <c r="B8270" t="str">
        <f>"Pin, Amphenol, Male, 16-20AWG, 1.6mm, Silver"</f>
        <v>Pin, Amphenol, Male, 16-20AWG, 1.6mm, Silver</v>
      </c>
      <c r="C8270" t="str">
        <f t="shared" si="310"/>
        <v>Active</v>
      </c>
    </row>
    <row r="8271" spans="1:3" ht="18" customHeight="1">
      <c r="A8271" t="str">
        <f>"412656"</f>
        <v>412656</v>
      </c>
      <c r="B8271" t="str">
        <f>"Pin, Amphenol, Female, 16-20AWG, 1.6mm, Silver"</f>
        <v>Pin, Amphenol, Female, 16-20AWG, 1.6mm, Silver</v>
      </c>
      <c r="C8271" t="str">
        <f t="shared" si="310"/>
        <v>Active</v>
      </c>
    </row>
    <row r="8272" spans="1:3" ht="18" customHeight="1">
      <c r="A8272" t="str">
        <f>"412801"</f>
        <v>412801</v>
      </c>
      <c r="B8272" t="str">
        <f>"Cover, 37 D-Type, Blk.+Sc. Amphenol G17Z37002"</f>
        <v>Cover, 37 D-Type, Blk.+Sc. Amphenol G17Z37002</v>
      </c>
      <c r="C8272" t="str">
        <f t="shared" si="310"/>
        <v>Active</v>
      </c>
    </row>
    <row r="8273" spans="1:3" ht="18" customHeight="1">
      <c r="A8273" t="str">
        <f>"412802"</f>
        <v>412802</v>
      </c>
      <c r="B8273" t="str">
        <f>"Cover, 25 D-Type Blk.+Sc."</f>
        <v>Cover, 25 D-Type Blk.+Sc.</v>
      </c>
      <c r="C8273" t="str">
        <f t="shared" si="310"/>
        <v>Active</v>
      </c>
    </row>
    <row r="8274" spans="1:3" ht="18" customHeight="1">
      <c r="A8274" t="str">
        <f>"412803"</f>
        <v>412803</v>
      </c>
      <c r="B8274" t="str">
        <f>"Cover, 50 D-Type Blk.+Sc."</f>
        <v>Cover, 50 D-Type Blk.+Sc.</v>
      </c>
      <c r="C8274" t="str">
        <f t="shared" si="310"/>
        <v>Active</v>
      </c>
    </row>
    <row r="8275" spans="1:3" ht="18" customHeight="1">
      <c r="A8275" t="str">
        <f>"412809"</f>
        <v>412809</v>
      </c>
      <c r="B8275" t="str">
        <f>"Cover, 9 D-Type G17Z09017 Black +Sc."</f>
        <v>Cover, 9 D-Type G17Z09017 Black +Sc.</v>
      </c>
      <c r="C8275" t="str">
        <f t="shared" si="310"/>
        <v>Active</v>
      </c>
    </row>
    <row r="8276" spans="1:3" ht="18" customHeight="1">
      <c r="A8276" t="str">
        <f>"412811"</f>
        <v>412811</v>
      </c>
      <c r="B8276" t="str">
        <f>"Cover for 018UTG UTG16AC"</f>
        <v>Cover for 018UTG UTG16AC</v>
      </c>
      <c r="C8276" t="str">
        <f t="shared" si="310"/>
        <v>Active</v>
      </c>
    </row>
    <row r="8277" spans="1:3" ht="18" customHeight="1">
      <c r="A8277" t="str">
        <f>"412813"</f>
        <v>412813</v>
      </c>
      <c r="B8277" t="str">
        <f>"Cover, 15 D-Type+Screws, Amphenol G17H15"</f>
        <v>Cover, 15 D-Type+Screws, Amphenol G17H15</v>
      </c>
      <c r="C8277" t="str">
        <f t="shared" si="310"/>
        <v>Active</v>
      </c>
    </row>
    <row r="8278" spans="1:3" ht="18" customHeight="1">
      <c r="A8278" t="str">
        <f>"412815"</f>
        <v>412815</v>
      </c>
      <c r="B8278" t="str">
        <f>"Cover for AMP Connector to welder"</f>
        <v>Cover for AMP Connector to welder</v>
      </c>
      <c r="C8278" t="str">
        <f t="shared" si="310"/>
        <v>Active</v>
      </c>
    </row>
    <row r="8279" spans="1:3" ht="18" customHeight="1">
      <c r="A8279" t="str">
        <f>"412816"</f>
        <v>412816</v>
      </c>
      <c r="B8279" t="str">
        <f>"Cover, 68Pin HIROSE, DX30M-68-CV, Astragal"</f>
        <v>Cover, 68Pin HIROSE, DX30M-68-CV, Astragal</v>
      </c>
      <c r="C8279" t="str">
        <f t="shared" si="310"/>
        <v>Active</v>
      </c>
    </row>
    <row r="8280" spans="1:3" ht="18" customHeight="1">
      <c r="A8280" t="str">
        <f>"420001"</f>
        <v>420001</v>
      </c>
      <c r="B8280" t="str">
        <f>"TrainNet Server computer"</f>
        <v>TrainNet Server computer</v>
      </c>
      <c r="C8280" t="str">
        <f t="shared" si="310"/>
        <v>Active</v>
      </c>
    </row>
    <row r="8281" spans="1:3" ht="18" customHeight="1">
      <c r="A8281" t="str">
        <f>"420003"</f>
        <v>420003</v>
      </c>
      <c r="B8281" t="str">
        <f>"Computer-Include,hdd,dvd,screen,memory,keyboard"</f>
        <v>Computer-Include,hdd,dvd,screen,memory,keyboard</v>
      </c>
      <c r="C8281" t="str">
        <f t="shared" si="310"/>
        <v>Active</v>
      </c>
    </row>
    <row r="8282" spans="1:3" ht="18" customHeight="1">
      <c r="A8282" t="str">
        <f>"420006"</f>
        <v>420006</v>
      </c>
      <c r="B8282" t="str">
        <f>"Cont. ROCKWELL,  A/B SLC 5/03 +Manual"</f>
        <v>Cont. ROCKWELL,  A/B SLC 5/03 +Manual</v>
      </c>
      <c r="C8282" t="str">
        <f t="shared" si="310"/>
        <v>Active</v>
      </c>
    </row>
    <row r="8283" spans="1:3" ht="18" customHeight="1">
      <c r="A8283" t="str">
        <f>"420007"</f>
        <v>420007</v>
      </c>
      <c r="B8283" t="str">
        <f>"Prog.cont PLC OMRON - CQM1H-CPU51"</f>
        <v>Prog.cont PLC OMRON - CQM1H-CPU51</v>
      </c>
      <c r="C8283" t="str">
        <f>"Phase Out"</f>
        <v>Phase Out</v>
      </c>
    </row>
    <row r="8284" spans="1:3" ht="18" customHeight="1">
      <c r="A8284" t="str">
        <f>"420008"</f>
        <v>420008</v>
      </c>
      <c r="B8284" t="str">
        <f>"Prog.cont A/B MicroLogix PLC 1761-L16BWB"</f>
        <v>Prog.cont A/B MicroLogix PLC 1761-L16BWB</v>
      </c>
      <c r="C8284" t="str">
        <f>"Active"</f>
        <v>Active</v>
      </c>
    </row>
    <row r="8285" spans="1:3" ht="18" customHeight="1">
      <c r="A8285" t="str">
        <f>"420012"</f>
        <v>420012</v>
      </c>
      <c r="B8285" t="str">
        <f>"Dig. XtraDrive Servo System,XD-04-MS01 Yaskawa"</f>
        <v>Dig. XtraDrive Servo System,XD-04-MS01 Yaskawa</v>
      </c>
      <c r="C8285" t="str">
        <f>"Not for sale"</f>
        <v>Not for sale</v>
      </c>
    </row>
    <row r="8286" spans="1:3" ht="18" customHeight="1">
      <c r="A8286" t="str">
        <f>"420013"</f>
        <v>420013</v>
      </c>
      <c r="B8286" t="str">
        <f>"Dig.Driv XtraDrive Servo System,XD-08-MS,Yaskawa"</f>
        <v>Dig.Driv XtraDrive Servo System,XD-08-MS,Yaskawa</v>
      </c>
      <c r="C8286" t="str">
        <f>"Active"</f>
        <v>Active</v>
      </c>
    </row>
    <row r="8287" spans="1:3" ht="18" customHeight="1">
      <c r="A8287" t="str">
        <f>"420014"</f>
        <v>420014</v>
      </c>
      <c r="B8287" t="str">
        <f>"Dig.Driv SGDR-SDB710+NX100 1Axis kit+ACServoM1.2"</f>
        <v>Dig.Driv SGDR-SDB710+NX100 1Axis kit+ACServoM1.2</v>
      </c>
      <c r="C8287" t="str">
        <f>"Active"</f>
        <v>Active</v>
      </c>
    </row>
    <row r="8288" spans="1:3" ht="18" customHeight="1">
      <c r="A8288" t="str">
        <f>"420015"</f>
        <v>420015</v>
      </c>
      <c r="B8288" t="str">
        <f>"Laptop"</f>
        <v>Laptop</v>
      </c>
      <c r="C8288" t="str">
        <f>"Active"</f>
        <v>Active</v>
      </c>
    </row>
    <row r="8289" spans="1:3" ht="18" customHeight="1">
      <c r="A8289" t="str">
        <f>"420016"</f>
        <v>420016</v>
      </c>
      <c r="B8289" t="str">
        <f>"Compact PLC SYSMAC CPM2A-60CDR-D with 24VDC P.S."</f>
        <v>Compact PLC SYSMAC CPM2A-60CDR-D with 24VDC P.S.</v>
      </c>
      <c r="C8289" t="str">
        <f>"New"</f>
        <v>New</v>
      </c>
    </row>
    <row r="8290" spans="1:3" ht="18" customHeight="1">
      <c r="A8290" t="str">
        <f>"420112"</f>
        <v>420112</v>
      </c>
      <c r="B8290" t="str">
        <f>"Chassis, A/B 76-1746 A4"</f>
        <v>Chassis, A/B 76-1746 A4</v>
      </c>
      <c r="C8290" t="str">
        <f t="shared" ref="C8290:C8307" si="311">"Active"</f>
        <v>Active</v>
      </c>
    </row>
    <row r="8291" spans="1:3" ht="18" customHeight="1">
      <c r="A8291" t="str">
        <f>"420113"</f>
        <v>420113</v>
      </c>
      <c r="B8291" t="str">
        <f>"Chassis 7-slot Modular ,A/B   76-1746 A7"</f>
        <v>Chassis 7-slot Modular ,A/B   76-1746 A7</v>
      </c>
      <c r="C8291" t="str">
        <f t="shared" si="311"/>
        <v>Active</v>
      </c>
    </row>
    <row r="8292" spans="1:3" ht="18" customHeight="1">
      <c r="A8292" t="str">
        <f>"420125"</f>
        <v>420125</v>
      </c>
      <c r="B8292" t="str">
        <f>"Light Bar. Evaluation Unit 3RG7825-1CB1, SIEMENS"</f>
        <v>Light Bar. Evaluation Unit 3RG7825-1CB1, SIEMENS</v>
      </c>
      <c r="C8292" t="str">
        <f t="shared" si="311"/>
        <v>Active</v>
      </c>
    </row>
    <row r="8293" spans="1:3" ht="18" customHeight="1">
      <c r="A8293" t="str">
        <f>"420202"</f>
        <v>420202</v>
      </c>
      <c r="B8293" t="str">
        <f>"Digimatic CALIPPER -Sylvac 910.0502 150mm"</f>
        <v>Digimatic CALIPPER -Sylvac 910.0502 150mm</v>
      </c>
      <c r="C8293" t="str">
        <f t="shared" si="311"/>
        <v>Active</v>
      </c>
    </row>
    <row r="8294" spans="1:3" ht="18" customHeight="1">
      <c r="A8294" t="str">
        <f>"420203"</f>
        <v>420203</v>
      </c>
      <c r="B8294" t="str">
        <f>"Cable RS232 DUPLEX for CALIPPER,OPTO-SILVAC"</f>
        <v>Cable RS232 DUPLEX for CALIPPER,OPTO-SILVAC</v>
      </c>
      <c r="C8294" t="str">
        <f t="shared" si="311"/>
        <v>Active</v>
      </c>
    </row>
    <row r="8295" spans="1:3" ht="18" customHeight="1">
      <c r="A8295" t="str">
        <f>"420205"</f>
        <v>420205</v>
      </c>
      <c r="B8295" t="str">
        <f>"Vscope motion tracking Sy V-SCOPE  VS-100   220V"</f>
        <v>Vscope motion tracking Sy V-SCOPE  VS-100   220V</v>
      </c>
      <c r="C8295" t="str">
        <f t="shared" si="311"/>
        <v>Active</v>
      </c>
    </row>
    <row r="8296" spans="1:3" ht="18" customHeight="1">
      <c r="A8296" t="str">
        <f>"420213"</f>
        <v>420213</v>
      </c>
      <c r="B8296" t="str">
        <f>"Digital Multimeter"</f>
        <v>Digital Multimeter</v>
      </c>
      <c r="C8296" t="str">
        <f t="shared" si="311"/>
        <v>Active</v>
      </c>
    </row>
    <row r="8297" spans="1:3" ht="18" customHeight="1">
      <c r="A8297" t="str">
        <f>"420247"</f>
        <v>420247</v>
      </c>
      <c r="B8297" t="str">
        <f>"chart wall Inch/metric, Starrett Cat.# 1214"</f>
        <v>chart wall Inch/metric, Starrett Cat.# 1214</v>
      </c>
      <c r="C8297" t="str">
        <f t="shared" si="311"/>
        <v>Active</v>
      </c>
    </row>
    <row r="8298" spans="1:3" ht="18" customHeight="1">
      <c r="A8298" t="str">
        <f>"420248"</f>
        <v>420248</v>
      </c>
      <c r="B8298" t="str">
        <f>"Inch/metric equivt. card"</f>
        <v>Inch/metric equivt. card</v>
      </c>
      <c r="C8298" t="str">
        <f t="shared" si="311"/>
        <v>Active</v>
      </c>
    </row>
    <row r="8299" spans="1:3" ht="18" customHeight="1">
      <c r="A8299" t="str">
        <f>"420252"</f>
        <v>420252</v>
      </c>
      <c r="B8299" t="str">
        <f>"CALIPPER -dial, streng 150MM # 57134300"</f>
        <v>CALIPPER -dial, streng 150MM # 57134300</v>
      </c>
      <c r="C8299" t="str">
        <f t="shared" si="311"/>
        <v>Active</v>
      </c>
    </row>
    <row r="8300" spans="1:3" ht="18" customHeight="1">
      <c r="A8300" t="str">
        <f>"420253"</f>
        <v>420253</v>
      </c>
      <c r="B8300" t="str">
        <f>"CALIPPER -Vernier, streng 150MM # 57134100"</f>
        <v>CALIPPER -Vernier, streng 150MM # 57134100</v>
      </c>
      <c r="C8300" t="str">
        <f t="shared" si="311"/>
        <v>Active</v>
      </c>
    </row>
    <row r="8301" spans="1:3" ht="18" customHeight="1">
      <c r="A8301" t="str">
        <f>"420254"</f>
        <v>420254</v>
      </c>
      <c r="B8301" t="str">
        <f>"steel Tape Meter -5m,  #25021200"</f>
        <v>steel Tape Meter -5m,  #25021200</v>
      </c>
      <c r="C8301" t="str">
        <f t="shared" si="311"/>
        <v>Active</v>
      </c>
    </row>
    <row r="8302" spans="1:3" ht="18" customHeight="1">
      <c r="A8302" t="str">
        <f>"420257"</f>
        <v>420257</v>
      </c>
      <c r="B8302" t="str">
        <f>"Micrometer 0-25mm, #04000114"</f>
        <v>Micrometer 0-25mm, #04000114</v>
      </c>
      <c r="C8302" t="str">
        <f t="shared" si="311"/>
        <v>Active</v>
      </c>
    </row>
    <row r="8303" spans="1:3" ht="18" customHeight="1">
      <c r="A8303" t="str">
        <f>"420259"</f>
        <v>420259</v>
      </c>
      <c r="B8303" t="str">
        <f>"Dial indicator ""popytest"", streng  #  50520800"</f>
        <v>Dial indicator "popytest", streng  #  50520800</v>
      </c>
      <c r="C8303" t="str">
        <f t="shared" si="311"/>
        <v>Active</v>
      </c>
    </row>
    <row r="8304" spans="1:3" ht="18" customHeight="1">
      <c r="A8304" t="str">
        <f>"420263"</f>
        <v>420263</v>
      </c>
      <c r="B8304" t="str">
        <f>"5 piece, gauge block set, sizes:  5,10,20,30,50"</f>
        <v>5 piece, gauge block set, sizes:  5,10,20,30,50</v>
      </c>
      <c r="C8304" t="str">
        <f t="shared" si="311"/>
        <v>Active</v>
      </c>
    </row>
    <row r="8305" spans="1:3" ht="18" customHeight="1">
      <c r="A8305" t="str">
        <f>"420264"</f>
        <v>420264</v>
      </c>
      <c r="B8305" t="str">
        <f>"plugauge pin set,11 piece, sizes:6.00,6.02..6.20"</f>
        <v>plugauge pin set,11 piece, sizes:6.00,6.02..6.20</v>
      </c>
      <c r="C8305" t="str">
        <f t="shared" si="311"/>
        <v>Active</v>
      </c>
    </row>
    <row r="8306" spans="1:3" ht="18" customHeight="1">
      <c r="A8306" t="str">
        <f>"420268"</f>
        <v>420268</v>
      </c>
      <c r="B8306" t="str">
        <f>"Metric Feeler Gage Set (9 leaves)"</f>
        <v>Metric Feeler Gage Set (9 leaves)</v>
      </c>
      <c r="C8306" t="str">
        <f t="shared" si="311"/>
        <v>Active</v>
      </c>
    </row>
    <row r="8307" spans="1:3" ht="18" customHeight="1">
      <c r="A8307" t="str">
        <f>"420300"</f>
        <v>420300</v>
      </c>
      <c r="B8307" t="str">
        <f>"Breadboard , 25 x 12 mm"</f>
        <v>Breadboard , 25 x 12 mm</v>
      </c>
      <c r="C8307" t="str">
        <f t="shared" si="311"/>
        <v>Active</v>
      </c>
    </row>
    <row r="8308" spans="1:3" ht="18" customHeight="1">
      <c r="A8308" t="str">
        <f>"420316"</f>
        <v>420316</v>
      </c>
      <c r="B8308" t="str">
        <f>"Discrete I/O Modules,16output ,OMRON  CQM1-OC222"</f>
        <v>Discrete I/O Modules,16output ,OMRON  CQM1-OC222</v>
      </c>
      <c r="C8308" t="str">
        <f>"ECO-N2Buy"</f>
        <v>ECO-N2Buy</v>
      </c>
    </row>
    <row r="8309" spans="1:3" ht="18" customHeight="1">
      <c r="A8309" t="str">
        <f>"420317"</f>
        <v>420317</v>
      </c>
      <c r="B8309" t="str">
        <f>"Discrete I/O Modules,16input,A/B  1746-IB16"</f>
        <v>Discrete I/O Modules,16input,A/B  1746-IB16</v>
      </c>
      <c r="C8309" t="str">
        <f>"Active"</f>
        <v>Active</v>
      </c>
    </row>
    <row r="8310" spans="1:3" ht="18" customHeight="1">
      <c r="A8310" t="str">
        <f>"420318"</f>
        <v>420318</v>
      </c>
      <c r="B8310" t="str">
        <f>"Discrete Output Module,16output,A/B   1746-OW16"</f>
        <v>Discrete Output Module,16output,A/B   1746-OW16</v>
      </c>
      <c r="C8310" t="str">
        <f>"Active"</f>
        <v>Active</v>
      </c>
    </row>
    <row r="8311" spans="1:3" ht="18" customHeight="1">
      <c r="A8311" t="str">
        <f>"420319"</f>
        <v>420319</v>
      </c>
      <c r="B8311" t="str">
        <f>"Discrete I/O Modules,16input,OMRON  CQM1-ID212"</f>
        <v>Discrete I/O Modules,16input,OMRON  CQM1-ID212</v>
      </c>
      <c r="C8311" t="str">
        <f>"ECO-N2Buy"</f>
        <v>ECO-N2Buy</v>
      </c>
    </row>
    <row r="8312" spans="1:3" ht="18" customHeight="1">
      <c r="A8312" t="str">
        <f>"420326"</f>
        <v>420326</v>
      </c>
      <c r="B8312" t="str">
        <f>"Modules,16input,A/B 1746-IV16 DCSource"</f>
        <v>Modules,16input,A/B 1746-IV16 DCSource</v>
      </c>
      <c r="C8312" t="str">
        <f t="shared" ref="C8312:C8328" si="312">"Active"</f>
        <v>Active</v>
      </c>
    </row>
    <row r="8313" spans="1:3" ht="18" customHeight="1">
      <c r="A8313" t="str">
        <f>"420345"</f>
        <v>420345</v>
      </c>
      <c r="B8313" t="str">
        <f>"CPU-S7 300 SIEMENS"</f>
        <v>CPU-S7 300 SIEMENS</v>
      </c>
      <c r="C8313" t="str">
        <f t="shared" si="312"/>
        <v>Active</v>
      </c>
    </row>
    <row r="8314" spans="1:3" ht="18" customHeight="1">
      <c r="A8314" t="str">
        <f>"420346"</f>
        <v>420346</v>
      </c>
      <c r="B8314" t="str">
        <f>"SIMATIC S7-300 MICRO MEMORY CARD 64 KB"</f>
        <v>SIMATIC S7-300 MICRO MEMORY CARD 64 KB</v>
      </c>
      <c r="C8314" t="str">
        <f t="shared" si="312"/>
        <v>Active</v>
      </c>
    </row>
    <row r="8315" spans="1:3" ht="18" customHeight="1">
      <c r="A8315" t="str">
        <f>"420347"</f>
        <v>420347</v>
      </c>
      <c r="B8315" t="str">
        <f>"SIMATIC S7-300 CP 340 RS232C COM CARD"</f>
        <v>SIMATIC S7-300 CP 340 RS232C COM CARD</v>
      </c>
      <c r="C8315" t="str">
        <f t="shared" si="312"/>
        <v>Active</v>
      </c>
    </row>
    <row r="8316" spans="1:3" ht="18" customHeight="1">
      <c r="A8316" t="str">
        <f>"420348"</f>
        <v>420348</v>
      </c>
      <c r="B8316" t="str">
        <f>"SIMATIC Digital Input SM 321"</f>
        <v>SIMATIC Digital Input SM 321</v>
      </c>
      <c r="C8316" t="str">
        <f t="shared" si="312"/>
        <v>Active</v>
      </c>
    </row>
    <row r="8317" spans="1:3" ht="18" customHeight="1">
      <c r="A8317" t="str">
        <f>"420349"</f>
        <v>420349</v>
      </c>
      <c r="B8317" t="str">
        <f>"SIMATIC S7-300, RAIL L=530MM"</f>
        <v>SIMATIC S7-300, RAIL L=530MM</v>
      </c>
      <c r="C8317" t="str">
        <f t="shared" si="312"/>
        <v>Active</v>
      </c>
    </row>
    <row r="8318" spans="1:3" ht="18" customHeight="1">
      <c r="A8318" t="str">
        <f>"420350"</f>
        <v>420350</v>
      </c>
      <c r="B8318" t="str">
        <f>"SIMATIC Digital Output SM 322"</f>
        <v>SIMATIC Digital Output SM 322</v>
      </c>
      <c r="C8318" t="str">
        <f t="shared" si="312"/>
        <v>Active</v>
      </c>
    </row>
    <row r="8319" spans="1:3" ht="18" customHeight="1">
      <c r="A8319" t="str">
        <f>"420351"</f>
        <v>420351</v>
      </c>
      <c r="B8319" t="str">
        <f>"SIMATIC Connector 20 pin"</f>
        <v>SIMATIC Connector 20 pin</v>
      </c>
      <c r="C8319" t="str">
        <f t="shared" si="312"/>
        <v>Active</v>
      </c>
    </row>
    <row r="8320" spans="1:3" ht="18" customHeight="1">
      <c r="A8320" t="str">
        <f>"420352"</f>
        <v>420352</v>
      </c>
      <c r="B8320" t="str">
        <f>"ADU200 USB Relay I/O Interface"</f>
        <v>ADU200 USB Relay I/O Interface</v>
      </c>
      <c r="C8320" t="str">
        <f t="shared" si="312"/>
        <v>Active</v>
      </c>
    </row>
    <row r="8321" spans="1:3" ht="18" customHeight="1">
      <c r="A8321" t="str">
        <f>"420353"</f>
        <v>420353</v>
      </c>
      <c r="B8321" t="str">
        <f>"Video Card Osprey 100, 95-00135-02"</f>
        <v>Video Card Osprey 100, 95-00135-02</v>
      </c>
      <c r="C8321" t="str">
        <f t="shared" si="312"/>
        <v>Active</v>
      </c>
    </row>
    <row r="8322" spans="1:3" ht="18" customHeight="1">
      <c r="A8322" t="str">
        <f>"420354"</f>
        <v>420354</v>
      </c>
      <c r="B8322" t="str">
        <f>"SIMATIC S7-300, CPU 313C-2DP COMPACT CPU + MPI"</f>
        <v>SIMATIC S7-300, CPU 313C-2DP COMPACT CPU + MPI</v>
      </c>
      <c r="C8322" t="str">
        <f t="shared" si="312"/>
        <v>Active</v>
      </c>
    </row>
    <row r="8323" spans="1:3" ht="18" customHeight="1">
      <c r="A8323" t="str">
        <f>"420355"</f>
        <v>420355</v>
      </c>
      <c r="B8323" t="str">
        <f>"SIMATIC S7-300,FRONT CONNECTOR 392"</f>
        <v>SIMATIC S7-300,FRONT CONNECTOR 392</v>
      </c>
      <c r="C8323" t="str">
        <f t="shared" si="312"/>
        <v>Active</v>
      </c>
    </row>
    <row r="8324" spans="1:3" ht="18" customHeight="1">
      <c r="A8324" t="str">
        <f>"420356"</f>
        <v>420356</v>
      </c>
      <c r="B8324" t="str">
        <f>"SIMATIC DP, ELECTRONIC BLOCK FOR ET 200L"</f>
        <v>SIMATIC DP, ELECTRONIC BLOCK FOR ET 200L</v>
      </c>
      <c r="C8324" t="str">
        <f t="shared" si="312"/>
        <v>Active</v>
      </c>
    </row>
    <row r="8325" spans="1:3" ht="18" customHeight="1">
      <c r="A8325" t="str">
        <f>"420357"</f>
        <v>420357</v>
      </c>
      <c r="B8325" t="str">
        <f>"SIMATIC DP, BUS CONNECTOR FOR PROFIBUS"</f>
        <v>SIMATIC DP, BUS CONNECTOR FOR PROFIBUS</v>
      </c>
      <c r="C8325" t="str">
        <f t="shared" si="312"/>
        <v>Active</v>
      </c>
    </row>
    <row r="8326" spans="1:3" ht="18" customHeight="1">
      <c r="A8326" t="str">
        <f>"420358"</f>
        <v>420358</v>
      </c>
      <c r="B8326" t="str">
        <f>"SIMATIC NET, PB FC STANDARD, BUS CABLE, 2-WIRE,"</f>
        <v>SIMATIC NET, PB FC STANDARD, BUS CABLE, 2-WIRE,</v>
      </c>
      <c r="C8326" t="str">
        <f t="shared" si="312"/>
        <v>Active</v>
      </c>
    </row>
    <row r="8327" spans="1:3" ht="18" customHeight="1">
      <c r="A8327" t="str">
        <f>"420359"</f>
        <v>420359</v>
      </c>
      <c r="B8327" t="str">
        <f>"SIMATIC DP, TB32L TERMINAL BLOCK, 32 CHANNELS"</f>
        <v>SIMATIC DP, TB32L TERMINAL BLOCK, 32 CHANNELS</v>
      </c>
      <c r="C8327" t="str">
        <f t="shared" si="312"/>
        <v>Active</v>
      </c>
    </row>
    <row r="8328" spans="1:3" ht="18" customHeight="1">
      <c r="A8328" t="str">
        <f>"420360"</f>
        <v>420360</v>
      </c>
      <c r="B8328" t="str">
        <f>"SIMATIC S7-1200 120/240VAC + KTP600 Basic Kit"</f>
        <v>SIMATIC S7-1200 120/240VAC + KTP600 Basic Kit</v>
      </c>
      <c r="C8328" t="str">
        <f t="shared" si="312"/>
        <v>Active</v>
      </c>
    </row>
    <row r="8329" spans="1:3" ht="18" customHeight="1">
      <c r="A8329" t="str">
        <f>"420361"</f>
        <v>420361</v>
      </c>
      <c r="B8329" t="str">
        <f>"Omron Expansion I/O Unit, 8 DC Inputs CP1W-8ED"</f>
        <v>Omron Expansion I/O Unit, 8 DC Inputs CP1W-8ED</v>
      </c>
      <c r="C8329" t="str">
        <f>"New"</f>
        <v>New</v>
      </c>
    </row>
    <row r="8330" spans="1:3" ht="18" customHeight="1">
      <c r="A8330" t="str">
        <f>"420362"</f>
        <v>420362</v>
      </c>
      <c r="B8330" t="str">
        <f>"SIMATIC S7-1200, CPU 1211C, DC/DC/DC"</f>
        <v>SIMATIC S7-1200, CPU 1211C, DC/DC/DC</v>
      </c>
      <c r="C8330" t="str">
        <f t="shared" ref="C8330:C8349" si="313">"Active"</f>
        <v>Active</v>
      </c>
    </row>
    <row r="8331" spans="1:3" ht="18" customHeight="1">
      <c r="A8331" t="str">
        <f>"420363"</f>
        <v>420363</v>
      </c>
      <c r="B8331" t="str">
        <f>"SIMATIC S7, MEMORY CARD 3,3 V  FLASH, 4 MBYTE"</f>
        <v>SIMATIC S7, MEMORY CARD 3,3 V  FLASH, 4 MBYTE</v>
      </c>
      <c r="C8331" t="str">
        <f t="shared" si="313"/>
        <v>Active</v>
      </c>
    </row>
    <row r="8332" spans="1:3" ht="18" customHeight="1">
      <c r="A8332" t="str">
        <f>"420364"</f>
        <v>420364</v>
      </c>
      <c r="B8332" t="str">
        <f>"SIMATIC S7-1200, COMMUNICATION MODULE CM 1241"</f>
        <v>SIMATIC S7-1200, COMMUNICATION MODULE CM 1241</v>
      </c>
      <c r="C8332" t="str">
        <f t="shared" si="313"/>
        <v>Active</v>
      </c>
    </row>
    <row r="8333" spans="1:3" ht="18" customHeight="1">
      <c r="A8333" t="str">
        <f>"420365"</f>
        <v>420365</v>
      </c>
      <c r="B8333" t="str">
        <f>"SIMATIC ET 200SP, PROFINET INTERFACE, IM155-6PN"</f>
        <v>SIMATIC ET 200SP, PROFINET INTERFACE, IM155-6PN</v>
      </c>
      <c r="C8333" t="str">
        <f t="shared" si="313"/>
        <v>Active</v>
      </c>
    </row>
    <row r="8334" spans="1:3" ht="18" customHeight="1">
      <c r="A8334" t="str">
        <f>"420366"</f>
        <v>420366</v>
      </c>
      <c r="B8334" t="str">
        <f>"SIMATIC ET 200SP, DIGITAL INPUT, DI 16X 24VDC"</f>
        <v>SIMATIC ET 200SP, DIGITAL INPUT, DI 16X 24VDC</v>
      </c>
      <c r="C8334" t="str">
        <f t="shared" si="313"/>
        <v>Active</v>
      </c>
    </row>
    <row r="8335" spans="1:3" ht="18" customHeight="1">
      <c r="A8335" t="str">
        <f>"420367"</f>
        <v>420367</v>
      </c>
      <c r="B8335" t="str">
        <f>"SIMATIC ET 200SP, DIGITAL OUTPUT, DQ 16X24VDC"</f>
        <v>SIMATIC ET 200SP, DIGITAL OUTPUT, DQ 16X24VDC</v>
      </c>
      <c r="C8335" t="str">
        <f t="shared" si="313"/>
        <v>Active</v>
      </c>
    </row>
    <row r="8336" spans="1:3" ht="18" customHeight="1">
      <c r="A8336" t="str">
        <f>"420368"</f>
        <v>420368</v>
      </c>
      <c r="B8336" t="str">
        <f>"SIMATIC ET 200SP, BASEUNIT BU15-P16+A0+2B, BU A0"</f>
        <v>SIMATIC ET 200SP, BASEUNIT BU15-P16+A0+2B, BU A0</v>
      </c>
      <c r="C8336" t="str">
        <f t="shared" si="313"/>
        <v>Active</v>
      </c>
    </row>
    <row r="8337" spans="1:3" ht="18" customHeight="1">
      <c r="A8337" t="str">
        <f>"420369"</f>
        <v>420369</v>
      </c>
      <c r="B8337" t="str">
        <f>"SIMATIC ET 200SP, BASEUNIT BU15-P16+A0+2D, BU A0"</f>
        <v>SIMATIC ET 200SP, BASEUNIT BU15-P16+A0+2D, BU A0</v>
      </c>
      <c r="C8337" t="str">
        <f t="shared" si="313"/>
        <v>Active</v>
      </c>
    </row>
    <row r="8338" spans="1:3" ht="18" customHeight="1">
      <c r="A8338" t="str">
        <f>"420370"</f>
        <v>420370</v>
      </c>
      <c r="B8338" t="str">
        <f>"SIMATIC NET, TP CORD RJ45/RJ45, 4x2, L = 0.5 M"</f>
        <v>SIMATIC NET, TP CORD RJ45/RJ45, 4x2, L = 0.5 M</v>
      </c>
      <c r="C8338" t="str">
        <f t="shared" si="313"/>
        <v>Active</v>
      </c>
    </row>
    <row r="8339" spans="1:3" ht="18" customHeight="1">
      <c r="A8339" t="str">
        <f>"420371"</f>
        <v>420371</v>
      </c>
      <c r="B8339" t="str">
        <f>"PLC S7-1200 + KTP700 HMI Basic Kit"</f>
        <v>PLC S7-1200 + KTP700 HMI Basic Kit</v>
      </c>
      <c r="C8339" t="str">
        <f t="shared" si="313"/>
        <v>Active</v>
      </c>
    </row>
    <row r="8340" spans="1:3" ht="18" customHeight="1">
      <c r="A8340" t="str">
        <f>"420372"</f>
        <v>420372</v>
      </c>
      <c r="B8340" t="str">
        <f>"PLC Siemens S7-1200  1215C DC/DC/RELAY"</f>
        <v>PLC Siemens S7-1200  1215C DC/DC/RELAY</v>
      </c>
      <c r="C8340" t="str">
        <f t="shared" si="313"/>
        <v>Active</v>
      </c>
    </row>
    <row r="8341" spans="1:3" ht="18" customHeight="1">
      <c r="A8341" t="str">
        <f>"420373"</f>
        <v>420373</v>
      </c>
      <c r="B8341" t="str">
        <f>"PLC Siemens S7-1200  1212C AC/DC/RL"</f>
        <v>PLC Siemens S7-1200  1212C AC/DC/RL</v>
      </c>
      <c r="C8341" t="str">
        <f t="shared" si="313"/>
        <v>Active</v>
      </c>
    </row>
    <row r="8342" spans="1:3" ht="18" customHeight="1">
      <c r="A8342" t="str">
        <f>"420374"</f>
        <v>420374</v>
      </c>
      <c r="B8342" t="str">
        <f>"SIMATIC HMI KTP700 Basic, 6AV2123-2GB03-0AX0"</f>
        <v>SIMATIC HMI KTP700 Basic, 6AV2123-2GB03-0AX0</v>
      </c>
      <c r="C8342" t="str">
        <f t="shared" si="313"/>
        <v>Active</v>
      </c>
    </row>
    <row r="8343" spans="1:3" ht="18" customHeight="1">
      <c r="A8343" t="str">
        <f>"420607"</f>
        <v>420607</v>
      </c>
      <c r="B8343" t="str">
        <f>"LCD 122x32 dot Graphic"</f>
        <v>LCD 122x32 dot Graphic</v>
      </c>
      <c r="C8343" t="str">
        <f t="shared" si="313"/>
        <v>Active</v>
      </c>
    </row>
    <row r="8344" spans="1:3" ht="18" customHeight="1">
      <c r="A8344" t="str">
        <f>"420609"</f>
        <v>420609</v>
      </c>
      <c r="B8344" t="str">
        <f>"LCD WG 12232C-YYH N#A 122x32 green dot grafic"</f>
        <v>LCD WG 12232C-YYH N#A 122x32 green dot grafic</v>
      </c>
      <c r="C8344" t="str">
        <f t="shared" si="313"/>
        <v>Active</v>
      </c>
    </row>
    <row r="8345" spans="1:3" ht="18" customHeight="1">
      <c r="A8345" t="str">
        <f>"421106"</f>
        <v>421106</v>
      </c>
      <c r="B8345" t="str">
        <f>"CD-R  Printable"</f>
        <v>CD-R  Printable</v>
      </c>
      <c r="C8345" t="str">
        <f t="shared" si="313"/>
        <v>Active</v>
      </c>
    </row>
    <row r="8346" spans="1:3" ht="18" customHeight="1">
      <c r="A8346" t="str">
        <f>"421107"</f>
        <v>421107</v>
      </c>
      <c r="B8346" t="str">
        <f>"DVD-R  Printable"</f>
        <v>DVD-R  Printable</v>
      </c>
      <c r="C8346" t="str">
        <f t="shared" si="313"/>
        <v>Active</v>
      </c>
    </row>
    <row r="8347" spans="1:3" ht="18" customHeight="1">
      <c r="A8347" t="str">
        <f>"421515"</f>
        <v>421515</v>
      </c>
      <c r="B8347" t="str">
        <f>"ViewFlex Dongle Inspector-3/Dongle"</f>
        <v>ViewFlex Dongle Inspector-3/Dongle</v>
      </c>
      <c r="C8347" t="str">
        <f t="shared" si="313"/>
        <v>Active</v>
      </c>
    </row>
    <row r="8348" spans="1:3" ht="18" customHeight="1">
      <c r="A8348" t="str">
        <f>"421516"</f>
        <v>421516</v>
      </c>
      <c r="B8348" t="str">
        <f>"Inspector 8 for ViewFlex, Dongle for Ver. 3.x"</f>
        <v>Inspector 8 for ViewFlex, Dongle for Ver. 3.x</v>
      </c>
      <c r="C8348" t="str">
        <f t="shared" si="313"/>
        <v>Active</v>
      </c>
    </row>
    <row r="8349" spans="1:3" ht="18" customHeight="1">
      <c r="A8349" t="str">
        <f>"422007"</f>
        <v>422007</v>
      </c>
      <c r="B8349" t="str">
        <f>"PC Camera Wireless Pan,Tilt&amp;Zoom, DCS-5300G"</f>
        <v>PC Camera Wireless Pan,Tilt&amp;Zoom, DCS-5300G</v>
      </c>
      <c r="C8349" t="str">
        <f t="shared" si="313"/>
        <v>Active</v>
      </c>
    </row>
    <row r="8350" spans="1:3" ht="18" customHeight="1">
      <c r="A8350" t="str">
        <f>"422008"</f>
        <v>422008</v>
      </c>
      <c r="B8350" t="str">
        <f>"PC Camera, Logitech QuickCam pro9000"</f>
        <v>PC Camera, Logitech QuickCam pro9000</v>
      </c>
      <c r="C8350" t="str">
        <f>"Phase Out"</f>
        <v>Phase Out</v>
      </c>
    </row>
    <row r="8351" spans="1:3" ht="18" customHeight="1">
      <c r="A8351" t="str">
        <f>"422009"</f>
        <v>422009</v>
      </c>
      <c r="B8351" t="str">
        <f>"PC Camera, Sony EVI-D30"</f>
        <v>PC Camera, Sony EVI-D30</v>
      </c>
      <c r="C8351" t="str">
        <f t="shared" ref="C8351:C8389" si="314">"Active"</f>
        <v>Active</v>
      </c>
    </row>
    <row r="8352" spans="1:3" ht="18" customHeight="1">
      <c r="A8352" t="str">
        <f>"422010"</f>
        <v>422010</v>
      </c>
      <c r="B8352" t="str">
        <f>"PC Camera, ELMO Desk-Top Presenter DT-100AF"</f>
        <v>PC Camera, ELMO Desk-Top Presenter DT-100AF</v>
      </c>
      <c r="C8352" t="str">
        <f t="shared" si="314"/>
        <v>Active</v>
      </c>
    </row>
    <row r="8353" spans="1:3" ht="18" customHeight="1">
      <c r="A8353" t="str">
        <f>"422011"</f>
        <v>422011</v>
      </c>
      <c r="B8353" t="str">
        <f>"PC Camera, Logitech C920 HD Pro Webcam"</f>
        <v>PC Camera, Logitech C920 HD Pro Webcam</v>
      </c>
      <c r="C8353" t="str">
        <f t="shared" si="314"/>
        <v>Active</v>
      </c>
    </row>
    <row r="8354" spans="1:3" ht="18" customHeight="1">
      <c r="A8354" t="str">
        <f>"430006"</f>
        <v>430006</v>
      </c>
      <c r="B8354" t="str">
        <f>"Printed Circuit, PC500, Eyes, Green"</f>
        <v>Printed Circuit, PC500, Eyes, Green</v>
      </c>
      <c r="C8354" t="str">
        <f t="shared" si="314"/>
        <v>Active</v>
      </c>
    </row>
    <row r="8355" spans="1:3" ht="18" customHeight="1">
      <c r="A8355" t="str">
        <f>"430010"</f>
        <v>430010</v>
      </c>
      <c r="B8355" t="str">
        <f>"PWB for TP(new) Dim:115x60x1.6mm"</f>
        <v>PWB for TP(new) Dim:115x60x1.6mm</v>
      </c>
      <c r="C8355" t="str">
        <f t="shared" si="314"/>
        <v>Active</v>
      </c>
    </row>
    <row r="8356" spans="1:3" ht="18" customHeight="1">
      <c r="A8356" t="str">
        <f>"430018"</f>
        <v>430018</v>
      </c>
      <c r="B8356" t="str">
        <f>"Printed Circuit - PC7100, ER5/7 Driver 4L-2.6dec"</f>
        <v>Printed Circuit - PC7100, ER5/7 Driver 4L-2.6dec</v>
      </c>
      <c r="C8356" t="str">
        <f t="shared" si="314"/>
        <v>Active</v>
      </c>
    </row>
    <row r="8357" spans="1:3" ht="18" customHeight="1">
      <c r="A8357" t="str">
        <f>"430036"</f>
        <v>430036</v>
      </c>
      <c r="B8357" t="str">
        <f>"Printed Circuit - PC3100, 2Lx2dec"</f>
        <v>Printed Circuit - PC3100, 2Lx2dec</v>
      </c>
      <c r="C8357" t="str">
        <f t="shared" si="314"/>
        <v>Active</v>
      </c>
    </row>
    <row r="8358" spans="1:3" ht="18" customHeight="1">
      <c r="A8358" t="str">
        <f>"430039"</f>
        <v>430039</v>
      </c>
      <c r="B8358" t="str">
        <f>"Printed Circuit - PC17100, Driver Board 4Lx3.3dc"</f>
        <v>Printed Circuit - PC17100, Driver Board 4Lx3.3dc</v>
      </c>
      <c r="C8358" t="str">
        <f t="shared" si="314"/>
        <v>Active</v>
      </c>
    </row>
    <row r="8359" spans="1:3" ht="18" customHeight="1">
      <c r="A8359" t="str">
        <f>"430040"</f>
        <v>430040</v>
      </c>
      <c r="B8359" t="str">
        <f>"Printed Circuit - PC18100, ER9+ Turret"</f>
        <v>Printed Circuit - PC18100, ER9+ Turret</v>
      </c>
      <c r="C8359" t="str">
        <f t="shared" si="314"/>
        <v>Active</v>
      </c>
    </row>
    <row r="8360" spans="1:3" ht="18" customHeight="1">
      <c r="A8360" t="str">
        <f>"430041"</f>
        <v>430041</v>
      </c>
      <c r="B8360" t="str">
        <f>"Printed Circuit - PC18200, ER9+ Shoulder"</f>
        <v>Printed Circuit - PC18200, ER9+ Shoulder</v>
      </c>
      <c r="C8360" t="str">
        <f t="shared" si="314"/>
        <v>Active</v>
      </c>
    </row>
    <row r="8361" spans="1:3" ht="18" customHeight="1">
      <c r="A8361" t="str">
        <f>"430042"</f>
        <v>430042</v>
      </c>
      <c r="B8361" t="str">
        <f>"Printed Circuit - PC18300, ER9+ Arm"</f>
        <v>Printed Circuit - PC18300, ER9+ Arm</v>
      </c>
      <c r="C8361" t="str">
        <f t="shared" si="314"/>
        <v>Active</v>
      </c>
    </row>
    <row r="8362" spans="1:3" ht="18" customHeight="1">
      <c r="A8362" t="str">
        <f>"430044"</f>
        <v>430044</v>
      </c>
      <c r="B8362" t="str">
        <f>"Printed Circuit, PC17500, Controler B&amp;C"</f>
        <v>Printed Circuit, PC17500, Controler B&amp;C</v>
      </c>
      <c r="C8362" t="str">
        <f t="shared" si="314"/>
        <v>Active</v>
      </c>
    </row>
    <row r="8363" spans="1:3" ht="18" customHeight="1">
      <c r="A8363" t="str">
        <f>"430049"</f>
        <v>430049</v>
      </c>
      <c r="B8363" t="str">
        <f>"Printed Circuit -  PC2400, I/O BOX PCB"</f>
        <v>Printed Circuit -  PC2400, I/O BOX PCB</v>
      </c>
      <c r="C8363" t="str">
        <f t="shared" si="314"/>
        <v>Active</v>
      </c>
    </row>
    <row r="8364" spans="1:3" ht="18" customHeight="1">
      <c r="A8364" t="str">
        <f>"430053"</f>
        <v>430053</v>
      </c>
      <c r="B8364" t="str">
        <f>"Printed Circuit -  PC2500, OPTICAL HOME (ER9/14)"</f>
        <v>Printed Circuit -  PC2500, OPTICAL HOME (ER9/14)</v>
      </c>
      <c r="C8364" t="str">
        <f t="shared" si="314"/>
        <v>Active</v>
      </c>
    </row>
    <row r="8365" spans="1:3" ht="18" customHeight="1">
      <c r="A8365" t="str">
        <f>"430054"</f>
        <v>430054</v>
      </c>
      <c r="B8365" t="str">
        <f>"Printed Circuit -  PC4000, SCORA ER14"</f>
        <v>Printed Circuit -  PC4000, SCORA ER14</v>
      </c>
      <c r="C8365" t="str">
        <f t="shared" si="314"/>
        <v>Active</v>
      </c>
    </row>
    <row r="8366" spans="1:3" ht="18" customHeight="1">
      <c r="A8366" t="str">
        <f>"430055"</f>
        <v>430055</v>
      </c>
      <c r="B8366" t="str">
        <f>"Printed Circuit -  PC510C , ER4u"</f>
        <v>Printed Circuit -  PC510C , ER4u</v>
      </c>
      <c r="C8366" t="str">
        <f t="shared" si="314"/>
        <v>Active</v>
      </c>
    </row>
    <row r="8367" spans="1:3" ht="18" customHeight="1">
      <c r="A8367" t="str">
        <f>"430058"</f>
        <v>430058</v>
      </c>
      <c r="B8367" t="str">
        <f>"Printed Circuit, PC17700"</f>
        <v>Printed Circuit, PC17700</v>
      </c>
      <c r="C8367" t="str">
        <f t="shared" si="314"/>
        <v>Active</v>
      </c>
    </row>
    <row r="8368" spans="1:3" ht="18" customHeight="1">
      <c r="A8368" t="str">
        <f>"430066"</f>
        <v>430066</v>
      </c>
      <c r="B8368" t="str">
        <f>"Printed Circuit - PC-520,Scorobot ER-II"</f>
        <v>Printed Circuit - PC-520,Scorobot ER-II</v>
      </c>
      <c r="C8368" t="str">
        <f t="shared" si="314"/>
        <v>Active</v>
      </c>
    </row>
    <row r="8369" spans="1:3" ht="18" customHeight="1">
      <c r="A8369" t="str">
        <f>"430072"</f>
        <v>430072</v>
      </c>
      <c r="B8369" t="str">
        <f>"Printed Circuit - PCB, 6100PC LSB"</f>
        <v>Printed Circuit - PCB, 6100PC LSB</v>
      </c>
      <c r="C8369" t="str">
        <f t="shared" si="314"/>
        <v>Active</v>
      </c>
    </row>
    <row r="8370" spans="1:3" ht="18" customHeight="1">
      <c r="A8370" t="str">
        <f>"430075"</f>
        <v>430075</v>
      </c>
      <c r="B8370" t="str">
        <f>"Printed Circuit,PC3400,OPEN-CIM Conveyer. main P"</f>
        <v>Printed Circuit,PC3400,OPEN-CIM Conveyer. main P</v>
      </c>
      <c r="C8370" t="str">
        <f t="shared" si="314"/>
        <v>Active</v>
      </c>
    </row>
    <row r="8371" spans="1:3" ht="18" customHeight="1">
      <c r="A8371" t="str">
        <f>"430084"</f>
        <v>430084</v>
      </c>
      <c r="B8371" t="str">
        <f>"Printed Circuit -PC 7771,TP AC-B-PC  (NEW)"</f>
        <v>Printed Circuit -PC 7771,TP AC-B-PC  (NEW)</v>
      </c>
      <c r="C8371" t="str">
        <f t="shared" si="314"/>
        <v>Active</v>
      </c>
    </row>
    <row r="8372" spans="1:3" ht="18" customHeight="1">
      <c r="A8372" t="str">
        <f>"430085"</f>
        <v>430085</v>
      </c>
      <c r="B8372" t="str">
        <f>"Printed Circuit, Pressure Trans, PC30001,AMT 001"</f>
        <v>Printed Circuit, Pressure Trans, PC30001,AMT 001</v>
      </c>
      <c r="C8372" t="str">
        <f t="shared" si="314"/>
        <v>Active</v>
      </c>
    </row>
    <row r="8373" spans="1:3" ht="18" customHeight="1">
      <c r="A8373" t="str">
        <f>"430086"</f>
        <v>430086</v>
      </c>
      <c r="B8373" t="str">
        <f>"Printed Circuit - PC30002,Sensor Kit,AMT 002"</f>
        <v>Printed Circuit - PC30002,Sensor Kit,AMT 002</v>
      </c>
      <c r="C8373" t="str">
        <f t="shared" si="314"/>
        <v>Active</v>
      </c>
    </row>
    <row r="8374" spans="1:3" ht="18" customHeight="1">
      <c r="A8374" t="str">
        <f>"430088"</f>
        <v>430088</v>
      </c>
      <c r="B8374" t="str">
        <f>"Printed Circuit - PC-002, Scorbot ER-2"</f>
        <v>Printed Circuit - PC-002, Scorbot ER-2</v>
      </c>
      <c r="C8374" t="str">
        <f t="shared" si="314"/>
        <v>Active</v>
      </c>
    </row>
    <row r="8375" spans="1:3" ht="18" customHeight="1">
      <c r="A8375" t="str">
        <f>"430092"</f>
        <v>430092</v>
      </c>
      <c r="B8375" t="str">
        <f>"Printed Circuit ,ER4u Disp, PC30006, 6L2.85Dec"</f>
        <v>Printed Circuit ,ER4u Disp, PC30006, 6L2.85Dec</v>
      </c>
      <c r="C8375" t="str">
        <f t="shared" si="314"/>
        <v>Active</v>
      </c>
    </row>
    <row r="8376" spans="1:3" ht="18" customHeight="1">
      <c r="A8376" t="str">
        <f>"430093"</f>
        <v>430093</v>
      </c>
      <c r="B8376" t="str">
        <f>"Circuit  AssyPWRfor ER4u, PC30007-  2L-3.5Dec"</f>
        <v>Circuit  AssyPWRfor ER4u, PC30007-  2L-3.5Dec</v>
      </c>
      <c r="C8376" t="str">
        <f t="shared" si="314"/>
        <v>Active</v>
      </c>
    </row>
    <row r="8377" spans="1:3" ht="18" customHeight="1">
      <c r="A8377" t="str">
        <f>"430096"</f>
        <v>430096</v>
      </c>
      <c r="B8377" t="str">
        <f>"Printed Circuit - PC30010, ASRS36 /Cont ER-4U"</f>
        <v>Printed Circuit - PC30010, ASRS36 /Cont ER-4U</v>
      </c>
      <c r="C8377" t="str">
        <f t="shared" si="314"/>
        <v>Active</v>
      </c>
    </row>
    <row r="8378" spans="1:3" ht="18" customHeight="1">
      <c r="A8378" t="str">
        <f>"430097"</f>
        <v>430097</v>
      </c>
      <c r="B8378" t="str">
        <f>"Printed Circuit ,Main PCB-PC-38000 USB-PRO,Rev.E"</f>
        <v>Printed Circuit ,Main PCB-PC-38000 USB-PRO,Rev.E</v>
      </c>
      <c r="C8378" t="str">
        <f t="shared" si="314"/>
        <v>Active</v>
      </c>
    </row>
    <row r="8379" spans="1:3" ht="18" customHeight="1">
      <c r="A8379" t="str">
        <f>"430098"</f>
        <v>430098</v>
      </c>
      <c r="B8379" t="str">
        <f>"Disp. USB-B LEDs PCB PC-38010"</f>
        <v>Disp. USB-B LEDs PCB PC-38010</v>
      </c>
      <c r="C8379" t="str">
        <f t="shared" si="314"/>
        <v>Active</v>
      </c>
    </row>
    <row r="8380" spans="1:3" ht="18" customHeight="1">
      <c r="A8380" t="str">
        <f>"430099"</f>
        <v>430099</v>
      </c>
      <c r="B8380" t="str">
        <f>"USB-B O/B PCB PC-38020 PC-38020 PCB"</f>
        <v>USB-B O/B PCB PC-38020 PC-38020 PCB</v>
      </c>
      <c r="C8380" t="str">
        <f t="shared" si="314"/>
        <v>Active</v>
      </c>
    </row>
    <row r="8381" spans="1:3" ht="18" customHeight="1">
      <c r="A8381" t="str">
        <f>"430100"</f>
        <v>430100</v>
      </c>
      <c r="B8381" t="str">
        <f>"JM, PCB, Stepper Motor Unipolar"</f>
        <v>JM, PCB, Stepper Motor Unipolar</v>
      </c>
      <c r="C8381" t="str">
        <f t="shared" si="314"/>
        <v>Active</v>
      </c>
    </row>
    <row r="8382" spans="1:3" ht="18" customHeight="1">
      <c r="A8382" t="str">
        <f>"430503"</f>
        <v>430503</v>
      </c>
      <c r="B8382" t="str">
        <f>"Inductor - ER2 Axis 5, 5.5mH, 0.8Ohm, 20KHZ"</f>
        <v>Inductor - ER2 Axis 5, 5.5mH, 0.8Ohm, 20KHZ</v>
      </c>
      <c r="C8382" t="str">
        <f t="shared" si="314"/>
        <v>Active</v>
      </c>
    </row>
    <row r="8383" spans="1:3" ht="18" customHeight="1">
      <c r="A8383" t="str">
        <f>"430504"</f>
        <v>430504</v>
      </c>
      <c r="B8383" t="str">
        <f>"ADC,2.5-3A,20KHZךInductor - ER7 Arm, 5-6mH,.5"</f>
        <v>ADC,2.5-3A,20KHZךInductor - ER7 Arm, 5-6mH,.5</v>
      </c>
      <c r="C8383" t="str">
        <f t="shared" si="314"/>
        <v>Active</v>
      </c>
    </row>
    <row r="8384" spans="1:3" ht="18" customHeight="1">
      <c r="A8384" t="str">
        <f>"430508"</f>
        <v>430508</v>
      </c>
      <c r="B8384" t="str">
        <f>"CHOKE 10uH, Magnetix 77059-A7"</f>
        <v>CHOKE 10uH, Magnetix 77059-A7</v>
      </c>
      <c r="C8384" t="str">
        <f t="shared" si="314"/>
        <v>Active</v>
      </c>
    </row>
    <row r="8385" spans="1:3" ht="18" customHeight="1">
      <c r="A8385" t="str">
        <f>"430514"</f>
        <v>430514</v>
      </c>
      <c r="B8385" t="str">
        <f>"Transformer - PC Cont. 101651032010 Shanay Holda"</f>
        <v>Transformer - PC Cont. 101651032010 Shanay Holda</v>
      </c>
      <c r="C8385" t="str">
        <f t="shared" si="314"/>
        <v>Active</v>
      </c>
    </row>
    <row r="8386" spans="1:3" ht="18" customHeight="1">
      <c r="A8386" t="str">
        <f>"430522"</f>
        <v>430522</v>
      </c>
      <c r="B8386" t="str">
        <f>"Inductor Disp. 100uH 1812, SMD CM453232-100K"</f>
        <v>Inductor Disp. 100uH 1812, SMD CM453232-100K</v>
      </c>
      <c r="C8386" t="str">
        <f t="shared" si="314"/>
        <v>Active</v>
      </c>
    </row>
    <row r="8387" spans="1:3" ht="18" customHeight="1">
      <c r="A8387" t="str">
        <f>"430523"</f>
        <v>430523</v>
      </c>
      <c r="B8387" t="str">
        <f>"Trans,USB Cont.CE,101651032050 Shanay Holda"</f>
        <v>Trans,USB Cont.CE,101651032050 Shanay Holda</v>
      </c>
      <c r="C8387" t="str">
        <f t="shared" si="314"/>
        <v>Active</v>
      </c>
    </row>
    <row r="8388" spans="1:3" ht="18" customHeight="1">
      <c r="A8388" t="str">
        <f>"430524"</f>
        <v>430524</v>
      </c>
      <c r="B8388" t="str">
        <f>"External Step up Transformer MH5F 110/220V"</f>
        <v>External Step up Transformer MH5F 110/220V</v>
      </c>
      <c r="C8388" t="str">
        <f t="shared" si="314"/>
        <v>Active</v>
      </c>
    </row>
    <row r="8389" spans="1:3" ht="18" customHeight="1">
      <c r="A8389" t="str">
        <f>"430526"</f>
        <v>430526</v>
      </c>
      <c r="B8389" t="str">
        <f>"ADAPTER 230VAC/9VDC 0.4A, P/2.1x5.5x11mm center"</f>
        <v>ADAPTER 230VAC/9VDC 0.4A, P/2.1x5.5x11mm center</v>
      </c>
      <c r="C8389" t="str">
        <f t="shared" si="314"/>
        <v>Active</v>
      </c>
    </row>
    <row r="8390" spans="1:3" ht="18" customHeight="1">
      <c r="A8390" t="str">
        <f>"430527"</f>
        <v>430527</v>
      </c>
      <c r="B8390" t="str">
        <f>"Hulda Transformer 3A 300V,JM ME10"</f>
        <v>Hulda Transformer 3A 300V,JM ME10</v>
      </c>
      <c r="C8390" t="str">
        <f>"New"</f>
        <v>New</v>
      </c>
    </row>
    <row r="8391" spans="1:3" ht="18" customHeight="1">
      <c r="A8391" t="str">
        <f>"430528"</f>
        <v>430528</v>
      </c>
      <c r="B8391" t="str">
        <f>"Power Transformer,500VA, VPT100-5000"</f>
        <v>Power Transformer,500VA, VPT100-5000</v>
      </c>
      <c r="C8391" t="str">
        <f>"New"</f>
        <v>New</v>
      </c>
    </row>
    <row r="8392" spans="1:3" ht="18" customHeight="1">
      <c r="A8392" t="str">
        <f>"430704"</f>
        <v>430704</v>
      </c>
      <c r="B8392" t="str">
        <f>"ספק כח סטנדרטי   (+פנימי) 220vAC/12vDC  400mA"</f>
        <v>ספק כח סטנדרטי   (+פנימי) 220vAC/12vDC  400mA</v>
      </c>
      <c r="C8392" t="str">
        <f>"Active"</f>
        <v>Active</v>
      </c>
    </row>
    <row r="8393" spans="1:3" ht="18" customHeight="1">
      <c r="A8393" t="str">
        <f>"430706"</f>
        <v>430706</v>
      </c>
      <c r="B8393" t="str">
        <f>"data vision ledge, SDEC-I003"</f>
        <v>data vision ledge, SDEC-I003</v>
      </c>
      <c r="C8393" t="str">
        <f>"Active"</f>
        <v>Active</v>
      </c>
    </row>
    <row r="8394" spans="1:3" ht="18" customHeight="1">
      <c r="A8394" t="str">
        <f>"430710"</f>
        <v>430710</v>
      </c>
      <c r="B8394" t="str">
        <f>"Power Supply 24VDC,PLC OMRON  CQM1-PD026"</f>
        <v>Power Supply 24VDC,PLC OMRON  CQM1-PD026</v>
      </c>
      <c r="C8394" t="str">
        <f>"ECO-N2Buy"</f>
        <v>ECO-N2Buy</v>
      </c>
    </row>
    <row r="8395" spans="1:3" ht="18" customHeight="1">
      <c r="A8395" t="str">
        <f>"430711"</f>
        <v>430711</v>
      </c>
      <c r="B8395" t="str">
        <f>"Power Supply, 24VDC,A/B   1746-P3"</f>
        <v>Power Supply, 24VDC,A/B   1746-P3</v>
      </c>
      <c r="C8395" t="str">
        <f>"Active"</f>
        <v>Active</v>
      </c>
    </row>
    <row r="8396" spans="1:3" ht="18" customHeight="1">
      <c r="A8396" t="str">
        <f>"430712"</f>
        <v>430712</v>
      </c>
      <c r="B8396" t="str">
        <f>"Power Supply JWS150-24/A, 24VDC"</f>
        <v>Power Supply JWS150-24/A, 24VDC</v>
      </c>
      <c r="C8396" t="str">
        <f>"Active"</f>
        <v>Active</v>
      </c>
    </row>
    <row r="8397" spans="1:3" ht="18" customHeight="1">
      <c r="A8397" t="str">
        <f>"430716"</f>
        <v>430716</v>
      </c>
      <c r="B8397" t="str">
        <f>"Power Supply Switched  5.2VDC/650MA ,50-14000-05"</f>
        <v>Power Supply Switched  5.2VDC/650MA ,50-14000-05</v>
      </c>
      <c r="C8397" t="str">
        <f>"ECO-N2Buy"</f>
        <v>ECO-N2Buy</v>
      </c>
    </row>
    <row r="8398" spans="1:3" ht="18" customHeight="1">
      <c r="A8398" t="str">
        <f>"430720"</f>
        <v>430720</v>
      </c>
      <c r="B8398" t="str">
        <f>"200W Power Supply for AT 110/220V, 5V  12V Regul"</f>
        <v>200W Power Supply for AT 110/220V, 5V  12V Regul</v>
      </c>
      <c r="C8398" t="str">
        <f>"Active"</f>
        <v>Active</v>
      </c>
    </row>
    <row r="8399" spans="1:3" ht="18" customHeight="1">
      <c r="A8399" t="str">
        <f>"430723"</f>
        <v>430723</v>
      </c>
      <c r="B8399" t="str">
        <f>"Power Supply, A/B   1746-P1"</f>
        <v>Power Supply, A/B   1746-P1</v>
      </c>
      <c r="C8399" t="str">
        <f>"Active"</f>
        <v>Active</v>
      </c>
    </row>
    <row r="8400" spans="1:3" ht="18" customHeight="1">
      <c r="A8400" t="str">
        <f>"430728"</f>
        <v>430728</v>
      </c>
      <c r="B8400" t="str">
        <f>"Power supply, 230-24V DC, 2A"</f>
        <v>Power supply, 230-24V DC, 2A</v>
      </c>
      <c r="C8400" t="str">
        <f>"Active"</f>
        <v>Active</v>
      </c>
    </row>
    <row r="8401" spans="1:3" ht="18" customHeight="1">
      <c r="A8401" t="str">
        <f>"430734"</f>
        <v>430734</v>
      </c>
      <c r="B8401" t="str">
        <f>"Power Supply Desk Top, 100-230VAC - 12VDC - 15W"</f>
        <v>Power Supply Desk Top, 100-230VAC - 12VDC - 15W</v>
      </c>
      <c r="C8401" t="str">
        <f>"Active"</f>
        <v>Active</v>
      </c>
    </row>
    <row r="8402" spans="1:3" ht="18" customHeight="1">
      <c r="A8402" t="str">
        <f>"430735"</f>
        <v>430735</v>
      </c>
      <c r="B8402" t="str">
        <f>"Power supply 100-240vac in, 12vdc."</f>
        <v>Power supply 100-240vac in, 12vdc.</v>
      </c>
      <c r="C8402" t="str">
        <f>"ECO-N2Buy"</f>
        <v>ECO-N2Buy</v>
      </c>
    </row>
    <row r="8403" spans="1:3" ht="18" customHeight="1">
      <c r="A8403" t="str">
        <f>"430736"</f>
        <v>430736</v>
      </c>
      <c r="B8403" t="str">
        <f>"P.supply Switch, 24VAC/DC, 100-240VAC,1.0A"</f>
        <v>P.supply Switch, 24VAC/DC, 100-240VAC,1.0A</v>
      </c>
      <c r="C8403" t="str">
        <f>"Not for sale"</f>
        <v>Not for sale</v>
      </c>
    </row>
    <row r="8404" spans="1:3" ht="18" customHeight="1">
      <c r="A8404" t="str">
        <f>"430737"</f>
        <v>430737</v>
      </c>
      <c r="B8404" t="str">
        <f>"100-240v Power Supply,Desktop, 24VDC, 60W, 2.5A"</f>
        <v>100-240v Power Supply,Desktop, 24VDC, 60W, 2.5A</v>
      </c>
      <c r="C8404" t="str">
        <f t="shared" ref="C8404:C8416" si="315">"Active"</f>
        <v>Active</v>
      </c>
    </row>
    <row r="8405" spans="1:3" ht="18" customHeight="1">
      <c r="A8405" t="str">
        <f>"430738"</f>
        <v>430738</v>
      </c>
      <c r="B8405" t="str">
        <f>"Adapter, switching, 110~220, 24VDC, 100W"</f>
        <v>Adapter, switching, 110~220, 24VDC, 100W</v>
      </c>
      <c r="C8405" t="str">
        <f t="shared" si="315"/>
        <v>Active</v>
      </c>
    </row>
    <row r="8406" spans="1:3" ht="18" customHeight="1">
      <c r="A8406" t="str">
        <f>"430740"</f>
        <v>430740</v>
      </c>
      <c r="B8406" t="str">
        <f>"PSU 48VDC 1kW , FPS1000-48/P, Lambda"</f>
        <v>PSU 48VDC 1kW , FPS1000-48/P, Lambda</v>
      </c>
      <c r="C8406" t="str">
        <f t="shared" si="315"/>
        <v>Active</v>
      </c>
    </row>
    <row r="8407" spans="1:3" ht="18" customHeight="1">
      <c r="A8407" t="str">
        <f>"430741"</f>
        <v>430741</v>
      </c>
      <c r="B8407" t="str">
        <f>"AC Power Supply PWS0001AN, 220v (EUR)"</f>
        <v>AC Power Supply PWS0001AN, 220v (EUR)</v>
      </c>
      <c r="C8407" t="str">
        <f t="shared" si="315"/>
        <v>Active</v>
      </c>
    </row>
    <row r="8408" spans="1:3" ht="18" customHeight="1">
      <c r="A8408" t="str">
        <f>"430742"</f>
        <v>430742</v>
      </c>
      <c r="B8408" t="str">
        <f>"""AC Power Supply Frendly PWS0002A, 220v (UK)"""</f>
        <v>"AC Power Supply Frendly PWS0002A, 220v (UK)"</v>
      </c>
      <c r="C8408" t="str">
        <f t="shared" si="315"/>
        <v>Active</v>
      </c>
    </row>
    <row r="8409" spans="1:3" ht="18" customHeight="1">
      <c r="A8409" t="str">
        <f>"430743"</f>
        <v>430743</v>
      </c>
      <c r="B8409" t="str">
        <f>"""Power Supply  PWS0003A, 110V, (US)"""</f>
        <v>"Power Supply  PWS0003A, 110V, (US)"</v>
      </c>
      <c r="C8409" t="str">
        <f t="shared" si="315"/>
        <v>Active</v>
      </c>
    </row>
    <row r="8410" spans="1:3" ht="18" customHeight="1">
      <c r="A8410" t="str">
        <f>"430744"</f>
        <v>430744</v>
      </c>
      <c r="B8410" t="str">
        <f>"""Transformer, 220V (EUR)"""</f>
        <v>"Transformer, 220V (EUR)"</v>
      </c>
      <c r="C8410" t="str">
        <f t="shared" si="315"/>
        <v>Active</v>
      </c>
    </row>
    <row r="8411" spans="1:3" ht="18" customHeight="1">
      <c r="A8411" t="str">
        <f>"430745"</f>
        <v>430745</v>
      </c>
      <c r="B8411" t="str">
        <f>"""Transformer , 220V (UK)"""</f>
        <v>"Transformer , 220V (UK)"</v>
      </c>
      <c r="C8411" t="str">
        <f t="shared" si="315"/>
        <v>Active</v>
      </c>
    </row>
    <row r="8412" spans="1:3" ht="18" customHeight="1">
      <c r="A8412" t="str">
        <f>"430746"</f>
        <v>430746</v>
      </c>
      <c r="B8412" t="str">
        <f>"""Transformer , 110V (US)"""</f>
        <v>"Transformer , 110V (US)"</v>
      </c>
      <c r="C8412" t="str">
        <f t="shared" si="315"/>
        <v>Active</v>
      </c>
    </row>
    <row r="8413" spans="1:3" ht="18" customHeight="1">
      <c r="A8413" t="str">
        <f>"430747"</f>
        <v>430747</v>
      </c>
      <c r="B8413" t="str">
        <f>"24VDC to 12VDC CONVERTER, SD-25B-12 (ADVICE)"</f>
        <v>24VDC to 12VDC CONVERTER, SD-25B-12 (ADVICE)</v>
      </c>
      <c r="C8413" t="str">
        <f t="shared" si="315"/>
        <v>Active</v>
      </c>
    </row>
    <row r="8414" spans="1:3" ht="18" customHeight="1">
      <c r="A8414" t="str">
        <f>"430748"</f>
        <v>430748</v>
      </c>
      <c r="B8414" t="str">
        <f>"Power Supply 15v AC/DC AS-120P-15"</f>
        <v>Power Supply 15v AC/DC AS-120P-15</v>
      </c>
      <c r="C8414" t="str">
        <f t="shared" si="315"/>
        <v>Active</v>
      </c>
    </row>
    <row r="8415" spans="1:3" ht="18" customHeight="1">
      <c r="A8415" t="str">
        <f>"430749"</f>
        <v>430749</v>
      </c>
      <c r="B8415" t="str">
        <f>"AC Adaptor 100-240V, 50/60Hz, 035A, 12V"</f>
        <v>AC Adaptor 100-240V, 50/60Hz, 035A, 12V</v>
      </c>
      <c r="C8415" t="str">
        <f t="shared" si="315"/>
        <v>Active</v>
      </c>
    </row>
    <row r="8416" spans="1:3" ht="18" customHeight="1">
      <c r="A8416" t="str">
        <f>"430750"</f>
        <v>430750</v>
      </c>
      <c r="B8416" t="str">
        <f>"25WAC-DC Single Output Desktop 9V 2.77A"</f>
        <v>25WAC-DC Single Output Desktop 9V 2.77A</v>
      </c>
      <c r="C8416" t="str">
        <f t="shared" si="315"/>
        <v>Active</v>
      </c>
    </row>
    <row r="8417" spans="1:3" ht="18" customHeight="1">
      <c r="A8417" t="str">
        <f>"430751"</f>
        <v>430751</v>
      </c>
      <c r="B8417" t="str">
        <f>"Power Transformer, PRI:D440V SEC:Y225V 7.7A 3KVA"</f>
        <v>Power Transformer, PRI:D440V SEC:Y225V 7.7A 3KVA</v>
      </c>
      <c r="C8417" t="str">
        <f>"New"</f>
        <v>New</v>
      </c>
    </row>
    <row r="8418" spans="1:3" ht="18" customHeight="1">
      <c r="A8418" t="str">
        <f>"430752"</f>
        <v>430752</v>
      </c>
      <c r="B8418" t="str">
        <f>"Power Controller IMP1/ME10, 115/230V"</f>
        <v>Power Controller IMP1/ME10, 115/230V</v>
      </c>
      <c r="C8418" t="str">
        <f>"New"</f>
        <v>New</v>
      </c>
    </row>
    <row r="8419" spans="1:3" ht="18" customHeight="1">
      <c r="A8419" t="str">
        <f>"430753"</f>
        <v>430753</v>
      </c>
      <c r="B8419" t="str">
        <f>"Power Supply, AC/DC, 5V@3A"</f>
        <v>Power Supply, AC/DC, 5V@3A</v>
      </c>
      <c r="C8419" t="str">
        <f>"New"</f>
        <v>New</v>
      </c>
    </row>
    <row r="8420" spans="1:3" ht="18" customHeight="1">
      <c r="A8420" t="str">
        <f>"430754"</f>
        <v>430754</v>
      </c>
      <c r="B8420" t="str">
        <f>"Power Supply, AC/DC, 24V@4.5A"</f>
        <v>Power Supply, AC/DC, 24V@4.5A</v>
      </c>
      <c r="C8420" t="str">
        <f t="shared" ref="C8420:C8427" si="316">"Active"</f>
        <v>Active</v>
      </c>
    </row>
    <row r="8421" spans="1:3" ht="18" customHeight="1">
      <c r="A8421" t="str">
        <f>"430803"</f>
        <v>430803</v>
      </c>
      <c r="B8421" t="str">
        <f>"Battery - 1.5v"</f>
        <v>Battery - 1.5v</v>
      </c>
      <c r="C8421" t="str">
        <f t="shared" si="316"/>
        <v>Active</v>
      </c>
    </row>
    <row r="8422" spans="1:3" ht="18" customHeight="1">
      <c r="A8422" t="str">
        <f>"430804"</f>
        <v>430804</v>
      </c>
      <c r="B8422" t="str">
        <f>"Battery Housing - 2x1.5v"</f>
        <v>Battery Housing - 2x1.5v</v>
      </c>
      <c r="C8422" t="str">
        <f t="shared" si="316"/>
        <v>Active</v>
      </c>
    </row>
    <row r="8423" spans="1:3" ht="18" customHeight="1">
      <c r="A8423" t="str">
        <f>"430882"</f>
        <v>430882</v>
      </c>
      <c r="B8423" t="str">
        <f>"""Pair Batterys/ER400 Robot MRK4001A,RV Powerpack"</f>
        <v>"Pair Batterys/ER400 Robot MRK4001A,RV Powerpack</v>
      </c>
      <c r="C8423" t="str">
        <f t="shared" si="316"/>
        <v>Active</v>
      </c>
    </row>
    <row r="8424" spans="1:3" ht="18" customHeight="1">
      <c r="A8424" t="str">
        <f>"430888"</f>
        <v>430888</v>
      </c>
      <c r="B8424" t="str">
        <f>"Lead Acid Battery 12V 7A, AGV"</f>
        <v>Lead Acid Battery 12V 7A, AGV</v>
      </c>
      <c r="C8424" t="str">
        <f t="shared" si="316"/>
        <v>Active</v>
      </c>
    </row>
    <row r="8425" spans="1:3" ht="18" customHeight="1">
      <c r="A8425" t="str">
        <f>"430901"</f>
        <v>430901</v>
      </c>
      <c r="B8425" t="str">
        <f>"Gear Motor 127.7:1,12V, GM9213E922-R1"</f>
        <v>Gear Motor 127.7:1,12V, GM9213E922-R1</v>
      </c>
      <c r="C8425" t="str">
        <f t="shared" si="316"/>
        <v>Active</v>
      </c>
    </row>
    <row r="8426" spans="1:3" ht="18" customHeight="1">
      <c r="A8426" t="str">
        <f>"430902"</f>
        <v>430902</v>
      </c>
      <c r="B8426" t="str">
        <f>"Gear Motor 65.5:1,12V, GM9213F016"</f>
        <v>Gear Motor 65.5:1,12V, GM9213F016</v>
      </c>
      <c r="C8426" t="str">
        <f t="shared" si="316"/>
        <v>Active</v>
      </c>
    </row>
    <row r="8427" spans="1:3" ht="18" customHeight="1">
      <c r="A8427" t="str">
        <f>"430903"</f>
        <v>430903</v>
      </c>
      <c r="B8427" t="str">
        <f>"Gear Motor 19.5:1,12V GM8712F297"</f>
        <v>Gear Motor 19.5:1,12V GM8712F297</v>
      </c>
      <c r="C8427" t="str">
        <f t="shared" si="316"/>
        <v>Active</v>
      </c>
    </row>
    <row r="8428" spans="1:3" ht="18" customHeight="1">
      <c r="A8428" t="str">
        <f>"430905"</f>
        <v>430905</v>
      </c>
      <c r="B8428" t="str">
        <f>"Motor &amp; Gear, 65.5:1  12V, GM9413F154"</f>
        <v>Motor &amp; Gear, 65.5:1  12V, GM9413F154</v>
      </c>
      <c r="C8428" t="str">
        <f>"Phase Out"</f>
        <v>Phase Out</v>
      </c>
    </row>
    <row r="8429" spans="1:3" ht="18" customHeight="1">
      <c r="A8429" t="str">
        <f>"430906"</f>
        <v>430906</v>
      </c>
      <c r="B8429" t="str">
        <f>"Motor &amp; Gear, 5.9:1  12V, GM9434G105"</f>
        <v>Motor &amp; Gear, 5.9:1  12V, GM9434G105</v>
      </c>
      <c r="C8429" t="str">
        <f>"Phase Out"</f>
        <v>Phase Out</v>
      </c>
    </row>
    <row r="8430" spans="1:3" ht="18" customHeight="1">
      <c r="A8430" t="str">
        <f>"430907"</f>
        <v>430907</v>
      </c>
      <c r="B8430" t="str">
        <f>"Motor &amp; Gear 127.7:1, 12V, GM9413G699"</f>
        <v>Motor &amp; Gear 127.7:1, 12V, GM9413G699</v>
      </c>
      <c r="C8430" t="str">
        <f>"Phase Out"</f>
        <v>Phase Out</v>
      </c>
    </row>
    <row r="8431" spans="1:3" ht="18" customHeight="1">
      <c r="A8431" t="str">
        <f>"430908"</f>
        <v>430908</v>
      </c>
      <c r="B8431" t="str">
        <f>"Motor 12V, 9434G697"</f>
        <v>Motor 12V, 9434G697</v>
      </c>
      <c r="C8431" t="str">
        <f>"Phase Out"</f>
        <v>Phase Out</v>
      </c>
    </row>
    <row r="8432" spans="1:3" ht="18" customHeight="1">
      <c r="A8432" t="str">
        <f>"430909"</f>
        <v>430909</v>
      </c>
      <c r="B8432" t="str">
        <f>"Motor 12V, 9413G698"</f>
        <v>Motor 12V, 9413G698</v>
      </c>
      <c r="C8432" t="str">
        <f>"Active"</f>
        <v>Active</v>
      </c>
    </row>
    <row r="8433" spans="1:3" ht="18" customHeight="1">
      <c r="A8433" t="str">
        <f>"430912"</f>
        <v>430912</v>
      </c>
      <c r="B8433" t="str">
        <f>"Motor - 9434 (shorted), SCORBOT ER7"</f>
        <v>Motor - 9434 (shorted), SCORBOT ER7</v>
      </c>
      <c r="C8433" t="str">
        <f>"Phase Out"</f>
        <v>Phase Out</v>
      </c>
    </row>
    <row r="8434" spans="1:3" ht="18" customHeight="1">
      <c r="A8434" t="str">
        <f>"430920"</f>
        <v>430920</v>
      </c>
      <c r="B8434" t="str">
        <f>"Motor 24V, YASKAWA UGTMEM-01MYC21"</f>
        <v>Motor 24V, YASKAWA UGTMEM-01MYC21</v>
      </c>
      <c r="C8434" t="str">
        <f t="shared" ref="C8434:C8439" si="317">"Active"</f>
        <v>Active</v>
      </c>
    </row>
    <row r="8435" spans="1:3" ht="18" customHeight="1">
      <c r="A8435" t="str">
        <f>"430921"</f>
        <v>430921</v>
      </c>
      <c r="B8435" t="str">
        <f>"Motor 24V TYPE J02E, UGJMEE-02EYC21"</f>
        <v>Motor 24V TYPE J02E, UGJMEE-02EYC21</v>
      </c>
      <c r="C8435" t="str">
        <f t="shared" si="317"/>
        <v>Active</v>
      </c>
    </row>
    <row r="8436" spans="1:3" ht="18" customHeight="1">
      <c r="A8436" t="str">
        <f>"430922"</f>
        <v>430922</v>
      </c>
      <c r="B8436" t="str">
        <f>"Motor 24V Inc Encoder, UGFMED-B5TYC11"</f>
        <v>Motor 24V Inc Encoder, UGFMED-B5TYC11</v>
      </c>
      <c r="C8436" t="str">
        <f t="shared" si="317"/>
        <v>Active</v>
      </c>
    </row>
    <row r="8437" spans="1:3" ht="18" customHeight="1">
      <c r="A8437" t="str">
        <f>"430925"</f>
        <v>430925</v>
      </c>
      <c r="B8437" t="str">
        <f>"Motor &amp; Gear, GM9413J836-R2   12V 127:1"</f>
        <v>Motor &amp; Gear, GM9413J836-R2   12V 127:1</v>
      </c>
      <c r="C8437" t="str">
        <f t="shared" si="317"/>
        <v>Active</v>
      </c>
    </row>
    <row r="8438" spans="1:3" ht="18" customHeight="1">
      <c r="A8438" t="str">
        <f>"430926"</f>
        <v>430926</v>
      </c>
      <c r="B8438" t="str">
        <f>"Motor &amp; Gear  60.5:1 12V, GM8712G663-R1"</f>
        <v>Motor &amp; Gear  60.5:1 12V, GM8712G663-R1</v>
      </c>
      <c r="C8438" t="str">
        <f t="shared" si="317"/>
        <v>Active</v>
      </c>
    </row>
    <row r="8439" spans="1:3" ht="18" customHeight="1">
      <c r="A8439" t="str">
        <f>"430927"</f>
        <v>430927</v>
      </c>
      <c r="B8439" t="str">
        <f>"Motor &amp; Gear, GM8712G688-R1  12V 19.5:1"</f>
        <v>Motor &amp; Gear, GM8712G688-R1  12V 19.5:1</v>
      </c>
      <c r="C8439" t="str">
        <f t="shared" si="317"/>
        <v>Active</v>
      </c>
    </row>
    <row r="8440" spans="1:3" ht="18" customHeight="1">
      <c r="A8440" t="str">
        <f>"430930"</f>
        <v>430930</v>
      </c>
      <c r="B8440" t="str">
        <f>"Motor &amp; Gear, GM9434K047 24V 127.7:1"</f>
        <v>Motor &amp; Gear, GM9434K047 24V 127.7:1</v>
      </c>
      <c r="C8440" t="str">
        <f>"Phase Out"</f>
        <v>Phase Out</v>
      </c>
    </row>
    <row r="8441" spans="1:3" ht="18" customHeight="1">
      <c r="A8441" t="str">
        <f>"430931"</f>
        <v>430931</v>
      </c>
      <c r="B8441" t="str">
        <f>"Motor &amp; Gear  96:1  12V, GM8712G728"</f>
        <v>Motor &amp; Gear  96:1  12V, GM8712G728</v>
      </c>
      <c r="C8441" t="str">
        <f>"Phase Out"</f>
        <v>Phase Out</v>
      </c>
    </row>
    <row r="8442" spans="1:3" ht="18" customHeight="1">
      <c r="A8442" t="str">
        <f>"430939"</f>
        <v>430939</v>
      </c>
      <c r="B8442" t="str">
        <f>"Cutting motor axis GM8712G663-R1 12VDC 60.5:1"</f>
        <v>Cutting motor axis GM8712G663-R1 12VDC 60.5:1</v>
      </c>
      <c r="C8442" t="str">
        <f>"Active"</f>
        <v>Active</v>
      </c>
    </row>
    <row r="8443" spans="1:3" ht="18" customHeight="1">
      <c r="A8443" t="str">
        <f>"430940"</f>
        <v>430940</v>
      </c>
      <c r="B8443" t="str">
        <f>"Motor &amp; Gear 19.5:1 24V, GM8712G759"</f>
        <v>Motor &amp; Gear 19.5:1 24V, GM8712G759</v>
      </c>
      <c r="C8443" t="str">
        <f>"Active"</f>
        <v>Active</v>
      </c>
    </row>
    <row r="8444" spans="1:3" ht="18" customHeight="1">
      <c r="A8444" t="str">
        <f>"430942"</f>
        <v>430942</v>
      </c>
      <c r="B8444" t="str">
        <f>"Motor &amp; Gear, 24V 65.5:1, GM9434J831-R1"</f>
        <v>Motor &amp; Gear, 24V 65.5:1, GM9434J831-R1</v>
      </c>
      <c r="C8444" t="str">
        <f>"Phase Out"</f>
        <v>Phase Out</v>
      </c>
    </row>
    <row r="8445" spans="1:3" ht="18" customHeight="1">
      <c r="A8445" t="str">
        <f>"430944"</f>
        <v>430944</v>
      </c>
      <c r="B8445" t="str">
        <f>"Motor 24VDC, 14201D526-R1,Encod.512CPR,M4X0.7ISO"</f>
        <v>Motor 24VDC, 14201D526-R1,Encod.512CPR,M4X0.7ISO</v>
      </c>
      <c r="C8445" t="str">
        <f>"Active"</f>
        <v>Active</v>
      </c>
    </row>
    <row r="8446" spans="1:3" ht="18" customHeight="1">
      <c r="A8446" t="str">
        <f>"430945"</f>
        <v>430945</v>
      </c>
      <c r="B8446" t="str">
        <f>"Tubular Solenoid 431-7627 Push Type"</f>
        <v>Tubular Solenoid 431-7627 Push Type</v>
      </c>
      <c r="C8446" t="str">
        <f>"Active"</f>
        <v>Active</v>
      </c>
    </row>
    <row r="8447" spans="1:3" ht="18" customHeight="1">
      <c r="A8447" t="str">
        <f>"430946"</f>
        <v>430946</v>
      </c>
      <c r="B8447" t="str">
        <f>"Motor  12V, 9413G698 with short main shaft"</f>
        <v>Motor  12V, 9413G698 with short main shaft</v>
      </c>
      <c r="C8447" t="str">
        <f>"Active"</f>
        <v>Active</v>
      </c>
    </row>
    <row r="8448" spans="1:3" ht="18" customHeight="1">
      <c r="A8448" t="str">
        <f>"430948"</f>
        <v>430948</v>
      </c>
      <c r="B8448" t="str">
        <f>"Motor 24VDC,14201D526-R2, Encoder 96CPR+ M4x0.7"</f>
        <v>Motor 24VDC,14201D526-R2, Encoder 96CPR+ M4x0.7</v>
      </c>
      <c r="C8448" t="str">
        <f>"Active"</f>
        <v>Active</v>
      </c>
    </row>
    <row r="8449" spans="1:3" ht="18" customHeight="1">
      <c r="A8449" t="str">
        <f>"430949"</f>
        <v>430949</v>
      </c>
      <c r="B8449" t="str">
        <f>"Motor 3 Phase 0.75HP-B5, 1390RPM220/380Vac"</f>
        <v>Motor 3 Phase 0.75HP-B5, 1390RPM220/380Vac</v>
      </c>
      <c r="C8449" t="str">
        <f>"Phase Out"</f>
        <v>Phase Out</v>
      </c>
    </row>
    <row r="8450" spans="1:3" ht="18" customHeight="1">
      <c r="A8450" t="str">
        <f>"430951"</f>
        <v>430951</v>
      </c>
      <c r="B8450" t="str">
        <f>"Motor, AC SERVO, 400W, SGMAH04AAF41, Yaskawa"</f>
        <v>Motor, AC SERVO, 400W, SGMAH04AAF41, Yaskawa</v>
      </c>
      <c r="C8450" t="str">
        <f>"Not for sale"</f>
        <v>Not for sale</v>
      </c>
    </row>
    <row r="8451" spans="1:3" ht="18" customHeight="1">
      <c r="A8451" t="str">
        <f>"430952"</f>
        <v>430952</v>
      </c>
      <c r="B8451" t="str">
        <f>"Motor, AC SERVO,800W, SGMAH08AAF41, Yaskawa"</f>
        <v>Motor, AC SERVO,800W, SGMAH08AAF41, Yaskawa</v>
      </c>
      <c r="C8451" t="str">
        <f t="shared" ref="C8451:C8465" si="318">"Active"</f>
        <v>Active</v>
      </c>
    </row>
    <row r="8452" spans="1:3" ht="18" customHeight="1">
      <c r="A8452" t="str">
        <f>"430953"</f>
        <v>430953</v>
      </c>
      <c r="B8452" t="str">
        <f>"Motor, AC SERVO,800W, PGE5/2,MotorAH-08,Yaskawa"</f>
        <v>Motor, AC SERVO,800W, PGE5/2,MotorAH-08,Yaskawa</v>
      </c>
      <c r="C8452" t="str">
        <f t="shared" si="318"/>
        <v>Active</v>
      </c>
    </row>
    <row r="8453" spans="1:3" ht="18" customHeight="1">
      <c r="A8453" t="str">
        <f>"430954"</f>
        <v>430954</v>
      </c>
      <c r="B8453" t="str">
        <f>"Motor-AC SERVO,400W PGE25/2,MotorAH04,Yaskawa"</f>
        <v>Motor-AC SERVO,400W PGE25/2,MotorAH04,Yaskawa</v>
      </c>
      <c r="C8453" t="str">
        <f t="shared" si="318"/>
        <v>Active</v>
      </c>
    </row>
    <row r="8454" spans="1:3" ht="18" customHeight="1">
      <c r="A8454" t="str">
        <f>"430955"</f>
        <v>430955</v>
      </c>
      <c r="B8454" t="str">
        <f>"Motor 3 Phase 0.75HP-B5, 1390RPM220/380Vac01/4HP"</f>
        <v>Motor 3 Phase 0.75HP-B5, 1390RPM220/380Vac01/4HP</v>
      </c>
      <c r="C8454" t="str">
        <f t="shared" si="318"/>
        <v>Active</v>
      </c>
    </row>
    <row r="8455" spans="1:3" ht="18" customHeight="1">
      <c r="A8455" t="str">
        <f>"430956"</f>
        <v>430956</v>
      </c>
      <c r="B8455" t="str">
        <f>"GearMotor 3Phase 0.25KW, MS7114 380v, NMRV050"</f>
        <v>GearMotor 3Phase 0.25KW, MS7114 380v, NMRV050</v>
      </c>
      <c r="C8455" t="str">
        <f t="shared" si="318"/>
        <v>Active</v>
      </c>
    </row>
    <row r="8456" spans="1:3" ht="18" customHeight="1">
      <c r="A8456" t="str">
        <f>"433003"</f>
        <v>433003</v>
      </c>
      <c r="B8456" t="str">
        <f>"Fan Filter"</f>
        <v>Fan Filter</v>
      </c>
      <c r="C8456" t="str">
        <f t="shared" si="318"/>
        <v>Active</v>
      </c>
    </row>
    <row r="8457" spans="1:3" ht="18" customHeight="1">
      <c r="A8457" t="str">
        <f>"433009"</f>
        <v>433009</v>
      </c>
      <c r="B8457" t="str">
        <f>"FAN 40x40mm 12V, 80mA"</f>
        <v>FAN 40x40mm 12V, 80mA</v>
      </c>
      <c r="C8457" t="str">
        <f t="shared" si="318"/>
        <v>Active</v>
      </c>
    </row>
    <row r="8458" spans="1:3" ht="18" customHeight="1">
      <c r="A8458" t="str">
        <f>"433010"</f>
        <v>433010</v>
      </c>
      <c r="B8458" t="str">
        <f>"for Venta"</f>
        <v>for Venta</v>
      </c>
      <c r="C8458" t="str">
        <f t="shared" si="318"/>
        <v>Active</v>
      </c>
    </row>
    <row r="8459" spans="1:3" ht="18" customHeight="1">
      <c r="A8459" t="str">
        <f>"433011"</f>
        <v>433011</v>
      </c>
      <c r="B8459" t="str">
        <f>"Fan 150S, 220V, Venta"</f>
        <v>Fan 150S, 220V, Venta</v>
      </c>
      <c r="C8459" t="str">
        <f t="shared" si="318"/>
        <v>Active</v>
      </c>
    </row>
    <row r="8460" spans="1:3" ht="18" customHeight="1">
      <c r="A8460" t="str">
        <f>"434001"</f>
        <v>434001</v>
      </c>
      <c r="B8460" t="str">
        <f>"Aquarium Heater, 100W, 110V, Dia.18, L180mm"</f>
        <v>Aquarium Heater, 100W, 110V, Dia.18, L180mm</v>
      </c>
      <c r="C8460" t="str">
        <f t="shared" si="318"/>
        <v>Active</v>
      </c>
    </row>
    <row r="8461" spans="1:3" ht="18" customHeight="1">
      <c r="A8461" t="str">
        <f>"434004"</f>
        <v>434004</v>
      </c>
      <c r="B8461" t="str">
        <f>"Welder-Millwermatic 180 Auto-Set, 230V, 60Hz"</f>
        <v>Welder-Millwermatic 180 Auto-Set, 230V, 60Hz</v>
      </c>
      <c r="C8461" t="str">
        <f t="shared" si="318"/>
        <v>Active</v>
      </c>
    </row>
    <row r="8462" spans="1:3" ht="18" customHeight="1">
      <c r="A8462" t="str">
        <f>"434007"</f>
        <v>434007</v>
      </c>
      <c r="B8462" t="str">
        <f>"Millermatic 140 AutoSet, 115V,20A,60Hz,single-ph"</f>
        <v>Millermatic 140 AutoSet, 115V,20A,60Hz,single-ph</v>
      </c>
      <c r="C8462" t="str">
        <f t="shared" si="318"/>
        <v>Active</v>
      </c>
    </row>
    <row r="8463" spans="1:3" ht="18" customHeight="1">
      <c r="A8463" t="str">
        <f>"434008"</f>
        <v>434008</v>
      </c>
      <c r="B8463" t="str">
        <f>"Home Robot, Friendly Vac RV400"</f>
        <v>Home Robot, Friendly Vac RV400</v>
      </c>
      <c r="C8463" t="str">
        <f t="shared" si="318"/>
        <v>Active</v>
      </c>
    </row>
    <row r="8464" spans="1:3" ht="18" customHeight="1">
      <c r="A8464" t="str">
        <f>"434009"</f>
        <v>434009</v>
      </c>
      <c r="B8464" t="str">
        <f>"Battery charger Vac RV400"</f>
        <v>Battery charger Vac RV400</v>
      </c>
      <c r="C8464" t="str">
        <f t="shared" si="318"/>
        <v>Active</v>
      </c>
    </row>
    <row r="8465" spans="1:3" ht="18" customHeight="1">
      <c r="A8465" t="str">
        <f>"434010"</f>
        <v>434010</v>
      </c>
      <c r="B8465" t="str">
        <f>"Remote control for RV400"</f>
        <v>Remote control for RV400</v>
      </c>
      <c r="C8465" t="str">
        <f t="shared" si="318"/>
        <v>Active</v>
      </c>
    </row>
    <row r="8466" spans="1:3" ht="18" customHeight="1">
      <c r="A8466" t="str">
        <f>"434012"</f>
        <v>434012</v>
      </c>
      <c r="B8466" t="str">
        <f>"ECO100 SP2 Assy, ELMORE ELM100 stroke4500"</f>
        <v>ECO100 SP2 Assy, ELMORE ELM100 stroke4500</v>
      </c>
      <c r="C8466" t="str">
        <f>"ECO-N2Buy"</f>
        <v>ECO-N2Buy</v>
      </c>
    </row>
    <row r="8467" spans="1:3" ht="18" customHeight="1">
      <c r="A8467" t="str">
        <f>"434013"</f>
        <v>434013</v>
      </c>
      <c r="B8467" t="str">
        <f>"SD300 Pro Printer"</f>
        <v>SD300 Pro Printer</v>
      </c>
      <c r="C8467" t="str">
        <f>"Phase Out"</f>
        <v>Phase Out</v>
      </c>
    </row>
    <row r="8468" spans="1:3" ht="18" customHeight="1">
      <c r="A8468" t="str">
        <f>"434014"</f>
        <v>434014</v>
      </c>
      <c r="B8468" t="str">
        <f>"Transformer  AA W/O Cable, 100-240-12VDC-5A"</f>
        <v>Transformer  AA W/O Cable, 100-240-12VDC-5A</v>
      </c>
      <c r="C8468" t="str">
        <f t="shared" ref="C8468:C8507" si="319">"Active"</f>
        <v>Active</v>
      </c>
    </row>
    <row r="8469" spans="1:3" ht="18" customHeight="1">
      <c r="A8469" t="str">
        <f>"48047-200"</f>
        <v>48047-200</v>
      </c>
      <c r="B8469" t="str">
        <f>"Mechanism Suitcase MB-300 w/Accessories"</f>
        <v>Mechanism Suitcase MB-300 w/Accessories</v>
      </c>
      <c r="C8469" t="str">
        <f t="shared" si="319"/>
        <v>Active</v>
      </c>
    </row>
    <row r="8470" spans="1:3" ht="18" customHeight="1">
      <c r="A8470" t="str">
        <f>"50-0001-0CNC"</f>
        <v>50-0001-0CNC</v>
      </c>
      <c r="B8470" t="str">
        <f>"CNC Beginner Workshop"</f>
        <v>CNC Beginner Workshop</v>
      </c>
      <c r="C8470" t="str">
        <f t="shared" si="319"/>
        <v>Active</v>
      </c>
    </row>
    <row r="8471" spans="1:3" ht="18" customHeight="1">
      <c r="A8471" t="str">
        <f>"50-0001-0ENG"</f>
        <v>50-0001-0ENG</v>
      </c>
      <c r="B8471" t="str">
        <f>"Advanced Engineering Workshop"</f>
        <v>Advanced Engineering Workshop</v>
      </c>
      <c r="C8471" t="str">
        <f t="shared" si="319"/>
        <v>Active</v>
      </c>
    </row>
    <row r="8472" spans="1:3" ht="18" customHeight="1">
      <c r="A8472" t="str">
        <f>"50-0001-0JME"</f>
        <v>50-0001-0JME</v>
      </c>
      <c r="B8472" t="str">
        <f>"Job Master Electric Product Training"</f>
        <v>Job Master Electric Product Training</v>
      </c>
      <c r="C8472" t="str">
        <f t="shared" si="319"/>
        <v>Active</v>
      </c>
    </row>
    <row r="8473" spans="1:3" ht="18" customHeight="1">
      <c r="A8473" t="str">
        <f>"50-0001-0JMM"</f>
        <v>50-0001-0JMM</v>
      </c>
      <c r="B8473" t="str">
        <f>"Job Master Mechanical Product Training"</f>
        <v>Job Master Mechanical Product Training</v>
      </c>
      <c r="C8473" t="str">
        <f t="shared" si="319"/>
        <v>Active</v>
      </c>
    </row>
    <row r="8474" spans="1:3" ht="18" customHeight="1">
      <c r="A8474" t="str">
        <f>"50-0001-0LMS"</f>
        <v>50-0001-0LMS</v>
      </c>
      <c r="B8474" t="str">
        <f>"LM7 from a Teacher’s Perspective, Week 1"</f>
        <v>LM7 from a Teacher’s Perspective, Week 1</v>
      </c>
      <c r="C8474" t="str">
        <f t="shared" si="319"/>
        <v>Active</v>
      </c>
    </row>
    <row r="8475" spans="1:3" ht="18" customHeight="1">
      <c r="A8475" t="str">
        <f>"50-0001-0REC"</f>
        <v>50-0001-0REC</v>
      </c>
      <c r="B8475" t="str">
        <f>"REC Beginner Workshop, Week 1"</f>
        <v>REC Beginner Workshop, Week 1</v>
      </c>
      <c r="C8475" t="str">
        <f t="shared" si="319"/>
        <v>Active</v>
      </c>
    </row>
    <row r="8476" spans="1:3" ht="18" customHeight="1">
      <c r="A8476" t="str">
        <f>"50-0001-0SPC"</f>
        <v>50-0001-0SPC</v>
      </c>
      <c r="B8476" t="str">
        <f>"5 hr. Self-Paced PD Course"</f>
        <v>5 hr. Self-Paced PD Course</v>
      </c>
      <c r="C8476" t="str">
        <f t="shared" si="319"/>
        <v>Active</v>
      </c>
    </row>
    <row r="8477" spans="1:3" ht="18" customHeight="1">
      <c r="A8477" t="str">
        <f>"50-0001-0USU"</f>
        <v>50-0001-0USU</v>
      </c>
      <c r="B8477" t="str">
        <f>"Online Teaching Methodology/Flipped Class USU"</f>
        <v>Online Teaching Methodology/Flipped Class USU</v>
      </c>
      <c r="C8477" t="str">
        <f t="shared" si="319"/>
        <v>Active</v>
      </c>
    </row>
    <row r="8478" spans="1:3" ht="18" customHeight="1">
      <c r="A8478" t="str">
        <f>"50-0002-0CNC"</f>
        <v>50-0002-0CNC</v>
      </c>
      <c r="B8478" t="str">
        <f>"CNC Advanced Workshop"</f>
        <v>CNC Advanced Workshop</v>
      </c>
      <c r="C8478" t="str">
        <f t="shared" si="319"/>
        <v>Active</v>
      </c>
    </row>
    <row r="8479" spans="1:3" ht="18" customHeight="1">
      <c r="A8479" t="str">
        <f>"50-0002-0PDW"</f>
        <v>50-0002-0PDW</v>
      </c>
      <c r="B8479" t="str">
        <f>"Connecting PBL and STEAM, Week 2"</f>
        <v>Connecting PBL and STEAM, Week 2</v>
      </c>
      <c r="C8479" t="str">
        <f t="shared" si="319"/>
        <v>Active</v>
      </c>
    </row>
    <row r="8480" spans="1:3" ht="18" customHeight="1">
      <c r="A8480" t="str">
        <f>"50-0002-0REC"</f>
        <v>50-0002-0REC</v>
      </c>
      <c r="B8480" t="str">
        <f>"REC Advanced Workshop"</f>
        <v>REC Advanced Workshop</v>
      </c>
      <c r="C8480" t="str">
        <f t="shared" si="319"/>
        <v>Active</v>
      </c>
    </row>
    <row r="8481" spans="1:3" ht="18" customHeight="1">
      <c r="A8481" t="str">
        <f>"50-0002-0SPC"</f>
        <v>50-0002-0SPC</v>
      </c>
      <c r="B8481" t="str">
        <f>"1 hr. Self-Paced PD Course"</f>
        <v>1 hr. Self-Paced PD Course</v>
      </c>
      <c r="C8481" t="str">
        <f t="shared" si="319"/>
        <v>Active</v>
      </c>
    </row>
    <row r="8482" spans="1:3" ht="18" customHeight="1">
      <c r="A8482" t="str">
        <f>"50-0002-0USU"</f>
        <v>50-0002-0USU</v>
      </c>
      <c r="B8482" t="str">
        <f>"Online Strategies for Engagement/Management USU"</f>
        <v>Online Strategies for Engagement/Management USU</v>
      </c>
      <c r="C8482" t="str">
        <f t="shared" si="319"/>
        <v>Active</v>
      </c>
    </row>
    <row r="8483" spans="1:3" ht="18" customHeight="1">
      <c r="A8483" t="str">
        <f>"50-0003-0PDW"</f>
        <v>50-0003-0PDW</v>
      </c>
      <c r="B8483" t="str">
        <f>"Engaging Girls in STEAM Education"</f>
        <v>Engaging Girls in STEAM Education</v>
      </c>
      <c r="C8483" t="str">
        <f t="shared" si="319"/>
        <v>Active</v>
      </c>
    </row>
    <row r="8484" spans="1:3" ht="18" customHeight="1">
      <c r="A8484" t="str">
        <f>"50-0003-0SPC"</f>
        <v>50-0003-0SPC</v>
      </c>
      <c r="B8484" t="str">
        <f>"Asynchronous Course Build"</f>
        <v>Asynchronous Course Build</v>
      </c>
      <c r="C8484" t="str">
        <f t="shared" si="319"/>
        <v>Active</v>
      </c>
    </row>
    <row r="8485" spans="1:3" ht="18" customHeight="1">
      <c r="A8485" t="str">
        <f>"50-0003-0USU"</f>
        <v>50-0003-0USU</v>
      </c>
      <c r="B8485" t="str">
        <f>"The 21st Century Classroom USU"</f>
        <v>The 21st Century Classroom USU</v>
      </c>
      <c r="C8485" t="str">
        <f t="shared" si="319"/>
        <v>Active</v>
      </c>
    </row>
    <row r="8486" spans="1:3" ht="18" customHeight="1">
      <c r="A8486" t="str">
        <f>"50-0003-0VEX"</f>
        <v>50-0003-0VEX</v>
      </c>
      <c r="B8486" t="str">
        <f>"Exploring Robotics Using VEX IQ, Week 3"</f>
        <v>Exploring Robotics Using VEX IQ, Week 3</v>
      </c>
      <c r="C8486" t="str">
        <f t="shared" si="319"/>
        <v>Active</v>
      </c>
    </row>
    <row r="8487" spans="1:3" ht="18" customHeight="1">
      <c r="A8487" t="str">
        <f>"50-0004-0LMS"</f>
        <v>50-0004-0LMS</v>
      </c>
      <c r="B8487" t="str">
        <f>"LM7 from an Administrative Perspective, Week 4"</f>
        <v>LM7 from an Administrative Perspective, Week 4</v>
      </c>
      <c r="C8487" t="str">
        <f t="shared" si="319"/>
        <v>Active</v>
      </c>
    </row>
    <row r="8488" spans="1:3" ht="18" customHeight="1">
      <c r="A8488" t="str">
        <f>"50-0004-0SPC"</f>
        <v>50-0004-0SPC</v>
      </c>
      <c r="B8488" t="str">
        <f>"Asynchronous Course Delivery"</f>
        <v>Asynchronous Course Delivery</v>
      </c>
      <c r="C8488" t="str">
        <f t="shared" si="319"/>
        <v>Active</v>
      </c>
    </row>
    <row r="8489" spans="1:3" ht="18" customHeight="1">
      <c r="A8489" t="str">
        <f>"50-0004-0WSH"</f>
        <v>50-0004-0WSH</v>
      </c>
      <c r="B8489" t="str">
        <f>"½ Day Workshop"</f>
        <v>½ Day Workshop</v>
      </c>
      <c r="C8489" t="str">
        <f t="shared" si="319"/>
        <v>Active</v>
      </c>
    </row>
    <row r="8490" spans="1:3" ht="18" customHeight="1">
      <c r="A8490" t="str">
        <f>"50-0008-0WSF"</f>
        <v>50-0008-0WSF</v>
      </c>
      <c r="B8490" t="str">
        <f>"Full Day Workshop"</f>
        <v>Full Day Workshop</v>
      </c>
      <c r="C8490" t="str">
        <f t="shared" si="319"/>
        <v>Active</v>
      </c>
    </row>
    <row r="8491" spans="1:3" ht="18" customHeight="1">
      <c r="A8491" t="str">
        <f>"50-0053-0000"</f>
        <v>50-0053-0000</v>
      </c>
      <c r="B8491" t="str">
        <f>"Pallet Tracking Stop Station Wiring"</f>
        <v>Pallet Tracking Stop Station Wiring</v>
      </c>
      <c r="C8491" t="str">
        <f t="shared" si="319"/>
        <v>Active</v>
      </c>
    </row>
    <row r="8492" spans="1:3" ht="18" customHeight="1">
      <c r="A8492" t="str">
        <f>"50-0054-0000"</f>
        <v>50-0054-0000</v>
      </c>
      <c r="B8492" t="str">
        <f>"External Party Installation and/or Training"</f>
        <v>External Party Installation and/or Training</v>
      </c>
      <c r="C8492" t="str">
        <f t="shared" si="319"/>
        <v>Active</v>
      </c>
    </row>
    <row r="8493" spans="1:3" ht="18" customHeight="1">
      <c r="A8493" t="str">
        <f>"50-0054-0001"</f>
        <v>50-0054-0001</v>
      </c>
      <c r="B8493" t="str">
        <f>"Site Preparation"</f>
        <v>Site Preparation</v>
      </c>
      <c r="C8493" t="str">
        <f t="shared" si="319"/>
        <v>Active</v>
      </c>
    </row>
    <row r="8494" spans="1:3" ht="18" customHeight="1">
      <c r="A8494" t="str">
        <f>"50-0054-0002"</f>
        <v>50-0054-0002</v>
      </c>
      <c r="B8494" t="str">
        <f>"Security System"</f>
        <v>Security System</v>
      </c>
      <c r="C8494" t="str">
        <f t="shared" si="319"/>
        <v>Active</v>
      </c>
    </row>
    <row r="8495" spans="1:3" ht="18" customHeight="1">
      <c r="A8495" t="str">
        <f>"50-0077-0000"</f>
        <v>50-0077-0000</v>
      </c>
      <c r="B8495" t="str">
        <f>"Handling/ Banking Fees/ Stamping"</f>
        <v>Handling/ Banking Fees/ Stamping</v>
      </c>
      <c r="C8495" t="str">
        <f t="shared" si="319"/>
        <v>Active</v>
      </c>
    </row>
    <row r="8496" spans="1:3" ht="18" customHeight="1">
      <c r="A8496" t="str">
        <f>"50-0078-0000"</f>
        <v>50-0078-0000</v>
      </c>
      <c r="B8496" t="str">
        <f>"FREIGHT and INSURANCE charges"</f>
        <v>FREIGHT and INSURANCE charges</v>
      </c>
      <c r="C8496" t="str">
        <f t="shared" si="319"/>
        <v>Active</v>
      </c>
    </row>
    <row r="8497" spans="1:3" ht="18" customHeight="1">
      <c r="A8497" t="str">
        <f>"50-0079-0000"</f>
        <v>50-0079-0000</v>
      </c>
      <c r="B8497" t="str">
        <f>"Flight Ticket"</f>
        <v>Flight Ticket</v>
      </c>
      <c r="C8497" t="str">
        <f t="shared" si="319"/>
        <v>Active</v>
      </c>
    </row>
    <row r="8498" spans="1:3" ht="18" customHeight="1">
      <c r="A8498" t="str">
        <f>"50-0080-0000"</f>
        <v>50-0080-0000</v>
      </c>
      <c r="B8498" t="str">
        <f>"Travel expenses (short distance)"</f>
        <v>Travel expenses (short distance)</v>
      </c>
      <c r="C8498" t="str">
        <f t="shared" si="319"/>
        <v>Active</v>
      </c>
    </row>
    <row r="8499" spans="1:3" ht="18" customHeight="1">
      <c r="A8499" t="str">
        <f>"50-0081-0000"</f>
        <v>50-0081-0000</v>
      </c>
      <c r="B8499" t="str">
        <f>"Travel expenses - (long distance)"</f>
        <v>Travel expenses - (long distance)</v>
      </c>
      <c r="C8499" t="str">
        <f t="shared" si="319"/>
        <v>Active</v>
      </c>
    </row>
    <row r="8500" spans="1:3" ht="18" customHeight="1">
      <c r="A8500" t="str">
        <f>"50-0083-0000"</f>
        <v>50-0083-0000</v>
      </c>
      <c r="B8500" t="str">
        <f>"Installation and 3 Training Days (FMS)"</f>
        <v>Installation and 3 Training Days (FMS)</v>
      </c>
      <c r="C8500" t="str">
        <f t="shared" si="319"/>
        <v>Active</v>
      </c>
    </row>
    <row r="8501" spans="1:3" ht="18" customHeight="1">
      <c r="A8501" t="str">
        <f>"50-0084-0000"</f>
        <v>50-0084-0000</v>
      </c>
      <c r="B8501" t="str">
        <f>"Installation and 4 Training Days (FMS)"</f>
        <v>Installation and 4 Training Days (FMS)</v>
      </c>
      <c r="C8501" t="str">
        <f t="shared" si="319"/>
        <v>Active</v>
      </c>
    </row>
    <row r="8502" spans="1:3" ht="18" customHeight="1">
      <c r="A8502" t="str">
        <f>"50-0085-0000"</f>
        <v>50-0085-0000</v>
      </c>
      <c r="B8502" t="str">
        <f>"Installation and 5 Training Days (FMS)"</f>
        <v>Installation and 5 Training Days (FMS)</v>
      </c>
      <c r="C8502" t="str">
        <f t="shared" si="319"/>
        <v>Active</v>
      </c>
    </row>
    <row r="8503" spans="1:3" ht="18" customHeight="1">
      <c r="A8503" t="str">
        <f>"50-0086-0000"</f>
        <v>50-0086-0000</v>
      </c>
      <c r="B8503" t="str">
        <f>"Installation and 6 Training Days (FMS)"</f>
        <v>Installation and 6 Training Days (FMS)</v>
      </c>
      <c r="C8503" t="str">
        <f t="shared" si="319"/>
        <v>Active</v>
      </c>
    </row>
    <row r="8504" spans="1:3" ht="18" customHeight="1">
      <c r="A8504" t="str">
        <f>"50-0091-0000"</f>
        <v>50-0091-0000</v>
      </c>
      <c r="B8504" t="str">
        <f>"Registration Script for UNAD LM5"</f>
        <v>Registration Script for UNAD LM5</v>
      </c>
      <c r="C8504" t="str">
        <f t="shared" si="319"/>
        <v>Active</v>
      </c>
    </row>
    <row r="8505" spans="1:3" ht="18" customHeight="1">
      <c r="A8505" t="str">
        <f>"50-0092-0000"</f>
        <v>50-0092-0000</v>
      </c>
      <c r="B8505" t="str">
        <f>"Interface Programming for 3rd Party CNC Machine"</f>
        <v>Interface Programming for 3rd Party CNC Machine</v>
      </c>
      <c r="C8505" t="str">
        <f t="shared" si="319"/>
        <v>Active</v>
      </c>
    </row>
    <row r="8506" spans="1:3" ht="18" customHeight="1">
      <c r="A8506" t="str">
        <f>"50-0093-0000"</f>
        <v>50-0093-0000</v>
      </c>
      <c r="B8506" t="str">
        <f>"Interface Programming for Intelitek CNC Machine"</f>
        <v>Interface Programming for Intelitek CNC Machine</v>
      </c>
      <c r="C8506" t="str">
        <f t="shared" si="319"/>
        <v>Active</v>
      </c>
    </row>
    <row r="8507" spans="1:3" ht="18" customHeight="1">
      <c r="A8507" t="str">
        <f>"50-0094-0000"</f>
        <v>50-0094-0000</v>
      </c>
      <c r="B8507" t="str">
        <f>"Pre-Engineering, Design and Testing"</f>
        <v>Pre-Engineering, Design and Testing</v>
      </c>
      <c r="C8507" t="str">
        <f t="shared" si="319"/>
        <v>Active</v>
      </c>
    </row>
    <row r="8508" spans="1:3" ht="18" customHeight="1">
      <c r="A8508" t="str">
        <f>"50-0094-0OLD"</f>
        <v>50-0094-0OLD</v>
      </c>
      <c r="B8508" t="str">
        <f>"Pre-Engineering, Design and Testing"</f>
        <v>Pre-Engineering, Design and Testing</v>
      </c>
      <c r="C8508" t="str">
        <f>"Inactive"</f>
        <v>Inactive</v>
      </c>
    </row>
    <row r="8509" spans="1:3" ht="18" customHeight="1">
      <c r="A8509" t="str">
        <f>"50-0095-0000"</f>
        <v>50-0095-0000</v>
      </c>
      <c r="B8509" t="str">
        <f>"Installation at Customer Site"</f>
        <v>Installation at Customer Site</v>
      </c>
      <c r="C8509" t="str">
        <f>"Active"</f>
        <v>Active</v>
      </c>
    </row>
    <row r="8510" spans="1:3" ht="18" customHeight="1">
      <c r="A8510" t="str">
        <f>"50-0095-0OLD"</f>
        <v>50-0095-0OLD</v>
      </c>
      <c r="B8510" t="str">
        <f>"Installation at Customer Site"</f>
        <v>Installation at Customer Site</v>
      </c>
      <c r="C8510" t="str">
        <f>"Inactive"</f>
        <v>Inactive</v>
      </c>
    </row>
    <row r="8511" spans="1:3" ht="18" customHeight="1">
      <c r="A8511" t="str">
        <f>"50-0096-0000"</f>
        <v>50-0096-0000</v>
      </c>
      <c r="B8511" t="str">
        <f>"Training at Customer Site (Days)"</f>
        <v>Training at Customer Site (Days)</v>
      </c>
      <c r="C8511" t="str">
        <f>"Active"</f>
        <v>Active</v>
      </c>
    </row>
    <row r="8512" spans="1:3" ht="18" customHeight="1">
      <c r="A8512" t="str">
        <f>"50-0096-0OLD"</f>
        <v>50-0096-0OLD</v>
      </c>
      <c r="B8512" t="str">
        <f>"Training at Customer Site (Days)"</f>
        <v>Training at Customer Site (Days)</v>
      </c>
      <c r="C8512" t="str">
        <f>"Inactive"</f>
        <v>Inactive</v>
      </c>
    </row>
    <row r="8513" spans="1:3" ht="18" customHeight="1">
      <c r="A8513" t="str">
        <f>"50-0097-0000"</f>
        <v>50-0097-0000</v>
      </c>
      <c r="B8513" t="str">
        <f>"Hosting Monthly Service"</f>
        <v>Hosting Monthly Service</v>
      </c>
      <c r="C8513" t="str">
        <f>"Active"</f>
        <v>Active</v>
      </c>
    </row>
    <row r="8514" spans="1:3" ht="18" customHeight="1">
      <c r="A8514" t="str">
        <f>"50-0097-0001"</f>
        <v>50-0097-0001</v>
      </c>
      <c r="B8514" t="str">
        <f>"Hosting-Yearly service"</f>
        <v>Hosting-Yearly service</v>
      </c>
      <c r="C8514" t="str">
        <f>"Active"</f>
        <v>Active</v>
      </c>
    </row>
    <row r="8515" spans="1:3" ht="18" customHeight="1">
      <c r="A8515" t="str">
        <f>"50-0098-0000"</f>
        <v>50-0098-0000</v>
      </c>
      <c r="B8515" t="str">
        <f>"Monitoring for Hosting -yearly"</f>
        <v>Monitoring for Hosting -yearly</v>
      </c>
      <c r="C8515" t="str">
        <f>"Not for sale"</f>
        <v>Not for sale</v>
      </c>
    </row>
    <row r="8516" spans="1:3" ht="18" customHeight="1">
      <c r="A8516" t="str">
        <f>"50-0099-0000"</f>
        <v>50-0099-0000</v>
      </c>
      <c r="B8516" t="str">
        <f>"Virtual storage software"</f>
        <v>Virtual storage software</v>
      </c>
      <c r="C8516" t="str">
        <f>"Not for sale"</f>
        <v>Not for sale</v>
      </c>
    </row>
    <row r="8517" spans="1:3" ht="18" customHeight="1">
      <c r="A8517" t="str">
        <f>"50-0101-0000"</f>
        <v>50-0101-0000</v>
      </c>
      <c r="B8517" t="str">
        <f>"LPAD"</f>
        <v>LPAD</v>
      </c>
      <c r="C8517" t="str">
        <f t="shared" ref="C8517:C8549" si="320">"Active"</f>
        <v>Active</v>
      </c>
    </row>
    <row r="8518" spans="1:3" ht="18" customHeight="1">
      <c r="A8518" t="str">
        <f>"50-0102-0000"</f>
        <v>50-0102-0000</v>
      </c>
      <c r="B8518" t="str">
        <f>"IE workshop"</f>
        <v>IE workshop</v>
      </c>
      <c r="C8518" t="str">
        <f t="shared" si="320"/>
        <v>Active</v>
      </c>
    </row>
    <row r="8519" spans="1:3" ht="18" customHeight="1">
      <c r="A8519" t="str">
        <f>"50-0103-0000"</f>
        <v>50-0103-0000</v>
      </c>
      <c r="B8519" t="str">
        <f>"Didactic training"</f>
        <v>Didactic training</v>
      </c>
      <c r="C8519" t="str">
        <f t="shared" si="320"/>
        <v>Active</v>
      </c>
    </row>
    <row r="8520" spans="1:3" ht="18" customHeight="1">
      <c r="A8520" t="str">
        <f>"50-0104-0000"</f>
        <v>50-0104-0000</v>
      </c>
      <c r="B8520" t="str">
        <f>"Training in Israel"</f>
        <v>Training in Israel</v>
      </c>
      <c r="C8520" t="str">
        <f t="shared" si="320"/>
        <v>Active</v>
      </c>
    </row>
    <row r="8521" spans="1:3" ht="18" customHeight="1">
      <c r="A8521" t="str">
        <f>"50-0105-0000"</f>
        <v>50-0105-0000</v>
      </c>
      <c r="B8521" t="str">
        <f>"TNA"</f>
        <v>TNA</v>
      </c>
      <c r="C8521" t="str">
        <f t="shared" si="320"/>
        <v>Active</v>
      </c>
    </row>
    <row r="8522" spans="1:3" ht="18" customHeight="1">
      <c r="A8522" t="str">
        <f>"50-0106-0000"</f>
        <v>50-0106-0000</v>
      </c>
      <c r="B8522" t="str">
        <f>"Qualification of IE export"</f>
        <v>Qualification of IE export</v>
      </c>
      <c r="C8522" t="str">
        <f t="shared" si="320"/>
        <v>Active</v>
      </c>
    </row>
    <row r="8523" spans="1:3" ht="18" customHeight="1">
      <c r="A8523" t="str">
        <f>"50-0107-0000"</f>
        <v>50-0107-0000</v>
      </c>
      <c r="B8523" t="str">
        <f>"Qualification of LPAD export"</f>
        <v>Qualification of LPAD export</v>
      </c>
      <c r="C8523" t="str">
        <f t="shared" si="320"/>
        <v>Active</v>
      </c>
    </row>
    <row r="8524" spans="1:3" ht="18" customHeight="1">
      <c r="A8524" t="str">
        <f>"50-0108-0000"</f>
        <v>50-0108-0000</v>
      </c>
      <c r="B8524" t="str">
        <f>"Qualification of Trainers of Trainers"</f>
        <v>Qualification of Trainers of Trainers</v>
      </c>
      <c r="C8524" t="str">
        <f t="shared" si="320"/>
        <v>Active</v>
      </c>
    </row>
    <row r="8525" spans="1:3" ht="18" customHeight="1">
      <c r="A8525" t="str">
        <f>"50-0109-0000"</f>
        <v>50-0109-0000</v>
      </c>
      <c r="B8525" t="str">
        <f>"Learning processes workshop"</f>
        <v>Learning processes workshop</v>
      </c>
      <c r="C8525" t="str">
        <f t="shared" si="320"/>
        <v>Active</v>
      </c>
    </row>
    <row r="8526" spans="1:3" ht="18" customHeight="1">
      <c r="A8526" t="str">
        <f>"50-0110-0000"</f>
        <v>50-0110-0000</v>
      </c>
      <c r="B8526" t="str">
        <f>"CW cracking workshop"</f>
        <v>CW cracking workshop</v>
      </c>
      <c r="C8526" t="str">
        <f t="shared" si="320"/>
        <v>Active</v>
      </c>
    </row>
    <row r="8527" spans="1:3" ht="18" customHeight="1">
      <c r="A8527" t="str">
        <f>"50-0111-0000"</f>
        <v>50-0111-0000</v>
      </c>
      <c r="B8527" t="str">
        <f>"CW design basic workshop"</f>
        <v>CW design basic workshop</v>
      </c>
      <c r="C8527" t="str">
        <f t="shared" si="320"/>
        <v>Active</v>
      </c>
    </row>
    <row r="8528" spans="1:3" ht="18" customHeight="1">
      <c r="A8528" t="str">
        <f>"50-0112-0000"</f>
        <v>50-0112-0000</v>
      </c>
      <c r="B8528" t="str">
        <f>"CW advanced workshop"</f>
        <v>CW advanced workshop</v>
      </c>
      <c r="C8528" t="str">
        <f t="shared" si="320"/>
        <v>Active</v>
      </c>
    </row>
    <row r="8529" spans="1:3" ht="18" customHeight="1">
      <c r="A8529" t="str">
        <f>"50-0113-0000"</f>
        <v>50-0113-0000</v>
      </c>
      <c r="B8529" t="str">
        <f>"Didactic coaching"</f>
        <v>Didactic coaching</v>
      </c>
      <c r="C8529" t="str">
        <f t="shared" si="320"/>
        <v>Active</v>
      </c>
    </row>
    <row r="8530" spans="1:3" ht="18" customHeight="1">
      <c r="A8530" t="str">
        <f>"50-0114-0000"</f>
        <v>50-0114-0000</v>
      </c>
      <c r="B8530" t="str">
        <f>"IE/LPAD coaching"</f>
        <v>IE/LPAD coaching</v>
      </c>
      <c r="C8530" t="str">
        <f t="shared" si="320"/>
        <v>Active</v>
      </c>
    </row>
    <row r="8531" spans="1:3" ht="18" customHeight="1">
      <c r="A8531" t="str">
        <f>"50-0115-0000"</f>
        <v>50-0115-0000</v>
      </c>
      <c r="B8531" t="str">
        <f>"Quality audit qulification"</f>
        <v>Quality audit qulification</v>
      </c>
      <c r="C8531" t="str">
        <f t="shared" si="320"/>
        <v>Active</v>
      </c>
    </row>
    <row r="8532" spans="1:3" ht="18" customHeight="1">
      <c r="A8532" t="str">
        <f>"50-0116-0000"</f>
        <v>50-0116-0000</v>
      </c>
      <c r="B8532" t="str">
        <f>"Quality audit system"</f>
        <v>Quality audit system</v>
      </c>
      <c r="C8532" t="str">
        <f t="shared" si="320"/>
        <v>Active</v>
      </c>
    </row>
    <row r="8533" spans="1:3" ht="18" customHeight="1">
      <c r="A8533" t="str">
        <f>"50-0117-0000"</f>
        <v>50-0117-0000</v>
      </c>
      <c r="B8533" t="str">
        <f>"Quality audit implementaion"</f>
        <v>Quality audit implementaion</v>
      </c>
      <c r="C8533" t="str">
        <f t="shared" si="320"/>
        <v>Active</v>
      </c>
    </row>
    <row r="8534" spans="1:3" ht="18" customHeight="1">
      <c r="A8534" t="str">
        <f>"50-0118-0000"</f>
        <v>50-0118-0000</v>
      </c>
      <c r="B8534" t="str">
        <f>"Methodologies Workshop"</f>
        <v>Methodologies Workshop</v>
      </c>
      <c r="C8534" t="str">
        <f t="shared" si="320"/>
        <v>Active</v>
      </c>
    </row>
    <row r="8535" spans="1:3" ht="18" customHeight="1">
      <c r="A8535" t="str">
        <f>"50-0119-0000"</f>
        <v>50-0119-0000</v>
      </c>
      <c r="B8535" t="str">
        <f>"Conceptual Design CIMA"</f>
        <v>Conceptual Design CIMA</v>
      </c>
      <c r="C8535" t="str">
        <f t="shared" si="320"/>
        <v>Active</v>
      </c>
    </row>
    <row r="8536" spans="1:3" ht="18" customHeight="1">
      <c r="A8536" t="str">
        <f>"50-0120-0000"</f>
        <v>50-0120-0000</v>
      </c>
      <c r="B8536" t="str">
        <f>"Advanced Training DF (Training development)"</f>
        <v>Advanced Training DF (Training development)</v>
      </c>
      <c r="C8536" t="str">
        <f t="shared" si="320"/>
        <v>Active</v>
      </c>
    </row>
    <row r="8537" spans="1:3" ht="18" customHeight="1">
      <c r="A8537" t="str">
        <f>"50-0121-0000"</f>
        <v>50-0121-0000</v>
      </c>
      <c r="B8537" t="str">
        <f>"Expert Training Development DeL"</f>
        <v>Expert Training Development DeL</v>
      </c>
      <c r="C8537" t="str">
        <f t="shared" si="320"/>
        <v>Active</v>
      </c>
    </row>
    <row r="8538" spans="1:3" ht="18" customHeight="1">
      <c r="A8538" t="str">
        <f>"50-0122-0000"</f>
        <v>50-0122-0000</v>
      </c>
      <c r="B8538" t="str">
        <f>"SEPA Training"</f>
        <v>SEPA Training</v>
      </c>
      <c r="C8538" t="str">
        <f t="shared" si="320"/>
        <v>Active</v>
      </c>
    </row>
    <row r="8539" spans="1:3" ht="18" customHeight="1">
      <c r="A8539" t="str">
        <f>"50-0123-0000"</f>
        <v>50-0123-0000</v>
      </c>
      <c r="B8539" t="str">
        <f>"Expert Training IE Tactiles"</f>
        <v>Expert Training IE Tactiles</v>
      </c>
      <c r="C8539" t="str">
        <f t="shared" si="320"/>
        <v>Active</v>
      </c>
    </row>
    <row r="8540" spans="1:3" ht="18" customHeight="1">
      <c r="A8540" t="str">
        <f>"50-1000-0001"</f>
        <v>50-1000-0001</v>
      </c>
      <c r="B8540" t="str">
        <f>"LM Mgt Sys.,1-day install &amp; trng (Internet ver)"</f>
        <v>LM Mgt Sys.,1-day install &amp; trng (Internet ver)</v>
      </c>
      <c r="C8540" t="str">
        <f t="shared" si="320"/>
        <v>Active</v>
      </c>
    </row>
    <row r="8541" spans="1:3" ht="18" customHeight="1">
      <c r="A8541" t="str">
        <f>"50-1200-0001"</f>
        <v>50-1200-0001</v>
      </c>
      <c r="B8541" t="str">
        <f>"LM7 Local Server Support- 1 year agreement"</f>
        <v>LM7 Local Server Support- 1 year agreement</v>
      </c>
      <c r="C8541" t="str">
        <f t="shared" si="320"/>
        <v>Active</v>
      </c>
    </row>
    <row r="8542" spans="1:3" ht="18" customHeight="1">
      <c r="A8542" t="str">
        <f>"50-1200-0003"</f>
        <v>50-1200-0003</v>
      </c>
      <c r="B8542" t="str">
        <f>"LM7 Local support- additional 3 years agreement"</f>
        <v>LM7 Local support- additional 3 years agreement</v>
      </c>
      <c r="C8542" t="str">
        <f t="shared" si="320"/>
        <v>Active</v>
      </c>
    </row>
    <row r="8543" spans="1:3" ht="18" customHeight="1">
      <c r="A8543" t="str">
        <f>"50-1201-0001"</f>
        <v>50-1201-0001</v>
      </c>
      <c r="B8543" t="str">
        <f>"LM7 Add’l 1 Yr hosting for 100 users (Renewal)"</f>
        <v>LM7 Add’l 1 Yr hosting for 100 users (Renewal)</v>
      </c>
      <c r="C8543" t="str">
        <f t="shared" si="320"/>
        <v>Active</v>
      </c>
    </row>
    <row r="8544" spans="1:3" ht="18" customHeight="1">
      <c r="A8544" t="str">
        <f>"50-1201-0003"</f>
        <v>50-1201-0003</v>
      </c>
      <c r="B8544" t="str">
        <f>"LM7 Add’l 3 Yrs hosting for 100 users (Renewal)"</f>
        <v>LM7 Add’l 3 Yrs hosting for 100 users (Renewal)</v>
      </c>
      <c r="C8544" t="str">
        <f t="shared" si="320"/>
        <v>Active</v>
      </c>
    </row>
    <row r="8545" spans="1:3" ht="18" customHeight="1">
      <c r="A8545" t="str">
        <f>"50-1202-2152"</f>
        <v>50-1202-2152</v>
      </c>
      <c r="B8545" t="str">
        <f>"Ext Warranty, 2nd yr, Afinia H480"</f>
        <v>Ext Warranty, 2nd yr, Afinia H480</v>
      </c>
      <c r="C8545" t="str">
        <f t="shared" si="320"/>
        <v>Active</v>
      </c>
    </row>
    <row r="8546" spans="1:3" ht="18" customHeight="1">
      <c r="A8546" t="str">
        <f>"50-1202-2153"</f>
        <v>50-1202-2153</v>
      </c>
      <c r="B8546" t="str">
        <f>"Ext Warranty, 2nd yr., Afinia ES360"</f>
        <v>Ext Warranty, 2nd yr., Afinia ES360</v>
      </c>
      <c r="C8546" t="str">
        <f t="shared" si="320"/>
        <v>Active</v>
      </c>
    </row>
    <row r="8547" spans="1:3" ht="18" customHeight="1">
      <c r="A8547" t="str">
        <f>"50-1202-2154"</f>
        <v>50-1202-2154</v>
      </c>
      <c r="B8547" t="str">
        <f>"Ext Warranty, 2nd AND 3rd yr., Afinia ES360"</f>
        <v>Ext Warranty, 2nd AND 3rd yr., Afinia ES360</v>
      </c>
      <c r="C8547" t="str">
        <f t="shared" si="320"/>
        <v>Active</v>
      </c>
    </row>
    <row r="8548" spans="1:3" ht="18" customHeight="1">
      <c r="A8548" t="str">
        <f>"50-1202-5176"</f>
        <v>50-1202-5176</v>
      </c>
      <c r="B8548" t="str">
        <f>"Ext Warranty, 2nd yr, Afinia H800"</f>
        <v>Ext Warranty, 2nd yr, Afinia H800</v>
      </c>
      <c r="C8548" t="str">
        <f t="shared" si="320"/>
        <v>Active</v>
      </c>
    </row>
    <row r="8549" spans="1:3" ht="18" customHeight="1">
      <c r="A8549" t="str">
        <f>"50-1202-5624"</f>
        <v>50-1202-5624</v>
      </c>
      <c r="B8549" t="str">
        <f>"Ext Warranty, 2nd AND 3rd yr, Afinia H480"</f>
        <v>Ext Warranty, 2nd AND 3rd yr, Afinia H480</v>
      </c>
      <c r="C8549" t="str">
        <f t="shared" si="320"/>
        <v>Active</v>
      </c>
    </row>
    <row r="8550" spans="1:3" ht="18" customHeight="1">
      <c r="A8550" t="str">
        <f>"50-1202-5631"</f>
        <v>50-1202-5631</v>
      </c>
      <c r="B8550" t="str">
        <f>"Ext Warranty, 2nd AND 3rd yr, Afinia H800"</f>
        <v>Ext Warranty, 2nd AND 3rd yr, Afinia H800</v>
      </c>
      <c r="C8550" t="str">
        <f>"New"</f>
        <v>New</v>
      </c>
    </row>
    <row r="8551" spans="1:3" ht="18" customHeight="1">
      <c r="A8551" t="str">
        <f>"50-3000-0011"</f>
        <v>50-3000-0011</v>
      </c>
      <c r="B8551" t="str">
        <f>"Training, Learnmate LMS (2.5 Day)"</f>
        <v>Training, Learnmate LMS (2.5 Day)</v>
      </c>
      <c r="C8551" t="str">
        <f t="shared" ref="C8551:C8563" si="321">"Active"</f>
        <v>Active</v>
      </c>
    </row>
    <row r="8552" spans="1:3" ht="18" customHeight="1">
      <c r="A8552" t="str">
        <f>"50-PLTW-0001"</f>
        <v>50-PLTW-0001</v>
      </c>
      <c r="B8552" t="str">
        <f>"Installation and Demonstration, PLTW"</f>
        <v>Installation and Demonstration, PLTW</v>
      </c>
      <c r="C8552" t="str">
        <f t="shared" si="321"/>
        <v>Active</v>
      </c>
    </row>
    <row r="8553" spans="1:3" ht="18" customHeight="1">
      <c r="A8553" t="str">
        <f>"63-0003-0001"</f>
        <v>63-0003-0001</v>
      </c>
      <c r="B8553" t="str">
        <f>"ACTIN Additional License"</f>
        <v>ACTIN Additional License</v>
      </c>
      <c r="C8553" t="str">
        <f t="shared" si="321"/>
        <v>Active</v>
      </c>
    </row>
    <row r="8554" spans="1:3" ht="18" customHeight="1">
      <c r="A8554" t="str">
        <f>"63-0004-0005"</f>
        <v>63-0004-0005</v>
      </c>
      <c r="B8554" t="str">
        <f>"ACTIN Five (5) Seat License"</f>
        <v>ACTIN Five (5) Seat License</v>
      </c>
      <c r="C8554" t="str">
        <f t="shared" si="321"/>
        <v>Active</v>
      </c>
    </row>
    <row r="8555" spans="1:3" ht="18" customHeight="1">
      <c r="A8555" t="str">
        <f>"63-0005-0010"</f>
        <v>63-0005-0010</v>
      </c>
      <c r="B8555" t="str">
        <f>"ACTIN Ten (10) Seat License"</f>
        <v>ACTIN Ten (10) Seat License</v>
      </c>
      <c r="C8555" t="str">
        <f t="shared" si="321"/>
        <v>Active</v>
      </c>
    </row>
    <row r="8556" spans="1:3" ht="18" customHeight="1">
      <c r="A8556" t="str">
        <f>"63-0006-0030"</f>
        <v>63-0006-0030</v>
      </c>
      <c r="B8556" t="str">
        <f>"ACTIN Classroom License (up to 30)"</f>
        <v>ACTIN Classroom License (up to 30)</v>
      </c>
      <c r="C8556" t="str">
        <f t="shared" si="321"/>
        <v>Active</v>
      </c>
    </row>
    <row r="8557" spans="1:3" ht="18" customHeight="1">
      <c r="A8557" t="str">
        <f>"63-0007-0333"</f>
        <v>63-0007-0333</v>
      </c>
      <c r="B8557" t="str">
        <f>"ACTIN 3rd Party Robot Single Seat License"</f>
        <v>ACTIN 3rd Party Robot Single Seat License</v>
      </c>
      <c r="C8557" t="str">
        <f t="shared" si="321"/>
        <v>Active</v>
      </c>
    </row>
    <row r="8558" spans="1:3" ht="18" customHeight="1">
      <c r="A8558" t="str">
        <f>"63-0100-0001"</f>
        <v>63-0100-0001</v>
      </c>
      <c r="B8558" t="str">
        <f>"CodeMonkey, Single user logon, 1 year"</f>
        <v>CodeMonkey, Single user logon, 1 year</v>
      </c>
      <c r="C8558" t="str">
        <f t="shared" si="321"/>
        <v>Active</v>
      </c>
    </row>
    <row r="8559" spans="1:3" ht="18" customHeight="1">
      <c r="A8559" t="str">
        <f>"63-0100-0030"</f>
        <v>63-0100-0030</v>
      </c>
      <c r="B8559" t="str">
        <f>"CodeMonkey, Classroom logon up to 30 users 1year"</f>
        <v>CodeMonkey, Classroom logon up to 30 users 1year</v>
      </c>
      <c r="C8559" t="str">
        <f t="shared" si="321"/>
        <v>Active</v>
      </c>
    </row>
    <row r="8560" spans="1:3" ht="18" customHeight="1">
      <c r="A8560" t="str">
        <f>"63-0100-0120"</f>
        <v>63-0100-0120</v>
      </c>
      <c r="B8560" t="str">
        <f>"CodeMonkey, School logon, up to 120 users, 1year"</f>
        <v>CodeMonkey, School logon, up to 120 users, 1year</v>
      </c>
      <c r="C8560" t="str">
        <f t="shared" si="321"/>
        <v>Active</v>
      </c>
    </row>
    <row r="8561" spans="1:3" ht="18" customHeight="1">
      <c r="A8561" t="str">
        <f>"63-0201-0001"</f>
        <v>63-0201-0001</v>
      </c>
      <c r="B8561" t="str">
        <f>"SLM 0200, Software Upgrade, Windows"</f>
        <v>SLM 0200, Software Upgrade, Windows</v>
      </c>
      <c r="C8561" t="str">
        <f t="shared" si="321"/>
        <v>Active</v>
      </c>
    </row>
    <row r="8562" spans="1:3" ht="18" customHeight="1">
      <c r="A8562" t="str">
        <f>"63-0201-1000"</f>
        <v>63-0201-1000</v>
      </c>
      <c r="B8562" t="str">
        <f>"CNCMotion Sim. Sftwr, SLM0200"</f>
        <v>CNCMotion Sim. Sftwr, SLM0200</v>
      </c>
      <c r="C8562" t="str">
        <f t="shared" si="321"/>
        <v>Active</v>
      </c>
    </row>
    <row r="8563" spans="1:3" ht="18" customHeight="1">
      <c r="A8563" t="str">
        <f>"63-0201-1001"</f>
        <v>63-0201-1001</v>
      </c>
      <c r="B8563" t="str">
        <f>"CNCMotion Sim. Sftwr, SLM0200, add lic."</f>
        <v>CNCMotion Sim. Sftwr, SLM0200, add lic.</v>
      </c>
      <c r="C8563" t="str">
        <f t="shared" si="321"/>
        <v>Active</v>
      </c>
    </row>
    <row r="8564" spans="1:3" ht="18" customHeight="1">
      <c r="A8564" t="str">
        <f>"63-0201-2000"</f>
        <v>63-0201-2000</v>
      </c>
      <c r="B8564" t="str">
        <f>"PCI Controller Card and CNCBase Software"</f>
        <v>PCI Controller Card and CNCBase Software</v>
      </c>
      <c r="C8564" t="str">
        <f>"Inactive"</f>
        <v>Inactive</v>
      </c>
    </row>
    <row r="8565" spans="1:3" ht="18" customHeight="1">
      <c r="A8565" t="str">
        <f>"63-0201-2001"</f>
        <v>63-0201-2001</v>
      </c>
      <c r="B8565" t="str">
        <f>"Fanuc Simulation Sftwr, SLM0200"</f>
        <v>Fanuc Simulation Sftwr, SLM0200</v>
      </c>
      <c r="C8565" t="str">
        <f>"Active"</f>
        <v>Active</v>
      </c>
    </row>
    <row r="8566" spans="1:3" ht="18" customHeight="1">
      <c r="A8566" t="str">
        <f>"63-0201-2002"</f>
        <v>63-0201-2002</v>
      </c>
      <c r="B8566" t="str">
        <f>"Fanuc Simulation Sftwr, SLM0200, add lic."</f>
        <v>Fanuc Simulation Sftwr, SLM0200, add lic.</v>
      </c>
      <c r="C8566" t="str">
        <f>"Active"</f>
        <v>Active</v>
      </c>
    </row>
    <row r="8567" spans="1:3" ht="18" customHeight="1">
      <c r="A8567" t="str">
        <f>"63-0401-0001"</f>
        <v>63-0401-0001</v>
      </c>
      <c r="B8567" t="str">
        <f>"SLT 0400, Software Upgrade"</f>
        <v>SLT 0400, Software Upgrade</v>
      </c>
      <c r="C8567" t="str">
        <f>"Active"</f>
        <v>Active</v>
      </c>
    </row>
    <row r="8568" spans="1:3" ht="18" customHeight="1">
      <c r="A8568" t="str">
        <f>"63-0401-1000"</f>
        <v>63-0401-1000</v>
      </c>
      <c r="B8568" t="str">
        <f>"CNCMotion Sim. Sftwr, SLT0400"</f>
        <v>CNCMotion Sim. Sftwr, SLT0400</v>
      </c>
      <c r="C8568" t="str">
        <f>"Active"</f>
        <v>Active</v>
      </c>
    </row>
    <row r="8569" spans="1:3" ht="18" customHeight="1">
      <c r="A8569" t="str">
        <f>"63-0401-1001"</f>
        <v>63-0401-1001</v>
      </c>
      <c r="B8569" t="str">
        <f>"CNCMotion Sim. Sftwr, SLT0400, add lic."</f>
        <v>CNCMotion Sim. Sftwr, SLT0400, add lic.</v>
      </c>
      <c r="C8569" t="str">
        <f>"Active"</f>
        <v>Active</v>
      </c>
    </row>
    <row r="8570" spans="1:3" ht="18" customHeight="1">
      <c r="A8570" t="str">
        <f>"63-0401-2000"</f>
        <v>63-0401-2000</v>
      </c>
      <c r="B8570" t="str">
        <f>"PCI Controller Card and CNCBase Software"</f>
        <v>PCI Controller Card and CNCBase Software</v>
      </c>
      <c r="C8570" t="str">
        <f>"Inactive"</f>
        <v>Inactive</v>
      </c>
    </row>
    <row r="8571" spans="1:3" ht="18" customHeight="1">
      <c r="A8571" t="str">
        <f>"63-0401-2001"</f>
        <v>63-0401-2001</v>
      </c>
      <c r="B8571" t="str">
        <f>"Fanuc Simulation Sftwr, SLT0400"</f>
        <v>Fanuc Simulation Sftwr, SLT0400</v>
      </c>
      <c r="C8571" t="str">
        <f t="shared" ref="C8571:C8577" si="322">"Active"</f>
        <v>Active</v>
      </c>
    </row>
    <row r="8572" spans="1:3" ht="18" customHeight="1">
      <c r="A8572" t="str">
        <f>"63-0401-2002"</f>
        <v>63-0401-2002</v>
      </c>
      <c r="B8572" t="str">
        <f>"Fanuc Simulation Sftwr, SLT0400, add lic."</f>
        <v>Fanuc Simulation Sftwr, SLT0400, add lic.</v>
      </c>
      <c r="C8572" t="str">
        <f t="shared" si="322"/>
        <v>Active</v>
      </c>
    </row>
    <row r="8573" spans="1:3" ht="18" customHeight="1">
      <c r="A8573" t="str">
        <f>"63-0601-0000"</f>
        <v>63-0601-0000</v>
      </c>
      <c r="B8573" t="str">
        <f>"EXM0600, iCNC Software Upgrade"</f>
        <v>EXM0600, iCNC Software Upgrade</v>
      </c>
      <c r="C8573" t="str">
        <f t="shared" si="322"/>
        <v>Active</v>
      </c>
    </row>
    <row r="8574" spans="1:3" ht="18" customHeight="1">
      <c r="A8574" t="str">
        <f>"63-0601-1000"</f>
        <v>63-0601-1000</v>
      </c>
      <c r="B8574" t="str">
        <f>"CNCMotion Sim. Sftwr, eXpertMill 0600"</f>
        <v>CNCMotion Sim. Sftwr, eXpertMill 0600</v>
      </c>
      <c r="C8574" t="str">
        <f t="shared" si="322"/>
        <v>Active</v>
      </c>
    </row>
    <row r="8575" spans="1:3" ht="18" customHeight="1">
      <c r="A8575" t="str">
        <f>"63-0601-1001"</f>
        <v>63-0601-1001</v>
      </c>
      <c r="B8575" t="str">
        <f>"CNCMotion Sim. Sftwr, eXpertMill 0600, add lic."</f>
        <v>CNCMotion Sim. Sftwr, eXpertMill 0600, add lic.</v>
      </c>
      <c r="C8575" t="str">
        <f t="shared" si="322"/>
        <v>Active</v>
      </c>
    </row>
    <row r="8576" spans="1:3" ht="18" customHeight="1">
      <c r="A8576" t="str">
        <f>"63-0601-2000"</f>
        <v>63-0601-2000</v>
      </c>
      <c r="B8576" t="str">
        <f>"Fanuc Simulation Sftwr, eXpertMill 0600"</f>
        <v>Fanuc Simulation Sftwr, eXpertMill 0600</v>
      </c>
      <c r="C8576" t="str">
        <f t="shared" si="322"/>
        <v>Active</v>
      </c>
    </row>
    <row r="8577" spans="1:3" ht="18" customHeight="1">
      <c r="A8577" t="str">
        <f>"63-0601-2001"</f>
        <v>63-0601-2001</v>
      </c>
      <c r="B8577" t="str">
        <f>"Fanuc Simulation Sftwr, eXpertMill 0600, add lic"</f>
        <v>Fanuc Simulation Sftwr, eXpertMill 0600, add lic</v>
      </c>
      <c r="C8577" t="str">
        <f t="shared" si="322"/>
        <v>Active</v>
      </c>
    </row>
    <row r="8578" spans="1:3" ht="18" customHeight="1">
      <c r="A8578" t="str">
        <f>"63-0602-2000"</f>
        <v>63-0602-2000</v>
      </c>
      <c r="B8578" t="str">
        <f>"Converted to a bundle"</f>
        <v>Converted to a bundle</v>
      </c>
      <c r="C8578" t="str">
        <f>"Inactive"</f>
        <v>Inactive</v>
      </c>
    </row>
    <row r="8579" spans="1:3" ht="18" customHeight="1">
      <c r="A8579" t="str">
        <f>"63-1001-1000"</f>
        <v>63-1001-1000</v>
      </c>
      <c r="B8579" t="str">
        <f>"CNCMotion Sim. Sftwr, PLM1000"</f>
        <v>CNCMotion Sim. Sftwr, PLM1000</v>
      </c>
      <c r="C8579" t="str">
        <f>"Active"</f>
        <v>Active</v>
      </c>
    </row>
    <row r="8580" spans="1:3" ht="18" customHeight="1">
      <c r="A8580" t="str">
        <f>"63-1001-1001"</f>
        <v>63-1001-1001</v>
      </c>
      <c r="B8580" t="str">
        <f>"CNCMotion Sim. Sftwr, PLM1000, add lic."</f>
        <v>CNCMotion Sim. Sftwr, PLM1000, add lic.</v>
      </c>
      <c r="C8580" t="str">
        <f>"Active"</f>
        <v>Active</v>
      </c>
    </row>
    <row r="8581" spans="1:3" ht="18" customHeight="1">
      <c r="A8581" t="str">
        <f>"63-1001-2000"</f>
        <v>63-1001-2000</v>
      </c>
      <c r="B8581" t="str">
        <f>"Fanuc Simulation Sftwr, PLM1000"</f>
        <v>Fanuc Simulation Sftwr, PLM1000</v>
      </c>
      <c r="C8581" t="str">
        <f>"Active"</f>
        <v>Active</v>
      </c>
    </row>
    <row r="8582" spans="1:3" ht="18" customHeight="1">
      <c r="A8582" t="str">
        <f>"63-1001-2001"</f>
        <v>63-1001-2001</v>
      </c>
      <c r="B8582" t="str">
        <f>"Fanuc Simulation Sftwr, PLM1000, add lic."</f>
        <v>Fanuc Simulation Sftwr, PLM1000, add lic.</v>
      </c>
      <c r="C8582" t="str">
        <f>"Active"</f>
        <v>Active</v>
      </c>
    </row>
    <row r="8583" spans="1:3" ht="18" customHeight="1">
      <c r="A8583" t="str">
        <f>"63-1002-0000"</f>
        <v>63-1002-0000</v>
      </c>
      <c r="B8583" t="str">
        <f>"SPLM 1000, CNC Base software, Windows"</f>
        <v>SPLM 1000, CNC Base software, Windows</v>
      </c>
      <c r="C8583" t="str">
        <f>"Inactive"</f>
        <v>Inactive</v>
      </c>
    </row>
    <row r="8584" spans="1:3" ht="18" customHeight="1">
      <c r="A8584" t="str">
        <f>"63-1002-0002"</f>
        <v>63-1002-0002</v>
      </c>
      <c r="B8584" t="str">
        <f>"PLM 1000 Upgrade to SPLM Motors &amp; elec only"</f>
        <v>PLM 1000 Upgrade to SPLM Motors &amp; elec only</v>
      </c>
      <c r="C8584" t="str">
        <f t="shared" ref="C8584:C8591" si="323">"Active"</f>
        <v>Active</v>
      </c>
    </row>
    <row r="8585" spans="1:3" ht="18" customHeight="1">
      <c r="A8585" t="str">
        <f>"63-1002-0003"</f>
        <v>63-1002-0003</v>
      </c>
      <c r="B8585" t="str">
        <f>"PLM 1000 ISO20 Spindle Upgrade"</f>
        <v>PLM 1000 ISO20 Spindle Upgrade</v>
      </c>
      <c r="C8585" t="str">
        <f t="shared" si="323"/>
        <v>Active</v>
      </c>
    </row>
    <row r="8586" spans="1:3" ht="18" customHeight="1">
      <c r="A8586" t="str">
        <f>"63-1002-0004"</f>
        <v>63-1002-0004</v>
      </c>
      <c r="B8586" t="str">
        <f>"PLM 1000 Matrix table Upgrade"</f>
        <v>PLM 1000 Matrix table Upgrade</v>
      </c>
      <c r="C8586" t="str">
        <f t="shared" si="323"/>
        <v>Active</v>
      </c>
    </row>
    <row r="8587" spans="1:3" ht="18" customHeight="1">
      <c r="A8587" t="str">
        <f>"63-1002-1000"</f>
        <v>63-1002-1000</v>
      </c>
      <c r="B8587" t="str">
        <f>"CNCMotion Sim. Sftwr, SPLM1000"</f>
        <v>CNCMotion Sim. Sftwr, SPLM1000</v>
      </c>
      <c r="C8587" t="str">
        <f t="shared" si="323"/>
        <v>Active</v>
      </c>
    </row>
    <row r="8588" spans="1:3" ht="18" customHeight="1">
      <c r="A8588" t="str">
        <f>"63-1002-1001"</f>
        <v>63-1002-1001</v>
      </c>
      <c r="B8588" t="str">
        <f>"CNCMotion Sim. Sftwr, SPLM1000, add lic."</f>
        <v>CNCMotion Sim. Sftwr, SPLM1000, add lic.</v>
      </c>
      <c r="C8588" t="str">
        <f t="shared" si="323"/>
        <v>Active</v>
      </c>
    </row>
    <row r="8589" spans="1:3" ht="18" customHeight="1">
      <c r="A8589" t="str">
        <f>"63-1002-2000"</f>
        <v>63-1002-2000</v>
      </c>
      <c r="B8589" t="str">
        <f>"Fanuc Simulation Sftwr, SPLM1000"</f>
        <v>Fanuc Simulation Sftwr, SPLM1000</v>
      </c>
      <c r="C8589" t="str">
        <f t="shared" si="323"/>
        <v>Active</v>
      </c>
    </row>
    <row r="8590" spans="1:3" ht="18" customHeight="1">
      <c r="A8590" t="str">
        <f>"63-1002-2001"</f>
        <v>63-1002-2001</v>
      </c>
      <c r="B8590" t="str">
        <f>"Fanuc Simulation Sftwr, SPLM1000, add lic."</f>
        <v>Fanuc Simulation Sftwr, SPLM1000, add lic.</v>
      </c>
      <c r="C8590" t="str">
        <f t="shared" si="323"/>
        <v>Active</v>
      </c>
    </row>
    <row r="8591" spans="1:3" ht="18" customHeight="1">
      <c r="A8591" t="str">
        <f>"63-1003-0000"</f>
        <v>63-1003-0000</v>
      </c>
      <c r="B8591" t="str">
        <f>"PLM1000, CNCBase Software Upgrade"</f>
        <v>PLM1000, CNCBase Software Upgrade</v>
      </c>
      <c r="C8591" t="str">
        <f t="shared" si="323"/>
        <v>Active</v>
      </c>
    </row>
    <row r="8592" spans="1:3" ht="18" customHeight="1">
      <c r="A8592" t="str">
        <f>"63-1003-2000"</f>
        <v>63-1003-2000</v>
      </c>
      <c r="B8592" t="str">
        <f>"PCI Controller Card and CNCBase Software"</f>
        <v>PCI Controller Card and CNCBase Software</v>
      </c>
      <c r="C8592" t="str">
        <f>"Inactive"</f>
        <v>Inactive</v>
      </c>
    </row>
    <row r="8593" spans="1:3" ht="18" customHeight="1">
      <c r="A8593" t="str">
        <f>"63-1004-0000"</f>
        <v>63-1004-0000</v>
      </c>
      <c r="B8593" t="str">
        <f>"SPLM1000, iCNC Software Upgrade"</f>
        <v>SPLM1000, iCNC Software Upgrade</v>
      </c>
      <c r="C8593" t="str">
        <f t="shared" ref="C8593:C8605" si="324">"Active"</f>
        <v>Active</v>
      </c>
    </row>
    <row r="8594" spans="1:3" ht="18" customHeight="1">
      <c r="A8594" t="str">
        <f>"63-2000-HS10"</f>
        <v>63-2000-HS10</v>
      </c>
      <c r="B8594" t="str">
        <f>"LabVIEW 10 seat HS License"</f>
        <v>LabVIEW 10 seat HS License</v>
      </c>
      <c r="C8594" t="str">
        <f t="shared" si="324"/>
        <v>Active</v>
      </c>
    </row>
    <row r="8595" spans="1:3" ht="18" customHeight="1">
      <c r="A8595" t="str">
        <f>"63-2000-SE01"</f>
        <v>63-2000-SE01</v>
      </c>
      <c r="B8595" t="str">
        <f>"LabVIEW Student, single seat license Annual"</f>
        <v>LabVIEW Student, single seat license Annual</v>
      </c>
      <c r="C8595" t="str">
        <f t="shared" si="324"/>
        <v>Active</v>
      </c>
    </row>
    <row r="8596" spans="1:3" ht="18" customHeight="1">
      <c r="A8596" t="str">
        <f>"63-2000-SE04"</f>
        <v>63-2000-SE04</v>
      </c>
      <c r="B8596" t="str">
        <f>"LabVIEW Student, single seat license Perpetual"</f>
        <v>LabVIEW Student, single seat license Perpetual</v>
      </c>
      <c r="C8596" t="str">
        <f t="shared" si="324"/>
        <v>Active</v>
      </c>
    </row>
    <row r="8597" spans="1:3" ht="18" customHeight="1">
      <c r="A8597" t="str">
        <f>"63-2000-SITE"</f>
        <v>63-2000-SITE</v>
      </c>
      <c r="B8597" t="str">
        <f>"LabVIEW Academic  license"</f>
        <v>LabVIEW Academic  license</v>
      </c>
      <c r="C8597" t="str">
        <f t="shared" si="324"/>
        <v>Active</v>
      </c>
    </row>
    <row r="8598" spans="1:3" ht="18" customHeight="1">
      <c r="A8598" t="str">
        <f>"63-2000-VCRV"</f>
        <v>63-2000-VCRV</v>
      </c>
      <c r="B8598" t="str">
        <f>"VCarve Pro CNC Software; 1 Seat (30 Education)"</f>
        <v>VCarve Pro CNC Software; 1 Seat (30 Education)</v>
      </c>
      <c r="C8598" t="str">
        <f t="shared" si="324"/>
        <v>Active</v>
      </c>
    </row>
    <row r="8599" spans="1:3" ht="18" customHeight="1">
      <c r="A8599" t="str">
        <f>"63-2060-2901"</f>
        <v>63-2060-2901</v>
      </c>
      <c r="B8599" t="str">
        <f>"easyC V2 for PIC, V2.9X Single license"</f>
        <v>easyC V2 for PIC, V2.9X Single license</v>
      </c>
      <c r="C8599" t="str">
        <f t="shared" si="324"/>
        <v>Active</v>
      </c>
    </row>
    <row r="8600" spans="1:3" ht="18" customHeight="1">
      <c r="A8600" t="str">
        <f>"63-2060-2910"</f>
        <v>63-2060-2910</v>
      </c>
      <c r="B8600" t="str">
        <f>"easyC V2 for PIC, V2.9X 10 seat license"</f>
        <v>easyC V2 for PIC, V2.9X 10 seat license</v>
      </c>
      <c r="C8600" t="str">
        <f t="shared" si="324"/>
        <v>Active</v>
      </c>
    </row>
    <row r="8601" spans="1:3" ht="18" customHeight="1">
      <c r="A8601" t="str">
        <f>"63-2060-2920"</f>
        <v>63-2060-2920</v>
      </c>
      <c r="B8601" t="str">
        <f>"easyC V2 for PIC, V2.9X 20 seat license"</f>
        <v>easyC V2 for PIC, V2.9X 20 seat license</v>
      </c>
      <c r="C8601" t="str">
        <f t="shared" si="324"/>
        <v>Active</v>
      </c>
    </row>
    <row r="8602" spans="1:3" ht="18" customHeight="1">
      <c r="A8602" t="str">
        <f>"63-2060-2930"</f>
        <v>63-2060-2930</v>
      </c>
      <c r="B8602" t="str">
        <f>"easyC V2 for PIC, V2.9X 30 seat license"</f>
        <v>easyC V2 for PIC, V2.9X 30 seat license</v>
      </c>
      <c r="C8602" t="str">
        <f t="shared" si="324"/>
        <v>Active</v>
      </c>
    </row>
    <row r="8603" spans="1:3" ht="18" customHeight="1">
      <c r="A8603" t="str">
        <f>"63-2060-4001"</f>
        <v>63-2060-4001</v>
      </c>
      <c r="B8603" t="str">
        <f>"easyC V4 for Cortex, V4.x Single Seat License"</f>
        <v>easyC V4 for Cortex, V4.x Single Seat License</v>
      </c>
      <c r="C8603" t="str">
        <f t="shared" si="324"/>
        <v>Active</v>
      </c>
    </row>
    <row r="8604" spans="1:3" ht="18" customHeight="1">
      <c r="A8604" t="str">
        <f>"63-2060-4010"</f>
        <v>63-2060-4010</v>
      </c>
      <c r="B8604" t="str">
        <f>"easyC V4 for Cortex, V4.0X 10 seat license"</f>
        <v>easyC V4 for Cortex, V4.0X 10 seat license</v>
      </c>
      <c r="C8604" t="str">
        <f t="shared" si="324"/>
        <v>Active</v>
      </c>
    </row>
    <row r="8605" spans="1:3" ht="18" customHeight="1">
      <c r="A8605" t="str">
        <f>"63-2060-4020"</f>
        <v>63-2060-4020</v>
      </c>
      <c r="B8605" t="str">
        <f>"easyC V4 for Cortex, V4.0X 20 seat license"</f>
        <v>easyC V4 for Cortex, V4.0X 20 seat license</v>
      </c>
      <c r="C8605" t="str">
        <f t="shared" si="324"/>
        <v>Active</v>
      </c>
    </row>
    <row r="8606" spans="1:3" ht="18" customHeight="1">
      <c r="A8606" t="str">
        <f>"63-2060-4025"</f>
        <v>63-2060-4025</v>
      </c>
      <c r="B8606" t="str">
        <f>"easyC V4 for Cortex, V4.0X 25 seat license"</f>
        <v>easyC V4 for Cortex, V4.0X 25 seat license</v>
      </c>
      <c r="C8606" t="str">
        <f>"Inactive"</f>
        <v>Inactive</v>
      </c>
    </row>
    <row r="8607" spans="1:3" ht="18" customHeight="1">
      <c r="A8607" t="str">
        <f>"63-2060-4030"</f>
        <v>63-2060-4030</v>
      </c>
      <c r="B8607" t="str">
        <f>"easyC V4 for Cortex, V4.0X 30 seat license"</f>
        <v>easyC V4 for Cortex, V4.0X 30 seat license</v>
      </c>
      <c r="C8607" t="str">
        <f t="shared" ref="C8607:C8621" si="325">"Active"</f>
        <v>Active</v>
      </c>
    </row>
    <row r="8608" spans="1:3" ht="18" customHeight="1">
      <c r="A8608" t="str">
        <f>"63-2060-4050"</f>
        <v>63-2060-4050</v>
      </c>
      <c r="B8608" t="str">
        <f>"easyC V4 for Cortex, V4.0X Volume license (50+)"</f>
        <v>easyC V4 for Cortex, V4.0X Volume license (50+)</v>
      </c>
      <c r="C8608" t="str">
        <f t="shared" si="325"/>
        <v>Active</v>
      </c>
    </row>
    <row r="8609" spans="1:3" ht="18" customHeight="1">
      <c r="A8609" t="str">
        <f>"63-2060-5001"</f>
        <v>63-2060-5001</v>
      </c>
      <c r="B8609" t="str">
        <f>"EasyC V5.x, Perpetual, 1 student"</f>
        <v>EasyC V5.x, Perpetual, 1 student</v>
      </c>
      <c r="C8609" t="str">
        <f t="shared" si="325"/>
        <v>Active</v>
      </c>
    </row>
    <row r="8610" spans="1:3" ht="18" customHeight="1">
      <c r="A8610" t="str">
        <f>"63-2060-5010"</f>
        <v>63-2060-5010</v>
      </c>
      <c r="B8610" t="str">
        <f>"EasyC V5.x, Perpetual, 10 student"</f>
        <v>EasyC V5.x, Perpetual, 10 student</v>
      </c>
      <c r="C8610" t="str">
        <f t="shared" si="325"/>
        <v>Active</v>
      </c>
    </row>
    <row r="8611" spans="1:3" ht="18" customHeight="1">
      <c r="A8611" t="str">
        <f>"63-2060-5020"</f>
        <v>63-2060-5020</v>
      </c>
      <c r="B8611" t="str">
        <f>"EasyC V5.x, Perpetual, 20 student"</f>
        <v>EasyC V5.x, Perpetual, 20 student</v>
      </c>
      <c r="C8611" t="str">
        <f t="shared" si="325"/>
        <v>Active</v>
      </c>
    </row>
    <row r="8612" spans="1:3" ht="18" customHeight="1">
      <c r="A8612" t="str">
        <f>"63-2060-5030"</f>
        <v>63-2060-5030</v>
      </c>
      <c r="B8612" t="str">
        <f>"EasyC V5.x, Perpetual, 30 student"</f>
        <v>EasyC V5.x, Perpetual, 30 student</v>
      </c>
      <c r="C8612" t="str">
        <f t="shared" si="325"/>
        <v>Active</v>
      </c>
    </row>
    <row r="8613" spans="1:3" ht="18" customHeight="1">
      <c r="A8613" t="str">
        <f>"63-2060-5050"</f>
        <v>63-2060-5050</v>
      </c>
      <c r="B8613" t="str">
        <f>"Perpetual Classroom  license,easyC V5 IQ&amp;Cortex"</f>
        <v>Perpetual Classroom  license,easyC V5 IQ&amp;Cortex</v>
      </c>
      <c r="C8613" t="str">
        <f t="shared" si="325"/>
        <v>Active</v>
      </c>
    </row>
    <row r="8614" spans="1:3" ht="18" customHeight="1">
      <c r="A8614" t="str">
        <f>"63-2060-5101"</f>
        <v>63-2060-5101</v>
      </c>
      <c r="B8614" t="str">
        <f>"Annual Individual license, easyC V5 IQ &amp; Cortex"</f>
        <v>Annual Individual license, easyC V5 IQ &amp; Cortex</v>
      </c>
      <c r="C8614" t="str">
        <f t="shared" si="325"/>
        <v>Active</v>
      </c>
    </row>
    <row r="8615" spans="1:3" ht="18" customHeight="1">
      <c r="A8615" t="str">
        <f>"63-2060-5110"</f>
        <v>63-2060-5110</v>
      </c>
      <c r="B8615" t="str">
        <f>"Annual license; 10 Seat, easyC V5 for IQ/Cortex"</f>
        <v>Annual license; 10 Seat, easyC V5 for IQ/Cortex</v>
      </c>
      <c r="C8615" t="str">
        <f t="shared" si="325"/>
        <v>Active</v>
      </c>
    </row>
    <row r="8616" spans="1:3" ht="18" customHeight="1">
      <c r="A8616" t="str">
        <f>"63-2060-5130"</f>
        <v>63-2060-5130</v>
      </c>
      <c r="B8616" t="str">
        <f>"Annual license; 30 Seat, easyC V5 for IQ/Cortex"</f>
        <v>Annual license; 30 Seat, easyC V5 for IQ/Cortex</v>
      </c>
      <c r="C8616" t="str">
        <f t="shared" si="325"/>
        <v>Active</v>
      </c>
    </row>
    <row r="8617" spans="1:3" ht="18" customHeight="1">
      <c r="A8617" t="str">
        <f>"63-3001-1000"</f>
        <v>63-3001-1000</v>
      </c>
      <c r="B8617" t="str">
        <f>"CNCMotion Sim. Sftwr, PLT3000"</f>
        <v>CNCMotion Sim. Sftwr, PLT3000</v>
      </c>
      <c r="C8617" t="str">
        <f t="shared" si="325"/>
        <v>Active</v>
      </c>
    </row>
    <row r="8618" spans="1:3" ht="18" customHeight="1">
      <c r="A8618" t="str">
        <f>"63-3001-1001"</f>
        <v>63-3001-1001</v>
      </c>
      <c r="B8618" t="str">
        <f>"CNCMotion Sim. Sftwr, PLT3000, add lic."</f>
        <v>CNCMotion Sim. Sftwr, PLT3000, add lic.</v>
      </c>
      <c r="C8618" t="str">
        <f t="shared" si="325"/>
        <v>Active</v>
      </c>
    </row>
    <row r="8619" spans="1:3" ht="18" customHeight="1">
      <c r="A8619" t="str">
        <f>"63-3001-2000"</f>
        <v>63-3001-2000</v>
      </c>
      <c r="B8619" t="str">
        <f>"Fanuc Simulation Sftwr, PLT3000"</f>
        <v>Fanuc Simulation Sftwr, PLT3000</v>
      </c>
      <c r="C8619" t="str">
        <f t="shared" si="325"/>
        <v>Active</v>
      </c>
    </row>
    <row r="8620" spans="1:3" ht="18" customHeight="1">
      <c r="A8620" t="str">
        <f>"63-3001-2001"</f>
        <v>63-3001-2001</v>
      </c>
      <c r="B8620" t="str">
        <f>"Fanuc Simulation Sftwr, PLT3000, add lic."</f>
        <v>Fanuc Simulation Sftwr, PLT3000, add lic.</v>
      </c>
      <c r="C8620" t="str">
        <f t="shared" si="325"/>
        <v>Active</v>
      </c>
    </row>
    <row r="8621" spans="1:3" ht="18" customHeight="1">
      <c r="A8621" t="str">
        <f>"63-3003-0000"</f>
        <v>63-3003-0000</v>
      </c>
      <c r="B8621" t="str">
        <f>"PLT3000, CNCBase Software Upgrade"</f>
        <v>PLT3000, CNCBase Software Upgrade</v>
      </c>
      <c r="C8621" t="str">
        <f t="shared" si="325"/>
        <v>Active</v>
      </c>
    </row>
    <row r="8622" spans="1:3" ht="18" customHeight="1">
      <c r="A8622" t="str">
        <f>"63-3003-2000"</f>
        <v>63-3003-2000</v>
      </c>
      <c r="B8622" t="str">
        <f>"PCI Controller Card and CNCBase Software"</f>
        <v>PCI Controller Card and CNCBase Software</v>
      </c>
      <c r="C8622" t="str">
        <f>"Inactive"</f>
        <v>Inactive</v>
      </c>
    </row>
    <row r="8623" spans="1:3" ht="18" customHeight="1">
      <c r="A8623" t="str">
        <f>"63-4000-0001"</f>
        <v>63-4000-0001</v>
      </c>
      <c r="B8623" t="str">
        <f>"Pro Landscape Single Seat - Educational"</f>
        <v>Pro Landscape Single Seat - Educational</v>
      </c>
      <c r="C8623" t="str">
        <f t="shared" ref="C8623:C8654" si="326">"Active"</f>
        <v>Active</v>
      </c>
    </row>
    <row r="8624" spans="1:3" ht="18" customHeight="1">
      <c r="A8624" t="str">
        <f>"63-4000-2000"</f>
        <v>63-4000-2000</v>
      </c>
      <c r="B8624" t="str">
        <f>"Pro Landscape High School License - Educational"</f>
        <v>Pro Landscape High School License - Educational</v>
      </c>
      <c r="C8624" t="str">
        <f t="shared" si="326"/>
        <v>Active</v>
      </c>
    </row>
    <row r="8625" spans="1:3" ht="18" customHeight="1">
      <c r="A8625" t="str">
        <f>"63-4000-3000"</f>
        <v>63-4000-3000</v>
      </c>
      <c r="B8625" t="str">
        <f>"Pro Landscape Post Secondary License-Educational"</f>
        <v>Pro Landscape Post Secondary License-Educational</v>
      </c>
      <c r="C8625" t="str">
        <f t="shared" si="326"/>
        <v>Active</v>
      </c>
    </row>
    <row r="8626" spans="1:3" ht="18" customHeight="1">
      <c r="A8626" t="str">
        <f>"63-6001-1000"</f>
        <v>63-6001-1000</v>
      </c>
      <c r="B8626" t="str">
        <f>"-CNCMotion Simulation Sftwr for BenchMill 6000"</f>
        <v>-CNCMotion Simulation Sftwr for BenchMill 6000</v>
      </c>
      <c r="C8626" t="str">
        <f t="shared" si="326"/>
        <v>Active</v>
      </c>
    </row>
    <row r="8627" spans="1:3" ht="18" customHeight="1">
      <c r="A8627" t="str">
        <f>"63-6001-1001"</f>
        <v>63-6001-1001</v>
      </c>
      <c r="B8627" t="str">
        <f>"CNCMotion for BenchMill 6000, add-on License"</f>
        <v>CNCMotion for BenchMill 6000, add-on License</v>
      </c>
      <c r="C8627" t="str">
        <f t="shared" si="326"/>
        <v>Active</v>
      </c>
    </row>
    <row r="8628" spans="1:3" ht="18" customHeight="1">
      <c r="A8628" t="str">
        <f>"63-6001-1010"</f>
        <v>63-6001-1010</v>
      </c>
      <c r="B8628" t="str">
        <f>"Ten seat license for BenchMill6000 vir.sim.cnrl"</f>
        <v>Ten seat license for BenchMill6000 vir.sim.cnrl</v>
      </c>
      <c r="C8628" t="str">
        <f t="shared" si="326"/>
        <v>Active</v>
      </c>
    </row>
    <row r="8629" spans="1:3" ht="18" customHeight="1">
      <c r="A8629" t="str">
        <f>"63-6001-1030"</f>
        <v>63-6001-1030</v>
      </c>
      <c r="B8629" t="str">
        <f>"Thirty seat license for BenchMill6000 vir.sim.cn"</f>
        <v>Thirty seat license for BenchMill6000 vir.sim.cn</v>
      </c>
      <c r="C8629" t="str">
        <f t="shared" si="326"/>
        <v>Active</v>
      </c>
    </row>
    <row r="8630" spans="1:3" ht="18" customHeight="1">
      <c r="A8630" t="str">
        <f>"63-6001-2000"</f>
        <v>63-6001-2000</v>
      </c>
      <c r="B8630" t="str">
        <f>"Fanuc Simulation Sftwr for BenchMill 6000"</f>
        <v>Fanuc Simulation Sftwr for BenchMill 6000</v>
      </c>
      <c r="C8630" t="str">
        <f t="shared" si="326"/>
        <v>Active</v>
      </c>
    </row>
    <row r="8631" spans="1:3" ht="18" customHeight="1">
      <c r="A8631" t="str">
        <f>"63-6001-2001"</f>
        <v>63-6001-2001</v>
      </c>
      <c r="B8631" t="str">
        <f>"Fanuc Simulation S/W, BenchMill 6000, add-on Lic"</f>
        <v>Fanuc Simulation S/W, BenchMill 6000, add-on Lic</v>
      </c>
      <c r="C8631" t="str">
        <f t="shared" si="326"/>
        <v>Active</v>
      </c>
    </row>
    <row r="8632" spans="1:3" ht="18" customHeight="1">
      <c r="A8632" t="str">
        <f>"63-6001-2010"</f>
        <v>63-6001-2010</v>
      </c>
      <c r="B8632" t="str">
        <f>"Ten seat license  Fanuc Emulator BenchMill 6000"</f>
        <v>Ten seat license  Fanuc Emulator BenchMill 6000</v>
      </c>
      <c r="C8632" t="str">
        <f t="shared" si="326"/>
        <v>Active</v>
      </c>
    </row>
    <row r="8633" spans="1:3" ht="18" customHeight="1">
      <c r="A8633" t="str">
        <f>"63-6001-2030"</f>
        <v>63-6001-2030</v>
      </c>
      <c r="B8633" t="str">
        <f>"Thirty seat license  Fanuc Emulator BenchMill 60"</f>
        <v>Thirty seat license  Fanuc Emulator BenchMill 60</v>
      </c>
      <c r="C8633" t="str">
        <f t="shared" si="326"/>
        <v>Active</v>
      </c>
    </row>
    <row r="8634" spans="1:3" ht="18" customHeight="1">
      <c r="A8634" t="str">
        <f>"63-6100-0001"</f>
        <v>63-6100-0001</v>
      </c>
      <c r="B8634" t="str">
        <f>"Personal Tutor, G &amp; M Code Prog., add'l license"</f>
        <v>Personal Tutor, G &amp; M Code Prog., add'l license</v>
      </c>
      <c r="C8634" t="str">
        <f t="shared" si="326"/>
        <v>Active</v>
      </c>
    </row>
    <row r="8635" spans="1:3" ht="18" customHeight="1">
      <c r="A8635" t="str">
        <f>"63-6100-0005"</f>
        <v>63-6100-0005</v>
      </c>
      <c r="B8635" t="str">
        <f>"Personal Tutor, G &amp; M Code Prog. - 5 Seats"</f>
        <v>Personal Tutor, G &amp; M Code Prog. - 5 Seats</v>
      </c>
      <c r="C8635" t="str">
        <f t="shared" si="326"/>
        <v>Active</v>
      </c>
    </row>
    <row r="8636" spans="1:3" ht="18" customHeight="1">
      <c r="A8636" t="str">
        <f>"63-6100-0010"</f>
        <v>63-6100-0010</v>
      </c>
      <c r="B8636" t="str">
        <f>"Personal Tutor, G &amp; M Code Prog. - 10 Seats"</f>
        <v>Personal Tutor, G &amp; M Code Prog. - 10 Seats</v>
      </c>
      <c r="C8636" t="str">
        <f t="shared" si="326"/>
        <v>Active</v>
      </c>
    </row>
    <row r="8637" spans="1:3" ht="18" customHeight="1">
      <c r="A8637" t="str">
        <f>"63-6100-0025"</f>
        <v>63-6100-0025</v>
      </c>
      <c r="B8637" t="str">
        <f>"Personal Tutor, G &amp; M Code Prog. - 25 Seats"</f>
        <v>Personal Tutor, G &amp; M Code Prog. - 25 Seats</v>
      </c>
      <c r="C8637" t="str">
        <f t="shared" si="326"/>
        <v>Active</v>
      </c>
    </row>
    <row r="8638" spans="1:3" ht="18" customHeight="1">
      <c r="A8638" t="str">
        <f>"63-6723-0000"</f>
        <v>63-6723-0000</v>
      </c>
      <c r="B8638" t="str">
        <f>"SpectraCAD Engraver software – Download Only"</f>
        <v>SpectraCAD Engraver software – Download Only</v>
      </c>
      <c r="C8638" t="str">
        <f t="shared" si="326"/>
        <v>Active</v>
      </c>
    </row>
    <row r="8639" spans="1:3" ht="18" customHeight="1">
      <c r="A8639" t="str">
        <f>"63-6733-0000"</f>
        <v>63-6733-0000</v>
      </c>
      <c r="B8639" t="str">
        <f>"Software, SpectraCAM Milling"</f>
        <v>Software, SpectraCAM Milling</v>
      </c>
      <c r="C8639" t="str">
        <f t="shared" si="326"/>
        <v>Active</v>
      </c>
    </row>
    <row r="8640" spans="1:3" ht="18" customHeight="1">
      <c r="A8640" t="str">
        <f>"63-6743-0000"</f>
        <v>63-6743-0000</v>
      </c>
      <c r="B8640" t="str">
        <f>"Software, SpectraCAM Turning"</f>
        <v>Software, SpectraCAM Turning</v>
      </c>
      <c r="C8640" t="str">
        <f t="shared" si="326"/>
        <v>Active</v>
      </c>
    </row>
    <row r="8641" spans="1:3" ht="18" customHeight="1">
      <c r="A8641" t="str">
        <f>"63-6789-1000"</f>
        <v>63-6789-1000</v>
      </c>
      <c r="B8641" t="str">
        <f>"CNCMotion Software, All CNC Machines"</f>
        <v>CNCMotion Software, All CNC Machines</v>
      </c>
      <c r="C8641" t="str">
        <f t="shared" si="326"/>
        <v>Active</v>
      </c>
    </row>
    <row r="8642" spans="1:3" ht="18" customHeight="1">
      <c r="A8642" t="str">
        <f>"63-6789-2000-FA"</f>
        <v>63-6789-2000-FA</v>
      </c>
      <c r="B8642" t="str">
        <f>"CNCMotion with FANUC21 Software, All CNC Machine"</f>
        <v>CNCMotion with FANUC21 Software, All CNC Machine</v>
      </c>
      <c r="C8642" t="str">
        <f t="shared" si="326"/>
        <v>Active</v>
      </c>
    </row>
    <row r="8643" spans="1:3" ht="18" customHeight="1">
      <c r="A8643" t="str">
        <f>"63-7000-0100"</f>
        <v>63-7000-0100</v>
      </c>
      <c r="B8643" t="str">
        <f>"License Key for RoboCell"</f>
        <v>License Key for RoboCell</v>
      </c>
      <c r="C8643" t="str">
        <f t="shared" si="326"/>
        <v>Active</v>
      </c>
    </row>
    <row r="8644" spans="1:3" ht="18" customHeight="1">
      <c r="A8644" t="str">
        <f>"63-7000-0110"</f>
        <v>63-7000-0110</v>
      </c>
      <c r="B8644" t="str">
        <f>"License Key for RoboCell, ten (10) seat license"</f>
        <v>License Key for RoboCell, ten (10) seat license</v>
      </c>
      <c r="C8644" t="str">
        <f t="shared" si="326"/>
        <v>Active</v>
      </c>
    </row>
    <row r="8645" spans="1:3" ht="18" customHeight="1">
      <c r="A8645" t="str">
        <f>"63-7000-0130"</f>
        <v>63-7000-0130</v>
      </c>
      <c r="B8645" t="str">
        <f>"License Key for RoboCell, thirty (30) seats"</f>
        <v>License Key for RoboCell, thirty (30) seats</v>
      </c>
      <c r="C8645" t="str">
        <f t="shared" si="326"/>
        <v>Active</v>
      </c>
    </row>
    <row r="8646" spans="1:3" ht="18" customHeight="1">
      <c r="A8646" t="str">
        <f>"63-7000-0500"</f>
        <v>63-7000-0500</v>
      </c>
      <c r="B8646" t="str">
        <f>"License Key for SCORBASE ACL Software"</f>
        <v>License Key for SCORBASE ACL Software</v>
      </c>
      <c r="C8646" t="str">
        <f t="shared" si="326"/>
        <v>Active</v>
      </c>
    </row>
    <row r="8647" spans="1:3" ht="18" customHeight="1">
      <c r="A8647" t="str">
        <f>"63-7000-0700"</f>
        <v>63-7000-0700</v>
      </c>
      <c r="B8647" t="str">
        <f>"License Key For ProcessMotion Software"</f>
        <v>License Key For ProcessMotion Software</v>
      </c>
      <c r="C8647" t="str">
        <f t="shared" si="326"/>
        <v>Active</v>
      </c>
    </row>
    <row r="8648" spans="1:3" ht="18" customHeight="1">
      <c r="A8648" t="str">
        <f>"63-7000-0800"</f>
        <v>63-7000-0800</v>
      </c>
      <c r="B8648" t="str">
        <f>"License Key For PneuMotion"</f>
        <v>License Key For PneuMotion</v>
      </c>
      <c r="C8648" t="str">
        <f t="shared" si="326"/>
        <v>Active</v>
      </c>
    </row>
    <row r="8649" spans="1:3" ht="18" customHeight="1">
      <c r="A8649" t="str">
        <f>"63-7000-0900"</f>
        <v>63-7000-0900</v>
      </c>
      <c r="B8649" t="str">
        <f>"License Key For HydraMotion Software"</f>
        <v>License Key For HydraMotion Software</v>
      </c>
      <c r="C8649" t="str">
        <f t="shared" si="326"/>
        <v>Active</v>
      </c>
    </row>
    <row r="8650" spans="1:3" ht="18" customHeight="1">
      <c r="A8650" t="str">
        <f>"63-7000-1000"</f>
        <v>63-7000-1000</v>
      </c>
      <c r="B8650" t="str">
        <f>"License Key for RoboCell ACL Software"</f>
        <v>License Key for RoboCell ACL Software</v>
      </c>
      <c r="C8650" t="str">
        <f t="shared" si="326"/>
        <v>Active</v>
      </c>
    </row>
    <row r="8651" spans="1:3" ht="18" customHeight="1">
      <c r="A8651" t="str">
        <f>"63-7000-1100"</f>
        <v>63-7000-1100</v>
      </c>
      <c r="B8651" t="str">
        <f>"License Key For PLCMotion Software"</f>
        <v>License Key For PLCMotion Software</v>
      </c>
      <c r="C8651" t="str">
        <f t="shared" si="326"/>
        <v>Active</v>
      </c>
    </row>
    <row r="8652" spans="1:3" ht="18" customHeight="1">
      <c r="A8652" t="str">
        <f>"63-7000-1200"</f>
        <v>63-7000-1200</v>
      </c>
      <c r="B8652" t="str">
        <f>"License Key For OpenCIM Online"</f>
        <v>License Key For OpenCIM Online</v>
      </c>
      <c r="C8652" t="str">
        <f t="shared" si="326"/>
        <v>Active</v>
      </c>
    </row>
    <row r="8653" spans="1:3" ht="18" customHeight="1">
      <c r="A8653" t="str">
        <f>"63-7000-1300"</f>
        <v>63-7000-1300</v>
      </c>
      <c r="B8653" t="str">
        <f>"License Key For OpenCIM OffLine"</f>
        <v>License Key For OpenCIM OffLine</v>
      </c>
      <c r="C8653" t="str">
        <f t="shared" si="326"/>
        <v>Active</v>
      </c>
    </row>
    <row r="8654" spans="1:3" ht="18" customHeight="1">
      <c r="A8654" t="str">
        <f>"63-7000-1400"</f>
        <v>63-7000-1400</v>
      </c>
      <c r="B8654" t="str">
        <f>"License Key For OpenFMS Software"</f>
        <v>License Key For OpenFMS Software</v>
      </c>
      <c r="C8654" t="str">
        <f t="shared" si="326"/>
        <v>Active</v>
      </c>
    </row>
    <row r="8655" spans="1:3" ht="18" customHeight="1">
      <c r="A8655" t="str">
        <f>"63-7000-1600"</f>
        <v>63-7000-1600</v>
      </c>
      <c r="B8655" t="str">
        <f>"License Key For OpenCIM Intro4"</f>
        <v>License Key For OpenCIM Intro4</v>
      </c>
      <c r="C8655" t="str">
        <f>"Inactive"</f>
        <v>Inactive</v>
      </c>
    </row>
    <row r="8656" spans="1:3" ht="18" customHeight="1">
      <c r="A8656" t="str">
        <f>"63-7000-1700"</f>
        <v>63-7000-1700</v>
      </c>
      <c r="B8656" t="str">
        <f>"LMS Server License Key"</f>
        <v>LMS Server License Key</v>
      </c>
      <c r="C8656" t="str">
        <f t="shared" ref="C8656:C8671" si="327">"Active"</f>
        <v>Active</v>
      </c>
    </row>
    <row r="8657" spans="1:3" ht="18" customHeight="1">
      <c r="A8657" t="str">
        <f>"63-7000-1800"</f>
        <v>63-7000-1800</v>
      </c>
      <c r="B8657" t="str">
        <f>"License Key for RoboCell/SCORBASE USB Pro"</f>
        <v>License Key for RoboCell/SCORBASE USB Pro</v>
      </c>
      <c r="C8657" t="str">
        <f t="shared" si="327"/>
        <v>Active</v>
      </c>
    </row>
    <row r="8658" spans="1:3" ht="18" customHeight="1">
      <c r="A8658" t="str">
        <f>"63-7000-1810"</f>
        <v>63-7000-1810</v>
      </c>
      <c r="B8658" t="str">
        <f>"RoboCell/SCORBASE USB Pro, 10 Seat License"</f>
        <v>RoboCell/SCORBASE USB Pro, 10 Seat License</v>
      </c>
      <c r="C8658" t="str">
        <f t="shared" si="327"/>
        <v>Active</v>
      </c>
    </row>
    <row r="8659" spans="1:3" ht="18" customHeight="1">
      <c r="A8659" t="str">
        <f>"63-7000-1830"</f>
        <v>63-7000-1830</v>
      </c>
      <c r="B8659" t="str">
        <f>"RoboCell/SCORBASE USB Pro, 30 Seat License"</f>
        <v>RoboCell/SCORBASE USB Pro, 30 Seat License</v>
      </c>
      <c r="C8659" t="str">
        <f t="shared" si="327"/>
        <v>Active</v>
      </c>
    </row>
    <row r="8660" spans="1:3" ht="18" customHeight="1">
      <c r="A8660" t="str">
        <f>"63-7000-1900"</f>
        <v>63-7000-1900</v>
      </c>
      <c r="B8660" t="str">
        <f>"License Key for LearnMate Server LM 5"</f>
        <v>License Key for LearnMate Server LM 5</v>
      </c>
      <c r="C8660" t="str">
        <f t="shared" si="327"/>
        <v>Active</v>
      </c>
    </row>
    <row r="8661" spans="1:3" ht="18" customHeight="1">
      <c r="A8661" t="str">
        <f>"63-7000-2000"</f>
        <v>63-7000-2000</v>
      </c>
      <c r="B8661" t="str">
        <f>"License Key for LearnMate Live"</f>
        <v>License Key for LearnMate Live</v>
      </c>
      <c r="C8661" t="str">
        <f t="shared" si="327"/>
        <v>Active</v>
      </c>
    </row>
    <row r="8662" spans="1:3" ht="18" customHeight="1">
      <c r="A8662" t="str">
        <f>"63-7001-0100"</f>
        <v>63-7001-0100</v>
      </c>
      <c r="B8662" t="str">
        <f>"License Key for Standalone Content"</f>
        <v>License Key for Standalone Content</v>
      </c>
      <c r="C8662" t="str">
        <f t="shared" si="327"/>
        <v>Active</v>
      </c>
    </row>
    <row r="8663" spans="1:3" ht="18" customHeight="1">
      <c r="A8663" t="str">
        <f>"63-7001-1000"</f>
        <v>63-7001-1000</v>
      </c>
      <c r="B8663" t="str">
        <f>"-CNCMotion for BenchTurn 7000"</f>
        <v>-CNCMotion for BenchTurn 7000</v>
      </c>
      <c r="C8663" t="str">
        <f t="shared" si="327"/>
        <v>Active</v>
      </c>
    </row>
    <row r="8664" spans="1:3" ht="18" customHeight="1">
      <c r="A8664" t="str">
        <f>"63-7001-1001"</f>
        <v>63-7001-1001</v>
      </c>
      <c r="B8664" t="str">
        <f>"CNCMotion for BenchTurn 7000, add-on License"</f>
        <v>CNCMotion for BenchTurn 7000, add-on License</v>
      </c>
      <c r="C8664" t="str">
        <f t="shared" si="327"/>
        <v>Active</v>
      </c>
    </row>
    <row r="8665" spans="1:3" ht="18" customHeight="1">
      <c r="A8665" t="str">
        <f>"63-7001-1010"</f>
        <v>63-7001-1010</v>
      </c>
      <c r="B8665" t="str">
        <f>"Ten seat license Fanuc Emulator  BenchTurn 7000"</f>
        <v>Ten seat license Fanuc Emulator  BenchTurn 7000</v>
      </c>
      <c r="C8665" t="str">
        <f t="shared" si="327"/>
        <v>Active</v>
      </c>
    </row>
    <row r="8666" spans="1:3" ht="18" customHeight="1">
      <c r="A8666" t="str">
        <f>"63-7001-1030"</f>
        <v>63-7001-1030</v>
      </c>
      <c r="B8666" t="str">
        <f>"30 Seat License, Fanuc Emulator, BenchTurn 7000"</f>
        <v>30 Seat License, Fanuc Emulator, BenchTurn 7000</v>
      </c>
      <c r="C8666" t="str">
        <f t="shared" si="327"/>
        <v>Active</v>
      </c>
    </row>
    <row r="8667" spans="1:3" ht="18" customHeight="1">
      <c r="A8667" t="str">
        <f>"63-7001-2000"</f>
        <v>63-7001-2000</v>
      </c>
      <c r="B8667" t="str">
        <f>"Fanuc Simulation Sftwr, BenchTurn 7000"</f>
        <v>Fanuc Simulation Sftwr, BenchTurn 7000</v>
      </c>
      <c r="C8667" t="str">
        <f t="shared" si="327"/>
        <v>Active</v>
      </c>
    </row>
    <row r="8668" spans="1:3" ht="18" customHeight="1">
      <c r="A8668" t="str">
        <f>"63-7001-2001"</f>
        <v>63-7001-2001</v>
      </c>
      <c r="B8668" t="str">
        <f>"Fanuc Simulation S/W, BenchTurn 7000, add-on Lic"</f>
        <v>Fanuc Simulation S/W, BenchTurn 7000, add-on Lic</v>
      </c>
      <c r="C8668" t="str">
        <f t="shared" si="327"/>
        <v>Active</v>
      </c>
    </row>
    <row r="8669" spans="1:3" ht="18" customHeight="1">
      <c r="A8669" t="str">
        <f>"63-7001-2900"</f>
        <v>63-7001-2900</v>
      </c>
      <c r="B8669" t="str">
        <f>"License Key For 101351 TrainNet Server Softwar"</f>
        <v>License Key For 101351 TrainNet Server Softwar</v>
      </c>
      <c r="C8669" t="str">
        <f t="shared" si="327"/>
        <v>Active</v>
      </c>
    </row>
    <row r="8670" spans="1:3" ht="18" customHeight="1">
      <c r="A8670" t="str">
        <f>"63-7001-3000"</f>
        <v>63-7001-3000</v>
      </c>
      <c r="B8670" t="str">
        <f>"License For 101352 TrainNet student License"</f>
        <v>License For 101352 TrainNet student License</v>
      </c>
      <c r="C8670" t="str">
        <f t="shared" si="327"/>
        <v>Active</v>
      </c>
    </row>
    <row r="8671" spans="1:3" ht="18" customHeight="1">
      <c r="A8671" t="str">
        <f>"63-7001-3100"</f>
        <v>63-7001-3100</v>
      </c>
      <c r="B8671" t="str">
        <f>"License For 101352 LMS Clients License"</f>
        <v>License For 101352 LMS Clients License</v>
      </c>
      <c r="C8671" t="str">
        <f t="shared" si="327"/>
        <v>Active</v>
      </c>
    </row>
    <row r="8672" spans="1:3" ht="18" customHeight="1">
      <c r="A8672" t="str">
        <f>"63-7001-9900"</f>
        <v>63-7001-9900</v>
      </c>
      <c r="B8672" t="str">
        <f>"License LMC Standalone For Label CDKey 700101"</f>
        <v>License LMC Standalone For Label CDKey 700101</v>
      </c>
      <c r="C8672" t="str">
        <f>"Inactive"</f>
        <v>Inactive</v>
      </c>
    </row>
    <row r="8673" spans="1:3" ht="18" customHeight="1">
      <c r="A8673" t="str">
        <f>"63-7008-0100"</f>
        <v>63-7008-0100</v>
      </c>
      <c r="B8673" t="str">
        <f>"LearnMate LM5 Content uploader"</f>
        <v>LearnMate LM5 Content uploader</v>
      </c>
      <c r="C8673" t="str">
        <f t="shared" ref="C8673:C8682" si="328">"Active"</f>
        <v>Active</v>
      </c>
    </row>
    <row r="8674" spans="1:3" ht="18" customHeight="1">
      <c r="A8674" t="str">
        <f>"63-7008-0200"</f>
        <v>63-7008-0200</v>
      </c>
      <c r="B8674" t="str">
        <f>"LearnMate5 STANDALONE Course Installation Wizard"</f>
        <v>LearnMate5 STANDALONE Course Installation Wizard</v>
      </c>
      <c r="C8674" t="str">
        <f t="shared" si="328"/>
        <v>Active</v>
      </c>
    </row>
    <row r="8675" spans="1:3" ht="18" customHeight="1">
      <c r="A8675" t="str">
        <f>"63-8001-1000"</f>
        <v>63-8001-1000</v>
      </c>
      <c r="B8675" t="str">
        <f>"-CNCMotion for ProMill 8000"</f>
        <v>-CNCMotion for ProMill 8000</v>
      </c>
      <c r="C8675" t="str">
        <f t="shared" si="328"/>
        <v>Active</v>
      </c>
    </row>
    <row r="8676" spans="1:3" ht="18" customHeight="1">
      <c r="A8676" t="str">
        <f>"63-8001-1001"</f>
        <v>63-8001-1001</v>
      </c>
      <c r="B8676" t="str">
        <f>"CNCMotion for ProMill 8000, add-on License"</f>
        <v>CNCMotion for ProMill 8000, add-on License</v>
      </c>
      <c r="C8676" t="str">
        <f t="shared" si="328"/>
        <v>Active</v>
      </c>
    </row>
    <row r="8677" spans="1:3" ht="18" customHeight="1">
      <c r="A8677" t="str">
        <f>"63-8001-1010"</f>
        <v>63-8001-1010</v>
      </c>
      <c r="B8677" t="str">
        <f>"Ten seat license for ProMill6000 vir.sim.cnrl"</f>
        <v>Ten seat license for ProMill6000 vir.sim.cnrl</v>
      </c>
      <c r="C8677" t="str">
        <f t="shared" si="328"/>
        <v>Active</v>
      </c>
    </row>
    <row r="8678" spans="1:3" ht="18" customHeight="1">
      <c r="A8678" t="str">
        <f>"63-8001-1030"</f>
        <v>63-8001-1030</v>
      </c>
      <c r="B8678" t="str">
        <f>"Thirty seat license for ProMill6000 vir.sim.cnrl"</f>
        <v>Thirty seat license for ProMill6000 vir.sim.cnrl</v>
      </c>
      <c r="C8678" t="str">
        <f t="shared" si="328"/>
        <v>Active</v>
      </c>
    </row>
    <row r="8679" spans="1:3" ht="18" customHeight="1">
      <c r="A8679" t="str">
        <f>"63-8001-2000"</f>
        <v>63-8001-2000</v>
      </c>
      <c r="B8679" t="str">
        <f>"Fanuc Simulation Sftwr, ProMill 8000"</f>
        <v>Fanuc Simulation Sftwr, ProMill 8000</v>
      </c>
      <c r="C8679" t="str">
        <f t="shared" si="328"/>
        <v>Active</v>
      </c>
    </row>
    <row r="8680" spans="1:3" ht="18" customHeight="1">
      <c r="A8680" t="str">
        <f>"63-8001-2001"</f>
        <v>63-8001-2001</v>
      </c>
      <c r="B8680" t="str">
        <f>"Fanuc Simulation S/W,ProMill 8000,add-on License"</f>
        <v>Fanuc Simulation S/W,ProMill 8000,add-on License</v>
      </c>
      <c r="C8680" t="str">
        <f t="shared" si="328"/>
        <v>Active</v>
      </c>
    </row>
    <row r="8681" spans="1:3" ht="18" customHeight="1">
      <c r="A8681" t="str">
        <f>"63-8015-0000"</f>
        <v>63-8015-0000</v>
      </c>
      <c r="B8681" t="str">
        <f>"SIEMENS S7-200 PLC Programming Software"</f>
        <v>SIEMENS S7-200 PLC Programming Software</v>
      </c>
      <c r="C8681" t="str">
        <f t="shared" si="328"/>
        <v>Active</v>
      </c>
    </row>
    <row r="8682" spans="1:3" ht="18" customHeight="1">
      <c r="A8682" t="str">
        <f>"63-8016-0000"</f>
        <v>63-8016-0000</v>
      </c>
      <c r="B8682" t="str">
        <f>"SIEMENS S7-1200 Software, STEP 7 Basic"</f>
        <v>SIEMENS S7-1200 Software, STEP 7 Basic</v>
      </c>
      <c r="C8682" t="str">
        <f t="shared" si="328"/>
        <v>Active</v>
      </c>
    </row>
    <row r="8683" spans="1:3" ht="18" customHeight="1">
      <c r="A8683" t="str">
        <f>"63-8018-0000"</f>
        <v>63-8018-0000</v>
      </c>
      <c r="B8683" t="str">
        <f>"CD-Weld assy picturesWelding Booth-ER9/SV3/HP3"</f>
        <v>CD-Weld assy picturesWelding Booth-ER9/SV3/HP3</v>
      </c>
      <c r="C8683" t="str">
        <f>"Not for sale"</f>
        <v>Not for sale</v>
      </c>
    </row>
    <row r="8684" spans="1:3" ht="18" customHeight="1">
      <c r="A8684" t="str">
        <f>"63-8019-0000"</f>
        <v>63-8019-0000</v>
      </c>
      <c r="B8684" t="str">
        <f>"MOTOCOM 32 Software Package"</f>
        <v>MOTOCOM 32 Software Package</v>
      </c>
      <c r="C8684" t="str">
        <f t="shared" ref="C8684:C8690" si="329">"Active"</f>
        <v>Active</v>
      </c>
    </row>
    <row r="8685" spans="1:3" ht="18" customHeight="1">
      <c r="A8685" t="str">
        <f>"63-8020-0000"</f>
        <v>63-8020-0000</v>
      </c>
      <c r="B8685" t="str">
        <f>"Software Runtime License MotoCome32"</f>
        <v>Software Runtime License MotoCome32</v>
      </c>
      <c r="C8685" t="str">
        <f t="shared" si="329"/>
        <v>Active</v>
      </c>
    </row>
    <row r="8686" spans="1:3" ht="18" customHeight="1">
      <c r="A8686" t="str">
        <f>"63-8021-0000"</f>
        <v>63-8021-0000</v>
      </c>
      <c r="B8686" t="str">
        <f>"MotoSim Software"</f>
        <v>MotoSim Software</v>
      </c>
      <c r="C8686" t="str">
        <f t="shared" si="329"/>
        <v>Active</v>
      </c>
    </row>
    <row r="8687" spans="1:3" ht="18" customHeight="1">
      <c r="A8687" t="str">
        <f>"63-8022-0000"</f>
        <v>63-8022-0000</v>
      </c>
      <c r="B8687" t="str">
        <f>"CorelDRAW Graphics Suite X7 Academic"</f>
        <v>CorelDRAW Graphics Suite X7 Academic</v>
      </c>
      <c r="C8687" t="str">
        <f t="shared" si="329"/>
        <v>Active</v>
      </c>
    </row>
    <row r="8688" spans="1:3" ht="18" customHeight="1">
      <c r="A8688" t="str">
        <f>"63-8801-0000"</f>
        <v>63-8801-0000</v>
      </c>
      <c r="B8688" t="str">
        <f>"LMR8800, CNCBase software Upgrade"</f>
        <v>LMR8800, CNCBase software Upgrade</v>
      </c>
      <c r="C8688" t="str">
        <f t="shared" si="329"/>
        <v>Active</v>
      </c>
    </row>
    <row r="8689" spans="1:3" ht="18" customHeight="1">
      <c r="A8689" t="str">
        <f>"63-8801-1000"</f>
        <v>63-8801-1000</v>
      </c>
      <c r="B8689" t="str">
        <f>"CNCMotion Sim. Sftwr, LMR8800"</f>
        <v>CNCMotion Sim. Sftwr, LMR8800</v>
      </c>
      <c r="C8689" t="str">
        <f t="shared" si="329"/>
        <v>Active</v>
      </c>
    </row>
    <row r="8690" spans="1:3" ht="18" customHeight="1">
      <c r="A8690" t="str">
        <f>"63-8801-1001"</f>
        <v>63-8801-1001</v>
      </c>
      <c r="B8690" t="str">
        <f>"CNCMotion Sim. Sftwr, LMR8800, add lic."</f>
        <v>CNCMotion Sim. Sftwr, LMR8800, add lic.</v>
      </c>
      <c r="C8690" t="str">
        <f t="shared" si="329"/>
        <v>Active</v>
      </c>
    </row>
    <row r="8691" spans="1:3" ht="18" customHeight="1">
      <c r="A8691" t="str">
        <f>"63-8801-2000"</f>
        <v>63-8801-2000</v>
      </c>
      <c r="B8691" t="str">
        <f>"PCI Controller Card and CNCBase Software Router"</f>
        <v>PCI Controller Card and CNCBase Software Router</v>
      </c>
      <c r="C8691" t="str">
        <f>"Inactive"</f>
        <v>Inactive</v>
      </c>
    </row>
    <row r="8692" spans="1:3" ht="18" customHeight="1">
      <c r="A8692" t="str">
        <f>"63-9001-1000"</f>
        <v>63-9001-1000</v>
      </c>
      <c r="B8692" t="str">
        <f>"-CNCMotion for ProTurn 9000"</f>
        <v>-CNCMotion for ProTurn 9000</v>
      </c>
      <c r="C8692" t="str">
        <f t="shared" ref="C8692:C8733" si="330">"Active"</f>
        <v>Active</v>
      </c>
    </row>
    <row r="8693" spans="1:3" ht="18" customHeight="1">
      <c r="A8693" t="str">
        <f>"63-9001-1001"</f>
        <v>63-9001-1001</v>
      </c>
      <c r="B8693" t="str">
        <f>"CNCMotion for ProTurn 9000, add-on License"</f>
        <v>CNCMotion for ProTurn 9000, add-on License</v>
      </c>
      <c r="C8693" t="str">
        <f t="shared" si="330"/>
        <v>Active</v>
      </c>
    </row>
    <row r="8694" spans="1:3" ht="18" customHeight="1">
      <c r="A8694" t="str">
        <f>"63-9001-1010"</f>
        <v>63-9001-1010</v>
      </c>
      <c r="B8694" t="str">
        <f>"CNCMotion for ProTurn 9000, add-on License"</f>
        <v>CNCMotion for ProTurn 9000, add-on License</v>
      </c>
      <c r="C8694" t="str">
        <f t="shared" si="330"/>
        <v>Active</v>
      </c>
    </row>
    <row r="8695" spans="1:3" ht="18" customHeight="1">
      <c r="A8695" t="str">
        <f>"63-9001-1030"</f>
        <v>63-9001-1030</v>
      </c>
      <c r="B8695" t="str">
        <f>"Thirty seat license ProTurn 9000 vir.sim.cnrl"</f>
        <v>Thirty seat license ProTurn 9000 vir.sim.cnrl</v>
      </c>
      <c r="C8695" t="str">
        <f t="shared" si="330"/>
        <v>Active</v>
      </c>
    </row>
    <row r="8696" spans="1:3" ht="18" customHeight="1">
      <c r="A8696" t="str">
        <f>"63-9001-2000"</f>
        <v>63-9001-2000</v>
      </c>
      <c r="B8696" t="str">
        <f>"Fanuc Simulation Sftwr, ProTurn 9000"</f>
        <v>Fanuc Simulation Sftwr, ProTurn 9000</v>
      </c>
      <c r="C8696" t="str">
        <f t="shared" si="330"/>
        <v>Active</v>
      </c>
    </row>
    <row r="8697" spans="1:3" ht="18" customHeight="1">
      <c r="A8697" t="str">
        <f>"63-9001-2001"</f>
        <v>63-9001-2001</v>
      </c>
      <c r="B8697" t="str">
        <f>"Fanuc Simulation S/W,ProTurn 9000,add-on License"</f>
        <v>Fanuc Simulation S/W,ProTurn 9000,add-on License</v>
      </c>
      <c r="C8697" t="str">
        <f t="shared" si="330"/>
        <v>Active</v>
      </c>
    </row>
    <row r="8698" spans="1:3" ht="18" customHeight="1">
      <c r="A8698" t="str">
        <f>"63-9001-2010"</f>
        <v>63-9001-2010</v>
      </c>
      <c r="B8698" t="str">
        <f>"Ten seat license Fanuc Emulator ProTurn 9000"</f>
        <v>Ten seat license Fanuc Emulator ProTurn 9000</v>
      </c>
      <c r="C8698" t="str">
        <f t="shared" si="330"/>
        <v>Active</v>
      </c>
    </row>
    <row r="8699" spans="1:3" ht="18" customHeight="1">
      <c r="A8699" t="str">
        <f>"63-9001-2030"</f>
        <v>63-9001-2030</v>
      </c>
      <c r="B8699" t="str">
        <f>"Thirty seat licenseFanuc Emulator ProTurn 9000"</f>
        <v>Thirty seat licenseFanuc Emulator ProTurn 9000</v>
      </c>
      <c r="C8699" t="str">
        <f t="shared" si="330"/>
        <v>Active</v>
      </c>
    </row>
    <row r="8700" spans="1:3" ht="18" customHeight="1">
      <c r="A8700" t="str">
        <f>"63-9072-0000"</f>
        <v>63-9072-0000</v>
      </c>
      <c r="B8700" t="str">
        <f>"OpenCIM/FMS Software"</f>
        <v>OpenCIM/FMS Software</v>
      </c>
      <c r="C8700" t="str">
        <f t="shared" si="330"/>
        <v>Active</v>
      </c>
    </row>
    <row r="8701" spans="1:3" ht="18" customHeight="1">
      <c r="A8701" t="str">
        <f>"63-9102-0000"</f>
        <v>63-9102-0000</v>
      </c>
      <c r="B8701" t="str">
        <f>"RoboCell for SCORBOT-ER 4pc Software Package"</f>
        <v>RoboCell for SCORBOT-ER 4pc Software Package</v>
      </c>
      <c r="C8701" t="str">
        <f t="shared" si="330"/>
        <v>Active</v>
      </c>
    </row>
    <row r="8702" spans="1:3" ht="18" customHeight="1">
      <c r="A8702" t="str">
        <f>"63-9229-0000"</f>
        <v>63-9229-0000</v>
      </c>
      <c r="B8702" t="str">
        <f>"ViewFlex Software (Single License incl. Dongle)"</f>
        <v>ViewFlex Software (Single License incl. Dongle)</v>
      </c>
      <c r="C8702" t="str">
        <f t="shared" si="330"/>
        <v>Active</v>
      </c>
    </row>
    <row r="8703" spans="1:3" ht="18" customHeight="1">
      <c r="A8703" t="str">
        <f>"63-9234-0000"</f>
        <v>63-9234-0000</v>
      </c>
      <c r="B8703" t="str">
        <f>"Robocell Software"</f>
        <v>Robocell Software</v>
      </c>
      <c r="C8703" t="str">
        <f t="shared" si="330"/>
        <v>Active</v>
      </c>
    </row>
    <row r="8704" spans="1:3" ht="18" customHeight="1">
      <c r="A8704" t="str">
        <f>"63-9238-0000"</f>
        <v>63-9238-0000</v>
      </c>
      <c r="B8704" t="str">
        <f>"ProcessMotion Process Control"</f>
        <v>ProcessMotion Process Control</v>
      </c>
      <c r="C8704" t="str">
        <f t="shared" si="330"/>
        <v>Active</v>
      </c>
    </row>
    <row r="8705" spans="1:3" ht="18" customHeight="1">
      <c r="A8705" t="str">
        <f>"63-9239-0000"</f>
        <v>63-9239-0000</v>
      </c>
      <c r="B8705" t="str">
        <f>"PneuMotion Pneumatic Simulation Software"</f>
        <v>PneuMotion Pneumatic Simulation Software</v>
      </c>
      <c r="C8705" t="str">
        <f t="shared" si="330"/>
        <v>Active</v>
      </c>
    </row>
    <row r="8706" spans="1:3" ht="18" customHeight="1">
      <c r="A8706" t="str">
        <f>"63-9239-00ES"</f>
        <v>63-9239-00ES</v>
      </c>
      <c r="B8706" t="str">
        <f>"Spanish PneuMotion,Pneumatic Simulation Software"</f>
        <v>Spanish PneuMotion,Pneumatic Simulation Software</v>
      </c>
      <c r="C8706" t="str">
        <f t="shared" si="330"/>
        <v>Active</v>
      </c>
    </row>
    <row r="8707" spans="1:3" ht="18" customHeight="1">
      <c r="A8707" t="str">
        <f>"63-9240-0000"</f>
        <v>63-9240-0000</v>
      </c>
      <c r="B8707" t="str">
        <f>"HydraMotion - Hydraulics Simulation Software"</f>
        <v>HydraMotion - Hydraulics Simulation Software</v>
      </c>
      <c r="C8707" t="str">
        <f t="shared" si="330"/>
        <v>Active</v>
      </c>
    </row>
    <row r="8708" spans="1:3" ht="18" customHeight="1">
      <c r="A8708" t="str">
        <f>"63-9240-00ES"</f>
        <v>63-9240-00ES</v>
      </c>
      <c r="B8708" t="str">
        <f>"Spanish HydraMotion,HydraulicSimulation Software"</f>
        <v>Spanish HydraMotion,HydraulicSimulation Software</v>
      </c>
      <c r="C8708" t="str">
        <f t="shared" si="330"/>
        <v>Active</v>
      </c>
    </row>
    <row r="8709" spans="1:3" ht="18" customHeight="1">
      <c r="A8709" t="str">
        <f>"63-9241-0000"</f>
        <v>63-9241-0000</v>
      </c>
      <c r="B8709" t="str">
        <f>"PLC Motion Simulation Software"</f>
        <v>PLC Motion Simulation Software</v>
      </c>
      <c r="C8709" t="str">
        <f t="shared" si="330"/>
        <v>Active</v>
      </c>
    </row>
    <row r="8710" spans="1:3" ht="18" customHeight="1">
      <c r="A8710" t="str">
        <f>"63-9241-000C"</f>
        <v>63-9241-000C</v>
      </c>
      <c r="B8710" t="str">
        <f>"PLCMotion Simplified Chinese Edition"</f>
        <v>PLCMotion Simplified Chinese Edition</v>
      </c>
      <c r="C8710" t="str">
        <f t="shared" si="330"/>
        <v>Active</v>
      </c>
    </row>
    <row r="8711" spans="1:3" ht="18" customHeight="1">
      <c r="A8711" t="str">
        <f>"63-9242-0000"</f>
        <v>63-9242-0000</v>
      </c>
      <c r="B8711" t="str">
        <f>"Robotic Software for Controller ACL (A&amp;B)"</f>
        <v>Robotic Software for Controller ACL (A&amp;B)</v>
      </c>
      <c r="C8711" t="str">
        <f t="shared" si="330"/>
        <v>Active</v>
      </c>
    </row>
    <row r="8712" spans="1:3" ht="18" customHeight="1">
      <c r="A8712" t="str">
        <f>"63-9246-0000"</f>
        <v>63-9246-0000</v>
      </c>
      <c r="B8712" t="str">
        <f>"LearnMate LMS Server Software License"</f>
        <v>LearnMate LMS Server Software License</v>
      </c>
      <c r="C8712" t="str">
        <f t="shared" si="330"/>
        <v>Active</v>
      </c>
    </row>
    <row r="8713" spans="1:3" ht="18" customHeight="1">
      <c r="A8713" t="str">
        <f>"63-9248-0000"</f>
        <v>63-9248-0000</v>
      </c>
      <c r="B8713" t="str">
        <f>"Robotic Software for Controller USB Pro"</f>
        <v>Robotic Software for Controller USB Pro</v>
      </c>
      <c r="C8713" t="str">
        <f t="shared" si="330"/>
        <v>Active</v>
      </c>
    </row>
    <row r="8714" spans="1:3" ht="18" customHeight="1">
      <c r="A8714" t="str">
        <f>"63-9249-0000"</f>
        <v>63-9249-0000</v>
      </c>
      <c r="B8714" t="str">
        <f>"Software Application for AutoAgronom"</f>
        <v>Software Application for AutoAgronom</v>
      </c>
      <c r="C8714" t="str">
        <f t="shared" si="330"/>
        <v>Active</v>
      </c>
    </row>
    <row r="8715" spans="1:3" ht="18" customHeight="1">
      <c r="A8715" t="str">
        <f>"63-9250-0000"</f>
        <v>63-9250-0000</v>
      </c>
      <c r="B8715" t="str">
        <f>"Software CD 300-0008-00, Solido"</f>
        <v>Software CD 300-0008-00, Solido</v>
      </c>
      <c r="C8715" t="str">
        <f t="shared" si="330"/>
        <v>Active</v>
      </c>
    </row>
    <row r="8716" spans="1:3" ht="18" customHeight="1">
      <c r="A8716" t="str">
        <f>"63-9251-0000"</f>
        <v>63-9251-0000</v>
      </c>
      <c r="B8716" t="str">
        <f>"LearnMate Live"</f>
        <v>LearnMate Live</v>
      </c>
      <c r="C8716" t="str">
        <f t="shared" si="330"/>
        <v>Active</v>
      </c>
    </row>
    <row r="8717" spans="1:3" ht="18" customHeight="1">
      <c r="A8717" t="str">
        <f>"63-9252-0000"</f>
        <v>63-9252-0000</v>
      </c>
      <c r="B8717" t="str">
        <f>"LearnMate Server Software LM 5"</f>
        <v>LearnMate Server Software LM 5</v>
      </c>
      <c r="C8717" t="str">
        <f t="shared" si="330"/>
        <v>Active</v>
      </c>
    </row>
    <row r="8718" spans="1:3" ht="18" customHeight="1">
      <c r="A8718" t="str">
        <f>"63-9253-0000"</f>
        <v>63-9253-0000</v>
      </c>
      <c r="B8718" t="str">
        <f>"LearnMate 5 STANDALONE Content Viewer"</f>
        <v>LearnMate 5 STANDALONE Content Viewer</v>
      </c>
      <c r="C8718" t="str">
        <f t="shared" si="330"/>
        <v>Active</v>
      </c>
    </row>
    <row r="8719" spans="1:3" ht="18" customHeight="1">
      <c r="A8719" t="str">
        <f>"66-1002-5657"</f>
        <v>66-1002-5657</v>
      </c>
      <c r="B8719" t="str">
        <f>"Aluminum Std Angle, Sharp Corner 3"" x 3"" x 1/8"""</f>
        <v>Aluminum Std Angle, Sharp Corner 3" x 3" x 1/8"</v>
      </c>
      <c r="C8719" t="str">
        <f t="shared" si="330"/>
        <v>Active</v>
      </c>
    </row>
    <row r="8720" spans="1:3" ht="18" customHeight="1">
      <c r="A8720" t="str">
        <f>"66-1002-5864"</f>
        <v>66-1002-5864</v>
      </c>
      <c r="B8720" t="str">
        <f>"Aluminum Std Angle, Sharp Corner 4"" x 4"" x 1/8"""</f>
        <v>Aluminum Std Angle, Sharp Corner 4" x 4" x 1/8"</v>
      </c>
      <c r="C8720" t="str">
        <f t="shared" si="330"/>
        <v>Active</v>
      </c>
    </row>
    <row r="8721" spans="1:3" ht="18" customHeight="1">
      <c r="A8721" t="str">
        <f>"66-1007-4128"</f>
        <v>66-1007-4128</v>
      </c>
      <c r="B8721" t="str">
        <f>"Aluminum Channel, 6063,T52,1.0""W x .50""H x .125"""</f>
        <v>Aluminum Channel, 6063,T52,1.0"W x .50"H x .125"</v>
      </c>
      <c r="C8721" t="str">
        <f t="shared" si="330"/>
        <v>Active</v>
      </c>
    </row>
    <row r="8722" spans="1:3" ht="18" customHeight="1">
      <c r="A8722" t="str">
        <f>"66-1007-5244"</f>
        <v>66-1007-5244</v>
      </c>
      <c r="B8722" t="str">
        <f>"Aluminum Std Angle, 6063 T52, 0.125"" x 2"" x 2"""</f>
        <v>Aluminum Std Angle, 6063 T52, 0.125" x 2" x 2"</v>
      </c>
      <c r="C8722" t="str">
        <f t="shared" si="330"/>
        <v>Active</v>
      </c>
    </row>
    <row r="8723" spans="1:3" ht="18" customHeight="1">
      <c r="A8723" t="str">
        <f>"66-1010-6077"</f>
        <v>66-1010-6077</v>
      </c>
      <c r="B8723" t="str">
        <f>"Aluminum Standard Angle 0.375"" x 6.00"" x 6.00"""</f>
        <v>Aluminum Standard Angle 0.375" x 6.00" x 6.00"</v>
      </c>
      <c r="C8723" t="str">
        <f t="shared" si="330"/>
        <v>Active</v>
      </c>
    </row>
    <row r="8724" spans="1:3" ht="18" customHeight="1">
      <c r="A8724" t="str">
        <f>"66-1016-3744"</f>
        <v>66-1016-3744</v>
      </c>
      <c r="B8724" t="str">
        <f>"Stock, Aluminum 6061, Flat, 0.250"" x 2.000"""</f>
        <v>Stock, Aluminum 6061, Flat, 0.250" x 2.000"</v>
      </c>
      <c r="C8724" t="str">
        <f t="shared" si="330"/>
        <v>Active</v>
      </c>
    </row>
    <row r="8725" spans="1:3" ht="18" customHeight="1">
      <c r="A8725" t="str">
        <f>"66-1016-3777"</f>
        <v>66-1016-3777</v>
      </c>
      <c r="B8725" t="str">
        <f>"Stock, Aluminum 6061, Flat, 0.250"" x 6.000"""</f>
        <v>Stock, Aluminum 6061, Flat, 0.250" x 6.000"</v>
      </c>
      <c r="C8725" t="str">
        <f t="shared" si="330"/>
        <v>Active</v>
      </c>
    </row>
    <row r="8726" spans="1:3" ht="18" customHeight="1">
      <c r="A8726" t="str">
        <f>"66-1016-4136"</f>
        <v>66-1016-4136</v>
      </c>
      <c r="B8726" t="str">
        <f>"Stock, Aluminum 6061, Flat, 0.5"" x 1.5"""</f>
        <v>Stock, Aluminum 6061, Flat, 0.5" x 1.5"</v>
      </c>
      <c r="C8726" t="str">
        <f t="shared" si="330"/>
        <v>Active</v>
      </c>
    </row>
    <row r="8727" spans="1:3" ht="18" customHeight="1">
      <c r="A8727" t="str">
        <f>"66-1016-4157"</f>
        <v>66-1016-4157</v>
      </c>
      <c r="B8727" t="str">
        <f>"Stock, Aluminum 6061, Flat, 1/2"" x 3"""</f>
        <v>Stock, Aluminum 6061, Flat, 1/2" x 3"</v>
      </c>
      <c r="C8727" t="str">
        <f t="shared" si="330"/>
        <v>Active</v>
      </c>
    </row>
    <row r="8728" spans="1:3" ht="18" customHeight="1">
      <c r="A8728" t="str">
        <f>"66-4916-0552"</f>
        <v>66-4916-0552</v>
      </c>
      <c r="B8728" t="str">
        <f>"Low Carbon Ground Steel Flat Stock,1/4"" x 2-1/2"""</f>
        <v>Low Carbon Ground Steel Flat Stock,1/4" x 2-1/2"</v>
      </c>
      <c r="C8728" t="str">
        <f t="shared" si="330"/>
        <v>Active</v>
      </c>
    </row>
    <row r="8729" spans="1:3" ht="18" customHeight="1">
      <c r="A8729" t="str">
        <f>"66-4916-1544"</f>
        <v>66-4916-1544</v>
      </c>
      <c r="B8729" t="str">
        <f>"1018 Steel, 0.063"" x 2.00"""</f>
        <v>1018 Steel, 0.063" x 2.00"</v>
      </c>
      <c r="C8729" t="str">
        <f t="shared" si="330"/>
        <v>Active</v>
      </c>
    </row>
    <row r="8730" spans="1:3" ht="18" customHeight="1">
      <c r="A8730" t="str">
        <f>"66-4916-4444"</f>
        <v>66-4916-4444</v>
      </c>
      <c r="B8730" t="str">
        <f>"Low Carbon Ground Steel Flat Stock,1.0"" x 2.0"""</f>
        <v>Low Carbon Ground Steel Flat Stock,1.0" x 2.0"</v>
      </c>
      <c r="C8730" t="str">
        <f t="shared" si="330"/>
        <v>Active</v>
      </c>
    </row>
    <row r="8731" spans="1:3" ht="18" customHeight="1">
      <c r="A8731" t="str">
        <f>"66-4916-4657"</f>
        <v>66-4916-4657</v>
      </c>
      <c r="B8731" t="str">
        <f>"1018 Steel Flat Stock 1.25"" x 3.0"""</f>
        <v>1018 Steel Flat Stock 1.25" x 3.0"</v>
      </c>
      <c r="C8731" t="str">
        <f t="shared" si="330"/>
        <v>Active</v>
      </c>
    </row>
    <row r="8732" spans="1:3" ht="18" customHeight="1">
      <c r="A8732" t="str">
        <f>"66-4946-0032"</f>
        <v>66-4946-0032</v>
      </c>
      <c r="B8732" t="str">
        <f>"1018 Steel Round Stock, 1-1/4"" dia."</f>
        <v>1018 Steel Round Stock, 1-1/4" dia.</v>
      </c>
      <c r="C8732" t="str">
        <f t="shared" si="330"/>
        <v>Active</v>
      </c>
    </row>
    <row r="8733" spans="1:3" ht="18" customHeight="1">
      <c r="A8733" t="str">
        <f>"66-4952-0016"</f>
        <v>66-4952-0016</v>
      </c>
      <c r="B8733" t="str">
        <f>"Steel Shaft, 0.125"" Keyway 0.500"" diameter"</f>
        <v>Steel Shaft, 0.125" Keyway 0.500" diameter</v>
      </c>
      <c r="C8733" t="str">
        <f t="shared" si="330"/>
        <v>Active</v>
      </c>
    </row>
    <row r="8734" spans="1:3" ht="18" customHeight="1">
      <c r="A8734" t="str">
        <f>"66-4952-0020"</f>
        <v>66-4952-0020</v>
      </c>
      <c r="B8734" t="str">
        <f>"Steel Shaft, 3/16"" Keyway 0.625"" diameter"</f>
        <v>Steel Shaft, 3/16" Keyway 0.625" diameter</v>
      </c>
      <c r="C8734" t="str">
        <f>"Not for purc"</f>
        <v>Not for purc</v>
      </c>
    </row>
    <row r="8735" spans="1:3" ht="18" customHeight="1">
      <c r="A8735" t="str">
        <f>"66-5046-0020"</f>
        <v>66-5046-0020</v>
      </c>
      <c r="B8735" t="str">
        <f>"Steel Shaft, 5/8"" Diameter C1141"</f>
        <v>Steel Shaft, 5/8" Diameter C1141</v>
      </c>
      <c r="C8735" t="str">
        <f t="shared" ref="C8735:C8742" si="331">"Active"</f>
        <v>Active</v>
      </c>
    </row>
    <row r="8736" spans="1:3" ht="18" customHeight="1">
      <c r="A8736" t="str">
        <f>"66-5146-0064"</f>
        <v>66-5146-0064</v>
      </c>
      <c r="B8736" t="str">
        <f>"1141 Steel Round Stock 4"" diameter"</f>
        <v>1141 Steel Round Stock 4" diameter</v>
      </c>
      <c r="C8736" t="str">
        <f t="shared" si="331"/>
        <v>Active</v>
      </c>
    </row>
    <row r="8737" spans="1:3" ht="18" customHeight="1">
      <c r="A8737" t="str">
        <f>"68-3501-0001"</f>
        <v>68-3501-0001</v>
      </c>
      <c r="B8737" t="str">
        <f>"Coderz Student 1 yr. License"</f>
        <v>Coderz Student 1 yr. License</v>
      </c>
      <c r="C8737" t="str">
        <f t="shared" si="331"/>
        <v>Active</v>
      </c>
    </row>
    <row r="8738" spans="1:3" ht="18" customHeight="1">
      <c r="A8738" t="str">
        <f>"68-3501-0002"</f>
        <v>68-3501-0002</v>
      </c>
      <c r="B8738" t="str">
        <f>"Coderz Student 2 yr. License"</f>
        <v>Coderz Student 2 yr. License</v>
      </c>
      <c r="C8738" t="str">
        <f t="shared" si="331"/>
        <v>Active</v>
      </c>
    </row>
    <row r="8739" spans="1:3" ht="18" customHeight="1">
      <c r="A8739" t="str">
        <f>"68-3501-0003"</f>
        <v>68-3501-0003</v>
      </c>
      <c r="B8739" t="str">
        <f>"Coderz Student 3 yr. License"</f>
        <v>Coderz Student 3 yr. License</v>
      </c>
      <c r="C8739" t="str">
        <f t="shared" si="331"/>
        <v>Active</v>
      </c>
    </row>
    <row r="8740" spans="1:3" ht="18" customHeight="1">
      <c r="A8740" t="str">
        <f>"68-3501-0004"</f>
        <v>68-3501-0004</v>
      </c>
      <c r="B8740" t="str">
        <f>"Coderz Student 4 yr. License"</f>
        <v>Coderz Student 4 yr. License</v>
      </c>
      <c r="C8740" t="str">
        <f t="shared" si="331"/>
        <v>Active</v>
      </c>
    </row>
    <row r="8741" spans="1:3" ht="18" customHeight="1">
      <c r="A8741" t="str">
        <f>"700081B"</f>
        <v>700081B</v>
      </c>
      <c r="B8741" t="str">
        <f>"Electrical Panel 220V"</f>
        <v>Electrical Panel 220V</v>
      </c>
      <c r="C8741" t="str">
        <f t="shared" si="331"/>
        <v>Active</v>
      </c>
    </row>
    <row r="8742" spans="1:3" ht="18" customHeight="1">
      <c r="A8742" t="str">
        <f>"700428"</f>
        <v>700428</v>
      </c>
      <c r="B8742" t="str">
        <f>"911 Thermoforming Center E/W (1) 700404 Granules"</f>
        <v>911 Thermoforming Center E/W (1) 700404 Granules</v>
      </c>
      <c r="C8742" t="str">
        <f t="shared" si="331"/>
        <v>Active</v>
      </c>
    </row>
    <row r="8743" spans="1:3" ht="18" customHeight="1">
      <c r="A8743" t="str">
        <f>"77-0K12-0000"</f>
        <v>77-0K12-0000</v>
      </c>
      <c r="B8743" t="str">
        <f>"K12 Phase 2, Courses"</f>
        <v>K12 Phase 2, Courses</v>
      </c>
      <c r="C8743" t="str">
        <f>"Not for sale"</f>
        <v>Not for sale</v>
      </c>
    </row>
    <row r="8744" spans="1:3" ht="18" customHeight="1">
      <c r="A8744" t="str">
        <f>"77-1200-0000"</f>
        <v>77-1200-0000</v>
      </c>
      <c r="B8744" t="str">
        <f>"LearnMate 7, Local Server Setup and Activation"</f>
        <v>LearnMate 7, Local Server Setup and Activation</v>
      </c>
      <c r="C8744" t="str">
        <f t="shared" ref="C8744:C8750" si="332">"Active"</f>
        <v>Active</v>
      </c>
    </row>
    <row r="8745" spans="1:3" ht="18" customHeight="1">
      <c r="A8745" t="str">
        <f>"77-1200-0001"</f>
        <v>77-1200-0001</v>
      </c>
      <c r="B8745" t="str">
        <f>"LM7 Local Server Setup without support agreement"</f>
        <v>LM7 Local Server Setup without support agreement</v>
      </c>
      <c r="C8745" t="str">
        <f t="shared" si="332"/>
        <v>Active</v>
      </c>
    </row>
    <row r="8746" spans="1:3" ht="18" customHeight="1">
      <c r="A8746" t="str">
        <f>"77-1200-1ADD"</f>
        <v>77-1200-1ADD</v>
      </c>
      <c r="B8746" t="str">
        <f>"LM7, Add 1 Local School"</f>
        <v>LM7, Add 1 Local School</v>
      </c>
      <c r="C8746" t="str">
        <f t="shared" si="332"/>
        <v>Active</v>
      </c>
    </row>
    <row r="8747" spans="1:3" ht="18" customHeight="1">
      <c r="A8747" t="str">
        <f>"77-1201-0000"</f>
        <v>77-1201-0000</v>
      </c>
      <c r="B8747" t="str">
        <f>"LM7 1st year hosting, setup &amp; support"</f>
        <v>LM7 1st year hosting, setup &amp; support</v>
      </c>
      <c r="C8747" t="str">
        <f t="shared" si="332"/>
        <v>Active</v>
      </c>
    </row>
    <row r="8748" spans="1:3" ht="18" customHeight="1">
      <c r="A8748" t="str">
        <f>"77-1201-0ADD"</f>
        <v>77-1201-0ADD</v>
      </c>
      <c r="B8748" t="str">
        <f>"LM7, Add 100 Users, Hosted Only"</f>
        <v>LM7, Add 100 Users, Hosted Only</v>
      </c>
      <c r="C8748" t="str">
        <f t="shared" si="332"/>
        <v>Active</v>
      </c>
    </row>
    <row r="8749" spans="1:3" ht="18" customHeight="1">
      <c r="A8749" t="str">
        <f>"77-1201-1ADD"</f>
        <v>77-1201-1ADD</v>
      </c>
      <c r="B8749" t="str">
        <f>"LM7, Add 1 Hosted School"</f>
        <v>LM7, Add 1 Hosted School</v>
      </c>
      <c r="C8749" t="str">
        <f t="shared" si="332"/>
        <v>Active</v>
      </c>
    </row>
    <row r="8750" spans="1:3" ht="18" customHeight="1">
      <c r="A8750" t="str">
        <f>"77-1202-RPT"</f>
        <v>77-1202-RPT</v>
      </c>
      <c r="B8750" t="str">
        <f>"LM7, Adv. Reporting, Hosted Only"</f>
        <v>LM7, Adv. Reporting, Hosted Only</v>
      </c>
      <c r="C8750" t="str">
        <f t="shared" si="332"/>
        <v>Active</v>
      </c>
    </row>
    <row r="8751" spans="1:3" ht="18" customHeight="1">
      <c r="A8751" t="str">
        <f>"77-1203-0000"</f>
        <v>77-1203-0000</v>
      </c>
      <c r="B8751" t="str">
        <f>"LearnMate 7, 3 year 100 users hosting + support"</f>
        <v>LearnMate 7, 3 year 100 users hosting + support</v>
      </c>
      <c r="C8751" t="str">
        <f>"Inactive"</f>
        <v>Inactive</v>
      </c>
    </row>
    <row r="8752" spans="1:3" ht="18" customHeight="1">
      <c r="A8752" t="str">
        <f>"77-1204-0000"</f>
        <v>77-1204-0000</v>
      </c>
      <c r="B8752" t="str">
        <f>"LearnMate 7, Hosting Setup and Activation Fee"</f>
        <v>LearnMate 7, Hosting Setup and Activation Fee</v>
      </c>
      <c r="C8752" t="str">
        <f>"Inactive"</f>
        <v>Inactive</v>
      </c>
    </row>
    <row r="8753" spans="1:3" ht="18" customHeight="1">
      <c r="A8753" t="str">
        <f>"77-1207-1010"</f>
        <v>77-1207-1010</v>
      </c>
      <c r="B8753" t="str">
        <f>"LearnMate 7, Single Class Hosted Flat Fee"</f>
        <v>LearnMate 7, Single Class Hosted Flat Fee</v>
      </c>
      <c r="C8753" t="str">
        <f>"New"</f>
        <v>New</v>
      </c>
    </row>
    <row r="8754" spans="1:3" ht="18" customHeight="1">
      <c r="A8754" t="str">
        <f>"77-1401-0000"</f>
        <v>77-1401-0000</v>
      </c>
      <c r="B8754" t="str">
        <f>"LearnMate 7, Live Class add-on"</f>
        <v>LearnMate 7, Live Class add-on</v>
      </c>
      <c r="C8754" t="str">
        <f t="shared" ref="C8754:C8760" si="333">"Active"</f>
        <v>Active</v>
      </c>
    </row>
    <row r="8755" spans="1:3" ht="18" customHeight="1">
      <c r="A8755" t="str">
        <f>"77-1401-0002"</f>
        <v>77-1401-0002</v>
      </c>
      <c r="B8755" t="str">
        <f>"LearnMate 7,  100 users for Three  simultaneous"</f>
        <v>LearnMate 7,  100 users for Three  simultaneous</v>
      </c>
      <c r="C8755" t="str">
        <f t="shared" si="333"/>
        <v>Active</v>
      </c>
    </row>
    <row r="8756" spans="1:3" ht="18" customHeight="1">
      <c r="A8756" t="str">
        <f>"77-3001-0000"</f>
        <v>77-3001-0000</v>
      </c>
      <c r="B8756" t="str">
        <f>"LM7 Content, Vir, Auto Welding w/ER4U"</f>
        <v>LM7 Content, Vir, Auto Welding w/ER4U</v>
      </c>
      <c r="C8756" t="str">
        <f t="shared" si="333"/>
        <v>Active</v>
      </c>
    </row>
    <row r="8757" spans="1:3" ht="18" customHeight="1">
      <c r="A8757" t="str">
        <f>"77-3001-0000ES"</f>
        <v>77-3001-0000ES</v>
      </c>
      <c r="B8757" t="str">
        <f>"LM7 Content, ES, Vir, Auto Welding w/ER4U"</f>
        <v>LM7 Content, ES, Vir, Auto Welding w/ER4U</v>
      </c>
      <c r="C8757" t="str">
        <f t="shared" si="333"/>
        <v>Active</v>
      </c>
    </row>
    <row r="8758" spans="1:3" ht="18" customHeight="1">
      <c r="A8758" t="str">
        <f>"77-3004-0001"</f>
        <v>77-3004-0001</v>
      </c>
      <c r="B8758" t="str">
        <f>"LM7 Content, Vir, spectraCAD Engraving"</f>
        <v>LM7 Content, Vir, spectraCAD Engraving</v>
      </c>
      <c r="C8758" t="str">
        <f t="shared" si="333"/>
        <v>Active</v>
      </c>
    </row>
    <row r="8759" spans="1:3" ht="18" customHeight="1">
      <c r="A8759" t="str">
        <f>"77-3004-0002"</f>
        <v>77-3004-0002</v>
      </c>
      <c r="B8759" t="str">
        <f>"LM7 Content, Vir, spectraCAD Engraving (M)"</f>
        <v>LM7 Content, Vir, spectraCAD Engraving (M)</v>
      </c>
      <c r="C8759" t="str">
        <f t="shared" si="333"/>
        <v>Active</v>
      </c>
    </row>
    <row r="8760" spans="1:3" ht="18" customHeight="1">
      <c r="A8760" t="str">
        <f>"77-3004-0002ES"</f>
        <v>77-3004-0002ES</v>
      </c>
      <c r="B8760" t="str">
        <f>"LM7 Content, ES, Vir, spectraCAD Engraving (M)"</f>
        <v>LM7 Content, ES, Vir, spectraCAD Engraving (M)</v>
      </c>
      <c r="C8760" t="str">
        <f t="shared" si="333"/>
        <v>Active</v>
      </c>
    </row>
    <row r="8761" spans="1:3" ht="18" customHeight="1">
      <c r="A8761" t="str">
        <f>"77-3004-0002PT"</f>
        <v>77-3004-0002PT</v>
      </c>
      <c r="B8761" t="str">
        <f>"LM7 Content, PT, Vir, spectraCAD Engraving (M)"</f>
        <v>LM7 Content, PT, Vir, spectraCAD Engraving (M)</v>
      </c>
      <c r="C8761" t="str">
        <f>"New"</f>
        <v>New</v>
      </c>
    </row>
    <row r="8762" spans="1:3" ht="18" customHeight="1">
      <c r="A8762" t="str">
        <f>"77-3005-0001"</f>
        <v>77-3005-0001</v>
      </c>
      <c r="B8762" t="str">
        <f>"LM7 Content, Vir, spectraCAM Milling"</f>
        <v>LM7 Content, Vir, spectraCAM Milling</v>
      </c>
      <c r="C8762" t="str">
        <f>"Active"</f>
        <v>Active</v>
      </c>
    </row>
    <row r="8763" spans="1:3" ht="18" customHeight="1">
      <c r="A8763" t="str">
        <f>"77-3005-0002"</f>
        <v>77-3005-0002</v>
      </c>
      <c r="B8763" t="str">
        <f>"LM7 Content, Vir, spectraCAM Milling (M)"</f>
        <v>LM7 Content, Vir, spectraCAM Milling (M)</v>
      </c>
      <c r="C8763" t="str">
        <f>"Active"</f>
        <v>Active</v>
      </c>
    </row>
    <row r="8764" spans="1:3" ht="18" customHeight="1">
      <c r="A8764" t="str">
        <f>"77-3005-0002ES"</f>
        <v>77-3005-0002ES</v>
      </c>
      <c r="B8764" t="str">
        <f>"LM7 Content, ES, Vir, spectraCAM Milling (M)"</f>
        <v>LM7 Content, ES, Vir, spectraCAM Milling (M)</v>
      </c>
      <c r="C8764" t="str">
        <f>"Active"</f>
        <v>Active</v>
      </c>
    </row>
    <row r="8765" spans="1:3" ht="18" customHeight="1">
      <c r="A8765" t="str">
        <f>"77-3005-0002PT"</f>
        <v>77-3005-0002PT</v>
      </c>
      <c r="B8765" t="str">
        <f>"LM7 Content, PT, Vir, spectraCAM Milling (M)"</f>
        <v>LM7 Content, PT, Vir, spectraCAM Milling (M)</v>
      </c>
      <c r="C8765" t="str">
        <f>"New"</f>
        <v>New</v>
      </c>
    </row>
    <row r="8766" spans="1:3" ht="18" customHeight="1">
      <c r="A8766" t="str">
        <f>"77-3006-0091"</f>
        <v>77-3006-0091</v>
      </c>
      <c r="B8766" t="str">
        <f>"LM7 Content, Vir, Mastercam Milling V9"</f>
        <v>LM7 Content, Vir, Mastercam Milling V9</v>
      </c>
      <c r="C8766" t="str">
        <f>"Active"</f>
        <v>Active</v>
      </c>
    </row>
    <row r="8767" spans="1:3" ht="18" customHeight="1">
      <c r="A8767" t="str">
        <f>"77-3006-0092"</f>
        <v>77-3006-0092</v>
      </c>
      <c r="B8767" t="str">
        <f>"LM7 Content, Vir, Mastercam Milling V9 (M)"</f>
        <v>LM7 Content, Vir, Mastercam Milling V9 (M)</v>
      </c>
      <c r="C8767" t="str">
        <f>"Active"</f>
        <v>Active</v>
      </c>
    </row>
    <row r="8768" spans="1:3" ht="18" customHeight="1">
      <c r="A8768" t="str">
        <f>"77-3007-0001"</f>
        <v>77-3007-0001</v>
      </c>
      <c r="B8768" t="str">
        <f>"LM7 Content, Vir, spectraCAM Turning"</f>
        <v>LM7 Content, Vir, spectraCAM Turning</v>
      </c>
      <c r="C8768" t="str">
        <f>"Active"</f>
        <v>Active</v>
      </c>
    </row>
    <row r="8769" spans="1:3" ht="18" customHeight="1">
      <c r="A8769" t="str">
        <f>"77-3007-0002"</f>
        <v>77-3007-0002</v>
      </c>
      <c r="B8769" t="str">
        <f>"LM7 Content, Vir, spectraCAM Turning (M)"</f>
        <v>LM7 Content, Vir, spectraCAM Turning (M)</v>
      </c>
      <c r="C8769" t="str">
        <f>"Active"</f>
        <v>Active</v>
      </c>
    </row>
    <row r="8770" spans="1:3" ht="18" customHeight="1">
      <c r="A8770" t="str">
        <f>"77-3007-0002ES"</f>
        <v>77-3007-0002ES</v>
      </c>
      <c r="B8770" t="str">
        <f>"LM7 Content, ES, Vir, spectraCAM Turning (M)"</f>
        <v>LM7 Content, ES, Vir, spectraCAM Turning (M)</v>
      </c>
      <c r="C8770" t="str">
        <f>"Active"</f>
        <v>Active</v>
      </c>
    </row>
    <row r="8771" spans="1:3" ht="18" customHeight="1">
      <c r="A8771" t="str">
        <f>"77-3007-0002PT"</f>
        <v>77-3007-0002PT</v>
      </c>
      <c r="B8771" t="str">
        <f>"LM7 Content, PT, Vir, spectraCAM Turning (M)"</f>
        <v>LM7 Content, PT, Vir, spectraCAM Turning (M)</v>
      </c>
      <c r="C8771" t="str">
        <f>"New"</f>
        <v>New</v>
      </c>
    </row>
    <row r="8772" spans="1:3" ht="18" customHeight="1">
      <c r="A8772" t="str">
        <f>"77-3008-0091"</f>
        <v>77-3008-0091</v>
      </c>
      <c r="B8772" t="str">
        <f>"LM7 Content, Vir, Mastercam Turning V9"</f>
        <v>LM7 Content, Vir, Mastercam Turning V9</v>
      </c>
      <c r="C8772" t="str">
        <f>"Active"</f>
        <v>Active</v>
      </c>
    </row>
    <row r="8773" spans="1:3" ht="18" customHeight="1">
      <c r="A8773" t="str">
        <f>"77-3008-0092"</f>
        <v>77-3008-0092</v>
      </c>
      <c r="B8773" t="str">
        <f>"LM7 Content, Vir, Mastercam Turning V9 (M)"</f>
        <v>LM7 Content, Vir, Mastercam Turning V9 (M)</v>
      </c>
      <c r="C8773" t="str">
        <f>"Active"</f>
        <v>Active</v>
      </c>
    </row>
    <row r="8774" spans="1:3" ht="18" customHeight="1">
      <c r="A8774" t="str">
        <f>"77-3009-0001"</f>
        <v>77-3009-0001</v>
      </c>
      <c r="B8774" t="str">
        <f>"LM7 Content, Vir, CNC Milling w/SLM"</f>
        <v>LM7 Content, Vir, CNC Milling w/SLM</v>
      </c>
      <c r="C8774" t="str">
        <f>"Active"</f>
        <v>Active</v>
      </c>
    </row>
    <row r="8775" spans="1:3" ht="18" customHeight="1">
      <c r="A8775" t="str">
        <f>"77-3009-0002"</f>
        <v>77-3009-0002</v>
      </c>
      <c r="B8775" t="str">
        <f>"LM7 Content, Vir, CNC Milling w/SLM (M)"</f>
        <v>LM7 Content, Vir, CNC Milling w/SLM (M)</v>
      </c>
      <c r="C8775" t="str">
        <f>"New"</f>
        <v>New</v>
      </c>
    </row>
    <row r="8776" spans="1:3" ht="18" customHeight="1">
      <c r="A8776" t="str">
        <f>"77-3010-0001"</f>
        <v>77-3010-0001</v>
      </c>
      <c r="B8776" t="str">
        <f>"LM7 Content, Vir, CNC Milling w/PLM"</f>
        <v>LM7 Content, Vir, CNC Milling w/PLM</v>
      </c>
      <c r="C8776" t="str">
        <f>"New"</f>
        <v>New</v>
      </c>
    </row>
    <row r="8777" spans="1:3" ht="18" customHeight="1">
      <c r="A8777" t="str">
        <f>"77-3011-0001"</f>
        <v>77-3011-0001</v>
      </c>
      <c r="B8777" t="str">
        <f>"LM7 Content, Vir, CNC Turning w/SLT"</f>
        <v>LM7 Content, Vir, CNC Turning w/SLT</v>
      </c>
      <c r="C8777" t="str">
        <f>"Active"</f>
        <v>Active</v>
      </c>
    </row>
    <row r="8778" spans="1:3" ht="18" customHeight="1">
      <c r="A8778" t="str">
        <f>"77-3011-0002"</f>
        <v>77-3011-0002</v>
      </c>
      <c r="B8778" t="str">
        <f>"LM7 Content, Vir, CNC Turning w/SLT (M)"</f>
        <v>LM7 Content, Vir, CNC Turning w/SLT (M)</v>
      </c>
      <c r="C8778" t="str">
        <f>"New"</f>
        <v>New</v>
      </c>
    </row>
    <row r="8779" spans="1:3" ht="18" customHeight="1">
      <c r="A8779" t="str">
        <f>"77-3012-0001"</f>
        <v>77-3012-0001</v>
      </c>
      <c r="B8779" t="str">
        <f>"LM7 Content, Vir, CNC Turning w/PLT"</f>
        <v>LM7 Content, Vir, CNC Turning w/PLT</v>
      </c>
      <c r="C8779" t="str">
        <f>"Active"</f>
        <v>Active</v>
      </c>
    </row>
    <row r="8780" spans="1:3" ht="18" customHeight="1">
      <c r="A8780" t="str">
        <f>"77-3012-0002"</f>
        <v>77-3012-0002</v>
      </c>
      <c r="B8780" t="str">
        <f>"LM7 Content, Vir, CNC Turning w/PLT (M)"</f>
        <v>LM7 Content, Vir, CNC Turning w/PLT (M)</v>
      </c>
      <c r="C8780" t="str">
        <f>"New"</f>
        <v>New</v>
      </c>
    </row>
    <row r="8781" spans="1:3" ht="18" customHeight="1">
      <c r="A8781" t="str">
        <f>"77-3012-0002ES"</f>
        <v>77-3012-0002ES</v>
      </c>
      <c r="B8781" t="str">
        <f>"LM7 Content, ES, Vir, CNC Turning w/PLT (M)"</f>
        <v>LM7 Content, ES, Vir, CNC Turning w/PLT (M)</v>
      </c>
      <c r="C8781" t="str">
        <f t="shared" ref="C8781:C8812" si="334">"Active"</f>
        <v>Active</v>
      </c>
    </row>
    <row r="8782" spans="1:3" ht="18" customHeight="1">
      <c r="A8782" t="str">
        <f>"77-3015-0000"</f>
        <v>77-3015-0000</v>
      </c>
      <c r="B8782" t="str">
        <f>"LM7 Content, Vir, CIM 1"</f>
        <v>LM7 Content, Vir, CIM 1</v>
      </c>
      <c r="C8782" t="str">
        <f t="shared" si="334"/>
        <v>Active</v>
      </c>
    </row>
    <row r="8783" spans="1:3" ht="18" customHeight="1">
      <c r="A8783" t="str">
        <f>"77-3015-0000ES"</f>
        <v>77-3015-0000ES</v>
      </c>
      <c r="B8783" t="str">
        <f>"LM7 Content, ES, Vir, CIM1"</f>
        <v>LM7 Content, ES, Vir, CIM1</v>
      </c>
      <c r="C8783" t="str">
        <f t="shared" si="334"/>
        <v>Active</v>
      </c>
    </row>
    <row r="8784" spans="1:3" ht="18" customHeight="1">
      <c r="A8784" t="str">
        <f>"77-3016-0000"</f>
        <v>77-3016-0000</v>
      </c>
      <c r="B8784" t="str">
        <f>"LM7 Content, Vir, CIM 2"</f>
        <v>LM7 Content, Vir, CIM 2</v>
      </c>
      <c r="C8784" t="str">
        <f t="shared" si="334"/>
        <v>Active</v>
      </c>
    </row>
    <row r="8785" spans="1:3" ht="18" customHeight="1">
      <c r="A8785" t="str">
        <f>"77-3016-0000ES"</f>
        <v>77-3016-0000ES</v>
      </c>
      <c r="B8785" t="str">
        <f>"LM7 Content, ES, Vir, CIM 2"</f>
        <v>LM7 Content, ES, Vir, CIM 2</v>
      </c>
      <c r="C8785" t="str">
        <f t="shared" si="334"/>
        <v>Active</v>
      </c>
    </row>
    <row r="8786" spans="1:3" ht="18" customHeight="1">
      <c r="A8786" t="str">
        <f>"77-3019-0000"</f>
        <v>77-3019-0000</v>
      </c>
      <c r="B8786" t="str">
        <f>"LM7 Content, Vir, Fundamentals of Electronics"</f>
        <v>LM7 Content, Vir, Fundamentals of Electronics</v>
      </c>
      <c r="C8786" t="str">
        <f t="shared" si="334"/>
        <v>Active</v>
      </c>
    </row>
    <row r="8787" spans="1:3" ht="18" customHeight="1">
      <c r="A8787" t="str">
        <f>"77-3019-0000ES"</f>
        <v>77-3019-0000ES</v>
      </c>
      <c r="B8787" t="str">
        <f>"LM7 Content, ES, Vir,Fundamentals of Electronics"</f>
        <v>LM7 Content, ES, Vir,Fundamentals of Electronics</v>
      </c>
      <c r="C8787" t="str">
        <f t="shared" si="334"/>
        <v>Active</v>
      </c>
    </row>
    <row r="8788" spans="1:3" ht="18" customHeight="1">
      <c r="A8788" t="str">
        <f>"77-3019-0000PT"</f>
        <v>77-3019-0000PT</v>
      </c>
      <c r="B8788" t="str">
        <f>"LM7 Content, PT, Vir,Fundamentals of Electronics"</f>
        <v>LM7 Content, PT, Vir,Fundamentals of Electronics</v>
      </c>
      <c r="C8788" t="str">
        <f t="shared" si="334"/>
        <v>Active</v>
      </c>
    </row>
    <row r="8789" spans="1:3" ht="18" customHeight="1">
      <c r="A8789" t="str">
        <f>"77-3020-0000"</f>
        <v>77-3020-0000</v>
      </c>
      <c r="B8789" t="str">
        <f>"LM7 Content, Vir, Advanced Electronics"</f>
        <v>LM7 Content, Vir, Advanced Electronics</v>
      </c>
      <c r="C8789" t="str">
        <f t="shared" si="334"/>
        <v>Active</v>
      </c>
    </row>
    <row r="8790" spans="1:3" ht="18" customHeight="1">
      <c r="A8790" t="str">
        <f>"77-3020-0000ES"</f>
        <v>77-3020-0000ES</v>
      </c>
      <c r="B8790" t="str">
        <f>"LM7 Content, ES, Vir, Advanced Electronics"</f>
        <v>LM7 Content, ES, Vir, Advanced Electronics</v>
      </c>
      <c r="C8790" t="str">
        <f t="shared" si="334"/>
        <v>Active</v>
      </c>
    </row>
    <row r="8791" spans="1:3" ht="18" customHeight="1">
      <c r="A8791" t="str">
        <f>"77-3020-0000PT"</f>
        <v>77-3020-0000PT</v>
      </c>
      <c r="B8791" t="str">
        <f>"LM7 Content, PT, Vir, Advanced Electronics"</f>
        <v>LM7 Content, PT, Vir, Advanced Electronics</v>
      </c>
      <c r="C8791" t="str">
        <f t="shared" si="334"/>
        <v>Active</v>
      </c>
    </row>
    <row r="8792" spans="1:3" ht="18" customHeight="1">
      <c r="A8792" t="str">
        <f>"77-3021-0000"</f>
        <v>77-3021-0000</v>
      </c>
      <c r="B8792" t="str">
        <f>"LM7 Content, Vir, Fiber Optics"</f>
        <v>LM7 Content, Vir, Fiber Optics</v>
      </c>
      <c r="C8792" t="str">
        <f t="shared" si="334"/>
        <v>Active</v>
      </c>
    </row>
    <row r="8793" spans="1:3" ht="18" customHeight="1">
      <c r="A8793" t="str">
        <f>"77-3022-0000"</f>
        <v>77-3022-0000</v>
      </c>
      <c r="B8793" t="str">
        <f>"LM7 Content, Vir, Flexible Manufacturing Sys"</f>
        <v>LM7 Content, Vir, Flexible Manufacturing Sys</v>
      </c>
      <c r="C8793" t="str">
        <f t="shared" si="334"/>
        <v>Active</v>
      </c>
    </row>
    <row r="8794" spans="1:3" ht="18" customHeight="1">
      <c r="A8794" t="str">
        <f>"77-3022-0000ES"</f>
        <v>77-3022-0000ES</v>
      </c>
      <c r="B8794" t="str">
        <f>"LM7 Content, ES, Vir, Flexible Manufacturing Sys"</f>
        <v>LM7 Content, ES, Vir, Flexible Manufacturing Sys</v>
      </c>
      <c r="C8794" t="str">
        <f t="shared" si="334"/>
        <v>Active</v>
      </c>
    </row>
    <row r="8795" spans="1:3" ht="18" customHeight="1">
      <c r="A8795" t="str">
        <f>"77-3025-0000"</f>
        <v>77-3025-0000</v>
      </c>
      <c r="B8795" t="str">
        <f>"LM7 Content, Vir, Hydraulics 2"</f>
        <v>LM7 Content, Vir, Hydraulics 2</v>
      </c>
      <c r="C8795" t="str">
        <f t="shared" si="334"/>
        <v>Active</v>
      </c>
    </row>
    <row r="8796" spans="1:3" ht="18" customHeight="1">
      <c r="A8796" t="str">
        <f>"77-3025-0000ES"</f>
        <v>77-3025-0000ES</v>
      </c>
      <c r="B8796" t="str">
        <f>"LM7 Content, ES, Vir, Hydraulics 2"</f>
        <v>LM7 Content, ES, Vir, Hydraulics 2</v>
      </c>
      <c r="C8796" t="str">
        <f t="shared" si="334"/>
        <v>Active</v>
      </c>
    </row>
    <row r="8797" spans="1:3" ht="18" customHeight="1">
      <c r="A8797" t="str">
        <f>"77-3025-0000PT"</f>
        <v>77-3025-0000PT</v>
      </c>
      <c r="B8797" t="str">
        <f>"LM7 Content, PT, Vir, Hydraulics 2"</f>
        <v>LM7 Content, PT, Vir, Hydraulics 2</v>
      </c>
      <c r="C8797" t="str">
        <f t="shared" si="334"/>
        <v>Active</v>
      </c>
    </row>
    <row r="8798" spans="1:3" ht="18" customHeight="1">
      <c r="A8798" t="str">
        <f>"77-3026-0000"</f>
        <v>77-3026-0000</v>
      </c>
      <c r="B8798" t="str">
        <f>"LM7 Content, Vir, Advanced  Electro-hydraulics 3"</f>
        <v>LM7 Content, Vir, Advanced  Electro-hydraulics 3</v>
      </c>
      <c r="C8798" t="str">
        <f t="shared" si="334"/>
        <v>Active</v>
      </c>
    </row>
    <row r="8799" spans="1:3" ht="18" customHeight="1">
      <c r="A8799" t="str">
        <f>"77-3026-0000ES"</f>
        <v>77-3026-0000ES</v>
      </c>
      <c r="B8799" t="str">
        <f>"LM7 Content, ES, Vir, Adv. Electro-hydraulics 3"</f>
        <v>LM7 Content, ES, Vir, Adv. Electro-hydraulics 3</v>
      </c>
      <c r="C8799" t="str">
        <f t="shared" si="334"/>
        <v>Active</v>
      </c>
    </row>
    <row r="8800" spans="1:3" ht="18" customHeight="1">
      <c r="A8800" t="str">
        <f>"77-3027-0000"</f>
        <v>77-3027-0000</v>
      </c>
      <c r="B8800" t="str">
        <f>"LM7 Content, Vir, Vision &amp; Image Process."</f>
        <v>LM7 Content, Vir, Vision &amp; Image Process.</v>
      </c>
      <c r="C8800" t="str">
        <f t="shared" si="334"/>
        <v>Active</v>
      </c>
    </row>
    <row r="8801" spans="1:3" ht="18" customHeight="1">
      <c r="A8801" t="str">
        <f>"77-3027-0000ES"</f>
        <v>77-3027-0000ES</v>
      </c>
      <c r="B8801" t="str">
        <f>"LM7 Content, ES, Vir, Vision &amp; Image Process"</f>
        <v>LM7 Content, ES, Vir, Vision &amp; Image Process</v>
      </c>
      <c r="C8801" t="str">
        <f t="shared" si="334"/>
        <v>Active</v>
      </c>
    </row>
    <row r="8802" spans="1:3" ht="18" customHeight="1">
      <c r="A8802" t="str">
        <f>"77-3028-0000"</f>
        <v>77-3028-0000</v>
      </c>
      <c r="B8802" t="str">
        <f>"LM7 Content, Vir, Exploring Vision &amp; QC"</f>
        <v>LM7 Content, Vir, Exploring Vision &amp; QC</v>
      </c>
      <c r="C8802" t="str">
        <f t="shared" si="334"/>
        <v>Active</v>
      </c>
    </row>
    <row r="8803" spans="1:3" ht="18" customHeight="1">
      <c r="A8803" t="str">
        <f>"77-3028-0000ES"</f>
        <v>77-3028-0000ES</v>
      </c>
      <c r="B8803" t="str">
        <f>"LM7 Content,ES, Vir, Exploring Vision &amp; QC"</f>
        <v>LM7 Content,ES, Vir, Exploring Vision &amp; QC</v>
      </c>
      <c r="C8803" t="str">
        <f t="shared" si="334"/>
        <v>Active</v>
      </c>
    </row>
    <row r="8804" spans="1:3" ht="18" customHeight="1">
      <c r="A8804" t="str">
        <f>"77-3029-0000"</f>
        <v>77-3029-0000</v>
      </c>
      <c r="B8804" t="str">
        <f>"LM7 Content, Vir, Materials Testing"</f>
        <v>LM7 Content, Vir, Materials Testing</v>
      </c>
      <c r="C8804" t="str">
        <f t="shared" si="334"/>
        <v>Active</v>
      </c>
    </row>
    <row r="8805" spans="1:3" ht="18" customHeight="1">
      <c r="A8805" t="str">
        <f>"77-3029-0000ES"</f>
        <v>77-3029-0000ES</v>
      </c>
      <c r="B8805" t="str">
        <f>"LM7 Content, ES, Vir, Materials Testing"</f>
        <v>LM7 Content, ES, Vir, Materials Testing</v>
      </c>
      <c r="C8805" t="str">
        <f t="shared" si="334"/>
        <v>Active</v>
      </c>
    </row>
    <row r="8806" spans="1:3" ht="18" customHeight="1">
      <c r="A8806" t="str">
        <f>"77-3032-0000"</f>
        <v>77-3032-0000</v>
      </c>
      <c r="B8806" t="str">
        <f>"LM7 Content, Lab/Vir, PLC Technology 1"</f>
        <v>LM7 Content, Lab/Vir, PLC Technology 1</v>
      </c>
      <c r="C8806" t="str">
        <f t="shared" si="334"/>
        <v>Active</v>
      </c>
    </row>
    <row r="8807" spans="1:3" ht="18" customHeight="1">
      <c r="A8807" t="str">
        <f>"77-3032-0000ES"</f>
        <v>77-3032-0000ES</v>
      </c>
      <c r="B8807" t="str">
        <f>"LM7 Content, ES, Lab/Vir, PLC Technology 1"</f>
        <v>LM7 Content, ES, Lab/Vir, PLC Technology 1</v>
      </c>
      <c r="C8807" t="str">
        <f t="shared" si="334"/>
        <v>Active</v>
      </c>
    </row>
    <row r="8808" spans="1:3" ht="18" customHeight="1">
      <c r="A8808" t="str">
        <f>"77-3032-0000PT"</f>
        <v>77-3032-0000PT</v>
      </c>
      <c r="B8808" t="str">
        <f>"LM7 Content, PT, Lab/Vir, PLC Technology 1"</f>
        <v>LM7 Content, PT, Lab/Vir, PLC Technology 1</v>
      </c>
      <c r="C8808" t="str">
        <f t="shared" si="334"/>
        <v>Active</v>
      </c>
    </row>
    <row r="8809" spans="1:3" ht="18" customHeight="1">
      <c r="A8809" t="str">
        <f>"77-3033-0000"</f>
        <v>77-3033-0000</v>
      </c>
      <c r="B8809" t="str">
        <f>"LM7 Content, Lab/Vir, PLC Technology 2"</f>
        <v>LM7 Content, Lab/Vir, PLC Technology 2</v>
      </c>
      <c r="C8809" t="str">
        <f t="shared" si="334"/>
        <v>Active</v>
      </c>
    </row>
    <row r="8810" spans="1:3" ht="18" customHeight="1">
      <c r="A8810" t="str">
        <f>"77-3033-0000ES"</f>
        <v>77-3033-0000ES</v>
      </c>
      <c r="B8810" t="str">
        <f>"LM7 Content, ES, Lab/Vir, PLC Technology 2"</f>
        <v>LM7 Content, ES, Lab/Vir, PLC Technology 2</v>
      </c>
      <c r="C8810" t="str">
        <f t="shared" si="334"/>
        <v>Active</v>
      </c>
    </row>
    <row r="8811" spans="1:3" ht="18" customHeight="1">
      <c r="A8811" t="str">
        <f>"77-3033-0000PT"</f>
        <v>77-3033-0000PT</v>
      </c>
      <c r="B8811" t="str">
        <f>"LM7 Content, PT, Lab/Vir, PLC Technology 2"</f>
        <v>LM7 Content, PT, Lab/Vir, PLC Technology 2</v>
      </c>
      <c r="C8811" t="str">
        <f t="shared" si="334"/>
        <v>Active</v>
      </c>
    </row>
    <row r="8812" spans="1:3" ht="18" customHeight="1">
      <c r="A8812" t="str">
        <f>"77-3034-0000"</f>
        <v>77-3034-0000</v>
      </c>
      <c r="B8812" t="str">
        <f>"LM7 Content, Vir, PLC Technology 3"</f>
        <v>LM7 Content, Vir, PLC Technology 3</v>
      </c>
      <c r="C8812" t="str">
        <f t="shared" si="334"/>
        <v>Active</v>
      </c>
    </row>
    <row r="8813" spans="1:3" ht="18" customHeight="1">
      <c r="A8813" t="str">
        <f>"77-3034-0000PT"</f>
        <v>77-3034-0000PT</v>
      </c>
      <c r="B8813" t="str">
        <f>"LM7 Content, PT, Vir, PLC Technology 3"</f>
        <v>LM7 Content, PT, Vir, PLC Technology 3</v>
      </c>
      <c r="C8813" t="str">
        <f t="shared" ref="C8813:C8844" si="335">"Active"</f>
        <v>Active</v>
      </c>
    </row>
    <row r="8814" spans="1:3" ht="18" customHeight="1">
      <c r="A8814" t="str">
        <f>"77-3035-0000"</f>
        <v>77-3035-0000</v>
      </c>
      <c r="B8814" t="str">
        <f>"LM7 Content, Vir, PLC Technology 4"</f>
        <v>LM7 Content, Vir, PLC Technology 4</v>
      </c>
      <c r="C8814" t="str">
        <f t="shared" si="335"/>
        <v>Active</v>
      </c>
    </row>
    <row r="8815" spans="1:3" ht="18" customHeight="1">
      <c r="A8815" t="str">
        <f>"77-3035-0000PT"</f>
        <v>77-3035-0000PT</v>
      </c>
      <c r="B8815" t="str">
        <f>"LM7 Content, PT, Vir, PLC Technology 4"</f>
        <v>LM7 Content, PT, Vir, PLC Technology 4</v>
      </c>
      <c r="C8815" t="str">
        <f t="shared" si="335"/>
        <v>Active</v>
      </c>
    </row>
    <row r="8816" spans="1:3" ht="18" customHeight="1">
      <c r="A8816" t="str">
        <f>"77-3039-0000"</f>
        <v>77-3039-0000</v>
      </c>
      <c r="B8816" t="str">
        <f>"LM7 Content, Vir, Electro Pneumatics 3"</f>
        <v>LM7 Content, Vir, Electro Pneumatics 3</v>
      </c>
      <c r="C8816" t="str">
        <f t="shared" si="335"/>
        <v>Active</v>
      </c>
    </row>
    <row r="8817" spans="1:3" ht="18" customHeight="1">
      <c r="A8817" t="str">
        <f>"77-3039-0000ES"</f>
        <v>77-3039-0000ES</v>
      </c>
      <c r="B8817" t="str">
        <f>"LM7 Content, ES, Vir, Electro Pneumatics 3"</f>
        <v>LM7 Content, ES, Vir, Electro Pneumatics 3</v>
      </c>
      <c r="C8817" t="str">
        <f t="shared" si="335"/>
        <v>Active</v>
      </c>
    </row>
    <row r="8818" spans="1:3" ht="18" customHeight="1">
      <c r="A8818" t="str">
        <f>"77-3039-0000PT"</f>
        <v>77-3039-0000PT</v>
      </c>
      <c r="B8818" t="str">
        <f>"LM7 Content, PT, Vir, Electro Pneumatics 3"</f>
        <v>LM7 Content, PT, Vir, Electro Pneumatics 3</v>
      </c>
      <c r="C8818" t="str">
        <f t="shared" si="335"/>
        <v>Active</v>
      </c>
    </row>
    <row r="8819" spans="1:3" ht="18" customHeight="1">
      <c r="A8819" t="str">
        <f>"77-3040-0000"</f>
        <v>77-3040-0000</v>
      </c>
      <c r="B8819" t="str">
        <f>"LM7 Content, Vir, Advanced&amp;Electro Pneumatics 4"</f>
        <v>LM7 Content, Vir, Advanced&amp;Electro Pneumatics 4</v>
      </c>
      <c r="C8819" t="str">
        <f t="shared" si="335"/>
        <v>Active</v>
      </c>
    </row>
    <row r="8820" spans="1:3" ht="18" customHeight="1">
      <c r="A8820" t="str">
        <f>"77-3040-0000ES"</f>
        <v>77-3040-0000ES</v>
      </c>
      <c r="B8820" t="str">
        <f>"LM7 Content, ES, Vir, Adv.&amp;Electro Pneumatics 4"</f>
        <v>LM7 Content, ES, Vir, Adv.&amp;Electro Pneumatics 4</v>
      </c>
      <c r="C8820" t="str">
        <f t="shared" si="335"/>
        <v>Active</v>
      </c>
    </row>
    <row r="8821" spans="1:3" ht="18" customHeight="1">
      <c r="A8821" t="str">
        <f>"77-3041-0002"</f>
        <v>77-3041-0002</v>
      </c>
      <c r="B8821" t="str">
        <f>"LM7 Content, Vir, Process Control, Temp"</f>
        <v>LM7 Content, Vir, Process Control, Temp</v>
      </c>
      <c r="C8821" t="str">
        <f t="shared" si="335"/>
        <v>Active</v>
      </c>
    </row>
    <row r="8822" spans="1:3" ht="18" customHeight="1">
      <c r="A8822" t="str">
        <f>"77-3043-0002"</f>
        <v>77-3043-0002</v>
      </c>
      <c r="B8822" t="str">
        <f>"LM7 Content, Vir, Process Control, Flow"</f>
        <v>LM7 Content, Vir, Process Control, Flow</v>
      </c>
      <c r="C8822" t="str">
        <f t="shared" si="335"/>
        <v>Active</v>
      </c>
    </row>
    <row r="8823" spans="1:3" ht="18" customHeight="1">
      <c r="A8823" t="str">
        <f>"77-3043-0002ES"</f>
        <v>77-3043-0002ES</v>
      </c>
      <c r="B8823" t="str">
        <f>"LM7 Content, ES, Vir, Process Control, Flow"</f>
        <v>LM7 Content, ES, Vir, Process Control, Flow</v>
      </c>
      <c r="C8823" t="str">
        <f t="shared" si="335"/>
        <v>Active</v>
      </c>
    </row>
    <row r="8824" spans="1:3" ht="18" customHeight="1">
      <c r="A8824" t="str">
        <f>"77-3044-0002"</f>
        <v>77-3044-0002</v>
      </c>
      <c r="B8824" t="str">
        <f>"LM7 Content, Vir, Process Cntrl, Pressure"</f>
        <v>LM7 Content, Vir, Process Cntrl, Pressure</v>
      </c>
      <c r="C8824" t="str">
        <f t="shared" si="335"/>
        <v>Active</v>
      </c>
    </row>
    <row r="8825" spans="1:3" ht="18" customHeight="1">
      <c r="A8825" t="str">
        <f>"77-3044-0002ES"</f>
        <v>77-3044-0002ES</v>
      </c>
      <c r="B8825" t="str">
        <f>"LM7 Content, ES, Vir, Process Cntrl, Pressure"</f>
        <v>LM7 Content, ES, Vir, Process Cntrl, Pressure</v>
      </c>
      <c r="C8825" t="str">
        <f t="shared" si="335"/>
        <v>Active</v>
      </c>
    </row>
    <row r="8826" spans="1:3" ht="18" customHeight="1">
      <c r="A8826" t="str">
        <f>"77-3045-0002"</f>
        <v>77-3045-0002</v>
      </c>
      <c r="B8826" t="str">
        <f>"LM7 Content, Vir, Process Control, Level"</f>
        <v>LM7 Content, Vir, Process Control, Level</v>
      </c>
      <c r="C8826" t="str">
        <f t="shared" si="335"/>
        <v>Active</v>
      </c>
    </row>
    <row r="8827" spans="1:3" ht="18" customHeight="1">
      <c r="A8827" t="str">
        <f>"77-3046-0000"</f>
        <v>77-3046-0000</v>
      </c>
      <c r="B8827" t="str">
        <f>"LM7 Content, Vir, Fundamentals w/ER4U"</f>
        <v>LM7 Content, Vir, Fundamentals w/ER4U</v>
      </c>
      <c r="C8827" t="str">
        <f t="shared" si="335"/>
        <v>Active</v>
      </c>
    </row>
    <row r="8828" spans="1:3" ht="18" customHeight="1">
      <c r="A8828" t="str">
        <f>"77-3047-0000"</f>
        <v>77-3047-0000</v>
      </c>
      <c r="B8828" t="str">
        <f>"LM7 Content, Vir, Fundamentals w/ER9"</f>
        <v>LM7 Content, Vir, Fundamentals w/ER9</v>
      </c>
      <c r="C8828" t="str">
        <f t="shared" si="335"/>
        <v>Active</v>
      </c>
    </row>
    <row r="8829" spans="1:3" ht="18" customHeight="1">
      <c r="A8829" t="str">
        <f>"77-3047-0000ES"</f>
        <v>77-3047-0000ES</v>
      </c>
      <c r="B8829" t="str">
        <f>"LM7 Content, ES, Vir, Fundamentals w/ER9"</f>
        <v>LM7 Content, ES, Vir, Fundamentals w/ER9</v>
      </c>
      <c r="C8829" t="str">
        <f t="shared" si="335"/>
        <v>Active</v>
      </c>
    </row>
    <row r="8830" spans="1:3" ht="18" customHeight="1">
      <c r="A8830" t="str">
        <f>"77-3048-0000"</f>
        <v>77-3048-0000</v>
      </c>
      <c r="B8830" t="str">
        <f>"LM7 Content, Vir, Advanced w/ER4U"</f>
        <v>LM7 Content, Vir, Advanced w/ER4U</v>
      </c>
      <c r="C8830" t="str">
        <f t="shared" si="335"/>
        <v>Active</v>
      </c>
    </row>
    <row r="8831" spans="1:3" ht="18" customHeight="1">
      <c r="A8831" t="str">
        <f>"77-3049-0000"</f>
        <v>77-3049-0000</v>
      </c>
      <c r="B8831" t="str">
        <f>"LM7 Content, Vir, Advanced w/ER9"</f>
        <v>LM7 Content, Vir, Advanced w/ER9</v>
      </c>
      <c r="C8831" t="str">
        <f t="shared" si="335"/>
        <v>Active</v>
      </c>
    </row>
    <row r="8832" spans="1:3" ht="18" customHeight="1">
      <c r="A8832" t="str">
        <f>"77-3049-0000ES"</f>
        <v>77-3049-0000ES</v>
      </c>
      <c r="B8832" t="str">
        <f>"LM7 Content, ES, Vir, Advanced w/ER9"</f>
        <v>LM7 Content, ES, Vir, Advanced w/ER9</v>
      </c>
      <c r="C8832" t="str">
        <f t="shared" si="335"/>
        <v>Active</v>
      </c>
    </row>
    <row r="8833" spans="1:3" ht="18" customHeight="1">
      <c r="A8833" t="str">
        <f>"77-3051-0000"</f>
        <v>77-3051-0000</v>
      </c>
      <c r="B8833" t="str">
        <f>"LM7 Content, Vir, Automatic ID Systems"</f>
        <v>LM7 Content, Vir, Automatic ID Systems</v>
      </c>
      <c r="C8833" t="str">
        <f t="shared" si="335"/>
        <v>Active</v>
      </c>
    </row>
    <row r="8834" spans="1:3" ht="18" customHeight="1">
      <c r="A8834" t="str">
        <f>"77-3051-0000PT"</f>
        <v>77-3051-0000PT</v>
      </c>
      <c r="B8834" t="str">
        <f>"LM7 Content, PT, Vir, Automatic ID Systems"</f>
        <v>LM7 Content, PT, Vir, Automatic ID Systems</v>
      </c>
      <c r="C8834" t="str">
        <f t="shared" si="335"/>
        <v>Active</v>
      </c>
    </row>
    <row r="8835" spans="1:3" ht="18" customHeight="1">
      <c r="A8835" t="str">
        <f>"77-3052-0000"</f>
        <v>77-3052-0000</v>
      </c>
      <c r="B8835" t="str">
        <f>"LM7 Content, Vir, Construction Tech."</f>
        <v>LM7 Content, Vir, Construction Tech.</v>
      </c>
      <c r="C8835" t="str">
        <f t="shared" si="335"/>
        <v>Active</v>
      </c>
    </row>
    <row r="8836" spans="1:3" ht="18" customHeight="1">
      <c r="A8836" t="str">
        <f>"77-3053-0000"</f>
        <v>77-3053-0000</v>
      </c>
      <c r="B8836" t="str">
        <f>"LM7 Content, Vir, Bridge Design"</f>
        <v>LM7 Content, Vir, Bridge Design</v>
      </c>
      <c r="C8836" t="str">
        <f t="shared" si="335"/>
        <v>Active</v>
      </c>
    </row>
    <row r="8837" spans="1:3" ht="18" customHeight="1">
      <c r="A8837" t="str">
        <f>"77-3054-0000"</f>
        <v>77-3054-0000</v>
      </c>
      <c r="B8837" t="str">
        <f>"LM7 Content, Vir, Fluids Engineering"</f>
        <v>LM7 Content, Vir, Fluids Engineering</v>
      </c>
      <c r="C8837" t="str">
        <f t="shared" si="335"/>
        <v>Active</v>
      </c>
    </row>
    <row r="8838" spans="1:3" ht="18" customHeight="1">
      <c r="A8838" t="str">
        <f>"77-3055-0000"</f>
        <v>77-3055-0000</v>
      </c>
      <c r="B8838" t="str">
        <f>"LM7 Content, Vir, Highway Engineering"</f>
        <v>LM7 Content, Vir, Highway Engineering</v>
      </c>
      <c r="C8838" t="str">
        <f t="shared" si="335"/>
        <v>Active</v>
      </c>
    </row>
    <row r="8839" spans="1:3" ht="18" customHeight="1">
      <c r="A8839" t="str">
        <f>"77-3056-0000"</f>
        <v>77-3056-0000</v>
      </c>
      <c r="B8839" t="str">
        <f>"LM7 Content, Vir, Transportation Eng"</f>
        <v>LM7 Content, Vir, Transportation Eng</v>
      </c>
      <c r="C8839" t="str">
        <f t="shared" si="335"/>
        <v>Active</v>
      </c>
    </row>
    <row r="8840" spans="1:3" ht="18" customHeight="1">
      <c r="A8840" t="str">
        <f>"77-3057-0000"</f>
        <v>77-3057-0000</v>
      </c>
      <c r="B8840" t="str">
        <f>"LM7 Content, Vir, Environmental Eng"</f>
        <v>LM7 Content, Vir, Environmental Eng</v>
      </c>
      <c r="C8840" t="str">
        <f t="shared" si="335"/>
        <v>Active</v>
      </c>
    </row>
    <row r="8841" spans="1:3" ht="18" customHeight="1">
      <c r="A8841" t="str">
        <f>"77-3058-0000"</f>
        <v>77-3058-0000</v>
      </c>
      <c r="B8841" t="str">
        <f>"LM7 Content, Vir, Wastewater Mgmt"</f>
        <v>LM7 Content, Vir, Wastewater Mgmt</v>
      </c>
      <c r="C8841" t="str">
        <f t="shared" si="335"/>
        <v>Active</v>
      </c>
    </row>
    <row r="8842" spans="1:3" ht="18" customHeight="1">
      <c r="A8842" t="str">
        <f>"77-3059-0000"</f>
        <v>77-3059-0000</v>
      </c>
      <c r="B8842" t="str">
        <f>"LM7 Content, Vir, Water Supply Eng"</f>
        <v>LM7 Content, Vir, Water Supply Eng</v>
      </c>
      <c r="C8842" t="str">
        <f t="shared" si="335"/>
        <v>Active</v>
      </c>
    </row>
    <row r="8843" spans="1:3" ht="18" customHeight="1">
      <c r="A8843" t="str">
        <f>"77-3060-0000"</f>
        <v>77-3060-0000</v>
      </c>
      <c r="B8843" t="str">
        <f>"LM7 Content, Vir, Pollution Control"</f>
        <v>LM7 Content, Vir, Pollution Control</v>
      </c>
      <c r="C8843" t="str">
        <f t="shared" si="335"/>
        <v>Active</v>
      </c>
    </row>
    <row r="8844" spans="1:3" ht="18" customHeight="1">
      <c r="A8844" t="str">
        <f>"77-3061-0000"</f>
        <v>77-3061-0000</v>
      </c>
      <c r="B8844" t="str">
        <f>"LM7 Content, Vir, Basic Pneumatics"</f>
        <v>LM7 Content, Vir, Basic Pneumatics</v>
      </c>
      <c r="C8844" t="str">
        <f t="shared" si="335"/>
        <v>Active</v>
      </c>
    </row>
    <row r="8845" spans="1:3" ht="18" customHeight="1">
      <c r="A8845" t="str">
        <f>"77-3062-0000"</f>
        <v>77-3062-0000</v>
      </c>
      <c r="B8845" t="str">
        <f>"LM7 Content, Vir, Advanced Pneumatics"</f>
        <v>LM7 Content, Vir, Advanced Pneumatics</v>
      </c>
      <c r="C8845" t="str">
        <f t="shared" ref="C8845:C8851" si="336">"Active"</f>
        <v>Active</v>
      </c>
    </row>
    <row r="8846" spans="1:3" ht="18" customHeight="1">
      <c r="A8846" t="str">
        <f>"77-3064-0000"</f>
        <v>77-3064-0000</v>
      </c>
      <c r="B8846" t="str">
        <f>"LM7 Content, Vir, Landscape Design"</f>
        <v>LM7 Content, Vir, Landscape Design</v>
      </c>
      <c r="C8846" t="str">
        <f t="shared" si="336"/>
        <v>Active</v>
      </c>
    </row>
    <row r="8847" spans="1:3" ht="18" customHeight="1">
      <c r="A8847" t="str">
        <f>"77-3065-0000"</f>
        <v>77-3065-0000</v>
      </c>
      <c r="B8847" t="str">
        <f>"LM7 Content, Lab/Vir, Mechanisms Intro to STEM"</f>
        <v>LM7 Content, Lab/Vir, Mechanisms Intro to STEM</v>
      </c>
      <c r="C8847" t="str">
        <f t="shared" si="336"/>
        <v>Active</v>
      </c>
    </row>
    <row r="8848" spans="1:3" ht="18" customHeight="1">
      <c r="A8848" t="str">
        <f>"77-3066-0000"</f>
        <v>77-3066-0000</v>
      </c>
      <c r="B8848" t="str">
        <f>"LM7 Content, Vir, Agricultural Animals"</f>
        <v>LM7 Content, Vir, Agricultural Animals</v>
      </c>
      <c r="C8848" t="str">
        <f t="shared" si="336"/>
        <v>Active</v>
      </c>
    </row>
    <row r="8849" spans="1:3" ht="18" customHeight="1">
      <c r="A8849" t="str">
        <f>"77-3067-0000"</f>
        <v>77-3067-0000</v>
      </c>
      <c r="B8849" t="str">
        <f>"LM7 Content, Vir, Agricultural Environment"</f>
        <v>LM7 Content, Vir, Agricultural Environment</v>
      </c>
      <c r="C8849" t="str">
        <f t="shared" si="336"/>
        <v>Active</v>
      </c>
    </row>
    <row r="8850" spans="1:3" ht="18" customHeight="1">
      <c r="A8850" t="str">
        <f>"77-3068-0000"</f>
        <v>77-3068-0000</v>
      </c>
      <c r="B8850" t="str">
        <f>"LM7 Content, Vir, Science of Agricultural Plants"</f>
        <v>LM7 Content, Vir, Science of Agricultural Plants</v>
      </c>
      <c r="C8850" t="str">
        <f t="shared" si="336"/>
        <v>Active</v>
      </c>
    </row>
    <row r="8851" spans="1:3" ht="18" customHeight="1">
      <c r="A8851" t="str">
        <f>"77-3090-0001"</f>
        <v>77-3090-0001</v>
      </c>
      <c r="B8851" t="str">
        <f>"LM7 Content, Vir, CNC Milling w/EXM"</f>
        <v>LM7 Content, Vir, CNC Milling w/EXM</v>
      </c>
      <c r="C8851" t="str">
        <f t="shared" si="336"/>
        <v>Active</v>
      </c>
    </row>
    <row r="8852" spans="1:3" ht="18" customHeight="1">
      <c r="A8852" t="str">
        <f>"77-3090-0002"</f>
        <v>77-3090-0002</v>
      </c>
      <c r="B8852" t="str">
        <f>"LM7 Content, Vir, CNC Milling w/EXM (M)"</f>
        <v>LM7 Content, Vir, CNC Milling w/EXM (M)</v>
      </c>
      <c r="C8852" t="str">
        <f>"New"</f>
        <v>New</v>
      </c>
    </row>
    <row r="8853" spans="1:3" ht="18" customHeight="1">
      <c r="A8853" t="str">
        <f>"77-3091-0001"</f>
        <v>77-3091-0001</v>
      </c>
      <c r="B8853" t="str">
        <f>"LM7 Content, Vir, CNC Milling w/SPLM"</f>
        <v>LM7 Content, Vir, CNC Milling w/SPLM</v>
      </c>
      <c r="C8853" t="str">
        <f>"Active"</f>
        <v>Active</v>
      </c>
    </row>
    <row r="8854" spans="1:3" ht="18" customHeight="1">
      <c r="A8854" t="str">
        <f>"77-3091-0002"</f>
        <v>77-3091-0002</v>
      </c>
      <c r="B8854" t="str">
        <f>"LM7 Content, Vir, CNC Milling w/SPLM (M)"</f>
        <v>LM7 Content, Vir, CNC Milling w/SPLM (M)</v>
      </c>
      <c r="C8854" t="str">
        <f>"New"</f>
        <v>New</v>
      </c>
    </row>
    <row r="8855" spans="1:3" ht="18" customHeight="1">
      <c r="A8855" t="str">
        <f>"77-3092-0000"</f>
        <v>77-3092-0000</v>
      </c>
      <c r="B8855" t="str">
        <f>"LM7 Content, Vir, Intro to easyC V4 for PIC"</f>
        <v>LM7 Content, Vir, Intro to easyC V4 for PIC</v>
      </c>
      <c r="C8855" t="str">
        <f>"New"</f>
        <v>New</v>
      </c>
    </row>
    <row r="8856" spans="1:3" ht="18" customHeight="1">
      <c r="A8856" t="str">
        <f>"77-3093-0000"</f>
        <v>77-3093-0000</v>
      </c>
      <c r="B8856" t="str">
        <f>"LM7 Content, Vir, Intro to easyC V4 forCortex"</f>
        <v>LM7 Content, Vir, Intro to easyC V4 forCortex</v>
      </c>
      <c r="C8856" t="str">
        <f>"Active"</f>
        <v>Active</v>
      </c>
    </row>
    <row r="8857" spans="1:3" ht="18" customHeight="1">
      <c r="A8857" t="str">
        <f>"77-3095-0000"</f>
        <v>77-3095-0000</v>
      </c>
      <c r="B8857" t="str">
        <f>"LM7 Content, Vir, Intro to Engineering"</f>
        <v>LM7 Content, Vir, Intro to Engineering</v>
      </c>
      <c r="C8857" t="str">
        <f>"Active"</f>
        <v>Active</v>
      </c>
    </row>
    <row r="8858" spans="1:3" ht="18" customHeight="1">
      <c r="A8858" t="str">
        <f>"77-3096-0000"</f>
        <v>77-3096-0000</v>
      </c>
      <c r="B8858" t="str">
        <f>"LM7 Content, Vir, Intro to Advanced Mfg"</f>
        <v>LM7 Content, Vir, Intro to Advanced Mfg</v>
      </c>
      <c r="C8858" t="str">
        <f>"Active"</f>
        <v>Active</v>
      </c>
    </row>
    <row r="8859" spans="1:3" ht="18" customHeight="1">
      <c r="A8859" t="str">
        <f>"77-3096-0000ES"</f>
        <v>77-3096-0000ES</v>
      </c>
      <c r="B8859" t="str">
        <f>"LM7 Content, ES, Vir, Intro to Advanced Mfg"</f>
        <v>LM7 Content, ES, Vir, Intro to Advanced Mfg</v>
      </c>
      <c r="C8859" t="str">
        <f>"Active"</f>
        <v>Active</v>
      </c>
    </row>
    <row r="8860" spans="1:3" ht="18" customHeight="1">
      <c r="A8860" t="str">
        <f>"77-3097-0000"</f>
        <v>77-3097-0000</v>
      </c>
      <c r="B8860" t="str">
        <f>"LM7 Content, Vir, Employability"</f>
        <v>LM7 Content, Vir, Employability</v>
      </c>
      <c r="C8860" t="str">
        <f>"Active"</f>
        <v>Active</v>
      </c>
    </row>
    <row r="8861" spans="1:3" ht="18" customHeight="1">
      <c r="A8861" t="str">
        <f>"77-3097-0010"</f>
        <v>77-3097-0010</v>
      </c>
      <c r="B8861" t="str">
        <f>"LM7 Content, Vir, Employability Workbook"</f>
        <v>LM7 Content, Vir, Employability Workbook</v>
      </c>
      <c r="C8861" t="str">
        <f>"New"</f>
        <v>New</v>
      </c>
    </row>
    <row r="8862" spans="1:3" ht="18" customHeight="1">
      <c r="A8862" t="str">
        <f>"77-3098-0001"</f>
        <v>77-3098-0001</v>
      </c>
      <c r="B8862" t="str">
        <f>"LM7 Content, Vir, Intro to Pro Engineer"</f>
        <v>LM7 Content, Vir, Intro to Pro Engineer</v>
      </c>
      <c r="C8862" t="str">
        <f t="shared" ref="C8862:C8893" si="337">"Active"</f>
        <v>Active</v>
      </c>
    </row>
    <row r="8863" spans="1:3" ht="18" customHeight="1">
      <c r="A8863" t="str">
        <f>"77-3099-0000"</f>
        <v>77-3099-0000</v>
      </c>
      <c r="B8863" t="str">
        <f>"LM7 Content, Vir, Rapid Prototyping"</f>
        <v>LM7 Content, Vir, Rapid Prototyping</v>
      </c>
      <c r="C8863" t="str">
        <f t="shared" si="337"/>
        <v>Active</v>
      </c>
    </row>
    <row r="8864" spans="1:3" ht="18" customHeight="1">
      <c r="A8864" t="str">
        <f>"77-3099-0000ES"</f>
        <v>77-3099-0000ES</v>
      </c>
      <c r="B8864" t="str">
        <f>"LM7 Content, ES, Vir, Rapid Prototyping"</f>
        <v>LM7 Content, ES, Vir, Rapid Prototyping</v>
      </c>
      <c r="C8864" t="str">
        <f t="shared" si="337"/>
        <v>Active</v>
      </c>
    </row>
    <row r="8865" spans="1:3" ht="18" customHeight="1">
      <c r="A8865" t="str">
        <f>"77-3101-0002"</f>
        <v>77-3101-0002</v>
      </c>
      <c r="B8865" t="str">
        <f>"LM7 Content, Vir, Intro to Greenhouse Agri"</f>
        <v>LM7 Content, Vir, Intro to Greenhouse Agri</v>
      </c>
      <c r="C8865" t="str">
        <f t="shared" si="337"/>
        <v>Active</v>
      </c>
    </row>
    <row r="8866" spans="1:3" ht="18" customHeight="1">
      <c r="A8866" t="str">
        <f>"77-3101-0002ES"</f>
        <v>77-3101-0002ES</v>
      </c>
      <c r="B8866" t="str">
        <f>"LM7 Content, ES, Vir, Intro to Greenhouse Agri"</f>
        <v>LM7 Content, ES, Vir, Intro to Greenhouse Agri</v>
      </c>
      <c r="C8866" t="str">
        <f t="shared" si="337"/>
        <v>Active</v>
      </c>
    </row>
    <row r="8867" spans="1:3" ht="18" customHeight="1">
      <c r="A8867" t="str">
        <f>"77-3102-0002"</f>
        <v>77-3102-0002</v>
      </c>
      <c r="B8867" t="str">
        <f>"LM7 Content, Vir, Soil in Agriculture"</f>
        <v>LM7 Content, Vir, Soil in Agriculture</v>
      </c>
      <c r="C8867" t="str">
        <f t="shared" si="337"/>
        <v>Active</v>
      </c>
    </row>
    <row r="8868" spans="1:3" ht="18" customHeight="1">
      <c r="A8868" t="str">
        <f>"77-3102-0002ES"</f>
        <v>77-3102-0002ES</v>
      </c>
      <c r="B8868" t="str">
        <f>"LM7 Content, ES, Vir, Soil in Agriculture"</f>
        <v>LM7 Content, ES, Vir, Soil in Agriculture</v>
      </c>
      <c r="C8868" t="str">
        <f t="shared" si="337"/>
        <v>Active</v>
      </c>
    </row>
    <row r="8869" spans="1:3" ht="18" customHeight="1">
      <c r="A8869" t="str">
        <f>"77-3103-0002"</f>
        <v>77-3103-0002</v>
      </c>
      <c r="B8869" t="str">
        <f>"LM7 Content, Vir, Intro to Irrigation"</f>
        <v>LM7 Content, Vir, Intro to Irrigation</v>
      </c>
      <c r="C8869" t="str">
        <f t="shared" si="337"/>
        <v>Active</v>
      </c>
    </row>
    <row r="8870" spans="1:3" ht="18" customHeight="1">
      <c r="A8870" t="str">
        <f>"77-3103-0002ES"</f>
        <v>77-3103-0002ES</v>
      </c>
      <c r="B8870" t="str">
        <f>"LM7 Content, ES, Vir, Intro to Irrigation"</f>
        <v>LM7 Content, ES, Vir, Intro to Irrigation</v>
      </c>
      <c r="C8870" t="str">
        <f t="shared" si="337"/>
        <v>Active</v>
      </c>
    </row>
    <row r="8871" spans="1:3" ht="18" customHeight="1">
      <c r="A8871" t="str">
        <f>"77-3104-0002"</f>
        <v>77-3104-0002</v>
      </c>
      <c r="B8871" t="str">
        <f>"LM7 Content, Vir, Adv Irrigation Systems"</f>
        <v>LM7 Content, Vir, Adv Irrigation Systems</v>
      </c>
      <c r="C8871" t="str">
        <f t="shared" si="337"/>
        <v>Active</v>
      </c>
    </row>
    <row r="8872" spans="1:3" ht="18" customHeight="1">
      <c r="A8872" t="str">
        <f>"77-3104-0002ES"</f>
        <v>77-3104-0002ES</v>
      </c>
      <c r="B8872" t="str">
        <f>"LM7 Content, ES, Vir, Adv. Irrigation Systems"</f>
        <v>LM7 Content, ES, Vir, Adv. Irrigation Systems</v>
      </c>
      <c r="C8872" t="str">
        <f t="shared" si="337"/>
        <v>Active</v>
      </c>
    </row>
    <row r="8873" spans="1:3" ht="18" customHeight="1">
      <c r="A8873" t="str">
        <f>"77-3105-0001"</f>
        <v>77-3105-0001</v>
      </c>
      <c r="B8873" t="str">
        <f>"LM7 Content, Vir, CNC Milling w/Fanuc"</f>
        <v>LM7 Content, Vir, CNC Milling w/Fanuc</v>
      </c>
      <c r="C8873" t="str">
        <f t="shared" si="337"/>
        <v>Active</v>
      </c>
    </row>
    <row r="8874" spans="1:3" ht="18" customHeight="1">
      <c r="A8874" t="str">
        <f>"77-3108-0002"</f>
        <v>77-3108-0002</v>
      </c>
      <c r="B8874" t="str">
        <f>"LM7 Content, Vir, Intro to Solidworks"</f>
        <v>LM7 Content, Vir, Intro to Solidworks</v>
      </c>
      <c r="C8874" t="str">
        <f t="shared" si="337"/>
        <v>Active</v>
      </c>
    </row>
    <row r="8875" spans="1:3" ht="18" customHeight="1">
      <c r="A8875" t="str">
        <f>"77-3108-0002PT"</f>
        <v>77-3108-0002PT</v>
      </c>
      <c r="B8875" t="str">
        <f>"LM7 Content, PT, Vir, Intro to Solidworks"</f>
        <v>LM7 Content, PT, Vir, Intro to Solidworks</v>
      </c>
      <c r="C8875" t="str">
        <f t="shared" si="337"/>
        <v>Active</v>
      </c>
    </row>
    <row r="8876" spans="1:3" ht="18" customHeight="1">
      <c r="A8876" t="str">
        <f>"77-3109-0000"</f>
        <v>77-3109-0000</v>
      </c>
      <c r="B8876" t="str">
        <f>"LM7 Content, Vir, Lean Manufacturing"</f>
        <v>LM7 Content, Vir, Lean Manufacturing</v>
      </c>
      <c r="C8876" t="str">
        <f t="shared" si="337"/>
        <v>Active</v>
      </c>
    </row>
    <row r="8877" spans="1:3" ht="18" customHeight="1">
      <c r="A8877" t="str">
        <f>"77-3112-0002"</f>
        <v>77-3112-0002</v>
      </c>
      <c r="B8877" t="str">
        <f>"LM7 Content, Vir, Fundamentals of Physics"</f>
        <v>LM7 Content, Vir, Fundamentals of Physics</v>
      </c>
      <c r="C8877" t="str">
        <f t="shared" si="337"/>
        <v>Active</v>
      </c>
    </row>
    <row r="8878" spans="1:3" ht="18" customHeight="1">
      <c r="A8878" t="str">
        <f>"77-3112-0002ES"</f>
        <v>77-3112-0002ES</v>
      </c>
      <c r="B8878" t="str">
        <f>"LM7 Content, ES, Vir, Fundamentals of Physics"</f>
        <v>LM7 Content, ES, Vir, Fundamentals of Physics</v>
      </c>
      <c r="C8878" t="str">
        <f t="shared" si="337"/>
        <v>Active</v>
      </c>
    </row>
    <row r="8879" spans="1:3" ht="18" customHeight="1">
      <c r="A8879" t="str">
        <f>"77-3113-0002"</f>
        <v>77-3113-0002</v>
      </c>
      <c r="B8879" t="str">
        <f>"LM7 Content, Vir,  Kinematics"</f>
        <v>LM7 Content, Vir,  Kinematics</v>
      </c>
      <c r="C8879" t="str">
        <f t="shared" si="337"/>
        <v>Active</v>
      </c>
    </row>
    <row r="8880" spans="1:3" ht="18" customHeight="1">
      <c r="A8880" t="str">
        <f>"77-3113-0002ES"</f>
        <v>77-3113-0002ES</v>
      </c>
      <c r="B8880" t="str">
        <f>"LM7 Content, ES, Vir, Kinematics"</f>
        <v>LM7 Content, ES, Vir, Kinematics</v>
      </c>
      <c r="C8880" t="str">
        <f t="shared" si="337"/>
        <v>Active</v>
      </c>
    </row>
    <row r="8881" spans="1:3" ht="18" customHeight="1">
      <c r="A8881" t="str">
        <f>"77-3114-0002"</f>
        <v>77-3114-0002</v>
      </c>
      <c r="B8881" t="str">
        <f>"LM7 Content, Vir, Forces"</f>
        <v>LM7 Content, Vir, Forces</v>
      </c>
      <c r="C8881" t="str">
        <f t="shared" si="337"/>
        <v>Active</v>
      </c>
    </row>
    <row r="8882" spans="1:3" ht="18" customHeight="1">
      <c r="A8882" t="str">
        <f>"77-3114-0002ES"</f>
        <v>77-3114-0002ES</v>
      </c>
      <c r="B8882" t="str">
        <f>"LM7 Content, ES, Vir, Forces"</f>
        <v>LM7 Content, ES, Vir, Forces</v>
      </c>
      <c r="C8882" t="str">
        <f t="shared" si="337"/>
        <v>Active</v>
      </c>
    </row>
    <row r="8883" spans="1:3" ht="18" customHeight="1">
      <c r="A8883" t="str">
        <f>"77-3115-0002"</f>
        <v>77-3115-0002</v>
      </c>
      <c r="B8883" t="str">
        <f>"LM7 Content, Vir, Momentum and Energy"</f>
        <v>LM7 Content, Vir, Momentum and Energy</v>
      </c>
      <c r="C8883" t="str">
        <f t="shared" si="337"/>
        <v>Active</v>
      </c>
    </row>
    <row r="8884" spans="1:3" ht="18" customHeight="1">
      <c r="A8884" t="str">
        <f>"77-3115-0002ES"</f>
        <v>77-3115-0002ES</v>
      </c>
      <c r="B8884" t="str">
        <f>"LM7 Content, ES, Vir, Momentum and Energy"</f>
        <v>LM7 Content, ES, Vir, Momentum and Energy</v>
      </c>
      <c r="C8884" t="str">
        <f t="shared" si="337"/>
        <v>Active</v>
      </c>
    </row>
    <row r="8885" spans="1:3" ht="18" customHeight="1">
      <c r="A8885" t="str">
        <f>"77-3116-0002"</f>
        <v>77-3116-0002</v>
      </c>
      <c r="B8885" t="str">
        <f>"LM7 Content, Vir, Electricity"</f>
        <v>LM7 Content, Vir, Electricity</v>
      </c>
      <c r="C8885" t="str">
        <f t="shared" si="337"/>
        <v>Active</v>
      </c>
    </row>
    <row r="8886" spans="1:3" ht="18" customHeight="1">
      <c r="A8886" t="str">
        <f>"77-3116-0002ES"</f>
        <v>77-3116-0002ES</v>
      </c>
      <c r="B8886" t="str">
        <f>"LM7 Content, ES, Vir, Electricity"</f>
        <v>LM7 Content, ES, Vir, Electricity</v>
      </c>
      <c r="C8886" t="str">
        <f t="shared" si="337"/>
        <v>Active</v>
      </c>
    </row>
    <row r="8887" spans="1:3" ht="18" customHeight="1">
      <c r="A8887" t="str">
        <f>"77-3117-0000"</f>
        <v>77-3117-0000</v>
      </c>
      <c r="B8887" t="str">
        <f>"LM7 Content, Vir, Atomic Structure"</f>
        <v>LM7 Content, Vir, Atomic Structure</v>
      </c>
      <c r="C8887" t="str">
        <f t="shared" si="337"/>
        <v>Active</v>
      </c>
    </row>
    <row r="8888" spans="1:3" ht="18" customHeight="1">
      <c r="A8888" t="str">
        <f>"77-3117-0000ES"</f>
        <v>77-3117-0000ES</v>
      </c>
      <c r="B8888" t="str">
        <f>"LM7 Content, ES, Vir, Elements and Chemicals"</f>
        <v>LM7 Content, ES, Vir, Elements and Chemicals</v>
      </c>
      <c r="C8888" t="str">
        <f t="shared" si="337"/>
        <v>Active</v>
      </c>
    </row>
    <row r="8889" spans="1:3" ht="18" customHeight="1">
      <c r="A8889" t="str">
        <f>"77-3118-0000"</f>
        <v>77-3118-0000</v>
      </c>
      <c r="B8889" t="str">
        <f>"LM7 Content, Vir, Substance Quan&amp; Kinetic Theory"</f>
        <v>LM7 Content, Vir, Substance Quan&amp; Kinetic Theory</v>
      </c>
      <c r="C8889" t="str">
        <f t="shared" si="337"/>
        <v>Active</v>
      </c>
    </row>
    <row r="8890" spans="1:3" ht="18" customHeight="1">
      <c r="A8890" t="str">
        <f>"77-3118-0000ES"</f>
        <v>77-3118-0000ES</v>
      </c>
      <c r="B8890" t="str">
        <f>"LM7 Content, ES, Vir, States of Matter"</f>
        <v>LM7 Content, ES, Vir, States of Matter</v>
      </c>
      <c r="C8890" t="str">
        <f t="shared" si="337"/>
        <v>Active</v>
      </c>
    </row>
    <row r="8891" spans="1:3" ht="18" customHeight="1">
      <c r="A8891" t="str">
        <f>"77-3119-0000"</f>
        <v>77-3119-0000</v>
      </c>
      <c r="B8891" t="str">
        <f>"LM7 Content, Vir, Chemical Solutions"</f>
        <v>LM7 Content, Vir, Chemical Solutions</v>
      </c>
      <c r="C8891" t="str">
        <f t="shared" si="337"/>
        <v>Active</v>
      </c>
    </row>
    <row r="8892" spans="1:3" ht="18" customHeight="1">
      <c r="A8892" t="str">
        <f>"77-3119-0000ES"</f>
        <v>77-3119-0000ES</v>
      </c>
      <c r="B8892" t="str">
        <f>"LM7 Content, ES, Vir, Chemical Solutions"</f>
        <v>LM7 Content, ES, Vir, Chemical Solutions</v>
      </c>
      <c r="C8892" t="str">
        <f t="shared" si="337"/>
        <v>Active</v>
      </c>
    </row>
    <row r="8893" spans="1:3" ht="18" customHeight="1">
      <c r="A8893" t="str">
        <f>"77-3120-0000"</f>
        <v>77-3120-0000</v>
      </c>
      <c r="B8893" t="str">
        <f>"LM7 Content, Vir, Chemical Reactions"</f>
        <v>LM7 Content, Vir, Chemical Reactions</v>
      </c>
      <c r="C8893" t="str">
        <f t="shared" si="337"/>
        <v>Active</v>
      </c>
    </row>
    <row r="8894" spans="1:3" ht="18" customHeight="1">
      <c r="A8894" t="str">
        <f>"77-3120-0000ES"</f>
        <v>77-3120-0000ES</v>
      </c>
      <c r="B8894" t="str">
        <f>"LM7 Content, ES, Vir, Chemical Reactions"</f>
        <v>LM7 Content, ES, Vir, Chemical Reactions</v>
      </c>
      <c r="C8894" t="str">
        <f t="shared" ref="C8894:C8925" si="338">"Active"</f>
        <v>Active</v>
      </c>
    </row>
    <row r="8895" spans="1:3" ht="18" customHeight="1">
      <c r="A8895" t="str">
        <f>"77-3121-0000"</f>
        <v>77-3121-0000</v>
      </c>
      <c r="B8895" t="str">
        <f>"LM7 Content, Vir, Introduction to Chemistry"</f>
        <v>LM7 Content, Vir, Introduction to Chemistry</v>
      </c>
      <c r="C8895" t="str">
        <f t="shared" si="338"/>
        <v>Active</v>
      </c>
    </row>
    <row r="8896" spans="1:3" ht="18" customHeight="1">
      <c r="A8896" t="str">
        <f>"77-3121-0000ES"</f>
        <v>77-3121-0000ES</v>
      </c>
      <c r="B8896" t="str">
        <f>"LM7 Content, ES, Vir, Chemical Equi. &amp; Stoich."</f>
        <v>LM7 Content, ES, Vir, Chemical Equi. &amp; Stoich.</v>
      </c>
      <c r="C8896" t="str">
        <f t="shared" si="338"/>
        <v>Active</v>
      </c>
    </row>
    <row r="8897" spans="1:3" ht="18" customHeight="1">
      <c r="A8897" t="str">
        <f>"77-3122-0000"</f>
        <v>77-3122-0000</v>
      </c>
      <c r="B8897" t="str">
        <f>"LM7 Content, Vir, Biodiversity"</f>
        <v>LM7 Content, Vir, Biodiversity</v>
      </c>
      <c r="C8897" t="str">
        <f t="shared" si="338"/>
        <v>Active</v>
      </c>
    </row>
    <row r="8898" spans="1:3" ht="18" customHeight="1">
      <c r="A8898" t="str">
        <f>"77-3122-0000ES"</f>
        <v>77-3122-0000ES</v>
      </c>
      <c r="B8898" t="str">
        <f>"LM7 Content, ES, Vir, Biodiversity"</f>
        <v>LM7 Content, ES, Vir, Biodiversity</v>
      </c>
      <c r="C8898" t="str">
        <f t="shared" si="338"/>
        <v>Active</v>
      </c>
    </row>
    <row r="8899" spans="1:3" ht="18" customHeight="1">
      <c r="A8899" t="str">
        <f>"77-3123-0000"</f>
        <v>77-3123-0000</v>
      </c>
      <c r="B8899" t="str">
        <f>"LM7 Content, Vir, Human Body Systems"</f>
        <v>LM7 Content, Vir, Human Body Systems</v>
      </c>
      <c r="C8899" t="str">
        <f t="shared" si="338"/>
        <v>Active</v>
      </c>
    </row>
    <row r="8900" spans="1:3" ht="18" customHeight="1">
      <c r="A8900" t="str">
        <f>"77-3123-0000ES"</f>
        <v>77-3123-0000ES</v>
      </c>
      <c r="B8900" t="str">
        <f>"LM7 Content, ES, Vir, Human Body Systems"</f>
        <v>LM7 Content, ES, Vir, Human Body Systems</v>
      </c>
      <c r="C8900" t="str">
        <f t="shared" si="338"/>
        <v>Active</v>
      </c>
    </row>
    <row r="8901" spans="1:3" ht="18" customHeight="1">
      <c r="A8901" t="str">
        <f>"77-3124-0000"</f>
        <v>77-3124-0000</v>
      </c>
      <c r="B8901" t="str">
        <f>"LM7 Content, Vir, Botany"</f>
        <v>LM7 Content, Vir, Botany</v>
      </c>
      <c r="C8901" t="str">
        <f t="shared" si="338"/>
        <v>Active</v>
      </c>
    </row>
    <row r="8902" spans="1:3" ht="18" customHeight="1">
      <c r="A8902" t="str">
        <f>"77-3124-0000ES"</f>
        <v>77-3124-0000ES</v>
      </c>
      <c r="B8902" t="str">
        <f>"LM7 Content, ES, Vir, Botany"</f>
        <v>LM7 Content, ES, Vir, Botany</v>
      </c>
      <c r="C8902" t="str">
        <f t="shared" si="338"/>
        <v>Active</v>
      </c>
    </row>
    <row r="8903" spans="1:3" ht="18" customHeight="1">
      <c r="A8903" t="str">
        <f>"77-3125-0000"</f>
        <v>77-3125-0000</v>
      </c>
      <c r="B8903" t="str">
        <f>"LM7 Content, Vir, Zoology"</f>
        <v>LM7 Content, Vir, Zoology</v>
      </c>
      <c r="C8903" t="str">
        <f t="shared" si="338"/>
        <v>Active</v>
      </c>
    </row>
    <row r="8904" spans="1:3" ht="18" customHeight="1">
      <c r="A8904" t="str">
        <f>"77-3125-0000ES"</f>
        <v>77-3125-0000ES</v>
      </c>
      <c r="B8904" t="str">
        <f>"LM7 Content, ES, Vir, Zoology"</f>
        <v>LM7 Content, ES, Vir, Zoology</v>
      </c>
      <c r="C8904" t="str">
        <f t="shared" si="338"/>
        <v>Active</v>
      </c>
    </row>
    <row r="8905" spans="1:3" ht="18" customHeight="1">
      <c r="A8905" t="str">
        <f>"77-3126-0000"</f>
        <v>77-3126-0000</v>
      </c>
      <c r="B8905" t="str">
        <f>"LM7 Content, Vir, Genetics"</f>
        <v>LM7 Content, Vir, Genetics</v>
      </c>
      <c r="C8905" t="str">
        <f t="shared" si="338"/>
        <v>Active</v>
      </c>
    </row>
    <row r="8906" spans="1:3" ht="18" customHeight="1">
      <c r="A8906" t="str">
        <f>"77-3126-0000ES"</f>
        <v>77-3126-0000ES</v>
      </c>
      <c r="B8906" t="str">
        <f>"LM7 Content, ES, Vir, Genetics"</f>
        <v>LM7 Content, ES, Vir, Genetics</v>
      </c>
      <c r="C8906" t="str">
        <f t="shared" si="338"/>
        <v>Active</v>
      </c>
    </row>
    <row r="8907" spans="1:3" ht="18" customHeight="1">
      <c r="A8907" t="str">
        <f>"77-3127-0000"</f>
        <v>77-3127-0000</v>
      </c>
      <c r="B8907" t="str">
        <f>"LM7 Content, Vir, Electrical Fields"</f>
        <v>LM7 Content, Vir, Electrical Fields</v>
      </c>
      <c r="C8907" t="str">
        <f t="shared" si="338"/>
        <v>Active</v>
      </c>
    </row>
    <row r="8908" spans="1:3" ht="18" customHeight="1">
      <c r="A8908" t="str">
        <f>"77-3127-0000ES"</f>
        <v>77-3127-0000ES</v>
      </c>
      <c r="B8908" t="str">
        <f>"LM7 Content, ES, Vir, Electrical Fields"</f>
        <v>LM7 Content, ES, Vir, Electrical Fields</v>
      </c>
      <c r="C8908" t="str">
        <f t="shared" si="338"/>
        <v>Active</v>
      </c>
    </row>
    <row r="8909" spans="1:3" ht="18" customHeight="1">
      <c r="A8909" t="str">
        <f>"77-3128-0000"</f>
        <v>77-3128-0000</v>
      </c>
      <c r="B8909" t="str">
        <f>"LM7 Content, Vir, Magnetic Fields"</f>
        <v>LM7 Content, Vir, Magnetic Fields</v>
      </c>
      <c r="C8909" t="str">
        <f t="shared" si="338"/>
        <v>Active</v>
      </c>
    </row>
    <row r="8910" spans="1:3" ht="18" customHeight="1">
      <c r="A8910" t="str">
        <f>"77-3128-0000ES"</f>
        <v>77-3128-0000ES</v>
      </c>
      <c r="B8910" t="str">
        <f>"LM7 Content, ES, Vir, Magnetic Fields"</f>
        <v>LM7 Content, ES, Vir, Magnetic Fields</v>
      </c>
      <c r="C8910" t="str">
        <f t="shared" si="338"/>
        <v>Active</v>
      </c>
    </row>
    <row r="8911" spans="1:3" ht="18" customHeight="1">
      <c r="A8911" t="str">
        <f>"77-3129-0000"</f>
        <v>77-3129-0000</v>
      </c>
      <c r="B8911" t="str">
        <f>"LM7 Content, Vir, Thermochemistry"</f>
        <v>LM7 Content, Vir, Thermochemistry</v>
      </c>
      <c r="C8911" t="str">
        <f t="shared" si="338"/>
        <v>Active</v>
      </c>
    </row>
    <row r="8912" spans="1:3" ht="18" customHeight="1">
      <c r="A8912" t="str">
        <f>"77-3129-0000ES"</f>
        <v>77-3129-0000ES</v>
      </c>
      <c r="B8912" t="str">
        <f>"LM7 Content, ES, Vir, Thermochemistry"</f>
        <v>LM7 Content, ES, Vir, Thermochemistry</v>
      </c>
      <c r="C8912" t="str">
        <f t="shared" si="338"/>
        <v>Active</v>
      </c>
    </row>
    <row r="8913" spans="1:3" ht="18" customHeight="1">
      <c r="A8913" t="str">
        <f>"77-3130-0000"</f>
        <v>77-3130-0000</v>
      </c>
      <c r="B8913" t="str">
        <f>"LM7 Content, Vir,  The Cell"</f>
        <v>LM7 Content, Vir,  The Cell</v>
      </c>
      <c r="C8913" t="str">
        <f t="shared" si="338"/>
        <v>Active</v>
      </c>
    </row>
    <row r="8914" spans="1:3" ht="18" customHeight="1">
      <c r="A8914" t="str">
        <f>"77-3130-0000ES"</f>
        <v>77-3130-0000ES</v>
      </c>
      <c r="B8914" t="str">
        <f>"LM7 Content, ES, Vir, The Cell"</f>
        <v>LM7 Content, ES, Vir, The Cell</v>
      </c>
      <c r="C8914" t="str">
        <f t="shared" si="338"/>
        <v>Active</v>
      </c>
    </row>
    <row r="8915" spans="1:3" ht="18" customHeight="1">
      <c r="A8915" t="str">
        <f>"77-3131-0000"</f>
        <v>77-3131-0000</v>
      </c>
      <c r="B8915" t="str">
        <f>"LM7 Content, Vir, Cellular Process &amp; Divis"</f>
        <v>LM7 Content, Vir, Cellular Process &amp; Divis</v>
      </c>
      <c r="C8915" t="str">
        <f t="shared" si="338"/>
        <v>Active</v>
      </c>
    </row>
    <row r="8916" spans="1:3" ht="18" customHeight="1">
      <c r="A8916" t="str">
        <f>"77-3131-0000ES"</f>
        <v>77-3131-0000ES</v>
      </c>
      <c r="B8916" t="str">
        <f>"LM7 Content, ES, Vir, Cellular Process &amp; Divis"</f>
        <v>LM7 Content, ES, Vir, Cellular Process &amp; Divis</v>
      </c>
      <c r="C8916" t="str">
        <f t="shared" si="338"/>
        <v>Active</v>
      </c>
    </row>
    <row r="8917" spans="1:3" ht="18" customHeight="1">
      <c r="A8917" t="str">
        <f>"77-3132-0000"</f>
        <v>77-3132-0000</v>
      </c>
      <c r="B8917" t="str">
        <f>"LM7 Content, Vir, Organic Chemistry (1)"</f>
        <v>LM7 Content, Vir, Organic Chemistry (1)</v>
      </c>
      <c r="C8917" t="str">
        <f t="shared" si="338"/>
        <v>Active</v>
      </c>
    </row>
    <row r="8918" spans="1:3" ht="18" customHeight="1">
      <c r="A8918" t="str">
        <f>"77-3132-0000ES"</f>
        <v>77-3132-0000ES</v>
      </c>
      <c r="B8918" t="str">
        <f>"LM7 Content, ES, Vir, Organic Chemistry (1)"</f>
        <v>LM7 Content, ES, Vir, Organic Chemistry (1)</v>
      </c>
      <c r="C8918" t="str">
        <f t="shared" si="338"/>
        <v>Active</v>
      </c>
    </row>
    <row r="8919" spans="1:3" ht="18" customHeight="1">
      <c r="A8919" t="str">
        <f>"77-3133-0000"</f>
        <v>77-3133-0000</v>
      </c>
      <c r="B8919" t="str">
        <f>"LM7 Content, Vir, Organic Chemistry (2)"</f>
        <v>LM7 Content, Vir, Organic Chemistry (2)</v>
      </c>
      <c r="C8919" t="str">
        <f t="shared" si="338"/>
        <v>Active</v>
      </c>
    </row>
    <row r="8920" spans="1:3" ht="18" customHeight="1">
      <c r="A8920" t="str">
        <f>"77-3133-0000ES"</f>
        <v>77-3133-0000ES</v>
      </c>
      <c r="B8920" t="str">
        <f>"LM7 Content, ES, Vir, Organic Chemistry (2)"</f>
        <v>LM7 Content, ES, Vir, Organic Chemistry (2)</v>
      </c>
      <c r="C8920" t="str">
        <f t="shared" si="338"/>
        <v>Active</v>
      </c>
    </row>
    <row r="8921" spans="1:3" ht="18" customHeight="1">
      <c r="A8921" t="str">
        <f>"77-3134-0000"</f>
        <v>77-3134-0000</v>
      </c>
      <c r="B8921" t="str">
        <f>"LM7 Content, Vir, Dynamics &amp; Thermodynamic"</f>
        <v>LM7 Content, Vir, Dynamics &amp; Thermodynamic</v>
      </c>
      <c r="C8921" t="str">
        <f t="shared" si="338"/>
        <v>Active</v>
      </c>
    </row>
    <row r="8922" spans="1:3" ht="18" customHeight="1">
      <c r="A8922" t="str">
        <f>"77-3134-0000ES"</f>
        <v>77-3134-0000ES</v>
      </c>
      <c r="B8922" t="str">
        <f>"LM7 Content, ES, Vir, Dynamics &amp; Thermodynamic"</f>
        <v>LM7 Content, ES, Vir, Dynamics &amp; Thermodynamic</v>
      </c>
      <c r="C8922" t="str">
        <f t="shared" si="338"/>
        <v>Active</v>
      </c>
    </row>
    <row r="8923" spans="1:3" ht="18" customHeight="1">
      <c r="A8923" t="str">
        <f>"77-3135-0000"</f>
        <v>77-3135-0000</v>
      </c>
      <c r="B8923" t="str">
        <f>"LM7 Content, Vir, Mathematics - A"</f>
        <v>LM7 Content, Vir, Mathematics - A</v>
      </c>
      <c r="C8923" t="str">
        <f t="shared" si="338"/>
        <v>Active</v>
      </c>
    </row>
    <row r="8924" spans="1:3" ht="18" customHeight="1">
      <c r="A8924" t="str">
        <f>"77-3135-0000ES"</f>
        <v>77-3135-0000ES</v>
      </c>
      <c r="B8924" t="str">
        <f>"LM7 Content, ES, Vir, Mathematics - A"</f>
        <v>LM7 Content, ES, Vir, Mathematics - A</v>
      </c>
      <c r="C8924" t="str">
        <f t="shared" si="338"/>
        <v>Active</v>
      </c>
    </row>
    <row r="8925" spans="1:3" ht="18" customHeight="1">
      <c r="A8925" t="str">
        <f>"77-3136-0000"</f>
        <v>77-3136-0000</v>
      </c>
      <c r="B8925" t="str">
        <f>"LM7 Content, Vir, Mathematics - B"</f>
        <v>LM7 Content, Vir, Mathematics - B</v>
      </c>
      <c r="C8925" t="str">
        <f t="shared" si="338"/>
        <v>Active</v>
      </c>
    </row>
    <row r="8926" spans="1:3" ht="18" customHeight="1">
      <c r="A8926" t="str">
        <f>"77-3136-0000ES"</f>
        <v>77-3136-0000ES</v>
      </c>
      <c r="B8926" t="str">
        <f>"LM7 Content, ES, Vir, Mathematics - B"</f>
        <v>LM7 Content, ES, Vir, Mathematics - B</v>
      </c>
      <c r="C8926" t="str">
        <f t="shared" ref="C8926:C8934" si="339">"Active"</f>
        <v>Active</v>
      </c>
    </row>
    <row r="8927" spans="1:3" ht="18" customHeight="1">
      <c r="A8927" t="str">
        <f>"77-3137-0000"</f>
        <v>77-3137-0000</v>
      </c>
      <c r="B8927" t="str">
        <f>"LM7 Content, Vir, Mathematics - C"</f>
        <v>LM7 Content, Vir, Mathematics - C</v>
      </c>
      <c r="C8927" t="str">
        <f t="shared" si="339"/>
        <v>Active</v>
      </c>
    </row>
    <row r="8928" spans="1:3" ht="18" customHeight="1">
      <c r="A8928" t="str">
        <f>"77-3137-0000ES"</f>
        <v>77-3137-0000ES</v>
      </c>
      <c r="B8928" t="str">
        <f>"LM7 Content, ES, Vir, Mathematics - C"</f>
        <v>LM7 Content, ES, Vir, Mathematics - C</v>
      </c>
      <c r="C8928" t="str">
        <f t="shared" si="339"/>
        <v>Active</v>
      </c>
    </row>
    <row r="8929" spans="1:3" ht="18" customHeight="1">
      <c r="A8929" t="str">
        <f>"77-3138-0000"</f>
        <v>77-3138-0000</v>
      </c>
      <c r="B8929" t="str">
        <f>"LM7 Content, Vir, Algebra - A"</f>
        <v>LM7 Content, Vir, Algebra - A</v>
      </c>
      <c r="C8929" t="str">
        <f t="shared" si="339"/>
        <v>Active</v>
      </c>
    </row>
    <row r="8930" spans="1:3" ht="18" customHeight="1">
      <c r="A8930" t="str">
        <f>"77-3138-0000ES"</f>
        <v>77-3138-0000ES</v>
      </c>
      <c r="B8930" t="str">
        <f>"LM7 Content, ES, Vir, Algebra - A"</f>
        <v>LM7 Content, ES, Vir, Algebra - A</v>
      </c>
      <c r="C8930" t="str">
        <f t="shared" si="339"/>
        <v>Active</v>
      </c>
    </row>
    <row r="8931" spans="1:3" ht="18" customHeight="1">
      <c r="A8931" t="str">
        <f>"77-3139-0000"</f>
        <v>77-3139-0000</v>
      </c>
      <c r="B8931" t="str">
        <f>"LM7 Content, Vir, Algebra - B"</f>
        <v>LM7 Content, Vir, Algebra - B</v>
      </c>
      <c r="C8931" t="str">
        <f t="shared" si="339"/>
        <v>Active</v>
      </c>
    </row>
    <row r="8932" spans="1:3" ht="18" customHeight="1">
      <c r="A8932" t="str">
        <f>"77-3139-0000ES"</f>
        <v>77-3139-0000ES</v>
      </c>
      <c r="B8932" t="str">
        <f>"LM7 Content, ES, Vir, Algebra - B"</f>
        <v>LM7 Content, ES, Vir, Algebra - B</v>
      </c>
      <c r="C8932" t="str">
        <f t="shared" si="339"/>
        <v>Active</v>
      </c>
    </row>
    <row r="8933" spans="1:3" ht="18" customHeight="1">
      <c r="A8933" t="str">
        <f>"77-3140-0001"</f>
        <v>77-3140-0001</v>
      </c>
      <c r="B8933" t="str">
        <f>"LM7 Content, Vir, CNC Milling w/BenchMill 6000"</f>
        <v>LM7 Content, Vir, CNC Milling w/BenchMill 6000</v>
      </c>
      <c r="C8933" t="str">
        <f t="shared" si="339"/>
        <v>Active</v>
      </c>
    </row>
    <row r="8934" spans="1:3" ht="18" customHeight="1">
      <c r="A8934" t="str">
        <f>"77-3140-0002"</f>
        <v>77-3140-0002</v>
      </c>
      <c r="B8934" t="str">
        <f>"LM7 Content, Vir, CNCMilling w/BenchMill 6000(M)"</f>
        <v>LM7 Content, Vir, CNCMilling w/BenchMill 6000(M)</v>
      </c>
      <c r="C8934" t="str">
        <f t="shared" si="339"/>
        <v>Active</v>
      </c>
    </row>
    <row r="8935" spans="1:3" ht="18" customHeight="1">
      <c r="A8935" t="str">
        <f>"77-3140-0002ES"</f>
        <v>77-3140-0002ES</v>
      </c>
      <c r="B8935" t="str">
        <f>"LM7 Content,ES,Vir,CNCMilling, BenchMill 6000(M)"</f>
        <v>LM7 Content,ES,Vir,CNCMilling, BenchMill 6000(M)</v>
      </c>
      <c r="C8935" t="str">
        <f>"New"</f>
        <v>New</v>
      </c>
    </row>
    <row r="8936" spans="1:3" ht="18" customHeight="1">
      <c r="A8936" t="str">
        <f>"77-3140-0002PT"</f>
        <v>77-3140-0002PT</v>
      </c>
      <c r="B8936" t="str">
        <f>"LM7 Content, PT, Vir,CNCMilling BenchMill6000(M)"</f>
        <v>LM7 Content, PT, Vir,CNCMilling BenchMill6000(M)</v>
      </c>
      <c r="C8936" t="str">
        <f>"New"</f>
        <v>New</v>
      </c>
    </row>
    <row r="8937" spans="1:3" ht="18" customHeight="1">
      <c r="A8937" t="str">
        <f>"77-3141-0001"</f>
        <v>77-3141-0001</v>
      </c>
      <c r="B8937" t="str">
        <f>"LM7 Content, Vir, CNC Turning w/BenchTurn 7000"</f>
        <v>LM7 Content, Vir, CNC Turning w/BenchTurn 7000</v>
      </c>
      <c r="C8937" t="str">
        <f>"Active"</f>
        <v>Active</v>
      </c>
    </row>
    <row r="8938" spans="1:3" ht="18" customHeight="1">
      <c r="A8938" t="str">
        <f>"77-3141-0002"</f>
        <v>77-3141-0002</v>
      </c>
      <c r="B8938" t="str">
        <f>"LM7 Content, Vir, CNCTurning w/BenchTurn 7000(M)"</f>
        <v>LM7 Content, Vir, CNCTurning w/BenchTurn 7000(M)</v>
      </c>
      <c r="C8938" t="str">
        <f>"Active"</f>
        <v>Active</v>
      </c>
    </row>
    <row r="8939" spans="1:3" ht="18" customHeight="1">
      <c r="A8939" t="str">
        <f>"77-3141-0002ES"</f>
        <v>77-3141-0002ES</v>
      </c>
      <c r="B8939" t="str">
        <f>"LM7 Content,ES,Vir,CNCTurning, BenchTurn 7000(M)"</f>
        <v>LM7 Content,ES,Vir,CNCTurning, BenchTurn 7000(M)</v>
      </c>
      <c r="C8939" t="str">
        <f>"Active"</f>
        <v>Active</v>
      </c>
    </row>
    <row r="8940" spans="1:3" ht="18" customHeight="1">
      <c r="A8940" t="str">
        <f>"77-3141-0002PT"</f>
        <v>77-3141-0002PT</v>
      </c>
      <c r="B8940" t="str">
        <f>"LM7 Content, PT, Vir,CNCTurning BenchTurn7000(M)"</f>
        <v>LM7 Content, PT, Vir,CNCTurning BenchTurn7000(M)</v>
      </c>
      <c r="C8940" t="str">
        <f>"New"</f>
        <v>New</v>
      </c>
    </row>
    <row r="8941" spans="1:3" ht="18" customHeight="1">
      <c r="A8941" t="str">
        <f>"77-3142-0001"</f>
        <v>77-3142-0001</v>
      </c>
      <c r="B8941" t="str">
        <f>"LM7 Content, Vir, CNC Milling w/ProMill 8000"</f>
        <v>LM7 Content, Vir, CNC Milling w/ProMill 8000</v>
      </c>
      <c r="C8941" t="str">
        <f>"Active"</f>
        <v>Active</v>
      </c>
    </row>
    <row r="8942" spans="1:3" ht="18" customHeight="1">
      <c r="A8942" t="str">
        <f>"77-3142-0002"</f>
        <v>77-3142-0002</v>
      </c>
      <c r="B8942" t="str">
        <f>"LM7 Content, Vir, CNC Milling w/ProMill 8000 (M)"</f>
        <v>LM7 Content, Vir, CNC Milling w/ProMill 8000 (M)</v>
      </c>
      <c r="C8942" t="str">
        <f>"Active"</f>
        <v>Active</v>
      </c>
    </row>
    <row r="8943" spans="1:3" ht="18" customHeight="1">
      <c r="A8943" t="str">
        <f>"77-3143-0001"</f>
        <v>77-3143-0001</v>
      </c>
      <c r="B8943" t="str">
        <f>"LM7 Content, Vir, CNC Turning w/ProTurn 9000"</f>
        <v>LM7 Content, Vir, CNC Turning w/ProTurn 9000</v>
      </c>
      <c r="C8943" t="str">
        <f>"Active"</f>
        <v>Active</v>
      </c>
    </row>
    <row r="8944" spans="1:3" ht="18" customHeight="1">
      <c r="A8944" t="str">
        <f>"77-3143-0002"</f>
        <v>77-3143-0002</v>
      </c>
      <c r="B8944" t="str">
        <f>"LM7 Content, Vir, CNC Turning w/ProTurn 9000 (M)"</f>
        <v>LM7 Content, Vir, CNC Turning w/ProTurn 9000 (M)</v>
      </c>
      <c r="C8944" t="str">
        <f>"Active"</f>
        <v>Active</v>
      </c>
    </row>
    <row r="8945" spans="1:3" ht="18" customHeight="1">
      <c r="A8945" t="str">
        <f>"77-3144-0001"</f>
        <v>77-3144-0001</v>
      </c>
      <c r="B8945" t="str">
        <f>"LM7 Content, CNC Program Mill FANUC Controller"</f>
        <v>LM7 Content, CNC Program Mill FANUC Controller</v>
      </c>
      <c r="C8945" t="str">
        <f>"Active"</f>
        <v>Active</v>
      </c>
    </row>
    <row r="8946" spans="1:3" ht="18" customHeight="1">
      <c r="A8946" t="str">
        <f>"77-3144-0002"</f>
        <v>77-3144-0002</v>
      </c>
      <c r="B8946" t="str">
        <f>"LM7 Content, CNC Programming Mill FANUC (M)"</f>
        <v>LM7 Content, CNC Programming Mill FANUC (M)</v>
      </c>
      <c r="C8946" t="str">
        <f>"Inactive"</f>
        <v>Inactive</v>
      </c>
    </row>
    <row r="8947" spans="1:3" ht="18" customHeight="1">
      <c r="A8947" t="str">
        <f>"77-3144-0002PT"</f>
        <v>77-3144-0002PT</v>
      </c>
      <c r="B8947" t="str">
        <f>"LM7 Content, PT, CNC Programming Mill FANUC (M)"</f>
        <v>LM7 Content, PT, CNC Programming Mill FANUC (M)</v>
      </c>
      <c r="C8947" t="str">
        <f>"Inactive"</f>
        <v>Inactive</v>
      </c>
    </row>
    <row r="8948" spans="1:3" ht="18" customHeight="1">
      <c r="A8948" t="str">
        <f>"77-3146-0001"</f>
        <v>77-3146-0001</v>
      </c>
      <c r="B8948" t="str">
        <f>"LM7 Content, CNC Program Turn FANUC Controller"</f>
        <v>LM7 Content, CNC Program Turn FANUC Controller</v>
      </c>
      <c r="C8948" t="str">
        <f t="shared" ref="C8948:C8970" si="340">"Active"</f>
        <v>Active</v>
      </c>
    </row>
    <row r="8949" spans="1:3" ht="18" customHeight="1">
      <c r="A8949" t="str">
        <f>"77-3160-0000"</f>
        <v>77-3160-0000</v>
      </c>
      <c r="B8949" t="str">
        <f>"LM7 Content, Vir, Algebra - C"</f>
        <v>LM7 Content, Vir, Algebra - C</v>
      </c>
      <c r="C8949" t="str">
        <f t="shared" si="340"/>
        <v>Active</v>
      </c>
    </row>
    <row r="8950" spans="1:3" ht="18" customHeight="1">
      <c r="A8950" t="str">
        <f>"77-3160-0000ES"</f>
        <v>77-3160-0000ES</v>
      </c>
      <c r="B8950" t="str">
        <f>"LM7 Content, ES, Vir, Algebra - C"</f>
        <v>LM7 Content, ES, Vir, Algebra - C</v>
      </c>
      <c r="C8950" t="str">
        <f t="shared" si="340"/>
        <v>Active</v>
      </c>
    </row>
    <row r="8951" spans="1:3" ht="18" customHeight="1">
      <c r="A8951" t="str">
        <f>"77-3161-0000"</f>
        <v>77-3161-0000</v>
      </c>
      <c r="B8951" t="str">
        <f>"LM7 Content, Vir, Trigonometry - A"</f>
        <v>LM7 Content, Vir, Trigonometry - A</v>
      </c>
      <c r="C8951" t="str">
        <f t="shared" si="340"/>
        <v>Active</v>
      </c>
    </row>
    <row r="8952" spans="1:3" ht="18" customHeight="1">
      <c r="A8952" t="str">
        <f>"77-3161-0000ES"</f>
        <v>77-3161-0000ES</v>
      </c>
      <c r="B8952" t="str">
        <f>"LM7 Content, ES, Vir, Trigonometry - A"</f>
        <v>LM7 Content, ES, Vir, Trigonometry - A</v>
      </c>
      <c r="C8952" t="str">
        <f t="shared" si="340"/>
        <v>Active</v>
      </c>
    </row>
    <row r="8953" spans="1:3" ht="18" customHeight="1">
      <c r="A8953" t="str">
        <f>"77-3162-0000"</f>
        <v>77-3162-0000</v>
      </c>
      <c r="B8953" t="str">
        <f>"LM7 Content, Vir, Trigonometry - B"</f>
        <v>LM7 Content, Vir, Trigonometry - B</v>
      </c>
      <c r="C8953" t="str">
        <f t="shared" si="340"/>
        <v>Active</v>
      </c>
    </row>
    <row r="8954" spans="1:3" ht="18" customHeight="1">
      <c r="A8954" t="str">
        <f>"77-3162-0000ES"</f>
        <v>77-3162-0000ES</v>
      </c>
      <c r="B8954" t="str">
        <f>"LM7 Content, ES, Vir, Trigonometry - B"</f>
        <v>LM7 Content, ES, Vir, Trigonometry - B</v>
      </c>
      <c r="C8954" t="str">
        <f t="shared" si="340"/>
        <v>Active</v>
      </c>
    </row>
    <row r="8955" spans="1:3" ht="18" customHeight="1">
      <c r="A8955" t="str">
        <f>"77-3163-0000"</f>
        <v>77-3163-0000</v>
      </c>
      <c r="B8955" t="str">
        <f>"LM7 Content, Vir, Trigonometry - C"</f>
        <v>LM7 Content, Vir, Trigonometry - C</v>
      </c>
      <c r="C8955" t="str">
        <f t="shared" si="340"/>
        <v>Active</v>
      </c>
    </row>
    <row r="8956" spans="1:3" ht="18" customHeight="1">
      <c r="A8956" t="str">
        <f>"77-3163-0000ES"</f>
        <v>77-3163-0000ES</v>
      </c>
      <c r="B8956" t="str">
        <f>"LM7 Content, ES, Vir, Trigonometry - C"</f>
        <v>LM7 Content, ES, Vir, Trigonometry - C</v>
      </c>
      <c r="C8956" t="str">
        <f t="shared" si="340"/>
        <v>Active</v>
      </c>
    </row>
    <row r="8957" spans="1:3" ht="18" customHeight="1">
      <c r="A8957" t="str">
        <f>"77-3164-0000"</f>
        <v>77-3164-0000</v>
      </c>
      <c r="B8957" t="str">
        <f>"LM7 Content, Vir, Calculus - A"</f>
        <v>LM7 Content, Vir, Calculus - A</v>
      </c>
      <c r="C8957" t="str">
        <f t="shared" si="340"/>
        <v>Active</v>
      </c>
    </row>
    <row r="8958" spans="1:3" ht="18" customHeight="1">
      <c r="A8958" t="str">
        <f>"77-3164-0000ES"</f>
        <v>77-3164-0000ES</v>
      </c>
      <c r="B8958" t="str">
        <f>"LM7 Content, ES, Vir, Calculus - A"</f>
        <v>LM7 Content, ES, Vir, Calculus - A</v>
      </c>
      <c r="C8958" t="str">
        <f t="shared" si="340"/>
        <v>Active</v>
      </c>
    </row>
    <row r="8959" spans="1:3" ht="18" customHeight="1">
      <c r="A8959" t="str">
        <f>"77-3165-0000"</f>
        <v>77-3165-0000</v>
      </c>
      <c r="B8959" t="str">
        <f>"LM7 Content, Vir, Calculus - B"</f>
        <v>LM7 Content, Vir, Calculus - B</v>
      </c>
      <c r="C8959" t="str">
        <f t="shared" si="340"/>
        <v>Active</v>
      </c>
    </row>
    <row r="8960" spans="1:3" ht="18" customHeight="1">
      <c r="A8960" t="str">
        <f>"77-3165-0000ES"</f>
        <v>77-3165-0000ES</v>
      </c>
      <c r="B8960" t="str">
        <f>"LM7 Content, ES, Vir, Calculus - B"</f>
        <v>LM7 Content, ES, Vir, Calculus - B</v>
      </c>
      <c r="C8960" t="str">
        <f t="shared" si="340"/>
        <v>Active</v>
      </c>
    </row>
    <row r="8961" spans="1:3" ht="18" customHeight="1">
      <c r="A8961" t="str">
        <f>"77-3166-0000"</f>
        <v>77-3166-0000</v>
      </c>
      <c r="B8961" t="str">
        <f>"LM7 Content, Vir, Calculus - C"</f>
        <v>LM7 Content, Vir, Calculus - C</v>
      </c>
      <c r="C8961" t="str">
        <f t="shared" si="340"/>
        <v>Active</v>
      </c>
    </row>
    <row r="8962" spans="1:3" ht="18" customHeight="1">
      <c r="A8962" t="str">
        <f>"77-3166-0000ES"</f>
        <v>77-3166-0000ES</v>
      </c>
      <c r="B8962" t="str">
        <f>"LM7 Content, ES, Vir, Calculus - C"</f>
        <v>LM7 Content, ES, Vir, Calculus - C</v>
      </c>
      <c r="C8962" t="str">
        <f t="shared" si="340"/>
        <v>Active</v>
      </c>
    </row>
    <row r="8963" spans="1:3" ht="18" customHeight="1">
      <c r="A8963" t="str">
        <f>"77-3167-0000"</f>
        <v>77-3167-0000</v>
      </c>
      <c r="B8963" t="str">
        <f>"LM7 Content, Vir, Intro to Technology"</f>
        <v>LM7 Content, Vir, Intro to Technology</v>
      </c>
      <c r="C8963" t="str">
        <f t="shared" si="340"/>
        <v>Active</v>
      </c>
    </row>
    <row r="8964" spans="1:3" ht="18" customHeight="1">
      <c r="A8964" t="str">
        <f>"77-3167-0000ES"</f>
        <v>77-3167-0000ES</v>
      </c>
      <c r="B8964" t="str">
        <f>"LM7 Content, ES, Vir, Intro to Technology"</f>
        <v>LM7 Content, ES, Vir, Intro to Technology</v>
      </c>
      <c r="C8964" t="str">
        <f t="shared" si="340"/>
        <v>Active</v>
      </c>
    </row>
    <row r="8965" spans="1:3" ht="18" customHeight="1">
      <c r="A8965" t="str">
        <f>"77-3168-0000"</f>
        <v>77-3168-0000</v>
      </c>
      <c r="B8965" t="str">
        <f>"LM7 Content, Vir, Cutting Edge Technology"</f>
        <v>LM7 Content, Vir, Cutting Edge Technology</v>
      </c>
      <c r="C8965" t="str">
        <f t="shared" si="340"/>
        <v>Active</v>
      </c>
    </row>
    <row r="8966" spans="1:3" ht="18" customHeight="1">
      <c r="A8966" t="str">
        <f>"77-3168-0000ES"</f>
        <v>77-3168-0000ES</v>
      </c>
      <c r="B8966" t="str">
        <f>"LM7 Content, ES, Vir, Cutting Edge Technology"</f>
        <v>LM7 Content, ES, Vir, Cutting Edge Technology</v>
      </c>
      <c r="C8966" t="str">
        <f t="shared" si="340"/>
        <v>Active</v>
      </c>
    </row>
    <row r="8967" spans="1:3" ht="18" customHeight="1">
      <c r="A8967" t="str">
        <f>"77-3169-0000"</f>
        <v>77-3169-0000</v>
      </c>
      <c r="B8967" t="str">
        <f>"LM7 Content, Vir, Innovat. &amp; Communication"</f>
        <v>LM7 Content, Vir, Innovat. &amp; Communication</v>
      </c>
      <c r="C8967" t="str">
        <f t="shared" si="340"/>
        <v>Active</v>
      </c>
    </row>
    <row r="8968" spans="1:3" ht="18" customHeight="1">
      <c r="A8968" t="str">
        <f>"77-3169-0000ES"</f>
        <v>77-3169-0000ES</v>
      </c>
      <c r="B8968" t="str">
        <f>"LM7 Content, ES, Vir, Innovat. &amp; Communication"</f>
        <v>LM7 Content, ES, Vir, Innovat. &amp; Communication</v>
      </c>
      <c r="C8968" t="str">
        <f t="shared" si="340"/>
        <v>Active</v>
      </c>
    </row>
    <row r="8969" spans="1:3" ht="18" customHeight="1">
      <c r="A8969" t="str">
        <f>"77-3170-0000"</f>
        <v>77-3170-0000</v>
      </c>
      <c r="B8969" t="str">
        <f>"LM7 Content, Vir, Mechanics"</f>
        <v>LM7 Content, Vir, Mechanics</v>
      </c>
      <c r="C8969" t="str">
        <f t="shared" si="340"/>
        <v>Active</v>
      </c>
    </row>
    <row r="8970" spans="1:3" ht="18" customHeight="1">
      <c r="A8970" t="str">
        <f>"77-3170-0000ES"</f>
        <v>77-3170-0000ES</v>
      </c>
      <c r="B8970" t="str">
        <f>"LM7 Content, ES, Vir, Mechanics"</f>
        <v>LM7 Content, ES, Vir, Mechanics</v>
      </c>
      <c r="C8970" t="str">
        <f t="shared" si="340"/>
        <v>Active</v>
      </c>
    </row>
    <row r="8971" spans="1:3" ht="18" customHeight="1">
      <c r="A8971" t="str">
        <f>"77-3171-0000"</f>
        <v>77-3171-0000</v>
      </c>
      <c r="B8971" t="str">
        <f>"LM7 Content, Vir, 8.2.1 Airflow Around a Body"</f>
        <v>LM7 Content, Vir, 8.2.1 Airflow Around a Body</v>
      </c>
      <c r="C8971" t="str">
        <f t="shared" ref="C8971:C8985" si="341">"Inactive"</f>
        <v>Inactive</v>
      </c>
    </row>
    <row r="8972" spans="1:3" ht="18" customHeight="1">
      <c r="A8972" t="str">
        <f>"77-3171-0000ES"</f>
        <v>77-3171-0000ES</v>
      </c>
      <c r="B8972" t="str">
        <f>"LM7 Content, ES, Vir, 8.2.1Airflow Around a Body"</f>
        <v>LM7 Content, ES, Vir, 8.2.1Airflow Around a Body</v>
      </c>
      <c r="C8972" t="str">
        <f t="shared" si="341"/>
        <v>Inactive</v>
      </c>
    </row>
    <row r="8973" spans="1:3" ht="18" customHeight="1">
      <c r="A8973" t="str">
        <f>"77-3172-0000"</f>
        <v>77-3172-0000</v>
      </c>
      <c r="B8973" t="str">
        <f>"LM7 Content, Vir, 8.2.3 Aerodynamic Terms"</f>
        <v>LM7 Content, Vir, 8.2.3 Aerodynamic Terms</v>
      </c>
      <c r="C8973" t="str">
        <f t="shared" si="341"/>
        <v>Inactive</v>
      </c>
    </row>
    <row r="8974" spans="1:3" ht="18" customHeight="1">
      <c r="A8974" t="str">
        <f>"77-3172-0000ES"</f>
        <v>77-3172-0000ES</v>
      </c>
      <c r="B8974" t="str">
        <f>"LM7 Content, ES, Vir, 8.2.3 Aerodynamic Terms"</f>
        <v>LM7 Content, ES, Vir, 8.2.3 Aerodynamic Terms</v>
      </c>
      <c r="C8974" t="str">
        <f t="shared" si="341"/>
        <v>Inactive</v>
      </c>
    </row>
    <row r="8975" spans="1:3" ht="18" customHeight="1">
      <c r="A8975" t="str">
        <f>"77-3173-0000"</f>
        <v>77-3173-0000</v>
      </c>
      <c r="B8975" t="str">
        <f>"LM7 Content, Vir, 8.3.1 Theory of Flight"</f>
        <v>LM7 Content, Vir, 8.3.1 Theory of Flight</v>
      </c>
      <c r="C8975" t="str">
        <f t="shared" si="341"/>
        <v>Inactive</v>
      </c>
    </row>
    <row r="8976" spans="1:3" ht="18" customHeight="1">
      <c r="A8976" t="str">
        <f>"77-3173-0000ES"</f>
        <v>77-3173-0000ES</v>
      </c>
      <c r="B8976" t="str">
        <f>"LM7 Content, ES, Vir, 8.3.1 Theory of Flight"</f>
        <v>LM7 Content, ES, Vir, 8.3.1 Theory of Flight</v>
      </c>
      <c r="C8976" t="str">
        <f t="shared" si="341"/>
        <v>Inactive</v>
      </c>
    </row>
    <row r="8977" spans="1:3" ht="18" customHeight="1">
      <c r="A8977" t="str">
        <f>"77-3174-0000"</f>
        <v>77-3174-0000</v>
      </c>
      <c r="B8977" t="str">
        <f>"LM7 Content, Vir, 8.6.1 High Speed Flight"</f>
        <v>LM7 Content, Vir, 8.6.1 High Speed Flight</v>
      </c>
      <c r="C8977" t="str">
        <f t="shared" si="341"/>
        <v>Inactive</v>
      </c>
    </row>
    <row r="8978" spans="1:3" ht="18" customHeight="1">
      <c r="A8978" t="str">
        <f>"77-3174-0000ES"</f>
        <v>77-3174-0000ES</v>
      </c>
      <c r="B8978" t="str">
        <f>"LM7 Content, ES, Vir, 8.6.1 High Speed Flight"</f>
        <v>LM7 Content, ES, Vir, 8.6.1 High Speed Flight</v>
      </c>
      <c r="C8978" t="str">
        <f t="shared" si="341"/>
        <v>Inactive</v>
      </c>
    </row>
    <row r="8979" spans="1:3" ht="18" customHeight="1">
      <c r="A8979" t="str">
        <f>"77-3175-0000"</f>
        <v>77-3175-0000</v>
      </c>
      <c r="B8979" t="str">
        <f>"LM7 Content, Vir, 8.6.2 Mach Number"</f>
        <v>LM7 Content, Vir, 8.6.2 Mach Number</v>
      </c>
      <c r="C8979" t="str">
        <f t="shared" si="341"/>
        <v>Inactive</v>
      </c>
    </row>
    <row r="8980" spans="1:3" ht="18" customHeight="1">
      <c r="A8980" t="str">
        <f>"77-3175-0000ES"</f>
        <v>77-3175-0000ES</v>
      </c>
      <c r="B8980" t="str">
        <f>"LM7 Content, ES, Vir, 8.6.2 Mach Number"</f>
        <v>LM7 Content, ES, Vir, 8.6.2 Mach Number</v>
      </c>
      <c r="C8980" t="str">
        <f t="shared" si="341"/>
        <v>Inactive</v>
      </c>
    </row>
    <row r="8981" spans="1:3" ht="18" customHeight="1">
      <c r="A8981" t="str">
        <f>"77-3176-0000"</f>
        <v>77-3176-0000</v>
      </c>
      <c r="B8981" t="str">
        <f>"LM7 Content, Vir, 8.7.1 Rotary Wing Aerodynamics"</f>
        <v>LM7 Content, Vir, 8.7.1 Rotary Wing Aerodynamics</v>
      </c>
      <c r="C8981" t="str">
        <f t="shared" si="341"/>
        <v>Inactive</v>
      </c>
    </row>
    <row r="8982" spans="1:3" ht="18" customHeight="1">
      <c r="A8982" t="str">
        <f>"77-3176-0000ES"</f>
        <v>77-3176-0000ES</v>
      </c>
      <c r="B8982" t="str">
        <f>"LM7 Content, ES, Vir,8.7.1RotaryWingAerodynamics"</f>
        <v>LM7 Content, ES, Vir,8.7.1RotaryWingAerodynamics</v>
      </c>
      <c r="C8982" t="str">
        <f t="shared" si="341"/>
        <v>Inactive</v>
      </c>
    </row>
    <row r="8983" spans="1:3" ht="18" customHeight="1">
      <c r="A8983" t="str">
        <f>"77-3177-0000"</f>
        <v>77-3177-0000</v>
      </c>
      <c r="B8983" t="str">
        <f>"LM7 Content, Vir, 9.10.1 Fuel System Layout"</f>
        <v>LM7 Content, Vir, 9.10.1 Fuel System Layout</v>
      </c>
      <c r="C8983" t="str">
        <f t="shared" si="341"/>
        <v>Inactive</v>
      </c>
    </row>
    <row r="8984" spans="1:3" ht="18" customHeight="1">
      <c r="A8984" t="str">
        <f>"77-3177-0000ES"</f>
        <v>77-3177-0000ES</v>
      </c>
      <c r="B8984" t="str">
        <f>"LM7 Content, ES, Vir, 9.10.1 Fuel System Layout"</f>
        <v>LM7 Content, ES, Vir, 9.10.1 Fuel System Layout</v>
      </c>
      <c r="C8984" t="str">
        <f t="shared" si="341"/>
        <v>Inactive</v>
      </c>
    </row>
    <row r="8985" spans="1:3" ht="18" customHeight="1">
      <c r="A8985" t="str">
        <f>"77-3178-0000"</f>
        <v>77-3178-0000</v>
      </c>
      <c r="B8985" t="str">
        <f>"LM7 Content, Vir, 9.11.2Principles of Hydraulics"</f>
        <v>LM7 Content, Vir, 9.11.2Principles of Hydraulics</v>
      </c>
      <c r="C8985" t="str">
        <f t="shared" si="341"/>
        <v>Inactive</v>
      </c>
    </row>
    <row r="8986" spans="1:3" ht="18" customHeight="1">
      <c r="A8986" t="str">
        <f>"77-3178-0000ES"</f>
        <v>77-3178-0000ES</v>
      </c>
      <c r="B8986" t="str">
        <f>"LM7 Content, ES, Vir9.11.2PrinciplesOfHydraulics"</f>
        <v>LM7 Content, ES, Vir9.11.2PrinciplesOfHydraulics</v>
      </c>
      <c r="C8986" t="str">
        <f>"Active"</f>
        <v>Active</v>
      </c>
    </row>
    <row r="8987" spans="1:3" ht="18" customHeight="1">
      <c r="A8987" t="str">
        <f>"77-3179-0000"</f>
        <v>77-3179-0000</v>
      </c>
      <c r="B8987" t="str">
        <f>"LM7 Content, Vir, Intro to AviationModules"</f>
        <v>LM7 Content, Vir, Intro to AviationModules</v>
      </c>
      <c r="C8987" t="str">
        <f>"Inactive"</f>
        <v>Inactive</v>
      </c>
    </row>
    <row r="8988" spans="1:3" ht="18" customHeight="1">
      <c r="A8988" t="str">
        <f>"77-3179-0000ES"</f>
        <v>77-3179-0000ES</v>
      </c>
      <c r="B8988" t="str">
        <f>"LM7 Content, ES, Vir, Intro to AviationModules"</f>
        <v>LM7 Content, ES, Vir, Intro to AviationModules</v>
      </c>
      <c r="C8988" t="str">
        <f>"Active"</f>
        <v>Active</v>
      </c>
    </row>
    <row r="8989" spans="1:3" ht="18" customHeight="1">
      <c r="A8989" t="str">
        <f>"77-3201-0000"</f>
        <v>77-3201-0000</v>
      </c>
      <c r="B8989" t="str">
        <f>"LM7 Content, Vir, Business Planner"</f>
        <v>LM7 Content, Vir, Business Planner</v>
      </c>
      <c r="C8989" t="str">
        <f>"Inactive"</f>
        <v>Inactive</v>
      </c>
    </row>
    <row r="8990" spans="1:3" ht="18" customHeight="1">
      <c r="A8990" t="str">
        <f>"77-3201-0000ES"</f>
        <v>77-3201-0000ES</v>
      </c>
      <c r="B8990" t="str">
        <f>"LM7 Content, ES, Vir, Business Planner"</f>
        <v>LM7 Content, ES, Vir, Business Planner</v>
      </c>
      <c r="C8990" t="str">
        <f>"Active"</f>
        <v>Active</v>
      </c>
    </row>
    <row r="8991" spans="1:3" ht="18" customHeight="1">
      <c r="A8991" t="str">
        <f>"77-3477-8000"</f>
        <v>77-3477-8000</v>
      </c>
      <c r="B8991" t="str">
        <f>"LM7 Content, Vir, Getting Started with roboRIO"</f>
        <v>LM7 Content, Vir, Getting Started with roboRIO</v>
      </c>
      <c r="C8991" t="str">
        <f>"New"</f>
        <v>New</v>
      </c>
    </row>
    <row r="8992" spans="1:3" ht="18" customHeight="1">
      <c r="A8992" t="str">
        <f>"77-7001-0001"</f>
        <v>77-7001-0001</v>
      </c>
      <c r="B8992" t="str">
        <f>"LM7 Content, Vir, Yo-Yo Project"</f>
        <v>LM7 Content, Vir, Yo-Yo Project</v>
      </c>
      <c r="C8992" t="str">
        <f t="shared" ref="C8992:C8998" si="342">"Active"</f>
        <v>Active</v>
      </c>
    </row>
    <row r="8993" spans="1:3" ht="18" customHeight="1">
      <c r="A8993" t="str">
        <f>"77-7002-0001"</f>
        <v>77-7002-0001</v>
      </c>
      <c r="B8993" t="str">
        <f>"LM7 Content, Car Elevator Project"</f>
        <v>LM7 Content, Car Elevator Project</v>
      </c>
      <c r="C8993" t="str">
        <f t="shared" si="342"/>
        <v>Active</v>
      </c>
    </row>
    <row r="8994" spans="1:3" ht="18" customHeight="1">
      <c r="A8994" t="str">
        <f>"77-7004-0001"</f>
        <v>77-7004-0001</v>
      </c>
      <c r="B8994" t="str">
        <f>"LM7 Content, Pneumatic Feeder Project"</f>
        <v>LM7 Content, Pneumatic Feeder Project</v>
      </c>
      <c r="C8994" t="str">
        <f t="shared" si="342"/>
        <v>Active</v>
      </c>
    </row>
    <row r="8995" spans="1:3" ht="18" customHeight="1">
      <c r="A8995" t="str">
        <f>"77-7005-0001"</f>
        <v>77-7005-0001</v>
      </c>
      <c r="B8995" t="str">
        <f>"LM7 Content, Shape Sorter Project"</f>
        <v>LM7 Content, Shape Sorter Project</v>
      </c>
      <c r="C8995" t="str">
        <f t="shared" si="342"/>
        <v>Active</v>
      </c>
    </row>
    <row r="8996" spans="1:3" ht="18" customHeight="1">
      <c r="A8996" t="str">
        <f>"77-7006-0001"</f>
        <v>77-7006-0001</v>
      </c>
      <c r="B8996" t="str">
        <f>"LM7 Content, Precision Measuring Device"</f>
        <v>LM7 Content, Precision Measuring Device</v>
      </c>
      <c r="C8996" t="str">
        <f t="shared" si="342"/>
        <v>Active</v>
      </c>
    </row>
    <row r="8997" spans="1:3" ht="18" customHeight="1">
      <c r="A8997" t="str">
        <f>"77-7007-0001"</f>
        <v>77-7007-0001</v>
      </c>
      <c r="B8997" t="str">
        <f>"LM7 Content, Golf Putter Project"</f>
        <v>LM7 Content, Golf Putter Project</v>
      </c>
      <c r="C8997" t="str">
        <f t="shared" si="342"/>
        <v>Active</v>
      </c>
    </row>
    <row r="8998" spans="1:3" ht="18" customHeight="1">
      <c r="A8998" t="str">
        <f>"77-7011-0001"</f>
        <v>77-7011-0001</v>
      </c>
      <c r="B8998" t="str">
        <f>"LM7 Content, Can Crusher Project"</f>
        <v>LM7 Content, Can Crusher Project</v>
      </c>
      <c r="C8998" t="str">
        <f t="shared" si="342"/>
        <v>Active</v>
      </c>
    </row>
    <row r="8999" spans="1:3" ht="18" customHeight="1">
      <c r="A8999" t="str">
        <f>"77-7012-0001"</f>
        <v>77-7012-0001</v>
      </c>
      <c r="B8999" t="str">
        <f>"LM7 Content, Marble Solitaire Project"</f>
        <v>LM7 Content, Marble Solitaire Project</v>
      </c>
      <c r="C8999" t="str">
        <f>"Inactive"</f>
        <v>Inactive</v>
      </c>
    </row>
    <row r="9000" spans="1:3" ht="18" customHeight="1">
      <c r="A9000" t="str">
        <f>"77-7016-0001"</f>
        <v>77-7016-0001</v>
      </c>
      <c r="B9000" t="str">
        <f>"LM7 Content, CO2 Car Project"</f>
        <v>LM7 Content, CO2 Car Project</v>
      </c>
      <c r="C9000" t="str">
        <f t="shared" ref="C9000:C9005" si="343">"Active"</f>
        <v>Active</v>
      </c>
    </row>
    <row r="9001" spans="1:3" ht="18" customHeight="1">
      <c r="A9001" t="str">
        <f>"77-7018-0001"</f>
        <v>77-7018-0001</v>
      </c>
      <c r="B9001" t="str">
        <f>"LM7 Content, Robotics &amp; Automation Project"</f>
        <v>LM7 Content, Robotics &amp; Automation Project</v>
      </c>
      <c r="C9001" t="str">
        <f t="shared" si="343"/>
        <v>Active</v>
      </c>
    </row>
    <row r="9002" spans="1:3" ht="18" customHeight="1">
      <c r="A9002" t="str">
        <f>"77-7022-0001"</f>
        <v>77-7022-0001</v>
      </c>
      <c r="B9002" t="str">
        <f>"LM7 Content, 4 Cavity Mold Project"</f>
        <v>LM7 Content, 4 Cavity Mold Project</v>
      </c>
      <c r="C9002" t="str">
        <f t="shared" si="343"/>
        <v>Active</v>
      </c>
    </row>
    <row r="9003" spans="1:3" ht="18" customHeight="1">
      <c r="A9003" t="str">
        <f>"77-7023-0001"</f>
        <v>77-7023-0001</v>
      </c>
      <c r="B9003" t="str">
        <f>"LM7 Content, Planetary Gearbox"</f>
        <v>LM7 Content, Planetary Gearbox</v>
      </c>
      <c r="C9003" t="str">
        <f t="shared" si="343"/>
        <v>Active</v>
      </c>
    </row>
    <row r="9004" spans="1:3" ht="18" customHeight="1">
      <c r="A9004" t="str">
        <f>"77-7027-0001"</f>
        <v>77-7027-0001</v>
      </c>
      <c r="B9004" t="str">
        <f>"LM7 Content, Engineering Application Series"</f>
        <v>LM7 Content, Engineering Application Series</v>
      </c>
      <c r="C9004" t="str">
        <f t="shared" si="343"/>
        <v>Active</v>
      </c>
    </row>
    <row r="9005" spans="1:3" ht="18" customHeight="1">
      <c r="A9005" t="str">
        <f>"77-8007-0001"</f>
        <v>77-8007-0001</v>
      </c>
      <c r="B9005" t="str">
        <f>"LM7 Content, Lab, CNC Milling w/SLM"</f>
        <v>LM7 Content, Lab, CNC Milling w/SLM</v>
      </c>
      <c r="C9005" t="str">
        <f t="shared" si="343"/>
        <v>Active</v>
      </c>
    </row>
    <row r="9006" spans="1:3" ht="18" customHeight="1">
      <c r="A9006" t="str">
        <f>"77-8007-0002"</f>
        <v>77-8007-0002</v>
      </c>
      <c r="B9006" t="str">
        <f>"LM7 Content, Lab, CNC Milling w/SLM (Metric)"</f>
        <v>LM7 Content, Lab, CNC Milling w/SLM (Metric)</v>
      </c>
      <c r="C9006" t="str">
        <f>"New"</f>
        <v>New</v>
      </c>
    </row>
    <row r="9007" spans="1:3" ht="18" customHeight="1">
      <c r="A9007" t="str">
        <f>"77-8008-0000"</f>
        <v>77-8008-0000</v>
      </c>
      <c r="B9007" t="str">
        <f>"LM7 Content, Lab/Vir, Hydraulics 1 w/HydraFlex"</f>
        <v>LM7 Content, Lab/Vir, Hydraulics 1 w/HydraFlex</v>
      </c>
      <c r="C9007" t="str">
        <f t="shared" ref="C9007:C9016" si="344">"Active"</f>
        <v>Active</v>
      </c>
    </row>
    <row r="9008" spans="1:3" ht="18" customHeight="1">
      <c r="A9008" t="str">
        <f>"77-8008-0000ES"</f>
        <v>77-8008-0000ES</v>
      </c>
      <c r="B9008" t="str">
        <f>"LM7 Content, ES, Lab/Vir, Hydra 1 w/HydraFlex"</f>
        <v>LM7 Content, ES, Lab/Vir, Hydra 1 w/HydraFlex</v>
      </c>
      <c r="C9008" t="str">
        <f t="shared" si="344"/>
        <v>Active</v>
      </c>
    </row>
    <row r="9009" spans="1:3" ht="18" customHeight="1">
      <c r="A9009" t="str">
        <f>"77-8008-0000PT"</f>
        <v>77-8008-0000PT</v>
      </c>
      <c r="B9009" t="str">
        <f>"LM7 Content, PT, Lab/Vir, Hydra 1 w/HydraFlex"</f>
        <v>LM7 Content, PT, Lab/Vir, Hydra 1 w/HydraFlex</v>
      </c>
      <c r="C9009" t="str">
        <f t="shared" si="344"/>
        <v>Active</v>
      </c>
    </row>
    <row r="9010" spans="1:3" ht="18" customHeight="1">
      <c r="A9010" t="str">
        <f>"77-8012-0000"</f>
        <v>77-8012-0000</v>
      </c>
      <c r="B9010" t="str">
        <f>"LM7 Content, Lab/Vir, Sensor Technology"</f>
        <v>LM7 Content, Lab/Vir, Sensor Technology</v>
      </c>
      <c r="C9010" t="str">
        <f t="shared" si="344"/>
        <v>Active</v>
      </c>
    </row>
    <row r="9011" spans="1:3" ht="18" customHeight="1">
      <c r="A9011" t="str">
        <f>"77-8012-0000ES"</f>
        <v>77-8012-0000ES</v>
      </c>
      <c r="B9011" t="str">
        <f>"LM7 Content, ES, Lab/Vir, Sensor Technology"</f>
        <v>LM7 Content, ES, Lab/Vir, Sensor Technology</v>
      </c>
      <c r="C9011" t="str">
        <f t="shared" si="344"/>
        <v>Active</v>
      </c>
    </row>
    <row r="9012" spans="1:3" ht="18" customHeight="1">
      <c r="A9012" t="str">
        <f>"77-8014-0001"</f>
        <v>77-8014-0001</v>
      </c>
      <c r="B9012" t="str">
        <f>"LM7 Content, Lab/Vir, MMQC"</f>
        <v>LM7 Content, Lab/Vir, MMQC</v>
      </c>
      <c r="C9012" t="str">
        <f t="shared" si="344"/>
        <v>Active</v>
      </c>
    </row>
    <row r="9013" spans="1:3" ht="18" customHeight="1">
      <c r="A9013" t="str">
        <f>"77-8014-0001ES"</f>
        <v>77-8014-0001ES</v>
      </c>
      <c r="B9013" t="str">
        <f>"LM7 Content, ES, Lab/Vir, MMQC"</f>
        <v>LM7 Content, ES, Lab/Vir, MMQC</v>
      </c>
      <c r="C9013" t="str">
        <f t="shared" si="344"/>
        <v>Active</v>
      </c>
    </row>
    <row r="9014" spans="1:3" ht="18" customHeight="1">
      <c r="A9014" t="str">
        <f>"77-8014-0002"</f>
        <v>77-8014-0002</v>
      </c>
      <c r="B9014" t="str">
        <f>"LM7 Content, Lab/Vir, MMQC (Metric)"</f>
        <v>LM7 Content, Lab/Vir, MMQC (Metric)</v>
      </c>
      <c r="C9014" t="str">
        <f t="shared" si="344"/>
        <v>Active</v>
      </c>
    </row>
    <row r="9015" spans="1:3" ht="18" customHeight="1">
      <c r="A9015" t="str">
        <f>"77-8014-0002PT"</f>
        <v>77-8014-0002PT</v>
      </c>
      <c r="B9015" t="str">
        <f>"LM7 Content, PT, Lab/Vir, MMQC (Metric)"</f>
        <v>LM7 Content, PT, Lab/Vir, MMQC (Metric)</v>
      </c>
      <c r="C9015" t="str">
        <f t="shared" si="344"/>
        <v>Active</v>
      </c>
    </row>
    <row r="9016" spans="1:3" ht="18" customHeight="1">
      <c r="A9016" t="str">
        <f>"77-8016-0001"</f>
        <v>77-8016-0001</v>
      </c>
      <c r="B9016" t="str">
        <f>"LM7 Content, Lab, CNC Turning w/SLT"</f>
        <v>LM7 Content, Lab, CNC Turning w/SLT</v>
      </c>
      <c r="C9016" t="str">
        <f t="shared" si="344"/>
        <v>Active</v>
      </c>
    </row>
    <row r="9017" spans="1:3" ht="18" customHeight="1">
      <c r="A9017" t="str">
        <f>"77-8016-0002"</f>
        <v>77-8016-0002</v>
      </c>
      <c r="B9017" t="str">
        <f>"LM7 Content, Lab, CNC Turning w/SLT (Metric)"</f>
        <v>LM7 Content, Lab, CNC Turning w/SLT (Metric)</v>
      </c>
      <c r="C9017" t="str">
        <f>"New"</f>
        <v>New</v>
      </c>
    </row>
    <row r="9018" spans="1:3" ht="18" customHeight="1">
      <c r="A9018" t="str">
        <f>"77-8043-0001"</f>
        <v>77-8043-0001</v>
      </c>
      <c r="B9018" t="str">
        <f>"LM7 Content, Lab, CNC Turning w/PLT 3000"</f>
        <v>LM7 Content, Lab, CNC Turning w/PLT 3000</v>
      </c>
      <c r="C9018" t="str">
        <f>"Active"</f>
        <v>Active</v>
      </c>
    </row>
    <row r="9019" spans="1:3" ht="18" customHeight="1">
      <c r="A9019" t="str">
        <f>"77-8043-0002"</f>
        <v>77-8043-0002</v>
      </c>
      <c r="B9019" t="str">
        <f>"LM7 Content, Lab, CNC Turning w/PLT (Metric)"</f>
        <v>LM7 Content, Lab, CNC Turning w/PLT (Metric)</v>
      </c>
      <c r="C9019" t="str">
        <f>"New"</f>
        <v>New</v>
      </c>
    </row>
    <row r="9020" spans="1:3" ht="18" customHeight="1">
      <c r="A9020" t="str">
        <f>"77-8046-0000"</f>
        <v>77-8046-0000</v>
      </c>
      <c r="B9020" t="str">
        <f>"LM7 Content, Lab/Vir, Electrical Systems"</f>
        <v>LM7 Content, Lab/Vir, Electrical Systems</v>
      </c>
      <c r="C9020" t="str">
        <f>"Active"</f>
        <v>Active</v>
      </c>
    </row>
    <row r="9021" spans="1:3" ht="18" customHeight="1">
      <c r="A9021" t="str">
        <f>"77-8046-0000ES"</f>
        <v>77-8046-0000ES</v>
      </c>
      <c r="B9021" t="str">
        <f>"LM7 Content, ES, Lab/Vir, Electrical Systems"</f>
        <v>LM7 Content, ES, Lab/Vir, Electrical Systems</v>
      </c>
      <c r="C9021" t="str">
        <f>"Active"</f>
        <v>Active</v>
      </c>
    </row>
    <row r="9022" spans="1:3" ht="18" customHeight="1">
      <c r="A9022" t="str">
        <f>"77-8046-0000PT"</f>
        <v>77-8046-0000PT</v>
      </c>
      <c r="B9022" t="str">
        <f>"LM7 Content, PT, Lab/Vir, Electrical Systems"</f>
        <v>LM7 Content, PT, Lab/Vir, Electrical Systems</v>
      </c>
      <c r="C9022" t="str">
        <f>"Active"</f>
        <v>Active</v>
      </c>
    </row>
    <row r="9023" spans="1:3" ht="18" customHeight="1">
      <c r="A9023" t="str">
        <f>"77-8047-0000"</f>
        <v>77-8047-0000</v>
      </c>
      <c r="B9023" t="str">
        <f>"LM7 Content, Lab/Vir, Mechanisms"</f>
        <v>LM7 Content, Lab/Vir, Mechanisms</v>
      </c>
      <c r="C9023" t="str">
        <f>"Active"</f>
        <v>Active</v>
      </c>
    </row>
    <row r="9024" spans="1:3" ht="18" customHeight="1">
      <c r="A9024" t="str">
        <f>"77-8047-0000ES"</f>
        <v>77-8047-0000ES</v>
      </c>
      <c r="B9024" t="str">
        <f>"LM7 Content, ES, Lab/Vir, Mechanisms"</f>
        <v>LM7 Content, ES, Lab/Vir, Mechanisms</v>
      </c>
      <c r="C9024" t="str">
        <f>"Active"</f>
        <v>Active</v>
      </c>
    </row>
    <row r="9025" spans="1:3" ht="18" customHeight="1">
      <c r="A9025" t="str">
        <f>"77-8054-0001"</f>
        <v>77-8054-0001</v>
      </c>
      <c r="B9025" t="str">
        <f>"LM7 Content, Lab, CNC Milling w/PLM"</f>
        <v>LM7 Content, Lab, CNC Milling w/PLM</v>
      </c>
      <c r="C9025" t="str">
        <f>"New"</f>
        <v>New</v>
      </c>
    </row>
    <row r="9026" spans="1:3" ht="18" customHeight="1">
      <c r="A9026" t="str">
        <f>"77-8057-0000"</f>
        <v>77-8057-0000</v>
      </c>
      <c r="B9026" t="str">
        <f>"LM7 Content, Lab/Vir, Plastics Thermoforming"</f>
        <v>LM7 Content, Lab/Vir, Plastics Thermoforming</v>
      </c>
      <c r="C9026" t="str">
        <f t="shared" ref="C9026:C9041" si="345">"Active"</f>
        <v>Active</v>
      </c>
    </row>
    <row r="9027" spans="1:3" ht="18" customHeight="1">
      <c r="A9027" t="str">
        <f>"77-8057-0000ES"</f>
        <v>77-8057-0000ES</v>
      </c>
      <c r="B9027" t="str">
        <f>"LM7 Content, ES, Lab/Vir, Plastics Thermoforming"</f>
        <v>LM7 Content, ES, Lab/Vir, Plastics Thermoforming</v>
      </c>
      <c r="C9027" t="str">
        <f t="shared" si="345"/>
        <v>Active</v>
      </c>
    </row>
    <row r="9028" spans="1:3" ht="18" customHeight="1">
      <c r="A9028" t="str">
        <f>"77-8058-0000"</f>
        <v>77-8058-0000</v>
      </c>
      <c r="B9028" t="str">
        <f>"LM7 Content, Lab, Matrl. Testing w/Buster II"</f>
        <v>LM7 Content, Lab, Matrl. Testing w/Buster II</v>
      </c>
      <c r="C9028" t="str">
        <f t="shared" si="345"/>
        <v>Active</v>
      </c>
    </row>
    <row r="9029" spans="1:3" ht="18" customHeight="1">
      <c r="A9029" t="str">
        <f>"77-8067-0002"</f>
        <v>77-8067-0002</v>
      </c>
      <c r="B9029" t="str">
        <f>"LM7 Content, Lab, FMS w/ER4U &amp; SLM 0200"</f>
        <v>LM7 Content, Lab, FMS w/ER4U &amp; SLM 0200</v>
      </c>
      <c r="C9029" t="str">
        <f t="shared" si="345"/>
        <v>Active</v>
      </c>
    </row>
    <row r="9030" spans="1:3" ht="18" customHeight="1">
      <c r="A9030" t="str">
        <f>"77-8067-0002ES"</f>
        <v>77-8067-0002ES</v>
      </c>
      <c r="B9030" t="str">
        <f>"LM7 Content, ES, Lab, FMS w/ER4U &amp; SLM 0200"</f>
        <v>LM7 Content, ES, Lab, FMS w/ER4U &amp; SLM 0200</v>
      </c>
      <c r="C9030" t="str">
        <f t="shared" si="345"/>
        <v>Active</v>
      </c>
    </row>
    <row r="9031" spans="1:3" ht="18" customHeight="1">
      <c r="A9031" t="str">
        <f>"77-8068-0000"</f>
        <v>77-8068-0000</v>
      </c>
      <c r="B9031" t="str">
        <f>"LM7 Content, Lab/Vir, Pneumatics 1 w/PneuFlex"</f>
        <v>LM7 Content, Lab/Vir, Pneumatics 1 w/PneuFlex</v>
      </c>
      <c r="C9031" t="str">
        <f t="shared" si="345"/>
        <v>Active</v>
      </c>
    </row>
    <row r="9032" spans="1:3" ht="18" customHeight="1">
      <c r="A9032" t="str">
        <f>"77-8068-0000ES"</f>
        <v>77-8068-0000ES</v>
      </c>
      <c r="B9032" t="str">
        <f>"LM7 Content, ES, Lab/Vir, Pneumatics1 w/PneuFlex"</f>
        <v>LM7 Content, ES, Lab/Vir, Pneumatics1 w/PneuFlex</v>
      </c>
      <c r="C9032" t="str">
        <f t="shared" si="345"/>
        <v>Active</v>
      </c>
    </row>
    <row r="9033" spans="1:3" ht="18" customHeight="1">
      <c r="A9033" t="str">
        <f>"77-8068-0000PT"</f>
        <v>77-8068-0000PT</v>
      </c>
      <c r="B9033" t="str">
        <f>"LM7 Content, PT, Lab/Vir, Pneumatics1 w/PneuFlex"</f>
        <v>LM7 Content, PT, Lab/Vir, Pneumatics1 w/PneuFlex</v>
      </c>
      <c r="C9033" t="str">
        <f t="shared" si="345"/>
        <v>Active</v>
      </c>
    </row>
    <row r="9034" spans="1:3" ht="18" customHeight="1">
      <c r="A9034" t="str">
        <f>"77-8069-0000"</f>
        <v>77-8069-0000</v>
      </c>
      <c r="B9034" t="str">
        <f>"LM7 Content, Lab/Vir, Pneumatics 2 w/PneuFlex"</f>
        <v>LM7 Content, Lab/Vir, Pneumatics 2 w/PneuFlex</v>
      </c>
      <c r="C9034" t="str">
        <f t="shared" si="345"/>
        <v>Active</v>
      </c>
    </row>
    <row r="9035" spans="1:3" ht="18" customHeight="1">
      <c r="A9035" t="str">
        <f>"77-8069-0000ES"</f>
        <v>77-8069-0000ES</v>
      </c>
      <c r="B9035" t="str">
        <f>"LM7 Content, ES, Lab/Vir, Pneumatics2 w/PneuFlex"</f>
        <v>LM7 Content, ES, Lab/Vir, Pneumatics2 w/PneuFlex</v>
      </c>
      <c r="C9035" t="str">
        <f t="shared" si="345"/>
        <v>Active</v>
      </c>
    </row>
    <row r="9036" spans="1:3" ht="18" customHeight="1">
      <c r="A9036" t="str">
        <f>"77-8069-0000PT"</f>
        <v>77-8069-0000PT</v>
      </c>
      <c r="B9036" t="str">
        <f>"LM7 Content, PT, Lab/Vir, Pneumatics2 w/PneuFlex"</f>
        <v>LM7 Content, PT, Lab/Vir, Pneumatics2 w/PneuFlex</v>
      </c>
      <c r="C9036" t="str">
        <f t="shared" si="345"/>
        <v>Active</v>
      </c>
    </row>
    <row r="9037" spans="1:3" ht="18" customHeight="1">
      <c r="A9037" t="str">
        <f>"77-8079-0000"</f>
        <v>77-8079-0000</v>
      </c>
      <c r="B9037" t="str">
        <f>"LM7 Content, Lab, PLC 1 w/AB SLC 500"</f>
        <v>LM7 Content, Lab, PLC 1 w/AB SLC 500</v>
      </c>
      <c r="C9037" t="str">
        <f t="shared" si="345"/>
        <v>Active</v>
      </c>
    </row>
    <row r="9038" spans="1:3" ht="18" customHeight="1">
      <c r="A9038" t="str">
        <f>"77-8080-0000"</f>
        <v>77-8080-0000</v>
      </c>
      <c r="B9038" t="str">
        <f>"LM7 Content, Lab, PLC 2 w/AB SLC 500"</f>
        <v>LM7 Content, Lab, PLC 2 w/AB SLC 500</v>
      </c>
      <c r="C9038" t="str">
        <f t="shared" si="345"/>
        <v>Active</v>
      </c>
    </row>
    <row r="9039" spans="1:3" ht="18" customHeight="1">
      <c r="A9039" t="str">
        <f>"77-8082-0000"</f>
        <v>77-8082-0000</v>
      </c>
      <c r="B9039" t="str">
        <f>"LM7 Content, Lab, RMH1 w/ER4U"</f>
        <v>LM7 Content, Lab, RMH1 w/ER4U</v>
      </c>
      <c r="C9039" t="str">
        <f t="shared" si="345"/>
        <v>Active</v>
      </c>
    </row>
    <row r="9040" spans="1:3" ht="18" customHeight="1">
      <c r="A9040" t="str">
        <f>"77-8083-0000"</f>
        <v>77-8083-0000</v>
      </c>
      <c r="B9040" t="str">
        <f>"LM7 Content, Lab, RMH2 w/ ER4U"</f>
        <v>LM7 Content, Lab, RMH2 w/ ER4U</v>
      </c>
      <c r="C9040" t="str">
        <f t="shared" si="345"/>
        <v>Active</v>
      </c>
    </row>
    <row r="9041" spans="1:3" ht="18" customHeight="1">
      <c r="A9041" t="str">
        <f>"77-8084-0000"</f>
        <v>77-8084-0000</v>
      </c>
      <c r="B9041" t="str">
        <f>"LM7 Content, Lab, Machine Vision &amp; QC 1"</f>
        <v>LM7 Content, Lab, Machine Vision &amp; QC 1</v>
      </c>
      <c r="C9041" t="str">
        <f t="shared" si="345"/>
        <v>Active</v>
      </c>
    </row>
    <row r="9042" spans="1:3" ht="18" customHeight="1">
      <c r="A9042" t="str">
        <f>"77-8084-0000ES"</f>
        <v>77-8084-0000ES</v>
      </c>
      <c r="B9042" t="str">
        <f>"LM7 Content, ES, Lab, Machine Vision &amp; QC 1"</f>
        <v>LM7 Content, ES, Lab, Machine Vision &amp; QC 1</v>
      </c>
      <c r="C9042" t="str">
        <f>"New"</f>
        <v>New</v>
      </c>
    </row>
    <row r="9043" spans="1:3" ht="18" customHeight="1">
      <c r="A9043" t="str">
        <f>"77-8085-0000"</f>
        <v>77-8085-0000</v>
      </c>
      <c r="B9043" t="str">
        <f>"LM7 Content, Vir, PLC 3 - Pneumatic w/AB SLC 500"</f>
        <v>LM7 Content, Vir, PLC 3 - Pneumatic w/AB SLC 500</v>
      </c>
      <c r="C9043" t="str">
        <f>"Active"</f>
        <v>Active</v>
      </c>
    </row>
    <row r="9044" spans="1:3" ht="18" customHeight="1">
      <c r="A9044" t="str">
        <f>"77-8086-0000"</f>
        <v>77-8086-0000</v>
      </c>
      <c r="B9044" t="str">
        <f>"LM7 Content, Vir, PLC 4 - Hydraulic w/AB SLC 500"</f>
        <v>LM7 Content, Vir, PLC 4 - Hydraulic w/AB SLC 500</v>
      </c>
      <c r="C9044" t="str">
        <f>"Active"</f>
        <v>Active</v>
      </c>
    </row>
    <row r="9045" spans="1:3" ht="18" customHeight="1">
      <c r="A9045" t="str">
        <f>"77-8090-0001"</f>
        <v>77-8090-0001</v>
      </c>
      <c r="B9045" t="str">
        <f>"LM7 Content, Lab, CNC Milling w/eXpertMill"</f>
        <v>LM7 Content, Lab, CNC Milling w/eXpertMill</v>
      </c>
      <c r="C9045" t="str">
        <f>"Active"</f>
        <v>Active</v>
      </c>
    </row>
    <row r="9046" spans="1:3" ht="18" customHeight="1">
      <c r="A9046" t="str">
        <f>"77-8091-0001"</f>
        <v>77-8091-0001</v>
      </c>
      <c r="B9046" t="str">
        <f>"LM7 Content, Lab, CNC Milling w/SPLM"</f>
        <v>LM7 Content, Lab, CNC Milling w/SPLM</v>
      </c>
      <c r="C9046" t="str">
        <f>"Active"</f>
        <v>Active</v>
      </c>
    </row>
    <row r="9047" spans="1:3" ht="18" customHeight="1">
      <c r="A9047" t="str">
        <f>"77-8091-0002"</f>
        <v>77-8091-0002</v>
      </c>
      <c r="B9047" t="str">
        <f>"LM7 Content, Lab, CNC Milling w/SPLM (M)"</f>
        <v>LM7 Content, Lab, CNC Milling w/SPLM (M)</v>
      </c>
      <c r="C9047" t="str">
        <f>"New"</f>
        <v>New</v>
      </c>
    </row>
    <row r="9048" spans="1:3" ht="18" customHeight="1">
      <c r="A9048" t="str">
        <f>"77-8092-0001"</f>
        <v>77-8092-0001</v>
      </c>
      <c r="B9048" t="str">
        <f>"LM7 Content, Lab, REC1, PIC, TG"</f>
        <v>LM7 Content, Lab, REC1, PIC, TG</v>
      </c>
      <c r="C9048" t="str">
        <f t="shared" ref="C9048:C9061" si="346">"Inactive"</f>
        <v>Inactive</v>
      </c>
    </row>
    <row r="9049" spans="1:3" ht="18" customHeight="1">
      <c r="A9049" t="str">
        <f>"77-8092-0011"</f>
        <v>77-8092-0011</v>
      </c>
      <c r="B9049" t="str">
        <f>"LM7 Content, Lab, REC1, PIC, Unit 1"</f>
        <v>LM7 Content, Lab, REC1, PIC, Unit 1</v>
      </c>
      <c r="C9049" t="str">
        <f t="shared" si="346"/>
        <v>Inactive</v>
      </c>
    </row>
    <row r="9050" spans="1:3" ht="18" customHeight="1">
      <c r="A9050" t="str">
        <f>"77-8092-0021"</f>
        <v>77-8092-0021</v>
      </c>
      <c r="B9050" t="str">
        <f>"LM7 Content, Lab, REC1, PIC, Unit 2"</f>
        <v>LM7 Content, Lab, REC1, PIC, Unit 2</v>
      </c>
      <c r="C9050" t="str">
        <f t="shared" si="346"/>
        <v>Inactive</v>
      </c>
    </row>
    <row r="9051" spans="1:3" ht="18" customHeight="1">
      <c r="A9051" t="str">
        <f>"77-8092-0031"</f>
        <v>77-8092-0031</v>
      </c>
      <c r="B9051" t="str">
        <f>"LM7 Content, Lab, REC1, PIC, Unit 3"</f>
        <v>LM7 Content, Lab, REC1, PIC, Unit 3</v>
      </c>
      <c r="C9051" t="str">
        <f t="shared" si="346"/>
        <v>Inactive</v>
      </c>
    </row>
    <row r="9052" spans="1:3" ht="18" customHeight="1">
      <c r="A9052" t="str">
        <f>"77-8092-0041"</f>
        <v>77-8092-0041</v>
      </c>
      <c r="B9052" t="str">
        <f>"LM7 Content, Lab, REC1, PIC, Unit 4"</f>
        <v>LM7 Content, Lab, REC1, PIC, Unit 4</v>
      </c>
      <c r="C9052" t="str">
        <f t="shared" si="346"/>
        <v>Inactive</v>
      </c>
    </row>
    <row r="9053" spans="1:3" ht="18" customHeight="1">
      <c r="A9053" t="str">
        <f>"77-8092-0051"</f>
        <v>77-8092-0051</v>
      </c>
      <c r="B9053" t="str">
        <f>"LM7 Content, Lab, REC1, PIC, Unit 5"</f>
        <v>LM7 Content, Lab, REC1, PIC, Unit 5</v>
      </c>
      <c r="C9053" t="str">
        <f t="shared" si="346"/>
        <v>Inactive</v>
      </c>
    </row>
    <row r="9054" spans="1:3" ht="18" customHeight="1">
      <c r="A9054" t="str">
        <f>"77-8092-0061"</f>
        <v>77-8092-0061</v>
      </c>
      <c r="B9054" t="str">
        <f>"LM7 Content, Lab, REC1, PIC, Unit 6"</f>
        <v>LM7 Content, Lab, REC1, PIC, Unit 6</v>
      </c>
      <c r="C9054" t="str">
        <f t="shared" si="346"/>
        <v>Inactive</v>
      </c>
    </row>
    <row r="9055" spans="1:3" ht="18" customHeight="1">
      <c r="A9055" t="str">
        <f>"77-8093-0001"</f>
        <v>77-8093-0001</v>
      </c>
      <c r="B9055" t="str">
        <f>"LM7 Content, Lab, REC 2, PIC, TG"</f>
        <v>LM7 Content, Lab, REC 2, PIC, TG</v>
      </c>
      <c r="C9055" t="str">
        <f t="shared" si="346"/>
        <v>Inactive</v>
      </c>
    </row>
    <row r="9056" spans="1:3" ht="18" customHeight="1">
      <c r="A9056" t="str">
        <f>"77-8093-0071"</f>
        <v>77-8093-0071</v>
      </c>
      <c r="B9056" t="str">
        <f>"LM7 Content, Lab, REC 2, PIC, Unit 7"</f>
        <v>LM7 Content, Lab, REC 2, PIC, Unit 7</v>
      </c>
      <c r="C9056" t="str">
        <f t="shared" si="346"/>
        <v>Inactive</v>
      </c>
    </row>
    <row r="9057" spans="1:3" ht="18" customHeight="1">
      <c r="A9057" t="str">
        <f>"77-8093-0081"</f>
        <v>77-8093-0081</v>
      </c>
      <c r="B9057" t="str">
        <f>"LM7 Content, Lab, REC 2, PIC, Unit 8"</f>
        <v>LM7 Content, Lab, REC 2, PIC, Unit 8</v>
      </c>
      <c r="C9057" t="str">
        <f t="shared" si="346"/>
        <v>Inactive</v>
      </c>
    </row>
    <row r="9058" spans="1:3" ht="18" customHeight="1">
      <c r="A9058" t="str">
        <f>"77-8093-0091"</f>
        <v>77-8093-0091</v>
      </c>
      <c r="B9058" t="str">
        <f>"LM7 Content, Lab, REC 2, PIC, Unit 9"</f>
        <v>LM7 Content, Lab, REC 2, PIC, Unit 9</v>
      </c>
      <c r="C9058" t="str">
        <f t="shared" si="346"/>
        <v>Inactive</v>
      </c>
    </row>
    <row r="9059" spans="1:3" ht="18" customHeight="1">
      <c r="A9059" t="str">
        <f>"77-8093-0101"</f>
        <v>77-8093-0101</v>
      </c>
      <c r="B9059" t="str">
        <f>"LM7 Content, Lab, REC 2, PIC, Unit 10"</f>
        <v>LM7 Content, Lab, REC 2, PIC, Unit 10</v>
      </c>
      <c r="C9059" t="str">
        <f t="shared" si="346"/>
        <v>Inactive</v>
      </c>
    </row>
    <row r="9060" spans="1:3" ht="18" customHeight="1">
      <c r="A9060" t="str">
        <f>"77-8093-0111"</f>
        <v>77-8093-0111</v>
      </c>
      <c r="B9060" t="str">
        <f>"LM7 Content, Lab, REC 2, PIC, Unit 11"</f>
        <v>LM7 Content, Lab, REC 2, PIC, Unit 11</v>
      </c>
      <c r="C9060" t="str">
        <f t="shared" si="346"/>
        <v>Inactive</v>
      </c>
    </row>
    <row r="9061" spans="1:3" ht="18" customHeight="1">
      <c r="A9061" t="str">
        <f>"77-8093-0121"</f>
        <v>77-8093-0121</v>
      </c>
      <c r="B9061" t="str">
        <f>"LM7 Content, Lab, REC 2, PIC, Unit 12"</f>
        <v>LM7 Content, Lab, REC 2, PIC, Unit 12</v>
      </c>
      <c r="C9061" t="str">
        <f t="shared" si="346"/>
        <v>Inactive</v>
      </c>
    </row>
    <row r="9062" spans="1:3" ht="18" customHeight="1">
      <c r="A9062" t="str">
        <f>"77-8094-0000"</f>
        <v>77-8094-0000</v>
      </c>
      <c r="B9062" t="str">
        <f>"LM7 Content, Lab, RMH1 w/ER9 Pro"</f>
        <v>LM7 Content, Lab, RMH1 w/ER9 Pro</v>
      </c>
      <c r="C9062" t="str">
        <f>"Active"</f>
        <v>Active</v>
      </c>
    </row>
    <row r="9063" spans="1:3" ht="18" customHeight="1">
      <c r="A9063" t="str">
        <f>"77-8095-0000"</f>
        <v>77-8095-0000</v>
      </c>
      <c r="B9063" t="str">
        <f>"LM7 Content, Lab, RMH2 w/ER9 Pro"</f>
        <v>LM7 Content, Lab, RMH2 w/ER9 Pro</v>
      </c>
      <c r="C9063" t="str">
        <f>"Active"</f>
        <v>Active</v>
      </c>
    </row>
    <row r="9064" spans="1:3" ht="18" customHeight="1">
      <c r="A9064" t="str">
        <f>"77-8096-0000"</f>
        <v>77-8096-0000</v>
      </c>
      <c r="B9064" t="str">
        <f>"LM7 Content, Introduction to the SD300pro"</f>
        <v>LM7 Content, Introduction to the SD300pro</v>
      </c>
      <c r="C9064" t="str">
        <f>"Inactive"</f>
        <v>Inactive</v>
      </c>
    </row>
    <row r="9065" spans="1:3" ht="18" customHeight="1">
      <c r="A9065" t="str">
        <f>"77-8097-0002"</f>
        <v>77-8097-0002</v>
      </c>
      <c r="B9065" t="str">
        <f>"LM7 Content, Lab, FMS w/ER4U &amp; eXpertMill"</f>
        <v>LM7 Content, Lab, FMS w/ER4U &amp; eXpertMill</v>
      </c>
      <c r="C9065" t="str">
        <f t="shared" ref="C9065:C9090" si="347">"Active"</f>
        <v>Active</v>
      </c>
    </row>
    <row r="9066" spans="1:3" ht="18" customHeight="1">
      <c r="A9066" t="str">
        <f>"77-8100-1012"</f>
        <v>77-8100-1012</v>
      </c>
      <c r="B9066" t="str">
        <f>"LM7 Content, Lab, Theory of AutoGreen System"</f>
        <v>LM7 Content, Lab, Theory of AutoGreen System</v>
      </c>
      <c r="C9066" t="str">
        <f t="shared" si="347"/>
        <v>Active</v>
      </c>
    </row>
    <row r="9067" spans="1:3" ht="18" customHeight="1">
      <c r="A9067" t="str">
        <f>"77-8100-1012ES"</f>
        <v>77-8100-1012ES</v>
      </c>
      <c r="B9067" t="str">
        <f>"LM7 Content, ES, Lab, Theory of AutoGreen System"</f>
        <v>LM7 Content, ES, Lab, Theory of AutoGreen System</v>
      </c>
      <c r="C9067" t="str">
        <f t="shared" si="347"/>
        <v>Active</v>
      </c>
    </row>
    <row r="9068" spans="1:3" ht="18" customHeight="1">
      <c r="A9068" t="str">
        <f>"77-8100-1022"</f>
        <v>77-8100-1022</v>
      </c>
      <c r="B9068" t="str">
        <f>"LM7 Content, Lab, Using the AutoGreen System"</f>
        <v>LM7 Content, Lab, Using the AutoGreen System</v>
      </c>
      <c r="C9068" t="str">
        <f t="shared" si="347"/>
        <v>Active</v>
      </c>
    </row>
    <row r="9069" spans="1:3" ht="18" customHeight="1">
      <c r="A9069" t="str">
        <f>"77-8100-1022ES"</f>
        <v>77-8100-1022ES</v>
      </c>
      <c r="B9069" t="str">
        <f>"LM7 Content, ES, Lab, Using the AutoGreen System"</f>
        <v>LM7 Content, ES, Lab, Using the AutoGreen System</v>
      </c>
      <c r="C9069" t="str">
        <f t="shared" si="347"/>
        <v>Active</v>
      </c>
    </row>
    <row r="9070" spans="1:3" ht="18" customHeight="1">
      <c r="A9070" t="str">
        <f>"77-8100-1032"</f>
        <v>77-8100-1032</v>
      </c>
      <c r="B9070" t="str">
        <f>"LM7 Content, Lab, Applications of AutoGreen"</f>
        <v>LM7 Content, Lab, Applications of AutoGreen</v>
      </c>
      <c r="C9070" t="str">
        <f t="shared" si="347"/>
        <v>Active</v>
      </c>
    </row>
    <row r="9071" spans="1:3" ht="18" customHeight="1">
      <c r="A9071" t="str">
        <f>"77-8100-1032ES"</f>
        <v>77-8100-1032ES</v>
      </c>
      <c r="B9071" t="str">
        <f>"LM7 Content, ES, Lab, Applications of AutoGreen"</f>
        <v>LM7 Content, ES, Lab, Applications of AutoGreen</v>
      </c>
      <c r="C9071" t="str">
        <f t="shared" si="347"/>
        <v>Active</v>
      </c>
    </row>
    <row r="9072" spans="1:3" ht="18" customHeight="1">
      <c r="A9072" t="str">
        <f>"77-8101-0001"</f>
        <v>77-8101-0001</v>
      </c>
      <c r="B9072" t="str">
        <f>"LM7 Content, Lab, Agricultural Mechanics"</f>
        <v>LM7 Content, Lab, Agricultural Mechanics</v>
      </c>
      <c r="C9072" t="str">
        <f t="shared" si="347"/>
        <v>Active</v>
      </c>
    </row>
    <row r="9073" spans="1:3" ht="18" customHeight="1">
      <c r="A9073" t="str">
        <f>"77-8105-0000"</f>
        <v>77-8105-0000</v>
      </c>
      <c r="B9073" t="str">
        <f>"LM7 Content, Lab, REC 1, Cortex, TG"</f>
        <v>LM7 Content, Lab, REC 1, Cortex, TG</v>
      </c>
      <c r="C9073" t="str">
        <f t="shared" si="347"/>
        <v>Active</v>
      </c>
    </row>
    <row r="9074" spans="1:3" ht="18" customHeight="1">
      <c r="A9074" t="str">
        <f>"77-8105-0010"</f>
        <v>77-8105-0010</v>
      </c>
      <c r="B9074" t="str">
        <f>"LM7 Content, Lab, REC 1, Cortex, Unit 1"</f>
        <v>LM7 Content, Lab, REC 1, Cortex, Unit 1</v>
      </c>
      <c r="C9074" t="str">
        <f t="shared" si="347"/>
        <v>Active</v>
      </c>
    </row>
    <row r="9075" spans="1:3" ht="18" customHeight="1">
      <c r="A9075" t="str">
        <f>"77-8105-0020"</f>
        <v>77-8105-0020</v>
      </c>
      <c r="B9075" t="str">
        <f>"LM7 Content, Lab, REC 1, Cortex, Unit 2"</f>
        <v>LM7 Content, Lab, REC 1, Cortex, Unit 2</v>
      </c>
      <c r="C9075" t="str">
        <f t="shared" si="347"/>
        <v>Active</v>
      </c>
    </row>
    <row r="9076" spans="1:3" ht="18" customHeight="1">
      <c r="A9076" t="str">
        <f>"77-8105-0030"</f>
        <v>77-8105-0030</v>
      </c>
      <c r="B9076" t="str">
        <f>"LM7 Content, Lab, REC 1, Cortex, Unit 3"</f>
        <v>LM7 Content, Lab, REC 1, Cortex, Unit 3</v>
      </c>
      <c r="C9076" t="str">
        <f t="shared" si="347"/>
        <v>Active</v>
      </c>
    </row>
    <row r="9077" spans="1:3" ht="18" customHeight="1">
      <c r="A9077" t="str">
        <f>"77-8105-0040"</f>
        <v>77-8105-0040</v>
      </c>
      <c r="B9077" t="str">
        <f>"LM7 Content, Lab, REC 1, Cortex, Unit 4"</f>
        <v>LM7 Content, Lab, REC 1, Cortex, Unit 4</v>
      </c>
      <c r="C9077" t="str">
        <f t="shared" si="347"/>
        <v>Active</v>
      </c>
    </row>
    <row r="9078" spans="1:3" ht="18" customHeight="1">
      <c r="A9078" t="str">
        <f>"77-8105-0050"</f>
        <v>77-8105-0050</v>
      </c>
      <c r="B9078" t="str">
        <f>"LM7 Content, Lab, REC 1, Cortex, Unit 5"</f>
        <v>LM7 Content, Lab, REC 1, Cortex, Unit 5</v>
      </c>
      <c r="C9078" t="str">
        <f t="shared" si="347"/>
        <v>Active</v>
      </c>
    </row>
    <row r="9079" spans="1:3" ht="18" customHeight="1">
      <c r="A9079" t="str">
        <f>"77-8105-0060"</f>
        <v>77-8105-0060</v>
      </c>
      <c r="B9079" t="str">
        <f>"LM7 Content, Lab, REC 1, Cortex, Unit 6"</f>
        <v>LM7 Content, Lab, REC 1, Cortex, Unit 6</v>
      </c>
      <c r="C9079" t="str">
        <f t="shared" si="347"/>
        <v>Active</v>
      </c>
    </row>
    <row r="9080" spans="1:3" ht="18" customHeight="1">
      <c r="A9080" t="str">
        <f>"77-8105-0100"</f>
        <v>77-8105-0100</v>
      </c>
      <c r="B9080" t="str">
        <f>"LM7 Content, Lab, REC 1, Cortex, Semester 1 TG"</f>
        <v>LM7 Content, Lab, REC 1, Cortex, Semester 1 TG</v>
      </c>
      <c r="C9080" t="str">
        <f t="shared" si="347"/>
        <v>Active</v>
      </c>
    </row>
    <row r="9081" spans="1:3" ht="18" customHeight="1">
      <c r="A9081" t="str">
        <f>"77-8105-0200"</f>
        <v>77-8105-0200</v>
      </c>
      <c r="B9081" t="str">
        <f>"LM7 Content, Lab, REC 1, Cortex, Semester 2 TG"</f>
        <v>LM7 Content, Lab, REC 1, Cortex, Semester 2 TG</v>
      </c>
      <c r="C9081" t="str">
        <f t="shared" si="347"/>
        <v>Active</v>
      </c>
    </row>
    <row r="9082" spans="1:3" ht="18" customHeight="1">
      <c r="A9082" t="str">
        <f>"77-8105-1000"</f>
        <v>77-8105-1000</v>
      </c>
      <c r="B9082" t="str">
        <f>"LM7 Content, Lab, REC 1 Semester 1, For Cortex"</f>
        <v>LM7 Content, Lab, REC 1 Semester 1, For Cortex</v>
      </c>
      <c r="C9082" t="str">
        <f t="shared" si="347"/>
        <v>Active</v>
      </c>
    </row>
    <row r="9083" spans="1:3" ht="18" customHeight="1">
      <c r="A9083" t="str">
        <f>"77-8105-2000"</f>
        <v>77-8105-2000</v>
      </c>
      <c r="B9083" t="str">
        <f>"LM7 Content, Lab, REC 1 Semester 2, For Cortex"</f>
        <v>LM7 Content, Lab, REC 1 Semester 2, For Cortex</v>
      </c>
      <c r="C9083" t="str">
        <f t="shared" si="347"/>
        <v>Active</v>
      </c>
    </row>
    <row r="9084" spans="1:3" ht="18" customHeight="1">
      <c r="A9084" t="str">
        <f>"77-8106-0000"</f>
        <v>77-8106-0000</v>
      </c>
      <c r="B9084" t="str">
        <f>"LM7 Content, Lab, REC 2, Cortex, TG"</f>
        <v>LM7 Content, Lab, REC 2, Cortex, TG</v>
      </c>
      <c r="C9084" t="str">
        <f t="shared" si="347"/>
        <v>Active</v>
      </c>
    </row>
    <row r="9085" spans="1:3" ht="18" customHeight="1">
      <c r="A9085" t="str">
        <f>"77-8106-0070"</f>
        <v>77-8106-0070</v>
      </c>
      <c r="B9085" t="str">
        <f>"LM7 Content, Lab, REC 2, Cortex, Unit 7"</f>
        <v>LM7 Content, Lab, REC 2, Cortex, Unit 7</v>
      </c>
      <c r="C9085" t="str">
        <f t="shared" si="347"/>
        <v>Active</v>
      </c>
    </row>
    <row r="9086" spans="1:3" ht="18" customHeight="1">
      <c r="A9086" t="str">
        <f>"77-8106-0080"</f>
        <v>77-8106-0080</v>
      </c>
      <c r="B9086" t="str">
        <f>"LM7 Content, Lab, REC 2, Cortex, Unit 8"</f>
        <v>LM7 Content, Lab, REC 2, Cortex, Unit 8</v>
      </c>
      <c r="C9086" t="str">
        <f t="shared" si="347"/>
        <v>Active</v>
      </c>
    </row>
    <row r="9087" spans="1:3" ht="18" customHeight="1">
      <c r="A9087" t="str">
        <f>"77-8106-0090"</f>
        <v>77-8106-0090</v>
      </c>
      <c r="B9087" t="str">
        <f>"LM7 Content, Lab, REC 2, Cortex, Unit 9"</f>
        <v>LM7 Content, Lab, REC 2, Cortex, Unit 9</v>
      </c>
      <c r="C9087" t="str">
        <f t="shared" si="347"/>
        <v>Active</v>
      </c>
    </row>
    <row r="9088" spans="1:3" ht="18" customHeight="1">
      <c r="A9088" t="str">
        <f>"77-8106-0100"</f>
        <v>77-8106-0100</v>
      </c>
      <c r="B9088" t="str">
        <f>"LM7 Content, Lab, REC 2, Cortex, Unit 10"</f>
        <v>LM7 Content, Lab, REC 2, Cortex, Unit 10</v>
      </c>
      <c r="C9088" t="str">
        <f t="shared" si="347"/>
        <v>Active</v>
      </c>
    </row>
    <row r="9089" spans="1:3" ht="18" customHeight="1">
      <c r="A9089" t="str">
        <f>"77-8106-0110"</f>
        <v>77-8106-0110</v>
      </c>
      <c r="B9089" t="str">
        <f>"LM7 Content, Lab, REC 2, Cortex, Unit 11"</f>
        <v>LM7 Content, Lab, REC 2, Cortex, Unit 11</v>
      </c>
      <c r="C9089" t="str">
        <f t="shared" si="347"/>
        <v>Active</v>
      </c>
    </row>
    <row r="9090" spans="1:3" ht="18" customHeight="1">
      <c r="A9090" t="str">
        <f>"77-8106-0120"</f>
        <v>77-8106-0120</v>
      </c>
      <c r="B9090" t="str">
        <f>"LM7 Content, Lab, REC 2, Cortex, Unit 12"</f>
        <v>LM7 Content, Lab, REC 2, Cortex, Unit 12</v>
      </c>
      <c r="C9090" t="str">
        <f t="shared" si="347"/>
        <v>Active</v>
      </c>
    </row>
    <row r="9091" spans="1:3" ht="18" customHeight="1">
      <c r="A9091" t="str">
        <f>"77-8106-1000"</f>
        <v>77-8106-1000</v>
      </c>
      <c r="B9091" t="str">
        <f>"LM7 Content, Lab, REC 2 Semester 1, For Cortex"</f>
        <v>LM7 Content, Lab, REC 2 Semester 1, For Cortex</v>
      </c>
      <c r="C9091" t="str">
        <f>"New"</f>
        <v>New</v>
      </c>
    </row>
    <row r="9092" spans="1:3" ht="18" customHeight="1">
      <c r="A9092" t="str">
        <f>"77-8106-2000"</f>
        <v>77-8106-2000</v>
      </c>
      <c r="B9092" t="str">
        <f>"LM7 Content, Lab, REC 2 Semester 2, For Cortex"</f>
        <v>LM7 Content, Lab, REC 2 Semester 2, For Cortex</v>
      </c>
      <c r="C9092" t="str">
        <f>"New"</f>
        <v>New</v>
      </c>
    </row>
    <row r="9093" spans="1:3" ht="18" customHeight="1">
      <c r="A9093" t="str">
        <f>"77-8107-0000"</f>
        <v>77-8107-0000</v>
      </c>
      <c r="B9093" t="str">
        <f>"LM7 Content, Lab, Compet. Robotics for Cortex"</f>
        <v>LM7 Content, Lab, Compet. Robotics for Cortex</v>
      </c>
      <c r="C9093" t="str">
        <f t="shared" ref="C9093:C9104" si="348">"Active"</f>
        <v>Active</v>
      </c>
    </row>
    <row r="9094" spans="1:3" ht="18" customHeight="1">
      <c r="A9094" t="str">
        <f>"77-8108-0000"</f>
        <v>77-8108-0000</v>
      </c>
      <c r="B9094" t="str">
        <f>"LM7 Content, Lab, Exploring Robotics VEX IQ"</f>
        <v>LM7 Content, Lab, Exploring Robotics VEX IQ</v>
      </c>
      <c r="C9094" t="str">
        <f t="shared" si="348"/>
        <v>Active</v>
      </c>
    </row>
    <row r="9095" spans="1:3" ht="18" customHeight="1">
      <c r="A9095" t="str">
        <f>"77-8108-0002"</f>
        <v>77-8108-0002</v>
      </c>
      <c r="B9095" t="str">
        <f>"LM7 Content, Lab, Exploring Robotics VEX IQ.2"</f>
        <v>LM7 Content, Lab, Exploring Robotics VEX IQ.2</v>
      </c>
      <c r="C9095" t="str">
        <f t="shared" si="348"/>
        <v>Active</v>
      </c>
    </row>
    <row r="9096" spans="1:3" ht="18" customHeight="1">
      <c r="A9096" t="str">
        <f>"77-8108-0010"</f>
        <v>77-8108-0010</v>
      </c>
      <c r="B9096" t="str">
        <f>"LM7 Content, Lab, Exploring Robotics VEX IQ.10"</f>
        <v>LM7 Content, Lab, Exploring Robotics VEX IQ.10</v>
      </c>
      <c r="C9096" t="str">
        <f t="shared" si="348"/>
        <v>Active</v>
      </c>
    </row>
    <row r="9097" spans="1:3" ht="18" customHeight="1">
      <c r="A9097" t="str">
        <f>"77-8108-0020"</f>
        <v>77-8108-0020</v>
      </c>
      <c r="B9097" t="str">
        <f>"LM7 Content, Lab, Exploring Robotics VEX IQ.20"</f>
        <v>LM7 Content, Lab, Exploring Robotics VEX IQ.20</v>
      </c>
      <c r="C9097" t="str">
        <f t="shared" si="348"/>
        <v>Active</v>
      </c>
    </row>
    <row r="9098" spans="1:3" ht="18" customHeight="1">
      <c r="A9098" t="str">
        <f>"77-8108-0030"</f>
        <v>77-8108-0030</v>
      </c>
      <c r="B9098" t="str">
        <f>"LM7 Content, Lab, Exploring Robotics VEX IQ.30"</f>
        <v>LM7 Content, Lab, Exploring Robotics VEX IQ.30</v>
      </c>
      <c r="C9098" t="str">
        <f t="shared" si="348"/>
        <v>Active</v>
      </c>
    </row>
    <row r="9099" spans="1:3" ht="18" customHeight="1">
      <c r="A9099" t="str">
        <f>"77-8110-0001"</f>
        <v>77-8110-0001</v>
      </c>
      <c r="B9099" t="str">
        <f>"LM7 Content, Lab, GTC Intro to Green Tech"</f>
        <v>LM7 Content, Lab, GTC Intro to Green Tech</v>
      </c>
      <c r="C9099" t="str">
        <f t="shared" si="348"/>
        <v>Active</v>
      </c>
    </row>
    <row r="9100" spans="1:3" ht="18" customHeight="1">
      <c r="A9100" t="str">
        <f>"77-8110-0002"</f>
        <v>77-8110-0002</v>
      </c>
      <c r="B9100" t="str">
        <f>"LM7 Content, Lab, GTC Alternative Energy"</f>
        <v>LM7 Content, Lab, GTC Alternative Energy</v>
      </c>
      <c r="C9100" t="str">
        <f t="shared" si="348"/>
        <v>Active</v>
      </c>
    </row>
    <row r="9101" spans="1:3" ht="18" customHeight="1">
      <c r="A9101" t="str">
        <f>"77-8110-0003"</f>
        <v>77-8110-0003</v>
      </c>
      <c r="B9101" t="str">
        <f>"LM7 Content, Lab, GTC Green Transportation"</f>
        <v>LM7 Content, Lab, GTC Green Transportation</v>
      </c>
      <c r="C9101" t="str">
        <f t="shared" si="348"/>
        <v>Active</v>
      </c>
    </row>
    <row r="9102" spans="1:3" ht="18" customHeight="1">
      <c r="A9102" t="str">
        <f>"77-8110-0004"</f>
        <v>77-8110-0004</v>
      </c>
      <c r="B9102" t="str">
        <f>"LM7 Content, Lab, GTC Green Construction"</f>
        <v>LM7 Content, Lab, GTC Green Construction</v>
      </c>
      <c r="C9102" t="str">
        <f t="shared" si="348"/>
        <v>Active</v>
      </c>
    </row>
    <row r="9103" spans="1:3" ht="18" customHeight="1">
      <c r="A9103" t="str">
        <f>"77-8110-0005"</f>
        <v>77-8110-0005</v>
      </c>
      <c r="B9103" t="str">
        <f>"LM7 Content, Lab, GTC Resource Conservation"</f>
        <v>LM7 Content, Lab, GTC Resource Conservation</v>
      </c>
      <c r="C9103" t="str">
        <f t="shared" si="348"/>
        <v>Active</v>
      </c>
    </row>
    <row r="9104" spans="1:3" ht="18" customHeight="1">
      <c r="A9104" t="str">
        <f>"77-8110-0006"</f>
        <v>77-8110-0006</v>
      </c>
      <c r="B9104" t="str">
        <f>"LM7 Content, Lab, GTC Renewable Energy Experi."</f>
        <v>LM7 Content, Lab, GTC Renewable Energy Experi.</v>
      </c>
      <c r="C9104" t="str">
        <f t="shared" si="348"/>
        <v>Active</v>
      </c>
    </row>
    <row r="9105" spans="1:3" ht="18" customHeight="1">
      <c r="A9105" t="str">
        <f>"77-8135-0000"</f>
        <v>77-8135-0000</v>
      </c>
      <c r="B9105" t="str">
        <f>"LM7 Content, Lab, Engineering Hydraulics"</f>
        <v>LM7 Content, Lab, Engineering Hydraulics</v>
      </c>
      <c r="C9105" t="str">
        <f>"New"</f>
        <v>New</v>
      </c>
    </row>
    <row r="9106" spans="1:3" ht="18" customHeight="1">
      <c r="A9106" t="str">
        <f>"77-8136-0001"</f>
        <v>77-8136-0001</v>
      </c>
      <c r="B9106" t="str">
        <f>"LM7 Content, Lab, Intro to Transportation"</f>
        <v>LM7 Content, Lab, Intro to Transportation</v>
      </c>
      <c r="C9106" t="str">
        <f t="shared" ref="C9106:C9126" si="349">"Active"</f>
        <v>Active</v>
      </c>
    </row>
    <row r="9107" spans="1:3" ht="18" customHeight="1">
      <c r="A9107" t="str">
        <f>"77-8136-0002"</f>
        <v>77-8136-0002</v>
      </c>
      <c r="B9107" t="str">
        <f>"LM7 Content, Lab, Aerospace"</f>
        <v>LM7 Content, Lab, Aerospace</v>
      </c>
      <c r="C9107" t="str">
        <f t="shared" si="349"/>
        <v>Active</v>
      </c>
    </row>
    <row r="9108" spans="1:3" ht="18" customHeight="1">
      <c r="A9108" t="str">
        <f>"77-8136-0003"</f>
        <v>77-8136-0003</v>
      </c>
      <c r="B9108" t="str">
        <f>"LM7 Content, Lab, Aviation"</f>
        <v>LM7 Content, Lab, Aviation</v>
      </c>
      <c r="C9108" t="str">
        <f t="shared" si="349"/>
        <v>Active</v>
      </c>
    </row>
    <row r="9109" spans="1:3" ht="18" customHeight="1">
      <c r="A9109" t="str">
        <f>"77-8136-0004"</f>
        <v>77-8136-0004</v>
      </c>
      <c r="B9109" t="str">
        <f>"LM7 Content, Lab, R&amp;D Automotive"</f>
        <v>LM7 Content, Lab, R&amp;D Automotive</v>
      </c>
      <c r="C9109" t="str">
        <f t="shared" si="349"/>
        <v>Active</v>
      </c>
    </row>
    <row r="9110" spans="1:3" ht="18" customHeight="1">
      <c r="A9110" t="str">
        <f>"77-8137-0000"</f>
        <v>77-8137-0000</v>
      </c>
      <c r="B9110" t="str">
        <f>"LM7 Content, Lab, Biotechnology"</f>
        <v>LM7 Content, Lab, Biotechnology</v>
      </c>
      <c r="C9110" t="str">
        <f t="shared" si="349"/>
        <v>Active</v>
      </c>
    </row>
    <row r="9111" spans="1:3" ht="18" customHeight="1">
      <c r="A9111" t="str">
        <f>"77-8138-0000"</f>
        <v>77-8138-0000</v>
      </c>
      <c r="B9111" t="str">
        <f>"LM7 Content, Lab, Health Care"</f>
        <v>LM7 Content, Lab, Health Care</v>
      </c>
      <c r="C9111" t="str">
        <f t="shared" si="349"/>
        <v>Active</v>
      </c>
    </row>
    <row r="9112" spans="1:3" ht="18" customHeight="1">
      <c r="A9112" t="str">
        <f>"77-8140-0001"</f>
        <v>77-8140-0001</v>
      </c>
      <c r="B9112" t="str">
        <f>"LM7 Content, Lab, CNC Milling w/BenchMill 6000"</f>
        <v>LM7 Content, Lab, CNC Milling w/BenchMill 6000</v>
      </c>
      <c r="C9112" t="str">
        <f t="shared" si="349"/>
        <v>Active</v>
      </c>
    </row>
    <row r="9113" spans="1:3" ht="18" customHeight="1">
      <c r="A9113" t="str">
        <f>"77-8140-0002"</f>
        <v>77-8140-0002</v>
      </c>
      <c r="B9113" t="str">
        <f>"LM7 Content, Lab, CNCMilling w/BenchMill 6000(M)"</f>
        <v>LM7 Content, Lab, CNCMilling w/BenchMill 6000(M)</v>
      </c>
      <c r="C9113" t="str">
        <f t="shared" si="349"/>
        <v>Active</v>
      </c>
    </row>
    <row r="9114" spans="1:3" ht="18" customHeight="1">
      <c r="A9114" t="str">
        <f>"77-8141-0001"</f>
        <v>77-8141-0001</v>
      </c>
      <c r="B9114" t="str">
        <f>"LM7 Content, Lab, CNC Turning w/BenchTurn 7000"</f>
        <v>LM7 Content, Lab, CNC Turning w/BenchTurn 7000</v>
      </c>
      <c r="C9114" t="str">
        <f t="shared" si="349"/>
        <v>Active</v>
      </c>
    </row>
    <row r="9115" spans="1:3" ht="18" customHeight="1">
      <c r="A9115" t="str">
        <f>"77-8141-0002"</f>
        <v>77-8141-0002</v>
      </c>
      <c r="B9115" t="str">
        <f>"LM7 Content, Lab, CNCTurning w/BenchTurn 7000(M)"</f>
        <v>LM7 Content, Lab, CNCTurning w/BenchTurn 7000(M)</v>
      </c>
      <c r="C9115" t="str">
        <f t="shared" si="349"/>
        <v>Active</v>
      </c>
    </row>
    <row r="9116" spans="1:3" ht="18" customHeight="1">
      <c r="A9116" t="str">
        <f>"77-8142-0001"</f>
        <v>77-8142-0001</v>
      </c>
      <c r="B9116" t="str">
        <f>"LM7 Content, Lab, CNC Milling w/ProMill 8000"</f>
        <v>LM7 Content, Lab, CNC Milling w/ProMill 8000</v>
      </c>
      <c r="C9116" t="str">
        <f t="shared" si="349"/>
        <v>Active</v>
      </c>
    </row>
    <row r="9117" spans="1:3" ht="18" customHeight="1">
      <c r="A9117" t="str">
        <f>"77-8142-0002"</f>
        <v>77-8142-0002</v>
      </c>
      <c r="B9117" t="str">
        <f>"LM7 Content, Lab, CNC Milling w/ProMill 8000 (M)"</f>
        <v>LM7 Content, Lab, CNC Milling w/ProMill 8000 (M)</v>
      </c>
      <c r="C9117" t="str">
        <f t="shared" si="349"/>
        <v>Active</v>
      </c>
    </row>
    <row r="9118" spans="1:3" ht="18" customHeight="1">
      <c r="A9118" t="str">
        <f>"77-8142-0002ES"</f>
        <v>77-8142-0002ES</v>
      </c>
      <c r="B9118" t="str">
        <f>"LM7 Content, Lab,ES, CNCMilling ProMill 8000 (M)"</f>
        <v>LM7 Content, Lab,ES, CNCMilling ProMill 8000 (M)</v>
      </c>
      <c r="C9118" t="str">
        <f t="shared" si="349"/>
        <v>Active</v>
      </c>
    </row>
    <row r="9119" spans="1:3" ht="18" customHeight="1">
      <c r="A9119" t="str">
        <f>"77-8143-0001"</f>
        <v>77-8143-0001</v>
      </c>
      <c r="B9119" t="str">
        <f>"LM7 Content, Lab, CNC Turning w/ProTurn 9000"</f>
        <v>LM7 Content, Lab, CNC Turning w/ProTurn 9000</v>
      </c>
      <c r="C9119" t="str">
        <f t="shared" si="349"/>
        <v>Active</v>
      </c>
    </row>
    <row r="9120" spans="1:3" ht="18" customHeight="1">
      <c r="A9120" t="str">
        <f>"77-8143-0002"</f>
        <v>77-8143-0002</v>
      </c>
      <c r="B9120" t="str">
        <f>"LM7 Content, Lab, CNC Turning w/ProTurn 9000 (M)"</f>
        <v>LM7 Content, Lab, CNC Turning w/ProTurn 9000 (M)</v>
      </c>
      <c r="C9120" t="str">
        <f t="shared" si="349"/>
        <v>Active</v>
      </c>
    </row>
    <row r="9121" spans="1:3" ht="18" customHeight="1">
      <c r="A9121" t="str">
        <f>"77-8150-0001"</f>
        <v>77-8150-0001</v>
      </c>
      <c r="B9121" t="str">
        <f>"LM7 Content, Lab, Intro. to Communications"</f>
        <v>LM7 Content, Lab, Intro. to Communications</v>
      </c>
      <c r="C9121" t="str">
        <f t="shared" si="349"/>
        <v>Active</v>
      </c>
    </row>
    <row r="9122" spans="1:3" ht="18" customHeight="1">
      <c r="A9122" t="str">
        <f>"77-8151-0001"</f>
        <v>77-8151-0001</v>
      </c>
      <c r="B9122" t="str">
        <f>"LM7 Content, Lab, Digital Video Editing"</f>
        <v>LM7 Content, Lab, Digital Video Editing</v>
      </c>
      <c r="C9122" t="str">
        <f t="shared" si="349"/>
        <v>Active</v>
      </c>
    </row>
    <row r="9123" spans="1:3" ht="18" customHeight="1">
      <c r="A9123" t="str">
        <f>"77-8152-0001"</f>
        <v>77-8152-0001</v>
      </c>
      <c r="B9123" t="str">
        <f>"LM7 Content, Lab, Digital Photo Editing"</f>
        <v>LM7 Content, Lab, Digital Photo Editing</v>
      </c>
      <c r="C9123" t="str">
        <f t="shared" si="349"/>
        <v>Active</v>
      </c>
    </row>
    <row r="9124" spans="1:3" ht="18" customHeight="1">
      <c r="A9124" t="str">
        <f>"77-8153-0001"</f>
        <v>77-8153-0001</v>
      </c>
      <c r="B9124" t="str">
        <f>"LM7 Content, Lab, Graphic Design"</f>
        <v>LM7 Content, Lab, Graphic Design</v>
      </c>
      <c r="C9124" t="str">
        <f t="shared" si="349"/>
        <v>Active</v>
      </c>
    </row>
    <row r="9125" spans="1:3" ht="18" customHeight="1">
      <c r="A9125" t="str">
        <f>"77-8154-0001"</f>
        <v>77-8154-0001</v>
      </c>
      <c r="B9125" t="str">
        <f>"LM7 Content, Lab, Intro. to Industrial Design"</f>
        <v>LM7 Content, Lab, Intro. to Industrial Design</v>
      </c>
      <c r="C9125" t="str">
        <f t="shared" si="349"/>
        <v>Active</v>
      </c>
    </row>
    <row r="9126" spans="1:3" ht="18" customHeight="1">
      <c r="A9126" t="str">
        <f>"77-8155-0010"</f>
        <v>77-8155-0010</v>
      </c>
      <c r="B9126" t="str">
        <f>"LM7 Content,Lab, Advanced Engineering-Semester I"</f>
        <v>LM7 Content,Lab, Advanced Engineering-Semester I</v>
      </c>
      <c r="C9126" t="str">
        <f t="shared" si="349"/>
        <v>Active</v>
      </c>
    </row>
    <row r="9127" spans="1:3" ht="18" customHeight="1">
      <c r="A9127" t="str">
        <f>"77-8155-0020"</f>
        <v>77-8155-0020</v>
      </c>
      <c r="B9127" t="str">
        <f>"LM7 Content,Lab,Advanced Engineering-Semester II"</f>
        <v>LM7 Content,Lab,Advanced Engineering-Semester II</v>
      </c>
      <c r="C9127" t="str">
        <f>"New"</f>
        <v>New</v>
      </c>
    </row>
    <row r="9128" spans="1:3" ht="18" customHeight="1">
      <c r="A9128" t="str">
        <f>"77-8156-0000"</f>
        <v>77-8156-0000</v>
      </c>
      <c r="B9128" t="str">
        <f>"LM7 Content, Lab, Introduction Robotics Cyton300"</f>
        <v>LM7 Content, Lab, Introduction Robotics Cyton300</v>
      </c>
      <c r="C9128" t="str">
        <f t="shared" ref="C9128:C9133" si="350">"Active"</f>
        <v>Active</v>
      </c>
    </row>
    <row r="9129" spans="1:3" ht="18" customHeight="1">
      <c r="A9129" t="str">
        <f>"77-8156-0000-L"</f>
        <v>77-8156-0000-L</v>
      </c>
      <c r="B9129" t="str">
        <f>"OL Content, Intro Robotics Cyton, 1 Year Lease"</f>
        <v>OL Content, Intro Robotics Cyton, 1 Year Lease</v>
      </c>
      <c r="C9129" t="str">
        <f t="shared" si="350"/>
        <v>Active</v>
      </c>
    </row>
    <row r="9130" spans="1:3" ht="18" customHeight="1">
      <c r="A9130" t="str">
        <f>"77-8157-0000"</f>
        <v>77-8157-0000</v>
      </c>
      <c r="B9130" t="str">
        <f>"LM7 Content, Lab, Introduction to 3D Printing"</f>
        <v>LM7 Content, Lab, Introduction to 3D Printing</v>
      </c>
      <c r="C9130" t="str">
        <f t="shared" si="350"/>
        <v>Active</v>
      </c>
    </row>
    <row r="9131" spans="1:3" ht="18" customHeight="1">
      <c r="A9131" t="str">
        <f>"77-8157-0000-L"</f>
        <v>77-8157-0000-L</v>
      </c>
      <c r="B9131" t="str">
        <f>"OL Content, Intro. to 3D Printing, 1 Year Lease"</f>
        <v>OL Content, Intro. to 3D Printing, 1 Year Lease</v>
      </c>
      <c r="C9131" t="str">
        <f t="shared" si="350"/>
        <v>Active</v>
      </c>
    </row>
    <row r="9132" spans="1:3" ht="18" customHeight="1">
      <c r="A9132" t="str">
        <f>"77-8158-0000"</f>
        <v>77-8158-0000</v>
      </c>
      <c r="B9132" t="str">
        <f>"LM7 Content, Lab, Advanced Robotics Cyton300"</f>
        <v>LM7 Content, Lab, Advanced Robotics Cyton300</v>
      </c>
      <c r="C9132" t="str">
        <f t="shared" si="350"/>
        <v>Active</v>
      </c>
    </row>
    <row r="9133" spans="1:3" ht="18" customHeight="1">
      <c r="A9133" t="str">
        <f>"77-8158-0000-L"</f>
        <v>77-8158-0000-L</v>
      </c>
      <c r="B9133" t="str">
        <f>"OL Content, Adv. Robotics Cyton, 1 Year Lease"</f>
        <v>OL Content, Adv. Robotics Cyton, 1 Year Lease</v>
      </c>
      <c r="C9133" t="str">
        <f t="shared" si="350"/>
        <v>Active</v>
      </c>
    </row>
    <row r="9134" spans="1:3" ht="18" customHeight="1">
      <c r="A9134" t="str">
        <f>"77-8160-0001"</f>
        <v>77-8160-0001</v>
      </c>
      <c r="B9134" t="str">
        <f>"LM7 Content, Lab, Intro to CNC Routers VcarvePro"</f>
        <v>LM7 Content, Lab, Intro to CNC Routers VcarvePro</v>
      </c>
      <c r="C9134" t="str">
        <f>"New"</f>
        <v>New</v>
      </c>
    </row>
    <row r="9135" spans="1:3" ht="18" customHeight="1">
      <c r="A9135" t="str">
        <f>"77-8160-0001-L"</f>
        <v>77-8160-0001-L</v>
      </c>
      <c r="B9135" t="str">
        <f>"OL Content, Intro to CNC Routers, 1 Year Lease"</f>
        <v>OL Content, Intro to CNC Routers, 1 Year Lease</v>
      </c>
      <c r="C9135" t="str">
        <f>"New"</f>
        <v>New</v>
      </c>
    </row>
    <row r="9136" spans="1:3" ht="18" customHeight="1">
      <c r="A9136" t="str">
        <f>"77-8180-0000"</f>
        <v>77-8180-0000</v>
      </c>
      <c r="B9136" t="str">
        <f>"LM7 Content, Lab, IEPS"</f>
        <v>LM7 Content, Lab, IEPS</v>
      </c>
      <c r="C9136" t="str">
        <f>"New"</f>
        <v>New</v>
      </c>
    </row>
    <row r="9137" spans="1:3" ht="18" customHeight="1">
      <c r="A9137" t="str">
        <f>"77-8180-0010"</f>
        <v>77-8180-0010</v>
      </c>
      <c r="B9137" t="str">
        <f>"LM7 Content, Lab, IEPS, part II"</f>
        <v>LM7 Content, Lab, IEPS, part II</v>
      </c>
      <c r="C9137" t="str">
        <f>"New"</f>
        <v>New</v>
      </c>
    </row>
    <row r="9138" spans="1:3" ht="18" customHeight="1">
      <c r="A9138" t="str">
        <f>"77-AIM1-0001"</f>
        <v>77-AIM1-0001</v>
      </c>
      <c r="B9138" t="str">
        <f>"LM7 Content, Vir, AIM Teacher's Guide"</f>
        <v>LM7 Content, Vir, AIM Teacher's Guide</v>
      </c>
      <c r="C9138" t="str">
        <f t="shared" ref="C9138:C9169" si="351">"Active"</f>
        <v>Active</v>
      </c>
    </row>
    <row r="9139" spans="1:3" ht="18" customHeight="1">
      <c r="A9139" t="str">
        <f>"77-AIM1-0011"</f>
        <v>77-AIM1-0011</v>
      </c>
      <c r="B9139" t="str">
        <f>"LM7 Content, Vir, AIM Unit 1 - Bridge Eng"</f>
        <v>LM7 Content, Vir, AIM Unit 1 - Bridge Eng</v>
      </c>
      <c r="C9139" t="str">
        <f t="shared" si="351"/>
        <v>Active</v>
      </c>
    </row>
    <row r="9140" spans="1:3" ht="18" customHeight="1">
      <c r="A9140" t="str">
        <f>"77-AIM1-0021"</f>
        <v>77-AIM1-0021</v>
      </c>
      <c r="B9140" t="str">
        <f>"LM7 Content, Vir, AIM Unit 2 - Ord. Dis"</f>
        <v>LM7 Content, Vir, AIM Unit 2 - Ord. Dis</v>
      </c>
      <c r="C9140" t="str">
        <f t="shared" si="351"/>
        <v>Active</v>
      </c>
    </row>
    <row r="9141" spans="1:3" ht="18" customHeight="1">
      <c r="A9141" t="str">
        <f>"77-AIM1-0031"</f>
        <v>77-AIM1-0031</v>
      </c>
      <c r="B9141" t="str">
        <f>"LM7 Content, Vir, AIM Unit 3 - Robo Soccer Part1"</f>
        <v>LM7 Content, Vir, AIM Unit 3 - Robo Soccer Part1</v>
      </c>
      <c r="C9141" t="str">
        <f t="shared" si="351"/>
        <v>Active</v>
      </c>
    </row>
    <row r="9142" spans="1:3" ht="18" customHeight="1">
      <c r="A9142" t="str">
        <f>"77-AIM1-0032"</f>
        <v>77-AIM1-0032</v>
      </c>
      <c r="B9142" t="str">
        <f>"LM7 Content, Vir, AIM Unit 3 - Robo Soccer Part2"</f>
        <v>LM7 Content, Vir, AIM Unit 3 - Robo Soccer Part2</v>
      </c>
      <c r="C9142" t="str">
        <f t="shared" si="351"/>
        <v>Active</v>
      </c>
    </row>
    <row r="9143" spans="1:3" ht="18" customHeight="1">
      <c r="A9143" t="str">
        <f>"77-AIM1-0041"</f>
        <v>77-AIM1-0041</v>
      </c>
      <c r="B9143" t="str">
        <f>"LM7 Content, Vir, AIM Unit 4 - 3 Kg Lift"</f>
        <v>LM7 Content, Vir, AIM Unit 4 - 3 Kg Lift</v>
      </c>
      <c r="C9143" t="str">
        <f t="shared" si="351"/>
        <v>Active</v>
      </c>
    </row>
    <row r="9144" spans="1:3" ht="18" customHeight="1">
      <c r="A9144" t="str">
        <f>"77-AIM1-0051"</f>
        <v>77-AIM1-0051</v>
      </c>
      <c r="B9144" t="str">
        <f>"LM7 Content, Vir, AIM Unit 5 - Auto Nav."</f>
        <v>LM7 Content, Vir, AIM Unit 5 - Auto Nav.</v>
      </c>
      <c r="C9144" t="str">
        <f t="shared" si="351"/>
        <v>Active</v>
      </c>
    </row>
    <row r="9145" spans="1:3" ht="18" customHeight="1">
      <c r="A9145" t="str">
        <f>"77-AIM1-0061"</f>
        <v>77-AIM1-0061</v>
      </c>
      <c r="B9145" t="str">
        <f>"LM7 Content, Vir, AIM Unit 6 -Robot Comp"</f>
        <v>LM7 Content, Vir, AIM Unit 6 -Robot Comp</v>
      </c>
      <c r="C9145" t="str">
        <f t="shared" si="351"/>
        <v>Active</v>
      </c>
    </row>
    <row r="9146" spans="1:3" ht="18" customHeight="1">
      <c r="A9146" t="str">
        <f>"77-BA01A-0001"</f>
        <v>77-BA01A-0001</v>
      </c>
      <c r="B9146" t="str">
        <f>"LM7 Content, JM, Math for Technicians I"</f>
        <v>LM7 Content, JM, Math for Technicians I</v>
      </c>
      <c r="C9146" t="str">
        <f t="shared" si="351"/>
        <v>Active</v>
      </c>
    </row>
    <row r="9147" spans="1:3" ht="18" customHeight="1">
      <c r="A9147" t="str">
        <f>"77-BA01B-0001"</f>
        <v>77-BA01B-0001</v>
      </c>
      <c r="B9147" t="str">
        <f>"LM7 Content, JM, Math For Technicians II"</f>
        <v>LM7 Content, JM, Math For Technicians II</v>
      </c>
      <c r="C9147" t="str">
        <f t="shared" si="351"/>
        <v>Active</v>
      </c>
    </row>
    <row r="9148" spans="1:3" ht="18" customHeight="1">
      <c r="A9148" t="str">
        <f>"77-BA02-0001"</f>
        <v>77-BA02-0001</v>
      </c>
      <c r="B9148" t="str">
        <f>"LM7 Content, JM, Blue Print Reading"</f>
        <v>LM7 Content, JM, Blue Print Reading</v>
      </c>
      <c r="C9148" t="str">
        <f t="shared" si="351"/>
        <v>Active</v>
      </c>
    </row>
    <row r="9149" spans="1:3" ht="18" customHeight="1">
      <c r="A9149" t="str">
        <f>"77-BA03-0001"</f>
        <v>77-BA03-0001</v>
      </c>
      <c r="B9149" t="str">
        <f>"LM7 Content, JM, Lubrication for Technicians"</f>
        <v>LM7 Content, JM, Lubrication for Technicians</v>
      </c>
      <c r="C9149" t="str">
        <f t="shared" si="351"/>
        <v>Active</v>
      </c>
    </row>
    <row r="9150" spans="1:3" ht="18" customHeight="1">
      <c r="A9150" t="str">
        <f>"77-BA04-0001"</f>
        <v>77-BA04-0001</v>
      </c>
      <c r="B9150" t="str">
        <f>"LM7 Content, JM, Fasteners"</f>
        <v>LM7 Content, JM, Fasteners</v>
      </c>
      <c r="C9150" t="str">
        <f t="shared" si="351"/>
        <v>Active</v>
      </c>
    </row>
    <row r="9151" spans="1:3" ht="18" customHeight="1">
      <c r="A9151" t="str">
        <f>"77-BA05-0001"</f>
        <v>77-BA05-0001</v>
      </c>
      <c r="B9151" t="str">
        <f>"LM7 Content, JM, Hand Tools"</f>
        <v>LM7 Content, JM, Hand Tools</v>
      </c>
      <c r="C9151" t="str">
        <f t="shared" si="351"/>
        <v>Active</v>
      </c>
    </row>
    <row r="9152" spans="1:3" ht="18" customHeight="1">
      <c r="A9152" t="str">
        <f>"77-BA06-0001"</f>
        <v>77-BA06-0001</v>
      </c>
      <c r="B9152" t="str">
        <f>"LM7 Content, JM, Power Tools"</f>
        <v>LM7 Content, JM, Power Tools</v>
      </c>
      <c r="C9152" t="str">
        <f t="shared" si="351"/>
        <v>Active</v>
      </c>
    </row>
    <row r="9153" spans="1:3" ht="18" customHeight="1">
      <c r="A9153" t="str">
        <f>"77-BOOT-0001"</f>
        <v>77-BOOT-0001</v>
      </c>
      <c r="B9153" t="str">
        <f>"LM7 Content, Robot Boot Camp"</f>
        <v>LM7 Content, Robot Boot Camp</v>
      </c>
      <c r="C9153" t="str">
        <f t="shared" si="351"/>
        <v>Active</v>
      </c>
    </row>
    <row r="9154" spans="1:3" ht="18" customHeight="1">
      <c r="A9154" t="str">
        <f>"77-EA01A-0000"</f>
        <v>77-EA01A-0000</v>
      </c>
      <c r="B9154" t="str">
        <f>"LM7 Content, JM, Electrical Circuits"</f>
        <v>LM7 Content, JM, Electrical Circuits</v>
      </c>
      <c r="C9154" t="str">
        <f t="shared" si="351"/>
        <v>Active</v>
      </c>
    </row>
    <row r="9155" spans="1:3" ht="18" customHeight="1">
      <c r="A9155" t="str">
        <f>"77-EA01A-0000ES"</f>
        <v>77-EA01A-0000ES</v>
      </c>
      <c r="B9155" t="str">
        <f>"LM7 Content, ES,  JM, Electrical Circuits"</f>
        <v>LM7 Content, ES,  JM, Electrical Circuits</v>
      </c>
      <c r="C9155" t="str">
        <f t="shared" si="351"/>
        <v>Active</v>
      </c>
    </row>
    <row r="9156" spans="1:3" ht="18" customHeight="1">
      <c r="A9156" t="str">
        <f>"77-EA01A-0000PT"</f>
        <v>77-EA01A-0000PT</v>
      </c>
      <c r="B9156" t="str">
        <f>"LM7 Content, PT, Lab, JM, Electrical Circuits"</f>
        <v>LM7 Content, PT, Lab, JM, Electrical Circuits</v>
      </c>
      <c r="C9156" t="str">
        <f t="shared" si="351"/>
        <v>Active</v>
      </c>
    </row>
    <row r="9157" spans="1:3" ht="18" customHeight="1">
      <c r="A9157" t="str">
        <f>"77-EA01B-0000"</f>
        <v>77-EA01B-0000</v>
      </c>
      <c r="B9157" t="str">
        <f>"LM7 Content, JM, Resistors &amp; Conductors"</f>
        <v>LM7 Content, JM, Resistors &amp; Conductors</v>
      </c>
      <c r="C9157" t="str">
        <f t="shared" si="351"/>
        <v>Active</v>
      </c>
    </row>
    <row r="9158" spans="1:3" ht="18" customHeight="1">
      <c r="A9158" t="str">
        <f>"77-EA01B-0000ES"</f>
        <v>77-EA01B-0000ES</v>
      </c>
      <c r="B9158" t="str">
        <f>"LM7 Content, ES, JM, Resistors &amp; Conductors"</f>
        <v>LM7 Content, ES, JM, Resistors &amp; Conductors</v>
      </c>
      <c r="C9158" t="str">
        <f t="shared" si="351"/>
        <v>Active</v>
      </c>
    </row>
    <row r="9159" spans="1:3" ht="18" customHeight="1">
      <c r="A9159" t="str">
        <f>"77-EA01B-0000PT"</f>
        <v>77-EA01B-0000PT</v>
      </c>
      <c r="B9159" t="str">
        <f>"LM7 Content, PT, Lab, JM, Resistors &amp; Conductors"</f>
        <v>LM7 Content, PT, Lab, JM, Resistors &amp; Conductors</v>
      </c>
      <c r="C9159" t="str">
        <f t="shared" si="351"/>
        <v>Active</v>
      </c>
    </row>
    <row r="9160" spans="1:3" ht="18" customHeight="1">
      <c r="A9160" t="str">
        <f>"77-EA01C-0000"</f>
        <v>77-EA01C-0000</v>
      </c>
      <c r="B9160" t="str">
        <f>"LM7 Content, JM, LCR Circuits"</f>
        <v>LM7 Content, JM, LCR Circuits</v>
      </c>
      <c r="C9160" t="str">
        <f t="shared" si="351"/>
        <v>Active</v>
      </c>
    </row>
    <row r="9161" spans="1:3" ht="18" customHeight="1">
      <c r="A9161" t="str">
        <f>"77-EA01C-0000ES"</f>
        <v>77-EA01C-0000ES</v>
      </c>
      <c r="B9161" t="str">
        <f>"LM7 Content, ES, JM, LCR Circuits"</f>
        <v>LM7 Content, ES, JM, LCR Circuits</v>
      </c>
      <c r="C9161" t="str">
        <f t="shared" si="351"/>
        <v>Active</v>
      </c>
    </row>
    <row r="9162" spans="1:3" ht="18" customHeight="1">
      <c r="A9162" t="str">
        <f>"77-EA01C-0000PT"</f>
        <v>77-EA01C-0000PT</v>
      </c>
      <c r="B9162" t="str">
        <f>"LM7 Content, PT, Lab, JM, LCR Circuits"</f>
        <v>LM7 Content, PT, Lab, JM, LCR Circuits</v>
      </c>
      <c r="C9162" t="str">
        <f t="shared" si="351"/>
        <v>Active</v>
      </c>
    </row>
    <row r="9163" spans="1:3" ht="18" customHeight="1">
      <c r="A9163" t="str">
        <f>"77-EA01D-0000"</f>
        <v>77-EA01D-0000</v>
      </c>
      <c r="B9163" t="str">
        <f>"LM7 Content, JM, Motors &amp; Generators"</f>
        <v>LM7 Content, JM, Motors &amp; Generators</v>
      </c>
      <c r="C9163" t="str">
        <f t="shared" si="351"/>
        <v>Active</v>
      </c>
    </row>
    <row r="9164" spans="1:3" ht="18" customHeight="1">
      <c r="A9164" t="str">
        <f>"77-EA01D-0000ES"</f>
        <v>77-EA01D-0000ES</v>
      </c>
      <c r="B9164" t="str">
        <f>"LM7 Content, ES, JM, Motors &amp; Generators"</f>
        <v>LM7 Content, ES, JM, Motors &amp; Generators</v>
      </c>
      <c r="C9164" t="str">
        <f t="shared" si="351"/>
        <v>Active</v>
      </c>
    </row>
    <row r="9165" spans="1:3" ht="18" customHeight="1">
      <c r="A9165" t="str">
        <f>"77-EA01D-0000PT"</f>
        <v>77-EA01D-0000PT</v>
      </c>
      <c r="B9165" t="str">
        <f>"LM7 Content, PT, Lab, JM, Motors &amp; Generators"</f>
        <v>LM7 Content, PT, Lab, JM, Motors &amp; Generators</v>
      </c>
      <c r="C9165" t="str">
        <f t="shared" si="351"/>
        <v>Active</v>
      </c>
    </row>
    <row r="9166" spans="1:3" ht="18" customHeight="1">
      <c r="A9166" t="str">
        <f>"77-EA02-0000"</f>
        <v>77-EA02-0000</v>
      </c>
      <c r="B9166" t="str">
        <f>"LM7 Content, JM, Electric Circuit Protection"</f>
        <v>LM7 Content, JM, Electric Circuit Protection</v>
      </c>
      <c r="C9166" t="str">
        <f t="shared" si="351"/>
        <v>Active</v>
      </c>
    </row>
    <row r="9167" spans="1:3" ht="18" customHeight="1">
      <c r="A9167" t="str">
        <f>"77-EA02-0000ES"</f>
        <v>77-EA02-0000ES</v>
      </c>
      <c r="B9167" t="str">
        <f>"LM7 Content, ES, JM, Electric Circuit Protection"</f>
        <v>LM7 Content, ES, JM, Electric Circuit Protection</v>
      </c>
      <c r="C9167" t="str">
        <f t="shared" si="351"/>
        <v>Active</v>
      </c>
    </row>
    <row r="9168" spans="1:3" ht="18" customHeight="1">
      <c r="A9168" t="str">
        <f>"77-EA03-0000"</f>
        <v>77-EA03-0000</v>
      </c>
      <c r="B9168" t="str">
        <f>"LM7 Content, JM, 3 Phase Transformers"</f>
        <v>LM7 Content, JM, 3 Phase Transformers</v>
      </c>
      <c r="C9168" t="str">
        <f t="shared" si="351"/>
        <v>Active</v>
      </c>
    </row>
    <row r="9169" spans="1:3" ht="18" customHeight="1">
      <c r="A9169" t="str">
        <f>"77-EA03-0000ES"</f>
        <v>77-EA03-0000ES</v>
      </c>
      <c r="B9169" t="str">
        <f>"LM7 Content, ES, JM, 3 Phase Transformers"</f>
        <v>LM7 Content, ES, JM, 3 Phase Transformers</v>
      </c>
      <c r="C9169" t="str">
        <f t="shared" si="351"/>
        <v>Active</v>
      </c>
    </row>
    <row r="9170" spans="1:3" ht="18" customHeight="1">
      <c r="A9170" t="str">
        <f>"77-EA03-0000PT"</f>
        <v>77-EA03-0000PT</v>
      </c>
      <c r="B9170" t="str">
        <f>"LM7 Content, PT, Lab, JM, 3 Phase Transformers"</f>
        <v>LM7 Content, PT, Lab, JM, 3 Phase Transformers</v>
      </c>
      <c r="C9170" t="str">
        <f t="shared" ref="C9170:C9201" si="352">"Active"</f>
        <v>Active</v>
      </c>
    </row>
    <row r="9171" spans="1:3" ht="18" customHeight="1">
      <c r="A9171" t="str">
        <f>"77-EA04-0000"</f>
        <v>77-EA04-0000</v>
      </c>
      <c r="B9171" t="str">
        <f>"LM7 Content, JM, Electric Motors"</f>
        <v>LM7 Content, JM, Electric Motors</v>
      </c>
      <c r="C9171" t="str">
        <f t="shared" si="352"/>
        <v>Active</v>
      </c>
    </row>
    <row r="9172" spans="1:3" ht="18" customHeight="1">
      <c r="A9172" t="str">
        <f>"77-EA04-0000ES"</f>
        <v>77-EA04-0000ES</v>
      </c>
      <c r="B9172" t="str">
        <f>"LM7 Content, ES, JM, Electric Motors"</f>
        <v>LM7 Content, ES, JM, Electric Motors</v>
      </c>
      <c r="C9172" t="str">
        <f t="shared" si="352"/>
        <v>Active</v>
      </c>
    </row>
    <row r="9173" spans="1:3" ht="18" customHeight="1">
      <c r="A9173" t="str">
        <f>"77-EA07-0000"</f>
        <v>77-EA07-0000</v>
      </c>
      <c r="B9173" t="str">
        <f>"LM7 Content, JM, Electromagnetic Starters"</f>
        <v>LM7 Content, JM, Electromagnetic Starters</v>
      </c>
      <c r="C9173" t="str">
        <f t="shared" si="352"/>
        <v>Active</v>
      </c>
    </row>
    <row r="9174" spans="1:3" ht="18" customHeight="1">
      <c r="A9174" t="str">
        <f>"77-EA07-0000ES"</f>
        <v>77-EA07-0000ES</v>
      </c>
      <c r="B9174" t="str">
        <f>"LM7 Content, ES, JM, Electromagnetic Starters"</f>
        <v>LM7 Content, ES, JM, Electromagnetic Starters</v>
      </c>
      <c r="C9174" t="str">
        <f t="shared" si="352"/>
        <v>Active</v>
      </c>
    </row>
    <row r="9175" spans="1:3" ht="18" customHeight="1">
      <c r="A9175" t="str">
        <f>"77-EA08-0000"</f>
        <v>77-EA08-0000</v>
      </c>
      <c r="B9175" t="str">
        <f>"LM7 Content, JM, Relays and Timers"</f>
        <v>LM7 Content, JM, Relays and Timers</v>
      </c>
      <c r="C9175" t="str">
        <f t="shared" si="352"/>
        <v>Active</v>
      </c>
    </row>
    <row r="9176" spans="1:3" ht="18" customHeight="1">
      <c r="A9176" t="str">
        <f>"77-EA08-0000ES"</f>
        <v>77-EA08-0000ES</v>
      </c>
      <c r="B9176" t="str">
        <f>"LM7 Content, ES, JM, Relays and Timers"</f>
        <v>LM7 Content, ES, JM, Relays and Timers</v>
      </c>
      <c r="C9176" t="str">
        <f t="shared" si="352"/>
        <v>Active</v>
      </c>
    </row>
    <row r="9177" spans="1:3" ht="18" customHeight="1">
      <c r="A9177" t="str">
        <f>"77-EA09-0000"</f>
        <v>77-EA09-0000</v>
      </c>
      <c r="B9177" t="str">
        <f>"LM7 Content, JM, Pilot Devices"</f>
        <v>LM7 Content, JM, Pilot Devices</v>
      </c>
      <c r="C9177" t="str">
        <f t="shared" si="352"/>
        <v>Active</v>
      </c>
    </row>
    <row r="9178" spans="1:3" ht="18" customHeight="1">
      <c r="A9178" t="str">
        <f>"77-EA09-0000ES"</f>
        <v>77-EA09-0000ES</v>
      </c>
      <c r="B9178" t="str">
        <f>"LM7 Content, ES, JM, Pilot Devices"</f>
        <v>LM7 Content, ES, JM, Pilot Devices</v>
      </c>
      <c r="C9178" t="str">
        <f t="shared" si="352"/>
        <v>Active</v>
      </c>
    </row>
    <row r="9179" spans="1:3" ht="18" customHeight="1">
      <c r="A9179" t="str">
        <f>"77-EA11-0000"</f>
        <v>77-EA11-0000</v>
      </c>
      <c r="B9179" t="str">
        <f>"LM7 Content, JM, Solid State Voltage Starter"</f>
        <v>LM7 Content, JM, Solid State Voltage Starter</v>
      </c>
      <c r="C9179" t="str">
        <f t="shared" si="352"/>
        <v>Active</v>
      </c>
    </row>
    <row r="9180" spans="1:3" ht="18" customHeight="1">
      <c r="A9180" t="str">
        <f>"77-EA11-0000ES"</f>
        <v>77-EA11-0000ES</v>
      </c>
      <c r="B9180" t="str">
        <f>"LM7 Content, ES, JM, Solid State Voltage Starter"</f>
        <v>LM7 Content, ES, JM, Solid State Voltage Starter</v>
      </c>
      <c r="C9180" t="str">
        <f t="shared" si="352"/>
        <v>Active</v>
      </c>
    </row>
    <row r="9181" spans="1:3" ht="18" customHeight="1">
      <c r="A9181" t="str">
        <f>"77-EA12-0000"</f>
        <v>77-EA12-0000</v>
      </c>
      <c r="B9181" t="str">
        <f>"LM7 Content, JM, Electric Motor Drives"</f>
        <v>LM7 Content, JM, Electric Motor Drives</v>
      </c>
      <c r="C9181" t="str">
        <f t="shared" si="352"/>
        <v>Active</v>
      </c>
    </row>
    <row r="9182" spans="1:3" ht="18" customHeight="1">
      <c r="A9182" t="str">
        <f>"77-EA12-0000ES"</f>
        <v>77-EA12-0000ES</v>
      </c>
      <c r="B9182" t="str">
        <f>"LM7 Content, ES, JM, Electric Motor Drives"</f>
        <v>LM7 Content, ES, JM, Electric Motor Drives</v>
      </c>
      <c r="C9182" t="str">
        <f t="shared" si="352"/>
        <v>Active</v>
      </c>
    </row>
    <row r="9183" spans="1:3" ht="18" customHeight="1">
      <c r="A9183" t="str">
        <f>"77-EA16-0000"</f>
        <v>77-EA16-0000</v>
      </c>
      <c r="B9183" t="str">
        <f>"LM7 Content, JM, DC Motor Drives"</f>
        <v>LM7 Content, JM, DC Motor Drives</v>
      </c>
      <c r="C9183" t="str">
        <f t="shared" si="352"/>
        <v>Active</v>
      </c>
    </row>
    <row r="9184" spans="1:3" ht="18" customHeight="1">
      <c r="A9184" t="str">
        <f>"77-EA16-0000ES"</f>
        <v>77-EA16-0000ES</v>
      </c>
      <c r="B9184" t="str">
        <f>"LM7 Content, ES, JM, DC Motor Drives"</f>
        <v>LM7 Content, ES, JM, DC Motor Drives</v>
      </c>
      <c r="C9184" t="str">
        <f t="shared" si="352"/>
        <v>Active</v>
      </c>
    </row>
    <row r="9185" spans="1:3" ht="18" customHeight="1">
      <c r="A9185" t="str">
        <f>"77-EB01A-0000"</f>
        <v>77-EB01A-0000</v>
      </c>
      <c r="B9185" t="str">
        <f>"LM7 Content, JM, Oscilloscope"</f>
        <v>LM7 Content, JM, Oscilloscope</v>
      </c>
      <c r="C9185" t="str">
        <f t="shared" si="352"/>
        <v>Active</v>
      </c>
    </row>
    <row r="9186" spans="1:3" ht="18" customHeight="1">
      <c r="A9186" t="str">
        <f>"77-EB01B-0000"</f>
        <v>77-EB01B-0000</v>
      </c>
      <c r="B9186" t="str">
        <f>"LM7 Content, JM, Digital Multimeter"</f>
        <v>LM7 Content, JM, Digital Multimeter</v>
      </c>
      <c r="C9186" t="str">
        <f t="shared" si="352"/>
        <v>Active</v>
      </c>
    </row>
    <row r="9187" spans="1:3" ht="18" customHeight="1">
      <c r="A9187" t="str">
        <f>"77-EB01C-0000"</f>
        <v>77-EB01C-0000</v>
      </c>
      <c r="B9187" t="str">
        <f>"LM7 Content, JM, Digital Oscilloscope"</f>
        <v>LM7 Content, JM, Digital Oscilloscope</v>
      </c>
      <c r="C9187" t="str">
        <f t="shared" si="352"/>
        <v>Active</v>
      </c>
    </row>
    <row r="9188" spans="1:3" ht="18" customHeight="1">
      <c r="A9188" t="str">
        <f>"77-EB01C-0000ES"</f>
        <v>77-EB01C-0000ES</v>
      </c>
      <c r="B9188" t="str">
        <f>"LM7 Content, ES, JM, Digital Oscilloscope"</f>
        <v>LM7 Content, ES, JM, Digital Oscilloscope</v>
      </c>
      <c r="C9188" t="str">
        <f t="shared" si="352"/>
        <v>Active</v>
      </c>
    </row>
    <row r="9189" spans="1:3" ht="18" customHeight="1">
      <c r="A9189" t="str">
        <f>"77-EB02A-0000"</f>
        <v>77-EB02A-0000</v>
      </c>
      <c r="B9189" t="str">
        <f>"LM7 Content, JM, DC Power Supplies"</f>
        <v>LM7 Content, JM, DC Power Supplies</v>
      </c>
      <c r="C9189" t="str">
        <f t="shared" si="352"/>
        <v>Active</v>
      </c>
    </row>
    <row r="9190" spans="1:3" ht="18" customHeight="1">
      <c r="A9190" t="str">
        <f>"77-EB02A-0000ES"</f>
        <v>77-EB02A-0000ES</v>
      </c>
      <c r="B9190" t="str">
        <f>"LM7 Content, ES, JM, DC Power Supplies"</f>
        <v>LM7 Content, ES, JM, DC Power Supplies</v>
      </c>
      <c r="C9190" t="str">
        <f t="shared" si="352"/>
        <v>Active</v>
      </c>
    </row>
    <row r="9191" spans="1:3" ht="18" customHeight="1">
      <c r="A9191" t="str">
        <f>"77-EB02B-0000"</f>
        <v>77-EB02B-0000</v>
      </c>
      <c r="B9191" t="str">
        <f>"LM7 Content, JM, Single &amp; 3 Phase Power Supply"</f>
        <v>LM7 Content, JM, Single &amp; 3 Phase Power Supply</v>
      </c>
      <c r="C9191" t="str">
        <f t="shared" si="352"/>
        <v>Active</v>
      </c>
    </row>
    <row r="9192" spans="1:3" ht="18" customHeight="1">
      <c r="A9192" t="str">
        <f>"77-EB02B-0000ES"</f>
        <v>77-EB02B-0000ES</v>
      </c>
      <c r="B9192" t="str">
        <f>"LM7 Content,ES,JM, Single &amp; 3 Phase Power Supply"</f>
        <v>LM7 Content,ES,JM, Single &amp; 3 Phase Power Supply</v>
      </c>
      <c r="C9192" t="str">
        <f t="shared" si="352"/>
        <v>Active</v>
      </c>
    </row>
    <row r="9193" spans="1:3" ht="18" customHeight="1">
      <c r="A9193" t="str">
        <f>"77-EB02B-0000PT"</f>
        <v>77-EB02B-0000PT</v>
      </c>
      <c r="B9193" t="str">
        <f>"LM7 Content, PT, Lab, JM,1&amp;3 Phase Power Supply"</f>
        <v>LM7 Content, PT, Lab, JM,1&amp;3 Phase Power Supply</v>
      </c>
      <c r="C9193" t="str">
        <f t="shared" si="352"/>
        <v>Active</v>
      </c>
    </row>
    <row r="9194" spans="1:3" ht="18" customHeight="1">
      <c r="A9194" t="str">
        <f>"77-EB03-0000"</f>
        <v>77-EB03-0000</v>
      </c>
      <c r="B9194" t="str">
        <f>"LM7 Content, JM, Thyristor Motor Drives"</f>
        <v>LM7 Content, JM, Thyristor Motor Drives</v>
      </c>
      <c r="C9194" t="str">
        <f t="shared" si="352"/>
        <v>Active</v>
      </c>
    </row>
    <row r="9195" spans="1:3" ht="18" customHeight="1">
      <c r="A9195" t="str">
        <f>"77-EB03-0000ES"</f>
        <v>77-EB03-0000ES</v>
      </c>
      <c r="B9195" t="str">
        <f>"LM7 Content, ES, JM, Thyristor Motor Drives"</f>
        <v>LM7 Content, ES, JM, Thyristor Motor Drives</v>
      </c>
      <c r="C9195" t="str">
        <f t="shared" si="352"/>
        <v>Active</v>
      </c>
    </row>
    <row r="9196" spans="1:3" ht="18" customHeight="1">
      <c r="A9196" t="str">
        <f>"77-EB04-0000"</f>
        <v>77-EB04-0000</v>
      </c>
      <c r="B9196" t="str">
        <f>"LM7 Content, JM, Electronic Timers &amp; Triggers"</f>
        <v>LM7 Content, JM, Electronic Timers &amp; Triggers</v>
      </c>
      <c r="C9196" t="str">
        <f t="shared" si="352"/>
        <v>Active</v>
      </c>
    </row>
    <row r="9197" spans="1:3" ht="18" customHeight="1">
      <c r="A9197" t="str">
        <f>"77-EB04-0000ES"</f>
        <v>77-EB04-0000ES</v>
      </c>
      <c r="B9197" t="str">
        <f>"LM7 Content,ES, JM, Electronic Timers &amp; Triggers"</f>
        <v>LM7 Content,ES, JM, Electronic Timers &amp; Triggers</v>
      </c>
      <c r="C9197" t="str">
        <f t="shared" si="352"/>
        <v>Active</v>
      </c>
    </row>
    <row r="9198" spans="1:3" ht="18" customHeight="1">
      <c r="A9198" t="str">
        <f>"77-EB05-0000"</f>
        <v>77-EB05-0000</v>
      </c>
      <c r="B9198" t="str">
        <f>"LM7 Content, JM, Basic Stepper Motors &amp; Drives"</f>
        <v>LM7 Content, JM, Basic Stepper Motors &amp; Drives</v>
      </c>
      <c r="C9198" t="str">
        <f t="shared" si="352"/>
        <v>Active</v>
      </c>
    </row>
    <row r="9199" spans="1:3" ht="18" customHeight="1">
      <c r="A9199" t="str">
        <f>"77-EB05-0000ES"</f>
        <v>77-EB05-0000ES</v>
      </c>
      <c r="B9199" t="str">
        <f>"LM7 Content,ES,JM, Basic Stepper Motors &amp; Drives"</f>
        <v>LM7 Content,ES,JM, Basic Stepper Motors &amp; Drives</v>
      </c>
      <c r="C9199" t="str">
        <f t="shared" si="352"/>
        <v>Active</v>
      </c>
    </row>
    <row r="9200" spans="1:3" ht="18" customHeight="1">
      <c r="A9200" t="str">
        <f>"77-EB06-0000"</f>
        <v>77-EB06-0000</v>
      </c>
      <c r="B9200" t="str">
        <f>"LM7 Content, JM, Basic Servo Motor Drives"</f>
        <v>LM7 Content, JM, Basic Servo Motor Drives</v>
      </c>
      <c r="C9200" t="str">
        <f t="shared" si="352"/>
        <v>Active</v>
      </c>
    </row>
    <row r="9201" spans="1:3" ht="18" customHeight="1">
      <c r="A9201" t="str">
        <f>"77-EB06-0000ES"</f>
        <v>77-EB06-0000ES</v>
      </c>
      <c r="B9201" t="str">
        <f>"LM7 Content, ES, JM, Basic Servo Motor Drives"</f>
        <v>LM7 Content, ES, JM, Basic Servo Motor Drives</v>
      </c>
      <c r="C9201" t="str">
        <f t="shared" si="352"/>
        <v>Active</v>
      </c>
    </row>
    <row r="9202" spans="1:3" ht="18" customHeight="1">
      <c r="A9202" t="str">
        <f>"77-EMMC-0000"</f>
        <v>77-EMMC-0000</v>
      </c>
      <c r="B9202" t="str">
        <f>"LM7 Content, JM, Instructor's Guide"</f>
        <v>LM7 Content, JM, Instructor's Guide</v>
      </c>
      <c r="C9202" t="str">
        <f t="shared" ref="C9202:C9227" si="353">"Active"</f>
        <v>Active</v>
      </c>
    </row>
    <row r="9203" spans="1:3" ht="18" customHeight="1">
      <c r="A9203" t="str">
        <f>"77-JM04-0000"</f>
        <v>77-JM04-0000</v>
      </c>
      <c r="B9203" t="str">
        <f>"LM7 Content, Lab,JM04 Motor Control TS"</f>
        <v>LM7 Content, Lab,JM04 Motor Control TS</v>
      </c>
      <c r="C9203" t="str">
        <f t="shared" si="353"/>
        <v>Active</v>
      </c>
    </row>
    <row r="9204" spans="1:3" ht="18" customHeight="1">
      <c r="A9204" t="str">
        <f>"77-JM06A-0000"</f>
        <v>77-JM06A-0000</v>
      </c>
      <c r="B9204" t="str">
        <f>"LM7 Content, Lab,JM06A Electric&amp;Electronic TS"</f>
        <v>LM7 Content, Lab,JM06A Electric&amp;Electronic TS</v>
      </c>
      <c r="C9204" t="str">
        <f t="shared" si="353"/>
        <v>Active</v>
      </c>
    </row>
    <row r="9205" spans="1:3" ht="18" customHeight="1">
      <c r="A9205" t="str">
        <f>"77-JM06B-0000"</f>
        <v>77-JM06B-0000</v>
      </c>
      <c r="B9205" t="str">
        <f>"LM7 Content, Lab,JM06B Electric&amp;Electronic TS"</f>
        <v>LM7 Content, Lab,JM06B Electric&amp;Electronic TS</v>
      </c>
      <c r="C9205" t="str">
        <f t="shared" si="353"/>
        <v>Active</v>
      </c>
    </row>
    <row r="9206" spans="1:3" ht="18" customHeight="1">
      <c r="A9206" t="str">
        <f>"77-LOTO-0000"</f>
        <v>77-LOTO-0000</v>
      </c>
      <c r="B9206" t="str">
        <f>"LM7 Content, JM, Safety, Lock Out/Tag Out"</f>
        <v>LM7 Content, JM, Safety, Lock Out/Tag Out</v>
      </c>
      <c r="C9206" t="str">
        <f t="shared" si="353"/>
        <v>Active</v>
      </c>
    </row>
    <row r="9207" spans="1:3" ht="18" customHeight="1">
      <c r="A9207" t="str">
        <f>"77-ME01-0001"</f>
        <v>77-ME01-0001</v>
      </c>
      <c r="B9207" t="str">
        <f>"LM7 Content, JM, Basic Machines"</f>
        <v>LM7 Content, JM, Basic Machines</v>
      </c>
      <c r="C9207" t="str">
        <f t="shared" si="353"/>
        <v>Active</v>
      </c>
    </row>
    <row r="9208" spans="1:3" ht="18" customHeight="1">
      <c r="A9208" t="str">
        <f>"77-ME01-0001ES"</f>
        <v>77-ME01-0001ES</v>
      </c>
      <c r="B9208" t="str">
        <f>"LM7 Content, ES, JM, Basic Machines"</f>
        <v>LM7 Content, ES, JM, Basic Machines</v>
      </c>
      <c r="C9208" t="str">
        <f t="shared" si="353"/>
        <v>Active</v>
      </c>
    </row>
    <row r="9209" spans="1:3" ht="18" customHeight="1">
      <c r="A9209" t="str">
        <f>"77-ME02-0001"</f>
        <v>77-ME02-0001</v>
      </c>
      <c r="B9209" t="str">
        <f>"LM7 Content, JM, Machine Statics and Dynamics"</f>
        <v>LM7 Content, JM, Machine Statics and Dynamics</v>
      </c>
      <c r="C9209" t="str">
        <f t="shared" si="353"/>
        <v>Active</v>
      </c>
    </row>
    <row r="9210" spans="1:3" ht="18" customHeight="1">
      <c r="A9210" t="str">
        <f>"77-ME02-0001ES"</f>
        <v>77-ME02-0001ES</v>
      </c>
      <c r="B9210" t="str">
        <f>"LM7 Content, ES, JM, Machine Statics &amp; Dynamics"</f>
        <v>LM7 Content, ES, JM, Machine Statics &amp; Dynamics</v>
      </c>
      <c r="C9210" t="str">
        <f t="shared" si="353"/>
        <v>Active</v>
      </c>
    </row>
    <row r="9211" spans="1:3" ht="18" customHeight="1">
      <c r="A9211" t="str">
        <f>"77-ME03-0001"</f>
        <v>77-ME03-0001</v>
      </c>
      <c r="B9211" t="str">
        <f>"LM7 Content, JM, Machine Shafts and Keys"</f>
        <v>LM7 Content, JM, Machine Shafts and Keys</v>
      </c>
      <c r="C9211" t="str">
        <f t="shared" si="353"/>
        <v>Active</v>
      </c>
    </row>
    <row r="9212" spans="1:3" ht="18" customHeight="1">
      <c r="A9212" t="str">
        <f>"77-ME03-0001ES"</f>
        <v>77-ME03-0001ES</v>
      </c>
      <c r="B9212" t="str">
        <f>"LM7 Content, ES, JM, Machine Shafts and Keys"</f>
        <v>LM7 Content, ES, JM, Machine Shafts and Keys</v>
      </c>
      <c r="C9212" t="str">
        <f t="shared" si="353"/>
        <v>Active</v>
      </c>
    </row>
    <row r="9213" spans="1:3" ht="18" customHeight="1">
      <c r="A9213" t="str">
        <f>"77-ME04-0001"</f>
        <v>77-ME04-0001</v>
      </c>
      <c r="B9213" t="str">
        <f>"LM7 Content, JM, Bearings"</f>
        <v>LM7 Content, JM, Bearings</v>
      </c>
      <c r="C9213" t="str">
        <f t="shared" si="353"/>
        <v>Active</v>
      </c>
    </row>
    <row r="9214" spans="1:3" ht="18" customHeight="1">
      <c r="A9214" t="str">
        <f>"77-ME04-0001ES"</f>
        <v>77-ME04-0001ES</v>
      </c>
      <c r="B9214" t="str">
        <f>"LM7 Content, ES, JM, Bearings"</f>
        <v>LM7 Content, ES, JM, Bearings</v>
      </c>
      <c r="C9214" t="str">
        <f t="shared" si="353"/>
        <v>Active</v>
      </c>
    </row>
    <row r="9215" spans="1:3" ht="18" customHeight="1">
      <c r="A9215" t="str">
        <f>"77-ME05-0001"</f>
        <v>77-ME05-0001</v>
      </c>
      <c r="B9215" t="str">
        <f>"LM7 Content, JM, Belt Drives"</f>
        <v>LM7 Content, JM, Belt Drives</v>
      </c>
      <c r="C9215" t="str">
        <f t="shared" si="353"/>
        <v>Active</v>
      </c>
    </row>
    <row r="9216" spans="1:3" ht="18" customHeight="1">
      <c r="A9216" t="str">
        <f>"77-ME05-0001ES"</f>
        <v>77-ME05-0001ES</v>
      </c>
      <c r="B9216" t="str">
        <f>"LM7 Content, ES, JM, Belt Drives"</f>
        <v>LM7 Content, ES, JM, Belt Drives</v>
      </c>
      <c r="C9216" t="str">
        <f t="shared" si="353"/>
        <v>Active</v>
      </c>
    </row>
    <row r="9217" spans="1:3" ht="18" customHeight="1">
      <c r="A9217" t="str">
        <f>"77-ME06-0001"</f>
        <v>77-ME06-0001</v>
      </c>
      <c r="B9217" t="str">
        <f>"LM7 Content, JM, Chain Drives"</f>
        <v>LM7 Content, JM, Chain Drives</v>
      </c>
      <c r="C9217" t="str">
        <f t="shared" si="353"/>
        <v>Active</v>
      </c>
    </row>
    <row r="9218" spans="1:3" ht="18" customHeight="1">
      <c r="A9218" t="str">
        <f>"77-ME06-0001ES"</f>
        <v>77-ME06-0001ES</v>
      </c>
      <c r="B9218" t="str">
        <f>"LM7 Content, ES, JM, Chain Drives"</f>
        <v>LM7 Content, ES, JM, Chain Drives</v>
      </c>
      <c r="C9218" t="str">
        <f t="shared" si="353"/>
        <v>Active</v>
      </c>
    </row>
    <row r="9219" spans="1:3" ht="18" customHeight="1">
      <c r="A9219" t="str">
        <f>"77-ME07-0001"</f>
        <v>77-ME07-0001</v>
      </c>
      <c r="B9219" t="str">
        <f>"LM7 Content, JM, Machine Shaft Couplings"</f>
        <v>LM7 Content, JM, Machine Shaft Couplings</v>
      </c>
      <c r="C9219" t="str">
        <f t="shared" si="353"/>
        <v>Active</v>
      </c>
    </row>
    <row r="9220" spans="1:3" ht="18" customHeight="1">
      <c r="A9220" t="str">
        <f>"77-ME07-0001ES"</f>
        <v>77-ME07-0001ES</v>
      </c>
      <c r="B9220" t="str">
        <f>"LM7 Content, ES, JM, Machine Shaft Couplings"</f>
        <v>LM7 Content, ES, JM, Machine Shaft Couplings</v>
      </c>
      <c r="C9220" t="str">
        <f t="shared" si="353"/>
        <v>Active</v>
      </c>
    </row>
    <row r="9221" spans="1:3" ht="18" customHeight="1">
      <c r="A9221" t="str">
        <f>"77-ME08-0001"</f>
        <v>77-ME08-0001</v>
      </c>
      <c r="B9221" t="str">
        <f>"LM7 Content, JM, Gear Drives"</f>
        <v>LM7 Content, JM, Gear Drives</v>
      </c>
      <c r="C9221" t="str">
        <f t="shared" si="353"/>
        <v>Active</v>
      </c>
    </row>
    <row r="9222" spans="1:3" ht="18" customHeight="1">
      <c r="A9222" t="str">
        <f>"77-ME08-0001ES"</f>
        <v>77-ME08-0001ES</v>
      </c>
      <c r="B9222" t="str">
        <f>"LM7 Content, ES, JM, Gear Drives"</f>
        <v>LM7 Content, ES, JM, Gear Drives</v>
      </c>
      <c r="C9222" t="str">
        <f t="shared" si="353"/>
        <v>Active</v>
      </c>
    </row>
    <row r="9223" spans="1:3" ht="18" customHeight="1">
      <c r="A9223" t="str">
        <f>"77-ME09-0001"</f>
        <v>77-ME09-0001</v>
      </c>
      <c r="B9223" t="str">
        <f>"LM7 Content, JM, Machine Speed Reducers"</f>
        <v>LM7 Content, JM, Machine Speed Reducers</v>
      </c>
      <c r="C9223" t="str">
        <f t="shared" si="353"/>
        <v>Active</v>
      </c>
    </row>
    <row r="9224" spans="1:3" ht="18" customHeight="1">
      <c r="A9224" t="str">
        <f>"77-ME09-0001ES"</f>
        <v>77-ME09-0001ES</v>
      </c>
      <c r="B9224" t="str">
        <f>"LM7 Content, ES, JM, Machine Speed Reducers"</f>
        <v>LM7 Content, ES, JM, Machine Speed Reducers</v>
      </c>
      <c r="C9224" t="str">
        <f t="shared" si="353"/>
        <v>Active</v>
      </c>
    </row>
    <row r="9225" spans="1:3" ht="18" customHeight="1">
      <c r="A9225" t="str">
        <f>"77-ME10-0001"</f>
        <v>77-ME10-0001</v>
      </c>
      <c r="B9225" t="str">
        <f>"LM7 Content, JM, Electric Brakes"</f>
        <v>LM7 Content, JM, Electric Brakes</v>
      </c>
      <c r="C9225" t="str">
        <f t="shared" si="353"/>
        <v>Active</v>
      </c>
    </row>
    <row r="9226" spans="1:3" ht="18" customHeight="1">
      <c r="A9226" t="str">
        <f>"77-ME10-0001ES"</f>
        <v>77-ME10-0001ES</v>
      </c>
      <c r="B9226" t="str">
        <f>"LM7 Content, ES, JM, Electric Brakes"</f>
        <v>LM7 Content, ES, JM, Electric Brakes</v>
      </c>
      <c r="C9226" t="str">
        <f t="shared" si="353"/>
        <v>Active</v>
      </c>
    </row>
    <row r="9227" spans="1:3" ht="18" customHeight="1">
      <c r="A9227" t="str">
        <f>"77-ME11-0001"</f>
        <v>77-ME11-0001</v>
      </c>
      <c r="B9227" t="str">
        <f>"LM7 Content, JM, Laser Alignment"</f>
        <v>LM7 Content, JM, Laser Alignment</v>
      </c>
      <c r="C9227" t="str">
        <f t="shared" si="353"/>
        <v>Active</v>
      </c>
    </row>
    <row r="9228" spans="1:3" ht="18" customHeight="1">
      <c r="A9228" t="str">
        <f>"77-ME11-0001ES"</f>
        <v>77-ME11-0001ES</v>
      </c>
      <c r="B9228" t="str">
        <f>"LM7 Content, ES, JM, Laser Alignment"</f>
        <v>LM7 Content, ES, JM, Laser Alignment</v>
      </c>
      <c r="C9228" t="str">
        <f>"ECO+NFS"</f>
        <v>ECO+NFS</v>
      </c>
    </row>
    <row r="9229" spans="1:3" ht="18" customHeight="1">
      <c r="A9229" t="str">
        <f>"77-ME12-0001"</f>
        <v>77-ME12-0001</v>
      </c>
      <c r="B9229" t="str">
        <f>"LM7 Content, JM, Vibration Analysis"</f>
        <v>LM7 Content, JM, Vibration Analysis</v>
      </c>
      <c r="C9229" t="str">
        <f>"Active"</f>
        <v>Active</v>
      </c>
    </row>
    <row r="9230" spans="1:3" ht="18" customHeight="1">
      <c r="A9230" t="str">
        <f>"77-ME12-0001ES"</f>
        <v>77-ME12-0001ES</v>
      </c>
      <c r="B9230" t="str">
        <f>"LM7 Content, ES, JM, Vibration Analysis"</f>
        <v>LM7 Content, ES, JM, Vibration Analysis</v>
      </c>
      <c r="C9230" t="str">
        <f>"Active"</f>
        <v>Active</v>
      </c>
    </row>
    <row r="9231" spans="1:3" ht="18" customHeight="1">
      <c r="A9231" t="str">
        <f>"77-ME13-0001"</f>
        <v>77-ME13-0001</v>
      </c>
      <c r="B9231" t="str">
        <f>"LM7 Content, JM, Bearing Service Cart"</f>
        <v>LM7 Content, JM, Bearing Service Cart</v>
      </c>
      <c r="C9231" t="str">
        <f>"Active"</f>
        <v>Active</v>
      </c>
    </row>
    <row r="9232" spans="1:3" ht="18" customHeight="1">
      <c r="A9232" t="str">
        <f>"77-ME13-0001ES"</f>
        <v>77-ME13-0001ES</v>
      </c>
      <c r="B9232" t="str">
        <f>"LM7 Content, ES, JM, Bearing Service Cart"</f>
        <v>LM7 Content, ES, JM, Bearing Service Cart</v>
      </c>
      <c r="C9232" t="str">
        <f>"Active"</f>
        <v>Active</v>
      </c>
    </row>
    <row r="9233" spans="1:3" ht="18" customHeight="1">
      <c r="A9233" t="str">
        <f>"77-ZA00-1600"</f>
        <v>77-ZA00-1600</v>
      </c>
      <c r="B9233" t="str">
        <f>"LM7 Content, JM,  Maintenance Cell"</f>
        <v>LM7 Content, JM,  Maintenance Cell</v>
      </c>
      <c r="C9233" t="str">
        <f>"Active"</f>
        <v>Active</v>
      </c>
    </row>
    <row r="9234" spans="1:3" ht="18" customHeight="1">
      <c r="A9234" t="str">
        <f>"77-ZA00-1600ES"</f>
        <v>77-ZA00-1600ES</v>
      </c>
      <c r="B9234" t="str">
        <f>"LM7 Content, JM,  Maintenance Cell, ESPANOL"</f>
        <v>LM7 Content, JM,  Maintenance Cell, ESPANOL</v>
      </c>
      <c r="C9234" t="str">
        <f>"New"</f>
        <v>New</v>
      </c>
    </row>
    <row r="9235" spans="1:3" ht="18" customHeight="1">
      <c r="A9235" t="str">
        <f>"78-3501-0001"</f>
        <v>78-3501-0001</v>
      </c>
      <c r="B9235" t="str">
        <f>"Introduction to Coding 1 yr. Content Pack"</f>
        <v>Introduction to Coding 1 yr. Content Pack</v>
      </c>
      <c r="C9235" t="str">
        <f>"Active"</f>
        <v>Active</v>
      </c>
    </row>
    <row r="9236" spans="1:3" ht="18" customHeight="1">
      <c r="A9236" t="str">
        <f>"78-3501-0002"</f>
        <v>78-3501-0002</v>
      </c>
      <c r="B9236" t="str">
        <f>"Introduction to Coding 2 yr. Content Pack"</f>
        <v>Introduction to Coding 2 yr. Content Pack</v>
      </c>
      <c r="C9236" t="str">
        <f>"Active"</f>
        <v>Active</v>
      </c>
    </row>
    <row r="9237" spans="1:3" ht="18" customHeight="1">
      <c r="A9237" t="str">
        <f>"78-3501-0003"</f>
        <v>78-3501-0003</v>
      </c>
      <c r="B9237" t="str">
        <f>"Introduction to Coding 3 yr. Content Pack"</f>
        <v>Introduction to Coding 3 yr. Content Pack</v>
      </c>
      <c r="C9237" t="str">
        <f>"Active"</f>
        <v>Active</v>
      </c>
    </row>
    <row r="9238" spans="1:3" ht="18" customHeight="1">
      <c r="A9238" t="str">
        <f>"78-3501-0004"</f>
        <v>78-3501-0004</v>
      </c>
      <c r="B9238" t="str">
        <f>"Introduction to Coding 4 yr. Content Pack"</f>
        <v>Introduction to Coding 4 yr. Content Pack</v>
      </c>
      <c r="C9238" t="str">
        <f>"Active"</f>
        <v>Active</v>
      </c>
    </row>
    <row r="9239" spans="1:3" ht="18" customHeight="1">
      <c r="A9239" t="str">
        <f>"999999"</f>
        <v>999999</v>
      </c>
      <c r="B9239" t="str">
        <f>"#cat number for reporting hours"</f>
        <v>#cat number for reporting hours</v>
      </c>
      <c r="C9239" t="str">
        <f>"Not for sale"</f>
        <v>Not for sale</v>
      </c>
    </row>
    <row r="9240" spans="1:3" ht="18" customHeight="1">
      <c r="A9240" t="str">
        <f>"APL0001"</f>
        <v>APL0001</v>
      </c>
      <c r="B9240" t="str">
        <f>"Green Robot application Set for Rotary Table"</f>
        <v>Green Robot application Set for Rotary Table</v>
      </c>
      <c r="C9240" t="str">
        <f>"ECO-N2Buy"</f>
        <v>ECO-N2Buy</v>
      </c>
    </row>
    <row r="9241" spans="1:3" ht="18" customHeight="1">
      <c r="A9241" t="str">
        <f>"APL0002"</f>
        <v>APL0002</v>
      </c>
      <c r="B9241" t="str">
        <f>"Plate Melamin 800x750x17mm"</f>
        <v>Plate Melamin 800x750x17mm</v>
      </c>
      <c r="C9241" t="str">
        <f>"ECO-N2Buy"</f>
        <v>ECO-N2Buy</v>
      </c>
    </row>
    <row r="9242" spans="1:3" ht="18" customHeight="1">
      <c r="A9242" t="str">
        <f>"APL0003"</f>
        <v>APL0003</v>
      </c>
      <c r="B9242" t="str">
        <f>"Plate for Green Robot Aplication"</f>
        <v>Plate for Green Robot Aplication</v>
      </c>
      <c r="C9242" t="str">
        <f>"Active"</f>
        <v>Active</v>
      </c>
    </row>
    <row r="9243" spans="1:3" ht="18" customHeight="1">
      <c r="A9243" t="str">
        <f>"APL0004"</f>
        <v>APL0004</v>
      </c>
      <c r="B9243" t="str">
        <f>"ITEM5 IT037.004 ,40x20,L=270mm"</f>
        <v>ITEM5 IT037.004 ,40x20,L=270mm</v>
      </c>
      <c r="C9243" t="str">
        <f>"ECO-N2Buy"</f>
        <v>ECO-N2Buy</v>
      </c>
    </row>
    <row r="9244" spans="1:3" ht="18" customHeight="1">
      <c r="A9244" t="str">
        <f>"APL0005"</f>
        <v>APL0005</v>
      </c>
      <c r="B9244" t="str">
        <f>"ITEM5 IT037.004 ,40x20,L=220mm Stand Support"</f>
        <v>ITEM5 IT037.004 ,40x20,L=220mm Stand Support</v>
      </c>
      <c r="C9244" t="str">
        <f>"ECO-N2Buy"</f>
        <v>ECO-N2Buy</v>
      </c>
    </row>
    <row r="9245" spans="1:3" ht="18" customHeight="1">
      <c r="A9245" t="str">
        <f>"APL0006"</f>
        <v>APL0006</v>
      </c>
      <c r="B9245" t="str">
        <f>"Support for Cyl"</f>
        <v>Support for Cyl</v>
      </c>
      <c r="C9245" t="str">
        <f>"Active"</f>
        <v>Active</v>
      </c>
    </row>
    <row r="9246" spans="1:3" ht="18" customHeight="1">
      <c r="A9246" t="str">
        <f>"APL0007"</f>
        <v>APL0007</v>
      </c>
      <c r="B9246" t="str">
        <f>"Cylinder Double+Bracket 16N2A10A040 +B10"</f>
        <v>Cylinder Double+Bracket 16N2A10A040 +B10</v>
      </c>
      <c r="C9246" t="str">
        <f>"ECO-N2Buy"</f>
        <v>ECO-N2Buy</v>
      </c>
    </row>
    <row r="9247" spans="1:3" ht="18" customHeight="1">
      <c r="A9247" t="str">
        <f>"APL0008"</f>
        <v>APL0008</v>
      </c>
      <c r="B9247" t="str">
        <f>"Electromagnet 12-24V"</f>
        <v>Electromagnet 12-24V</v>
      </c>
      <c r="C9247" t="str">
        <f>"ECO-N2Buy"</f>
        <v>ECO-N2Buy</v>
      </c>
    </row>
    <row r="9248" spans="1:3" ht="18" customHeight="1">
      <c r="A9248" t="str">
        <f>"APL0009"</f>
        <v>APL0009</v>
      </c>
      <c r="B9248" t="str">
        <f>"Mounting Set HydraFlex Double Sided slot.panel"</f>
        <v>Mounting Set HydraFlex Double Sided slot.panel</v>
      </c>
      <c r="C9248" t="str">
        <f>"Active"</f>
        <v>Active</v>
      </c>
    </row>
    <row r="9249" spans="1:3" ht="18" customHeight="1">
      <c r="A9249" t="str">
        <f>"APL0010"</f>
        <v>APL0010</v>
      </c>
      <c r="B9249" t="str">
        <f>"Mobile Mechanical Bench (ITEM8, 40x40) for JM"</f>
        <v>Mobile Mechanical Bench (ITEM8, 40x40) for JM</v>
      </c>
      <c r="C9249" t="str">
        <f>"Active"</f>
        <v>Active</v>
      </c>
    </row>
    <row r="9250" spans="1:3" ht="18" customHeight="1">
      <c r="A9250" t="str">
        <f>"APL0011"</f>
        <v>APL0011</v>
      </c>
      <c r="B9250" t="str">
        <f>"Support for Mobile Bench, JM, ITEM 40x40"</f>
        <v>Support for Mobile Bench, JM, ITEM 40x40</v>
      </c>
      <c r="C9250" t="str">
        <f>"Active"</f>
        <v>Active</v>
      </c>
    </row>
    <row r="9251" spans="1:3" ht="18" customHeight="1">
      <c r="A9251" t="str">
        <f>"APL0012"</f>
        <v>APL0012</v>
      </c>
      <c r="B9251" t="str">
        <f>"Profile ITEM 40x40L, L=1445mm, 00.26.33"</f>
        <v>Profile ITEM 40x40L, L=1445mm, 00.26.33</v>
      </c>
      <c r="C9251" t="str">
        <f>"Active"</f>
        <v>Active</v>
      </c>
    </row>
    <row r="9252" spans="1:3" ht="18" customHeight="1">
      <c r="A9252" t="str">
        <f>"APL0013"</f>
        <v>APL0013</v>
      </c>
      <c r="B9252" t="str">
        <f>"Profile ITEM 40x40L, L=740mm, 00.26.33"</f>
        <v>Profile ITEM 40x40L, L=740mm, 00.26.33</v>
      </c>
      <c r="C9252" t="str">
        <f>"Active"</f>
        <v>Active</v>
      </c>
    </row>
    <row r="9253" spans="1:3" ht="18" customHeight="1">
      <c r="A9253" t="str">
        <f>"APL0015"</f>
        <v>APL0015</v>
      </c>
      <c r="B9253" t="str">
        <f>"60""x28.5""x38.5"" (1515-Lite Slotted Profile)"</f>
        <v>60"x28.5"x38.5" (1515-Lite Slotted Profile)</v>
      </c>
      <c r="C9253" t="str">
        <f t="shared" ref="C9253:C9260" si="354">"New"</f>
        <v>New</v>
      </c>
    </row>
    <row r="9254" spans="1:3" ht="18" customHeight="1">
      <c r="A9254" t="str">
        <f>"APL0016"</f>
        <v>APL0016</v>
      </c>
      <c r="B9254" t="str">
        <f>"Support for Bench 28.5""x33.5"", 1515-Lite"</f>
        <v>Support for Bench 28.5"x33.5", 1515-Lite</v>
      </c>
      <c r="C9254" t="str">
        <f t="shared" si="354"/>
        <v>New</v>
      </c>
    </row>
    <row r="9255" spans="1:3" ht="18" customHeight="1">
      <c r="A9255" t="str">
        <f>"APL0017"</f>
        <v>APL0017</v>
      </c>
      <c r="B9255" t="str">
        <f>"Side Profile 1515-Lite, L=57"""</f>
        <v>Side Profile 1515-Lite, L=57"</v>
      </c>
      <c r="C9255" t="str">
        <f t="shared" si="354"/>
        <v>New</v>
      </c>
    </row>
    <row r="9256" spans="1:3" ht="18" customHeight="1">
      <c r="A9256" t="str">
        <f>"APL0018"</f>
        <v>APL0018</v>
      </c>
      <c r="B9256" t="str">
        <f>"Feet profile 1515-Lite, L=29"""</f>
        <v>Feet profile 1515-Lite, L=29"</v>
      </c>
      <c r="C9256" t="str">
        <f t="shared" si="354"/>
        <v>New</v>
      </c>
    </row>
    <row r="9257" spans="1:3" ht="18" customHeight="1">
      <c r="A9257" t="str">
        <f>"APL0019"</f>
        <v>APL0019</v>
      </c>
      <c r="B9257" t="str">
        <f>"Standard Fasterner 3880 (80/20)"</f>
        <v>Standard Fasterner 3880 (80/20)</v>
      </c>
      <c r="C9257" t="str">
        <f t="shared" si="354"/>
        <v>New</v>
      </c>
    </row>
    <row r="9258" spans="1:3" ht="18" customHeight="1">
      <c r="A9258" t="str">
        <f>"APL0020"</f>
        <v>APL0020</v>
      </c>
      <c r="B9258" t="str">
        <f>"4"" Swivel Castor w/Breake, 5/16"" screw, 2321?"</f>
        <v>4" Swivel Castor w/Breake, 5/16" screw, 2321?</v>
      </c>
      <c r="C9258" t="str">
        <f t="shared" si="354"/>
        <v>New</v>
      </c>
    </row>
    <row r="9259" spans="1:3" ht="18" customHeight="1">
      <c r="A9259" t="str">
        <f>"APL0021"</f>
        <v>APL0021</v>
      </c>
      <c r="B9259" t="str">
        <f>"EndCap Black 1515/1515-L, w/Push-ins, 2030-Plain"</f>
        <v>EndCap Black 1515/1515-L, w/Push-ins, 2030-Plain</v>
      </c>
      <c r="C9259" t="str">
        <f t="shared" si="354"/>
        <v>New</v>
      </c>
    </row>
    <row r="9260" spans="1:3" ht="18" customHeight="1">
      <c r="A9260" t="str">
        <f>"APL0022"</f>
        <v>APL0022</v>
      </c>
      <c r="B9260" t="str">
        <f>"15 S Flange Mount Caster Base plate 2420"</f>
        <v>15 S Flange Mount Caster Base plate 2420</v>
      </c>
      <c r="C9260" t="str">
        <f t="shared" si="354"/>
        <v>New</v>
      </c>
    </row>
    <row r="9261" spans="1:3" ht="18" customHeight="1">
      <c r="A9261" t="str">
        <f>"APL0023"</f>
        <v>APL0023</v>
      </c>
      <c r="B9261" t="str">
        <f>"Profile 80x40, IT 0026.34, L=255mm"</f>
        <v>Profile 80x40, IT 0026.34, L=255mm</v>
      </c>
      <c r="C9261" t="str">
        <f>"Active"</f>
        <v>Active</v>
      </c>
    </row>
    <row r="9262" spans="1:3" ht="18" customHeight="1">
      <c r="A9262" t="str">
        <f>"APL0024"</f>
        <v>APL0024</v>
      </c>
      <c r="B9262" t="str">
        <f>"Profile ITEM 8, 40x40L,00.26.33, L=1020mm"</f>
        <v>Profile ITEM 8, 40x40L,00.26.33, L=1020mm</v>
      </c>
      <c r="C9262" t="str">
        <f>"New"</f>
        <v>New</v>
      </c>
    </row>
    <row r="9263" spans="1:3" ht="18" customHeight="1">
      <c r="A9263" t="str">
        <f>"APL0025"</f>
        <v>APL0025</v>
      </c>
      <c r="B9263" t="str">
        <f>"Soldamatic Augmented Training Unit"</f>
        <v>Soldamatic Augmented Training Unit</v>
      </c>
      <c r="C9263" t="str">
        <f>"Active"</f>
        <v>Active</v>
      </c>
    </row>
    <row r="9264" spans="1:3" ht="18" customHeight="1">
      <c r="A9264" t="str">
        <f>"APL0026"</f>
        <v>APL0026</v>
      </c>
      <c r="B9264" t="str">
        <f>"Consumable electrode"</f>
        <v>Consumable electrode</v>
      </c>
      <c r="C9264" t="str">
        <f>"Active"</f>
        <v>Active</v>
      </c>
    </row>
    <row r="9265" spans="1:3" ht="18" customHeight="1">
      <c r="A9265" t="str">
        <f>"APL0027"</f>
        <v>APL0027</v>
      </c>
      <c r="B9265" t="str">
        <f>"Welding torches (GMAW/GTAW)"</f>
        <v>Welding torches (GMAW/GTAW)</v>
      </c>
      <c r="C9265" t="str">
        <f t="shared" ref="C9265:C9271" si="355">"New"</f>
        <v>New</v>
      </c>
    </row>
    <row r="9266" spans="1:3" ht="18" customHeight="1">
      <c r="A9266" t="str">
        <f>"APL0028"</f>
        <v>APL0028</v>
      </c>
      <c r="B9266" t="str">
        <f>"Router TP LINK TL-WR740N"</f>
        <v>Router TP LINK TL-WR740N</v>
      </c>
      <c r="C9266" t="str">
        <f t="shared" si="355"/>
        <v>New</v>
      </c>
    </row>
    <row r="9267" spans="1:3" ht="18" customHeight="1">
      <c r="A9267" t="str">
        <f>"APL0029"</f>
        <v>APL0029</v>
      </c>
      <c r="B9267" t="str">
        <f>"PLATE V-BUTT JOINT"</f>
        <v>PLATE V-BUTT JOINT</v>
      </c>
      <c r="C9267" t="str">
        <f t="shared" si="355"/>
        <v>New</v>
      </c>
    </row>
    <row r="9268" spans="1:3" ht="18" customHeight="1">
      <c r="A9268" t="str">
        <f>"APL0030"</f>
        <v>APL0030</v>
      </c>
      <c r="B9268" t="str">
        <f>"PIPE V-BUTT JOINT"</f>
        <v>PIPE V-BUTT JOINT</v>
      </c>
      <c r="C9268" t="str">
        <f t="shared" si="355"/>
        <v>New</v>
      </c>
    </row>
    <row r="9269" spans="1:3" ht="18" customHeight="1">
      <c r="A9269" t="str">
        <f>"APL0031"</f>
        <v>APL0031</v>
      </c>
      <c r="B9269" t="str">
        <f>"PIPE T-JOINT"</f>
        <v>PIPE T-JOINT</v>
      </c>
      <c r="C9269" t="str">
        <f t="shared" si="355"/>
        <v>New</v>
      </c>
    </row>
    <row r="9270" spans="1:3" ht="18" customHeight="1">
      <c r="A9270" t="str">
        <f>"APL0032"</f>
        <v>APL0032</v>
      </c>
      <c r="B9270" t="str">
        <f>"Welding gloves"</f>
        <v>Welding gloves</v>
      </c>
      <c r="C9270" t="str">
        <f t="shared" si="355"/>
        <v>New</v>
      </c>
    </row>
    <row r="9271" spans="1:3" ht="18" customHeight="1">
      <c r="A9271" t="str">
        <f>"APL0033"</f>
        <v>APL0033</v>
      </c>
      <c r="B9271" t="str">
        <f>"Work area black carpet"</f>
        <v>Work area black carpet</v>
      </c>
      <c r="C9271" t="str">
        <f t="shared" si="355"/>
        <v>New</v>
      </c>
    </row>
    <row r="9272" spans="1:3" ht="18" customHeight="1">
      <c r="A9272" t="str">
        <f>"APL0034"</f>
        <v>APL0034</v>
      </c>
      <c r="B9272" t="str">
        <f>"Work Stand"</f>
        <v>Work Stand</v>
      </c>
      <c r="C9272" t="str">
        <f>"Active"</f>
        <v>Active</v>
      </c>
    </row>
    <row r="9273" spans="1:3" ht="18" customHeight="1">
      <c r="A9273" t="str">
        <f>"APL0035"</f>
        <v>APL0035</v>
      </c>
      <c r="B9273" t="str">
        <f>"Soldamatic Server"</f>
        <v>Soldamatic Server</v>
      </c>
      <c r="C9273" t="str">
        <f>"Active"</f>
        <v>Active</v>
      </c>
    </row>
    <row r="9274" spans="1:3" ht="18" customHeight="1">
      <c r="A9274" t="str">
        <f>"APL0036"</f>
        <v>APL0036</v>
      </c>
      <c r="B9274" t="str">
        <f>"SAPP Liquid Level Process Plant; 110V"</f>
        <v>SAPP Liquid Level Process Plant; 110V</v>
      </c>
      <c r="C9274" t="str">
        <f>"Inactive"</f>
        <v>Inactive</v>
      </c>
    </row>
    <row r="9275" spans="1:3" ht="18" customHeight="1">
      <c r="A9275" t="str">
        <f>"APL0037"</f>
        <v>APL0037</v>
      </c>
      <c r="B9275" t="str">
        <f>"SAPP Air Pressure Process Plant; 110V"</f>
        <v>SAPP Air Pressure Process Plant; 110V</v>
      </c>
      <c r="C9275" t="str">
        <f>"Inactive"</f>
        <v>Inactive</v>
      </c>
    </row>
    <row r="9276" spans="1:3" ht="18" customHeight="1">
      <c r="A9276" t="str">
        <f>"APL0038"</f>
        <v>APL0038</v>
      </c>
      <c r="B9276" t="str">
        <f>"SAPP Air Pressure Process Plant; 110V"</f>
        <v>SAPP Air Pressure Process Plant; 110V</v>
      </c>
      <c r="C9276" t="str">
        <f t="shared" ref="C9276:C9318" si="356">"Active"</f>
        <v>Active</v>
      </c>
    </row>
    <row r="9277" spans="1:3" ht="18" customHeight="1">
      <c r="A9277" t="str">
        <f>"APL0039"</f>
        <v>APL0039</v>
      </c>
      <c r="B9277" t="str">
        <f>"TIG 200M Welding Machine"</f>
        <v>TIG 200M Welding Machine</v>
      </c>
      <c r="C9277" t="str">
        <f t="shared" si="356"/>
        <v>Active</v>
      </c>
    </row>
    <row r="9278" spans="1:3" ht="18" customHeight="1">
      <c r="A9278" t="str">
        <f>"APL0040"</f>
        <v>APL0040</v>
      </c>
      <c r="B9278" t="str">
        <f>"Argon handle 26 for WSM200"</f>
        <v>Argon handle 26 for WSM200</v>
      </c>
      <c r="C9278" t="str">
        <f t="shared" si="356"/>
        <v>Active</v>
      </c>
    </row>
    <row r="9279" spans="1:3" ht="18" customHeight="1">
      <c r="A9279" t="str">
        <f>"APL0041"</f>
        <v>APL0041</v>
      </c>
      <c r="B9279" t="str">
        <f>"Welding Frame +Curtain 1.8M x1,8M"</f>
        <v>Welding Frame +Curtain 1.8M x1,8M</v>
      </c>
      <c r="C9279" t="str">
        <f t="shared" si="356"/>
        <v>Active</v>
      </c>
    </row>
    <row r="9280" spans="1:3" ht="18" customHeight="1">
      <c r="A9280" t="str">
        <f>"APL0042"</f>
        <v>APL0042</v>
      </c>
      <c r="B9280" t="str">
        <f>"Rutile Electrode E6013 2.5mm"</f>
        <v>Rutile Electrode E6013 2.5mm</v>
      </c>
      <c r="C9280" t="str">
        <f t="shared" si="356"/>
        <v>Active</v>
      </c>
    </row>
    <row r="9281" spans="1:3" ht="18" customHeight="1">
      <c r="A9281" t="str">
        <f>"APL0043"</f>
        <v>APL0043</v>
      </c>
      <c r="B9281" t="str">
        <f>"CO2 wire 0.8mm"</f>
        <v>CO2 wire 0.8mm</v>
      </c>
      <c r="C9281" t="str">
        <f t="shared" si="356"/>
        <v>Active</v>
      </c>
    </row>
    <row r="9282" spans="1:3" ht="18" customHeight="1">
      <c r="A9282" t="str">
        <f>"APL0044"</f>
        <v>APL0044</v>
      </c>
      <c r="B9282" t="str">
        <f>"Electronic Welding Mask"</f>
        <v>Electronic Welding Mask</v>
      </c>
      <c r="C9282" t="str">
        <f t="shared" si="356"/>
        <v>Active</v>
      </c>
    </row>
    <row r="9283" spans="1:3" ht="18" customHeight="1">
      <c r="A9283" t="str">
        <f>"APL0045"</f>
        <v>APL0045</v>
      </c>
      <c r="B9283" t="str">
        <f>"Welding Apron (AP-6101L1)"</f>
        <v>Welding Apron (AP-6101L1)</v>
      </c>
      <c r="C9283" t="str">
        <f t="shared" si="356"/>
        <v>Active</v>
      </c>
    </row>
    <row r="9284" spans="1:3" ht="18" customHeight="1">
      <c r="A9284" t="str">
        <f>"APL0046"</f>
        <v>APL0046</v>
      </c>
      <c r="B9284" t="str">
        <f>"Welder Leather Sleeves (AP-9119)"</f>
        <v>Welder Leather Sleeves (AP-9119)</v>
      </c>
      <c r="C9284" t="str">
        <f t="shared" si="356"/>
        <v>Active</v>
      </c>
    </row>
    <row r="9285" spans="1:3" ht="18" customHeight="1">
      <c r="A9285" t="str">
        <f>"APL0047"</f>
        <v>APL0047</v>
      </c>
      <c r="B9285" t="str">
        <f>"Fortified fabric welding gloves"</f>
        <v>Fortified fabric welding gloves</v>
      </c>
      <c r="C9285" t="str">
        <f t="shared" si="356"/>
        <v>Active</v>
      </c>
    </row>
    <row r="9286" spans="1:3" ht="18" customHeight="1">
      <c r="A9286" t="str">
        <f>"APL0048"</f>
        <v>APL0048</v>
      </c>
      <c r="B9286" t="str">
        <f>"Thin gloves for argon weldiing"</f>
        <v>Thin gloves for argon weldiing</v>
      </c>
      <c r="C9286" t="str">
        <f t="shared" si="356"/>
        <v>Active</v>
      </c>
    </row>
    <row r="9287" spans="1:3" ht="18" customHeight="1">
      <c r="A9287" t="str">
        <f>"APL0049"</f>
        <v>APL0049</v>
      </c>
      <c r="B9287" t="str">
        <f>"Welder Jacket (Size XL)"</f>
        <v>Welder Jacket (Size XL)</v>
      </c>
      <c r="C9287" t="str">
        <f t="shared" si="356"/>
        <v>Active</v>
      </c>
    </row>
    <row r="9288" spans="1:3" ht="18" customHeight="1">
      <c r="A9288" t="str">
        <f>"APL0050"</f>
        <v>APL0050</v>
      </c>
      <c r="B9288" t="str">
        <f>"Spare Parts for TIG&amp;MIG handle"</f>
        <v>Spare Parts for TIG&amp;MIG handle</v>
      </c>
      <c r="C9288" t="str">
        <f t="shared" si="356"/>
        <v>Active</v>
      </c>
    </row>
    <row r="9289" spans="1:3" ht="18" customHeight="1">
      <c r="A9289" t="str">
        <f>"APL0051"</f>
        <v>APL0051</v>
      </c>
      <c r="B9289" t="str">
        <f>"Collet 1.6(17,18,26)-10N23"</f>
        <v>Collet 1.6(17,18,26)-10N23</v>
      </c>
      <c r="C9289" t="str">
        <f t="shared" si="356"/>
        <v>Active</v>
      </c>
    </row>
    <row r="9290" spans="1:3" ht="18" customHeight="1">
      <c r="A9290" t="str">
        <f>"APL0052"</f>
        <v>APL0052</v>
      </c>
      <c r="B9290" t="str">
        <f>"Collet Body 1.6(17,18,26)-10N31"</f>
        <v>Collet Body 1.6(17,18,26)-10N31</v>
      </c>
      <c r="C9290" t="str">
        <f t="shared" si="356"/>
        <v>Active</v>
      </c>
    </row>
    <row r="9291" spans="1:3" ht="18" customHeight="1">
      <c r="A9291" t="str">
        <f>"APL0053"</f>
        <v>APL0053</v>
      </c>
      <c r="B9291" t="str">
        <f>"Alumina Cup 6(17,18,26)-10N48"</f>
        <v>Alumina Cup 6(17,18,26)-10N48</v>
      </c>
      <c r="C9291" t="str">
        <f t="shared" si="356"/>
        <v>Active</v>
      </c>
    </row>
    <row r="9292" spans="1:3" ht="18" customHeight="1">
      <c r="A9292" t="str">
        <f>"APL0054"</f>
        <v>APL0054</v>
      </c>
      <c r="B9292" t="str">
        <f>"Long Back Cup (17,18,26)"</f>
        <v>Long Back Cup (17,18,26)</v>
      </c>
      <c r="C9292" t="str">
        <f t="shared" si="356"/>
        <v>Active</v>
      </c>
    </row>
    <row r="9293" spans="1:3" ht="18" customHeight="1">
      <c r="A9293" t="str">
        <f>"APL0055"</f>
        <v>APL0055</v>
      </c>
      <c r="B9293" t="str">
        <f>"Binzel 15 Handle, 4M Length"</f>
        <v>Binzel 15 Handle, 4M Length</v>
      </c>
      <c r="C9293" t="str">
        <f t="shared" si="356"/>
        <v>Active</v>
      </c>
    </row>
    <row r="9294" spans="1:3" ht="18" customHeight="1">
      <c r="A9294" t="str">
        <f>"APL0056"</f>
        <v>APL0056</v>
      </c>
      <c r="B9294" t="str">
        <f>"Regular Binzel 15 Mouth"</f>
        <v>Regular Binzel 15 Mouth</v>
      </c>
      <c r="C9294" t="str">
        <f t="shared" si="356"/>
        <v>Active</v>
      </c>
    </row>
    <row r="9295" spans="1:3" ht="18" customHeight="1">
      <c r="A9295" t="str">
        <f>"APL0057"</f>
        <v>APL0057</v>
      </c>
      <c r="B9295" t="str">
        <f>"Nozzle 1.0xM6 for Binzel 15"</f>
        <v>Nozzle 1.0xM6 for Binzel 15</v>
      </c>
      <c r="C9295" t="str">
        <f t="shared" si="356"/>
        <v>Active</v>
      </c>
    </row>
    <row r="9296" spans="1:3" ht="18" customHeight="1">
      <c r="A9296" t="str">
        <f>"APL0058"</f>
        <v>APL0058</v>
      </c>
      <c r="B9296" t="str">
        <f>"Nozzle House for Binzel 15"</f>
        <v>Nozzle House for Binzel 15</v>
      </c>
      <c r="C9296" t="str">
        <f t="shared" si="356"/>
        <v>Active</v>
      </c>
    </row>
    <row r="9297" spans="1:3" ht="18" customHeight="1">
      <c r="A9297" t="str">
        <f>"APL0059"</f>
        <v>APL0059</v>
      </c>
      <c r="B9297" t="str">
        <f>"Handle neck for Bizel 15"</f>
        <v>Handle neck for Bizel 15</v>
      </c>
      <c r="C9297" t="str">
        <f t="shared" si="356"/>
        <v>Active</v>
      </c>
    </row>
    <row r="9298" spans="1:3" ht="18" customHeight="1">
      <c r="A9298" t="str">
        <f>"APL0060"</f>
        <v>APL0060</v>
      </c>
      <c r="B9298" t="str">
        <f>"Blue Lead Handle for Binzel 15"</f>
        <v>Blue Lead Handle for Binzel 15</v>
      </c>
      <c r="C9298" t="str">
        <f t="shared" si="356"/>
        <v>Active</v>
      </c>
    </row>
    <row r="9299" spans="1:3" ht="18" customHeight="1">
      <c r="A9299" t="str">
        <f>"APL0061"</f>
        <v>APL0061</v>
      </c>
      <c r="B9299" t="str">
        <f>"Fume extractor arm original l=2m"</f>
        <v>Fume extractor arm original l=2m</v>
      </c>
      <c r="C9299" t="str">
        <f t="shared" si="356"/>
        <v>Active</v>
      </c>
    </row>
    <row r="9300" spans="1:3" ht="18" customHeight="1">
      <c r="A9300" t="str">
        <f>"APL0062"</f>
        <v>APL0062</v>
      </c>
      <c r="B9300" t="str">
        <f>"Welding table (set)"</f>
        <v>Welding table (set)</v>
      </c>
      <c r="C9300" t="str">
        <f t="shared" si="356"/>
        <v>Active</v>
      </c>
    </row>
    <row r="9301" spans="1:3" ht="18" customHeight="1">
      <c r="A9301" t="str">
        <f>"APL0063"</f>
        <v>APL0063</v>
      </c>
      <c r="B9301" t="str">
        <f>"20L Argon gas tank (for TIG welding)"</f>
        <v>20L Argon gas tank (for TIG welding)</v>
      </c>
      <c r="C9301" t="str">
        <f t="shared" si="356"/>
        <v>Active</v>
      </c>
    </row>
    <row r="9302" spans="1:3" ht="18" customHeight="1">
      <c r="A9302" t="str">
        <f>"APL0064"</f>
        <v>APL0064</v>
      </c>
      <c r="B9302" t="str">
        <f>"20L Argon refill"</f>
        <v>20L Argon refill</v>
      </c>
      <c r="C9302" t="str">
        <f t="shared" si="356"/>
        <v>Active</v>
      </c>
    </row>
    <row r="9303" spans="1:3" ht="18" customHeight="1">
      <c r="A9303" t="str">
        <f>"APL0065"</f>
        <v>APL0065</v>
      </c>
      <c r="B9303" t="str">
        <f>"20L Argon/CO2 gas tank (for MIG welding)"</f>
        <v>20L Argon/CO2 gas tank (for MIG welding)</v>
      </c>
      <c r="C9303" t="str">
        <f t="shared" si="356"/>
        <v>Active</v>
      </c>
    </row>
    <row r="9304" spans="1:3" ht="18" customHeight="1">
      <c r="A9304" t="str">
        <f>"APL0066"</f>
        <v>APL0066</v>
      </c>
      <c r="B9304" t="str">
        <f>"20L Argon/CO2 refill"</f>
        <v>20L Argon/CO2 refill</v>
      </c>
      <c r="C9304" t="str">
        <f t="shared" si="356"/>
        <v>Active</v>
      </c>
    </row>
    <row r="9305" spans="1:3" ht="18" customHeight="1">
      <c r="A9305" t="str">
        <f>"APL0067"</f>
        <v>APL0067</v>
      </c>
      <c r="B9305" t="str">
        <f>"WELDING GAS REGULATOR (TIG MIG Ar/CO2 MIX GAUGE)"</f>
        <v>WELDING GAS REGULATOR (TIG MIG Ar/CO2 MIX GAUGE)</v>
      </c>
      <c r="C9305" t="str">
        <f t="shared" si="356"/>
        <v>Active</v>
      </c>
    </row>
    <row r="9306" spans="1:3" ht="18" customHeight="1">
      <c r="A9306" t="str">
        <f>"APL0068"</f>
        <v>APL0068</v>
      </c>
      <c r="B9306" t="str">
        <f>"1.6mm Stainless Steel 308L Filler Rods (5KG)"</f>
        <v>1.6mm Stainless Steel 308L Filler Rods (5KG)</v>
      </c>
      <c r="C9306" t="str">
        <f t="shared" si="356"/>
        <v>Active</v>
      </c>
    </row>
    <row r="9307" spans="1:3" ht="18" customHeight="1">
      <c r="A9307" t="str">
        <f>"APL0069"</f>
        <v>APL0069</v>
      </c>
      <c r="B9307" t="str">
        <f>"Stainless steel sheet 150mm x 30mm x 1.5mm"</f>
        <v>Stainless steel sheet 150mm x 30mm x 1.5mm</v>
      </c>
      <c r="C9307" t="str">
        <f t="shared" si="356"/>
        <v>Active</v>
      </c>
    </row>
    <row r="9308" spans="1:3" ht="18" customHeight="1">
      <c r="A9308" t="str">
        <f>"APL0070"</f>
        <v>APL0070</v>
      </c>
      <c r="B9308" t="str">
        <f>"Stainless steel tube  ɸ40mm x 30mm x 1.5mm"</f>
        <v>Stainless steel tube  ɸ40mm x 30mm x 1.5mm</v>
      </c>
      <c r="C9308" t="str">
        <f t="shared" si="356"/>
        <v>Active</v>
      </c>
    </row>
    <row r="9309" spans="1:3" ht="18" customHeight="1">
      <c r="A9309" t="str">
        <f>"APL0071"</f>
        <v>APL0071</v>
      </c>
      <c r="B9309" t="str">
        <f>"Stainless steel sheet 50mm x 50mm x 2mm"</f>
        <v>Stainless steel sheet 50mm x 50mm x 2mm</v>
      </c>
      <c r="C9309" t="str">
        <f t="shared" si="356"/>
        <v>Active</v>
      </c>
    </row>
    <row r="9310" spans="1:3" ht="18" customHeight="1">
      <c r="A9310" t="str">
        <f>"APL0072"</f>
        <v>APL0072</v>
      </c>
      <c r="B9310" t="str">
        <f>"Carbon steel sheet 150mm x 30mm x 5mm"</f>
        <v>Carbon steel sheet 150mm x 30mm x 5mm</v>
      </c>
      <c r="C9310" t="str">
        <f t="shared" si="356"/>
        <v>Active</v>
      </c>
    </row>
    <row r="9311" spans="1:3" ht="18" customHeight="1">
      <c r="A9311" t="str">
        <f>"APL0073"</f>
        <v>APL0073</v>
      </c>
      <c r="B9311" t="str">
        <f>"Carbon steel tube  ɸ40mm x 30mm x 3mm"</f>
        <v>Carbon steel tube  ɸ40mm x 30mm x 3mm</v>
      </c>
      <c r="C9311" t="str">
        <f t="shared" si="356"/>
        <v>Active</v>
      </c>
    </row>
    <row r="9312" spans="1:3" ht="18" customHeight="1">
      <c r="A9312" t="str">
        <f>"APL0074"</f>
        <v>APL0074</v>
      </c>
      <c r="B9312" t="str">
        <f>"Carbon steel sheet50mm x 50mm x 5mm"</f>
        <v>Carbon steel sheet50mm x 50mm x 5mm</v>
      </c>
      <c r="C9312" t="str">
        <f t="shared" si="356"/>
        <v>Active</v>
      </c>
    </row>
    <row r="9313" spans="1:3" ht="18" customHeight="1">
      <c r="A9313" t="str">
        <f>"APL0075"</f>
        <v>APL0075</v>
      </c>
      <c r="B9313" t="str">
        <f>"Centrifugal Welding fume extractor 5.5kW[7.5hp]"</f>
        <v>Centrifugal Welding fume extractor 5.5kW[7.5hp]</v>
      </c>
      <c r="C9313" t="str">
        <f t="shared" si="356"/>
        <v>Active</v>
      </c>
    </row>
    <row r="9314" spans="1:3" ht="18" customHeight="1">
      <c r="A9314" t="str">
        <f>"APL0076"</f>
        <v>APL0076</v>
      </c>
      <c r="B9314" t="str">
        <f>"Centrifugal Welding fume extractor 11kW[15hp]"</f>
        <v>Centrifugal Welding fume extractor 11kW[15hp]</v>
      </c>
      <c r="C9314" t="str">
        <f t="shared" si="356"/>
        <v>Active</v>
      </c>
    </row>
    <row r="9315" spans="1:3" ht="18" customHeight="1">
      <c r="A9315" t="str">
        <f>"APL0077"</f>
        <v>APL0077</v>
      </c>
      <c r="B9315" t="str">
        <f>"Installation of welding exhaust system"</f>
        <v>Installation of welding exhaust system</v>
      </c>
      <c r="C9315" t="str">
        <f t="shared" si="356"/>
        <v>Active</v>
      </c>
    </row>
    <row r="9316" spans="1:3" ht="18" customHeight="1">
      <c r="A9316" t="str">
        <f>"APL0078"</f>
        <v>APL0078</v>
      </c>
      <c r="B9316" t="str">
        <f>"Variable-frequency drive / 5.5kw"</f>
        <v>Variable-frequency drive / 5.5kw</v>
      </c>
      <c r="C9316" t="str">
        <f t="shared" si="356"/>
        <v>Active</v>
      </c>
    </row>
    <row r="9317" spans="1:3" ht="18" customHeight="1">
      <c r="A9317" t="str">
        <f>"APL0079"</f>
        <v>APL0079</v>
      </c>
      <c r="B9317" t="str">
        <f>"Variable-frequency drive / 11kw"</f>
        <v>Variable-frequency drive / 11kw</v>
      </c>
      <c r="C9317" t="str">
        <f t="shared" si="356"/>
        <v>Active</v>
      </c>
    </row>
    <row r="9318" spans="1:3" ht="18" customHeight="1">
      <c r="A9318" t="str">
        <f>"BTB000"</f>
        <v>BTB000</v>
      </c>
      <c r="B9318" t="str">
        <f>"Items Back to Back"</f>
        <v>Items Back to Back</v>
      </c>
      <c r="C9318" t="str">
        <f t="shared" si="356"/>
        <v>Active</v>
      </c>
    </row>
    <row r="9319" spans="1:3" ht="18" customHeight="1">
      <c r="A9319" t="str">
        <f>"CA01-01"</f>
        <v>CA01-01</v>
      </c>
      <c r="C9319" t="str">
        <f t="shared" ref="C9319:C9359" si="357">"Not for sale"</f>
        <v>Not for sale</v>
      </c>
    </row>
    <row r="9320" spans="1:3" ht="18" customHeight="1">
      <c r="A9320" t="str">
        <f>"CA01-02"</f>
        <v>CA01-02</v>
      </c>
      <c r="C9320" t="str">
        <f t="shared" si="357"/>
        <v>Not for sale</v>
      </c>
    </row>
    <row r="9321" spans="1:3" ht="18" customHeight="1">
      <c r="A9321" t="str">
        <f>"CA01-04"</f>
        <v>CA01-04</v>
      </c>
      <c r="B9321" t="str">
        <f>"Dial Caliper 150"</f>
        <v>Dial Caliper 150</v>
      </c>
      <c r="C9321" t="str">
        <f t="shared" si="357"/>
        <v>Not for sale</v>
      </c>
    </row>
    <row r="9322" spans="1:3" ht="18" customHeight="1">
      <c r="A9322" t="str">
        <f>"CA01-05"</f>
        <v>CA01-05</v>
      </c>
      <c r="B9322" t="str">
        <f>"Vernier Caliper 150"</f>
        <v>Vernier Caliper 150</v>
      </c>
      <c r="C9322" t="str">
        <f t="shared" si="357"/>
        <v>Not for sale</v>
      </c>
    </row>
    <row r="9323" spans="1:3" ht="18" customHeight="1">
      <c r="A9323" t="str">
        <f>"CA01-11"</f>
        <v>CA01-11</v>
      </c>
      <c r="C9323" t="str">
        <f t="shared" si="357"/>
        <v>Not for sale</v>
      </c>
    </row>
    <row r="9324" spans="1:3" ht="18" customHeight="1">
      <c r="A9324" t="str">
        <f>"CA02-01"</f>
        <v>CA02-01</v>
      </c>
      <c r="C9324" t="str">
        <f t="shared" si="357"/>
        <v>Not for sale</v>
      </c>
    </row>
    <row r="9325" spans="1:3" ht="18" customHeight="1">
      <c r="A9325" t="str">
        <f>"CA02-03"</f>
        <v>CA02-03</v>
      </c>
      <c r="C9325" t="str">
        <f t="shared" si="357"/>
        <v>Not for sale</v>
      </c>
    </row>
    <row r="9326" spans="1:3" ht="18" customHeight="1">
      <c r="A9326" t="str">
        <f>"CA02-04"</f>
        <v>CA02-04</v>
      </c>
      <c r="C9326" t="str">
        <f t="shared" si="357"/>
        <v>Not for sale</v>
      </c>
    </row>
    <row r="9327" spans="1:3" ht="18" customHeight="1">
      <c r="A9327" t="str">
        <f>"CA02-05"</f>
        <v>CA02-05</v>
      </c>
      <c r="C9327" t="str">
        <f t="shared" si="357"/>
        <v>Not for sale</v>
      </c>
    </row>
    <row r="9328" spans="1:3" ht="18" customHeight="1">
      <c r="A9328" t="str">
        <f>"CA02-06"</f>
        <v>CA02-06</v>
      </c>
      <c r="C9328" t="str">
        <f t="shared" si="357"/>
        <v>Not for sale</v>
      </c>
    </row>
    <row r="9329" spans="1:3" ht="18" customHeight="1">
      <c r="A9329" t="str">
        <f>"CA02-09"</f>
        <v>CA02-09</v>
      </c>
      <c r="C9329" t="str">
        <f t="shared" si="357"/>
        <v>Not for sale</v>
      </c>
    </row>
    <row r="9330" spans="1:3" ht="18" customHeight="1">
      <c r="A9330" t="str">
        <f>"CA02-10"</f>
        <v>CA02-10</v>
      </c>
      <c r="C9330" t="str">
        <f t="shared" si="357"/>
        <v>Not for sale</v>
      </c>
    </row>
    <row r="9331" spans="1:3" ht="18" customHeight="1">
      <c r="A9331" t="str">
        <f>"CA02-11"</f>
        <v>CA02-11</v>
      </c>
      <c r="C9331" t="str">
        <f t="shared" si="357"/>
        <v>Not for sale</v>
      </c>
    </row>
    <row r="9332" spans="1:3" ht="18" customHeight="1">
      <c r="A9332" t="str">
        <f>"CA02-12"</f>
        <v>CA02-12</v>
      </c>
      <c r="C9332" t="str">
        <f t="shared" si="357"/>
        <v>Not for sale</v>
      </c>
    </row>
    <row r="9333" spans="1:3" ht="18" customHeight="1">
      <c r="A9333" t="str">
        <f>"CA03-01"</f>
        <v>CA03-01</v>
      </c>
      <c r="C9333" t="str">
        <f t="shared" si="357"/>
        <v>Not for sale</v>
      </c>
    </row>
    <row r="9334" spans="1:3" ht="18" customHeight="1">
      <c r="A9334" t="str">
        <f>"CA03-02"</f>
        <v>CA03-02</v>
      </c>
      <c r="C9334" t="str">
        <f t="shared" si="357"/>
        <v>Not for sale</v>
      </c>
    </row>
    <row r="9335" spans="1:3" ht="18" customHeight="1">
      <c r="A9335" t="str">
        <f>"CA03-03"</f>
        <v>CA03-03</v>
      </c>
      <c r="C9335" t="str">
        <f t="shared" si="357"/>
        <v>Not for sale</v>
      </c>
    </row>
    <row r="9336" spans="1:3" ht="18" customHeight="1">
      <c r="A9336" t="str">
        <f>"CA03-04"</f>
        <v>CA03-04</v>
      </c>
      <c r="C9336" t="str">
        <f t="shared" si="357"/>
        <v>Not for sale</v>
      </c>
    </row>
    <row r="9337" spans="1:3" ht="18" customHeight="1">
      <c r="A9337" t="str">
        <f>"CA03-05"</f>
        <v>CA03-05</v>
      </c>
      <c r="C9337" t="str">
        <f t="shared" si="357"/>
        <v>Not for sale</v>
      </c>
    </row>
    <row r="9338" spans="1:3" ht="18" customHeight="1">
      <c r="A9338" t="str">
        <f>"CA03-06"</f>
        <v>CA03-06</v>
      </c>
      <c r="C9338" t="str">
        <f t="shared" si="357"/>
        <v>Not for sale</v>
      </c>
    </row>
    <row r="9339" spans="1:3" ht="18" customHeight="1">
      <c r="A9339" t="str">
        <f>"CA03-07"</f>
        <v>CA03-07</v>
      </c>
      <c r="C9339" t="str">
        <f t="shared" si="357"/>
        <v>Not for sale</v>
      </c>
    </row>
    <row r="9340" spans="1:3" ht="18" customHeight="1">
      <c r="A9340" t="str">
        <f>"CA03-08"</f>
        <v>CA03-08</v>
      </c>
      <c r="C9340" t="str">
        <f t="shared" si="357"/>
        <v>Not for sale</v>
      </c>
    </row>
    <row r="9341" spans="1:3" ht="18" customHeight="1">
      <c r="A9341" t="str">
        <f>"CA03-09"</f>
        <v>CA03-09</v>
      </c>
      <c r="C9341" t="str">
        <f t="shared" si="357"/>
        <v>Not for sale</v>
      </c>
    </row>
    <row r="9342" spans="1:3" ht="18" customHeight="1">
      <c r="A9342" t="str">
        <f>"CA03-10"</f>
        <v>CA03-10</v>
      </c>
      <c r="C9342" t="str">
        <f t="shared" si="357"/>
        <v>Not for sale</v>
      </c>
    </row>
    <row r="9343" spans="1:3" ht="18" customHeight="1">
      <c r="A9343" t="str">
        <f>"CA03-11"</f>
        <v>CA03-11</v>
      </c>
      <c r="C9343" t="str">
        <f t="shared" si="357"/>
        <v>Not for sale</v>
      </c>
    </row>
    <row r="9344" spans="1:3" ht="18" customHeight="1">
      <c r="A9344" t="str">
        <f>"CA03-12"</f>
        <v>CA03-12</v>
      </c>
      <c r="C9344" t="str">
        <f t="shared" si="357"/>
        <v>Not for sale</v>
      </c>
    </row>
    <row r="9345" spans="1:3" ht="18" customHeight="1">
      <c r="A9345" t="str">
        <f>"CA03-13"</f>
        <v>CA03-13</v>
      </c>
      <c r="C9345" t="str">
        <f t="shared" si="357"/>
        <v>Not for sale</v>
      </c>
    </row>
    <row r="9346" spans="1:3" ht="18" customHeight="1">
      <c r="A9346" t="str">
        <f>"CA03-14"</f>
        <v>CA03-14</v>
      </c>
      <c r="C9346" t="str">
        <f t="shared" si="357"/>
        <v>Not for sale</v>
      </c>
    </row>
    <row r="9347" spans="1:3" ht="18" customHeight="1">
      <c r="A9347" t="str">
        <f>"CA03-15"</f>
        <v>CA03-15</v>
      </c>
      <c r="C9347" t="str">
        <f t="shared" si="357"/>
        <v>Not for sale</v>
      </c>
    </row>
    <row r="9348" spans="1:3" ht="18" customHeight="1">
      <c r="A9348" t="str">
        <f>"CA03-16"</f>
        <v>CA03-16</v>
      </c>
      <c r="C9348" t="str">
        <f t="shared" si="357"/>
        <v>Not for sale</v>
      </c>
    </row>
    <row r="9349" spans="1:3" ht="18" customHeight="1">
      <c r="A9349" t="str">
        <f>"CA04-01"</f>
        <v>CA04-01</v>
      </c>
      <c r="C9349" t="str">
        <f t="shared" si="357"/>
        <v>Not for sale</v>
      </c>
    </row>
    <row r="9350" spans="1:3" ht="18" customHeight="1">
      <c r="A9350" t="str">
        <f>"CA04-02"</f>
        <v>CA04-02</v>
      </c>
      <c r="C9350" t="str">
        <f t="shared" si="357"/>
        <v>Not for sale</v>
      </c>
    </row>
    <row r="9351" spans="1:3" ht="18" customHeight="1">
      <c r="A9351" t="str">
        <f>"CA04-03"</f>
        <v>CA04-03</v>
      </c>
      <c r="C9351" t="str">
        <f t="shared" si="357"/>
        <v>Not for sale</v>
      </c>
    </row>
    <row r="9352" spans="1:3" ht="18" customHeight="1">
      <c r="A9352" t="str">
        <f>"CA05-01"</f>
        <v>CA05-01</v>
      </c>
      <c r="B9352" t="str">
        <f>"Indecatore"</f>
        <v>Indecatore</v>
      </c>
      <c r="C9352" t="str">
        <f t="shared" si="357"/>
        <v>Not for sale</v>
      </c>
    </row>
    <row r="9353" spans="1:3" ht="18" customHeight="1">
      <c r="A9353" t="str">
        <f>"CA06-01"</f>
        <v>CA06-01</v>
      </c>
      <c r="C9353" t="str">
        <f t="shared" si="357"/>
        <v>Not for sale</v>
      </c>
    </row>
    <row r="9354" spans="1:3" ht="18" customHeight="1">
      <c r="A9354" t="str">
        <f>"CA06-02"</f>
        <v>CA06-02</v>
      </c>
      <c r="C9354" t="str">
        <f t="shared" si="357"/>
        <v>Not for sale</v>
      </c>
    </row>
    <row r="9355" spans="1:3" ht="18" customHeight="1">
      <c r="A9355" t="str">
        <f>"CA06-03"</f>
        <v>CA06-03</v>
      </c>
      <c r="C9355" t="str">
        <f t="shared" si="357"/>
        <v>Not for sale</v>
      </c>
    </row>
    <row r="9356" spans="1:3" ht="18" customHeight="1">
      <c r="A9356" t="str">
        <f>"CA09-01"</f>
        <v>CA09-01</v>
      </c>
      <c r="C9356" t="str">
        <f t="shared" si="357"/>
        <v>Not for sale</v>
      </c>
    </row>
    <row r="9357" spans="1:3" ht="18" customHeight="1">
      <c r="A9357" t="str">
        <f>"CA10-01"</f>
        <v>CA10-01</v>
      </c>
      <c r="C9357" t="str">
        <f t="shared" si="357"/>
        <v>Not for sale</v>
      </c>
    </row>
    <row r="9358" spans="1:3" ht="18" customHeight="1">
      <c r="A9358" t="str">
        <f>"CA11-01"</f>
        <v>CA11-01</v>
      </c>
      <c r="C9358" t="str">
        <f t="shared" si="357"/>
        <v>Not for sale</v>
      </c>
    </row>
    <row r="9359" spans="1:3" ht="18" customHeight="1">
      <c r="A9359" t="str">
        <f>"CA11-02"</f>
        <v>CA11-02</v>
      </c>
      <c r="C9359" t="str">
        <f t="shared" si="357"/>
        <v>Not for sale</v>
      </c>
    </row>
    <row r="9360" spans="1:3" ht="18" customHeight="1">
      <c r="A9360" t="str">
        <f>"CA11-03"</f>
        <v>CA11-03</v>
      </c>
      <c r="B9360" t="str">
        <f>"ZERODUR CALIBRATOR - 50MM"</f>
        <v>ZERODUR CALIBRATOR - 50MM</v>
      </c>
      <c r="C9360" t="str">
        <f>"Active"</f>
        <v>Active</v>
      </c>
    </row>
    <row r="9361" spans="1:3" ht="18" customHeight="1">
      <c r="A9361" t="str">
        <f>"CA12-01"</f>
        <v>CA12-01</v>
      </c>
      <c r="C9361" t="str">
        <f t="shared" ref="C9361:C9392" si="358">"Not for sale"</f>
        <v>Not for sale</v>
      </c>
    </row>
    <row r="9362" spans="1:3" ht="18" customHeight="1">
      <c r="A9362" t="str">
        <f>"CA13-01"</f>
        <v>CA13-01</v>
      </c>
      <c r="C9362" t="str">
        <f t="shared" si="358"/>
        <v>Not for sale</v>
      </c>
    </row>
    <row r="9363" spans="1:3" ht="18" customHeight="1">
      <c r="A9363" t="str">
        <f>"CA14-01"</f>
        <v>CA14-01</v>
      </c>
      <c r="B9363" t="str">
        <f>"Set punches 0-9"</f>
        <v>Set punches 0-9</v>
      </c>
      <c r="C9363" t="str">
        <f t="shared" si="358"/>
        <v>Not for sale</v>
      </c>
    </row>
    <row r="9364" spans="1:3" ht="18" customHeight="1">
      <c r="A9364" t="str">
        <f>"CA14-02"</f>
        <v>CA14-02</v>
      </c>
      <c r="B9364" t="str">
        <f>"Thread Gauge Male, M2-6H"</f>
        <v>Thread Gauge Male, M2-6H</v>
      </c>
      <c r="C9364" t="str">
        <f t="shared" si="358"/>
        <v>Not for sale</v>
      </c>
    </row>
    <row r="9365" spans="1:3" ht="18" customHeight="1">
      <c r="A9365" t="str">
        <f>"CA14-03"</f>
        <v>CA14-03</v>
      </c>
      <c r="B9365" t="str">
        <f>"Thread Gauge Male, M2.5-6H"</f>
        <v>Thread Gauge Male, M2.5-6H</v>
      </c>
      <c r="C9365" t="str">
        <f t="shared" si="358"/>
        <v>Not for sale</v>
      </c>
    </row>
    <row r="9366" spans="1:3" ht="18" customHeight="1">
      <c r="A9366" t="str">
        <f>"CA14-04"</f>
        <v>CA14-04</v>
      </c>
      <c r="B9366" t="str">
        <f>"Thread Gauge Male, M3X0.5-6H"</f>
        <v>Thread Gauge Male, M3X0.5-6H</v>
      </c>
      <c r="C9366" t="str">
        <f t="shared" si="358"/>
        <v>Not for sale</v>
      </c>
    </row>
    <row r="9367" spans="1:3" ht="18" customHeight="1">
      <c r="A9367" t="str">
        <f>"CA14-05"</f>
        <v>CA14-05</v>
      </c>
      <c r="B9367" t="str">
        <f>"Thread Gauge Male, M4-6H"</f>
        <v>Thread Gauge Male, M4-6H</v>
      </c>
      <c r="C9367" t="str">
        <f t="shared" si="358"/>
        <v>Not for sale</v>
      </c>
    </row>
    <row r="9368" spans="1:3" ht="18" customHeight="1">
      <c r="A9368" t="str">
        <f>"CA14-06"</f>
        <v>CA14-06</v>
      </c>
      <c r="B9368" t="str">
        <f>"Thread Gauge Male, M5X0.8-6H"</f>
        <v>Thread Gauge Male, M5X0.8-6H</v>
      </c>
      <c r="C9368" t="str">
        <f t="shared" si="358"/>
        <v>Not for sale</v>
      </c>
    </row>
    <row r="9369" spans="1:3" ht="18" customHeight="1">
      <c r="A9369" t="str">
        <f>"CA14-07"</f>
        <v>CA14-07</v>
      </c>
      <c r="B9369" t="str">
        <f>"Thread Gauge Male, M6-6H"</f>
        <v>Thread Gauge Male, M6-6H</v>
      </c>
      <c r="C9369" t="str">
        <f t="shared" si="358"/>
        <v>Not for sale</v>
      </c>
    </row>
    <row r="9370" spans="1:3" ht="18" customHeight="1">
      <c r="A9370" t="str">
        <f>"CA14-08"</f>
        <v>CA14-08</v>
      </c>
      <c r="B9370" t="str">
        <f>"Thread Gauge Male, M8-6H"</f>
        <v>Thread Gauge Male, M8-6H</v>
      </c>
      <c r="C9370" t="str">
        <f t="shared" si="358"/>
        <v>Not for sale</v>
      </c>
    </row>
    <row r="9371" spans="1:3" ht="18" customHeight="1">
      <c r="A9371" t="str">
        <f>"CA14-09"</f>
        <v>CA14-09</v>
      </c>
      <c r="B9371" t="str">
        <f>"Thread Gauge Male, M10-6H"</f>
        <v>Thread Gauge Male, M10-6H</v>
      </c>
      <c r="C9371" t="str">
        <f t="shared" si="358"/>
        <v>Not for sale</v>
      </c>
    </row>
    <row r="9372" spans="1:3" ht="18" customHeight="1">
      <c r="A9372" t="str">
        <f>"CA14-10"</f>
        <v>CA14-10</v>
      </c>
      <c r="B9372" t="str">
        <f>"Thread Gauge Male, M10X1.25-6H"</f>
        <v>Thread Gauge Male, M10X1.25-6H</v>
      </c>
      <c r="C9372" t="str">
        <f t="shared" si="358"/>
        <v>Not for sale</v>
      </c>
    </row>
    <row r="9373" spans="1:3" ht="18" customHeight="1">
      <c r="A9373" t="str">
        <f>"CA14-11"</f>
        <v>CA14-11</v>
      </c>
      <c r="B9373" t="str">
        <f>"Thread Gauge Male, M10X0.75-6H"</f>
        <v>Thread Gauge Male, M10X0.75-6H</v>
      </c>
      <c r="C9373" t="str">
        <f t="shared" si="358"/>
        <v>Not for sale</v>
      </c>
    </row>
    <row r="9374" spans="1:3" ht="18" customHeight="1">
      <c r="A9374" t="str">
        <f>"CA14-12"</f>
        <v>CA14-12</v>
      </c>
      <c r="B9374" t="str">
        <f>"Thread Gauge Male, M12X1.75-6H"</f>
        <v>Thread Gauge Male, M12X1.75-6H</v>
      </c>
      <c r="C9374" t="str">
        <f t="shared" si="358"/>
        <v>Not for sale</v>
      </c>
    </row>
    <row r="9375" spans="1:3" ht="18" customHeight="1">
      <c r="A9375" t="str">
        <f>"CA14-13"</f>
        <v>CA14-13</v>
      </c>
      <c r="B9375" t="str">
        <f>"Thread Gauge Male, M24X1-6H"</f>
        <v>Thread Gauge Male, M24X1-6H</v>
      </c>
      <c r="C9375" t="str">
        <f t="shared" si="358"/>
        <v>Not for sale</v>
      </c>
    </row>
    <row r="9376" spans="1:3" ht="18" customHeight="1">
      <c r="A9376" t="str">
        <f>"CA14-14"</f>
        <v>CA14-14</v>
      </c>
      <c r="B9376" t="str">
        <f>"Thread Gauge Male, M25X1.5-6H"</f>
        <v>Thread Gauge Male, M25X1.5-6H</v>
      </c>
      <c r="C9376" t="str">
        <f t="shared" si="358"/>
        <v>Not for sale</v>
      </c>
    </row>
    <row r="9377" spans="1:3" ht="18" customHeight="1">
      <c r="A9377" t="str">
        <f>"CA14-15"</f>
        <v>CA14-15</v>
      </c>
      <c r="B9377" t="str">
        <f>"Thread Gauge Male, M40X1-6H"</f>
        <v>Thread Gauge Male, M40X1-6H</v>
      </c>
      <c r="C9377" t="str">
        <f t="shared" si="358"/>
        <v>Not for sale</v>
      </c>
    </row>
    <row r="9378" spans="1:3" ht="18" customHeight="1">
      <c r="A9378" t="str">
        <f>"CA14-30"</f>
        <v>CA14-30</v>
      </c>
      <c r="B9378" t="str">
        <f>"Thread Gauge Male, 2-56UNC-2B"</f>
        <v>Thread Gauge Male, 2-56UNC-2B</v>
      </c>
      <c r="C9378" t="str">
        <f t="shared" si="358"/>
        <v>Not for sale</v>
      </c>
    </row>
    <row r="9379" spans="1:3" ht="18" customHeight="1">
      <c r="A9379" t="str">
        <f>"CA14-31"</f>
        <v>CA14-31</v>
      </c>
      <c r="B9379" t="str">
        <f>"Thread Gauge Male, 4-40UNC-2B"</f>
        <v>Thread Gauge Male, 4-40UNC-2B</v>
      </c>
      <c r="C9379" t="str">
        <f t="shared" si="358"/>
        <v>Not for sale</v>
      </c>
    </row>
    <row r="9380" spans="1:3" ht="18" customHeight="1">
      <c r="A9380" t="str">
        <f>"CA14-32"</f>
        <v>CA14-32</v>
      </c>
      <c r="B9380" t="str">
        <f>"Thread Gauge Male, 6-32UNC-2B"</f>
        <v>Thread Gauge Male, 6-32UNC-2B</v>
      </c>
      <c r="C9380" t="str">
        <f t="shared" si="358"/>
        <v>Not for sale</v>
      </c>
    </row>
    <row r="9381" spans="1:3" ht="18" customHeight="1">
      <c r="A9381" t="str">
        <f>"CA14-33"</f>
        <v>CA14-33</v>
      </c>
      <c r="B9381" t="str">
        <f>"Thread Gauge Male,  8-32UNC-2B"</f>
        <v>Thread Gauge Male,  8-32UNC-2B</v>
      </c>
      <c r="C9381" t="str">
        <f t="shared" si="358"/>
        <v>Not for sale</v>
      </c>
    </row>
    <row r="9382" spans="1:3" ht="18" customHeight="1">
      <c r="A9382" t="str">
        <f>"CA14-34"</f>
        <v>CA14-34</v>
      </c>
      <c r="B9382" t="str">
        <f>"Thread Gauge Male, 10-32UNF-2B"</f>
        <v>Thread Gauge Male, 10-32UNF-2B</v>
      </c>
      <c r="C9382" t="str">
        <f t="shared" si="358"/>
        <v>Not for sale</v>
      </c>
    </row>
    <row r="9383" spans="1:3" ht="18" customHeight="1">
      <c r="A9383" t="str">
        <f>"CA14-35"</f>
        <v>CA14-35</v>
      </c>
      <c r="B9383" t="str">
        <f>"Thread Gauge Male, 1/4-20UNC-2B"</f>
        <v>Thread Gauge Male, 1/4-20UNC-2B</v>
      </c>
      <c r="C9383" t="str">
        <f t="shared" si="358"/>
        <v>Not for sale</v>
      </c>
    </row>
    <row r="9384" spans="1:3" ht="18" customHeight="1">
      <c r="A9384" t="str">
        <f>"CA14-36"</f>
        <v>CA14-36</v>
      </c>
      <c r="B9384" t="str">
        <f>"Thread Gauge Male, G1/8-28"</f>
        <v>Thread Gauge Male, G1/8-28</v>
      </c>
      <c r="C9384" t="str">
        <f t="shared" si="358"/>
        <v>Not for sale</v>
      </c>
    </row>
    <row r="9385" spans="1:3" ht="18" customHeight="1">
      <c r="A9385" t="str">
        <f>"CA14-37"</f>
        <v>CA14-37</v>
      </c>
      <c r="B9385" t="str">
        <f>"Thread Gauge Male, G1/4"</f>
        <v>Thread Gauge Male, G1/4</v>
      </c>
      <c r="C9385" t="str">
        <f t="shared" si="358"/>
        <v>Not for sale</v>
      </c>
    </row>
    <row r="9386" spans="1:3" ht="18" customHeight="1">
      <c r="A9386" t="str">
        <f>"CA14-38"</f>
        <v>CA14-38</v>
      </c>
      <c r="B9386" t="str">
        <f>"Thread Gauge Male, 3/8-16UNC-2B"</f>
        <v>Thread Gauge Male, 3/8-16UNC-2B</v>
      </c>
      <c r="C9386" t="str">
        <f t="shared" si="358"/>
        <v>Not for sale</v>
      </c>
    </row>
    <row r="9387" spans="1:3" ht="18" customHeight="1">
      <c r="A9387" t="str">
        <f>"CA15-01"</f>
        <v>CA15-01</v>
      </c>
      <c r="B9387" t="str">
        <f>"Thread Gauge Female, M10X0.75-6G"</f>
        <v>Thread Gauge Female, M10X0.75-6G</v>
      </c>
      <c r="C9387" t="str">
        <f t="shared" si="358"/>
        <v>Not for sale</v>
      </c>
    </row>
    <row r="9388" spans="1:3" ht="18" customHeight="1">
      <c r="A9388" t="str">
        <f>"CA15-02"</f>
        <v>CA15-02</v>
      </c>
      <c r="B9388" t="str">
        <f>"Thread Gauge Female, M25X1.5-6G"</f>
        <v>Thread Gauge Female, M25X1.5-6G</v>
      </c>
      <c r="C9388" t="str">
        <f t="shared" si="358"/>
        <v>Not for sale</v>
      </c>
    </row>
    <row r="9389" spans="1:3" ht="18" customHeight="1">
      <c r="A9389" t="str">
        <f>"CA15-03"</f>
        <v>CA15-03</v>
      </c>
      <c r="B9389" t="str">
        <f>"Thread Gauge Female, M40X1-6G"</f>
        <v>Thread Gauge Female, M40X1-6G</v>
      </c>
      <c r="C9389" t="str">
        <f t="shared" si="358"/>
        <v>Not for sale</v>
      </c>
    </row>
    <row r="9390" spans="1:3" ht="18" customHeight="1">
      <c r="A9390" t="str">
        <f>"CA15-30"</f>
        <v>CA15-30</v>
      </c>
      <c r="B9390" t="str">
        <f>"Thread Gauge Female, 5/16-18UNC-2A"</f>
        <v>Thread Gauge Female, 5/16-18UNC-2A</v>
      </c>
      <c r="C9390" t="str">
        <f t="shared" si="358"/>
        <v>Not for sale</v>
      </c>
    </row>
    <row r="9391" spans="1:3" ht="18" customHeight="1">
      <c r="A9391" t="str">
        <f>"CA15-31"</f>
        <v>CA15-31</v>
      </c>
      <c r="B9391" t="str">
        <f>"Thread Gauge Female, G 1/8-28"</f>
        <v>Thread Gauge Female, G 1/8-28</v>
      </c>
      <c r="C9391" t="str">
        <f t="shared" si="358"/>
        <v>Not for sale</v>
      </c>
    </row>
    <row r="9392" spans="1:3" ht="18" customHeight="1">
      <c r="A9392" t="str">
        <f>"CA15-32"</f>
        <v>CA15-32</v>
      </c>
      <c r="B9392" t="str">
        <f>"Thread Gauge Female, G 1/4-A"</f>
        <v>Thread Gauge Female, G 1/4-A</v>
      </c>
      <c r="C9392" t="str">
        <f t="shared" si="358"/>
        <v>Not for sale</v>
      </c>
    </row>
    <row r="9393" spans="1:3" ht="18" customHeight="1">
      <c r="A9393" t="str">
        <f>"CA20-04"</f>
        <v>CA20-04</v>
      </c>
      <c r="C9393" t="str">
        <f t="shared" ref="C9393:C9415" si="359">"Not for sale"</f>
        <v>Not for sale</v>
      </c>
    </row>
    <row r="9394" spans="1:3" ht="18" customHeight="1">
      <c r="A9394" t="str">
        <f>"CA20-06"</f>
        <v>CA20-06</v>
      </c>
      <c r="C9394" t="str">
        <f t="shared" si="359"/>
        <v>Not for sale</v>
      </c>
    </row>
    <row r="9395" spans="1:3" ht="18" customHeight="1">
      <c r="A9395" t="str">
        <f>"CA20-07"</f>
        <v>CA20-07</v>
      </c>
      <c r="C9395" t="str">
        <f t="shared" si="359"/>
        <v>Not for sale</v>
      </c>
    </row>
    <row r="9396" spans="1:3" ht="18" customHeight="1">
      <c r="A9396" t="str">
        <f>"CA50-07"</f>
        <v>CA50-07</v>
      </c>
      <c r="C9396" t="str">
        <f t="shared" si="359"/>
        <v>Not for sale</v>
      </c>
    </row>
    <row r="9397" spans="1:3" ht="18" customHeight="1">
      <c r="A9397" t="str">
        <f>"CA50-08"</f>
        <v>CA50-08</v>
      </c>
      <c r="B9397" t="str">
        <f>"Digital Oscilloscope  Tektronix TBS 1052B-EDU"</f>
        <v>Digital Oscilloscope  Tektronix TBS 1052B-EDU</v>
      </c>
      <c r="C9397" t="str">
        <f t="shared" si="359"/>
        <v>Not for sale</v>
      </c>
    </row>
    <row r="9398" spans="1:3" ht="18" customHeight="1">
      <c r="A9398" t="str">
        <f>"CA51-02"</f>
        <v>CA51-02</v>
      </c>
      <c r="C9398" t="str">
        <f t="shared" si="359"/>
        <v>Not for sale</v>
      </c>
    </row>
    <row r="9399" spans="1:3" ht="18" customHeight="1">
      <c r="A9399" t="str">
        <f>"CA51-11"</f>
        <v>CA51-11</v>
      </c>
      <c r="C9399" t="str">
        <f t="shared" si="359"/>
        <v>Not for sale</v>
      </c>
    </row>
    <row r="9400" spans="1:3" ht="18" customHeight="1">
      <c r="A9400" t="str">
        <f>"CA51-12"</f>
        <v>CA51-12</v>
      </c>
      <c r="B9400" t="str">
        <f>"FLUKE-87V/IMSK"</f>
        <v>FLUKE-87V/IMSK</v>
      </c>
      <c r="C9400" t="str">
        <f t="shared" si="359"/>
        <v>Not for sale</v>
      </c>
    </row>
    <row r="9401" spans="1:3" ht="18" customHeight="1">
      <c r="A9401" t="str">
        <f>"CA51-13"</f>
        <v>CA51-13</v>
      </c>
      <c r="B9401" t="str">
        <f>"Digital Clamp Multimeter UT202"</f>
        <v>Digital Clamp Multimeter UT202</v>
      </c>
      <c r="C9401" t="str">
        <f t="shared" si="359"/>
        <v>Not for sale</v>
      </c>
    </row>
    <row r="9402" spans="1:3" ht="18" customHeight="1">
      <c r="A9402" t="str">
        <f>"CA52-06"</f>
        <v>CA52-06</v>
      </c>
      <c r="C9402" t="str">
        <f t="shared" si="359"/>
        <v>Not for sale</v>
      </c>
    </row>
    <row r="9403" spans="1:3" ht="18" customHeight="1">
      <c r="A9403" t="str">
        <f>"CA52-07"</f>
        <v>CA52-07</v>
      </c>
      <c r="C9403" t="str">
        <f t="shared" si="359"/>
        <v>Not for sale</v>
      </c>
    </row>
    <row r="9404" spans="1:3" ht="18" customHeight="1">
      <c r="A9404" t="str">
        <f>"CA52-10"</f>
        <v>CA52-10</v>
      </c>
      <c r="C9404" t="str">
        <f t="shared" si="359"/>
        <v>Not for sale</v>
      </c>
    </row>
    <row r="9405" spans="1:3" ht="18" customHeight="1">
      <c r="A9405" t="str">
        <f>"CA52-11"</f>
        <v>CA52-11</v>
      </c>
      <c r="C9405" t="str">
        <f t="shared" si="359"/>
        <v>Not for sale</v>
      </c>
    </row>
    <row r="9406" spans="1:3" ht="18" customHeight="1">
      <c r="A9406" t="str">
        <f>"CA53-01"</f>
        <v>CA53-01</v>
      </c>
      <c r="B9406" t="str">
        <f>"RPM Gauge"</f>
        <v>RPM Gauge</v>
      </c>
      <c r="C9406" t="str">
        <f t="shared" si="359"/>
        <v>Not for sale</v>
      </c>
    </row>
    <row r="9407" spans="1:3" ht="18" customHeight="1">
      <c r="A9407" t="str">
        <f>"CA54-01"</f>
        <v>CA54-01</v>
      </c>
      <c r="B9407" t="str">
        <f>"Temperature Gauge"</f>
        <v>Temperature Gauge</v>
      </c>
      <c r="C9407" t="str">
        <f t="shared" si="359"/>
        <v>Not for sale</v>
      </c>
    </row>
    <row r="9408" spans="1:3" ht="18" customHeight="1">
      <c r="A9408" t="str">
        <f>"CA55-01"</f>
        <v>CA55-01</v>
      </c>
      <c r="B9408" t="str">
        <f>"Surface transportation Cart"</f>
        <v>Surface transportation Cart</v>
      </c>
      <c r="C9408" t="str">
        <f t="shared" si="359"/>
        <v>Not for sale</v>
      </c>
    </row>
    <row r="9409" spans="1:3" ht="18" customHeight="1">
      <c r="A9409" t="str">
        <f>"CA56-01"</f>
        <v>CA56-01</v>
      </c>
      <c r="B9409" t="str">
        <f>"Cable Tester, UTRON UT6400P"</f>
        <v>Cable Tester, UTRON UT6400P</v>
      </c>
      <c r="C9409" t="str">
        <f t="shared" si="359"/>
        <v>Not for sale</v>
      </c>
    </row>
    <row r="9410" spans="1:3" ht="18" customHeight="1">
      <c r="A9410" t="str">
        <f>"CA_EQ001"</f>
        <v>CA_EQ001</v>
      </c>
      <c r="C9410" t="str">
        <f t="shared" si="359"/>
        <v>Not for sale</v>
      </c>
    </row>
    <row r="9411" spans="1:3" ht="18" customHeight="1">
      <c r="A9411" t="str">
        <f>"CA_EQ002"</f>
        <v>CA_EQ002</v>
      </c>
      <c r="C9411" t="str">
        <f t="shared" si="359"/>
        <v>Not for sale</v>
      </c>
    </row>
    <row r="9412" spans="1:3" ht="18" customHeight="1">
      <c r="A9412" t="str">
        <f>"CA_EQ003"</f>
        <v>CA_EQ003</v>
      </c>
      <c r="C9412" t="str">
        <f t="shared" si="359"/>
        <v>Not for sale</v>
      </c>
    </row>
    <row r="9413" spans="1:3" ht="18" customHeight="1">
      <c r="A9413" t="str">
        <f>"CA_EQ004"</f>
        <v>CA_EQ004</v>
      </c>
      <c r="C9413" t="str">
        <f t="shared" si="359"/>
        <v>Not for sale</v>
      </c>
    </row>
    <row r="9414" spans="1:3" ht="18" customHeight="1">
      <c r="A9414" t="str">
        <f>"CA_EQ005"</f>
        <v>CA_EQ005</v>
      </c>
      <c r="C9414" t="str">
        <f t="shared" si="359"/>
        <v>Not for sale</v>
      </c>
    </row>
    <row r="9415" spans="1:3" ht="18" customHeight="1">
      <c r="A9415" t="str">
        <f>"CA_EQ006"</f>
        <v>CA_EQ006</v>
      </c>
      <c r="C9415" t="str">
        <f t="shared" si="359"/>
        <v>Not for sale</v>
      </c>
    </row>
    <row r="9416" spans="1:3" ht="18" customHeight="1">
      <c r="A9416" t="str">
        <f>"CA_EQ007"</f>
        <v>CA_EQ007</v>
      </c>
      <c r="B9416" t="str">
        <f>"Fire Safety"</f>
        <v>Fire Safety</v>
      </c>
      <c r="C9416" t="str">
        <f>"New"</f>
        <v>New</v>
      </c>
    </row>
    <row r="9417" spans="1:3" ht="18" customHeight="1">
      <c r="A9417" t="str">
        <f>"CA_EQ008"</f>
        <v>CA_EQ008</v>
      </c>
      <c r="B9417" t="str">
        <f>"General Safety"</f>
        <v>General Safety</v>
      </c>
      <c r="C9417" t="str">
        <f>"Not for sale"</f>
        <v>Not for sale</v>
      </c>
    </row>
    <row r="9418" spans="1:3" ht="18" customHeight="1">
      <c r="A9418" t="str">
        <f>"CA_EQ009"</f>
        <v>CA_EQ009</v>
      </c>
      <c r="B9418" t="str">
        <f>"Training"</f>
        <v>Training</v>
      </c>
      <c r="C9418" t="str">
        <f>"Not for sale"</f>
        <v>Not for sale</v>
      </c>
    </row>
    <row r="9419" spans="1:3" ht="18" customHeight="1">
      <c r="A9419" t="str">
        <f>"Charge"</f>
        <v>Charge</v>
      </c>
      <c r="C9419" t="str">
        <f>"Active"</f>
        <v>Active</v>
      </c>
    </row>
    <row r="9420" spans="1:3" ht="18" customHeight="1">
      <c r="A9420" t="str">
        <f>"Contract Paymnt"</f>
        <v>Contract Paymnt</v>
      </c>
      <c r="C9420" t="str">
        <f>"Active"</f>
        <v>Active</v>
      </c>
    </row>
    <row r="9421" spans="1:3" ht="18" customHeight="1">
      <c r="A9421" t="str">
        <f>"Credit"</f>
        <v>Credit</v>
      </c>
      <c r="C9421" t="str">
        <f>"Active"</f>
        <v>Active</v>
      </c>
    </row>
    <row r="9422" spans="1:3" ht="18" customHeight="1">
      <c r="A9422" t="str">
        <f>"Customs"</f>
        <v>Customs</v>
      </c>
      <c r="C9422" t="str">
        <f>"Active"</f>
        <v>Active</v>
      </c>
    </row>
    <row r="9423" spans="1:3" ht="18" customHeight="1">
      <c r="A9423" t="str">
        <f>"Dead_stock"</f>
        <v>Dead_stock</v>
      </c>
      <c r="B9423" t="str">
        <f>"Yahalom invetory"</f>
        <v>Yahalom invetory</v>
      </c>
      <c r="C9423" t="str">
        <f>"Not for sale"</f>
        <v>Not for sale</v>
      </c>
    </row>
    <row r="9424" spans="1:3" ht="18" customHeight="1">
      <c r="A9424" t="str">
        <f>"Delayed Pay"</f>
        <v>Delayed Pay</v>
      </c>
      <c r="C9424" t="str">
        <f>"Active"</f>
        <v>Active</v>
      </c>
    </row>
    <row r="9425" spans="1:3" ht="18" customHeight="1">
      <c r="A9425" t="str">
        <f>"EA06"</f>
        <v>EA06</v>
      </c>
      <c r="B9425" t="str">
        <f>"Manual Electric Motor Control EA06"</f>
        <v>Manual Electric Motor Control EA06</v>
      </c>
      <c r="C9425" t="str">
        <f>"Inactive"</f>
        <v>Inactive</v>
      </c>
    </row>
    <row r="9426" spans="1:3" ht="18" customHeight="1">
      <c r="A9426" t="str">
        <f>"EA18"</f>
        <v>EA18</v>
      </c>
      <c r="B9426" t="str">
        <f>"Basic PLC MicroLogix - EA18 - Lab -"</f>
        <v>Basic PLC MicroLogix - EA18 - Lab -</v>
      </c>
      <c r="C9426" t="str">
        <f>"Inactive"</f>
        <v>Inactive</v>
      </c>
    </row>
    <row r="9427" spans="1:3" ht="18" customHeight="1">
      <c r="A9427" t="str">
        <f>"EA20"</f>
        <v>EA20</v>
      </c>
      <c r="B9427" t="str">
        <f>"Basic PLC Allen Bradley SLC 500 - EA20- Lab -"</f>
        <v>Basic PLC Allen Bradley SLC 500 - EA20- Lab -</v>
      </c>
      <c r="C9427" t="str">
        <f>"Active"</f>
        <v>Active</v>
      </c>
    </row>
    <row r="9428" spans="1:3" ht="18" customHeight="1">
      <c r="A9428" t="str">
        <f>"EA24"</f>
        <v>EA24</v>
      </c>
      <c r="B9428" t="str">
        <f>"Basic PLCs with Plant Control Applications -EA24"</f>
        <v>Basic PLCs with Plant Control Applications -EA24</v>
      </c>
      <c r="C9428" t="str">
        <f>"Active"</f>
        <v>Active</v>
      </c>
    </row>
    <row r="9429" spans="1:3" ht="18" customHeight="1">
      <c r="A9429" t="str">
        <f>"EL000090"</f>
        <v>EL000090</v>
      </c>
      <c r="B9429" t="str">
        <f>"E-Learning – General"</f>
        <v>E-Learning – General</v>
      </c>
      <c r="C9429" t="str">
        <f>"Active"</f>
        <v>Active</v>
      </c>
    </row>
    <row r="9430" spans="1:3" ht="18" customHeight="1">
      <c r="A9430" t="str">
        <f>"EL000092"</f>
        <v>EL000092</v>
      </c>
      <c r="B9430" t="str">
        <f>"Sharing Revenue"</f>
        <v>Sharing Revenue</v>
      </c>
      <c r="C9430" t="str">
        <f>"Active"</f>
        <v>Active</v>
      </c>
    </row>
    <row r="9431" spans="1:3" ht="18" customHeight="1">
      <c r="A9431" t="str">
        <f>"Ext.Warranty 1y"</f>
        <v>Ext.Warranty 1y</v>
      </c>
      <c r="B9431" t="str">
        <f>"Extended Warranty 12 Months"</f>
        <v>Extended Warranty 12 Months</v>
      </c>
      <c r="C9431" t="str">
        <f>"Active"</f>
        <v>Active</v>
      </c>
    </row>
    <row r="9432" spans="1:3" ht="18" customHeight="1">
      <c r="A9432" t="str">
        <f>"FA-0202"</f>
        <v>FA-0202</v>
      </c>
      <c r="C9432" t="str">
        <f>"Inactive"</f>
        <v>Inactive</v>
      </c>
    </row>
    <row r="9433" spans="1:3" ht="18" customHeight="1">
      <c r="A9433" t="str">
        <f>"FIN0060"</f>
        <v>FIN0060</v>
      </c>
      <c r="B9433" t="str">
        <f>"Debit regarding sensitive transaction"</f>
        <v>Debit regarding sensitive transaction</v>
      </c>
      <c r="C9433" t="str">
        <f>"Active"</f>
        <v>Active</v>
      </c>
    </row>
    <row r="9434" spans="1:3" ht="18" customHeight="1">
      <c r="A9434" t="str">
        <f>"FIN0090"</f>
        <v>FIN0090</v>
      </c>
      <c r="B9434" t="str">
        <f>"Intercompany debits for service"</f>
        <v>Intercompany debits for service</v>
      </c>
      <c r="C9434" t="str">
        <f>"Active"</f>
        <v>Active</v>
      </c>
    </row>
    <row r="9435" spans="1:3" ht="18" customHeight="1">
      <c r="A9435" t="str">
        <f>"FIN0200"</f>
        <v>FIN0200</v>
      </c>
      <c r="C9435" t="str">
        <f t="shared" ref="C9435:C9440" si="360">"Not for sale"</f>
        <v>Not for sale</v>
      </c>
    </row>
    <row r="9436" spans="1:3" ht="18" customHeight="1">
      <c r="A9436" t="str">
        <f>"FIN0201"</f>
        <v>FIN0201</v>
      </c>
      <c r="B9436" t="str">
        <f>"Shipping costs from foreign suppliers - Import"</f>
        <v>Shipping costs from foreign suppliers - Import</v>
      </c>
      <c r="C9436" t="str">
        <f t="shared" si="360"/>
        <v>Not for sale</v>
      </c>
    </row>
    <row r="9437" spans="1:3" ht="18" customHeight="1">
      <c r="A9437" t="str">
        <f>"FIN0202"</f>
        <v>FIN0202</v>
      </c>
      <c r="C9437" t="str">
        <f t="shared" si="360"/>
        <v>Not for sale</v>
      </c>
    </row>
    <row r="9438" spans="1:3" ht="18" customHeight="1">
      <c r="A9438" t="str">
        <f>"FIN0203"</f>
        <v>FIN0203</v>
      </c>
      <c r="C9438" t="str">
        <f t="shared" si="360"/>
        <v>Not for sale</v>
      </c>
    </row>
    <row r="9439" spans="1:3" ht="18" customHeight="1">
      <c r="A9439" t="str">
        <f>"FIN0204"</f>
        <v>FIN0204</v>
      </c>
      <c r="B9439" t="str">
        <f>"."</f>
        <v>.</v>
      </c>
      <c r="C9439" t="str">
        <f t="shared" si="360"/>
        <v>Not for sale</v>
      </c>
    </row>
    <row r="9440" spans="1:3" ht="18" customHeight="1">
      <c r="A9440" t="str">
        <f>"FIN0206"</f>
        <v>FIN0206</v>
      </c>
      <c r="B9440" t="str">
        <f>"Shipping costs to/from Intelitek (import/export)"</f>
        <v>Shipping costs to/from Intelitek (import/export)</v>
      </c>
      <c r="C9440" t="str">
        <f t="shared" si="360"/>
        <v>Not for sale</v>
      </c>
    </row>
    <row r="9441" spans="1:3" ht="18" customHeight="1">
      <c r="A9441" t="str">
        <f>"FIN0207"</f>
        <v>FIN0207</v>
      </c>
      <c r="B9441" t="str">
        <f>"Revenue Sharing"</f>
        <v>Revenue Sharing</v>
      </c>
      <c r="C9441" t="str">
        <f>"Active"</f>
        <v>Active</v>
      </c>
    </row>
    <row r="9442" spans="1:3" ht="18" customHeight="1">
      <c r="A9442" t="str">
        <f>"FIN0250"</f>
        <v>FIN0250</v>
      </c>
      <c r="B9442" t="str">
        <f>"Royalties from Servotronix Motion Control"</f>
        <v>Royalties from Servotronix Motion Control</v>
      </c>
      <c r="C9442" t="str">
        <f>"Active"</f>
        <v>Active</v>
      </c>
    </row>
    <row r="9443" spans="1:3" ht="18" customHeight="1">
      <c r="A9443" t="str">
        <f>"FIN0601"</f>
        <v>FIN0601</v>
      </c>
      <c r="B9443" t="str">
        <f>"P - Production"</f>
        <v>P - Production</v>
      </c>
      <c r="C9443" t="str">
        <f t="shared" ref="C9443:C9450" si="361">"Not for sale"</f>
        <v>Not for sale</v>
      </c>
    </row>
    <row r="9444" spans="1:3" ht="18" customHeight="1">
      <c r="A9444" t="str">
        <f>"FIN0602"</f>
        <v>FIN0602</v>
      </c>
      <c r="B9444" t="str">
        <f>"T - Tech support/installation"</f>
        <v>T - Tech support/installation</v>
      </c>
      <c r="C9444" t="str">
        <f t="shared" si="361"/>
        <v>Not for sale</v>
      </c>
    </row>
    <row r="9445" spans="1:3" ht="18" customHeight="1">
      <c r="A9445" t="str">
        <f>"FIN0603"</f>
        <v>FIN0603</v>
      </c>
      <c r="B9445" t="str">
        <f>"W - Writers"</f>
        <v>W - Writers</v>
      </c>
      <c r="C9445" t="str">
        <f t="shared" si="361"/>
        <v>Not for sale</v>
      </c>
    </row>
    <row r="9446" spans="1:3" ht="18" customHeight="1">
      <c r="A9446" t="str">
        <f>"FIN0604"</f>
        <v>FIN0604</v>
      </c>
      <c r="B9446" t="str">
        <f>"R - R&amp;D"</f>
        <v>R - R&amp;D</v>
      </c>
      <c r="C9446" t="str">
        <f t="shared" si="361"/>
        <v>Not for sale</v>
      </c>
    </row>
    <row r="9447" spans="1:3" ht="18" customHeight="1">
      <c r="A9447" t="str">
        <f>"FIN0605"</f>
        <v>FIN0605</v>
      </c>
      <c r="B9447" t="str">
        <f>"E - Engineering/QA"</f>
        <v>E - Engineering/QA</v>
      </c>
      <c r="C9447" t="str">
        <f t="shared" si="361"/>
        <v>Not for sale</v>
      </c>
    </row>
    <row r="9448" spans="1:3" ht="18" customHeight="1">
      <c r="A9448" t="str">
        <f>"FIN0606"</f>
        <v>FIN0606</v>
      </c>
      <c r="B9448" t="str">
        <f>"M - Product Mgmnt. IS"</f>
        <v>M - Product Mgmnt. IS</v>
      </c>
      <c r="C9448" t="str">
        <f t="shared" si="361"/>
        <v>Not for sale</v>
      </c>
    </row>
    <row r="9449" spans="1:3" ht="18" customHeight="1">
      <c r="A9449" t="str">
        <f>"FIN0607"</f>
        <v>FIN0607</v>
      </c>
      <c r="B9449" t="str">
        <f>"MK - Marketing ISR"</f>
        <v>MK - Marketing ISR</v>
      </c>
      <c r="C9449" t="str">
        <f t="shared" si="361"/>
        <v>Not for sale</v>
      </c>
    </row>
    <row r="9450" spans="1:3" ht="18" customHeight="1">
      <c r="A9450" t="str">
        <f>"FIN0608"</f>
        <v>FIN0608</v>
      </c>
      <c r="B9450" t="str">
        <f>"SI - Sales International"</f>
        <v>SI - Sales International</v>
      </c>
      <c r="C9450" t="str">
        <f t="shared" si="361"/>
        <v>Not for sale</v>
      </c>
    </row>
    <row r="9451" spans="1:3" ht="18" customHeight="1">
      <c r="A9451" t="str">
        <f>"FIN9000"</f>
        <v>FIN9000</v>
      </c>
      <c r="C9451" t="str">
        <f t="shared" ref="C9451:C9456" si="362">"Active"</f>
        <v>Active</v>
      </c>
    </row>
    <row r="9452" spans="1:3" ht="18" customHeight="1">
      <c r="A9452" t="str">
        <f>"FIN9001"</f>
        <v>FIN9001</v>
      </c>
      <c r="C9452" t="str">
        <f t="shared" si="362"/>
        <v>Active</v>
      </c>
    </row>
    <row r="9453" spans="1:3" ht="18" customHeight="1">
      <c r="A9453" t="str">
        <f>"FIN9002"</f>
        <v>FIN9002</v>
      </c>
      <c r="C9453" t="str">
        <f t="shared" si="362"/>
        <v>Active</v>
      </c>
    </row>
    <row r="9454" spans="1:3" ht="18" customHeight="1">
      <c r="A9454" t="str">
        <f>"FIN9003"</f>
        <v>FIN9003</v>
      </c>
      <c r="C9454" t="str">
        <f t="shared" si="362"/>
        <v>Active</v>
      </c>
    </row>
    <row r="9455" spans="1:3" ht="18" customHeight="1">
      <c r="A9455" t="str">
        <f>"FIN9004"</f>
        <v>FIN9004</v>
      </c>
      <c r="C9455" t="str">
        <f t="shared" si="362"/>
        <v>Active</v>
      </c>
    </row>
    <row r="9456" spans="1:3" ht="18" customHeight="1">
      <c r="A9456" t="str">
        <f>"FIN9005"</f>
        <v>FIN9005</v>
      </c>
      <c r="C9456" t="str">
        <f t="shared" si="362"/>
        <v>Active</v>
      </c>
    </row>
    <row r="9457" spans="1:3" ht="18" customHeight="1">
      <c r="A9457" t="str">
        <f>"IT0001"</f>
        <v>IT0001</v>
      </c>
      <c r="C9457" t="str">
        <f t="shared" ref="C9457:C9465" si="363">"Not for sale"</f>
        <v>Not for sale</v>
      </c>
    </row>
    <row r="9458" spans="1:3" ht="18" customHeight="1">
      <c r="A9458" t="str">
        <f>"IT0002"</f>
        <v>IT0002</v>
      </c>
      <c r="C9458" t="str">
        <f t="shared" si="363"/>
        <v>Not for sale</v>
      </c>
    </row>
    <row r="9459" spans="1:3" ht="18" customHeight="1">
      <c r="A9459" t="str">
        <f>"IT0003"</f>
        <v>IT0003</v>
      </c>
      <c r="C9459" t="str">
        <f t="shared" si="363"/>
        <v>Not for sale</v>
      </c>
    </row>
    <row r="9460" spans="1:3" ht="18" customHeight="1">
      <c r="A9460" t="str">
        <f>"IT0004"</f>
        <v>IT0004</v>
      </c>
      <c r="C9460" t="str">
        <f t="shared" si="363"/>
        <v>Not for sale</v>
      </c>
    </row>
    <row r="9461" spans="1:3" ht="18" customHeight="1">
      <c r="A9461" t="str">
        <f>"IT0005"</f>
        <v>IT0005</v>
      </c>
      <c r="C9461" t="str">
        <f t="shared" si="363"/>
        <v>Not for sale</v>
      </c>
    </row>
    <row r="9462" spans="1:3" ht="18" customHeight="1">
      <c r="A9462" t="str">
        <f>"IT0006"</f>
        <v>IT0006</v>
      </c>
      <c r="C9462" t="str">
        <f t="shared" si="363"/>
        <v>Not for sale</v>
      </c>
    </row>
    <row r="9463" spans="1:3" ht="18" customHeight="1">
      <c r="A9463" t="str">
        <f>"IT0007"</f>
        <v>IT0007</v>
      </c>
      <c r="B9463" t="str">
        <f>"Warranty and Maintenance"</f>
        <v>Warranty and Maintenance</v>
      </c>
      <c r="C9463" t="str">
        <f t="shared" si="363"/>
        <v>Not for sale</v>
      </c>
    </row>
    <row r="9464" spans="1:3" ht="18" customHeight="1">
      <c r="A9464" t="str">
        <f>"IT0008"</f>
        <v>IT0008</v>
      </c>
      <c r="C9464" t="str">
        <f t="shared" si="363"/>
        <v>Not for sale</v>
      </c>
    </row>
    <row r="9465" spans="1:3" ht="18" customHeight="1">
      <c r="A9465" t="str">
        <f>"IT0009"</f>
        <v>IT0009</v>
      </c>
      <c r="C9465" t="str">
        <f t="shared" si="363"/>
        <v>Not for sale</v>
      </c>
    </row>
    <row r="9466" spans="1:3" ht="18" customHeight="1">
      <c r="A9466" t="str">
        <f>"Import Fees"</f>
        <v>Import Fees</v>
      </c>
      <c r="C9466" t="str">
        <f>"Active"</f>
        <v>Active</v>
      </c>
    </row>
    <row r="9467" spans="1:3" ht="18" customHeight="1">
      <c r="A9467" t="str">
        <f>"Import Insuranc"</f>
        <v>Import Insuranc</v>
      </c>
      <c r="C9467" t="str">
        <f>"Active"</f>
        <v>Active</v>
      </c>
    </row>
    <row r="9468" spans="1:3" ht="18" customHeight="1">
      <c r="A9468" t="str">
        <f>"Km"</f>
        <v>Km</v>
      </c>
      <c r="C9468" t="str">
        <f>"Active"</f>
        <v>Active</v>
      </c>
    </row>
    <row r="9469" spans="1:3" ht="18" customHeight="1">
      <c r="A9469" t="str">
        <f>"LMS-50"</f>
        <v>LMS-50</v>
      </c>
      <c r="B9469" t="str">
        <f>"Learning Management System (50 users License)"</f>
        <v>Learning Management System (50 users License)</v>
      </c>
      <c r="C9469" t="str">
        <f>"Inactive"</f>
        <v>Inactive</v>
      </c>
    </row>
    <row r="9470" spans="1:3" ht="18" customHeight="1">
      <c r="A9470" t="str">
        <f>"Linkage"</f>
        <v>Linkage</v>
      </c>
      <c r="C9470" t="str">
        <f>"Active"</f>
        <v>Active</v>
      </c>
    </row>
    <row r="9471" spans="1:3" ht="18" customHeight="1">
      <c r="A9471" t="str">
        <f>"LoadExp"</f>
        <v>LoadExp</v>
      </c>
      <c r="B9471" t="str">
        <f>"Loaded Expenses"</f>
        <v>Loaded Expenses</v>
      </c>
      <c r="C9471" t="str">
        <f>"Active"</f>
        <v>Active</v>
      </c>
    </row>
    <row r="9472" spans="1:3" ht="18" customHeight="1">
      <c r="A9472" t="str">
        <f>"NNN"</f>
        <v>NNN</v>
      </c>
      <c r="B9472" t="str">
        <f>"rrrr"</f>
        <v>rrrr</v>
      </c>
      <c r="C9472" t="str">
        <f>"New"</f>
        <v>New</v>
      </c>
    </row>
    <row r="9473" spans="1:3" ht="18" customHeight="1">
      <c r="A9473" t="str">
        <f>"Payment"</f>
        <v>Payment</v>
      </c>
      <c r="C9473" t="str">
        <f>"Active"</f>
        <v>Active</v>
      </c>
    </row>
    <row r="9474" spans="1:3" ht="18" customHeight="1">
      <c r="A9474" t="str">
        <f>"Prepay"</f>
        <v>Prepay</v>
      </c>
      <c r="B9474" t="str">
        <f>"Advance payment"</f>
        <v>Advance payment</v>
      </c>
      <c r="C9474" t="str">
        <f>"Active"</f>
        <v>Active</v>
      </c>
    </row>
    <row r="9475" spans="1:3" ht="18" customHeight="1">
      <c r="A9475" t="str">
        <f>"Procedures"</f>
        <v>Procedures</v>
      </c>
      <c r="B9475" t="str">
        <f>"Company procedures"</f>
        <v>Company procedures</v>
      </c>
      <c r="C9475" t="str">
        <f>"New"</f>
        <v>New</v>
      </c>
    </row>
    <row r="9476" spans="1:3" ht="18" customHeight="1">
      <c r="A9476" t="str">
        <f>"Project Payment"</f>
        <v>Project Payment</v>
      </c>
      <c r="C9476" t="str">
        <f>"Active"</f>
        <v>Active</v>
      </c>
    </row>
    <row r="9477" spans="1:3" ht="18" customHeight="1">
      <c r="A9477" t="str">
        <f>"Purchase_cost"</f>
        <v>Purchase_cost</v>
      </c>
      <c r="C9477" t="str">
        <f>"Active"</f>
        <v>Active</v>
      </c>
    </row>
    <row r="9478" spans="1:3" ht="18" customHeight="1">
      <c r="A9478" t="str">
        <f>"RC0001"</f>
        <v>RC0001</v>
      </c>
      <c r="B9478" t="str">
        <f>"Carton packaging- Commercial -CB-2"</f>
        <v>Carton packaging- Commercial -CB-2</v>
      </c>
      <c r="C9478" t="str">
        <f t="shared" ref="C9478:C9484" si="364">"Not for sale"</f>
        <v>Not for sale</v>
      </c>
    </row>
    <row r="9479" spans="1:3" ht="18" customHeight="1">
      <c r="A9479" t="str">
        <f>"RC0002"</f>
        <v>RC0002</v>
      </c>
      <c r="B9479" t="str">
        <f>"Metal packaging-Commercial -M-2"</f>
        <v>Metal packaging-Commercial -M-2</v>
      </c>
      <c r="C9479" t="str">
        <f t="shared" si="364"/>
        <v>Not for sale</v>
      </c>
    </row>
    <row r="9480" spans="1:3" ht="18" customHeight="1">
      <c r="A9480" t="str">
        <f>"RC0003"</f>
        <v>RC0003</v>
      </c>
      <c r="B9480" t="str">
        <f>"Wooden packaging-Commercial-W-2"</f>
        <v>Wooden packaging-Commercial-W-2</v>
      </c>
      <c r="C9480" t="str">
        <f t="shared" si="364"/>
        <v>Not for sale</v>
      </c>
    </row>
    <row r="9481" spans="1:3" ht="18" customHeight="1">
      <c r="A9481" t="str">
        <f>"RC0004"</f>
        <v>RC0004</v>
      </c>
      <c r="B9481" t="str">
        <f>"Plastic packaging LDPE type-Commercial P-LDPE2"</f>
        <v>Plastic packaging LDPE type-Commercial P-LDPE2</v>
      </c>
      <c r="C9481" t="str">
        <f t="shared" si="364"/>
        <v>Not for sale</v>
      </c>
    </row>
    <row r="9482" spans="1:3" ht="18" customHeight="1">
      <c r="A9482" t="str">
        <f>"RC0005"</f>
        <v>RC0005</v>
      </c>
      <c r="B9482" t="str">
        <f>"Plastic packaging PP type-Commercial P-PP2"</f>
        <v>Plastic packaging PP type-Commercial P-PP2</v>
      </c>
      <c r="C9482" t="str">
        <f t="shared" si="364"/>
        <v>Not for sale</v>
      </c>
    </row>
    <row r="9483" spans="1:3" ht="18" customHeight="1">
      <c r="A9483" t="str">
        <f>"RC0006"</f>
        <v>RC0006</v>
      </c>
      <c r="B9483" t="str">
        <f>"Plastic packaging PS type-Commercial P-PS2"</f>
        <v>Plastic packaging PS type-Commercial P-PS2</v>
      </c>
      <c r="C9483" t="str">
        <f t="shared" si="364"/>
        <v>Not for sale</v>
      </c>
    </row>
    <row r="9484" spans="1:3" ht="18" customHeight="1">
      <c r="A9484" t="str">
        <f>"RC0007"</f>
        <v>RC0007</v>
      </c>
      <c r="B9484" t="str">
        <f>"Plastic packaging Other type-Commercial P-OTHER2"</f>
        <v>Plastic packaging Other type-Commercial P-OTHER2</v>
      </c>
      <c r="C9484" t="str">
        <f t="shared" si="364"/>
        <v>Not for sale</v>
      </c>
    </row>
    <row r="9485" spans="1:3" ht="18" customHeight="1">
      <c r="A9485" t="str">
        <f>"ROB_FOR_SERIAL"</f>
        <v>ROB_FOR_SERIAL</v>
      </c>
      <c r="C9485" t="str">
        <f t="shared" ref="C9485:C9524" si="365">"Active"</f>
        <v>Active</v>
      </c>
    </row>
    <row r="9486" spans="1:3" ht="18" customHeight="1">
      <c r="A9486" t="str">
        <f>"RT609076"</f>
        <v>RT609076</v>
      </c>
      <c r="B9486" t="str">
        <f>"Tubes Experiment Set"</f>
        <v>Tubes Experiment Set</v>
      </c>
      <c r="C9486" t="str">
        <f t="shared" si="365"/>
        <v>Active</v>
      </c>
    </row>
    <row r="9487" spans="1:3" ht="18" customHeight="1">
      <c r="A9487" t="str">
        <f>"RT609090"</f>
        <v>RT609090</v>
      </c>
      <c r="B9487" t="str">
        <f>"XL DUPLO® Bulk Set"</f>
        <v>XL DUPLO® Bulk Set</v>
      </c>
      <c r="C9487" t="str">
        <f t="shared" si="365"/>
        <v>Active</v>
      </c>
    </row>
    <row r="9488" spans="1:3" ht="18" customHeight="1">
      <c r="A9488" t="str">
        <f>"RT609222"</f>
        <v>RT609222</v>
      </c>
      <c r="B9488" t="str">
        <f>"World People set"</f>
        <v>World People set</v>
      </c>
      <c r="C9488" t="str">
        <f t="shared" si="365"/>
        <v>Active</v>
      </c>
    </row>
    <row r="9489" spans="1:3" ht="18" customHeight="1">
      <c r="A9489" t="str">
        <f>"RT609324"</f>
        <v>RT609324</v>
      </c>
      <c r="B9489" t="str">
        <f>"Micro Building Set"</f>
        <v>Micro Building Set</v>
      </c>
      <c r="C9489" t="str">
        <f t="shared" si="365"/>
        <v>Active</v>
      </c>
    </row>
    <row r="9490" spans="1:3" ht="18" customHeight="1">
      <c r="A9490" t="str">
        <f>"RT609333"</f>
        <v>RT609333</v>
      </c>
      <c r="B9490" t="str">
        <f>"Vehicles Set"</f>
        <v>Vehicles Set</v>
      </c>
      <c r="C9490" t="str">
        <f t="shared" si="365"/>
        <v>Active</v>
      </c>
    </row>
    <row r="9491" spans="1:3" ht="18" customHeight="1">
      <c r="A9491" t="str">
        <f>"RT609335"</f>
        <v>RT609335</v>
      </c>
      <c r="B9491" t="str">
        <f>"Space &amp; Airport Set"</f>
        <v>Space &amp; Airport Set</v>
      </c>
      <c r="C9491" t="str">
        <f t="shared" si="365"/>
        <v>Active</v>
      </c>
    </row>
    <row r="9492" spans="1:3" ht="18" customHeight="1">
      <c r="A9492" t="str">
        <f>"RT609389"</f>
        <v>RT609389</v>
      </c>
      <c r="B9492" t="str">
        <f>"Starter community set"</f>
        <v>Starter community set</v>
      </c>
      <c r="C9492" t="str">
        <f t="shared" si="365"/>
        <v>Active</v>
      </c>
    </row>
    <row r="9493" spans="1:3" ht="18" customHeight="1">
      <c r="A9493" t="str">
        <f>"RT629580"</f>
        <v>RT629580</v>
      </c>
      <c r="B9493" t="str">
        <f>"WeDo Construction Set"</f>
        <v>WeDo Construction Set</v>
      </c>
      <c r="C9493" t="str">
        <f t="shared" si="365"/>
        <v>Active</v>
      </c>
    </row>
    <row r="9494" spans="1:3" ht="18" customHeight="1">
      <c r="A9494" t="str">
        <f>"RT629585"</f>
        <v>RT629585</v>
      </c>
      <c r="B9494" t="str">
        <f>"LEGO®Education WeDo TM Resource set"</f>
        <v>LEGO®Education WeDo TM Resource set</v>
      </c>
      <c r="C9494" t="str">
        <f t="shared" si="365"/>
        <v>Active</v>
      </c>
    </row>
    <row r="9495" spans="1:3" ht="18" customHeight="1">
      <c r="A9495" t="str">
        <f>"RT629641"</f>
        <v>RT629641</v>
      </c>
      <c r="B9495" t="str">
        <f>"Pneumatics Add-On Set"</f>
        <v>Pneumatics Add-On Set</v>
      </c>
      <c r="C9495" t="str">
        <f t="shared" si="365"/>
        <v>Active</v>
      </c>
    </row>
    <row r="9496" spans="1:3" ht="18" customHeight="1">
      <c r="A9496" t="str">
        <f>"RT629656"</f>
        <v>RT629656</v>
      </c>
      <c r="B9496" t="str">
        <f>"Early Simple Machines Set"</f>
        <v>Early Simple Machines Set</v>
      </c>
      <c r="C9496" t="str">
        <f t="shared" si="365"/>
        <v>Active</v>
      </c>
    </row>
    <row r="9497" spans="1:3" ht="18" customHeight="1">
      <c r="A9497" t="str">
        <f>"RT629660"</f>
        <v>RT629660</v>
      </c>
      <c r="B9497" t="str">
        <f>"Early Structures Set"</f>
        <v>Early Structures Set</v>
      </c>
      <c r="C9497" t="str">
        <f t="shared" si="365"/>
        <v>Active</v>
      </c>
    </row>
    <row r="9498" spans="1:3" ht="18" customHeight="1">
      <c r="A9498" t="str">
        <f>"RT629686"</f>
        <v>RT629686</v>
      </c>
      <c r="B9498" t="str">
        <f>"Simple &amp; Powered Machines"</f>
        <v>Simple &amp; Powered Machines</v>
      </c>
      <c r="C9498" t="str">
        <f t="shared" si="365"/>
        <v>Active</v>
      </c>
    </row>
    <row r="9499" spans="1:3" ht="18" customHeight="1">
      <c r="A9499" t="str">
        <f>"RT629688"</f>
        <v>RT629688</v>
      </c>
      <c r="B9499" t="str">
        <f>"Renewable Energy Add-on Set"</f>
        <v>Renewable Energy Add-on Set</v>
      </c>
      <c r="C9499" t="str">
        <f t="shared" si="365"/>
        <v>Active</v>
      </c>
    </row>
    <row r="9500" spans="1:3" ht="18" customHeight="1">
      <c r="A9500" t="str">
        <f>"RT629689"</f>
        <v>RT629689</v>
      </c>
      <c r="B9500" t="str">
        <f>"Simple Machines Set"</f>
        <v>Simple Machines Set</v>
      </c>
      <c r="C9500" t="str">
        <f t="shared" si="365"/>
        <v>Active</v>
      </c>
    </row>
    <row r="9501" spans="1:3" ht="18" customHeight="1">
      <c r="A9501" t="str">
        <f>"RT6345100"</f>
        <v>RT6345100</v>
      </c>
      <c r="B9501" t="str">
        <f>"story starter core set"</f>
        <v>story starter core set</v>
      </c>
      <c r="C9501" t="str">
        <f t="shared" si="365"/>
        <v>Active</v>
      </c>
    </row>
    <row r="9502" spans="1:3" ht="18" customHeight="1">
      <c r="A9502" t="str">
        <f>"RT6345210"</f>
        <v>RT6345210</v>
      </c>
      <c r="B9502" t="str">
        <f>"MoreToMath Core Set 1-2"</f>
        <v>MoreToMath Core Set 1-2</v>
      </c>
      <c r="C9502" t="str">
        <f t="shared" si="365"/>
        <v>Active</v>
      </c>
    </row>
    <row r="9503" spans="1:3" ht="18" customHeight="1">
      <c r="A9503" t="str">
        <f>"RT645005"</f>
        <v>RT645005</v>
      </c>
      <c r="B9503" t="str">
        <f>"StoryTales"</f>
        <v>StoryTales</v>
      </c>
      <c r="C9503" t="str">
        <f t="shared" si="365"/>
        <v>Active</v>
      </c>
    </row>
    <row r="9504" spans="1:3" ht="18" customHeight="1">
      <c r="A9504" t="str">
        <f>"RT645544"</f>
        <v>RT645544</v>
      </c>
      <c r="B9504" t="str">
        <f>"LEGO® MINDSTORMS® Education EV3 core set"</f>
        <v>LEGO® MINDSTORMS® Education EV3 core set</v>
      </c>
      <c r="C9504" t="str">
        <f t="shared" si="365"/>
        <v>Active</v>
      </c>
    </row>
    <row r="9505" spans="1:3" ht="18" customHeight="1">
      <c r="A9505" t="str">
        <f>"RT645560"</f>
        <v>RT645560</v>
      </c>
      <c r="B9505" t="str">
        <f>"LEGO® MINDSTORMS® Education EV3 expansion set"</f>
        <v>LEGO® MINDSTORMS® Education EV3 expansion set</v>
      </c>
      <c r="C9505" t="str">
        <f t="shared" si="365"/>
        <v>Active</v>
      </c>
    </row>
    <row r="9506" spans="1:3" ht="18" customHeight="1">
      <c r="A9506" t="str">
        <f>"RT648887IL"</f>
        <v>RT648887IL</v>
      </c>
      <c r="B9506" t="str">
        <f>"Charger for 10 volt battery (NXT/EV3)"</f>
        <v>Charger for 10 volt battery (NXT/EV3)</v>
      </c>
      <c r="C9506" t="str">
        <f t="shared" si="365"/>
        <v>Active</v>
      </c>
    </row>
    <row r="9507" spans="1:3" ht="18" customHeight="1">
      <c r="A9507" t="str">
        <f>"RT649695"</f>
        <v>RT649695</v>
      </c>
      <c r="B9507" t="str">
        <f>"LEGO® MINDSTORMS® Education Resource Set"</f>
        <v>LEGO® MINDSTORMS® Education Resource Set</v>
      </c>
      <c r="C9507" t="str">
        <f t="shared" si="365"/>
        <v>Active</v>
      </c>
    </row>
    <row r="9508" spans="1:3" ht="18" customHeight="1">
      <c r="A9508" t="str">
        <f>"RT649797"</f>
        <v>RT649797</v>
      </c>
      <c r="B9508" t="str">
        <f>"LEGO® MINDSTORMS® Educati"</f>
        <v>LEGO® MINDSTORMS® Educati</v>
      </c>
      <c r="C9508" t="str">
        <f t="shared" si="365"/>
        <v>Active</v>
      </c>
    </row>
    <row r="9509" spans="1:3" ht="18" customHeight="1">
      <c r="A9509" t="str">
        <f>"RT660046"</f>
        <v>RT660046</v>
      </c>
      <c r="B9509" t="str">
        <f>"LME EV3 software site license"</f>
        <v>LME EV3 software site license</v>
      </c>
      <c r="C9509" t="str">
        <f t="shared" si="365"/>
        <v>Active</v>
      </c>
    </row>
    <row r="9510" spans="1:3" ht="18" customHeight="1">
      <c r="A9510" t="str">
        <f>"RT660078"</f>
        <v>RT660078</v>
      </c>
      <c r="B9510" t="str">
        <f>"Site License Agreement Cl"</f>
        <v>Site License Agreement Cl</v>
      </c>
      <c r="C9510" t="str">
        <f t="shared" si="365"/>
        <v>Active</v>
      </c>
    </row>
    <row r="9511" spans="1:3" ht="18" customHeight="1">
      <c r="A9511" t="str">
        <f>"RT660080"</f>
        <v>RT660080</v>
      </c>
      <c r="B9511" t="str">
        <f>"Robotics Engineering SW 2"</f>
        <v>Robotics Engineering SW 2</v>
      </c>
      <c r="C9511" t="str">
        <f t="shared" si="365"/>
        <v>Active</v>
      </c>
    </row>
    <row r="9512" spans="1:3" ht="18" customHeight="1">
      <c r="A9512" t="str">
        <f>"RT660094"</f>
        <v>RT660094</v>
      </c>
      <c r="B9512" t="str">
        <f>"WeDo Site license agreem"</f>
        <v>WeDo Site license agreem</v>
      </c>
      <c r="C9512" t="str">
        <f t="shared" si="365"/>
        <v>Active</v>
      </c>
    </row>
    <row r="9513" spans="1:3" ht="18" customHeight="1">
      <c r="A9513" t="str">
        <f>"RT660097"</f>
        <v>RT660097</v>
      </c>
      <c r="B9513" t="str">
        <f>"WeDo s/w and activity pack"</f>
        <v>WeDo s/w and activity pack</v>
      </c>
      <c r="C9513" t="str">
        <f t="shared" si="365"/>
        <v>Active</v>
      </c>
    </row>
    <row r="9514" spans="1:3" ht="18" customHeight="1">
      <c r="A9514" t="str">
        <f>"RT660097IL"</f>
        <v>RT660097IL</v>
      </c>
      <c r="B9514" t="str">
        <f>"WeDo Software"</f>
        <v>WeDo Software</v>
      </c>
      <c r="C9514" t="str">
        <f t="shared" si="365"/>
        <v>Active</v>
      </c>
    </row>
    <row r="9515" spans="1:3" ht="18" customHeight="1">
      <c r="A9515" t="str">
        <f>"RT668451"</f>
        <v>RT668451</v>
      </c>
      <c r="B9515" t="str">
        <f>"Activity Pack for Story Starter Kit"</f>
        <v>Activity Pack for Story Starter Kit</v>
      </c>
      <c r="C9515" t="str">
        <f t="shared" si="365"/>
        <v>Active</v>
      </c>
    </row>
    <row r="9516" spans="1:3" ht="18" customHeight="1">
      <c r="A9516" t="str">
        <f>"RT6845210"</f>
        <v>RT6845210</v>
      </c>
      <c r="B9516" t="str">
        <f>"Activity pack for more to Math"</f>
        <v>Activity pack for more to Math</v>
      </c>
      <c r="C9516" t="str">
        <f t="shared" si="365"/>
        <v>Active</v>
      </c>
    </row>
    <row r="9517" spans="1:3" ht="18" customHeight="1">
      <c r="A9517" t="str">
        <f>"RT689641"</f>
        <v>RT689641</v>
      </c>
      <c r="B9517" t="str">
        <f>"Activity Pack for 9641"</f>
        <v>Activity Pack for 9641</v>
      </c>
      <c r="C9517" t="str">
        <f t="shared" si="365"/>
        <v>Active</v>
      </c>
    </row>
    <row r="9518" spans="1:3" ht="18" customHeight="1">
      <c r="A9518" t="str">
        <f>"RT689657"</f>
        <v>RT689657</v>
      </c>
      <c r="B9518" t="str">
        <f>"Activity Pack for Early Simple Machines"</f>
        <v>Activity Pack for Early Simple Machines</v>
      </c>
      <c r="C9518" t="str">
        <f t="shared" si="365"/>
        <v>Active</v>
      </c>
    </row>
    <row r="9519" spans="1:3" ht="18" customHeight="1">
      <c r="A9519" t="str">
        <f>"RT689686"</f>
        <v>RT689686</v>
      </c>
      <c r="B9519" t="str">
        <f>"Introducing Simple &amp; Powe"</f>
        <v>Introducing Simple &amp; Powe</v>
      </c>
      <c r="C9519" t="str">
        <f t="shared" si="365"/>
        <v>Active</v>
      </c>
    </row>
    <row r="9520" spans="1:3" ht="18" customHeight="1">
      <c r="A9520" t="str">
        <f>"RT689688"</f>
        <v>RT689688</v>
      </c>
      <c r="B9520" t="str">
        <f>"Activity Pack for Renewable Energy"</f>
        <v>Activity Pack for Renewable Energy</v>
      </c>
      <c r="C9520" t="str">
        <f t="shared" si="365"/>
        <v>Active</v>
      </c>
    </row>
    <row r="9521" spans="1:3" ht="18" customHeight="1">
      <c r="A9521" t="str">
        <f>"RT700502"</f>
        <v>RT700502</v>
      </c>
      <c r="B9521" t="str">
        <f>"shipping, installation and training - cubex"</f>
        <v>shipping, installation and training - cubex</v>
      </c>
      <c r="C9521" t="str">
        <f t="shared" si="365"/>
        <v>Active</v>
      </c>
    </row>
    <row r="9522" spans="1:3" ht="18" customHeight="1">
      <c r="A9522" t="str">
        <f>"RT700510"</f>
        <v>RT700510</v>
      </c>
      <c r="B9522" t="str">
        <f>"UP! PLUS2 3d printer"</f>
        <v>UP! PLUS2 3d printer</v>
      </c>
      <c r="C9522" t="str">
        <f t="shared" si="365"/>
        <v>Active</v>
      </c>
    </row>
    <row r="9523" spans="1:3" ht="18" customHeight="1">
      <c r="A9523" t="str">
        <f>"RT700511"</f>
        <v>RT700511</v>
      </c>
      <c r="B9523" t="str">
        <f>"Perspec cover for UP! PLUS2"</f>
        <v>Perspec cover for UP! PLUS2</v>
      </c>
      <c r="C9523" t="str">
        <f t="shared" si="365"/>
        <v>Active</v>
      </c>
    </row>
    <row r="9524" spans="1:3" ht="18" customHeight="1">
      <c r="A9524" t="str">
        <f>"RT999089"</f>
        <v>RT999089</v>
      </c>
      <c r="B9524" t="str">
        <f>"Tubes experiment set"</f>
        <v>Tubes experiment set</v>
      </c>
      <c r="C9524" t="str">
        <f t="shared" si="365"/>
        <v>Active</v>
      </c>
    </row>
    <row r="9525" spans="1:3" ht="18" customHeight="1">
      <c r="A9525" t="str">
        <f>"SV0001"</f>
        <v>SV0001</v>
      </c>
      <c r="B9525" t="str">
        <f>"Purchased Service - Periodic testing / licensing"</f>
        <v>Purchased Service - Periodic testing / licensing</v>
      </c>
      <c r="C9525" t="str">
        <f>"Not for sale"</f>
        <v>Not for sale</v>
      </c>
    </row>
    <row r="9526" spans="1:3" ht="18" customHeight="1">
      <c r="A9526" t="str">
        <f>"Safety"</f>
        <v>Safety</v>
      </c>
      <c r="C9526" t="str">
        <f>"Not for sale"</f>
        <v>Not for sale</v>
      </c>
    </row>
    <row r="9527" spans="1:3" ht="18" customHeight="1">
      <c r="A9527" t="str">
        <f>"Servicing Paymt"</f>
        <v>Servicing Paymt</v>
      </c>
      <c r="C9527" t="str">
        <f>"Active"</f>
        <v>Active</v>
      </c>
    </row>
    <row r="9528" spans="1:3" ht="18" customHeight="1">
      <c r="A9528" t="str">
        <f>"Setup"</f>
        <v>Setup</v>
      </c>
      <c r="C9528" t="str">
        <f>"Not for sale"</f>
        <v>Not for sale</v>
      </c>
    </row>
    <row r="9529" spans="1:3" ht="18" customHeight="1">
      <c r="A9529" t="str">
        <f>"Shipment"</f>
        <v>Shipment</v>
      </c>
      <c r="B9529" t="str">
        <f>"Shipping"</f>
        <v>Shipping</v>
      </c>
      <c r="C9529" t="str">
        <f>"Active"</f>
        <v>Active</v>
      </c>
    </row>
    <row r="9530" spans="1:3" ht="18" customHeight="1">
      <c r="A9530" t="str">
        <f>"Shipment Abroad"</f>
        <v>Shipment Abroad</v>
      </c>
      <c r="C9530" t="str">
        <f>"Inactive"</f>
        <v>Inactive</v>
      </c>
    </row>
    <row r="9531" spans="1:3" ht="18" customHeight="1">
      <c r="A9531" t="str">
        <f>"TMP0001"</f>
        <v>TMP0001</v>
      </c>
      <c r="B9531" t="str">
        <f>"CIM PLC Cabinet Siemens ASI-bus"</f>
        <v>CIM PLC Cabinet Siemens ASI-bus</v>
      </c>
      <c r="C9531" t="str">
        <f>"New"</f>
        <v>New</v>
      </c>
    </row>
    <row r="9532" spans="1:3" ht="18" customHeight="1">
      <c r="A9532" t="str">
        <f>"TMP0002"</f>
        <v>TMP0002</v>
      </c>
      <c r="B9532" t="str">
        <f>"Pallet Tracking with ASI-bus"</f>
        <v>Pallet Tracking with ASI-bus</v>
      </c>
      <c r="C9532" t="str">
        <f>"Active"</f>
        <v>Active</v>
      </c>
    </row>
    <row r="9533" spans="1:3" ht="18" customHeight="1">
      <c r="A9533" t="str">
        <f>"Tax"</f>
        <v>Tax</v>
      </c>
      <c r="C9533" t="str">
        <f>"Active"</f>
        <v>Active</v>
      </c>
    </row>
    <row r="9534" spans="1:3" ht="18" customHeight="1">
      <c r="A9534" t="str">
        <f>"Tooling"</f>
        <v>Tooling</v>
      </c>
      <c r="B9534" t="str">
        <f>"Tooling / Mask / Setup"</f>
        <v>Tooling / Mask / Setup</v>
      </c>
      <c r="C9534" t="str">
        <f>"Not for sale"</f>
        <v>Not for sale</v>
      </c>
    </row>
    <row r="9535" spans="1:3" ht="18" customHeight="1">
      <c r="A9535" t="str">
        <f>"Warranty"</f>
        <v>Warranty</v>
      </c>
      <c r="B9535" t="str">
        <f>"Warranty"</f>
        <v>Warranty</v>
      </c>
      <c r="C9535" t="str">
        <f>"Active"</f>
        <v>Active</v>
      </c>
    </row>
    <row r="9536" spans="1:3" ht="18" customHeight="1">
      <c r="A9536" t="str">
        <f>"Wk Hrs"</f>
        <v>Wk Hrs</v>
      </c>
      <c r="B9536" t="str">
        <f>"Work Hours"</f>
        <v>Work Hours</v>
      </c>
      <c r="C9536" t="str">
        <f>"Active"</f>
        <v>Active</v>
      </c>
    </row>
    <row r="9537" spans="1:3" ht="18" customHeight="1">
      <c r="A9537" t="str">
        <f>"הל. מע'מ"</f>
        <v>הל. מע'מ</v>
      </c>
      <c r="C9537" t="str">
        <f>"Active"</f>
        <v>Active</v>
      </c>
    </row>
  </sheetData>
  <conditionalFormatting sqref="D1">
    <cfRule type="cellIs" dxfId="44" priority="1" operator="equal">
      <formula>"ECO+NFS"</formula>
    </cfRule>
    <cfRule type="cellIs" dxfId="43" priority="2" operator="equal">
      <formula>"ECO-N2Mnf"</formula>
    </cfRule>
    <cfRule type="cellIs" dxfId="42" priority="3" operator="equal">
      <formula>"Inactive"</formula>
    </cfRule>
    <cfRule type="cellIs" dxfId="41" priority="4" operator="equal">
      <formula>"Phase Out"</formula>
    </cfRule>
    <cfRule type="cellIs" dxfId="40" priority="5" operator="equal">
      <formula>"ECO-N2Buy"</formula>
    </cfRule>
    <cfRule type="cellIs" dxfId="39" priority="6" operator="equal">
      <formula>"Not for purc"</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9">
    <tabColor theme="9" tint="-0.249977111117893"/>
  </sheetPr>
  <dimension ref="A1:W4779"/>
  <sheetViews>
    <sheetView workbookViewId="0">
      <selection activeCell="J11" sqref="J11"/>
    </sheetView>
  </sheetViews>
  <sheetFormatPr baseColWidth="10" defaultColWidth="9" defaultRowHeight="15"/>
  <cols>
    <col min="1" max="1" width="19.5" bestFit="1" customWidth="1"/>
    <col min="2" max="2" width="14" bestFit="1" customWidth="1"/>
  </cols>
  <sheetData>
    <row r="1" spans="1:23">
      <c r="A1" t="str">
        <f>"Product Bundle"</f>
        <v>Product Bundle</v>
      </c>
      <c r="B1" t="str">
        <f>"Part Number"</f>
        <v>Part Number</v>
      </c>
      <c r="C1" t="str">
        <f>"Part Desc. (Lang 2)"</f>
        <v>Part Desc. (Lang 2)</v>
      </c>
      <c r="D1" t="str">
        <f>"Quantity"</f>
        <v>Quantity</v>
      </c>
      <c r="E1" t="str">
        <f>"Bundle Description"</f>
        <v>Bundle Description</v>
      </c>
      <c r="F1" t="str">
        <f>"Bundle Display Order"</f>
        <v>Bundle Display Order</v>
      </c>
      <c r="G1" t="str">
        <f>"Bundle In Use?"</f>
        <v>Bundle In Use?</v>
      </c>
      <c r="H1" t="str">
        <f>"Unit"</f>
        <v>Unit</v>
      </c>
      <c r="I1" t="str">
        <f>"Special Unit Price"</f>
        <v>Special Unit Price</v>
      </c>
      <c r="J1" t="str">
        <f>"Discount %"</f>
        <v>Discount %</v>
      </c>
      <c r="K1" t="str">
        <f>"Calc. Price in Doc?"</f>
        <v>Calc. Price in Doc?</v>
      </c>
      <c r="L1" t="str">
        <f>"Extended Price"</f>
        <v>Extended Price</v>
      </c>
      <c r="M1" t="str">
        <f>"Curr"</f>
        <v>Curr</v>
      </c>
      <c r="N1" t="str">
        <f>"Component Not in Use"</f>
        <v>Component Not in Use</v>
      </c>
      <c r="O1" t="str">
        <f>"Key Line (ID)"</f>
        <v>Key Line (ID)</v>
      </c>
      <c r="P1" t="str">
        <f>"Component Status"</f>
        <v>Component Status</v>
      </c>
      <c r="Q1" t="str">
        <f>"Component Desc."</f>
        <v>Component Desc.</v>
      </c>
      <c r="R1" t="str">
        <f>"פרמטר 19"</f>
        <v>פרמטר 19</v>
      </c>
      <c r="S1" t="str">
        <f>"Current Eng Desc."</f>
        <v>Current Eng Desc.</v>
      </c>
      <c r="T1" t="str">
        <f>"Loaded Cost Orig Comp"</f>
        <v>Loaded Cost Orig Comp</v>
      </c>
      <c r="U1" t="str">
        <f>"Std Cost (USD)"</f>
        <v>Std Cost (USD)</v>
      </c>
      <c r="V1" t="str">
        <f>"Cost (USD)"</f>
        <v>Cost (USD)</v>
      </c>
      <c r="W1" t="str">
        <f>"Owner Company"</f>
        <v>Owner Company</v>
      </c>
    </row>
    <row r="2" spans="1:23">
      <c r="A2" t="str">
        <f>"16-3097-0000"</f>
        <v>16-3097-0000</v>
      </c>
      <c r="B2" t="str">
        <f>"17-3097-0000"</f>
        <v>17-3097-0000</v>
      </c>
      <c r="C2" t="str">
        <f>"LM5 Content, Virtual, Employability"</f>
        <v>LM5 Content, Virtual, Employability</v>
      </c>
      <c r="D2">
        <v>1</v>
      </c>
      <c r="E2" t="str">
        <f>"LM5.X, Virtual, Employability"</f>
        <v>LM5.X, Virtual, Employability</v>
      </c>
      <c r="F2">
        <v>0</v>
      </c>
      <c r="G2" t="str">
        <f t="shared" ref="G2:G65" si="0">"Y"</f>
        <v>Y</v>
      </c>
      <c r="H2" t="str">
        <f t="shared" ref="H2:H33" si="1">"EA"</f>
        <v>EA</v>
      </c>
      <c r="I2">
        <v>0</v>
      </c>
      <c r="J2">
        <v>0</v>
      </c>
      <c r="K2" t="str">
        <f t="shared" ref="K2:K65" si="2">"Y"</f>
        <v>Y</v>
      </c>
      <c r="L2">
        <v>0</v>
      </c>
      <c r="M2" t="str">
        <f t="shared" ref="M2:M65" si="3">"NIS"</f>
        <v>NIS</v>
      </c>
      <c r="O2">
        <v>1</v>
      </c>
      <c r="P2" t="str">
        <f>"Active"</f>
        <v>Active</v>
      </c>
      <c r="Q2" t="str">
        <f>"LM5.X Content, Virtual, Employability"</f>
        <v>LM5.X Content, Virtual, Employability</v>
      </c>
      <c r="S2" t="str">
        <f>"LM5.X Content, Virtual, Employability"</f>
        <v>LM5.X Content, Virtual, Employability</v>
      </c>
      <c r="T2">
        <v>0</v>
      </c>
      <c r="U2">
        <v>5</v>
      </c>
      <c r="V2">
        <v>5</v>
      </c>
      <c r="W2" t="str">
        <f t="shared" ref="W2:W33" si="4">"rob"</f>
        <v>rob</v>
      </c>
    </row>
    <row r="3" spans="1:23">
      <c r="A3" t="str">
        <f>"16-3097-0000"</f>
        <v>16-3097-0000</v>
      </c>
      <c r="B3" t="str">
        <f>"17-3097-0010"</f>
        <v>17-3097-0010</v>
      </c>
      <c r="C3" t="str">
        <f>"LM5.X Content, Virtual, Employability Workbook"</f>
        <v>LM5.X Content, Virtual, Employability Workbook</v>
      </c>
      <c r="D3">
        <v>1</v>
      </c>
      <c r="E3" t="str">
        <f>"LM5.X, Virtual, Employability"</f>
        <v>LM5.X, Virtual, Employability</v>
      </c>
      <c r="F3">
        <v>0</v>
      </c>
      <c r="G3" t="str">
        <f t="shared" si="0"/>
        <v>Y</v>
      </c>
      <c r="H3" t="str">
        <f t="shared" si="1"/>
        <v>EA</v>
      </c>
      <c r="I3">
        <v>0</v>
      </c>
      <c r="J3">
        <v>0</v>
      </c>
      <c r="K3" t="str">
        <f t="shared" si="2"/>
        <v>Y</v>
      </c>
      <c r="L3">
        <v>0</v>
      </c>
      <c r="M3" t="str">
        <f t="shared" si="3"/>
        <v>NIS</v>
      </c>
      <c r="N3" t="str">
        <f>"Y"</f>
        <v>Y</v>
      </c>
      <c r="O3">
        <v>2</v>
      </c>
      <c r="P3" t="str">
        <f>"Inactive"</f>
        <v>Inactive</v>
      </c>
      <c r="Q3" t="str">
        <f>"LM5.X Content, Virtual, Employability Workbook"</f>
        <v>LM5.X Content, Virtual, Employability Workbook</v>
      </c>
      <c r="S3" t="str">
        <f>"LM5.X Content, Virtual, Employability Workbook"</f>
        <v>LM5.X Content, Virtual, Employability Workbook</v>
      </c>
      <c r="T3">
        <v>0</v>
      </c>
      <c r="U3">
        <v>5</v>
      </c>
      <c r="V3">
        <v>5</v>
      </c>
      <c r="W3" t="str">
        <f t="shared" si="4"/>
        <v>rob</v>
      </c>
    </row>
    <row r="4" spans="1:23">
      <c r="A4" t="str">
        <f t="shared" ref="A4:A15" si="5">"16-3139-2000"</f>
        <v>16-3139-2000</v>
      </c>
      <c r="B4" t="str">
        <f>"17-3096-0000"</f>
        <v>17-3096-0000</v>
      </c>
      <c r="C4" t="str">
        <f>"LM5.X Content, Virtual, Intro to Advanced Mfg"</f>
        <v>LM5.X Content, Virtual, Intro to Advanced Mfg</v>
      </c>
      <c r="D4">
        <v>1</v>
      </c>
      <c r="E4" t="str">
        <f t="shared" ref="E4:E15" si="6">"LM5.X, Virtual, JM Foundations Program, HS Campus"</f>
        <v>LM5.X, Virtual, JM Foundations Program, HS Campus</v>
      </c>
      <c r="F4">
        <v>0</v>
      </c>
      <c r="G4" t="str">
        <f t="shared" si="0"/>
        <v>Y</v>
      </c>
      <c r="H4" t="str">
        <f t="shared" si="1"/>
        <v>EA</v>
      </c>
      <c r="I4">
        <v>0</v>
      </c>
      <c r="J4">
        <v>0</v>
      </c>
      <c r="K4" t="str">
        <f t="shared" si="2"/>
        <v>Y</v>
      </c>
      <c r="L4">
        <v>0</v>
      </c>
      <c r="M4" t="str">
        <f t="shared" si="3"/>
        <v>NIS</v>
      </c>
      <c r="O4">
        <v>1</v>
      </c>
      <c r="P4" t="str">
        <f t="shared" ref="P4:P19" si="7">"Active"</f>
        <v>Active</v>
      </c>
      <c r="Q4" t="str">
        <f>"LM5.X Content, Virtual, Intro to Advanced Mfg"</f>
        <v>LM5.X Content, Virtual, Intro to Advanced Mfg</v>
      </c>
      <c r="S4" t="str">
        <f>"LM5.X Content, Virtual, Intro to Advanced Mfg"</f>
        <v>LM5.X Content, Virtual, Intro to Advanced Mfg</v>
      </c>
      <c r="T4">
        <v>0</v>
      </c>
      <c r="U4">
        <v>5</v>
      </c>
      <c r="V4">
        <v>5</v>
      </c>
      <c r="W4" t="str">
        <f t="shared" si="4"/>
        <v>rob</v>
      </c>
    </row>
    <row r="5" spans="1:23">
      <c r="A5" t="str">
        <f t="shared" si="5"/>
        <v>16-3139-2000</v>
      </c>
      <c r="B5" t="str">
        <f>"17-3097-0000"</f>
        <v>17-3097-0000</v>
      </c>
      <c r="C5" t="str">
        <f>"LM5 Content, Virtual, Employability"</f>
        <v>LM5 Content, Virtual, Employability</v>
      </c>
      <c r="D5">
        <v>1</v>
      </c>
      <c r="E5" t="str">
        <f t="shared" si="6"/>
        <v>LM5.X, Virtual, JM Foundations Program, HS Campus</v>
      </c>
      <c r="F5">
        <v>0</v>
      </c>
      <c r="G5" t="str">
        <f t="shared" si="0"/>
        <v>Y</v>
      </c>
      <c r="H5" t="str">
        <f t="shared" si="1"/>
        <v>EA</v>
      </c>
      <c r="I5">
        <v>0</v>
      </c>
      <c r="J5">
        <v>0</v>
      </c>
      <c r="K5" t="str">
        <f t="shared" si="2"/>
        <v>Y</v>
      </c>
      <c r="L5">
        <v>0</v>
      </c>
      <c r="M5" t="str">
        <f t="shared" si="3"/>
        <v>NIS</v>
      </c>
      <c r="O5">
        <v>2</v>
      </c>
      <c r="P5" t="str">
        <f t="shared" si="7"/>
        <v>Active</v>
      </c>
      <c r="Q5" t="str">
        <f>"LM5.X Content, Virtual, Employability"</f>
        <v>LM5.X Content, Virtual, Employability</v>
      </c>
      <c r="S5" t="str">
        <f>"LM5.X Content, Virtual, Employability"</f>
        <v>LM5.X Content, Virtual, Employability</v>
      </c>
      <c r="T5">
        <v>0</v>
      </c>
      <c r="U5">
        <v>5</v>
      </c>
      <c r="V5">
        <v>5</v>
      </c>
      <c r="W5" t="str">
        <f t="shared" si="4"/>
        <v>rob</v>
      </c>
    </row>
    <row r="6" spans="1:23">
      <c r="A6" t="str">
        <f t="shared" si="5"/>
        <v>16-3139-2000</v>
      </c>
      <c r="B6" t="str">
        <f>"17-3109-0000"</f>
        <v>17-3109-0000</v>
      </c>
      <c r="C6" t="str">
        <f>"LM5.X Content, Virtual, Lean Manufacturing"</f>
        <v>LM5.X Content, Virtual, Lean Manufacturing</v>
      </c>
      <c r="D6">
        <v>1</v>
      </c>
      <c r="E6" t="str">
        <f t="shared" si="6"/>
        <v>LM5.X, Virtual, JM Foundations Program, HS Campus</v>
      </c>
      <c r="F6">
        <v>0</v>
      </c>
      <c r="G6" t="str">
        <f t="shared" si="0"/>
        <v>Y</v>
      </c>
      <c r="H6" t="str">
        <f t="shared" si="1"/>
        <v>EA</v>
      </c>
      <c r="I6">
        <v>0</v>
      </c>
      <c r="J6">
        <v>0</v>
      </c>
      <c r="K6" t="str">
        <f t="shared" si="2"/>
        <v>Y</v>
      </c>
      <c r="L6">
        <v>0</v>
      </c>
      <c r="M6" t="str">
        <f t="shared" si="3"/>
        <v>NIS</v>
      </c>
      <c r="O6">
        <v>3</v>
      </c>
      <c r="P6" t="str">
        <f t="shared" si="7"/>
        <v>Active</v>
      </c>
      <c r="Q6" t="str">
        <f>"LM5.X Content, Virtual, Lean Manufacturing"</f>
        <v>LM5.X Content, Virtual, Lean Manufacturing</v>
      </c>
      <c r="S6" t="str">
        <f>"LM5.X Content, Virtual, Lean Manufacturing"</f>
        <v>LM5.X Content, Virtual, Lean Manufacturing</v>
      </c>
      <c r="T6">
        <v>0</v>
      </c>
      <c r="U6">
        <v>5</v>
      </c>
      <c r="V6">
        <v>5</v>
      </c>
      <c r="W6" t="str">
        <f t="shared" si="4"/>
        <v>rob</v>
      </c>
    </row>
    <row r="7" spans="1:23">
      <c r="A7" t="str">
        <f t="shared" si="5"/>
        <v>16-3139-2000</v>
      </c>
      <c r="B7" t="str">
        <f>"17-LOTO-0000"</f>
        <v>17-LOTO-0000</v>
      </c>
      <c r="C7" t="str">
        <f>"LM5.X Content, JM, Safety, Lock Out/Tag Out"</f>
        <v>LM5.X Content, JM, Safety, Lock Out/Tag Out</v>
      </c>
      <c r="D7">
        <v>1</v>
      </c>
      <c r="E7" t="str">
        <f t="shared" si="6"/>
        <v>LM5.X, Virtual, JM Foundations Program, HS Campus</v>
      </c>
      <c r="F7">
        <v>0</v>
      </c>
      <c r="G7" t="str">
        <f t="shared" si="0"/>
        <v>Y</v>
      </c>
      <c r="H7" t="str">
        <f t="shared" si="1"/>
        <v>EA</v>
      </c>
      <c r="I7">
        <v>0</v>
      </c>
      <c r="J7">
        <v>0</v>
      </c>
      <c r="K7" t="str">
        <f t="shared" si="2"/>
        <v>Y</v>
      </c>
      <c r="L7">
        <v>0</v>
      </c>
      <c r="M7" t="str">
        <f t="shared" si="3"/>
        <v>NIS</v>
      </c>
      <c r="O7">
        <v>4</v>
      </c>
      <c r="P7" t="str">
        <f t="shared" si="7"/>
        <v>Active</v>
      </c>
      <c r="Q7" t="str">
        <f>"LM5.X Content, JM, Safety, Lock Out/Tag Out"</f>
        <v>LM5.X Content, JM, Safety, Lock Out/Tag Out</v>
      </c>
      <c r="S7" t="str">
        <f>"LM5.X Content, JM, Safety, Lock Out/Tag Out"</f>
        <v>LM5.X Content, JM, Safety, Lock Out/Tag Out</v>
      </c>
      <c r="T7">
        <v>12.27</v>
      </c>
      <c r="U7">
        <v>5</v>
      </c>
      <c r="V7">
        <v>5</v>
      </c>
      <c r="W7" t="str">
        <f t="shared" si="4"/>
        <v>rob</v>
      </c>
    </row>
    <row r="8" spans="1:23">
      <c r="A8" t="str">
        <f t="shared" si="5"/>
        <v>16-3139-2000</v>
      </c>
      <c r="B8" t="str">
        <f>"17-BA01A-0001"</f>
        <v>17-BA01A-0001</v>
      </c>
      <c r="C8" t="str">
        <f>"LM5.X Content, JM, Math for Technicians I"</f>
        <v>LM5.X Content, JM, Math for Technicians I</v>
      </c>
      <c r="D8">
        <v>1</v>
      </c>
      <c r="E8" t="str">
        <f t="shared" si="6"/>
        <v>LM5.X, Virtual, JM Foundations Program, HS Campus</v>
      </c>
      <c r="F8">
        <v>0</v>
      </c>
      <c r="G8" t="str">
        <f t="shared" si="0"/>
        <v>Y</v>
      </c>
      <c r="H8" t="str">
        <f t="shared" si="1"/>
        <v>EA</v>
      </c>
      <c r="I8">
        <v>0</v>
      </c>
      <c r="J8">
        <v>0</v>
      </c>
      <c r="K8" t="str">
        <f t="shared" si="2"/>
        <v>Y</v>
      </c>
      <c r="L8">
        <v>0</v>
      </c>
      <c r="M8" t="str">
        <f t="shared" si="3"/>
        <v>NIS</v>
      </c>
      <c r="O8">
        <v>5</v>
      </c>
      <c r="P8" t="str">
        <f t="shared" si="7"/>
        <v>Active</v>
      </c>
      <c r="Q8" t="str">
        <f>"LM5.X Content, JM, Math for Technicians I"</f>
        <v>LM5.X Content, JM, Math for Technicians I</v>
      </c>
      <c r="S8" t="str">
        <f>"LM5.X Content, JM, Math for Technicians I"</f>
        <v>LM5.X Content, JM, Math for Technicians I</v>
      </c>
      <c r="T8">
        <v>0</v>
      </c>
      <c r="U8">
        <v>5</v>
      </c>
      <c r="V8">
        <v>5</v>
      </c>
      <c r="W8" t="str">
        <f t="shared" si="4"/>
        <v>rob</v>
      </c>
    </row>
    <row r="9" spans="1:23">
      <c r="A9" t="str">
        <f t="shared" si="5"/>
        <v>16-3139-2000</v>
      </c>
      <c r="B9" t="str">
        <f>"17-BA01B-0001"</f>
        <v>17-BA01B-0001</v>
      </c>
      <c r="C9" t="str">
        <f>"LM5.X Content, JM, Math For Technicians II"</f>
        <v>LM5.X Content, JM, Math For Technicians II</v>
      </c>
      <c r="D9">
        <v>1</v>
      </c>
      <c r="E9" t="str">
        <f t="shared" si="6"/>
        <v>LM5.X, Virtual, JM Foundations Program, HS Campus</v>
      </c>
      <c r="F9">
        <v>0</v>
      </c>
      <c r="G9" t="str">
        <f t="shared" si="0"/>
        <v>Y</v>
      </c>
      <c r="H9" t="str">
        <f t="shared" si="1"/>
        <v>EA</v>
      </c>
      <c r="I9">
        <v>0</v>
      </c>
      <c r="J9">
        <v>0</v>
      </c>
      <c r="K9" t="str">
        <f t="shared" si="2"/>
        <v>Y</v>
      </c>
      <c r="L9">
        <v>0</v>
      </c>
      <c r="M9" t="str">
        <f t="shared" si="3"/>
        <v>NIS</v>
      </c>
      <c r="O9">
        <v>6</v>
      </c>
      <c r="P9" t="str">
        <f t="shared" si="7"/>
        <v>Active</v>
      </c>
      <c r="Q9" t="str">
        <f>"LM5.X Content, JM, Math For Technicians II"</f>
        <v>LM5.X Content, JM, Math For Technicians II</v>
      </c>
      <c r="S9" t="str">
        <f>"LM5.X Content, JM, Math For Technicians II"</f>
        <v>LM5.X Content, JM, Math For Technicians II</v>
      </c>
      <c r="T9">
        <v>0</v>
      </c>
      <c r="U9">
        <v>5</v>
      </c>
      <c r="V9">
        <v>5</v>
      </c>
      <c r="W9" t="str">
        <f t="shared" si="4"/>
        <v>rob</v>
      </c>
    </row>
    <row r="10" spans="1:23">
      <c r="A10" t="str">
        <f t="shared" si="5"/>
        <v>16-3139-2000</v>
      </c>
      <c r="B10" t="str">
        <f>"17-BA02-0001"</f>
        <v>17-BA02-0001</v>
      </c>
      <c r="C10" t="str">
        <f>"LM5.X Content, JM, Blue Print Reading"</f>
        <v>LM5.X Content, JM, Blue Print Reading</v>
      </c>
      <c r="D10">
        <v>1</v>
      </c>
      <c r="E10" t="str">
        <f t="shared" si="6"/>
        <v>LM5.X, Virtual, JM Foundations Program, HS Campus</v>
      </c>
      <c r="F10">
        <v>0</v>
      </c>
      <c r="G10" t="str">
        <f t="shared" si="0"/>
        <v>Y</v>
      </c>
      <c r="H10" t="str">
        <f t="shared" si="1"/>
        <v>EA</v>
      </c>
      <c r="I10">
        <v>0</v>
      </c>
      <c r="J10">
        <v>0</v>
      </c>
      <c r="K10" t="str">
        <f t="shared" si="2"/>
        <v>Y</v>
      </c>
      <c r="L10">
        <v>0</v>
      </c>
      <c r="M10" t="str">
        <f t="shared" si="3"/>
        <v>NIS</v>
      </c>
      <c r="O10">
        <v>7</v>
      </c>
      <c r="P10" t="str">
        <f t="shared" si="7"/>
        <v>Active</v>
      </c>
      <c r="Q10" t="str">
        <f>"LM5.X Content, JM, Blue Print Reading"</f>
        <v>LM5.X Content, JM, Blue Print Reading</v>
      </c>
      <c r="S10" t="str">
        <f>"LM5.X Content, JM, Blue Print Reading"</f>
        <v>LM5.X Content, JM, Blue Print Reading</v>
      </c>
      <c r="T10">
        <v>0</v>
      </c>
      <c r="U10">
        <v>5</v>
      </c>
      <c r="V10">
        <v>5</v>
      </c>
      <c r="W10" t="str">
        <f t="shared" si="4"/>
        <v>rob</v>
      </c>
    </row>
    <row r="11" spans="1:23">
      <c r="A11" t="str">
        <f t="shared" si="5"/>
        <v>16-3139-2000</v>
      </c>
      <c r="B11" t="str">
        <f>"17-BA03-0001"</f>
        <v>17-BA03-0001</v>
      </c>
      <c r="C11" t="str">
        <f>"LM5.X Content, JM, Lubrication for Technicians"</f>
        <v>LM5.X Content, JM, Lubrication for Technicians</v>
      </c>
      <c r="D11">
        <v>1</v>
      </c>
      <c r="E11" t="str">
        <f t="shared" si="6"/>
        <v>LM5.X, Virtual, JM Foundations Program, HS Campus</v>
      </c>
      <c r="F11">
        <v>0</v>
      </c>
      <c r="G11" t="str">
        <f t="shared" si="0"/>
        <v>Y</v>
      </c>
      <c r="H11" t="str">
        <f t="shared" si="1"/>
        <v>EA</v>
      </c>
      <c r="I11">
        <v>0</v>
      </c>
      <c r="J11">
        <v>0</v>
      </c>
      <c r="K11" t="str">
        <f t="shared" si="2"/>
        <v>Y</v>
      </c>
      <c r="L11">
        <v>0</v>
      </c>
      <c r="M11" t="str">
        <f t="shared" si="3"/>
        <v>NIS</v>
      </c>
      <c r="O11">
        <v>8</v>
      </c>
      <c r="P11" t="str">
        <f t="shared" si="7"/>
        <v>Active</v>
      </c>
      <c r="Q11" t="str">
        <f>"LM5.X Content, JM, Lubrication for Technicians"</f>
        <v>LM5.X Content, JM, Lubrication for Technicians</v>
      </c>
      <c r="S11" t="str">
        <f>"LM5.X Content, JM, Lubrication for Technicians"</f>
        <v>LM5.X Content, JM, Lubrication for Technicians</v>
      </c>
      <c r="T11">
        <v>0</v>
      </c>
      <c r="U11">
        <v>5</v>
      </c>
      <c r="V11">
        <v>5</v>
      </c>
      <c r="W11" t="str">
        <f t="shared" si="4"/>
        <v>rob</v>
      </c>
    </row>
    <row r="12" spans="1:23">
      <c r="A12" t="str">
        <f t="shared" si="5"/>
        <v>16-3139-2000</v>
      </c>
      <c r="B12" t="str">
        <f>"17-BA04-0001"</f>
        <v>17-BA04-0001</v>
      </c>
      <c r="C12" t="str">
        <f>"LM5.X Content, JM, Fasteners"</f>
        <v>LM5.X Content, JM, Fasteners</v>
      </c>
      <c r="D12">
        <v>1</v>
      </c>
      <c r="E12" t="str">
        <f t="shared" si="6"/>
        <v>LM5.X, Virtual, JM Foundations Program, HS Campus</v>
      </c>
      <c r="F12">
        <v>0</v>
      </c>
      <c r="G12" t="str">
        <f t="shared" si="0"/>
        <v>Y</v>
      </c>
      <c r="H12" t="str">
        <f t="shared" si="1"/>
        <v>EA</v>
      </c>
      <c r="I12">
        <v>0</v>
      </c>
      <c r="J12">
        <v>0</v>
      </c>
      <c r="K12" t="str">
        <f t="shared" si="2"/>
        <v>Y</v>
      </c>
      <c r="L12">
        <v>0</v>
      </c>
      <c r="M12" t="str">
        <f t="shared" si="3"/>
        <v>NIS</v>
      </c>
      <c r="O12">
        <v>9</v>
      </c>
      <c r="P12" t="str">
        <f t="shared" si="7"/>
        <v>Active</v>
      </c>
      <c r="Q12" t="str">
        <f>"LM5.X Content, JM, Fasteners"</f>
        <v>LM5.X Content, JM, Fasteners</v>
      </c>
      <c r="S12" t="str">
        <f>"LM5.X Content, JM, Fasteners"</f>
        <v>LM5.X Content, JM, Fasteners</v>
      </c>
      <c r="T12">
        <v>0</v>
      </c>
      <c r="U12">
        <v>5</v>
      </c>
      <c r="V12">
        <v>5</v>
      </c>
      <c r="W12" t="str">
        <f t="shared" si="4"/>
        <v>rob</v>
      </c>
    </row>
    <row r="13" spans="1:23">
      <c r="A13" t="str">
        <f t="shared" si="5"/>
        <v>16-3139-2000</v>
      </c>
      <c r="B13" t="str">
        <f>"17-BA05-0001"</f>
        <v>17-BA05-0001</v>
      </c>
      <c r="C13" t="str">
        <f>"LM5.X Content, JM, Hand Tools"</f>
        <v>LM5.X Content, JM, Hand Tools</v>
      </c>
      <c r="D13">
        <v>1</v>
      </c>
      <c r="E13" t="str">
        <f t="shared" si="6"/>
        <v>LM5.X, Virtual, JM Foundations Program, HS Campus</v>
      </c>
      <c r="F13">
        <v>0</v>
      </c>
      <c r="G13" t="str">
        <f t="shared" si="0"/>
        <v>Y</v>
      </c>
      <c r="H13" t="str">
        <f t="shared" si="1"/>
        <v>EA</v>
      </c>
      <c r="I13">
        <v>0</v>
      </c>
      <c r="J13">
        <v>0</v>
      </c>
      <c r="K13" t="str">
        <f t="shared" si="2"/>
        <v>Y</v>
      </c>
      <c r="L13">
        <v>0</v>
      </c>
      <c r="M13" t="str">
        <f t="shared" si="3"/>
        <v>NIS</v>
      </c>
      <c r="O13">
        <v>10</v>
      </c>
      <c r="P13" t="str">
        <f t="shared" si="7"/>
        <v>Active</v>
      </c>
      <c r="Q13" t="str">
        <f>"LM5.X Content, JM, Hand Tools"</f>
        <v>LM5.X Content, JM, Hand Tools</v>
      </c>
      <c r="S13" t="str">
        <f>"LM5.X Content, JM, Hand Tools"</f>
        <v>LM5.X Content, JM, Hand Tools</v>
      </c>
      <c r="T13">
        <v>0</v>
      </c>
      <c r="U13">
        <v>5</v>
      </c>
      <c r="V13">
        <v>5</v>
      </c>
      <c r="W13" t="str">
        <f t="shared" si="4"/>
        <v>rob</v>
      </c>
    </row>
    <row r="14" spans="1:23">
      <c r="A14" t="str">
        <f t="shared" si="5"/>
        <v>16-3139-2000</v>
      </c>
      <c r="B14" t="str">
        <f>"17-BA06-0001"</f>
        <v>17-BA06-0001</v>
      </c>
      <c r="C14" t="str">
        <f>"LM5.X Content, JM, Power Tools"</f>
        <v>LM5.X Content, JM, Power Tools</v>
      </c>
      <c r="D14">
        <v>1</v>
      </c>
      <c r="E14" t="str">
        <f t="shared" si="6"/>
        <v>LM5.X, Virtual, JM Foundations Program, HS Campus</v>
      </c>
      <c r="F14">
        <v>0</v>
      </c>
      <c r="G14" t="str">
        <f t="shared" si="0"/>
        <v>Y</v>
      </c>
      <c r="H14" t="str">
        <f t="shared" si="1"/>
        <v>EA</v>
      </c>
      <c r="I14">
        <v>0</v>
      </c>
      <c r="J14">
        <v>0</v>
      </c>
      <c r="K14" t="str">
        <f t="shared" si="2"/>
        <v>Y</v>
      </c>
      <c r="L14">
        <v>0</v>
      </c>
      <c r="M14" t="str">
        <f t="shared" si="3"/>
        <v>NIS</v>
      </c>
      <c r="O14">
        <v>11</v>
      </c>
      <c r="P14" t="str">
        <f t="shared" si="7"/>
        <v>Active</v>
      </c>
      <c r="Q14" t="str">
        <f>"LM5.X Content, JM, Power Tools"</f>
        <v>LM5.X Content, JM, Power Tools</v>
      </c>
      <c r="S14" t="str">
        <f>"LM5.X Content, JM, Power Tools"</f>
        <v>LM5.X Content, JM, Power Tools</v>
      </c>
      <c r="T14">
        <v>0</v>
      </c>
      <c r="U14">
        <v>5</v>
      </c>
      <c r="V14">
        <v>5</v>
      </c>
      <c r="W14" t="str">
        <f t="shared" si="4"/>
        <v>rob</v>
      </c>
    </row>
    <row r="15" spans="1:23">
      <c r="A15" t="str">
        <f t="shared" si="5"/>
        <v>16-3139-2000</v>
      </c>
      <c r="B15" t="str">
        <f>"17-8014-0001"</f>
        <v>17-8014-0001</v>
      </c>
      <c r="C15" t="str">
        <f>"LM5.X Content, Lab/Vir, MMQC"</f>
        <v>LM5.X Content, Lab/Vir, MMQC</v>
      </c>
      <c r="D15">
        <v>1</v>
      </c>
      <c r="E15" t="str">
        <f t="shared" si="6"/>
        <v>LM5.X, Virtual, JM Foundations Program, HS Campus</v>
      </c>
      <c r="F15">
        <v>0</v>
      </c>
      <c r="G15" t="str">
        <f t="shared" si="0"/>
        <v>Y</v>
      </c>
      <c r="H15" t="str">
        <f t="shared" si="1"/>
        <v>EA</v>
      </c>
      <c r="I15">
        <v>0</v>
      </c>
      <c r="J15">
        <v>0</v>
      </c>
      <c r="K15" t="str">
        <f t="shared" si="2"/>
        <v>Y</v>
      </c>
      <c r="L15">
        <v>0</v>
      </c>
      <c r="M15" t="str">
        <f t="shared" si="3"/>
        <v>NIS</v>
      </c>
      <c r="O15">
        <v>12</v>
      </c>
      <c r="P15" t="str">
        <f t="shared" si="7"/>
        <v>Active</v>
      </c>
      <c r="Q15" t="str">
        <f>"LM5.X Content, Lab/Vir, MMQC"</f>
        <v>LM5.X Content, Lab/Vir, MMQC</v>
      </c>
      <c r="S15" t="str">
        <f>"LM5.X Content, Lab/Vir, MMQC"</f>
        <v>LM5.X Content, Lab/Vir, MMQC</v>
      </c>
      <c r="T15">
        <v>0</v>
      </c>
      <c r="U15">
        <v>5</v>
      </c>
      <c r="V15">
        <v>5</v>
      </c>
      <c r="W15" t="str">
        <f t="shared" si="4"/>
        <v>rob</v>
      </c>
    </row>
    <row r="16" spans="1:23">
      <c r="A16" t="str">
        <f t="shared" ref="A16:A28" si="8">"16-8094-1000"</f>
        <v>16-8094-1000</v>
      </c>
      <c r="B16" t="str">
        <f>"17-8094-0000"</f>
        <v>17-8094-0000</v>
      </c>
      <c r="C16" t="str">
        <f>"LM 5 Content, Lab, RMH1 w/ER9 Pro"</f>
        <v>LM 5 Content, Lab, RMH1 w/ER9 Pro</v>
      </c>
      <c r="D16">
        <v>1</v>
      </c>
      <c r="E16" t="str">
        <f t="shared" ref="E16:E28" si="9">"LMS, Lab, Robotics &amp; Material Handling 1 w/ER9 PRO"</f>
        <v>LMS, Lab, Robotics &amp; Material Handling 1 w/ER9 PRO</v>
      </c>
      <c r="F16">
        <v>0</v>
      </c>
      <c r="G16" t="str">
        <f t="shared" si="0"/>
        <v>Y</v>
      </c>
      <c r="H16" t="str">
        <f t="shared" si="1"/>
        <v>EA</v>
      </c>
      <c r="I16">
        <v>0</v>
      </c>
      <c r="J16">
        <v>0</v>
      </c>
      <c r="K16" t="str">
        <f t="shared" si="2"/>
        <v>Y</v>
      </c>
      <c r="L16">
        <v>0</v>
      </c>
      <c r="M16" t="str">
        <f t="shared" si="3"/>
        <v>NIS</v>
      </c>
      <c r="O16">
        <v>1</v>
      </c>
      <c r="P16" t="str">
        <f t="shared" si="7"/>
        <v>Active</v>
      </c>
      <c r="Q16" t="str">
        <f>"LM5.X Content, Lab, RMH1 w/ER9 Pro"</f>
        <v>LM5.X Content, Lab, RMH1 w/ER9 Pro</v>
      </c>
      <c r="S16" t="str">
        <f>"LM5.X Content, Lab, RMH1 w/ER9 Pro"</f>
        <v>LM5.X Content, Lab, RMH1 w/ER9 Pro</v>
      </c>
      <c r="T16">
        <v>0</v>
      </c>
      <c r="U16">
        <v>5</v>
      </c>
      <c r="V16">
        <v>5</v>
      </c>
      <c r="W16" t="str">
        <f t="shared" si="4"/>
        <v>rob</v>
      </c>
    </row>
    <row r="17" spans="1:23">
      <c r="A17" t="str">
        <f t="shared" si="8"/>
        <v>16-8094-1000</v>
      </c>
      <c r="B17" t="str">
        <f>"00-0430-0000"</f>
        <v>00-0430-0000</v>
      </c>
      <c r="C17" t="str">
        <f>"SCORBOT-ER9Pro"</f>
        <v>SCORBOT-ER9Pro</v>
      </c>
      <c r="D17">
        <v>1</v>
      </c>
      <c r="E17" t="str">
        <f t="shared" si="9"/>
        <v>LMS, Lab, Robotics &amp; Material Handling 1 w/ER9 PRO</v>
      </c>
      <c r="F17">
        <v>0</v>
      </c>
      <c r="G17" t="str">
        <f t="shared" si="0"/>
        <v>Y</v>
      </c>
      <c r="H17" t="str">
        <f t="shared" si="1"/>
        <v>EA</v>
      </c>
      <c r="I17">
        <v>0</v>
      </c>
      <c r="J17">
        <v>0</v>
      </c>
      <c r="K17" t="str">
        <f t="shared" si="2"/>
        <v>Y</v>
      </c>
      <c r="L17">
        <v>0</v>
      </c>
      <c r="M17" t="str">
        <f t="shared" si="3"/>
        <v>NIS</v>
      </c>
      <c r="O17">
        <v>2</v>
      </c>
      <c r="P17" t="str">
        <f t="shared" si="7"/>
        <v>Active</v>
      </c>
      <c r="Q17" t="str">
        <f>"SCORBOT-ER 9Pro (incl. USB-Pro Controller)"</f>
        <v>SCORBOT-ER 9Pro (incl. USB-Pro Controller)</v>
      </c>
      <c r="S17" t="str">
        <f>"SCORBOT-ER 9Pro (incl. USB-Pro Controller)"</f>
        <v>SCORBOT-ER 9Pro (incl. USB-Pro Controller)</v>
      </c>
      <c r="T17">
        <v>0</v>
      </c>
      <c r="U17" s="44">
        <v>10900</v>
      </c>
      <c r="V17" s="44">
        <v>11661.57</v>
      </c>
      <c r="W17" t="str">
        <f t="shared" si="4"/>
        <v>rob</v>
      </c>
    </row>
    <row r="18" spans="1:23">
      <c r="A18" t="str">
        <f t="shared" si="8"/>
        <v>16-8094-1000</v>
      </c>
      <c r="B18" t="str">
        <f>"00-0633-0000"</f>
        <v>00-0633-0000</v>
      </c>
      <c r="C18" t="str">
        <f>"Pneumatic Gripper for ER9-Pro"</f>
        <v>Pneumatic Gripper for ER9-Pro</v>
      </c>
      <c r="D18">
        <v>1</v>
      </c>
      <c r="E18" t="str">
        <f t="shared" si="9"/>
        <v>LMS, Lab, Robotics &amp; Material Handling 1 w/ER9 PRO</v>
      </c>
      <c r="F18">
        <v>0</v>
      </c>
      <c r="G18" t="str">
        <f t="shared" si="0"/>
        <v>Y</v>
      </c>
      <c r="H18" t="str">
        <f t="shared" si="1"/>
        <v>EA</v>
      </c>
      <c r="I18">
        <v>0</v>
      </c>
      <c r="J18">
        <v>0</v>
      </c>
      <c r="K18" t="str">
        <f t="shared" si="2"/>
        <v>Y</v>
      </c>
      <c r="L18">
        <v>0</v>
      </c>
      <c r="M18" t="str">
        <f t="shared" si="3"/>
        <v>NIS</v>
      </c>
      <c r="O18">
        <v>3</v>
      </c>
      <c r="P18" t="str">
        <f t="shared" si="7"/>
        <v>Active</v>
      </c>
      <c r="Q18" t="str">
        <f>"Pneumatic Gripper for ER9-Pro"</f>
        <v>Pneumatic Gripper for ER9-Pro</v>
      </c>
      <c r="S18" t="str">
        <f>"Pneumatic Gripper for ER9-Pro"</f>
        <v>Pneumatic Gripper for ER9-Pro</v>
      </c>
      <c r="T18">
        <v>0</v>
      </c>
      <c r="U18">
        <v>630</v>
      </c>
      <c r="V18">
        <v>624.72</v>
      </c>
      <c r="W18" t="str">
        <f t="shared" si="4"/>
        <v>rob</v>
      </c>
    </row>
    <row r="19" spans="1:23">
      <c r="A19" t="str">
        <f t="shared" si="8"/>
        <v>16-8094-1000</v>
      </c>
      <c r="B19" t="str">
        <f>"00-1010-0000"</f>
        <v>00-1010-0000</v>
      </c>
      <c r="C19" t="str">
        <f>"Conveyor Belt tabletop"</f>
        <v>Conveyor Belt tabletop</v>
      </c>
      <c r="D19">
        <v>1</v>
      </c>
      <c r="E19" t="str">
        <f t="shared" si="9"/>
        <v>LMS, Lab, Robotics &amp; Material Handling 1 w/ER9 PRO</v>
      </c>
      <c r="F19">
        <v>0</v>
      </c>
      <c r="G19" t="str">
        <f t="shared" si="0"/>
        <v>Y</v>
      </c>
      <c r="H19" t="str">
        <f t="shared" si="1"/>
        <v>EA</v>
      </c>
      <c r="I19">
        <v>0</v>
      </c>
      <c r="J19">
        <v>0</v>
      </c>
      <c r="K19" t="str">
        <f t="shared" si="2"/>
        <v>Y</v>
      </c>
      <c r="L19">
        <v>0</v>
      </c>
      <c r="M19" t="str">
        <f t="shared" si="3"/>
        <v>NIS</v>
      </c>
      <c r="O19">
        <v>4</v>
      </c>
      <c r="P19" t="str">
        <f t="shared" si="7"/>
        <v>Active</v>
      </c>
      <c r="Q19" t="str">
        <f>"Conveyor Belt (24V)"</f>
        <v>Conveyor Belt (24V)</v>
      </c>
      <c r="S19" t="str">
        <f>"Conveyor Belt (24V)"</f>
        <v>Conveyor Belt (24V)</v>
      </c>
      <c r="T19">
        <v>0</v>
      </c>
      <c r="U19">
        <v>510</v>
      </c>
      <c r="V19">
        <v>472.02</v>
      </c>
      <c r="W19" t="str">
        <f t="shared" si="4"/>
        <v>rob</v>
      </c>
    </row>
    <row r="20" spans="1:23">
      <c r="A20" t="str">
        <f t="shared" si="8"/>
        <v>16-8094-1000</v>
      </c>
      <c r="B20" t="str">
        <f>"35001"</f>
        <v>35001</v>
      </c>
      <c r="C20" t="str">
        <f>"Proximity Sensor w/Power Supply for Conveyor"</f>
        <v>Proximity Sensor w/Power Supply for Conveyor</v>
      </c>
      <c r="D20">
        <v>1</v>
      </c>
      <c r="E20" t="str">
        <f t="shared" si="9"/>
        <v>LMS, Lab, Robotics &amp; Material Handling 1 w/ER9 PRO</v>
      </c>
      <c r="F20">
        <v>0</v>
      </c>
      <c r="G20" t="str">
        <f t="shared" si="0"/>
        <v>Y</v>
      </c>
      <c r="H20" t="str">
        <f t="shared" si="1"/>
        <v>EA</v>
      </c>
      <c r="I20">
        <v>0</v>
      </c>
      <c r="J20">
        <v>0</v>
      </c>
      <c r="K20" t="str">
        <f t="shared" si="2"/>
        <v>Y</v>
      </c>
      <c r="L20">
        <v>0</v>
      </c>
      <c r="M20" t="str">
        <f t="shared" si="3"/>
        <v>NIS</v>
      </c>
      <c r="O20">
        <v>5</v>
      </c>
      <c r="P20" t="str">
        <f>"Phase Out"</f>
        <v>Phase Out</v>
      </c>
      <c r="Q20" t="str">
        <f>"Proximity Sensor w/Power Supply for Conveyor"</f>
        <v>Proximity Sensor w/Power Supply for Conveyor</v>
      </c>
      <c r="S20" t="str">
        <f>"Proximity Sensor w/Power Supply for Conveyor"</f>
        <v>Proximity Sensor w/Power Supply for Conveyor</v>
      </c>
      <c r="T20">
        <v>187.29</v>
      </c>
      <c r="U20">
        <v>188</v>
      </c>
      <c r="V20">
        <v>162.19999999999999</v>
      </c>
      <c r="W20" t="str">
        <f t="shared" si="4"/>
        <v>rob</v>
      </c>
    </row>
    <row r="21" spans="1:23">
      <c r="A21" t="str">
        <f t="shared" si="8"/>
        <v>16-8094-1000</v>
      </c>
      <c r="B21" t="str">
        <f>"31-1402-0001"</f>
        <v>31-1402-0001</v>
      </c>
      <c r="C21" t="str">
        <f>"Dividers, Short"</f>
        <v>Dividers, Short</v>
      </c>
      <c r="D21">
        <v>6</v>
      </c>
      <c r="E21" t="str">
        <f t="shared" si="9"/>
        <v>LMS, Lab, Robotics &amp; Material Handling 1 w/ER9 PRO</v>
      </c>
      <c r="F21">
        <v>0</v>
      </c>
      <c r="G21" t="str">
        <f t="shared" si="0"/>
        <v>Y</v>
      </c>
      <c r="H21" t="str">
        <f t="shared" si="1"/>
        <v>EA</v>
      </c>
      <c r="I21">
        <v>0</v>
      </c>
      <c r="J21">
        <v>0</v>
      </c>
      <c r="K21" t="str">
        <f t="shared" si="2"/>
        <v>Y</v>
      </c>
      <c r="L21">
        <v>0</v>
      </c>
      <c r="M21" t="str">
        <f t="shared" si="3"/>
        <v>NIS</v>
      </c>
      <c r="O21">
        <v>6</v>
      </c>
      <c r="P21" t="str">
        <f t="shared" ref="P21:P26" si="10">"Active"</f>
        <v>Active</v>
      </c>
      <c r="Q21" t="str">
        <f>"Dividers, Short"</f>
        <v>Dividers, Short</v>
      </c>
      <c r="S21" t="str">
        <f>"Dividers, Short"</f>
        <v>Dividers, Short</v>
      </c>
      <c r="T21">
        <v>1.46</v>
      </c>
      <c r="U21">
        <v>1.2</v>
      </c>
      <c r="V21">
        <v>1.25</v>
      </c>
      <c r="W21" t="str">
        <f t="shared" si="4"/>
        <v>rob</v>
      </c>
    </row>
    <row r="22" spans="1:23">
      <c r="A22" t="str">
        <f t="shared" si="8"/>
        <v>16-8094-1000</v>
      </c>
      <c r="B22" t="str">
        <f>"31-1402-0002"</f>
        <v>31-1402-0002</v>
      </c>
      <c r="C22" t="str">
        <f>"Dividers, Long"</f>
        <v>Dividers, Long</v>
      </c>
      <c r="D22">
        <v>6</v>
      </c>
      <c r="E22" t="str">
        <f t="shared" si="9"/>
        <v>LMS, Lab, Robotics &amp; Material Handling 1 w/ER9 PRO</v>
      </c>
      <c r="F22">
        <v>0</v>
      </c>
      <c r="G22" t="str">
        <f t="shared" si="0"/>
        <v>Y</v>
      </c>
      <c r="H22" t="str">
        <f t="shared" si="1"/>
        <v>EA</v>
      </c>
      <c r="I22">
        <v>0</v>
      </c>
      <c r="J22">
        <v>0</v>
      </c>
      <c r="K22" t="str">
        <f t="shared" si="2"/>
        <v>Y</v>
      </c>
      <c r="L22">
        <v>0</v>
      </c>
      <c r="M22" t="str">
        <f t="shared" si="3"/>
        <v>NIS</v>
      </c>
      <c r="O22">
        <v>7</v>
      </c>
      <c r="P22" t="str">
        <f t="shared" si="10"/>
        <v>Active</v>
      </c>
      <c r="Q22" t="str">
        <f>"Dividers, Long"</f>
        <v>Dividers, Long</v>
      </c>
      <c r="S22" t="str">
        <f>"Dividers, Long"</f>
        <v>Dividers, Long</v>
      </c>
      <c r="T22">
        <v>2.85</v>
      </c>
      <c r="U22">
        <v>2.31</v>
      </c>
      <c r="V22">
        <v>2.5</v>
      </c>
      <c r="W22" t="str">
        <f t="shared" si="4"/>
        <v>rob</v>
      </c>
    </row>
    <row r="23" spans="1:23">
      <c r="A23" t="str">
        <f t="shared" si="8"/>
        <v>16-8094-1000</v>
      </c>
      <c r="B23" t="str">
        <f>"31-1402-0003"</f>
        <v>31-1402-0003</v>
      </c>
      <c r="C23" t="str">
        <f>"Pallet Pkging, Grey Tote Container"</f>
        <v>Pallet Pkging, Grey Tote Container</v>
      </c>
      <c r="D23">
        <v>2</v>
      </c>
      <c r="E23" t="str">
        <f t="shared" si="9"/>
        <v>LMS, Lab, Robotics &amp; Material Handling 1 w/ER9 PRO</v>
      </c>
      <c r="F23">
        <v>0</v>
      </c>
      <c r="G23" t="str">
        <f t="shared" si="0"/>
        <v>Y</v>
      </c>
      <c r="H23" t="str">
        <f t="shared" si="1"/>
        <v>EA</v>
      </c>
      <c r="I23">
        <v>0</v>
      </c>
      <c r="J23">
        <v>0</v>
      </c>
      <c r="K23" t="str">
        <f t="shared" si="2"/>
        <v>Y</v>
      </c>
      <c r="L23">
        <v>0</v>
      </c>
      <c r="M23" t="str">
        <f t="shared" si="3"/>
        <v>NIS</v>
      </c>
      <c r="O23">
        <v>8</v>
      </c>
      <c r="P23" t="str">
        <f t="shared" si="10"/>
        <v>Active</v>
      </c>
      <c r="Q23" t="str">
        <f>"Pallet Pkging, Grey Tote Container"</f>
        <v>Pallet Pkging, Grey Tote Container</v>
      </c>
      <c r="S23" t="str">
        <f>"Pallet Pkging, Grey Tote Container"</f>
        <v>Pallet Pkging, Grey Tote Container</v>
      </c>
      <c r="T23">
        <v>11</v>
      </c>
      <c r="U23">
        <v>9.36</v>
      </c>
      <c r="V23">
        <v>10.92</v>
      </c>
      <c r="W23" t="str">
        <f t="shared" si="4"/>
        <v>rob</v>
      </c>
    </row>
    <row r="24" spans="1:23">
      <c r="A24" t="str">
        <f t="shared" si="8"/>
        <v>16-8094-1000</v>
      </c>
      <c r="B24" t="str">
        <f>"10-1007-4000"</f>
        <v>10-1007-4000</v>
      </c>
      <c r="C24" t="str">
        <f>"Gravity Parts Feeder (with microswitch sensor)"</f>
        <v>Gravity Parts Feeder (with microswitch sensor)</v>
      </c>
      <c r="D24">
        <v>1</v>
      </c>
      <c r="E24" t="str">
        <f t="shared" si="9"/>
        <v>LMS, Lab, Robotics &amp; Material Handling 1 w/ER9 PRO</v>
      </c>
      <c r="F24">
        <v>0</v>
      </c>
      <c r="G24" t="str">
        <f t="shared" si="0"/>
        <v>Y</v>
      </c>
      <c r="H24" t="str">
        <f t="shared" si="1"/>
        <v>EA</v>
      </c>
      <c r="I24">
        <v>0</v>
      </c>
      <c r="J24">
        <v>0</v>
      </c>
      <c r="K24" t="str">
        <f t="shared" si="2"/>
        <v>Y</v>
      </c>
      <c r="L24">
        <v>0</v>
      </c>
      <c r="M24" t="str">
        <f t="shared" si="3"/>
        <v>NIS</v>
      </c>
      <c r="O24">
        <v>9</v>
      </c>
      <c r="P24" t="str">
        <f t="shared" si="10"/>
        <v>Active</v>
      </c>
      <c r="Q24" t="str">
        <f>"Gravity Parts Feeder (incl.microswitch sensor)"</f>
        <v>Gravity Parts Feeder (incl.microswitch sensor)</v>
      </c>
      <c r="S24" t="str">
        <f>"Gravity Parts Feeder (incl.microswitch sensor)"</f>
        <v>Gravity Parts Feeder (incl.microswitch sensor)</v>
      </c>
      <c r="T24">
        <v>0</v>
      </c>
      <c r="U24">
        <v>148</v>
      </c>
      <c r="V24">
        <v>148.26</v>
      </c>
      <c r="W24" t="str">
        <f t="shared" si="4"/>
        <v>rob</v>
      </c>
    </row>
    <row r="25" spans="1:23">
      <c r="A25" t="str">
        <f t="shared" si="8"/>
        <v>16-8094-1000</v>
      </c>
      <c r="B25" t="str">
        <f>"00-1201-0000"</f>
        <v>00-1201-0000</v>
      </c>
      <c r="C25" t="str">
        <f>"I/O Experiment Table"</f>
        <v>I/O Experiment Table</v>
      </c>
      <c r="D25">
        <v>1</v>
      </c>
      <c r="E25" t="str">
        <f t="shared" si="9"/>
        <v>LMS, Lab, Robotics &amp; Material Handling 1 w/ER9 PRO</v>
      </c>
      <c r="F25">
        <v>0</v>
      </c>
      <c r="G25" t="str">
        <f t="shared" si="0"/>
        <v>Y</v>
      </c>
      <c r="H25" t="str">
        <f t="shared" si="1"/>
        <v>EA</v>
      </c>
      <c r="I25">
        <v>0</v>
      </c>
      <c r="J25">
        <v>0</v>
      </c>
      <c r="K25" t="str">
        <f t="shared" si="2"/>
        <v>Y</v>
      </c>
      <c r="L25">
        <v>0</v>
      </c>
      <c r="M25" t="str">
        <f t="shared" si="3"/>
        <v>NIS</v>
      </c>
      <c r="O25">
        <v>10</v>
      </c>
      <c r="P25" t="str">
        <f t="shared" si="10"/>
        <v>Active</v>
      </c>
      <c r="Q25" t="str">
        <f>"I/O Experiment Table"</f>
        <v>I/O Experiment Table</v>
      </c>
      <c r="S25" t="str">
        <f>"I/O Experiment Table"</f>
        <v>I/O Experiment Table</v>
      </c>
      <c r="T25">
        <v>0</v>
      </c>
      <c r="U25">
        <v>242</v>
      </c>
      <c r="V25">
        <v>230.37</v>
      </c>
      <c r="W25" t="str">
        <f t="shared" si="4"/>
        <v>rob</v>
      </c>
    </row>
    <row r="26" spans="1:23">
      <c r="A26" t="str">
        <f t="shared" si="8"/>
        <v>16-8094-1000</v>
      </c>
      <c r="B26" t="str">
        <f>"21-0000-0130"</f>
        <v>21-0000-0130</v>
      </c>
      <c r="C26" t="str">
        <f>"Package, RMH1 Materials"</f>
        <v>Package, RMH1 Materials</v>
      </c>
      <c r="D26">
        <v>1</v>
      </c>
      <c r="E26" t="str">
        <f t="shared" si="9"/>
        <v>LMS, Lab, Robotics &amp; Material Handling 1 w/ER9 PRO</v>
      </c>
      <c r="F26">
        <v>0</v>
      </c>
      <c r="G26" t="str">
        <f t="shared" si="0"/>
        <v>Y</v>
      </c>
      <c r="H26" t="str">
        <f t="shared" si="1"/>
        <v>EA</v>
      </c>
      <c r="I26">
        <v>0</v>
      </c>
      <c r="J26">
        <v>0</v>
      </c>
      <c r="K26" t="str">
        <f t="shared" si="2"/>
        <v>Y</v>
      </c>
      <c r="L26">
        <v>0</v>
      </c>
      <c r="M26" t="str">
        <f t="shared" si="3"/>
        <v>NIS</v>
      </c>
      <c r="O26">
        <v>11</v>
      </c>
      <c r="P26" t="str">
        <f t="shared" si="10"/>
        <v>Active</v>
      </c>
      <c r="Q26" t="str">
        <f>"Package, RMH1 Materials"</f>
        <v>Package, RMH1 Materials</v>
      </c>
      <c r="S26" t="str">
        <f>"Package, RMH1 Materials"</f>
        <v>Package, RMH1 Materials</v>
      </c>
      <c r="T26">
        <v>48.77</v>
      </c>
      <c r="U26">
        <v>48</v>
      </c>
      <c r="V26">
        <v>40.71</v>
      </c>
      <c r="W26" t="str">
        <f t="shared" si="4"/>
        <v>rob</v>
      </c>
    </row>
    <row r="27" spans="1:23">
      <c r="A27" t="str">
        <f t="shared" si="8"/>
        <v>16-8094-1000</v>
      </c>
      <c r="B27" t="str">
        <f>"31-1000-0225"</f>
        <v>31-1000-0225</v>
      </c>
      <c r="C27" t="str">
        <f>"Sign, Robotics and Automation"</f>
        <v>Sign, Robotics and Automation</v>
      </c>
      <c r="D27">
        <v>1</v>
      </c>
      <c r="E27" t="str">
        <f t="shared" si="9"/>
        <v>LMS, Lab, Robotics &amp; Material Handling 1 w/ER9 PRO</v>
      </c>
      <c r="F27">
        <v>0</v>
      </c>
      <c r="G27" t="str">
        <f t="shared" si="0"/>
        <v>Y</v>
      </c>
      <c r="H27" t="str">
        <f t="shared" si="1"/>
        <v>EA</v>
      </c>
      <c r="I27">
        <v>0</v>
      </c>
      <c r="J27">
        <v>0</v>
      </c>
      <c r="K27" t="str">
        <f t="shared" si="2"/>
        <v>Y</v>
      </c>
      <c r="L27">
        <v>0</v>
      </c>
      <c r="M27" t="str">
        <f t="shared" si="3"/>
        <v>NIS</v>
      </c>
      <c r="N27" t="str">
        <f>"Y"</f>
        <v>Y</v>
      </c>
      <c r="O27">
        <v>12</v>
      </c>
      <c r="P27" t="str">
        <f>"Inactive"</f>
        <v>Inactive</v>
      </c>
      <c r="Q27" t="str">
        <f>"Sign, Robotics and Automation"</f>
        <v>Sign, Robotics and Automation</v>
      </c>
      <c r="S27" t="str">
        <f>"Sign, Robotics and Automation"</f>
        <v>Sign, Robotics and Automation</v>
      </c>
      <c r="T27">
        <v>17.78</v>
      </c>
      <c r="U27">
        <v>18.12</v>
      </c>
      <c r="V27">
        <v>26.3</v>
      </c>
      <c r="W27" t="str">
        <f t="shared" si="4"/>
        <v>rob</v>
      </c>
    </row>
    <row r="28" spans="1:23">
      <c r="A28" t="str">
        <f t="shared" si="8"/>
        <v>16-8094-1000</v>
      </c>
      <c r="B28" t="str">
        <f>"00-1710-0000"</f>
        <v>00-1710-0000</v>
      </c>
      <c r="C28" t="str">
        <f>"Teach Pendant"</f>
        <v>Teach Pendant</v>
      </c>
      <c r="D28">
        <v>1</v>
      </c>
      <c r="E28" t="str">
        <f t="shared" si="9"/>
        <v>LMS, Lab, Robotics &amp; Material Handling 1 w/ER9 PRO</v>
      </c>
      <c r="F28">
        <v>0</v>
      </c>
      <c r="G28" t="str">
        <f t="shared" si="0"/>
        <v>Y</v>
      </c>
      <c r="H28" t="str">
        <f t="shared" si="1"/>
        <v>EA</v>
      </c>
      <c r="I28">
        <v>0</v>
      </c>
      <c r="J28">
        <v>0</v>
      </c>
      <c r="K28" t="str">
        <f t="shared" si="2"/>
        <v>Y</v>
      </c>
      <c r="L28">
        <v>0</v>
      </c>
      <c r="M28" t="str">
        <f t="shared" si="3"/>
        <v>NIS</v>
      </c>
      <c r="O28">
        <v>13</v>
      </c>
      <c r="P28" t="str">
        <f t="shared" ref="P28:P59" si="11">"Active"</f>
        <v>Active</v>
      </c>
      <c r="Q28" t="str">
        <f>"Teach Pendant for USB/USB Pro Controllers"</f>
        <v>Teach Pendant for USB/USB Pro Controllers</v>
      </c>
      <c r="S28" t="str">
        <f>"Teach Pendant for USB/USB Pro Controllers"</f>
        <v>Teach Pendant for USB/USB Pro Controllers</v>
      </c>
      <c r="T28">
        <v>0</v>
      </c>
      <c r="U28">
        <v>160.18</v>
      </c>
      <c r="V28">
        <v>161.44999999999999</v>
      </c>
      <c r="W28" t="str">
        <f t="shared" si="4"/>
        <v>rob</v>
      </c>
    </row>
    <row r="29" spans="1:23">
      <c r="A29" t="str">
        <f t="shared" ref="A29:A53" si="12">"16-8105-1010"</f>
        <v>16-8105-1010</v>
      </c>
      <c r="B29" t="str">
        <f>"17-8105-0000"</f>
        <v>17-8105-0000</v>
      </c>
      <c r="C29" t="str">
        <f>"LM5.X Content, Lab, REC 1, Cortex, TG"</f>
        <v>LM5.X Content, Lab, REC 1, Cortex, TG</v>
      </c>
      <c r="D29">
        <v>1</v>
      </c>
      <c r="E29" t="str">
        <f t="shared" ref="E29:E53" si="13">"LM5.X, Lab, REC 1, Cortex, 10 students"</f>
        <v>LM5.X, Lab, REC 1, Cortex, 10 students</v>
      </c>
      <c r="F29">
        <v>999</v>
      </c>
      <c r="G29" t="str">
        <f t="shared" si="0"/>
        <v>Y</v>
      </c>
      <c r="H29" t="str">
        <f t="shared" si="1"/>
        <v>EA</v>
      </c>
      <c r="I29">
        <v>0</v>
      </c>
      <c r="J29">
        <v>0</v>
      </c>
      <c r="K29" t="str">
        <f t="shared" si="2"/>
        <v>Y</v>
      </c>
      <c r="L29">
        <v>0</v>
      </c>
      <c r="M29" t="str">
        <f t="shared" si="3"/>
        <v>NIS</v>
      </c>
      <c r="O29">
        <v>1</v>
      </c>
      <c r="P29" t="str">
        <f t="shared" si="11"/>
        <v>Active</v>
      </c>
      <c r="Q29" t="str">
        <f>"LM5.X Content, Lab, REC 1, Cortex, TG"</f>
        <v>LM5.X Content, Lab, REC 1, Cortex, TG</v>
      </c>
      <c r="S29" t="str">
        <f>"LM5.X Content, Lab, REC 1, Cortex, TG"</f>
        <v>LM5.X Content, Lab, REC 1, Cortex, TG</v>
      </c>
      <c r="T29">
        <v>0</v>
      </c>
      <c r="U29">
        <v>5</v>
      </c>
      <c r="V29">
        <v>5.2</v>
      </c>
      <c r="W29" t="str">
        <f t="shared" si="4"/>
        <v>rob</v>
      </c>
    </row>
    <row r="30" spans="1:23">
      <c r="A30" t="str">
        <f t="shared" si="12"/>
        <v>16-8105-1010</v>
      </c>
      <c r="B30" t="str">
        <f>"17-8105-0010"</f>
        <v>17-8105-0010</v>
      </c>
      <c r="C30" t="str">
        <f>"LM5.X Content, Lab, REC 1, Cortex, Unit 1"</f>
        <v>LM5.X Content, Lab, REC 1, Cortex, Unit 1</v>
      </c>
      <c r="D30">
        <v>1</v>
      </c>
      <c r="E30" t="str">
        <f t="shared" si="13"/>
        <v>LM5.X, Lab, REC 1, Cortex, 10 students</v>
      </c>
      <c r="F30">
        <v>999</v>
      </c>
      <c r="G30" t="str">
        <f t="shared" si="0"/>
        <v>Y</v>
      </c>
      <c r="H30" t="str">
        <f t="shared" si="1"/>
        <v>EA</v>
      </c>
      <c r="I30">
        <v>0</v>
      </c>
      <c r="J30">
        <v>0</v>
      </c>
      <c r="K30" t="str">
        <f t="shared" si="2"/>
        <v>Y</v>
      </c>
      <c r="L30">
        <v>0</v>
      </c>
      <c r="M30" t="str">
        <f t="shared" si="3"/>
        <v>NIS</v>
      </c>
      <c r="O30">
        <v>2</v>
      </c>
      <c r="P30" t="str">
        <f t="shared" si="11"/>
        <v>Active</v>
      </c>
      <c r="Q30" t="str">
        <f>"LM5.X Content, Lab, REC 1, Cortex, Unit 1"</f>
        <v>LM5.X Content, Lab, REC 1, Cortex, Unit 1</v>
      </c>
      <c r="S30" t="str">
        <f>"LM5.X Content, Lab, REC 1, Cortex, Unit 1"</f>
        <v>LM5.X Content, Lab, REC 1, Cortex, Unit 1</v>
      </c>
      <c r="T30">
        <v>0</v>
      </c>
      <c r="U30">
        <v>5</v>
      </c>
      <c r="V30">
        <v>5</v>
      </c>
      <c r="W30" t="str">
        <f t="shared" si="4"/>
        <v>rob</v>
      </c>
    </row>
    <row r="31" spans="1:23">
      <c r="A31" t="str">
        <f t="shared" si="12"/>
        <v>16-8105-1010</v>
      </c>
      <c r="B31" t="str">
        <f>"17-8105-0020"</f>
        <v>17-8105-0020</v>
      </c>
      <c r="C31" t="str">
        <f>"LM5.X Content, Lab, REC 1, Cortex, Unit 2"</f>
        <v>LM5.X Content, Lab, REC 1, Cortex, Unit 2</v>
      </c>
      <c r="D31">
        <v>1</v>
      </c>
      <c r="E31" t="str">
        <f t="shared" si="13"/>
        <v>LM5.X, Lab, REC 1, Cortex, 10 students</v>
      </c>
      <c r="F31">
        <v>999</v>
      </c>
      <c r="G31" t="str">
        <f t="shared" si="0"/>
        <v>Y</v>
      </c>
      <c r="H31" t="str">
        <f t="shared" si="1"/>
        <v>EA</v>
      </c>
      <c r="I31">
        <v>0</v>
      </c>
      <c r="J31">
        <v>0</v>
      </c>
      <c r="K31" t="str">
        <f t="shared" si="2"/>
        <v>Y</v>
      </c>
      <c r="L31">
        <v>0</v>
      </c>
      <c r="M31" t="str">
        <f t="shared" si="3"/>
        <v>NIS</v>
      </c>
      <c r="O31">
        <v>3</v>
      </c>
      <c r="P31" t="str">
        <f t="shared" si="11"/>
        <v>Active</v>
      </c>
      <c r="Q31" t="str">
        <f>"LM5.X Content, Lab, REC 1, Cortex, Unit 2"</f>
        <v>LM5.X Content, Lab, REC 1, Cortex, Unit 2</v>
      </c>
      <c r="S31" t="str">
        <f>"LM5.X Content, Lab, REC 1, Cortex, Unit 2"</f>
        <v>LM5.X Content, Lab, REC 1, Cortex, Unit 2</v>
      </c>
      <c r="T31">
        <v>0</v>
      </c>
      <c r="U31">
        <v>5</v>
      </c>
      <c r="V31">
        <v>5</v>
      </c>
      <c r="W31" t="str">
        <f t="shared" si="4"/>
        <v>rob</v>
      </c>
    </row>
    <row r="32" spans="1:23">
      <c r="A32" t="str">
        <f t="shared" si="12"/>
        <v>16-8105-1010</v>
      </c>
      <c r="B32" t="str">
        <f>"17-8105-0030"</f>
        <v>17-8105-0030</v>
      </c>
      <c r="C32" t="str">
        <f>"LM5.X Content, Lab, REC 1, Cortex, Unit 3"</f>
        <v>LM5.X Content, Lab, REC 1, Cortex, Unit 3</v>
      </c>
      <c r="D32">
        <v>1</v>
      </c>
      <c r="E32" t="str">
        <f t="shared" si="13"/>
        <v>LM5.X, Lab, REC 1, Cortex, 10 students</v>
      </c>
      <c r="F32">
        <v>999</v>
      </c>
      <c r="G32" t="str">
        <f t="shared" si="0"/>
        <v>Y</v>
      </c>
      <c r="H32" t="str">
        <f t="shared" si="1"/>
        <v>EA</v>
      </c>
      <c r="I32">
        <v>0</v>
      </c>
      <c r="J32">
        <v>0</v>
      </c>
      <c r="K32" t="str">
        <f t="shared" si="2"/>
        <v>Y</v>
      </c>
      <c r="L32">
        <v>0</v>
      </c>
      <c r="M32" t="str">
        <f t="shared" si="3"/>
        <v>NIS</v>
      </c>
      <c r="O32">
        <v>4</v>
      </c>
      <c r="P32" t="str">
        <f t="shared" si="11"/>
        <v>Active</v>
      </c>
      <c r="Q32" t="str">
        <f>"LM5.X Content, Lab, REC 1, Cortex, Unit 3"</f>
        <v>LM5.X Content, Lab, REC 1, Cortex, Unit 3</v>
      </c>
      <c r="S32" t="str">
        <f>"LM5.X Content, Lab, REC 1, Cortex, Unit 3"</f>
        <v>LM5.X Content, Lab, REC 1, Cortex, Unit 3</v>
      </c>
      <c r="T32">
        <v>0</v>
      </c>
      <c r="U32">
        <v>5</v>
      </c>
      <c r="V32">
        <v>5</v>
      </c>
      <c r="W32" t="str">
        <f t="shared" si="4"/>
        <v>rob</v>
      </c>
    </row>
    <row r="33" spans="1:23">
      <c r="A33" t="str">
        <f t="shared" si="12"/>
        <v>16-8105-1010</v>
      </c>
      <c r="B33" t="str">
        <f>"17-8105-0040"</f>
        <v>17-8105-0040</v>
      </c>
      <c r="C33" t="str">
        <f>"LM5.X Content, Lab, REC 1, Cortex, Unit 4"</f>
        <v>LM5.X Content, Lab, REC 1, Cortex, Unit 4</v>
      </c>
      <c r="D33">
        <v>1</v>
      </c>
      <c r="E33" t="str">
        <f t="shared" si="13"/>
        <v>LM5.X, Lab, REC 1, Cortex, 10 students</v>
      </c>
      <c r="F33">
        <v>999</v>
      </c>
      <c r="G33" t="str">
        <f t="shared" si="0"/>
        <v>Y</v>
      </c>
      <c r="H33" t="str">
        <f t="shared" si="1"/>
        <v>EA</v>
      </c>
      <c r="I33">
        <v>0</v>
      </c>
      <c r="J33">
        <v>0</v>
      </c>
      <c r="K33" t="str">
        <f t="shared" si="2"/>
        <v>Y</v>
      </c>
      <c r="L33">
        <v>0</v>
      </c>
      <c r="M33" t="str">
        <f t="shared" si="3"/>
        <v>NIS</v>
      </c>
      <c r="O33">
        <v>5</v>
      </c>
      <c r="P33" t="str">
        <f t="shared" si="11"/>
        <v>Active</v>
      </c>
      <c r="Q33" t="str">
        <f>"LM5.X Content, Lab, REC 1, Cortex, Unit 4"</f>
        <v>LM5.X Content, Lab, REC 1, Cortex, Unit 4</v>
      </c>
      <c r="S33" t="str">
        <f>"LM5.X Content, Lab, REC 1, Cortex, Unit 4"</f>
        <v>LM5.X Content, Lab, REC 1, Cortex, Unit 4</v>
      </c>
      <c r="T33">
        <v>0</v>
      </c>
      <c r="U33">
        <v>5</v>
      </c>
      <c r="V33">
        <v>5</v>
      </c>
      <c r="W33" t="str">
        <f t="shared" si="4"/>
        <v>rob</v>
      </c>
    </row>
    <row r="34" spans="1:23">
      <c r="A34" t="str">
        <f t="shared" si="12"/>
        <v>16-8105-1010</v>
      </c>
      <c r="B34" t="str">
        <f>"17-8105-0050"</f>
        <v>17-8105-0050</v>
      </c>
      <c r="C34" t="str">
        <f>"LM5.X Content, Lab, REC 1, Cortex, Unit 5"</f>
        <v>LM5.X Content, Lab, REC 1, Cortex, Unit 5</v>
      </c>
      <c r="D34">
        <v>1</v>
      </c>
      <c r="E34" t="str">
        <f t="shared" si="13"/>
        <v>LM5.X, Lab, REC 1, Cortex, 10 students</v>
      </c>
      <c r="F34">
        <v>999</v>
      </c>
      <c r="G34" t="str">
        <f t="shared" si="0"/>
        <v>Y</v>
      </c>
      <c r="H34" t="str">
        <f t="shared" ref="H34:H65" si="14">"EA"</f>
        <v>EA</v>
      </c>
      <c r="I34">
        <v>0</v>
      </c>
      <c r="J34">
        <v>0</v>
      </c>
      <c r="K34" t="str">
        <f t="shared" si="2"/>
        <v>Y</v>
      </c>
      <c r="L34">
        <v>0</v>
      </c>
      <c r="M34" t="str">
        <f t="shared" si="3"/>
        <v>NIS</v>
      </c>
      <c r="O34">
        <v>6</v>
      </c>
      <c r="P34" t="str">
        <f t="shared" si="11"/>
        <v>Active</v>
      </c>
      <c r="Q34" t="str">
        <f>"LM5.X Content, Lab, REC 1, Cortex, Unit 5"</f>
        <v>LM5.X Content, Lab, REC 1, Cortex, Unit 5</v>
      </c>
      <c r="S34" t="str">
        <f>"LM5.X Content, Lab, REC 1, Cortex, Unit 5"</f>
        <v>LM5.X Content, Lab, REC 1, Cortex, Unit 5</v>
      </c>
      <c r="T34">
        <v>0</v>
      </c>
      <c r="U34">
        <v>5</v>
      </c>
      <c r="V34">
        <v>5</v>
      </c>
      <c r="W34" t="str">
        <f t="shared" ref="W34:W65" si="15">"rob"</f>
        <v>rob</v>
      </c>
    </row>
    <row r="35" spans="1:23">
      <c r="A35" t="str">
        <f t="shared" si="12"/>
        <v>16-8105-1010</v>
      </c>
      <c r="B35" t="str">
        <f>"17-8105-0060"</f>
        <v>17-8105-0060</v>
      </c>
      <c r="C35" t="str">
        <f>"LM5.X Content, Lab, REC 1, Cortex, Unit 6"</f>
        <v>LM5.X Content, Lab, REC 1, Cortex, Unit 6</v>
      </c>
      <c r="D35">
        <v>1</v>
      </c>
      <c r="E35" t="str">
        <f t="shared" si="13"/>
        <v>LM5.X, Lab, REC 1, Cortex, 10 students</v>
      </c>
      <c r="F35">
        <v>999</v>
      </c>
      <c r="G35" t="str">
        <f t="shared" si="0"/>
        <v>Y</v>
      </c>
      <c r="H35" t="str">
        <f t="shared" si="14"/>
        <v>EA</v>
      </c>
      <c r="I35">
        <v>0</v>
      </c>
      <c r="J35">
        <v>0</v>
      </c>
      <c r="K35" t="str">
        <f t="shared" si="2"/>
        <v>Y</v>
      </c>
      <c r="L35">
        <v>0</v>
      </c>
      <c r="M35" t="str">
        <f t="shared" si="3"/>
        <v>NIS</v>
      </c>
      <c r="O35">
        <v>7</v>
      </c>
      <c r="P35" t="str">
        <f t="shared" si="11"/>
        <v>Active</v>
      </c>
      <c r="Q35" t="str">
        <f>"LM5.X Content, Lab, REC 1, Cortex, Unit 6"</f>
        <v>LM5.X Content, Lab, REC 1, Cortex, Unit 6</v>
      </c>
      <c r="S35" t="str">
        <f>"LM5.X Content, Lab, REC 1, Cortex, Unit 6"</f>
        <v>LM5.X Content, Lab, REC 1, Cortex, Unit 6</v>
      </c>
      <c r="T35">
        <v>0</v>
      </c>
      <c r="U35">
        <v>5</v>
      </c>
      <c r="V35">
        <v>5</v>
      </c>
      <c r="W35" t="str">
        <f t="shared" si="15"/>
        <v>rob</v>
      </c>
    </row>
    <row r="36" spans="1:23">
      <c r="A36" t="str">
        <f t="shared" si="12"/>
        <v>16-8105-1010</v>
      </c>
      <c r="B36" t="str">
        <f>"63-2060-4030"</f>
        <v>63-2060-4030</v>
      </c>
      <c r="C36" t="str">
        <f>"easyC V4 for Cortex, V4.0X 30 seat license"</f>
        <v>easyC V4 for Cortex, V4.0X 30 seat license</v>
      </c>
      <c r="D36">
        <v>1</v>
      </c>
      <c r="E36" t="str">
        <f t="shared" si="13"/>
        <v>LM5.X, Lab, REC 1, Cortex, 10 students</v>
      </c>
      <c r="F36">
        <v>999</v>
      </c>
      <c r="G36" t="str">
        <f t="shared" si="0"/>
        <v>Y</v>
      </c>
      <c r="H36" t="str">
        <f t="shared" si="14"/>
        <v>EA</v>
      </c>
      <c r="I36">
        <v>0</v>
      </c>
      <c r="J36">
        <v>0</v>
      </c>
      <c r="K36" t="str">
        <f t="shared" si="2"/>
        <v>Y</v>
      </c>
      <c r="L36">
        <v>0</v>
      </c>
      <c r="M36" t="str">
        <f t="shared" si="3"/>
        <v>NIS</v>
      </c>
      <c r="O36">
        <v>8</v>
      </c>
      <c r="P36" t="str">
        <f t="shared" si="11"/>
        <v>Active</v>
      </c>
      <c r="Q36" t="str">
        <f>"easyC V4 for Cortex, V4.0X 30 seat license"</f>
        <v>easyC V4 for Cortex, V4.0X 30 seat license</v>
      </c>
      <c r="S36" t="str">
        <f>"easyC V4 for Cortex, V4.0X 30 seat license"</f>
        <v>easyC V4 for Cortex, V4.0X 30 seat license</v>
      </c>
      <c r="T36">
        <v>0</v>
      </c>
      <c r="U36">
        <v>5</v>
      </c>
      <c r="V36">
        <v>5.15</v>
      </c>
      <c r="W36" t="str">
        <f t="shared" si="15"/>
        <v>rob</v>
      </c>
    </row>
    <row r="37" spans="1:23">
      <c r="A37" t="str">
        <f t="shared" si="12"/>
        <v>16-8105-1010</v>
      </c>
      <c r="B37" t="str">
        <f>"31-1700-0025"</f>
        <v>31-1700-0025</v>
      </c>
      <c r="C37" t="str">
        <f>"REC, 12"" Ruler"</f>
        <v>REC, 12" Ruler</v>
      </c>
      <c r="D37">
        <v>6</v>
      </c>
      <c r="E37" t="str">
        <f t="shared" si="13"/>
        <v>LM5.X, Lab, REC 1, Cortex, 10 students</v>
      </c>
      <c r="F37">
        <v>999</v>
      </c>
      <c r="G37" t="str">
        <f t="shared" si="0"/>
        <v>Y</v>
      </c>
      <c r="H37" t="str">
        <f t="shared" si="14"/>
        <v>EA</v>
      </c>
      <c r="I37">
        <v>0</v>
      </c>
      <c r="J37">
        <v>0</v>
      </c>
      <c r="K37" t="str">
        <f t="shared" si="2"/>
        <v>Y</v>
      </c>
      <c r="L37">
        <v>0</v>
      </c>
      <c r="M37" t="str">
        <f t="shared" si="3"/>
        <v>NIS</v>
      </c>
      <c r="O37">
        <v>9</v>
      </c>
      <c r="P37" t="str">
        <f t="shared" si="11"/>
        <v>Active</v>
      </c>
      <c r="Q37" t="str">
        <f>"REC, 12"" Ruler"</f>
        <v>REC, 12" Ruler</v>
      </c>
      <c r="S37" t="str">
        <f>"REC, 12"" Ruler"</f>
        <v>REC, 12" Ruler</v>
      </c>
      <c r="T37">
        <v>1.88</v>
      </c>
      <c r="U37">
        <v>1.19</v>
      </c>
      <c r="V37">
        <v>1.35</v>
      </c>
      <c r="W37" t="str">
        <f t="shared" si="15"/>
        <v>rob</v>
      </c>
    </row>
    <row r="38" spans="1:23">
      <c r="A38" t="str">
        <f t="shared" si="12"/>
        <v>16-8105-1010</v>
      </c>
      <c r="B38" t="str">
        <f>"31-1800-0000"</f>
        <v>31-1800-0000</v>
      </c>
      <c r="C38" t="str">
        <f>"REC, Protractor, General #29"</f>
        <v>REC, Protractor, General #29</v>
      </c>
      <c r="D38">
        <v>6</v>
      </c>
      <c r="E38" t="str">
        <f t="shared" si="13"/>
        <v>LM5.X, Lab, REC 1, Cortex, 10 students</v>
      </c>
      <c r="F38">
        <v>999</v>
      </c>
      <c r="G38" t="str">
        <f t="shared" si="0"/>
        <v>Y</v>
      </c>
      <c r="H38" t="str">
        <f t="shared" si="14"/>
        <v>EA</v>
      </c>
      <c r="I38">
        <v>0</v>
      </c>
      <c r="J38">
        <v>0</v>
      </c>
      <c r="K38" t="str">
        <f t="shared" si="2"/>
        <v>Y</v>
      </c>
      <c r="L38">
        <v>0</v>
      </c>
      <c r="M38" t="str">
        <f t="shared" si="3"/>
        <v>NIS</v>
      </c>
      <c r="O38">
        <v>10</v>
      </c>
      <c r="P38" t="str">
        <f t="shared" si="11"/>
        <v>Active</v>
      </c>
      <c r="Q38" t="str">
        <f>"REC, Protractor, General #29"</f>
        <v>REC, Protractor, General #29</v>
      </c>
      <c r="S38" t="str">
        <f>"REC, Protractor, General #29"</f>
        <v>REC, Protractor, General #29</v>
      </c>
      <c r="T38">
        <v>6.58</v>
      </c>
      <c r="U38">
        <v>7.34</v>
      </c>
      <c r="V38">
        <v>8.34</v>
      </c>
      <c r="W38" t="str">
        <f t="shared" si="15"/>
        <v>rob</v>
      </c>
    </row>
    <row r="39" spans="1:23">
      <c r="A39" t="str">
        <f t="shared" si="12"/>
        <v>16-8105-1010</v>
      </c>
      <c r="B39" t="str">
        <f>"31-1800-0001"</f>
        <v>31-1800-0001</v>
      </c>
      <c r="C39" t="str">
        <f>"REC, Stop Watch, Tenths/Second"</f>
        <v>REC, Stop Watch, Tenths/Second</v>
      </c>
      <c r="D39">
        <v>6</v>
      </c>
      <c r="E39" t="str">
        <f t="shared" si="13"/>
        <v>LM5.X, Lab, REC 1, Cortex, 10 students</v>
      </c>
      <c r="F39">
        <v>999</v>
      </c>
      <c r="G39" t="str">
        <f t="shared" si="0"/>
        <v>Y</v>
      </c>
      <c r="H39" t="str">
        <f t="shared" si="14"/>
        <v>EA</v>
      </c>
      <c r="I39">
        <v>0</v>
      </c>
      <c r="J39">
        <v>0</v>
      </c>
      <c r="K39" t="str">
        <f t="shared" si="2"/>
        <v>Y</v>
      </c>
      <c r="L39">
        <v>0</v>
      </c>
      <c r="M39" t="str">
        <f t="shared" si="3"/>
        <v>NIS</v>
      </c>
      <c r="O39">
        <v>11</v>
      </c>
      <c r="P39" t="str">
        <f t="shared" si="11"/>
        <v>Active</v>
      </c>
      <c r="Q39" t="str">
        <f>"REC, Stop Watch, Tenths/Second"</f>
        <v>REC, Stop Watch, Tenths/Second</v>
      </c>
      <c r="S39" t="str">
        <f>"REC, Stop Watch, Tenths/Second"</f>
        <v>REC, Stop Watch, Tenths/Second</v>
      </c>
      <c r="T39">
        <v>11.35</v>
      </c>
      <c r="U39">
        <v>10.79</v>
      </c>
      <c r="V39">
        <v>12.26</v>
      </c>
      <c r="W39" t="str">
        <f t="shared" si="15"/>
        <v>rob</v>
      </c>
    </row>
    <row r="40" spans="1:23">
      <c r="A40" t="str">
        <f t="shared" si="12"/>
        <v>16-8105-1010</v>
      </c>
      <c r="B40" t="str">
        <f>"31-1800-0002"</f>
        <v>31-1800-0002</v>
      </c>
      <c r="C40" t="str">
        <f>"REC, Electrical Tape, Black,3/4"" Wide"</f>
        <v>REC, Electrical Tape, Black,3/4" Wide</v>
      </c>
      <c r="D40">
        <v>6</v>
      </c>
      <c r="E40" t="str">
        <f t="shared" si="13"/>
        <v>LM5.X, Lab, REC 1, Cortex, 10 students</v>
      </c>
      <c r="F40">
        <v>999</v>
      </c>
      <c r="G40" t="str">
        <f t="shared" si="0"/>
        <v>Y</v>
      </c>
      <c r="H40" t="str">
        <f t="shared" si="14"/>
        <v>EA</v>
      </c>
      <c r="I40">
        <v>0</v>
      </c>
      <c r="J40">
        <v>0</v>
      </c>
      <c r="K40" t="str">
        <f t="shared" si="2"/>
        <v>Y</v>
      </c>
      <c r="L40">
        <v>0</v>
      </c>
      <c r="M40" t="str">
        <f t="shared" si="3"/>
        <v>NIS</v>
      </c>
      <c r="O40">
        <v>12</v>
      </c>
      <c r="P40" t="str">
        <f t="shared" si="11"/>
        <v>Active</v>
      </c>
      <c r="Q40" t="str">
        <f>"REC, Electrical Tape, Black,3/4"" Wide"</f>
        <v>REC, Electrical Tape, Black,3/4" Wide</v>
      </c>
      <c r="S40" t="str">
        <f>"REC, Electrical Tape, Black,3/4"" Wide"</f>
        <v>REC, Electrical Tape, Black,3/4" Wide</v>
      </c>
      <c r="T40">
        <v>0.89</v>
      </c>
      <c r="U40">
        <v>2.1</v>
      </c>
      <c r="V40">
        <v>2.39</v>
      </c>
      <c r="W40" t="str">
        <f t="shared" si="15"/>
        <v>rob</v>
      </c>
    </row>
    <row r="41" spans="1:23">
      <c r="A41" t="str">
        <f t="shared" si="12"/>
        <v>16-8105-1010</v>
      </c>
      <c r="B41" t="str">
        <f>"31-1800-0003"</f>
        <v>31-1800-0003</v>
      </c>
      <c r="C41" t="str">
        <f>"REC, Masking Tape, 1"" Wide"</f>
        <v>REC, Masking Tape, 1" Wide</v>
      </c>
      <c r="D41">
        <v>6</v>
      </c>
      <c r="E41" t="str">
        <f t="shared" si="13"/>
        <v>LM5.X, Lab, REC 1, Cortex, 10 students</v>
      </c>
      <c r="F41">
        <v>999</v>
      </c>
      <c r="G41" t="str">
        <f t="shared" si="0"/>
        <v>Y</v>
      </c>
      <c r="H41" t="str">
        <f t="shared" si="14"/>
        <v>EA</v>
      </c>
      <c r="I41">
        <v>0</v>
      </c>
      <c r="J41">
        <v>0</v>
      </c>
      <c r="K41" t="str">
        <f t="shared" si="2"/>
        <v>Y</v>
      </c>
      <c r="L41">
        <v>0</v>
      </c>
      <c r="M41" t="str">
        <f t="shared" si="3"/>
        <v>NIS</v>
      </c>
      <c r="O41">
        <v>13</v>
      </c>
      <c r="P41" t="str">
        <f t="shared" si="11"/>
        <v>Active</v>
      </c>
      <c r="Q41" t="str">
        <f>"REC, Masking Tape, 1"" Wide"</f>
        <v>REC, Masking Tape, 1" Wide</v>
      </c>
      <c r="S41" t="str">
        <f>"REC, Masking Tape, 1"" Wide"</f>
        <v>REC, Masking Tape, 1" Wide</v>
      </c>
      <c r="T41">
        <v>1.73</v>
      </c>
      <c r="U41">
        <v>2.52</v>
      </c>
      <c r="V41">
        <v>2.86</v>
      </c>
      <c r="W41" t="str">
        <f t="shared" si="15"/>
        <v>rob</v>
      </c>
    </row>
    <row r="42" spans="1:23">
      <c r="A42" t="str">
        <f t="shared" si="12"/>
        <v>16-8105-1010</v>
      </c>
      <c r="B42" t="str">
        <f>"31-1800-0005"</f>
        <v>31-1800-0005</v>
      </c>
      <c r="C42" t="str">
        <f>"REC, String, Construction Grade Line"</f>
        <v>REC, String, Construction Grade Line</v>
      </c>
      <c r="D42">
        <v>1</v>
      </c>
      <c r="E42" t="str">
        <f t="shared" si="13"/>
        <v>LM5.X, Lab, REC 1, Cortex, 10 students</v>
      </c>
      <c r="F42">
        <v>999</v>
      </c>
      <c r="G42" t="str">
        <f t="shared" si="0"/>
        <v>Y</v>
      </c>
      <c r="H42" t="str">
        <f t="shared" si="14"/>
        <v>EA</v>
      </c>
      <c r="I42">
        <v>0</v>
      </c>
      <c r="J42">
        <v>0</v>
      </c>
      <c r="K42" t="str">
        <f t="shared" si="2"/>
        <v>Y</v>
      </c>
      <c r="L42">
        <v>0</v>
      </c>
      <c r="M42" t="str">
        <f t="shared" si="3"/>
        <v>NIS</v>
      </c>
      <c r="O42">
        <v>14</v>
      </c>
      <c r="P42" t="str">
        <f t="shared" si="11"/>
        <v>Active</v>
      </c>
      <c r="Q42" t="str">
        <f>"REC, String, Construction Grade Line"</f>
        <v>REC, String, Construction Grade Line</v>
      </c>
      <c r="S42" t="str">
        <f>"REC, String, Construction Grade Line"</f>
        <v>REC, String, Construction Grade Line</v>
      </c>
      <c r="T42">
        <v>6.41</v>
      </c>
      <c r="U42">
        <v>9.8800000000000008</v>
      </c>
      <c r="V42">
        <v>11.8</v>
      </c>
      <c r="W42" t="str">
        <f t="shared" si="15"/>
        <v>rob</v>
      </c>
    </row>
    <row r="43" spans="1:23">
      <c r="A43" t="str">
        <f t="shared" si="12"/>
        <v>16-8105-1010</v>
      </c>
      <c r="B43" t="str">
        <f>"31-1800-0006"</f>
        <v>31-1800-0006</v>
      </c>
      <c r="C43" t="str">
        <f>"REC, 5lb Plate Weight, Olympic,  2"" ID"</f>
        <v>REC, 5lb Plate Weight, Olympic,  2" ID</v>
      </c>
      <c r="D43">
        <v>9</v>
      </c>
      <c r="E43" t="str">
        <f t="shared" si="13"/>
        <v>LM5.X, Lab, REC 1, Cortex, 10 students</v>
      </c>
      <c r="F43">
        <v>999</v>
      </c>
      <c r="G43" t="str">
        <f t="shared" si="0"/>
        <v>Y</v>
      </c>
      <c r="H43" t="str">
        <f t="shared" si="14"/>
        <v>EA</v>
      </c>
      <c r="I43">
        <v>0</v>
      </c>
      <c r="J43">
        <v>0</v>
      </c>
      <c r="K43" t="str">
        <f t="shared" si="2"/>
        <v>Y</v>
      </c>
      <c r="L43">
        <v>0</v>
      </c>
      <c r="M43" t="str">
        <f t="shared" si="3"/>
        <v>NIS</v>
      </c>
      <c r="O43">
        <v>15</v>
      </c>
      <c r="P43" t="str">
        <f t="shared" si="11"/>
        <v>Active</v>
      </c>
      <c r="Q43" t="str">
        <f>"REC, 5lb Plate Weight, Olympic,  2"" ID"</f>
        <v>REC, 5lb Plate Weight, Olympic,  2" ID</v>
      </c>
      <c r="S43" t="str">
        <f>"REC, 5lb Plate Weight, Olympic,  2"" ID"</f>
        <v>REC, 5lb Plate Weight, Olympic,  2" ID</v>
      </c>
      <c r="T43">
        <v>8.06</v>
      </c>
      <c r="U43">
        <v>5.43</v>
      </c>
      <c r="V43">
        <v>6.17</v>
      </c>
      <c r="W43" t="str">
        <f t="shared" si="15"/>
        <v>rob</v>
      </c>
    </row>
    <row r="44" spans="1:23">
      <c r="A44" t="str">
        <f t="shared" si="12"/>
        <v>16-8105-1010</v>
      </c>
      <c r="B44" t="str">
        <f>"31-1800-0007"</f>
        <v>31-1800-0007</v>
      </c>
      <c r="C44" t="str">
        <f>"REC, Dry Erase Marker, Blk, 12 Pack"</f>
        <v>REC, Dry Erase Marker, Blk, 12 Pack</v>
      </c>
      <c r="D44">
        <v>1</v>
      </c>
      <c r="E44" t="str">
        <f t="shared" si="13"/>
        <v>LM5.X, Lab, REC 1, Cortex, 10 students</v>
      </c>
      <c r="F44">
        <v>999</v>
      </c>
      <c r="G44" t="str">
        <f t="shared" si="0"/>
        <v>Y</v>
      </c>
      <c r="H44" t="str">
        <f t="shared" si="14"/>
        <v>EA</v>
      </c>
      <c r="I44">
        <v>0</v>
      </c>
      <c r="J44">
        <v>0</v>
      </c>
      <c r="K44" t="str">
        <f t="shared" si="2"/>
        <v>Y</v>
      </c>
      <c r="L44">
        <v>0</v>
      </c>
      <c r="M44" t="str">
        <f t="shared" si="3"/>
        <v>NIS</v>
      </c>
      <c r="O44">
        <v>16</v>
      </c>
      <c r="P44" t="str">
        <f t="shared" si="11"/>
        <v>Active</v>
      </c>
      <c r="Q44" t="str">
        <f>"REC, Dry Erase Marker, Blk, 12 Pack"</f>
        <v>REC, Dry Erase Marker, Blk, 12 Pack</v>
      </c>
      <c r="S44" t="str">
        <f>"REC, Dry Erase Marker, Blk, 12 Pack"</f>
        <v>REC, Dry Erase Marker, Blk, 12 Pack</v>
      </c>
      <c r="T44">
        <v>14.87</v>
      </c>
      <c r="U44">
        <v>13.56</v>
      </c>
      <c r="V44">
        <v>16.07</v>
      </c>
      <c r="W44" t="str">
        <f t="shared" si="15"/>
        <v>rob</v>
      </c>
    </row>
    <row r="45" spans="1:23">
      <c r="A45" t="str">
        <f t="shared" si="12"/>
        <v>16-8105-1010</v>
      </c>
      <c r="B45" t="str">
        <f>"31-1800-0008"</f>
        <v>31-1800-0008</v>
      </c>
      <c r="C45" t="str">
        <f>"REC, Dry Erase Marker, Blue, 12 Pack"</f>
        <v>REC, Dry Erase Marker, Blue, 12 Pack</v>
      </c>
      <c r="D45">
        <v>1</v>
      </c>
      <c r="E45" t="str">
        <f t="shared" si="13"/>
        <v>LM5.X, Lab, REC 1, Cortex, 10 students</v>
      </c>
      <c r="F45">
        <v>999</v>
      </c>
      <c r="G45" t="str">
        <f t="shared" si="0"/>
        <v>Y</v>
      </c>
      <c r="H45" t="str">
        <f t="shared" si="14"/>
        <v>EA</v>
      </c>
      <c r="I45">
        <v>0</v>
      </c>
      <c r="J45">
        <v>0</v>
      </c>
      <c r="K45" t="str">
        <f t="shared" si="2"/>
        <v>Y</v>
      </c>
      <c r="L45">
        <v>0</v>
      </c>
      <c r="M45" t="str">
        <f t="shared" si="3"/>
        <v>NIS</v>
      </c>
      <c r="O45">
        <v>17</v>
      </c>
      <c r="P45" t="str">
        <f t="shared" si="11"/>
        <v>Active</v>
      </c>
      <c r="Q45" t="str">
        <f>"REC, Dry Erase Marker, Blue, 12 Pack"</f>
        <v>REC, Dry Erase Marker, Blue, 12 Pack</v>
      </c>
      <c r="S45" t="str">
        <f>"REC, Dry Erase Marker, Blue, 12 Pack"</f>
        <v>REC, Dry Erase Marker, Blue, 12 Pack</v>
      </c>
      <c r="T45">
        <v>14.87</v>
      </c>
      <c r="U45">
        <v>13.6</v>
      </c>
      <c r="V45">
        <v>16.07</v>
      </c>
      <c r="W45" t="str">
        <f t="shared" si="15"/>
        <v>rob</v>
      </c>
    </row>
    <row r="46" spans="1:23">
      <c r="A46" t="str">
        <f t="shared" si="12"/>
        <v>16-8105-1010</v>
      </c>
      <c r="B46" t="str">
        <f>"31-1800-0009"</f>
        <v>31-1800-0009</v>
      </c>
      <c r="C46" t="str">
        <f>"REC, Elastic Band, #16, 1/4lb Bag"</f>
        <v>REC, Elastic Band, #16, 1/4lb Bag</v>
      </c>
      <c r="D46">
        <v>1</v>
      </c>
      <c r="E46" t="str">
        <f t="shared" si="13"/>
        <v>LM5.X, Lab, REC 1, Cortex, 10 students</v>
      </c>
      <c r="F46">
        <v>999</v>
      </c>
      <c r="G46" t="str">
        <f t="shared" si="0"/>
        <v>Y</v>
      </c>
      <c r="H46" t="str">
        <f t="shared" si="14"/>
        <v>EA</v>
      </c>
      <c r="I46">
        <v>0</v>
      </c>
      <c r="J46">
        <v>0</v>
      </c>
      <c r="K46" t="str">
        <f t="shared" si="2"/>
        <v>Y</v>
      </c>
      <c r="L46">
        <v>0</v>
      </c>
      <c r="M46" t="str">
        <f t="shared" si="3"/>
        <v>NIS</v>
      </c>
      <c r="O46">
        <v>18</v>
      </c>
      <c r="P46" t="str">
        <f t="shared" si="11"/>
        <v>Active</v>
      </c>
      <c r="Q46" t="str">
        <f>"REC, Elastic Band, #16, 1/4lb Bag"</f>
        <v>REC, Elastic Band, #16, 1/4lb Bag</v>
      </c>
      <c r="S46" t="str">
        <f>"REC, Elastic Band, #16, 1/4lb Bag"</f>
        <v>REC, Elastic Band, #16, 1/4lb Bag</v>
      </c>
      <c r="T46">
        <v>1.37</v>
      </c>
      <c r="U46">
        <v>0.65</v>
      </c>
      <c r="V46">
        <v>0.75</v>
      </c>
      <c r="W46" t="str">
        <f t="shared" si="15"/>
        <v>rob</v>
      </c>
    </row>
    <row r="47" spans="1:23">
      <c r="A47" t="str">
        <f t="shared" si="12"/>
        <v>16-8105-1010</v>
      </c>
      <c r="B47" t="str">
        <f>"31-1800-0010"</f>
        <v>31-1800-0010</v>
      </c>
      <c r="C47" t="str">
        <f>"REC, 8-32 x 1"" BHCS, Box of 100"</f>
        <v>REC, 8-32 x 1" BHCS, Box of 100</v>
      </c>
      <c r="D47">
        <v>1</v>
      </c>
      <c r="E47" t="str">
        <f t="shared" si="13"/>
        <v>LM5.X, Lab, REC 1, Cortex, 10 students</v>
      </c>
      <c r="F47">
        <v>999</v>
      </c>
      <c r="G47" t="str">
        <f t="shared" si="0"/>
        <v>Y</v>
      </c>
      <c r="H47" t="str">
        <f t="shared" si="14"/>
        <v>EA</v>
      </c>
      <c r="I47">
        <v>0</v>
      </c>
      <c r="J47">
        <v>0</v>
      </c>
      <c r="K47" t="str">
        <f t="shared" si="2"/>
        <v>Y</v>
      </c>
      <c r="L47">
        <v>0</v>
      </c>
      <c r="M47" t="str">
        <f t="shared" si="3"/>
        <v>NIS</v>
      </c>
      <c r="O47">
        <v>19</v>
      </c>
      <c r="P47" t="str">
        <f t="shared" si="11"/>
        <v>Active</v>
      </c>
      <c r="Q47" t="str">
        <f>"REC, 8-32 x 1"" BHCS, Box of 100"</f>
        <v>REC, 8-32 x 1" BHCS, Box of 100</v>
      </c>
      <c r="S47" t="str">
        <f>"REC, 8-32 x 1"" BHCS, Box of 100"</f>
        <v>REC, 8-32 x 1" BHCS, Box of 100</v>
      </c>
      <c r="T47">
        <v>9.4499999999999993</v>
      </c>
      <c r="U47">
        <v>10.59</v>
      </c>
      <c r="V47">
        <v>12.56</v>
      </c>
      <c r="W47" t="str">
        <f t="shared" si="15"/>
        <v>rob</v>
      </c>
    </row>
    <row r="48" spans="1:23">
      <c r="A48" t="str">
        <f t="shared" si="12"/>
        <v>16-8105-1010</v>
      </c>
      <c r="B48" t="str">
        <f>"31-1800-0011"</f>
        <v>31-1800-0011</v>
      </c>
      <c r="C48" t="str">
        <f>"REC, Composition Book, Engineering Notebook"</f>
        <v>REC, Composition Book, Engineering Notebook</v>
      </c>
      <c r="D48">
        <v>11</v>
      </c>
      <c r="E48" t="str">
        <f t="shared" si="13"/>
        <v>LM5.X, Lab, REC 1, Cortex, 10 students</v>
      </c>
      <c r="F48">
        <v>999</v>
      </c>
      <c r="G48" t="str">
        <f t="shared" si="0"/>
        <v>Y</v>
      </c>
      <c r="H48" t="str">
        <f t="shared" si="14"/>
        <v>EA</v>
      </c>
      <c r="I48">
        <v>0</v>
      </c>
      <c r="J48">
        <v>0</v>
      </c>
      <c r="K48" t="str">
        <f t="shared" si="2"/>
        <v>Y</v>
      </c>
      <c r="L48">
        <v>0</v>
      </c>
      <c r="M48" t="str">
        <f t="shared" si="3"/>
        <v>NIS</v>
      </c>
      <c r="O48">
        <v>20</v>
      </c>
      <c r="P48" t="str">
        <f t="shared" si="11"/>
        <v>Active</v>
      </c>
      <c r="Q48" t="str">
        <f>"REC, Composition Book, Engineering Notebook"</f>
        <v>REC, Composition Book, Engineering Notebook</v>
      </c>
      <c r="S48" t="str">
        <f>"REC, Composition Book, Engineering Notebook"</f>
        <v>REC, Composition Book, Engineering Notebook</v>
      </c>
      <c r="T48">
        <v>1.07</v>
      </c>
      <c r="U48">
        <v>1.8</v>
      </c>
      <c r="V48">
        <v>2.0499999999999998</v>
      </c>
      <c r="W48" t="str">
        <f t="shared" si="15"/>
        <v>rob</v>
      </c>
    </row>
    <row r="49" spans="1:23">
      <c r="A49" t="str">
        <f t="shared" si="12"/>
        <v>16-8105-1010</v>
      </c>
      <c r="B49" t="str">
        <f>"31-1800-0012"</f>
        <v>31-1800-0012</v>
      </c>
      <c r="C49" t="str">
        <f>"REC, 3 Ring Binder, 1"""</f>
        <v>REC, 3 Ring Binder, 1"</v>
      </c>
      <c r="D49">
        <v>11</v>
      </c>
      <c r="E49" t="str">
        <f t="shared" si="13"/>
        <v>LM5.X, Lab, REC 1, Cortex, 10 students</v>
      </c>
      <c r="F49">
        <v>999</v>
      </c>
      <c r="G49" t="str">
        <f t="shared" si="0"/>
        <v>Y</v>
      </c>
      <c r="H49" t="str">
        <f t="shared" si="14"/>
        <v>EA</v>
      </c>
      <c r="I49">
        <v>0</v>
      </c>
      <c r="J49">
        <v>0</v>
      </c>
      <c r="K49" t="str">
        <f t="shared" si="2"/>
        <v>Y</v>
      </c>
      <c r="L49">
        <v>0</v>
      </c>
      <c r="M49" t="str">
        <f t="shared" si="3"/>
        <v>NIS</v>
      </c>
      <c r="O49">
        <v>21</v>
      </c>
      <c r="P49" t="str">
        <f t="shared" si="11"/>
        <v>Active</v>
      </c>
      <c r="Q49" t="str">
        <f>"REC, 3 Ring Binder, 1"""</f>
        <v>REC, 3 Ring Binder, 1"</v>
      </c>
      <c r="S49" t="str">
        <f>"REC, 3 Ring Binder, 1"""</f>
        <v>REC, 3 Ring Binder, 1"</v>
      </c>
      <c r="T49">
        <v>2.2400000000000002</v>
      </c>
      <c r="U49">
        <v>2.75</v>
      </c>
      <c r="V49">
        <v>3.12</v>
      </c>
      <c r="W49" t="str">
        <f t="shared" si="15"/>
        <v>rob</v>
      </c>
    </row>
    <row r="50" spans="1:23">
      <c r="A50" t="str">
        <f t="shared" si="12"/>
        <v>16-8105-1010</v>
      </c>
      <c r="B50" t="str">
        <f>"31-1800-0013"</f>
        <v>31-1800-0013</v>
      </c>
      <c r="C50" t="str">
        <f>"REC, Tape Measure, 12 ft, Single Scale"</f>
        <v>REC, Tape Measure, 12 ft, Single Scale</v>
      </c>
      <c r="D50">
        <v>6</v>
      </c>
      <c r="E50" t="str">
        <f t="shared" si="13"/>
        <v>LM5.X, Lab, REC 1, Cortex, 10 students</v>
      </c>
      <c r="F50">
        <v>999</v>
      </c>
      <c r="G50" t="str">
        <f t="shared" si="0"/>
        <v>Y</v>
      </c>
      <c r="H50" t="str">
        <f t="shared" si="14"/>
        <v>EA</v>
      </c>
      <c r="I50">
        <v>0</v>
      </c>
      <c r="J50">
        <v>0</v>
      </c>
      <c r="K50" t="str">
        <f t="shared" si="2"/>
        <v>Y</v>
      </c>
      <c r="L50">
        <v>0</v>
      </c>
      <c r="M50" t="str">
        <f t="shared" si="3"/>
        <v>NIS</v>
      </c>
      <c r="O50">
        <v>22</v>
      </c>
      <c r="P50" t="str">
        <f t="shared" si="11"/>
        <v>Active</v>
      </c>
      <c r="Q50" t="str">
        <f>"REC, Tape Measure, 12 ft, Single Scale"</f>
        <v>REC, Tape Measure, 12 ft, Single Scale</v>
      </c>
      <c r="S50" t="str">
        <f>"REC, Tape Measure, 12 ft, Single Scale"</f>
        <v>REC, Tape Measure, 12 ft, Single Scale</v>
      </c>
      <c r="T50">
        <v>2.57</v>
      </c>
      <c r="U50">
        <v>1.91</v>
      </c>
      <c r="V50">
        <v>2.17</v>
      </c>
      <c r="W50" t="str">
        <f t="shared" si="15"/>
        <v>rob</v>
      </c>
    </row>
    <row r="51" spans="1:23">
      <c r="A51" t="str">
        <f t="shared" si="12"/>
        <v>16-8105-1010</v>
      </c>
      <c r="B51" t="str">
        <f>"39-0000-0088"</f>
        <v>39-0000-0088</v>
      </c>
      <c r="C51" t="str">
        <f>"REC, Precision Scale, 10 lbs x 0.1 oz"</f>
        <v>REC, Precision Scale, 10 lbs x 0.1 oz</v>
      </c>
      <c r="D51">
        <v>1</v>
      </c>
      <c r="E51" t="str">
        <f t="shared" si="13"/>
        <v>LM5.X, Lab, REC 1, Cortex, 10 students</v>
      </c>
      <c r="F51">
        <v>999</v>
      </c>
      <c r="G51" t="str">
        <f t="shared" si="0"/>
        <v>Y</v>
      </c>
      <c r="H51" t="str">
        <f t="shared" si="14"/>
        <v>EA</v>
      </c>
      <c r="I51">
        <v>0</v>
      </c>
      <c r="J51">
        <v>0</v>
      </c>
      <c r="K51" t="str">
        <f t="shared" si="2"/>
        <v>Y</v>
      </c>
      <c r="L51">
        <v>0</v>
      </c>
      <c r="M51" t="str">
        <f t="shared" si="3"/>
        <v>NIS</v>
      </c>
      <c r="O51">
        <v>23</v>
      </c>
      <c r="P51" t="str">
        <f t="shared" si="11"/>
        <v>Active</v>
      </c>
      <c r="Q51" t="str">
        <f>"REC, Precision Scale, 10 lbs x 0.1 oz"</f>
        <v>REC, Precision Scale, 10 lbs x 0.1 oz</v>
      </c>
      <c r="S51" t="str">
        <f>"REC, Precision Scale, 10 lbs x 0.1 oz"</f>
        <v>REC, Precision Scale, 10 lbs x 0.1 oz</v>
      </c>
      <c r="T51">
        <v>35.56</v>
      </c>
      <c r="U51">
        <v>67.73</v>
      </c>
      <c r="V51">
        <v>82.37</v>
      </c>
      <c r="W51" t="str">
        <f t="shared" si="15"/>
        <v>rob</v>
      </c>
    </row>
    <row r="52" spans="1:23">
      <c r="A52" t="str">
        <f t="shared" si="12"/>
        <v>16-8105-1010</v>
      </c>
      <c r="B52" t="str">
        <f>"39-0000-0090"</f>
        <v>39-0000-0090</v>
      </c>
      <c r="C52" t="str">
        <f>"REC, Spring Scale, 11 lbs x 0.1 lbs"</f>
        <v>REC, Spring Scale, 11 lbs x 0.1 lbs</v>
      </c>
      <c r="D52">
        <v>6</v>
      </c>
      <c r="E52" t="str">
        <f t="shared" si="13"/>
        <v>LM5.X, Lab, REC 1, Cortex, 10 students</v>
      </c>
      <c r="F52">
        <v>999</v>
      </c>
      <c r="G52" t="str">
        <f t="shared" si="0"/>
        <v>Y</v>
      </c>
      <c r="H52" t="str">
        <f t="shared" si="14"/>
        <v>EA</v>
      </c>
      <c r="I52">
        <v>0</v>
      </c>
      <c r="J52">
        <v>0</v>
      </c>
      <c r="K52" t="str">
        <f t="shared" si="2"/>
        <v>Y</v>
      </c>
      <c r="L52">
        <v>0</v>
      </c>
      <c r="M52" t="str">
        <f t="shared" si="3"/>
        <v>NIS</v>
      </c>
      <c r="O52">
        <v>24</v>
      </c>
      <c r="P52" t="str">
        <f t="shared" si="11"/>
        <v>Active</v>
      </c>
      <c r="Q52" t="str">
        <f>"REC, Spring Scale, 11 lbs x 0.1 lbs"</f>
        <v>REC, Spring Scale, 11 lbs x 0.1 lbs</v>
      </c>
      <c r="S52" t="str">
        <f>"REC, Spring Scale, 11 lbs x 0.1 lbs"</f>
        <v>REC, Spring Scale, 11 lbs x 0.1 lbs</v>
      </c>
      <c r="T52">
        <v>18.11</v>
      </c>
      <c r="U52">
        <v>13.58</v>
      </c>
      <c r="V52">
        <v>15.43</v>
      </c>
      <c r="W52" t="str">
        <f t="shared" si="15"/>
        <v>rob</v>
      </c>
    </row>
    <row r="53" spans="1:23">
      <c r="A53" t="str">
        <f t="shared" si="12"/>
        <v>16-8105-1010</v>
      </c>
      <c r="B53" t="str">
        <f>"270-1905"</f>
        <v>270-1905</v>
      </c>
      <c r="C53" t="str">
        <f>"VEX, REC 1 Bundle Kit, Cortex"</f>
        <v>VEX, REC 1 Bundle Kit, Cortex</v>
      </c>
      <c r="D53">
        <v>6</v>
      </c>
      <c r="E53" t="str">
        <f t="shared" si="13"/>
        <v>LM5.X, Lab, REC 1, Cortex, 10 students</v>
      </c>
      <c r="F53">
        <v>999</v>
      </c>
      <c r="G53" t="str">
        <f t="shared" si="0"/>
        <v>Y</v>
      </c>
      <c r="H53" t="str">
        <f t="shared" si="14"/>
        <v>EA</v>
      </c>
      <c r="I53">
        <v>0</v>
      </c>
      <c r="J53">
        <v>0</v>
      </c>
      <c r="K53" t="str">
        <f t="shared" si="2"/>
        <v>Y</v>
      </c>
      <c r="L53">
        <v>0</v>
      </c>
      <c r="M53" t="str">
        <f t="shared" si="3"/>
        <v>NIS</v>
      </c>
      <c r="O53">
        <v>25</v>
      </c>
      <c r="P53" t="str">
        <f t="shared" si="11"/>
        <v>Active</v>
      </c>
      <c r="Q53" t="str">
        <f>"VEX, REC 1 Bundle Kit, Cortex"</f>
        <v>VEX, REC 1 Bundle Kit, Cortex</v>
      </c>
      <c r="S53" t="str">
        <f>"VEX, REC 1 Bundle Kit, Cortex"</f>
        <v>VEX, REC 1 Bundle Kit, Cortex</v>
      </c>
      <c r="T53">
        <v>487.29</v>
      </c>
      <c r="U53">
        <v>515.33000000000004</v>
      </c>
      <c r="V53">
        <v>585.46</v>
      </c>
      <c r="W53" t="str">
        <f t="shared" si="15"/>
        <v>rob</v>
      </c>
    </row>
    <row r="54" spans="1:23">
      <c r="A54" t="str">
        <f t="shared" ref="A54:A78" si="16">"16-8105-1020"</f>
        <v>16-8105-1020</v>
      </c>
      <c r="B54" t="str">
        <f>"17-8105-0000"</f>
        <v>17-8105-0000</v>
      </c>
      <c r="C54" t="str">
        <f>"LM5.X Content, Lab, REC 1, Cortex, TG"</f>
        <v>LM5.X Content, Lab, REC 1, Cortex, TG</v>
      </c>
      <c r="D54">
        <v>1</v>
      </c>
      <c r="E54" t="str">
        <f t="shared" ref="E54:E78" si="17">"LM5.X, Lab, REC 1, Cortex, 20 students"</f>
        <v>LM5.X, Lab, REC 1, Cortex, 20 students</v>
      </c>
      <c r="F54">
        <v>999</v>
      </c>
      <c r="G54" t="str">
        <f t="shared" si="0"/>
        <v>Y</v>
      </c>
      <c r="H54" t="str">
        <f t="shared" si="14"/>
        <v>EA</v>
      </c>
      <c r="I54">
        <v>0</v>
      </c>
      <c r="J54">
        <v>0</v>
      </c>
      <c r="K54" t="str">
        <f t="shared" si="2"/>
        <v>Y</v>
      </c>
      <c r="L54">
        <v>0</v>
      </c>
      <c r="M54" t="str">
        <f t="shared" si="3"/>
        <v>NIS</v>
      </c>
      <c r="O54">
        <v>1</v>
      </c>
      <c r="P54" t="str">
        <f t="shared" si="11"/>
        <v>Active</v>
      </c>
      <c r="Q54" t="str">
        <f>"LM5.X Content, Lab, REC 1, Cortex, TG"</f>
        <v>LM5.X Content, Lab, REC 1, Cortex, TG</v>
      </c>
      <c r="S54" t="str">
        <f>"LM5.X Content, Lab, REC 1, Cortex, TG"</f>
        <v>LM5.X Content, Lab, REC 1, Cortex, TG</v>
      </c>
      <c r="T54">
        <v>0</v>
      </c>
      <c r="U54">
        <v>5</v>
      </c>
      <c r="V54">
        <v>5.2</v>
      </c>
      <c r="W54" t="str">
        <f t="shared" si="15"/>
        <v>rob</v>
      </c>
    </row>
    <row r="55" spans="1:23">
      <c r="A55" t="str">
        <f t="shared" si="16"/>
        <v>16-8105-1020</v>
      </c>
      <c r="B55" t="str">
        <f>"17-8105-0010"</f>
        <v>17-8105-0010</v>
      </c>
      <c r="C55" t="str">
        <f>"LM5.X Content, Lab, REC 1, Cortex, Unit 1"</f>
        <v>LM5.X Content, Lab, REC 1, Cortex, Unit 1</v>
      </c>
      <c r="D55">
        <v>1</v>
      </c>
      <c r="E55" t="str">
        <f t="shared" si="17"/>
        <v>LM5.X, Lab, REC 1, Cortex, 20 students</v>
      </c>
      <c r="F55">
        <v>999</v>
      </c>
      <c r="G55" t="str">
        <f t="shared" si="0"/>
        <v>Y</v>
      </c>
      <c r="H55" t="str">
        <f t="shared" si="14"/>
        <v>EA</v>
      </c>
      <c r="I55">
        <v>0</v>
      </c>
      <c r="J55">
        <v>0</v>
      </c>
      <c r="K55" t="str">
        <f t="shared" si="2"/>
        <v>Y</v>
      </c>
      <c r="L55">
        <v>0</v>
      </c>
      <c r="M55" t="str">
        <f t="shared" si="3"/>
        <v>NIS</v>
      </c>
      <c r="O55">
        <v>2</v>
      </c>
      <c r="P55" t="str">
        <f t="shared" si="11"/>
        <v>Active</v>
      </c>
      <c r="Q55" t="str">
        <f>"LM5.X Content, Lab, REC 1, Cortex, Unit 1"</f>
        <v>LM5.X Content, Lab, REC 1, Cortex, Unit 1</v>
      </c>
      <c r="S55" t="str">
        <f>"LM5.X Content, Lab, REC 1, Cortex, Unit 1"</f>
        <v>LM5.X Content, Lab, REC 1, Cortex, Unit 1</v>
      </c>
      <c r="T55">
        <v>0</v>
      </c>
      <c r="U55">
        <v>5</v>
      </c>
      <c r="V55">
        <v>5</v>
      </c>
      <c r="W55" t="str">
        <f t="shared" si="15"/>
        <v>rob</v>
      </c>
    </row>
    <row r="56" spans="1:23">
      <c r="A56" t="str">
        <f t="shared" si="16"/>
        <v>16-8105-1020</v>
      </c>
      <c r="B56" t="str">
        <f>"17-8105-0020"</f>
        <v>17-8105-0020</v>
      </c>
      <c r="C56" t="str">
        <f>"LM5.X Content, Lab, REC 1, Cortex, Unit 2"</f>
        <v>LM5.X Content, Lab, REC 1, Cortex, Unit 2</v>
      </c>
      <c r="D56">
        <v>1</v>
      </c>
      <c r="E56" t="str">
        <f t="shared" si="17"/>
        <v>LM5.X, Lab, REC 1, Cortex, 20 students</v>
      </c>
      <c r="F56">
        <v>999</v>
      </c>
      <c r="G56" t="str">
        <f t="shared" si="0"/>
        <v>Y</v>
      </c>
      <c r="H56" t="str">
        <f t="shared" si="14"/>
        <v>EA</v>
      </c>
      <c r="I56">
        <v>0</v>
      </c>
      <c r="J56">
        <v>0</v>
      </c>
      <c r="K56" t="str">
        <f t="shared" si="2"/>
        <v>Y</v>
      </c>
      <c r="L56">
        <v>0</v>
      </c>
      <c r="M56" t="str">
        <f t="shared" si="3"/>
        <v>NIS</v>
      </c>
      <c r="O56">
        <v>3</v>
      </c>
      <c r="P56" t="str">
        <f t="shared" si="11"/>
        <v>Active</v>
      </c>
      <c r="Q56" t="str">
        <f>"LM5.X Content, Lab, REC 1, Cortex, Unit 2"</f>
        <v>LM5.X Content, Lab, REC 1, Cortex, Unit 2</v>
      </c>
      <c r="S56" t="str">
        <f>"LM5.X Content, Lab, REC 1, Cortex, Unit 2"</f>
        <v>LM5.X Content, Lab, REC 1, Cortex, Unit 2</v>
      </c>
      <c r="T56">
        <v>0</v>
      </c>
      <c r="U56">
        <v>5</v>
      </c>
      <c r="V56">
        <v>5</v>
      </c>
      <c r="W56" t="str">
        <f t="shared" si="15"/>
        <v>rob</v>
      </c>
    </row>
    <row r="57" spans="1:23">
      <c r="A57" t="str">
        <f t="shared" si="16"/>
        <v>16-8105-1020</v>
      </c>
      <c r="B57" t="str">
        <f>"17-8105-0030"</f>
        <v>17-8105-0030</v>
      </c>
      <c r="C57" t="str">
        <f>"LM5.X Content, Lab, REC 1, Cortex, Unit 3"</f>
        <v>LM5.X Content, Lab, REC 1, Cortex, Unit 3</v>
      </c>
      <c r="D57">
        <v>1</v>
      </c>
      <c r="E57" t="str">
        <f t="shared" si="17"/>
        <v>LM5.X, Lab, REC 1, Cortex, 20 students</v>
      </c>
      <c r="F57">
        <v>999</v>
      </c>
      <c r="G57" t="str">
        <f t="shared" si="0"/>
        <v>Y</v>
      </c>
      <c r="H57" t="str">
        <f t="shared" si="14"/>
        <v>EA</v>
      </c>
      <c r="I57">
        <v>0</v>
      </c>
      <c r="J57">
        <v>0</v>
      </c>
      <c r="K57" t="str">
        <f t="shared" si="2"/>
        <v>Y</v>
      </c>
      <c r="L57">
        <v>0</v>
      </c>
      <c r="M57" t="str">
        <f t="shared" si="3"/>
        <v>NIS</v>
      </c>
      <c r="O57">
        <v>4</v>
      </c>
      <c r="P57" t="str">
        <f t="shared" si="11"/>
        <v>Active</v>
      </c>
      <c r="Q57" t="str">
        <f>"LM5.X Content, Lab, REC 1, Cortex, Unit 3"</f>
        <v>LM5.X Content, Lab, REC 1, Cortex, Unit 3</v>
      </c>
      <c r="S57" t="str">
        <f>"LM5.X Content, Lab, REC 1, Cortex, Unit 3"</f>
        <v>LM5.X Content, Lab, REC 1, Cortex, Unit 3</v>
      </c>
      <c r="T57">
        <v>0</v>
      </c>
      <c r="U57">
        <v>5</v>
      </c>
      <c r="V57">
        <v>5</v>
      </c>
      <c r="W57" t="str">
        <f t="shared" si="15"/>
        <v>rob</v>
      </c>
    </row>
    <row r="58" spans="1:23">
      <c r="A58" t="str">
        <f t="shared" si="16"/>
        <v>16-8105-1020</v>
      </c>
      <c r="B58" t="str">
        <f>"17-8105-0040"</f>
        <v>17-8105-0040</v>
      </c>
      <c r="C58" t="str">
        <f>"LM5.X Content, Lab, REC 1, Cortex, Unit 4"</f>
        <v>LM5.X Content, Lab, REC 1, Cortex, Unit 4</v>
      </c>
      <c r="D58">
        <v>1</v>
      </c>
      <c r="E58" t="str">
        <f t="shared" si="17"/>
        <v>LM5.X, Lab, REC 1, Cortex, 20 students</v>
      </c>
      <c r="F58">
        <v>999</v>
      </c>
      <c r="G58" t="str">
        <f t="shared" si="0"/>
        <v>Y</v>
      </c>
      <c r="H58" t="str">
        <f t="shared" si="14"/>
        <v>EA</v>
      </c>
      <c r="I58">
        <v>0</v>
      </c>
      <c r="J58">
        <v>0</v>
      </c>
      <c r="K58" t="str">
        <f t="shared" si="2"/>
        <v>Y</v>
      </c>
      <c r="L58">
        <v>0</v>
      </c>
      <c r="M58" t="str">
        <f t="shared" si="3"/>
        <v>NIS</v>
      </c>
      <c r="O58">
        <v>5</v>
      </c>
      <c r="P58" t="str">
        <f t="shared" si="11"/>
        <v>Active</v>
      </c>
      <c r="Q58" t="str">
        <f>"LM5.X Content, Lab, REC 1, Cortex, Unit 4"</f>
        <v>LM5.X Content, Lab, REC 1, Cortex, Unit 4</v>
      </c>
      <c r="S58" t="str">
        <f>"LM5.X Content, Lab, REC 1, Cortex, Unit 4"</f>
        <v>LM5.X Content, Lab, REC 1, Cortex, Unit 4</v>
      </c>
      <c r="T58">
        <v>0</v>
      </c>
      <c r="U58">
        <v>5</v>
      </c>
      <c r="V58">
        <v>5</v>
      </c>
      <c r="W58" t="str">
        <f t="shared" si="15"/>
        <v>rob</v>
      </c>
    </row>
    <row r="59" spans="1:23">
      <c r="A59" t="str">
        <f t="shared" si="16"/>
        <v>16-8105-1020</v>
      </c>
      <c r="B59" t="str">
        <f>"17-8105-0050"</f>
        <v>17-8105-0050</v>
      </c>
      <c r="C59" t="str">
        <f>"LM5.X Content, Lab, REC 1, Cortex, Unit 5"</f>
        <v>LM5.X Content, Lab, REC 1, Cortex, Unit 5</v>
      </c>
      <c r="D59">
        <v>1</v>
      </c>
      <c r="E59" t="str">
        <f t="shared" si="17"/>
        <v>LM5.X, Lab, REC 1, Cortex, 20 students</v>
      </c>
      <c r="F59">
        <v>999</v>
      </c>
      <c r="G59" t="str">
        <f t="shared" si="0"/>
        <v>Y</v>
      </c>
      <c r="H59" t="str">
        <f t="shared" si="14"/>
        <v>EA</v>
      </c>
      <c r="I59">
        <v>0</v>
      </c>
      <c r="J59">
        <v>0</v>
      </c>
      <c r="K59" t="str">
        <f t="shared" si="2"/>
        <v>Y</v>
      </c>
      <c r="L59">
        <v>0</v>
      </c>
      <c r="M59" t="str">
        <f t="shared" si="3"/>
        <v>NIS</v>
      </c>
      <c r="O59">
        <v>6</v>
      </c>
      <c r="P59" t="str">
        <f t="shared" si="11"/>
        <v>Active</v>
      </c>
      <c r="Q59" t="str">
        <f>"LM5.X Content, Lab, REC 1, Cortex, Unit 5"</f>
        <v>LM5.X Content, Lab, REC 1, Cortex, Unit 5</v>
      </c>
      <c r="S59" t="str">
        <f>"LM5.X Content, Lab, REC 1, Cortex, Unit 5"</f>
        <v>LM5.X Content, Lab, REC 1, Cortex, Unit 5</v>
      </c>
      <c r="T59">
        <v>0</v>
      </c>
      <c r="U59">
        <v>5</v>
      </c>
      <c r="V59">
        <v>5</v>
      </c>
      <c r="W59" t="str">
        <f t="shared" si="15"/>
        <v>rob</v>
      </c>
    </row>
    <row r="60" spans="1:23">
      <c r="A60" t="str">
        <f t="shared" si="16"/>
        <v>16-8105-1020</v>
      </c>
      <c r="B60" t="str">
        <f>"17-8105-0060"</f>
        <v>17-8105-0060</v>
      </c>
      <c r="C60" t="str">
        <f>"LM5.X Content, Lab, REC 1, Cortex, Unit 6"</f>
        <v>LM5.X Content, Lab, REC 1, Cortex, Unit 6</v>
      </c>
      <c r="D60">
        <v>1</v>
      </c>
      <c r="E60" t="str">
        <f t="shared" si="17"/>
        <v>LM5.X, Lab, REC 1, Cortex, 20 students</v>
      </c>
      <c r="F60">
        <v>999</v>
      </c>
      <c r="G60" t="str">
        <f t="shared" si="0"/>
        <v>Y</v>
      </c>
      <c r="H60" t="str">
        <f t="shared" si="14"/>
        <v>EA</v>
      </c>
      <c r="I60">
        <v>0</v>
      </c>
      <c r="J60">
        <v>0</v>
      </c>
      <c r="K60" t="str">
        <f t="shared" si="2"/>
        <v>Y</v>
      </c>
      <c r="L60">
        <v>0</v>
      </c>
      <c r="M60" t="str">
        <f t="shared" si="3"/>
        <v>NIS</v>
      </c>
      <c r="O60">
        <v>7</v>
      </c>
      <c r="P60" t="str">
        <f t="shared" ref="P60:P91" si="18">"Active"</f>
        <v>Active</v>
      </c>
      <c r="Q60" t="str">
        <f>"LM5.X Content, Lab, REC 1, Cortex, Unit 6"</f>
        <v>LM5.X Content, Lab, REC 1, Cortex, Unit 6</v>
      </c>
      <c r="S60" t="str">
        <f>"LM5.X Content, Lab, REC 1, Cortex, Unit 6"</f>
        <v>LM5.X Content, Lab, REC 1, Cortex, Unit 6</v>
      </c>
      <c r="T60">
        <v>0</v>
      </c>
      <c r="U60">
        <v>5</v>
      </c>
      <c r="V60">
        <v>5</v>
      </c>
      <c r="W60" t="str">
        <f t="shared" si="15"/>
        <v>rob</v>
      </c>
    </row>
    <row r="61" spans="1:23">
      <c r="A61" t="str">
        <f t="shared" si="16"/>
        <v>16-8105-1020</v>
      </c>
      <c r="B61" t="str">
        <f>"63-2060-4030"</f>
        <v>63-2060-4030</v>
      </c>
      <c r="C61" t="str">
        <f>"easyC V4 for Cortex, V4.0X 30 seat license"</f>
        <v>easyC V4 for Cortex, V4.0X 30 seat license</v>
      </c>
      <c r="D61">
        <v>1</v>
      </c>
      <c r="E61" t="str">
        <f t="shared" si="17"/>
        <v>LM5.X, Lab, REC 1, Cortex, 20 students</v>
      </c>
      <c r="F61">
        <v>999</v>
      </c>
      <c r="G61" t="str">
        <f t="shared" si="0"/>
        <v>Y</v>
      </c>
      <c r="H61" t="str">
        <f t="shared" si="14"/>
        <v>EA</v>
      </c>
      <c r="I61">
        <v>0</v>
      </c>
      <c r="J61">
        <v>0</v>
      </c>
      <c r="K61" t="str">
        <f t="shared" si="2"/>
        <v>Y</v>
      </c>
      <c r="L61">
        <v>0</v>
      </c>
      <c r="M61" t="str">
        <f t="shared" si="3"/>
        <v>NIS</v>
      </c>
      <c r="O61">
        <v>8</v>
      </c>
      <c r="P61" t="str">
        <f t="shared" si="18"/>
        <v>Active</v>
      </c>
      <c r="Q61" t="str">
        <f>"easyC V4 for Cortex, V4.0X 30 seat license"</f>
        <v>easyC V4 for Cortex, V4.0X 30 seat license</v>
      </c>
      <c r="S61" t="str">
        <f>"easyC V4 for Cortex, V4.0X 30 seat license"</f>
        <v>easyC V4 for Cortex, V4.0X 30 seat license</v>
      </c>
      <c r="T61">
        <v>0</v>
      </c>
      <c r="U61">
        <v>5</v>
      </c>
      <c r="V61">
        <v>5.15</v>
      </c>
      <c r="W61" t="str">
        <f t="shared" si="15"/>
        <v>rob</v>
      </c>
    </row>
    <row r="62" spans="1:23">
      <c r="A62" t="str">
        <f t="shared" si="16"/>
        <v>16-8105-1020</v>
      </c>
      <c r="B62" t="str">
        <f>"31-1700-0025"</f>
        <v>31-1700-0025</v>
      </c>
      <c r="C62" t="str">
        <f>"REC, 12"" Ruler"</f>
        <v>REC, 12" Ruler</v>
      </c>
      <c r="D62">
        <v>11</v>
      </c>
      <c r="E62" t="str">
        <f t="shared" si="17"/>
        <v>LM5.X, Lab, REC 1, Cortex, 20 students</v>
      </c>
      <c r="F62">
        <v>999</v>
      </c>
      <c r="G62" t="str">
        <f t="shared" si="0"/>
        <v>Y</v>
      </c>
      <c r="H62" t="str">
        <f t="shared" si="14"/>
        <v>EA</v>
      </c>
      <c r="I62">
        <v>0</v>
      </c>
      <c r="J62">
        <v>0</v>
      </c>
      <c r="K62" t="str">
        <f t="shared" si="2"/>
        <v>Y</v>
      </c>
      <c r="L62">
        <v>0</v>
      </c>
      <c r="M62" t="str">
        <f t="shared" si="3"/>
        <v>NIS</v>
      </c>
      <c r="O62">
        <v>9</v>
      </c>
      <c r="P62" t="str">
        <f t="shared" si="18"/>
        <v>Active</v>
      </c>
      <c r="Q62" t="str">
        <f>"REC, 12"" Ruler"</f>
        <v>REC, 12" Ruler</v>
      </c>
      <c r="S62" t="str">
        <f>"REC, 12"" Ruler"</f>
        <v>REC, 12" Ruler</v>
      </c>
      <c r="T62">
        <v>1.88</v>
      </c>
      <c r="U62">
        <v>1.19</v>
      </c>
      <c r="V62">
        <v>1.35</v>
      </c>
      <c r="W62" t="str">
        <f t="shared" si="15"/>
        <v>rob</v>
      </c>
    </row>
    <row r="63" spans="1:23">
      <c r="A63" t="str">
        <f t="shared" si="16"/>
        <v>16-8105-1020</v>
      </c>
      <c r="B63" t="str">
        <f>"31-1800-0000"</f>
        <v>31-1800-0000</v>
      </c>
      <c r="C63" t="str">
        <f>"REC, Protractor, General #29"</f>
        <v>REC, Protractor, General #29</v>
      </c>
      <c r="D63">
        <v>11</v>
      </c>
      <c r="E63" t="str">
        <f t="shared" si="17"/>
        <v>LM5.X, Lab, REC 1, Cortex, 20 students</v>
      </c>
      <c r="F63">
        <v>999</v>
      </c>
      <c r="G63" t="str">
        <f t="shared" si="0"/>
        <v>Y</v>
      </c>
      <c r="H63" t="str">
        <f t="shared" si="14"/>
        <v>EA</v>
      </c>
      <c r="I63">
        <v>0</v>
      </c>
      <c r="J63">
        <v>0</v>
      </c>
      <c r="K63" t="str">
        <f t="shared" si="2"/>
        <v>Y</v>
      </c>
      <c r="L63">
        <v>0</v>
      </c>
      <c r="M63" t="str">
        <f t="shared" si="3"/>
        <v>NIS</v>
      </c>
      <c r="O63">
        <v>10</v>
      </c>
      <c r="P63" t="str">
        <f t="shared" si="18"/>
        <v>Active</v>
      </c>
      <c r="Q63" t="str">
        <f>"REC, Protractor, General #29"</f>
        <v>REC, Protractor, General #29</v>
      </c>
      <c r="S63" t="str">
        <f>"REC, Protractor, General #29"</f>
        <v>REC, Protractor, General #29</v>
      </c>
      <c r="T63">
        <v>6.58</v>
      </c>
      <c r="U63">
        <v>7.34</v>
      </c>
      <c r="V63">
        <v>8.34</v>
      </c>
      <c r="W63" t="str">
        <f t="shared" si="15"/>
        <v>rob</v>
      </c>
    </row>
    <row r="64" spans="1:23">
      <c r="A64" t="str">
        <f t="shared" si="16"/>
        <v>16-8105-1020</v>
      </c>
      <c r="B64" t="str">
        <f>"31-1800-0001"</f>
        <v>31-1800-0001</v>
      </c>
      <c r="C64" t="str">
        <f>"REC, Stop Watch, Tenths/Second"</f>
        <v>REC, Stop Watch, Tenths/Second</v>
      </c>
      <c r="D64">
        <v>11</v>
      </c>
      <c r="E64" t="str">
        <f t="shared" si="17"/>
        <v>LM5.X, Lab, REC 1, Cortex, 20 students</v>
      </c>
      <c r="F64">
        <v>999</v>
      </c>
      <c r="G64" t="str">
        <f t="shared" si="0"/>
        <v>Y</v>
      </c>
      <c r="H64" t="str">
        <f t="shared" si="14"/>
        <v>EA</v>
      </c>
      <c r="I64">
        <v>0</v>
      </c>
      <c r="J64">
        <v>0</v>
      </c>
      <c r="K64" t="str">
        <f t="shared" si="2"/>
        <v>Y</v>
      </c>
      <c r="L64">
        <v>0</v>
      </c>
      <c r="M64" t="str">
        <f t="shared" si="3"/>
        <v>NIS</v>
      </c>
      <c r="O64">
        <v>11</v>
      </c>
      <c r="P64" t="str">
        <f t="shared" si="18"/>
        <v>Active</v>
      </c>
      <c r="Q64" t="str">
        <f>"REC, Stop Watch, Tenths/Second"</f>
        <v>REC, Stop Watch, Tenths/Second</v>
      </c>
      <c r="S64" t="str">
        <f>"REC, Stop Watch, Tenths/Second"</f>
        <v>REC, Stop Watch, Tenths/Second</v>
      </c>
      <c r="T64">
        <v>11.35</v>
      </c>
      <c r="U64">
        <v>10.79</v>
      </c>
      <c r="V64">
        <v>12.26</v>
      </c>
      <c r="W64" t="str">
        <f t="shared" si="15"/>
        <v>rob</v>
      </c>
    </row>
    <row r="65" spans="1:23">
      <c r="A65" t="str">
        <f t="shared" si="16"/>
        <v>16-8105-1020</v>
      </c>
      <c r="B65" t="str">
        <f>"31-1800-0002"</f>
        <v>31-1800-0002</v>
      </c>
      <c r="C65" t="str">
        <f>"REC, Electrical Tape, Black,3/4"" Wide"</f>
        <v>REC, Electrical Tape, Black,3/4" Wide</v>
      </c>
      <c r="D65">
        <v>11</v>
      </c>
      <c r="E65" t="str">
        <f t="shared" si="17"/>
        <v>LM5.X, Lab, REC 1, Cortex, 20 students</v>
      </c>
      <c r="F65">
        <v>999</v>
      </c>
      <c r="G65" t="str">
        <f t="shared" si="0"/>
        <v>Y</v>
      </c>
      <c r="H65" t="str">
        <f t="shared" si="14"/>
        <v>EA</v>
      </c>
      <c r="I65">
        <v>0</v>
      </c>
      <c r="J65">
        <v>0</v>
      </c>
      <c r="K65" t="str">
        <f t="shared" si="2"/>
        <v>Y</v>
      </c>
      <c r="L65">
        <v>0</v>
      </c>
      <c r="M65" t="str">
        <f t="shared" si="3"/>
        <v>NIS</v>
      </c>
      <c r="O65">
        <v>12</v>
      </c>
      <c r="P65" t="str">
        <f t="shared" si="18"/>
        <v>Active</v>
      </c>
      <c r="Q65" t="str">
        <f>"REC, Electrical Tape, Black,3/4"" Wide"</f>
        <v>REC, Electrical Tape, Black,3/4" Wide</v>
      </c>
      <c r="S65" t="str">
        <f>"REC, Electrical Tape, Black,3/4"" Wide"</f>
        <v>REC, Electrical Tape, Black,3/4" Wide</v>
      </c>
      <c r="T65">
        <v>0.89</v>
      </c>
      <c r="U65">
        <v>2.1</v>
      </c>
      <c r="V65">
        <v>2.39</v>
      </c>
      <c r="W65" t="str">
        <f t="shared" si="15"/>
        <v>rob</v>
      </c>
    </row>
    <row r="66" spans="1:23">
      <c r="A66" t="str">
        <f t="shared" si="16"/>
        <v>16-8105-1020</v>
      </c>
      <c r="B66" t="str">
        <f>"31-1800-0003"</f>
        <v>31-1800-0003</v>
      </c>
      <c r="C66" t="str">
        <f>"REC, Masking Tape, 1"" Wide"</f>
        <v>REC, Masking Tape, 1" Wide</v>
      </c>
      <c r="D66">
        <v>11</v>
      </c>
      <c r="E66" t="str">
        <f t="shared" si="17"/>
        <v>LM5.X, Lab, REC 1, Cortex, 20 students</v>
      </c>
      <c r="F66">
        <v>999</v>
      </c>
      <c r="G66" t="str">
        <f t="shared" ref="G66:G129" si="19">"Y"</f>
        <v>Y</v>
      </c>
      <c r="H66" t="str">
        <f t="shared" ref="H66:H97" si="20">"EA"</f>
        <v>EA</v>
      </c>
      <c r="I66">
        <v>0</v>
      </c>
      <c r="J66">
        <v>0</v>
      </c>
      <c r="K66" t="str">
        <f t="shared" ref="K66:K129" si="21">"Y"</f>
        <v>Y</v>
      </c>
      <c r="L66">
        <v>0</v>
      </c>
      <c r="M66" t="str">
        <f t="shared" ref="M66:M129" si="22">"NIS"</f>
        <v>NIS</v>
      </c>
      <c r="O66">
        <v>13</v>
      </c>
      <c r="P66" t="str">
        <f t="shared" si="18"/>
        <v>Active</v>
      </c>
      <c r="Q66" t="str">
        <f>"REC, Masking Tape, 1"" Wide"</f>
        <v>REC, Masking Tape, 1" Wide</v>
      </c>
      <c r="S66" t="str">
        <f>"REC, Masking Tape, 1"" Wide"</f>
        <v>REC, Masking Tape, 1" Wide</v>
      </c>
      <c r="T66">
        <v>1.73</v>
      </c>
      <c r="U66">
        <v>2.52</v>
      </c>
      <c r="V66">
        <v>2.86</v>
      </c>
      <c r="W66" t="str">
        <f t="shared" ref="W66:W97" si="23">"rob"</f>
        <v>rob</v>
      </c>
    </row>
    <row r="67" spans="1:23">
      <c r="A67" t="str">
        <f t="shared" si="16"/>
        <v>16-8105-1020</v>
      </c>
      <c r="B67" t="str">
        <f>"31-1800-0005"</f>
        <v>31-1800-0005</v>
      </c>
      <c r="C67" t="str">
        <f>"REC, String, Construction Grade Line"</f>
        <v>REC, String, Construction Grade Line</v>
      </c>
      <c r="D67">
        <v>1</v>
      </c>
      <c r="E67" t="str">
        <f t="shared" si="17"/>
        <v>LM5.X, Lab, REC 1, Cortex, 20 students</v>
      </c>
      <c r="F67">
        <v>999</v>
      </c>
      <c r="G67" t="str">
        <f t="shared" si="19"/>
        <v>Y</v>
      </c>
      <c r="H67" t="str">
        <f t="shared" si="20"/>
        <v>EA</v>
      </c>
      <c r="I67">
        <v>0</v>
      </c>
      <c r="J67">
        <v>0</v>
      </c>
      <c r="K67" t="str">
        <f t="shared" si="21"/>
        <v>Y</v>
      </c>
      <c r="L67">
        <v>0</v>
      </c>
      <c r="M67" t="str">
        <f t="shared" si="22"/>
        <v>NIS</v>
      </c>
      <c r="O67">
        <v>14</v>
      </c>
      <c r="P67" t="str">
        <f t="shared" si="18"/>
        <v>Active</v>
      </c>
      <c r="Q67" t="str">
        <f>"REC, String, Construction Grade Line"</f>
        <v>REC, String, Construction Grade Line</v>
      </c>
      <c r="S67" t="str">
        <f>"REC, String, Construction Grade Line"</f>
        <v>REC, String, Construction Grade Line</v>
      </c>
      <c r="T67">
        <v>6.41</v>
      </c>
      <c r="U67">
        <v>9.8800000000000008</v>
      </c>
      <c r="V67">
        <v>11.8</v>
      </c>
      <c r="W67" t="str">
        <f t="shared" si="23"/>
        <v>rob</v>
      </c>
    </row>
    <row r="68" spans="1:23">
      <c r="A68" t="str">
        <f t="shared" si="16"/>
        <v>16-8105-1020</v>
      </c>
      <c r="B68" t="str">
        <f>"31-1800-0006"</f>
        <v>31-1800-0006</v>
      </c>
      <c r="C68" t="str">
        <f>"REC, 5lb Plate Weight, Olympic,  2"" ID"</f>
        <v>REC, 5lb Plate Weight, Olympic,  2" ID</v>
      </c>
      <c r="D68">
        <v>18</v>
      </c>
      <c r="E68" t="str">
        <f t="shared" si="17"/>
        <v>LM5.X, Lab, REC 1, Cortex, 20 students</v>
      </c>
      <c r="F68">
        <v>999</v>
      </c>
      <c r="G68" t="str">
        <f t="shared" si="19"/>
        <v>Y</v>
      </c>
      <c r="H68" t="str">
        <f t="shared" si="20"/>
        <v>EA</v>
      </c>
      <c r="I68">
        <v>0</v>
      </c>
      <c r="J68">
        <v>0</v>
      </c>
      <c r="K68" t="str">
        <f t="shared" si="21"/>
        <v>Y</v>
      </c>
      <c r="L68">
        <v>0</v>
      </c>
      <c r="M68" t="str">
        <f t="shared" si="22"/>
        <v>NIS</v>
      </c>
      <c r="O68">
        <v>15</v>
      </c>
      <c r="P68" t="str">
        <f t="shared" si="18"/>
        <v>Active</v>
      </c>
      <c r="Q68" t="str">
        <f>"REC, 5lb Plate Weight, Olympic,  2"" ID"</f>
        <v>REC, 5lb Plate Weight, Olympic,  2" ID</v>
      </c>
      <c r="S68" t="str">
        <f>"REC, 5lb Plate Weight, Olympic,  2"" ID"</f>
        <v>REC, 5lb Plate Weight, Olympic,  2" ID</v>
      </c>
      <c r="T68">
        <v>8.06</v>
      </c>
      <c r="U68">
        <v>5.43</v>
      </c>
      <c r="V68">
        <v>6.17</v>
      </c>
      <c r="W68" t="str">
        <f t="shared" si="23"/>
        <v>rob</v>
      </c>
    </row>
    <row r="69" spans="1:23">
      <c r="A69" t="str">
        <f t="shared" si="16"/>
        <v>16-8105-1020</v>
      </c>
      <c r="B69" t="str">
        <f>"31-1800-0007"</f>
        <v>31-1800-0007</v>
      </c>
      <c r="C69" t="str">
        <f>"REC, Dry Erase Marker, Blk, 12 Pack"</f>
        <v>REC, Dry Erase Marker, Blk, 12 Pack</v>
      </c>
      <c r="D69">
        <v>1</v>
      </c>
      <c r="E69" t="str">
        <f t="shared" si="17"/>
        <v>LM5.X, Lab, REC 1, Cortex, 20 students</v>
      </c>
      <c r="F69">
        <v>999</v>
      </c>
      <c r="G69" t="str">
        <f t="shared" si="19"/>
        <v>Y</v>
      </c>
      <c r="H69" t="str">
        <f t="shared" si="20"/>
        <v>EA</v>
      </c>
      <c r="I69">
        <v>0</v>
      </c>
      <c r="J69">
        <v>0</v>
      </c>
      <c r="K69" t="str">
        <f t="shared" si="21"/>
        <v>Y</v>
      </c>
      <c r="L69">
        <v>0</v>
      </c>
      <c r="M69" t="str">
        <f t="shared" si="22"/>
        <v>NIS</v>
      </c>
      <c r="O69">
        <v>16</v>
      </c>
      <c r="P69" t="str">
        <f t="shared" si="18"/>
        <v>Active</v>
      </c>
      <c r="Q69" t="str">
        <f>"REC, Dry Erase Marker, Blk, 12 Pack"</f>
        <v>REC, Dry Erase Marker, Blk, 12 Pack</v>
      </c>
      <c r="S69" t="str">
        <f>"REC, Dry Erase Marker, Blk, 12 Pack"</f>
        <v>REC, Dry Erase Marker, Blk, 12 Pack</v>
      </c>
      <c r="T69">
        <v>14.87</v>
      </c>
      <c r="U69">
        <v>13.56</v>
      </c>
      <c r="V69">
        <v>16.07</v>
      </c>
      <c r="W69" t="str">
        <f t="shared" si="23"/>
        <v>rob</v>
      </c>
    </row>
    <row r="70" spans="1:23">
      <c r="A70" t="str">
        <f t="shared" si="16"/>
        <v>16-8105-1020</v>
      </c>
      <c r="B70" t="str">
        <f>"31-1800-0008"</f>
        <v>31-1800-0008</v>
      </c>
      <c r="C70" t="str">
        <f>"REC, Dry Erase Marker, Blue, 12 Pack"</f>
        <v>REC, Dry Erase Marker, Blue, 12 Pack</v>
      </c>
      <c r="D70">
        <v>1</v>
      </c>
      <c r="E70" t="str">
        <f t="shared" si="17"/>
        <v>LM5.X, Lab, REC 1, Cortex, 20 students</v>
      </c>
      <c r="F70">
        <v>999</v>
      </c>
      <c r="G70" t="str">
        <f t="shared" si="19"/>
        <v>Y</v>
      </c>
      <c r="H70" t="str">
        <f t="shared" si="20"/>
        <v>EA</v>
      </c>
      <c r="I70">
        <v>0</v>
      </c>
      <c r="J70">
        <v>0</v>
      </c>
      <c r="K70" t="str">
        <f t="shared" si="21"/>
        <v>Y</v>
      </c>
      <c r="L70">
        <v>0</v>
      </c>
      <c r="M70" t="str">
        <f t="shared" si="22"/>
        <v>NIS</v>
      </c>
      <c r="O70">
        <v>17</v>
      </c>
      <c r="P70" t="str">
        <f t="shared" si="18"/>
        <v>Active</v>
      </c>
      <c r="Q70" t="str">
        <f>"REC, Dry Erase Marker, Blue, 12 Pack"</f>
        <v>REC, Dry Erase Marker, Blue, 12 Pack</v>
      </c>
      <c r="S70" t="str">
        <f>"REC, Dry Erase Marker, Blue, 12 Pack"</f>
        <v>REC, Dry Erase Marker, Blue, 12 Pack</v>
      </c>
      <c r="T70">
        <v>14.87</v>
      </c>
      <c r="U70">
        <v>13.6</v>
      </c>
      <c r="V70">
        <v>16.07</v>
      </c>
      <c r="W70" t="str">
        <f t="shared" si="23"/>
        <v>rob</v>
      </c>
    </row>
    <row r="71" spans="1:23">
      <c r="A71" t="str">
        <f t="shared" si="16"/>
        <v>16-8105-1020</v>
      </c>
      <c r="B71" t="str">
        <f>"31-1800-0009"</f>
        <v>31-1800-0009</v>
      </c>
      <c r="C71" t="str">
        <f>"REC, Elastic Band, #16, 1/4lb Bag"</f>
        <v>REC, Elastic Band, #16, 1/4lb Bag</v>
      </c>
      <c r="D71">
        <v>1</v>
      </c>
      <c r="E71" t="str">
        <f t="shared" si="17"/>
        <v>LM5.X, Lab, REC 1, Cortex, 20 students</v>
      </c>
      <c r="F71">
        <v>999</v>
      </c>
      <c r="G71" t="str">
        <f t="shared" si="19"/>
        <v>Y</v>
      </c>
      <c r="H71" t="str">
        <f t="shared" si="20"/>
        <v>EA</v>
      </c>
      <c r="I71">
        <v>0</v>
      </c>
      <c r="J71">
        <v>0</v>
      </c>
      <c r="K71" t="str">
        <f t="shared" si="21"/>
        <v>Y</v>
      </c>
      <c r="L71">
        <v>0</v>
      </c>
      <c r="M71" t="str">
        <f t="shared" si="22"/>
        <v>NIS</v>
      </c>
      <c r="O71">
        <v>18</v>
      </c>
      <c r="P71" t="str">
        <f t="shared" si="18"/>
        <v>Active</v>
      </c>
      <c r="Q71" t="str">
        <f>"REC, Elastic Band, #16, 1/4lb Bag"</f>
        <v>REC, Elastic Band, #16, 1/4lb Bag</v>
      </c>
      <c r="S71" t="str">
        <f>"REC, Elastic Band, #16, 1/4lb Bag"</f>
        <v>REC, Elastic Band, #16, 1/4lb Bag</v>
      </c>
      <c r="T71">
        <v>1.37</v>
      </c>
      <c r="U71">
        <v>0.65</v>
      </c>
      <c r="V71">
        <v>0.75</v>
      </c>
      <c r="W71" t="str">
        <f t="shared" si="23"/>
        <v>rob</v>
      </c>
    </row>
    <row r="72" spans="1:23">
      <c r="A72" t="str">
        <f t="shared" si="16"/>
        <v>16-8105-1020</v>
      </c>
      <c r="B72" t="str">
        <f>"31-1800-0010"</f>
        <v>31-1800-0010</v>
      </c>
      <c r="C72" t="str">
        <f>"REC, 8-32 x 1"" BHCS, Box of 100"</f>
        <v>REC, 8-32 x 1" BHCS, Box of 100</v>
      </c>
      <c r="D72">
        <v>1</v>
      </c>
      <c r="E72" t="str">
        <f t="shared" si="17"/>
        <v>LM5.X, Lab, REC 1, Cortex, 20 students</v>
      </c>
      <c r="F72">
        <v>999</v>
      </c>
      <c r="G72" t="str">
        <f t="shared" si="19"/>
        <v>Y</v>
      </c>
      <c r="H72" t="str">
        <f t="shared" si="20"/>
        <v>EA</v>
      </c>
      <c r="I72">
        <v>0</v>
      </c>
      <c r="J72">
        <v>0</v>
      </c>
      <c r="K72" t="str">
        <f t="shared" si="21"/>
        <v>Y</v>
      </c>
      <c r="L72">
        <v>0</v>
      </c>
      <c r="M72" t="str">
        <f t="shared" si="22"/>
        <v>NIS</v>
      </c>
      <c r="O72">
        <v>19</v>
      </c>
      <c r="P72" t="str">
        <f t="shared" si="18"/>
        <v>Active</v>
      </c>
      <c r="Q72" t="str">
        <f>"REC, 8-32 x 1"" BHCS, Box of 100"</f>
        <v>REC, 8-32 x 1" BHCS, Box of 100</v>
      </c>
      <c r="S72" t="str">
        <f>"REC, 8-32 x 1"" BHCS, Box of 100"</f>
        <v>REC, 8-32 x 1" BHCS, Box of 100</v>
      </c>
      <c r="T72">
        <v>9.4499999999999993</v>
      </c>
      <c r="U72">
        <v>10.59</v>
      </c>
      <c r="V72">
        <v>12.56</v>
      </c>
      <c r="W72" t="str">
        <f t="shared" si="23"/>
        <v>rob</v>
      </c>
    </row>
    <row r="73" spans="1:23">
      <c r="A73" t="str">
        <f t="shared" si="16"/>
        <v>16-8105-1020</v>
      </c>
      <c r="B73" t="str">
        <f>"31-1800-0011"</f>
        <v>31-1800-0011</v>
      </c>
      <c r="C73" t="str">
        <f>"REC, Composition Book, Engineering Notebook"</f>
        <v>REC, Composition Book, Engineering Notebook</v>
      </c>
      <c r="D73">
        <v>21</v>
      </c>
      <c r="E73" t="str">
        <f t="shared" si="17"/>
        <v>LM5.X, Lab, REC 1, Cortex, 20 students</v>
      </c>
      <c r="F73">
        <v>999</v>
      </c>
      <c r="G73" t="str">
        <f t="shared" si="19"/>
        <v>Y</v>
      </c>
      <c r="H73" t="str">
        <f t="shared" si="20"/>
        <v>EA</v>
      </c>
      <c r="I73">
        <v>0</v>
      </c>
      <c r="J73">
        <v>0</v>
      </c>
      <c r="K73" t="str">
        <f t="shared" si="21"/>
        <v>Y</v>
      </c>
      <c r="L73">
        <v>0</v>
      </c>
      <c r="M73" t="str">
        <f t="shared" si="22"/>
        <v>NIS</v>
      </c>
      <c r="O73">
        <v>20</v>
      </c>
      <c r="P73" t="str">
        <f t="shared" si="18"/>
        <v>Active</v>
      </c>
      <c r="Q73" t="str">
        <f>"REC, Composition Book, Engineering Notebook"</f>
        <v>REC, Composition Book, Engineering Notebook</v>
      </c>
      <c r="S73" t="str">
        <f>"REC, Composition Book, Engineering Notebook"</f>
        <v>REC, Composition Book, Engineering Notebook</v>
      </c>
      <c r="T73">
        <v>1.07</v>
      </c>
      <c r="U73">
        <v>1.8</v>
      </c>
      <c r="V73">
        <v>2.0499999999999998</v>
      </c>
      <c r="W73" t="str">
        <f t="shared" si="23"/>
        <v>rob</v>
      </c>
    </row>
    <row r="74" spans="1:23">
      <c r="A74" t="str">
        <f t="shared" si="16"/>
        <v>16-8105-1020</v>
      </c>
      <c r="B74" t="str">
        <f>"31-1800-0012"</f>
        <v>31-1800-0012</v>
      </c>
      <c r="C74" t="str">
        <f>"REC, 3 Ring Binder, 1"""</f>
        <v>REC, 3 Ring Binder, 1"</v>
      </c>
      <c r="D74">
        <v>21</v>
      </c>
      <c r="E74" t="str">
        <f t="shared" si="17"/>
        <v>LM5.X, Lab, REC 1, Cortex, 20 students</v>
      </c>
      <c r="F74">
        <v>999</v>
      </c>
      <c r="G74" t="str">
        <f t="shared" si="19"/>
        <v>Y</v>
      </c>
      <c r="H74" t="str">
        <f t="shared" si="20"/>
        <v>EA</v>
      </c>
      <c r="I74">
        <v>0</v>
      </c>
      <c r="J74">
        <v>0</v>
      </c>
      <c r="K74" t="str">
        <f t="shared" si="21"/>
        <v>Y</v>
      </c>
      <c r="L74">
        <v>0</v>
      </c>
      <c r="M74" t="str">
        <f t="shared" si="22"/>
        <v>NIS</v>
      </c>
      <c r="O74">
        <v>21</v>
      </c>
      <c r="P74" t="str">
        <f t="shared" si="18"/>
        <v>Active</v>
      </c>
      <c r="Q74" t="str">
        <f>"REC, 3 Ring Binder, 1"""</f>
        <v>REC, 3 Ring Binder, 1"</v>
      </c>
      <c r="S74" t="str">
        <f>"REC, 3 Ring Binder, 1"""</f>
        <v>REC, 3 Ring Binder, 1"</v>
      </c>
      <c r="T74">
        <v>2.2400000000000002</v>
      </c>
      <c r="U74">
        <v>2.75</v>
      </c>
      <c r="V74">
        <v>3.12</v>
      </c>
      <c r="W74" t="str">
        <f t="shared" si="23"/>
        <v>rob</v>
      </c>
    </row>
    <row r="75" spans="1:23">
      <c r="A75" t="str">
        <f t="shared" si="16"/>
        <v>16-8105-1020</v>
      </c>
      <c r="B75" t="str">
        <f>"31-1800-0013"</f>
        <v>31-1800-0013</v>
      </c>
      <c r="C75" t="str">
        <f>"REC, Tape Measure, 12 ft, Single Scale"</f>
        <v>REC, Tape Measure, 12 ft, Single Scale</v>
      </c>
      <c r="D75">
        <v>11</v>
      </c>
      <c r="E75" t="str">
        <f t="shared" si="17"/>
        <v>LM5.X, Lab, REC 1, Cortex, 20 students</v>
      </c>
      <c r="F75">
        <v>999</v>
      </c>
      <c r="G75" t="str">
        <f t="shared" si="19"/>
        <v>Y</v>
      </c>
      <c r="H75" t="str">
        <f t="shared" si="20"/>
        <v>EA</v>
      </c>
      <c r="I75">
        <v>0</v>
      </c>
      <c r="J75">
        <v>0</v>
      </c>
      <c r="K75" t="str">
        <f t="shared" si="21"/>
        <v>Y</v>
      </c>
      <c r="L75">
        <v>0</v>
      </c>
      <c r="M75" t="str">
        <f t="shared" si="22"/>
        <v>NIS</v>
      </c>
      <c r="O75">
        <v>22</v>
      </c>
      <c r="P75" t="str">
        <f t="shared" si="18"/>
        <v>Active</v>
      </c>
      <c r="Q75" t="str">
        <f>"REC, Tape Measure, 12 ft, Single Scale"</f>
        <v>REC, Tape Measure, 12 ft, Single Scale</v>
      </c>
      <c r="S75" t="str">
        <f>"REC, Tape Measure, 12 ft, Single Scale"</f>
        <v>REC, Tape Measure, 12 ft, Single Scale</v>
      </c>
      <c r="T75">
        <v>2.57</v>
      </c>
      <c r="U75">
        <v>1.91</v>
      </c>
      <c r="V75">
        <v>2.17</v>
      </c>
      <c r="W75" t="str">
        <f t="shared" si="23"/>
        <v>rob</v>
      </c>
    </row>
    <row r="76" spans="1:23">
      <c r="A76" t="str">
        <f t="shared" si="16"/>
        <v>16-8105-1020</v>
      </c>
      <c r="B76" t="str">
        <f>"39-0000-0088"</f>
        <v>39-0000-0088</v>
      </c>
      <c r="C76" t="str">
        <f>"REC, Precision Scale, 10 lbs x 0.1 oz"</f>
        <v>REC, Precision Scale, 10 lbs x 0.1 oz</v>
      </c>
      <c r="D76">
        <v>1</v>
      </c>
      <c r="E76" t="str">
        <f t="shared" si="17"/>
        <v>LM5.X, Lab, REC 1, Cortex, 20 students</v>
      </c>
      <c r="F76">
        <v>999</v>
      </c>
      <c r="G76" t="str">
        <f t="shared" si="19"/>
        <v>Y</v>
      </c>
      <c r="H76" t="str">
        <f t="shared" si="20"/>
        <v>EA</v>
      </c>
      <c r="I76">
        <v>0</v>
      </c>
      <c r="J76">
        <v>0</v>
      </c>
      <c r="K76" t="str">
        <f t="shared" si="21"/>
        <v>Y</v>
      </c>
      <c r="L76">
        <v>0</v>
      </c>
      <c r="M76" t="str">
        <f t="shared" si="22"/>
        <v>NIS</v>
      </c>
      <c r="O76">
        <v>23</v>
      </c>
      <c r="P76" t="str">
        <f t="shared" si="18"/>
        <v>Active</v>
      </c>
      <c r="Q76" t="str">
        <f>"REC, Precision Scale, 10 lbs x 0.1 oz"</f>
        <v>REC, Precision Scale, 10 lbs x 0.1 oz</v>
      </c>
      <c r="S76" t="str">
        <f>"REC, Precision Scale, 10 lbs x 0.1 oz"</f>
        <v>REC, Precision Scale, 10 lbs x 0.1 oz</v>
      </c>
      <c r="T76">
        <v>35.56</v>
      </c>
      <c r="U76">
        <v>67.73</v>
      </c>
      <c r="V76">
        <v>82.37</v>
      </c>
      <c r="W76" t="str">
        <f t="shared" si="23"/>
        <v>rob</v>
      </c>
    </row>
    <row r="77" spans="1:23">
      <c r="A77" t="str">
        <f t="shared" si="16"/>
        <v>16-8105-1020</v>
      </c>
      <c r="B77" t="str">
        <f>"39-0000-0090"</f>
        <v>39-0000-0090</v>
      </c>
      <c r="C77" t="str">
        <f>"REC, Spring Scale, 11 lbs x 0.1 lbs"</f>
        <v>REC, Spring Scale, 11 lbs x 0.1 lbs</v>
      </c>
      <c r="D77">
        <v>11</v>
      </c>
      <c r="E77" t="str">
        <f t="shared" si="17"/>
        <v>LM5.X, Lab, REC 1, Cortex, 20 students</v>
      </c>
      <c r="F77">
        <v>999</v>
      </c>
      <c r="G77" t="str">
        <f t="shared" si="19"/>
        <v>Y</v>
      </c>
      <c r="H77" t="str">
        <f t="shared" si="20"/>
        <v>EA</v>
      </c>
      <c r="I77">
        <v>0</v>
      </c>
      <c r="J77">
        <v>0</v>
      </c>
      <c r="K77" t="str">
        <f t="shared" si="21"/>
        <v>Y</v>
      </c>
      <c r="L77">
        <v>0</v>
      </c>
      <c r="M77" t="str">
        <f t="shared" si="22"/>
        <v>NIS</v>
      </c>
      <c r="O77">
        <v>24</v>
      </c>
      <c r="P77" t="str">
        <f t="shared" si="18"/>
        <v>Active</v>
      </c>
      <c r="Q77" t="str">
        <f>"REC, Spring Scale, 11 lbs x 0.1 lbs"</f>
        <v>REC, Spring Scale, 11 lbs x 0.1 lbs</v>
      </c>
      <c r="S77" t="str">
        <f>"REC, Spring Scale, 11 lbs x 0.1 lbs"</f>
        <v>REC, Spring Scale, 11 lbs x 0.1 lbs</v>
      </c>
      <c r="T77">
        <v>18.11</v>
      </c>
      <c r="U77">
        <v>13.58</v>
      </c>
      <c r="V77">
        <v>15.43</v>
      </c>
      <c r="W77" t="str">
        <f t="shared" si="23"/>
        <v>rob</v>
      </c>
    </row>
    <row r="78" spans="1:23">
      <c r="A78" t="str">
        <f t="shared" si="16"/>
        <v>16-8105-1020</v>
      </c>
      <c r="B78" t="str">
        <f>"270-1905"</f>
        <v>270-1905</v>
      </c>
      <c r="C78" t="str">
        <f>"VEX, REC 1 Bundle Kit, Cortex"</f>
        <v>VEX, REC 1 Bundle Kit, Cortex</v>
      </c>
      <c r="D78">
        <v>11</v>
      </c>
      <c r="E78" t="str">
        <f t="shared" si="17"/>
        <v>LM5.X, Lab, REC 1, Cortex, 20 students</v>
      </c>
      <c r="F78">
        <v>999</v>
      </c>
      <c r="G78" t="str">
        <f t="shared" si="19"/>
        <v>Y</v>
      </c>
      <c r="H78" t="str">
        <f t="shared" si="20"/>
        <v>EA</v>
      </c>
      <c r="I78">
        <v>0</v>
      </c>
      <c r="J78">
        <v>0</v>
      </c>
      <c r="K78" t="str">
        <f t="shared" si="21"/>
        <v>Y</v>
      </c>
      <c r="L78">
        <v>0</v>
      </c>
      <c r="M78" t="str">
        <f t="shared" si="22"/>
        <v>NIS</v>
      </c>
      <c r="O78">
        <v>25</v>
      </c>
      <c r="P78" t="str">
        <f t="shared" si="18"/>
        <v>Active</v>
      </c>
      <c r="Q78" t="str">
        <f>"VEX, REC 1 Bundle Kit, Cortex"</f>
        <v>VEX, REC 1 Bundle Kit, Cortex</v>
      </c>
      <c r="S78" t="str">
        <f>"VEX, REC 1 Bundle Kit, Cortex"</f>
        <v>VEX, REC 1 Bundle Kit, Cortex</v>
      </c>
      <c r="T78">
        <v>487.29</v>
      </c>
      <c r="U78">
        <v>515.33000000000004</v>
      </c>
      <c r="V78">
        <v>585.46</v>
      </c>
      <c r="W78" t="str">
        <f t="shared" si="23"/>
        <v>rob</v>
      </c>
    </row>
    <row r="79" spans="1:23">
      <c r="A79" t="str">
        <f t="shared" ref="A79:A103" si="24">"16-8105-1030"</f>
        <v>16-8105-1030</v>
      </c>
      <c r="B79" t="str">
        <f>"17-8105-0000"</f>
        <v>17-8105-0000</v>
      </c>
      <c r="C79" t="str">
        <f>"LM5.X Content, Lab, REC 1, Cortex, TG"</f>
        <v>LM5.X Content, Lab, REC 1, Cortex, TG</v>
      </c>
      <c r="D79">
        <v>1</v>
      </c>
      <c r="E79" t="str">
        <f t="shared" ref="E79:E103" si="25">"LM5.X, Lab, REC 1, Cortex, 30 students"</f>
        <v>LM5.X, Lab, REC 1, Cortex, 30 students</v>
      </c>
      <c r="F79">
        <v>999</v>
      </c>
      <c r="G79" t="str">
        <f t="shared" si="19"/>
        <v>Y</v>
      </c>
      <c r="H79" t="str">
        <f t="shared" si="20"/>
        <v>EA</v>
      </c>
      <c r="I79">
        <v>0</v>
      </c>
      <c r="J79">
        <v>0</v>
      </c>
      <c r="K79" t="str">
        <f t="shared" si="21"/>
        <v>Y</v>
      </c>
      <c r="L79">
        <v>0</v>
      </c>
      <c r="M79" t="str">
        <f t="shared" si="22"/>
        <v>NIS</v>
      </c>
      <c r="O79">
        <v>1</v>
      </c>
      <c r="P79" t="str">
        <f t="shared" si="18"/>
        <v>Active</v>
      </c>
      <c r="Q79" t="str">
        <f>"LM5.X Content, Lab, REC 1, Cortex, TG"</f>
        <v>LM5.X Content, Lab, REC 1, Cortex, TG</v>
      </c>
      <c r="S79" t="str">
        <f>"LM5.X Content, Lab, REC 1, Cortex, TG"</f>
        <v>LM5.X Content, Lab, REC 1, Cortex, TG</v>
      </c>
      <c r="T79">
        <v>0</v>
      </c>
      <c r="U79">
        <v>5</v>
      </c>
      <c r="V79">
        <v>5.2</v>
      </c>
      <c r="W79" t="str">
        <f t="shared" si="23"/>
        <v>rob</v>
      </c>
    </row>
    <row r="80" spans="1:23">
      <c r="A80" t="str">
        <f t="shared" si="24"/>
        <v>16-8105-1030</v>
      </c>
      <c r="B80" t="str">
        <f>"17-8105-0010"</f>
        <v>17-8105-0010</v>
      </c>
      <c r="C80" t="str">
        <f>"LM5.X Content, Lab, REC 1, Cortex, Unit 1"</f>
        <v>LM5.X Content, Lab, REC 1, Cortex, Unit 1</v>
      </c>
      <c r="D80">
        <v>1</v>
      </c>
      <c r="E80" t="str">
        <f t="shared" si="25"/>
        <v>LM5.X, Lab, REC 1, Cortex, 30 students</v>
      </c>
      <c r="F80">
        <v>999</v>
      </c>
      <c r="G80" t="str">
        <f t="shared" si="19"/>
        <v>Y</v>
      </c>
      <c r="H80" t="str">
        <f t="shared" si="20"/>
        <v>EA</v>
      </c>
      <c r="I80">
        <v>0</v>
      </c>
      <c r="J80">
        <v>0</v>
      </c>
      <c r="K80" t="str">
        <f t="shared" si="21"/>
        <v>Y</v>
      </c>
      <c r="L80">
        <v>0</v>
      </c>
      <c r="M80" t="str">
        <f t="shared" si="22"/>
        <v>NIS</v>
      </c>
      <c r="O80">
        <v>2</v>
      </c>
      <c r="P80" t="str">
        <f t="shared" si="18"/>
        <v>Active</v>
      </c>
      <c r="Q80" t="str">
        <f>"LM5.X Content, Lab, REC 1, Cortex, Unit 1"</f>
        <v>LM5.X Content, Lab, REC 1, Cortex, Unit 1</v>
      </c>
      <c r="S80" t="str">
        <f>"LM5.X Content, Lab, REC 1, Cortex, Unit 1"</f>
        <v>LM5.X Content, Lab, REC 1, Cortex, Unit 1</v>
      </c>
      <c r="T80">
        <v>0</v>
      </c>
      <c r="U80">
        <v>5</v>
      </c>
      <c r="V80">
        <v>5</v>
      </c>
      <c r="W80" t="str">
        <f t="shared" si="23"/>
        <v>rob</v>
      </c>
    </row>
    <row r="81" spans="1:23">
      <c r="A81" t="str">
        <f t="shared" si="24"/>
        <v>16-8105-1030</v>
      </c>
      <c r="B81" t="str">
        <f>"17-8105-0020"</f>
        <v>17-8105-0020</v>
      </c>
      <c r="C81" t="str">
        <f>"LM5.X Content, Lab, REC 1, Cortex, Unit 2"</f>
        <v>LM5.X Content, Lab, REC 1, Cortex, Unit 2</v>
      </c>
      <c r="D81">
        <v>1</v>
      </c>
      <c r="E81" t="str">
        <f t="shared" si="25"/>
        <v>LM5.X, Lab, REC 1, Cortex, 30 students</v>
      </c>
      <c r="F81">
        <v>999</v>
      </c>
      <c r="G81" t="str">
        <f t="shared" si="19"/>
        <v>Y</v>
      </c>
      <c r="H81" t="str">
        <f t="shared" si="20"/>
        <v>EA</v>
      </c>
      <c r="I81">
        <v>0</v>
      </c>
      <c r="J81">
        <v>0</v>
      </c>
      <c r="K81" t="str">
        <f t="shared" si="21"/>
        <v>Y</v>
      </c>
      <c r="L81">
        <v>0</v>
      </c>
      <c r="M81" t="str">
        <f t="shared" si="22"/>
        <v>NIS</v>
      </c>
      <c r="O81">
        <v>3</v>
      </c>
      <c r="P81" t="str">
        <f t="shared" si="18"/>
        <v>Active</v>
      </c>
      <c r="Q81" t="str">
        <f>"LM5.X Content, Lab, REC 1, Cortex, Unit 2"</f>
        <v>LM5.X Content, Lab, REC 1, Cortex, Unit 2</v>
      </c>
      <c r="S81" t="str">
        <f>"LM5.X Content, Lab, REC 1, Cortex, Unit 2"</f>
        <v>LM5.X Content, Lab, REC 1, Cortex, Unit 2</v>
      </c>
      <c r="T81">
        <v>0</v>
      </c>
      <c r="U81">
        <v>5</v>
      </c>
      <c r="V81">
        <v>5</v>
      </c>
      <c r="W81" t="str">
        <f t="shared" si="23"/>
        <v>rob</v>
      </c>
    </row>
    <row r="82" spans="1:23">
      <c r="A82" t="str">
        <f t="shared" si="24"/>
        <v>16-8105-1030</v>
      </c>
      <c r="B82" t="str">
        <f>"17-8105-0030"</f>
        <v>17-8105-0030</v>
      </c>
      <c r="C82" t="str">
        <f>"LM5.X Content, Lab, REC 1, Cortex, Unit 3"</f>
        <v>LM5.X Content, Lab, REC 1, Cortex, Unit 3</v>
      </c>
      <c r="D82">
        <v>1</v>
      </c>
      <c r="E82" t="str">
        <f t="shared" si="25"/>
        <v>LM5.X, Lab, REC 1, Cortex, 30 students</v>
      </c>
      <c r="F82">
        <v>999</v>
      </c>
      <c r="G82" t="str">
        <f t="shared" si="19"/>
        <v>Y</v>
      </c>
      <c r="H82" t="str">
        <f t="shared" si="20"/>
        <v>EA</v>
      </c>
      <c r="I82">
        <v>0</v>
      </c>
      <c r="J82">
        <v>0</v>
      </c>
      <c r="K82" t="str">
        <f t="shared" si="21"/>
        <v>Y</v>
      </c>
      <c r="L82">
        <v>0</v>
      </c>
      <c r="M82" t="str">
        <f t="shared" si="22"/>
        <v>NIS</v>
      </c>
      <c r="O82">
        <v>4</v>
      </c>
      <c r="P82" t="str">
        <f t="shared" si="18"/>
        <v>Active</v>
      </c>
      <c r="Q82" t="str">
        <f>"LM5.X Content, Lab, REC 1, Cortex, Unit 3"</f>
        <v>LM5.X Content, Lab, REC 1, Cortex, Unit 3</v>
      </c>
      <c r="S82" t="str">
        <f>"LM5.X Content, Lab, REC 1, Cortex, Unit 3"</f>
        <v>LM5.X Content, Lab, REC 1, Cortex, Unit 3</v>
      </c>
      <c r="T82">
        <v>0</v>
      </c>
      <c r="U82">
        <v>5</v>
      </c>
      <c r="V82">
        <v>5</v>
      </c>
      <c r="W82" t="str">
        <f t="shared" si="23"/>
        <v>rob</v>
      </c>
    </row>
    <row r="83" spans="1:23">
      <c r="A83" t="str">
        <f t="shared" si="24"/>
        <v>16-8105-1030</v>
      </c>
      <c r="B83" t="str">
        <f>"17-8105-0040"</f>
        <v>17-8105-0040</v>
      </c>
      <c r="C83" t="str">
        <f>"LM5.X Content, Lab, REC 1, Cortex, Unit 4"</f>
        <v>LM5.X Content, Lab, REC 1, Cortex, Unit 4</v>
      </c>
      <c r="D83">
        <v>1</v>
      </c>
      <c r="E83" t="str">
        <f t="shared" si="25"/>
        <v>LM5.X, Lab, REC 1, Cortex, 30 students</v>
      </c>
      <c r="F83">
        <v>999</v>
      </c>
      <c r="G83" t="str">
        <f t="shared" si="19"/>
        <v>Y</v>
      </c>
      <c r="H83" t="str">
        <f t="shared" si="20"/>
        <v>EA</v>
      </c>
      <c r="I83">
        <v>0</v>
      </c>
      <c r="J83">
        <v>0</v>
      </c>
      <c r="K83" t="str">
        <f t="shared" si="21"/>
        <v>Y</v>
      </c>
      <c r="L83">
        <v>0</v>
      </c>
      <c r="M83" t="str">
        <f t="shared" si="22"/>
        <v>NIS</v>
      </c>
      <c r="O83">
        <v>5</v>
      </c>
      <c r="P83" t="str">
        <f t="shared" si="18"/>
        <v>Active</v>
      </c>
      <c r="Q83" t="str">
        <f>"LM5.X Content, Lab, REC 1, Cortex, Unit 4"</f>
        <v>LM5.X Content, Lab, REC 1, Cortex, Unit 4</v>
      </c>
      <c r="S83" t="str">
        <f>"LM5.X Content, Lab, REC 1, Cortex, Unit 4"</f>
        <v>LM5.X Content, Lab, REC 1, Cortex, Unit 4</v>
      </c>
      <c r="T83">
        <v>0</v>
      </c>
      <c r="U83">
        <v>5</v>
      </c>
      <c r="V83">
        <v>5</v>
      </c>
      <c r="W83" t="str">
        <f t="shared" si="23"/>
        <v>rob</v>
      </c>
    </row>
    <row r="84" spans="1:23">
      <c r="A84" t="str">
        <f t="shared" si="24"/>
        <v>16-8105-1030</v>
      </c>
      <c r="B84" t="str">
        <f>"17-8105-0050"</f>
        <v>17-8105-0050</v>
      </c>
      <c r="C84" t="str">
        <f>"LM5.X Content, Lab, REC 1, Cortex, Unit 5"</f>
        <v>LM5.X Content, Lab, REC 1, Cortex, Unit 5</v>
      </c>
      <c r="D84">
        <v>1</v>
      </c>
      <c r="E84" t="str">
        <f t="shared" si="25"/>
        <v>LM5.X, Lab, REC 1, Cortex, 30 students</v>
      </c>
      <c r="F84">
        <v>999</v>
      </c>
      <c r="G84" t="str">
        <f t="shared" si="19"/>
        <v>Y</v>
      </c>
      <c r="H84" t="str">
        <f t="shared" si="20"/>
        <v>EA</v>
      </c>
      <c r="I84">
        <v>0</v>
      </c>
      <c r="J84">
        <v>0</v>
      </c>
      <c r="K84" t="str">
        <f t="shared" si="21"/>
        <v>Y</v>
      </c>
      <c r="L84">
        <v>0</v>
      </c>
      <c r="M84" t="str">
        <f t="shared" si="22"/>
        <v>NIS</v>
      </c>
      <c r="O84">
        <v>6</v>
      </c>
      <c r="P84" t="str">
        <f t="shared" si="18"/>
        <v>Active</v>
      </c>
      <c r="Q84" t="str">
        <f>"LM5.X Content, Lab, REC 1, Cortex, Unit 5"</f>
        <v>LM5.X Content, Lab, REC 1, Cortex, Unit 5</v>
      </c>
      <c r="S84" t="str">
        <f>"LM5.X Content, Lab, REC 1, Cortex, Unit 5"</f>
        <v>LM5.X Content, Lab, REC 1, Cortex, Unit 5</v>
      </c>
      <c r="T84">
        <v>0</v>
      </c>
      <c r="U84">
        <v>5</v>
      </c>
      <c r="V84">
        <v>5</v>
      </c>
      <c r="W84" t="str">
        <f t="shared" si="23"/>
        <v>rob</v>
      </c>
    </row>
    <row r="85" spans="1:23">
      <c r="A85" t="str">
        <f t="shared" si="24"/>
        <v>16-8105-1030</v>
      </c>
      <c r="B85" t="str">
        <f>"17-8105-0060"</f>
        <v>17-8105-0060</v>
      </c>
      <c r="C85" t="str">
        <f>"LM5.X Content, Lab, REC 1, Cortex, Unit 6"</f>
        <v>LM5.X Content, Lab, REC 1, Cortex, Unit 6</v>
      </c>
      <c r="D85">
        <v>1</v>
      </c>
      <c r="E85" t="str">
        <f t="shared" si="25"/>
        <v>LM5.X, Lab, REC 1, Cortex, 30 students</v>
      </c>
      <c r="F85">
        <v>999</v>
      </c>
      <c r="G85" t="str">
        <f t="shared" si="19"/>
        <v>Y</v>
      </c>
      <c r="H85" t="str">
        <f t="shared" si="20"/>
        <v>EA</v>
      </c>
      <c r="I85">
        <v>0</v>
      </c>
      <c r="J85">
        <v>0</v>
      </c>
      <c r="K85" t="str">
        <f t="shared" si="21"/>
        <v>Y</v>
      </c>
      <c r="L85">
        <v>0</v>
      </c>
      <c r="M85" t="str">
        <f t="shared" si="22"/>
        <v>NIS</v>
      </c>
      <c r="O85">
        <v>7</v>
      </c>
      <c r="P85" t="str">
        <f t="shared" si="18"/>
        <v>Active</v>
      </c>
      <c r="Q85" t="str">
        <f>"LM5.X Content, Lab, REC 1, Cortex, Unit 6"</f>
        <v>LM5.X Content, Lab, REC 1, Cortex, Unit 6</v>
      </c>
      <c r="S85" t="str">
        <f>"LM5.X Content, Lab, REC 1, Cortex, Unit 6"</f>
        <v>LM5.X Content, Lab, REC 1, Cortex, Unit 6</v>
      </c>
      <c r="T85">
        <v>0</v>
      </c>
      <c r="U85">
        <v>5</v>
      </c>
      <c r="V85">
        <v>5</v>
      </c>
      <c r="W85" t="str">
        <f t="shared" si="23"/>
        <v>rob</v>
      </c>
    </row>
    <row r="86" spans="1:23">
      <c r="A86" t="str">
        <f t="shared" si="24"/>
        <v>16-8105-1030</v>
      </c>
      <c r="B86" t="str">
        <f>"63-2060-4030"</f>
        <v>63-2060-4030</v>
      </c>
      <c r="C86" t="str">
        <f>"easyC V4 for Cortex, V4.0X 30 seat license"</f>
        <v>easyC V4 for Cortex, V4.0X 30 seat license</v>
      </c>
      <c r="D86">
        <v>1</v>
      </c>
      <c r="E86" t="str">
        <f t="shared" si="25"/>
        <v>LM5.X, Lab, REC 1, Cortex, 30 students</v>
      </c>
      <c r="F86">
        <v>999</v>
      </c>
      <c r="G86" t="str">
        <f t="shared" si="19"/>
        <v>Y</v>
      </c>
      <c r="H86" t="str">
        <f t="shared" si="20"/>
        <v>EA</v>
      </c>
      <c r="I86">
        <v>0</v>
      </c>
      <c r="J86">
        <v>0</v>
      </c>
      <c r="K86" t="str">
        <f t="shared" si="21"/>
        <v>Y</v>
      </c>
      <c r="L86">
        <v>0</v>
      </c>
      <c r="M86" t="str">
        <f t="shared" si="22"/>
        <v>NIS</v>
      </c>
      <c r="O86">
        <v>8</v>
      </c>
      <c r="P86" t="str">
        <f t="shared" si="18"/>
        <v>Active</v>
      </c>
      <c r="Q86" t="str">
        <f>"easyC V4 for Cortex, V4.0X 30 seat license"</f>
        <v>easyC V4 for Cortex, V4.0X 30 seat license</v>
      </c>
      <c r="S86" t="str">
        <f>"easyC V4 for Cortex, V4.0X 30 seat license"</f>
        <v>easyC V4 for Cortex, V4.0X 30 seat license</v>
      </c>
      <c r="T86">
        <v>0</v>
      </c>
      <c r="U86">
        <v>5</v>
      </c>
      <c r="V86">
        <v>5.15</v>
      </c>
      <c r="W86" t="str">
        <f t="shared" si="23"/>
        <v>rob</v>
      </c>
    </row>
    <row r="87" spans="1:23">
      <c r="A87" t="str">
        <f t="shared" si="24"/>
        <v>16-8105-1030</v>
      </c>
      <c r="B87" t="str">
        <f>"31-1700-0025"</f>
        <v>31-1700-0025</v>
      </c>
      <c r="C87" t="str">
        <f>"REC, 12"" Ruler"</f>
        <v>REC, 12" Ruler</v>
      </c>
      <c r="D87">
        <v>16</v>
      </c>
      <c r="E87" t="str">
        <f t="shared" si="25"/>
        <v>LM5.X, Lab, REC 1, Cortex, 30 students</v>
      </c>
      <c r="F87">
        <v>999</v>
      </c>
      <c r="G87" t="str">
        <f t="shared" si="19"/>
        <v>Y</v>
      </c>
      <c r="H87" t="str">
        <f t="shared" si="20"/>
        <v>EA</v>
      </c>
      <c r="I87">
        <v>0</v>
      </c>
      <c r="J87">
        <v>0</v>
      </c>
      <c r="K87" t="str">
        <f t="shared" si="21"/>
        <v>Y</v>
      </c>
      <c r="L87">
        <v>0</v>
      </c>
      <c r="M87" t="str">
        <f t="shared" si="22"/>
        <v>NIS</v>
      </c>
      <c r="O87">
        <v>9</v>
      </c>
      <c r="P87" t="str">
        <f t="shared" si="18"/>
        <v>Active</v>
      </c>
      <c r="Q87" t="str">
        <f>"REC, 12"" Ruler"</f>
        <v>REC, 12" Ruler</v>
      </c>
      <c r="S87" t="str">
        <f>"REC, 12"" Ruler"</f>
        <v>REC, 12" Ruler</v>
      </c>
      <c r="T87">
        <v>1.88</v>
      </c>
      <c r="U87">
        <v>1.19</v>
      </c>
      <c r="V87">
        <v>1.35</v>
      </c>
      <c r="W87" t="str">
        <f t="shared" si="23"/>
        <v>rob</v>
      </c>
    </row>
    <row r="88" spans="1:23">
      <c r="A88" t="str">
        <f t="shared" si="24"/>
        <v>16-8105-1030</v>
      </c>
      <c r="B88" t="str">
        <f>"31-1800-0000"</f>
        <v>31-1800-0000</v>
      </c>
      <c r="C88" t="str">
        <f>"REC, Protractor, General #29"</f>
        <v>REC, Protractor, General #29</v>
      </c>
      <c r="D88">
        <v>16</v>
      </c>
      <c r="E88" t="str">
        <f t="shared" si="25"/>
        <v>LM5.X, Lab, REC 1, Cortex, 30 students</v>
      </c>
      <c r="F88">
        <v>999</v>
      </c>
      <c r="G88" t="str">
        <f t="shared" si="19"/>
        <v>Y</v>
      </c>
      <c r="H88" t="str">
        <f t="shared" si="20"/>
        <v>EA</v>
      </c>
      <c r="I88">
        <v>0</v>
      </c>
      <c r="J88">
        <v>0</v>
      </c>
      <c r="K88" t="str">
        <f t="shared" si="21"/>
        <v>Y</v>
      </c>
      <c r="L88">
        <v>0</v>
      </c>
      <c r="M88" t="str">
        <f t="shared" si="22"/>
        <v>NIS</v>
      </c>
      <c r="O88">
        <v>10</v>
      </c>
      <c r="P88" t="str">
        <f t="shared" si="18"/>
        <v>Active</v>
      </c>
      <c r="Q88" t="str">
        <f>"REC, Protractor, General #29"</f>
        <v>REC, Protractor, General #29</v>
      </c>
      <c r="S88" t="str">
        <f>"REC, Protractor, General #29"</f>
        <v>REC, Protractor, General #29</v>
      </c>
      <c r="T88">
        <v>6.58</v>
      </c>
      <c r="U88">
        <v>7.34</v>
      </c>
      <c r="V88">
        <v>8.34</v>
      </c>
      <c r="W88" t="str">
        <f t="shared" si="23"/>
        <v>rob</v>
      </c>
    </row>
    <row r="89" spans="1:23">
      <c r="A89" t="str">
        <f t="shared" si="24"/>
        <v>16-8105-1030</v>
      </c>
      <c r="B89" t="str">
        <f>"31-1800-0001"</f>
        <v>31-1800-0001</v>
      </c>
      <c r="C89" t="str">
        <f>"REC, Stop Watch, Tenths/Second"</f>
        <v>REC, Stop Watch, Tenths/Second</v>
      </c>
      <c r="D89">
        <v>16</v>
      </c>
      <c r="E89" t="str">
        <f t="shared" si="25"/>
        <v>LM5.X, Lab, REC 1, Cortex, 30 students</v>
      </c>
      <c r="F89">
        <v>999</v>
      </c>
      <c r="G89" t="str">
        <f t="shared" si="19"/>
        <v>Y</v>
      </c>
      <c r="H89" t="str">
        <f t="shared" si="20"/>
        <v>EA</v>
      </c>
      <c r="I89">
        <v>0</v>
      </c>
      <c r="J89">
        <v>0</v>
      </c>
      <c r="K89" t="str">
        <f t="shared" si="21"/>
        <v>Y</v>
      </c>
      <c r="L89">
        <v>0</v>
      </c>
      <c r="M89" t="str">
        <f t="shared" si="22"/>
        <v>NIS</v>
      </c>
      <c r="O89">
        <v>11</v>
      </c>
      <c r="P89" t="str">
        <f t="shared" si="18"/>
        <v>Active</v>
      </c>
      <c r="Q89" t="str">
        <f>"REC, Stop Watch, Tenths/Second"</f>
        <v>REC, Stop Watch, Tenths/Second</v>
      </c>
      <c r="S89" t="str">
        <f>"REC, Stop Watch, Tenths/Second"</f>
        <v>REC, Stop Watch, Tenths/Second</v>
      </c>
      <c r="T89">
        <v>11.35</v>
      </c>
      <c r="U89">
        <v>10.79</v>
      </c>
      <c r="V89">
        <v>12.26</v>
      </c>
      <c r="W89" t="str">
        <f t="shared" si="23"/>
        <v>rob</v>
      </c>
    </row>
    <row r="90" spans="1:23">
      <c r="A90" t="str">
        <f t="shared" si="24"/>
        <v>16-8105-1030</v>
      </c>
      <c r="B90" t="str">
        <f>"31-1800-0002"</f>
        <v>31-1800-0002</v>
      </c>
      <c r="C90" t="str">
        <f>"REC, Electrical Tape, Black,3/4"" Wide"</f>
        <v>REC, Electrical Tape, Black,3/4" Wide</v>
      </c>
      <c r="D90">
        <v>16</v>
      </c>
      <c r="E90" t="str">
        <f t="shared" si="25"/>
        <v>LM5.X, Lab, REC 1, Cortex, 30 students</v>
      </c>
      <c r="F90">
        <v>999</v>
      </c>
      <c r="G90" t="str">
        <f t="shared" si="19"/>
        <v>Y</v>
      </c>
      <c r="H90" t="str">
        <f t="shared" si="20"/>
        <v>EA</v>
      </c>
      <c r="I90">
        <v>0</v>
      </c>
      <c r="J90">
        <v>0</v>
      </c>
      <c r="K90" t="str">
        <f t="shared" si="21"/>
        <v>Y</v>
      </c>
      <c r="L90">
        <v>0</v>
      </c>
      <c r="M90" t="str">
        <f t="shared" si="22"/>
        <v>NIS</v>
      </c>
      <c r="O90">
        <v>12</v>
      </c>
      <c r="P90" t="str">
        <f t="shared" si="18"/>
        <v>Active</v>
      </c>
      <c r="Q90" t="str">
        <f>"REC, Electrical Tape, Black,3/4"" Wide"</f>
        <v>REC, Electrical Tape, Black,3/4" Wide</v>
      </c>
      <c r="S90" t="str">
        <f>"REC, Electrical Tape, Black,3/4"" Wide"</f>
        <v>REC, Electrical Tape, Black,3/4" Wide</v>
      </c>
      <c r="T90">
        <v>0.89</v>
      </c>
      <c r="U90">
        <v>2.1</v>
      </c>
      <c r="V90">
        <v>2.39</v>
      </c>
      <c r="W90" t="str">
        <f t="shared" si="23"/>
        <v>rob</v>
      </c>
    </row>
    <row r="91" spans="1:23">
      <c r="A91" t="str">
        <f t="shared" si="24"/>
        <v>16-8105-1030</v>
      </c>
      <c r="B91" t="str">
        <f>"31-1800-0003"</f>
        <v>31-1800-0003</v>
      </c>
      <c r="C91" t="str">
        <f>"REC, Masking Tape, 1"" Wide"</f>
        <v>REC, Masking Tape, 1" Wide</v>
      </c>
      <c r="D91">
        <v>16</v>
      </c>
      <c r="E91" t="str">
        <f t="shared" si="25"/>
        <v>LM5.X, Lab, REC 1, Cortex, 30 students</v>
      </c>
      <c r="F91">
        <v>999</v>
      </c>
      <c r="G91" t="str">
        <f t="shared" si="19"/>
        <v>Y</v>
      </c>
      <c r="H91" t="str">
        <f t="shared" si="20"/>
        <v>EA</v>
      </c>
      <c r="I91">
        <v>0</v>
      </c>
      <c r="J91">
        <v>0</v>
      </c>
      <c r="K91" t="str">
        <f t="shared" si="21"/>
        <v>Y</v>
      </c>
      <c r="L91">
        <v>0</v>
      </c>
      <c r="M91" t="str">
        <f t="shared" si="22"/>
        <v>NIS</v>
      </c>
      <c r="O91">
        <v>13</v>
      </c>
      <c r="P91" t="str">
        <f t="shared" si="18"/>
        <v>Active</v>
      </c>
      <c r="Q91" t="str">
        <f>"REC, Masking Tape, 1"" Wide"</f>
        <v>REC, Masking Tape, 1" Wide</v>
      </c>
      <c r="S91" t="str">
        <f>"REC, Masking Tape, 1"" Wide"</f>
        <v>REC, Masking Tape, 1" Wide</v>
      </c>
      <c r="T91">
        <v>1.73</v>
      </c>
      <c r="U91">
        <v>2.52</v>
      </c>
      <c r="V91">
        <v>2.86</v>
      </c>
      <c r="W91" t="str">
        <f t="shared" si="23"/>
        <v>rob</v>
      </c>
    </row>
    <row r="92" spans="1:23">
      <c r="A92" t="str">
        <f t="shared" si="24"/>
        <v>16-8105-1030</v>
      </c>
      <c r="B92" t="str">
        <f>"31-1800-0005"</f>
        <v>31-1800-0005</v>
      </c>
      <c r="C92" t="str">
        <f>"REC, String, Construction Grade Line"</f>
        <v>REC, String, Construction Grade Line</v>
      </c>
      <c r="D92">
        <v>1</v>
      </c>
      <c r="E92" t="str">
        <f t="shared" si="25"/>
        <v>LM5.X, Lab, REC 1, Cortex, 30 students</v>
      </c>
      <c r="F92">
        <v>999</v>
      </c>
      <c r="G92" t="str">
        <f t="shared" si="19"/>
        <v>Y</v>
      </c>
      <c r="H92" t="str">
        <f t="shared" si="20"/>
        <v>EA</v>
      </c>
      <c r="I92">
        <v>0</v>
      </c>
      <c r="J92">
        <v>0</v>
      </c>
      <c r="K92" t="str">
        <f t="shared" si="21"/>
        <v>Y</v>
      </c>
      <c r="L92">
        <v>0</v>
      </c>
      <c r="M92" t="str">
        <f t="shared" si="22"/>
        <v>NIS</v>
      </c>
      <c r="O92">
        <v>14</v>
      </c>
      <c r="P92" t="str">
        <f t="shared" ref="P92:P120" si="26">"Active"</f>
        <v>Active</v>
      </c>
      <c r="Q92" t="str">
        <f>"REC, String, Construction Grade Line"</f>
        <v>REC, String, Construction Grade Line</v>
      </c>
      <c r="S92" t="str">
        <f>"REC, String, Construction Grade Line"</f>
        <v>REC, String, Construction Grade Line</v>
      </c>
      <c r="T92">
        <v>6.41</v>
      </c>
      <c r="U92">
        <v>9.8800000000000008</v>
      </c>
      <c r="V92">
        <v>11.8</v>
      </c>
      <c r="W92" t="str">
        <f t="shared" si="23"/>
        <v>rob</v>
      </c>
    </row>
    <row r="93" spans="1:23">
      <c r="A93" t="str">
        <f t="shared" si="24"/>
        <v>16-8105-1030</v>
      </c>
      <c r="B93" t="str">
        <f>"31-1800-0006"</f>
        <v>31-1800-0006</v>
      </c>
      <c r="C93" t="str">
        <f>"REC, 5lb Plate Weight, Olympic,  2"" ID"</f>
        <v>REC, 5lb Plate Weight, Olympic,  2" ID</v>
      </c>
      <c r="D93">
        <v>24</v>
      </c>
      <c r="E93" t="str">
        <f t="shared" si="25"/>
        <v>LM5.X, Lab, REC 1, Cortex, 30 students</v>
      </c>
      <c r="F93">
        <v>999</v>
      </c>
      <c r="G93" t="str">
        <f t="shared" si="19"/>
        <v>Y</v>
      </c>
      <c r="H93" t="str">
        <f t="shared" si="20"/>
        <v>EA</v>
      </c>
      <c r="I93">
        <v>0</v>
      </c>
      <c r="J93">
        <v>0</v>
      </c>
      <c r="K93" t="str">
        <f t="shared" si="21"/>
        <v>Y</v>
      </c>
      <c r="L93">
        <v>0</v>
      </c>
      <c r="M93" t="str">
        <f t="shared" si="22"/>
        <v>NIS</v>
      </c>
      <c r="O93">
        <v>15</v>
      </c>
      <c r="P93" t="str">
        <f t="shared" si="26"/>
        <v>Active</v>
      </c>
      <c r="Q93" t="str">
        <f>"REC, 5lb Plate Weight, Olympic,  2"" ID"</f>
        <v>REC, 5lb Plate Weight, Olympic,  2" ID</v>
      </c>
      <c r="S93" t="str">
        <f>"REC, 5lb Plate Weight, Olympic,  2"" ID"</f>
        <v>REC, 5lb Plate Weight, Olympic,  2" ID</v>
      </c>
      <c r="T93">
        <v>8.06</v>
      </c>
      <c r="U93">
        <v>5.43</v>
      </c>
      <c r="V93">
        <v>6.17</v>
      </c>
      <c r="W93" t="str">
        <f t="shared" si="23"/>
        <v>rob</v>
      </c>
    </row>
    <row r="94" spans="1:23">
      <c r="A94" t="str">
        <f t="shared" si="24"/>
        <v>16-8105-1030</v>
      </c>
      <c r="B94" t="str">
        <f>"31-1800-0007"</f>
        <v>31-1800-0007</v>
      </c>
      <c r="C94" t="str">
        <f>"REC, Dry Erase Marker, Blk, 12 Pack"</f>
        <v>REC, Dry Erase Marker, Blk, 12 Pack</v>
      </c>
      <c r="D94">
        <v>2</v>
      </c>
      <c r="E94" t="str">
        <f t="shared" si="25"/>
        <v>LM5.X, Lab, REC 1, Cortex, 30 students</v>
      </c>
      <c r="F94">
        <v>999</v>
      </c>
      <c r="G94" t="str">
        <f t="shared" si="19"/>
        <v>Y</v>
      </c>
      <c r="H94" t="str">
        <f t="shared" si="20"/>
        <v>EA</v>
      </c>
      <c r="I94">
        <v>0</v>
      </c>
      <c r="J94">
        <v>0</v>
      </c>
      <c r="K94" t="str">
        <f t="shared" si="21"/>
        <v>Y</v>
      </c>
      <c r="L94">
        <v>0</v>
      </c>
      <c r="M94" t="str">
        <f t="shared" si="22"/>
        <v>NIS</v>
      </c>
      <c r="O94">
        <v>16</v>
      </c>
      <c r="P94" t="str">
        <f t="shared" si="26"/>
        <v>Active</v>
      </c>
      <c r="Q94" t="str">
        <f>"REC, Dry Erase Marker, Blk, 12 Pack"</f>
        <v>REC, Dry Erase Marker, Blk, 12 Pack</v>
      </c>
      <c r="S94" t="str">
        <f>"REC, Dry Erase Marker, Blk, 12 Pack"</f>
        <v>REC, Dry Erase Marker, Blk, 12 Pack</v>
      </c>
      <c r="T94">
        <v>14.87</v>
      </c>
      <c r="U94">
        <v>13.56</v>
      </c>
      <c r="V94">
        <v>16.07</v>
      </c>
      <c r="W94" t="str">
        <f t="shared" si="23"/>
        <v>rob</v>
      </c>
    </row>
    <row r="95" spans="1:23">
      <c r="A95" t="str">
        <f t="shared" si="24"/>
        <v>16-8105-1030</v>
      </c>
      <c r="B95" t="str">
        <f>"31-1800-0008"</f>
        <v>31-1800-0008</v>
      </c>
      <c r="C95" t="str">
        <f>"REC, Dry Erase Marker, Blue, 12 Pack"</f>
        <v>REC, Dry Erase Marker, Blue, 12 Pack</v>
      </c>
      <c r="D95">
        <v>2</v>
      </c>
      <c r="E95" t="str">
        <f t="shared" si="25"/>
        <v>LM5.X, Lab, REC 1, Cortex, 30 students</v>
      </c>
      <c r="F95">
        <v>999</v>
      </c>
      <c r="G95" t="str">
        <f t="shared" si="19"/>
        <v>Y</v>
      </c>
      <c r="H95" t="str">
        <f t="shared" si="20"/>
        <v>EA</v>
      </c>
      <c r="I95">
        <v>0</v>
      </c>
      <c r="J95">
        <v>0</v>
      </c>
      <c r="K95" t="str">
        <f t="shared" si="21"/>
        <v>Y</v>
      </c>
      <c r="L95">
        <v>0</v>
      </c>
      <c r="M95" t="str">
        <f t="shared" si="22"/>
        <v>NIS</v>
      </c>
      <c r="O95">
        <v>17</v>
      </c>
      <c r="P95" t="str">
        <f t="shared" si="26"/>
        <v>Active</v>
      </c>
      <c r="Q95" t="str">
        <f>"REC, Dry Erase Marker, Blue, 12 Pack"</f>
        <v>REC, Dry Erase Marker, Blue, 12 Pack</v>
      </c>
      <c r="S95" t="str">
        <f>"REC, Dry Erase Marker, Blue, 12 Pack"</f>
        <v>REC, Dry Erase Marker, Blue, 12 Pack</v>
      </c>
      <c r="T95">
        <v>14.87</v>
      </c>
      <c r="U95">
        <v>13.6</v>
      </c>
      <c r="V95">
        <v>16.07</v>
      </c>
      <c r="W95" t="str">
        <f t="shared" si="23"/>
        <v>rob</v>
      </c>
    </row>
    <row r="96" spans="1:23">
      <c r="A96" t="str">
        <f t="shared" si="24"/>
        <v>16-8105-1030</v>
      </c>
      <c r="B96" t="str">
        <f>"31-1800-0009"</f>
        <v>31-1800-0009</v>
      </c>
      <c r="C96" t="str">
        <f>"REC, Elastic Band, #16, 1/4lb Bag"</f>
        <v>REC, Elastic Band, #16, 1/4lb Bag</v>
      </c>
      <c r="D96">
        <v>1</v>
      </c>
      <c r="E96" t="str">
        <f t="shared" si="25"/>
        <v>LM5.X, Lab, REC 1, Cortex, 30 students</v>
      </c>
      <c r="F96">
        <v>999</v>
      </c>
      <c r="G96" t="str">
        <f t="shared" si="19"/>
        <v>Y</v>
      </c>
      <c r="H96" t="str">
        <f t="shared" si="20"/>
        <v>EA</v>
      </c>
      <c r="I96">
        <v>0</v>
      </c>
      <c r="J96">
        <v>0</v>
      </c>
      <c r="K96" t="str">
        <f t="shared" si="21"/>
        <v>Y</v>
      </c>
      <c r="L96">
        <v>0</v>
      </c>
      <c r="M96" t="str">
        <f t="shared" si="22"/>
        <v>NIS</v>
      </c>
      <c r="O96">
        <v>18</v>
      </c>
      <c r="P96" t="str">
        <f t="shared" si="26"/>
        <v>Active</v>
      </c>
      <c r="Q96" t="str">
        <f>"REC, Elastic Band, #16, 1/4lb Bag"</f>
        <v>REC, Elastic Band, #16, 1/4lb Bag</v>
      </c>
      <c r="S96" t="str">
        <f>"REC, Elastic Band, #16, 1/4lb Bag"</f>
        <v>REC, Elastic Band, #16, 1/4lb Bag</v>
      </c>
      <c r="T96">
        <v>1.37</v>
      </c>
      <c r="U96">
        <v>0.65</v>
      </c>
      <c r="V96">
        <v>0.75</v>
      </c>
      <c r="W96" t="str">
        <f t="shared" si="23"/>
        <v>rob</v>
      </c>
    </row>
    <row r="97" spans="1:23">
      <c r="A97" t="str">
        <f t="shared" si="24"/>
        <v>16-8105-1030</v>
      </c>
      <c r="B97" t="str">
        <f>"31-1800-0010"</f>
        <v>31-1800-0010</v>
      </c>
      <c r="C97" t="str">
        <f>"REC, 8-32 x 1"" BHCS, Box of 100"</f>
        <v>REC, 8-32 x 1" BHCS, Box of 100</v>
      </c>
      <c r="D97">
        <v>1</v>
      </c>
      <c r="E97" t="str">
        <f t="shared" si="25"/>
        <v>LM5.X, Lab, REC 1, Cortex, 30 students</v>
      </c>
      <c r="F97">
        <v>999</v>
      </c>
      <c r="G97" t="str">
        <f t="shared" si="19"/>
        <v>Y</v>
      </c>
      <c r="H97" t="str">
        <f t="shared" si="20"/>
        <v>EA</v>
      </c>
      <c r="I97">
        <v>0</v>
      </c>
      <c r="J97">
        <v>0</v>
      </c>
      <c r="K97" t="str">
        <f t="shared" si="21"/>
        <v>Y</v>
      </c>
      <c r="L97">
        <v>0</v>
      </c>
      <c r="M97" t="str">
        <f t="shared" si="22"/>
        <v>NIS</v>
      </c>
      <c r="O97">
        <v>19</v>
      </c>
      <c r="P97" t="str">
        <f t="shared" si="26"/>
        <v>Active</v>
      </c>
      <c r="Q97" t="str">
        <f>"REC, 8-32 x 1"" BHCS, Box of 100"</f>
        <v>REC, 8-32 x 1" BHCS, Box of 100</v>
      </c>
      <c r="S97" t="str">
        <f>"REC, 8-32 x 1"" BHCS, Box of 100"</f>
        <v>REC, 8-32 x 1" BHCS, Box of 100</v>
      </c>
      <c r="T97">
        <v>9.4499999999999993</v>
      </c>
      <c r="U97">
        <v>10.59</v>
      </c>
      <c r="V97">
        <v>12.56</v>
      </c>
      <c r="W97" t="str">
        <f t="shared" si="23"/>
        <v>rob</v>
      </c>
    </row>
    <row r="98" spans="1:23">
      <c r="A98" t="str">
        <f t="shared" si="24"/>
        <v>16-8105-1030</v>
      </c>
      <c r="B98" t="str">
        <f>"31-1800-0011"</f>
        <v>31-1800-0011</v>
      </c>
      <c r="C98" t="str">
        <f>"REC, Composition Book, Engineering Notebook"</f>
        <v>REC, Composition Book, Engineering Notebook</v>
      </c>
      <c r="D98">
        <v>31</v>
      </c>
      <c r="E98" t="str">
        <f t="shared" si="25"/>
        <v>LM5.X, Lab, REC 1, Cortex, 30 students</v>
      </c>
      <c r="F98">
        <v>999</v>
      </c>
      <c r="G98" t="str">
        <f t="shared" si="19"/>
        <v>Y</v>
      </c>
      <c r="H98" t="str">
        <f t="shared" ref="H98:H129" si="27">"EA"</f>
        <v>EA</v>
      </c>
      <c r="I98">
        <v>0</v>
      </c>
      <c r="J98">
        <v>0</v>
      </c>
      <c r="K98" t="str">
        <f t="shared" si="21"/>
        <v>Y</v>
      </c>
      <c r="L98">
        <v>0</v>
      </c>
      <c r="M98" t="str">
        <f t="shared" si="22"/>
        <v>NIS</v>
      </c>
      <c r="O98">
        <v>20</v>
      </c>
      <c r="P98" t="str">
        <f t="shared" si="26"/>
        <v>Active</v>
      </c>
      <c r="Q98" t="str">
        <f>"REC, Composition Book, Engineering Notebook"</f>
        <v>REC, Composition Book, Engineering Notebook</v>
      </c>
      <c r="S98" t="str">
        <f>"REC, Composition Book, Engineering Notebook"</f>
        <v>REC, Composition Book, Engineering Notebook</v>
      </c>
      <c r="T98">
        <v>1.07</v>
      </c>
      <c r="U98">
        <v>1.8</v>
      </c>
      <c r="V98">
        <v>2.0499999999999998</v>
      </c>
      <c r="W98" t="str">
        <f t="shared" ref="W98:W134" si="28">"rob"</f>
        <v>rob</v>
      </c>
    </row>
    <row r="99" spans="1:23">
      <c r="A99" t="str">
        <f t="shared" si="24"/>
        <v>16-8105-1030</v>
      </c>
      <c r="B99" t="str">
        <f>"31-1800-0012"</f>
        <v>31-1800-0012</v>
      </c>
      <c r="C99" t="str">
        <f>"REC, 3 Ring Binder, 1"""</f>
        <v>REC, 3 Ring Binder, 1"</v>
      </c>
      <c r="D99">
        <v>31</v>
      </c>
      <c r="E99" t="str">
        <f t="shared" si="25"/>
        <v>LM5.X, Lab, REC 1, Cortex, 30 students</v>
      </c>
      <c r="F99">
        <v>999</v>
      </c>
      <c r="G99" t="str">
        <f t="shared" si="19"/>
        <v>Y</v>
      </c>
      <c r="H99" t="str">
        <f t="shared" si="27"/>
        <v>EA</v>
      </c>
      <c r="I99">
        <v>0</v>
      </c>
      <c r="J99">
        <v>0</v>
      </c>
      <c r="K99" t="str">
        <f t="shared" si="21"/>
        <v>Y</v>
      </c>
      <c r="L99">
        <v>0</v>
      </c>
      <c r="M99" t="str">
        <f t="shared" si="22"/>
        <v>NIS</v>
      </c>
      <c r="O99">
        <v>21</v>
      </c>
      <c r="P99" t="str">
        <f t="shared" si="26"/>
        <v>Active</v>
      </c>
      <c r="Q99" t="str">
        <f>"REC, 3 Ring Binder, 1"""</f>
        <v>REC, 3 Ring Binder, 1"</v>
      </c>
      <c r="S99" t="str">
        <f>"REC, 3 Ring Binder, 1"""</f>
        <v>REC, 3 Ring Binder, 1"</v>
      </c>
      <c r="T99">
        <v>2.2400000000000002</v>
      </c>
      <c r="U99">
        <v>2.75</v>
      </c>
      <c r="V99">
        <v>3.12</v>
      </c>
      <c r="W99" t="str">
        <f t="shared" si="28"/>
        <v>rob</v>
      </c>
    </row>
    <row r="100" spans="1:23">
      <c r="A100" t="str">
        <f t="shared" si="24"/>
        <v>16-8105-1030</v>
      </c>
      <c r="B100" t="str">
        <f>"31-1800-0013"</f>
        <v>31-1800-0013</v>
      </c>
      <c r="C100" t="str">
        <f>"REC, Tape Measure, 12 ft, Single Scale"</f>
        <v>REC, Tape Measure, 12 ft, Single Scale</v>
      </c>
      <c r="D100">
        <v>16</v>
      </c>
      <c r="E100" t="str">
        <f t="shared" si="25"/>
        <v>LM5.X, Lab, REC 1, Cortex, 30 students</v>
      </c>
      <c r="F100">
        <v>999</v>
      </c>
      <c r="G100" t="str">
        <f t="shared" si="19"/>
        <v>Y</v>
      </c>
      <c r="H100" t="str">
        <f t="shared" si="27"/>
        <v>EA</v>
      </c>
      <c r="I100">
        <v>0</v>
      </c>
      <c r="J100">
        <v>0</v>
      </c>
      <c r="K100" t="str">
        <f t="shared" si="21"/>
        <v>Y</v>
      </c>
      <c r="L100">
        <v>0</v>
      </c>
      <c r="M100" t="str">
        <f t="shared" si="22"/>
        <v>NIS</v>
      </c>
      <c r="O100">
        <v>22</v>
      </c>
      <c r="P100" t="str">
        <f t="shared" si="26"/>
        <v>Active</v>
      </c>
      <c r="Q100" t="str">
        <f>"REC, Tape Measure, 12 ft, Single Scale"</f>
        <v>REC, Tape Measure, 12 ft, Single Scale</v>
      </c>
      <c r="S100" t="str">
        <f>"REC, Tape Measure, 12 ft, Single Scale"</f>
        <v>REC, Tape Measure, 12 ft, Single Scale</v>
      </c>
      <c r="T100">
        <v>2.57</v>
      </c>
      <c r="U100">
        <v>1.91</v>
      </c>
      <c r="V100">
        <v>2.17</v>
      </c>
      <c r="W100" t="str">
        <f t="shared" si="28"/>
        <v>rob</v>
      </c>
    </row>
    <row r="101" spans="1:23">
      <c r="A101" t="str">
        <f t="shared" si="24"/>
        <v>16-8105-1030</v>
      </c>
      <c r="B101" t="str">
        <f>"39-0000-0088"</f>
        <v>39-0000-0088</v>
      </c>
      <c r="C101" t="str">
        <f>"REC, Precision Scale, 10 lbs x 0.1 oz"</f>
        <v>REC, Precision Scale, 10 lbs x 0.1 oz</v>
      </c>
      <c r="D101">
        <v>1</v>
      </c>
      <c r="E101" t="str">
        <f t="shared" si="25"/>
        <v>LM5.X, Lab, REC 1, Cortex, 30 students</v>
      </c>
      <c r="F101">
        <v>999</v>
      </c>
      <c r="G101" t="str">
        <f t="shared" si="19"/>
        <v>Y</v>
      </c>
      <c r="H101" t="str">
        <f t="shared" si="27"/>
        <v>EA</v>
      </c>
      <c r="I101">
        <v>0</v>
      </c>
      <c r="J101">
        <v>0</v>
      </c>
      <c r="K101" t="str">
        <f t="shared" si="21"/>
        <v>Y</v>
      </c>
      <c r="L101">
        <v>0</v>
      </c>
      <c r="M101" t="str">
        <f t="shared" si="22"/>
        <v>NIS</v>
      </c>
      <c r="O101">
        <v>23</v>
      </c>
      <c r="P101" t="str">
        <f t="shared" si="26"/>
        <v>Active</v>
      </c>
      <c r="Q101" t="str">
        <f>"REC, Precision Scale, 10 lbs x 0.1 oz"</f>
        <v>REC, Precision Scale, 10 lbs x 0.1 oz</v>
      </c>
      <c r="S101" t="str">
        <f>"REC, Precision Scale, 10 lbs x 0.1 oz"</f>
        <v>REC, Precision Scale, 10 lbs x 0.1 oz</v>
      </c>
      <c r="T101">
        <v>35.56</v>
      </c>
      <c r="U101">
        <v>67.73</v>
      </c>
      <c r="V101">
        <v>82.37</v>
      </c>
      <c r="W101" t="str">
        <f t="shared" si="28"/>
        <v>rob</v>
      </c>
    </row>
    <row r="102" spans="1:23">
      <c r="A102" t="str">
        <f t="shared" si="24"/>
        <v>16-8105-1030</v>
      </c>
      <c r="B102" t="str">
        <f>"39-0000-0090"</f>
        <v>39-0000-0090</v>
      </c>
      <c r="C102" t="str">
        <f>"REC, Spring Scale, 11 lbs x 0.1 lbs"</f>
        <v>REC, Spring Scale, 11 lbs x 0.1 lbs</v>
      </c>
      <c r="D102">
        <v>16</v>
      </c>
      <c r="E102" t="str">
        <f t="shared" si="25"/>
        <v>LM5.X, Lab, REC 1, Cortex, 30 students</v>
      </c>
      <c r="F102">
        <v>999</v>
      </c>
      <c r="G102" t="str">
        <f t="shared" si="19"/>
        <v>Y</v>
      </c>
      <c r="H102" t="str">
        <f t="shared" si="27"/>
        <v>EA</v>
      </c>
      <c r="I102">
        <v>0</v>
      </c>
      <c r="J102">
        <v>0</v>
      </c>
      <c r="K102" t="str">
        <f t="shared" si="21"/>
        <v>Y</v>
      </c>
      <c r="L102">
        <v>0</v>
      </c>
      <c r="M102" t="str">
        <f t="shared" si="22"/>
        <v>NIS</v>
      </c>
      <c r="O102">
        <v>24</v>
      </c>
      <c r="P102" t="str">
        <f t="shared" si="26"/>
        <v>Active</v>
      </c>
      <c r="Q102" t="str">
        <f>"REC, Spring Scale, 11 lbs x 0.1 lbs"</f>
        <v>REC, Spring Scale, 11 lbs x 0.1 lbs</v>
      </c>
      <c r="S102" t="str">
        <f>"REC, Spring Scale, 11 lbs x 0.1 lbs"</f>
        <v>REC, Spring Scale, 11 lbs x 0.1 lbs</v>
      </c>
      <c r="T102">
        <v>18.11</v>
      </c>
      <c r="U102">
        <v>13.58</v>
      </c>
      <c r="V102">
        <v>15.43</v>
      </c>
      <c r="W102" t="str">
        <f t="shared" si="28"/>
        <v>rob</v>
      </c>
    </row>
    <row r="103" spans="1:23">
      <c r="A103" t="str">
        <f t="shared" si="24"/>
        <v>16-8105-1030</v>
      </c>
      <c r="B103" t="str">
        <f>"270-1905"</f>
        <v>270-1905</v>
      </c>
      <c r="C103" t="str">
        <f>"VEX, REC 1 Bundle Kit, Cortex"</f>
        <v>VEX, REC 1 Bundle Kit, Cortex</v>
      </c>
      <c r="D103">
        <v>16</v>
      </c>
      <c r="E103" t="str">
        <f t="shared" si="25"/>
        <v>LM5.X, Lab, REC 1, Cortex, 30 students</v>
      </c>
      <c r="F103">
        <v>999</v>
      </c>
      <c r="G103" t="str">
        <f t="shared" si="19"/>
        <v>Y</v>
      </c>
      <c r="H103" t="str">
        <f t="shared" si="27"/>
        <v>EA</v>
      </c>
      <c r="I103">
        <v>0</v>
      </c>
      <c r="J103">
        <v>0</v>
      </c>
      <c r="K103" t="str">
        <f t="shared" si="21"/>
        <v>Y</v>
      </c>
      <c r="L103">
        <v>0</v>
      </c>
      <c r="M103" t="str">
        <f t="shared" si="22"/>
        <v>NIS</v>
      </c>
      <c r="O103">
        <v>25</v>
      </c>
      <c r="P103" t="str">
        <f t="shared" si="26"/>
        <v>Active</v>
      </c>
      <c r="Q103" t="str">
        <f>"VEX, REC 1 Bundle Kit, Cortex"</f>
        <v>VEX, REC 1 Bundle Kit, Cortex</v>
      </c>
      <c r="S103" t="str">
        <f>"VEX, REC 1 Bundle Kit, Cortex"</f>
        <v>VEX, REC 1 Bundle Kit, Cortex</v>
      </c>
      <c r="T103">
        <v>487.29</v>
      </c>
      <c r="U103">
        <v>515.33000000000004</v>
      </c>
      <c r="V103">
        <v>585.46</v>
      </c>
      <c r="W103" t="str">
        <f t="shared" si="28"/>
        <v>rob</v>
      </c>
    </row>
    <row r="104" spans="1:23">
      <c r="A104" t="str">
        <f t="shared" ref="A104:A109" si="29">"16-8105-1100"</f>
        <v>16-8105-1100</v>
      </c>
      <c r="B104" t="str">
        <f>"17-8105-0010"</f>
        <v>17-8105-0010</v>
      </c>
      <c r="C104" t="str">
        <f>"LM5.X Content, Lab, REC 1, Cortex, Unit 1"</f>
        <v>LM5.X Content, Lab, REC 1, Cortex, Unit 1</v>
      </c>
      <c r="D104">
        <v>1</v>
      </c>
      <c r="E104" t="str">
        <f t="shared" ref="E104:E109" si="30">"LM5.X, REC 1, Cortex, First Semester Content"</f>
        <v>LM5.X, REC 1, Cortex, First Semester Content</v>
      </c>
      <c r="F104">
        <v>0</v>
      </c>
      <c r="G104" t="str">
        <f t="shared" si="19"/>
        <v>Y</v>
      </c>
      <c r="H104" t="str">
        <f t="shared" si="27"/>
        <v>EA</v>
      </c>
      <c r="I104">
        <v>0</v>
      </c>
      <c r="J104">
        <v>0</v>
      </c>
      <c r="K104" t="str">
        <f t="shared" si="21"/>
        <v>Y</v>
      </c>
      <c r="L104">
        <v>0</v>
      </c>
      <c r="M104" t="str">
        <f t="shared" si="22"/>
        <v>NIS</v>
      </c>
      <c r="O104">
        <v>2</v>
      </c>
      <c r="P104" t="str">
        <f t="shared" si="26"/>
        <v>Active</v>
      </c>
      <c r="Q104" t="str">
        <f>"LM5.X Content, Lab, REC 1, Cortex, Unit 1"</f>
        <v>LM5.X Content, Lab, REC 1, Cortex, Unit 1</v>
      </c>
      <c r="S104" t="str">
        <f>"LM5.X Content, Lab, REC 1, Cortex, Unit 1"</f>
        <v>LM5.X Content, Lab, REC 1, Cortex, Unit 1</v>
      </c>
      <c r="T104">
        <v>0</v>
      </c>
      <c r="U104">
        <v>5</v>
      </c>
      <c r="V104">
        <v>5</v>
      </c>
      <c r="W104" t="str">
        <f t="shared" si="28"/>
        <v>rob</v>
      </c>
    </row>
    <row r="105" spans="1:23">
      <c r="A105" t="str">
        <f t="shared" si="29"/>
        <v>16-8105-1100</v>
      </c>
      <c r="B105" t="str">
        <f>"17-8105-0020"</f>
        <v>17-8105-0020</v>
      </c>
      <c r="C105" t="str">
        <f>"LM5.X Content, Lab, REC 1, Cortex, Unit 2"</f>
        <v>LM5.X Content, Lab, REC 1, Cortex, Unit 2</v>
      </c>
      <c r="D105">
        <v>1</v>
      </c>
      <c r="E105" t="str">
        <f t="shared" si="30"/>
        <v>LM5.X, REC 1, Cortex, First Semester Content</v>
      </c>
      <c r="F105">
        <v>0</v>
      </c>
      <c r="G105" t="str">
        <f t="shared" si="19"/>
        <v>Y</v>
      </c>
      <c r="H105" t="str">
        <f t="shared" si="27"/>
        <v>EA</v>
      </c>
      <c r="I105">
        <v>0</v>
      </c>
      <c r="J105">
        <v>0</v>
      </c>
      <c r="K105" t="str">
        <f t="shared" si="21"/>
        <v>Y</v>
      </c>
      <c r="L105">
        <v>0</v>
      </c>
      <c r="M105" t="str">
        <f t="shared" si="22"/>
        <v>NIS</v>
      </c>
      <c r="O105">
        <v>3</v>
      </c>
      <c r="P105" t="str">
        <f t="shared" si="26"/>
        <v>Active</v>
      </c>
      <c r="Q105" t="str">
        <f>"LM5.X Content, Lab, REC 1, Cortex, Unit 2"</f>
        <v>LM5.X Content, Lab, REC 1, Cortex, Unit 2</v>
      </c>
      <c r="S105" t="str">
        <f>"LM5.X Content, Lab, REC 1, Cortex, Unit 2"</f>
        <v>LM5.X Content, Lab, REC 1, Cortex, Unit 2</v>
      </c>
      <c r="T105">
        <v>0</v>
      </c>
      <c r="U105">
        <v>5</v>
      </c>
      <c r="V105">
        <v>5</v>
      </c>
      <c r="W105" t="str">
        <f t="shared" si="28"/>
        <v>rob</v>
      </c>
    </row>
    <row r="106" spans="1:23">
      <c r="A106" t="str">
        <f t="shared" si="29"/>
        <v>16-8105-1100</v>
      </c>
      <c r="B106" t="str">
        <f>"17-8105-0030"</f>
        <v>17-8105-0030</v>
      </c>
      <c r="C106" t="str">
        <f>"LM5.X Content, Lab, REC 1, Cortex, Unit 3"</f>
        <v>LM5.X Content, Lab, REC 1, Cortex, Unit 3</v>
      </c>
      <c r="D106">
        <v>1</v>
      </c>
      <c r="E106" t="str">
        <f t="shared" si="30"/>
        <v>LM5.X, REC 1, Cortex, First Semester Content</v>
      </c>
      <c r="F106">
        <v>0</v>
      </c>
      <c r="G106" t="str">
        <f t="shared" si="19"/>
        <v>Y</v>
      </c>
      <c r="H106" t="str">
        <f t="shared" si="27"/>
        <v>EA</v>
      </c>
      <c r="I106">
        <v>0</v>
      </c>
      <c r="J106">
        <v>0</v>
      </c>
      <c r="K106" t="str">
        <f t="shared" si="21"/>
        <v>Y</v>
      </c>
      <c r="L106">
        <v>0</v>
      </c>
      <c r="M106" t="str">
        <f t="shared" si="22"/>
        <v>NIS</v>
      </c>
      <c r="O106">
        <v>4</v>
      </c>
      <c r="P106" t="str">
        <f t="shared" si="26"/>
        <v>Active</v>
      </c>
      <c r="Q106" t="str">
        <f>"LM5.X Content, Lab, REC 1, Cortex, Unit 3"</f>
        <v>LM5.X Content, Lab, REC 1, Cortex, Unit 3</v>
      </c>
      <c r="S106" t="str">
        <f>"LM5.X Content, Lab, REC 1, Cortex, Unit 3"</f>
        <v>LM5.X Content, Lab, REC 1, Cortex, Unit 3</v>
      </c>
      <c r="T106">
        <v>0</v>
      </c>
      <c r="U106">
        <v>5</v>
      </c>
      <c r="V106">
        <v>5</v>
      </c>
      <c r="W106" t="str">
        <f t="shared" si="28"/>
        <v>rob</v>
      </c>
    </row>
    <row r="107" spans="1:23">
      <c r="A107" t="str">
        <f t="shared" si="29"/>
        <v>16-8105-1100</v>
      </c>
      <c r="B107" t="str">
        <f>"17-8105-0100"</f>
        <v>17-8105-0100</v>
      </c>
      <c r="C107" t="str">
        <f>"LM5 Content, Lab, REC 1, Cortex, Semester 1 TG"</f>
        <v>LM5 Content, Lab, REC 1, Cortex, Semester 1 TG</v>
      </c>
      <c r="D107">
        <v>1</v>
      </c>
      <c r="E107" t="str">
        <f t="shared" si="30"/>
        <v>LM5.X, REC 1, Cortex, First Semester Content</v>
      </c>
      <c r="F107">
        <v>0</v>
      </c>
      <c r="G107" t="str">
        <f t="shared" si="19"/>
        <v>Y</v>
      </c>
      <c r="H107" t="str">
        <f t="shared" si="27"/>
        <v>EA</v>
      </c>
      <c r="I107">
        <v>0</v>
      </c>
      <c r="J107">
        <v>0</v>
      </c>
      <c r="K107" t="str">
        <f t="shared" si="21"/>
        <v>Y</v>
      </c>
      <c r="L107">
        <v>0</v>
      </c>
      <c r="M107" t="str">
        <f t="shared" si="22"/>
        <v>NIS</v>
      </c>
      <c r="O107">
        <v>5</v>
      </c>
      <c r="P107" t="str">
        <f t="shared" si="26"/>
        <v>Active</v>
      </c>
      <c r="Q107" t="str">
        <f>"LM5 Content, Lab, REC 1, Cortex, Semester 1 TG"</f>
        <v>LM5 Content, Lab, REC 1, Cortex, Semester 1 TG</v>
      </c>
      <c r="S107" t="str">
        <f>"LM5 Content, Lab, REC 1, Cortex, Semester 1 TG"</f>
        <v>LM5 Content, Lab, REC 1, Cortex, Semester 1 TG</v>
      </c>
      <c r="T107">
        <v>0</v>
      </c>
      <c r="U107">
        <v>5</v>
      </c>
      <c r="V107">
        <v>5.55</v>
      </c>
      <c r="W107" t="str">
        <f t="shared" si="28"/>
        <v>rob</v>
      </c>
    </row>
    <row r="108" spans="1:23">
      <c r="A108" t="str">
        <f t="shared" si="29"/>
        <v>16-8105-1100</v>
      </c>
      <c r="B108" t="str">
        <f>"17-1200-0000"</f>
        <v>17-1200-0000</v>
      </c>
      <c r="C108" t="str">
        <f>"Learnmate Server 5.X"</f>
        <v>Learnmate Server 5.X</v>
      </c>
      <c r="D108">
        <v>1</v>
      </c>
      <c r="E108" t="str">
        <f t="shared" si="30"/>
        <v>LM5.X, REC 1, Cortex, First Semester Content</v>
      </c>
      <c r="F108">
        <v>0</v>
      </c>
      <c r="G108" t="str">
        <f t="shared" si="19"/>
        <v>Y</v>
      </c>
      <c r="H108" t="str">
        <f t="shared" si="27"/>
        <v>EA</v>
      </c>
      <c r="I108">
        <v>0</v>
      </c>
      <c r="J108">
        <v>0</v>
      </c>
      <c r="K108" t="str">
        <f t="shared" si="21"/>
        <v>Y</v>
      </c>
      <c r="L108">
        <v>0</v>
      </c>
      <c r="M108" t="str">
        <f t="shared" si="22"/>
        <v>NIS</v>
      </c>
      <c r="O108">
        <v>6</v>
      </c>
      <c r="P108" t="str">
        <f t="shared" si="26"/>
        <v>Active</v>
      </c>
      <c r="Q108" t="str">
        <f>"Learnmate Server 5.X"</f>
        <v>Learnmate Server 5.X</v>
      </c>
      <c r="S108" t="str">
        <f>"Learnmate Server 5.X"</f>
        <v>Learnmate Server 5.X</v>
      </c>
      <c r="T108">
        <v>0</v>
      </c>
      <c r="U108">
        <v>0</v>
      </c>
      <c r="V108">
        <v>0</v>
      </c>
      <c r="W108" t="str">
        <f t="shared" si="28"/>
        <v>rob</v>
      </c>
    </row>
    <row r="109" spans="1:23">
      <c r="A109" t="str">
        <f t="shared" si="29"/>
        <v>16-8105-1100</v>
      </c>
      <c r="B109" t="str">
        <f>"17-1200-0001"</f>
        <v>17-1200-0001</v>
      </c>
      <c r="C109" t="str">
        <f>"Learnmate 5.X Course Importer"</f>
        <v>Learnmate 5.X Course Importer</v>
      </c>
      <c r="D109">
        <v>1</v>
      </c>
      <c r="E109" t="str">
        <f t="shared" si="30"/>
        <v>LM5.X, REC 1, Cortex, First Semester Content</v>
      </c>
      <c r="F109">
        <v>0</v>
      </c>
      <c r="G109" t="str">
        <f t="shared" si="19"/>
        <v>Y</v>
      </c>
      <c r="H109" t="str">
        <f t="shared" si="27"/>
        <v>EA</v>
      </c>
      <c r="I109">
        <v>0</v>
      </c>
      <c r="J109">
        <v>0</v>
      </c>
      <c r="K109" t="str">
        <f t="shared" si="21"/>
        <v>Y</v>
      </c>
      <c r="L109">
        <v>0</v>
      </c>
      <c r="M109" t="str">
        <f t="shared" si="22"/>
        <v>NIS</v>
      </c>
      <c r="O109">
        <v>8</v>
      </c>
      <c r="P109" t="str">
        <f t="shared" si="26"/>
        <v>Active</v>
      </c>
      <c r="Q109" t="str">
        <f>"Learnmate 5.X Course Importer"</f>
        <v>Learnmate 5.X Course Importer</v>
      </c>
      <c r="S109" t="str">
        <f>"Learnmate 5.X Course Importer"</f>
        <v>Learnmate 5.X Course Importer</v>
      </c>
      <c r="T109">
        <v>0</v>
      </c>
      <c r="U109">
        <v>0</v>
      </c>
      <c r="V109">
        <v>0</v>
      </c>
      <c r="W109" t="str">
        <f t="shared" si="28"/>
        <v>rob</v>
      </c>
    </row>
    <row r="110" spans="1:23">
      <c r="A110" t="str">
        <f>"16-8105-1200"</f>
        <v>16-8105-1200</v>
      </c>
      <c r="B110" t="str">
        <f>"17-8105-0040"</f>
        <v>17-8105-0040</v>
      </c>
      <c r="C110" t="str">
        <f>"LM5.X Content, Lab, REC 1, Cortex, Unit 4"</f>
        <v>LM5.X Content, Lab, REC 1, Cortex, Unit 4</v>
      </c>
      <c r="D110">
        <v>1</v>
      </c>
      <c r="E110" t="str">
        <f>"LM5.X, REC 1, Cortex, Second Semester Content"</f>
        <v>LM5.X, REC 1, Cortex, Second Semester Content</v>
      </c>
      <c r="F110">
        <v>0</v>
      </c>
      <c r="G110" t="str">
        <f t="shared" si="19"/>
        <v>Y</v>
      </c>
      <c r="H110" t="str">
        <f t="shared" si="27"/>
        <v>EA</v>
      </c>
      <c r="I110">
        <v>0</v>
      </c>
      <c r="J110">
        <v>0</v>
      </c>
      <c r="K110" t="str">
        <f t="shared" si="21"/>
        <v>Y</v>
      </c>
      <c r="L110">
        <v>0</v>
      </c>
      <c r="M110" t="str">
        <f t="shared" si="22"/>
        <v>NIS</v>
      </c>
      <c r="O110">
        <v>1</v>
      </c>
      <c r="P110" t="str">
        <f t="shared" si="26"/>
        <v>Active</v>
      </c>
      <c r="Q110" t="str">
        <f>"LM5.X Content, Lab, REC 1, Cortex, Unit 4"</f>
        <v>LM5.X Content, Lab, REC 1, Cortex, Unit 4</v>
      </c>
      <c r="S110" t="str">
        <f>"LM5.X Content, Lab, REC 1, Cortex, Unit 4"</f>
        <v>LM5.X Content, Lab, REC 1, Cortex, Unit 4</v>
      </c>
      <c r="T110">
        <v>0</v>
      </c>
      <c r="U110">
        <v>5</v>
      </c>
      <c r="V110">
        <v>5</v>
      </c>
      <c r="W110" t="str">
        <f t="shared" si="28"/>
        <v>rob</v>
      </c>
    </row>
    <row r="111" spans="1:23">
      <c r="A111" t="str">
        <f>"16-8105-1200"</f>
        <v>16-8105-1200</v>
      </c>
      <c r="B111" t="str">
        <f>"17-8105-0050"</f>
        <v>17-8105-0050</v>
      </c>
      <c r="C111" t="str">
        <f>"LM5.X Content, Lab, REC 1, Cortex, Unit 5"</f>
        <v>LM5.X Content, Lab, REC 1, Cortex, Unit 5</v>
      </c>
      <c r="D111">
        <v>1</v>
      </c>
      <c r="E111" t="str">
        <f>"LM5.X, REC 1, Cortex, Second Semester Content"</f>
        <v>LM5.X, REC 1, Cortex, Second Semester Content</v>
      </c>
      <c r="F111">
        <v>0</v>
      </c>
      <c r="G111" t="str">
        <f t="shared" si="19"/>
        <v>Y</v>
      </c>
      <c r="H111" t="str">
        <f t="shared" si="27"/>
        <v>EA</v>
      </c>
      <c r="I111">
        <v>0</v>
      </c>
      <c r="J111">
        <v>0</v>
      </c>
      <c r="K111" t="str">
        <f t="shared" si="21"/>
        <v>Y</v>
      </c>
      <c r="L111">
        <v>0</v>
      </c>
      <c r="M111" t="str">
        <f t="shared" si="22"/>
        <v>NIS</v>
      </c>
      <c r="O111">
        <v>2</v>
      </c>
      <c r="P111" t="str">
        <f t="shared" si="26"/>
        <v>Active</v>
      </c>
      <c r="Q111" t="str">
        <f>"LM5.X Content, Lab, REC 1, Cortex, Unit 5"</f>
        <v>LM5.X Content, Lab, REC 1, Cortex, Unit 5</v>
      </c>
      <c r="S111" t="str">
        <f>"LM5.X Content, Lab, REC 1, Cortex, Unit 5"</f>
        <v>LM5.X Content, Lab, REC 1, Cortex, Unit 5</v>
      </c>
      <c r="T111">
        <v>0</v>
      </c>
      <c r="U111">
        <v>5</v>
      </c>
      <c r="V111">
        <v>5</v>
      </c>
      <c r="W111" t="str">
        <f t="shared" si="28"/>
        <v>rob</v>
      </c>
    </row>
    <row r="112" spans="1:23">
      <c r="A112" t="str">
        <f>"16-8105-1200"</f>
        <v>16-8105-1200</v>
      </c>
      <c r="B112" t="str">
        <f>"17-8105-0060"</f>
        <v>17-8105-0060</v>
      </c>
      <c r="C112" t="str">
        <f>"LM5.X Content, Lab, REC 1, Cortex, Unit 6"</f>
        <v>LM5.X Content, Lab, REC 1, Cortex, Unit 6</v>
      </c>
      <c r="D112">
        <v>1</v>
      </c>
      <c r="E112" t="str">
        <f>"LM5.X, REC 1, Cortex, Second Semester Content"</f>
        <v>LM5.X, REC 1, Cortex, Second Semester Content</v>
      </c>
      <c r="F112">
        <v>0</v>
      </c>
      <c r="G112" t="str">
        <f t="shared" si="19"/>
        <v>Y</v>
      </c>
      <c r="H112" t="str">
        <f t="shared" si="27"/>
        <v>EA</v>
      </c>
      <c r="I112">
        <v>0</v>
      </c>
      <c r="J112">
        <v>0</v>
      </c>
      <c r="K112" t="str">
        <f t="shared" si="21"/>
        <v>Y</v>
      </c>
      <c r="L112">
        <v>0</v>
      </c>
      <c r="M112" t="str">
        <f t="shared" si="22"/>
        <v>NIS</v>
      </c>
      <c r="O112">
        <v>3</v>
      </c>
      <c r="P112" t="str">
        <f t="shared" si="26"/>
        <v>Active</v>
      </c>
      <c r="Q112" t="str">
        <f>"LM5.X Content, Lab, REC 1, Cortex, Unit 6"</f>
        <v>LM5.X Content, Lab, REC 1, Cortex, Unit 6</v>
      </c>
      <c r="S112" t="str">
        <f>"LM5.X Content, Lab, REC 1, Cortex, Unit 6"</f>
        <v>LM5.X Content, Lab, REC 1, Cortex, Unit 6</v>
      </c>
      <c r="T112">
        <v>0</v>
      </c>
      <c r="U112">
        <v>5</v>
      </c>
      <c r="V112">
        <v>5</v>
      </c>
      <c r="W112" t="str">
        <f t="shared" si="28"/>
        <v>rob</v>
      </c>
    </row>
    <row r="113" spans="1:23">
      <c r="A113" t="str">
        <f>"16-8105-1200"</f>
        <v>16-8105-1200</v>
      </c>
      <c r="B113" t="str">
        <f>"17-8105-0200"</f>
        <v>17-8105-0200</v>
      </c>
      <c r="C113" t="str">
        <f>"LM5 Content, Lab, REC 1, Cortex, Semester 1 TG"</f>
        <v>LM5 Content, Lab, REC 1, Cortex, Semester 1 TG</v>
      </c>
      <c r="D113">
        <v>1</v>
      </c>
      <c r="E113" t="str">
        <f>"LM5.X, REC 1, Cortex, Second Semester Content"</f>
        <v>LM5.X, REC 1, Cortex, Second Semester Content</v>
      </c>
      <c r="F113">
        <v>0</v>
      </c>
      <c r="G113" t="str">
        <f t="shared" si="19"/>
        <v>Y</v>
      </c>
      <c r="H113" t="str">
        <f t="shared" si="27"/>
        <v>EA</v>
      </c>
      <c r="I113">
        <v>0</v>
      </c>
      <c r="J113">
        <v>0</v>
      </c>
      <c r="K113" t="str">
        <f t="shared" si="21"/>
        <v>Y</v>
      </c>
      <c r="L113">
        <v>0</v>
      </c>
      <c r="M113" t="str">
        <f t="shared" si="22"/>
        <v>NIS</v>
      </c>
      <c r="O113">
        <v>4</v>
      </c>
      <c r="P113" t="str">
        <f t="shared" si="26"/>
        <v>Active</v>
      </c>
      <c r="Q113" t="str">
        <f>"LM5 Content, Lab, REC 1, Cortex, Semester 2 TG"</f>
        <v>LM5 Content, Lab, REC 1, Cortex, Semester 2 TG</v>
      </c>
      <c r="S113" t="str">
        <f>"LM5 Content, Lab, REC 1, Cortex, Semester 2 TG"</f>
        <v>LM5 Content, Lab, REC 1, Cortex, Semester 2 TG</v>
      </c>
      <c r="T113">
        <v>0</v>
      </c>
      <c r="U113">
        <v>5</v>
      </c>
      <c r="V113">
        <v>5.55</v>
      </c>
      <c r="W113" t="str">
        <f t="shared" si="28"/>
        <v>rob</v>
      </c>
    </row>
    <row r="114" spans="1:23">
      <c r="A114" t="str">
        <f t="shared" ref="A114:A123" si="31">"16-8106-1010"</f>
        <v>16-8106-1010</v>
      </c>
      <c r="B114" t="str">
        <f>"17-8106-0000"</f>
        <v>17-8106-0000</v>
      </c>
      <c r="C114" t="str">
        <f>"LM5.X Content, Lab, REC 2, Cortex, TG"</f>
        <v>LM5.X Content, Lab, REC 2, Cortex, TG</v>
      </c>
      <c r="D114">
        <v>1</v>
      </c>
      <c r="E114" t="str">
        <f t="shared" ref="E114:E123" si="32">"LM5.X, Lab, REC 2, Cortex, 10 students"</f>
        <v>LM5.X, Lab, REC 2, Cortex, 10 students</v>
      </c>
      <c r="F114">
        <v>999</v>
      </c>
      <c r="G114" t="str">
        <f t="shared" si="19"/>
        <v>Y</v>
      </c>
      <c r="H114" t="str">
        <f t="shared" si="27"/>
        <v>EA</v>
      </c>
      <c r="I114">
        <v>0</v>
      </c>
      <c r="J114">
        <v>0</v>
      </c>
      <c r="K114" t="str">
        <f t="shared" si="21"/>
        <v>Y</v>
      </c>
      <c r="L114">
        <v>0</v>
      </c>
      <c r="M114" t="str">
        <f t="shared" si="22"/>
        <v>NIS</v>
      </c>
      <c r="O114">
        <v>1</v>
      </c>
      <c r="P114" t="str">
        <f t="shared" si="26"/>
        <v>Active</v>
      </c>
      <c r="Q114" t="str">
        <f>"LM5.X Content, Lab, REC 2, Cortex, TG"</f>
        <v>LM5.X Content, Lab, REC 2, Cortex, TG</v>
      </c>
      <c r="S114" t="str">
        <f>"LM5.X Content, Lab, REC 2, Cortex, TG"</f>
        <v>LM5.X Content, Lab, REC 2, Cortex, TG</v>
      </c>
      <c r="T114">
        <v>0</v>
      </c>
      <c r="U114">
        <v>5</v>
      </c>
      <c r="V114">
        <v>5.55</v>
      </c>
      <c r="W114" t="str">
        <f t="shared" si="28"/>
        <v>rob</v>
      </c>
    </row>
    <row r="115" spans="1:23">
      <c r="A115" t="str">
        <f t="shared" si="31"/>
        <v>16-8106-1010</v>
      </c>
      <c r="B115" t="str">
        <f>"17-8106-0070"</f>
        <v>17-8106-0070</v>
      </c>
      <c r="C115" t="str">
        <f>"LM5.X Content, Lab, REC 2, Cortex, Unit 7"</f>
        <v>LM5.X Content, Lab, REC 2, Cortex, Unit 7</v>
      </c>
      <c r="D115">
        <v>1</v>
      </c>
      <c r="E115" t="str">
        <f t="shared" si="32"/>
        <v>LM5.X, Lab, REC 2, Cortex, 10 students</v>
      </c>
      <c r="F115">
        <v>999</v>
      </c>
      <c r="G115" t="str">
        <f t="shared" si="19"/>
        <v>Y</v>
      </c>
      <c r="H115" t="str">
        <f t="shared" si="27"/>
        <v>EA</v>
      </c>
      <c r="I115">
        <v>0</v>
      </c>
      <c r="J115">
        <v>0</v>
      </c>
      <c r="K115" t="str">
        <f t="shared" si="21"/>
        <v>Y</v>
      </c>
      <c r="L115">
        <v>0</v>
      </c>
      <c r="M115" t="str">
        <f t="shared" si="22"/>
        <v>NIS</v>
      </c>
      <c r="O115">
        <v>2</v>
      </c>
      <c r="P115" t="str">
        <f t="shared" si="26"/>
        <v>Active</v>
      </c>
      <c r="Q115" t="str">
        <f>"LM5.X Content, Lab, REC 2, Cortex, Unit 7"</f>
        <v>LM5.X Content, Lab, REC 2, Cortex, Unit 7</v>
      </c>
      <c r="S115" t="str">
        <f>"LM5.X Content, Lab, REC 2, Cortex, Unit 7"</f>
        <v>LM5.X Content, Lab, REC 2, Cortex, Unit 7</v>
      </c>
      <c r="T115">
        <v>0</v>
      </c>
      <c r="U115">
        <v>5</v>
      </c>
      <c r="V115">
        <v>5</v>
      </c>
      <c r="W115" t="str">
        <f t="shared" si="28"/>
        <v>rob</v>
      </c>
    </row>
    <row r="116" spans="1:23">
      <c r="A116" t="str">
        <f t="shared" si="31"/>
        <v>16-8106-1010</v>
      </c>
      <c r="B116" t="str">
        <f>"17-8106-0080"</f>
        <v>17-8106-0080</v>
      </c>
      <c r="C116" t="str">
        <f>"LM5.X Content, Lab, REC 2, Cortex, Unit 8"</f>
        <v>LM5.X Content, Lab, REC 2, Cortex, Unit 8</v>
      </c>
      <c r="D116">
        <v>1</v>
      </c>
      <c r="E116" t="str">
        <f t="shared" si="32"/>
        <v>LM5.X, Lab, REC 2, Cortex, 10 students</v>
      </c>
      <c r="F116">
        <v>999</v>
      </c>
      <c r="G116" t="str">
        <f t="shared" si="19"/>
        <v>Y</v>
      </c>
      <c r="H116" t="str">
        <f t="shared" si="27"/>
        <v>EA</v>
      </c>
      <c r="I116">
        <v>0</v>
      </c>
      <c r="J116">
        <v>0</v>
      </c>
      <c r="K116" t="str">
        <f t="shared" si="21"/>
        <v>Y</v>
      </c>
      <c r="L116">
        <v>0</v>
      </c>
      <c r="M116" t="str">
        <f t="shared" si="22"/>
        <v>NIS</v>
      </c>
      <c r="O116">
        <v>3</v>
      </c>
      <c r="P116" t="str">
        <f t="shared" si="26"/>
        <v>Active</v>
      </c>
      <c r="Q116" t="str">
        <f>"LM5.X Content, Lab, REC 2, Cortex, Unit 8"</f>
        <v>LM5.X Content, Lab, REC 2, Cortex, Unit 8</v>
      </c>
      <c r="S116" t="str">
        <f>"LM5.X Content, Lab, REC 2, Cortex, Unit 8"</f>
        <v>LM5.X Content, Lab, REC 2, Cortex, Unit 8</v>
      </c>
      <c r="T116">
        <v>0</v>
      </c>
      <c r="U116">
        <v>5</v>
      </c>
      <c r="V116">
        <v>5</v>
      </c>
      <c r="W116" t="str">
        <f t="shared" si="28"/>
        <v>rob</v>
      </c>
    </row>
    <row r="117" spans="1:23">
      <c r="A117" t="str">
        <f t="shared" si="31"/>
        <v>16-8106-1010</v>
      </c>
      <c r="B117" t="str">
        <f>"17-8106-0090"</f>
        <v>17-8106-0090</v>
      </c>
      <c r="C117" t="str">
        <f>"LM5.X Content, Lab, REC 2, Cortex, Unit 9"</f>
        <v>LM5.X Content, Lab, REC 2, Cortex, Unit 9</v>
      </c>
      <c r="D117">
        <v>1</v>
      </c>
      <c r="E117" t="str">
        <f t="shared" si="32"/>
        <v>LM5.X, Lab, REC 2, Cortex, 10 students</v>
      </c>
      <c r="F117">
        <v>999</v>
      </c>
      <c r="G117" t="str">
        <f t="shared" si="19"/>
        <v>Y</v>
      </c>
      <c r="H117" t="str">
        <f t="shared" si="27"/>
        <v>EA</v>
      </c>
      <c r="I117">
        <v>0</v>
      </c>
      <c r="J117">
        <v>0</v>
      </c>
      <c r="K117" t="str">
        <f t="shared" si="21"/>
        <v>Y</v>
      </c>
      <c r="L117">
        <v>0</v>
      </c>
      <c r="M117" t="str">
        <f t="shared" si="22"/>
        <v>NIS</v>
      </c>
      <c r="O117">
        <v>4</v>
      </c>
      <c r="P117" t="str">
        <f t="shared" si="26"/>
        <v>Active</v>
      </c>
      <c r="Q117" t="str">
        <f>"LM5.X Content, Lab, REC 2, Cortex, Unit 9"</f>
        <v>LM5.X Content, Lab, REC 2, Cortex, Unit 9</v>
      </c>
      <c r="S117" t="str">
        <f>"LM5.X Content, Lab, REC 2, Cortex, Unit 9"</f>
        <v>LM5.X Content, Lab, REC 2, Cortex, Unit 9</v>
      </c>
      <c r="T117">
        <v>0</v>
      </c>
      <c r="U117">
        <v>5</v>
      </c>
      <c r="V117">
        <v>5</v>
      </c>
      <c r="W117" t="str">
        <f t="shared" si="28"/>
        <v>rob</v>
      </c>
    </row>
    <row r="118" spans="1:23">
      <c r="A118" t="str">
        <f t="shared" si="31"/>
        <v>16-8106-1010</v>
      </c>
      <c r="B118" t="str">
        <f>"17-8106-0100"</f>
        <v>17-8106-0100</v>
      </c>
      <c r="C118" t="str">
        <f>"LM5.X Content, Lab, REC 2, Cortex, Unit 10"</f>
        <v>LM5.X Content, Lab, REC 2, Cortex, Unit 10</v>
      </c>
      <c r="D118">
        <v>1</v>
      </c>
      <c r="E118" t="str">
        <f t="shared" si="32"/>
        <v>LM5.X, Lab, REC 2, Cortex, 10 students</v>
      </c>
      <c r="F118">
        <v>999</v>
      </c>
      <c r="G118" t="str">
        <f t="shared" si="19"/>
        <v>Y</v>
      </c>
      <c r="H118" t="str">
        <f t="shared" si="27"/>
        <v>EA</v>
      </c>
      <c r="I118">
        <v>0</v>
      </c>
      <c r="J118">
        <v>0</v>
      </c>
      <c r="K118" t="str">
        <f t="shared" si="21"/>
        <v>Y</v>
      </c>
      <c r="L118">
        <v>0</v>
      </c>
      <c r="M118" t="str">
        <f t="shared" si="22"/>
        <v>NIS</v>
      </c>
      <c r="O118">
        <v>5</v>
      </c>
      <c r="P118" t="str">
        <f t="shared" si="26"/>
        <v>Active</v>
      </c>
      <c r="Q118" t="str">
        <f>"LM5.X Content, Lab, REC 2, Cortex, Unit 10"</f>
        <v>LM5.X Content, Lab, REC 2, Cortex, Unit 10</v>
      </c>
      <c r="S118" t="str">
        <f>"LM5.X Content, Lab, REC 2, Cortex, Unit 10"</f>
        <v>LM5.X Content, Lab, REC 2, Cortex, Unit 10</v>
      </c>
      <c r="T118">
        <v>0</v>
      </c>
      <c r="U118">
        <v>5</v>
      </c>
      <c r="V118">
        <v>5</v>
      </c>
      <c r="W118" t="str">
        <f t="shared" si="28"/>
        <v>rob</v>
      </c>
    </row>
    <row r="119" spans="1:23">
      <c r="A119" t="str">
        <f t="shared" si="31"/>
        <v>16-8106-1010</v>
      </c>
      <c r="B119" t="str">
        <f>"17-8106-0110"</f>
        <v>17-8106-0110</v>
      </c>
      <c r="C119" t="str">
        <f>"LM5.X Content, Lab, REC 2, Cortex, Unit 11"</f>
        <v>LM5.X Content, Lab, REC 2, Cortex, Unit 11</v>
      </c>
      <c r="D119">
        <v>1</v>
      </c>
      <c r="E119" t="str">
        <f t="shared" si="32"/>
        <v>LM5.X, Lab, REC 2, Cortex, 10 students</v>
      </c>
      <c r="F119">
        <v>999</v>
      </c>
      <c r="G119" t="str">
        <f t="shared" si="19"/>
        <v>Y</v>
      </c>
      <c r="H119" t="str">
        <f t="shared" si="27"/>
        <v>EA</v>
      </c>
      <c r="I119">
        <v>0</v>
      </c>
      <c r="J119">
        <v>0</v>
      </c>
      <c r="K119" t="str">
        <f t="shared" si="21"/>
        <v>Y</v>
      </c>
      <c r="L119">
        <v>0</v>
      </c>
      <c r="M119" t="str">
        <f t="shared" si="22"/>
        <v>NIS</v>
      </c>
      <c r="O119">
        <v>6</v>
      </c>
      <c r="P119" t="str">
        <f t="shared" si="26"/>
        <v>Active</v>
      </c>
      <c r="Q119" t="str">
        <f>"LM5.X Content, Lab, REC 2, Cortex, Unit 11"</f>
        <v>LM5.X Content, Lab, REC 2, Cortex, Unit 11</v>
      </c>
      <c r="S119" t="str">
        <f>"LM5.X Content, Lab, REC 2, Cortex, Unit 11"</f>
        <v>LM5.X Content, Lab, REC 2, Cortex, Unit 11</v>
      </c>
      <c r="T119">
        <v>0</v>
      </c>
      <c r="U119">
        <v>5</v>
      </c>
      <c r="V119">
        <v>5</v>
      </c>
      <c r="W119" t="str">
        <f t="shared" si="28"/>
        <v>rob</v>
      </c>
    </row>
    <row r="120" spans="1:23">
      <c r="A120" t="str">
        <f t="shared" si="31"/>
        <v>16-8106-1010</v>
      </c>
      <c r="B120" t="str">
        <f>"17-8106-0120"</f>
        <v>17-8106-0120</v>
      </c>
      <c r="C120" t="str">
        <f>"LM5.X Content, Lab, REC 2, Cortex, Unit 12"</f>
        <v>LM5.X Content, Lab, REC 2, Cortex, Unit 12</v>
      </c>
      <c r="D120">
        <v>1</v>
      </c>
      <c r="E120" t="str">
        <f t="shared" si="32"/>
        <v>LM5.X, Lab, REC 2, Cortex, 10 students</v>
      </c>
      <c r="F120">
        <v>999</v>
      </c>
      <c r="G120" t="str">
        <f t="shared" si="19"/>
        <v>Y</v>
      </c>
      <c r="H120" t="str">
        <f t="shared" si="27"/>
        <v>EA</v>
      </c>
      <c r="I120">
        <v>0</v>
      </c>
      <c r="J120">
        <v>0</v>
      </c>
      <c r="K120" t="str">
        <f t="shared" si="21"/>
        <v>Y</v>
      </c>
      <c r="L120">
        <v>0</v>
      </c>
      <c r="M120" t="str">
        <f t="shared" si="22"/>
        <v>NIS</v>
      </c>
      <c r="O120">
        <v>7</v>
      </c>
      <c r="P120" t="str">
        <f t="shared" si="26"/>
        <v>Active</v>
      </c>
      <c r="Q120" t="str">
        <f>"LM5.X Content, Lab, REC 2, Cortex, Unit 12"</f>
        <v>LM5.X Content, Lab, REC 2, Cortex, Unit 12</v>
      </c>
      <c r="S120" t="str">
        <f>"LM5.X Content, Lab, REC 2, Cortex, Unit 12"</f>
        <v>LM5.X Content, Lab, REC 2, Cortex, Unit 12</v>
      </c>
      <c r="T120">
        <v>0</v>
      </c>
      <c r="U120">
        <v>5</v>
      </c>
      <c r="V120">
        <v>5</v>
      </c>
      <c r="W120" t="str">
        <f t="shared" si="28"/>
        <v>rob</v>
      </c>
    </row>
    <row r="121" spans="1:23">
      <c r="A121" t="str">
        <f t="shared" si="31"/>
        <v>16-8106-1010</v>
      </c>
      <c r="B121" t="str">
        <f>"21-0007-0001"</f>
        <v>21-0007-0001</v>
      </c>
      <c r="C121" t="str">
        <f>"Assembly, REC, Semester 2 Project Kit"</f>
        <v>Assembly, REC, Semester 2 Project Kit</v>
      </c>
      <c r="D121">
        <v>1</v>
      </c>
      <c r="E121" t="str">
        <f t="shared" si="32"/>
        <v>LM5.X, Lab, REC 2, Cortex, 10 students</v>
      </c>
      <c r="F121">
        <v>999</v>
      </c>
      <c r="G121" t="str">
        <f t="shared" si="19"/>
        <v>Y</v>
      </c>
      <c r="H121" t="str">
        <f t="shared" si="27"/>
        <v>EA</v>
      </c>
      <c r="I121">
        <v>0</v>
      </c>
      <c r="J121">
        <v>0</v>
      </c>
      <c r="K121" t="str">
        <f t="shared" si="21"/>
        <v>Y</v>
      </c>
      <c r="L121">
        <v>0</v>
      </c>
      <c r="M121" t="str">
        <f t="shared" si="22"/>
        <v>NIS</v>
      </c>
      <c r="O121">
        <v>8</v>
      </c>
      <c r="P121" t="str">
        <f>"Phase Out"</f>
        <v>Phase Out</v>
      </c>
      <c r="Q121" t="str">
        <f>"Assembly, REC, Semester 2 Project Kit"</f>
        <v>Assembly, REC, Semester 2 Project Kit</v>
      </c>
      <c r="S121" t="str">
        <f>"Assembly, REC, Semester 2 Project Kit"</f>
        <v>Assembly, REC, Semester 2 Project Kit</v>
      </c>
      <c r="T121">
        <v>53.05</v>
      </c>
      <c r="U121">
        <v>54.47</v>
      </c>
      <c r="V121">
        <v>56.1</v>
      </c>
      <c r="W121" t="str">
        <f t="shared" si="28"/>
        <v>rob</v>
      </c>
    </row>
    <row r="122" spans="1:23">
      <c r="A122" t="str">
        <f t="shared" si="31"/>
        <v>16-8106-1010</v>
      </c>
      <c r="B122" t="str">
        <f>"22-0006-0006"</f>
        <v>22-0006-0006</v>
      </c>
      <c r="C122" t="str">
        <f>"Assembly, REC, Sem 2, Electronics Kit, 6 Robots"</f>
        <v>Assembly, REC, Sem 2, Electronics Kit, 6 Robots</v>
      </c>
      <c r="D122">
        <v>1</v>
      </c>
      <c r="E122" t="str">
        <f t="shared" si="32"/>
        <v>LM5.X, Lab, REC 2, Cortex, 10 students</v>
      </c>
      <c r="F122">
        <v>999</v>
      </c>
      <c r="G122" t="str">
        <f t="shared" si="19"/>
        <v>Y</v>
      </c>
      <c r="H122" t="str">
        <f t="shared" si="27"/>
        <v>EA</v>
      </c>
      <c r="I122">
        <v>0</v>
      </c>
      <c r="J122">
        <v>0</v>
      </c>
      <c r="K122" t="str">
        <f t="shared" si="21"/>
        <v>Y</v>
      </c>
      <c r="L122">
        <v>0</v>
      </c>
      <c r="M122" t="str">
        <f t="shared" si="22"/>
        <v>NIS</v>
      </c>
      <c r="O122">
        <v>9</v>
      </c>
      <c r="P122" t="str">
        <f t="shared" ref="P122:P130" si="33">"Active"</f>
        <v>Active</v>
      </c>
      <c r="Q122" t="str">
        <f>"Assembly, REC, Sem 2, Electronics Kit, 6 Robots"</f>
        <v>Assembly, REC, Sem 2, Electronics Kit, 6 Robots</v>
      </c>
      <c r="S122" t="str">
        <f>"Assembly, REC, Sem 2, Electronics Kit, 6 Robots"</f>
        <v>Assembly, REC, Sem 2, Electronics Kit, 6 Robots</v>
      </c>
      <c r="T122">
        <v>364.18</v>
      </c>
      <c r="U122">
        <v>382</v>
      </c>
      <c r="V122">
        <v>348.52</v>
      </c>
      <c r="W122" t="str">
        <f t="shared" si="28"/>
        <v>rob</v>
      </c>
    </row>
    <row r="123" spans="1:23">
      <c r="A123" t="str">
        <f t="shared" si="31"/>
        <v>16-8106-1010</v>
      </c>
      <c r="B123" t="str">
        <f>"270-1906"</f>
        <v>270-1906</v>
      </c>
      <c r="C123" t="str">
        <f>"VEX, REC 2 Bundle Kit, Cortex"</f>
        <v>VEX, REC 2 Bundle Kit, Cortex</v>
      </c>
      <c r="D123">
        <v>6</v>
      </c>
      <c r="E123" t="str">
        <f t="shared" si="32"/>
        <v>LM5.X, Lab, REC 2, Cortex, 10 students</v>
      </c>
      <c r="F123">
        <v>999</v>
      </c>
      <c r="G123" t="str">
        <f t="shared" si="19"/>
        <v>Y</v>
      </c>
      <c r="H123" t="str">
        <f t="shared" si="27"/>
        <v>EA</v>
      </c>
      <c r="I123">
        <v>0</v>
      </c>
      <c r="J123">
        <v>0</v>
      </c>
      <c r="K123" t="str">
        <f t="shared" si="21"/>
        <v>Y</v>
      </c>
      <c r="L123">
        <v>0</v>
      </c>
      <c r="M123" t="str">
        <f t="shared" si="22"/>
        <v>NIS</v>
      </c>
      <c r="O123">
        <v>10</v>
      </c>
      <c r="P123" t="str">
        <f t="shared" si="33"/>
        <v>Active</v>
      </c>
      <c r="Q123" t="str">
        <f>"VEX, REC 2 Bundle Kit, Cortex"</f>
        <v>VEX, REC 2 Bundle Kit, Cortex</v>
      </c>
      <c r="S123" t="str">
        <f>"VEX, REC 2 Bundle Kit, Cortex"</f>
        <v>VEX, REC 2 Bundle Kit, Cortex</v>
      </c>
      <c r="T123">
        <v>266.72000000000003</v>
      </c>
      <c r="U123">
        <v>253</v>
      </c>
      <c r="V123">
        <v>400.16</v>
      </c>
      <c r="W123" t="str">
        <f t="shared" si="28"/>
        <v>rob</v>
      </c>
    </row>
    <row r="124" spans="1:23">
      <c r="A124" t="str">
        <f t="shared" ref="A124:A133" si="34">"16-8106-1020"</f>
        <v>16-8106-1020</v>
      </c>
      <c r="B124" t="str">
        <f>"17-8106-0000"</f>
        <v>17-8106-0000</v>
      </c>
      <c r="C124" t="str">
        <f>"LM5.X Content, Lab, REC 2, Cortex, TG"</f>
        <v>LM5.X Content, Lab, REC 2, Cortex, TG</v>
      </c>
      <c r="D124">
        <v>1</v>
      </c>
      <c r="E124" t="str">
        <f t="shared" ref="E124:E133" si="35">"LM5.X, Lab, REC 2, Cortex, 20 students"</f>
        <v>LM5.X, Lab, REC 2, Cortex, 20 students</v>
      </c>
      <c r="F124">
        <v>999</v>
      </c>
      <c r="G124" t="str">
        <f t="shared" si="19"/>
        <v>Y</v>
      </c>
      <c r="H124" t="str">
        <f t="shared" si="27"/>
        <v>EA</v>
      </c>
      <c r="I124">
        <v>0</v>
      </c>
      <c r="J124">
        <v>0</v>
      </c>
      <c r="K124" t="str">
        <f t="shared" si="21"/>
        <v>Y</v>
      </c>
      <c r="L124">
        <v>0</v>
      </c>
      <c r="M124" t="str">
        <f t="shared" si="22"/>
        <v>NIS</v>
      </c>
      <c r="O124">
        <v>1</v>
      </c>
      <c r="P124" t="str">
        <f t="shared" si="33"/>
        <v>Active</v>
      </c>
      <c r="Q124" t="str">
        <f>"LM5.X Content, Lab, REC 2, Cortex, TG"</f>
        <v>LM5.X Content, Lab, REC 2, Cortex, TG</v>
      </c>
      <c r="S124" t="str">
        <f>"LM5.X Content, Lab, REC 2, Cortex, TG"</f>
        <v>LM5.X Content, Lab, REC 2, Cortex, TG</v>
      </c>
      <c r="T124">
        <v>0</v>
      </c>
      <c r="U124">
        <v>5</v>
      </c>
      <c r="V124">
        <v>5.55</v>
      </c>
      <c r="W124" t="str">
        <f t="shared" si="28"/>
        <v>rob</v>
      </c>
    </row>
    <row r="125" spans="1:23">
      <c r="A125" t="str">
        <f t="shared" si="34"/>
        <v>16-8106-1020</v>
      </c>
      <c r="B125" t="str">
        <f>"17-8106-0070"</f>
        <v>17-8106-0070</v>
      </c>
      <c r="C125" t="str">
        <f>"LM5.X Content, Lab, REC 2, Cortex, Unit 7"</f>
        <v>LM5.X Content, Lab, REC 2, Cortex, Unit 7</v>
      </c>
      <c r="D125">
        <v>1</v>
      </c>
      <c r="E125" t="str">
        <f t="shared" si="35"/>
        <v>LM5.X, Lab, REC 2, Cortex, 20 students</v>
      </c>
      <c r="F125">
        <v>999</v>
      </c>
      <c r="G125" t="str">
        <f t="shared" si="19"/>
        <v>Y</v>
      </c>
      <c r="H125" t="str">
        <f t="shared" si="27"/>
        <v>EA</v>
      </c>
      <c r="I125">
        <v>0</v>
      </c>
      <c r="J125">
        <v>0</v>
      </c>
      <c r="K125" t="str">
        <f t="shared" si="21"/>
        <v>Y</v>
      </c>
      <c r="L125">
        <v>0</v>
      </c>
      <c r="M125" t="str">
        <f t="shared" si="22"/>
        <v>NIS</v>
      </c>
      <c r="O125">
        <v>2</v>
      </c>
      <c r="P125" t="str">
        <f t="shared" si="33"/>
        <v>Active</v>
      </c>
      <c r="Q125" t="str">
        <f>"LM5.X Content, Lab, REC 2, Cortex, Unit 7"</f>
        <v>LM5.X Content, Lab, REC 2, Cortex, Unit 7</v>
      </c>
      <c r="S125" t="str">
        <f>"LM5.X Content, Lab, REC 2, Cortex, Unit 7"</f>
        <v>LM5.X Content, Lab, REC 2, Cortex, Unit 7</v>
      </c>
      <c r="T125">
        <v>0</v>
      </c>
      <c r="U125">
        <v>5</v>
      </c>
      <c r="V125">
        <v>5</v>
      </c>
      <c r="W125" t="str">
        <f t="shared" si="28"/>
        <v>rob</v>
      </c>
    </row>
    <row r="126" spans="1:23">
      <c r="A126" t="str">
        <f t="shared" si="34"/>
        <v>16-8106-1020</v>
      </c>
      <c r="B126" t="str">
        <f>"17-8106-0080"</f>
        <v>17-8106-0080</v>
      </c>
      <c r="C126" t="str">
        <f>"LM5.X Content, Lab, REC 2, Cortex, Unit 8"</f>
        <v>LM5.X Content, Lab, REC 2, Cortex, Unit 8</v>
      </c>
      <c r="D126">
        <v>1</v>
      </c>
      <c r="E126" t="str">
        <f t="shared" si="35"/>
        <v>LM5.X, Lab, REC 2, Cortex, 20 students</v>
      </c>
      <c r="F126">
        <v>999</v>
      </c>
      <c r="G126" t="str">
        <f t="shared" si="19"/>
        <v>Y</v>
      </c>
      <c r="H126" t="str">
        <f t="shared" si="27"/>
        <v>EA</v>
      </c>
      <c r="I126">
        <v>0</v>
      </c>
      <c r="J126">
        <v>0</v>
      </c>
      <c r="K126" t="str">
        <f t="shared" si="21"/>
        <v>Y</v>
      </c>
      <c r="L126">
        <v>0</v>
      </c>
      <c r="M126" t="str">
        <f t="shared" si="22"/>
        <v>NIS</v>
      </c>
      <c r="O126">
        <v>3</v>
      </c>
      <c r="P126" t="str">
        <f t="shared" si="33"/>
        <v>Active</v>
      </c>
      <c r="Q126" t="str">
        <f>"LM5.X Content, Lab, REC 2, Cortex, Unit 8"</f>
        <v>LM5.X Content, Lab, REC 2, Cortex, Unit 8</v>
      </c>
      <c r="S126" t="str">
        <f>"LM5.X Content, Lab, REC 2, Cortex, Unit 8"</f>
        <v>LM5.X Content, Lab, REC 2, Cortex, Unit 8</v>
      </c>
      <c r="T126">
        <v>0</v>
      </c>
      <c r="U126">
        <v>5</v>
      </c>
      <c r="V126">
        <v>5</v>
      </c>
      <c r="W126" t="str">
        <f t="shared" si="28"/>
        <v>rob</v>
      </c>
    </row>
    <row r="127" spans="1:23">
      <c r="A127" t="str">
        <f t="shared" si="34"/>
        <v>16-8106-1020</v>
      </c>
      <c r="B127" t="str">
        <f>"17-8106-0090"</f>
        <v>17-8106-0090</v>
      </c>
      <c r="C127" t="str">
        <f>"LM5.X Content, Lab, REC 2, Cortex, Unit 9"</f>
        <v>LM5.X Content, Lab, REC 2, Cortex, Unit 9</v>
      </c>
      <c r="D127">
        <v>1</v>
      </c>
      <c r="E127" t="str">
        <f t="shared" si="35"/>
        <v>LM5.X, Lab, REC 2, Cortex, 20 students</v>
      </c>
      <c r="F127">
        <v>999</v>
      </c>
      <c r="G127" t="str">
        <f t="shared" si="19"/>
        <v>Y</v>
      </c>
      <c r="H127" t="str">
        <f t="shared" si="27"/>
        <v>EA</v>
      </c>
      <c r="I127">
        <v>0</v>
      </c>
      <c r="J127">
        <v>0</v>
      </c>
      <c r="K127" t="str">
        <f t="shared" si="21"/>
        <v>Y</v>
      </c>
      <c r="L127">
        <v>0</v>
      </c>
      <c r="M127" t="str">
        <f t="shared" si="22"/>
        <v>NIS</v>
      </c>
      <c r="O127">
        <v>4</v>
      </c>
      <c r="P127" t="str">
        <f t="shared" si="33"/>
        <v>Active</v>
      </c>
      <c r="Q127" t="str">
        <f>"LM5.X Content, Lab, REC 2, Cortex, Unit 9"</f>
        <v>LM5.X Content, Lab, REC 2, Cortex, Unit 9</v>
      </c>
      <c r="S127" t="str">
        <f>"LM5.X Content, Lab, REC 2, Cortex, Unit 9"</f>
        <v>LM5.X Content, Lab, REC 2, Cortex, Unit 9</v>
      </c>
      <c r="T127">
        <v>0</v>
      </c>
      <c r="U127">
        <v>5</v>
      </c>
      <c r="V127">
        <v>5</v>
      </c>
      <c r="W127" t="str">
        <f t="shared" si="28"/>
        <v>rob</v>
      </c>
    </row>
    <row r="128" spans="1:23">
      <c r="A128" t="str">
        <f t="shared" si="34"/>
        <v>16-8106-1020</v>
      </c>
      <c r="B128" t="str">
        <f>"17-8106-0100"</f>
        <v>17-8106-0100</v>
      </c>
      <c r="C128" t="str">
        <f>"LM5.X Content, Lab, REC 2, Cortex, Unit 10"</f>
        <v>LM5.X Content, Lab, REC 2, Cortex, Unit 10</v>
      </c>
      <c r="D128">
        <v>1</v>
      </c>
      <c r="E128" t="str">
        <f t="shared" si="35"/>
        <v>LM5.X, Lab, REC 2, Cortex, 20 students</v>
      </c>
      <c r="F128">
        <v>999</v>
      </c>
      <c r="G128" t="str">
        <f t="shared" si="19"/>
        <v>Y</v>
      </c>
      <c r="H128" t="str">
        <f t="shared" si="27"/>
        <v>EA</v>
      </c>
      <c r="I128">
        <v>0</v>
      </c>
      <c r="J128">
        <v>0</v>
      </c>
      <c r="K128" t="str">
        <f t="shared" si="21"/>
        <v>Y</v>
      </c>
      <c r="L128">
        <v>0</v>
      </c>
      <c r="M128" t="str">
        <f t="shared" si="22"/>
        <v>NIS</v>
      </c>
      <c r="O128">
        <v>5</v>
      </c>
      <c r="P128" t="str">
        <f t="shared" si="33"/>
        <v>Active</v>
      </c>
      <c r="Q128" t="str">
        <f>"LM5.X Content, Lab, REC 2, Cortex, Unit 10"</f>
        <v>LM5.X Content, Lab, REC 2, Cortex, Unit 10</v>
      </c>
      <c r="S128" t="str">
        <f>"LM5.X Content, Lab, REC 2, Cortex, Unit 10"</f>
        <v>LM5.X Content, Lab, REC 2, Cortex, Unit 10</v>
      </c>
      <c r="T128">
        <v>0</v>
      </c>
      <c r="U128">
        <v>5</v>
      </c>
      <c r="V128">
        <v>5</v>
      </c>
      <c r="W128" t="str">
        <f t="shared" si="28"/>
        <v>rob</v>
      </c>
    </row>
    <row r="129" spans="1:23">
      <c r="A129" t="str">
        <f t="shared" si="34"/>
        <v>16-8106-1020</v>
      </c>
      <c r="B129" t="str">
        <f>"17-8106-0110"</f>
        <v>17-8106-0110</v>
      </c>
      <c r="C129" t="str">
        <f>"LM5.X Content, Lab, REC 2, Cortex, Unit 11"</f>
        <v>LM5.X Content, Lab, REC 2, Cortex, Unit 11</v>
      </c>
      <c r="D129">
        <v>1</v>
      </c>
      <c r="E129" t="str">
        <f t="shared" si="35"/>
        <v>LM5.X, Lab, REC 2, Cortex, 20 students</v>
      </c>
      <c r="F129">
        <v>999</v>
      </c>
      <c r="G129" t="str">
        <f t="shared" si="19"/>
        <v>Y</v>
      </c>
      <c r="H129" t="str">
        <f t="shared" si="27"/>
        <v>EA</v>
      </c>
      <c r="I129">
        <v>0</v>
      </c>
      <c r="J129">
        <v>0</v>
      </c>
      <c r="K129" t="str">
        <f t="shared" si="21"/>
        <v>Y</v>
      </c>
      <c r="L129">
        <v>0</v>
      </c>
      <c r="M129" t="str">
        <f t="shared" si="22"/>
        <v>NIS</v>
      </c>
      <c r="O129">
        <v>6</v>
      </c>
      <c r="P129" t="str">
        <f t="shared" si="33"/>
        <v>Active</v>
      </c>
      <c r="Q129" t="str">
        <f>"LM5.X Content, Lab, REC 2, Cortex, Unit 11"</f>
        <v>LM5.X Content, Lab, REC 2, Cortex, Unit 11</v>
      </c>
      <c r="S129" t="str">
        <f>"LM5.X Content, Lab, REC 2, Cortex, Unit 11"</f>
        <v>LM5.X Content, Lab, REC 2, Cortex, Unit 11</v>
      </c>
      <c r="T129">
        <v>0</v>
      </c>
      <c r="U129">
        <v>5</v>
      </c>
      <c r="V129">
        <v>5</v>
      </c>
      <c r="W129" t="str">
        <f t="shared" si="28"/>
        <v>rob</v>
      </c>
    </row>
    <row r="130" spans="1:23">
      <c r="A130" t="str">
        <f t="shared" si="34"/>
        <v>16-8106-1020</v>
      </c>
      <c r="B130" t="str">
        <f>"17-8106-0120"</f>
        <v>17-8106-0120</v>
      </c>
      <c r="C130" t="str">
        <f>"LM5.X Content, Lab, REC 2, Cortex, Unit 12"</f>
        <v>LM5.X Content, Lab, REC 2, Cortex, Unit 12</v>
      </c>
      <c r="D130">
        <v>1</v>
      </c>
      <c r="E130" t="str">
        <f t="shared" si="35"/>
        <v>LM5.X, Lab, REC 2, Cortex, 20 students</v>
      </c>
      <c r="F130">
        <v>999</v>
      </c>
      <c r="G130" t="str">
        <f t="shared" ref="G130:G193" si="36">"Y"</f>
        <v>Y</v>
      </c>
      <c r="H130" t="str">
        <f t="shared" ref="H130:H161" si="37">"EA"</f>
        <v>EA</v>
      </c>
      <c r="I130">
        <v>0</v>
      </c>
      <c r="J130">
        <v>0</v>
      </c>
      <c r="K130" t="str">
        <f t="shared" ref="K130:K193" si="38">"Y"</f>
        <v>Y</v>
      </c>
      <c r="L130">
        <v>0</v>
      </c>
      <c r="M130" t="str">
        <f t="shared" ref="M130:M193" si="39">"NIS"</f>
        <v>NIS</v>
      </c>
      <c r="O130">
        <v>7</v>
      </c>
      <c r="P130" t="str">
        <f t="shared" si="33"/>
        <v>Active</v>
      </c>
      <c r="Q130" t="str">
        <f>"LM5.X Content, Lab, REC 2, Cortex, Unit 12"</f>
        <v>LM5.X Content, Lab, REC 2, Cortex, Unit 12</v>
      </c>
      <c r="S130" t="str">
        <f>"LM5.X Content, Lab, REC 2, Cortex, Unit 12"</f>
        <v>LM5.X Content, Lab, REC 2, Cortex, Unit 12</v>
      </c>
      <c r="T130">
        <v>0</v>
      </c>
      <c r="U130">
        <v>5</v>
      </c>
      <c r="V130">
        <v>5</v>
      </c>
      <c r="W130" t="str">
        <f t="shared" si="28"/>
        <v>rob</v>
      </c>
    </row>
    <row r="131" spans="1:23">
      <c r="A131" t="str">
        <f t="shared" si="34"/>
        <v>16-8106-1020</v>
      </c>
      <c r="B131" t="str">
        <f>"21-0007-0001"</f>
        <v>21-0007-0001</v>
      </c>
      <c r="C131" t="str">
        <f>"Assembly, REC, Semester 2 Project Kit"</f>
        <v>Assembly, REC, Semester 2 Project Kit</v>
      </c>
      <c r="D131">
        <v>1</v>
      </c>
      <c r="E131" t="str">
        <f t="shared" si="35"/>
        <v>LM5.X, Lab, REC 2, Cortex, 20 students</v>
      </c>
      <c r="F131">
        <v>999</v>
      </c>
      <c r="G131" t="str">
        <f t="shared" si="36"/>
        <v>Y</v>
      </c>
      <c r="H131" t="str">
        <f t="shared" si="37"/>
        <v>EA</v>
      </c>
      <c r="I131">
        <v>0</v>
      </c>
      <c r="J131">
        <v>0</v>
      </c>
      <c r="K131" t="str">
        <f t="shared" si="38"/>
        <v>Y</v>
      </c>
      <c r="L131">
        <v>0</v>
      </c>
      <c r="M131" t="str">
        <f t="shared" si="39"/>
        <v>NIS</v>
      </c>
      <c r="O131">
        <v>8</v>
      </c>
      <c r="P131" t="str">
        <f>"Phase Out"</f>
        <v>Phase Out</v>
      </c>
      <c r="Q131" t="str">
        <f>"Assembly, REC, Semester 2 Project Kit"</f>
        <v>Assembly, REC, Semester 2 Project Kit</v>
      </c>
      <c r="S131" t="str">
        <f>"Assembly, REC, Semester 2 Project Kit"</f>
        <v>Assembly, REC, Semester 2 Project Kit</v>
      </c>
      <c r="T131">
        <v>53.05</v>
      </c>
      <c r="U131">
        <v>54.47</v>
      </c>
      <c r="V131">
        <v>56.1</v>
      </c>
      <c r="W131" t="str">
        <f t="shared" si="28"/>
        <v>rob</v>
      </c>
    </row>
    <row r="132" spans="1:23">
      <c r="A132" t="str">
        <f t="shared" si="34"/>
        <v>16-8106-1020</v>
      </c>
      <c r="B132" t="str">
        <f>"22-0006-0011"</f>
        <v>22-0006-0011</v>
      </c>
      <c r="C132" t="str">
        <f>"Assembly, REC, Sem 2, Electronics Kit,11 Robots"</f>
        <v>Assembly, REC, Sem 2, Electronics Kit,11 Robots</v>
      </c>
      <c r="D132">
        <v>1</v>
      </c>
      <c r="E132" t="str">
        <f t="shared" si="35"/>
        <v>LM5.X, Lab, REC 2, Cortex, 20 students</v>
      </c>
      <c r="F132">
        <v>999</v>
      </c>
      <c r="G132" t="str">
        <f t="shared" si="36"/>
        <v>Y</v>
      </c>
      <c r="H132" t="str">
        <f t="shared" si="37"/>
        <v>EA</v>
      </c>
      <c r="I132">
        <v>0</v>
      </c>
      <c r="J132">
        <v>0</v>
      </c>
      <c r="K132" t="str">
        <f t="shared" si="38"/>
        <v>Y</v>
      </c>
      <c r="L132">
        <v>0</v>
      </c>
      <c r="M132" t="str">
        <f t="shared" si="39"/>
        <v>NIS</v>
      </c>
      <c r="O132">
        <v>9</v>
      </c>
      <c r="P132" t="str">
        <f t="shared" ref="P132:P152" si="40">"Active"</f>
        <v>Active</v>
      </c>
      <c r="Q132" t="str">
        <f>"Assembly, REC, Sem 2, Electronics Kit,11 Robots"</f>
        <v>Assembly, REC, Sem 2, Electronics Kit,11 Robots</v>
      </c>
      <c r="S132" t="str">
        <f>"Assembly, REC, Sem 2, Electronics Kit,11 Robots"</f>
        <v>Assembly, REC, Sem 2, Electronics Kit,11 Robots</v>
      </c>
      <c r="T132">
        <v>664.08</v>
      </c>
      <c r="U132">
        <v>785</v>
      </c>
      <c r="V132">
        <v>636.29999999999995</v>
      </c>
      <c r="W132" t="str">
        <f t="shared" si="28"/>
        <v>rob</v>
      </c>
    </row>
    <row r="133" spans="1:23">
      <c r="A133" t="str">
        <f t="shared" si="34"/>
        <v>16-8106-1020</v>
      </c>
      <c r="B133" t="str">
        <f>"270-1906"</f>
        <v>270-1906</v>
      </c>
      <c r="C133" t="str">
        <f>"VEX, REC 2 Bundle Kit, Cortex"</f>
        <v>VEX, REC 2 Bundle Kit, Cortex</v>
      </c>
      <c r="D133">
        <v>11</v>
      </c>
      <c r="E133" t="str">
        <f t="shared" si="35"/>
        <v>LM5.X, Lab, REC 2, Cortex, 20 students</v>
      </c>
      <c r="F133">
        <v>999</v>
      </c>
      <c r="G133" t="str">
        <f t="shared" si="36"/>
        <v>Y</v>
      </c>
      <c r="H133" t="str">
        <f t="shared" si="37"/>
        <v>EA</v>
      </c>
      <c r="I133">
        <v>0</v>
      </c>
      <c r="J133">
        <v>0</v>
      </c>
      <c r="K133" t="str">
        <f t="shared" si="38"/>
        <v>Y</v>
      </c>
      <c r="L133">
        <v>0</v>
      </c>
      <c r="M133" t="str">
        <f t="shared" si="39"/>
        <v>NIS</v>
      </c>
      <c r="O133">
        <v>10</v>
      </c>
      <c r="P133" t="str">
        <f t="shared" si="40"/>
        <v>Active</v>
      </c>
      <c r="Q133" t="str">
        <f>"VEX, REC 2 Bundle Kit, Cortex"</f>
        <v>VEX, REC 2 Bundle Kit, Cortex</v>
      </c>
      <c r="S133" t="str">
        <f>"VEX, REC 2 Bundle Kit, Cortex"</f>
        <v>VEX, REC 2 Bundle Kit, Cortex</v>
      </c>
      <c r="T133">
        <v>266.72000000000003</v>
      </c>
      <c r="U133">
        <v>253</v>
      </c>
      <c r="V133">
        <v>400.16</v>
      </c>
      <c r="W133" t="str">
        <f t="shared" si="28"/>
        <v>rob</v>
      </c>
    </row>
    <row r="134" spans="1:23">
      <c r="A134" t="str">
        <f>"16-BA02-0000"</f>
        <v>16-BA02-0000</v>
      </c>
      <c r="B134" t="str">
        <f>"17-BA02-0001"</f>
        <v>17-BA02-0001</v>
      </c>
      <c r="C134" t="str">
        <f>"LM5.X Content, JM, Blue Print Reading"</f>
        <v>LM5.X Content, JM, Blue Print Reading</v>
      </c>
      <c r="D134">
        <v>1</v>
      </c>
      <c r="E134" t="str">
        <f>"LM5.X, Virtual, JM, BA02, Blue Print Reading"</f>
        <v>LM5.X, Virtual, JM, BA02, Blue Print Reading</v>
      </c>
      <c r="F134">
        <v>0</v>
      </c>
      <c r="G134" t="str">
        <f t="shared" si="36"/>
        <v>Y</v>
      </c>
      <c r="H134" t="str">
        <f t="shared" si="37"/>
        <v>EA</v>
      </c>
      <c r="I134">
        <v>0</v>
      </c>
      <c r="J134">
        <v>0</v>
      </c>
      <c r="K134" t="str">
        <f t="shared" si="38"/>
        <v>Y</v>
      </c>
      <c r="L134">
        <v>0</v>
      </c>
      <c r="M134" t="str">
        <f t="shared" si="39"/>
        <v>NIS</v>
      </c>
      <c r="O134">
        <v>1</v>
      </c>
      <c r="P134" t="str">
        <f t="shared" si="40"/>
        <v>Active</v>
      </c>
      <c r="Q134" t="str">
        <f>"LM5.X Content, JM, Blue Print Reading"</f>
        <v>LM5.X Content, JM, Blue Print Reading</v>
      </c>
      <c r="S134" t="str">
        <f>"LM5.X Content, JM, Blue Print Reading"</f>
        <v>LM5.X Content, JM, Blue Print Reading</v>
      </c>
      <c r="T134">
        <v>0</v>
      </c>
      <c r="U134">
        <v>5</v>
      </c>
      <c r="V134">
        <v>5</v>
      </c>
      <c r="W134" t="str">
        <f t="shared" si="28"/>
        <v>rob</v>
      </c>
    </row>
    <row r="135" spans="1:23">
      <c r="A135" t="str">
        <f t="shared" ref="A135:A143" si="41">"3DP-H480-CLASS"</f>
        <v>3DP-H480-CLASS</v>
      </c>
      <c r="B135" t="str">
        <f>"63-2060-5001"</f>
        <v>63-2060-5001</v>
      </c>
      <c r="C135" t="str">
        <f>"EasyC V5.x, Perpetual, 1 student"</f>
        <v>EasyC V5.x, Perpetual, 1 student</v>
      </c>
      <c r="D135">
        <v>1</v>
      </c>
      <c r="E135" t="str">
        <f t="shared" ref="E135:E143" si="42">"3D Printing Classroom Pack: 2 H480 printers, 15 hours lab, filament, accessories &amp; 3 PD Vouchers"</f>
        <v>3D Printing Classroom Pack: 2 H480 printers, 15 hours lab, filament, accessories &amp; 3 PD Vouchers</v>
      </c>
      <c r="F135">
        <v>0</v>
      </c>
      <c r="G135" t="str">
        <f t="shared" si="36"/>
        <v>Y</v>
      </c>
      <c r="H135" t="str">
        <f t="shared" si="37"/>
        <v>EA</v>
      </c>
      <c r="I135">
        <v>0</v>
      </c>
      <c r="J135">
        <v>0</v>
      </c>
      <c r="K135" t="str">
        <f t="shared" si="38"/>
        <v>Y</v>
      </c>
      <c r="L135">
        <v>0</v>
      </c>
      <c r="M135" t="str">
        <f t="shared" si="39"/>
        <v>NIS</v>
      </c>
      <c r="O135">
        <v>20</v>
      </c>
      <c r="P135" t="str">
        <f t="shared" si="40"/>
        <v>Active</v>
      </c>
      <c r="Q135" t="str">
        <f>"EasyC V5.x, Perpetual, 1 student"</f>
        <v>EasyC V5.x, Perpetual, 1 student</v>
      </c>
      <c r="S135" t="str">
        <f>"EasyC V5.x, Perpetual, 1 student"</f>
        <v>EasyC V5.x, Perpetual, 1 student</v>
      </c>
      <c r="T135">
        <v>0</v>
      </c>
      <c r="U135">
        <v>10</v>
      </c>
      <c r="V135">
        <v>10.3</v>
      </c>
      <c r="W135" t="str">
        <f t="shared" ref="W135:W152" si="43">"zintel"</f>
        <v>zintel</v>
      </c>
    </row>
    <row r="136" spans="1:23">
      <c r="A136" t="str">
        <f t="shared" si="41"/>
        <v>3DP-H480-CLASS</v>
      </c>
      <c r="B136" t="str">
        <f>"77-8157-0000-L"</f>
        <v>77-8157-0000-L</v>
      </c>
      <c r="C136" t="str">
        <f>"OL Content, Intro. to 3D Printing, 1 Year Lease"</f>
        <v>OL Content, Intro. to 3D Printing, 1 Year Lease</v>
      </c>
      <c r="D136">
        <v>1</v>
      </c>
      <c r="E136" t="str">
        <f t="shared" si="42"/>
        <v>3D Printing Classroom Pack: 2 H480 printers, 15 hours lab, filament, accessories &amp; 3 PD Vouchers</v>
      </c>
      <c r="F136">
        <v>0</v>
      </c>
      <c r="G136" t="str">
        <f t="shared" si="36"/>
        <v>Y</v>
      </c>
      <c r="H136" t="str">
        <f t="shared" si="37"/>
        <v>EA</v>
      </c>
      <c r="I136">
        <v>0</v>
      </c>
      <c r="J136">
        <v>0</v>
      </c>
      <c r="K136" t="str">
        <f t="shared" si="38"/>
        <v>Y</v>
      </c>
      <c r="L136">
        <v>0</v>
      </c>
      <c r="M136" t="str">
        <f t="shared" si="39"/>
        <v>NIS</v>
      </c>
      <c r="O136">
        <v>13</v>
      </c>
      <c r="P136" t="str">
        <f t="shared" si="40"/>
        <v>Active</v>
      </c>
      <c r="Q136" t="str">
        <f>"OL Content, Intro. to 3D Printing, 1 Year Lease"</f>
        <v>OL Content, Intro. to 3D Printing, 1 Year Lease</v>
      </c>
      <c r="S136" t="str">
        <f>"OL Content, Intro. to 3D Printing, 1 Year Lease"</f>
        <v>OL Content, Intro. to 3D Printing, 1 Year Lease</v>
      </c>
      <c r="T136">
        <v>0</v>
      </c>
      <c r="U136">
        <v>5</v>
      </c>
      <c r="V136">
        <v>5</v>
      </c>
      <c r="W136" t="str">
        <f t="shared" si="43"/>
        <v>zintel</v>
      </c>
    </row>
    <row r="137" spans="1:23">
      <c r="A137" t="str">
        <f t="shared" si="41"/>
        <v>3DP-H480-CLASS</v>
      </c>
      <c r="B137" t="str">
        <f>"77-1207-1010"</f>
        <v>77-1207-1010</v>
      </c>
      <c r="C137" t="str">
        <f>"LearnMate 7, Single Class Hosted Flat Fee"</f>
        <v>LearnMate 7, Single Class Hosted Flat Fee</v>
      </c>
      <c r="D137">
        <v>1</v>
      </c>
      <c r="E137" t="str">
        <f t="shared" si="42"/>
        <v>3D Printing Classroom Pack: 2 H480 printers, 15 hours lab, filament, accessories &amp; 3 PD Vouchers</v>
      </c>
      <c r="F137">
        <v>0</v>
      </c>
      <c r="G137" t="str">
        <f t="shared" si="36"/>
        <v>Y</v>
      </c>
      <c r="H137" t="str">
        <f t="shared" si="37"/>
        <v>EA</v>
      </c>
      <c r="I137">
        <v>0</v>
      </c>
      <c r="J137">
        <v>0</v>
      </c>
      <c r="K137" t="str">
        <f t="shared" si="38"/>
        <v>Y</v>
      </c>
      <c r="L137">
        <v>0</v>
      </c>
      <c r="M137" t="str">
        <f t="shared" si="39"/>
        <v>NIS</v>
      </c>
      <c r="O137">
        <v>14</v>
      </c>
      <c r="P137" t="str">
        <f t="shared" si="40"/>
        <v>Active</v>
      </c>
      <c r="Q137" t="str">
        <f>"LearnMate 7, Single Class Hosted Flat Fee"</f>
        <v>LearnMate 7, Single Class Hosted Flat Fee</v>
      </c>
      <c r="S137" t="str">
        <f>"LearnMate 7, Single Class Hosted Flat Fee"</f>
        <v>LearnMate 7, Single Class Hosted Flat Fee</v>
      </c>
      <c r="T137">
        <v>0</v>
      </c>
      <c r="U137">
        <v>202</v>
      </c>
      <c r="V137">
        <v>200</v>
      </c>
      <c r="W137" t="str">
        <f t="shared" si="43"/>
        <v>zintel</v>
      </c>
    </row>
    <row r="138" spans="1:23">
      <c r="A138" t="str">
        <f t="shared" si="41"/>
        <v>3DP-H480-CLASS</v>
      </c>
      <c r="B138" t="str">
        <f>"00-3087-H480"</f>
        <v>00-3087-H480</v>
      </c>
      <c r="C138" t="str">
        <f>"Afinia H480 3D Printer"</f>
        <v>Afinia H480 3D Printer</v>
      </c>
      <c r="D138">
        <v>2</v>
      </c>
      <c r="E138" t="str">
        <f t="shared" si="42"/>
        <v>3D Printing Classroom Pack: 2 H480 printers, 15 hours lab, filament, accessories &amp; 3 PD Vouchers</v>
      </c>
      <c r="F138">
        <v>0</v>
      </c>
      <c r="G138" t="str">
        <f t="shared" si="36"/>
        <v>Y</v>
      </c>
      <c r="H138" t="str">
        <f t="shared" si="37"/>
        <v>EA</v>
      </c>
      <c r="I138">
        <v>0</v>
      </c>
      <c r="J138">
        <v>0</v>
      </c>
      <c r="K138" t="str">
        <f t="shared" si="38"/>
        <v>Y</v>
      </c>
      <c r="L138">
        <v>0</v>
      </c>
      <c r="M138" t="str">
        <f t="shared" si="39"/>
        <v>NIS</v>
      </c>
      <c r="O138">
        <v>1</v>
      </c>
      <c r="P138" t="str">
        <f t="shared" si="40"/>
        <v>Active</v>
      </c>
      <c r="Q138" t="str">
        <f>"Afinia H480 3D Printer"</f>
        <v>Afinia H480 3D Printer</v>
      </c>
      <c r="S138" t="str">
        <f>"Afinia H480 3D Printer"</f>
        <v>Afinia H480 3D Printer</v>
      </c>
      <c r="T138">
        <v>691.76</v>
      </c>
      <c r="U138">
        <v>665</v>
      </c>
      <c r="V138">
        <v>691.6</v>
      </c>
      <c r="W138" t="str">
        <f t="shared" si="43"/>
        <v>zintel</v>
      </c>
    </row>
    <row r="139" spans="1:23">
      <c r="A139" t="str">
        <f t="shared" si="41"/>
        <v>3DP-H480-CLASS</v>
      </c>
      <c r="B139" t="str">
        <f>"50-1202-2152"</f>
        <v>50-1202-2152</v>
      </c>
      <c r="C139" t="str">
        <f>"Ext Warranty, 2nd yr, Afinia H480"</f>
        <v>Ext Warranty, 2nd yr, Afinia H480</v>
      </c>
      <c r="D139">
        <v>2</v>
      </c>
      <c r="E139" t="str">
        <f t="shared" si="42"/>
        <v>3D Printing Classroom Pack: 2 H480 printers, 15 hours lab, filament, accessories &amp; 3 PD Vouchers</v>
      </c>
      <c r="F139">
        <v>0</v>
      </c>
      <c r="G139" t="str">
        <f t="shared" si="36"/>
        <v>Y</v>
      </c>
      <c r="H139" t="str">
        <f t="shared" si="37"/>
        <v>EA</v>
      </c>
      <c r="I139">
        <v>0</v>
      </c>
      <c r="J139">
        <v>0</v>
      </c>
      <c r="K139" t="str">
        <f t="shared" si="38"/>
        <v>Y</v>
      </c>
      <c r="L139">
        <v>0</v>
      </c>
      <c r="M139" t="str">
        <f t="shared" si="39"/>
        <v>NIS</v>
      </c>
      <c r="O139">
        <v>2</v>
      </c>
      <c r="P139" t="str">
        <f t="shared" si="40"/>
        <v>Active</v>
      </c>
      <c r="Q139" t="str">
        <f>"Ext Warranty, 2nd yr, Afinia H480"</f>
        <v>Ext Warranty, 2nd yr, Afinia H480</v>
      </c>
      <c r="S139" t="str">
        <f>"Ext Warranty, 2nd yr, Afinia H480"</f>
        <v>Ext Warranty, 2nd yr, Afinia H480</v>
      </c>
      <c r="T139">
        <v>111.66</v>
      </c>
      <c r="U139">
        <v>175.5</v>
      </c>
      <c r="V139">
        <v>182.52</v>
      </c>
      <c r="W139" t="str">
        <f t="shared" si="43"/>
        <v>zintel</v>
      </c>
    </row>
    <row r="140" spans="1:23">
      <c r="A140" t="str">
        <f t="shared" si="41"/>
        <v>3DP-H480-CLASS</v>
      </c>
      <c r="B140" t="str">
        <f>"10-1202-4644"</f>
        <v>10-1202-4644</v>
      </c>
      <c r="C140" t="str">
        <f>"Cell/Perf Board, Afinia H480"</f>
        <v>Cell/Perf Board, Afinia H480</v>
      </c>
      <c r="D140">
        <v>3</v>
      </c>
      <c r="E140" t="str">
        <f t="shared" si="42"/>
        <v>3D Printing Classroom Pack: 2 H480 printers, 15 hours lab, filament, accessories &amp; 3 PD Vouchers</v>
      </c>
      <c r="F140">
        <v>0</v>
      </c>
      <c r="G140" t="str">
        <f t="shared" si="36"/>
        <v>Y</v>
      </c>
      <c r="H140" t="str">
        <f t="shared" si="37"/>
        <v>EA</v>
      </c>
      <c r="I140">
        <v>0</v>
      </c>
      <c r="J140">
        <v>0</v>
      </c>
      <c r="K140" t="str">
        <f t="shared" si="38"/>
        <v>Y</v>
      </c>
      <c r="L140">
        <v>0</v>
      </c>
      <c r="M140" t="str">
        <f t="shared" si="39"/>
        <v>NIS</v>
      </c>
      <c r="O140">
        <v>3</v>
      </c>
      <c r="P140" t="str">
        <f t="shared" si="40"/>
        <v>Active</v>
      </c>
      <c r="Q140" t="str">
        <f>"Cell/Perf Board, Afinia H480"</f>
        <v>Cell/Perf Board, Afinia H480</v>
      </c>
      <c r="S140" t="str">
        <f>"Cell/Perf Board, Afinia H480"</f>
        <v>Cell/Perf Board, Afinia H480</v>
      </c>
      <c r="T140">
        <v>20.56</v>
      </c>
      <c r="U140">
        <v>21.17</v>
      </c>
      <c r="V140">
        <v>22.02</v>
      </c>
      <c r="W140" t="str">
        <f t="shared" si="43"/>
        <v>zintel</v>
      </c>
    </row>
    <row r="141" spans="1:23">
      <c r="A141" t="str">
        <f t="shared" si="41"/>
        <v>3DP-H480-CLASS</v>
      </c>
      <c r="B141" t="str">
        <f>"10-1202-3727"</f>
        <v>10-1202-3727</v>
      </c>
      <c r="C141" t="str">
        <f>"BuildTak, H479-H480 platform surfaces-3pk"</f>
        <v>BuildTak, H479-H480 platform surfaces-3pk</v>
      </c>
      <c r="D141">
        <v>1</v>
      </c>
      <c r="E141" t="str">
        <f t="shared" si="42"/>
        <v>3D Printing Classroom Pack: 2 H480 printers, 15 hours lab, filament, accessories &amp; 3 PD Vouchers</v>
      </c>
      <c r="F141">
        <v>0</v>
      </c>
      <c r="G141" t="str">
        <f t="shared" si="36"/>
        <v>Y</v>
      </c>
      <c r="H141" t="str">
        <f t="shared" si="37"/>
        <v>EA</v>
      </c>
      <c r="I141">
        <v>0</v>
      </c>
      <c r="J141">
        <v>0</v>
      </c>
      <c r="K141" t="str">
        <f t="shared" si="38"/>
        <v>Y</v>
      </c>
      <c r="L141">
        <v>0</v>
      </c>
      <c r="M141" t="str">
        <f t="shared" si="39"/>
        <v>NIS</v>
      </c>
      <c r="O141">
        <v>4</v>
      </c>
      <c r="P141" t="str">
        <f t="shared" si="40"/>
        <v>Active</v>
      </c>
      <c r="Q141" t="str">
        <f>"BuildTak, H479-H480 platform surfaces-3pk"</f>
        <v>BuildTak, H479-H480 platform surfaces-3pk</v>
      </c>
      <c r="S141" t="str">
        <f>"BuildTak, H479-H480 platform surfaces-3pk"</f>
        <v>BuildTak, H479-H480 platform surfaces-3pk</v>
      </c>
      <c r="T141">
        <v>19.53</v>
      </c>
      <c r="U141">
        <v>20.66</v>
      </c>
      <c r="V141">
        <v>21.49</v>
      </c>
      <c r="W141" t="str">
        <f t="shared" si="43"/>
        <v>zintel</v>
      </c>
    </row>
    <row r="142" spans="1:23">
      <c r="A142" t="str">
        <f t="shared" si="41"/>
        <v>3DP-H480-CLASS</v>
      </c>
      <c r="B142" t="str">
        <f>"10-1202-5421"</f>
        <v>10-1202-5421</v>
      </c>
      <c r="C142" t="str">
        <f>"Nozzle , H480-02 - H800"</f>
        <v>Nozzle , H480-02 - H800</v>
      </c>
      <c r="D142">
        <v>1</v>
      </c>
      <c r="E142" t="str">
        <f t="shared" si="42"/>
        <v>3D Printing Classroom Pack: 2 H480 printers, 15 hours lab, filament, accessories &amp; 3 PD Vouchers</v>
      </c>
      <c r="F142">
        <v>0</v>
      </c>
      <c r="G142" t="str">
        <f t="shared" si="36"/>
        <v>Y</v>
      </c>
      <c r="H142" t="str">
        <f t="shared" si="37"/>
        <v>EA</v>
      </c>
      <c r="I142">
        <v>0</v>
      </c>
      <c r="J142">
        <v>0</v>
      </c>
      <c r="K142" t="str">
        <f t="shared" si="38"/>
        <v>Y</v>
      </c>
      <c r="L142">
        <v>0</v>
      </c>
      <c r="M142" t="str">
        <f t="shared" si="39"/>
        <v>NIS</v>
      </c>
      <c r="O142">
        <v>5</v>
      </c>
      <c r="P142" t="str">
        <f t="shared" si="40"/>
        <v>Active</v>
      </c>
      <c r="Q142" t="str">
        <f>"Nozzle , H480-02 - H800"</f>
        <v>Nozzle , H480-02 - H800</v>
      </c>
      <c r="S142" t="str">
        <f>"Nozzle , H480-02 - H800"</f>
        <v>Nozzle , H480-02 - H800</v>
      </c>
      <c r="T142">
        <v>24.15</v>
      </c>
      <c r="U142">
        <v>23.81</v>
      </c>
      <c r="V142">
        <v>24.76</v>
      </c>
      <c r="W142" t="str">
        <f t="shared" si="43"/>
        <v>zintel</v>
      </c>
    </row>
    <row r="143" spans="1:23">
      <c r="A143" t="str">
        <f t="shared" si="41"/>
        <v>3DP-H480-CLASS</v>
      </c>
      <c r="B143" t="str">
        <f>"50-0001-0SPC"</f>
        <v>50-0001-0SPC</v>
      </c>
      <c r="C143" t="str">
        <f>"5 hr. Self-Paced PD Course"</f>
        <v>5 hr. Self-Paced PD Course</v>
      </c>
      <c r="D143">
        <v>3</v>
      </c>
      <c r="E143" t="str">
        <f t="shared" si="42"/>
        <v>3D Printing Classroom Pack: 2 H480 printers, 15 hours lab, filament, accessories &amp; 3 PD Vouchers</v>
      </c>
      <c r="F143">
        <v>0</v>
      </c>
      <c r="G143" t="str">
        <f t="shared" si="36"/>
        <v>Y</v>
      </c>
      <c r="H143" t="str">
        <f t="shared" si="37"/>
        <v>EA</v>
      </c>
      <c r="I143">
        <v>0</v>
      </c>
      <c r="J143">
        <v>0</v>
      </c>
      <c r="K143" t="str">
        <f t="shared" si="38"/>
        <v>Y</v>
      </c>
      <c r="L143">
        <v>0</v>
      </c>
      <c r="M143" t="str">
        <f t="shared" si="39"/>
        <v>NIS</v>
      </c>
      <c r="O143">
        <v>6</v>
      </c>
      <c r="P143" t="str">
        <f t="shared" si="40"/>
        <v>Active</v>
      </c>
      <c r="Q143" t="str">
        <f>"5 hr. Self-Paced PD Course"</f>
        <v>5 hr. Self-Paced PD Course</v>
      </c>
      <c r="S143" t="str">
        <f>"5 hr. Self-Paced PD Course"</f>
        <v>5 hr. Self-Paced PD Course</v>
      </c>
      <c r="T143">
        <v>5.2</v>
      </c>
      <c r="U143">
        <v>5</v>
      </c>
      <c r="V143">
        <v>0</v>
      </c>
      <c r="W143" t="str">
        <f t="shared" si="43"/>
        <v>zintel</v>
      </c>
    </row>
    <row r="144" spans="1:23">
      <c r="A144" t="str">
        <f t="shared" ref="A144:A152" si="44">"3DP-H800-CLASS"</f>
        <v>3DP-H800-CLASS</v>
      </c>
      <c r="B144" t="str">
        <f>"77-8157-0000-L"</f>
        <v>77-8157-0000-L</v>
      </c>
      <c r="C144" t="str">
        <f>"OL Content, Intro. to 3D Printing, 1 Year Lease"</f>
        <v>OL Content, Intro. to 3D Printing, 1 Year Lease</v>
      </c>
      <c r="D144">
        <v>1</v>
      </c>
      <c r="E144" t="str">
        <f t="shared" ref="E144:E152" si="45">"3D Printing Classroom Pack:2 H800 printers, 15 hours lab, filament, accessories &amp; 3 PD vouchers"</f>
        <v>3D Printing Classroom Pack:2 H800 printers, 15 hours lab, filament, accessories &amp; 3 PD vouchers</v>
      </c>
      <c r="F144">
        <v>0</v>
      </c>
      <c r="G144" t="str">
        <f t="shared" si="36"/>
        <v>Y</v>
      </c>
      <c r="H144" t="str">
        <f t="shared" si="37"/>
        <v>EA</v>
      </c>
      <c r="I144">
        <v>0</v>
      </c>
      <c r="J144">
        <v>0</v>
      </c>
      <c r="K144" t="str">
        <f t="shared" si="38"/>
        <v>Y</v>
      </c>
      <c r="L144">
        <v>0</v>
      </c>
      <c r="M144" t="str">
        <f t="shared" si="39"/>
        <v>NIS</v>
      </c>
      <c r="O144">
        <v>12</v>
      </c>
      <c r="P144" t="str">
        <f t="shared" si="40"/>
        <v>Active</v>
      </c>
      <c r="Q144" t="str">
        <f>"OL Content, Intro. to 3D Printing, 1 Year Lease"</f>
        <v>OL Content, Intro. to 3D Printing, 1 Year Lease</v>
      </c>
      <c r="S144" t="str">
        <f>"OL Content, Intro. to 3D Printing, 1 Year Lease"</f>
        <v>OL Content, Intro. to 3D Printing, 1 Year Lease</v>
      </c>
      <c r="T144">
        <v>0</v>
      </c>
      <c r="U144">
        <v>5</v>
      </c>
      <c r="V144">
        <v>5</v>
      </c>
      <c r="W144" t="str">
        <f t="shared" si="43"/>
        <v>zintel</v>
      </c>
    </row>
    <row r="145" spans="1:23">
      <c r="A145" t="str">
        <f t="shared" si="44"/>
        <v>3DP-H800-CLASS</v>
      </c>
      <c r="B145" t="str">
        <f>"77-1207-1010"</f>
        <v>77-1207-1010</v>
      </c>
      <c r="C145" t="str">
        <f>"LearnMate 7, Single Class Hosted Flat Fee"</f>
        <v>LearnMate 7, Single Class Hosted Flat Fee</v>
      </c>
      <c r="D145">
        <v>1</v>
      </c>
      <c r="E145" t="str">
        <f t="shared" si="45"/>
        <v>3D Printing Classroom Pack:2 H800 printers, 15 hours lab, filament, accessories &amp; 3 PD vouchers</v>
      </c>
      <c r="F145">
        <v>0</v>
      </c>
      <c r="G145" t="str">
        <f t="shared" si="36"/>
        <v>Y</v>
      </c>
      <c r="H145" t="str">
        <f t="shared" si="37"/>
        <v>EA</v>
      </c>
      <c r="I145">
        <v>0</v>
      </c>
      <c r="J145">
        <v>0</v>
      </c>
      <c r="K145" t="str">
        <f t="shared" si="38"/>
        <v>Y</v>
      </c>
      <c r="L145">
        <v>0</v>
      </c>
      <c r="M145" t="str">
        <f t="shared" si="39"/>
        <v>NIS</v>
      </c>
      <c r="O145">
        <v>15</v>
      </c>
      <c r="P145" t="str">
        <f t="shared" si="40"/>
        <v>Active</v>
      </c>
      <c r="Q145" t="str">
        <f>"LearnMate 7, Single Class Hosted Flat Fee"</f>
        <v>LearnMate 7, Single Class Hosted Flat Fee</v>
      </c>
      <c r="S145" t="str">
        <f>"LearnMate 7, Single Class Hosted Flat Fee"</f>
        <v>LearnMate 7, Single Class Hosted Flat Fee</v>
      </c>
      <c r="T145">
        <v>0</v>
      </c>
      <c r="U145">
        <v>202</v>
      </c>
      <c r="V145">
        <v>200</v>
      </c>
      <c r="W145" t="str">
        <f t="shared" si="43"/>
        <v>zintel</v>
      </c>
    </row>
    <row r="146" spans="1:23">
      <c r="A146" t="str">
        <f t="shared" si="44"/>
        <v>3DP-H800-CLASS</v>
      </c>
      <c r="B146" t="str">
        <f>"00-3087-H800"</f>
        <v>00-3087-H800</v>
      </c>
      <c r="C146" t="str">
        <f>"Afinia H800 3D Printer"</f>
        <v>Afinia H800 3D Printer</v>
      </c>
      <c r="D146">
        <v>2</v>
      </c>
      <c r="E146" t="str">
        <f t="shared" si="45"/>
        <v>3D Printing Classroom Pack:2 H800 printers, 15 hours lab, filament, accessories &amp; 3 PD vouchers</v>
      </c>
      <c r="F146">
        <v>0</v>
      </c>
      <c r="G146" t="str">
        <f t="shared" si="36"/>
        <v>Y</v>
      </c>
      <c r="H146" t="str">
        <f t="shared" si="37"/>
        <v>EA</v>
      </c>
      <c r="I146">
        <v>0</v>
      </c>
      <c r="J146">
        <v>0</v>
      </c>
      <c r="K146" t="str">
        <f t="shared" si="38"/>
        <v>Y</v>
      </c>
      <c r="L146">
        <v>0</v>
      </c>
      <c r="M146" t="str">
        <f t="shared" si="39"/>
        <v>NIS</v>
      </c>
      <c r="O146">
        <v>1</v>
      </c>
      <c r="P146" t="str">
        <f t="shared" si="40"/>
        <v>Active</v>
      </c>
      <c r="Q146" t="str">
        <f>"Afinia H800 3D Printer"</f>
        <v>Afinia H800 3D Printer</v>
      </c>
      <c r="S146" t="str">
        <f>"Afinia H800 3D Printer"</f>
        <v>Afinia H800 3D Printer</v>
      </c>
      <c r="T146" s="44">
        <v>1618.23</v>
      </c>
      <c r="U146" s="44">
        <v>1674.77</v>
      </c>
      <c r="V146" s="44">
        <v>1741.76</v>
      </c>
      <c r="W146" t="str">
        <f t="shared" si="43"/>
        <v>zintel</v>
      </c>
    </row>
    <row r="147" spans="1:23">
      <c r="A147" t="str">
        <f t="shared" si="44"/>
        <v>3DP-H800-CLASS</v>
      </c>
      <c r="B147" t="str">
        <f>"50-1202-5176"</f>
        <v>50-1202-5176</v>
      </c>
      <c r="C147" t="str">
        <f>"Ext Warranty, 2nd yr, Afinia H800"</f>
        <v>Ext Warranty, 2nd yr, Afinia H800</v>
      </c>
      <c r="D147">
        <v>2</v>
      </c>
      <c r="E147" t="str">
        <f t="shared" si="45"/>
        <v>3D Printing Classroom Pack:2 H800 printers, 15 hours lab, filament, accessories &amp; 3 PD vouchers</v>
      </c>
      <c r="F147">
        <v>0</v>
      </c>
      <c r="G147" t="str">
        <f t="shared" si="36"/>
        <v>Y</v>
      </c>
      <c r="H147" t="str">
        <f t="shared" si="37"/>
        <v>EA</v>
      </c>
      <c r="I147">
        <v>0</v>
      </c>
      <c r="J147">
        <v>0</v>
      </c>
      <c r="K147" t="str">
        <f t="shared" si="38"/>
        <v>Y</v>
      </c>
      <c r="L147">
        <v>0</v>
      </c>
      <c r="M147" t="str">
        <f t="shared" si="39"/>
        <v>NIS</v>
      </c>
      <c r="O147">
        <v>2</v>
      </c>
      <c r="P147" t="str">
        <f t="shared" si="40"/>
        <v>Active</v>
      </c>
      <c r="Q147" t="str">
        <f>"Ext Warranty, 2nd yr, Afinia H800"</f>
        <v>Ext Warranty, 2nd yr, Afinia H800</v>
      </c>
      <c r="S147" t="str">
        <f>"Ext Warranty, 2nd yr, Afinia H800"</f>
        <v>Ext Warranty, 2nd yr, Afinia H800</v>
      </c>
      <c r="T147">
        <v>339.4</v>
      </c>
      <c r="U147">
        <v>351.89</v>
      </c>
      <c r="V147">
        <v>365.97</v>
      </c>
      <c r="W147" t="str">
        <f t="shared" si="43"/>
        <v>zintel</v>
      </c>
    </row>
    <row r="148" spans="1:23">
      <c r="A148" t="str">
        <f t="shared" si="44"/>
        <v>3DP-H800-CLASS</v>
      </c>
      <c r="B148" t="str">
        <f>"10-1202-5596"</f>
        <v>10-1202-5596</v>
      </c>
      <c r="C148" t="str">
        <f>"Cell/Perf Board, Afinia H800"</f>
        <v>Cell/Perf Board, Afinia H800</v>
      </c>
      <c r="D148">
        <v>3</v>
      </c>
      <c r="E148" t="str">
        <f t="shared" si="45"/>
        <v>3D Printing Classroom Pack:2 H800 printers, 15 hours lab, filament, accessories &amp; 3 PD vouchers</v>
      </c>
      <c r="F148">
        <v>0</v>
      </c>
      <c r="G148" t="str">
        <f t="shared" si="36"/>
        <v>Y</v>
      </c>
      <c r="H148" t="str">
        <f t="shared" si="37"/>
        <v>EA</v>
      </c>
      <c r="I148">
        <v>0</v>
      </c>
      <c r="J148">
        <v>0</v>
      </c>
      <c r="K148" t="str">
        <f t="shared" si="38"/>
        <v>Y</v>
      </c>
      <c r="L148">
        <v>0</v>
      </c>
      <c r="M148" t="str">
        <f t="shared" si="39"/>
        <v>NIS</v>
      </c>
      <c r="O148">
        <v>3</v>
      </c>
      <c r="P148" t="str">
        <f t="shared" si="40"/>
        <v>Active</v>
      </c>
      <c r="Q148" t="str">
        <f>"Cell/Perf Board, Afinia H800"</f>
        <v>Cell/Perf Board, Afinia H800</v>
      </c>
      <c r="S148" t="str">
        <f>"Cell/Perf Board, Afinia H800"</f>
        <v>Cell/Perf Board, Afinia H800</v>
      </c>
      <c r="T148">
        <v>33.880000000000003</v>
      </c>
      <c r="U148">
        <v>35.270000000000003</v>
      </c>
      <c r="V148">
        <v>36.68</v>
      </c>
      <c r="W148" t="str">
        <f t="shared" si="43"/>
        <v>zintel</v>
      </c>
    </row>
    <row r="149" spans="1:23">
      <c r="A149" t="str">
        <f t="shared" si="44"/>
        <v>3DP-H800-CLASS</v>
      </c>
      <c r="B149" t="str">
        <f>"10-1202-5568"</f>
        <v>10-1202-5568</v>
      </c>
      <c r="C149" t="str">
        <f>"BuildTak, H800 platform surfaces-3pk"</f>
        <v>BuildTak, H800 platform surfaces-3pk</v>
      </c>
      <c r="D149">
        <v>1</v>
      </c>
      <c r="E149" t="str">
        <f t="shared" si="45"/>
        <v>3D Printing Classroom Pack:2 H800 printers, 15 hours lab, filament, accessories &amp; 3 PD vouchers</v>
      </c>
      <c r="F149">
        <v>0</v>
      </c>
      <c r="G149" t="str">
        <f t="shared" si="36"/>
        <v>Y</v>
      </c>
      <c r="H149" t="str">
        <f t="shared" si="37"/>
        <v>EA</v>
      </c>
      <c r="I149">
        <v>0</v>
      </c>
      <c r="J149">
        <v>0</v>
      </c>
      <c r="K149" t="str">
        <f t="shared" si="38"/>
        <v>Y</v>
      </c>
      <c r="L149">
        <v>0</v>
      </c>
      <c r="M149" t="str">
        <f t="shared" si="39"/>
        <v>NIS</v>
      </c>
      <c r="O149">
        <v>4</v>
      </c>
      <c r="P149" t="str">
        <f t="shared" si="40"/>
        <v>Active</v>
      </c>
      <c r="Q149" t="str">
        <f>"BuildTak, H800 platform surfaces-3pk"</f>
        <v>BuildTak, H800 platform surfaces-3pk</v>
      </c>
      <c r="S149" t="str">
        <f>"BuildTak, H800 platform surfaces-3pk"</f>
        <v>BuildTak, H800 platform surfaces-3pk</v>
      </c>
      <c r="T149">
        <v>47.74</v>
      </c>
      <c r="U149">
        <v>49.6</v>
      </c>
      <c r="V149">
        <v>51.58</v>
      </c>
      <c r="W149" t="str">
        <f t="shared" si="43"/>
        <v>zintel</v>
      </c>
    </row>
    <row r="150" spans="1:23">
      <c r="A150" t="str">
        <f t="shared" si="44"/>
        <v>3DP-H800-CLASS</v>
      </c>
      <c r="B150" t="str">
        <f>"10-1202-5421"</f>
        <v>10-1202-5421</v>
      </c>
      <c r="C150" t="str">
        <f>"Nozzle , H480-02 - H800"</f>
        <v>Nozzle , H480-02 - H800</v>
      </c>
      <c r="D150">
        <v>1</v>
      </c>
      <c r="E150" t="str">
        <f t="shared" si="45"/>
        <v>3D Printing Classroom Pack:2 H800 printers, 15 hours lab, filament, accessories &amp; 3 PD vouchers</v>
      </c>
      <c r="F150">
        <v>0</v>
      </c>
      <c r="G150" t="str">
        <f t="shared" si="36"/>
        <v>Y</v>
      </c>
      <c r="H150" t="str">
        <f t="shared" si="37"/>
        <v>EA</v>
      </c>
      <c r="I150">
        <v>0</v>
      </c>
      <c r="J150">
        <v>0</v>
      </c>
      <c r="K150" t="str">
        <f t="shared" si="38"/>
        <v>Y</v>
      </c>
      <c r="L150">
        <v>0</v>
      </c>
      <c r="M150" t="str">
        <f t="shared" si="39"/>
        <v>NIS</v>
      </c>
      <c r="O150">
        <v>13</v>
      </c>
      <c r="P150" t="str">
        <f t="shared" si="40"/>
        <v>Active</v>
      </c>
      <c r="Q150" t="str">
        <f>"Nozzle , H480-02 - H800"</f>
        <v>Nozzle , H480-02 - H800</v>
      </c>
      <c r="S150" t="str">
        <f>"Nozzle , H480-02 - H800"</f>
        <v>Nozzle , H480-02 - H800</v>
      </c>
      <c r="T150">
        <v>24.15</v>
      </c>
      <c r="U150">
        <v>23.81</v>
      </c>
      <c r="V150">
        <v>24.76</v>
      </c>
      <c r="W150" t="str">
        <f t="shared" si="43"/>
        <v>zintel</v>
      </c>
    </row>
    <row r="151" spans="1:23">
      <c r="A151" t="str">
        <f t="shared" si="44"/>
        <v>3DP-H800-CLASS</v>
      </c>
      <c r="B151" t="str">
        <f>"10-1202-5603"</f>
        <v>10-1202-5603</v>
      </c>
      <c r="C151" t="str">
        <f>"Air Filter, Afinia H800,HEPA 7"</f>
        <v>Air Filter, Afinia H800,HEPA 7</v>
      </c>
      <c r="D151">
        <v>1</v>
      </c>
      <c r="E151" t="str">
        <f t="shared" si="45"/>
        <v>3D Printing Classroom Pack:2 H800 printers, 15 hours lab, filament, accessories &amp; 3 PD vouchers</v>
      </c>
      <c r="F151">
        <v>0</v>
      </c>
      <c r="G151" t="str">
        <f t="shared" si="36"/>
        <v>Y</v>
      </c>
      <c r="H151" t="str">
        <f t="shared" si="37"/>
        <v>EA</v>
      </c>
      <c r="I151">
        <v>0</v>
      </c>
      <c r="J151">
        <v>0</v>
      </c>
      <c r="K151" t="str">
        <f t="shared" si="38"/>
        <v>Y</v>
      </c>
      <c r="L151">
        <v>0</v>
      </c>
      <c r="M151" t="str">
        <f t="shared" si="39"/>
        <v>NIS</v>
      </c>
      <c r="O151">
        <v>14</v>
      </c>
      <c r="P151" t="str">
        <f t="shared" si="40"/>
        <v>Active</v>
      </c>
      <c r="Q151" t="str">
        <f>"Air Filter, Afinia H800,HEPA 7"</f>
        <v>Air Filter, Afinia H800,HEPA 7</v>
      </c>
      <c r="S151" t="str">
        <f>"Air Filter, Afinia H800,HEPA 7"</f>
        <v>Air Filter, Afinia H800,HEPA 7</v>
      </c>
      <c r="T151">
        <v>15.58</v>
      </c>
      <c r="U151">
        <v>15.2</v>
      </c>
      <c r="V151">
        <v>17.43</v>
      </c>
      <c r="W151" t="str">
        <f t="shared" si="43"/>
        <v>zintel</v>
      </c>
    </row>
    <row r="152" spans="1:23">
      <c r="A152" t="str">
        <f t="shared" si="44"/>
        <v>3DP-H800-CLASS</v>
      </c>
      <c r="B152" t="str">
        <f>"50-0001-0SPC"</f>
        <v>50-0001-0SPC</v>
      </c>
      <c r="C152" t="str">
        <f>"5 hr. Self-Paced PD Course"</f>
        <v>5 hr. Self-Paced PD Course</v>
      </c>
      <c r="D152">
        <v>3</v>
      </c>
      <c r="E152" t="str">
        <f t="shared" si="45"/>
        <v>3D Printing Classroom Pack:2 H800 printers, 15 hours lab, filament, accessories &amp; 3 PD vouchers</v>
      </c>
      <c r="F152">
        <v>0</v>
      </c>
      <c r="G152" t="str">
        <f t="shared" si="36"/>
        <v>Y</v>
      </c>
      <c r="H152" t="str">
        <f t="shared" si="37"/>
        <v>EA</v>
      </c>
      <c r="I152">
        <v>0</v>
      </c>
      <c r="J152">
        <v>0</v>
      </c>
      <c r="K152" t="str">
        <f t="shared" si="38"/>
        <v>Y</v>
      </c>
      <c r="L152">
        <v>0</v>
      </c>
      <c r="M152" t="str">
        <f t="shared" si="39"/>
        <v>NIS</v>
      </c>
      <c r="N152" t="str">
        <f>"Y"</f>
        <v>Y</v>
      </c>
      <c r="O152">
        <v>5</v>
      </c>
      <c r="P152" t="str">
        <f t="shared" si="40"/>
        <v>Active</v>
      </c>
      <c r="Q152" t="str">
        <f>"5 hr. Self-Paced PD Course"</f>
        <v>5 hr. Self-Paced PD Course</v>
      </c>
      <c r="S152" t="str">
        <f>"5 hr. Self-Paced PD Course"</f>
        <v>5 hr. Self-Paced PD Course</v>
      </c>
      <c r="T152">
        <v>5.2</v>
      </c>
      <c r="U152">
        <v>5</v>
      </c>
      <c r="V152">
        <v>0</v>
      </c>
      <c r="W152" t="str">
        <f t="shared" si="43"/>
        <v>zintel</v>
      </c>
    </row>
    <row r="153" spans="1:23">
      <c r="A153" t="str">
        <f>"ACC-ER14P-ATC"</f>
        <v>ACC-ER14P-ATC</v>
      </c>
      <c r="B153" t="str">
        <f>"00-0644-0000"</f>
        <v>00-0644-0000</v>
      </c>
      <c r="C153" t="str">
        <f>"Automatic Tool Changer for ER 14Pro"</f>
        <v>Automatic Tool Changer for ER 14Pro</v>
      </c>
      <c r="D153">
        <v>1</v>
      </c>
      <c r="E153" t="str">
        <f>"Automatic Tool Changer (ATC) for Scora-R14 Robot"</f>
        <v>Automatic Tool Changer (ATC) for Scora-R14 Robot</v>
      </c>
      <c r="F153">
        <v>590</v>
      </c>
      <c r="G153" t="str">
        <f t="shared" si="36"/>
        <v>Y</v>
      </c>
      <c r="H153" t="str">
        <f t="shared" si="37"/>
        <v>EA</v>
      </c>
      <c r="I153">
        <v>0</v>
      </c>
      <c r="J153">
        <v>0</v>
      </c>
      <c r="K153" t="str">
        <f t="shared" si="38"/>
        <v>Y</v>
      </c>
      <c r="L153">
        <v>0</v>
      </c>
      <c r="M153" t="str">
        <f t="shared" si="39"/>
        <v>NIS</v>
      </c>
      <c r="O153">
        <v>1</v>
      </c>
      <c r="P153" t="str">
        <f>"Not for purc"</f>
        <v>Not for purc</v>
      </c>
      <c r="Q153" t="str">
        <f>"Automatic Tool Changer for ER 14Pro"</f>
        <v>Automatic Tool Changer for ER 14Pro</v>
      </c>
      <c r="S153" t="str">
        <f>"Automatic Tool Changer for ER 14Pro"</f>
        <v>Automatic Tool Changer for ER 14Pro</v>
      </c>
      <c r="T153">
        <v>0</v>
      </c>
      <c r="U153" s="44">
        <v>3555.35</v>
      </c>
      <c r="V153" s="44">
        <v>5127.99</v>
      </c>
      <c r="W153" t="str">
        <f>"rob"</f>
        <v>rob</v>
      </c>
    </row>
    <row r="154" spans="1:23">
      <c r="A154" t="str">
        <f>"ACC-ER9P-ATC"</f>
        <v>ACC-ER9P-ATC</v>
      </c>
      <c r="B154" t="str">
        <f>"00-0640-0000"</f>
        <v>00-0640-0000</v>
      </c>
      <c r="C154" t="str">
        <f>"Automatic Tool Changer for SCORBOT-ER9 Pro"</f>
        <v>Automatic Tool Changer for SCORBOT-ER9 Pro</v>
      </c>
      <c r="D154">
        <v>1</v>
      </c>
      <c r="E154" t="str">
        <f>"Automatic Tool Changer (ATC) for Scorbot-ER9Pro Robot"</f>
        <v>Automatic Tool Changer (ATC) for Scorbot-ER9Pro Robot</v>
      </c>
      <c r="F154">
        <v>590</v>
      </c>
      <c r="G154" t="str">
        <f t="shared" si="36"/>
        <v>Y</v>
      </c>
      <c r="H154" t="str">
        <f t="shared" si="37"/>
        <v>EA</v>
      </c>
      <c r="I154">
        <v>0</v>
      </c>
      <c r="J154">
        <v>0</v>
      </c>
      <c r="K154" t="str">
        <f t="shared" si="38"/>
        <v>Y</v>
      </c>
      <c r="L154">
        <v>0</v>
      </c>
      <c r="M154" t="str">
        <f t="shared" si="39"/>
        <v>NIS</v>
      </c>
      <c r="O154">
        <v>1</v>
      </c>
      <c r="P154" t="str">
        <f t="shared" ref="P154:P159" si="46">"Active"</f>
        <v>Active</v>
      </c>
      <c r="Q154" t="str">
        <f>"Automatic Tool Changer for SCORBOT-ER 9Pro"</f>
        <v>Automatic Tool Changer for SCORBOT-ER 9Pro</v>
      </c>
      <c r="S154" t="str">
        <f>"Automatic Tool Changer for SCORBOT-ER 9Pro"</f>
        <v>Automatic Tool Changer for SCORBOT-ER 9Pro</v>
      </c>
      <c r="T154">
        <v>0</v>
      </c>
      <c r="U154" s="44">
        <v>3638.9</v>
      </c>
      <c r="V154" s="44">
        <v>4937.87</v>
      </c>
      <c r="W154" t="str">
        <f>"rob"</f>
        <v>rob</v>
      </c>
    </row>
    <row r="155" spans="1:23">
      <c r="A155" t="str">
        <f>"ACC-MH5-ATC"</f>
        <v>ACC-MH5-ATC</v>
      </c>
      <c r="B155" t="str">
        <f>"00-0641-0000"</f>
        <v>00-0641-0000</v>
      </c>
      <c r="C155" t="str">
        <f>"Automatic Tool Changer for PERFORMER-HP 3"</f>
        <v>Automatic Tool Changer for PERFORMER-HP 3</v>
      </c>
      <c r="D155">
        <v>1</v>
      </c>
      <c r="E155" t="str">
        <f>"Automatic Tool Changer (ATC) for MOTOMAN MH5"</f>
        <v>Automatic Tool Changer (ATC) for MOTOMAN MH5</v>
      </c>
      <c r="F155">
        <v>590</v>
      </c>
      <c r="G155" t="str">
        <f t="shared" si="36"/>
        <v>Y</v>
      </c>
      <c r="H155" t="str">
        <f t="shared" si="37"/>
        <v>EA</v>
      </c>
      <c r="I155">
        <v>0</v>
      </c>
      <c r="J155">
        <v>0</v>
      </c>
      <c r="K155" t="str">
        <f t="shared" si="38"/>
        <v>Y</v>
      </c>
      <c r="L155">
        <v>0</v>
      </c>
      <c r="M155" t="str">
        <f t="shared" si="39"/>
        <v>NIS</v>
      </c>
      <c r="O155">
        <v>1</v>
      </c>
      <c r="P155" t="str">
        <f t="shared" si="46"/>
        <v>Active</v>
      </c>
      <c r="Q155" t="str">
        <f>"Automatic Tool Changer for PERFORMER-HP 3"</f>
        <v>Automatic Tool Changer for PERFORMER-HP 3</v>
      </c>
      <c r="S155" t="str">
        <f>"Automatic Tool Changer for PERFORMER-HP 3"</f>
        <v>Automatic Tool Changer for PERFORMER-HP 3</v>
      </c>
      <c r="T155">
        <v>0</v>
      </c>
      <c r="U155" s="44">
        <v>4180.88</v>
      </c>
      <c r="V155" s="44">
        <v>5779.62</v>
      </c>
      <c r="W155" t="str">
        <f>"rob"</f>
        <v>rob</v>
      </c>
    </row>
    <row r="156" spans="1:23">
      <c r="A156" t="str">
        <f>"ACC-MH5-TRAFO"</f>
        <v>ACC-MH5-TRAFO</v>
      </c>
      <c r="B156" t="str">
        <f>"430524"</f>
        <v>430524</v>
      </c>
      <c r="C156" t="str">
        <f>"External Step up Transformer MH5F 110/220V"</f>
        <v>External Step up Transformer MH5F 110/220V</v>
      </c>
      <c r="D156">
        <v>1</v>
      </c>
      <c r="E156" t="str">
        <f>"Step Up Transformer for MOTOMAN MH5 Robot 115V to 230V"</f>
        <v>Step Up Transformer for MOTOMAN MH5 Robot 115V to 230V</v>
      </c>
      <c r="F156">
        <v>590</v>
      </c>
      <c r="G156" t="str">
        <f t="shared" si="36"/>
        <v>Y</v>
      </c>
      <c r="H156" t="str">
        <f t="shared" si="37"/>
        <v>EA</v>
      </c>
      <c r="I156">
        <v>0</v>
      </c>
      <c r="J156">
        <v>0</v>
      </c>
      <c r="K156" t="str">
        <f t="shared" si="38"/>
        <v>Y</v>
      </c>
      <c r="L156">
        <v>0</v>
      </c>
      <c r="M156" t="str">
        <f t="shared" si="39"/>
        <v>NIS</v>
      </c>
      <c r="O156">
        <v>1</v>
      </c>
      <c r="P156" t="str">
        <f t="shared" si="46"/>
        <v>Active</v>
      </c>
      <c r="Q156" t="str">
        <f>"External Transformer  for HP-3 110V"</f>
        <v>External Transformer  for HP-3 110V</v>
      </c>
      <c r="S156" t="str">
        <f>"External Step up Transformer MH5F 110/220V"</f>
        <v>External Step up Transformer MH5F 110/220V</v>
      </c>
      <c r="T156">
        <v>0</v>
      </c>
      <c r="U156">
        <v>185</v>
      </c>
      <c r="V156">
        <v>185</v>
      </c>
      <c r="W156" t="str">
        <f>"rob"</f>
        <v>rob</v>
      </c>
    </row>
    <row r="157" spans="1:23">
      <c r="A157" t="str">
        <f>"ADV-ENG-HS10"</f>
        <v>ADV-ENG-HS10</v>
      </c>
      <c r="B157" t="str">
        <f>"00-2000-0001"</f>
        <v>00-2000-0001</v>
      </c>
      <c r="C157" t="str">
        <f>"Mechatronics with LabVIEW Robotics Kit"</f>
        <v>Mechatronics with LabVIEW Robotics Kit</v>
      </c>
      <c r="D157">
        <v>6</v>
      </c>
      <c r="E157" t="str">
        <f>"Advanced Engineering, Complete kit, 10 Student, HS Only"</f>
        <v>Advanced Engineering, Complete kit, 10 Student, HS Only</v>
      </c>
      <c r="F157">
        <v>0</v>
      </c>
      <c r="G157" t="str">
        <f t="shared" si="36"/>
        <v>Y</v>
      </c>
      <c r="H157" t="str">
        <f t="shared" si="37"/>
        <v>EA</v>
      </c>
      <c r="I157">
        <v>0</v>
      </c>
      <c r="J157">
        <v>0</v>
      </c>
      <c r="K157" t="str">
        <f t="shared" si="38"/>
        <v>Y</v>
      </c>
      <c r="L157">
        <v>0</v>
      </c>
      <c r="M157" t="str">
        <f t="shared" si="39"/>
        <v>NIS</v>
      </c>
      <c r="O157">
        <v>1</v>
      </c>
      <c r="P157" t="str">
        <f t="shared" si="46"/>
        <v>Active</v>
      </c>
      <c r="Q157" t="str">
        <f>"Advanced Engineering Mechatronics Hardware Kit"</f>
        <v>Advanced Engineering Mechatronics Hardware Kit</v>
      </c>
      <c r="S157" t="str">
        <f>"Mechatronics with LabVIEW Robotics Kit"</f>
        <v>Mechatronics with LabVIEW Robotics Kit</v>
      </c>
      <c r="T157">
        <v>529.74</v>
      </c>
      <c r="U157">
        <v>571.42999999999995</v>
      </c>
      <c r="V157">
        <v>499.95</v>
      </c>
      <c r="W157" t="str">
        <f t="shared" ref="W157:W173" si="47">"zintel"</f>
        <v>zintel</v>
      </c>
    </row>
    <row r="158" spans="1:23">
      <c r="A158" t="str">
        <f>"ADV-ENG-HS10"</f>
        <v>ADV-ENG-HS10</v>
      </c>
      <c r="B158" t="str">
        <f>"00-2000-0002"</f>
        <v>00-2000-0002</v>
      </c>
      <c r="C158" t="str">
        <f>"MyRIO Controller"</f>
        <v>MyRIO Controller</v>
      </c>
      <c r="D158">
        <v>6</v>
      </c>
      <c r="E158" t="str">
        <f>"Advanced Engineering, Complete kit, 10 Student, HS Only"</f>
        <v>Advanced Engineering, Complete kit, 10 Student, HS Only</v>
      </c>
      <c r="F158">
        <v>0</v>
      </c>
      <c r="G158" t="str">
        <f t="shared" si="36"/>
        <v>Y</v>
      </c>
      <c r="H158" t="str">
        <f t="shared" si="37"/>
        <v>EA</v>
      </c>
      <c r="I158">
        <v>0</v>
      </c>
      <c r="J158">
        <v>0</v>
      </c>
      <c r="K158" t="str">
        <f t="shared" si="38"/>
        <v>Y</v>
      </c>
      <c r="L158">
        <v>0</v>
      </c>
      <c r="M158" t="str">
        <f t="shared" si="39"/>
        <v>NIS</v>
      </c>
      <c r="O158">
        <v>2</v>
      </c>
      <c r="P158" t="str">
        <f t="shared" si="46"/>
        <v>Active</v>
      </c>
      <c r="Q158" t="str">
        <f>"MyRIO Controller"</f>
        <v>MyRIO Controller</v>
      </c>
      <c r="S158" t="str">
        <f>"MyRIO Controller"</f>
        <v>MyRIO Controller</v>
      </c>
      <c r="T158">
        <v>406.98</v>
      </c>
      <c r="U158">
        <v>399.6</v>
      </c>
      <c r="V158">
        <v>388.07</v>
      </c>
      <c r="W158" t="str">
        <f t="shared" si="47"/>
        <v>zintel</v>
      </c>
    </row>
    <row r="159" spans="1:23">
      <c r="A159" t="str">
        <f>"ADV-ENG-HS10"</f>
        <v>ADV-ENG-HS10</v>
      </c>
      <c r="B159" t="str">
        <f>"77-8155-0010"</f>
        <v>77-8155-0010</v>
      </c>
      <c r="C159" t="str">
        <f>"LM7 Content,Lab, Advanced Engineering-Semester I"</f>
        <v>LM7 Content,Lab, Advanced Engineering-Semester I</v>
      </c>
      <c r="D159">
        <v>1</v>
      </c>
      <c r="E159" t="str">
        <f>"Advanced Engineering, Complete kit, 10 Student, HS Only"</f>
        <v>Advanced Engineering, Complete kit, 10 Student, HS Only</v>
      </c>
      <c r="F159">
        <v>0</v>
      </c>
      <c r="G159" t="str">
        <f t="shared" si="36"/>
        <v>Y</v>
      </c>
      <c r="H159" t="str">
        <f t="shared" si="37"/>
        <v>EA</v>
      </c>
      <c r="I159">
        <v>0</v>
      </c>
      <c r="J159">
        <v>0</v>
      </c>
      <c r="K159" t="str">
        <f t="shared" si="38"/>
        <v>Y</v>
      </c>
      <c r="L159">
        <v>0</v>
      </c>
      <c r="M159" t="str">
        <f t="shared" si="39"/>
        <v>NIS</v>
      </c>
      <c r="O159">
        <v>3</v>
      </c>
      <c r="P159" t="str">
        <f t="shared" si="46"/>
        <v>Active</v>
      </c>
      <c r="Q159" t="str">
        <f>"LM7 Content,Lab, Advanced Engineering-Semester I"</f>
        <v>LM7 Content,Lab, Advanced Engineering-Semester I</v>
      </c>
      <c r="S159" t="str">
        <f>"LM7 Content,Lab, Advanced Engineering-Semester I"</f>
        <v>LM7 Content,Lab, Advanced Engineering-Semester I</v>
      </c>
      <c r="T159">
        <v>0</v>
      </c>
      <c r="U159">
        <v>5</v>
      </c>
      <c r="V159">
        <v>5</v>
      </c>
      <c r="W159" t="str">
        <f t="shared" si="47"/>
        <v>zintel</v>
      </c>
    </row>
    <row r="160" spans="1:23">
      <c r="A160" t="str">
        <f>"ADV-ENG-HS10"</f>
        <v>ADV-ENG-HS10</v>
      </c>
      <c r="B160" t="str">
        <f>"77-8155-0020"</f>
        <v>77-8155-0020</v>
      </c>
      <c r="C160" t="str">
        <f>"LM7 Content,Lab,Advanced Engineering-Semester II"</f>
        <v>LM7 Content,Lab,Advanced Engineering-Semester II</v>
      </c>
      <c r="D160">
        <v>1</v>
      </c>
      <c r="E160" t="str">
        <f>"Advanced Engineering, Complete kit, 10 Student, HS Only"</f>
        <v>Advanced Engineering, Complete kit, 10 Student, HS Only</v>
      </c>
      <c r="F160">
        <v>0</v>
      </c>
      <c r="G160" t="str">
        <f t="shared" si="36"/>
        <v>Y</v>
      </c>
      <c r="H160" t="str">
        <f t="shared" si="37"/>
        <v>EA</v>
      </c>
      <c r="I160">
        <v>0</v>
      </c>
      <c r="J160">
        <v>0</v>
      </c>
      <c r="K160" t="str">
        <f t="shared" si="38"/>
        <v>Y</v>
      </c>
      <c r="L160">
        <v>0</v>
      </c>
      <c r="M160" t="str">
        <f t="shared" si="39"/>
        <v>NIS</v>
      </c>
      <c r="O160">
        <v>4</v>
      </c>
      <c r="P160" t="str">
        <f>"New"</f>
        <v>New</v>
      </c>
      <c r="Q160" t="str">
        <f>"LM7 Content,Lab,Advanced Engineering-Semester II"</f>
        <v>LM7 Content,Lab,Advanced Engineering-Semester II</v>
      </c>
      <c r="S160" t="str">
        <f>"LM7 Content,Lab,Advanced Engineering-Semester II"</f>
        <v>LM7 Content,Lab,Advanced Engineering-Semester II</v>
      </c>
      <c r="T160">
        <v>0</v>
      </c>
      <c r="U160">
        <v>5</v>
      </c>
      <c r="V160">
        <v>5</v>
      </c>
      <c r="W160" t="str">
        <f t="shared" si="47"/>
        <v>zintel</v>
      </c>
    </row>
    <row r="161" spans="1:23">
      <c r="A161" t="str">
        <f>"ADV-ENG-HS10"</f>
        <v>ADV-ENG-HS10</v>
      </c>
      <c r="B161" t="str">
        <f>"63-2000-HS10"</f>
        <v>63-2000-HS10</v>
      </c>
      <c r="C161" t="str">
        <f>"LabVIEW 10 seat HS License"</f>
        <v>LabVIEW 10 seat HS License</v>
      </c>
      <c r="D161">
        <v>1</v>
      </c>
      <c r="E161" t="str">
        <f>"Advanced Engineering, Complete kit, 10 Student, HS Only"</f>
        <v>Advanced Engineering, Complete kit, 10 Student, HS Only</v>
      </c>
      <c r="F161">
        <v>0</v>
      </c>
      <c r="G161" t="str">
        <f t="shared" si="36"/>
        <v>Y</v>
      </c>
      <c r="H161" t="str">
        <f t="shared" si="37"/>
        <v>EA</v>
      </c>
      <c r="I161">
        <v>0</v>
      </c>
      <c r="J161">
        <v>0</v>
      </c>
      <c r="K161" t="str">
        <f t="shared" si="38"/>
        <v>Y</v>
      </c>
      <c r="L161">
        <v>0</v>
      </c>
      <c r="M161" t="str">
        <f t="shared" si="39"/>
        <v>NIS</v>
      </c>
      <c r="O161">
        <v>5</v>
      </c>
      <c r="P161" t="str">
        <f t="shared" ref="P161:P167" si="48">"Active"</f>
        <v>Active</v>
      </c>
      <c r="Q161" t="str">
        <f>"Lavbiew 10 seat HS License"</f>
        <v>Lavbiew 10 seat HS License</v>
      </c>
      <c r="S161" t="str">
        <f>"LabVIEW 10 seat HS License"</f>
        <v>LabVIEW 10 seat HS License</v>
      </c>
      <c r="T161" s="44">
        <v>2249.48</v>
      </c>
      <c r="U161" s="44">
        <v>2250</v>
      </c>
      <c r="V161" s="44">
        <v>1893.75</v>
      </c>
      <c r="W161" t="str">
        <f t="shared" si="47"/>
        <v>zintel</v>
      </c>
    </row>
    <row r="162" spans="1:23">
      <c r="A162" t="str">
        <f>"ADV-ENG-HWKIT"</f>
        <v>ADV-ENG-HWKIT</v>
      </c>
      <c r="B162" t="str">
        <f>"00-2000-0001"</f>
        <v>00-2000-0001</v>
      </c>
      <c r="C162" t="str">
        <f>"Mechatronics with LabVIEW Robotics Kit"</f>
        <v>Mechatronics with LabVIEW Robotics Kit</v>
      </c>
      <c r="D162">
        <v>1</v>
      </c>
      <c r="E162" t="str">
        <f>"Advanced Engineering, Additional Hardware Package"</f>
        <v>Advanced Engineering, Additional Hardware Package</v>
      </c>
      <c r="F162">
        <v>0</v>
      </c>
      <c r="G162" t="str">
        <f t="shared" si="36"/>
        <v>Y</v>
      </c>
      <c r="H162" t="str">
        <f t="shared" ref="H162:H173" si="49">"EA"</f>
        <v>EA</v>
      </c>
      <c r="I162">
        <v>0</v>
      </c>
      <c r="J162">
        <v>0</v>
      </c>
      <c r="K162" t="str">
        <f t="shared" si="38"/>
        <v>Y</v>
      </c>
      <c r="L162">
        <v>0</v>
      </c>
      <c r="M162" t="str">
        <f t="shared" si="39"/>
        <v>NIS</v>
      </c>
      <c r="O162">
        <v>1</v>
      </c>
      <c r="P162" t="str">
        <f t="shared" si="48"/>
        <v>Active</v>
      </c>
      <c r="Q162" t="str">
        <f>"Advanced Engineering Mechatronics Hardware Kit"</f>
        <v>Advanced Engineering Mechatronics Hardware Kit</v>
      </c>
      <c r="S162" t="str">
        <f>"Mechatronics with LabVIEW Robotics Kit"</f>
        <v>Mechatronics with LabVIEW Robotics Kit</v>
      </c>
      <c r="T162">
        <v>529.74</v>
      </c>
      <c r="U162">
        <v>571.42999999999995</v>
      </c>
      <c r="V162">
        <v>499.95</v>
      </c>
      <c r="W162" t="str">
        <f t="shared" si="47"/>
        <v>zintel</v>
      </c>
    </row>
    <row r="163" spans="1:23">
      <c r="A163" t="str">
        <f>"ADV-ENG-HWKIT"</f>
        <v>ADV-ENG-HWKIT</v>
      </c>
      <c r="B163" t="str">
        <f>"00-2000-0002"</f>
        <v>00-2000-0002</v>
      </c>
      <c r="C163" t="str">
        <f>"MyRIO Controller"</f>
        <v>MyRIO Controller</v>
      </c>
      <c r="D163">
        <v>1</v>
      </c>
      <c r="E163" t="str">
        <f>"Advanced Engineering, Additional Hardware Package"</f>
        <v>Advanced Engineering, Additional Hardware Package</v>
      </c>
      <c r="F163">
        <v>0</v>
      </c>
      <c r="G163" t="str">
        <f t="shared" si="36"/>
        <v>Y</v>
      </c>
      <c r="H163" t="str">
        <f t="shared" si="49"/>
        <v>EA</v>
      </c>
      <c r="I163">
        <v>0</v>
      </c>
      <c r="J163">
        <v>0</v>
      </c>
      <c r="K163" t="str">
        <f t="shared" si="38"/>
        <v>Y</v>
      </c>
      <c r="L163">
        <v>0</v>
      </c>
      <c r="M163" t="str">
        <f t="shared" si="39"/>
        <v>NIS</v>
      </c>
      <c r="O163">
        <v>2</v>
      </c>
      <c r="P163" t="str">
        <f t="shared" si="48"/>
        <v>Active</v>
      </c>
      <c r="Q163" t="str">
        <f>"MyRIO Controller"</f>
        <v>MyRIO Controller</v>
      </c>
      <c r="S163" t="str">
        <f>"MyRIO Controller"</f>
        <v>MyRIO Controller</v>
      </c>
      <c r="T163">
        <v>406.98</v>
      </c>
      <c r="U163">
        <v>399.6</v>
      </c>
      <c r="V163">
        <v>388.07</v>
      </c>
      <c r="W163" t="str">
        <f t="shared" si="47"/>
        <v>zintel</v>
      </c>
    </row>
    <row r="164" spans="1:23">
      <c r="A164" t="str">
        <f>"ADV-ENG-PS10"</f>
        <v>ADV-ENG-PS10</v>
      </c>
      <c r="B164" t="str">
        <f>"00-2000-0001"</f>
        <v>00-2000-0001</v>
      </c>
      <c r="C164" t="str">
        <f>"Mechatronics with LabVIEW Robotics Kit"</f>
        <v>Mechatronics with LabVIEW Robotics Kit</v>
      </c>
      <c r="D164">
        <v>6</v>
      </c>
      <c r="E164" t="str">
        <f>"Advanced Engineering, Complete kit, 10 Student, PS Only"</f>
        <v>Advanced Engineering, Complete kit, 10 Student, PS Only</v>
      </c>
      <c r="F164">
        <v>0</v>
      </c>
      <c r="G164" t="str">
        <f t="shared" si="36"/>
        <v>Y</v>
      </c>
      <c r="H164" t="str">
        <f t="shared" si="49"/>
        <v>EA</v>
      </c>
      <c r="I164">
        <v>0</v>
      </c>
      <c r="J164">
        <v>0</v>
      </c>
      <c r="K164" t="str">
        <f t="shared" si="38"/>
        <v>Y</v>
      </c>
      <c r="L164">
        <v>0</v>
      </c>
      <c r="M164" t="str">
        <f t="shared" si="39"/>
        <v>NIS</v>
      </c>
      <c r="O164">
        <v>1</v>
      </c>
      <c r="P164" t="str">
        <f t="shared" si="48"/>
        <v>Active</v>
      </c>
      <c r="Q164" t="str">
        <f>"Advanced Engineering Mechatronics Hardware Kit"</f>
        <v>Advanced Engineering Mechatronics Hardware Kit</v>
      </c>
      <c r="S164" t="str">
        <f>"Mechatronics with LabVIEW Robotics Kit"</f>
        <v>Mechatronics with LabVIEW Robotics Kit</v>
      </c>
      <c r="T164">
        <v>529.74</v>
      </c>
      <c r="U164">
        <v>571.42999999999995</v>
      </c>
      <c r="V164">
        <v>499.95</v>
      </c>
      <c r="W164" t="str">
        <f t="shared" si="47"/>
        <v>zintel</v>
      </c>
    </row>
    <row r="165" spans="1:23">
      <c r="A165" t="str">
        <f>"ADV-ENG-PS10"</f>
        <v>ADV-ENG-PS10</v>
      </c>
      <c r="B165" t="str">
        <f>"00-2000-0002"</f>
        <v>00-2000-0002</v>
      </c>
      <c r="C165" t="str">
        <f>"MyRIO Controller"</f>
        <v>MyRIO Controller</v>
      </c>
      <c r="D165">
        <v>6</v>
      </c>
      <c r="E165" t="str">
        <f>"Advanced Engineering, Complete kit, 10 Student, PS Only"</f>
        <v>Advanced Engineering, Complete kit, 10 Student, PS Only</v>
      </c>
      <c r="F165">
        <v>0</v>
      </c>
      <c r="G165" t="str">
        <f t="shared" si="36"/>
        <v>Y</v>
      </c>
      <c r="H165" t="str">
        <f t="shared" si="49"/>
        <v>EA</v>
      </c>
      <c r="I165">
        <v>0</v>
      </c>
      <c r="J165">
        <v>0</v>
      </c>
      <c r="K165" t="str">
        <f t="shared" si="38"/>
        <v>Y</v>
      </c>
      <c r="L165">
        <v>0</v>
      </c>
      <c r="M165" t="str">
        <f t="shared" si="39"/>
        <v>NIS</v>
      </c>
      <c r="O165">
        <v>2</v>
      </c>
      <c r="P165" t="str">
        <f t="shared" si="48"/>
        <v>Active</v>
      </c>
      <c r="Q165" t="str">
        <f>"MyRIO Controller"</f>
        <v>MyRIO Controller</v>
      </c>
      <c r="S165" t="str">
        <f>"MyRIO Controller"</f>
        <v>MyRIO Controller</v>
      </c>
      <c r="T165">
        <v>406.98</v>
      </c>
      <c r="U165">
        <v>399.6</v>
      </c>
      <c r="V165">
        <v>388.07</v>
      </c>
      <c r="W165" t="str">
        <f t="shared" si="47"/>
        <v>zintel</v>
      </c>
    </row>
    <row r="166" spans="1:23">
      <c r="A166" t="str">
        <f>"ADV-ENG-PS10"</f>
        <v>ADV-ENG-PS10</v>
      </c>
      <c r="B166" t="str">
        <f>"63-2000-SITE"</f>
        <v>63-2000-SITE</v>
      </c>
      <c r="C166" t="str">
        <f>"LabVIEW Academic  license"</f>
        <v>LabVIEW Academic  license</v>
      </c>
      <c r="D166">
        <v>1</v>
      </c>
      <c r="E166" t="str">
        <f>"Advanced Engineering, Complete kit, 10 Student, PS Only"</f>
        <v>Advanced Engineering, Complete kit, 10 Student, PS Only</v>
      </c>
      <c r="F166">
        <v>0</v>
      </c>
      <c r="G166" t="str">
        <f t="shared" si="36"/>
        <v>Y</v>
      </c>
      <c r="H166" t="str">
        <f t="shared" si="49"/>
        <v>EA</v>
      </c>
      <c r="I166">
        <v>0</v>
      </c>
      <c r="J166">
        <v>0</v>
      </c>
      <c r="K166" t="str">
        <f t="shared" si="38"/>
        <v>Y</v>
      </c>
      <c r="L166">
        <v>0</v>
      </c>
      <c r="M166" t="str">
        <f t="shared" si="39"/>
        <v>NIS</v>
      </c>
      <c r="O166">
        <v>3</v>
      </c>
      <c r="P166" t="str">
        <f t="shared" si="48"/>
        <v>Active</v>
      </c>
      <c r="Q166" t="str">
        <f>"LabVIEW Academic  license"</f>
        <v>LabVIEW Academic  license</v>
      </c>
      <c r="S166" t="str">
        <f>"LabVIEW Academic  license"</f>
        <v>LabVIEW Academic  license</v>
      </c>
      <c r="T166" s="44">
        <v>2035.83</v>
      </c>
      <c r="U166" s="44">
        <v>6405</v>
      </c>
      <c r="V166" s="44">
        <v>6469.05</v>
      </c>
      <c r="W166" t="str">
        <f t="shared" si="47"/>
        <v>zintel</v>
      </c>
    </row>
    <row r="167" spans="1:23">
      <c r="A167" t="str">
        <f>"ADV-ENG-PS10"</f>
        <v>ADV-ENG-PS10</v>
      </c>
      <c r="B167" t="str">
        <f>"77-8155-0010"</f>
        <v>77-8155-0010</v>
      </c>
      <c r="C167" t="str">
        <f>"LM7 Content,Lab, Advanced Engineering-Semester I"</f>
        <v>LM7 Content,Lab, Advanced Engineering-Semester I</v>
      </c>
      <c r="D167">
        <v>1</v>
      </c>
      <c r="E167" t="str">
        <f>"Advanced Engineering, Complete kit, 10 Student, PS Only"</f>
        <v>Advanced Engineering, Complete kit, 10 Student, PS Only</v>
      </c>
      <c r="F167">
        <v>0</v>
      </c>
      <c r="G167" t="str">
        <f t="shared" si="36"/>
        <v>Y</v>
      </c>
      <c r="H167" t="str">
        <f t="shared" si="49"/>
        <v>EA</v>
      </c>
      <c r="I167">
        <v>0</v>
      </c>
      <c r="J167">
        <v>0</v>
      </c>
      <c r="K167" t="str">
        <f t="shared" si="38"/>
        <v>Y</v>
      </c>
      <c r="L167">
        <v>0</v>
      </c>
      <c r="M167" t="str">
        <f t="shared" si="39"/>
        <v>NIS</v>
      </c>
      <c r="O167">
        <v>4</v>
      </c>
      <c r="P167" t="str">
        <f t="shared" si="48"/>
        <v>Active</v>
      </c>
      <c r="Q167" t="str">
        <f>"LM7 Content,Lab, Advanced Engineering-Semester I"</f>
        <v>LM7 Content,Lab, Advanced Engineering-Semester I</v>
      </c>
      <c r="S167" t="str">
        <f>"LM7 Content,Lab, Advanced Engineering-Semester I"</f>
        <v>LM7 Content,Lab, Advanced Engineering-Semester I</v>
      </c>
      <c r="T167">
        <v>0</v>
      </c>
      <c r="U167">
        <v>5</v>
      </c>
      <c r="V167">
        <v>5</v>
      </c>
      <c r="W167" t="str">
        <f t="shared" si="47"/>
        <v>zintel</v>
      </c>
    </row>
    <row r="168" spans="1:23">
      <c r="A168" t="str">
        <f>"ADV-ENG-PS10"</f>
        <v>ADV-ENG-PS10</v>
      </c>
      <c r="B168" t="str">
        <f>"77-8155-0020"</f>
        <v>77-8155-0020</v>
      </c>
      <c r="C168" t="str">
        <f>"LM7 Content,Lab,Advanced Engineering-Semester II"</f>
        <v>LM7 Content,Lab,Advanced Engineering-Semester II</v>
      </c>
      <c r="D168">
        <v>1</v>
      </c>
      <c r="E168" t="str">
        <f>"Advanced Engineering, Complete kit, 10 Student, PS Only"</f>
        <v>Advanced Engineering, Complete kit, 10 Student, PS Only</v>
      </c>
      <c r="F168">
        <v>0</v>
      </c>
      <c r="G168" t="str">
        <f t="shared" si="36"/>
        <v>Y</v>
      </c>
      <c r="H168" t="str">
        <f t="shared" si="49"/>
        <v>EA</v>
      </c>
      <c r="I168">
        <v>0</v>
      </c>
      <c r="J168">
        <v>0</v>
      </c>
      <c r="K168" t="str">
        <f t="shared" si="38"/>
        <v>Y</v>
      </c>
      <c r="L168">
        <v>0</v>
      </c>
      <c r="M168" t="str">
        <f t="shared" si="39"/>
        <v>NIS</v>
      </c>
      <c r="O168">
        <v>5</v>
      </c>
      <c r="P168" t="str">
        <f>"New"</f>
        <v>New</v>
      </c>
      <c r="Q168" t="str">
        <f>"LM7 Content,Lab,Advanced Engineering-Semester II"</f>
        <v>LM7 Content,Lab,Advanced Engineering-Semester II</v>
      </c>
      <c r="S168" t="str">
        <f>"LM7 Content,Lab,Advanced Engineering-Semester II"</f>
        <v>LM7 Content,Lab,Advanced Engineering-Semester II</v>
      </c>
      <c r="T168">
        <v>0</v>
      </c>
      <c r="U168">
        <v>5</v>
      </c>
      <c r="V168">
        <v>5</v>
      </c>
      <c r="W168" t="str">
        <f t="shared" si="47"/>
        <v>zintel</v>
      </c>
    </row>
    <row r="169" spans="1:23">
      <c r="A169" t="str">
        <f>"ADV-ENG-PS20"</f>
        <v>ADV-ENG-PS20</v>
      </c>
      <c r="B169" t="str">
        <f>"00-2000-0001"</f>
        <v>00-2000-0001</v>
      </c>
      <c r="C169" t="str">
        <f>"Mechatronics with LabVIEW Robotics Kit"</f>
        <v>Mechatronics with LabVIEW Robotics Kit</v>
      </c>
      <c r="D169">
        <v>11</v>
      </c>
      <c r="E169" t="str">
        <f>"Advanced Engineering, Complete kit, 20 Student, PS Only"</f>
        <v>Advanced Engineering, Complete kit, 20 Student, PS Only</v>
      </c>
      <c r="F169">
        <v>0</v>
      </c>
      <c r="G169" t="str">
        <f t="shared" si="36"/>
        <v>Y</v>
      </c>
      <c r="H169" t="str">
        <f t="shared" si="49"/>
        <v>EA</v>
      </c>
      <c r="I169">
        <v>0</v>
      </c>
      <c r="J169">
        <v>0</v>
      </c>
      <c r="K169" t="str">
        <f t="shared" si="38"/>
        <v>Y</v>
      </c>
      <c r="L169">
        <v>0</v>
      </c>
      <c r="M169" t="str">
        <f t="shared" si="39"/>
        <v>NIS</v>
      </c>
      <c r="O169">
        <v>1</v>
      </c>
      <c r="P169" t="str">
        <f>"Active"</f>
        <v>Active</v>
      </c>
      <c r="Q169" t="str">
        <f>"Advanced Engineering Mechatronics Hardware Kit"</f>
        <v>Advanced Engineering Mechatronics Hardware Kit</v>
      </c>
      <c r="S169" t="str">
        <f>"Mechatronics with LabVIEW Robotics Kit"</f>
        <v>Mechatronics with LabVIEW Robotics Kit</v>
      </c>
      <c r="T169">
        <v>529.74</v>
      </c>
      <c r="U169">
        <v>571.42999999999995</v>
      </c>
      <c r="V169">
        <v>499.95</v>
      </c>
      <c r="W169" t="str">
        <f t="shared" si="47"/>
        <v>zintel</v>
      </c>
    </row>
    <row r="170" spans="1:23">
      <c r="A170" t="str">
        <f>"ADV-ENG-PS20"</f>
        <v>ADV-ENG-PS20</v>
      </c>
      <c r="B170" t="str">
        <f>"00-2000-0002"</f>
        <v>00-2000-0002</v>
      </c>
      <c r="C170" t="str">
        <f>"MyRIO Controller"</f>
        <v>MyRIO Controller</v>
      </c>
      <c r="D170">
        <v>11</v>
      </c>
      <c r="E170" t="str">
        <f>"Advanced Engineering, Complete kit, 20 Student, PS Only"</f>
        <v>Advanced Engineering, Complete kit, 20 Student, PS Only</v>
      </c>
      <c r="F170">
        <v>0</v>
      </c>
      <c r="G170" t="str">
        <f t="shared" si="36"/>
        <v>Y</v>
      </c>
      <c r="H170" t="str">
        <f t="shared" si="49"/>
        <v>EA</v>
      </c>
      <c r="I170">
        <v>0</v>
      </c>
      <c r="J170">
        <v>0</v>
      </c>
      <c r="K170" t="str">
        <f t="shared" si="38"/>
        <v>Y</v>
      </c>
      <c r="L170">
        <v>0</v>
      </c>
      <c r="M170" t="str">
        <f t="shared" si="39"/>
        <v>NIS</v>
      </c>
      <c r="O170">
        <v>2</v>
      </c>
      <c r="P170" t="str">
        <f>"Active"</f>
        <v>Active</v>
      </c>
      <c r="Q170" t="str">
        <f>"MyRIO Controller"</f>
        <v>MyRIO Controller</v>
      </c>
      <c r="S170" t="str">
        <f>"MyRIO Controller"</f>
        <v>MyRIO Controller</v>
      </c>
      <c r="T170">
        <v>406.98</v>
      </c>
      <c r="U170">
        <v>399.6</v>
      </c>
      <c r="V170">
        <v>388.07</v>
      </c>
      <c r="W170" t="str">
        <f t="shared" si="47"/>
        <v>zintel</v>
      </c>
    </row>
    <row r="171" spans="1:23">
      <c r="A171" t="str">
        <f>"ADV-ENG-PS20"</f>
        <v>ADV-ENG-PS20</v>
      </c>
      <c r="B171" t="str">
        <f>"63-2000-SITE"</f>
        <v>63-2000-SITE</v>
      </c>
      <c r="C171" t="str">
        <f>"LabVIEW Academic  license"</f>
        <v>LabVIEW Academic  license</v>
      </c>
      <c r="D171">
        <v>1</v>
      </c>
      <c r="E171" t="str">
        <f>"Advanced Engineering, Complete kit, 20 Student, PS Only"</f>
        <v>Advanced Engineering, Complete kit, 20 Student, PS Only</v>
      </c>
      <c r="F171">
        <v>0</v>
      </c>
      <c r="G171" t="str">
        <f t="shared" si="36"/>
        <v>Y</v>
      </c>
      <c r="H171" t="str">
        <f t="shared" si="49"/>
        <v>EA</v>
      </c>
      <c r="I171">
        <v>0</v>
      </c>
      <c r="J171">
        <v>0</v>
      </c>
      <c r="K171" t="str">
        <f t="shared" si="38"/>
        <v>Y</v>
      </c>
      <c r="L171">
        <v>0</v>
      </c>
      <c r="M171" t="str">
        <f t="shared" si="39"/>
        <v>NIS</v>
      </c>
      <c r="O171">
        <v>3</v>
      </c>
      <c r="P171" t="str">
        <f>"Active"</f>
        <v>Active</v>
      </c>
      <c r="Q171" t="str">
        <f>"LabVIEW Academic  license"</f>
        <v>LabVIEW Academic  license</v>
      </c>
      <c r="S171" t="str">
        <f>"LabVIEW Academic  license"</f>
        <v>LabVIEW Academic  license</v>
      </c>
      <c r="T171" s="44">
        <v>2035.83</v>
      </c>
      <c r="U171" s="44">
        <v>6405</v>
      </c>
      <c r="V171" s="44">
        <v>6469.05</v>
      </c>
      <c r="W171" t="str">
        <f t="shared" si="47"/>
        <v>zintel</v>
      </c>
    </row>
    <row r="172" spans="1:23">
      <c r="A172" t="str">
        <f>"ADV-ENG-PS20"</f>
        <v>ADV-ENG-PS20</v>
      </c>
      <c r="B172" t="str">
        <f>"77-8155-0010"</f>
        <v>77-8155-0010</v>
      </c>
      <c r="C172" t="str">
        <f>"LM7 Content,Lab, Advanced Engineering-Semester I"</f>
        <v>LM7 Content,Lab, Advanced Engineering-Semester I</v>
      </c>
      <c r="D172">
        <v>1</v>
      </c>
      <c r="E172" t="str">
        <f>"Advanced Engineering, Complete kit, 20 Student, PS Only"</f>
        <v>Advanced Engineering, Complete kit, 20 Student, PS Only</v>
      </c>
      <c r="F172">
        <v>0</v>
      </c>
      <c r="G172" t="str">
        <f t="shared" si="36"/>
        <v>Y</v>
      </c>
      <c r="H172" t="str">
        <f t="shared" si="49"/>
        <v>EA</v>
      </c>
      <c r="I172">
        <v>0</v>
      </c>
      <c r="J172">
        <v>0</v>
      </c>
      <c r="K172" t="str">
        <f t="shared" si="38"/>
        <v>Y</v>
      </c>
      <c r="L172">
        <v>0</v>
      </c>
      <c r="M172" t="str">
        <f t="shared" si="39"/>
        <v>NIS</v>
      </c>
      <c r="O172">
        <v>4</v>
      </c>
      <c r="P172" t="str">
        <f>"Active"</f>
        <v>Active</v>
      </c>
      <c r="Q172" t="str">
        <f>"LM7 Content,Lab, Advanced Engineering-Semester I"</f>
        <v>LM7 Content,Lab, Advanced Engineering-Semester I</v>
      </c>
      <c r="S172" t="str">
        <f>"LM7 Content,Lab, Advanced Engineering-Semester I"</f>
        <v>LM7 Content,Lab, Advanced Engineering-Semester I</v>
      </c>
      <c r="T172">
        <v>0</v>
      </c>
      <c r="U172">
        <v>5</v>
      </c>
      <c r="V172">
        <v>5</v>
      </c>
      <c r="W172" t="str">
        <f t="shared" si="47"/>
        <v>zintel</v>
      </c>
    </row>
    <row r="173" spans="1:23">
      <c r="A173" t="str">
        <f>"ADV-ENG-PS20"</f>
        <v>ADV-ENG-PS20</v>
      </c>
      <c r="B173" t="str">
        <f>"77-8155-0020"</f>
        <v>77-8155-0020</v>
      </c>
      <c r="C173" t="str">
        <f>"LM7 Content,Lab,Advanced Engineering-Semester II"</f>
        <v>LM7 Content,Lab,Advanced Engineering-Semester II</v>
      </c>
      <c r="D173">
        <v>1</v>
      </c>
      <c r="E173" t="str">
        <f>"Advanced Engineering, Complete kit, 20 Student, PS Only"</f>
        <v>Advanced Engineering, Complete kit, 20 Student, PS Only</v>
      </c>
      <c r="F173">
        <v>0</v>
      </c>
      <c r="G173" t="str">
        <f t="shared" si="36"/>
        <v>Y</v>
      </c>
      <c r="H173" t="str">
        <f t="shared" si="49"/>
        <v>EA</v>
      </c>
      <c r="I173">
        <v>0</v>
      </c>
      <c r="J173">
        <v>0</v>
      </c>
      <c r="K173" t="str">
        <f t="shared" si="38"/>
        <v>Y</v>
      </c>
      <c r="L173">
        <v>0</v>
      </c>
      <c r="M173" t="str">
        <f t="shared" si="39"/>
        <v>NIS</v>
      </c>
      <c r="O173">
        <v>5</v>
      </c>
      <c r="P173" t="str">
        <f>"New"</f>
        <v>New</v>
      </c>
      <c r="Q173" t="str">
        <f>"LM7 Content,Lab,Advanced Engineering-Semester II"</f>
        <v>LM7 Content,Lab,Advanced Engineering-Semester II</v>
      </c>
      <c r="S173" t="str">
        <f>"LM7 Content,Lab,Advanced Engineering-Semester II"</f>
        <v>LM7 Content,Lab,Advanced Engineering-Semester II</v>
      </c>
      <c r="T173">
        <v>0</v>
      </c>
      <c r="U173">
        <v>5</v>
      </c>
      <c r="V173">
        <v>5</v>
      </c>
      <c r="W173" t="str">
        <f t="shared" si="47"/>
        <v>zintel</v>
      </c>
    </row>
    <row r="174" spans="1:23">
      <c r="A174" t="str">
        <f>"AGRI INST&amp;TRAN"</f>
        <v>AGRI INST&amp;TRAN</v>
      </c>
      <c r="B174" t="str">
        <f>"50-0095-0000"</f>
        <v>50-0095-0000</v>
      </c>
      <c r="C174" t="str">
        <f>"Installation at Customer Site"</f>
        <v>Installation at Customer Site</v>
      </c>
      <c r="D174">
        <v>3</v>
      </c>
      <c r="E174" t="str">
        <f>"Installation and training  GreenHouse"</f>
        <v>Installation and training  GreenHouse</v>
      </c>
      <c r="F174">
        <v>786</v>
      </c>
      <c r="G174" t="str">
        <f t="shared" si="36"/>
        <v>Y</v>
      </c>
      <c r="H174" t="str">
        <f>"DA"</f>
        <v>DA</v>
      </c>
      <c r="I174">
        <v>0</v>
      </c>
      <c r="J174">
        <v>0</v>
      </c>
      <c r="K174" t="str">
        <f t="shared" si="38"/>
        <v>Y</v>
      </c>
      <c r="L174">
        <v>0</v>
      </c>
      <c r="M174" t="str">
        <f t="shared" si="39"/>
        <v>NIS</v>
      </c>
      <c r="O174">
        <v>1</v>
      </c>
      <c r="P174" t="str">
        <f>"Active"</f>
        <v>Active</v>
      </c>
      <c r="Q174" t="str">
        <f>"Installation at Customer Site (Days)"</f>
        <v>Installation at Customer Site (Days)</v>
      </c>
      <c r="S174" t="str">
        <f>"Installation at Customer Site (Days)"</f>
        <v>Installation at Customer Site (Days)</v>
      </c>
      <c r="T174">
        <v>0</v>
      </c>
      <c r="U174">
        <v>864</v>
      </c>
      <c r="V174">
        <v>898.56</v>
      </c>
      <c r="W174" t="str">
        <f t="shared" ref="W174:W237" si="50">"rob"</f>
        <v>rob</v>
      </c>
    </row>
    <row r="175" spans="1:23">
      <c r="A175" t="str">
        <f>"AGRI INST&amp;TRAN"</f>
        <v>AGRI INST&amp;TRAN</v>
      </c>
      <c r="B175" t="str">
        <f>"50-0096-0000"</f>
        <v>50-0096-0000</v>
      </c>
      <c r="C175" t="str">
        <f>"Training at Customer Site (Days)"</f>
        <v>Training at Customer Site (Days)</v>
      </c>
      <c r="D175">
        <v>3</v>
      </c>
      <c r="E175" t="str">
        <f>"Installation and training  GreenHouse"</f>
        <v>Installation and training  GreenHouse</v>
      </c>
      <c r="F175">
        <v>786</v>
      </c>
      <c r="G175" t="str">
        <f t="shared" si="36"/>
        <v>Y</v>
      </c>
      <c r="H175" t="str">
        <f>"DA"</f>
        <v>DA</v>
      </c>
      <c r="I175">
        <v>0</v>
      </c>
      <c r="J175">
        <v>0</v>
      </c>
      <c r="K175" t="str">
        <f t="shared" si="38"/>
        <v>Y</v>
      </c>
      <c r="L175">
        <v>0</v>
      </c>
      <c r="M175" t="str">
        <f t="shared" si="39"/>
        <v>NIS</v>
      </c>
      <c r="O175">
        <v>2</v>
      </c>
      <c r="P175" t="str">
        <f>"Active"</f>
        <v>Active</v>
      </c>
      <c r="Q175" t="str">
        <f>"Training at Customer Site (Days)"</f>
        <v>Training at Customer Site (Days)</v>
      </c>
      <c r="S175" t="str">
        <f>"Training at Customer Site (Days)"</f>
        <v>Training at Customer Site (Days)</v>
      </c>
      <c r="T175">
        <v>0</v>
      </c>
      <c r="U175">
        <v>864</v>
      </c>
      <c r="V175">
        <v>898.56</v>
      </c>
      <c r="W175" t="str">
        <f t="shared" si="50"/>
        <v>rob</v>
      </c>
    </row>
    <row r="176" spans="1:23">
      <c r="A176" t="str">
        <f>"AGRI INST&amp;TRAN A"</f>
        <v>AGRI INST&amp;TRAN A</v>
      </c>
      <c r="B176" t="str">
        <f>"50-0095-0000"</f>
        <v>50-0095-0000</v>
      </c>
      <c r="C176" t="str">
        <f>"Installation at Customer Site"</f>
        <v>Installation at Customer Site</v>
      </c>
      <c r="D176">
        <v>3</v>
      </c>
      <c r="E176" t="str">
        <f>"Installation and training AutoAgronom"</f>
        <v>Installation and training AutoAgronom</v>
      </c>
      <c r="F176">
        <v>781</v>
      </c>
      <c r="G176" t="str">
        <f t="shared" si="36"/>
        <v>Y</v>
      </c>
      <c r="H176" t="str">
        <f>"DA"</f>
        <v>DA</v>
      </c>
      <c r="I176">
        <v>0</v>
      </c>
      <c r="J176">
        <v>0</v>
      </c>
      <c r="K176" t="str">
        <f t="shared" si="38"/>
        <v>Y</v>
      </c>
      <c r="L176">
        <v>0</v>
      </c>
      <c r="M176" t="str">
        <f t="shared" si="39"/>
        <v>NIS</v>
      </c>
      <c r="O176">
        <v>1</v>
      </c>
      <c r="P176" t="str">
        <f>"Active"</f>
        <v>Active</v>
      </c>
      <c r="Q176" t="str">
        <f>"Installation at Customer Site (Days)"</f>
        <v>Installation at Customer Site (Days)</v>
      </c>
      <c r="S176" t="str">
        <f>"Installation at Customer Site (Days)"</f>
        <v>Installation at Customer Site (Days)</v>
      </c>
      <c r="T176">
        <v>0</v>
      </c>
      <c r="U176">
        <v>864</v>
      </c>
      <c r="V176">
        <v>898.56</v>
      </c>
      <c r="W176" t="str">
        <f t="shared" si="50"/>
        <v>rob</v>
      </c>
    </row>
    <row r="177" spans="1:23">
      <c r="A177" t="str">
        <f>"AGRI INST&amp;TRAN A"</f>
        <v>AGRI INST&amp;TRAN A</v>
      </c>
      <c r="B177" t="str">
        <f>"50-0096-0000"</f>
        <v>50-0096-0000</v>
      </c>
      <c r="C177" t="str">
        <f>"Training at Customer Site (Days)"</f>
        <v>Training at Customer Site (Days)</v>
      </c>
      <c r="D177">
        <v>3</v>
      </c>
      <c r="E177" t="str">
        <f>"Installation and training AutoAgronom"</f>
        <v>Installation and training AutoAgronom</v>
      </c>
      <c r="F177">
        <v>781</v>
      </c>
      <c r="G177" t="str">
        <f t="shared" si="36"/>
        <v>Y</v>
      </c>
      <c r="H177" t="str">
        <f>"DA"</f>
        <v>DA</v>
      </c>
      <c r="I177">
        <v>0</v>
      </c>
      <c r="J177">
        <v>0</v>
      </c>
      <c r="K177" t="str">
        <f t="shared" si="38"/>
        <v>Y</v>
      </c>
      <c r="L177">
        <v>0</v>
      </c>
      <c r="M177" t="str">
        <f t="shared" si="39"/>
        <v>NIS</v>
      </c>
      <c r="O177">
        <v>2</v>
      </c>
      <c r="P177" t="str">
        <f>"Active"</f>
        <v>Active</v>
      </c>
      <c r="Q177" t="str">
        <f>"Training at Customer Site (Days)"</f>
        <v>Training at Customer Site (Days)</v>
      </c>
      <c r="S177" t="str">
        <f>"Training at Customer Site (Days)"</f>
        <v>Training at Customer Site (Days)</v>
      </c>
      <c r="T177">
        <v>0</v>
      </c>
      <c r="U177">
        <v>864</v>
      </c>
      <c r="V177">
        <v>898.56</v>
      </c>
      <c r="W177" t="str">
        <f t="shared" si="50"/>
        <v>rob</v>
      </c>
    </row>
    <row r="178" spans="1:23">
      <c r="A178" t="str">
        <f>"AGRICUL - GHOUSE"</f>
        <v>AGRICUL - GHOUSE</v>
      </c>
      <c r="B178" t="str">
        <f>"324651"</f>
        <v>324651</v>
      </c>
      <c r="C178" t="str">
        <f>"Advanced Controlled Greenhouse"</f>
        <v>Advanced Controlled Greenhouse</v>
      </c>
      <c r="D178">
        <v>1</v>
      </c>
      <c r="E178" t="str">
        <f>"Advanced Controlled GreenHouse"</f>
        <v>Advanced Controlled GreenHouse</v>
      </c>
      <c r="F178">
        <v>785</v>
      </c>
      <c r="G178" t="str">
        <f t="shared" si="36"/>
        <v>Y</v>
      </c>
      <c r="H178" t="str">
        <f t="shared" ref="H178:H217" si="51">"EA"</f>
        <v>EA</v>
      </c>
      <c r="I178">
        <v>0</v>
      </c>
      <c r="J178">
        <v>0</v>
      </c>
      <c r="K178" t="str">
        <f t="shared" si="38"/>
        <v>Y</v>
      </c>
      <c r="L178">
        <v>0</v>
      </c>
      <c r="M178" t="str">
        <f t="shared" si="39"/>
        <v>NIS</v>
      </c>
      <c r="O178">
        <v>1</v>
      </c>
      <c r="P178" t="str">
        <f>"Active"</f>
        <v>Active</v>
      </c>
      <c r="Q178" t="str">
        <f>"Advanced Controlled Greenhouse"</f>
        <v>Advanced Controlled Greenhouse</v>
      </c>
      <c r="S178" t="str">
        <f>"Advanced Controlled Greenhouse"</f>
        <v>Advanced Controlled Greenhouse</v>
      </c>
      <c r="T178">
        <v>0</v>
      </c>
      <c r="U178" s="44">
        <v>30556</v>
      </c>
      <c r="V178" s="44">
        <v>30566.38</v>
      </c>
      <c r="W178" t="str">
        <f t="shared" si="50"/>
        <v>rob</v>
      </c>
    </row>
    <row r="179" spans="1:23">
      <c r="A179" t="str">
        <f>"AGRICUL AUTOAGRO"</f>
        <v>AGRICUL AUTOAGRO</v>
      </c>
      <c r="B179" t="str">
        <f>"00-3088-0000"</f>
        <v>00-3088-0000</v>
      </c>
      <c r="C179" t="str">
        <f>"AutoAgronom System incl. controller"</f>
        <v>AutoAgronom System incl. controller</v>
      </c>
      <c r="D179">
        <v>1</v>
      </c>
      <c r="E179" t="str">
        <f>"AutoAgronom System"</f>
        <v>AutoAgronom System</v>
      </c>
      <c r="F179">
        <v>780</v>
      </c>
      <c r="G179" t="str">
        <f t="shared" si="36"/>
        <v>Y</v>
      </c>
      <c r="H179" t="str">
        <f t="shared" si="51"/>
        <v>EA</v>
      </c>
      <c r="I179">
        <v>0</v>
      </c>
      <c r="J179">
        <v>0</v>
      </c>
      <c r="K179" t="str">
        <f t="shared" si="38"/>
        <v>Y</v>
      </c>
      <c r="L179">
        <v>0</v>
      </c>
      <c r="M179" t="str">
        <f t="shared" si="39"/>
        <v>NIS</v>
      </c>
      <c r="O179">
        <v>1</v>
      </c>
      <c r="P179" t="str">
        <f>"Phase Out"</f>
        <v>Phase Out</v>
      </c>
      <c r="Q179" t="str">
        <f>"AutoAgronom System incl. controller"</f>
        <v>AutoAgronom System incl. controller</v>
      </c>
      <c r="S179" t="str">
        <f>"AutoAgronom System incl. controller"</f>
        <v>AutoAgronom System incl. controller</v>
      </c>
      <c r="T179">
        <v>0</v>
      </c>
      <c r="U179" s="44">
        <v>9213.6299999999992</v>
      </c>
      <c r="V179" s="44">
        <v>9969.7099999999991</v>
      </c>
      <c r="W179" t="str">
        <f t="shared" si="50"/>
        <v>rob</v>
      </c>
    </row>
    <row r="180" spans="1:23">
      <c r="A180" t="str">
        <f t="shared" ref="A180:A186" si="52">"AGRICUL LM 3"</f>
        <v>AGRICUL LM 3</v>
      </c>
      <c r="B180" t="str">
        <f>"0E8279"</f>
        <v>0E8279</v>
      </c>
      <c r="C180" t="str">
        <f>"LM_Content LMS Vir- Introd to Greenhous Tech"</f>
        <v>LM_Content LMS Vir- Introd to Greenhous Tech</v>
      </c>
      <c r="D180">
        <v>1</v>
      </c>
      <c r="E180" t="str">
        <f t="shared" ref="E180:E186" si="53">"Agriculture E-Learning Content (School License on LMS)"</f>
        <v>Agriculture E-Learning Content (School License on LMS)</v>
      </c>
      <c r="F180">
        <v>784</v>
      </c>
      <c r="G180" t="str">
        <f t="shared" si="36"/>
        <v>Y</v>
      </c>
      <c r="H180" t="str">
        <f t="shared" si="51"/>
        <v>EA</v>
      </c>
      <c r="I180">
        <v>0</v>
      </c>
      <c r="J180">
        <v>0</v>
      </c>
      <c r="K180" t="str">
        <f t="shared" si="38"/>
        <v>Y</v>
      </c>
      <c r="L180">
        <v>0</v>
      </c>
      <c r="M180" t="str">
        <f t="shared" si="39"/>
        <v>NIS</v>
      </c>
      <c r="O180">
        <v>2</v>
      </c>
      <c r="P180" t="str">
        <f t="shared" ref="P180:P225" si="54">"Active"</f>
        <v>Active</v>
      </c>
      <c r="Q180" t="str">
        <f>"LM_Content LMS Vir- Introd to Greenhous Tech"</f>
        <v>LM_Content LMS Vir- Introd to Greenhous Tech</v>
      </c>
      <c r="S180" t="str">
        <f>"LM_Content LMS Vir- Introd to Greenhous Tech"</f>
        <v>LM_Content LMS Vir- Introd to Greenhous Tech</v>
      </c>
      <c r="T180">
        <v>0</v>
      </c>
      <c r="U180">
        <v>30.65</v>
      </c>
      <c r="V180">
        <v>36.049999999999997</v>
      </c>
      <c r="W180" t="str">
        <f t="shared" si="50"/>
        <v>rob</v>
      </c>
    </row>
    <row r="181" spans="1:23">
      <c r="A181" t="str">
        <f t="shared" si="52"/>
        <v>AGRICUL LM 3</v>
      </c>
      <c r="B181" t="str">
        <f>"0E8280"</f>
        <v>0E8280</v>
      </c>
      <c r="C181" t="str">
        <f>"LM_Content LMS Vir -E- Soil and Agriculture"</f>
        <v>LM_Content LMS Vir -E- Soil and Agriculture</v>
      </c>
      <c r="D181">
        <v>1</v>
      </c>
      <c r="E181" t="str">
        <f t="shared" si="53"/>
        <v>Agriculture E-Learning Content (School License on LMS)</v>
      </c>
      <c r="F181">
        <v>784</v>
      </c>
      <c r="G181" t="str">
        <f t="shared" si="36"/>
        <v>Y</v>
      </c>
      <c r="H181" t="str">
        <f t="shared" si="51"/>
        <v>EA</v>
      </c>
      <c r="I181">
        <v>0</v>
      </c>
      <c r="J181">
        <v>0</v>
      </c>
      <c r="K181" t="str">
        <f t="shared" si="38"/>
        <v>Y</v>
      </c>
      <c r="L181">
        <v>0</v>
      </c>
      <c r="M181" t="str">
        <f t="shared" si="39"/>
        <v>NIS</v>
      </c>
      <c r="O181">
        <v>4</v>
      </c>
      <c r="P181" t="str">
        <f t="shared" si="54"/>
        <v>Active</v>
      </c>
      <c r="Q181" t="str">
        <f>"LM_Content LMS Vir -E- Soil and Agriculture"</f>
        <v>LM_Content LMS Vir -E- Soil and Agriculture</v>
      </c>
      <c r="S181" t="str">
        <f>"LM_Content LMS Vir -E- Soil and Agriculture"</f>
        <v>LM_Content LMS Vir -E- Soil and Agriculture</v>
      </c>
      <c r="T181">
        <v>0</v>
      </c>
      <c r="U181">
        <v>30.65</v>
      </c>
      <c r="V181">
        <v>23.32</v>
      </c>
      <c r="W181" t="str">
        <f t="shared" si="50"/>
        <v>rob</v>
      </c>
    </row>
    <row r="182" spans="1:23">
      <c r="A182" t="str">
        <f t="shared" si="52"/>
        <v>AGRICUL LM 3</v>
      </c>
      <c r="B182" t="str">
        <f>"0E8281"</f>
        <v>0E8281</v>
      </c>
      <c r="C182" t="str">
        <f>"LM_Content LMS Vir.- Principals of Irrigation"</f>
        <v>LM_Content LMS Vir.- Principals of Irrigation</v>
      </c>
      <c r="D182">
        <v>1</v>
      </c>
      <c r="E182" t="str">
        <f t="shared" si="53"/>
        <v>Agriculture E-Learning Content (School License on LMS)</v>
      </c>
      <c r="F182">
        <v>784</v>
      </c>
      <c r="G182" t="str">
        <f t="shared" si="36"/>
        <v>Y</v>
      </c>
      <c r="H182" t="str">
        <f t="shared" si="51"/>
        <v>EA</v>
      </c>
      <c r="I182">
        <v>0</v>
      </c>
      <c r="J182">
        <v>0</v>
      </c>
      <c r="K182" t="str">
        <f t="shared" si="38"/>
        <v>Y</v>
      </c>
      <c r="L182">
        <v>0</v>
      </c>
      <c r="M182" t="str">
        <f t="shared" si="39"/>
        <v>NIS</v>
      </c>
      <c r="O182">
        <v>6</v>
      </c>
      <c r="P182" t="str">
        <f t="shared" si="54"/>
        <v>Active</v>
      </c>
      <c r="Q182" t="str">
        <f>"LM_Content LMS Vir.- Principals of Irrigation"</f>
        <v>LM_Content LMS Vir.- Principals of Irrigation</v>
      </c>
      <c r="S182" t="str">
        <f>"LM_Content LMS Vir.- Principals of Irrigation"</f>
        <v>LM_Content LMS Vir.- Principals of Irrigation</v>
      </c>
      <c r="T182">
        <v>0</v>
      </c>
      <c r="U182">
        <v>30.65</v>
      </c>
      <c r="V182">
        <v>36.049999999999997</v>
      </c>
      <c r="W182" t="str">
        <f t="shared" si="50"/>
        <v>rob</v>
      </c>
    </row>
    <row r="183" spans="1:23">
      <c r="A183" t="str">
        <f t="shared" si="52"/>
        <v>AGRICUL LM 3</v>
      </c>
      <c r="B183" t="str">
        <f>"0E8282"</f>
        <v>0E8282</v>
      </c>
      <c r="C183" t="str">
        <f>"LM_Content  LMS Vir.-The Concept of AutoAgronom"</f>
        <v>LM_Content  LMS Vir.-The Concept of AutoAgronom</v>
      </c>
      <c r="D183">
        <v>1</v>
      </c>
      <c r="E183" t="str">
        <f t="shared" si="53"/>
        <v>Agriculture E-Learning Content (School License on LMS)</v>
      </c>
      <c r="F183">
        <v>784</v>
      </c>
      <c r="G183" t="str">
        <f t="shared" si="36"/>
        <v>Y</v>
      </c>
      <c r="H183" t="str">
        <f t="shared" si="51"/>
        <v>EA</v>
      </c>
      <c r="I183">
        <v>0</v>
      </c>
      <c r="J183">
        <v>0</v>
      </c>
      <c r="K183" t="str">
        <f t="shared" si="38"/>
        <v>Y</v>
      </c>
      <c r="L183">
        <v>0</v>
      </c>
      <c r="M183" t="str">
        <f t="shared" si="39"/>
        <v>NIS</v>
      </c>
      <c r="O183">
        <v>8</v>
      </c>
      <c r="P183" t="str">
        <f t="shared" si="54"/>
        <v>Active</v>
      </c>
      <c r="Q183" t="str">
        <f>"LM_Content  LMS Vir.-The Concept of AutoAgronom"</f>
        <v>LM_Content  LMS Vir.-The Concept of AutoAgronom</v>
      </c>
      <c r="S183" t="str">
        <f>"LM_Content  LMS Vir.-The Concept of AutoAgronom"</f>
        <v>LM_Content  LMS Vir.-The Concept of AutoAgronom</v>
      </c>
      <c r="T183">
        <v>0</v>
      </c>
      <c r="U183">
        <v>30.65</v>
      </c>
      <c r="V183">
        <v>35.840000000000003</v>
      </c>
      <c r="W183" t="str">
        <f t="shared" si="50"/>
        <v>rob</v>
      </c>
    </row>
    <row r="184" spans="1:23">
      <c r="A184" t="str">
        <f t="shared" si="52"/>
        <v>AGRICUL LM 3</v>
      </c>
      <c r="B184" t="str">
        <f>"0E8283"</f>
        <v>0E8283</v>
      </c>
      <c r="C184" t="str">
        <f>"LM_Content LMS Vir.-Using the AutoAgronom Sys"</f>
        <v>LM_Content LMS Vir.-Using the AutoAgronom Sys</v>
      </c>
      <c r="D184">
        <v>1</v>
      </c>
      <c r="E184" t="str">
        <f t="shared" si="53"/>
        <v>Agriculture E-Learning Content (School License on LMS)</v>
      </c>
      <c r="F184">
        <v>784</v>
      </c>
      <c r="G184" t="str">
        <f t="shared" si="36"/>
        <v>Y</v>
      </c>
      <c r="H184" t="str">
        <f t="shared" si="51"/>
        <v>EA</v>
      </c>
      <c r="I184">
        <v>0</v>
      </c>
      <c r="J184">
        <v>0</v>
      </c>
      <c r="K184" t="str">
        <f t="shared" si="38"/>
        <v>Y</v>
      </c>
      <c r="L184">
        <v>0</v>
      </c>
      <c r="M184" t="str">
        <f t="shared" si="39"/>
        <v>NIS</v>
      </c>
      <c r="O184">
        <v>10</v>
      </c>
      <c r="P184" t="str">
        <f t="shared" si="54"/>
        <v>Active</v>
      </c>
      <c r="Q184" t="str">
        <f>"LM_Content LMS Vir.-Using the AutoAgronom Sys"</f>
        <v>LM_Content LMS Vir.-Using the AutoAgronom Sys</v>
      </c>
      <c r="S184" t="str">
        <f>"LM_Content LMS Vir.-Using the AutoAgronom Sys"</f>
        <v>LM_Content LMS Vir.-Using the AutoAgronom Sys</v>
      </c>
      <c r="T184">
        <v>0</v>
      </c>
      <c r="U184">
        <v>30.65</v>
      </c>
      <c r="V184">
        <v>35.85</v>
      </c>
      <c r="W184" t="str">
        <f t="shared" si="50"/>
        <v>rob</v>
      </c>
    </row>
    <row r="185" spans="1:23">
      <c r="A185" t="str">
        <f t="shared" si="52"/>
        <v>AGRICUL LM 3</v>
      </c>
      <c r="B185" t="str">
        <f>"0E8284"</f>
        <v>0E8284</v>
      </c>
      <c r="C185" t="str">
        <f>"LM_Content  LMS Vir-Applications of AutoAgronom"</f>
        <v>LM_Content  LMS Vir-Applications of AutoAgronom</v>
      </c>
      <c r="D185">
        <v>1</v>
      </c>
      <c r="E185" t="str">
        <f t="shared" si="53"/>
        <v>Agriculture E-Learning Content (School License on LMS)</v>
      </c>
      <c r="F185">
        <v>784</v>
      </c>
      <c r="G185" t="str">
        <f t="shared" si="36"/>
        <v>Y</v>
      </c>
      <c r="H185" t="str">
        <f t="shared" si="51"/>
        <v>EA</v>
      </c>
      <c r="I185">
        <v>0</v>
      </c>
      <c r="J185">
        <v>0</v>
      </c>
      <c r="K185" t="str">
        <f t="shared" si="38"/>
        <v>Y</v>
      </c>
      <c r="L185">
        <v>0</v>
      </c>
      <c r="M185" t="str">
        <f t="shared" si="39"/>
        <v>NIS</v>
      </c>
      <c r="O185">
        <v>12</v>
      </c>
      <c r="P185" t="str">
        <f t="shared" si="54"/>
        <v>Active</v>
      </c>
      <c r="Q185" t="str">
        <f>"LM_Content  LMS Vir-Applications of AutoAgronom"</f>
        <v>LM_Content  LMS Vir-Applications of AutoAgronom</v>
      </c>
      <c r="S185" t="str">
        <f>"LM_Content  LMS Vir-Applications of AutoAgronom"</f>
        <v>LM_Content  LMS Vir-Applications of AutoAgronom</v>
      </c>
      <c r="T185">
        <v>0</v>
      </c>
      <c r="U185">
        <v>30.65</v>
      </c>
      <c r="V185">
        <v>35.840000000000003</v>
      </c>
      <c r="W185" t="str">
        <f t="shared" si="50"/>
        <v>rob</v>
      </c>
    </row>
    <row r="186" spans="1:23">
      <c r="A186" t="str">
        <f t="shared" si="52"/>
        <v>AGRICUL LM 3</v>
      </c>
      <c r="B186" t="str">
        <f>"0E8285"</f>
        <v>0E8285</v>
      </c>
      <c r="C186" t="str">
        <f>"LM_Content  LMS Vir- Advancd Irrigation Systems"</f>
        <v>LM_Content  LMS Vir- Advancd Irrigation Systems</v>
      </c>
      <c r="D186">
        <v>1</v>
      </c>
      <c r="E186" t="str">
        <f t="shared" si="53"/>
        <v>Agriculture E-Learning Content (School License on LMS)</v>
      </c>
      <c r="F186">
        <v>784</v>
      </c>
      <c r="G186" t="str">
        <f t="shared" si="36"/>
        <v>Y</v>
      </c>
      <c r="H186" t="str">
        <f t="shared" si="51"/>
        <v>EA</v>
      </c>
      <c r="I186">
        <v>0</v>
      </c>
      <c r="J186">
        <v>0</v>
      </c>
      <c r="K186" t="str">
        <f t="shared" si="38"/>
        <v>Y</v>
      </c>
      <c r="L186">
        <v>0</v>
      </c>
      <c r="M186" t="str">
        <f t="shared" si="39"/>
        <v>NIS</v>
      </c>
      <c r="O186">
        <v>14</v>
      </c>
      <c r="P186" t="str">
        <f t="shared" si="54"/>
        <v>Active</v>
      </c>
      <c r="Q186" t="str">
        <f>"LM_Content  LMS Vir- Advancd Irrigation Systems"</f>
        <v>LM_Content  LMS Vir- Advancd Irrigation Systems</v>
      </c>
      <c r="S186" t="str">
        <f>"LM_Content  LMS Vir- Advancd Irrigation Systems"</f>
        <v>LM_Content  LMS Vir- Advancd Irrigation Systems</v>
      </c>
      <c r="T186">
        <v>0</v>
      </c>
      <c r="U186">
        <v>30.65</v>
      </c>
      <c r="V186">
        <v>35.85</v>
      </c>
      <c r="W186" t="str">
        <f t="shared" si="50"/>
        <v>rob</v>
      </c>
    </row>
    <row r="187" spans="1:23">
      <c r="A187" t="str">
        <f t="shared" ref="A187:A193" si="55">"AGRICUL LM 5"</f>
        <v>AGRICUL LM 5</v>
      </c>
      <c r="B187" t="str">
        <f>"17-3101-0002"</f>
        <v>17-3101-0002</v>
      </c>
      <c r="C187" t="str">
        <f>"LM5 Content, Virtual, Intro to Greenhouse Agri"</f>
        <v>LM5 Content, Virtual, Intro to Greenhouse Agri</v>
      </c>
      <c r="D187">
        <v>1</v>
      </c>
      <c r="E187" t="str">
        <f t="shared" ref="E187:E193" si="56">"Agriculture LM 5 LearnMate Content Modules (School License on LMS)"</f>
        <v>Agriculture LM 5 LearnMate Content Modules (School License on LMS)</v>
      </c>
      <c r="F187">
        <v>784</v>
      </c>
      <c r="G187" t="str">
        <f t="shared" si="36"/>
        <v>Y</v>
      </c>
      <c r="H187" t="str">
        <f t="shared" si="51"/>
        <v>EA</v>
      </c>
      <c r="I187">
        <v>0</v>
      </c>
      <c r="J187">
        <v>0</v>
      </c>
      <c r="K187" t="str">
        <f t="shared" si="38"/>
        <v>Y</v>
      </c>
      <c r="L187">
        <v>0</v>
      </c>
      <c r="M187" t="str">
        <f t="shared" si="39"/>
        <v>NIS</v>
      </c>
      <c r="O187">
        <v>1</v>
      </c>
      <c r="P187" t="str">
        <f t="shared" si="54"/>
        <v>Active</v>
      </c>
      <c r="Q187" t="str">
        <f>"LM5 Content, Virtual, Intro to Greenhouse Agri"</f>
        <v>LM5 Content, Virtual, Intro to Greenhouse Agri</v>
      </c>
      <c r="S187" t="str">
        <f>"LM5 Content, Virtual, Intro to Greenhouse Agri"</f>
        <v>LM5 Content, Virtual, Intro to Greenhouse Agri</v>
      </c>
      <c r="T187">
        <v>0</v>
      </c>
      <c r="U187">
        <v>5</v>
      </c>
      <c r="V187">
        <v>5</v>
      </c>
      <c r="W187" t="str">
        <f t="shared" si="50"/>
        <v>rob</v>
      </c>
    </row>
    <row r="188" spans="1:23">
      <c r="A188" t="str">
        <f t="shared" si="55"/>
        <v>AGRICUL LM 5</v>
      </c>
      <c r="B188" t="str">
        <f>"17-3102-0002"</f>
        <v>17-3102-0002</v>
      </c>
      <c r="C188" t="str">
        <f>"LM5 Content, Virtual, Soil in Agriculture"</f>
        <v>LM5 Content, Virtual, Soil in Agriculture</v>
      </c>
      <c r="D188">
        <v>1</v>
      </c>
      <c r="E188" t="str">
        <f t="shared" si="56"/>
        <v>Agriculture LM 5 LearnMate Content Modules (School License on LMS)</v>
      </c>
      <c r="F188">
        <v>784</v>
      </c>
      <c r="G188" t="str">
        <f t="shared" si="36"/>
        <v>Y</v>
      </c>
      <c r="H188" t="str">
        <f t="shared" si="51"/>
        <v>EA</v>
      </c>
      <c r="I188">
        <v>0</v>
      </c>
      <c r="J188">
        <v>0</v>
      </c>
      <c r="K188" t="str">
        <f t="shared" si="38"/>
        <v>Y</v>
      </c>
      <c r="L188">
        <v>0</v>
      </c>
      <c r="M188" t="str">
        <f t="shared" si="39"/>
        <v>NIS</v>
      </c>
      <c r="O188">
        <v>2</v>
      </c>
      <c r="P188" t="str">
        <f t="shared" si="54"/>
        <v>Active</v>
      </c>
      <c r="Q188" t="str">
        <f>"LM5 Content, Virtual, Soil in Agriculture"</f>
        <v>LM5 Content, Virtual, Soil in Agriculture</v>
      </c>
      <c r="S188" t="str">
        <f>"LM5 Content, Virtual, Soil in Agriculture"</f>
        <v>LM5 Content, Virtual, Soil in Agriculture</v>
      </c>
      <c r="T188">
        <v>0</v>
      </c>
      <c r="U188">
        <v>5</v>
      </c>
      <c r="V188">
        <v>5</v>
      </c>
      <c r="W188" t="str">
        <f t="shared" si="50"/>
        <v>rob</v>
      </c>
    </row>
    <row r="189" spans="1:23">
      <c r="A189" t="str">
        <f t="shared" si="55"/>
        <v>AGRICUL LM 5</v>
      </c>
      <c r="B189" t="str">
        <f>"17-3103-0002"</f>
        <v>17-3103-0002</v>
      </c>
      <c r="C189" t="str">
        <f>"LM5 Content, Virtual, Intro to Irrigation"</f>
        <v>LM5 Content, Virtual, Intro to Irrigation</v>
      </c>
      <c r="D189">
        <v>1</v>
      </c>
      <c r="E189" t="str">
        <f t="shared" si="56"/>
        <v>Agriculture LM 5 LearnMate Content Modules (School License on LMS)</v>
      </c>
      <c r="F189">
        <v>784</v>
      </c>
      <c r="G189" t="str">
        <f t="shared" si="36"/>
        <v>Y</v>
      </c>
      <c r="H189" t="str">
        <f t="shared" si="51"/>
        <v>EA</v>
      </c>
      <c r="I189">
        <v>0</v>
      </c>
      <c r="J189">
        <v>0</v>
      </c>
      <c r="K189" t="str">
        <f t="shared" si="38"/>
        <v>Y</v>
      </c>
      <c r="L189">
        <v>0</v>
      </c>
      <c r="M189" t="str">
        <f t="shared" si="39"/>
        <v>NIS</v>
      </c>
      <c r="O189">
        <v>3</v>
      </c>
      <c r="P189" t="str">
        <f t="shared" si="54"/>
        <v>Active</v>
      </c>
      <c r="Q189" t="str">
        <f>"LM5.X Content Introduction to Irrigation"</f>
        <v>LM5.X Content Introduction to Irrigation</v>
      </c>
      <c r="S189" t="str">
        <f>"LM5 Content, Virtual, Intro to Irrigation"</f>
        <v>LM5 Content, Virtual, Intro to Irrigation</v>
      </c>
      <c r="T189">
        <v>0</v>
      </c>
      <c r="U189">
        <v>5</v>
      </c>
      <c r="V189">
        <v>5</v>
      </c>
      <c r="W189" t="str">
        <f t="shared" si="50"/>
        <v>rob</v>
      </c>
    </row>
    <row r="190" spans="1:23">
      <c r="A190" t="str">
        <f t="shared" si="55"/>
        <v>AGRICUL LM 5</v>
      </c>
      <c r="B190" t="str">
        <f>"17-8100-1012"</f>
        <v>17-8100-1012</v>
      </c>
      <c r="C190" t="str">
        <f>"LM 5 Content, Lab, Theory of AutoGreen System"</f>
        <v>LM 5 Content, Lab, Theory of AutoGreen System</v>
      </c>
      <c r="D190">
        <v>1</v>
      </c>
      <c r="E190" t="str">
        <f t="shared" si="56"/>
        <v>Agriculture LM 5 LearnMate Content Modules (School License on LMS)</v>
      </c>
      <c r="F190">
        <v>784</v>
      </c>
      <c r="G190" t="str">
        <f t="shared" si="36"/>
        <v>Y</v>
      </c>
      <c r="H190" t="str">
        <f t="shared" si="51"/>
        <v>EA</v>
      </c>
      <c r="I190">
        <v>0</v>
      </c>
      <c r="J190">
        <v>0</v>
      </c>
      <c r="K190" t="str">
        <f t="shared" si="38"/>
        <v>Y</v>
      </c>
      <c r="L190">
        <v>0</v>
      </c>
      <c r="M190" t="str">
        <f t="shared" si="39"/>
        <v>NIS</v>
      </c>
      <c r="O190">
        <v>4</v>
      </c>
      <c r="P190" t="str">
        <f t="shared" si="54"/>
        <v>Active</v>
      </c>
      <c r="Q190" t="str">
        <f>"LM5 Content, Lab, Theory of AutoGreen System"</f>
        <v>LM5 Content, Lab, Theory of AutoGreen System</v>
      </c>
      <c r="S190" t="str">
        <f>"LM5 Content, Lab, Theory of AutoGreen System"</f>
        <v>LM5 Content, Lab, Theory of AutoGreen System</v>
      </c>
      <c r="T190">
        <v>0</v>
      </c>
      <c r="U190">
        <v>5</v>
      </c>
      <c r="V190">
        <v>5</v>
      </c>
      <c r="W190" t="str">
        <f t="shared" si="50"/>
        <v>rob</v>
      </c>
    </row>
    <row r="191" spans="1:23">
      <c r="A191" t="str">
        <f t="shared" si="55"/>
        <v>AGRICUL LM 5</v>
      </c>
      <c r="B191" t="str">
        <f>"17-8100-1022"</f>
        <v>17-8100-1022</v>
      </c>
      <c r="C191" t="str">
        <f>"LM 5 Content, Lab, Using the AutoGreen System"</f>
        <v>LM 5 Content, Lab, Using the AutoGreen System</v>
      </c>
      <c r="D191">
        <v>1</v>
      </c>
      <c r="E191" t="str">
        <f t="shared" si="56"/>
        <v>Agriculture LM 5 LearnMate Content Modules (School License on LMS)</v>
      </c>
      <c r="F191">
        <v>784</v>
      </c>
      <c r="G191" t="str">
        <f t="shared" si="36"/>
        <v>Y</v>
      </c>
      <c r="H191" t="str">
        <f t="shared" si="51"/>
        <v>EA</v>
      </c>
      <c r="I191">
        <v>0</v>
      </c>
      <c r="J191">
        <v>0</v>
      </c>
      <c r="K191" t="str">
        <f t="shared" si="38"/>
        <v>Y</v>
      </c>
      <c r="L191">
        <v>0</v>
      </c>
      <c r="M191" t="str">
        <f t="shared" si="39"/>
        <v>NIS</v>
      </c>
      <c r="O191">
        <v>5</v>
      </c>
      <c r="P191" t="str">
        <f t="shared" si="54"/>
        <v>Active</v>
      </c>
      <c r="Q191" t="str">
        <f>"LM5 Content, Lab, Using the AutoGreen System"</f>
        <v>LM5 Content, Lab, Using the AutoGreen System</v>
      </c>
      <c r="S191" t="str">
        <f>"LM5 Content, Lab, Using the AutoGreen System"</f>
        <v>LM5 Content, Lab, Using the AutoGreen System</v>
      </c>
      <c r="T191">
        <v>0</v>
      </c>
      <c r="U191">
        <v>5</v>
      </c>
      <c r="V191">
        <v>5</v>
      </c>
      <c r="W191" t="str">
        <f t="shared" si="50"/>
        <v>rob</v>
      </c>
    </row>
    <row r="192" spans="1:23">
      <c r="A192" t="str">
        <f t="shared" si="55"/>
        <v>AGRICUL LM 5</v>
      </c>
      <c r="B192" t="str">
        <f>"17-8100-1032"</f>
        <v>17-8100-1032</v>
      </c>
      <c r="C192" t="str">
        <f>"LM 5 Content, Lab, Applications of AutoGreen"</f>
        <v>LM 5 Content, Lab, Applications of AutoGreen</v>
      </c>
      <c r="D192">
        <v>1</v>
      </c>
      <c r="E192" t="str">
        <f t="shared" si="56"/>
        <v>Agriculture LM 5 LearnMate Content Modules (School License on LMS)</v>
      </c>
      <c r="F192">
        <v>784</v>
      </c>
      <c r="G192" t="str">
        <f t="shared" si="36"/>
        <v>Y</v>
      </c>
      <c r="H192" t="str">
        <f t="shared" si="51"/>
        <v>EA</v>
      </c>
      <c r="I192">
        <v>0</v>
      </c>
      <c r="J192">
        <v>0</v>
      </c>
      <c r="K192" t="str">
        <f t="shared" si="38"/>
        <v>Y</v>
      </c>
      <c r="L192">
        <v>0</v>
      </c>
      <c r="M192" t="str">
        <f t="shared" si="39"/>
        <v>NIS</v>
      </c>
      <c r="O192">
        <v>6</v>
      </c>
      <c r="P192" t="str">
        <f t="shared" si="54"/>
        <v>Active</v>
      </c>
      <c r="Q192" t="str">
        <f>"LM5 Content, Lab, Applications of AutoGreen"</f>
        <v>LM5 Content, Lab, Applications of AutoGreen</v>
      </c>
      <c r="S192" t="str">
        <f>"LM5 Content, Lab, Applications of AutoGreen"</f>
        <v>LM5 Content, Lab, Applications of AutoGreen</v>
      </c>
      <c r="T192">
        <v>0</v>
      </c>
      <c r="U192">
        <v>5</v>
      </c>
      <c r="V192">
        <v>5</v>
      </c>
      <c r="W192" t="str">
        <f t="shared" si="50"/>
        <v>rob</v>
      </c>
    </row>
    <row r="193" spans="1:23">
      <c r="A193" t="str">
        <f t="shared" si="55"/>
        <v>AGRICUL LM 5</v>
      </c>
      <c r="B193" t="str">
        <f>"17-3104-0002"</f>
        <v>17-3104-0002</v>
      </c>
      <c r="C193" t="str">
        <f>"LM5 Content, Virtual, Adv Irrigation Systems"</f>
        <v>LM5 Content, Virtual, Adv Irrigation Systems</v>
      </c>
      <c r="D193">
        <v>1</v>
      </c>
      <c r="E193" t="str">
        <f t="shared" si="56"/>
        <v>Agriculture LM 5 LearnMate Content Modules (School License on LMS)</v>
      </c>
      <c r="F193">
        <v>784</v>
      </c>
      <c r="G193" t="str">
        <f t="shared" si="36"/>
        <v>Y</v>
      </c>
      <c r="H193" t="str">
        <f t="shared" si="51"/>
        <v>EA</v>
      </c>
      <c r="I193">
        <v>0</v>
      </c>
      <c r="J193">
        <v>0</v>
      </c>
      <c r="K193" t="str">
        <f t="shared" si="38"/>
        <v>Y</v>
      </c>
      <c r="L193">
        <v>0</v>
      </c>
      <c r="M193" t="str">
        <f t="shared" si="39"/>
        <v>NIS</v>
      </c>
      <c r="O193">
        <v>7</v>
      </c>
      <c r="P193" t="str">
        <f t="shared" si="54"/>
        <v>Active</v>
      </c>
      <c r="Q193" t="str">
        <f>"LM5 Content, Virtual, Adv Irrigation Systems"</f>
        <v>LM5 Content, Virtual, Adv Irrigation Systems</v>
      </c>
      <c r="S193" t="str">
        <f>"LM5 Content, Virtual, Adv Irrigation Systems"</f>
        <v>LM5 Content, Virtual, Adv Irrigation Systems</v>
      </c>
      <c r="T193">
        <v>0</v>
      </c>
      <c r="U193">
        <v>5</v>
      </c>
      <c r="V193">
        <v>5</v>
      </c>
      <c r="W193" t="str">
        <f t="shared" si="50"/>
        <v>rob</v>
      </c>
    </row>
    <row r="194" spans="1:23">
      <c r="A194" t="str">
        <f t="shared" ref="A194:A207" si="57">"AGRICUL LMate SA"</f>
        <v>AGRICUL LMate SA</v>
      </c>
      <c r="B194" t="str">
        <f>"12-3101-9000"</f>
        <v>12-3101-9000</v>
      </c>
      <c r="C194" t="str">
        <f>"LM_Content SA Vir- Introd to Greenhous Technolgy"</f>
        <v>LM_Content SA Vir- Introd to Greenhous Technolgy</v>
      </c>
      <c r="D194">
        <v>1</v>
      </c>
      <c r="E194" t="str">
        <f t="shared" ref="E194:E207" si="58">"Agriculture E-Learning Content (standalone)"</f>
        <v>Agriculture E-Learning Content (standalone)</v>
      </c>
      <c r="F194">
        <v>782</v>
      </c>
      <c r="G194" t="str">
        <f t="shared" ref="G194:G257" si="59">"Y"</f>
        <v>Y</v>
      </c>
      <c r="H194" t="str">
        <f t="shared" si="51"/>
        <v>EA</v>
      </c>
      <c r="I194">
        <v>0</v>
      </c>
      <c r="J194">
        <v>0</v>
      </c>
      <c r="K194" t="str">
        <f t="shared" ref="K194:K257" si="60">"Y"</f>
        <v>Y</v>
      </c>
      <c r="L194">
        <v>0</v>
      </c>
      <c r="M194" t="str">
        <f t="shared" ref="M194:M257" si="61">"NIS"</f>
        <v>NIS</v>
      </c>
      <c r="O194">
        <v>2</v>
      </c>
      <c r="P194" t="str">
        <f t="shared" si="54"/>
        <v>Active</v>
      </c>
      <c r="Q194" t="str">
        <f>"LM_Content SA Vir- Introd to Greenhous Technolgy"</f>
        <v>LM_Content SA Vir- Introd to Greenhous Technolgy</v>
      </c>
      <c r="S194" t="str">
        <f>"LM_Content SA Vir- Introd to Greenhous Technolgy"</f>
        <v>LM_Content SA Vir- Introd to Greenhous Technolgy</v>
      </c>
      <c r="T194">
        <v>0</v>
      </c>
      <c r="U194">
        <v>30.65</v>
      </c>
      <c r="V194">
        <v>35.840000000000003</v>
      </c>
      <c r="W194" t="str">
        <f t="shared" si="50"/>
        <v>rob</v>
      </c>
    </row>
    <row r="195" spans="1:23">
      <c r="A195" t="str">
        <f t="shared" si="57"/>
        <v>AGRICUL LMate SA</v>
      </c>
      <c r="B195" t="str">
        <f>"63-7001-0100"</f>
        <v>63-7001-0100</v>
      </c>
      <c r="C195" t="str">
        <f>"License Key for Standalone Content"</f>
        <v>License Key for Standalone Content</v>
      </c>
      <c r="D195">
        <v>1</v>
      </c>
      <c r="E195" t="str">
        <f t="shared" si="58"/>
        <v>Agriculture E-Learning Content (standalone)</v>
      </c>
      <c r="F195">
        <v>782</v>
      </c>
      <c r="G195" t="str">
        <f t="shared" si="59"/>
        <v>Y</v>
      </c>
      <c r="H195" t="str">
        <f t="shared" si="51"/>
        <v>EA</v>
      </c>
      <c r="I195">
        <v>0</v>
      </c>
      <c r="J195">
        <v>0</v>
      </c>
      <c r="K195" t="str">
        <f t="shared" si="60"/>
        <v>Y</v>
      </c>
      <c r="L195">
        <v>0</v>
      </c>
      <c r="M195" t="str">
        <f t="shared" si="61"/>
        <v>NIS</v>
      </c>
      <c r="O195">
        <v>3</v>
      </c>
      <c r="P195" t="str">
        <f t="shared" si="54"/>
        <v>Active</v>
      </c>
      <c r="Q195" t="str">
        <f>"License Key For LM Content Standalone"</f>
        <v>License Key For LM Content Standalone</v>
      </c>
      <c r="R195" t="str">
        <f>"1"</f>
        <v>1</v>
      </c>
      <c r="S195" t="str">
        <f>"License Key For LM Content Standalone"</f>
        <v>License Key For LM Content Standalone</v>
      </c>
      <c r="T195">
        <v>0</v>
      </c>
      <c r="U195">
        <v>18</v>
      </c>
      <c r="V195">
        <v>18.72</v>
      </c>
      <c r="W195" t="str">
        <f t="shared" si="50"/>
        <v>rob</v>
      </c>
    </row>
    <row r="196" spans="1:23">
      <c r="A196" t="str">
        <f t="shared" si="57"/>
        <v>AGRICUL LMate SA</v>
      </c>
      <c r="B196" t="str">
        <f>"12-3102-9000"</f>
        <v>12-3102-9000</v>
      </c>
      <c r="C196" t="str">
        <f>"LM_Content SA Vir -E- Soil and Agriculture"</f>
        <v>LM_Content SA Vir -E- Soil and Agriculture</v>
      </c>
      <c r="D196">
        <v>1</v>
      </c>
      <c r="E196" t="str">
        <f t="shared" si="58"/>
        <v>Agriculture E-Learning Content (standalone)</v>
      </c>
      <c r="F196">
        <v>782</v>
      </c>
      <c r="G196" t="str">
        <f t="shared" si="59"/>
        <v>Y</v>
      </c>
      <c r="H196" t="str">
        <f t="shared" si="51"/>
        <v>EA</v>
      </c>
      <c r="I196">
        <v>0</v>
      </c>
      <c r="J196">
        <v>0</v>
      </c>
      <c r="K196" t="str">
        <f t="shared" si="60"/>
        <v>Y</v>
      </c>
      <c r="L196">
        <v>0</v>
      </c>
      <c r="M196" t="str">
        <f t="shared" si="61"/>
        <v>NIS</v>
      </c>
      <c r="O196">
        <v>4</v>
      </c>
      <c r="P196" t="str">
        <f t="shared" si="54"/>
        <v>Active</v>
      </c>
      <c r="Q196" t="str">
        <f>"LM_Content SA Vir -E- Soil and Agriculture"</f>
        <v>LM_Content SA Vir -E- Soil and Agriculture</v>
      </c>
      <c r="S196" t="str">
        <f>"LM_Content SA Vir -E- Soil and Agriculture"</f>
        <v>LM_Content SA Vir -E- Soil and Agriculture</v>
      </c>
      <c r="T196">
        <v>0</v>
      </c>
      <c r="U196">
        <v>30.65</v>
      </c>
      <c r="V196">
        <v>35.840000000000003</v>
      </c>
      <c r="W196" t="str">
        <f t="shared" si="50"/>
        <v>rob</v>
      </c>
    </row>
    <row r="197" spans="1:23">
      <c r="A197" t="str">
        <f t="shared" si="57"/>
        <v>AGRICUL LMate SA</v>
      </c>
      <c r="B197" t="str">
        <f>"63-7001-0100"</f>
        <v>63-7001-0100</v>
      </c>
      <c r="C197" t="str">
        <f>"License Key for Standalone Content"</f>
        <v>License Key for Standalone Content</v>
      </c>
      <c r="D197">
        <v>1</v>
      </c>
      <c r="E197" t="str">
        <f t="shared" si="58"/>
        <v>Agriculture E-Learning Content (standalone)</v>
      </c>
      <c r="F197">
        <v>782</v>
      </c>
      <c r="G197" t="str">
        <f t="shared" si="59"/>
        <v>Y</v>
      </c>
      <c r="H197" t="str">
        <f t="shared" si="51"/>
        <v>EA</v>
      </c>
      <c r="I197">
        <v>0</v>
      </c>
      <c r="J197">
        <v>0</v>
      </c>
      <c r="K197" t="str">
        <f t="shared" si="60"/>
        <v>Y</v>
      </c>
      <c r="L197">
        <v>0</v>
      </c>
      <c r="M197" t="str">
        <f t="shared" si="61"/>
        <v>NIS</v>
      </c>
      <c r="O197">
        <v>5</v>
      </c>
      <c r="P197" t="str">
        <f t="shared" si="54"/>
        <v>Active</v>
      </c>
      <c r="Q197" t="str">
        <f>"License Key For LM Content Standalone"</f>
        <v>License Key For LM Content Standalone</v>
      </c>
      <c r="R197" t="str">
        <f>"1"</f>
        <v>1</v>
      </c>
      <c r="S197" t="str">
        <f>"License Key For LM Content Standalone"</f>
        <v>License Key For LM Content Standalone</v>
      </c>
      <c r="T197">
        <v>0</v>
      </c>
      <c r="U197">
        <v>18</v>
      </c>
      <c r="V197">
        <v>18.72</v>
      </c>
      <c r="W197" t="str">
        <f t="shared" si="50"/>
        <v>rob</v>
      </c>
    </row>
    <row r="198" spans="1:23">
      <c r="A198" t="str">
        <f t="shared" si="57"/>
        <v>AGRICUL LMate SA</v>
      </c>
      <c r="B198" t="str">
        <f>"12-3103-9000"</f>
        <v>12-3103-9000</v>
      </c>
      <c r="C198" t="str">
        <f>"LM_Content SA Vir.- Principals of Irrigation"</f>
        <v>LM_Content SA Vir.- Principals of Irrigation</v>
      </c>
      <c r="D198">
        <v>1</v>
      </c>
      <c r="E198" t="str">
        <f t="shared" si="58"/>
        <v>Agriculture E-Learning Content (standalone)</v>
      </c>
      <c r="F198">
        <v>782</v>
      </c>
      <c r="G198" t="str">
        <f t="shared" si="59"/>
        <v>Y</v>
      </c>
      <c r="H198" t="str">
        <f t="shared" si="51"/>
        <v>EA</v>
      </c>
      <c r="I198">
        <v>0</v>
      </c>
      <c r="J198">
        <v>0</v>
      </c>
      <c r="K198" t="str">
        <f t="shared" si="60"/>
        <v>Y</v>
      </c>
      <c r="L198">
        <v>0</v>
      </c>
      <c r="M198" t="str">
        <f t="shared" si="61"/>
        <v>NIS</v>
      </c>
      <c r="O198">
        <v>6</v>
      </c>
      <c r="P198" t="str">
        <f t="shared" si="54"/>
        <v>Active</v>
      </c>
      <c r="Q198" t="str">
        <f>"LM_Content SA Vir.- Principals of Irrigation"</f>
        <v>LM_Content SA Vir.- Principals of Irrigation</v>
      </c>
      <c r="S198" t="str">
        <f>"LM_Content SA Vir.- Principals of Irrigation"</f>
        <v>LM_Content SA Vir.- Principals of Irrigation</v>
      </c>
      <c r="T198">
        <v>0</v>
      </c>
      <c r="U198">
        <v>30.65</v>
      </c>
      <c r="V198">
        <v>35.840000000000003</v>
      </c>
      <c r="W198" t="str">
        <f t="shared" si="50"/>
        <v>rob</v>
      </c>
    </row>
    <row r="199" spans="1:23">
      <c r="A199" t="str">
        <f t="shared" si="57"/>
        <v>AGRICUL LMate SA</v>
      </c>
      <c r="B199" t="str">
        <f>"63-7001-0100"</f>
        <v>63-7001-0100</v>
      </c>
      <c r="C199" t="str">
        <f>"License Key for Standalone Content"</f>
        <v>License Key for Standalone Content</v>
      </c>
      <c r="D199">
        <v>1</v>
      </c>
      <c r="E199" t="str">
        <f t="shared" si="58"/>
        <v>Agriculture E-Learning Content (standalone)</v>
      </c>
      <c r="F199">
        <v>782</v>
      </c>
      <c r="G199" t="str">
        <f t="shared" si="59"/>
        <v>Y</v>
      </c>
      <c r="H199" t="str">
        <f t="shared" si="51"/>
        <v>EA</v>
      </c>
      <c r="I199">
        <v>0</v>
      </c>
      <c r="J199">
        <v>0</v>
      </c>
      <c r="K199" t="str">
        <f t="shared" si="60"/>
        <v>Y</v>
      </c>
      <c r="L199">
        <v>0</v>
      </c>
      <c r="M199" t="str">
        <f t="shared" si="61"/>
        <v>NIS</v>
      </c>
      <c r="O199">
        <v>7</v>
      </c>
      <c r="P199" t="str">
        <f t="shared" si="54"/>
        <v>Active</v>
      </c>
      <c r="Q199" t="str">
        <f>"License Key For LM Content Standalone"</f>
        <v>License Key For LM Content Standalone</v>
      </c>
      <c r="R199" t="str">
        <f>"1"</f>
        <v>1</v>
      </c>
      <c r="S199" t="str">
        <f>"License Key For LM Content Standalone"</f>
        <v>License Key For LM Content Standalone</v>
      </c>
      <c r="T199">
        <v>0</v>
      </c>
      <c r="U199">
        <v>18</v>
      </c>
      <c r="V199">
        <v>18.72</v>
      </c>
      <c r="W199" t="str">
        <f t="shared" si="50"/>
        <v>rob</v>
      </c>
    </row>
    <row r="200" spans="1:23">
      <c r="A200" t="str">
        <f t="shared" si="57"/>
        <v>AGRICUL LMate SA</v>
      </c>
      <c r="B200" t="str">
        <f>"0E7282"</f>
        <v>0E7282</v>
      </c>
      <c r="C200" t="str">
        <f>"LM_Content SA Vir.-The Concept of AutoAgronom"</f>
        <v>LM_Content SA Vir.-The Concept of AutoAgronom</v>
      </c>
      <c r="D200">
        <v>1</v>
      </c>
      <c r="E200" t="str">
        <f t="shared" si="58"/>
        <v>Agriculture E-Learning Content (standalone)</v>
      </c>
      <c r="F200">
        <v>782</v>
      </c>
      <c r="G200" t="str">
        <f t="shared" si="59"/>
        <v>Y</v>
      </c>
      <c r="H200" t="str">
        <f t="shared" si="51"/>
        <v>EA</v>
      </c>
      <c r="I200">
        <v>0</v>
      </c>
      <c r="J200">
        <v>0</v>
      </c>
      <c r="K200" t="str">
        <f t="shared" si="60"/>
        <v>Y</v>
      </c>
      <c r="L200">
        <v>0</v>
      </c>
      <c r="M200" t="str">
        <f t="shared" si="61"/>
        <v>NIS</v>
      </c>
      <c r="O200">
        <v>8</v>
      </c>
      <c r="P200" t="str">
        <f t="shared" si="54"/>
        <v>Active</v>
      </c>
      <c r="Q200" t="str">
        <f>"LM_Content SA Vir.-The Concept of AutoAgronom"</f>
        <v>LM_Content SA Vir.-The Concept of AutoAgronom</v>
      </c>
      <c r="S200" t="str">
        <f>"LM_Content SA Vir.-The Concept of AutoAgronom"</f>
        <v>LM_Content SA Vir.-The Concept of AutoAgronom</v>
      </c>
      <c r="T200">
        <v>0</v>
      </c>
      <c r="U200">
        <v>30.65</v>
      </c>
      <c r="V200">
        <v>35.840000000000003</v>
      </c>
      <c r="W200" t="str">
        <f t="shared" si="50"/>
        <v>rob</v>
      </c>
    </row>
    <row r="201" spans="1:23">
      <c r="A201" t="str">
        <f t="shared" si="57"/>
        <v>AGRICUL LMate SA</v>
      </c>
      <c r="B201" t="str">
        <f>"63-7001-0100"</f>
        <v>63-7001-0100</v>
      </c>
      <c r="C201" t="str">
        <f>"License Key for Standalone Content"</f>
        <v>License Key for Standalone Content</v>
      </c>
      <c r="D201">
        <v>1</v>
      </c>
      <c r="E201" t="str">
        <f t="shared" si="58"/>
        <v>Agriculture E-Learning Content (standalone)</v>
      </c>
      <c r="F201">
        <v>782</v>
      </c>
      <c r="G201" t="str">
        <f t="shared" si="59"/>
        <v>Y</v>
      </c>
      <c r="H201" t="str">
        <f t="shared" si="51"/>
        <v>EA</v>
      </c>
      <c r="I201">
        <v>0</v>
      </c>
      <c r="J201">
        <v>0</v>
      </c>
      <c r="K201" t="str">
        <f t="shared" si="60"/>
        <v>Y</v>
      </c>
      <c r="L201">
        <v>0</v>
      </c>
      <c r="M201" t="str">
        <f t="shared" si="61"/>
        <v>NIS</v>
      </c>
      <c r="O201">
        <v>9</v>
      </c>
      <c r="P201" t="str">
        <f t="shared" si="54"/>
        <v>Active</v>
      </c>
      <c r="Q201" t="str">
        <f>"License Key For LM Content Standalone"</f>
        <v>License Key For LM Content Standalone</v>
      </c>
      <c r="R201" t="str">
        <f>"1"</f>
        <v>1</v>
      </c>
      <c r="S201" t="str">
        <f>"License Key For LM Content Standalone"</f>
        <v>License Key For LM Content Standalone</v>
      </c>
      <c r="T201">
        <v>0</v>
      </c>
      <c r="U201">
        <v>18</v>
      </c>
      <c r="V201">
        <v>18.72</v>
      </c>
      <c r="W201" t="str">
        <f t="shared" si="50"/>
        <v>rob</v>
      </c>
    </row>
    <row r="202" spans="1:23">
      <c r="A202" t="str">
        <f t="shared" si="57"/>
        <v>AGRICUL LMate SA</v>
      </c>
      <c r="B202" t="str">
        <f>"0E7283"</f>
        <v>0E7283</v>
      </c>
      <c r="C202" t="str">
        <f>"LM_Content SA Vir.-Using the AutoAgronom Sys"</f>
        <v>LM_Content SA Vir.-Using the AutoAgronom Sys</v>
      </c>
      <c r="D202">
        <v>1</v>
      </c>
      <c r="E202" t="str">
        <f t="shared" si="58"/>
        <v>Agriculture E-Learning Content (standalone)</v>
      </c>
      <c r="F202">
        <v>782</v>
      </c>
      <c r="G202" t="str">
        <f t="shared" si="59"/>
        <v>Y</v>
      </c>
      <c r="H202" t="str">
        <f t="shared" si="51"/>
        <v>EA</v>
      </c>
      <c r="I202">
        <v>0</v>
      </c>
      <c r="J202">
        <v>0</v>
      </c>
      <c r="K202" t="str">
        <f t="shared" si="60"/>
        <v>Y</v>
      </c>
      <c r="L202">
        <v>0</v>
      </c>
      <c r="M202" t="str">
        <f t="shared" si="61"/>
        <v>NIS</v>
      </c>
      <c r="O202">
        <v>10</v>
      </c>
      <c r="P202" t="str">
        <f t="shared" si="54"/>
        <v>Active</v>
      </c>
      <c r="Q202" t="str">
        <f>"LM_Content SA Vir.-Using the AutoAgronom Sys"</f>
        <v>LM_Content SA Vir.-Using the AutoAgronom Sys</v>
      </c>
      <c r="S202" t="str">
        <f>"LM_Content SA Vir.-Using the AutoAgronom Sys"</f>
        <v>LM_Content SA Vir.-Using the AutoAgronom Sys</v>
      </c>
      <c r="T202">
        <v>0</v>
      </c>
      <c r="U202">
        <v>30.65</v>
      </c>
      <c r="V202">
        <v>35.840000000000003</v>
      </c>
      <c r="W202" t="str">
        <f t="shared" si="50"/>
        <v>rob</v>
      </c>
    </row>
    <row r="203" spans="1:23">
      <c r="A203" t="str">
        <f t="shared" si="57"/>
        <v>AGRICUL LMate SA</v>
      </c>
      <c r="B203" t="str">
        <f>"63-7001-0100"</f>
        <v>63-7001-0100</v>
      </c>
      <c r="C203" t="str">
        <f>"License Key for Standalone Content"</f>
        <v>License Key for Standalone Content</v>
      </c>
      <c r="D203">
        <v>1</v>
      </c>
      <c r="E203" t="str">
        <f t="shared" si="58"/>
        <v>Agriculture E-Learning Content (standalone)</v>
      </c>
      <c r="F203">
        <v>782</v>
      </c>
      <c r="G203" t="str">
        <f t="shared" si="59"/>
        <v>Y</v>
      </c>
      <c r="H203" t="str">
        <f t="shared" si="51"/>
        <v>EA</v>
      </c>
      <c r="I203">
        <v>0</v>
      </c>
      <c r="J203">
        <v>0</v>
      </c>
      <c r="K203" t="str">
        <f t="shared" si="60"/>
        <v>Y</v>
      </c>
      <c r="L203">
        <v>0</v>
      </c>
      <c r="M203" t="str">
        <f t="shared" si="61"/>
        <v>NIS</v>
      </c>
      <c r="O203">
        <v>11</v>
      </c>
      <c r="P203" t="str">
        <f t="shared" si="54"/>
        <v>Active</v>
      </c>
      <c r="Q203" t="str">
        <f>"License Key For LM Content Standalone"</f>
        <v>License Key For LM Content Standalone</v>
      </c>
      <c r="R203" t="str">
        <f>"1"</f>
        <v>1</v>
      </c>
      <c r="S203" t="str">
        <f>"License Key For LM Content Standalone"</f>
        <v>License Key For LM Content Standalone</v>
      </c>
      <c r="T203">
        <v>0</v>
      </c>
      <c r="U203">
        <v>18</v>
      </c>
      <c r="V203">
        <v>18.72</v>
      </c>
      <c r="W203" t="str">
        <f t="shared" si="50"/>
        <v>rob</v>
      </c>
    </row>
    <row r="204" spans="1:23">
      <c r="A204" t="str">
        <f t="shared" si="57"/>
        <v>AGRICUL LMate SA</v>
      </c>
      <c r="B204" t="str">
        <f>"0E7284"</f>
        <v>0E7284</v>
      </c>
      <c r="C204" t="str">
        <f>"LM_Content SA Vir.-Applications of AutoAgronom"</f>
        <v>LM_Content SA Vir.-Applications of AutoAgronom</v>
      </c>
      <c r="D204">
        <v>1</v>
      </c>
      <c r="E204" t="str">
        <f t="shared" si="58"/>
        <v>Agriculture E-Learning Content (standalone)</v>
      </c>
      <c r="F204">
        <v>782</v>
      </c>
      <c r="G204" t="str">
        <f t="shared" si="59"/>
        <v>Y</v>
      </c>
      <c r="H204" t="str">
        <f t="shared" si="51"/>
        <v>EA</v>
      </c>
      <c r="I204">
        <v>0</v>
      </c>
      <c r="J204">
        <v>0</v>
      </c>
      <c r="K204" t="str">
        <f t="shared" si="60"/>
        <v>Y</v>
      </c>
      <c r="L204">
        <v>0</v>
      </c>
      <c r="M204" t="str">
        <f t="shared" si="61"/>
        <v>NIS</v>
      </c>
      <c r="O204">
        <v>12</v>
      </c>
      <c r="P204" t="str">
        <f t="shared" si="54"/>
        <v>Active</v>
      </c>
      <c r="Q204" t="str">
        <f>"LM_Content SA Vir.-Applications of AutoAgronom"</f>
        <v>LM_Content SA Vir.-Applications of AutoAgronom</v>
      </c>
      <c r="S204" t="str">
        <f>"LM_Content SA Vir.-Applications of AutoAgronom"</f>
        <v>LM_Content SA Vir.-Applications of AutoAgronom</v>
      </c>
      <c r="T204">
        <v>0</v>
      </c>
      <c r="U204">
        <v>30.65</v>
      </c>
      <c r="V204">
        <v>35.840000000000003</v>
      </c>
      <c r="W204" t="str">
        <f t="shared" si="50"/>
        <v>rob</v>
      </c>
    </row>
    <row r="205" spans="1:23">
      <c r="A205" t="str">
        <f t="shared" si="57"/>
        <v>AGRICUL LMate SA</v>
      </c>
      <c r="B205" t="str">
        <f>"63-7001-0100"</f>
        <v>63-7001-0100</v>
      </c>
      <c r="C205" t="str">
        <f>"License Key for Standalone Content"</f>
        <v>License Key for Standalone Content</v>
      </c>
      <c r="D205">
        <v>1</v>
      </c>
      <c r="E205" t="str">
        <f t="shared" si="58"/>
        <v>Agriculture E-Learning Content (standalone)</v>
      </c>
      <c r="F205">
        <v>782</v>
      </c>
      <c r="G205" t="str">
        <f t="shared" si="59"/>
        <v>Y</v>
      </c>
      <c r="H205" t="str">
        <f t="shared" si="51"/>
        <v>EA</v>
      </c>
      <c r="I205">
        <v>0</v>
      </c>
      <c r="J205">
        <v>0</v>
      </c>
      <c r="K205" t="str">
        <f t="shared" si="60"/>
        <v>Y</v>
      </c>
      <c r="L205">
        <v>0</v>
      </c>
      <c r="M205" t="str">
        <f t="shared" si="61"/>
        <v>NIS</v>
      </c>
      <c r="O205">
        <v>13</v>
      </c>
      <c r="P205" t="str">
        <f t="shared" si="54"/>
        <v>Active</v>
      </c>
      <c r="Q205" t="str">
        <f>"License Key For LM Content Standalone"</f>
        <v>License Key For LM Content Standalone</v>
      </c>
      <c r="R205" t="str">
        <f>"1"</f>
        <v>1</v>
      </c>
      <c r="S205" t="str">
        <f>"License Key For LM Content Standalone"</f>
        <v>License Key For LM Content Standalone</v>
      </c>
      <c r="T205">
        <v>0</v>
      </c>
      <c r="U205">
        <v>18</v>
      </c>
      <c r="V205">
        <v>18.72</v>
      </c>
      <c r="W205" t="str">
        <f t="shared" si="50"/>
        <v>rob</v>
      </c>
    </row>
    <row r="206" spans="1:23">
      <c r="A206" t="str">
        <f t="shared" si="57"/>
        <v>AGRICUL LMate SA</v>
      </c>
      <c r="B206" t="str">
        <f>"12-3104-9000"</f>
        <v>12-3104-9000</v>
      </c>
      <c r="C206" t="str">
        <f>"LM_Content SA Vir.- Advancd Irrigation Systems"</f>
        <v>LM_Content SA Vir.- Advancd Irrigation Systems</v>
      </c>
      <c r="D206">
        <v>1</v>
      </c>
      <c r="E206" t="str">
        <f t="shared" si="58"/>
        <v>Agriculture E-Learning Content (standalone)</v>
      </c>
      <c r="F206">
        <v>782</v>
      </c>
      <c r="G206" t="str">
        <f t="shared" si="59"/>
        <v>Y</v>
      </c>
      <c r="H206" t="str">
        <f t="shared" si="51"/>
        <v>EA</v>
      </c>
      <c r="I206">
        <v>0</v>
      </c>
      <c r="J206">
        <v>0</v>
      </c>
      <c r="K206" t="str">
        <f t="shared" si="60"/>
        <v>Y</v>
      </c>
      <c r="L206">
        <v>0</v>
      </c>
      <c r="M206" t="str">
        <f t="shared" si="61"/>
        <v>NIS</v>
      </c>
      <c r="O206">
        <v>14</v>
      </c>
      <c r="P206" t="str">
        <f t="shared" si="54"/>
        <v>Active</v>
      </c>
      <c r="Q206" t="str">
        <f>"LM_Content SA Vir.- Advancd Irrigation Systems"</f>
        <v>LM_Content SA Vir.- Advancd Irrigation Systems</v>
      </c>
      <c r="S206" t="str">
        <f>"LM_Content SA Vir.- Advancd Irrigation Systems"</f>
        <v>LM_Content SA Vir.- Advancd Irrigation Systems</v>
      </c>
      <c r="T206">
        <v>0</v>
      </c>
      <c r="U206">
        <v>30.65</v>
      </c>
      <c r="V206">
        <v>35.840000000000003</v>
      </c>
      <c r="W206" t="str">
        <f t="shared" si="50"/>
        <v>rob</v>
      </c>
    </row>
    <row r="207" spans="1:23">
      <c r="A207" t="str">
        <f t="shared" si="57"/>
        <v>AGRICUL LMate SA</v>
      </c>
      <c r="B207" t="str">
        <f>"63-7001-0100"</f>
        <v>63-7001-0100</v>
      </c>
      <c r="C207" t="str">
        <f>"License Key for Standalone Content"</f>
        <v>License Key for Standalone Content</v>
      </c>
      <c r="D207">
        <v>1</v>
      </c>
      <c r="E207" t="str">
        <f t="shared" si="58"/>
        <v>Agriculture E-Learning Content (standalone)</v>
      </c>
      <c r="F207">
        <v>782</v>
      </c>
      <c r="G207" t="str">
        <f t="shared" si="59"/>
        <v>Y</v>
      </c>
      <c r="H207" t="str">
        <f t="shared" si="51"/>
        <v>EA</v>
      </c>
      <c r="I207">
        <v>0</v>
      </c>
      <c r="J207">
        <v>0</v>
      </c>
      <c r="K207" t="str">
        <f t="shared" si="60"/>
        <v>Y</v>
      </c>
      <c r="L207">
        <v>0</v>
      </c>
      <c r="M207" t="str">
        <f t="shared" si="61"/>
        <v>NIS</v>
      </c>
      <c r="O207">
        <v>15</v>
      </c>
      <c r="P207" t="str">
        <f t="shared" si="54"/>
        <v>Active</v>
      </c>
      <c r="Q207" t="str">
        <f>"License Key For LM Content Standalone"</f>
        <v>License Key For LM Content Standalone</v>
      </c>
      <c r="R207" t="str">
        <f>"1"</f>
        <v>1</v>
      </c>
      <c r="S207" t="str">
        <f>"License Key For LM Content Standalone"</f>
        <v>License Key For LM Content Standalone</v>
      </c>
      <c r="T207">
        <v>0</v>
      </c>
      <c r="U207">
        <v>18</v>
      </c>
      <c r="V207">
        <v>18.72</v>
      </c>
      <c r="W207" t="str">
        <f t="shared" si="50"/>
        <v>rob</v>
      </c>
    </row>
    <row r="208" spans="1:23">
      <c r="A208" t="str">
        <f t="shared" ref="A208:A218" si="62">"AGV-RQC-ER4U"</f>
        <v>AGV-RQC-ER4U</v>
      </c>
      <c r="B208" t="str">
        <f>"00-0425-0000"</f>
        <v>00-0425-0000</v>
      </c>
      <c r="C208" t="str">
        <f>"ER 400 AGV (Mobile Robot for CIM with Viewflex)"</f>
        <v>ER 400 AGV (Mobile Robot for CIM with Viewflex)</v>
      </c>
      <c r="D208">
        <v>1</v>
      </c>
      <c r="E208" t="str">
        <f t="shared" ref="E208:E218" si="63">"Automated Guided Vehicle (AGV) for Remote QC Vision &amp; Robot ER4U Docking Station"</f>
        <v>Automated Guided Vehicle (AGV) for Remote QC Vision &amp; Robot ER4U Docking Station</v>
      </c>
      <c r="F208">
        <v>511</v>
      </c>
      <c r="G208" t="str">
        <f t="shared" si="59"/>
        <v>Y</v>
      </c>
      <c r="H208" t="str">
        <f t="shared" si="51"/>
        <v>EA</v>
      </c>
      <c r="I208">
        <v>0</v>
      </c>
      <c r="J208">
        <v>0</v>
      </c>
      <c r="K208" t="str">
        <f t="shared" si="60"/>
        <v>Y</v>
      </c>
      <c r="L208">
        <v>0</v>
      </c>
      <c r="M208" t="str">
        <f t="shared" si="61"/>
        <v>NIS</v>
      </c>
      <c r="O208">
        <v>1</v>
      </c>
      <c r="P208" t="str">
        <f t="shared" si="54"/>
        <v>Active</v>
      </c>
      <c r="Q208" t="str">
        <f>"ER 400 AGV (Mobile Robot for CIM with Viewflex)"</f>
        <v>ER 400 AGV (Mobile Robot for CIM with Viewflex)</v>
      </c>
      <c r="S208" t="str">
        <f>"ER 400 AGV (Mobile Robot for CIM with Viewflex)"</f>
        <v>ER 400 AGV (Mobile Robot for CIM with Viewflex)</v>
      </c>
      <c r="T208">
        <v>0</v>
      </c>
      <c r="U208" s="44">
        <v>2753.82</v>
      </c>
      <c r="V208" s="44">
        <v>2743.96</v>
      </c>
      <c r="W208" t="str">
        <f t="shared" si="50"/>
        <v>rob</v>
      </c>
    </row>
    <row r="209" spans="1:23">
      <c r="A209" t="str">
        <f t="shared" si="62"/>
        <v>AGV-RQC-ER4U</v>
      </c>
      <c r="B209" t="str">
        <f>"430741"</f>
        <v>430741</v>
      </c>
      <c r="C209" t="str">
        <f>"AC Power Supply PWS0001AN, 220v (EUR)"</f>
        <v>AC Power Supply PWS0001AN, 220v (EUR)</v>
      </c>
      <c r="D209">
        <v>1</v>
      </c>
      <c r="E209" t="str">
        <f t="shared" si="63"/>
        <v>Automated Guided Vehicle (AGV) for Remote QC Vision &amp; Robot ER4U Docking Station</v>
      </c>
      <c r="F209">
        <v>511</v>
      </c>
      <c r="G209" t="str">
        <f t="shared" si="59"/>
        <v>Y</v>
      </c>
      <c r="H209" t="str">
        <f t="shared" si="51"/>
        <v>EA</v>
      </c>
      <c r="I209">
        <v>0</v>
      </c>
      <c r="J209">
        <v>0</v>
      </c>
      <c r="K209" t="str">
        <f t="shared" si="60"/>
        <v>Y</v>
      </c>
      <c r="L209">
        <v>0</v>
      </c>
      <c r="M209" t="str">
        <f t="shared" si="61"/>
        <v>NIS</v>
      </c>
      <c r="O209">
        <v>3</v>
      </c>
      <c r="P209" t="str">
        <f t="shared" si="54"/>
        <v>Active</v>
      </c>
      <c r="Q209" t="str">
        <f>"""AC Power Supply PWS0001AN, 220v (EUR) """</f>
        <v>"AC Power Supply PWS0001AN, 220v (EUR) "</v>
      </c>
      <c r="R209" t="str">
        <f>"1"</f>
        <v>1</v>
      </c>
      <c r="S209" t="str">
        <f>"""AC Power Supply PWS0001AN, 220v (EUR) """</f>
        <v>"AC Power Supply PWS0001AN, 220v (EUR) "</v>
      </c>
      <c r="T209">
        <v>0</v>
      </c>
      <c r="U209">
        <v>0.34</v>
      </c>
      <c r="V209">
        <v>0.34</v>
      </c>
      <c r="W209" t="str">
        <f t="shared" si="50"/>
        <v>rob</v>
      </c>
    </row>
    <row r="210" spans="1:23">
      <c r="A210" t="str">
        <f t="shared" si="62"/>
        <v>AGV-RQC-ER4U</v>
      </c>
      <c r="B210" t="str">
        <f>"00-0413-0000"</f>
        <v>00-0413-0000</v>
      </c>
      <c r="C210" t="str">
        <f>"SCORBOT-ER 4u"</f>
        <v>SCORBOT-ER 4u</v>
      </c>
      <c r="D210">
        <v>1</v>
      </c>
      <c r="E210" t="str">
        <f t="shared" si="63"/>
        <v>Automated Guided Vehicle (AGV) for Remote QC Vision &amp; Robot ER4U Docking Station</v>
      </c>
      <c r="F210">
        <v>511</v>
      </c>
      <c r="G210" t="str">
        <f t="shared" si="59"/>
        <v>Y</v>
      </c>
      <c r="H210" t="str">
        <f t="shared" si="51"/>
        <v>EA</v>
      </c>
      <c r="I210">
        <v>0</v>
      </c>
      <c r="J210">
        <v>0</v>
      </c>
      <c r="K210" t="str">
        <f t="shared" si="60"/>
        <v>Y</v>
      </c>
      <c r="L210">
        <v>0</v>
      </c>
      <c r="M210" t="str">
        <f t="shared" si="61"/>
        <v>NIS</v>
      </c>
      <c r="O210">
        <v>4</v>
      </c>
      <c r="P210" t="str">
        <f t="shared" si="54"/>
        <v>Active</v>
      </c>
      <c r="Q210" t="str">
        <f>"SCORBOT-ER 4u (Package)"</f>
        <v>SCORBOT-ER 4u (Package)</v>
      </c>
      <c r="S210" t="str">
        <f>"SCORBOT-ER 4u (Package)"</f>
        <v>SCORBOT-ER 4u (Package)</v>
      </c>
      <c r="T210">
        <v>0</v>
      </c>
      <c r="U210" s="44">
        <v>3200</v>
      </c>
      <c r="V210" s="44">
        <v>3390.7</v>
      </c>
      <c r="W210" t="str">
        <f t="shared" si="50"/>
        <v>rob</v>
      </c>
    </row>
    <row r="211" spans="1:23">
      <c r="A211" t="str">
        <f t="shared" si="62"/>
        <v>AGV-RQC-ER4U</v>
      </c>
      <c r="B211" t="str">
        <f>"00-0609-0000"</f>
        <v>00-0609-0000</v>
      </c>
      <c r="C211" t="str">
        <f>"Gripper attachment for round and square parts"</f>
        <v>Gripper attachment for round and square parts</v>
      </c>
      <c r="D211">
        <v>1</v>
      </c>
      <c r="E211" t="str">
        <f t="shared" si="63"/>
        <v>Automated Guided Vehicle (AGV) for Remote QC Vision &amp; Robot ER4U Docking Station</v>
      </c>
      <c r="F211">
        <v>511</v>
      </c>
      <c r="G211" t="str">
        <f t="shared" si="59"/>
        <v>Y</v>
      </c>
      <c r="H211" t="str">
        <f t="shared" si="51"/>
        <v>EA</v>
      </c>
      <c r="I211">
        <v>0</v>
      </c>
      <c r="J211">
        <v>0</v>
      </c>
      <c r="K211" t="str">
        <f t="shared" si="60"/>
        <v>Y</v>
      </c>
      <c r="L211">
        <v>0</v>
      </c>
      <c r="M211" t="str">
        <f t="shared" si="61"/>
        <v>NIS</v>
      </c>
      <c r="O211">
        <v>5</v>
      </c>
      <c r="P211" t="str">
        <f t="shared" si="54"/>
        <v>Active</v>
      </c>
      <c r="Q211" t="str">
        <f>"End Effector Attachment for ER4U Gripper"</f>
        <v>End Effector Attachment for ER4U Gripper</v>
      </c>
      <c r="S211" t="str">
        <f>"End Effector Attachment for ER4U Gripper"</f>
        <v>End Effector Attachment for ER4U Gripper</v>
      </c>
      <c r="T211">
        <v>0</v>
      </c>
      <c r="U211">
        <v>25.59</v>
      </c>
      <c r="V211">
        <v>25.11</v>
      </c>
      <c r="W211" t="str">
        <f t="shared" si="50"/>
        <v>rob</v>
      </c>
    </row>
    <row r="212" spans="1:23">
      <c r="A212" t="str">
        <f t="shared" si="62"/>
        <v>AGV-RQC-ER4U</v>
      </c>
      <c r="B212" t="str">
        <f>"00-1710-0000"</f>
        <v>00-1710-0000</v>
      </c>
      <c r="C212" t="str">
        <f>"Teach Pendant"</f>
        <v>Teach Pendant</v>
      </c>
      <c r="D212">
        <v>1</v>
      </c>
      <c r="E212" t="str">
        <f t="shared" si="63"/>
        <v>Automated Guided Vehicle (AGV) for Remote QC Vision &amp; Robot ER4U Docking Station</v>
      </c>
      <c r="F212">
        <v>511</v>
      </c>
      <c r="G212" t="str">
        <f t="shared" si="59"/>
        <v>Y</v>
      </c>
      <c r="H212" t="str">
        <f t="shared" si="51"/>
        <v>EA</v>
      </c>
      <c r="I212">
        <v>0</v>
      </c>
      <c r="J212">
        <v>0</v>
      </c>
      <c r="K212" t="str">
        <f t="shared" si="60"/>
        <v>Y</v>
      </c>
      <c r="L212">
        <v>0</v>
      </c>
      <c r="M212" t="str">
        <f t="shared" si="61"/>
        <v>NIS</v>
      </c>
      <c r="O212">
        <v>6</v>
      </c>
      <c r="P212" t="str">
        <f t="shared" si="54"/>
        <v>Active</v>
      </c>
      <c r="Q212" t="str">
        <f>"Teach Pendant for USB/USB Pro Controllers"</f>
        <v>Teach Pendant for USB/USB Pro Controllers</v>
      </c>
      <c r="S212" t="str">
        <f>"Teach Pendant for USB/USB Pro Controllers"</f>
        <v>Teach Pendant for USB/USB Pro Controllers</v>
      </c>
      <c r="T212">
        <v>0</v>
      </c>
      <c r="U212">
        <v>160.18</v>
      </c>
      <c r="V212">
        <v>161.44999999999999</v>
      </c>
      <c r="W212" t="str">
        <f t="shared" si="50"/>
        <v>rob</v>
      </c>
    </row>
    <row r="213" spans="1:23">
      <c r="A213" t="str">
        <f t="shared" si="62"/>
        <v>AGV-RQC-ER4U</v>
      </c>
      <c r="B213" t="str">
        <f>"00-1020-0000"</f>
        <v>00-1020-0000</v>
      </c>
      <c r="C213" t="str">
        <f>"LSB 1.0m, Belt, TT"</f>
        <v>LSB 1.0m, Belt, TT</v>
      </c>
      <c r="D213">
        <v>1</v>
      </c>
      <c r="E213" t="str">
        <f t="shared" si="63"/>
        <v>Automated Guided Vehicle (AGV) for Remote QC Vision &amp; Robot ER4U Docking Station</v>
      </c>
      <c r="F213">
        <v>511</v>
      </c>
      <c r="G213" t="str">
        <f t="shared" si="59"/>
        <v>Y</v>
      </c>
      <c r="H213" t="str">
        <f t="shared" si="51"/>
        <v>EA</v>
      </c>
      <c r="I213">
        <v>0</v>
      </c>
      <c r="J213">
        <v>0</v>
      </c>
      <c r="K213" t="str">
        <f t="shared" si="60"/>
        <v>Y</v>
      </c>
      <c r="L213">
        <v>0</v>
      </c>
      <c r="M213" t="str">
        <f t="shared" si="61"/>
        <v>NIS</v>
      </c>
      <c r="O213">
        <v>2</v>
      </c>
      <c r="P213" t="str">
        <f t="shared" si="54"/>
        <v>Active</v>
      </c>
      <c r="Q213" t="str">
        <f>"LSB 1.0m (Belt, Table-Top)"</f>
        <v>LSB 1.0m (Belt, Table-Top)</v>
      </c>
      <c r="S213" t="str">
        <f>"LSB 1.0m, Belt, Table-Top"</f>
        <v>LSB 1.0m, Belt, Table-Top</v>
      </c>
      <c r="T213">
        <v>0</v>
      </c>
      <c r="U213" s="44">
        <v>1850</v>
      </c>
      <c r="V213" s="44">
        <v>1739.55</v>
      </c>
      <c r="W213" t="str">
        <f t="shared" si="50"/>
        <v>rob</v>
      </c>
    </row>
    <row r="214" spans="1:23">
      <c r="A214" t="str">
        <f t="shared" si="62"/>
        <v>AGV-RQC-ER4U</v>
      </c>
      <c r="B214" t="str">
        <f>"10-1010-8000"</f>
        <v>10-1010-8000</v>
      </c>
      <c r="C214" t="str">
        <f>"Quatro Buffer - 97mm Height Adapter"</f>
        <v>Quatro Buffer - 97mm Height Adapter</v>
      </c>
      <c r="D214">
        <v>1</v>
      </c>
      <c r="E214" t="str">
        <f t="shared" si="63"/>
        <v>Automated Guided Vehicle (AGV) for Remote QC Vision &amp; Robot ER4U Docking Station</v>
      </c>
      <c r="F214">
        <v>511</v>
      </c>
      <c r="G214" t="str">
        <f t="shared" si="59"/>
        <v>Y</v>
      </c>
      <c r="H214" t="str">
        <f t="shared" si="51"/>
        <v>EA</v>
      </c>
      <c r="I214">
        <v>0</v>
      </c>
      <c r="J214">
        <v>0</v>
      </c>
      <c r="K214" t="str">
        <f t="shared" si="60"/>
        <v>Y</v>
      </c>
      <c r="L214">
        <v>0</v>
      </c>
      <c r="M214" t="str">
        <f t="shared" si="61"/>
        <v>NIS</v>
      </c>
      <c r="O214">
        <v>7</v>
      </c>
      <c r="P214" t="str">
        <f t="shared" si="54"/>
        <v>Active</v>
      </c>
      <c r="Q214" t="str">
        <f>"Quatro Buffer-97mm Height Adapter -formica 19mm"</f>
        <v>Quatro Buffer-97mm Height Adapter -formica 19mm</v>
      </c>
      <c r="S214" t="str">
        <f>"Quatro Buffer-97mm Height Adapter -formica 19mm"</f>
        <v>Quatro Buffer-97mm Height Adapter -formica 19mm</v>
      </c>
      <c r="T214">
        <v>0</v>
      </c>
      <c r="U214">
        <v>89.59</v>
      </c>
      <c r="V214">
        <v>111.47</v>
      </c>
      <c r="W214" t="str">
        <f t="shared" si="50"/>
        <v>rob</v>
      </c>
    </row>
    <row r="215" spans="1:23">
      <c r="A215" t="str">
        <f t="shared" si="62"/>
        <v>AGV-RQC-ER4U</v>
      </c>
      <c r="B215" t="str">
        <f>"00-1110-0000"</f>
        <v>00-1110-0000</v>
      </c>
      <c r="C215" t="str">
        <f>"Palletizing Rack"</f>
        <v>Palletizing Rack</v>
      </c>
      <c r="D215">
        <v>2</v>
      </c>
      <c r="E215" t="str">
        <f t="shared" si="63"/>
        <v>Automated Guided Vehicle (AGV) for Remote QC Vision &amp; Robot ER4U Docking Station</v>
      </c>
      <c r="F215">
        <v>511</v>
      </c>
      <c r="G215" t="str">
        <f t="shared" si="59"/>
        <v>Y</v>
      </c>
      <c r="H215" t="str">
        <f t="shared" si="51"/>
        <v>EA</v>
      </c>
      <c r="I215">
        <v>0</v>
      </c>
      <c r="J215">
        <v>0</v>
      </c>
      <c r="K215" t="str">
        <f t="shared" si="60"/>
        <v>Y</v>
      </c>
      <c r="L215">
        <v>0</v>
      </c>
      <c r="M215" t="str">
        <f t="shared" si="61"/>
        <v>NIS</v>
      </c>
      <c r="O215">
        <v>8</v>
      </c>
      <c r="P215" t="str">
        <f t="shared" si="54"/>
        <v>Active</v>
      </c>
      <c r="Q215" t="str">
        <f>"Palletizing Rack (incl. Pins for creating Jigs)"</f>
        <v>Palletizing Rack (incl. Pins for creating Jigs)</v>
      </c>
      <c r="S215" t="str">
        <f>"Palletizing Rack (incl. Pins for creating Jigs)"</f>
        <v>Palletizing Rack (incl. Pins for creating Jigs)</v>
      </c>
      <c r="T215">
        <v>0</v>
      </c>
      <c r="U215">
        <v>63</v>
      </c>
      <c r="V215">
        <v>58.59</v>
      </c>
      <c r="W215" t="str">
        <f t="shared" si="50"/>
        <v>rob</v>
      </c>
    </row>
    <row r="216" spans="1:23">
      <c r="A216" t="str">
        <f t="shared" si="62"/>
        <v>AGV-RQC-ER4U</v>
      </c>
      <c r="B216" t="str">
        <f>"021181"</f>
        <v>021181</v>
      </c>
      <c r="C216" t="str">
        <f>"97mm Height Adapter -Rack 001110 on formica 19mm"</f>
        <v>97mm Height Adapter -Rack 001110 on formica 19mm</v>
      </c>
      <c r="D216">
        <v>2</v>
      </c>
      <c r="E216" t="str">
        <f t="shared" si="63"/>
        <v>Automated Guided Vehicle (AGV) for Remote QC Vision &amp; Robot ER4U Docking Station</v>
      </c>
      <c r="F216">
        <v>511</v>
      </c>
      <c r="G216" t="str">
        <f t="shared" si="59"/>
        <v>Y</v>
      </c>
      <c r="H216" t="str">
        <f t="shared" si="51"/>
        <v>EA</v>
      </c>
      <c r="I216">
        <v>0</v>
      </c>
      <c r="J216">
        <v>0</v>
      </c>
      <c r="K216" t="str">
        <f t="shared" si="60"/>
        <v>Y</v>
      </c>
      <c r="L216">
        <v>0</v>
      </c>
      <c r="M216" t="str">
        <f t="shared" si="61"/>
        <v>NIS</v>
      </c>
      <c r="O216">
        <v>9</v>
      </c>
      <c r="P216" t="str">
        <f t="shared" si="54"/>
        <v>Active</v>
      </c>
      <c r="Q216" t="str">
        <f>"97mm Height Adapter -Rack 001110 on formica 19mm"</f>
        <v>97mm Height Adapter -Rack 001110 on formica 19mm</v>
      </c>
      <c r="S216" t="str">
        <f>"97mm Height Adapter -Rack 001110 on formica 19mm"</f>
        <v>97mm Height Adapter -Rack 001110 on formica 19mm</v>
      </c>
      <c r="T216">
        <v>0</v>
      </c>
      <c r="U216">
        <v>8.0299999999999994</v>
      </c>
      <c r="V216">
        <v>8.85</v>
      </c>
      <c r="W216" t="str">
        <f t="shared" si="50"/>
        <v>rob</v>
      </c>
    </row>
    <row r="217" spans="1:23">
      <c r="A217" t="str">
        <f t="shared" si="62"/>
        <v>AGV-RQC-ER4U</v>
      </c>
      <c r="B217" t="str">
        <f>"00-1251-0000"</f>
        <v>00-1251-0000</v>
      </c>
      <c r="C217" t="str">
        <f>"Workbench 1500x800mm (Formica Top)"</f>
        <v>Workbench 1500x800mm (Formica Top)</v>
      </c>
      <c r="D217">
        <v>2</v>
      </c>
      <c r="E217" t="str">
        <f t="shared" si="63"/>
        <v>Automated Guided Vehicle (AGV) for Remote QC Vision &amp; Robot ER4U Docking Station</v>
      </c>
      <c r="F217">
        <v>511</v>
      </c>
      <c r="G217" t="str">
        <f t="shared" si="59"/>
        <v>Y</v>
      </c>
      <c r="H217" t="str">
        <f t="shared" si="51"/>
        <v>EA</v>
      </c>
      <c r="I217">
        <v>0</v>
      </c>
      <c r="J217">
        <v>0</v>
      </c>
      <c r="K217" t="str">
        <f t="shared" si="60"/>
        <v>Y</v>
      </c>
      <c r="L217">
        <v>0</v>
      </c>
      <c r="M217" t="str">
        <f t="shared" si="61"/>
        <v>NIS</v>
      </c>
      <c r="O217">
        <v>10</v>
      </c>
      <c r="P217" t="str">
        <f t="shared" si="54"/>
        <v>Active</v>
      </c>
      <c r="Q217" t="str">
        <f>"Workbench 1500x800mm (Formica Top)"</f>
        <v>Workbench 1500x800mm (Formica Top)</v>
      </c>
      <c r="S217" t="str">
        <f>"Workbench 1500x800mm (Formica Top)"</f>
        <v>Workbench 1500x800mm (Formica Top)</v>
      </c>
      <c r="T217">
        <v>0</v>
      </c>
      <c r="U217">
        <v>582</v>
      </c>
      <c r="V217">
        <v>588.6</v>
      </c>
      <c r="W217" t="str">
        <f t="shared" si="50"/>
        <v>rob</v>
      </c>
    </row>
    <row r="218" spans="1:23">
      <c r="A218" t="str">
        <f t="shared" si="62"/>
        <v>AGV-RQC-ER4U</v>
      </c>
      <c r="B218" t="str">
        <f>"50-0094-0000"</f>
        <v>50-0094-0000</v>
      </c>
      <c r="C218" t="str">
        <f>"Pre-Engineering, Design and Testing"</f>
        <v>Pre-Engineering, Design and Testing</v>
      </c>
      <c r="D218">
        <v>1</v>
      </c>
      <c r="E218" t="str">
        <f t="shared" si="63"/>
        <v>Automated Guided Vehicle (AGV) for Remote QC Vision &amp; Robot ER4U Docking Station</v>
      </c>
      <c r="F218">
        <v>511</v>
      </c>
      <c r="G218" t="str">
        <f t="shared" si="59"/>
        <v>Y</v>
      </c>
      <c r="H218" t="str">
        <f>"DA"</f>
        <v>DA</v>
      </c>
      <c r="I218">
        <v>0</v>
      </c>
      <c r="J218">
        <v>0</v>
      </c>
      <c r="K218" t="str">
        <f t="shared" si="60"/>
        <v>Y</v>
      </c>
      <c r="L218">
        <v>0</v>
      </c>
      <c r="M218" t="str">
        <f t="shared" si="61"/>
        <v>NIS</v>
      </c>
      <c r="O218">
        <v>11</v>
      </c>
      <c r="P218" t="str">
        <f t="shared" si="54"/>
        <v>Active</v>
      </c>
      <c r="Q218" t="str">
        <f>"Pre-Engineering, Design and Testing"</f>
        <v>Pre-Engineering, Design and Testing</v>
      </c>
      <c r="S218" t="str">
        <f>"Pre-Engineering, Design and Testing"</f>
        <v>Pre-Engineering, Design and Testing</v>
      </c>
      <c r="T218">
        <v>0</v>
      </c>
      <c r="U218">
        <v>405</v>
      </c>
      <c r="V218">
        <v>421.2</v>
      </c>
      <c r="W218" t="str">
        <f t="shared" si="50"/>
        <v>rob</v>
      </c>
    </row>
    <row r="219" spans="1:23">
      <c r="A219" t="str">
        <f t="shared" ref="A219:A238" si="64">"ASM&amp;QC-ER14P-01"</f>
        <v>ASM&amp;QC-ER14P-01</v>
      </c>
      <c r="B219" t="str">
        <f>"00-0432-0000"</f>
        <v>00-0432-0000</v>
      </c>
      <c r="C219" t="str">
        <f>"SCORA-ER 14Pro"</f>
        <v>SCORA-ER 14Pro</v>
      </c>
      <c r="D219">
        <v>1</v>
      </c>
      <c r="E219" t="str">
        <f t="shared" ref="E219:E238" si="65">"Assembly &amp; QC Robot ER14 (Ballgame &amp; Vision)"</f>
        <v>Assembly &amp; QC Robot ER14 (Ballgame &amp; Vision)</v>
      </c>
      <c r="F219">
        <v>504</v>
      </c>
      <c r="G219" t="str">
        <f t="shared" si="59"/>
        <v>Y</v>
      </c>
      <c r="H219" t="str">
        <f t="shared" ref="H219:H237" si="66">"EA"</f>
        <v>EA</v>
      </c>
      <c r="I219">
        <v>0</v>
      </c>
      <c r="J219">
        <v>0</v>
      </c>
      <c r="K219" t="str">
        <f t="shared" si="60"/>
        <v>Y</v>
      </c>
      <c r="L219">
        <v>0</v>
      </c>
      <c r="M219" t="str">
        <f t="shared" si="61"/>
        <v>NIS</v>
      </c>
      <c r="O219">
        <v>1</v>
      </c>
      <c r="P219" t="str">
        <f t="shared" si="54"/>
        <v>Active</v>
      </c>
      <c r="Q219" t="str">
        <f>"SCORA-ER 14Pro (incl. USB-Pro Controller)"</f>
        <v>SCORA-ER 14Pro (incl. USB-Pro Controller)</v>
      </c>
      <c r="S219" t="str">
        <f>"SCORA-ER 14Pro (incl. USB-Pro Controller)"</f>
        <v>SCORA-ER 14Pro (incl. USB-Pro Controller)</v>
      </c>
      <c r="T219">
        <v>0</v>
      </c>
      <c r="U219" s="44">
        <v>11400</v>
      </c>
      <c r="V219" s="44">
        <v>12383.77</v>
      </c>
      <c r="W219" t="str">
        <f t="shared" si="50"/>
        <v>rob</v>
      </c>
    </row>
    <row r="220" spans="1:23">
      <c r="A220" t="str">
        <f t="shared" si="64"/>
        <v>ASM&amp;QC-ER14P-01</v>
      </c>
      <c r="B220" t="str">
        <f>"00-0634-0000"</f>
        <v>00-0634-0000</v>
      </c>
      <c r="C220" t="str">
        <f>"Pneumatic Gripper for ER 14Pro"</f>
        <v>Pneumatic Gripper for ER 14Pro</v>
      </c>
      <c r="D220">
        <v>1</v>
      </c>
      <c r="E220" t="str">
        <f t="shared" si="65"/>
        <v>Assembly &amp; QC Robot ER14 (Ballgame &amp; Vision)</v>
      </c>
      <c r="F220">
        <v>504</v>
      </c>
      <c r="G220" t="str">
        <f t="shared" si="59"/>
        <v>Y</v>
      </c>
      <c r="H220" t="str">
        <f t="shared" si="66"/>
        <v>EA</v>
      </c>
      <c r="I220">
        <v>0</v>
      </c>
      <c r="J220">
        <v>0</v>
      </c>
      <c r="K220" t="str">
        <f t="shared" si="60"/>
        <v>Y</v>
      </c>
      <c r="L220">
        <v>0</v>
      </c>
      <c r="M220" t="str">
        <f t="shared" si="61"/>
        <v>NIS</v>
      </c>
      <c r="O220">
        <v>2</v>
      </c>
      <c r="P220" t="str">
        <f t="shared" si="54"/>
        <v>Active</v>
      </c>
      <c r="Q220" t="str">
        <f>"Pneumatic Gripper for ER 14Pro"</f>
        <v>Pneumatic Gripper for ER 14Pro</v>
      </c>
      <c r="S220" t="str">
        <f>"Pneumatic Gripper for ER 14Pro"</f>
        <v>Pneumatic Gripper for ER 14Pro</v>
      </c>
      <c r="T220">
        <v>0</v>
      </c>
      <c r="U220">
        <v>651</v>
      </c>
      <c r="V220">
        <v>647.6</v>
      </c>
      <c r="W220" t="str">
        <f t="shared" si="50"/>
        <v>rob</v>
      </c>
    </row>
    <row r="221" spans="1:23">
      <c r="A221" t="str">
        <f t="shared" si="64"/>
        <v>ASM&amp;QC-ER14P-01</v>
      </c>
      <c r="B221" t="str">
        <f>"00-1710-0000"</f>
        <v>00-1710-0000</v>
      </c>
      <c r="C221" t="str">
        <f>"Teach Pendant"</f>
        <v>Teach Pendant</v>
      </c>
      <c r="D221">
        <v>1</v>
      </c>
      <c r="E221" t="str">
        <f t="shared" si="65"/>
        <v>Assembly &amp; QC Robot ER14 (Ballgame &amp; Vision)</v>
      </c>
      <c r="F221">
        <v>504</v>
      </c>
      <c r="G221" t="str">
        <f t="shared" si="59"/>
        <v>Y</v>
      </c>
      <c r="H221" t="str">
        <f t="shared" si="66"/>
        <v>EA</v>
      </c>
      <c r="I221">
        <v>0</v>
      </c>
      <c r="J221">
        <v>0</v>
      </c>
      <c r="K221" t="str">
        <f t="shared" si="60"/>
        <v>Y</v>
      </c>
      <c r="L221">
        <v>0</v>
      </c>
      <c r="M221" t="str">
        <f t="shared" si="61"/>
        <v>NIS</v>
      </c>
      <c r="O221">
        <v>3</v>
      </c>
      <c r="P221" t="str">
        <f t="shared" si="54"/>
        <v>Active</v>
      </c>
      <c r="Q221" t="str">
        <f>"Teach Pendant for USB/USB Pro Controllers"</f>
        <v>Teach Pendant for USB/USB Pro Controllers</v>
      </c>
      <c r="S221" t="str">
        <f>"Teach Pendant for USB/USB Pro Controllers"</f>
        <v>Teach Pendant for USB/USB Pro Controllers</v>
      </c>
      <c r="T221">
        <v>0</v>
      </c>
      <c r="U221">
        <v>160.18</v>
      </c>
      <c r="V221">
        <v>161.44999999999999</v>
      </c>
      <c r="W221" t="str">
        <f t="shared" si="50"/>
        <v>rob</v>
      </c>
    </row>
    <row r="222" spans="1:23">
      <c r="A222" t="str">
        <f t="shared" si="64"/>
        <v>ASM&amp;QC-ER14P-01</v>
      </c>
      <c r="B222" t="str">
        <f>"034025"</f>
        <v>034025</v>
      </c>
      <c r="C222" t="str">
        <f>"I/O Interface Box for Controller USB-PRO"</f>
        <v>I/O Interface Box for Controller USB-PRO</v>
      </c>
      <c r="D222">
        <v>1</v>
      </c>
      <c r="E222" t="str">
        <f t="shared" si="65"/>
        <v>Assembly &amp; QC Robot ER14 (Ballgame &amp; Vision)</v>
      </c>
      <c r="F222">
        <v>504</v>
      </c>
      <c r="G222" t="str">
        <f t="shared" si="59"/>
        <v>Y</v>
      </c>
      <c r="H222" t="str">
        <f t="shared" si="66"/>
        <v>EA</v>
      </c>
      <c r="I222">
        <v>0</v>
      </c>
      <c r="J222">
        <v>0</v>
      </c>
      <c r="K222" t="str">
        <f t="shared" si="60"/>
        <v>Y</v>
      </c>
      <c r="L222">
        <v>0</v>
      </c>
      <c r="M222" t="str">
        <f t="shared" si="61"/>
        <v>NIS</v>
      </c>
      <c r="O222">
        <v>4</v>
      </c>
      <c r="P222" t="str">
        <f t="shared" si="54"/>
        <v>Active</v>
      </c>
      <c r="Q222" t="str">
        <f>"I/O Interface Box for Controller USB-PRO"</f>
        <v>I/O Interface Box for Controller USB-PRO</v>
      </c>
      <c r="S222" t="str">
        <f>"קופסת 2+Interface Box I/O כבלים לבקר USBPRO"</f>
        <v>קופסת 2+Interface Box I/O כבלים לבקר USBPRO</v>
      </c>
      <c r="T222">
        <v>0</v>
      </c>
      <c r="U222">
        <v>470</v>
      </c>
      <c r="V222">
        <v>463.62</v>
      </c>
      <c r="W222" t="str">
        <f t="shared" si="50"/>
        <v>rob</v>
      </c>
    </row>
    <row r="223" spans="1:23">
      <c r="A223" t="str">
        <f t="shared" si="64"/>
        <v>ASM&amp;QC-ER14P-01</v>
      </c>
      <c r="B223" t="str">
        <f>"10-2104-9000"</f>
        <v>10-2104-9000</v>
      </c>
      <c r="C223" t="str">
        <f>"Single Buffer for Slotted Table"</f>
        <v>Single Buffer for Slotted Table</v>
      </c>
      <c r="D223">
        <v>3</v>
      </c>
      <c r="E223" t="str">
        <f t="shared" si="65"/>
        <v>Assembly &amp; QC Robot ER14 (Ballgame &amp; Vision)</v>
      </c>
      <c r="F223">
        <v>504</v>
      </c>
      <c r="G223" t="str">
        <f t="shared" si="59"/>
        <v>Y</v>
      </c>
      <c r="H223" t="str">
        <f t="shared" si="66"/>
        <v>EA</v>
      </c>
      <c r="I223">
        <v>0</v>
      </c>
      <c r="J223">
        <v>0</v>
      </c>
      <c r="K223" t="str">
        <f t="shared" si="60"/>
        <v>Y</v>
      </c>
      <c r="L223">
        <v>0</v>
      </c>
      <c r="M223" t="str">
        <f t="shared" si="61"/>
        <v>NIS</v>
      </c>
      <c r="O223">
        <v>5</v>
      </c>
      <c r="P223" t="str">
        <f t="shared" si="54"/>
        <v>Active</v>
      </c>
      <c r="Q223" t="str">
        <f>"Single Buffer for Slotted Table(+height adapter)"</f>
        <v>Single Buffer for Slotted Table(+height adapter)</v>
      </c>
      <c r="S223" t="str">
        <f>"Single Buffer for Slotted Table(+height adapter)"</f>
        <v>Single Buffer for Slotted Table(+height adapter)</v>
      </c>
      <c r="T223">
        <v>0</v>
      </c>
      <c r="U223">
        <v>26</v>
      </c>
      <c r="V223">
        <v>25.49</v>
      </c>
      <c r="W223" t="str">
        <f t="shared" si="50"/>
        <v>rob</v>
      </c>
    </row>
    <row r="224" spans="1:23">
      <c r="A224" t="str">
        <f t="shared" si="64"/>
        <v>ASM&amp;QC-ER14P-01</v>
      </c>
      <c r="B224" t="str">
        <f>"00-1110-0000"</f>
        <v>00-1110-0000</v>
      </c>
      <c r="C224" t="str">
        <f>"Palletizing Rack"</f>
        <v>Palletizing Rack</v>
      </c>
      <c r="D224">
        <v>2</v>
      </c>
      <c r="E224" t="str">
        <f t="shared" si="65"/>
        <v>Assembly &amp; QC Robot ER14 (Ballgame &amp; Vision)</v>
      </c>
      <c r="F224">
        <v>504</v>
      </c>
      <c r="G224" t="str">
        <f t="shared" si="59"/>
        <v>Y</v>
      </c>
      <c r="H224" t="str">
        <f t="shared" si="66"/>
        <v>EA</v>
      </c>
      <c r="I224">
        <v>0</v>
      </c>
      <c r="J224">
        <v>0</v>
      </c>
      <c r="K224" t="str">
        <f t="shared" si="60"/>
        <v>Y</v>
      </c>
      <c r="L224">
        <v>0</v>
      </c>
      <c r="M224" t="str">
        <f t="shared" si="61"/>
        <v>NIS</v>
      </c>
      <c r="O224">
        <v>6</v>
      </c>
      <c r="P224" t="str">
        <f t="shared" si="54"/>
        <v>Active</v>
      </c>
      <c r="Q224" t="str">
        <f>"Palletizing Rack (incl. Pins for creating Jigs)"</f>
        <v>Palletizing Rack (incl. Pins for creating Jigs)</v>
      </c>
      <c r="S224" t="str">
        <f>"Palletizing Rack (incl. Pins for creating Jigs)"</f>
        <v>Palletizing Rack (incl. Pins for creating Jigs)</v>
      </c>
      <c r="T224">
        <v>0</v>
      </c>
      <c r="U224">
        <v>63</v>
      </c>
      <c r="V224">
        <v>58.59</v>
      </c>
      <c r="W224" t="str">
        <f t="shared" si="50"/>
        <v>rob</v>
      </c>
    </row>
    <row r="225" spans="1:23">
      <c r="A225" t="str">
        <f t="shared" si="64"/>
        <v>ASM&amp;QC-ER14P-01</v>
      </c>
      <c r="B225" t="str">
        <f>"021172"</f>
        <v>021172</v>
      </c>
      <c r="C225" t="str">
        <f>"30mm Height Adapter -Rack 001110 on table 001249"</f>
        <v>30mm Height Adapter -Rack 001110 on table 001249</v>
      </c>
      <c r="D225">
        <v>2</v>
      </c>
      <c r="E225" t="str">
        <f t="shared" si="65"/>
        <v>Assembly &amp; QC Robot ER14 (Ballgame &amp; Vision)</v>
      </c>
      <c r="F225">
        <v>504</v>
      </c>
      <c r="G225" t="str">
        <f t="shared" si="59"/>
        <v>Y</v>
      </c>
      <c r="H225" t="str">
        <f t="shared" si="66"/>
        <v>EA</v>
      </c>
      <c r="I225">
        <v>0</v>
      </c>
      <c r="J225">
        <v>0</v>
      </c>
      <c r="K225" t="str">
        <f t="shared" si="60"/>
        <v>Y</v>
      </c>
      <c r="L225">
        <v>0</v>
      </c>
      <c r="M225" t="str">
        <f t="shared" si="61"/>
        <v>NIS</v>
      </c>
      <c r="O225">
        <v>7</v>
      </c>
      <c r="P225" t="str">
        <f t="shared" si="54"/>
        <v>Active</v>
      </c>
      <c r="Q225" t="str">
        <f>"30mm Height Adapter -Rack 001110 on table 001249"</f>
        <v>30mm Height Adapter -Rack 001110 on table 001249</v>
      </c>
      <c r="S225" t="str">
        <f>"30mm Height Adapter -Rack 001110 on table 001249"</f>
        <v>30mm Height Adapter -Rack 001110 on table 001249</v>
      </c>
      <c r="T225">
        <v>0</v>
      </c>
      <c r="U225">
        <v>13.12</v>
      </c>
      <c r="V225">
        <v>13.44</v>
      </c>
      <c r="W225" t="str">
        <f t="shared" si="50"/>
        <v>rob</v>
      </c>
    </row>
    <row r="226" spans="1:23">
      <c r="A226" t="str">
        <f t="shared" si="64"/>
        <v>ASM&amp;QC-ER14P-01</v>
      </c>
      <c r="B226" t="str">
        <f>"21-0004-0000"</f>
        <v>21-0004-0000</v>
      </c>
      <c r="C226" t="str">
        <f>"Assembly, Dual Axis Air Vise Mechanicals"</f>
        <v>Assembly, Dual Axis Air Vise Mechanicals</v>
      </c>
      <c r="D226">
        <v>1</v>
      </c>
      <c r="E226" t="str">
        <f t="shared" si="65"/>
        <v>Assembly &amp; QC Robot ER14 (Ballgame &amp; Vision)</v>
      </c>
      <c r="F226">
        <v>504</v>
      </c>
      <c r="G226" t="str">
        <f t="shared" si="59"/>
        <v>Y</v>
      </c>
      <c r="H226" t="str">
        <f t="shared" si="66"/>
        <v>EA</v>
      </c>
      <c r="I226">
        <v>0</v>
      </c>
      <c r="J226">
        <v>0</v>
      </c>
      <c r="K226" t="str">
        <f t="shared" si="60"/>
        <v>Y</v>
      </c>
      <c r="L226">
        <v>0</v>
      </c>
      <c r="M226" t="str">
        <f t="shared" si="61"/>
        <v>NIS</v>
      </c>
      <c r="O226">
        <v>8</v>
      </c>
      <c r="P226" t="str">
        <f>"Phase Out"</f>
        <v>Phase Out</v>
      </c>
      <c r="Q226" t="str">
        <f>"Pneumatic Dual-Axis Vise"</f>
        <v>Pneumatic Dual-Axis Vise</v>
      </c>
      <c r="S226" t="str">
        <f>"Assembly, Dual Axis Air Vise Mechanicals"</f>
        <v>Assembly, Dual Axis Air Vise Mechanicals</v>
      </c>
      <c r="T226">
        <v>422.16</v>
      </c>
      <c r="U226">
        <v>422</v>
      </c>
      <c r="V226">
        <v>980.27</v>
      </c>
      <c r="W226" t="str">
        <f t="shared" si="50"/>
        <v>rob</v>
      </c>
    </row>
    <row r="227" spans="1:23">
      <c r="A227" t="str">
        <f t="shared" si="64"/>
        <v>ASM&amp;QC-ER14P-01</v>
      </c>
      <c r="B227" t="str">
        <f>"10-2523-4000"</f>
        <v>10-2523-4000</v>
      </c>
      <c r="C227" t="str">
        <f>"Solenoid Valve (24V) for Pipe 3 mm"</f>
        <v>Solenoid Valve (24V) for Pipe 3 mm</v>
      </c>
      <c r="D227">
        <v>1</v>
      </c>
      <c r="E227" t="str">
        <f t="shared" si="65"/>
        <v>Assembly &amp; QC Robot ER14 (Ballgame &amp; Vision)</v>
      </c>
      <c r="F227">
        <v>504</v>
      </c>
      <c r="G227" t="str">
        <f t="shared" si="59"/>
        <v>Y</v>
      </c>
      <c r="H227" t="str">
        <f t="shared" si="66"/>
        <v>EA</v>
      </c>
      <c r="I227">
        <v>0</v>
      </c>
      <c r="J227">
        <v>0</v>
      </c>
      <c r="K227" t="str">
        <f t="shared" si="60"/>
        <v>Y</v>
      </c>
      <c r="L227">
        <v>0</v>
      </c>
      <c r="M227" t="str">
        <f t="shared" si="61"/>
        <v>NIS</v>
      </c>
      <c r="O227">
        <v>9</v>
      </c>
      <c r="P227" t="str">
        <f t="shared" ref="P227:P245" si="67">"Active"</f>
        <v>Active</v>
      </c>
      <c r="Q227" t="str">
        <f>"Solenoid Valve (24V) for Dual Axis Vise 025207"</f>
        <v>Solenoid Valve (24V) for Dual Axis Vise 025207</v>
      </c>
      <c r="S227" t="str">
        <f>"Solenoid Valve (24V) for Pipe 3 mm"</f>
        <v>Solenoid Valve (24V) for Pipe 3 mm</v>
      </c>
      <c r="T227">
        <v>0</v>
      </c>
      <c r="U227">
        <v>137</v>
      </c>
      <c r="V227">
        <v>133.35</v>
      </c>
      <c r="W227" t="str">
        <f t="shared" si="50"/>
        <v>rob</v>
      </c>
    </row>
    <row r="228" spans="1:23">
      <c r="A228" t="str">
        <f t="shared" si="64"/>
        <v>ASM&amp;QC-ER14P-01</v>
      </c>
      <c r="B228" t="str">
        <f>"00-1230-0000"</f>
        <v>00-1230-0000</v>
      </c>
      <c r="C228" t="str">
        <f>"Ball Feeder (incl. sensor for ball counting)"</f>
        <v>Ball Feeder (incl. sensor for ball counting)</v>
      </c>
      <c r="D228">
        <v>1</v>
      </c>
      <c r="E228" t="str">
        <f t="shared" si="65"/>
        <v>Assembly &amp; QC Robot ER14 (Ballgame &amp; Vision)</v>
      </c>
      <c r="F228">
        <v>504</v>
      </c>
      <c r="G228" t="str">
        <f t="shared" si="59"/>
        <v>Y</v>
      </c>
      <c r="H228" t="str">
        <f t="shared" si="66"/>
        <v>EA</v>
      </c>
      <c r="I228">
        <v>0</v>
      </c>
      <c r="J228">
        <v>0</v>
      </c>
      <c r="K228" t="str">
        <f t="shared" si="60"/>
        <v>Y</v>
      </c>
      <c r="L228">
        <v>0</v>
      </c>
      <c r="M228" t="str">
        <f t="shared" si="61"/>
        <v>NIS</v>
      </c>
      <c r="O228">
        <v>10</v>
      </c>
      <c r="P228" t="str">
        <f t="shared" si="67"/>
        <v>Active</v>
      </c>
      <c r="Q228" t="str">
        <f>"Ball Feeder (incl. sensor for ball counting)"</f>
        <v>Ball Feeder (incl. sensor for ball counting)</v>
      </c>
      <c r="S228" t="str">
        <f>"Ball Feeder (incl. sensor for ball counting)"</f>
        <v>Ball Feeder (incl. sensor for ball counting)</v>
      </c>
      <c r="T228">
        <v>0</v>
      </c>
      <c r="U228">
        <v>536</v>
      </c>
      <c r="V228">
        <v>530.72</v>
      </c>
      <c r="W228" t="str">
        <f t="shared" si="50"/>
        <v>rob</v>
      </c>
    </row>
    <row r="229" spans="1:23">
      <c r="A229" t="str">
        <f t="shared" si="64"/>
        <v>ASM&amp;QC-ER14P-01</v>
      </c>
      <c r="B229" t="str">
        <f>"00-1243-0000"</f>
        <v>00-1243-0000</v>
      </c>
      <c r="C229" t="str">
        <f>"Ball Game Set (Assembly with Plastic Pins)"</f>
        <v>Ball Game Set (Assembly with Plastic Pins)</v>
      </c>
      <c r="D229">
        <v>12</v>
      </c>
      <c r="E229" t="str">
        <f t="shared" si="65"/>
        <v>Assembly &amp; QC Robot ER14 (Ballgame &amp; Vision)</v>
      </c>
      <c r="F229">
        <v>504</v>
      </c>
      <c r="G229" t="str">
        <f t="shared" si="59"/>
        <v>Y</v>
      </c>
      <c r="H229" t="str">
        <f t="shared" si="66"/>
        <v>EA</v>
      </c>
      <c r="I229">
        <v>0</v>
      </c>
      <c r="J229">
        <v>0</v>
      </c>
      <c r="K229" t="str">
        <f t="shared" si="60"/>
        <v>Y</v>
      </c>
      <c r="L229">
        <v>0</v>
      </c>
      <c r="M229" t="str">
        <f t="shared" si="61"/>
        <v>NIS</v>
      </c>
      <c r="O229">
        <v>11</v>
      </c>
      <c r="P229" t="str">
        <f t="shared" si="67"/>
        <v>Active</v>
      </c>
      <c r="Q229" t="str">
        <f>"Ball Game Set (Assembly with Plastic Pins)"</f>
        <v>Ball Game Set (Assembly with Plastic Pins)</v>
      </c>
      <c r="S229" t="str">
        <f>"Ball Game Set (Assembly with Plastic Pins)"</f>
        <v>Ball Game Set (Assembly with Plastic Pins)</v>
      </c>
      <c r="T229">
        <v>0</v>
      </c>
      <c r="U229">
        <v>32</v>
      </c>
      <c r="V229">
        <v>34.770000000000003</v>
      </c>
      <c r="W229" t="str">
        <f t="shared" si="50"/>
        <v>rob</v>
      </c>
    </row>
    <row r="230" spans="1:23">
      <c r="A230" t="str">
        <f t="shared" si="64"/>
        <v>ASM&amp;QC-ER14P-01</v>
      </c>
      <c r="B230" t="str">
        <f>"00-1013-0000"</f>
        <v>00-1013-0000</v>
      </c>
      <c r="C230" t="str">
        <f>"Linear Positioning Table 300mm"</f>
        <v>Linear Positioning Table 300mm</v>
      </c>
      <c r="D230">
        <v>1</v>
      </c>
      <c r="E230" t="str">
        <f t="shared" si="65"/>
        <v>Assembly &amp; QC Robot ER14 (Ballgame &amp; Vision)</v>
      </c>
      <c r="F230">
        <v>504</v>
      </c>
      <c r="G230" t="str">
        <f t="shared" si="59"/>
        <v>Y</v>
      </c>
      <c r="H230" t="str">
        <f t="shared" si="66"/>
        <v>EA</v>
      </c>
      <c r="I230">
        <v>0</v>
      </c>
      <c r="J230">
        <v>0</v>
      </c>
      <c r="K230" t="str">
        <f t="shared" si="60"/>
        <v>Y</v>
      </c>
      <c r="L230">
        <v>0</v>
      </c>
      <c r="M230" t="str">
        <f t="shared" si="61"/>
        <v>NIS</v>
      </c>
      <c r="O230">
        <v>12</v>
      </c>
      <c r="P230" t="str">
        <f t="shared" si="67"/>
        <v>Active</v>
      </c>
      <c r="Q230" t="str">
        <f>"Linear Positioning Table 300mm (Belt Drive, 24V)"</f>
        <v>Linear Positioning Table 300mm (Belt Drive, 24V)</v>
      </c>
      <c r="S230" t="str">
        <f>"Linear Positioning Table 300mm (Belt Drive, 24V)"</f>
        <v>Linear Positioning Table 300mm (Belt Drive, 24V)</v>
      </c>
      <c r="T230">
        <v>0</v>
      </c>
      <c r="U230">
        <v>894.02</v>
      </c>
      <c r="V230">
        <v>879.29</v>
      </c>
      <c r="W230" t="str">
        <f t="shared" si="50"/>
        <v>rob</v>
      </c>
    </row>
    <row r="231" spans="1:23">
      <c r="A231" t="str">
        <f t="shared" si="64"/>
        <v>ASM&amp;QC-ER14P-01</v>
      </c>
      <c r="B231" t="str">
        <f>"00-1422-0000"</f>
        <v>00-1422-0000</v>
      </c>
      <c r="C231" t="str">
        <f>"Viewflex for QC (Stand 400mm)"</f>
        <v>Viewflex for QC (Stand 400mm)</v>
      </c>
      <c r="D231">
        <v>1</v>
      </c>
      <c r="E231" t="str">
        <f t="shared" si="65"/>
        <v>Assembly &amp; QC Robot ER14 (Ballgame &amp; Vision)</v>
      </c>
      <c r="F231">
        <v>504</v>
      </c>
      <c r="G231" t="str">
        <f t="shared" si="59"/>
        <v>Y</v>
      </c>
      <c r="H231" t="str">
        <f t="shared" si="66"/>
        <v>EA</v>
      </c>
      <c r="I231">
        <v>0</v>
      </c>
      <c r="J231">
        <v>0</v>
      </c>
      <c r="K231" t="str">
        <f t="shared" si="60"/>
        <v>Y</v>
      </c>
      <c r="L231">
        <v>0</v>
      </c>
      <c r="M231" t="str">
        <f t="shared" si="61"/>
        <v>NIS</v>
      </c>
      <c r="O231">
        <v>13</v>
      </c>
      <c r="P231" t="str">
        <f t="shared" si="67"/>
        <v>Active</v>
      </c>
      <c r="Q231" t="str">
        <f>"Viewflex for QC (Stand 400mm)"</f>
        <v>Viewflex for QC (Stand 400mm)</v>
      </c>
      <c r="S231" t="str">
        <f>"Viewflex for QC (Stand 400mm)"</f>
        <v>Viewflex for QC (Stand 400mm)</v>
      </c>
      <c r="T231">
        <v>0</v>
      </c>
      <c r="U231">
        <v>560</v>
      </c>
      <c r="V231">
        <v>511.35</v>
      </c>
      <c r="W231" t="str">
        <f t="shared" si="50"/>
        <v>rob</v>
      </c>
    </row>
    <row r="232" spans="1:23">
      <c r="A232" t="str">
        <f t="shared" si="64"/>
        <v>ASM&amp;QC-ER14P-01</v>
      </c>
      <c r="B232" t="str">
        <f>"113316"</f>
        <v>113316</v>
      </c>
      <c r="C232" t="str">
        <f>"Parts Bin"</f>
        <v>Parts Bin</v>
      </c>
      <c r="D232">
        <v>1</v>
      </c>
      <c r="E232" t="str">
        <f t="shared" si="65"/>
        <v>Assembly &amp; QC Robot ER14 (Ballgame &amp; Vision)</v>
      </c>
      <c r="F232">
        <v>504</v>
      </c>
      <c r="G232" t="str">
        <f t="shared" si="59"/>
        <v>Y</v>
      </c>
      <c r="H232" t="str">
        <f t="shared" si="66"/>
        <v>EA</v>
      </c>
      <c r="I232">
        <v>0</v>
      </c>
      <c r="J232">
        <v>0</v>
      </c>
      <c r="K232" t="str">
        <f t="shared" si="60"/>
        <v>Y</v>
      </c>
      <c r="L232">
        <v>0</v>
      </c>
      <c r="M232" t="str">
        <f t="shared" si="61"/>
        <v>NIS</v>
      </c>
      <c r="O232">
        <v>14</v>
      </c>
      <c r="P232" t="str">
        <f t="shared" si="67"/>
        <v>Active</v>
      </c>
      <c r="Q232" t="str">
        <f>"Parts Bin; Plastic Box"</f>
        <v>Parts Bin; Plastic Box</v>
      </c>
      <c r="R232" t="str">
        <f>"1"</f>
        <v>1</v>
      </c>
      <c r="S232" t="str">
        <f>"Parts Bin; Plastic Box"</f>
        <v>Parts Bin; Plastic Box</v>
      </c>
      <c r="T232">
        <v>0</v>
      </c>
      <c r="U232">
        <v>8.0399999999999991</v>
      </c>
      <c r="V232">
        <v>6.39</v>
      </c>
      <c r="W232" t="str">
        <f t="shared" si="50"/>
        <v>rob</v>
      </c>
    </row>
    <row r="233" spans="1:23">
      <c r="A233" t="str">
        <f t="shared" si="64"/>
        <v>ASM&amp;QC-ER14P-01</v>
      </c>
      <c r="B233" t="str">
        <f>"112713"</f>
        <v>112713</v>
      </c>
      <c r="C233" t="str">
        <f>"Marked Aluminum Cylinder"</f>
        <v>Marked Aluminum Cylinder</v>
      </c>
      <c r="D233">
        <v>3</v>
      </c>
      <c r="E233" t="str">
        <f t="shared" si="65"/>
        <v>Assembly &amp; QC Robot ER14 (Ballgame &amp; Vision)</v>
      </c>
      <c r="F233">
        <v>504</v>
      </c>
      <c r="G233" t="str">
        <f t="shared" si="59"/>
        <v>Y</v>
      </c>
      <c r="H233" t="str">
        <f t="shared" si="66"/>
        <v>EA</v>
      </c>
      <c r="I233">
        <v>0</v>
      </c>
      <c r="J233">
        <v>0</v>
      </c>
      <c r="K233" t="str">
        <f t="shared" si="60"/>
        <v>Y</v>
      </c>
      <c r="L233">
        <v>0</v>
      </c>
      <c r="M233" t="str">
        <f t="shared" si="61"/>
        <v>NIS</v>
      </c>
      <c r="O233">
        <v>15</v>
      </c>
      <c r="P233" t="str">
        <f t="shared" si="67"/>
        <v>Active</v>
      </c>
      <c r="Q233" t="str">
        <f>"Mark Al. Cylinder Diam. 35x28 MicroCIM"</f>
        <v>Mark Al. Cylinder Diam. 35x28 MicroCIM</v>
      </c>
      <c r="S233" t="str">
        <f>"Mark Al. Cylinder Diam. 35x28"</f>
        <v>Mark Al. Cylinder Diam. 35x28</v>
      </c>
      <c r="T233">
        <v>0</v>
      </c>
      <c r="U233">
        <v>6</v>
      </c>
      <c r="V233">
        <v>5.97</v>
      </c>
      <c r="W233" t="str">
        <f t="shared" si="50"/>
        <v>rob</v>
      </c>
    </row>
    <row r="234" spans="1:23">
      <c r="A234" t="str">
        <f t="shared" si="64"/>
        <v>ASM&amp;QC-ER14P-01</v>
      </c>
      <c r="B234" t="str">
        <f>"113096"</f>
        <v>113096</v>
      </c>
      <c r="C234" t="str">
        <f>"Plexiglass Cylinders Base"</f>
        <v>Plexiglass Cylinders Base</v>
      </c>
      <c r="D234">
        <v>3</v>
      </c>
      <c r="E234" t="str">
        <f t="shared" si="65"/>
        <v>Assembly &amp; QC Robot ER14 (Ballgame &amp; Vision)</v>
      </c>
      <c r="F234">
        <v>504</v>
      </c>
      <c r="G234" t="str">
        <f t="shared" si="59"/>
        <v>Y</v>
      </c>
      <c r="H234" t="str">
        <f t="shared" si="66"/>
        <v>EA</v>
      </c>
      <c r="I234">
        <v>0</v>
      </c>
      <c r="J234">
        <v>0</v>
      </c>
      <c r="K234" t="str">
        <f t="shared" si="60"/>
        <v>Y</v>
      </c>
      <c r="L234">
        <v>0</v>
      </c>
      <c r="M234" t="str">
        <f t="shared" si="61"/>
        <v>NIS</v>
      </c>
      <c r="O234">
        <v>16</v>
      </c>
      <c r="P234" t="str">
        <f t="shared" si="67"/>
        <v>Active</v>
      </c>
      <c r="Q234" t="str">
        <f>"Plexiglass Cylinders Base MicroCIM"</f>
        <v>Plexiglass Cylinders Base MicroCIM</v>
      </c>
      <c r="S234" t="str">
        <f>"Plexiglass Cylinders Base"</f>
        <v>Plexiglass Cylinders Base</v>
      </c>
      <c r="T234">
        <v>0</v>
      </c>
      <c r="U234">
        <v>7</v>
      </c>
      <c r="V234">
        <v>6.83</v>
      </c>
      <c r="W234" t="str">
        <f t="shared" si="50"/>
        <v>rob</v>
      </c>
    </row>
    <row r="235" spans="1:23">
      <c r="A235" t="str">
        <f t="shared" si="64"/>
        <v>ASM&amp;QC-ER14P-01</v>
      </c>
      <c r="B235" t="str">
        <f>"00-1249-0000"</f>
        <v>00-1249-0000</v>
      </c>
      <c r="C235" t="str">
        <f>"Workbench 1500x800mm (slotted aluminum top)"</f>
        <v>Workbench 1500x800mm (slotted aluminum top)</v>
      </c>
      <c r="D235">
        <v>1</v>
      </c>
      <c r="E235" t="str">
        <f t="shared" si="65"/>
        <v>Assembly &amp; QC Robot ER14 (Ballgame &amp; Vision)</v>
      </c>
      <c r="F235">
        <v>504</v>
      </c>
      <c r="G235" t="str">
        <f t="shared" si="59"/>
        <v>Y</v>
      </c>
      <c r="H235" t="str">
        <f t="shared" si="66"/>
        <v>EA</v>
      </c>
      <c r="I235">
        <v>0</v>
      </c>
      <c r="J235">
        <v>0</v>
      </c>
      <c r="K235" t="str">
        <f t="shared" si="60"/>
        <v>Y</v>
      </c>
      <c r="L235">
        <v>0</v>
      </c>
      <c r="M235" t="str">
        <f t="shared" si="61"/>
        <v>NIS</v>
      </c>
      <c r="O235">
        <v>17</v>
      </c>
      <c r="P235" t="str">
        <f t="shared" si="67"/>
        <v>Active</v>
      </c>
      <c r="Q235" t="str">
        <f>"Workbench 1500x800mm (slotted aluminum top)"</f>
        <v>Workbench 1500x800mm (slotted aluminum top)</v>
      </c>
      <c r="S235" t="str">
        <f>"Workbench 1500x800mm (slotted aluminum top)"</f>
        <v>Workbench 1500x800mm (slotted aluminum top)</v>
      </c>
      <c r="T235">
        <v>0</v>
      </c>
      <c r="U235" s="44">
        <v>1100</v>
      </c>
      <c r="V235" s="44">
        <v>1083.57</v>
      </c>
      <c r="W235" t="str">
        <f t="shared" si="50"/>
        <v>rob</v>
      </c>
    </row>
    <row r="236" spans="1:23">
      <c r="A236" t="str">
        <f t="shared" si="64"/>
        <v>ASM&amp;QC-ER14P-01</v>
      </c>
      <c r="B236" t="str">
        <f>"00-1241-0000"</f>
        <v>00-1241-0000</v>
      </c>
      <c r="C236" t="str">
        <f>"Adapter Mounting Plate for ER9/14Pro &amp; HP3"</f>
        <v>Adapter Mounting Plate for ER9/14Pro &amp; HP3</v>
      </c>
      <c r="D236">
        <v>1</v>
      </c>
      <c r="E236" t="str">
        <f t="shared" si="65"/>
        <v>Assembly &amp; QC Robot ER14 (Ballgame &amp; Vision)</v>
      </c>
      <c r="F236">
        <v>504</v>
      </c>
      <c r="G236" t="str">
        <f t="shared" si="59"/>
        <v>Y</v>
      </c>
      <c r="H236" t="str">
        <f t="shared" si="66"/>
        <v>EA</v>
      </c>
      <c r="I236">
        <v>0</v>
      </c>
      <c r="J236">
        <v>0</v>
      </c>
      <c r="K236" t="str">
        <f t="shared" si="60"/>
        <v>Y</v>
      </c>
      <c r="L236">
        <v>0</v>
      </c>
      <c r="M236" t="str">
        <f t="shared" si="61"/>
        <v>NIS</v>
      </c>
      <c r="O236">
        <v>18</v>
      </c>
      <c r="P236" t="str">
        <f t="shared" si="67"/>
        <v>Active</v>
      </c>
      <c r="Q236" t="str">
        <f>"Adapter Mounting Plate for ER9/14Pro &amp; HP3"</f>
        <v>Adapter Mounting Plate for ER9/14Pro &amp; HP3</v>
      </c>
      <c r="S236" t="str">
        <f>"Adapter Mounting Plate for ER9/14Pro &amp; HP3"</f>
        <v>Adapter Mounting Plate for ER9/14Pro &amp; HP3</v>
      </c>
      <c r="T236">
        <v>0</v>
      </c>
      <c r="U236">
        <v>145</v>
      </c>
      <c r="V236">
        <v>153.93</v>
      </c>
      <c r="W236" t="str">
        <f t="shared" si="50"/>
        <v>rob</v>
      </c>
    </row>
    <row r="237" spans="1:23">
      <c r="A237" t="str">
        <f t="shared" si="64"/>
        <v>ASM&amp;QC-ER14P-01</v>
      </c>
      <c r="B237" t="str">
        <f>"00-1260-0000"</f>
        <v>00-1260-0000</v>
      </c>
      <c r="C237" t="str">
        <f>"PC Extension Shelf  600x800mm"</f>
        <v>PC Extension Shelf  600x800mm</v>
      </c>
      <c r="D237">
        <v>1</v>
      </c>
      <c r="E237" t="str">
        <f t="shared" si="65"/>
        <v>Assembly &amp; QC Robot ER14 (Ballgame &amp; Vision)</v>
      </c>
      <c r="F237">
        <v>504</v>
      </c>
      <c r="G237" t="str">
        <f t="shared" si="59"/>
        <v>Y</v>
      </c>
      <c r="H237" t="str">
        <f t="shared" si="66"/>
        <v>EA</v>
      </c>
      <c r="I237">
        <v>0</v>
      </c>
      <c r="J237">
        <v>0</v>
      </c>
      <c r="K237" t="str">
        <f t="shared" si="60"/>
        <v>Y</v>
      </c>
      <c r="L237">
        <v>0</v>
      </c>
      <c r="M237" t="str">
        <f t="shared" si="61"/>
        <v>NIS</v>
      </c>
      <c r="O237">
        <v>19</v>
      </c>
      <c r="P237" t="str">
        <f t="shared" si="67"/>
        <v>Active</v>
      </c>
      <c r="Q237" t="str">
        <f>"PC Extension Shelf  600x800mm"</f>
        <v>PC Extension Shelf  600x800mm</v>
      </c>
      <c r="S237" t="str">
        <f>"PC Extension Shelf  600x800mm"</f>
        <v>PC Extension Shelf  600x800mm</v>
      </c>
      <c r="T237">
        <v>0</v>
      </c>
      <c r="U237">
        <v>192</v>
      </c>
      <c r="V237">
        <v>195.4</v>
      </c>
      <c r="W237" t="str">
        <f t="shared" si="50"/>
        <v>rob</v>
      </c>
    </row>
    <row r="238" spans="1:23">
      <c r="A238" t="str">
        <f t="shared" si="64"/>
        <v>ASM&amp;QC-ER14P-01</v>
      </c>
      <c r="B238" t="str">
        <f>"50-0094-0000"</f>
        <v>50-0094-0000</v>
      </c>
      <c r="C238" t="str">
        <f>"Pre-Engineering, Design and Testing"</f>
        <v>Pre-Engineering, Design and Testing</v>
      </c>
      <c r="D238">
        <v>1</v>
      </c>
      <c r="E238" t="str">
        <f t="shared" si="65"/>
        <v>Assembly &amp; QC Robot ER14 (Ballgame &amp; Vision)</v>
      </c>
      <c r="F238">
        <v>504</v>
      </c>
      <c r="G238" t="str">
        <f t="shared" si="59"/>
        <v>Y</v>
      </c>
      <c r="H238" t="str">
        <f>"DA"</f>
        <v>DA</v>
      </c>
      <c r="I238">
        <v>0</v>
      </c>
      <c r="J238">
        <v>0</v>
      </c>
      <c r="K238" t="str">
        <f t="shared" si="60"/>
        <v>Y</v>
      </c>
      <c r="L238">
        <v>0</v>
      </c>
      <c r="M238" t="str">
        <f t="shared" si="61"/>
        <v>NIS</v>
      </c>
      <c r="O238">
        <v>20</v>
      </c>
      <c r="P238" t="str">
        <f t="shared" si="67"/>
        <v>Active</v>
      </c>
      <c r="Q238" t="str">
        <f>"Pre-Engineering, Design and Testing"</f>
        <v>Pre-Engineering, Design and Testing</v>
      </c>
      <c r="S238" t="str">
        <f>"Pre-Engineering, Design and Testing"</f>
        <v>Pre-Engineering, Design and Testing</v>
      </c>
      <c r="T238">
        <v>0</v>
      </c>
      <c r="U238">
        <v>405</v>
      </c>
      <c r="V238">
        <v>421.2</v>
      </c>
      <c r="W238" t="str">
        <f t="shared" ref="W238:W301" si="68">"rob"</f>
        <v>rob</v>
      </c>
    </row>
    <row r="239" spans="1:23">
      <c r="A239" t="str">
        <f t="shared" ref="A239:A260" si="69">"ASM&amp;QC-ER14P-02"</f>
        <v>ASM&amp;QC-ER14P-02</v>
      </c>
      <c r="B239" t="str">
        <f>"00-0432-0000"</f>
        <v>00-0432-0000</v>
      </c>
      <c r="C239" t="str">
        <f>"SCORA-ER 14Pro"</f>
        <v>SCORA-ER 14Pro</v>
      </c>
      <c r="D239">
        <v>1</v>
      </c>
      <c r="E239" t="str">
        <f t="shared" ref="E239:E260" si="70">"Assembly&amp;QC Robot ER14 (Ballgame &amp; Vision &amp; Caliper)"</f>
        <v>Assembly&amp;QC Robot ER14 (Ballgame &amp; Vision &amp; Caliper)</v>
      </c>
      <c r="F239">
        <v>504</v>
      </c>
      <c r="G239" t="str">
        <f t="shared" si="59"/>
        <v>Y</v>
      </c>
      <c r="H239" t="str">
        <f t="shared" ref="H239:H259" si="71">"EA"</f>
        <v>EA</v>
      </c>
      <c r="I239">
        <v>0</v>
      </c>
      <c r="J239">
        <v>0</v>
      </c>
      <c r="K239" t="str">
        <f t="shared" si="60"/>
        <v>Y</v>
      </c>
      <c r="L239">
        <v>0</v>
      </c>
      <c r="M239" t="str">
        <f t="shared" si="61"/>
        <v>NIS</v>
      </c>
      <c r="O239">
        <v>1</v>
      </c>
      <c r="P239" t="str">
        <f t="shared" si="67"/>
        <v>Active</v>
      </c>
      <c r="Q239" t="str">
        <f>"SCORA-ER 14Pro (incl. USB-Pro Controller)"</f>
        <v>SCORA-ER 14Pro (incl. USB-Pro Controller)</v>
      </c>
      <c r="S239" t="str">
        <f>"SCORA-ER 14Pro (incl. USB-Pro Controller)"</f>
        <v>SCORA-ER 14Pro (incl. USB-Pro Controller)</v>
      </c>
      <c r="T239">
        <v>0</v>
      </c>
      <c r="U239" s="44">
        <v>11400</v>
      </c>
      <c r="V239" s="44">
        <v>12383.77</v>
      </c>
      <c r="W239" t="str">
        <f t="shared" si="68"/>
        <v>rob</v>
      </c>
    </row>
    <row r="240" spans="1:23">
      <c r="A240" t="str">
        <f t="shared" si="69"/>
        <v>ASM&amp;QC-ER14P-02</v>
      </c>
      <c r="B240" t="str">
        <f>"00-0634-0000"</f>
        <v>00-0634-0000</v>
      </c>
      <c r="C240" t="str">
        <f>"Pneumatic Gripper for ER 14Pro"</f>
        <v>Pneumatic Gripper for ER 14Pro</v>
      </c>
      <c r="D240">
        <v>1</v>
      </c>
      <c r="E240" t="str">
        <f t="shared" si="70"/>
        <v>Assembly&amp;QC Robot ER14 (Ballgame &amp; Vision &amp; Caliper)</v>
      </c>
      <c r="F240">
        <v>504</v>
      </c>
      <c r="G240" t="str">
        <f t="shared" si="59"/>
        <v>Y</v>
      </c>
      <c r="H240" t="str">
        <f t="shared" si="71"/>
        <v>EA</v>
      </c>
      <c r="I240">
        <v>0</v>
      </c>
      <c r="J240">
        <v>0</v>
      </c>
      <c r="K240" t="str">
        <f t="shared" si="60"/>
        <v>Y</v>
      </c>
      <c r="L240">
        <v>0</v>
      </c>
      <c r="M240" t="str">
        <f t="shared" si="61"/>
        <v>NIS</v>
      </c>
      <c r="O240">
        <v>2</v>
      </c>
      <c r="P240" t="str">
        <f t="shared" si="67"/>
        <v>Active</v>
      </c>
      <c r="Q240" t="str">
        <f>"Pneumatic Gripper for ER 14Pro"</f>
        <v>Pneumatic Gripper for ER 14Pro</v>
      </c>
      <c r="S240" t="str">
        <f>"Pneumatic Gripper for ER 14Pro"</f>
        <v>Pneumatic Gripper for ER 14Pro</v>
      </c>
      <c r="T240">
        <v>0</v>
      </c>
      <c r="U240">
        <v>651</v>
      </c>
      <c r="V240">
        <v>647.6</v>
      </c>
      <c r="W240" t="str">
        <f t="shared" si="68"/>
        <v>rob</v>
      </c>
    </row>
    <row r="241" spans="1:23">
      <c r="A241" t="str">
        <f t="shared" si="69"/>
        <v>ASM&amp;QC-ER14P-02</v>
      </c>
      <c r="B241" t="str">
        <f>"00-1710-0000"</f>
        <v>00-1710-0000</v>
      </c>
      <c r="C241" t="str">
        <f>"Teach Pendant"</f>
        <v>Teach Pendant</v>
      </c>
      <c r="D241">
        <v>1</v>
      </c>
      <c r="E241" t="str">
        <f t="shared" si="70"/>
        <v>Assembly&amp;QC Robot ER14 (Ballgame &amp; Vision &amp; Caliper)</v>
      </c>
      <c r="F241">
        <v>504</v>
      </c>
      <c r="G241" t="str">
        <f t="shared" si="59"/>
        <v>Y</v>
      </c>
      <c r="H241" t="str">
        <f t="shared" si="71"/>
        <v>EA</v>
      </c>
      <c r="I241">
        <v>0</v>
      </c>
      <c r="J241">
        <v>0</v>
      </c>
      <c r="K241" t="str">
        <f t="shared" si="60"/>
        <v>Y</v>
      </c>
      <c r="L241">
        <v>0</v>
      </c>
      <c r="M241" t="str">
        <f t="shared" si="61"/>
        <v>NIS</v>
      </c>
      <c r="O241">
        <v>3</v>
      </c>
      <c r="P241" t="str">
        <f t="shared" si="67"/>
        <v>Active</v>
      </c>
      <c r="Q241" t="str">
        <f>"Teach Pendant for USB/USB Pro Controllers"</f>
        <v>Teach Pendant for USB/USB Pro Controllers</v>
      </c>
      <c r="S241" t="str">
        <f>"Teach Pendant for USB/USB Pro Controllers"</f>
        <v>Teach Pendant for USB/USB Pro Controllers</v>
      </c>
      <c r="T241">
        <v>0</v>
      </c>
      <c r="U241">
        <v>160.18</v>
      </c>
      <c r="V241">
        <v>161.44999999999999</v>
      </c>
      <c r="W241" t="str">
        <f t="shared" si="68"/>
        <v>rob</v>
      </c>
    </row>
    <row r="242" spans="1:23">
      <c r="A242" t="str">
        <f t="shared" si="69"/>
        <v>ASM&amp;QC-ER14P-02</v>
      </c>
      <c r="B242" t="str">
        <f>"034025"</f>
        <v>034025</v>
      </c>
      <c r="C242" t="str">
        <f>"I/O Interface Box for Controller USB-PRO"</f>
        <v>I/O Interface Box for Controller USB-PRO</v>
      </c>
      <c r="D242">
        <v>1</v>
      </c>
      <c r="E242" t="str">
        <f t="shared" si="70"/>
        <v>Assembly&amp;QC Robot ER14 (Ballgame &amp; Vision &amp; Caliper)</v>
      </c>
      <c r="F242">
        <v>504</v>
      </c>
      <c r="G242" t="str">
        <f t="shared" si="59"/>
        <v>Y</v>
      </c>
      <c r="H242" t="str">
        <f t="shared" si="71"/>
        <v>EA</v>
      </c>
      <c r="I242">
        <v>0</v>
      </c>
      <c r="J242">
        <v>0</v>
      </c>
      <c r="K242" t="str">
        <f t="shared" si="60"/>
        <v>Y</v>
      </c>
      <c r="L242">
        <v>0</v>
      </c>
      <c r="M242" t="str">
        <f t="shared" si="61"/>
        <v>NIS</v>
      </c>
      <c r="O242">
        <v>4</v>
      </c>
      <c r="P242" t="str">
        <f t="shared" si="67"/>
        <v>Active</v>
      </c>
      <c r="Q242" t="str">
        <f>"I/O Interface Box for Controller USB-PRO"</f>
        <v>I/O Interface Box for Controller USB-PRO</v>
      </c>
      <c r="S242" t="str">
        <f>"קופסת 2+Interface Box I/O כבלים לבקר USBPRO"</f>
        <v>קופסת 2+Interface Box I/O כבלים לבקר USBPRO</v>
      </c>
      <c r="T242">
        <v>0</v>
      </c>
      <c r="U242">
        <v>470</v>
      </c>
      <c r="V242">
        <v>463.62</v>
      </c>
      <c r="W242" t="str">
        <f t="shared" si="68"/>
        <v>rob</v>
      </c>
    </row>
    <row r="243" spans="1:23">
      <c r="A243" t="str">
        <f t="shared" si="69"/>
        <v>ASM&amp;QC-ER14P-02</v>
      </c>
      <c r="B243" t="str">
        <f>"10-2104-9000"</f>
        <v>10-2104-9000</v>
      </c>
      <c r="C243" t="str">
        <f>"Single Buffer for Slotted Table"</f>
        <v>Single Buffer for Slotted Table</v>
      </c>
      <c r="D243">
        <v>3</v>
      </c>
      <c r="E243" t="str">
        <f t="shared" si="70"/>
        <v>Assembly&amp;QC Robot ER14 (Ballgame &amp; Vision &amp; Caliper)</v>
      </c>
      <c r="F243">
        <v>504</v>
      </c>
      <c r="G243" t="str">
        <f t="shared" si="59"/>
        <v>Y</v>
      </c>
      <c r="H243" t="str">
        <f t="shared" si="71"/>
        <v>EA</v>
      </c>
      <c r="I243">
        <v>0</v>
      </c>
      <c r="J243">
        <v>0</v>
      </c>
      <c r="K243" t="str">
        <f t="shared" si="60"/>
        <v>Y</v>
      </c>
      <c r="L243">
        <v>0</v>
      </c>
      <c r="M243" t="str">
        <f t="shared" si="61"/>
        <v>NIS</v>
      </c>
      <c r="O243">
        <v>5</v>
      </c>
      <c r="P243" t="str">
        <f t="shared" si="67"/>
        <v>Active</v>
      </c>
      <c r="Q243" t="str">
        <f>"Single Buffer for Slotted Table(+height adapter)"</f>
        <v>Single Buffer for Slotted Table(+height adapter)</v>
      </c>
      <c r="S243" t="str">
        <f>"Single Buffer for Slotted Table(+height adapter)"</f>
        <v>Single Buffer for Slotted Table(+height adapter)</v>
      </c>
      <c r="T243">
        <v>0</v>
      </c>
      <c r="U243">
        <v>26</v>
      </c>
      <c r="V243">
        <v>25.49</v>
      </c>
      <c r="W243" t="str">
        <f t="shared" si="68"/>
        <v>rob</v>
      </c>
    </row>
    <row r="244" spans="1:23">
      <c r="A244" t="str">
        <f t="shared" si="69"/>
        <v>ASM&amp;QC-ER14P-02</v>
      </c>
      <c r="B244" t="str">
        <f>"00-1110-0000"</f>
        <v>00-1110-0000</v>
      </c>
      <c r="C244" t="str">
        <f>"Palletizing Rack"</f>
        <v>Palletizing Rack</v>
      </c>
      <c r="D244">
        <v>2</v>
      </c>
      <c r="E244" t="str">
        <f t="shared" si="70"/>
        <v>Assembly&amp;QC Robot ER14 (Ballgame &amp; Vision &amp; Caliper)</v>
      </c>
      <c r="F244">
        <v>504</v>
      </c>
      <c r="G244" t="str">
        <f t="shared" si="59"/>
        <v>Y</v>
      </c>
      <c r="H244" t="str">
        <f t="shared" si="71"/>
        <v>EA</v>
      </c>
      <c r="I244">
        <v>0</v>
      </c>
      <c r="J244">
        <v>0</v>
      </c>
      <c r="K244" t="str">
        <f t="shared" si="60"/>
        <v>Y</v>
      </c>
      <c r="L244">
        <v>0</v>
      </c>
      <c r="M244" t="str">
        <f t="shared" si="61"/>
        <v>NIS</v>
      </c>
      <c r="O244">
        <v>6</v>
      </c>
      <c r="P244" t="str">
        <f t="shared" si="67"/>
        <v>Active</v>
      </c>
      <c r="Q244" t="str">
        <f>"Palletizing Rack (incl. Pins for creating Jigs)"</f>
        <v>Palletizing Rack (incl. Pins for creating Jigs)</v>
      </c>
      <c r="S244" t="str">
        <f>"Palletizing Rack (incl. Pins for creating Jigs)"</f>
        <v>Palletizing Rack (incl. Pins for creating Jigs)</v>
      </c>
      <c r="T244">
        <v>0</v>
      </c>
      <c r="U244">
        <v>63</v>
      </c>
      <c r="V244">
        <v>58.59</v>
      </c>
      <c r="W244" t="str">
        <f t="shared" si="68"/>
        <v>rob</v>
      </c>
    </row>
    <row r="245" spans="1:23">
      <c r="A245" t="str">
        <f t="shared" si="69"/>
        <v>ASM&amp;QC-ER14P-02</v>
      </c>
      <c r="B245" t="str">
        <f>"021172"</f>
        <v>021172</v>
      </c>
      <c r="C245" t="str">
        <f>"30mm Height Adapter -Rack 001110 on table 001249"</f>
        <v>30mm Height Adapter -Rack 001110 on table 001249</v>
      </c>
      <c r="D245">
        <v>2</v>
      </c>
      <c r="E245" t="str">
        <f t="shared" si="70"/>
        <v>Assembly&amp;QC Robot ER14 (Ballgame &amp; Vision &amp; Caliper)</v>
      </c>
      <c r="F245">
        <v>504</v>
      </c>
      <c r="G245" t="str">
        <f t="shared" si="59"/>
        <v>Y</v>
      </c>
      <c r="H245" t="str">
        <f t="shared" si="71"/>
        <v>EA</v>
      </c>
      <c r="I245">
        <v>0</v>
      </c>
      <c r="J245">
        <v>0</v>
      </c>
      <c r="K245" t="str">
        <f t="shared" si="60"/>
        <v>Y</v>
      </c>
      <c r="L245">
        <v>0</v>
      </c>
      <c r="M245" t="str">
        <f t="shared" si="61"/>
        <v>NIS</v>
      </c>
      <c r="O245">
        <v>7</v>
      </c>
      <c r="P245" t="str">
        <f t="shared" si="67"/>
        <v>Active</v>
      </c>
      <c r="Q245" t="str">
        <f>"30mm Height Adapter -Rack 001110 on table 001249"</f>
        <v>30mm Height Adapter -Rack 001110 on table 001249</v>
      </c>
      <c r="S245" t="str">
        <f>"30mm Height Adapter -Rack 001110 on table 001249"</f>
        <v>30mm Height Adapter -Rack 001110 on table 001249</v>
      </c>
      <c r="T245">
        <v>0</v>
      </c>
      <c r="U245">
        <v>13.12</v>
      </c>
      <c r="V245">
        <v>13.44</v>
      </c>
      <c r="W245" t="str">
        <f t="shared" si="68"/>
        <v>rob</v>
      </c>
    </row>
    <row r="246" spans="1:23">
      <c r="A246" t="str">
        <f t="shared" si="69"/>
        <v>ASM&amp;QC-ER14P-02</v>
      </c>
      <c r="B246" t="str">
        <f>"21-0004-0000"</f>
        <v>21-0004-0000</v>
      </c>
      <c r="C246" t="str">
        <f>"Assembly, Dual Axis Air Vise Mechanicals"</f>
        <v>Assembly, Dual Axis Air Vise Mechanicals</v>
      </c>
      <c r="D246">
        <v>1</v>
      </c>
      <c r="E246" t="str">
        <f t="shared" si="70"/>
        <v>Assembly&amp;QC Robot ER14 (Ballgame &amp; Vision &amp; Caliper)</v>
      </c>
      <c r="F246">
        <v>504</v>
      </c>
      <c r="G246" t="str">
        <f t="shared" si="59"/>
        <v>Y</v>
      </c>
      <c r="H246" t="str">
        <f t="shared" si="71"/>
        <v>EA</v>
      </c>
      <c r="I246">
        <v>0</v>
      </c>
      <c r="J246">
        <v>0</v>
      </c>
      <c r="K246" t="str">
        <f t="shared" si="60"/>
        <v>Y</v>
      </c>
      <c r="L246">
        <v>0</v>
      </c>
      <c r="M246" t="str">
        <f t="shared" si="61"/>
        <v>NIS</v>
      </c>
      <c r="O246">
        <v>8</v>
      </c>
      <c r="P246" t="str">
        <f>"Phase Out"</f>
        <v>Phase Out</v>
      </c>
      <c r="Q246" t="str">
        <f>"Pneumatic Dual-Axis Vise"</f>
        <v>Pneumatic Dual-Axis Vise</v>
      </c>
      <c r="S246" t="str">
        <f>"Assembly, Dual Axis Air Vise Mechanicals"</f>
        <v>Assembly, Dual Axis Air Vise Mechanicals</v>
      </c>
      <c r="T246">
        <v>422.16</v>
      </c>
      <c r="U246">
        <v>422</v>
      </c>
      <c r="V246">
        <v>980.27</v>
      </c>
      <c r="W246" t="str">
        <f t="shared" si="68"/>
        <v>rob</v>
      </c>
    </row>
    <row r="247" spans="1:23">
      <c r="A247" t="str">
        <f t="shared" si="69"/>
        <v>ASM&amp;QC-ER14P-02</v>
      </c>
      <c r="B247" t="str">
        <f>"10-2523-4000"</f>
        <v>10-2523-4000</v>
      </c>
      <c r="C247" t="str">
        <f>"Solenoid Valve (24V) for Pipe 3 mm"</f>
        <v>Solenoid Valve (24V) for Pipe 3 mm</v>
      </c>
      <c r="D247">
        <v>1</v>
      </c>
      <c r="E247" t="str">
        <f t="shared" si="70"/>
        <v>Assembly&amp;QC Robot ER14 (Ballgame &amp; Vision &amp; Caliper)</v>
      </c>
      <c r="F247">
        <v>504</v>
      </c>
      <c r="G247" t="str">
        <f t="shared" si="59"/>
        <v>Y</v>
      </c>
      <c r="H247" t="str">
        <f t="shared" si="71"/>
        <v>EA</v>
      </c>
      <c r="I247">
        <v>0</v>
      </c>
      <c r="J247">
        <v>0</v>
      </c>
      <c r="K247" t="str">
        <f t="shared" si="60"/>
        <v>Y</v>
      </c>
      <c r="L247">
        <v>0</v>
      </c>
      <c r="M247" t="str">
        <f t="shared" si="61"/>
        <v>NIS</v>
      </c>
      <c r="O247">
        <v>9</v>
      </c>
      <c r="P247" t="str">
        <f t="shared" ref="P247:P267" si="72">"Active"</f>
        <v>Active</v>
      </c>
      <c r="Q247" t="str">
        <f>"Solenoid Valve (24V) for Dual Axis Vise 025207"</f>
        <v>Solenoid Valve (24V) for Dual Axis Vise 025207</v>
      </c>
      <c r="S247" t="str">
        <f>"Solenoid Valve (24V) for Pipe 3 mm"</f>
        <v>Solenoid Valve (24V) for Pipe 3 mm</v>
      </c>
      <c r="T247">
        <v>0</v>
      </c>
      <c r="U247">
        <v>137</v>
      </c>
      <c r="V247">
        <v>133.35</v>
      </c>
      <c r="W247" t="str">
        <f t="shared" si="68"/>
        <v>rob</v>
      </c>
    </row>
    <row r="248" spans="1:23">
      <c r="A248" t="str">
        <f t="shared" si="69"/>
        <v>ASM&amp;QC-ER14P-02</v>
      </c>
      <c r="B248" t="str">
        <f>"00-1230-0000"</f>
        <v>00-1230-0000</v>
      </c>
      <c r="C248" t="str">
        <f>"Ball Feeder (incl. sensor for ball counting)"</f>
        <v>Ball Feeder (incl. sensor for ball counting)</v>
      </c>
      <c r="D248">
        <v>1</v>
      </c>
      <c r="E248" t="str">
        <f t="shared" si="70"/>
        <v>Assembly&amp;QC Robot ER14 (Ballgame &amp; Vision &amp; Caliper)</v>
      </c>
      <c r="F248">
        <v>504</v>
      </c>
      <c r="G248" t="str">
        <f t="shared" si="59"/>
        <v>Y</v>
      </c>
      <c r="H248" t="str">
        <f t="shared" si="71"/>
        <v>EA</v>
      </c>
      <c r="I248">
        <v>0</v>
      </c>
      <c r="J248">
        <v>0</v>
      </c>
      <c r="K248" t="str">
        <f t="shared" si="60"/>
        <v>Y</v>
      </c>
      <c r="L248">
        <v>0</v>
      </c>
      <c r="M248" t="str">
        <f t="shared" si="61"/>
        <v>NIS</v>
      </c>
      <c r="O248">
        <v>10</v>
      </c>
      <c r="P248" t="str">
        <f t="shared" si="72"/>
        <v>Active</v>
      </c>
      <c r="Q248" t="str">
        <f>"Ball Feeder (incl. sensor for ball counting)"</f>
        <v>Ball Feeder (incl. sensor for ball counting)</v>
      </c>
      <c r="S248" t="str">
        <f>"Ball Feeder (incl. sensor for ball counting)"</f>
        <v>Ball Feeder (incl. sensor for ball counting)</v>
      </c>
      <c r="T248">
        <v>0</v>
      </c>
      <c r="U248">
        <v>536</v>
      </c>
      <c r="V248">
        <v>530.72</v>
      </c>
      <c r="W248" t="str">
        <f t="shared" si="68"/>
        <v>rob</v>
      </c>
    </row>
    <row r="249" spans="1:23">
      <c r="A249" t="str">
        <f t="shared" si="69"/>
        <v>ASM&amp;QC-ER14P-02</v>
      </c>
      <c r="B249" t="str">
        <f>"00-1243-0000"</f>
        <v>00-1243-0000</v>
      </c>
      <c r="C249" t="str">
        <f>"Ball Game Set (Assembly with Plastic Pins)"</f>
        <v>Ball Game Set (Assembly with Plastic Pins)</v>
      </c>
      <c r="D249">
        <v>12</v>
      </c>
      <c r="E249" t="str">
        <f t="shared" si="70"/>
        <v>Assembly&amp;QC Robot ER14 (Ballgame &amp; Vision &amp; Caliper)</v>
      </c>
      <c r="F249">
        <v>504</v>
      </c>
      <c r="G249" t="str">
        <f t="shared" si="59"/>
        <v>Y</v>
      </c>
      <c r="H249" t="str">
        <f t="shared" si="71"/>
        <v>EA</v>
      </c>
      <c r="I249">
        <v>0</v>
      </c>
      <c r="J249">
        <v>0</v>
      </c>
      <c r="K249" t="str">
        <f t="shared" si="60"/>
        <v>Y</v>
      </c>
      <c r="L249">
        <v>0</v>
      </c>
      <c r="M249" t="str">
        <f t="shared" si="61"/>
        <v>NIS</v>
      </c>
      <c r="O249">
        <v>11</v>
      </c>
      <c r="P249" t="str">
        <f t="shared" si="72"/>
        <v>Active</v>
      </c>
      <c r="Q249" t="str">
        <f>"Ball Game Set (Assembly with Plastic Pins)"</f>
        <v>Ball Game Set (Assembly with Plastic Pins)</v>
      </c>
      <c r="S249" t="str">
        <f>"Ball Game Set (Assembly with Plastic Pins)"</f>
        <v>Ball Game Set (Assembly with Plastic Pins)</v>
      </c>
      <c r="T249">
        <v>0</v>
      </c>
      <c r="U249">
        <v>32</v>
      </c>
      <c r="V249">
        <v>34.770000000000003</v>
      </c>
      <c r="W249" t="str">
        <f t="shared" si="68"/>
        <v>rob</v>
      </c>
    </row>
    <row r="250" spans="1:23">
      <c r="A250" t="str">
        <f t="shared" si="69"/>
        <v>ASM&amp;QC-ER14P-02</v>
      </c>
      <c r="B250" t="str">
        <f>"00-1249-0000"</f>
        <v>00-1249-0000</v>
      </c>
      <c r="C250" t="str">
        <f>"Workbench 1500x800mm (slotted aluminum top)"</f>
        <v>Workbench 1500x800mm (slotted aluminum top)</v>
      </c>
      <c r="D250">
        <v>1</v>
      </c>
      <c r="E250" t="str">
        <f t="shared" si="70"/>
        <v>Assembly&amp;QC Robot ER14 (Ballgame &amp; Vision &amp; Caliper)</v>
      </c>
      <c r="F250">
        <v>504</v>
      </c>
      <c r="G250" t="str">
        <f t="shared" si="59"/>
        <v>Y</v>
      </c>
      <c r="H250" t="str">
        <f t="shared" si="71"/>
        <v>EA</v>
      </c>
      <c r="I250">
        <v>0</v>
      </c>
      <c r="J250">
        <v>0</v>
      </c>
      <c r="K250" t="str">
        <f t="shared" si="60"/>
        <v>Y</v>
      </c>
      <c r="L250">
        <v>0</v>
      </c>
      <c r="M250" t="str">
        <f t="shared" si="61"/>
        <v>NIS</v>
      </c>
      <c r="O250">
        <v>12</v>
      </c>
      <c r="P250" t="str">
        <f t="shared" si="72"/>
        <v>Active</v>
      </c>
      <c r="Q250" t="str">
        <f>"Workbench 1500x800mm (slotted aluminum top)"</f>
        <v>Workbench 1500x800mm (slotted aluminum top)</v>
      </c>
      <c r="S250" t="str">
        <f>"Workbench 1500x800mm (slotted aluminum top)"</f>
        <v>Workbench 1500x800mm (slotted aluminum top)</v>
      </c>
      <c r="T250">
        <v>0</v>
      </c>
      <c r="U250" s="44">
        <v>1100</v>
      </c>
      <c r="V250" s="44">
        <v>1083.57</v>
      </c>
      <c r="W250" t="str">
        <f t="shared" si="68"/>
        <v>rob</v>
      </c>
    </row>
    <row r="251" spans="1:23">
      <c r="A251" t="str">
        <f t="shared" si="69"/>
        <v>ASM&amp;QC-ER14P-02</v>
      </c>
      <c r="B251" t="str">
        <f>"00-1241-0000"</f>
        <v>00-1241-0000</v>
      </c>
      <c r="C251" t="str">
        <f>"Adapter Mounting Plate for ER9/14Pro &amp; HP3"</f>
        <v>Adapter Mounting Plate for ER9/14Pro &amp; HP3</v>
      </c>
      <c r="D251">
        <v>1</v>
      </c>
      <c r="E251" t="str">
        <f t="shared" si="70"/>
        <v>Assembly&amp;QC Robot ER14 (Ballgame &amp; Vision &amp; Caliper)</v>
      </c>
      <c r="F251">
        <v>504</v>
      </c>
      <c r="G251" t="str">
        <f t="shared" si="59"/>
        <v>Y</v>
      </c>
      <c r="H251" t="str">
        <f t="shared" si="71"/>
        <v>EA</v>
      </c>
      <c r="I251">
        <v>0</v>
      </c>
      <c r="J251">
        <v>0</v>
      </c>
      <c r="K251" t="str">
        <f t="shared" si="60"/>
        <v>Y</v>
      </c>
      <c r="L251">
        <v>0</v>
      </c>
      <c r="M251" t="str">
        <f t="shared" si="61"/>
        <v>NIS</v>
      </c>
      <c r="O251">
        <v>13</v>
      </c>
      <c r="P251" t="str">
        <f t="shared" si="72"/>
        <v>Active</v>
      </c>
      <c r="Q251" t="str">
        <f>"Adapter Mounting Plate for ER9/14Pro &amp; HP3"</f>
        <v>Adapter Mounting Plate for ER9/14Pro &amp; HP3</v>
      </c>
      <c r="S251" t="str">
        <f>"Adapter Mounting Plate for ER9/14Pro &amp; HP3"</f>
        <v>Adapter Mounting Plate for ER9/14Pro &amp; HP3</v>
      </c>
      <c r="T251">
        <v>0</v>
      </c>
      <c r="U251">
        <v>145</v>
      </c>
      <c r="V251">
        <v>153.93</v>
      </c>
      <c r="W251" t="str">
        <f t="shared" si="68"/>
        <v>rob</v>
      </c>
    </row>
    <row r="252" spans="1:23">
      <c r="A252" t="str">
        <f t="shared" si="69"/>
        <v>ASM&amp;QC-ER14P-02</v>
      </c>
      <c r="B252" t="str">
        <f>"00-1260-0000"</f>
        <v>00-1260-0000</v>
      </c>
      <c r="C252" t="str">
        <f>"PC Extension Shelf  600x800mm"</f>
        <v>PC Extension Shelf  600x800mm</v>
      </c>
      <c r="D252">
        <v>1</v>
      </c>
      <c r="E252" t="str">
        <f t="shared" si="70"/>
        <v>Assembly&amp;QC Robot ER14 (Ballgame &amp; Vision &amp; Caliper)</v>
      </c>
      <c r="F252">
        <v>504</v>
      </c>
      <c r="G252" t="str">
        <f t="shared" si="59"/>
        <v>Y</v>
      </c>
      <c r="H252" t="str">
        <f t="shared" si="71"/>
        <v>EA</v>
      </c>
      <c r="I252">
        <v>0</v>
      </c>
      <c r="J252">
        <v>0</v>
      </c>
      <c r="K252" t="str">
        <f t="shared" si="60"/>
        <v>Y</v>
      </c>
      <c r="L252">
        <v>0</v>
      </c>
      <c r="M252" t="str">
        <f t="shared" si="61"/>
        <v>NIS</v>
      </c>
      <c r="O252">
        <v>14</v>
      </c>
      <c r="P252" t="str">
        <f t="shared" si="72"/>
        <v>Active</v>
      </c>
      <c r="Q252" t="str">
        <f>"PC Extension Shelf  600x800mm"</f>
        <v>PC Extension Shelf  600x800mm</v>
      </c>
      <c r="S252" t="str">
        <f>"PC Extension Shelf  600x800mm"</f>
        <v>PC Extension Shelf  600x800mm</v>
      </c>
      <c r="T252">
        <v>0</v>
      </c>
      <c r="U252">
        <v>192</v>
      </c>
      <c r="V252">
        <v>195.4</v>
      </c>
      <c r="W252" t="str">
        <f t="shared" si="68"/>
        <v>rob</v>
      </c>
    </row>
    <row r="253" spans="1:23">
      <c r="A253" t="str">
        <f t="shared" si="69"/>
        <v>ASM&amp;QC-ER14P-02</v>
      </c>
      <c r="B253" t="str">
        <f>"00-1254-0000"</f>
        <v>00-1254-0000</v>
      </c>
      <c r="C253" t="str">
        <f>"Automated Stationary Caliper Unit"</f>
        <v>Automated Stationary Caliper Unit</v>
      </c>
      <c r="D253">
        <v>1</v>
      </c>
      <c r="E253" t="str">
        <f t="shared" si="70"/>
        <v>Assembly&amp;QC Robot ER14 (Ballgame &amp; Vision &amp; Caliper)</v>
      </c>
      <c r="F253">
        <v>504</v>
      </c>
      <c r="G253" t="str">
        <f t="shared" si="59"/>
        <v>Y</v>
      </c>
      <c r="H253" t="str">
        <f t="shared" si="71"/>
        <v>EA</v>
      </c>
      <c r="I253">
        <v>0</v>
      </c>
      <c r="J253">
        <v>0</v>
      </c>
      <c r="K253" t="str">
        <f t="shared" si="60"/>
        <v>Y</v>
      </c>
      <c r="L253">
        <v>0</v>
      </c>
      <c r="M253" t="str">
        <f t="shared" si="61"/>
        <v>NIS</v>
      </c>
      <c r="O253">
        <v>15</v>
      </c>
      <c r="P253" t="str">
        <f t="shared" si="72"/>
        <v>Active</v>
      </c>
      <c r="Q253" t="str">
        <f>"Automat Stationary Caliper  Unit"</f>
        <v>Automat Stationary Caliper  Unit</v>
      </c>
      <c r="S253" t="str">
        <f>"Automat Stationary Caliper  Unit"</f>
        <v>Automat Stationary Caliper  Unit</v>
      </c>
      <c r="T253">
        <v>0</v>
      </c>
      <c r="U253" s="44">
        <v>1165.92</v>
      </c>
      <c r="V253" s="44">
        <v>1246.44</v>
      </c>
      <c r="W253" t="str">
        <f t="shared" si="68"/>
        <v>rob</v>
      </c>
    </row>
    <row r="254" spans="1:23">
      <c r="A254" t="str">
        <f t="shared" si="69"/>
        <v>ASM&amp;QC-ER14P-02</v>
      </c>
      <c r="B254" t="str">
        <f>"113316"</f>
        <v>113316</v>
      </c>
      <c r="C254" t="str">
        <f>"Parts Bin"</f>
        <v>Parts Bin</v>
      </c>
      <c r="D254">
        <v>1</v>
      </c>
      <c r="E254" t="str">
        <f t="shared" si="70"/>
        <v>Assembly&amp;QC Robot ER14 (Ballgame &amp; Vision &amp; Caliper)</v>
      </c>
      <c r="F254">
        <v>504</v>
      </c>
      <c r="G254" t="str">
        <f t="shared" si="59"/>
        <v>Y</v>
      </c>
      <c r="H254" t="str">
        <f t="shared" si="71"/>
        <v>EA</v>
      </c>
      <c r="I254">
        <v>0</v>
      </c>
      <c r="J254">
        <v>0</v>
      </c>
      <c r="K254" t="str">
        <f t="shared" si="60"/>
        <v>Y</v>
      </c>
      <c r="L254">
        <v>0</v>
      </c>
      <c r="M254" t="str">
        <f t="shared" si="61"/>
        <v>NIS</v>
      </c>
      <c r="O254">
        <v>16</v>
      </c>
      <c r="P254" t="str">
        <f t="shared" si="72"/>
        <v>Active</v>
      </c>
      <c r="Q254" t="str">
        <f>"Parts Bin; Plastic Box"</f>
        <v>Parts Bin; Plastic Box</v>
      </c>
      <c r="R254" t="str">
        <f>"1"</f>
        <v>1</v>
      </c>
      <c r="S254" t="str">
        <f>"Parts Bin; Plastic Box"</f>
        <v>Parts Bin; Plastic Box</v>
      </c>
      <c r="T254">
        <v>0</v>
      </c>
      <c r="U254">
        <v>8.0399999999999991</v>
      </c>
      <c r="V254">
        <v>6.39</v>
      </c>
      <c r="W254" t="str">
        <f t="shared" si="68"/>
        <v>rob</v>
      </c>
    </row>
    <row r="255" spans="1:23">
      <c r="A255" t="str">
        <f t="shared" si="69"/>
        <v>ASM&amp;QC-ER14P-02</v>
      </c>
      <c r="B255" t="str">
        <f>"00-1013-0000"</f>
        <v>00-1013-0000</v>
      </c>
      <c r="C255" t="str">
        <f>"Linear Positioning Table 300mm"</f>
        <v>Linear Positioning Table 300mm</v>
      </c>
      <c r="D255">
        <v>1</v>
      </c>
      <c r="E255" t="str">
        <f t="shared" si="70"/>
        <v>Assembly&amp;QC Robot ER14 (Ballgame &amp; Vision &amp; Caliper)</v>
      </c>
      <c r="F255">
        <v>504</v>
      </c>
      <c r="G255" t="str">
        <f t="shared" si="59"/>
        <v>Y</v>
      </c>
      <c r="H255" t="str">
        <f t="shared" si="71"/>
        <v>EA</v>
      </c>
      <c r="I255">
        <v>0</v>
      </c>
      <c r="J255">
        <v>0</v>
      </c>
      <c r="K255" t="str">
        <f t="shared" si="60"/>
        <v>Y</v>
      </c>
      <c r="L255">
        <v>0</v>
      </c>
      <c r="M255" t="str">
        <f t="shared" si="61"/>
        <v>NIS</v>
      </c>
      <c r="O255">
        <v>17</v>
      </c>
      <c r="P255" t="str">
        <f t="shared" si="72"/>
        <v>Active</v>
      </c>
      <c r="Q255" t="str">
        <f>"Linear Positioning Table 300mm (Belt Drive, 24V)"</f>
        <v>Linear Positioning Table 300mm (Belt Drive, 24V)</v>
      </c>
      <c r="S255" t="str">
        <f>"Linear Positioning Table 300mm (Belt Drive, 24V)"</f>
        <v>Linear Positioning Table 300mm (Belt Drive, 24V)</v>
      </c>
      <c r="T255">
        <v>0</v>
      </c>
      <c r="U255">
        <v>894.02</v>
      </c>
      <c r="V255">
        <v>879.29</v>
      </c>
      <c r="W255" t="str">
        <f t="shared" si="68"/>
        <v>rob</v>
      </c>
    </row>
    <row r="256" spans="1:23">
      <c r="A256" t="str">
        <f t="shared" si="69"/>
        <v>ASM&amp;QC-ER14P-02</v>
      </c>
      <c r="B256" t="str">
        <f>"00-1422-0000"</f>
        <v>00-1422-0000</v>
      </c>
      <c r="C256" t="str">
        <f>"Viewflex for QC (Stand 400mm)"</f>
        <v>Viewflex for QC (Stand 400mm)</v>
      </c>
      <c r="D256">
        <v>1</v>
      </c>
      <c r="E256" t="str">
        <f t="shared" si="70"/>
        <v>Assembly&amp;QC Robot ER14 (Ballgame &amp; Vision &amp; Caliper)</v>
      </c>
      <c r="F256">
        <v>504</v>
      </c>
      <c r="G256" t="str">
        <f t="shared" si="59"/>
        <v>Y</v>
      </c>
      <c r="H256" t="str">
        <f t="shared" si="71"/>
        <v>EA</v>
      </c>
      <c r="I256">
        <v>0</v>
      </c>
      <c r="J256">
        <v>0</v>
      </c>
      <c r="K256" t="str">
        <f t="shared" si="60"/>
        <v>Y</v>
      </c>
      <c r="L256">
        <v>0</v>
      </c>
      <c r="M256" t="str">
        <f t="shared" si="61"/>
        <v>NIS</v>
      </c>
      <c r="O256">
        <v>18</v>
      </c>
      <c r="P256" t="str">
        <f t="shared" si="72"/>
        <v>Active</v>
      </c>
      <c r="Q256" t="str">
        <f>"Viewflex for QC (Stand 400mm)"</f>
        <v>Viewflex for QC (Stand 400mm)</v>
      </c>
      <c r="S256" t="str">
        <f>"Viewflex for QC (Stand 400mm)"</f>
        <v>Viewflex for QC (Stand 400mm)</v>
      </c>
      <c r="T256">
        <v>0</v>
      </c>
      <c r="U256">
        <v>560</v>
      </c>
      <c r="V256">
        <v>511.35</v>
      </c>
      <c r="W256" t="str">
        <f t="shared" si="68"/>
        <v>rob</v>
      </c>
    </row>
    <row r="257" spans="1:23">
      <c r="A257" t="str">
        <f t="shared" si="69"/>
        <v>ASM&amp;QC-ER14P-02</v>
      </c>
      <c r="B257" t="str">
        <f>"113316"</f>
        <v>113316</v>
      </c>
      <c r="C257" t="str">
        <f>"Parts Bin"</f>
        <v>Parts Bin</v>
      </c>
      <c r="D257">
        <v>1</v>
      </c>
      <c r="E257" t="str">
        <f t="shared" si="70"/>
        <v>Assembly&amp;QC Robot ER14 (Ballgame &amp; Vision &amp; Caliper)</v>
      </c>
      <c r="F257">
        <v>504</v>
      </c>
      <c r="G257" t="str">
        <f t="shared" si="59"/>
        <v>Y</v>
      </c>
      <c r="H257" t="str">
        <f t="shared" si="71"/>
        <v>EA</v>
      </c>
      <c r="I257">
        <v>0</v>
      </c>
      <c r="J257">
        <v>0</v>
      </c>
      <c r="K257" t="str">
        <f t="shared" si="60"/>
        <v>Y</v>
      </c>
      <c r="L257">
        <v>0</v>
      </c>
      <c r="M257" t="str">
        <f t="shared" si="61"/>
        <v>NIS</v>
      </c>
      <c r="O257">
        <v>19</v>
      </c>
      <c r="P257" t="str">
        <f t="shared" si="72"/>
        <v>Active</v>
      </c>
      <c r="Q257" t="str">
        <f>"Parts Bin; Plastic Box"</f>
        <v>Parts Bin; Plastic Box</v>
      </c>
      <c r="R257" t="str">
        <f>"1"</f>
        <v>1</v>
      </c>
      <c r="S257" t="str">
        <f>"Parts Bin; Plastic Box"</f>
        <v>Parts Bin; Plastic Box</v>
      </c>
      <c r="T257">
        <v>0</v>
      </c>
      <c r="U257">
        <v>8.0399999999999991</v>
      </c>
      <c r="V257">
        <v>6.39</v>
      </c>
      <c r="W257" t="str">
        <f t="shared" si="68"/>
        <v>rob</v>
      </c>
    </row>
    <row r="258" spans="1:23">
      <c r="A258" t="str">
        <f t="shared" si="69"/>
        <v>ASM&amp;QC-ER14P-02</v>
      </c>
      <c r="B258" t="str">
        <f>"112713"</f>
        <v>112713</v>
      </c>
      <c r="C258" t="str">
        <f>"Marked Aluminum Cylinder"</f>
        <v>Marked Aluminum Cylinder</v>
      </c>
      <c r="D258">
        <v>3</v>
      </c>
      <c r="E258" t="str">
        <f t="shared" si="70"/>
        <v>Assembly&amp;QC Robot ER14 (Ballgame &amp; Vision &amp; Caliper)</v>
      </c>
      <c r="F258">
        <v>504</v>
      </c>
      <c r="G258" t="str">
        <f t="shared" ref="G258:G321" si="73">"Y"</f>
        <v>Y</v>
      </c>
      <c r="H258" t="str">
        <f t="shared" si="71"/>
        <v>EA</v>
      </c>
      <c r="I258">
        <v>0</v>
      </c>
      <c r="J258">
        <v>0</v>
      </c>
      <c r="K258" t="str">
        <f t="shared" ref="K258:K321" si="74">"Y"</f>
        <v>Y</v>
      </c>
      <c r="L258">
        <v>0</v>
      </c>
      <c r="M258" t="str">
        <f t="shared" ref="M258:M321" si="75">"NIS"</f>
        <v>NIS</v>
      </c>
      <c r="O258">
        <v>20</v>
      </c>
      <c r="P258" t="str">
        <f t="shared" si="72"/>
        <v>Active</v>
      </c>
      <c r="Q258" t="str">
        <f>"Mark Al. Cylinder Diam. 35x28 MicroCIM"</f>
        <v>Mark Al. Cylinder Diam. 35x28 MicroCIM</v>
      </c>
      <c r="S258" t="str">
        <f>"Mark Al. Cylinder Diam. 35x28"</f>
        <v>Mark Al. Cylinder Diam. 35x28</v>
      </c>
      <c r="T258">
        <v>0</v>
      </c>
      <c r="U258">
        <v>6</v>
      </c>
      <c r="V258">
        <v>5.97</v>
      </c>
      <c r="W258" t="str">
        <f t="shared" si="68"/>
        <v>rob</v>
      </c>
    </row>
    <row r="259" spans="1:23">
      <c r="A259" t="str">
        <f t="shared" si="69"/>
        <v>ASM&amp;QC-ER14P-02</v>
      </c>
      <c r="B259" t="str">
        <f>"113096"</f>
        <v>113096</v>
      </c>
      <c r="C259" t="str">
        <f>"Plexiglass Cylinders Base"</f>
        <v>Plexiglass Cylinders Base</v>
      </c>
      <c r="D259">
        <v>3</v>
      </c>
      <c r="E259" t="str">
        <f t="shared" si="70"/>
        <v>Assembly&amp;QC Robot ER14 (Ballgame &amp; Vision &amp; Caliper)</v>
      </c>
      <c r="F259">
        <v>504</v>
      </c>
      <c r="G259" t="str">
        <f t="shared" si="73"/>
        <v>Y</v>
      </c>
      <c r="H259" t="str">
        <f t="shared" si="71"/>
        <v>EA</v>
      </c>
      <c r="I259">
        <v>0</v>
      </c>
      <c r="J259">
        <v>0</v>
      </c>
      <c r="K259" t="str">
        <f t="shared" si="74"/>
        <v>Y</v>
      </c>
      <c r="L259">
        <v>0</v>
      </c>
      <c r="M259" t="str">
        <f t="shared" si="75"/>
        <v>NIS</v>
      </c>
      <c r="O259">
        <v>21</v>
      </c>
      <c r="P259" t="str">
        <f t="shared" si="72"/>
        <v>Active</v>
      </c>
      <c r="Q259" t="str">
        <f>"Plexiglass Cylinders Base MicroCIM"</f>
        <v>Plexiglass Cylinders Base MicroCIM</v>
      </c>
      <c r="S259" t="str">
        <f>"Plexiglass Cylinders Base"</f>
        <v>Plexiglass Cylinders Base</v>
      </c>
      <c r="T259">
        <v>0</v>
      </c>
      <c r="U259">
        <v>7</v>
      </c>
      <c r="V259">
        <v>6.83</v>
      </c>
      <c r="W259" t="str">
        <f t="shared" si="68"/>
        <v>rob</v>
      </c>
    </row>
    <row r="260" spans="1:23">
      <c r="A260" t="str">
        <f t="shared" si="69"/>
        <v>ASM&amp;QC-ER14P-02</v>
      </c>
      <c r="B260" t="str">
        <f>"50-0094-0000"</f>
        <v>50-0094-0000</v>
      </c>
      <c r="C260" t="str">
        <f>"Pre-Engineering, Design and Testing"</f>
        <v>Pre-Engineering, Design and Testing</v>
      </c>
      <c r="D260">
        <v>1</v>
      </c>
      <c r="E260" t="str">
        <f t="shared" si="70"/>
        <v>Assembly&amp;QC Robot ER14 (Ballgame &amp; Vision &amp; Caliper)</v>
      </c>
      <c r="F260">
        <v>504</v>
      </c>
      <c r="G260" t="str">
        <f t="shared" si="73"/>
        <v>Y</v>
      </c>
      <c r="H260" t="str">
        <f>"DA"</f>
        <v>DA</v>
      </c>
      <c r="I260">
        <v>0</v>
      </c>
      <c r="J260">
        <v>0</v>
      </c>
      <c r="K260" t="str">
        <f t="shared" si="74"/>
        <v>Y</v>
      </c>
      <c r="L260">
        <v>0</v>
      </c>
      <c r="M260" t="str">
        <f t="shared" si="75"/>
        <v>NIS</v>
      </c>
      <c r="O260">
        <v>22</v>
      </c>
      <c r="P260" t="str">
        <f t="shared" si="72"/>
        <v>Active</v>
      </c>
      <c r="Q260" t="str">
        <f>"Pre-Engineering, Design and Testing"</f>
        <v>Pre-Engineering, Design and Testing</v>
      </c>
      <c r="S260" t="str">
        <f>"Pre-Engineering, Design and Testing"</f>
        <v>Pre-Engineering, Design and Testing</v>
      </c>
      <c r="T260">
        <v>0</v>
      </c>
      <c r="U260">
        <v>405</v>
      </c>
      <c r="V260">
        <v>421.2</v>
      </c>
      <c r="W260" t="str">
        <f t="shared" si="68"/>
        <v>rob</v>
      </c>
    </row>
    <row r="261" spans="1:23">
      <c r="A261" t="str">
        <f t="shared" ref="A261:A275" si="76">"ASM&amp;QC-ER14P-03"</f>
        <v>ASM&amp;QC-ER14P-03</v>
      </c>
      <c r="B261" t="str">
        <f>"00-0432-0000"</f>
        <v>00-0432-0000</v>
      </c>
      <c r="C261" t="str">
        <f>"SCORA-ER 14Pro"</f>
        <v>SCORA-ER 14Pro</v>
      </c>
      <c r="D261">
        <v>1</v>
      </c>
      <c r="E261" t="str">
        <f t="shared" ref="E261:E275" si="77">"Assembly&amp;QC Robot ER14 (Ballgame &amp; Vision &amp; LSM)"</f>
        <v>Assembly&amp;QC Robot ER14 (Ballgame &amp; Vision &amp; LSM)</v>
      </c>
      <c r="F261">
        <v>504</v>
      </c>
      <c r="G261" t="str">
        <f t="shared" si="73"/>
        <v>Y</v>
      </c>
      <c r="H261" t="str">
        <f t="shared" ref="H261:H274" si="78">"EA"</f>
        <v>EA</v>
      </c>
      <c r="I261">
        <v>0</v>
      </c>
      <c r="J261">
        <v>0</v>
      </c>
      <c r="K261" t="str">
        <f t="shared" si="74"/>
        <v>Y</v>
      </c>
      <c r="L261">
        <v>0</v>
      </c>
      <c r="M261" t="str">
        <f t="shared" si="75"/>
        <v>NIS</v>
      </c>
      <c r="O261">
        <v>1</v>
      </c>
      <c r="P261" t="str">
        <f t="shared" si="72"/>
        <v>Active</v>
      </c>
      <c r="Q261" t="str">
        <f>"SCORA-ER 14Pro (incl. USB-Pro Controller)"</f>
        <v>SCORA-ER 14Pro (incl. USB-Pro Controller)</v>
      </c>
      <c r="S261" t="str">
        <f>"SCORA-ER 14Pro (incl. USB-Pro Controller)"</f>
        <v>SCORA-ER 14Pro (incl. USB-Pro Controller)</v>
      </c>
      <c r="T261">
        <v>0</v>
      </c>
      <c r="U261" s="44">
        <v>11400</v>
      </c>
      <c r="V261" s="44">
        <v>12383.77</v>
      </c>
      <c r="W261" t="str">
        <f t="shared" si="68"/>
        <v>rob</v>
      </c>
    </row>
    <row r="262" spans="1:23">
      <c r="A262" t="str">
        <f t="shared" si="76"/>
        <v>ASM&amp;QC-ER14P-03</v>
      </c>
      <c r="B262" t="str">
        <f>"00-0634-0000"</f>
        <v>00-0634-0000</v>
      </c>
      <c r="C262" t="str">
        <f>"Pneumatic Gripper for ER 14Pro"</f>
        <v>Pneumatic Gripper for ER 14Pro</v>
      </c>
      <c r="D262">
        <v>1</v>
      </c>
      <c r="E262" t="str">
        <f t="shared" si="77"/>
        <v>Assembly&amp;QC Robot ER14 (Ballgame &amp; Vision &amp; LSM)</v>
      </c>
      <c r="F262">
        <v>504</v>
      </c>
      <c r="G262" t="str">
        <f t="shared" si="73"/>
        <v>Y</v>
      </c>
      <c r="H262" t="str">
        <f t="shared" si="78"/>
        <v>EA</v>
      </c>
      <c r="I262">
        <v>0</v>
      </c>
      <c r="J262">
        <v>0</v>
      </c>
      <c r="K262" t="str">
        <f t="shared" si="74"/>
        <v>Y</v>
      </c>
      <c r="L262">
        <v>0</v>
      </c>
      <c r="M262" t="str">
        <f t="shared" si="75"/>
        <v>NIS</v>
      </c>
      <c r="O262">
        <v>2</v>
      </c>
      <c r="P262" t="str">
        <f t="shared" si="72"/>
        <v>Active</v>
      </c>
      <c r="Q262" t="str">
        <f>"Pneumatic Gripper for ER 14Pro"</f>
        <v>Pneumatic Gripper for ER 14Pro</v>
      </c>
      <c r="S262" t="str">
        <f>"Pneumatic Gripper for ER 14Pro"</f>
        <v>Pneumatic Gripper for ER 14Pro</v>
      </c>
      <c r="T262">
        <v>0</v>
      </c>
      <c r="U262">
        <v>651</v>
      </c>
      <c r="V262">
        <v>647.6</v>
      </c>
      <c r="W262" t="str">
        <f t="shared" si="68"/>
        <v>rob</v>
      </c>
    </row>
    <row r="263" spans="1:23">
      <c r="A263" t="str">
        <f t="shared" si="76"/>
        <v>ASM&amp;QC-ER14P-03</v>
      </c>
      <c r="B263" t="str">
        <f>"00-1710-0000"</f>
        <v>00-1710-0000</v>
      </c>
      <c r="C263" t="str">
        <f>"Teach Pendant"</f>
        <v>Teach Pendant</v>
      </c>
      <c r="D263">
        <v>1</v>
      </c>
      <c r="E263" t="str">
        <f t="shared" si="77"/>
        <v>Assembly&amp;QC Robot ER14 (Ballgame &amp; Vision &amp; LSM)</v>
      </c>
      <c r="F263">
        <v>504</v>
      </c>
      <c r="G263" t="str">
        <f t="shared" si="73"/>
        <v>Y</v>
      </c>
      <c r="H263" t="str">
        <f t="shared" si="78"/>
        <v>EA</v>
      </c>
      <c r="I263">
        <v>0</v>
      </c>
      <c r="J263">
        <v>0</v>
      </c>
      <c r="K263" t="str">
        <f t="shared" si="74"/>
        <v>Y</v>
      </c>
      <c r="L263">
        <v>0</v>
      </c>
      <c r="M263" t="str">
        <f t="shared" si="75"/>
        <v>NIS</v>
      </c>
      <c r="O263">
        <v>3</v>
      </c>
      <c r="P263" t="str">
        <f t="shared" si="72"/>
        <v>Active</v>
      </c>
      <c r="Q263" t="str">
        <f>"Teach Pendant for USB/USB Pro Controllers"</f>
        <v>Teach Pendant for USB/USB Pro Controllers</v>
      </c>
      <c r="S263" t="str">
        <f>"Teach Pendant for USB/USB Pro Controllers"</f>
        <v>Teach Pendant for USB/USB Pro Controllers</v>
      </c>
      <c r="T263">
        <v>0</v>
      </c>
      <c r="U263">
        <v>160.18</v>
      </c>
      <c r="V263">
        <v>161.44999999999999</v>
      </c>
      <c r="W263" t="str">
        <f t="shared" si="68"/>
        <v>rob</v>
      </c>
    </row>
    <row r="264" spans="1:23">
      <c r="A264" t="str">
        <f t="shared" si="76"/>
        <v>ASM&amp;QC-ER14P-03</v>
      </c>
      <c r="B264" t="str">
        <f>"034025"</f>
        <v>034025</v>
      </c>
      <c r="C264" t="str">
        <f>"I/O Interface Box for Controller USB-PRO"</f>
        <v>I/O Interface Box for Controller USB-PRO</v>
      </c>
      <c r="D264">
        <v>1</v>
      </c>
      <c r="E264" t="str">
        <f t="shared" si="77"/>
        <v>Assembly&amp;QC Robot ER14 (Ballgame &amp; Vision &amp; LSM)</v>
      </c>
      <c r="F264">
        <v>504</v>
      </c>
      <c r="G264" t="str">
        <f t="shared" si="73"/>
        <v>Y</v>
      </c>
      <c r="H264" t="str">
        <f t="shared" si="78"/>
        <v>EA</v>
      </c>
      <c r="I264">
        <v>0</v>
      </c>
      <c r="J264">
        <v>0</v>
      </c>
      <c r="K264" t="str">
        <f t="shared" si="74"/>
        <v>Y</v>
      </c>
      <c r="L264">
        <v>0</v>
      </c>
      <c r="M264" t="str">
        <f t="shared" si="75"/>
        <v>NIS</v>
      </c>
      <c r="O264">
        <v>4</v>
      </c>
      <c r="P264" t="str">
        <f t="shared" si="72"/>
        <v>Active</v>
      </c>
      <c r="Q264" t="str">
        <f>"I/O Interface Box for Controller USB-PRO"</f>
        <v>I/O Interface Box for Controller USB-PRO</v>
      </c>
      <c r="S264" t="str">
        <f>"קופסת 2+Interface Box I/O כבלים לבקר USBPRO"</f>
        <v>קופסת 2+Interface Box I/O כבלים לבקר USBPRO</v>
      </c>
      <c r="T264">
        <v>0</v>
      </c>
      <c r="U264">
        <v>470</v>
      </c>
      <c r="V264">
        <v>463.62</v>
      </c>
      <c r="W264" t="str">
        <f t="shared" si="68"/>
        <v>rob</v>
      </c>
    </row>
    <row r="265" spans="1:23">
      <c r="A265" t="str">
        <f t="shared" si="76"/>
        <v>ASM&amp;QC-ER14P-03</v>
      </c>
      <c r="B265" t="str">
        <f>"10-2104-9000"</f>
        <v>10-2104-9000</v>
      </c>
      <c r="C265" t="str">
        <f>"Single Buffer for Slotted Table"</f>
        <v>Single Buffer for Slotted Table</v>
      </c>
      <c r="D265">
        <v>3</v>
      </c>
      <c r="E265" t="str">
        <f t="shared" si="77"/>
        <v>Assembly&amp;QC Robot ER14 (Ballgame &amp; Vision &amp; LSM)</v>
      </c>
      <c r="F265">
        <v>504</v>
      </c>
      <c r="G265" t="str">
        <f t="shared" si="73"/>
        <v>Y</v>
      </c>
      <c r="H265" t="str">
        <f t="shared" si="78"/>
        <v>EA</v>
      </c>
      <c r="I265">
        <v>0</v>
      </c>
      <c r="J265">
        <v>0</v>
      </c>
      <c r="K265" t="str">
        <f t="shared" si="74"/>
        <v>Y</v>
      </c>
      <c r="L265">
        <v>0</v>
      </c>
      <c r="M265" t="str">
        <f t="shared" si="75"/>
        <v>NIS</v>
      </c>
      <c r="O265">
        <v>5</v>
      </c>
      <c r="P265" t="str">
        <f t="shared" si="72"/>
        <v>Active</v>
      </c>
      <c r="Q265" t="str">
        <f>"Single Buffer for Slotted Table(+height adapter)"</f>
        <v>Single Buffer for Slotted Table(+height adapter)</v>
      </c>
      <c r="S265" t="str">
        <f>"Single Buffer for Slotted Table(+height adapter)"</f>
        <v>Single Buffer for Slotted Table(+height adapter)</v>
      </c>
      <c r="T265">
        <v>0</v>
      </c>
      <c r="U265">
        <v>26</v>
      </c>
      <c r="V265">
        <v>25.49</v>
      </c>
      <c r="W265" t="str">
        <f t="shared" si="68"/>
        <v>rob</v>
      </c>
    </row>
    <row r="266" spans="1:23">
      <c r="A266" t="str">
        <f t="shared" si="76"/>
        <v>ASM&amp;QC-ER14P-03</v>
      </c>
      <c r="B266" t="str">
        <f>"00-1110-0000"</f>
        <v>00-1110-0000</v>
      </c>
      <c r="C266" t="str">
        <f>"Palletizing Rack"</f>
        <v>Palletizing Rack</v>
      </c>
      <c r="D266">
        <v>2</v>
      </c>
      <c r="E266" t="str">
        <f t="shared" si="77"/>
        <v>Assembly&amp;QC Robot ER14 (Ballgame &amp; Vision &amp; LSM)</v>
      </c>
      <c r="F266">
        <v>504</v>
      </c>
      <c r="G266" t="str">
        <f t="shared" si="73"/>
        <v>Y</v>
      </c>
      <c r="H266" t="str">
        <f t="shared" si="78"/>
        <v>EA</v>
      </c>
      <c r="I266">
        <v>0</v>
      </c>
      <c r="J266">
        <v>0</v>
      </c>
      <c r="K266" t="str">
        <f t="shared" si="74"/>
        <v>Y</v>
      </c>
      <c r="L266">
        <v>0</v>
      </c>
      <c r="M266" t="str">
        <f t="shared" si="75"/>
        <v>NIS</v>
      </c>
      <c r="O266">
        <v>6</v>
      </c>
      <c r="P266" t="str">
        <f t="shared" si="72"/>
        <v>Active</v>
      </c>
      <c r="Q266" t="str">
        <f>"Palletizing Rack (incl. Pins for creating Jigs)"</f>
        <v>Palletizing Rack (incl. Pins for creating Jigs)</v>
      </c>
      <c r="S266" t="str">
        <f>"Palletizing Rack (incl. Pins for creating Jigs)"</f>
        <v>Palletizing Rack (incl. Pins for creating Jigs)</v>
      </c>
      <c r="T266">
        <v>0</v>
      </c>
      <c r="U266">
        <v>63</v>
      </c>
      <c r="V266">
        <v>58.59</v>
      </c>
      <c r="W266" t="str">
        <f t="shared" si="68"/>
        <v>rob</v>
      </c>
    </row>
    <row r="267" spans="1:23">
      <c r="A267" t="str">
        <f t="shared" si="76"/>
        <v>ASM&amp;QC-ER14P-03</v>
      </c>
      <c r="B267" t="str">
        <f>"021172"</f>
        <v>021172</v>
      </c>
      <c r="C267" t="str">
        <f>"30mm Height Adapter -Rack 001110 on table 001249"</f>
        <v>30mm Height Adapter -Rack 001110 on table 001249</v>
      </c>
      <c r="D267">
        <v>2</v>
      </c>
      <c r="E267" t="str">
        <f t="shared" si="77"/>
        <v>Assembly&amp;QC Robot ER14 (Ballgame &amp; Vision &amp; LSM)</v>
      </c>
      <c r="F267">
        <v>504</v>
      </c>
      <c r="G267" t="str">
        <f t="shared" si="73"/>
        <v>Y</v>
      </c>
      <c r="H267" t="str">
        <f t="shared" si="78"/>
        <v>EA</v>
      </c>
      <c r="I267">
        <v>0</v>
      </c>
      <c r="J267">
        <v>0</v>
      </c>
      <c r="K267" t="str">
        <f t="shared" si="74"/>
        <v>Y</v>
      </c>
      <c r="L267">
        <v>0</v>
      </c>
      <c r="M267" t="str">
        <f t="shared" si="75"/>
        <v>NIS</v>
      </c>
      <c r="O267">
        <v>7</v>
      </c>
      <c r="P267" t="str">
        <f t="shared" si="72"/>
        <v>Active</v>
      </c>
      <c r="Q267" t="str">
        <f>"30mm Height Adapter -Rack 001110 on table 001249"</f>
        <v>30mm Height Adapter -Rack 001110 on table 001249</v>
      </c>
      <c r="S267" t="str">
        <f>"30mm Height Adapter -Rack 001110 on table 001249"</f>
        <v>30mm Height Adapter -Rack 001110 on table 001249</v>
      </c>
      <c r="T267">
        <v>0</v>
      </c>
      <c r="U267">
        <v>13.12</v>
      </c>
      <c r="V267">
        <v>13.44</v>
      </c>
      <c r="W267" t="str">
        <f t="shared" si="68"/>
        <v>rob</v>
      </c>
    </row>
    <row r="268" spans="1:23">
      <c r="A268" t="str">
        <f t="shared" si="76"/>
        <v>ASM&amp;QC-ER14P-03</v>
      </c>
      <c r="B268" t="str">
        <f>"21-0004-0000"</f>
        <v>21-0004-0000</v>
      </c>
      <c r="C268" t="str">
        <f>"Assembly, Dual Axis Air Vise Mechanicals"</f>
        <v>Assembly, Dual Axis Air Vise Mechanicals</v>
      </c>
      <c r="D268">
        <v>1</v>
      </c>
      <c r="E268" t="str">
        <f t="shared" si="77"/>
        <v>Assembly&amp;QC Robot ER14 (Ballgame &amp; Vision &amp; LSM)</v>
      </c>
      <c r="F268">
        <v>504</v>
      </c>
      <c r="G268" t="str">
        <f t="shared" si="73"/>
        <v>Y</v>
      </c>
      <c r="H268" t="str">
        <f t="shared" si="78"/>
        <v>EA</v>
      </c>
      <c r="I268">
        <v>0</v>
      </c>
      <c r="J268">
        <v>0</v>
      </c>
      <c r="K268" t="str">
        <f t="shared" si="74"/>
        <v>Y</v>
      </c>
      <c r="L268">
        <v>0</v>
      </c>
      <c r="M268" t="str">
        <f t="shared" si="75"/>
        <v>NIS</v>
      </c>
      <c r="O268">
        <v>8</v>
      </c>
      <c r="P268" t="str">
        <f>"Phase Out"</f>
        <v>Phase Out</v>
      </c>
      <c r="Q268" t="str">
        <f>"Pneumatic Dual-Axis Vise"</f>
        <v>Pneumatic Dual-Axis Vise</v>
      </c>
      <c r="S268" t="str">
        <f>"Assembly, Dual Axis Air Vise Mechanicals"</f>
        <v>Assembly, Dual Axis Air Vise Mechanicals</v>
      </c>
      <c r="T268">
        <v>422.16</v>
      </c>
      <c r="U268">
        <v>422</v>
      </c>
      <c r="V268">
        <v>980.27</v>
      </c>
      <c r="W268" t="str">
        <f t="shared" si="68"/>
        <v>rob</v>
      </c>
    </row>
    <row r="269" spans="1:23">
      <c r="A269" t="str">
        <f t="shared" si="76"/>
        <v>ASM&amp;QC-ER14P-03</v>
      </c>
      <c r="B269" t="str">
        <f>"10-2523-4000"</f>
        <v>10-2523-4000</v>
      </c>
      <c r="C269" t="str">
        <f>"Solenoid Valve (24V) for Pipe 3 mm"</f>
        <v>Solenoid Valve (24V) for Pipe 3 mm</v>
      </c>
      <c r="D269">
        <v>1</v>
      </c>
      <c r="E269" t="str">
        <f t="shared" si="77"/>
        <v>Assembly&amp;QC Robot ER14 (Ballgame &amp; Vision &amp; LSM)</v>
      </c>
      <c r="F269">
        <v>504</v>
      </c>
      <c r="G269" t="str">
        <f t="shared" si="73"/>
        <v>Y</v>
      </c>
      <c r="H269" t="str">
        <f t="shared" si="78"/>
        <v>EA</v>
      </c>
      <c r="I269">
        <v>0</v>
      </c>
      <c r="J269">
        <v>0</v>
      </c>
      <c r="K269" t="str">
        <f t="shared" si="74"/>
        <v>Y</v>
      </c>
      <c r="L269">
        <v>0</v>
      </c>
      <c r="M269" t="str">
        <f t="shared" si="75"/>
        <v>NIS</v>
      </c>
      <c r="O269">
        <v>9</v>
      </c>
      <c r="P269" t="str">
        <f t="shared" ref="P269:P282" si="79">"Active"</f>
        <v>Active</v>
      </c>
      <c r="Q269" t="str">
        <f>"Solenoid Valve (24V) for Dual Axis Vise 025207"</f>
        <v>Solenoid Valve (24V) for Dual Axis Vise 025207</v>
      </c>
      <c r="S269" t="str">
        <f>"Solenoid Valve (24V) for Pipe 3 mm"</f>
        <v>Solenoid Valve (24V) for Pipe 3 mm</v>
      </c>
      <c r="T269">
        <v>0</v>
      </c>
      <c r="U269">
        <v>137</v>
      </c>
      <c r="V269">
        <v>133.35</v>
      </c>
      <c r="W269" t="str">
        <f t="shared" si="68"/>
        <v>rob</v>
      </c>
    </row>
    <row r="270" spans="1:23">
      <c r="A270" t="str">
        <f t="shared" si="76"/>
        <v>ASM&amp;QC-ER14P-03</v>
      </c>
      <c r="B270" t="str">
        <f>"00-1230-0000"</f>
        <v>00-1230-0000</v>
      </c>
      <c r="C270" t="str">
        <f>"Ball Feeder (incl. sensor for ball counting)"</f>
        <v>Ball Feeder (incl. sensor for ball counting)</v>
      </c>
      <c r="D270">
        <v>1</v>
      </c>
      <c r="E270" t="str">
        <f t="shared" si="77"/>
        <v>Assembly&amp;QC Robot ER14 (Ballgame &amp; Vision &amp; LSM)</v>
      </c>
      <c r="F270">
        <v>504</v>
      </c>
      <c r="G270" t="str">
        <f t="shared" si="73"/>
        <v>Y</v>
      </c>
      <c r="H270" t="str">
        <f t="shared" si="78"/>
        <v>EA</v>
      </c>
      <c r="I270">
        <v>0</v>
      </c>
      <c r="J270">
        <v>0</v>
      </c>
      <c r="K270" t="str">
        <f t="shared" si="74"/>
        <v>Y</v>
      </c>
      <c r="L270">
        <v>0</v>
      </c>
      <c r="M270" t="str">
        <f t="shared" si="75"/>
        <v>NIS</v>
      </c>
      <c r="O270">
        <v>10</v>
      </c>
      <c r="P270" t="str">
        <f t="shared" si="79"/>
        <v>Active</v>
      </c>
      <c r="Q270" t="str">
        <f>"Ball Feeder (incl. sensor for ball counting)"</f>
        <v>Ball Feeder (incl. sensor for ball counting)</v>
      </c>
      <c r="S270" t="str">
        <f>"Ball Feeder (incl. sensor for ball counting)"</f>
        <v>Ball Feeder (incl. sensor for ball counting)</v>
      </c>
      <c r="T270">
        <v>0</v>
      </c>
      <c r="U270">
        <v>536</v>
      </c>
      <c r="V270">
        <v>530.72</v>
      </c>
      <c r="W270" t="str">
        <f t="shared" si="68"/>
        <v>rob</v>
      </c>
    </row>
    <row r="271" spans="1:23">
      <c r="A271" t="str">
        <f t="shared" si="76"/>
        <v>ASM&amp;QC-ER14P-03</v>
      </c>
      <c r="B271" t="str">
        <f>"00-1243-0000"</f>
        <v>00-1243-0000</v>
      </c>
      <c r="C271" t="str">
        <f>"Ball Game Set (Assembly with Plastic Pins)"</f>
        <v>Ball Game Set (Assembly with Plastic Pins)</v>
      </c>
      <c r="D271">
        <v>12</v>
      </c>
      <c r="E271" t="str">
        <f t="shared" si="77"/>
        <v>Assembly&amp;QC Robot ER14 (Ballgame &amp; Vision &amp; LSM)</v>
      </c>
      <c r="F271">
        <v>504</v>
      </c>
      <c r="G271" t="str">
        <f t="shared" si="73"/>
        <v>Y</v>
      </c>
      <c r="H271" t="str">
        <f t="shared" si="78"/>
        <v>EA</v>
      </c>
      <c r="I271">
        <v>0</v>
      </c>
      <c r="J271">
        <v>0</v>
      </c>
      <c r="K271" t="str">
        <f t="shared" si="74"/>
        <v>Y</v>
      </c>
      <c r="L271">
        <v>0</v>
      </c>
      <c r="M271" t="str">
        <f t="shared" si="75"/>
        <v>NIS</v>
      </c>
      <c r="O271">
        <v>11</v>
      </c>
      <c r="P271" t="str">
        <f t="shared" si="79"/>
        <v>Active</v>
      </c>
      <c r="Q271" t="str">
        <f>"Ball Game Set (Assembly with Plastic Pins)"</f>
        <v>Ball Game Set (Assembly with Plastic Pins)</v>
      </c>
      <c r="S271" t="str">
        <f>"Ball Game Set (Assembly with Plastic Pins)"</f>
        <v>Ball Game Set (Assembly with Plastic Pins)</v>
      </c>
      <c r="T271">
        <v>0</v>
      </c>
      <c r="U271">
        <v>32</v>
      </c>
      <c r="V271">
        <v>34.770000000000003</v>
      </c>
      <c r="W271" t="str">
        <f t="shared" si="68"/>
        <v>rob</v>
      </c>
    </row>
    <row r="272" spans="1:23">
      <c r="A272" t="str">
        <f t="shared" si="76"/>
        <v>ASM&amp;QC-ER14P-03</v>
      </c>
      <c r="B272" t="str">
        <f>"00-1249-0000"</f>
        <v>00-1249-0000</v>
      </c>
      <c r="C272" t="str">
        <f>"Workbench 1500x800mm (slotted aluminum top)"</f>
        <v>Workbench 1500x800mm (slotted aluminum top)</v>
      </c>
      <c r="D272">
        <v>1</v>
      </c>
      <c r="E272" t="str">
        <f t="shared" si="77"/>
        <v>Assembly&amp;QC Robot ER14 (Ballgame &amp; Vision &amp; LSM)</v>
      </c>
      <c r="F272">
        <v>504</v>
      </c>
      <c r="G272" t="str">
        <f t="shared" si="73"/>
        <v>Y</v>
      </c>
      <c r="H272" t="str">
        <f t="shared" si="78"/>
        <v>EA</v>
      </c>
      <c r="I272">
        <v>0</v>
      </c>
      <c r="J272">
        <v>0</v>
      </c>
      <c r="K272" t="str">
        <f t="shared" si="74"/>
        <v>Y</v>
      </c>
      <c r="L272">
        <v>0</v>
      </c>
      <c r="M272" t="str">
        <f t="shared" si="75"/>
        <v>NIS</v>
      </c>
      <c r="O272">
        <v>12</v>
      </c>
      <c r="P272" t="str">
        <f t="shared" si="79"/>
        <v>Active</v>
      </c>
      <c r="Q272" t="str">
        <f>"Workbench 1500x800mm (slotted aluminum top)"</f>
        <v>Workbench 1500x800mm (slotted aluminum top)</v>
      </c>
      <c r="S272" t="str">
        <f>"Workbench 1500x800mm (slotted aluminum top)"</f>
        <v>Workbench 1500x800mm (slotted aluminum top)</v>
      </c>
      <c r="T272">
        <v>0</v>
      </c>
      <c r="U272" s="44">
        <v>1100</v>
      </c>
      <c r="V272" s="44">
        <v>1083.57</v>
      </c>
      <c r="W272" t="str">
        <f t="shared" si="68"/>
        <v>rob</v>
      </c>
    </row>
    <row r="273" spans="1:23">
      <c r="A273" t="str">
        <f t="shared" si="76"/>
        <v>ASM&amp;QC-ER14P-03</v>
      </c>
      <c r="B273" t="str">
        <f>"00-1241-0000"</f>
        <v>00-1241-0000</v>
      </c>
      <c r="C273" t="str">
        <f>"Adapter Mounting Plate for ER9/14Pro &amp; HP3"</f>
        <v>Adapter Mounting Plate for ER9/14Pro &amp; HP3</v>
      </c>
      <c r="D273">
        <v>1</v>
      </c>
      <c r="E273" t="str">
        <f t="shared" si="77"/>
        <v>Assembly&amp;QC Robot ER14 (Ballgame &amp; Vision &amp; LSM)</v>
      </c>
      <c r="F273">
        <v>504</v>
      </c>
      <c r="G273" t="str">
        <f t="shared" si="73"/>
        <v>Y</v>
      </c>
      <c r="H273" t="str">
        <f t="shared" si="78"/>
        <v>EA</v>
      </c>
      <c r="I273">
        <v>0</v>
      </c>
      <c r="J273">
        <v>0</v>
      </c>
      <c r="K273" t="str">
        <f t="shared" si="74"/>
        <v>Y</v>
      </c>
      <c r="L273">
        <v>0</v>
      </c>
      <c r="M273" t="str">
        <f t="shared" si="75"/>
        <v>NIS</v>
      </c>
      <c r="O273">
        <v>13</v>
      </c>
      <c r="P273" t="str">
        <f t="shared" si="79"/>
        <v>Active</v>
      </c>
      <c r="Q273" t="str">
        <f>"Adapter Mounting Plate for ER9/14Pro &amp; HP3"</f>
        <v>Adapter Mounting Plate for ER9/14Pro &amp; HP3</v>
      </c>
      <c r="S273" t="str">
        <f>"Adapter Mounting Plate for ER9/14Pro &amp; HP3"</f>
        <v>Adapter Mounting Plate for ER9/14Pro &amp; HP3</v>
      </c>
      <c r="T273">
        <v>0</v>
      </c>
      <c r="U273">
        <v>145</v>
      </c>
      <c r="V273">
        <v>153.93</v>
      </c>
      <c r="W273" t="str">
        <f t="shared" si="68"/>
        <v>rob</v>
      </c>
    </row>
    <row r="274" spans="1:23">
      <c r="A274" t="str">
        <f t="shared" si="76"/>
        <v>ASM&amp;QC-ER14P-03</v>
      </c>
      <c r="B274" t="str">
        <f>"00-1260-0000"</f>
        <v>00-1260-0000</v>
      </c>
      <c r="C274" t="str">
        <f>"PC Extension Shelf  600x800mm"</f>
        <v>PC Extension Shelf  600x800mm</v>
      </c>
      <c r="D274">
        <v>1</v>
      </c>
      <c r="E274" t="str">
        <f t="shared" si="77"/>
        <v>Assembly&amp;QC Robot ER14 (Ballgame &amp; Vision &amp; LSM)</v>
      </c>
      <c r="F274">
        <v>504</v>
      </c>
      <c r="G274" t="str">
        <f t="shared" si="73"/>
        <v>Y</v>
      </c>
      <c r="H274" t="str">
        <f t="shared" si="78"/>
        <v>EA</v>
      </c>
      <c r="I274">
        <v>0</v>
      </c>
      <c r="J274">
        <v>0</v>
      </c>
      <c r="K274" t="str">
        <f t="shared" si="74"/>
        <v>Y</v>
      </c>
      <c r="L274">
        <v>0</v>
      </c>
      <c r="M274" t="str">
        <f t="shared" si="75"/>
        <v>NIS</v>
      </c>
      <c r="O274">
        <v>14</v>
      </c>
      <c r="P274" t="str">
        <f t="shared" si="79"/>
        <v>Active</v>
      </c>
      <c r="Q274" t="str">
        <f>"PC Extension Shelf  600x800mm"</f>
        <v>PC Extension Shelf  600x800mm</v>
      </c>
      <c r="S274" t="str">
        <f>"PC Extension Shelf  600x800mm"</f>
        <v>PC Extension Shelf  600x800mm</v>
      </c>
      <c r="T274">
        <v>0</v>
      </c>
      <c r="U274">
        <v>192</v>
      </c>
      <c r="V274">
        <v>195.4</v>
      </c>
      <c r="W274" t="str">
        <f t="shared" si="68"/>
        <v>rob</v>
      </c>
    </row>
    <row r="275" spans="1:23">
      <c r="A275" t="str">
        <f t="shared" si="76"/>
        <v>ASM&amp;QC-ER14P-03</v>
      </c>
      <c r="B275" t="str">
        <f>"50-0094-0000"</f>
        <v>50-0094-0000</v>
      </c>
      <c r="C275" t="str">
        <f>"Pre-Engineering, Design and Testing"</f>
        <v>Pre-Engineering, Design and Testing</v>
      </c>
      <c r="D275">
        <v>1</v>
      </c>
      <c r="E275" t="str">
        <f t="shared" si="77"/>
        <v>Assembly&amp;QC Robot ER14 (Ballgame &amp; Vision &amp; LSM)</v>
      </c>
      <c r="F275">
        <v>504</v>
      </c>
      <c r="G275" t="str">
        <f t="shared" si="73"/>
        <v>Y</v>
      </c>
      <c r="H275" t="str">
        <f>"DA"</f>
        <v>DA</v>
      </c>
      <c r="I275">
        <v>0</v>
      </c>
      <c r="J275">
        <v>0</v>
      </c>
      <c r="K275" t="str">
        <f t="shared" si="74"/>
        <v>Y</v>
      </c>
      <c r="L275">
        <v>0</v>
      </c>
      <c r="M275" t="str">
        <f t="shared" si="75"/>
        <v>NIS</v>
      </c>
      <c r="O275">
        <v>15</v>
      </c>
      <c r="P275" t="str">
        <f t="shared" si="79"/>
        <v>Active</v>
      </c>
      <c r="Q275" t="str">
        <f>"Pre-Engineering, Design and Testing"</f>
        <v>Pre-Engineering, Design and Testing</v>
      </c>
      <c r="S275" t="str">
        <f>"Pre-Engineering, Design and Testing"</f>
        <v>Pre-Engineering, Design and Testing</v>
      </c>
      <c r="T275">
        <v>0</v>
      </c>
      <c r="U275">
        <v>405</v>
      </c>
      <c r="V275">
        <v>421.2</v>
      </c>
      <c r="W275" t="str">
        <f t="shared" si="68"/>
        <v>rob</v>
      </c>
    </row>
    <row r="276" spans="1:23">
      <c r="A276" t="str">
        <f t="shared" ref="A276:A296" si="80">"ASM&amp;QC-ER14P-04"</f>
        <v>ASM&amp;QC-ER14P-04</v>
      </c>
      <c r="B276" t="str">
        <f>"00-0432-0000"</f>
        <v>00-0432-0000</v>
      </c>
      <c r="C276" t="str">
        <f>"SCORA-ER 14Pro"</f>
        <v>SCORA-ER 14Pro</v>
      </c>
      <c r="D276">
        <v>1</v>
      </c>
      <c r="E276" t="str">
        <f t="shared" ref="E276:E296" si="81">"Assembly&amp;QC Robot ER14 (Ballgame &amp; Glue &amp; Vision)"</f>
        <v>Assembly&amp;QC Robot ER14 (Ballgame &amp; Glue &amp; Vision)</v>
      </c>
      <c r="F276">
        <v>504</v>
      </c>
      <c r="G276" t="str">
        <f t="shared" si="73"/>
        <v>Y</v>
      </c>
      <c r="H276" t="str">
        <f t="shared" ref="H276:H295" si="82">"EA"</f>
        <v>EA</v>
      </c>
      <c r="I276">
        <v>0</v>
      </c>
      <c r="J276">
        <v>0</v>
      </c>
      <c r="K276" t="str">
        <f t="shared" si="74"/>
        <v>Y</v>
      </c>
      <c r="L276">
        <v>0</v>
      </c>
      <c r="M276" t="str">
        <f t="shared" si="75"/>
        <v>NIS</v>
      </c>
      <c r="O276">
        <v>1</v>
      </c>
      <c r="P276" t="str">
        <f t="shared" si="79"/>
        <v>Active</v>
      </c>
      <c r="Q276" t="str">
        <f>"SCORA-ER 14Pro (incl. USB-Pro Controller)"</f>
        <v>SCORA-ER 14Pro (incl. USB-Pro Controller)</v>
      </c>
      <c r="S276" t="str">
        <f>"SCORA-ER 14Pro (incl. USB-Pro Controller)"</f>
        <v>SCORA-ER 14Pro (incl. USB-Pro Controller)</v>
      </c>
      <c r="T276">
        <v>0</v>
      </c>
      <c r="U276" s="44">
        <v>11400</v>
      </c>
      <c r="V276" s="44">
        <v>12383.77</v>
      </c>
      <c r="W276" t="str">
        <f t="shared" si="68"/>
        <v>rob</v>
      </c>
    </row>
    <row r="277" spans="1:23">
      <c r="A277" t="str">
        <f t="shared" si="80"/>
        <v>ASM&amp;QC-ER14P-04</v>
      </c>
      <c r="B277" t="str">
        <f>"00-0634-0000"</f>
        <v>00-0634-0000</v>
      </c>
      <c r="C277" t="str">
        <f>"Pneumatic Gripper for ER 14Pro"</f>
        <v>Pneumatic Gripper for ER 14Pro</v>
      </c>
      <c r="D277">
        <v>1</v>
      </c>
      <c r="E277" t="str">
        <f t="shared" si="81"/>
        <v>Assembly&amp;QC Robot ER14 (Ballgame &amp; Glue &amp; Vision)</v>
      </c>
      <c r="F277">
        <v>504</v>
      </c>
      <c r="G277" t="str">
        <f t="shared" si="73"/>
        <v>Y</v>
      </c>
      <c r="H277" t="str">
        <f t="shared" si="82"/>
        <v>EA</v>
      </c>
      <c r="I277">
        <v>0</v>
      </c>
      <c r="J277">
        <v>0</v>
      </c>
      <c r="K277" t="str">
        <f t="shared" si="74"/>
        <v>Y</v>
      </c>
      <c r="L277">
        <v>0</v>
      </c>
      <c r="M277" t="str">
        <f t="shared" si="75"/>
        <v>NIS</v>
      </c>
      <c r="O277">
        <v>2</v>
      </c>
      <c r="P277" t="str">
        <f t="shared" si="79"/>
        <v>Active</v>
      </c>
      <c r="Q277" t="str">
        <f>"Pneumatic Gripper for ER 14Pro"</f>
        <v>Pneumatic Gripper for ER 14Pro</v>
      </c>
      <c r="S277" t="str">
        <f>"Pneumatic Gripper for ER 14Pro"</f>
        <v>Pneumatic Gripper for ER 14Pro</v>
      </c>
      <c r="T277">
        <v>0</v>
      </c>
      <c r="U277">
        <v>651</v>
      </c>
      <c r="V277">
        <v>647.6</v>
      </c>
      <c r="W277" t="str">
        <f t="shared" si="68"/>
        <v>rob</v>
      </c>
    </row>
    <row r="278" spans="1:23">
      <c r="A278" t="str">
        <f t="shared" si="80"/>
        <v>ASM&amp;QC-ER14P-04</v>
      </c>
      <c r="B278" t="str">
        <f>"00-1710-0000"</f>
        <v>00-1710-0000</v>
      </c>
      <c r="C278" t="str">
        <f>"Teach Pendant"</f>
        <v>Teach Pendant</v>
      </c>
      <c r="D278">
        <v>1</v>
      </c>
      <c r="E278" t="str">
        <f t="shared" si="81"/>
        <v>Assembly&amp;QC Robot ER14 (Ballgame &amp; Glue &amp; Vision)</v>
      </c>
      <c r="F278">
        <v>504</v>
      </c>
      <c r="G278" t="str">
        <f t="shared" si="73"/>
        <v>Y</v>
      </c>
      <c r="H278" t="str">
        <f t="shared" si="82"/>
        <v>EA</v>
      </c>
      <c r="I278">
        <v>0</v>
      </c>
      <c r="J278">
        <v>0</v>
      </c>
      <c r="K278" t="str">
        <f t="shared" si="74"/>
        <v>Y</v>
      </c>
      <c r="L278">
        <v>0</v>
      </c>
      <c r="M278" t="str">
        <f t="shared" si="75"/>
        <v>NIS</v>
      </c>
      <c r="O278">
        <v>3</v>
      </c>
      <c r="P278" t="str">
        <f t="shared" si="79"/>
        <v>Active</v>
      </c>
      <c r="Q278" t="str">
        <f>"Teach Pendant for USB/USB Pro Controllers"</f>
        <v>Teach Pendant for USB/USB Pro Controllers</v>
      </c>
      <c r="S278" t="str">
        <f>"Teach Pendant for USB/USB Pro Controllers"</f>
        <v>Teach Pendant for USB/USB Pro Controllers</v>
      </c>
      <c r="T278">
        <v>0</v>
      </c>
      <c r="U278">
        <v>160.18</v>
      </c>
      <c r="V278">
        <v>161.44999999999999</v>
      </c>
      <c r="W278" t="str">
        <f t="shared" si="68"/>
        <v>rob</v>
      </c>
    </row>
    <row r="279" spans="1:23">
      <c r="A279" t="str">
        <f t="shared" si="80"/>
        <v>ASM&amp;QC-ER14P-04</v>
      </c>
      <c r="B279" t="str">
        <f>"034025"</f>
        <v>034025</v>
      </c>
      <c r="C279" t="str">
        <f>"I/O Interface Box for Controller USB-PRO"</f>
        <v>I/O Interface Box for Controller USB-PRO</v>
      </c>
      <c r="D279">
        <v>1</v>
      </c>
      <c r="E279" t="str">
        <f t="shared" si="81"/>
        <v>Assembly&amp;QC Robot ER14 (Ballgame &amp; Glue &amp; Vision)</v>
      </c>
      <c r="F279">
        <v>504</v>
      </c>
      <c r="G279" t="str">
        <f t="shared" si="73"/>
        <v>Y</v>
      </c>
      <c r="H279" t="str">
        <f t="shared" si="82"/>
        <v>EA</v>
      </c>
      <c r="I279">
        <v>0</v>
      </c>
      <c r="J279">
        <v>0</v>
      </c>
      <c r="K279" t="str">
        <f t="shared" si="74"/>
        <v>Y</v>
      </c>
      <c r="L279">
        <v>0</v>
      </c>
      <c r="M279" t="str">
        <f t="shared" si="75"/>
        <v>NIS</v>
      </c>
      <c r="O279">
        <v>4</v>
      </c>
      <c r="P279" t="str">
        <f t="shared" si="79"/>
        <v>Active</v>
      </c>
      <c r="Q279" t="str">
        <f>"I/O Interface Box for Controller USB-PRO"</f>
        <v>I/O Interface Box for Controller USB-PRO</v>
      </c>
      <c r="S279" t="str">
        <f>"קופסת 2+Interface Box I/O כבלים לבקר USBPRO"</f>
        <v>קופסת 2+Interface Box I/O כבלים לבקר USBPRO</v>
      </c>
      <c r="T279">
        <v>0</v>
      </c>
      <c r="U279">
        <v>470</v>
      </c>
      <c r="V279">
        <v>463.62</v>
      </c>
      <c r="W279" t="str">
        <f t="shared" si="68"/>
        <v>rob</v>
      </c>
    </row>
    <row r="280" spans="1:23">
      <c r="A280" t="str">
        <f t="shared" si="80"/>
        <v>ASM&amp;QC-ER14P-04</v>
      </c>
      <c r="B280" t="str">
        <f>"10-2104-9000"</f>
        <v>10-2104-9000</v>
      </c>
      <c r="C280" t="str">
        <f>"Single Buffer for Slotted Table"</f>
        <v>Single Buffer for Slotted Table</v>
      </c>
      <c r="D280">
        <v>3</v>
      </c>
      <c r="E280" t="str">
        <f t="shared" si="81"/>
        <v>Assembly&amp;QC Robot ER14 (Ballgame &amp; Glue &amp; Vision)</v>
      </c>
      <c r="F280">
        <v>504</v>
      </c>
      <c r="G280" t="str">
        <f t="shared" si="73"/>
        <v>Y</v>
      </c>
      <c r="H280" t="str">
        <f t="shared" si="82"/>
        <v>EA</v>
      </c>
      <c r="I280">
        <v>0</v>
      </c>
      <c r="J280">
        <v>0</v>
      </c>
      <c r="K280" t="str">
        <f t="shared" si="74"/>
        <v>Y</v>
      </c>
      <c r="L280">
        <v>0</v>
      </c>
      <c r="M280" t="str">
        <f t="shared" si="75"/>
        <v>NIS</v>
      </c>
      <c r="O280">
        <v>5</v>
      </c>
      <c r="P280" t="str">
        <f t="shared" si="79"/>
        <v>Active</v>
      </c>
      <c r="Q280" t="str">
        <f>"Single Buffer for Slotted Table(+height adapter)"</f>
        <v>Single Buffer for Slotted Table(+height adapter)</v>
      </c>
      <c r="S280" t="str">
        <f>"Single Buffer for Slotted Table(+height adapter)"</f>
        <v>Single Buffer for Slotted Table(+height adapter)</v>
      </c>
      <c r="T280">
        <v>0</v>
      </c>
      <c r="U280">
        <v>26</v>
      </c>
      <c r="V280">
        <v>25.49</v>
      </c>
      <c r="W280" t="str">
        <f t="shared" si="68"/>
        <v>rob</v>
      </c>
    </row>
    <row r="281" spans="1:23">
      <c r="A281" t="str">
        <f t="shared" si="80"/>
        <v>ASM&amp;QC-ER14P-04</v>
      </c>
      <c r="B281" t="str">
        <f>"00-1110-0000"</f>
        <v>00-1110-0000</v>
      </c>
      <c r="C281" t="str">
        <f>"Palletizing Rack"</f>
        <v>Palletizing Rack</v>
      </c>
      <c r="D281">
        <v>2</v>
      </c>
      <c r="E281" t="str">
        <f t="shared" si="81"/>
        <v>Assembly&amp;QC Robot ER14 (Ballgame &amp; Glue &amp; Vision)</v>
      </c>
      <c r="F281">
        <v>504</v>
      </c>
      <c r="G281" t="str">
        <f t="shared" si="73"/>
        <v>Y</v>
      </c>
      <c r="H281" t="str">
        <f t="shared" si="82"/>
        <v>EA</v>
      </c>
      <c r="I281">
        <v>0</v>
      </c>
      <c r="J281">
        <v>0</v>
      </c>
      <c r="K281" t="str">
        <f t="shared" si="74"/>
        <v>Y</v>
      </c>
      <c r="L281">
        <v>0</v>
      </c>
      <c r="M281" t="str">
        <f t="shared" si="75"/>
        <v>NIS</v>
      </c>
      <c r="O281">
        <v>6</v>
      </c>
      <c r="P281" t="str">
        <f t="shared" si="79"/>
        <v>Active</v>
      </c>
      <c r="Q281" t="str">
        <f>"Palletizing Rack (incl. Pins for creating Jigs)"</f>
        <v>Palletizing Rack (incl. Pins for creating Jigs)</v>
      </c>
      <c r="S281" t="str">
        <f>"Palletizing Rack (incl. Pins for creating Jigs)"</f>
        <v>Palletizing Rack (incl. Pins for creating Jigs)</v>
      </c>
      <c r="T281">
        <v>0</v>
      </c>
      <c r="U281">
        <v>63</v>
      </c>
      <c r="V281">
        <v>58.59</v>
      </c>
      <c r="W281" t="str">
        <f t="shared" si="68"/>
        <v>rob</v>
      </c>
    </row>
    <row r="282" spans="1:23">
      <c r="A282" t="str">
        <f t="shared" si="80"/>
        <v>ASM&amp;QC-ER14P-04</v>
      </c>
      <c r="B282" t="str">
        <f>"021172"</f>
        <v>021172</v>
      </c>
      <c r="C282" t="str">
        <f>"30mm Height Adapter -Rack 001110 on table 001249"</f>
        <v>30mm Height Adapter -Rack 001110 on table 001249</v>
      </c>
      <c r="D282">
        <v>2</v>
      </c>
      <c r="E282" t="str">
        <f t="shared" si="81"/>
        <v>Assembly&amp;QC Robot ER14 (Ballgame &amp; Glue &amp; Vision)</v>
      </c>
      <c r="F282">
        <v>504</v>
      </c>
      <c r="G282" t="str">
        <f t="shared" si="73"/>
        <v>Y</v>
      </c>
      <c r="H282" t="str">
        <f t="shared" si="82"/>
        <v>EA</v>
      </c>
      <c r="I282">
        <v>0</v>
      </c>
      <c r="J282">
        <v>0</v>
      </c>
      <c r="K282" t="str">
        <f t="shared" si="74"/>
        <v>Y</v>
      </c>
      <c r="L282">
        <v>0</v>
      </c>
      <c r="M282" t="str">
        <f t="shared" si="75"/>
        <v>NIS</v>
      </c>
      <c r="O282">
        <v>7</v>
      </c>
      <c r="P282" t="str">
        <f t="shared" si="79"/>
        <v>Active</v>
      </c>
      <c r="Q282" t="str">
        <f>"30mm Height Adapter -Rack 001110 on table 001249"</f>
        <v>30mm Height Adapter -Rack 001110 on table 001249</v>
      </c>
      <c r="S282" t="str">
        <f>"30mm Height Adapter -Rack 001110 on table 001249"</f>
        <v>30mm Height Adapter -Rack 001110 on table 001249</v>
      </c>
      <c r="T282">
        <v>0</v>
      </c>
      <c r="U282">
        <v>13.12</v>
      </c>
      <c r="V282">
        <v>13.44</v>
      </c>
      <c r="W282" t="str">
        <f t="shared" si="68"/>
        <v>rob</v>
      </c>
    </row>
    <row r="283" spans="1:23">
      <c r="A283" t="str">
        <f t="shared" si="80"/>
        <v>ASM&amp;QC-ER14P-04</v>
      </c>
      <c r="B283" t="str">
        <f>"21-0004-0000"</f>
        <v>21-0004-0000</v>
      </c>
      <c r="C283" t="str">
        <f>"Assembly, Dual Axis Air Vise Mechanicals"</f>
        <v>Assembly, Dual Axis Air Vise Mechanicals</v>
      </c>
      <c r="D283">
        <v>1</v>
      </c>
      <c r="E283" t="str">
        <f t="shared" si="81"/>
        <v>Assembly&amp;QC Robot ER14 (Ballgame &amp; Glue &amp; Vision)</v>
      </c>
      <c r="F283">
        <v>504</v>
      </c>
      <c r="G283" t="str">
        <f t="shared" si="73"/>
        <v>Y</v>
      </c>
      <c r="H283" t="str">
        <f t="shared" si="82"/>
        <v>EA</v>
      </c>
      <c r="I283">
        <v>0</v>
      </c>
      <c r="J283">
        <v>0</v>
      </c>
      <c r="K283" t="str">
        <f t="shared" si="74"/>
        <v>Y</v>
      </c>
      <c r="L283">
        <v>0</v>
      </c>
      <c r="M283" t="str">
        <f t="shared" si="75"/>
        <v>NIS</v>
      </c>
      <c r="O283">
        <v>8</v>
      </c>
      <c r="P283" t="str">
        <f>"Phase Out"</f>
        <v>Phase Out</v>
      </c>
      <c r="Q283" t="str">
        <f>"Pneumatic Dual-Axis Vise"</f>
        <v>Pneumatic Dual-Axis Vise</v>
      </c>
      <c r="S283" t="str">
        <f>"Assembly, Dual Axis Air Vise Mechanicals"</f>
        <v>Assembly, Dual Axis Air Vise Mechanicals</v>
      </c>
      <c r="T283">
        <v>422.16</v>
      </c>
      <c r="U283">
        <v>422</v>
      </c>
      <c r="V283">
        <v>980.27</v>
      </c>
      <c r="W283" t="str">
        <f t="shared" si="68"/>
        <v>rob</v>
      </c>
    </row>
    <row r="284" spans="1:23">
      <c r="A284" t="str">
        <f t="shared" si="80"/>
        <v>ASM&amp;QC-ER14P-04</v>
      </c>
      <c r="B284" t="str">
        <f>"10-2523-4000"</f>
        <v>10-2523-4000</v>
      </c>
      <c r="C284" t="str">
        <f>"Solenoid Valve (24V) for Pipe 3 mm"</f>
        <v>Solenoid Valve (24V) for Pipe 3 mm</v>
      </c>
      <c r="D284">
        <v>1</v>
      </c>
      <c r="E284" t="str">
        <f t="shared" si="81"/>
        <v>Assembly&amp;QC Robot ER14 (Ballgame &amp; Glue &amp; Vision)</v>
      </c>
      <c r="F284">
        <v>504</v>
      </c>
      <c r="G284" t="str">
        <f t="shared" si="73"/>
        <v>Y</v>
      </c>
      <c r="H284" t="str">
        <f t="shared" si="82"/>
        <v>EA</v>
      </c>
      <c r="I284">
        <v>0</v>
      </c>
      <c r="J284">
        <v>0</v>
      </c>
      <c r="K284" t="str">
        <f t="shared" si="74"/>
        <v>Y</v>
      </c>
      <c r="L284">
        <v>0</v>
      </c>
      <c r="M284" t="str">
        <f t="shared" si="75"/>
        <v>NIS</v>
      </c>
      <c r="O284">
        <v>9</v>
      </c>
      <c r="P284" t="str">
        <f t="shared" ref="P284:P303" si="83">"Active"</f>
        <v>Active</v>
      </c>
      <c r="Q284" t="str">
        <f>"Solenoid Valve (24V) for Dual Axis Vise 025207"</f>
        <v>Solenoid Valve (24V) for Dual Axis Vise 025207</v>
      </c>
      <c r="S284" t="str">
        <f>"Solenoid Valve (24V) for Pipe 3 mm"</f>
        <v>Solenoid Valve (24V) for Pipe 3 mm</v>
      </c>
      <c r="T284">
        <v>0</v>
      </c>
      <c r="U284">
        <v>137</v>
      </c>
      <c r="V284">
        <v>133.35</v>
      </c>
      <c r="W284" t="str">
        <f t="shared" si="68"/>
        <v>rob</v>
      </c>
    </row>
    <row r="285" spans="1:23">
      <c r="A285" t="str">
        <f t="shared" si="80"/>
        <v>ASM&amp;QC-ER14P-04</v>
      </c>
      <c r="B285" t="str">
        <f>"00-1230-0000"</f>
        <v>00-1230-0000</v>
      </c>
      <c r="C285" t="str">
        <f>"Ball Feeder (incl. sensor for ball counting)"</f>
        <v>Ball Feeder (incl. sensor for ball counting)</v>
      </c>
      <c r="D285">
        <v>1</v>
      </c>
      <c r="E285" t="str">
        <f t="shared" si="81"/>
        <v>Assembly&amp;QC Robot ER14 (Ballgame &amp; Glue &amp; Vision)</v>
      </c>
      <c r="F285">
        <v>504</v>
      </c>
      <c r="G285" t="str">
        <f t="shared" si="73"/>
        <v>Y</v>
      </c>
      <c r="H285" t="str">
        <f t="shared" si="82"/>
        <v>EA</v>
      </c>
      <c r="I285">
        <v>0</v>
      </c>
      <c r="J285">
        <v>0</v>
      </c>
      <c r="K285" t="str">
        <f t="shared" si="74"/>
        <v>Y</v>
      </c>
      <c r="L285">
        <v>0</v>
      </c>
      <c r="M285" t="str">
        <f t="shared" si="75"/>
        <v>NIS</v>
      </c>
      <c r="O285">
        <v>10</v>
      </c>
      <c r="P285" t="str">
        <f t="shared" si="83"/>
        <v>Active</v>
      </c>
      <c r="Q285" t="str">
        <f>"Ball Feeder (incl. sensor for ball counting)"</f>
        <v>Ball Feeder (incl. sensor for ball counting)</v>
      </c>
      <c r="S285" t="str">
        <f>"Ball Feeder (incl. sensor for ball counting)"</f>
        <v>Ball Feeder (incl. sensor for ball counting)</v>
      </c>
      <c r="T285">
        <v>0</v>
      </c>
      <c r="U285">
        <v>536</v>
      </c>
      <c r="V285">
        <v>530.72</v>
      </c>
      <c r="W285" t="str">
        <f t="shared" si="68"/>
        <v>rob</v>
      </c>
    </row>
    <row r="286" spans="1:23">
      <c r="A286" t="str">
        <f t="shared" si="80"/>
        <v>ASM&amp;QC-ER14P-04</v>
      </c>
      <c r="B286" t="str">
        <f>"00-1236-0000"</f>
        <v>00-1236-0000</v>
      </c>
      <c r="C286" t="str">
        <f>"Automatic Glue Dispenser"</f>
        <v>Automatic Glue Dispenser</v>
      </c>
      <c r="D286">
        <v>1</v>
      </c>
      <c r="E286" t="str">
        <f t="shared" si="81"/>
        <v>Assembly&amp;QC Robot ER14 (Ballgame &amp; Glue &amp; Vision)</v>
      </c>
      <c r="F286">
        <v>504</v>
      </c>
      <c r="G286" t="str">
        <f t="shared" si="73"/>
        <v>Y</v>
      </c>
      <c r="H286" t="str">
        <f t="shared" si="82"/>
        <v>EA</v>
      </c>
      <c r="I286">
        <v>0</v>
      </c>
      <c r="J286">
        <v>0</v>
      </c>
      <c r="K286" t="str">
        <f t="shared" si="74"/>
        <v>Y</v>
      </c>
      <c r="L286">
        <v>0</v>
      </c>
      <c r="M286" t="str">
        <f t="shared" si="75"/>
        <v>NIS</v>
      </c>
      <c r="O286">
        <v>11</v>
      </c>
      <c r="P286" t="str">
        <f t="shared" si="83"/>
        <v>Active</v>
      </c>
      <c r="Q286" t="str">
        <f>"Automatic Glue Dispenser"</f>
        <v>Automatic Glue Dispenser</v>
      </c>
      <c r="S286" t="str">
        <f>"Automatic Glue Dispenser"</f>
        <v>Automatic Glue Dispenser</v>
      </c>
      <c r="T286">
        <v>0</v>
      </c>
      <c r="U286" s="44">
        <v>1100</v>
      </c>
      <c r="V286" s="44">
        <v>1097.3699999999999</v>
      </c>
      <c r="W286" t="str">
        <f t="shared" si="68"/>
        <v>rob</v>
      </c>
    </row>
    <row r="287" spans="1:23">
      <c r="A287" t="str">
        <f t="shared" si="80"/>
        <v>ASM&amp;QC-ER14P-04</v>
      </c>
      <c r="B287" t="str">
        <f>"00-1243-0000"</f>
        <v>00-1243-0000</v>
      </c>
      <c r="C287" t="str">
        <f>"Ball Game Set (Assembly with Plastic Pins)"</f>
        <v>Ball Game Set (Assembly with Plastic Pins)</v>
      </c>
      <c r="D287">
        <v>12</v>
      </c>
      <c r="E287" t="str">
        <f t="shared" si="81"/>
        <v>Assembly&amp;QC Robot ER14 (Ballgame &amp; Glue &amp; Vision)</v>
      </c>
      <c r="F287">
        <v>504</v>
      </c>
      <c r="G287" t="str">
        <f t="shared" si="73"/>
        <v>Y</v>
      </c>
      <c r="H287" t="str">
        <f t="shared" si="82"/>
        <v>EA</v>
      </c>
      <c r="I287">
        <v>0</v>
      </c>
      <c r="J287">
        <v>0</v>
      </c>
      <c r="K287" t="str">
        <f t="shared" si="74"/>
        <v>Y</v>
      </c>
      <c r="L287">
        <v>0</v>
      </c>
      <c r="M287" t="str">
        <f t="shared" si="75"/>
        <v>NIS</v>
      </c>
      <c r="O287">
        <v>12</v>
      </c>
      <c r="P287" t="str">
        <f t="shared" si="83"/>
        <v>Active</v>
      </c>
      <c r="Q287" t="str">
        <f>"Ball Game Set (Assembly with Plastic Pins)"</f>
        <v>Ball Game Set (Assembly with Plastic Pins)</v>
      </c>
      <c r="S287" t="str">
        <f>"Ball Game Set (Assembly with Plastic Pins)"</f>
        <v>Ball Game Set (Assembly with Plastic Pins)</v>
      </c>
      <c r="T287">
        <v>0</v>
      </c>
      <c r="U287">
        <v>32</v>
      </c>
      <c r="V287">
        <v>34.770000000000003</v>
      </c>
      <c r="W287" t="str">
        <f t="shared" si="68"/>
        <v>rob</v>
      </c>
    </row>
    <row r="288" spans="1:23">
      <c r="A288" t="str">
        <f t="shared" si="80"/>
        <v>ASM&amp;QC-ER14P-04</v>
      </c>
      <c r="B288" t="str">
        <f>"00-1013-0000"</f>
        <v>00-1013-0000</v>
      </c>
      <c r="C288" t="str">
        <f>"Linear Positioning Table 300mm"</f>
        <v>Linear Positioning Table 300mm</v>
      </c>
      <c r="D288">
        <v>1</v>
      </c>
      <c r="E288" t="str">
        <f t="shared" si="81"/>
        <v>Assembly&amp;QC Robot ER14 (Ballgame &amp; Glue &amp; Vision)</v>
      </c>
      <c r="F288">
        <v>504</v>
      </c>
      <c r="G288" t="str">
        <f t="shared" si="73"/>
        <v>Y</v>
      </c>
      <c r="H288" t="str">
        <f t="shared" si="82"/>
        <v>EA</v>
      </c>
      <c r="I288">
        <v>0</v>
      </c>
      <c r="J288">
        <v>0</v>
      </c>
      <c r="K288" t="str">
        <f t="shared" si="74"/>
        <v>Y</v>
      </c>
      <c r="L288">
        <v>0</v>
      </c>
      <c r="M288" t="str">
        <f t="shared" si="75"/>
        <v>NIS</v>
      </c>
      <c r="O288">
        <v>13</v>
      </c>
      <c r="P288" t="str">
        <f t="shared" si="83"/>
        <v>Active</v>
      </c>
      <c r="Q288" t="str">
        <f>"Linear Positioning Table 300mm (Belt Drive, 24V)"</f>
        <v>Linear Positioning Table 300mm (Belt Drive, 24V)</v>
      </c>
      <c r="S288" t="str">
        <f>"Linear Positioning Table 300mm (Belt Drive, 24V)"</f>
        <v>Linear Positioning Table 300mm (Belt Drive, 24V)</v>
      </c>
      <c r="T288">
        <v>0</v>
      </c>
      <c r="U288">
        <v>894.02</v>
      </c>
      <c r="V288">
        <v>879.29</v>
      </c>
      <c r="W288" t="str">
        <f t="shared" si="68"/>
        <v>rob</v>
      </c>
    </row>
    <row r="289" spans="1:23">
      <c r="A289" t="str">
        <f t="shared" si="80"/>
        <v>ASM&amp;QC-ER14P-04</v>
      </c>
      <c r="B289" t="str">
        <f>"00-1422-0000"</f>
        <v>00-1422-0000</v>
      </c>
      <c r="C289" t="str">
        <f>"Viewflex for QC (Stand 400mm)"</f>
        <v>Viewflex for QC (Stand 400mm)</v>
      </c>
      <c r="D289">
        <v>1</v>
      </c>
      <c r="E289" t="str">
        <f t="shared" si="81"/>
        <v>Assembly&amp;QC Robot ER14 (Ballgame &amp; Glue &amp; Vision)</v>
      </c>
      <c r="F289">
        <v>504</v>
      </c>
      <c r="G289" t="str">
        <f t="shared" si="73"/>
        <v>Y</v>
      </c>
      <c r="H289" t="str">
        <f t="shared" si="82"/>
        <v>EA</v>
      </c>
      <c r="I289">
        <v>0</v>
      </c>
      <c r="J289">
        <v>0</v>
      </c>
      <c r="K289" t="str">
        <f t="shared" si="74"/>
        <v>Y</v>
      </c>
      <c r="L289">
        <v>0</v>
      </c>
      <c r="M289" t="str">
        <f t="shared" si="75"/>
        <v>NIS</v>
      </c>
      <c r="O289">
        <v>14</v>
      </c>
      <c r="P289" t="str">
        <f t="shared" si="83"/>
        <v>Active</v>
      </c>
      <c r="Q289" t="str">
        <f>"Viewflex for QC (Stand 400mm)"</f>
        <v>Viewflex for QC (Stand 400mm)</v>
      </c>
      <c r="S289" t="str">
        <f>"Viewflex for QC (Stand 400mm)"</f>
        <v>Viewflex for QC (Stand 400mm)</v>
      </c>
      <c r="T289">
        <v>0</v>
      </c>
      <c r="U289">
        <v>560</v>
      </c>
      <c r="V289">
        <v>511.35</v>
      </c>
      <c r="W289" t="str">
        <f t="shared" si="68"/>
        <v>rob</v>
      </c>
    </row>
    <row r="290" spans="1:23">
      <c r="A290" t="str">
        <f t="shared" si="80"/>
        <v>ASM&amp;QC-ER14P-04</v>
      </c>
      <c r="B290" t="str">
        <f>"113316"</f>
        <v>113316</v>
      </c>
      <c r="C290" t="str">
        <f>"Parts Bin"</f>
        <v>Parts Bin</v>
      </c>
      <c r="D290">
        <v>1</v>
      </c>
      <c r="E290" t="str">
        <f t="shared" si="81"/>
        <v>Assembly&amp;QC Robot ER14 (Ballgame &amp; Glue &amp; Vision)</v>
      </c>
      <c r="F290">
        <v>504</v>
      </c>
      <c r="G290" t="str">
        <f t="shared" si="73"/>
        <v>Y</v>
      </c>
      <c r="H290" t="str">
        <f t="shared" si="82"/>
        <v>EA</v>
      </c>
      <c r="I290">
        <v>0</v>
      </c>
      <c r="J290">
        <v>0</v>
      </c>
      <c r="K290" t="str">
        <f t="shared" si="74"/>
        <v>Y</v>
      </c>
      <c r="L290">
        <v>0</v>
      </c>
      <c r="M290" t="str">
        <f t="shared" si="75"/>
        <v>NIS</v>
      </c>
      <c r="O290">
        <v>15</v>
      </c>
      <c r="P290" t="str">
        <f t="shared" si="83"/>
        <v>Active</v>
      </c>
      <c r="Q290" t="str">
        <f>"Parts Bin; Plastic Box"</f>
        <v>Parts Bin; Plastic Box</v>
      </c>
      <c r="R290" t="str">
        <f>"1"</f>
        <v>1</v>
      </c>
      <c r="S290" t="str">
        <f>"Parts Bin; Plastic Box"</f>
        <v>Parts Bin; Plastic Box</v>
      </c>
      <c r="T290">
        <v>0</v>
      </c>
      <c r="U290">
        <v>8.0399999999999991</v>
      </c>
      <c r="V290">
        <v>6.39</v>
      </c>
      <c r="W290" t="str">
        <f t="shared" si="68"/>
        <v>rob</v>
      </c>
    </row>
    <row r="291" spans="1:23">
      <c r="A291" t="str">
        <f t="shared" si="80"/>
        <v>ASM&amp;QC-ER14P-04</v>
      </c>
      <c r="B291" t="str">
        <f>"112713"</f>
        <v>112713</v>
      </c>
      <c r="C291" t="str">
        <f>"Marked Aluminum Cylinder"</f>
        <v>Marked Aluminum Cylinder</v>
      </c>
      <c r="D291">
        <v>3</v>
      </c>
      <c r="E291" t="str">
        <f t="shared" si="81"/>
        <v>Assembly&amp;QC Robot ER14 (Ballgame &amp; Glue &amp; Vision)</v>
      </c>
      <c r="F291">
        <v>504</v>
      </c>
      <c r="G291" t="str">
        <f t="shared" si="73"/>
        <v>Y</v>
      </c>
      <c r="H291" t="str">
        <f t="shared" si="82"/>
        <v>EA</v>
      </c>
      <c r="I291">
        <v>0</v>
      </c>
      <c r="J291">
        <v>0</v>
      </c>
      <c r="K291" t="str">
        <f t="shared" si="74"/>
        <v>Y</v>
      </c>
      <c r="L291">
        <v>0</v>
      </c>
      <c r="M291" t="str">
        <f t="shared" si="75"/>
        <v>NIS</v>
      </c>
      <c r="O291">
        <v>16</v>
      </c>
      <c r="P291" t="str">
        <f t="shared" si="83"/>
        <v>Active</v>
      </c>
      <c r="Q291" t="str">
        <f>"Mark Al. Cylinder Diam. 35x28 MicroCIM"</f>
        <v>Mark Al. Cylinder Diam. 35x28 MicroCIM</v>
      </c>
      <c r="S291" t="str">
        <f>"Mark Al. Cylinder Diam. 35x28"</f>
        <v>Mark Al. Cylinder Diam. 35x28</v>
      </c>
      <c r="T291">
        <v>0</v>
      </c>
      <c r="U291">
        <v>6</v>
      </c>
      <c r="V291">
        <v>5.97</v>
      </c>
      <c r="W291" t="str">
        <f t="shared" si="68"/>
        <v>rob</v>
      </c>
    </row>
    <row r="292" spans="1:23">
      <c r="A292" t="str">
        <f t="shared" si="80"/>
        <v>ASM&amp;QC-ER14P-04</v>
      </c>
      <c r="B292" t="str">
        <f>"113096"</f>
        <v>113096</v>
      </c>
      <c r="C292" t="str">
        <f>"Plexiglass Cylinders Base"</f>
        <v>Plexiglass Cylinders Base</v>
      </c>
      <c r="D292">
        <v>3</v>
      </c>
      <c r="E292" t="str">
        <f t="shared" si="81"/>
        <v>Assembly&amp;QC Robot ER14 (Ballgame &amp; Glue &amp; Vision)</v>
      </c>
      <c r="F292">
        <v>504</v>
      </c>
      <c r="G292" t="str">
        <f t="shared" si="73"/>
        <v>Y</v>
      </c>
      <c r="H292" t="str">
        <f t="shared" si="82"/>
        <v>EA</v>
      </c>
      <c r="I292">
        <v>0</v>
      </c>
      <c r="J292">
        <v>0</v>
      </c>
      <c r="K292" t="str">
        <f t="shared" si="74"/>
        <v>Y</v>
      </c>
      <c r="L292">
        <v>0</v>
      </c>
      <c r="M292" t="str">
        <f t="shared" si="75"/>
        <v>NIS</v>
      </c>
      <c r="O292">
        <v>17</v>
      </c>
      <c r="P292" t="str">
        <f t="shared" si="83"/>
        <v>Active</v>
      </c>
      <c r="Q292" t="str">
        <f>"Plexiglass Cylinders Base MicroCIM"</f>
        <v>Plexiglass Cylinders Base MicroCIM</v>
      </c>
      <c r="S292" t="str">
        <f>"Plexiglass Cylinders Base"</f>
        <v>Plexiglass Cylinders Base</v>
      </c>
      <c r="T292">
        <v>0</v>
      </c>
      <c r="U292">
        <v>7</v>
      </c>
      <c r="V292">
        <v>6.83</v>
      </c>
      <c r="W292" t="str">
        <f t="shared" si="68"/>
        <v>rob</v>
      </c>
    </row>
    <row r="293" spans="1:23">
      <c r="A293" t="str">
        <f t="shared" si="80"/>
        <v>ASM&amp;QC-ER14P-04</v>
      </c>
      <c r="B293" t="str">
        <f>"00-1249-0000"</f>
        <v>00-1249-0000</v>
      </c>
      <c r="C293" t="str">
        <f>"Workbench 1500x800mm (slotted aluminum top)"</f>
        <v>Workbench 1500x800mm (slotted aluminum top)</v>
      </c>
      <c r="D293">
        <v>1</v>
      </c>
      <c r="E293" t="str">
        <f t="shared" si="81"/>
        <v>Assembly&amp;QC Robot ER14 (Ballgame &amp; Glue &amp; Vision)</v>
      </c>
      <c r="F293">
        <v>504</v>
      </c>
      <c r="G293" t="str">
        <f t="shared" si="73"/>
        <v>Y</v>
      </c>
      <c r="H293" t="str">
        <f t="shared" si="82"/>
        <v>EA</v>
      </c>
      <c r="I293">
        <v>0</v>
      </c>
      <c r="J293">
        <v>0</v>
      </c>
      <c r="K293" t="str">
        <f t="shared" si="74"/>
        <v>Y</v>
      </c>
      <c r="L293">
        <v>0</v>
      </c>
      <c r="M293" t="str">
        <f t="shared" si="75"/>
        <v>NIS</v>
      </c>
      <c r="O293">
        <v>18</v>
      </c>
      <c r="P293" t="str">
        <f t="shared" si="83"/>
        <v>Active</v>
      </c>
      <c r="Q293" t="str">
        <f>"Workbench 1500x800mm (slotted aluminum top)"</f>
        <v>Workbench 1500x800mm (slotted aluminum top)</v>
      </c>
      <c r="S293" t="str">
        <f>"Workbench 1500x800mm (slotted aluminum top)"</f>
        <v>Workbench 1500x800mm (slotted aluminum top)</v>
      </c>
      <c r="T293">
        <v>0</v>
      </c>
      <c r="U293" s="44">
        <v>1100</v>
      </c>
      <c r="V293" s="44">
        <v>1083.57</v>
      </c>
      <c r="W293" t="str">
        <f t="shared" si="68"/>
        <v>rob</v>
      </c>
    </row>
    <row r="294" spans="1:23">
      <c r="A294" t="str">
        <f t="shared" si="80"/>
        <v>ASM&amp;QC-ER14P-04</v>
      </c>
      <c r="B294" t="str">
        <f>"00-1241-0000"</f>
        <v>00-1241-0000</v>
      </c>
      <c r="C294" t="str">
        <f>"Adapter Mounting Plate for ER9/14Pro &amp; HP3"</f>
        <v>Adapter Mounting Plate for ER9/14Pro &amp; HP3</v>
      </c>
      <c r="D294">
        <v>1</v>
      </c>
      <c r="E294" t="str">
        <f t="shared" si="81"/>
        <v>Assembly&amp;QC Robot ER14 (Ballgame &amp; Glue &amp; Vision)</v>
      </c>
      <c r="F294">
        <v>504</v>
      </c>
      <c r="G294" t="str">
        <f t="shared" si="73"/>
        <v>Y</v>
      </c>
      <c r="H294" t="str">
        <f t="shared" si="82"/>
        <v>EA</v>
      </c>
      <c r="I294">
        <v>0</v>
      </c>
      <c r="J294">
        <v>0</v>
      </c>
      <c r="K294" t="str">
        <f t="shared" si="74"/>
        <v>Y</v>
      </c>
      <c r="L294">
        <v>0</v>
      </c>
      <c r="M294" t="str">
        <f t="shared" si="75"/>
        <v>NIS</v>
      </c>
      <c r="O294">
        <v>19</v>
      </c>
      <c r="P294" t="str">
        <f t="shared" si="83"/>
        <v>Active</v>
      </c>
      <c r="Q294" t="str">
        <f>"Adapter Mounting Plate for ER9/14Pro &amp; HP3"</f>
        <v>Adapter Mounting Plate for ER9/14Pro &amp; HP3</v>
      </c>
      <c r="S294" t="str">
        <f>"Adapter Mounting Plate for ER9/14Pro &amp; HP3"</f>
        <v>Adapter Mounting Plate for ER9/14Pro &amp; HP3</v>
      </c>
      <c r="T294">
        <v>0</v>
      </c>
      <c r="U294">
        <v>145</v>
      </c>
      <c r="V294">
        <v>153.93</v>
      </c>
      <c r="W294" t="str">
        <f t="shared" si="68"/>
        <v>rob</v>
      </c>
    </row>
    <row r="295" spans="1:23">
      <c r="A295" t="str">
        <f t="shared" si="80"/>
        <v>ASM&amp;QC-ER14P-04</v>
      </c>
      <c r="B295" t="str">
        <f>"00-1260-0000"</f>
        <v>00-1260-0000</v>
      </c>
      <c r="C295" t="str">
        <f>"PC Extension Shelf  600x800mm"</f>
        <v>PC Extension Shelf  600x800mm</v>
      </c>
      <c r="D295">
        <v>1</v>
      </c>
      <c r="E295" t="str">
        <f t="shared" si="81"/>
        <v>Assembly&amp;QC Robot ER14 (Ballgame &amp; Glue &amp; Vision)</v>
      </c>
      <c r="F295">
        <v>504</v>
      </c>
      <c r="G295" t="str">
        <f t="shared" si="73"/>
        <v>Y</v>
      </c>
      <c r="H295" t="str">
        <f t="shared" si="82"/>
        <v>EA</v>
      </c>
      <c r="I295">
        <v>0</v>
      </c>
      <c r="J295">
        <v>0</v>
      </c>
      <c r="K295" t="str">
        <f t="shared" si="74"/>
        <v>Y</v>
      </c>
      <c r="L295">
        <v>0</v>
      </c>
      <c r="M295" t="str">
        <f t="shared" si="75"/>
        <v>NIS</v>
      </c>
      <c r="O295">
        <v>20</v>
      </c>
      <c r="P295" t="str">
        <f t="shared" si="83"/>
        <v>Active</v>
      </c>
      <c r="Q295" t="str">
        <f>"PC Extension Shelf  600x800mm"</f>
        <v>PC Extension Shelf  600x800mm</v>
      </c>
      <c r="S295" t="str">
        <f>"PC Extension Shelf  600x800mm"</f>
        <v>PC Extension Shelf  600x800mm</v>
      </c>
      <c r="T295">
        <v>0</v>
      </c>
      <c r="U295">
        <v>192</v>
      </c>
      <c r="V295">
        <v>195.4</v>
      </c>
      <c r="W295" t="str">
        <f t="shared" si="68"/>
        <v>rob</v>
      </c>
    </row>
    <row r="296" spans="1:23">
      <c r="A296" t="str">
        <f t="shared" si="80"/>
        <v>ASM&amp;QC-ER14P-04</v>
      </c>
      <c r="B296" t="str">
        <f>"50-0094-0000"</f>
        <v>50-0094-0000</v>
      </c>
      <c r="C296" t="str">
        <f>"Pre-Engineering, Design and Testing"</f>
        <v>Pre-Engineering, Design and Testing</v>
      </c>
      <c r="D296">
        <v>1</v>
      </c>
      <c r="E296" t="str">
        <f t="shared" si="81"/>
        <v>Assembly&amp;QC Robot ER14 (Ballgame &amp; Glue &amp; Vision)</v>
      </c>
      <c r="F296">
        <v>504</v>
      </c>
      <c r="G296" t="str">
        <f t="shared" si="73"/>
        <v>Y</v>
      </c>
      <c r="H296" t="str">
        <f>"DA"</f>
        <v>DA</v>
      </c>
      <c r="I296">
        <v>0</v>
      </c>
      <c r="J296">
        <v>0</v>
      </c>
      <c r="K296" t="str">
        <f t="shared" si="74"/>
        <v>Y</v>
      </c>
      <c r="L296">
        <v>0</v>
      </c>
      <c r="M296" t="str">
        <f t="shared" si="75"/>
        <v>NIS</v>
      </c>
      <c r="O296">
        <v>21</v>
      </c>
      <c r="P296" t="str">
        <f t="shared" si="83"/>
        <v>Active</v>
      </c>
      <c r="Q296" t="str">
        <f>"Pre-Engineering, Design and Testing"</f>
        <v>Pre-Engineering, Design and Testing</v>
      </c>
      <c r="S296" t="str">
        <f>"Pre-Engineering, Design and Testing"</f>
        <v>Pre-Engineering, Design and Testing</v>
      </c>
      <c r="T296">
        <v>0</v>
      </c>
      <c r="U296">
        <v>405</v>
      </c>
      <c r="V296">
        <v>421.2</v>
      </c>
      <c r="W296" t="str">
        <f t="shared" si="68"/>
        <v>rob</v>
      </c>
    </row>
    <row r="297" spans="1:23">
      <c r="A297" t="str">
        <f t="shared" ref="A297:A317" si="84">"ASM&amp;QC-ER14P-05"</f>
        <v>ASM&amp;QC-ER14P-05</v>
      </c>
      <c r="B297" t="str">
        <f>"00-0432-0000"</f>
        <v>00-0432-0000</v>
      </c>
      <c r="C297" t="str">
        <f>"SCORA-ER 14Pro"</f>
        <v>SCORA-ER 14Pro</v>
      </c>
      <c r="D297">
        <v>1</v>
      </c>
      <c r="E297" t="str">
        <f t="shared" ref="E297:E317" si="85">"Assembly&amp;QC Robot ER14 (Ballgame &amp; Screw &amp; Vision)"</f>
        <v>Assembly&amp;QC Robot ER14 (Ballgame &amp; Screw &amp; Vision)</v>
      </c>
      <c r="F297">
        <v>504</v>
      </c>
      <c r="G297" t="str">
        <f t="shared" si="73"/>
        <v>Y</v>
      </c>
      <c r="H297" t="str">
        <f t="shared" ref="H297:H316" si="86">"EA"</f>
        <v>EA</v>
      </c>
      <c r="I297">
        <v>0</v>
      </c>
      <c r="J297">
        <v>0</v>
      </c>
      <c r="K297" t="str">
        <f t="shared" si="74"/>
        <v>Y</v>
      </c>
      <c r="L297">
        <v>0</v>
      </c>
      <c r="M297" t="str">
        <f t="shared" si="75"/>
        <v>NIS</v>
      </c>
      <c r="O297">
        <v>1</v>
      </c>
      <c r="P297" t="str">
        <f t="shared" si="83"/>
        <v>Active</v>
      </c>
      <c r="Q297" t="str">
        <f>"SCORA-ER 14Pro (incl. USB-Pro Controller)"</f>
        <v>SCORA-ER 14Pro (incl. USB-Pro Controller)</v>
      </c>
      <c r="S297" t="str">
        <f>"SCORA-ER 14Pro (incl. USB-Pro Controller)"</f>
        <v>SCORA-ER 14Pro (incl. USB-Pro Controller)</v>
      </c>
      <c r="T297">
        <v>0</v>
      </c>
      <c r="U297" s="44">
        <v>11400</v>
      </c>
      <c r="V297" s="44">
        <v>12383.77</v>
      </c>
      <c r="W297" t="str">
        <f t="shared" si="68"/>
        <v>rob</v>
      </c>
    </row>
    <row r="298" spans="1:23">
      <c r="A298" t="str">
        <f t="shared" si="84"/>
        <v>ASM&amp;QC-ER14P-05</v>
      </c>
      <c r="B298" t="str">
        <f>"00-0634-0000"</f>
        <v>00-0634-0000</v>
      </c>
      <c r="C298" t="str">
        <f>"Pneumatic Gripper for ER 14Pro"</f>
        <v>Pneumatic Gripper for ER 14Pro</v>
      </c>
      <c r="D298">
        <v>1</v>
      </c>
      <c r="E298" t="str">
        <f t="shared" si="85"/>
        <v>Assembly&amp;QC Robot ER14 (Ballgame &amp; Screw &amp; Vision)</v>
      </c>
      <c r="F298">
        <v>504</v>
      </c>
      <c r="G298" t="str">
        <f t="shared" si="73"/>
        <v>Y</v>
      </c>
      <c r="H298" t="str">
        <f t="shared" si="86"/>
        <v>EA</v>
      </c>
      <c r="I298">
        <v>0</v>
      </c>
      <c r="J298">
        <v>0</v>
      </c>
      <c r="K298" t="str">
        <f t="shared" si="74"/>
        <v>Y</v>
      </c>
      <c r="L298">
        <v>0</v>
      </c>
      <c r="M298" t="str">
        <f t="shared" si="75"/>
        <v>NIS</v>
      </c>
      <c r="O298">
        <v>2</v>
      </c>
      <c r="P298" t="str">
        <f t="shared" si="83"/>
        <v>Active</v>
      </c>
      <c r="Q298" t="str">
        <f>"Pneumatic Gripper for ER 14Pro"</f>
        <v>Pneumatic Gripper for ER 14Pro</v>
      </c>
      <c r="S298" t="str">
        <f>"Pneumatic Gripper for ER 14Pro"</f>
        <v>Pneumatic Gripper for ER 14Pro</v>
      </c>
      <c r="T298">
        <v>0</v>
      </c>
      <c r="U298">
        <v>651</v>
      </c>
      <c r="V298">
        <v>647.6</v>
      </c>
      <c r="W298" t="str">
        <f t="shared" si="68"/>
        <v>rob</v>
      </c>
    </row>
    <row r="299" spans="1:23">
      <c r="A299" t="str">
        <f t="shared" si="84"/>
        <v>ASM&amp;QC-ER14P-05</v>
      </c>
      <c r="B299" t="str">
        <f>"00-1710-0000"</f>
        <v>00-1710-0000</v>
      </c>
      <c r="C299" t="str">
        <f>"Teach Pendant"</f>
        <v>Teach Pendant</v>
      </c>
      <c r="D299">
        <v>1</v>
      </c>
      <c r="E299" t="str">
        <f t="shared" si="85"/>
        <v>Assembly&amp;QC Robot ER14 (Ballgame &amp; Screw &amp; Vision)</v>
      </c>
      <c r="F299">
        <v>504</v>
      </c>
      <c r="G299" t="str">
        <f t="shared" si="73"/>
        <v>Y</v>
      </c>
      <c r="H299" t="str">
        <f t="shared" si="86"/>
        <v>EA</v>
      </c>
      <c r="I299">
        <v>0</v>
      </c>
      <c r="J299">
        <v>0</v>
      </c>
      <c r="K299" t="str">
        <f t="shared" si="74"/>
        <v>Y</v>
      </c>
      <c r="L299">
        <v>0</v>
      </c>
      <c r="M299" t="str">
        <f t="shared" si="75"/>
        <v>NIS</v>
      </c>
      <c r="O299">
        <v>3</v>
      </c>
      <c r="P299" t="str">
        <f t="shared" si="83"/>
        <v>Active</v>
      </c>
      <c r="Q299" t="str">
        <f>"Teach Pendant for USB/USB Pro Controllers"</f>
        <v>Teach Pendant for USB/USB Pro Controllers</v>
      </c>
      <c r="S299" t="str">
        <f>"Teach Pendant for USB/USB Pro Controllers"</f>
        <v>Teach Pendant for USB/USB Pro Controllers</v>
      </c>
      <c r="T299">
        <v>0</v>
      </c>
      <c r="U299">
        <v>160.18</v>
      </c>
      <c r="V299">
        <v>161.44999999999999</v>
      </c>
      <c r="W299" t="str">
        <f t="shared" si="68"/>
        <v>rob</v>
      </c>
    </row>
    <row r="300" spans="1:23">
      <c r="A300" t="str">
        <f t="shared" si="84"/>
        <v>ASM&amp;QC-ER14P-05</v>
      </c>
      <c r="B300" t="str">
        <f>"034025"</f>
        <v>034025</v>
      </c>
      <c r="C300" t="str">
        <f>"I/O Interface Box for Controller USB-PRO"</f>
        <v>I/O Interface Box for Controller USB-PRO</v>
      </c>
      <c r="D300">
        <v>1</v>
      </c>
      <c r="E300" t="str">
        <f t="shared" si="85"/>
        <v>Assembly&amp;QC Robot ER14 (Ballgame &amp; Screw &amp; Vision)</v>
      </c>
      <c r="F300">
        <v>504</v>
      </c>
      <c r="G300" t="str">
        <f t="shared" si="73"/>
        <v>Y</v>
      </c>
      <c r="H300" t="str">
        <f t="shared" si="86"/>
        <v>EA</v>
      </c>
      <c r="I300">
        <v>0</v>
      </c>
      <c r="J300">
        <v>0</v>
      </c>
      <c r="K300" t="str">
        <f t="shared" si="74"/>
        <v>Y</v>
      </c>
      <c r="L300">
        <v>0</v>
      </c>
      <c r="M300" t="str">
        <f t="shared" si="75"/>
        <v>NIS</v>
      </c>
      <c r="O300">
        <v>4</v>
      </c>
      <c r="P300" t="str">
        <f t="shared" si="83"/>
        <v>Active</v>
      </c>
      <c r="Q300" t="str">
        <f>"I/O Interface Box for Controller USB-PRO"</f>
        <v>I/O Interface Box for Controller USB-PRO</v>
      </c>
      <c r="S300" t="str">
        <f>"קופסת 2+Interface Box I/O כבלים לבקר USBPRO"</f>
        <v>קופסת 2+Interface Box I/O כבלים לבקר USBPRO</v>
      </c>
      <c r="T300">
        <v>0</v>
      </c>
      <c r="U300">
        <v>470</v>
      </c>
      <c r="V300">
        <v>463.62</v>
      </c>
      <c r="W300" t="str">
        <f t="shared" si="68"/>
        <v>rob</v>
      </c>
    </row>
    <row r="301" spans="1:23">
      <c r="A301" t="str">
        <f t="shared" si="84"/>
        <v>ASM&amp;QC-ER14P-05</v>
      </c>
      <c r="B301" t="str">
        <f>"10-2104-9000"</f>
        <v>10-2104-9000</v>
      </c>
      <c r="C301" t="str">
        <f>"Single Buffer for Slotted Table"</f>
        <v>Single Buffer for Slotted Table</v>
      </c>
      <c r="D301">
        <v>3</v>
      </c>
      <c r="E301" t="str">
        <f t="shared" si="85"/>
        <v>Assembly&amp;QC Robot ER14 (Ballgame &amp; Screw &amp; Vision)</v>
      </c>
      <c r="F301">
        <v>504</v>
      </c>
      <c r="G301" t="str">
        <f t="shared" si="73"/>
        <v>Y</v>
      </c>
      <c r="H301" t="str">
        <f t="shared" si="86"/>
        <v>EA</v>
      </c>
      <c r="I301">
        <v>0</v>
      </c>
      <c r="J301">
        <v>0</v>
      </c>
      <c r="K301" t="str">
        <f t="shared" si="74"/>
        <v>Y</v>
      </c>
      <c r="L301">
        <v>0</v>
      </c>
      <c r="M301" t="str">
        <f t="shared" si="75"/>
        <v>NIS</v>
      </c>
      <c r="O301">
        <v>5</v>
      </c>
      <c r="P301" t="str">
        <f t="shared" si="83"/>
        <v>Active</v>
      </c>
      <c r="Q301" t="str">
        <f>"Single Buffer for Slotted Table(+height adapter)"</f>
        <v>Single Buffer for Slotted Table(+height adapter)</v>
      </c>
      <c r="S301" t="str">
        <f>"Single Buffer for Slotted Table(+height adapter)"</f>
        <v>Single Buffer for Slotted Table(+height adapter)</v>
      </c>
      <c r="T301">
        <v>0</v>
      </c>
      <c r="U301">
        <v>26</v>
      </c>
      <c r="V301">
        <v>25.49</v>
      </c>
      <c r="W301" t="str">
        <f t="shared" si="68"/>
        <v>rob</v>
      </c>
    </row>
    <row r="302" spans="1:23">
      <c r="A302" t="str">
        <f t="shared" si="84"/>
        <v>ASM&amp;QC-ER14P-05</v>
      </c>
      <c r="B302" t="str">
        <f>"00-1110-0000"</f>
        <v>00-1110-0000</v>
      </c>
      <c r="C302" t="str">
        <f>"Palletizing Rack"</f>
        <v>Palletizing Rack</v>
      </c>
      <c r="D302">
        <v>2</v>
      </c>
      <c r="E302" t="str">
        <f t="shared" si="85"/>
        <v>Assembly&amp;QC Robot ER14 (Ballgame &amp; Screw &amp; Vision)</v>
      </c>
      <c r="F302">
        <v>504</v>
      </c>
      <c r="G302" t="str">
        <f t="shared" si="73"/>
        <v>Y</v>
      </c>
      <c r="H302" t="str">
        <f t="shared" si="86"/>
        <v>EA</v>
      </c>
      <c r="I302">
        <v>0</v>
      </c>
      <c r="J302">
        <v>0</v>
      </c>
      <c r="K302" t="str">
        <f t="shared" si="74"/>
        <v>Y</v>
      </c>
      <c r="L302">
        <v>0</v>
      </c>
      <c r="M302" t="str">
        <f t="shared" si="75"/>
        <v>NIS</v>
      </c>
      <c r="O302">
        <v>6</v>
      </c>
      <c r="P302" t="str">
        <f t="shared" si="83"/>
        <v>Active</v>
      </c>
      <c r="Q302" t="str">
        <f>"Palletizing Rack (incl. Pins for creating Jigs)"</f>
        <v>Palletizing Rack (incl. Pins for creating Jigs)</v>
      </c>
      <c r="S302" t="str">
        <f>"Palletizing Rack (incl. Pins for creating Jigs)"</f>
        <v>Palletizing Rack (incl. Pins for creating Jigs)</v>
      </c>
      <c r="T302">
        <v>0</v>
      </c>
      <c r="U302">
        <v>63</v>
      </c>
      <c r="V302">
        <v>58.59</v>
      </c>
      <c r="W302" t="str">
        <f t="shared" ref="W302:W365" si="87">"rob"</f>
        <v>rob</v>
      </c>
    </row>
    <row r="303" spans="1:23">
      <c r="A303" t="str">
        <f t="shared" si="84"/>
        <v>ASM&amp;QC-ER14P-05</v>
      </c>
      <c r="B303" t="str">
        <f>"021172"</f>
        <v>021172</v>
      </c>
      <c r="C303" t="str">
        <f>"30mm Height Adapter -Rack 001110 on table 001249"</f>
        <v>30mm Height Adapter -Rack 001110 on table 001249</v>
      </c>
      <c r="D303">
        <v>2</v>
      </c>
      <c r="E303" t="str">
        <f t="shared" si="85"/>
        <v>Assembly&amp;QC Robot ER14 (Ballgame &amp; Screw &amp; Vision)</v>
      </c>
      <c r="F303">
        <v>504</v>
      </c>
      <c r="G303" t="str">
        <f t="shared" si="73"/>
        <v>Y</v>
      </c>
      <c r="H303" t="str">
        <f t="shared" si="86"/>
        <v>EA</v>
      </c>
      <c r="I303">
        <v>0</v>
      </c>
      <c r="J303">
        <v>0</v>
      </c>
      <c r="K303" t="str">
        <f t="shared" si="74"/>
        <v>Y</v>
      </c>
      <c r="L303">
        <v>0</v>
      </c>
      <c r="M303" t="str">
        <f t="shared" si="75"/>
        <v>NIS</v>
      </c>
      <c r="O303">
        <v>7</v>
      </c>
      <c r="P303" t="str">
        <f t="shared" si="83"/>
        <v>Active</v>
      </c>
      <c r="Q303" t="str">
        <f>"30mm Height Adapter -Rack 001110 on table 001249"</f>
        <v>30mm Height Adapter -Rack 001110 on table 001249</v>
      </c>
      <c r="S303" t="str">
        <f>"30mm Height Adapter -Rack 001110 on table 001249"</f>
        <v>30mm Height Adapter -Rack 001110 on table 001249</v>
      </c>
      <c r="T303">
        <v>0</v>
      </c>
      <c r="U303">
        <v>13.12</v>
      </c>
      <c r="V303">
        <v>13.44</v>
      </c>
      <c r="W303" t="str">
        <f t="shared" si="87"/>
        <v>rob</v>
      </c>
    </row>
    <row r="304" spans="1:23">
      <c r="A304" t="str">
        <f t="shared" si="84"/>
        <v>ASM&amp;QC-ER14P-05</v>
      </c>
      <c r="B304" t="str">
        <f>"21-0004-0000"</f>
        <v>21-0004-0000</v>
      </c>
      <c r="C304" t="str">
        <f>"Assembly, Dual Axis Air Vise Mechanicals"</f>
        <v>Assembly, Dual Axis Air Vise Mechanicals</v>
      </c>
      <c r="D304">
        <v>1</v>
      </c>
      <c r="E304" t="str">
        <f t="shared" si="85"/>
        <v>Assembly&amp;QC Robot ER14 (Ballgame &amp; Screw &amp; Vision)</v>
      </c>
      <c r="F304">
        <v>504</v>
      </c>
      <c r="G304" t="str">
        <f t="shared" si="73"/>
        <v>Y</v>
      </c>
      <c r="H304" t="str">
        <f t="shared" si="86"/>
        <v>EA</v>
      </c>
      <c r="I304">
        <v>0</v>
      </c>
      <c r="J304">
        <v>0</v>
      </c>
      <c r="K304" t="str">
        <f t="shared" si="74"/>
        <v>Y</v>
      </c>
      <c r="L304">
        <v>0</v>
      </c>
      <c r="M304" t="str">
        <f t="shared" si="75"/>
        <v>NIS</v>
      </c>
      <c r="O304">
        <v>8</v>
      </c>
      <c r="P304" t="str">
        <f>"Phase Out"</f>
        <v>Phase Out</v>
      </c>
      <c r="Q304" t="str">
        <f>"Pneumatic Dual-Axis Vise"</f>
        <v>Pneumatic Dual-Axis Vise</v>
      </c>
      <c r="S304" t="str">
        <f>"Assembly, Dual Axis Air Vise Mechanicals"</f>
        <v>Assembly, Dual Axis Air Vise Mechanicals</v>
      </c>
      <c r="T304">
        <v>422.16</v>
      </c>
      <c r="U304">
        <v>422</v>
      </c>
      <c r="V304">
        <v>980.27</v>
      </c>
      <c r="W304" t="str">
        <f t="shared" si="87"/>
        <v>rob</v>
      </c>
    </row>
    <row r="305" spans="1:23">
      <c r="A305" t="str">
        <f t="shared" si="84"/>
        <v>ASM&amp;QC-ER14P-05</v>
      </c>
      <c r="B305" t="str">
        <f>"10-2523-4000"</f>
        <v>10-2523-4000</v>
      </c>
      <c r="C305" t="str">
        <f>"Solenoid Valve (24V) for Pipe 3 mm"</f>
        <v>Solenoid Valve (24V) for Pipe 3 mm</v>
      </c>
      <c r="D305">
        <v>1</v>
      </c>
      <c r="E305" t="str">
        <f t="shared" si="85"/>
        <v>Assembly&amp;QC Robot ER14 (Ballgame &amp; Screw &amp; Vision)</v>
      </c>
      <c r="F305">
        <v>504</v>
      </c>
      <c r="G305" t="str">
        <f t="shared" si="73"/>
        <v>Y</v>
      </c>
      <c r="H305" t="str">
        <f t="shared" si="86"/>
        <v>EA</v>
      </c>
      <c r="I305">
        <v>0</v>
      </c>
      <c r="J305">
        <v>0</v>
      </c>
      <c r="K305" t="str">
        <f t="shared" si="74"/>
        <v>Y</v>
      </c>
      <c r="L305">
        <v>0</v>
      </c>
      <c r="M305" t="str">
        <f t="shared" si="75"/>
        <v>NIS</v>
      </c>
      <c r="O305">
        <v>9</v>
      </c>
      <c r="P305" t="str">
        <f>"Active"</f>
        <v>Active</v>
      </c>
      <c r="Q305" t="str">
        <f>"Solenoid Valve (24V) for Dual Axis Vise 025207"</f>
        <v>Solenoid Valve (24V) for Dual Axis Vise 025207</v>
      </c>
      <c r="S305" t="str">
        <f>"Solenoid Valve (24V) for Pipe 3 mm"</f>
        <v>Solenoid Valve (24V) for Pipe 3 mm</v>
      </c>
      <c r="T305">
        <v>0</v>
      </c>
      <c r="U305">
        <v>137</v>
      </c>
      <c r="V305">
        <v>133.35</v>
      </c>
      <c r="W305" t="str">
        <f t="shared" si="87"/>
        <v>rob</v>
      </c>
    </row>
    <row r="306" spans="1:23">
      <c r="A306" t="str">
        <f t="shared" si="84"/>
        <v>ASM&amp;QC-ER14P-05</v>
      </c>
      <c r="B306" t="str">
        <f>"00-1230-0000"</f>
        <v>00-1230-0000</v>
      </c>
      <c r="C306" t="str">
        <f>"Ball Feeder (incl. sensor for ball counting)"</f>
        <v>Ball Feeder (incl. sensor for ball counting)</v>
      </c>
      <c r="D306">
        <v>1</v>
      </c>
      <c r="E306" t="str">
        <f t="shared" si="85"/>
        <v>Assembly&amp;QC Robot ER14 (Ballgame &amp; Screw &amp; Vision)</v>
      </c>
      <c r="F306">
        <v>504</v>
      </c>
      <c r="G306" t="str">
        <f t="shared" si="73"/>
        <v>Y</v>
      </c>
      <c r="H306" t="str">
        <f t="shared" si="86"/>
        <v>EA</v>
      </c>
      <c r="I306">
        <v>0</v>
      </c>
      <c r="J306">
        <v>0</v>
      </c>
      <c r="K306" t="str">
        <f t="shared" si="74"/>
        <v>Y</v>
      </c>
      <c r="L306">
        <v>0</v>
      </c>
      <c r="M306" t="str">
        <f t="shared" si="75"/>
        <v>NIS</v>
      </c>
      <c r="O306">
        <v>10</v>
      </c>
      <c r="P306" t="str">
        <f>"Active"</f>
        <v>Active</v>
      </c>
      <c r="Q306" t="str">
        <f>"Ball Feeder (incl. sensor for ball counting)"</f>
        <v>Ball Feeder (incl. sensor for ball counting)</v>
      </c>
      <c r="S306" t="str">
        <f>"Ball Feeder (incl. sensor for ball counting)"</f>
        <v>Ball Feeder (incl. sensor for ball counting)</v>
      </c>
      <c r="T306">
        <v>0</v>
      </c>
      <c r="U306">
        <v>536</v>
      </c>
      <c r="V306">
        <v>530.72</v>
      </c>
      <c r="W306" t="str">
        <f t="shared" si="87"/>
        <v>rob</v>
      </c>
    </row>
    <row r="307" spans="1:23">
      <c r="A307" t="str">
        <f t="shared" si="84"/>
        <v>ASM&amp;QC-ER14P-05</v>
      </c>
      <c r="B307" t="str">
        <f>"00-1221-0000"</f>
        <v>00-1221-0000</v>
      </c>
      <c r="C307" t="str">
        <f>"Ball Game Set (Assembly with screws)"</f>
        <v>Ball Game Set (Assembly with screws)</v>
      </c>
      <c r="D307">
        <v>12</v>
      </c>
      <c r="E307" t="str">
        <f t="shared" si="85"/>
        <v>Assembly&amp;QC Robot ER14 (Ballgame &amp; Screw &amp; Vision)</v>
      </c>
      <c r="F307">
        <v>504</v>
      </c>
      <c r="G307" t="str">
        <f t="shared" si="73"/>
        <v>Y</v>
      </c>
      <c r="H307" t="str">
        <f t="shared" si="86"/>
        <v>EA</v>
      </c>
      <c r="I307">
        <v>0</v>
      </c>
      <c r="J307">
        <v>0</v>
      </c>
      <c r="K307" t="str">
        <f t="shared" si="74"/>
        <v>Y</v>
      </c>
      <c r="L307">
        <v>0</v>
      </c>
      <c r="M307" t="str">
        <f t="shared" si="75"/>
        <v>NIS</v>
      </c>
      <c r="O307">
        <v>11</v>
      </c>
      <c r="P307" t="str">
        <f>"Phase Out"</f>
        <v>Phase Out</v>
      </c>
      <c r="Q307" t="str">
        <f>"Ball Game Set (Assembly with screws)"</f>
        <v>Ball Game Set (Assembly with screws)</v>
      </c>
      <c r="S307" t="str">
        <f>"Ball Game Set (Assembly with screws)"</f>
        <v>Ball Game Set (Assembly with screws)</v>
      </c>
      <c r="T307">
        <v>0</v>
      </c>
      <c r="U307">
        <v>26.72</v>
      </c>
      <c r="V307">
        <v>34.44</v>
      </c>
      <c r="W307" t="str">
        <f t="shared" si="87"/>
        <v>rob</v>
      </c>
    </row>
    <row r="308" spans="1:23">
      <c r="A308" t="str">
        <f t="shared" si="84"/>
        <v>ASM&amp;QC-ER14P-05</v>
      </c>
      <c r="B308" t="str">
        <f>"00-1014-0000"</f>
        <v>00-1014-0000</v>
      </c>
      <c r="C308" t="str">
        <f>"XY Positioning Table (24V)"</f>
        <v>XY Positioning Table (24V)</v>
      </c>
      <c r="D308">
        <v>1</v>
      </c>
      <c r="E308" t="str">
        <f t="shared" si="85"/>
        <v>Assembly&amp;QC Robot ER14 (Ballgame &amp; Screw &amp; Vision)</v>
      </c>
      <c r="F308">
        <v>504</v>
      </c>
      <c r="G308" t="str">
        <f t="shared" si="73"/>
        <v>Y</v>
      </c>
      <c r="H308" t="str">
        <f t="shared" si="86"/>
        <v>EA</v>
      </c>
      <c r="I308">
        <v>0</v>
      </c>
      <c r="J308">
        <v>0</v>
      </c>
      <c r="K308" t="str">
        <f t="shared" si="74"/>
        <v>Y</v>
      </c>
      <c r="L308">
        <v>0</v>
      </c>
      <c r="M308" t="str">
        <f t="shared" si="75"/>
        <v>NIS</v>
      </c>
      <c r="O308">
        <v>12</v>
      </c>
      <c r="P308" t="str">
        <f t="shared" ref="P308:P318" si="88">"Active"</f>
        <v>Active</v>
      </c>
      <c r="Q308" t="str">
        <f>"XY Positioning Table (24V)"</f>
        <v>XY Positioning Table (24V)</v>
      </c>
      <c r="S308" t="str">
        <f>"XY Positioning Table (24V)"</f>
        <v>XY Positioning Table (24V)</v>
      </c>
      <c r="T308">
        <v>0</v>
      </c>
      <c r="U308" s="44">
        <v>1315.78</v>
      </c>
      <c r="V308" s="44">
        <v>1681.27</v>
      </c>
      <c r="W308" t="str">
        <f t="shared" si="87"/>
        <v>rob</v>
      </c>
    </row>
    <row r="309" spans="1:23">
      <c r="A309" t="str">
        <f t="shared" si="84"/>
        <v>ASM&amp;QC-ER14P-05</v>
      </c>
      <c r="B309" t="str">
        <f>"00-1239-0000"</f>
        <v>00-1239-0000</v>
      </c>
      <c r="C309" t="str">
        <f>"Automatic Screwdriver &amp; Screw Feeder, 110V"</f>
        <v>Automatic Screwdriver &amp; Screw Feeder, 110V</v>
      </c>
      <c r="D309">
        <v>1</v>
      </c>
      <c r="E309" t="str">
        <f t="shared" si="85"/>
        <v>Assembly&amp;QC Robot ER14 (Ballgame &amp; Screw &amp; Vision)</v>
      </c>
      <c r="F309">
        <v>504</v>
      </c>
      <c r="G309" t="str">
        <f t="shared" si="73"/>
        <v>Y</v>
      </c>
      <c r="H309" t="str">
        <f t="shared" si="86"/>
        <v>EA</v>
      </c>
      <c r="I309">
        <v>0</v>
      </c>
      <c r="J309">
        <v>0</v>
      </c>
      <c r="K309" t="str">
        <f t="shared" si="74"/>
        <v>Y</v>
      </c>
      <c r="L309">
        <v>0</v>
      </c>
      <c r="M309" t="str">
        <f t="shared" si="75"/>
        <v>NIS</v>
      </c>
      <c r="O309">
        <v>13</v>
      </c>
      <c r="P309" t="str">
        <f t="shared" si="88"/>
        <v>Active</v>
      </c>
      <c r="Q309" t="str">
        <f>"Automatic Screwdriver &amp; Screw Feeder, 110V"</f>
        <v>Automatic Screwdriver &amp; Screw Feeder, 110V</v>
      </c>
      <c r="S309" t="str">
        <f>"Automatic Screwdriver &amp; Screw Feeder, 110V"</f>
        <v>Automatic Screwdriver &amp; Screw Feeder, 110V</v>
      </c>
      <c r="T309">
        <v>0</v>
      </c>
      <c r="U309" s="44">
        <v>11351.06</v>
      </c>
      <c r="V309" s="44">
        <v>11739.79</v>
      </c>
      <c r="W309" t="str">
        <f t="shared" si="87"/>
        <v>rob</v>
      </c>
    </row>
    <row r="310" spans="1:23">
      <c r="A310" t="str">
        <f t="shared" si="84"/>
        <v>ASM&amp;QC-ER14P-05</v>
      </c>
      <c r="B310" t="str">
        <f>"00-1422-0000"</f>
        <v>00-1422-0000</v>
      </c>
      <c r="C310" t="str">
        <f>"Viewflex for QC (Stand 400mm)"</f>
        <v>Viewflex for QC (Stand 400mm)</v>
      </c>
      <c r="D310">
        <v>1</v>
      </c>
      <c r="E310" t="str">
        <f t="shared" si="85"/>
        <v>Assembly&amp;QC Robot ER14 (Ballgame &amp; Screw &amp; Vision)</v>
      </c>
      <c r="F310">
        <v>504</v>
      </c>
      <c r="G310" t="str">
        <f t="shared" si="73"/>
        <v>Y</v>
      </c>
      <c r="H310" t="str">
        <f t="shared" si="86"/>
        <v>EA</v>
      </c>
      <c r="I310">
        <v>0</v>
      </c>
      <c r="J310">
        <v>0</v>
      </c>
      <c r="K310" t="str">
        <f t="shared" si="74"/>
        <v>Y</v>
      </c>
      <c r="L310">
        <v>0</v>
      </c>
      <c r="M310" t="str">
        <f t="shared" si="75"/>
        <v>NIS</v>
      </c>
      <c r="O310">
        <v>14</v>
      </c>
      <c r="P310" t="str">
        <f t="shared" si="88"/>
        <v>Active</v>
      </c>
      <c r="Q310" t="str">
        <f>"Viewflex for QC (Stand 400mm)"</f>
        <v>Viewflex for QC (Stand 400mm)</v>
      </c>
      <c r="S310" t="str">
        <f>"Viewflex for QC (Stand 400mm)"</f>
        <v>Viewflex for QC (Stand 400mm)</v>
      </c>
      <c r="T310">
        <v>0</v>
      </c>
      <c r="U310">
        <v>560</v>
      </c>
      <c r="V310">
        <v>511.35</v>
      </c>
      <c r="W310" t="str">
        <f t="shared" si="87"/>
        <v>rob</v>
      </c>
    </row>
    <row r="311" spans="1:23">
      <c r="A311" t="str">
        <f t="shared" si="84"/>
        <v>ASM&amp;QC-ER14P-05</v>
      </c>
      <c r="B311" t="str">
        <f>"113096"</f>
        <v>113096</v>
      </c>
      <c r="C311" t="str">
        <f>"Plexiglass Cylinders Base"</f>
        <v>Plexiglass Cylinders Base</v>
      </c>
      <c r="D311">
        <v>3</v>
      </c>
      <c r="E311" t="str">
        <f t="shared" si="85"/>
        <v>Assembly&amp;QC Robot ER14 (Ballgame &amp; Screw &amp; Vision)</v>
      </c>
      <c r="F311">
        <v>504</v>
      </c>
      <c r="G311" t="str">
        <f t="shared" si="73"/>
        <v>Y</v>
      </c>
      <c r="H311" t="str">
        <f t="shared" si="86"/>
        <v>EA</v>
      </c>
      <c r="I311">
        <v>0</v>
      </c>
      <c r="J311">
        <v>0</v>
      </c>
      <c r="K311" t="str">
        <f t="shared" si="74"/>
        <v>Y</v>
      </c>
      <c r="L311">
        <v>0</v>
      </c>
      <c r="M311" t="str">
        <f t="shared" si="75"/>
        <v>NIS</v>
      </c>
      <c r="O311">
        <v>15</v>
      </c>
      <c r="P311" t="str">
        <f t="shared" si="88"/>
        <v>Active</v>
      </c>
      <c r="Q311" t="str">
        <f>"Plexiglass Cylinders Base MicroCIM"</f>
        <v>Plexiglass Cylinders Base MicroCIM</v>
      </c>
      <c r="S311" t="str">
        <f>"Plexiglass Cylinders Base"</f>
        <v>Plexiglass Cylinders Base</v>
      </c>
      <c r="T311">
        <v>0</v>
      </c>
      <c r="U311">
        <v>7</v>
      </c>
      <c r="V311">
        <v>6.83</v>
      </c>
      <c r="W311" t="str">
        <f t="shared" si="87"/>
        <v>rob</v>
      </c>
    </row>
    <row r="312" spans="1:23">
      <c r="A312" t="str">
        <f t="shared" si="84"/>
        <v>ASM&amp;QC-ER14P-05</v>
      </c>
      <c r="B312" t="str">
        <f>"112713"</f>
        <v>112713</v>
      </c>
      <c r="C312" t="str">
        <f>"Marked Aluminum Cylinder"</f>
        <v>Marked Aluminum Cylinder</v>
      </c>
      <c r="D312">
        <v>3</v>
      </c>
      <c r="E312" t="str">
        <f t="shared" si="85"/>
        <v>Assembly&amp;QC Robot ER14 (Ballgame &amp; Screw &amp; Vision)</v>
      </c>
      <c r="F312">
        <v>504</v>
      </c>
      <c r="G312" t="str">
        <f t="shared" si="73"/>
        <v>Y</v>
      </c>
      <c r="H312" t="str">
        <f t="shared" si="86"/>
        <v>EA</v>
      </c>
      <c r="I312">
        <v>0</v>
      </c>
      <c r="J312">
        <v>0</v>
      </c>
      <c r="K312" t="str">
        <f t="shared" si="74"/>
        <v>Y</v>
      </c>
      <c r="L312">
        <v>0</v>
      </c>
      <c r="M312" t="str">
        <f t="shared" si="75"/>
        <v>NIS</v>
      </c>
      <c r="O312">
        <v>16</v>
      </c>
      <c r="P312" t="str">
        <f t="shared" si="88"/>
        <v>Active</v>
      </c>
      <c r="Q312" t="str">
        <f>"Mark Al. Cylinder Diam. 35x28 MicroCIM"</f>
        <v>Mark Al. Cylinder Diam. 35x28 MicroCIM</v>
      </c>
      <c r="S312" t="str">
        <f>"Mark Al. Cylinder Diam. 35x28"</f>
        <v>Mark Al. Cylinder Diam. 35x28</v>
      </c>
      <c r="T312">
        <v>0</v>
      </c>
      <c r="U312">
        <v>6</v>
      </c>
      <c r="V312">
        <v>5.97</v>
      </c>
      <c r="W312" t="str">
        <f t="shared" si="87"/>
        <v>rob</v>
      </c>
    </row>
    <row r="313" spans="1:23">
      <c r="A313" t="str">
        <f t="shared" si="84"/>
        <v>ASM&amp;QC-ER14P-05</v>
      </c>
      <c r="B313" t="str">
        <f>"113316"</f>
        <v>113316</v>
      </c>
      <c r="C313" t="str">
        <f>"Parts Bin"</f>
        <v>Parts Bin</v>
      </c>
      <c r="D313">
        <v>1</v>
      </c>
      <c r="E313" t="str">
        <f t="shared" si="85"/>
        <v>Assembly&amp;QC Robot ER14 (Ballgame &amp; Screw &amp; Vision)</v>
      </c>
      <c r="F313">
        <v>504</v>
      </c>
      <c r="G313" t="str">
        <f t="shared" si="73"/>
        <v>Y</v>
      </c>
      <c r="H313" t="str">
        <f t="shared" si="86"/>
        <v>EA</v>
      </c>
      <c r="I313">
        <v>0</v>
      </c>
      <c r="J313">
        <v>0</v>
      </c>
      <c r="K313" t="str">
        <f t="shared" si="74"/>
        <v>Y</v>
      </c>
      <c r="L313">
        <v>0</v>
      </c>
      <c r="M313" t="str">
        <f t="shared" si="75"/>
        <v>NIS</v>
      </c>
      <c r="O313">
        <v>17</v>
      </c>
      <c r="P313" t="str">
        <f t="shared" si="88"/>
        <v>Active</v>
      </c>
      <c r="Q313" t="str">
        <f>"Parts Bin; Plastic Box"</f>
        <v>Parts Bin; Plastic Box</v>
      </c>
      <c r="R313" t="str">
        <f>"1"</f>
        <v>1</v>
      </c>
      <c r="S313" t="str">
        <f>"Parts Bin; Plastic Box"</f>
        <v>Parts Bin; Plastic Box</v>
      </c>
      <c r="T313">
        <v>0</v>
      </c>
      <c r="U313">
        <v>8.0399999999999991</v>
      </c>
      <c r="V313">
        <v>6.39</v>
      </c>
      <c r="W313" t="str">
        <f t="shared" si="87"/>
        <v>rob</v>
      </c>
    </row>
    <row r="314" spans="1:23">
      <c r="A314" t="str">
        <f t="shared" si="84"/>
        <v>ASM&amp;QC-ER14P-05</v>
      </c>
      <c r="B314" t="str">
        <f>"00-1249-0000"</f>
        <v>00-1249-0000</v>
      </c>
      <c r="C314" t="str">
        <f>"Workbench 1500x800mm (slotted aluminum top)"</f>
        <v>Workbench 1500x800mm (slotted aluminum top)</v>
      </c>
      <c r="D314">
        <v>1</v>
      </c>
      <c r="E314" t="str">
        <f t="shared" si="85"/>
        <v>Assembly&amp;QC Robot ER14 (Ballgame &amp; Screw &amp; Vision)</v>
      </c>
      <c r="F314">
        <v>504</v>
      </c>
      <c r="G314" t="str">
        <f t="shared" si="73"/>
        <v>Y</v>
      </c>
      <c r="H314" t="str">
        <f t="shared" si="86"/>
        <v>EA</v>
      </c>
      <c r="I314">
        <v>0</v>
      </c>
      <c r="J314">
        <v>0</v>
      </c>
      <c r="K314" t="str">
        <f t="shared" si="74"/>
        <v>Y</v>
      </c>
      <c r="L314">
        <v>0</v>
      </c>
      <c r="M314" t="str">
        <f t="shared" si="75"/>
        <v>NIS</v>
      </c>
      <c r="O314">
        <v>18</v>
      </c>
      <c r="P314" t="str">
        <f t="shared" si="88"/>
        <v>Active</v>
      </c>
      <c r="Q314" t="str">
        <f>"Workbench 1500x800mm (slotted aluminum top)"</f>
        <v>Workbench 1500x800mm (slotted aluminum top)</v>
      </c>
      <c r="S314" t="str">
        <f>"Workbench 1500x800mm (slotted aluminum top)"</f>
        <v>Workbench 1500x800mm (slotted aluminum top)</v>
      </c>
      <c r="T314">
        <v>0</v>
      </c>
      <c r="U314" s="44">
        <v>1100</v>
      </c>
      <c r="V314" s="44">
        <v>1083.57</v>
      </c>
      <c r="W314" t="str">
        <f t="shared" si="87"/>
        <v>rob</v>
      </c>
    </row>
    <row r="315" spans="1:23">
      <c r="A315" t="str">
        <f t="shared" si="84"/>
        <v>ASM&amp;QC-ER14P-05</v>
      </c>
      <c r="B315" t="str">
        <f>"00-1241-0000"</f>
        <v>00-1241-0000</v>
      </c>
      <c r="C315" t="str">
        <f>"Adapter Mounting Plate for ER9/14Pro &amp; HP3"</f>
        <v>Adapter Mounting Plate for ER9/14Pro &amp; HP3</v>
      </c>
      <c r="D315">
        <v>1</v>
      </c>
      <c r="E315" t="str">
        <f t="shared" si="85"/>
        <v>Assembly&amp;QC Robot ER14 (Ballgame &amp; Screw &amp; Vision)</v>
      </c>
      <c r="F315">
        <v>504</v>
      </c>
      <c r="G315" t="str">
        <f t="shared" si="73"/>
        <v>Y</v>
      </c>
      <c r="H315" t="str">
        <f t="shared" si="86"/>
        <v>EA</v>
      </c>
      <c r="I315">
        <v>0</v>
      </c>
      <c r="J315">
        <v>0</v>
      </c>
      <c r="K315" t="str">
        <f t="shared" si="74"/>
        <v>Y</v>
      </c>
      <c r="L315">
        <v>0</v>
      </c>
      <c r="M315" t="str">
        <f t="shared" si="75"/>
        <v>NIS</v>
      </c>
      <c r="O315">
        <v>19</v>
      </c>
      <c r="P315" t="str">
        <f t="shared" si="88"/>
        <v>Active</v>
      </c>
      <c r="Q315" t="str">
        <f>"Adapter Mounting Plate for ER9/14Pro &amp; HP3"</f>
        <v>Adapter Mounting Plate for ER9/14Pro &amp; HP3</v>
      </c>
      <c r="S315" t="str">
        <f>"Adapter Mounting Plate for ER9/14Pro &amp; HP3"</f>
        <v>Adapter Mounting Plate for ER9/14Pro &amp; HP3</v>
      </c>
      <c r="T315">
        <v>0</v>
      </c>
      <c r="U315">
        <v>145</v>
      </c>
      <c r="V315">
        <v>153.93</v>
      </c>
      <c r="W315" t="str">
        <f t="shared" si="87"/>
        <v>rob</v>
      </c>
    </row>
    <row r="316" spans="1:23">
      <c r="A316" t="str">
        <f t="shared" si="84"/>
        <v>ASM&amp;QC-ER14P-05</v>
      </c>
      <c r="B316" t="str">
        <f>"00-1260-0000"</f>
        <v>00-1260-0000</v>
      </c>
      <c r="C316" t="str">
        <f>"PC Extension Shelf  600x800mm"</f>
        <v>PC Extension Shelf  600x800mm</v>
      </c>
      <c r="D316">
        <v>1</v>
      </c>
      <c r="E316" t="str">
        <f t="shared" si="85"/>
        <v>Assembly&amp;QC Robot ER14 (Ballgame &amp; Screw &amp; Vision)</v>
      </c>
      <c r="F316">
        <v>504</v>
      </c>
      <c r="G316" t="str">
        <f t="shared" si="73"/>
        <v>Y</v>
      </c>
      <c r="H316" t="str">
        <f t="shared" si="86"/>
        <v>EA</v>
      </c>
      <c r="I316">
        <v>0</v>
      </c>
      <c r="J316">
        <v>0</v>
      </c>
      <c r="K316" t="str">
        <f t="shared" si="74"/>
        <v>Y</v>
      </c>
      <c r="L316">
        <v>0</v>
      </c>
      <c r="M316" t="str">
        <f t="shared" si="75"/>
        <v>NIS</v>
      </c>
      <c r="O316">
        <v>20</v>
      </c>
      <c r="P316" t="str">
        <f t="shared" si="88"/>
        <v>Active</v>
      </c>
      <c r="Q316" t="str">
        <f>"PC Extension Shelf  600x800mm"</f>
        <v>PC Extension Shelf  600x800mm</v>
      </c>
      <c r="S316" t="str">
        <f>"PC Extension Shelf  600x800mm"</f>
        <v>PC Extension Shelf  600x800mm</v>
      </c>
      <c r="T316">
        <v>0</v>
      </c>
      <c r="U316">
        <v>192</v>
      </c>
      <c r="V316">
        <v>195.4</v>
      </c>
      <c r="W316" t="str">
        <f t="shared" si="87"/>
        <v>rob</v>
      </c>
    </row>
    <row r="317" spans="1:23">
      <c r="A317" t="str">
        <f t="shared" si="84"/>
        <v>ASM&amp;QC-ER14P-05</v>
      </c>
      <c r="B317" t="str">
        <f>"50-0094-0000"</f>
        <v>50-0094-0000</v>
      </c>
      <c r="C317" t="str">
        <f>"Pre-Engineering, Design and Testing"</f>
        <v>Pre-Engineering, Design and Testing</v>
      </c>
      <c r="D317">
        <v>1</v>
      </c>
      <c r="E317" t="str">
        <f t="shared" si="85"/>
        <v>Assembly&amp;QC Robot ER14 (Ballgame &amp; Screw &amp; Vision)</v>
      </c>
      <c r="F317">
        <v>504</v>
      </c>
      <c r="G317" t="str">
        <f t="shared" si="73"/>
        <v>Y</v>
      </c>
      <c r="H317" t="str">
        <f>"DA"</f>
        <v>DA</v>
      </c>
      <c r="I317">
        <v>0</v>
      </c>
      <c r="J317">
        <v>0</v>
      </c>
      <c r="K317" t="str">
        <f t="shared" si="74"/>
        <v>Y</v>
      </c>
      <c r="L317">
        <v>0</v>
      </c>
      <c r="M317" t="str">
        <f t="shared" si="75"/>
        <v>NIS</v>
      </c>
      <c r="O317">
        <v>21</v>
      </c>
      <c r="P317" t="str">
        <f t="shared" si="88"/>
        <v>Active</v>
      </c>
      <c r="Q317" t="str">
        <f>"Pre-Engineering, Design and Testing"</f>
        <v>Pre-Engineering, Design and Testing</v>
      </c>
      <c r="S317" t="str">
        <f>"Pre-Engineering, Design and Testing"</f>
        <v>Pre-Engineering, Design and Testing</v>
      </c>
      <c r="T317">
        <v>0</v>
      </c>
      <c r="U317">
        <v>405</v>
      </c>
      <c r="V317">
        <v>421.2</v>
      </c>
      <c r="W317" t="str">
        <f t="shared" si="87"/>
        <v>rob</v>
      </c>
    </row>
    <row r="318" spans="1:23">
      <c r="A318" t="str">
        <f t="shared" ref="A318:A340" si="89">"ASM&amp;QC-ER14P-06"</f>
        <v>ASM&amp;QC-ER14P-06</v>
      </c>
      <c r="B318" t="str">
        <f>"00-0432-0000"</f>
        <v>00-0432-0000</v>
      </c>
      <c r="C318" t="str">
        <f>"SCORA-ER 14Pro"</f>
        <v>SCORA-ER 14Pro</v>
      </c>
      <c r="D318">
        <v>1</v>
      </c>
      <c r="E318" t="str">
        <f t="shared" ref="E318:E340" si="90">"Assembly &amp; QC Robot ER14 (Ballgame &amp; Glue &amp; Vision &amp; Caliper &amp; ATC)"</f>
        <v>Assembly &amp; QC Robot ER14 (Ballgame &amp; Glue &amp; Vision &amp; Caliper &amp; ATC)</v>
      </c>
      <c r="F318">
        <v>504</v>
      </c>
      <c r="G318" t="str">
        <f t="shared" si="73"/>
        <v>Y</v>
      </c>
      <c r="H318" t="str">
        <f t="shared" ref="H318:H339" si="91">"EA"</f>
        <v>EA</v>
      </c>
      <c r="I318">
        <v>0</v>
      </c>
      <c r="J318">
        <v>0</v>
      </c>
      <c r="K318" t="str">
        <f t="shared" si="74"/>
        <v>Y</v>
      </c>
      <c r="L318">
        <v>0</v>
      </c>
      <c r="M318" t="str">
        <f t="shared" si="75"/>
        <v>NIS</v>
      </c>
      <c r="O318">
        <v>1</v>
      </c>
      <c r="P318" t="str">
        <f t="shared" si="88"/>
        <v>Active</v>
      </c>
      <c r="Q318" t="str">
        <f>"SCORA-ER 14Pro (incl. USB-Pro Controller)"</f>
        <v>SCORA-ER 14Pro (incl. USB-Pro Controller)</v>
      </c>
      <c r="S318" t="str">
        <f>"SCORA-ER 14Pro (incl. USB-Pro Controller)"</f>
        <v>SCORA-ER 14Pro (incl. USB-Pro Controller)</v>
      </c>
      <c r="T318">
        <v>0</v>
      </c>
      <c r="U318" s="44">
        <v>11400</v>
      </c>
      <c r="V318" s="44">
        <v>12383.77</v>
      </c>
      <c r="W318" t="str">
        <f t="shared" si="87"/>
        <v>rob</v>
      </c>
    </row>
    <row r="319" spans="1:23">
      <c r="A319" t="str">
        <f t="shared" si="89"/>
        <v>ASM&amp;QC-ER14P-06</v>
      </c>
      <c r="B319" t="str">
        <f>"00-0644-0000"</f>
        <v>00-0644-0000</v>
      </c>
      <c r="C319" t="str">
        <f>"Automatic Tool Changer for ER 14Pro"</f>
        <v>Automatic Tool Changer for ER 14Pro</v>
      </c>
      <c r="D319">
        <v>1</v>
      </c>
      <c r="E319" t="str">
        <f t="shared" si="90"/>
        <v>Assembly &amp; QC Robot ER14 (Ballgame &amp; Glue &amp; Vision &amp; Caliper &amp; ATC)</v>
      </c>
      <c r="F319">
        <v>504</v>
      </c>
      <c r="G319" t="str">
        <f t="shared" si="73"/>
        <v>Y</v>
      </c>
      <c r="H319" t="str">
        <f t="shared" si="91"/>
        <v>EA</v>
      </c>
      <c r="I319">
        <v>0</v>
      </c>
      <c r="J319">
        <v>0</v>
      </c>
      <c r="K319" t="str">
        <f t="shared" si="74"/>
        <v>Y</v>
      </c>
      <c r="L319">
        <v>0</v>
      </c>
      <c r="M319" t="str">
        <f t="shared" si="75"/>
        <v>NIS</v>
      </c>
      <c r="O319">
        <v>2</v>
      </c>
      <c r="P319" t="str">
        <f>"Not for purc"</f>
        <v>Not for purc</v>
      </c>
      <c r="Q319" t="str">
        <f>"Automatic Tool Changer for ER 14Pro"</f>
        <v>Automatic Tool Changer for ER 14Pro</v>
      </c>
      <c r="S319" t="str">
        <f>"Automatic Tool Changer for ER 14Pro"</f>
        <v>Automatic Tool Changer for ER 14Pro</v>
      </c>
      <c r="T319">
        <v>0</v>
      </c>
      <c r="U319" s="44">
        <v>3555.35</v>
      </c>
      <c r="V319" s="44">
        <v>5127.99</v>
      </c>
      <c r="W319" t="str">
        <f t="shared" si="87"/>
        <v>rob</v>
      </c>
    </row>
    <row r="320" spans="1:23">
      <c r="A320" t="str">
        <f t="shared" si="89"/>
        <v>ASM&amp;QC-ER14P-06</v>
      </c>
      <c r="B320" t="str">
        <f>"00-1710-0000"</f>
        <v>00-1710-0000</v>
      </c>
      <c r="C320" t="str">
        <f>"Teach Pendant"</f>
        <v>Teach Pendant</v>
      </c>
      <c r="D320">
        <v>1</v>
      </c>
      <c r="E320" t="str">
        <f t="shared" si="90"/>
        <v>Assembly &amp; QC Robot ER14 (Ballgame &amp; Glue &amp; Vision &amp; Caliper &amp; ATC)</v>
      </c>
      <c r="F320">
        <v>504</v>
      </c>
      <c r="G320" t="str">
        <f t="shared" si="73"/>
        <v>Y</v>
      </c>
      <c r="H320" t="str">
        <f t="shared" si="91"/>
        <v>EA</v>
      </c>
      <c r="I320">
        <v>0</v>
      </c>
      <c r="J320">
        <v>0</v>
      </c>
      <c r="K320" t="str">
        <f t="shared" si="74"/>
        <v>Y</v>
      </c>
      <c r="L320">
        <v>0</v>
      </c>
      <c r="M320" t="str">
        <f t="shared" si="75"/>
        <v>NIS</v>
      </c>
      <c r="O320">
        <v>3</v>
      </c>
      <c r="P320" t="str">
        <f>"Active"</f>
        <v>Active</v>
      </c>
      <c r="Q320" t="str">
        <f>"Teach Pendant for USB/USB Pro Controllers"</f>
        <v>Teach Pendant for USB/USB Pro Controllers</v>
      </c>
      <c r="S320" t="str">
        <f>"Teach Pendant for USB/USB Pro Controllers"</f>
        <v>Teach Pendant for USB/USB Pro Controllers</v>
      </c>
      <c r="T320">
        <v>0</v>
      </c>
      <c r="U320">
        <v>160.18</v>
      </c>
      <c r="V320">
        <v>161.44999999999999</v>
      </c>
      <c r="W320" t="str">
        <f t="shared" si="87"/>
        <v>rob</v>
      </c>
    </row>
    <row r="321" spans="1:23">
      <c r="A321" t="str">
        <f t="shared" si="89"/>
        <v>ASM&amp;QC-ER14P-06</v>
      </c>
      <c r="B321" t="str">
        <f>"034025"</f>
        <v>034025</v>
      </c>
      <c r="C321" t="str">
        <f>"I/O Interface Box for Controller USB-PRO"</f>
        <v>I/O Interface Box for Controller USB-PRO</v>
      </c>
      <c r="D321">
        <v>1</v>
      </c>
      <c r="E321" t="str">
        <f t="shared" si="90"/>
        <v>Assembly &amp; QC Robot ER14 (Ballgame &amp; Glue &amp; Vision &amp; Caliper &amp; ATC)</v>
      </c>
      <c r="F321">
        <v>504</v>
      </c>
      <c r="G321" t="str">
        <f t="shared" si="73"/>
        <v>Y</v>
      </c>
      <c r="H321" t="str">
        <f t="shared" si="91"/>
        <v>EA</v>
      </c>
      <c r="I321">
        <v>0</v>
      </c>
      <c r="J321">
        <v>0</v>
      </c>
      <c r="K321" t="str">
        <f t="shared" si="74"/>
        <v>Y</v>
      </c>
      <c r="L321">
        <v>0</v>
      </c>
      <c r="M321" t="str">
        <f t="shared" si="75"/>
        <v>NIS</v>
      </c>
      <c r="O321">
        <v>4</v>
      </c>
      <c r="P321" t="str">
        <f>"Active"</f>
        <v>Active</v>
      </c>
      <c r="Q321" t="str">
        <f>"I/O Interface Box for Controller USB-PRO"</f>
        <v>I/O Interface Box for Controller USB-PRO</v>
      </c>
      <c r="S321" t="str">
        <f>"קופסת 2+Interface Box I/O כבלים לבקר USBPRO"</f>
        <v>קופסת 2+Interface Box I/O כבלים לבקר USBPRO</v>
      </c>
      <c r="T321">
        <v>0</v>
      </c>
      <c r="U321">
        <v>470</v>
      </c>
      <c r="V321">
        <v>463.62</v>
      </c>
      <c r="W321" t="str">
        <f t="shared" si="87"/>
        <v>rob</v>
      </c>
    </row>
    <row r="322" spans="1:23">
      <c r="A322" t="str">
        <f t="shared" si="89"/>
        <v>ASM&amp;QC-ER14P-06</v>
      </c>
      <c r="B322" t="str">
        <f>"10-2104-9000"</f>
        <v>10-2104-9000</v>
      </c>
      <c r="C322" t="str">
        <f>"Single Buffer for Slotted Table"</f>
        <v>Single Buffer for Slotted Table</v>
      </c>
      <c r="D322">
        <v>3</v>
      </c>
      <c r="E322" t="str">
        <f t="shared" si="90"/>
        <v>Assembly &amp; QC Robot ER14 (Ballgame &amp; Glue &amp; Vision &amp; Caliper &amp; ATC)</v>
      </c>
      <c r="F322">
        <v>504</v>
      </c>
      <c r="G322" t="str">
        <f t="shared" ref="G322:G385" si="92">"Y"</f>
        <v>Y</v>
      </c>
      <c r="H322" t="str">
        <f t="shared" si="91"/>
        <v>EA</v>
      </c>
      <c r="I322">
        <v>0</v>
      </c>
      <c r="J322">
        <v>0</v>
      </c>
      <c r="K322" t="str">
        <f t="shared" ref="K322:K385" si="93">"Y"</f>
        <v>Y</v>
      </c>
      <c r="L322">
        <v>0</v>
      </c>
      <c r="M322" t="str">
        <f t="shared" ref="M322:M385" si="94">"NIS"</f>
        <v>NIS</v>
      </c>
      <c r="O322">
        <v>5</v>
      </c>
      <c r="P322" t="str">
        <f>"Active"</f>
        <v>Active</v>
      </c>
      <c r="Q322" t="str">
        <f>"Single Buffer for Slotted Table(+height adapter)"</f>
        <v>Single Buffer for Slotted Table(+height adapter)</v>
      </c>
      <c r="S322" t="str">
        <f>"Single Buffer for Slotted Table(+height adapter)"</f>
        <v>Single Buffer for Slotted Table(+height adapter)</v>
      </c>
      <c r="T322">
        <v>0</v>
      </c>
      <c r="U322">
        <v>26</v>
      </c>
      <c r="V322">
        <v>25.49</v>
      </c>
      <c r="W322" t="str">
        <f t="shared" si="87"/>
        <v>rob</v>
      </c>
    </row>
    <row r="323" spans="1:23">
      <c r="A323" t="str">
        <f t="shared" si="89"/>
        <v>ASM&amp;QC-ER14P-06</v>
      </c>
      <c r="B323" t="str">
        <f>"00-1110-0000"</f>
        <v>00-1110-0000</v>
      </c>
      <c r="C323" t="str">
        <f>"Palletizing Rack"</f>
        <v>Palletizing Rack</v>
      </c>
      <c r="D323">
        <v>2</v>
      </c>
      <c r="E323" t="str">
        <f t="shared" si="90"/>
        <v>Assembly &amp; QC Robot ER14 (Ballgame &amp; Glue &amp; Vision &amp; Caliper &amp; ATC)</v>
      </c>
      <c r="F323">
        <v>504</v>
      </c>
      <c r="G323" t="str">
        <f t="shared" si="92"/>
        <v>Y</v>
      </c>
      <c r="H323" t="str">
        <f t="shared" si="91"/>
        <v>EA</v>
      </c>
      <c r="I323">
        <v>0</v>
      </c>
      <c r="J323">
        <v>0</v>
      </c>
      <c r="K323" t="str">
        <f t="shared" si="93"/>
        <v>Y</v>
      </c>
      <c r="L323">
        <v>0</v>
      </c>
      <c r="M323" t="str">
        <f t="shared" si="94"/>
        <v>NIS</v>
      </c>
      <c r="O323">
        <v>6</v>
      </c>
      <c r="P323" t="str">
        <f>"Active"</f>
        <v>Active</v>
      </c>
      <c r="Q323" t="str">
        <f>"Palletizing Rack (incl. Pins for creating Jigs)"</f>
        <v>Palletizing Rack (incl. Pins for creating Jigs)</v>
      </c>
      <c r="S323" t="str">
        <f>"Palletizing Rack (incl. Pins for creating Jigs)"</f>
        <v>Palletizing Rack (incl. Pins for creating Jigs)</v>
      </c>
      <c r="T323">
        <v>0</v>
      </c>
      <c r="U323">
        <v>63</v>
      </c>
      <c r="V323">
        <v>58.59</v>
      </c>
      <c r="W323" t="str">
        <f t="shared" si="87"/>
        <v>rob</v>
      </c>
    </row>
    <row r="324" spans="1:23">
      <c r="A324" t="str">
        <f t="shared" si="89"/>
        <v>ASM&amp;QC-ER14P-06</v>
      </c>
      <c r="B324" t="str">
        <f>"021172"</f>
        <v>021172</v>
      </c>
      <c r="C324" t="str">
        <f>"30mm Height Adapter -Rack 001110 on table 001249"</f>
        <v>30mm Height Adapter -Rack 001110 on table 001249</v>
      </c>
      <c r="D324">
        <v>2</v>
      </c>
      <c r="E324" t="str">
        <f t="shared" si="90"/>
        <v>Assembly &amp; QC Robot ER14 (Ballgame &amp; Glue &amp; Vision &amp; Caliper &amp; ATC)</v>
      </c>
      <c r="F324">
        <v>504</v>
      </c>
      <c r="G324" t="str">
        <f t="shared" si="92"/>
        <v>Y</v>
      </c>
      <c r="H324" t="str">
        <f t="shared" si="91"/>
        <v>EA</v>
      </c>
      <c r="I324">
        <v>0</v>
      </c>
      <c r="J324">
        <v>0</v>
      </c>
      <c r="K324" t="str">
        <f t="shared" si="93"/>
        <v>Y</v>
      </c>
      <c r="L324">
        <v>0</v>
      </c>
      <c r="M324" t="str">
        <f t="shared" si="94"/>
        <v>NIS</v>
      </c>
      <c r="O324">
        <v>7</v>
      </c>
      <c r="P324" t="str">
        <f>"Active"</f>
        <v>Active</v>
      </c>
      <c r="Q324" t="str">
        <f>"30mm Height Adapter -Rack 001110 on table 001249"</f>
        <v>30mm Height Adapter -Rack 001110 on table 001249</v>
      </c>
      <c r="S324" t="str">
        <f>"30mm Height Adapter -Rack 001110 on table 001249"</f>
        <v>30mm Height Adapter -Rack 001110 on table 001249</v>
      </c>
      <c r="T324">
        <v>0</v>
      </c>
      <c r="U324">
        <v>13.12</v>
      </c>
      <c r="V324">
        <v>13.44</v>
      </c>
      <c r="W324" t="str">
        <f t="shared" si="87"/>
        <v>rob</v>
      </c>
    </row>
    <row r="325" spans="1:23">
      <c r="A325" t="str">
        <f t="shared" si="89"/>
        <v>ASM&amp;QC-ER14P-06</v>
      </c>
      <c r="B325" t="str">
        <f>"21-0004-0000"</f>
        <v>21-0004-0000</v>
      </c>
      <c r="C325" t="str">
        <f>"Assembly, Dual Axis Air Vise Mechanicals"</f>
        <v>Assembly, Dual Axis Air Vise Mechanicals</v>
      </c>
      <c r="D325">
        <v>1</v>
      </c>
      <c r="E325" t="str">
        <f t="shared" si="90"/>
        <v>Assembly &amp; QC Robot ER14 (Ballgame &amp; Glue &amp; Vision &amp; Caliper &amp; ATC)</v>
      </c>
      <c r="F325">
        <v>504</v>
      </c>
      <c r="G325" t="str">
        <f t="shared" si="92"/>
        <v>Y</v>
      </c>
      <c r="H325" t="str">
        <f t="shared" si="91"/>
        <v>EA</v>
      </c>
      <c r="I325">
        <v>0</v>
      </c>
      <c r="J325">
        <v>0</v>
      </c>
      <c r="K325" t="str">
        <f t="shared" si="93"/>
        <v>Y</v>
      </c>
      <c r="L325">
        <v>0</v>
      </c>
      <c r="M325" t="str">
        <f t="shared" si="94"/>
        <v>NIS</v>
      </c>
      <c r="O325">
        <v>8</v>
      </c>
      <c r="P325" t="str">
        <f>"Phase Out"</f>
        <v>Phase Out</v>
      </c>
      <c r="Q325" t="str">
        <f>"Pneumatic Dual-Axis Vise"</f>
        <v>Pneumatic Dual-Axis Vise</v>
      </c>
      <c r="S325" t="str">
        <f>"Assembly, Dual Axis Air Vise Mechanicals"</f>
        <v>Assembly, Dual Axis Air Vise Mechanicals</v>
      </c>
      <c r="T325">
        <v>422.16</v>
      </c>
      <c r="U325">
        <v>422</v>
      </c>
      <c r="V325">
        <v>980.27</v>
      </c>
      <c r="W325" t="str">
        <f t="shared" si="87"/>
        <v>rob</v>
      </c>
    </row>
    <row r="326" spans="1:23">
      <c r="A326" t="str">
        <f t="shared" si="89"/>
        <v>ASM&amp;QC-ER14P-06</v>
      </c>
      <c r="B326" t="str">
        <f>"10-2523-4000"</f>
        <v>10-2523-4000</v>
      </c>
      <c r="C326" t="str">
        <f>"Solenoid Valve (24V) for Pipe 3 mm"</f>
        <v>Solenoid Valve (24V) for Pipe 3 mm</v>
      </c>
      <c r="D326">
        <v>1</v>
      </c>
      <c r="E326" t="str">
        <f t="shared" si="90"/>
        <v>Assembly &amp; QC Robot ER14 (Ballgame &amp; Glue &amp; Vision &amp; Caliper &amp; ATC)</v>
      </c>
      <c r="F326">
        <v>504</v>
      </c>
      <c r="G326" t="str">
        <f t="shared" si="92"/>
        <v>Y</v>
      </c>
      <c r="H326" t="str">
        <f t="shared" si="91"/>
        <v>EA</v>
      </c>
      <c r="I326">
        <v>0</v>
      </c>
      <c r="J326">
        <v>0</v>
      </c>
      <c r="K326" t="str">
        <f t="shared" si="93"/>
        <v>Y</v>
      </c>
      <c r="L326">
        <v>0</v>
      </c>
      <c r="M326" t="str">
        <f t="shared" si="94"/>
        <v>NIS</v>
      </c>
      <c r="O326">
        <v>9</v>
      </c>
      <c r="P326" t="str">
        <f t="shared" ref="P326:P347" si="95">"Active"</f>
        <v>Active</v>
      </c>
      <c r="Q326" t="str">
        <f>"Solenoid Valve (24V) for Dual Axis Vise 025207"</f>
        <v>Solenoid Valve (24V) for Dual Axis Vise 025207</v>
      </c>
      <c r="S326" t="str">
        <f>"Solenoid Valve (24V) for Pipe 3 mm"</f>
        <v>Solenoid Valve (24V) for Pipe 3 mm</v>
      </c>
      <c r="T326">
        <v>0</v>
      </c>
      <c r="U326">
        <v>137</v>
      </c>
      <c r="V326">
        <v>133.35</v>
      </c>
      <c r="W326" t="str">
        <f t="shared" si="87"/>
        <v>rob</v>
      </c>
    </row>
    <row r="327" spans="1:23">
      <c r="A327" t="str">
        <f t="shared" si="89"/>
        <v>ASM&amp;QC-ER14P-06</v>
      </c>
      <c r="B327" t="str">
        <f>"00-1230-0000"</f>
        <v>00-1230-0000</v>
      </c>
      <c r="C327" t="str">
        <f>"Ball Feeder (incl. sensor for ball counting)"</f>
        <v>Ball Feeder (incl. sensor for ball counting)</v>
      </c>
      <c r="D327">
        <v>1</v>
      </c>
      <c r="E327" t="str">
        <f t="shared" si="90"/>
        <v>Assembly &amp; QC Robot ER14 (Ballgame &amp; Glue &amp; Vision &amp; Caliper &amp; ATC)</v>
      </c>
      <c r="F327">
        <v>504</v>
      </c>
      <c r="G327" t="str">
        <f t="shared" si="92"/>
        <v>Y</v>
      </c>
      <c r="H327" t="str">
        <f t="shared" si="91"/>
        <v>EA</v>
      </c>
      <c r="I327">
        <v>0</v>
      </c>
      <c r="J327">
        <v>0</v>
      </c>
      <c r="K327" t="str">
        <f t="shared" si="93"/>
        <v>Y</v>
      </c>
      <c r="L327">
        <v>0</v>
      </c>
      <c r="M327" t="str">
        <f t="shared" si="94"/>
        <v>NIS</v>
      </c>
      <c r="O327">
        <v>10</v>
      </c>
      <c r="P327" t="str">
        <f t="shared" si="95"/>
        <v>Active</v>
      </c>
      <c r="Q327" t="str">
        <f>"Ball Feeder (incl. sensor for ball counting)"</f>
        <v>Ball Feeder (incl. sensor for ball counting)</v>
      </c>
      <c r="S327" t="str">
        <f>"Ball Feeder (incl. sensor for ball counting)"</f>
        <v>Ball Feeder (incl. sensor for ball counting)</v>
      </c>
      <c r="T327">
        <v>0</v>
      </c>
      <c r="U327">
        <v>536</v>
      </c>
      <c r="V327">
        <v>530.72</v>
      </c>
      <c r="W327" t="str">
        <f t="shared" si="87"/>
        <v>rob</v>
      </c>
    </row>
    <row r="328" spans="1:23">
      <c r="A328" t="str">
        <f t="shared" si="89"/>
        <v>ASM&amp;QC-ER14P-06</v>
      </c>
      <c r="B328" t="str">
        <f>"00-1243-0000"</f>
        <v>00-1243-0000</v>
      </c>
      <c r="C328" t="str">
        <f>"Ball Game Set (Assembly with Plastic Pins)"</f>
        <v>Ball Game Set (Assembly with Plastic Pins)</v>
      </c>
      <c r="D328">
        <v>12</v>
      </c>
      <c r="E328" t="str">
        <f t="shared" si="90"/>
        <v>Assembly &amp; QC Robot ER14 (Ballgame &amp; Glue &amp; Vision &amp; Caliper &amp; ATC)</v>
      </c>
      <c r="F328">
        <v>504</v>
      </c>
      <c r="G328" t="str">
        <f t="shared" si="92"/>
        <v>Y</v>
      </c>
      <c r="H328" t="str">
        <f t="shared" si="91"/>
        <v>EA</v>
      </c>
      <c r="I328">
        <v>0</v>
      </c>
      <c r="J328">
        <v>0</v>
      </c>
      <c r="K328" t="str">
        <f t="shared" si="93"/>
        <v>Y</v>
      </c>
      <c r="L328">
        <v>0</v>
      </c>
      <c r="M328" t="str">
        <f t="shared" si="94"/>
        <v>NIS</v>
      </c>
      <c r="O328">
        <v>11</v>
      </c>
      <c r="P328" t="str">
        <f t="shared" si="95"/>
        <v>Active</v>
      </c>
      <c r="Q328" t="str">
        <f>"Ball Game Set (Assembly with Plastic Pins)"</f>
        <v>Ball Game Set (Assembly with Plastic Pins)</v>
      </c>
      <c r="S328" t="str">
        <f>"Ball Game Set (Assembly with Plastic Pins)"</f>
        <v>Ball Game Set (Assembly with Plastic Pins)</v>
      </c>
      <c r="T328">
        <v>0</v>
      </c>
      <c r="U328">
        <v>32</v>
      </c>
      <c r="V328">
        <v>34.770000000000003</v>
      </c>
      <c r="W328" t="str">
        <f t="shared" si="87"/>
        <v>rob</v>
      </c>
    </row>
    <row r="329" spans="1:23">
      <c r="A329" t="str">
        <f t="shared" si="89"/>
        <v>ASM&amp;QC-ER14P-06</v>
      </c>
      <c r="B329" t="str">
        <f>"00-1236-0000"</f>
        <v>00-1236-0000</v>
      </c>
      <c r="C329" t="str">
        <f>"Automatic Glue Dispenser"</f>
        <v>Automatic Glue Dispenser</v>
      </c>
      <c r="D329">
        <v>1</v>
      </c>
      <c r="E329" t="str">
        <f t="shared" si="90"/>
        <v>Assembly &amp; QC Robot ER14 (Ballgame &amp; Glue &amp; Vision &amp; Caliper &amp; ATC)</v>
      </c>
      <c r="F329">
        <v>504</v>
      </c>
      <c r="G329" t="str">
        <f t="shared" si="92"/>
        <v>Y</v>
      </c>
      <c r="H329" t="str">
        <f t="shared" si="91"/>
        <v>EA</v>
      </c>
      <c r="I329">
        <v>0</v>
      </c>
      <c r="J329">
        <v>0</v>
      </c>
      <c r="K329" t="str">
        <f t="shared" si="93"/>
        <v>Y</v>
      </c>
      <c r="L329">
        <v>0</v>
      </c>
      <c r="M329" t="str">
        <f t="shared" si="94"/>
        <v>NIS</v>
      </c>
      <c r="O329">
        <v>12</v>
      </c>
      <c r="P329" t="str">
        <f t="shared" si="95"/>
        <v>Active</v>
      </c>
      <c r="Q329" t="str">
        <f>"Automatic Glue Dispenser"</f>
        <v>Automatic Glue Dispenser</v>
      </c>
      <c r="S329" t="str">
        <f>"Automatic Glue Dispenser"</f>
        <v>Automatic Glue Dispenser</v>
      </c>
      <c r="T329">
        <v>0</v>
      </c>
      <c r="U329" s="44">
        <v>1100</v>
      </c>
      <c r="V329" s="44">
        <v>1097.3699999999999</v>
      </c>
      <c r="W329" t="str">
        <f t="shared" si="87"/>
        <v>rob</v>
      </c>
    </row>
    <row r="330" spans="1:23">
      <c r="A330" t="str">
        <f t="shared" si="89"/>
        <v>ASM&amp;QC-ER14P-06</v>
      </c>
      <c r="B330" t="str">
        <f>"00-1254-0000"</f>
        <v>00-1254-0000</v>
      </c>
      <c r="C330" t="str">
        <f>"Automated Stationary Caliper Unit"</f>
        <v>Automated Stationary Caliper Unit</v>
      </c>
      <c r="D330">
        <v>1</v>
      </c>
      <c r="E330" t="str">
        <f t="shared" si="90"/>
        <v>Assembly &amp; QC Robot ER14 (Ballgame &amp; Glue &amp; Vision &amp; Caliper &amp; ATC)</v>
      </c>
      <c r="F330">
        <v>504</v>
      </c>
      <c r="G330" t="str">
        <f t="shared" si="92"/>
        <v>Y</v>
      </c>
      <c r="H330" t="str">
        <f t="shared" si="91"/>
        <v>EA</v>
      </c>
      <c r="I330">
        <v>0</v>
      </c>
      <c r="J330">
        <v>0</v>
      </c>
      <c r="K330" t="str">
        <f t="shared" si="93"/>
        <v>Y</v>
      </c>
      <c r="L330">
        <v>0</v>
      </c>
      <c r="M330" t="str">
        <f t="shared" si="94"/>
        <v>NIS</v>
      </c>
      <c r="O330">
        <v>13</v>
      </c>
      <c r="P330" t="str">
        <f t="shared" si="95"/>
        <v>Active</v>
      </c>
      <c r="Q330" t="str">
        <f>"Automat Stationary Caliper  Unit"</f>
        <v>Automat Stationary Caliper  Unit</v>
      </c>
      <c r="S330" t="str">
        <f>"Automat Stationary Caliper  Unit"</f>
        <v>Automat Stationary Caliper  Unit</v>
      </c>
      <c r="T330">
        <v>0</v>
      </c>
      <c r="U330" s="44">
        <v>1165.92</v>
      </c>
      <c r="V330" s="44">
        <v>1246.44</v>
      </c>
      <c r="W330" t="str">
        <f t="shared" si="87"/>
        <v>rob</v>
      </c>
    </row>
    <row r="331" spans="1:23">
      <c r="A331" t="str">
        <f t="shared" si="89"/>
        <v>ASM&amp;QC-ER14P-06</v>
      </c>
      <c r="B331" t="str">
        <f>"113316"</f>
        <v>113316</v>
      </c>
      <c r="C331" t="str">
        <f>"Parts Bin"</f>
        <v>Parts Bin</v>
      </c>
      <c r="D331">
        <v>1</v>
      </c>
      <c r="E331" t="str">
        <f t="shared" si="90"/>
        <v>Assembly &amp; QC Robot ER14 (Ballgame &amp; Glue &amp; Vision &amp; Caliper &amp; ATC)</v>
      </c>
      <c r="F331">
        <v>504</v>
      </c>
      <c r="G331" t="str">
        <f t="shared" si="92"/>
        <v>Y</v>
      </c>
      <c r="H331" t="str">
        <f t="shared" si="91"/>
        <v>EA</v>
      </c>
      <c r="I331">
        <v>0</v>
      </c>
      <c r="J331">
        <v>0</v>
      </c>
      <c r="K331" t="str">
        <f t="shared" si="93"/>
        <v>Y</v>
      </c>
      <c r="L331">
        <v>0</v>
      </c>
      <c r="M331" t="str">
        <f t="shared" si="94"/>
        <v>NIS</v>
      </c>
      <c r="O331">
        <v>14</v>
      </c>
      <c r="P331" t="str">
        <f t="shared" si="95"/>
        <v>Active</v>
      </c>
      <c r="Q331" t="str">
        <f>"Parts Bin; Plastic Box"</f>
        <v>Parts Bin; Plastic Box</v>
      </c>
      <c r="R331" t="str">
        <f>"1"</f>
        <v>1</v>
      </c>
      <c r="S331" t="str">
        <f>"Parts Bin; Plastic Box"</f>
        <v>Parts Bin; Plastic Box</v>
      </c>
      <c r="T331">
        <v>0</v>
      </c>
      <c r="U331">
        <v>8.0399999999999991</v>
      </c>
      <c r="V331">
        <v>6.39</v>
      </c>
      <c r="W331" t="str">
        <f t="shared" si="87"/>
        <v>rob</v>
      </c>
    </row>
    <row r="332" spans="1:23">
      <c r="A332" t="str">
        <f t="shared" si="89"/>
        <v>ASM&amp;QC-ER14P-06</v>
      </c>
      <c r="B332" t="str">
        <f>"00-1013-0000"</f>
        <v>00-1013-0000</v>
      </c>
      <c r="C332" t="str">
        <f>"Linear Positioning Table 300mm"</f>
        <v>Linear Positioning Table 300mm</v>
      </c>
      <c r="D332">
        <v>1</v>
      </c>
      <c r="E332" t="str">
        <f t="shared" si="90"/>
        <v>Assembly &amp; QC Robot ER14 (Ballgame &amp; Glue &amp; Vision &amp; Caliper &amp; ATC)</v>
      </c>
      <c r="F332">
        <v>504</v>
      </c>
      <c r="G332" t="str">
        <f t="shared" si="92"/>
        <v>Y</v>
      </c>
      <c r="H332" t="str">
        <f t="shared" si="91"/>
        <v>EA</v>
      </c>
      <c r="I332">
        <v>0</v>
      </c>
      <c r="J332">
        <v>0</v>
      </c>
      <c r="K332" t="str">
        <f t="shared" si="93"/>
        <v>Y</v>
      </c>
      <c r="L332">
        <v>0</v>
      </c>
      <c r="M332" t="str">
        <f t="shared" si="94"/>
        <v>NIS</v>
      </c>
      <c r="O332">
        <v>15</v>
      </c>
      <c r="P332" t="str">
        <f t="shared" si="95"/>
        <v>Active</v>
      </c>
      <c r="Q332" t="str">
        <f>"Linear Positioning Table 300mm (Belt Drive, 24V)"</f>
        <v>Linear Positioning Table 300mm (Belt Drive, 24V)</v>
      </c>
      <c r="S332" t="str">
        <f>"Linear Positioning Table 300mm (Belt Drive, 24V)"</f>
        <v>Linear Positioning Table 300mm (Belt Drive, 24V)</v>
      </c>
      <c r="T332">
        <v>0</v>
      </c>
      <c r="U332">
        <v>894.02</v>
      </c>
      <c r="V332">
        <v>879.29</v>
      </c>
      <c r="W332" t="str">
        <f t="shared" si="87"/>
        <v>rob</v>
      </c>
    </row>
    <row r="333" spans="1:23">
      <c r="A333" t="str">
        <f t="shared" si="89"/>
        <v>ASM&amp;QC-ER14P-06</v>
      </c>
      <c r="B333" t="str">
        <f>"00-1422-0000"</f>
        <v>00-1422-0000</v>
      </c>
      <c r="C333" t="str">
        <f>"Viewflex for QC (Stand 400mm)"</f>
        <v>Viewflex for QC (Stand 400mm)</v>
      </c>
      <c r="D333">
        <v>1</v>
      </c>
      <c r="E333" t="str">
        <f t="shared" si="90"/>
        <v>Assembly &amp; QC Robot ER14 (Ballgame &amp; Glue &amp; Vision &amp; Caliper &amp; ATC)</v>
      </c>
      <c r="F333">
        <v>504</v>
      </c>
      <c r="G333" t="str">
        <f t="shared" si="92"/>
        <v>Y</v>
      </c>
      <c r="H333" t="str">
        <f t="shared" si="91"/>
        <v>EA</v>
      </c>
      <c r="I333">
        <v>0</v>
      </c>
      <c r="J333">
        <v>0</v>
      </c>
      <c r="K333" t="str">
        <f t="shared" si="93"/>
        <v>Y</v>
      </c>
      <c r="L333">
        <v>0</v>
      </c>
      <c r="M333" t="str">
        <f t="shared" si="94"/>
        <v>NIS</v>
      </c>
      <c r="O333">
        <v>16</v>
      </c>
      <c r="P333" t="str">
        <f t="shared" si="95"/>
        <v>Active</v>
      </c>
      <c r="Q333" t="str">
        <f>"Viewflex for QC (Stand 400mm)"</f>
        <v>Viewflex for QC (Stand 400mm)</v>
      </c>
      <c r="S333" t="str">
        <f>"Viewflex for QC (Stand 400mm)"</f>
        <v>Viewflex for QC (Stand 400mm)</v>
      </c>
      <c r="T333">
        <v>0</v>
      </c>
      <c r="U333">
        <v>560</v>
      </c>
      <c r="V333">
        <v>511.35</v>
      </c>
      <c r="W333" t="str">
        <f t="shared" si="87"/>
        <v>rob</v>
      </c>
    </row>
    <row r="334" spans="1:23">
      <c r="A334" t="str">
        <f t="shared" si="89"/>
        <v>ASM&amp;QC-ER14P-06</v>
      </c>
      <c r="B334" t="str">
        <f>"113316"</f>
        <v>113316</v>
      </c>
      <c r="C334" t="str">
        <f>"Parts Bin"</f>
        <v>Parts Bin</v>
      </c>
      <c r="D334">
        <v>1</v>
      </c>
      <c r="E334" t="str">
        <f t="shared" si="90"/>
        <v>Assembly &amp; QC Robot ER14 (Ballgame &amp; Glue &amp; Vision &amp; Caliper &amp; ATC)</v>
      </c>
      <c r="F334">
        <v>504</v>
      </c>
      <c r="G334" t="str">
        <f t="shared" si="92"/>
        <v>Y</v>
      </c>
      <c r="H334" t="str">
        <f t="shared" si="91"/>
        <v>EA</v>
      </c>
      <c r="I334">
        <v>0</v>
      </c>
      <c r="J334">
        <v>0</v>
      </c>
      <c r="K334" t="str">
        <f t="shared" si="93"/>
        <v>Y</v>
      </c>
      <c r="L334">
        <v>0</v>
      </c>
      <c r="M334" t="str">
        <f t="shared" si="94"/>
        <v>NIS</v>
      </c>
      <c r="O334">
        <v>17</v>
      </c>
      <c r="P334" t="str">
        <f t="shared" si="95"/>
        <v>Active</v>
      </c>
      <c r="Q334" t="str">
        <f>"Parts Bin; Plastic Box"</f>
        <v>Parts Bin; Plastic Box</v>
      </c>
      <c r="R334" t="str">
        <f>"1"</f>
        <v>1</v>
      </c>
      <c r="S334" t="str">
        <f>"Parts Bin; Plastic Box"</f>
        <v>Parts Bin; Plastic Box</v>
      </c>
      <c r="T334">
        <v>0</v>
      </c>
      <c r="U334">
        <v>8.0399999999999991</v>
      </c>
      <c r="V334">
        <v>6.39</v>
      </c>
      <c r="W334" t="str">
        <f t="shared" si="87"/>
        <v>rob</v>
      </c>
    </row>
    <row r="335" spans="1:23">
      <c r="A335" t="str">
        <f t="shared" si="89"/>
        <v>ASM&amp;QC-ER14P-06</v>
      </c>
      <c r="B335" t="str">
        <f>"112713"</f>
        <v>112713</v>
      </c>
      <c r="C335" t="str">
        <f>"Marked Aluminum Cylinder"</f>
        <v>Marked Aluminum Cylinder</v>
      </c>
      <c r="D335">
        <v>3</v>
      </c>
      <c r="E335" t="str">
        <f t="shared" si="90"/>
        <v>Assembly &amp; QC Robot ER14 (Ballgame &amp; Glue &amp; Vision &amp; Caliper &amp; ATC)</v>
      </c>
      <c r="F335">
        <v>504</v>
      </c>
      <c r="G335" t="str">
        <f t="shared" si="92"/>
        <v>Y</v>
      </c>
      <c r="H335" t="str">
        <f t="shared" si="91"/>
        <v>EA</v>
      </c>
      <c r="I335">
        <v>0</v>
      </c>
      <c r="J335">
        <v>0</v>
      </c>
      <c r="K335" t="str">
        <f t="shared" si="93"/>
        <v>Y</v>
      </c>
      <c r="L335">
        <v>0</v>
      </c>
      <c r="M335" t="str">
        <f t="shared" si="94"/>
        <v>NIS</v>
      </c>
      <c r="O335">
        <v>18</v>
      </c>
      <c r="P335" t="str">
        <f t="shared" si="95"/>
        <v>Active</v>
      </c>
      <c r="Q335" t="str">
        <f>"Mark Al. Cylinder Diam. 35x28 MicroCIM"</f>
        <v>Mark Al. Cylinder Diam. 35x28 MicroCIM</v>
      </c>
      <c r="S335" t="str">
        <f>"Mark Al. Cylinder Diam. 35x28"</f>
        <v>Mark Al. Cylinder Diam. 35x28</v>
      </c>
      <c r="T335">
        <v>0</v>
      </c>
      <c r="U335">
        <v>6</v>
      </c>
      <c r="V335">
        <v>5.97</v>
      </c>
      <c r="W335" t="str">
        <f t="shared" si="87"/>
        <v>rob</v>
      </c>
    </row>
    <row r="336" spans="1:23">
      <c r="A336" t="str">
        <f t="shared" si="89"/>
        <v>ASM&amp;QC-ER14P-06</v>
      </c>
      <c r="B336" t="str">
        <f>"113096"</f>
        <v>113096</v>
      </c>
      <c r="C336" t="str">
        <f>"Plexiglass Cylinders Base"</f>
        <v>Plexiglass Cylinders Base</v>
      </c>
      <c r="D336">
        <v>3</v>
      </c>
      <c r="E336" t="str">
        <f t="shared" si="90"/>
        <v>Assembly &amp; QC Robot ER14 (Ballgame &amp; Glue &amp; Vision &amp; Caliper &amp; ATC)</v>
      </c>
      <c r="F336">
        <v>504</v>
      </c>
      <c r="G336" t="str">
        <f t="shared" si="92"/>
        <v>Y</v>
      </c>
      <c r="H336" t="str">
        <f t="shared" si="91"/>
        <v>EA</v>
      </c>
      <c r="I336">
        <v>0</v>
      </c>
      <c r="J336">
        <v>0</v>
      </c>
      <c r="K336" t="str">
        <f t="shared" si="93"/>
        <v>Y</v>
      </c>
      <c r="L336">
        <v>0</v>
      </c>
      <c r="M336" t="str">
        <f t="shared" si="94"/>
        <v>NIS</v>
      </c>
      <c r="O336">
        <v>19</v>
      </c>
      <c r="P336" t="str">
        <f t="shared" si="95"/>
        <v>Active</v>
      </c>
      <c r="Q336" t="str">
        <f>"Plexiglass Cylinders Base MicroCIM"</f>
        <v>Plexiglass Cylinders Base MicroCIM</v>
      </c>
      <c r="S336" t="str">
        <f>"Plexiglass Cylinders Base"</f>
        <v>Plexiglass Cylinders Base</v>
      </c>
      <c r="T336">
        <v>0</v>
      </c>
      <c r="U336">
        <v>7</v>
      </c>
      <c r="V336">
        <v>6.83</v>
      </c>
      <c r="W336" t="str">
        <f t="shared" si="87"/>
        <v>rob</v>
      </c>
    </row>
    <row r="337" spans="1:23">
      <c r="A337" t="str">
        <f t="shared" si="89"/>
        <v>ASM&amp;QC-ER14P-06</v>
      </c>
      <c r="B337" t="str">
        <f>"00-1249-0000"</f>
        <v>00-1249-0000</v>
      </c>
      <c r="C337" t="str">
        <f>"Workbench 1500x800mm (slotted aluminum top)"</f>
        <v>Workbench 1500x800mm (slotted aluminum top)</v>
      </c>
      <c r="D337">
        <v>1</v>
      </c>
      <c r="E337" t="str">
        <f t="shared" si="90"/>
        <v>Assembly &amp; QC Robot ER14 (Ballgame &amp; Glue &amp; Vision &amp; Caliper &amp; ATC)</v>
      </c>
      <c r="F337">
        <v>504</v>
      </c>
      <c r="G337" t="str">
        <f t="shared" si="92"/>
        <v>Y</v>
      </c>
      <c r="H337" t="str">
        <f t="shared" si="91"/>
        <v>EA</v>
      </c>
      <c r="I337">
        <v>0</v>
      </c>
      <c r="J337">
        <v>0</v>
      </c>
      <c r="K337" t="str">
        <f t="shared" si="93"/>
        <v>Y</v>
      </c>
      <c r="L337">
        <v>0</v>
      </c>
      <c r="M337" t="str">
        <f t="shared" si="94"/>
        <v>NIS</v>
      </c>
      <c r="O337">
        <v>20</v>
      </c>
      <c r="P337" t="str">
        <f t="shared" si="95"/>
        <v>Active</v>
      </c>
      <c r="Q337" t="str">
        <f>"Workbench 1500x800mm (slotted aluminum top)"</f>
        <v>Workbench 1500x800mm (slotted aluminum top)</v>
      </c>
      <c r="S337" t="str">
        <f>"Workbench 1500x800mm (slotted aluminum top)"</f>
        <v>Workbench 1500x800mm (slotted aluminum top)</v>
      </c>
      <c r="T337">
        <v>0</v>
      </c>
      <c r="U337" s="44">
        <v>1100</v>
      </c>
      <c r="V337" s="44">
        <v>1083.57</v>
      </c>
      <c r="W337" t="str">
        <f t="shared" si="87"/>
        <v>rob</v>
      </c>
    </row>
    <row r="338" spans="1:23">
      <c r="A338" t="str">
        <f t="shared" si="89"/>
        <v>ASM&amp;QC-ER14P-06</v>
      </c>
      <c r="B338" t="str">
        <f>"00-1241-0000"</f>
        <v>00-1241-0000</v>
      </c>
      <c r="C338" t="str">
        <f>"Adapter Mounting Plate for ER9/14Pro &amp; HP3"</f>
        <v>Adapter Mounting Plate for ER9/14Pro &amp; HP3</v>
      </c>
      <c r="D338">
        <v>1</v>
      </c>
      <c r="E338" t="str">
        <f t="shared" si="90"/>
        <v>Assembly &amp; QC Robot ER14 (Ballgame &amp; Glue &amp; Vision &amp; Caliper &amp; ATC)</v>
      </c>
      <c r="F338">
        <v>504</v>
      </c>
      <c r="G338" t="str">
        <f t="shared" si="92"/>
        <v>Y</v>
      </c>
      <c r="H338" t="str">
        <f t="shared" si="91"/>
        <v>EA</v>
      </c>
      <c r="I338">
        <v>0</v>
      </c>
      <c r="J338">
        <v>0</v>
      </c>
      <c r="K338" t="str">
        <f t="shared" si="93"/>
        <v>Y</v>
      </c>
      <c r="L338">
        <v>0</v>
      </c>
      <c r="M338" t="str">
        <f t="shared" si="94"/>
        <v>NIS</v>
      </c>
      <c r="O338">
        <v>21</v>
      </c>
      <c r="P338" t="str">
        <f t="shared" si="95"/>
        <v>Active</v>
      </c>
      <c r="Q338" t="str">
        <f>"Adapter Mounting Plate for ER9/14Pro &amp; HP3"</f>
        <v>Adapter Mounting Plate for ER9/14Pro &amp; HP3</v>
      </c>
      <c r="S338" t="str">
        <f>"Adapter Mounting Plate for ER9/14Pro &amp; HP3"</f>
        <v>Adapter Mounting Plate for ER9/14Pro &amp; HP3</v>
      </c>
      <c r="T338">
        <v>0</v>
      </c>
      <c r="U338">
        <v>145</v>
      </c>
      <c r="V338">
        <v>153.93</v>
      </c>
      <c r="W338" t="str">
        <f t="shared" si="87"/>
        <v>rob</v>
      </c>
    </row>
    <row r="339" spans="1:23">
      <c r="A339" t="str">
        <f t="shared" si="89"/>
        <v>ASM&amp;QC-ER14P-06</v>
      </c>
      <c r="B339" t="str">
        <f>"00-1260-0000"</f>
        <v>00-1260-0000</v>
      </c>
      <c r="C339" t="str">
        <f>"PC Extension Shelf  600x800mm"</f>
        <v>PC Extension Shelf  600x800mm</v>
      </c>
      <c r="D339">
        <v>1</v>
      </c>
      <c r="E339" t="str">
        <f t="shared" si="90"/>
        <v>Assembly &amp; QC Robot ER14 (Ballgame &amp; Glue &amp; Vision &amp; Caliper &amp; ATC)</v>
      </c>
      <c r="F339">
        <v>504</v>
      </c>
      <c r="G339" t="str">
        <f t="shared" si="92"/>
        <v>Y</v>
      </c>
      <c r="H339" t="str">
        <f t="shared" si="91"/>
        <v>EA</v>
      </c>
      <c r="I339">
        <v>0</v>
      </c>
      <c r="J339">
        <v>0</v>
      </c>
      <c r="K339" t="str">
        <f t="shared" si="93"/>
        <v>Y</v>
      </c>
      <c r="L339">
        <v>0</v>
      </c>
      <c r="M339" t="str">
        <f t="shared" si="94"/>
        <v>NIS</v>
      </c>
      <c r="O339">
        <v>22</v>
      </c>
      <c r="P339" t="str">
        <f t="shared" si="95"/>
        <v>Active</v>
      </c>
      <c r="Q339" t="str">
        <f>"PC Extension Shelf  600x800mm"</f>
        <v>PC Extension Shelf  600x800mm</v>
      </c>
      <c r="S339" t="str">
        <f>"PC Extension Shelf  600x800mm"</f>
        <v>PC Extension Shelf  600x800mm</v>
      </c>
      <c r="T339">
        <v>0</v>
      </c>
      <c r="U339">
        <v>192</v>
      </c>
      <c r="V339">
        <v>195.4</v>
      </c>
      <c r="W339" t="str">
        <f t="shared" si="87"/>
        <v>rob</v>
      </c>
    </row>
    <row r="340" spans="1:23">
      <c r="A340" t="str">
        <f t="shared" si="89"/>
        <v>ASM&amp;QC-ER14P-06</v>
      </c>
      <c r="B340" t="str">
        <f>"50-0094-0000"</f>
        <v>50-0094-0000</v>
      </c>
      <c r="C340" t="str">
        <f>"Pre-Engineering, Design and Testing"</f>
        <v>Pre-Engineering, Design and Testing</v>
      </c>
      <c r="D340">
        <v>1</v>
      </c>
      <c r="E340" t="str">
        <f t="shared" si="90"/>
        <v>Assembly &amp; QC Robot ER14 (Ballgame &amp; Glue &amp; Vision &amp; Caliper &amp; ATC)</v>
      </c>
      <c r="F340">
        <v>504</v>
      </c>
      <c r="G340" t="str">
        <f t="shared" si="92"/>
        <v>Y</v>
      </c>
      <c r="H340" t="str">
        <f>"DA"</f>
        <v>DA</v>
      </c>
      <c r="I340">
        <v>0</v>
      </c>
      <c r="J340">
        <v>0</v>
      </c>
      <c r="K340" t="str">
        <f t="shared" si="93"/>
        <v>Y</v>
      </c>
      <c r="L340">
        <v>0</v>
      </c>
      <c r="M340" t="str">
        <f t="shared" si="94"/>
        <v>NIS</v>
      </c>
      <c r="O340">
        <v>23</v>
      </c>
      <c r="P340" t="str">
        <f t="shared" si="95"/>
        <v>Active</v>
      </c>
      <c r="Q340" t="str">
        <f>"Pre-Engineering, Design and Testing"</f>
        <v>Pre-Engineering, Design and Testing</v>
      </c>
      <c r="S340" t="str">
        <f>"Pre-Engineering, Design and Testing"</f>
        <v>Pre-Engineering, Design and Testing</v>
      </c>
      <c r="T340">
        <v>0</v>
      </c>
      <c r="U340">
        <v>405</v>
      </c>
      <c r="V340">
        <v>421.2</v>
      </c>
      <c r="W340" t="str">
        <f t="shared" si="87"/>
        <v>rob</v>
      </c>
    </row>
    <row r="341" spans="1:23">
      <c r="A341" t="str">
        <f t="shared" ref="A341:A363" si="96">"ASM&amp;QC-ER14P-07"</f>
        <v>ASM&amp;QC-ER14P-07</v>
      </c>
      <c r="B341" t="str">
        <f>"00-0432-0000"</f>
        <v>00-0432-0000</v>
      </c>
      <c r="C341" t="str">
        <f>"SCORA-ER 14Pro"</f>
        <v>SCORA-ER 14Pro</v>
      </c>
      <c r="D341">
        <v>1</v>
      </c>
      <c r="E341" t="str">
        <f t="shared" ref="E341:E363" si="97">"Assembly&amp;QC Robot ER14 (Ballgame &amp; Glue &amp; Vision &amp; Caliper)"</f>
        <v>Assembly&amp;QC Robot ER14 (Ballgame &amp; Glue &amp; Vision &amp; Caliper)</v>
      </c>
      <c r="F341">
        <v>504</v>
      </c>
      <c r="G341" t="str">
        <f t="shared" si="92"/>
        <v>Y</v>
      </c>
      <c r="H341" t="str">
        <f t="shared" ref="H341:H362" si="98">"EA"</f>
        <v>EA</v>
      </c>
      <c r="I341">
        <v>0</v>
      </c>
      <c r="J341">
        <v>0</v>
      </c>
      <c r="K341" t="str">
        <f t="shared" si="93"/>
        <v>Y</v>
      </c>
      <c r="L341">
        <v>0</v>
      </c>
      <c r="M341" t="str">
        <f t="shared" si="94"/>
        <v>NIS</v>
      </c>
      <c r="O341">
        <v>1</v>
      </c>
      <c r="P341" t="str">
        <f t="shared" si="95"/>
        <v>Active</v>
      </c>
      <c r="Q341" t="str">
        <f>"SCORA-ER 14Pro (incl. USB-Pro Controller)"</f>
        <v>SCORA-ER 14Pro (incl. USB-Pro Controller)</v>
      </c>
      <c r="S341" t="str">
        <f>"SCORA-ER 14Pro (incl. USB-Pro Controller)"</f>
        <v>SCORA-ER 14Pro (incl. USB-Pro Controller)</v>
      </c>
      <c r="T341">
        <v>0</v>
      </c>
      <c r="U341" s="44">
        <v>11400</v>
      </c>
      <c r="V341" s="44">
        <v>12383.77</v>
      </c>
      <c r="W341" t="str">
        <f t="shared" si="87"/>
        <v>rob</v>
      </c>
    </row>
    <row r="342" spans="1:23">
      <c r="A342" t="str">
        <f t="shared" si="96"/>
        <v>ASM&amp;QC-ER14P-07</v>
      </c>
      <c r="B342" t="str">
        <f>"00-0634-0000"</f>
        <v>00-0634-0000</v>
      </c>
      <c r="C342" t="str">
        <f>"Pneumatic Gripper for ER 14Pro"</f>
        <v>Pneumatic Gripper for ER 14Pro</v>
      </c>
      <c r="D342">
        <v>1</v>
      </c>
      <c r="E342" t="str">
        <f t="shared" si="97"/>
        <v>Assembly&amp;QC Robot ER14 (Ballgame &amp; Glue &amp; Vision &amp; Caliper)</v>
      </c>
      <c r="F342">
        <v>504</v>
      </c>
      <c r="G342" t="str">
        <f t="shared" si="92"/>
        <v>Y</v>
      </c>
      <c r="H342" t="str">
        <f t="shared" si="98"/>
        <v>EA</v>
      </c>
      <c r="I342">
        <v>0</v>
      </c>
      <c r="J342">
        <v>0</v>
      </c>
      <c r="K342" t="str">
        <f t="shared" si="93"/>
        <v>Y</v>
      </c>
      <c r="L342">
        <v>0</v>
      </c>
      <c r="M342" t="str">
        <f t="shared" si="94"/>
        <v>NIS</v>
      </c>
      <c r="O342">
        <v>2</v>
      </c>
      <c r="P342" t="str">
        <f t="shared" si="95"/>
        <v>Active</v>
      </c>
      <c r="Q342" t="str">
        <f>"Pneumatic Gripper for ER 14Pro"</f>
        <v>Pneumatic Gripper for ER 14Pro</v>
      </c>
      <c r="S342" t="str">
        <f>"Pneumatic Gripper for ER 14Pro"</f>
        <v>Pneumatic Gripper for ER 14Pro</v>
      </c>
      <c r="T342">
        <v>0</v>
      </c>
      <c r="U342">
        <v>651</v>
      </c>
      <c r="V342">
        <v>647.6</v>
      </c>
      <c r="W342" t="str">
        <f t="shared" si="87"/>
        <v>rob</v>
      </c>
    </row>
    <row r="343" spans="1:23">
      <c r="A343" t="str">
        <f t="shared" si="96"/>
        <v>ASM&amp;QC-ER14P-07</v>
      </c>
      <c r="B343" t="str">
        <f>"00-1710-0000"</f>
        <v>00-1710-0000</v>
      </c>
      <c r="C343" t="str">
        <f>"Teach Pendant"</f>
        <v>Teach Pendant</v>
      </c>
      <c r="D343">
        <v>1</v>
      </c>
      <c r="E343" t="str">
        <f t="shared" si="97"/>
        <v>Assembly&amp;QC Robot ER14 (Ballgame &amp; Glue &amp; Vision &amp; Caliper)</v>
      </c>
      <c r="F343">
        <v>504</v>
      </c>
      <c r="G343" t="str">
        <f t="shared" si="92"/>
        <v>Y</v>
      </c>
      <c r="H343" t="str">
        <f t="shared" si="98"/>
        <v>EA</v>
      </c>
      <c r="I343">
        <v>0</v>
      </c>
      <c r="J343">
        <v>0</v>
      </c>
      <c r="K343" t="str">
        <f t="shared" si="93"/>
        <v>Y</v>
      </c>
      <c r="L343">
        <v>0</v>
      </c>
      <c r="M343" t="str">
        <f t="shared" si="94"/>
        <v>NIS</v>
      </c>
      <c r="O343">
        <v>3</v>
      </c>
      <c r="P343" t="str">
        <f t="shared" si="95"/>
        <v>Active</v>
      </c>
      <c r="Q343" t="str">
        <f>"Teach Pendant for USB/USB Pro Controllers"</f>
        <v>Teach Pendant for USB/USB Pro Controllers</v>
      </c>
      <c r="S343" t="str">
        <f>"Teach Pendant for USB/USB Pro Controllers"</f>
        <v>Teach Pendant for USB/USB Pro Controllers</v>
      </c>
      <c r="T343">
        <v>0</v>
      </c>
      <c r="U343">
        <v>160.18</v>
      </c>
      <c r="V343">
        <v>161.44999999999999</v>
      </c>
      <c r="W343" t="str">
        <f t="shared" si="87"/>
        <v>rob</v>
      </c>
    </row>
    <row r="344" spans="1:23">
      <c r="A344" t="str">
        <f t="shared" si="96"/>
        <v>ASM&amp;QC-ER14P-07</v>
      </c>
      <c r="B344" t="str">
        <f>"034025"</f>
        <v>034025</v>
      </c>
      <c r="C344" t="str">
        <f>"I/O Interface Box for Controller USB-PRO"</f>
        <v>I/O Interface Box for Controller USB-PRO</v>
      </c>
      <c r="D344">
        <v>1</v>
      </c>
      <c r="E344" t="str">
        <f t="shared" si="97"/>
        <v>Assembly&amp;QC Robot ER14 (Ballgame &amp; Glue &amp; Vision &amp; Caliper)</v>
      </c>
      <c r="F344">
        <v>504</v>
      </c>
      <c r="G344" t="str">
        <f t="shared" si="92"/>
        <v>Y</v>
      </c>
      <c r="H344" t="str">
        <f t="shared" si="98"/>
        <v>EA</v>
      </c>
      <c r="I344">
        <v>0</v>
      </c>
      <c r="J344">
        <v>0</v>
      </c>
      <c r="K344" t="str">
        <f t="shared" si="93"/>
        <v>Y</v>
      </c>
      <c r="L344">
        <v>0</v>
      </c>
      <c r="M344" t="str">
        <f t="shared" si="94"/>
        <v>NIS</v>
      </c>
      <c r="O344">
        <v>4</v>
      </c>
      <c r="P344" t="str">
        <f t="shared" si="95"/>
        <v>Active</v>
      </c>
      <c r="Q344" t="str">
        <f>"I/O Interface Box for Controller USB-PRO"</f>
        <v>I/O Interface Box for Controller USB-PRO</v>
      </c>
      <c r="S344" t="str">
        <f>"קופסת 2+Interface Box I/O כבלים לבקר USBPRO"</f>
        <v>קופסת 2+Interface Box I/O כבלים לבקר USBPRO</v>
      </c>
      <c r="T344">
        <v>0</v>
      </c>
      <c r="U344">
        <v>470</v>
      </c>
      <c r="V344">
        <v>463.62</v>
      </c>
      <c r="W344" t="str">
        <f t="shared" si="87"/>
        <v>rob</v>
      </c>
    </row>
    <row r="345" spans="1:23">
      <c r="A345" t="str">
        <f t="shared" si="96"/>
        <v>ASM&amp;QC-ER14P-07</v>
      </c>
      <c r="B345" t="str">
        <f>"10-2104-9000"</f>
        <v>10-2104-9000</v>
      </c>
      <c r="C345" t="str">
        <f>"Single Buffer for Slotted Table"</f>
        <v>Single Buffer for Slotted Table</v>
      </c>
      <c r="D345">
        <v>3</v>
      </c>
      <c r="E345" t="str">
        <f t="shared" si="97"/>
        <v>Assembly&amp;QC Robot ER14 (Ballgame &amp; Glue &amp; Vision &amp; Caliper)</v>
      </c>
      <c r="F345">
        <v>504</v>
      </c>
      <c r="G345" t="str">
        <f t="shared" si="92"/>
        <v>Y</v>
      </c>
      <c r="H345" t="str">
        <f t="shared" si="98"/>
        <v>EA</v>
      </c>
      <c r="I345">
        <v>0</v>
      </c>
      <c r="J345">
        <v>0</v>
      </c>
      <c r="K345" t="str">
        <f t="shared" si="93"/>
        <v>Y</v>
      </c>
      <c r="L345">
        <v>0</v>
      </c>
      <c r="M345" t="str">
        <f t="shared" si="94"/>
        <v>NIS</v>
      </c>
      <c r="O345">
        <v>5</v>
      </c>
      <c r="P345" t="str">
        <f t="shared" si="95"/>
        <v>Active</v>
      </c>
      <c r="Q345" t="str">
        <f>"Single Buffer for Slotted Table(+height adapter)"</f>
        <v>Single Buffer for Slotted Table(+height adapter)</v>
      </c>
      <c r="S345" t="str">
        <f>"Single Buffer for Slotted Table(+height adapter)"</f>
        <v>Single Buffer for Slotted Table(+height adapter)</v>
      </c>
      <c r="T345">
        <v>0</v>
      </c>
      <c r="U345">
        <v>26</v>
      </c>
      <c r="V345">
        <v>25.49</v>
      </c>
      <c r="W345" t="str">
        <f t="shared" si="87"/>
        <v>rob</v>
      </c>
    </row>
    <row r="346" spans="1:23">
      <c r="A346" t="str">
        <f t="shared" si="96"/>
        <v>ASM&amp;QC-ER14P-07</v>
      </c>
      <c r="B346" t="str">
        <f>"00-1110-0000"</f>
        <v>00-1110-0000</v>
      </c>
      <c r="C346" t="str">
        <f>"Palletizing Rack"</f>
        <v>Palletizing Rack</v>
      </c>
      <c r="D346">
        <v>2</v>
      </c>
      <c r="E346" t="str">
        <f t="shared" si="97"/>
        <v>Assembly&amp;QC Robot ER14 (Ballgame &amp; Glue &amp; Vision &amp; Caliper)</v>
      </c>
      <c r="F346">
        <v>504</v>
      </c>
      <c r="G346" t="str">
        <f t="shared" si="92"/>
        <v>Y</v>
      </c>
      <c r="H346" t="str">
        <f t="shared" si="98"/>
        <v>EA</v>
      </c>
      <c r="I346">
        <v>0</v>
      </c>
      <c r="J346">
        <v>0</v>
      </c>
      <c r="K346" t="str">
        <f t="shared" si="93"/>
        <v>Y</v>
      </c>
      <c r="L346">
        <v>0</v>
      </c>
      <c r="M346" t="str">
        <f t="shared" si="94"/>
        <v>NIS</v>
      </c>
      <c r="O346">
        <v>6</v>
      </c>
      <c r="P346" t="str">
        <f t="shared" si="95"/>
        <v>Active</v>
      </c>
      <c r="Q346" t="str">
        <f>"Palletizing Rack (incl. Pins for creating Jigs)"</f>
        <v>Palletizing Rack (incl. Pins for creating Jigs)</v>
      </c>
      <c r="S346" t="str">
        <f>"Palletizing Rack (incl. Pins for creating Jigs)"</f>
        <v>Palletizing Rack (incl. Pins for creating Jigs)</v>
      </c>
      <c r="T346">
        <v>0</v>
      </c>
      <c r="U346">
        <v>63</v>
      </c>
      <c r="V346">
        <v>58.59</v>
      </c>
      <c r="W346" t="str">
        <f t="shared" si="87"/>
        <v>rob</v>
      </c>
    </row>
    <row r="347" spans="1:23">
      <c r="A347" t="str">
        <f t="shared" si="96"/>
        <v>ASM&amp;QC-ER14P-07</v>
      </c>
      <c r="B347" t="str">
        <f>"021172"</f>
        <v>021172</v>
      </c>
      <c r="C347" t="str">
        <f>"30mm Height Adapter -Rack 001110 on table 001249"</f>
        <v>30mm Height Adapter -Rack 001110 on table 001249</v>
      </c>
      <c r="D347">
        <v>2</v>
      </c>
      <c r="E347" t="str">
        <f t="shared" si="97"/>
        <v>Assembly&amp;QC Robot ER14 (Ballgame &amp; Glue &amp; Vision &amp; Caliper)</v>
      </c>
      <c r="F347">
        <v>504</v>
      </c>
      <c r="G347" t="str">
        <f t="shared" si="92"/>
        <v>Y</v>
      </c>
      <c r="H347" t="str">
        <f t="shared" si="98"/>
        <v>EA</v>
      </c>
      <c r="I347">
        <v>0</v>
      </c>
      <c r="J347">
        <v>0</v>
      </c>
      <c r="K347" t="str">
        <f t="shared" si="93"/>
        <v>Y</v>
      </c>
      <c r="L347">
        <v>0</v>
      </c>
      <c r="M347" t="str">
        <f t="shared" si="94"/>
        <v>NIS</v>
      </c>
      <c r="O347">
        <v>7</v>
      </c>
      <c r="P347" t="str">
        <f t="shared" si="95"/>
        <v>Active</v>
      </c>
      <c r="Q347" t="str">
        <f>"30mm Height Adapter -Rack 001110 on table 001249"</f>
        <v>30mm Height Adapter -Rack 001110 on table 001249</v>
      </c>
      <c r="S347" t="str">
        <f>"30mm Height Adapter -Rack 001110 on table 001249"</f>
        <v>30mm Height Adapter -Rack 001110 on table 001249</v>
      </c>
      <c r="T347">
        <v>0</v>
      </c>
      <c r="U347">
        <v>13.12</v>
      </c>
      <c r="V347">
        <v>13.44</v>
      </c>
      <c r="W347" t="str">
        <f t="shared" si="87"/>
        <v>rob</v>
      </c>
    </row>
    <row r="348" spans="1:23">
      <c r="A348" t="str">
        <f t="shared" si="96"/>
        <v>ASM&amp;QC-ER14P-07</v>
      </c>
      <c r="B348" t="str">
        <f>"21-0004-0000"</f>
        <v>21-0004-0000</v>
      </c>
      <c r="C348" t="str">
        <f>"Assembly, Dual Axis Air Vise Mechanicals"</f>
        <v>Assembly, Dual Axis Air Vise Mechanicals</v>
      </c>
      <c r="D348">
        <v>1</v>
      </c>
      <c r="E348" t="str">
        <f t="shared" si="97"/>
        <v>Assembly&amp;QC Robot ER14 (Ballgame &amp; Glue &amp; Vision &amp; Caliper)</v>
      </c>
      <c r="F348">
        <v>504</v>
      </c>
      <c r="G348" t="str">
        <f t="shared" si="92"/>
        <v>Y</v>
      </c>
      <c r="H348" t="str">
        <f t="shared" si="98"/>
        <v>EA</v>
      </c>
      <c r="I348">
        <v>0</v>
      </c>
      <c r="J348">
        <v>0</v>
      </c>
      <c r="K348" t="str">
        <f t="shared" si="93"/>
        <v>Y</v>
      </c>
      <c r="L348">
        <v>0</v>
      </c>
      <c r="M348" t="str">
        <f t="shared" si="94"/>
        <v>NIS</v>
      </c>
      <c r="O348">
        <v>8</v>
      </c>
      <c r="P348" t="str">
        <f>"Phase Out"</f>
        <v>Phase Out</v>
      </c>
      <c r="Q348" t="str">
        <f>"Pneumatic Dual-Axis Vise"</f>
        <v>Pneumatic Dual-Axis Vise</v>
      </c>
      <c r="S348" t="str">
        <f>"Assembly, Dual Axis Air Vise Mechanicals"</f>
        <v>Assembly, Dual Axis Air Vise Mechanicals</v>
      </c>
      <c r="T348">
        <v>422.16</v>
      </c>
      <c r="U348">
        <v>422</v>
      </c>
      <c r="V348">
        <v>980.27</v>
      </c>
      <c r="W348" t="str">
        <f t="shared" si="87"/>
        <v>rob</v>
      </c>
    </row>
    <row r="349" spans="1:23">
      <c r="A349" t="str">
        <f t="shared" si="96"/>
        <v>ASM&amp;QC-ER14P-07</v>
      </c>
      <c r="B349" t="str">
        <f>"10-2523-4000"</f>
        <v>10-2523-4000</v>
      </c>
      <c r="C349" t="str">
        <f>"Solenoid Valve (24V) for Pipe 3 mm"</f>
        <v>Solenoid Valve (24V) for Pipe 3 mm</v>
      </c>
      <c r="D349">
        <v>1</v>
      </c>
      <c r="E349" t="str">
        <f t="shared" si="97"/>
        <v>Assembly&amp;QC Robot ER14 (Ballgame &amp; Glue &amp; Vision &amp; Caliper)</v>
      </c>
      <c r="F349">
        <v>504</v>
      </c>
      <c r="G349" t="str">
        <f t="shared" si="92"/>
        <v>Y</v>
      </c>
      <c r="H349" t="str">
        <f t="shared" si="98"/>
        <v>EA</v>
      </c>
      <c r="I349">
        <v>0</v>
      </c>
      <c r="J349">
        <v>0</v>
      </c>
      <c r="K349" t="str">
        <f t="shared" si="93"/>
        <v>Y</v>
      </c>
      <c r="L349">
        <v>0</v>
      </c>
      <c r="M349" t="str">
        <f t="shared" si="94"/>
        <v>NIS</v>
      </c>
      <c r="O349">
        <v>9</v>
      </c>
      <c r="P349" t="str">
        <f t="shared" ref="P349:P384" si="99">"Active"</f>
        <v>Active</v>
      </c>
      <c r="Q349" t="str">
        <f>"Solenoid Valve (24V) for Dual Axis Vise 025207"</f>
        <v>Solenoid Valve (24V) for Dual Axis Vise 025207</v>
      </c>
      <c r="S349" t="str">
        <f>"Solenoid Valve (24V) for Pipe 3 mm"</f>
        <v>Solenoid Valve (24V) for Pipe 3 mm</v>
      </c>
      <c r="T349">
        <v>0</v>
      </c>
      <c r="U349">
        <v>137</v>
      </c>
      <c r="V349">
        <v>133.35</v>
      </c>
      <c r="W349" t="str">
        <f t="shared" si="87"/>
        <v>rob</v>
      </c>
    </row>
    <row r="350" spans="1:23">
      <c r="A350" t="str">
        <f t="shared" si="96"/>
        <v>ASM&amp;QC-ER14P-07</v>
      </c>
      <c r="B350" t="str">
        <f>"00-1230-0000"</f>
        <v>00-1230-0000</v>
      </c>
      <c r="C350" t="str">
        <f>"Ball Feeder (incl. sensor for ball counting)"</f>
        <v>Ball Feeder (incl. sensor for ball counting)</v>
      </c>
      <c r="D350">
        <v>1</v>
      </c>
      <c r="E350" t="str">
        <f t="shared" si="97"/>
        <v>Assembly&amp;QC Robot ER14 (Ballgame &amp; Glue &amp; Vision &amp; Caliper)</v>
      </c>
      <c r="F350">
        <v>504</v>
      </c>
      <c r="G350" t="str">
        <f t="shared" si="92"/>
        <v>Y</v>
      </c>
      <c r="H350" t="str">
        <f t="shared" si="98"/>
        <v>EA</v>
      </c>
      <c r="I350">
        <v>0</v>
      </c>
      <c r="J350">
        <v>0</v>
      </c>
      <c r="K350" t="str">
        <f t="shared" si="93"/>
        <v>Y</v>
      </c>
      <c r="L350">
        <v>0</v>
      </c>
      <c r="M350" t="str">
        <f t="shared" si="94"/>
        <v>NIS</v>
      </c>
      <c r="O350">
        <v>10</v>
      </c>
      <c r="P350" t="str">
        <f t="shared" si="99"/>
        <v>Active</v>
      </c>
      <c r="Q350" t="str">
        <f>"Ball Feeder (incl. sensor for ball counting)"</f>
        <v>Ball Feeder (incl. sensor for ball counting)</v>
      </c>
      <c r="S350" t="str">
        <f>"Ball Feeder (incl. sensor for ball counting)"</f>
        <v>Ball Feeder (incl. sensor for ball counting)</v>
      </c>
      <c r="T350">
        <v>0</v>
      </c>
      <c r="U350">
        <v>536</v>
      </c>
      <c r="V350">
        <v>530.72</v>
      </c>
      <c r="W350" t="str">
        <f t="shared" si="87"/>
        <v>rob</v>
      </c>
    </row>
    <row r="351" spans="1:23">
      <c r="A351" t="str">
        <f t="shared" si="96"/>
        <v>ASM&amp;QC-ER14P-07</v>
      </c>
      <c r="B351" t="str">
        <f>"00-1243-0000"</f>
        <v>00-1243-0000</v>
      </c>
      <c r="C351" t="str">
        <f>"Ball Game Set (Assembly with Plastic Pins)"</f>
        <v>Ball Game Set (Assembly with Plastic Pins)</v>
      </c>
      <c r="D351">
        <v>1</v>
      </c>
      <c r="E351" t="str">
        <f t="shared" si="97"/>
        <v>Assembly&amp;QC Robot ER14 (Ballgame &amp; Glue &amp; Vision &amp; Caliper)</v>
      </c>
      <c r="F351">
        <v>504</v>
      </c>
      <c r="G351" t="str">
        <f t="shared" si="92"/>
        <v>Y</v>
      </c>
      <c r="H351" t="str">
        <f t="shared" si="98"/>
        <v>EA</v>
      </c>
      <c r="I351">
        <v>0</v>
      </c>
      <c r="J351">
        <v>0</v>
      </c>
      <c r="K351" t="str">
        <f t="shared" si="93"/>
        <v>Y</v>
      </c>
      <c r="L351">
        <v>0</v>
      </c>
      <c r="M351" t="str">
        <f t="shared" si="94"/>
        <v>NIS</v>
      </c>
      <c r="O351">
        <v>11</v>
      </c>
      <c r="P351" t="str">
        <f t="shared" si="99"/>
        <v>Active</v>
      </c>
      <c r="Q351" t="str">
        <f>"Ball Game Set (Assembly with Plastic Pins)"</f>
        <v>Ball Game Set (Assembly with Plastic Pins)</v>
      </c>
      <c r="S351" t="str">
        <f>"Ball Game Set (Assembly with Plastic Pins)"</f>
        <v>Ball Game Set (Assembly with Plastic Pins)</v>
      </c>
      <c r="T351">
        <v>0</v>
      </c>
      <c r="U351">
        <v>32</v>
      </c>
      <c r="V351">
        <v>34.770000000000003</v>
      </c>
      <c r="W351" t="str">
        <f t="shared" si="87"/>
        <v>rob</v>
      </c>
    </row>
    <row r="352" spans="1:23">
      <c r="A352" t="str">
        <f t="shared" si="96"/>
        <v>ASM&amp;QC-ER14P-07</v>
      </c>
      <c r="B352" t="str">
        <f>"00-1236-0000"</f>
        <v>00-1236-0000</v>
      </c>
      <c r="C352" t="str">
        <f>"Automatic Glue Dispenser"</f>
        <v>Automatic Glue Dispenser</v>
      </c>
      <c r="D352">
        <v>1</v>
      </c>
      <c r="E352" t="str">
        <f t="shared" si="97"/>
        <v>Assembly&amp;QC Robot ER14 (Ballgame &amp; Glue &amp; Vision &amp; Caliper)</v>
      </c>
      <c r="F352">
        <v>504</v>
      </c>
      <c r="G352" t="str">
        <f t="shared" si="92"/>
        <v>Y</v>
      </c>
      <c r="H352" t="str">
        <f t="shared" si="98"/>
        <v>EA</v>
      </c>
      <c r="I352">
        <v>0</v>
      </c>
      <c r="J352">
        <v>0</v>
      </c>
      <c r="K352" t="str">
        <f t="shared" si="93"/>
        <v>Y</v>
      </c>
      <c r="L352">
        <v>0</v>
      </c>
      <c r="M352" t="str">
        <f t="shared" si="94"/>
        <v>NIS</v>
      </c>
      <c r="O352">
        <v>12</v>
      </c>
      <c r="P352" t="str">
        <f t="shared" si="99"/>
        <v>Active</v>
      </c>
      <c r="Q352" t="str">
        <f>"Automatic Glue Dispenser"</f>
        <v>Automatic Glue Dispenser</v>
      </c>
      <c r="S352" t="str">
        <f>"Automatic Glue Dispenser"</f>
        <v>Automatic Glue Dispenser</v>
      </c>
      <c r="T352">
        <v>0</v>
      </c>
      <c r="U352" s="44">
        <v>1100</v>
      </c>
      <c r="V352" s="44">
        <v>1097.3699999999999</v>
      </c>
      <c r="W352" t="str">
        <f t="shared" si="87"/>
        <v>rob</v>
      </c>
    </row>
    <row r="353" spans="1:23">
      <c r="A353" t="str">
        <f t="shared" si="96"/>
        <v>ASM&amp;QC-ER14P-07</v>
      </c>
      <c r="B353" t="str">
        <f>"00-1254-0000"</f>
        <v>00-1254-0000</v>
      </c>
      <c r="C353" t="str">
        <f>"Automated Stationary Caliper Unit"</f>
        <v>Automated Stationary Caliper Unit</v>
      </c>
      <c r="D353">
        <v>1</v>
      </c>
      <c r="E353" t="str">
        <f t="shared" si="97"/>
        <v>Assembly&amp;QC Robot ER14 (Ballgame &amp; Glue &amp; Vision &amp; Caliper)</v>
      </c>
      <c r="F353">
        <v>504</v>
      </c>
      <c r="G353" t="str">
        <f t="shared" si="92"/>
        <v>Y</v>
      </c>
      <c r="H353" t="str">
        <f t="shared" si="98"/>
        <v>EA</v>
      </c>
      <c r="I353">
        <v>0</v>
      </c>
      <c r="J353">
        <v>0</v>
      </c>
      <c r="K353" t="str">
        <f t="shared" si="93"/>
        <v>Y</v>
      </c>
      <c r="L353">
        <v>0</v>
      </c>
      <c r="M353" t="str">
        <f t="shared" si="94"/>
        <v>NIS</v>
      </c>
      <c r="O353">
        <v>13</v>
      </c>
      <c r="P353" t="str">
        <f t="shared" si="99"/>
        <v>Active</v>
      </c>
      <c r="Q353" t="str">
        <f>"Automat Stationary Caliper  Unit"</f>
        <v>Automat Stationary Caliper  Unit</v>
      </c>
      <c r="S353" t="str">
        <f>"Automat Stationary Caliper  Unit"</f>
        <v>Automat Stationary Caliper  Unit</v>
      </c>
      <c r="T353">
        <v>0</v>
      </c>
      <c r="U353" s="44">
        <v>1165.92</v>
      </c>
      <c r="V353" s="44">
        <v>1246.44</v>
      </c>
      <c r="W353" t="str">
        <f t="shared" si="87"/>
        <v>rob</v>
      </c>
    </row>
    <row r="354" spans="1:23">
      <c r="A354" t="str">
        <f t="shared" si="96"/>
        <v>ASM&amp;QC-ER14P-07</v>
      </c>
      <c r="B354" t="str">
        <f>"113316"</f>
        <v>113316</v>
      </c>
      <c r="C354" t="str">
        <f>"Parts Bin"</f>
        <v>Parts Bin</v>
      </c>
      <c r="D354">
        <v>1</v>
      </c>
      <c r="E354" t="str">
        <f t="shared" si="97"/>
        <v>Assembly&amp;QC Robot ER14 (Ballgame &amp; Glue &amp; Vision &amp; Caliper)</v>
      </c>
      <c r="F354">
        <v>504</v>
      </c>
      <c r="G354" t="str">
        <f t="shared" si="92"/>
        <v>Y</v>
      </c>
      <c r="H354" t="str">
        <f t="shared" si="98"/>
        <v>EA</v>
      </c>
      <c r="I354">
        <v>0</v>
      </c>
      <c r="J354">
        <v>0</v>
      </c>
      <c r="K354" t="str">
        <f t="shared" si="93"/>
        <v>Y</v>
      </c>
      <c r="L354">
        <v>0</v>
      </c>
      <c r="M354" t="str">
        <f t="shared" si="94"/>
        <v>NIS</v>
      </c>
      <c r="O354">
        <v>14</v>
      </c>
      <c r="P354" t="str">
        <f t="shared" si="99"/>
        <v>Active</v>
      </c>
      <c r="Q354" t="str">
        <f>"Parts Bin; Plastic Box"</f>
        <v>Parts Bin; Plastic Box</v>
      </c>
      <c r="R354" t="str">
        <f>"1"</f>
        <v>1</v>
      </c>
      <c r="S354" t="str">
        <f>"Parts Bin; Plastic Box"</f>
        <v>Parts Bin; Plastic Box</v>
      </c>
      <c r="T354">
        <v>0</v>
      </c>
      <c r="U354">
        <v>8.0399999999999991</v>
      </c>
      <c r="V354">
        <v>6.39</v>
      </c>
      <c r="W354" t="str">
        <f t="shared" si="87"/>
        <v>rob</v>
      </c>
    </row>
    <row r="355" spans="1:23">
      <c r="A355" t="str">
        <f t="shared" si="96"/>
        <v>ASM&amp;QC-ER14P-07</v>
      </c>
      <c r="B355" t="str">
        <f>"00-1013-0000"</f>
        <v>00-1013-0000</v>
      </c>
      <c r="C355" t="str">
        <f>"Linear Positioning Table 300mm"</f>
        <v>Linear Positioning Table 300mm</v>
      </c>
      <c r="D355">
        <v>1</v>
      </c>
      <c r="E355" t="str">
        <f t="shared" si="97"/>
        <v>Assembly&amp;QC Robot ER14 (Ballgame &amp; Glue &amp; Vision &amp; Caliper)</v>
      </c>
      <c r="F355">
        <v>504</v>
      </c>
      <c r="G355" t="str">
        <f t="shared" si="92"/>
        <v>Y</v>
      </c>
      <c r="H355" t="str">
        <f t="shared" si="98"/>
        <v>EA</v>
      </c>
      <c r="I355">
        <v>0</v>
      </c>
      <c r="J355">
        <v>0</v>
      </c>
      <c r="K355" t="str">
        <f t="shared" si="93"/>
        <v>Y</v>
      </c>
      <c r="L355">
        <v>0</v>
      </c>
      <c r="M355" t="str">
        <f t="shared" si="94"/>
        <v>NIS</v>
      </c>
      <c r="O355">
        <v>15</v>
      </c>
      <c r="P355" t="str">
        <f t="shared" si="99"/>
        <v>Active</v>
      </c>
      <c r="Q355" t="str">
        <f>"Linear Positioning Table 300mm (Belt Drive, 24V)"</f>
        <v>Linear Positioning Table 300mm (Belt Drive, 24V)</v>
      </c>
      <c r="S355" t="str">
        <f>"Linear Positioning Table 300mm (Belt Drive, 24V)"</f>
        <v>Linear Positioning Table 300mm (Belt Drive, 24V)</v>
      </c>
      <c r="T355">
        <v>0</v>
      </c>
      <c r="U355">
        <v>894.02</v>
      </c>
      <c r="V355">
        <v>879.29</v>
      </c>
      <c r="W355" t="str">
        <f t="shared" si="87"/>
        <v>rob</v>
      </c>
    </row>
    <row r="356" spans="1:23">
      <c r="A356" t="str">
        <f t="shared" si="96"/>
        <v>ASM&amp;QC-ER14P-07</v>
      </c>
      <c r="B356" t="str">
        <f>"00-1422-0000"</f>
        <v>00-1422-0000</v>
      </c>
      <c r="C356" t="str">
        <f>"Viewflex for QC (Stand 400mm)"</f>
        <v>Viewflex for QC (Stand 400mm)</v>
      </c>
      <c r="D356">
        <v>1</v>
      </c>
      <c r="E356" t="str">
        <f t="shared" si="97"/>
        <v>Assembly&amp;QC Robot ER14 (Ballgame &amp; Glue &amp; Vision &amp; Caliper)</v>
      </c>
      <c r="F356">
        <v>504</v>
      </c>
      <c r="G356" t="str">
        <f t="shared" si="92"/>
        <v>Y</v>
      </c>
      <c r="H356" t="str">
        <f t="shared" si="98"/>
        <v>EA</v>
      </c>
      <c r="I356">
        <v>0</v>
      </c>
      <c r="J356">
        <v>0</v>
      </c>
      <c r="K356" t="str">
        <f t="shared" si="93"/>
        <v>Y</v>
      </c>
      <c r="L356">
        <v>0</v>
      </c>
      <c r="M356" t="str">
        <f t="shared" si="94"/>
        <v>NIS</v>
      </c>
      <c r="O356">
        <v>16</v>
      </c>
      <c r="P356" t="str">
        <f t="shared" si="99"/>
        <v>Active</v>
      </c>
      <c r="Q356" t="str">
        <f>"Viewflex for QC (Stand 400mm)"</f>
        <v>Viewflex for QC (Stand 400mm)</v>
      </c>
      <c r="S356" t="str">
        <f>"Viewflex for QC (Stand 400mm)"</f>
        <v>Viewflex for QC (Stand 400mm)</v>
      </c>
      <c r="T356">
        <v>0</v>
      </c>
      <c r="U356">
        <v>560</v>
      </c>
      <c r="V356">
        <v>511.35</v>
      </c>
      <c r="W356" t="str">
        <f t="shared" si="87"/>
        <v>rob</v>
      </c>
    </row>
    <row r="357" spans="1:23">
      <c r="A357" t="str">
        <f t="shared" si="96"/>
        <v>ASM&amp;QC-ER14P-07</v>
      </c>
      <c r="B357" t="str">
        <f>"113316"</f>
        <v>113316</v>
      </c>
      <c r="C357" t="str">
        <f>"Parts Bin"</f>
        <v>Parts Bin</v>
      </c>
      <c r="D357">
        <v>1</v>
      </c>
      <c r="E357" t="str">
        <f t="shared" si="97"/>
        <v>Assembly&amp;QC Robot ER14 (Ballgame &amp; Glue &amp; Vision &amp; Caliper)</v>
      </c>
      <c r="F357">
        <v>504</v>
      </c>
      <c r="G357" t="str">
        <f t="shared" si="92"/>
        <v>Y</v>
      </c>
      <c r="H357" t="str">
        <f t="shared" si="98"/>
        <v>EA</v>
      </c>
      <c r="I357">
        <v>0</v>
      </c>
      <c r="J357">
        <v>0</v>
      </c>
      <c r="K357" t="str">
        <f t="shared" si="93"/>
        <v>Y</v>
      </c>
      <c r="L357">
        <v>0</v>
      </c>
      <c r="M357" t="str">
        <f t="shared" si="94"/>
        <v>NIS</v>
      </c>
      <c r="O357">
        <v>17</v>
      </c>
      <c r="P357" t="str">
        <f t="shared" si="99"/>
        <v>Active</v>
      </c>
      <c r="Q357" t="str">
        <f>"Parts Bin; Plastic Box"</f>
        <v>Parts Bin; Plastic Box</v>
      </c>
      <c r="R357" t="str">
        <f>"1"</f>
        <v>1</v>
      </c>
      <c r="S357" t="str">
        <f>"Parts Bin; Plastic Box"</f>
        <v>Parts Bin; Plastic Box</v>
      </c>
      <c r="T357">
        <v>0</v>
      </c>
      <c r="U357">
        <v>8.0399999999999991</v>
      </c>
      <c r="V357">
        <v>6.39</v>
      </c>
      <c r="W357" t="str">
        <f t="shared" si="87"/>
        <v>rob</v>
      </c>
    </row>
    <row r="358" spans="1:23">
      <c r="A358" t="str">
        <f t="shared" si="96"/>
        <v>ASM&amp;QC-ER14P-07</v>
      </c>
      <c r="B358" t="str">
        <f>"112713"</f>
        <v>112713</v>
      </c>
      <c r="C358" t="str">
        <f>"Marked Aluminum Cylinder"</f>
        <v>Marked Aluminum Cylinder</v>
      </c>
      <c r="D358">
        <v>3</v>
      </c>
      <c r="E358" t="str">
        <f t="shared" si="97"/>
        <v>Assembly&amp;QC Robot ER14 (Ballgame &amp; Glue &amp; Vision &amp; Caliper)</v>
      </c>
      <c r="F358">
        <v>504</v>
      </c>
      <c r="G358" t="str">
        <f t="shared" si="92"/>
        <v>Y</v>
      </c>
      <c r="H358" t="str">
        <f t="shared" si="98"/>
        <v>EA</v>
      </c>
      <c r="I358">
        <v>0</v>
      </c>
      <c r="J358">
        <v>0</v>
      </c>
      <c r="K358" t="str">
        <f t="shared" si="93"/>
        <v>Y</v>
      </c>
      <c r="L358">
        <v>0</v>
      </c>
      <c r="M358" t="str">
        <f t="shared" si="94"/>
        <v>NIS</v>
      </c>
      <c r="O358">
        <v>18</v>
      </c>
      <c r="P358" t="str">
        <f t="shared" si="99"/>
        <v>Active</v>
      </c>
      <c r="Q358" t="str">
        <f>"Mark Al. Cylinder Diam. 35x28 MicroCIM"</f>
        <v>Mark Al. Cylinder Diam. 35x28 MicroCIM</v>
      </c>
      <c r="S358" t="str">
        <f>"Mark Al. Cylinder Diam. 35x28"</f>
        <v>Mark Al. Cylinder Diam. 35x28</v>
      </c>
      <c r="T358">
        <v>0</v>
      </c>
      <c r="U358">
        <v>6</v>
      </c>
      <c r="V358">
        <v>5.97</v>
      </c>
      <c r="W358" t="str">
        <f t="shared" si="87"/>
        <v>rob</v>
      </c>
    </row>
    <row r="359" spans="1:23">
      <c r="A359" t="str">
        <f t="shared" si="96"/>
        <v>ASM&amp;QC-ER14P-07</v>
      </c>
      <c r="B359" t="str">
        <f>"113096"</f>
        <v>113096</v>
      </c>
      <c r="C359" t="str">
        <f>"Plexiglass Cylinders Base"</f>
        <v>Plexiglass Cylinders Base</v>
      </c>
      <c r="D359">
        <v>3</v>
      </c>
      <c r="E359" t="str">
        <f t="shared" si="97"/>
        <v>Assembly&amp;QC Robot ER14 (Ballgame &amp; Glue &amp; Vision &amp; Caliper)</v>
      </c>
      <c r="F359">
        <v>504</v>
      </c>
      <c r="G359" t="str">
        <f t="shared" si="92"/>
        <v>Y</v>
      </c>
      <c r="H359" t="str">
        <f t="shared" si="98"/>
        <v>EA</v>
      </c>
      <c r="I359">
        <v>0</v>
      </c>
      <c r="J359">
        <v>0</v>
      </c>
      <c r="K359" t="str">
        <f t="shared" si="93"/>
        <v>Y</v>
      </c>
      <c r="L359">
        <v>0</v>
      </c>
      <c r="M359" t="str">
        <f t="shared" si="94"/>
        <v>NIS</v>
      </c>
      <c r="O359">
        <v>19</v>
      </c>
      <c r="P359" t="str">
        <f t="shared" si="99"/>
        <v>Active</v>
      </c>
      <c r="Q359" t="str">
        <f>"Plexiglass Cylinders Base MicroCIM"</f>
        <v>Plexiglass Cylinders Base MicroCIM</v>
      </c>
      <c r="S359" t="str">
        <f>"Plexiglass Cylinders Base"</f>
        <v>Plexiglass Cylinders Base</v>
      </c>
      <c r="T359">
        <v>0</v>
      </c>
      <c r="U359">
        <v>7</v>
      </c>
      <c r="V359">
        <v>6.83</v>
      </c>
      <c r="W359" t="str">
        <f t="shared" si="87"/>
        <v>rob</v>
      </c>
    </row>
    <row r="360" spans="1:23">
      <c r="A360" t="str">
        <f t="shared" si="96"/>
        <v>ASM&amp;QC-ER14P-07</v>
      </c>
      <c r="B360" t="str">
        <f>"00-1249-0000"</f>
        <v>00-1249-0000</v>
      </c>
      <c r="C360" t="str">
        <f>"Workbench 1500x800mm (slotted aluminum top)"</f>
        <v>Workbench 1500x800mm (slotted aluminum top)</v>
      </c>
      <c r="D360">
        <v>1</v>
      </c>
      <c r="E360" t="str">
        <f t="shared" si="97"/>
        <v>Assembly&amp;QC Robot ER14 (Ballgame &amp; Glue &amp; Vision &amp; Caliper)</v>
      </c>
      <c r="F360">
        <v>504</v>
      </c>
      <c r="G360" t="str">
        <f t="shared" si="92"/>
        <v>Y</v>
      </c>
      <c r="H360" t="str">
        <f t="shared" si="98"/>
        <v>EA</v>
      </c>
      <c r="I360">
        <v>0</v>
      </c>
      <c r="J360">
        <v>0</v>
      </c>
      <c r="K360" t="str">
        <f t="shared" si="93"/>
        <v>Y</v>
      </c>
      <c r="L360">
        <v>0</v>
      </c>
      <c r="M360" t="str">
        <f t="shared" si="94"/>
        <v>NIS</v>
      </c>
      <c r="O360">
        <v>20</v>
      </c>
      <c r="P360" t="str">
        <f t="shared" si="99"/>
        <v>Active</v>
      </c>
      <c r="Q360" t="str">
        <f>"Workbench 1500x800mm (slotted aluminum top)"</f>
        <v>Workbench 1500x800mm (slotted aluminum top)</v>
      </c>
      <c r="S360" t="str">
        <f>"Workbench 1500x800mm (slotted aluminum top)"</f>
        <v>Workbench 1500x800mm (slotted aluminum top)</v>
      </c>
      <c r="T360">
        <v>0</v>
      </c>
      <c r="U360" s="44">
        <v>1100</v>
      </c>
      <c r="V360" s="44">
        <v>1083.57</v>
      </c>
      <c r="W360" t="str">
        <f t="shared" si="87"/>
        <v>rob</v>
      </c>
    </row>
    <row r="361" spans="1:23">
      <c r="A361" t="str">
        <f t="shared" si="96"/>
        <v>ASM&amp;QC-ER14P-07</v>
      </c>
      <c r="B361" t="str">
        <f>"00-1241-0000"</f>
        <v>00-1241-0000</v>
      </c>
      <c r="C361" t="str">
        <f>"Adapter Mounting Plate for ER9/14Pro &amp; HP3"</f>
        <v>Adapter Mounting Plate for ER9/14Pro &amp; HP3</v>
      </c>
      <c r="D361">
        <v>1</v>
      </c>
      <c r="E361" t="str">
        <f t="shared" si="97"/>
        <v>Assembly&amp;QC Robot ER14 (Ballgame &amp; Glue &amp; Vision &amp; Caliper)</v>
      </c>
      <c r="F361">
        <v>504</v>
      </c>
      <c r="G361" t="str">
        <f t="shared" si="92"/>
        <v>Y</v>
      </c>
      <c r="H361" t="str">
        <f t="shared" si="98"/>
        <v>EA</v>
      </c>
      <c r="I361">
        <v>0</v>
      </c>
      <c r="J361">
        <v>0</v>
      </c>
      <c r="K361" t="str">
        <f t="shared" si="93"/>
        <v>Y</v>
      </c>
      <c r="L361">
        <v>0</v>
      </c>
      <c r="M361" t="str">
        <f t="shared" si="94"/>
        <v>NIS</v>
      </c>
      <c r="O361">
        <v>21</v>
      </c>
      <c r="P361" t="str">
        <f t="shared" si="99"/>
        <v>Active</v>
      </c>
      <c r="Q361" t="str">
        <f>"Adapter Mounting Plate for ER9/14Pro &amp; HP3"</f>
        <v>Adapter Mounting Plate for ER9/14Pro &amp; HP3</v>
      </c>
      <c r="S361" t="str">
        <f>"Adapter Mounting Plate for ER9/14Pro &amp; HP3"</f>
        <v>Adapter Mounting Plate for ER9/14Pro &amp; HP3</v>
      </c>
      <c r="T361">
        <v>0</v>
      </c>
      <c r="U361">
        <v>145</v>
      </c>
      <c r="V361">
        <v>153.93</v>
      </c>
      <c r="W361" t="str">
        <f t="shared" si="87"/>
        <v>rob</v>
      </c>
    </row>
    <row r="362" spans="1:23">
      <c r="A362" t="str">
        <f t="shared" si="96"/>
        <v>ASM&amp;QC-ER14P-07</v>
      </c>
      <c r="B362" t="str">
        <f>"00-1260-0000"</f>
        <v>00-1260-0000</v>
      </c>
      <c r="C362" t="str">
        <f>"PC Extension Shelf  600x800mm"</f>
        <v>PC Extension Shelf  600x800mm</v>
      </c>
      <c r="D362">
        <v>1</v>
      </c>
      <c r="E362" t="str">
        <f t="shared" si="97"/>
        <v>Assembly&amp;QC Robot ER14 (Ballgame &amp; Glue &amp; Vision &amp; Caliper)</v>
      </c>
      <c r="F362">
        <v>504</v>
      </c>
      <c r="G362" t="str">
        <f t="shared" si="92"/>
        <v>Y</v>
      </c>
      <c r="H362" t="str">
        <f t="shared" si="98"/>
        <v>EA</v>
      </c>
      <c r="I362">
        <v>0</v>
      </c>
      <c r="J362">
        <v>0</v>
      </c>
      <c r="K362" t="str">
        <f t="shared" si="93"/>
        <v>Y</v>
      </c>
      <c r="L362">
        <v>0</v>
      </c>
      <c r="M362" t="str">
        <f t="shared" si="94"/>
        <v>NIS</v>
      </c>
      <c r="O362">
        <v>22</v>
      </c>
      <c r="P362" t="str">
        <f t="shared" si="99"/>
        <v>Active</v>
      </c>
      <c r="Q362" t="str">
        <f>"PC Extension Shelf  600x800mm"</f>
        <v>PC Extension Shelf  600x800mm</v>
      </c>
      <c r="S362" t="str">
        <f>"PC Extension Shelf  600x800mm"</f>
        <v>PC Extension Shelf  600x800mm</v>
      </c>
      <c r="T362">
        <v>0</v>
      </c>
      <c r="U362">
        <v>192</v>
      </c>
      <c r="V362">
        <v>195.4</v>
      </c>
      <c r="W362" t="str">
        <f t="shared" si="87"/>
        <v>rob</v>
      </c>
    </row>
    <row r="363" spans="1:23">
      <c r="A363" t="str">
        <f t="shared" si="96"/>
        <v>ASM&amp;QC-ER14P-07</v>
      </c>
      <c r="B363" t="str">
        <f>"50-0094-0000"</f>
        <v>50-0094-0000</v>
      </c>
      <c r="C363" t="str">
        <f>"Pre-Engineering, Design and Testing"</f>
        <v>Pre-Engineering, Design and Testing</v>
      </c>
      <c r="D363">
        <v>1</v>
      </c>
      <c r="E363" t="str">
        <f t="shared" si="97"/>
        <v>Assembly&amp;QC Robot ER14 (Ballgame &amp; Glue &amp; Vision &amp; Caliper)</v>
      </c>
      <c r="F363">
        <v>504</v>
      </c>
      <c r="G363" t="str">
        <f t="shared" si="92"/>
        <v>Y</v>
      </c>
      <c r="H363" t="str">
        <f>"DA"</f>
        <v>DA</v>
      </c>
      <c r="I363">
        <v>0</v>
      </c>
      <c r="J363">
        <v>0</v>
      </c>
      <c r="K363" t="str">
        <f t="shared" si="93"/>
        <v>Y</v>
      </c>
      <c r="L363">
        <v>0</v>
      </c>
      <c r="M363" t="str">
        <f t="shared" si="94"/>
        <v>NIS</v>
      </c>
      <c r="O363">
        <v>23</v>
      </c>
      <c r="P363" t="str">
        <f t="shared" si="99"/>
        <v>Active</v>
      </c>
      <c r="Q363" t="str">
        <f>"Pre-Engineering, Design and Testing"</f>
        <v>Pre-Engineering, Design and Testing</v>
      </c>
      <c r="S363" t="str">
        <f>"Pre-Engineering, Design and Testing"</f>
        <v>Pre-Engineering, Design and Testing</v>
      </c>
      <c r="T363">
        <v>0</v>
      </c>
      <c r="U363">
        <v>405</v>
      </c>
      <c r="V363">
        <v>421.2</v>
      </c>
      <c r="W363" t="str">
        <f t="shared" si="87"/>
        <v>rob</v>
      </c>
    </row>
    <row r="364" spans="1:23">
      <c r="A364" t="str">
        <f t="shared" ref="A364:A377" si="100">"ASM&amp;QC-ER4U-04"</f>
        <v>ASM&amp;QC-ER4U-04</v>
      </c>
      <c r="B364" t="str">
        <f>"00-0413-0000"</f>
        <v>00-0413-0000</v>
      </c>
      <c r="C364" t="str">
        <f>"SCORBOT-ER 4u"</f>
        <v>SCORBOT-ER 4u</v>
      </c>
      <c r="D364">
        <v>1</v>
      </c>
      <c r="E364" t="str">
        <f t="shared" ref="E364:E377" si="101">"Assembly&amp;Quality Control ER4U (Basic Assembly &amp; ViewFlex Machine Vision System)"</f>
        <v>Assembly&amp;Quality Control ER4U (Basic Assembly &amp; ViewFlex Machine Vision System)</v>
      </c>
      <c r="F364">
        <v>504</v>
      </c>
      <c r="G364" t="str">
        <f t="shared" si="92"/>
        <v>Y</v>
      </c>
      <c r="H364" t="str">
        <f t="shared" ref="H364:H376" si="102">"EA"</f>
        <v>EA</v>
      </c>
      <c r="I364">
        <v>0</v>
      </c>
      <c r="J364">
        <v>0</v>
      </c>
      <c r="K364" t="str">
        <f t="shared" si="93"/>
        <v>Y</v>
      </c>
      <c r="L364">
        <v>0</v>
      </c>
      <c r="M364" t="str">
        <f t="shared" si="94"/>
        <v>NIS</v>
      </c>
      <c r="O364">
        <v>1</v>
      </c>
      <c r="P364" t="str">
        <f t="shared" si="99"/>
        <v>Active</v>
      </c>
      <c r="Q364" t="str">
        <f>"SCORBOT-ER 4u (Package)"</f>
        <v>SCORBOT-ER 4u (Package)</v>
      </c>
      <c r="S364" t="str">
        <f>"SCORBOT-ER 4u (Package)"</f>
        <v>SCORBOT-ER 4u (Package)</v>
      </c>
      <c r="T364">
        <v>0</v>
      </c>
      <c r="U364" s="44">
        <v>3200</v>
      </c>
      <c r="V364" s="44">
        <v>3390.7</v>
      </c>
      <c r="W364" t="str">
        <f t="shared" si="87"/>
        <v>rob</v>
      </c>
    </row>
    <row r="365" spans="1:23">
      <c r="A365" t="str">
        <f t="shared" si="100"/>
        <v>ASM&amp;QC-ER4U-04</v>
      </c>
      <c r="B365" t="str">
        <f>"00-0609-0000"</f>
        <v>00-0609-0000</v>
      </c>
      <c r="C365" t="str">
        <f>"Gripper attachment for round and square parts"</f>
        <v>Gripper attachment for round and square parts</v>
      </c>
      <c r="D365">
        <v>1</v>
      </c>
      <c r="E365" t="str">
        <f t="shared" si="101"/>
        <v>Assembly&amp;Quality Control ER4U (Basic Assembly &amp; ViewFlex Machine Vision System)</v>
      </c>
      <c r="F365">
        <v>504</v>
      </c>
      <c r="G365" t="str">
        <f t="shared" si="92"/>
        <v>Y</v>
      </c>
      <c r="H365" t="str">
        <f t="shared" si="102"/>
        <v>EA</v>
      </c>
      <c r="I365">
        <v>0</v>
      </c>
      <c r="J365">
        <v>0</v>
      </c>
      <c r="K365" t="str">
        <f t="shared" si="93"/>
        <v>Y</v>
      </c>
      <c r="L365">
        <v>0</v>
      </c>
      <c r="M365" t="str">
        <f t="shared" si="94"/>
        <v>NIS</v>
      </c>
      <c r="O365">
        <v>2</v>
      </c>
      <c r="P365" t="str">
        <f t="shared" si="99"/>
        <v>Active</v>
      </c>
      <c r="Q365" t="str">
        <f>"End Effector Attachment for ER4U Gripper"</f>
        <v>End Effector Attachment for ER4U Gripper</v>
      </c>
      <c r="S365" t="str">
        <f>"End Effector Attachment for ER4U Gripper"</f>
        <v>End Effector Attachment for ER4U Gripper</v>
      </c>
      <c r="T365">
        <v>0</v>
      </c>
      <c r="U365">
        <v>25.59</v>
      </c>
      <c r="V365">
        <v>25.11</v>
      </c>
      <c r="W365" t="str">
        <f t="shared" si="87"/>
        <v>rob</v>
      </c>
    </row>
    <row r="366" spans="1:23">
      <c r="A366" t="str">
        <f t="shared" si="100"/>
        <v>ASM&amp;QC-ER4U-04</v>
      </c>
      <c r="B366" t="str">
        <f>"00-1710-0000"</f>
        <v>00-1710-0000</v>
      </c>
      <c r="C366" t="str">
        <f>"Teach Pendant"</f>
        <v>Teach Pendant</v>
      </c>
      <c r="D366">
        <v>1</v>
      </c>
      <c r="E366" t="str">
        <f t="shared" si="101"/>
        <v>Assembly&amp;Quality Control ER4U (Basic Assembly &amp; ViewFlex Machine Vision System)</v>
      </c>
      <c r="F366">
        <v>504</v>
      </c>
      <c r="G366" t="str">
        <f t="shared" si="92"/>
        <v>Y</v>
      </c>
      <c r="H366" t="str">
        <f t="shared" si="102"/>
        <v>EA</v>
      </c>
      <c r="I366">
        <v>0</v>
      </c>
      <c r="J366">
        <v>0</v>
      </c>
      <c r="K366" t="str">
        <f t="shared" si="93"/>
        <v>Y</v>
      </c>
      <c r="L366">
        <v>0</v>
      </c>
      <c r="M366" t="str">
        <f t="shared" si="94"/>
        <v>NIS</v>
      </c>
      <c r="O366">
        <v>3</v>
      </c>
      <c r="P366" t="str">
        <f t="shared" si="99"/>
        <v>Active</v>
      </c>
      <c r="Q366" t="str">
        <f>"Teach Pendant for USB/USB Pro Controllers"</f>
        <v>Teach Pendant for USB/USB Pro Controllers</v>
      </c>
      <c r="S366" t="str">
        <f>"Teach Pendant for USB/USB Pro Controllers"</f>
        <v>Teach Pendant for USB/USB Pro Controllers</v>
      </c>
      <c r="T366">
        <v>0</v>
      </c>
      <c r="U366">
        <v>160.18</v>
      </c>
      <c r="V366">
        <v>161.44999999999999</v>
      </c>
      <c r="W366" t="str">
        <f t="shared" ref="W366:W429" si="103">"rob"</f>
        <v>rob</v>
      </c>
    </row>
    <row r="367" spans="1:23">
      <c r="A367" t="str">
        <f t="shared" si="100"/>
        <v>ASM&amp;QC-ER4U-04</v>
      </c>
      <c r="B367" t="str">
        <f>"10-1010-9000"</f>
        <v>10-1010-9000</v>
      </c>
      <c r="C367" t="str">
        <f>"Adapter Mounting Plate for ER4u"</f>
        <v>Adapter Mounting Plate for ER4u</v>
      </c>
      <c r="D367">
        <v>1</v>
      </c>
      <c r="E367" t="str">
        <f t="shared" si="101"/>
        <v>Assembly&amp;Quality Control ER4U (Basic Assembly &amp; ViewFlex Machine Vision System)</v>
      </c>
      <c r="F367">
        <v>504</v>
      </c>
      <c r="G367" t="str">
        <f t="shared" si="92"/>
        <v>Y</v>
      </c>
      <c r="H367" t="str">
        <f t="shared" si="102"/>
        <v>EA</v>
      </c>
      <c r="I367">
        <v>0</v>
      </c>
      <c r="J367">
        <v>0</v>
      </c>
      <c r="K367" t="str">
        <f t="shared" si="93"/>
        <v>Y</v>
      </c>
      <c r="L367">
        <v>0</v>
      </c>
      <c r="M367" t="str">
        <f t="shared" si="94"/>
        <v>NIS</v>
      </c>
      <c r="O367">
        <v>4</v>
      </c>
      <c r="P367" t="str">
        <f t="shared" si="99"/>
        <v>Active</v>
      </c>
      <c r="Q367" t="str">
        <f>"Adapter Mounting Plate for ER4u"</f>
        <v>Adapter Mounting Plate for ER4u</v>
      </c>
      <c r="S367" t="str">
        <f>"Adapter Mounting Plate for ER4u"</f>
        <v>Adapter Mounting Plate for ER4u</v>
      </c>
      <c r="T367">
        <v>0</v>
      </c>
      <c r="U367">
        <v>117</v>
      </c>
      <c r="V367">
        <v>117.14</v>
      </c>
      <c r="W367" t="str">
        <f t="shared" si="103"/>
        <v>rob</v>
      </c>
    </row>
    <row r="368" spans="1:23">
      <c r="A368" t="str">
        <f t="shared" si="100"/>
        <v>ASM&amp;QC-ER4U-04</v>
      </c>
      <c r="B368" t="str">
        <f>"10-2104-9000"</f>
        <v>10-2104-9000</v>
      </c>
      <c r="C368" t="str">
        <f>"Single Buffer for Slotted Table"</f>
        <v>Single Buffer for Slotted Table</v>
      </c>
      <c r="D368">
        <v>3</v>
      </c>
      <c r="E368" t="str">
        <f t="shared" si="101"/>
        <v>Assembly&amp;Quality Control ER4U (Basic Assembly &amp; ViewFlex Machine Vision System)</v>
      </c>
      <c r="F368">
        <v>504</v>
      </c>
      <c r="G368" t="str">
        <f t="shared" si="92"/>
        <v>Y</v>
      </c>
      <c r="H368" t="str">
        <f t="shared" si="102"/>
        <v>EA</v>
      </c>
      <c r="I368">
        <v>0</v>
      </c>
      <c r="J368">
        <v>0</v>
      </c>
      <c r="K368" t="str">
        <f t="shared" si="93"/>
        <v>Y</v>
      </c>
      <c r="L368">
        <v>0</v>
      </c>
      <c r="M368" t="str">
        <f t="shared" si="94"/>
        <v>NIS</v>
      </c>
      <c r="O368">
        <v>5</v>
      </c>
      <c r="P368" t="str">
        <f t="shared" si="99"/>
        <v>Active</v>
      </c>
      <c r="Q368" t="str">
        <f>"Single Buffer for Slotted Table(+height adapter)"</f>
        <v>Single Buffer for Slotted Table(+height adapter)</v>
      </c>
      <c r="S368" t="str">
        <f>"Single Buffer for Slotted Table(+height adapter)"</f>
        <v>Single Buffer for Slotted Table(+height adapter)</v>
      </c>
      <c r="T368">
        <v>0</v>
      </c>
      <c r="U368">
        <v>26</v>
      </c>
      <c r="V368">
        <v>25.49</v>
      </c>
      <c r="W368" t="str">
        <f t="shared" si="103"/>
        <v>rob</v>
      </c>
    </row>
    <row r="369" spans="1:23">
      <c r="A369" t="str">
        <f t="shared" si="100"/>
        <v>ASM&amp;QC-ER4U-04</v>
      </c>
      <c r="B369" t="str">
        <f>"00-1110-0000"</f>
        <v>00-1110-0000</v>
      </c>
      <c r="C369" t="str">
        <f>"Palletizing Rack"</f>
        <v>Palletizing Rack</v>
      </c>
      <c r="D369">
        <v>2</v>
      </c>
      <c r="E369" t="str">
        <f t="shared" si="101"/>
        <v>Assembly&amp;Quality Control ER4U (Basic Assembly &amp; ViewFlex Machine Vision System)</v>
      </c>
      <c r="F369">
        <v>504</v>
      </c>
      <c r="G369" t="str">
        <f t="shared" si="92"/>
        <v>Y</v>
      </c>
      <c r="H369" t="str">
        <f t="shared" si="102"/>
        <v>EA</v>
      </c>
      <c r="I369">
        <v>0</v>
      </c>
      <c r="J369">
        <v>0</v>
      </c>
      <c r="K369" t="str">
        <f t="shared" si="93"/>
        <v>Y</v>
      </c>
      <c r="L369">
        <v>0</v>
      </c>
      <c r="M369" t="str">
        <f t="shared" si="94"/>
        <v>NIS</v>
      </c>
      <c r="O369">
        <v>6</v>
      </c>
      <c r="P369" t="str">
        <f t="shared" si="99"/>
        <v>Active</v>
      </c>
      <c r="Q369" t="str">
        <f>"Palletizing Rack (incl. Pins for creating Jigs)"</f>
        <v>Palletizing Rack (incl. Pins for creating Jigs)</v>
      </c>
      <c r="S369" t="str">
        <f>"Palletizing Rack (incl. Pins for creating Jigs)"</f>
        <v>Palletizing Rack (incl. Pins for creating Jigs)</v>
      </c>
      <c r="T369">
        <v>0</v>
      </c>
      <c r="U369">
        <v>63</v>
      </c>
      <c r="V369">
        <v>58.59</v>
      </c>
      <c r="W369" t="str">
        <f t="shared" si="103"/>
        <v>rob</v>
      </c>
    </row>
    <row r="370" spans="1:23">
      <c r="A370" t="str">
        <f t="shared" si="100"/>
        <v>ASM&amp;QC-ER4U-04</v>
      </c>
      <c r="B370" t="str">
        <f>"021172"</f>
        <v>021172</v>
      </c>
      <c r="C370" t="str">
        <f>"30mm Height Adapter -Rack 001110 on table 001249"</f>
        <v>30mm Height Adapter -Rack 001110 on table 001249</v>
      </c>
      <c r="D370">
        <v>2</v>
      </c>
      <c r="E370" t="str">
        <f t="shared" si="101"/>
        <v>Assembly&amp;Quality Control ER4U (Basic Assembly &amp; ViewFlex Machine Vision System)</v>
      </c>
      <c r="F370">
        <v>504</v>
      </c>
      <c r="G370" t="str">
        <f t="shared" si="92"/>
        <v>Y</v>
      </c>
      <c r="H370" t="str">
        <f t="shared" si="102"/>
        <v>EA</v>
      </c>
      <c r="I370">
        <v>0</v>
      </c>
      <c r="J370">
        <v>0</v>
      </c>
      <c r="K370" t="str">
        <f t="shared" si="93"/>
        <v>Y</v>
      </c>
      <c r="L370">
        <v>0</v>
      </c>
      <c r="M370" t="str">
        <f t="shared" si="94"/>
        <v>NIS</v>
      </c>
      <c r="O370">
        <v>7</v>
      </c>
      <c r="P370" t="str">
        <f t="shared" si="99"/>
        <v>Active</v>
      </c>
      <c r="Q370" t="str">
        <f>"30mm Height Adapter -Rack 001110 on table 001249"</f>
        <v>30mm Height Adapter -Rack 001110 on table 001249</v>
      </c>
      <c r="S370" t="str">
        <f>"30mm Height Adapter -Rack 001110 on table 001249"</f>
        <v>30mm Height Adapter -Rack 001110 on table 001249</v>
      </c>
      <c r="T370">
        <v>0</v>
      </c>
      <c r="U370">
        <v>13.12</v>
      </c>
      <c r="V370">
        <v>13.44</v>
      </c>
      <c r="W370" t="str">
        <f t="shared" si="103"/>
        <v>rob</v>
      </c>
    </row>
    <row r="371" spans="1:23">
      <c r="A371" t="str">
        <f t="shared" si="100"/>
        <v>ASM&amp;QC-ER4U-04</v>
      </c>
      <c r="B371" t="str">
        <f>"00-1426-0000"</f>
        <v>00-1426-0000</v>
      </c>
      <c r="C371" t="str">
        <f>"Viewflex - Machine Vision (Stand 1000mm)"</f>
        <v>Viewflex - Machine Vision (Stand 1000mm)</v>
      </c>
      <c r="D371">
        <v>1</v>
      </c>
      <c r="E371" t="str">
        <f t="shared" si="101"/>
        <v>Assembly&amp;Quality Control ER4U (Basic Assembly &amp; ViewFlex Machine Vision System)</v>
      </c>
      <c r="F371">
        <v>504</v>
      </c>
      <c r="G371" t="str">
        <f t="shared" si="92"/>
        <v>Y</v>
      </c>
      <c r="H371" t="str">
        <f t="shared" si="102"/>
        <v>EA</v>
      </c>
      <c r="I371">
        <v>0</v>
      </c>
      <c r="J371">
        <v>0</v>
      </c>
      <c r="K371" t="str">
        <f t="shared" si="93"/>
        <v>Y</v>
      </c>
      <c r="L371">
        <v>0</v>
      </c>
      <c r="M371" t="str">
        <f t="shared" si="94"/>
        <v>NIS</v>
      </c>
      <c r="O371">
        <v>8</v>
      </c>
      <c r="P371" t="str">
        <f t="shared" si="99"/>
        <v>Active</v>
      </c>
      <c r="Q371" t="str">
        <f>"Viewflex for Robot Guidance (Stand 1000mm)"</f>
        <v>Viewflex for Robot Guidance (Stand 1000mm)</v>
      </c>
      <c r="S371" t="str">
        <f>"Viewflex for Robot Guidance (Stand 1000mm)"</f>
        <v>Viewflex for Robot Guidance (Stand 1000mm)</v>
      </c>
      <c r="T371">
        <v>0</v>
      </c>
      <c r="U371">
        <v>610.01</v>
      </c>
      <c r="V371">
        <v>569.09</v>
      </c>
      <c r="W371" t="str">
        <f t="shared" si="103"/>
        <v>rob</v>
      </c>
    </row>
    <row r="372" spans="1:23">
      <c r="A372" t="str">
        <f t="shared" si="100"/>
        <v>ASM&amp;QC-ER4U-04</v>
      </c>
      <c r="B372" t="str">
        <f>"113096"</f>
        <v>113096</v>
      </c>
      <c r="C372" t="str">
        <f>"Plexiglass Cylinders Base"</f>
        <v>Plexiglass Cylinders Base</v>
      </c>
      <c r="D372">
        <v>3</v>
      </c>
      <c r="E372" t="str">
        <f t="shared" si="101"/>
        <v>Assembly&amp;Quality Control ER4U (Basic Assembly &amp; ViewFlex Machine Vision System)</v>
      </c>
      <c r="F372">
        <v>504</v>
      </c>
      <c r="G372" t="str">
        <f t="shared" si="92"/>
        <v>Y</v>
      </c>
      <c r="H372" t="str">
        <f t="shared" si="102"/>
        <v>EA</v>
      </c>
      <c r="I372">
        <v>0</v>
      </c>
      <c r="J372">
        <v>0</v>
      </c>
      <c r="K372" t="str">
        <f t="shared" si="93"/>
        <v>Y</v>
      </c>
      <c r="L372">
        <v>0</v>
      </c>
      <c r="M372" t="str">
        <f t="shared" si="94"/>
        <v>NIS</v>
      </c>
      <c r="O372">
        <v>9</v>
      </c>
      <c r="P372" t="str">
        <f t="shared" si="99"/>
        <v>Active</v>
      </c>
      <c r="Q372" t="str">
        <f>"Plexiglass Cylinders Base MicroCIM"</f>
        <v>Plexiglass Cylinders Base MicroCIM</v>
      </c>
      <c r="S372" t="str">
        <f>"Plexiglass Cylinders Base"</f>
        <v>Plexiglass Cylinders Base</v>
      </c>
      <c r="T372">
        <v>0</v>
      </c>
      <c r="U372">
        <v>7</v>
      </c>
      <c r="V372">
        <v>6.83</v>
      </c>
      <c r="W372" t="str">
        <f t="shared" si="103"/>
        <v>rob</v>
      </c>
    </row>
    <row r="373" spans="1:23">
      <c r="A373" t="str">
        <f t="shared" si="100"/>
        <v>ASM&amp;QC-ER4U-04</v>
      </c>
      <c r="B373" t="str">
        <f>"112713"</f>
        <v>112713</v>
      </c>
      <c r="C373" t="str">
        <f>"Marked Aluminum Cylinder"</f>
        <v>Marked Aluminum Cylinder</v>
      </c>
      <c r="D373">
        <v>3</v>
      </c>
      <c r="E373" t="str">
        <f t="shared" si="101"/>
        <v>Assembly&amp;Quality Control ER4U (Basic Assembly &amp; ViewFlex Machine Vision System)</v>
      </c>
      <c r="F373">
        <v>504</v>
      </c>
      <c r="G373" t="str">
        <f t="shared" si="92"/>
        <v>Y</v>
      </c>
      <c r="H373" t="str">
        <f t="shared" si="102"/>
        <v>EA</v>
      </c>
      <c r="I373">
        <v>0</v>
      </c>
      <c r="J373">
        <v>0</v>
      </c>
      <c r="K373" t="str">
        <f t="shared" si="93"/>
        <v>Y</v>
      </c>
      <c r="L373">
        <v>0</v>
      </c>
      <c r="M373" t="str">
        <f t="shared" si="94"/>
        <v>NIS</v>
      </c>
      <c r="O373">
        <v>10</v>
      </c>
      <c r="P373" t="str">
        <f t="shared" si="99"/>
        <v>Active</v>
      </c>
      <c r="Q373" t="str">
        <f>"Mark Al. Cylinder Diam. 35x28 MicroCIM"</f>
        <v>Mark Al. Cylinder Diam. 35x28 MicroCIM</v>
      </c>
      <c r="S373" t="str">
        <f>"Mark Al. Cylinder Diam. 35x28"</f>
        <v>Mark Al. Cylinder Diam. 35x28</v>
      </c>
      <c r="T373">
        <v>0</v>
      </c>
      <c r="U373">
        <v>6</v>
      </c>
      <c r="V373">
        <v>5.97</v>
      </c>
      <c r="W373" t="str">
        <f t="shared" si="103"/>
        <v>rob</v>
      </c>
    </row>
    <row r="374" spans="1:23">
      <c r="A374" t="str">
        <f t="shared" si="100"/>
        <v>ASM&amp;QC-ER4U-04</v>
      </c>
      <c r="B374" t="str">
        <f>"113316"</f>
        <v>113316</v>
      </c>
      <c r="C374" t="str">
        <f>"Parts Bin"</f>
        <v>Parts Bin</v>
      </c>
      <c r="D374">
        <v>1</v>
      </c>
      <c r="E374" t="str">
        <f t="shared" si="101"/>
        <v>Assembly&amp;Quality Control ER4U (Basic Assembly &amp; ViewFlex Machine Vision System)</v>
      </c>
      <c r="F374">
        <v>504</v>
      </c>
      <c r="G374" t="str">
        <f t="shared" si="92"/>
        <v>Y</v>
      </c>
      <c r="H374" t="str">
        <f t="shared" si="102"/>
        <v>EA</v>
      </c>
      <c r="I374">
        <v>0</v>
      </c>
      <c r="J374">
        <v>0</v>
      </c>
      <c r="K374" t="str">
        <f t="shared" si="93"/>
        <v>Y</v>
      </c>
      <c r="L374">
        <v>0</v>
      </c>
      <c r="M374" t="str">
        <f t="shared" si="94"/>
        <v>NIS</v>
      </c>
      <c r="O374">
        <v>11</v>
      </c>
      <c r="P374" t="str">
        <f t="shared" si="99"/>
        <v>Active</v>
      </c>
      <c r="Q374" t="str">
        <f>"Parts Bin; Plastic Box"</f>
        <v>Parts Bin; Plastic Box</v>
      </c>
      <c r="R374" t="str">
        <f>"1"</f>
        <v>1</v>
      </c>
      <c r="S374" t="str">
        <f>"Parts Bin; Plastic Box"</f>
        <v>Parts Bin; Plastic Box</v>
      </c>
      <c r="T374">
        <v>0</v>
      </c>
      <c r="U374">
        <v>8.0399999999999991</v>
      </c>
      <c r="V374">
        <v>6.39</v>
      </c>
      <c r="W374" t="str">
        <f t="shared" si="103"/>
        <v>rob</v>
      </c>
    </row>
    <row r="375" spans="1:23">
      <c r="A375" t="str">
        <f t="shared" si="100"/>
        <v>ASM&amp;QC-ER4U-04</v>
      </c>
      <c r="B375" t="str">
        <f>"00-1249-0000"</f>
        <v>00-1249-0000</v>
      </c>
      <c r="C375" t="str">
        <f>"Workbench 1500x800mm (slotted aluminum top)"</f>
        <v>Workbench 1500x800mm (slotted aluminum top)</v>
      </c>
      <c r="D375">
        <v>1</v>
      </c>
      <c r="E375" t="str">
        <f t="shared" si="101"/>
        <v>Assembly&amp;Quality Control ER4U (Basic Assembly &amp; ViewFlex Machine Vision System)</v>
      </c>
      <c r="F375">
        <v>504</v>
      </c>
      <c r="G375" t="str">
        <f t="shared" si="92"/>
        <v>Y</v>
      </c>
      <c r="H375" t="str">
        <f t="shared" si="102"/>
        <v>EA</v>
      </c>
      <c r="I375">
        <v>0</v>
      </c>
      <c r="J375">
        <v>0</v>
      </c>
      <c r="K375" t="str">
        <f t="shared" si="93"/>
        <v>Y</v>
      </c>
      <c r="L375">
        <v>0</v>
      </c>
      <c r="M375" t="str">
        <f t="shared" si="94"/>
        <v>NIS</v>
      </c>
      <c r="O375">
        <v>12</v>
      </c>
      <c r="P375" t="str">
        <f t="shared" si="99"/>
        <v>Active</v>
      </c>
      <c r="Q375" t="str">
        <f>"Workbench 1500x800mm (slotted aluminum top)"</f>
        <v>Workbench 1500x800mm (slotted aluminum top)</v>
      </c>
      <c r="S375" t="str">
        <f>"Workbench 1500x800mm (slotted aluminum top)"</f>
        <v>Workbench 1500x800mm (slotted aluminum top)</v>
      </c>
      <c r="T375">
        <v>0</v>
      </c>
      <c r="U375" s="44">
        <v>1100</v>
      </c>
      <c r="V375" s="44">
        <v>1083.57</v>
      </c>
      <c r="W375" t="str">
        <f t="shared" si="103"/>
        <v>rob</v>
      </c>
    </row>
    <row r="376" spans="1:23">
      <c r="A376" t="str">
        <f t="shared" si="100"/>
        <v>ASM&amp;QC-ER4U-04</v>
      </c>
      <c r="B376" t="str">
        <f>"00-1260-0000"</f>
        <v>00-1260-0000</v>
      </c>
      <c r="C376" t="str">
        <f>"PC Extension Shelf  600x800mm"</f>
        <v>PC Extension Shelf  600x800mm</v>
      </c>
      <c r="D376">
        <v>1</v>
      </c>
      <c r="E376" t="str">
        <f t="shared" si="101"/>
        <v>Assembly&amp;Quality Control ER4U (Basic Assembly &amp; ViewFlex Machine Vision System)</v>
      </c>
      <c r="F376">
        <v>504</v>
      </c>
      <c r="G376" t="str">
        <f t="shared" si="92"/>
        <v>Y</v>
      </c>
      <c r="H376" t="str">
        <f t="shared" si="102"/>
        <v>EA</v>
      </c>
      <c r="I376">
        <v>0</v>
      </c>
      <c r="J376">
        <v>0</v>
      </c>
      <c r="K376" t="str">
        <f t="shared" si="93"/>
        <v>Y</v>
      </c>
      <c r="L376">
        <v>0</v>
      </c>
      <c r="M376" t="str">
        <f t="shared" si="94"/>
        <v>NIS</v>
      </c>
      <c r="O376">
        <v>13</v>
      </c>
      <c r="P376" t="str">
        <f t="shared" si="99"/>
        <v>Active</v>
      </c>
      <c r="Q376" t="str">
        <f>"PC Extension Shelf  600x800mm"</f>
        <v>PC Extension Shelf  600x800mm</v>
      </c>
      <c r="S376" t="str">
        <f>"PC Extension Shelf  600x800mm"</f>
        <v>PC Extension Shelf  600x800mm</v>
      </c>
      <c r="T376">
        <v>0</v>
      </c>
      <c r="U376">
        <v>192</v>
      </c>
      <c r="V376">
        <v>195.4</v>
      </c>
      <c r="W376" t="str">
        <f t="shared" si="103"/>
        <v>rob</v>
      </c>
    </row>
    <row r="377" spans="1:23">
      <c r="A377" t="str">
        <f t="shared" si="100"/>
        <v>ASM&amp;QC-ER4U-04</v>
      </c>
      <c r="B377" t="str">
        <f>"50-0094-0000"</f>
        <v>50-0094-0000</v>
      </c>
      <c r="C377" t="str">
        <f>"Pre-Engineering, Design and Testing"</f>
        <v>Pre-Engineering, Design and Testing</v>
      </c>
      <c r="D377">
        <v>1</v>
      </c>
      <c r="E377" t="str">
        <f t="shared" si="101"/>
        <v>Assembly&amp;Quality Control ER4U (Basic Assembly &amp; ViewFlex Machine Vision System)</v>
      </c>
      <c r="F377">
        <v>504</v>
      </c>
      <c r="G377" t="str">
        <f t="shared" si="92"/>
        <v>Y</v>
      </c>
      <c r="H377" t="str">
        <f>"DA"</f>
        <v>DA</v>
      </c>
      <c r="I377">
        <v>0</v>
      </c>
      <c r="J377">
        <v>0</v>
      </c>
      <c r="K377" t="str">
        <f t="shared" si="93"/>
        <v>Y</v>
      </c>
      <c r="L377">
        <v>0</v>
      </c>
      <c r="M377" t="str">
        <f t="shared" si="94"/>
        <v>NIS</v>
      </c>
      <c r="O377">
        <v>14</v>
      </c>
      <c r="P377" t="str">
        <f t="shared" si="99"/>
        <v>Active</v>
      </c>
      <c r="Q377" t="str">
        <f>"Pre-Engineering, Design and Testing"</f>
        <v>Pre-Engineering, Design and Testing</v>
      </c>
      <c r="S377" t="str">
        <f>"Pre-Engineering, Design and Testing"</f>
        <v>Pre-Engineering, Design and Testing</v>
      </c>
      <c r="T377">
        <v>0</v>
      </c>
      <c r="U377">
        <v>405</v>
      </c>
      <c r="V377">
        <v>421.2</v>
      </c>
      <c r="W377" t="str">
        <f t="shared" si="103"/>
        <v>rob</v>
      </c>
    </row>
    <row r="378" spans="1:23">
      <c r="A378" t="str">
        <f t="shared" ref="A378:A397" si="104">"ASM&amp;QC-ER9P-01"</f>
        <v>ASM&amp;QC-ER9P-01</v>
      </c>
      <c r="B378" t="str">
        <f>"00-0430-0000"</f>
        <v>00-0430-0000</v>
      </c>
      <c r="C378" t="str">
        <f>"SCORBOT-ER9Pro"</f>
        <v>SCORBOT-ER9Pro</v>
      </c>
      <c r="D378">
        <v>1</v>
      </c>
      <c r="E378" t="str">
        <f t="shared" ref="E378:E397" si="105">"Assembly&amp;Quality Control ER9Pro (Ballgame &amp; ViewFlex Machine Vision System)"</f>
        <v>Assembly&amp;Quality Control ER9Pro (Ballgame &amp; ViewFlex Machine Vision System)</v>
      </c>
      <c r="F378">
        <v>504</v>
      </c>
      <c r="G378" t="str">
        <f t="shared" si="92"/>
        <v>Y</v>
      </c>
      <c r="H378" t="str">
        <f t="shared" ref="H378:H396" si="106">"EA"</f>
        <v>EA</v>
      </c>
      <c r="I378">
        <v>0</v>
      </c>
      <c r="J378">
        <v>0</v>
      </c>
      <c r="K378" t="str">
        <f t="shared" si="93"/>
        <v>Y</v>
      </c>
      <c r="L378">
        <v>0</v>
      </c>
      <c r="M378" t="str">
        <f t="shared" si="94"/>
        <v>NIS</v>
      </c>
      <c r="O378">
        <v>1</v>
      </c>
      <c r="P378" t="str">
        <f t="shared" si="99"/>
        <v>Active</v>
      </c>
      <c r="Q378" t="str">
        <f>"SCORBOT-ER 9Pro (incl. USB-Pro Controller)"</f>
        <v>SCORBOT-ER 9Pro (incl. USB-Pro Controller)</v>
      </c>
      <c r="S378" t="str">
        <f>"SCORBOT-ER 9Pro (incl. USB-Pro Controller)"</f>
        <v>SCORBOT-ER 9Pro (incl. USB-Pro Controller)</v>
      </c>
      <c r="T378">
        <v>0</v>
      </c>
      <c r="U378" s="44">
        <v>10900</v>
      </c>
      <c r="V378" s="44">
        <v>11661.57</v>
      </c>
      <c r="W378" t="str">
        <f t="shared" si="103"/>
        <v>rob</v>
      </c>
    </row>
    <row r="379" spans="1:23">
      <c r="A379" t="str">
        <f t="shared" si="104"/>
        <v>ASM&amp;QC-ER9P-01</v>
      </c>
      <c r="B379" t="str">
        <f>"00-0633-0000"</f>
        <v>00-0633-0000</v>
      </c>
      <c r="C379" t="str">
        <f>"Pneumatic Gripper for ER9-Pro"</f>
        <v>Pneumatic Gripper for ER9-Pro</v>
      </c>
      <c r="D379">
        <v>1</v>
      </c>
      <c r="E379" t="str">
        <f t="shared" si="105"/>
        <v>Assembly&amp;Quality Control ER9Pro (Ballgame &amp; ViewFlex Machine Vision System)</v>
      </c>
      <c r="F379">
        <v>504</v>
      </c>
      <c r="G379" t="str">
        <f t="shared" si="92"/>
        <v>Y</v>
      </c>
      <c r="H379" t="str">
        <f t="shared" si="106"/>
        <v>EA</v>
      </c>
      <c r="I379">
        <v>0</v>
      </c>
      <c r="J379">
        <v>0</v>
      </c>
      <c r="K379" t="str">
        <f t="shared" si="93"/>
        <v>Y</v>
      </c>
      <c r="L379">
        <v>0</v>
      </c>
      <c r="M379" t="str">
        <f t="shared" si="94"/>
        <v>NIS</v>
      </c>
      <c r="O379">
        <v>2</v>
      </c>
      <c r="P379" t="str">
        <f t="shared" si="99"/>
        <v>Active</v>
      </c>
      <c r="Q379" t="str">
        <f>"Pneumatic Gripper for ER 9Pro"</f>
        <v>Pneumatic Gripper for ER 9Pro</v>
      </c>
      <c r="S379" t="str">
        <f>"Pneumatic Gripper for ER9-Pro"</f>
        <v>Pneumatic Gripper for ER9-Pro</v>
      </c>
      <c r="T379">
        <v>0</v>
      </c>
      <c r="U379">
        <v>630</v>
      </c>
      <c r="V379">
        <v>624.72</v>
      </c>
      <c r="W379" t="str">
        <f t="shared" si="103"/>
        <v>rob</v>
      </c>
    </row>
    <row r="380" spans="1:23">
      <c r="A380" t="str">
        <f t="shared" si="104"/>
        <v>ASM&amp;QC-ER9P-01</v>
      </c>
      <c r="B380" t="str">
        <f>"00-1710-0000"</f>
        <v>00-1710-0000</v>
      </c>
      <c r="C380" t="str">
        <f>"Teach Pendant"</f>
        <v>Teach Pendant</v>
      </c>
      <c r="D380">
        <v>1</v>
      </c>
      <c r="E380" t="str">
        <f t="shared" si="105"/>
        <v>Assembly&amp;Quality Control ER9Pro (Ballgame &amp; ViewFlex Machine Vision System)</v>
      </c>
      <c r="F380">
        <v>504</v>
      </c>
      <c r="G380" t="str">
        <f t="shared" si="92"/>
        <v>Y</v>
      </c>
      <c r="H380" t="str">
        <f t="shared" si="106"/>
        <v>EA</v>
      </c>
      <c r="I380">
        <v>0</v>
      </c>
      <c r="J380">
        <v>0</v>
      </c>
      <c r="K380" t="str">
        <f t="shared" si="93"/>
        <v>Y</v>
      </c>
      <c r="L380">
        <v>0</v>
      </c>
      <c r="M380" t="str">
        <f t="shared" si="94"/>
        <v>NIS</v>
      </c>
      <c r="O380">
        <v>3</v>
      </c>
      <c r="P380" t="str">
        <f t="shared" si="99"/>
        <v>Active</v>
      </c>
      <c r="Q380" t="str">
        <f>"Teach Pendant for USB/USB Pro Controllers"</f>
        <v>Teach Pendant for USB/USB Pro Controllers</v>
      </c>
      <c r="S380" t="str">
        <f>"Teach Pendant for USB/USB Pro Controllers"</f>
        <v>Teach Pendant for USB/USB Pro Controllers</v>
      </c>
      <c r="T380">
        <v>0</v>
      </c>
      <c r="U380">
        <v>160.18</v>
      </c>
      <c r="V380">
        <v>161.44999999999999</v>
      </c>
      <c r="W380" t="str">
        <f t="shared" si="103"/>
        <v>rob</v>
      </c>
    </row>
    <row r="381" spans="1:23">
      <c r="A381" t="str">
        <f t="shared" si="104"/>
        <v>ASM&amp;QC-ER9P-01</v>
      </c>
      <c r="B381" t="str">
        <f>"034025"</f>
        <v>034025</v>
      </c>
      <c r="C381" t="str">
        <f>"I/O Interface Box for Controller USB-PRO"</f>
        <v>I/O Interface Box for Controller USB-PRO</v>
      </c>
      <c r="D381">
        <v>1</v>
      </c>
      <c r="E381" t="str">
        <f t="shared" si="105"/>
        <v>Assembly&amp;Quality Control ER9Pro (Ballgame &amp; ViewFlex Machine Vision System)</v>
      </c>
      <c r="F381">
        <v>504</v>
      </c>
      <c r="G381" t="str">
        <f t="shared" si="92"/>
        <v>Y</v>
      </c>
      <c r="H381" t="str">
        <f t="shared" si="106"/>
        <v>EA</v>
      </c>
      <c r="I381">
        <v>0</v>
      </c>
      <c r="J381">
        <v>0</v>
      </c>
      <c r="K381" t="str">
        <f t="shared" si="93"/>
        <v>Y</v>
      </c>
      <c r="L381">
        <v>0</v>
      </c>
      <c r="M381" t="str">
        <f t="shared" si="94"/>
        <v>NIS</v>
      </c>
      <c r="O381">
        <v>4</v>
      </c>
      <c r="P381" t="str">
        <f t="shared" si="99"/>
        <v>Active</v>
      </c>
      <c r="Q381" t="str">
        <f>"I/O Interface Box for Controller USB-PRO"</f>
        <v>I/O Interface Box for Controller USB-PRO</v>
      </c>
      <c r="S381" t="str">
        <f>"קופסת 2+Interface Box I/O כבלים לבקר USBPRO"</f>
        <v>קופסת 2+Interface Box I/O כבלים לבקר USBPRO</v>
      </c>
      <c r="T381">
        <v>0</v>
      </c>
      <c r="U381">
        <v>470</v>
      </c>
      <c r="V381">
        <v>463.62</v>
      </c>
      <c r="W381" t="str">
        <f t="shared" si="103"/>
        <v>rob</v>
      </c>
    </row>
    <row r="382" spans="1:23">
      <c r="A382" t="str">
        <f t="shared" si="104"/>
        <v>ASM&amp;QC-ER9P-01</v>
      </c>
      <c r="B382" t="str">
        <f>"10-2104-9000"</f>
        <v>10-2104-9000</v>
      </c>
      <c r="C382" t="str">
        <f>"Single Buffer for Slotted Table"</f>
        <v>Single Buffer for Slotted Table</v>
      </c>
      <c r="D382">
        <v>3</v>
      </c>
      <c r="E382" t="str">
        <f t="shared" si="105"/>
        <v>Assembly&amp;Quality Control ER9Pro (Ballgame &amp; ViewFlex Machine Vision System)</v>
      </c>
      <c r="F382">
        <v>504</v>
      </c>
      <c r="G382" t="str">
        <f t="shared" si="92"/>
        <v>Y</v>
      </c>
      <c r="H382" t="str">
        <f t="shared" si="106"/>
        <v>EA</v>
      </c>
      <c r="I382">
        <v>0</v>
      </c>
      <c r="J382">
        <v>0</v>
      </c>
      <c r="K382" t="str">
        <f t="shared" si="93"/>
        <v>Y</v>
      </c>
      <c r="L382">
        <v>0</v>
      </c>
      <c r="M382" t="str">
        <f t="shared" si="94"/>
        <v>NIS</v>
      </c>
      <c r="O382">
        <v>5</v>
      </c>
      <c r="P382" t="str">
        <f t="shared" si="99"/>
        <v>Active</v>
      </c>
      <c r="Q382" t="str">
        <f>"Single Buffer for Slotted Table(+height adapter)"</f>
        <v>Single Buffer for Slotted Table(+height adapter)</v>
      </c>
      <c r="S382" t="str">
        <f>"Single Buffer for Slotted Table(+height adapter)"</f>
        <v>Single Buffer for Slotted Table(+height adapter)</v>
      </c>
      <c r="T382">
        <v>0</v>
      </c>
      <c r="U382">
        <v>26</v>
      </c>
      <c r="V382">
        <v>25.49</v>
      </c>
      <c r="W382" t="str">
        <f t="shared" si="103"/>
        <v>rob</v>
      </c>
    </row>
    <row r="383" spans="1:23">
      <c r="A383" t="str">
        <f t="shared" si="104"/>
        <v>ASM&amp;QC-ER9P-01</v>
      </c>
      <c r="B383" t="str">
        <f>"00-1110-0000"</f>
        <v>00-1110-0000</v>
      </c>
      <c r="C383" t="str">
        <f>"Palletizing Rack"</f>
        <v>Palletizing Rack</v>
      </c>
      <c r="D383">
        <v>2</v>
      </c>
      <c r="E383" t="str">
        <f t="shared" si="105"/>
        <v>Assembly&amp;Quality Control ER9Pro (Ballgame &amp; ViewFlex Machine Vision System)</v>
      </c>
      <c r="F383">
        <v>504</v>
      </c>
      <c r="G383" t="str">
        <f t="shared" si="92"/>
        <v>Y</v>
      </c>
      <c r="H383" t="str">
        <f t="shared" si="106"/>
        <v>EA</v>
      </c>
      <c r="I383">
        <v>0</v>
      </c>
      <c r="J383">
        <v>0</v>
      </c>
      <c r="K383" t="str">
        <f t="shared" si="93"/>
        <v>Y</v>
      </c>
      <c r="L383">
        <v>0</v>
      </c>
      <c r="M383" t="str">
        <f t="shared" si="94"/>
        <v>NIS</v>
      </c>
      <c r="O383">
        <v>6</v>
      </c>
      <c r="P383" t="str">
        <f t="shared" si="99"/>
        <v>Active</v>
      </c>
      <c r="Q383" t="str">
        <f>"Palletizing Rack (incl. Pins for creating Jigs)"</f>
        <v>Palletizing Rack (incl. Pins for creating Jigs)</v>
      </c>
      <c r="S383" t="str">
        <f>"Palletizing Rack (incl. Pins for creating Jigs)"</f>
        <v>Palletizing Rack (incl. Pins for creating Jigs)</v>
      </c>
      <c r="T383">
        <v>0</v>
      </c>
      <c r="U383">
        <v>63</v>
      </c>
      <c r="V383">
        <v>58.59</v>
      </c>
      <c r="W383" t="str">
        <f t="shared" si="103"/>
        <v>rob</v>
      </c>
    </row>
    <row r="384" spans="1:23">
      <c r="A384" t="str">
        <f t="shared" si="104"/>
        <v>ASM&amp;QC-ER9P-01</v>
      </c>
      <c r="B384" t="str">
        <f>"021172"</f>
        <v>021172</v>
      </c>
      <c r="C384" t="str">
        <f>"30mm Height Adapter -Rack 001110 on table 001249"</f>
        <v>30mm Height Adapter -Rack 001110 on table 001249</v>
      </c>
      <c r="D384">
        <v>2</v>
      </c>
      <c r="E384" t="str">
        <f t="shared" si="105"/>
        <v>Assembly&amp;Quality Control ER9Pro (Ballgame &amp; ViewFlex Machine Vision System)</v>
      </c>
      <c r="F384">
        <v>504</v>
      </c>
      <c r="G384" t="str">
        <f t="shared" si="92"/>
        <v>Y</v>
      </c>
      <c r="H384" t="str">
        <f t="shared" si="106"/>
        <v>EA</v>
      </c>
      <c r="I384">
        <v>0</v>
      </c>
      <c r="J384">
        <v>0</v>
      </c>
      <c r="K384" t="str">
        <f t="shared" si="93"/>
        <v>Y</v>
      </c>
      <c r="L384">
        <v>0</v>
      </c>
      <c r="M384" t="str">
        <f t="shared" si="94"/>
        <v>NIS</v>
      </c>
      <c r="O384">
        <v>7</v>
      </c>
      <c r="P384" t="str">
        <f t="shared" si="99"/>
        <v>Active</v>
      </c>
      <c r="Q384" t="str">
        <f>"30mm Height Adapter -Rack 001110 on table 001249"</f>
        <v>30mm Height Adapter -Rack 001110 on table 001249</v>
      </c>
      <c r="S384" t="str">
        <f>"30mm Height Adapter -Rack 001110 on table 001249"</f>
        <v>30mm Height Adapter -Rack 001110 on table 001249</v>
      </c>
      <c r="T384">
        <v>0</v>
      </c>
      <c r="U384">
        <v>13.12</v>
      </c>
      <c r="V384">
        <v>13.44</v>
      </c>
      <c r="W384" t="str">
        <f t="shared" si="103"/>
        <v>rob</v>
      </c>
    </row>
    <row r="385" spans="1:23">
      <c r="A385" t="str">
        <f t="shared" si="104"/>
        <v>ASM&amp;QC-ER9P-01</v>
      </c>
      <c r="B385" t="str">
        <f>"21-0004-0000"</f>
        <v>21-0004-0000</v>
      </c>
      <c r="C385" t="str">
        <f>"Assembly, Dual Axis Air Vise Mechanicals"</f>
        <v>Assembly, Dual Axis Air Vise Mechanicals</v>
      </c>
      <c r="D385">
        <v>1</v>
      </c>
      <c r="E385" t="str">
        <f t="shared" si="105"/>
        <v>Assembly&amp;Quality Control ER9Pro (Ballgame &amp; ViewFlex Machine Vision System)</v>
      </c>
      <c r="F385">
        <v>504</v>
      </c>
      <c r="G385" t="str">
        <f t="shared" si="92"/>
        <v>Y</v>
      </c>
      <c r="H385" t="str">
        <f t="shared" si="106"/>
        <v>EA</v>
      </c>
      <c r="I385">
        <v>0</v>
      </c>
      <c r="J385">
        <v>0</v>
      </c>
      <c r="K385" t="str">
        <f t="shared" si="93"/>
        <v>Y</v>
      </c>
      <c r="L385">
        <v>0</v>
      </c>
      <c r="M385" t="str">
        <f t="shared" si="94"/>
        <v>NIS</v>
      </c>
      <c r="O385">
        <v>8</v>
      </c>
      <c r="P385" t="str">
        <f>"Phase Out"</f>
        <v>Phase Out</v>
      </c>
      <c r="Q385" t="str">
        <f>"Pneumatic Dual-Axis Vise"</f>
        <v>Pneumatic Dual-Axis Vise</v>
      </c>
      <c r="S385" t="str">
        <f>"Assembly, Dual Axis Air Vise Mechanicals"</f>
        <v>Assembly, Dual Axis Air Vise Mechanicals</v>
      </c>
      <c r="T385">
        <v>422.16</v>
      </c>
      <c r="U385">
        <v>422</v>
      </c>
      <c r="V385">
        <v>980.27</v>
      </c>
      <c r="W385" t="str">
        <f t="shared" si="103"/>
        <v>rob</v>
      </c>
    </row>
    <row r="386" spans="1:23">
      <c r="A386" t="str">
        <f t="shared" si="104"/>
        <v>ASM&amp;QC-ER9P-01</v>
      </c>
      <c r="B386" t="str">
        <f>"10-2523-4000"</f>
        <v>10-2523-4000</v>
      </c>
      <c r="C386" t="str">
        <f>"Solenoid Valve (24V) for Pipe 3 mm"</f>
        <v>Solenoid Valve (24V) for Pipe 3 mm</v>
      </c>
      <c r="D386">
        <v>1</v>
      </c>
      <c r="E386" t="str">
        <f t="shared" si="105"/>
        <v>Assembly&amp;Quality Control ER9Pro (Ballgame &amp; ViewFlex Machine Vision System)</v>
      </c>
      <c r="F386">
        <v>504</v>
      </c>
      <c r="G386" t="str">
        <f t="shared" ref="G386:G449" si="107">"Y"</f>
        <v>Y</v>
      </c>
      <c r="H386" t="str">
        <f t="shared" si="106"/>
        <v>EA</v>
      </c>
      <c r="I386">
        <v>0</v>
      </c>
      <c r="J386">
        <v>0</v>
      </c>
      <c r="K386" t="str">
        <f t="shared" ref="K386:K449" si="108">"Y"</f>
        <v>Y</v>
      </c>
      <c r="L386">
        <v>0</v>
      </c>
      <c r="M386" t="str">
        <f t="shared" ref="M386:M449" si="109">"NIS"</f>
        <v>NIS</v>
      </c>
      <c r="O386">
        <v>9</v>
      </c>
      <c r="P386" t="str">
        <f t="shared" ref="P386:P404" si="110">"Active"</f>
        <v>Active</v>
      </c>
      <c r="Q386" t="str">
        <f>"Solenoid Valve (24V) for Dual Axis Vise 025207"</f>
        <v>Solenoid Valve (24V) for Dual Axis Vise 025207</v>
      </c>
      <c r="S386" t="str">
        <f>"Solenoid Valve (24V) for Pipe 3 mm"</f>
        <v>Solenoid Valve (24V) for Pipe 3 mm</v>
      </c>
      <c r="T386">
        <v>0</v>
      </c>
      <c r="U386">
        <v>137</v>
      </c>
      <c r="V386">
        <v>133.35</v>
      </c>
      <c r="W386" t="str">
        <f t="shared" si="103"/>
        <v>rob</v>
      </c>
    </row>
    <row r="387" spans="1:23">
      <c r="A387" t="str">
        <f t="shared" si="104"/>
        <v>ASM&amp;QC-ER9P-01</v>
      </c>
      <c r="B387" t="str">
        <f>"00-1230-0000"</f>
        <v>00-1230-0000</v>
      </c>
      <c r="C387" t="str">
        <f>"Ball Feeder (incl. sensor for ball counting)"</f>
        <v>Ball Feeder (incl. sensor for ball counting)</v>
      </c>
      <c r="D387">
        <v>1</v>
      </c>
      <c r="E387" t="str">
        <f t="shared" si="105"/>
        <v>Assembly&amp;Quality Control ER9Pro (Ballgame &amp; ViewFlex Machine Vision System)</v>
      </c>
      <c r="F387">
        <v>504</v>
      </c>
      <c r="G387" t="str">
        <f t="shared" si="107"/>
        <v>Y</v>
      </c>
      <c r="H387" t="str">
        <f t="shared" si="106"/>
        <v>EA</v>
      </c>
      <c r="I387">
        <v>0</v>
      </c>
      <c r="J387">
        <v>0</v>
      </c>
      <c r="K387" t="str">
        <f t="shared" si="108"/>
        <v>Y</v>
      </c>
      <c r="L387">
        <v>0</v>
      </c>
      <c r="M387" t="str">
        <f t="shared" si="109"/>
        <v>NIS</v>
      </c>
      <c r="O387">
        <v>10</v>
      </c>
      <c r="P387" t="str">
        <f t="shared" si="110"/>
        <v>Active</v>
      </c>
      <c r="Q387" t="str">
        <f>"Ball Feeder (incl. sensor for ball counting)"</f>
        <v>Ball Feeder (incl. sensor for ball counting)</v>
      </c>
      <c r="S387" t="str">
        <f>"Ball Feeder (incl. sensor for ball counting)"</f>
        <v>Ball Feeder (incl. sensor for ball counting)</v>
      </c>
      <c r="T387">
        <v>0</v>
      </c>
      <c r="U387">
        <v>536</v>
      </c>
      <c r="V387">
        <v>530.72</v>
      </c>
      <c r="W387" t="str">
        <f t="shared" si="103"/>
        <v>rob</v>
      </c>
    </row>
    <row r="388" spans="1:23">
      <c r="A388" t="str">
        <f t="shared" si="104"/>
        <v>ASM&amp;QC-ER9P-01</v>
      </c>
      <c r="B388" t="str">
        <f>"00-1243-0000"</f>
        <v>00-1243-0000</v>
      </c>
      <c r="C388" t="str">
        <f>"Ball Game Set (Assembly with Plastic Pins)"</f>
        <v>Ball Game Set (Assembly with Plastic Pins)</v>
      </c>
      <c r="D388">
        <v>12</v>
      </c>
      <c r="E388" t="str">
        <f t="shared" si="105"/>
        <v>Assembly&amp;Quality Control ER9Pro (Ballgame &amp; ViewFlex Machine Vision System)</v>
      </c>
      <c r="F388">
        <v>504</v>
      </c>
      <c r="G388" t="str">
        <f t="shared" si="107"/>
        <v>Y</v>
      </c>
      <c r="H388" t="str">
        <f t="shared" si="106"/>
        <v>EA</v>
      </c>
      <c r="I388">
        <v>0</v>
      </c>
      <c r="J388">
        <v>0</v>
      </c>
      <c r="K388" t="str">
        <f t="shared" si="108"/>
        <v>Y</v>
      </c>
      <c r="L388">
        <v>0</v>
      </c>
      <c r="M388" t="str">
        <f t="shared" si="109"/>
        <v>NIS</v>
      </c>
      <c r="O388">
        <v>11</v>
      </c>
      <c r="P388" t="str">
        <f t="shared" si="110"/>
        <v>Active</v>
      </c>
      <c r="Q388" t="str">
        <f>"Ball Game Set (Assembly with Plastic Pins)"</f>
        <v>Ball Game Set (Assembly with Plastic Pins)</v>
      </c>
      <c r="S388" t="str">
        <f>"Ball Game Set (Assembly with Plastic Pins)"</f>
        <v>Ball Game Set (Assembly with Plastic Pins)</v>
      </c>
      <c r="T388">
        <v>0</v>
      </c>
      <c r="U388">
        <v>32</v>
      </c>
      <c r="V388">
        <v>34.770000000000003</v>
      </c>
      <c r="W388" t="str">
        <f t="shared" si="103"/>
        <v>rob</v>
      </c>
    </row>
    <row r="389" spans="1:23">
      <c r="A389" t="str">
        <f t="shared" si="104"/>
        <v>ASM&amp;QC-ER9P-01</v>
      </c>
      <c r="B389" t="str">
        <f>"00-1013-0000"</f>
        <v>00-1013-0000</v>
      </c>
      <c r="C389" t="str">
        <f>"Linear Positioning Table 300mm"</f>
        <v>Linear Positioning Table 300mm</v>
      </c>
      <c r="D389">
        <v>1</v>
      </c>
      <c r="E389" t="str">
        <f t="shared" si="105"/>
        <v>Assembly&amp;Quality Control ER9Pro (Ballgame &amp; ViewFlex Machine Vision System)</v>
      </c>
      <c r="F389">
        <v>504</v>
      </c>
      <c r="G389" t="str">
        <f t="shared" si="107"/>
        <v>Y</v>
      </c>
      <c r="H389" t="str">
        <f t="shared" si="106"/>
        <v>EA</v>
      </c>
      <c r="I389">
        <v>0</v>
      </c>
      <c r="J389">
        <v>0</v>
      </c>
      <c r="K389" t="str">
        <f t="shared" si="108"/>
        <v>Y</v>
      </c>
      <c r="L389">
        <v>0</v>
      </c>
      <c r="M389" t="str">
        <f t="shared" si="109"/>
        <v>NIS</v>
      </c>
      <c r="O389">
        <v>12</v>
      </c>
      <c r="P389" t="str">
        <f t="shared" si="110"/>
        <v>Active</v>
      </c>
      <c r="Q389" t="str">
        <f>"Linear Positioning Table 300mm (Belt Drive, 24V)"</f>
        <v>Linear Positioning Table 300mm (Belt Drive, 24V)</v>
      </c>
      <c r="S389" t="str">
        <f>"Linear Positioning Table 300mm (Belt Drive, 24V)"</f>
        <v>Linear Positioning Table 300mm (Belt Drive, 24V)</v>
      </c>
      <c r="T389">
        <v>0</v>
      </c>
      <c r="U389">
        <v>894.02</v>
      </c>
      <c r="V389">
        <v>879.29</v>
      </c>
      <c r="W389" t="str">
        <f t="shared" si="103"/>
        <v>rob</v>
      </c>
    </row>
    <row r="390" spans="1:23">
      <c r="A390" t="str">
        <f t="shared" si="104"/>
        <v>ASM&amp;QC-ER9P-01</v>
      </c>
      <c r="B390" t="str">
        <f>"00-1422-0000"</f>
        <v>00-1422-0000</v>
      </c>
      <c r="C390" t="str">
        <f>"Viewflex for QC (Stand 400mm)"</f>
        <v>Viewflex for QC (Stand 400mm)</v>
      </c>
      <c r="D390">
        <v>1</v>
      </c>
      <c r="E390" t="str">
        <f t="shared" si="105"/>
        <v>Assembly&amp;Quality Control ER9Pro (Ballgame &amp; ViewFlex Machine Vision System)</v>
      </c>
      <c r="F390">
        <v>504</v>
      </c>
      <c r="G390" t="str">
        <f t="shared" si="107"/>
        <v>Y</v>
      </c>
      <c r="H390" t="str">
        <f t="shared" si="106"/>
        <v>EA</v>
      </c>
      <c r="I390">
        <v>0</v>
      </c>
      <c r="J390">
        <v>0</v>
      </c>
      <c r="K390" t="str">
        <f t="shared" si="108"/>
        <v>Y</v>
      </c>
      <c r="L390">
        <v>0</v>
      </c>
      <c r="M390" t="str">
        <f t="shared" si="109"/>
        <v>NIS</v>
      </c>
      <c r="O390">
        <v>13</v>
      </c>
      <c r="P390" t="str">
        <f t="shared" si="110"/>
        <v>Active</v>
      </c>
      <c r="Q390" t="str">
        <f>"Viewflex for QC (Stand 400mm)"</f>
        <v>Viewflex for QC (Stand 400mm)</v>
      </c>
      <c r="S390" t="str">
        <f>"Viewflex for QC (Stand 400mm)"</f>
        <v>Viewflex for QC (Stand 400mm)</v>
      </c>
      <c r="T390">
        <v>0</v>
      </c>
      <c r="U390">
        <v>560</v>
      </c>
      <c r="V390">
        <v>511.35</v>
      </c>
      <c r="W390" t="str">
        <f t="shared" si="103"/>
        <v>rob</v>
      </c>
    </row>
    <row r="391" spans="1:23">
      <c r="A391" t="str">
        <f t="shared" si="104"/>
        <v>ASM&amp;QC-ER9P-01</v>
      </c>
      <c r="B391" t="str">
        <f>"113096"</f>
        <v>113096</v>
      </c>
      <c r="C391" t="str">
        <f>"Plexiglass Cylinders Base"</f>
        <v>Plexiglass Cylinders Base</v>
      </c>
      <c r="D391">
        <v>3</v>
      </c>
      <c r="E391" t="str">
        <f t="shared" si="105"/>
        <v>Assembly&amp;Quality Control ER9Pro (Ballgame &amp; ViewFlex Machine Vision System)</v>
      </c>
      <c r="F391">
        <v>504</v>
      </c>
      <c r="G391" t="str">
        <f t="shared" si="107"/>
        <v>Y</v>
      </c>
      <c r="H391" t="str">
        <f t="shared" si="106"/>
        <v>EA</v>
      </c>
      <c r="I391">
        <v>0</v>
      </c>
      <c r="J391">
        <v>0</v>
      </c>
      <c r="K391" t="str">
        <f t="shared" si="108"/>
        <v>Y</v>
      </c>
      <c r="L391">
        <v>0</v>
      </c>
      <c r="M391" t="str">
        <f t="shared" si="109"/>
        <v>NIS</v>
      </c>
      <c r="O391">
        <v>14</v>
      </c>
      <c r="P391" t="str">
        <f t="shared" si="110"/>
        <v>Active</v>
      </c>
      <c r="Q391" t="str">
        <f>"Plexiglass Cylinders Base MicroCIM"</f>
        <v>Plexiglass Cylinders Base MicroCIM</v>
      </c>
      <c r="S391" t="str">
        <f>"Plexiglass Cylinders Base"</f>
        <v>Plexiglass Cylinders Base</v>
      </c>
      <c r="T391">
        <v>0</v>
      </c>
      <c r="U391">
        <v>7</v>
      </c>
      <c r="V391">
        <v>6.83</v>
      </c>
      <c r="W391" t="str">
        <f t="shared" si="103"/>
        <v>rob</v>
      </c>
    </row>
    <row r="392" spans="1:23">
      <c r="A392" t="str">
        <f t="shared" si="104"/>
        <v>ASM&amp;QC-ER9P-01</v>
      </c>
      <c r="B392" t="str">
        <f>"112713"</f>
        <v>112713</v>
      </c>
      <c r="C392" t="str">
        <f>"Marked Aluminum Cylinder"</f>
        <v>Marked Aluminum Cylinder</v>
      </c>
      <c r="D392">
        <v>3</v>
      </c>
      <c r="E392" t="str">
        <f t="shared" si="105"/>
        <v>Assembly&amp;Quality Control ER9Pro (Ballgame &amp; ViewFlex Machine Vision System)</v>
      </c>
      <c r="F392">
        <v>504</v>
      </c>
      <c r="G392" t="str">
        <f t="shared" si="107"/>
        <v>Y</v>
      </c>
      <c r="H392" t="str">
        <f t="shared" si="106"/>
        <v>EA</v>
      </c>
      <c r="I392">
        <v>0</v>
      </c>
      <c r="J392">
        <v>0</v>
      </c>
      <c r="K392" t="str">
        <f t="shared" si="108"/>
        <v>Y</v>
      </c>
      <c r="L392">
        <v>0</v>
      </c>
      <c r="M392" t="str">
        <f t="shared" si="109"/>
        <v>NIS</v>
      </c>
      <c r="O392">
        <v>15</v>
      </c>
      <c r="P392" t="str">
        <f t="shared" si="110"/>
        <v>Active</v>
      </c>
      <c r="Q392" t="str">
        <f>"Mark Al. Cylinder Diam. 35x28 MicroCIM"</f>
        <v>Mark Al. Cylinder Diam. 35x28 MicroCIM</v>
      </c>
      <c r="S392" t="str">
        <f>"Mark Al. Cylinder Diam. 35x28"</f>
        <v>Mark Al. Cylinder Diam. 35x28</v>
      </c>
      <c r="T392">
        <v>0</v>
      </c>
      <c r="U392">
        <v>6</v>
      </c>
      <c r="V392">
        <v>5.97</v>
      </c>
      <c r="W392" t="str">
        <f t="shared" si="103"/>
        <v>rob</v>
      </c>
    </row>
    <row r="393" spans="1:23">
      <c r="A393" t="str">
        <f t="shared" si="104"/>
        <v>ASM&amp;QC-ER9P-01</v>
      </c>
      <c r="B393" t="str">
        <f>"113316"</f>
        <v>113316</v>
      </c>
      <c r="C393" t="str">
        <f>"Parts Bin"</f>
        <v>Parts Bin</v>
      </c>
      <c r="D393">
        <v>1</v>
      </c>
      <c r="E393" t="str">
        <f t="shared" si="105"/>
        <v>Assembly&amp;Quality Control ER9Pro (Ballgame &amp; ViewFlex Machine Vision System)</v>
      </c>
      <c r="F393">
        <v>504</v>
      </c>
      <c r="G393" t="str">
        <f t="shared" si="107"/>
        <v>Y</v>
      </c>
      <c r="H393" t="str">
        <f t="shared" si="106"/>
        <v>EA</v>
      </c>
      <c r="I393">
        <v>0</v>
      </c>
      <c r="J393">
        <v>0</v>
      </c>
      <c r="K393" t="str">
        <f t="shared" si="108"/>
        <v>Y</v>
      </c>
      <c r="L393">
        <v>0</v>
      </c>
      <c r="M393" t="str">
        <f t="shared" si="109"/>
        <v>NIS</v>
      </c>
      <c r="O393">
        <v>16</v>
      </c>
      <c r="P393" t="str">
        <f t="shared" si="110"/>
        <v>Active</v>
      </c>
      <c r="Q393" t="str">
        <f>"Parts Bin; Plastic Box"</f>
        <v>Parts Bin; Plastic Box</v>
      </c>
      <c r="R393" t="str">
        <f>"1"</f>
        <v>1</v>
      </c>
      <c r="S393" t="str">
        <f>"Parts Bin; Plastic Box"</f>
        <v>Parts Bin; Plastic Box</v>
      </c>
      <c r="T393">
        <v>0</v>
      </c>
      <c r="U393">
        <v>8.0399999999999991</v>
      </c>
      <c r="V393">
        <v>6.39</v>
      </c>
      <c r="W393" t="str">
        <f t="shared" si="103"/>
        <v>rob</v>
      </c>
    </row>
    <row r="394" spans="1:23">
      <c r="A394" t="str">
        <f t="shared" si="104"/>
        <v>ASM&amp;QC-ER9P-01</v>
      </c>
      <c r="B394" t="str">
        <f>"00-1249-0000"</f>
        <v>00-1249-0000</v>
      </c>
      <c r="C394" t="str">
        <f>"Workbench 1500x800mm (slotted aluminum top)"</f>
        <v>Workbench 1500x800mm (slotted aluminum top)</v>
      </c>
      <c r="D394">
        <v>1</v>
      </c>
      <c r="E394" t="str">
        <f t="shared" si="105"/>
        <v>Assembly&amp;Quality Control ER9Pro (Ballgame &amp; ViewFlex Machine Vision System)</v>
      </c>
      <c r="F394">
        <v>504</v>
      </c>
      <c r="G394" t="str">
        <f t="shared" si="107"/>
        <v>Y</v>
      </c>
      <c r="H394" t="str">
        <f t="shared" si="106"/>
        <v>EA</v>
      </c>
      <c r="I394">
        <v>0</v>
      </c>
      <c r="J394">
        <v>0</v>
      </c>
      <c r="K394" t="str">
        <f t="shared" si="108"/>
        <v>Y</v>
      </c>
      <c r="L394">
        <v>0</v>
      </c>
      <c r="M394" t="str">
        <f t="shared" si="109"/>
        <v>NIS</v>
      </c>
      <c r="O394">
        <v>17</v>
      </c>
      <c r="P394" t="str">
        <f t="shared" si="110"/>
        <v>Active</v>
      </c>
      <c r="Q394" t="str">
        <f>"Workbench 1500x800mm (slotted aluminum top)"</f>
        <v>Workbench 1500x800mm (slotted aluminum top)</v>
      </c>
      <c r="S394" t="str">
        <f>"Workbench 1500x800mm (slotted aluminum top)"</f>
        <v>Workbench 1500x800mm (slotted aluminum top)</v>
      </c>
      <c r="T394">
        <v>0</v>
      </c>
      <c r="U394" s="44">
        <v>1100</v>
      </c>
      <c r="V394" s="44">
        <v>1083.57</v>
      </c>
      <c r="W394" t="str">
        <f t="shared" si="103"/>
        <v>rob</v>
      </c>
    </row>
    <row r="395" spans="1:23">
      <c r="A395" t="str">
        <f t="shared" si="104"/>
        <v>ASM&amp;QC-ER9P-01</v>
      </c>
      <c r="B395" t="str">
        <f>"00-1241-0000"</f>
        <v>00-1241-0000</v>
      </c>
      <c r="C395" t="str">
        <f>"Adapter Mounting Plate for ER9/14Pro &amp; HP3"</f>
        <v>Adapter Mounting Plate for ER9/14Pro &amp; HP3</v>
      </c>
      <c r="D395">
        <v>1</v>
      </c>
      <c r="E395" t="str">
        <f t="shared" si="105"/>
        <v>Assembly&amp;Quality Control ER9Pro (Ballgame &amp; ViewFlex Machine Vision System)</v>
      </c>
      <c r="F395">
        <v>504</v>
      </c>
      <c r="G395" t="str">
        <f t="shared" si="107"/>
        <v>Y</v>
      </c>
      <c r="H395" t="str">
        <f t="shared" si="106"/>
        <v>EA</v>
      </c>
      <c r="I395">
        <v>0</v>
      </c>
      <c r="J395">
        <v>0</v>
      </c>
      <c r="K395" t="str">
        <f t="shared" si="108"/>
        <v>Y</v>
      </c>
      <c r="L395">
        <v>0</v>
      </c>
      <c r="M395" t="str">
        <f t="shared" si="109"/>
        <v>NIS</v>
      </c>
      <c r="O395">
        <v>18</v>
      </c>
      <c r="P395" t="str">
        <f t="shared" si="110"/>
        <v>Active</v>
      </c>
      <c r="Q395" t="str">
        <f>"Adapter Mounting Plate for ER9/14Pro &amp; HP3"</f>
        <v>Adapter Mounting Plate for ER9/14Pro &amp; HP3</v>
      </c>
      <c r="S395" t="str">
        <f>"Adapter Mounting Plate for ER9/14Pro &amp; HP3"</f>
        <v>Adapter Mounting Plate for ER9/14Pro &amp; HP3</v>
      </c>
      <c r="T395">
        <v>0</v>
      </c>
      <c r="U395">
        <v>145</v>
      </c>
      <c r="V395">
        <v>153.93</v>
      </c>
      <c r="W395" t="str">
        <f t="shared" si="103"/>
        <v>rob</v>
      </c>
    </row>
    <row r="396" spans="1:23">
      <c r="A396" t="str">
        <f t="shared" si="104"/>
        <v>ASM&amp;QC-ER9P-01</v>
      </c>
      <c r="B396" t="str">
        <f>"00-1260-0000"</f>
        <v>00-1260-0000</v>
      </c>
      <c r="C396" t="str">
        <f>"PC Extension Shelf  600x800mm"</f>
        <v>PC Extension Shelf  600x800mm</v>
      </c>
      <c r="D396">
        <v>1</v>
      </c>
      <c r="E396" t="str">
        <f t="shared" si="105"/>
        <v>Assembly&amp;Quality Control ER9Pro (Ballgame &amp; ViewFlex Machine Vision System)</v>
      </c>
      <c r="F396">
        <v>504</v>
      </c>
      <c r="G396" t="str">
        <f t="shared" si="107"/>
        <v>Y</v>
      </c>
      <c r="H396" t="str">
        <f t="shared" si="106"/>
        <v>EA</v>
      </c>
      <c r="I396">
        <v>0</v>
      </c>
      <c r="J396">
        <v>0</v>
      </c>
      <c r="K396" t="str">
        <f t="shared" si="108"/>
        <v>Y</v>
      </c>
      <c r="L396">
        <v>0</v>
      </c>
      <c r="M396" t="str">
        <f t="shared" si="109"/>
        <v>NIS</v>
      </c>
      <c r="O396">
        <v>19</v>
      </c>
      <c r="P396" t="str">
        <f t="shared" si="110"/>
        <v>Active</v>
      </c>
      <c r="Q396" t="str">
        <f>"PC Extension Shelf  600x800mm"</f>
        <v>PC Extension Shelf  600x800mm</v>
      </c>
      <c r="S396" t="str">
        <f>"PC Extension Shelf  600x800mm"</f>
        <v>PC Extension Shelf  600x800mm</v>
      </c>
      <c r="T396">
        <v>0</v>
      </c>
      <c r="U396">
        <v>192</v>
      </c>
      <c r="V396">
        <v>195.4</v>
      </c>
      <c r="W396" t="str">
        <f t="shared" si="103"/>
        <v>rob</v>
      </c>
    </row>
    <row r="397" spans="1:23">
      <c r="A397" t="str">
        <f t="shared" si="104"/>
        <v>ASM&amp;QC-ER9P-01</v>
      </c>
      <c r="B397" t="str">
        <f>"50-0094-0000"</f>
        <v>50-0094-0000</v>
      </c>
      <c r="C397" t="str">
        <f>"Pre-Engineering, Design and Testing"</f>
        <v>Pre-Engineering, Design and Testing</v>
      </c>
      <c r="D397">
        <v>1</v>
      </c>
      <c r="E397" t="str">
        <f t="shared" si="105"/>
        <v>Assembly&amp;Quality Control ER9Pro (Ballgame &amp; ViewFlex Machine Vision System)</v>
      </c>
      <c r="F397">
        <v>504</v>
      </c>
      <c r="G397" t="str">
        <f t="shared" si="107"/>
        <v>Y</v>
      </c>
      <c r="H397" t="str">
        <f>"DA"</f>
        <v>DA</v>
      </c>
      <c r="I397">
        <v>0</v>
      </c>
      <c r="J397">
        <v>0</v>
      </c>
      <c r="K397" t="str">
        <f t="shared" si="108"/>
        <v>Y</v>
      </c>
      <c r="L397">
        <v>0</v>
      </c>
      <c r="M397" t="str">
        <f t="shared" si="109"/>
        <v>NIS</v>
      </c>
      <c r="O397">
        <v>20</v>
      </c>
      <c r="P397" t="str">
        <f t="shared" si="110"/>
        <v>Active</v>
      </c>
      <c r="Q397" t="str">
        <f>"Pre-Engineering, Design and Testing"</f>
        <v>Pre-Engineering, Design and Testing</v>
      </c>
      <c r="S397" t="str">
        <f>"Pre-Engineering, Design and Testing"</f>
        <v>Pre-Engineering, Design and Testing</v>
      </c>
      <c r="T397">
        <v>0</v>
      </c>
      <c r="U397">
        <v>405</v>
      </c>
      <c r="V397">
        <v>421.2</v>
      </c>
      <c r="W397" t="str">
        <f t="shared" si="103"/>
        <v>rob</v>
      </c>
    </row>
    <row r="398" spans="1:23">
      <c r="A398" t="str">
        <f t="shared" ref="A398:A414" si="111">"ASM&amp;QC-ER9P-02"</f>
        <v>ASM&amp;QC-ER9P-02</v>
      </c>
      <c r="B398" t="str">
        <f>"00-0430-0000"</f>
        <v>00-0430-0000</v>
      </c>
      <c r="C398" t="str">
        <f>"SCORBOT-ER9Pro"</f>
        <v>SCORBOT-ER9Pro</v>
      </c>
      <c r="D398">
        <v>1</v>
      </c>
      <c r="E398" t="str">
        <f t="shared" ref="E398:E414" si="112">"Assembly&amp;Quality Control ER9Pro (Ballgame &amp; Caliper)"</f>
        <v>Assembly&amp;Quality Control ER9Pro (Ballgame &amp; Caliper)</v>
      </c>
      <c r="F398">
        <v>504</v>
      </c>
      <c r="G398" t="str">
        <f t="shared" si="107"/>
        <v>Y</v>
      </c>
      <c r="H398" t="str">
        <f t="shared" ref="H398:H413" si="113">"EA"</f>
        <v>EA</v>
      </c>
      <c r="I398">
        <v>0</v>
      </c>
      <c r="J398">
        <v>0</v>
      </c>
      <c r="K398" t="str">
        <f t="shared" si="108"/>
        <v>Y</v>
      </c>
      <c r="L398">
        <v>0</v>
      </c>
      <c r="M398" t="str">
        <f t="shared" si="109"/>
        <v>NIS</v>
      </c>
      <c r="O398">
        <v>1</v>
      </c>
      <c r="P398" t="str">
        <f t="shared" si="110"/>
        <v>Active</v>
      </c>
      <c r="Q398" t="str">
        <f>"SCORBOT-ER 9Pro (incl. USB-Pro Controller)"</f>
        <v>SCORBOT-ER 9Pro (incl. USB-Pro Controller)</v>
      </c>
      <c r="S398" t="str">
        <f>"SCORBOT-ER 9Pro (incl. USB-Pro Controller)"</f>
        <v>SCORBOT-ER 9Pro (incl. USB-Pro Controller)</v>
      </c>
      <c r="T398">
        <v>0</v>
      </c>
      <c r="U398" s="44">
        <v>10900</v>
      </c>
      <c r="V398" s="44">
        <v>11661.57</v>
      </c>
      <c r="W398" t="str">
        <f t="shared" si="103"/>
        <v>rob</v>
      </c>
    </row>
    <row r="399" spans="1:23">
      <c r="A399" t="str">
        <f t="shared" si="111"/>
        <v>ASM&amp;QC-ER9P-02</v>
      </c>
      <c r="B399" t="str">
        <f>"00-0633-0000"</f>
        <v>00-0633-0000</v>
      </c>
      <c r="C399" t="str">
        <f>"Pneumatic Gripper for ER9-Pro"</f>
        <v>Pneumatic Gripper for ER9-Pro</v>
      </c>
      <c r="D399">
        <v>1</v>
      </c>
      <c r="E399" t="str">
        <f t="shared" si="112"/>
        <v>Assembly&amp;Quality Control ER9Pro (Ballgame &amp; Caliper)</v>
      </c>
      <c r="F399">
        <v>504</v>
      </c>
      <c r="G399" t="str">
        <f t="shared" si="107"/>
        <v>Y</v>
      </c>
      <c r="H399" t="str">
        <f t="shared" si="113"/>
        <v>EA</v>
      </c>
      <c r="I399">
        <v>0</v>
      </c>
      <c r="J399">
        <v>0</v>
      </c>
      <c r="K399" t="str">
        <f t="shared" si="108"/>
        <v>Y</v>
      </c>
      <c r="L399">
        <v>0</v>
      </c>
      <c r="M399" t="str">
        <f t="shared" si="109"/>
        <v>NIS</v>
      </c>
      <c r="O399">
        <v>2</v>
      </c>
      <c r="P399" t="str">
        <f t="shared" si="110"/>
        <v>Active</v>
      </c>
      <c r="Q399" t="str">
        <f>"Pneumatic Gripper for ER 9Pro"</f>
        <v>Pneumatic Gripper for ER 9Pro</v>
      </c>
      <c r="S399" t="str">
        <f>"Pneumatic Gripper for ER9-Pro"</f>
        <v>Pneumatic Gripper for ER9-Pro</v>
      </c>
      <c r="T399">
        <v>0</v>
      </c>
      <c r="U399">
        <v>630</v>
      </c>
      <c r="V399">
        <v>624.72</v>
      </c>
      <c r="W399" t="str">
        <f t="shared" si="103"/>
        <v>rob</v>
      </c>
    </row>
    <row r="400" spans="1:23">
      <c r="A400" t="str">
        <f t="shared" si="111"/>
        <v>ASM&amp;QC-ER9P-02</v>
      </c>
      <c r="B400" t="str">
        <f>"00-1710-0000"</f>
        <v>00-1710-0000</v>
      </c>
      <c r="C400" t="str">
        <f>"Teach Pendant"</f>
        <v>Teach Pendant</v>
      </c>
      <c r="D400">
        <v>1</v>
      </c>
      <c r="E400" t="str">
        <f t="shared" si="112"/>
        <v>Assembly&amp;Quality Control ER9Pro (Ballgame &amp; Caliper)</v>
      </c>
      <c r="F400">
        <v>504</v>
      </c>
      <c r="G400" t="str">
        <f t="shared" si="107"/>
        <v>Y</v>
      </c>
      <c r="H400" t="str">
        <f t="shared" si="113"/>
        <v>EA</v>
      </c>
      <c r="I400">
        <v>0</v>
      </c>
      <c r="J400">
        <v>0</v>
      </c>
      <c r="K400" t="str">
        <f t="shared" si="108"/>
        <v>Y</v>
      </c>
      <c r="L400">
        <v>0</v>
      </c>
      <c r="M400" t="str">
        <f t="shared" si="109"/>
        <v>NIS</v>
      </c>
      <c r="O400">
        <v>3</v>
      </c>
      <c r="P400" t="str">
        <f t="shared" si="110"/>
        <v>Active</v>
      </c>
      <c r="Q400" t="str">
        <f>"Teach Pendant for USB/USB Pro Controllers"</f>
        <v>Teach Pendant for USB/USB Pro Controllers</v>
      </c>
      <c r="S400" t="str">
        <f>"Teach Pendant for USB/USB Pro Controllers"</f>
        <v>Teach Pendant for USB/USB Pro Controllers</v>
      </c>
      <c r="T400">
        <v>0</v>
      </c>
      <c r="U400">
        <v>160.18</v>
      </c>
      <c r="V400">
        <v>161.44999999999999</v>
      </c>
      <c r="W400" t="str">
        <f t="shared" si="103"/>
        <v>rob</v>
      </c>
    </row>
    <row r="401" spans="1:23">
      <c r="A401" t="str">
        <f t="shared" si="111"/>
        <v>ASM&amp;QC-ER9P-02</v>
      </c>
      <c r="B401" t="str">
        <f>"034025"</f>
        <v>034025</v>
      </c>
      <c r="C401" t="str">
        <f>"I/O Interface Box for Controller USB-PRO"</f>
        <v>I/O Interface Box for Controller USB-PRO</v>
      </c>
      <c r="D401">
        <v>1</v>
      </c>
      <c r="E401" t="str">
        <f t="shared" si="112"/>
        <v>Assembly&amp;Quality Control ER9Pro (Ballgame &amp; Caliper)</v>
      </c>
      <c r="F401">
        <v>504</v>
      </c>
      <c r="G401" t="str">
        <f t="shared" si="107"/>
        <v>Y</v>
      </c>
      <c r="H401" t="str">
        <f t="shared" si="113"/>
        <v>EA</v>
      </c>
      <c r="I401">
        <v>0</v>
      </c>
      <c r="J401">
        <v>0</v>
      </c>
      <c r="K401" t="str">
        <f t="shared" si="108"/>
        <v>Y</v>
      </c>
      <c r="L401">
        <v>0</v>
      </c>
      <c r="M401" t="str">
        <f t="shared" si="109"/>
        <v>NIS</v>
      </c>
      <c r="O401">
        <v>4</v>
      </c>
      <c r="P401" t="str">
        <f t="shared" si="110"/>
        <v>Active</v>
      </c>
      <c r="Q401" t="str">
        <f>"I/O Interface Box for Controller USB-PRO"</f>
        <v>I/O Interface Box for Controller USB-PRO</v>
      </c>
      <c r="S401" t="str">
        <f>"קופסת 2+Interface Box I/O כבלים לבקר USBPRO"</f>
        <v>קופסת 2+Interface Box I/O כבלים לבקר USBPRO</v>
      </c>
      <c r="T401">
        <v>0</v>
      </c>
      <c r="U401">
        <v>470</v>
      </c>
      <c r="V401">
        <v>463.62</v>
      </c>
      <c r="W401" t="str">
        <f t="shared" si="103"/>
        <v>rob</v>
      </c>
    </row>
    <row r="402" spans="1:23">
      <c r="A402" t="str">
        <f t="shared" si="111"/>
        <v>ASM&amp;QC-ER9P-02</v>
      </c>
      <c r="B402" t="str">
        <f>"10-2104-9000"</f>
        <v>10-2104-9000</v>
      </c>
      <c r="C402" t="str">
        <f>"Single Buffer for Slotted Table"</f>
        <v>Single Buffer for Slotted Table</v>
      </c>
      <c r="D402">
        <v>3</v>
      </c>
      <c r="E402" t="str">
        <f t="shared" si="112"/>
        <v>Assembly&amp;Quality Control ER9Pro (Ballgame &amp; Caliper)</v>
      </c>
      <c r="F402">
        <v>504</v>
      </c>
      <c r="G402" t="str">
        <f t="shared" si="107"/>
        <v>Y</v>
      </c>
      <c r="H402" t="str">
        <f t="shared" si="113"/>
        <v>EA</v>
      </c>
      <c r="I402">
        <v>0</v>
      </c>
      <c r="J402">
        <v>0</v>
      </c>
      <c r="K402" t="str">
        <f t="shared" si="108"/>
        <v>Y</v>
      </c>
      <c r="L402">
        <v>0</v>
      </c>
      <c r="M402" t="str">
        <f t="shared" si="109"/>
        <v>NIS</v>
      </c>
      <c r="O402">
        <v>5</v>
      </c>
      <c r="P402" t="str">
        <f t="shared" si="110"/>
        <v>Active</v>
      </c>
      <c r="Q402" t="str">
        <f>"Single Buffer for Slotted Table(+height adapter)"</f>
        <v>Single Buffer for Slotted Table(+height adapter)</v>
      </c>
      <c r="S402" t="str">
        <f>"Single Buffer for Slotted Table(+height adapter)"</f>
        <v>Single Buffer for Slotted Table(+height adapter)</v>
      </c>
      <c r="T402">
        <v>0</v>
      </c>
      <c r="U402">
        <v>26</v>
      </c>
      <c r="V402">
        <v>25.49</v>
      </c>
      <c r="W402" t="str">
        <f t="shared" si="103"/>
        <v>rob</v>
      </c>
    </row>
    <row r="403" spans="1:23">
      <c r="A403" t="str">
        <f t="shared" si="111"/>
        <v>ASM&amp;QC-ER9P-02</v>
      </c>
      <c r="B403" t="str">
        <f>"00-1110-0000"</f>
        <v>00-1110-0000</v>
      </c>
      <c r="C403" t="str">
        <f>"Palletizing Rack"</f>
        <v>Palletizing Rack</v>
      </c>
      <c r="D403">
        <v>2</v>
      </c>
      <c r="E403" t="str">
        <f t="shared" si="112"/>
        <v>Assembly&amp;Quality Control ER9Pro (Ballgame &amp; Caliper)</v>
      </c>
      <c r="F403">
        <v>504</v>
      </c>
      <c r="G403" t="str">
        <f t="shared" si="107"/>
        <v>Y</v>
      </c>
      <c r="H403" t="str">
        <f t="shared" si="113"/>
        <v>EA</v>
      </c>
      <c r="I403">
        <v>0</v>
      </c>
      <c r="J403">
        <v>0</v>
      </c>
      <c r="K403" t="str">
        <f t="shared" si="108"/>
        <v>Y</v>
      </c>
      <c r="L403">
        <v>0</v>
      </c>
      <c r="M403" t="str">
        <f t="shared" si="109"/>
        <v>NIS</v>
      </c>
      <c r="O403">
        <v>6</v>
      </c>
      <c r="P403" t="str">
        <f t="shared" si="110"/>
        <v>Active</v>
      </c>
      <c r="Q403" t="str">
        <f>"Palletizing Rack (incl. Pins for creating Jigs)"</f>
        <v>Palletizing Rack (incl. Pins for creating Jigs)</v>
      </c>
      <c r="S403" t="str">
        <f>"Palletizing Rack (incl. Pins for creating Jigs)"</f>
        <v>Palletizing Rack (incl. Pins for creating Jigs)</v>
      </c>
      <c r="T403">
        <v>0</v>
      </c>
      <c r="U403">
        <v>63</v>
      </c>
      <c r="V403">
        <v>58.59</v>
      </c>
      <c r="W403" t="str">
        <f t="shared" si="103"/>
        <v>rob</v>
      </c>
    </row>
    <row r="404" spans="1:23">
      <c r="A404" t="str">
        <f t="shared" si="111"/>
        <v>ASM&amp;QC-ER9P-02</v>
      </c>
      <c r="B404" t="str">
        <f>"021172"</f>
        <v>021172</v>
      </c>
      <c r="C404" t="str">
        <f>"30mm Height Adapter -Rack 001110 on table 001249"</f>
        <v>30mm Height Adapter -Rack 001110 on table 001249</v>
      </c>
      <c r="D404">
        <v>2</v>
      </c>
      <c r="E404" t="str">
        <f t="shared" si="112"/>
        <v>Assembly&amp;Quality Control ER9Pro (Ballgame &amp; Caliper)</v>
      </c>
      <c r="F404">
        <v>504</v>
      </c>
      <c r="G404" t="str">
        <f t="shared" si="107"/>
        <v>Y</v>
      </c>
      <c r="H404" t="str">
        <f t="shared" si="113"/>
        <v>EA</v>
      </c>
      <c r="I404">
        <v>0</v>
      </c>
      <c r="J404">
        <v>0</v>
      </c>
      <c r="K404" t="str">
        <f t="shared" si="108"/>
        <v>Y</v>
      </c>
      <c r="L404">
        <v>0</v>
      </c>
      <c r="M404" t="str">
        <f t="shared" si="109"/>
        <v>NIS</v>
      </c>
      <c r="O404">
        <v>7</v>
      </c>
      <c r="P404" t="str">
        <f t="shared" si="110"/>
        <v>Active</v>
      </c>
      <c r="Q404" t="str">
        <f>"30mm Height Adapter -Rack 001110 on table 001249"</f>
        <v>30mm Height Adapter -Rack 001110 on table 001249</v>
      </c>
      <c r="S404" t="str">
        <f>"30mm Height Adapter -Rack 001110 on table 001249"</f>
        <v>30mm Height Adapter -Rack 001110 on table 001249</v>
      </c>
      <c r="T404">
        <v>0</v>
      </c>
      <c r="U404">
        <v>13.12</v>
      </c>
      <c r="V404">
        <v>13.44</v>
      </c>
      <c r="W404" t="str">
        <f t="shared" si="103"/>
        <v>rob</v>
      </c>
    </row>
    <row r="405" spans="1:23">
      <c r="A405" t="str">
        <f t="shared" si="111"/>
        <v>ASM&amp;QC-ER9P-02</v>
      </c>
      <c r="B405" t="str">
        <f>"21-0004-0000"</f>
        <v>21-0004-0000</v>
      </c>
      <c r="C405" t="str">
        <f>"Assembly, Dual Axis Air Vise Mechanicals"</f>
        <v>Assembly, Dual Axis Air Vise Mechanicals</v>
      </c>
      <c r="D405">
        <v>1</v>
      </c>
      <c r="E405" t="str">
        <f t="shared" si="112"/>
        <v>Assembly&amp;Quality Control ER9Pro (Ballgame &amp; Caliper)</v>
      </c>
      <c r="F405">
        <v>504</v>
      </c>
      <c r="G405" t="str">
        <f t="shared" si="107"/>
        <v>Y</v>
      </c>
      <c r="H405" t="str">
        <f t="shared" si="113"/>
        <v>EA</v>
      </c>
      <c r="I405">
        <v>0</v>
      </c>
      <c r="J405">
        <v>0</v>
      </c>
      <c r="K405" t="str">
        <f t="shared" si="108"/>
        <v>Y</v>
      </c>
      <c r="L405">
        <v>0</v>
      </c>
      <c r="M405" t="str">
        <f t="shared" si="109"/>
        <v>NIS</v>
      </c>
      <c r="O405">
        <v>8</v>
      </c>
      <c r="P405" t="str">
        <f>"Phase Out"</f>
        <v>Phase Out</v>
      </c>
      <c r="Q405" t="str">
        <f>"Pneumatic Dual-Axis Vise"</f>
        <v>Pneumatic Dual-Axis Vise</v>
      </c>
      <c r="S405" t="str">
        <f>"Assembly, Dual Axis Air Vise Mechanicals"</f>
        <v>Assembly, Dual Axis Air Vise Mechanicals</v>
      </c>
      <c r="T405">
        <v>422.16</v>
      </c>
      <c r="U405">
        <v>422</v>
      </c>
      <c r="V405">
        <v>980.27</v>
      </c>
      <c r="W405" t="str">
        <f t="shared" si="103"/>
        <v>rob</v>
      </c>
    </row>
    <row r="406" spans="1:23">
      <c r="A406" t="str">
        <f t="shared" si="111"/>
        <v>ASM&amp;QC-ER9P-02</v>
      </c>
      <c r="B406" t="str">
        <f>"10-2523-4000"</f>
        <v>10-2523-4000</v>
      </c>
      <c r="C406" t="str">
        <f>"Solenoid Valve (24V) for Pipe 3 mm"</f>
        <v>Solenoid Valve (24V) for Pipe 3 mm</v>
      </c>
      <c r="D406">
        <v>1</v>
      </c>
      <c r="E406" t="str">
        <f t="shared" si="112"/>
        <v>Assembly&amp;Quality Control ER9Pro (Ballgame &amp; Caliper)</v>
      </c>
      <c r="F406">
        <v>504</v>
      </c>
      <c r="G406" t="str">
        <f t="shared" si="107"/>
        <v>Y</v>
      </c>
      <c r="H406" t="str">
        <f t="shared" si="113"/>
        <v>EA</v>
      </c>
      <c r="I406">
        <v>0</v>
      </c>
      <c r="J406">
        <v>0</v>
      </c>
      <c r="K406" t="str">
        <f t="shared" si="108"/>
        <v>Y</v>
      </c>
      <c r="L406">
        <v>0</v>
      </c>
      <c r="M406" t="str">
        <f t="shared" si="109"/>
        <v>NIS</v>
      </c>
      <c r="O406">
        <v>9</v>
      </c>
      <c r="P406" t="str">
        <f t="shared" ref="P406:P421" si="114">"Active"</f>
        <v>Active</v>
      </c>
      <c r="Q406" t="str">
        <f>"Solenoid Valve (24V) for Dual Axis Vise 025207"</f>
        <v>Solenoid Valve (24V) for Dual Axis Vise 025207</v>
      </c>
      <c r="S406" t="str">
        <f>"Solenoid Valve (24V) for Pipe 3 mm"</f>
        <v>Solenoid Valve (24V) for Pipe 3 mm</v>
      </c>
      <c r="T406">
        <v>0</v>
      </c>
      <c r="U406">
        <v>137</v>
      </c>
      <c r="V406">
        <v>133.35</v>
      </c>
      <c r="W406" t="str">
        <f t="shared" si="103"/>
        <v>rob</v>
      </c>
    </row>
    <row r="407" spans="1:23">
      <c r="A407" t="str">
        <f t="shared" si="111"/>
        <v>ASM&amp;QC-ER9P-02</v>
      </c>
      <c r="B407" t="str">
        <f>"00-1230-0000"</f>
        <v>00-1230-0000</v>
      </c>
      <c r="C407" t="str">
        <f>"Ball Feeder (incl. sensor for ball counting)"</f>
        <v>Ball Feeder (incl. sensor for ball counting)</v>
      </c>
      <c r="D407">
        <v>1</v>
      </c>
      <c r="E407" t="str">
        <f t="shared" si="112"/>
        <v>Assembly&amp;Quality Control ER9Pro (Ballgame &amp; Caliper)</v>
      </c>
      <c r="F407">
        <v>504</v>
      </c>
      <c r="G407" t="str">
        <f t="shared" si="107"/>
        <v>Y</v>
      </c>
      <c r="H407" t="str">
        <f t="shared" si="113"/>
        <v>EA</v>
      </c>
      <c r="I407">
        <v>0</v>
      </c>
      <c r="J407">
        <v>0</v>
      </c>
      <c r="K407" t="str">
        <f t="shared" si="108"/>
        <v>Y</v>
      </c>
      <c r="L407">
        <v>0</v>
      </c>
      <c r="M407" t="str">
        <f t="shared" si="109"/>
        <v>NIS</v>
      </c>
      <c r="O407">
        <v>10</v>
      </c>
      <c r="P407" t="str">
        <f t="shared" si="114"/>
        <v>Active</v>
      </c>
      <c r="Q407" t="str">
        <f>"Ball Feeder (incl. sensor for ball counting)"</f>
        <v>Ball Feeder (incl. sensor for ball counting)</v>
      </c>
      <c r="S407" t="str">
        <f>"Ball Feeder (incl. sensor for ball counting)"</f>
        <v>Ball Feeder (incl. sensor for ball counting)</v>
      </c>
      <c r="T407">
        <v>0</v>
      </c>
      <c r="U407">
        <v>536</v>
      </c>
      <c r="V407">
        <v>530.72</v>
      </c>
      <c r="W407" t="str">
        <f t="shared" si="103"/>
        <v>rob</v>
      </c>
    </row>
    <row r="408" spans="1:23">
      <c r="A408" t="str">
        <f t="shared" si="111"/>
        <v>ASM&amp;QC-ER9P-02</v>
      </c>
      <c r="B408" t="str">
        <f>"00-1243-0000"</f>
        <v>00-1243-0000</v>
      </c>
      <c r="C408" t="str">
        <f>"Ball Game Set (Assembly with Plastic Pins)"</f>
        <v>Ball Game Set (Assembly with Plastic Pins)</v>
      </c>
      <c r="D408">
        <v>12</v>
      </c>
      <c r="E408" t="str">
        <f t="shared" si="112"/>
        <v>Assembly&amp;Quality Control ER9Pro (Ballgame &amp; Caliper)</v>
      </c>
      <c r="F408">
        <v>504</v>
      </c>
      <c r="G408" t="str">
        <f t="shared" si="107"/>
        <v>Y</v>
      </c>
      <c r="H408" t="str">
        <f t="shared" si="113"/>
        <v>EA</v>
      </c>
      <c r="I408">
        <v>0</v>
      </c>
      <c r="J408">
        <v>0</v>
      </c>
      <c r="K408" t="str">
        <f t="shared" si="108"/>
        <v>Y</v>
      </c>
      <c r="L408">
        <v>0</v>
      </c>
      <c r="M408" t="str">
        <f t="shared" si="109"/>
        <v>NIS</v>
      </c>
      <c r="O408">
        <v>11</v>
      </c>
      <c r="P408" t="str">
        <f t="shared" si="114"/>
        <v>Active</v>
      </c>
      <c r="Q408" t="str">
        <f>"Ball Game Set (Assembly with Plastic Pins)"</f>
        <v>Ball Game Set (Assembly with Plastic Pins)</v>
      </c>
      <c r="S408" t="str">
        <f>"Ball Game Set (Assembly with Plastic Pins)"</f>
        <v>Ball Game Set (Assembly with Plastic Pins)</v>
      </c>
      <c r="T408">
        <v>0</v>
      </c>
      <c r="U408">
        <v>32</v>
      </c>
      <c r="V408">
        <v>34.770000000000003</v>
      </c>
      <c r="W408" t="str">
        <f t="shared" si="103"/>
        <v>rob</v>
      </c>
    </row>
    <row r="409" spans="1:23">
      <c r="A409" t="str">
        <f t="shared" si="111"/>
        <v>ASM&amp;QC-ER9P-02</v>
      </c>
      <c r="B409" t="str">
        <f>"00-1254-0000"</f>
        <v>00-1254-0000</v>
      </c>
      <c r="C409" t="str">
        <f>"Automated Stationary Caliper Unit"</f>
        <v>Automated Stationary Caliper Unit</v>
      </c>
      <c r="D409">
        <v>1</v>
      </c>
      <c r="E409" t="str">
        <f t="shared" si="112"/>
        <v>Assembly&amp;Quality Control ER9Pro (Ballgame &amp; Caliper)</v>
      </c>
      <c r="F409">
        <v>504</v>
      </c>
      <c r="G409" t="str">
        <f t="shared" si="107"/>
        <v>Y</v>
      </c>
      <c r="H409" t="str">
        <f t="shared" si="113"/>
        <v>EA</v>
      </c>
      <c r="I409">
        <v>0</v>
      </c>
      <c r="J409">
        <v>0</v>
      </c>
      <c r="K409" t="str">
        <f t="shared" si="108"/>
        <v>Y</v>
      </c>
      <c r="L409">
        <v>0</v>
      </c>
      <c r="M409" t="str">
        <f t="shared" si="109"/>
        <v>NIS</v>
      </c>
      <c r="O409">
        <v>12</v>
      </c>
      <c r="P409" t="str">
        <f t="shared" si="114"/>
        <v>Active</v>
      </c>
      <c r="Q409" t="str">
        <f>"Automat Stationary Caliper  Unit"</f>
        <v>Automat Stationary Caliper  Unit</v>
      </c>
      <c r="S409" t="str">
        <f>"Automat Stationary Caliper  Unit"</f>
        <v>Automat Stationary Caliper  Unit</v>
      </c>
      <c r="T409">
        <v>0</v>
      </c>
      <c r="U409" s="44">
        <v>1165.92</v>
      </c>
      <c r="V409" s="44">
        <v>1246.44</v>
      </c>
      <c r="W409" t="str">
        <f t="shared" si="103"/>
        <v>rob</v>
      </c>
    </row>
    <row r="410" spans="1:23">
      <c r="A410" t="str">
        <f t="shared" si="111"/>
        <v>ASM&amp;QC-ER9P-02</v>
      </c>
      <c r="B410" t="str">
        <f>"113316"</f>
        <v>113316</v>
      </c>
      <c r="C410" t="str">
        <f>"Parts Bin"</f>
        <v>Parts Bin</v>
      </c>
      <c r="D410">
        <v>1</v>
      </c>
      <c r="E410" t="str">
        <f t="shared" si="112"/>
        <v>Assembly&amp;Quality Control ER9Pro (Ballgame &amp; Caliper)</v>
      </c>
      <c r="F410">
        <v>504</v>
      </c>
      <c r="G410" t="str">
        <f t="shared" si="107"/>
        <v>Y</v>
      </c>
      <c r="H410" t="str">
        <f t="shared" si="113"/>
        <v>EA</v>
      </c>
      <c r="I410">
        <v>0</v>
      </c>
      <c r="J410">
        <v>0</v>
      </c>
      <c r="K410" t="str">
        <f t="shared" si="108"/>
        <v>Y</v>
      </c>
      <c r="L410">
        <v>0</v>
      </c>
      <c r="M410" t="str">
        <f t="shared" si="109"/>
        <v>NIS</v>
      </c>
      <c r="O410">
        <v>13</v>
      </c>
      <c r="P410" t="str">
        <f t="shared" si="114"/>
        <v>Active</v>
      </c>
      <c r="Q410" t="str">
        <f>"Parts Bin; Plastic Box"</f>
        <v>Parts Bin; Plastic Box</v>
      </c>
      <c r="R410" t="str">
        <f>"1"</f>
        <v>1</v>
      </c>
      <c r="S410" t="str">
        <f>"Parts Bin; Plastic Box"</f>
        <v>Parts Bin; Plastic Box</v>
      </c>
      <c r="T410">
        <v>0</v>
      </c>
      <c r="U410">
        <v>8.0399999999999991</v>
      </c>
      <c r="V410">
        <v>6.39</v>
      </c>
      <c r="W410" t="str">
        <f t="shared" si="103"/>
        <v>rob</v>
      </c>
    </row>
    <row r="411" spans="1:23">
      <c r="A411" t="str">
        <f t="shared" si="111"/>
        <v>ASM&amp;QC-ER9P-02</v>
      </c>
      <c r="B411" t="str">
        <f>"00-1249-0000"</f>
        <v>00-1249-0000</v>
      </c>
      <c r="C411" t="str">
        <f>"Workbench 1500x800mm (slotted aluminum top)"</f>
        <v>Workbench 1500x800mm (slotted aluminum top)</v>
      </c>
      <c r="D411">
        <v>1</v>
      </c>
      <c r="E411" t="str">
        <f t="shared" si="112"/>
        <v>Assembly&amp;Quality Control ER9Pro (Ballgame &amp; Caliper)</v>
      </c>
      <c r="F411">
        <v>504</v>
      </c>
      <c r="G411" t="str">
        <f t="shared" si="107"/>
        <v>Y</v>
      </c>
      <c r="H411" t="str">
        <f t="shared" si="113"/>
        <v>EA</v>
      </c>
      <c r="I411">
        <v>0</v>
      </c>
      <c r="J411">
        <v>0</v>
      </c>
      <c r="K411" t="str">
        <f t="shared" si="108"/>
        <v>Y</v>
      </c>
      <c r="L411">
        <v>0</v>
      </c>
      <c r="M411" t="str">
        <f t="shared" si="109"/>
        <v>NIS</v>
      </c>
      <c r="O411">
        <v>14</v>
      </c>
      <c r="P411" t="str">
        <f t="shared" si="114"/>
        <v>Active</v>
      </c>
      <c r="Q411" t="str">
        <f>"Workbench 1500x800mm (slotted aluminum top)"</f>
        <v>Workbench 1500x800mm (slotted aluminum top)</v>
      </c>
      <c r="S411" t="str">
        <f>"Workbench 1500x800mm (slotted aluminum top)"</f>
        <v>Workbench 1500x800mm (slotted aluminum top)</v>
      </c>
      <c r="T411">
        <v>0</v>
      </c>
      <c r="U411" s="44">
        <v>1100</v>
      </c>
      <c r="V411" s="44">
        <v>1083.57</v>
      </c>
      <c r="W411" t="str">
        <f t="shared" si="103"/>
        <v>rob</v>
      </c>
    </row>
    <row r="412" spans="1:23">
      <c r="A412" t="str">
        <f t="shared" si="111"/>
        <v>ASM&amp;QC-ER9P-02</v>
      </c>
      <c r="B412" t="str">
        <f>"00-1241-0000"</f>
        <v>00-1241-0000</v>
      </c>
      <c r="C412" t="str">
        <f>"Adapter Mounting Plate for ER9/14Pro &amp; HP3"</f>
        <v>Adapter Mounting Plate for ER9/14Pro &amp; HP3</v>
      </c>
      <c r="D412">
        <v>1</v>
      </c>
      <c r="E412" t="str">
        <f t="shared" si="112"/>
        <v>Assembly&amp;Quality Control ER9Pro (Ballgame &amp; Caliper)</v>
      </c>
      <c r="F412">
        <v>504</v>
      </c>
      <c r="G412" t="str">
        <f t="shared" si="107"/>
        <v>Y</v>
      </c>
      <c r="H412" t="str">
        <f t="shared" si="113"/>
        <v>EA</v>
      </c>
      <c r="I412">
        <v>0</v>
      </c>
      <c r="J412">
        <v>0</v>
      </c>
      <c r="K412" t="str">
        <f t="shared" si="108"/>
        <v>Y</v>
      </c>
      <c r="L412">
        <v>0</v>
      </c>
      <c r="M412" t="str">
        <f t="shared" si="109"/>
        <v>NIS</v>
      </c>
      <c r="O412">
        <v>15</v>
      </c>
      <c r="P412" t="str">
        <f t="shared" si="114"/>
        <v>Active</v>
      </c>
      <c r="Q412" t="str">
        <f>"Adapter Mounting Plate for ER9/14Pro &amp; HP3"</f>
        <v>Adapter Mounting Plate for ER9/14Pro &amp; HP3</v>
      </c>
      <c r="S412" t="str">
        <f>"Adapter Mounting Plate for ER9/14Pro &amp; HP3"</f>
        <v>Adapter Mounting Plate for ER9/14Pro &amp; HP3</v>
      </c>
      <c r="T412">
        <v>0</v>
      </c>
      <c r="U412">
        <v>145</v>
      </c>
      <c r="V412">
        <v>153.93</v>
      </c>
      <c r="W412" t="str">
        <f t="shared" si="103"/>
        <v>rob</v>
      </c>
    </row>
    <row r="413" spans="1:23">
      <c r="A413" t="str">
        <f t="shared" si="111"/>
        <v>ASM&amp;QC-ER9P-02</v>
      </c>
      <c r="B413" t="str">
        <f>"00-1260-0000"</f>
        <v>00-1260-0000</v>
      </c>
      <c r="C413" t="str">
        <f>"PC Extension Shelf  600x800mm"</f>
        <v>PC Extension Shelf  600x800mm</v>
      </c>
      <c r="D413">
        <v>1</v>
      </c>
      <c r="E413" t="str">
        <f t="shared" si="112"/>
        <v>Assembly&amp;Quality Control ER9Pro (Ballgame &amp; Caliper)</v>
      </c>
      <c r="F413">
        <v>504</v>
      </c>
      <c r="G413" t="str">
        <f t="shared" si="107"/>
        <v>Y</v>
      </c>
      <c r="H413" t="str">
        <f t="shared" si="113"/>
        <v>EA</v>
      </c>
      <c r="I413">
        <v>0</v>
      </c>
      <c r="J413">
        <v>0</v>
      </c>
      <c r="K413" t="str">
        <f t="shared" si="108"/>
        <v>Y</v>
      </c>
      <c r="L413">
        <v>0</v>
      </c>
      <c r="M413" t="str">
        <f t="shared" si="109"/>
        <v>NIS</v>
      </c>
      <c r="O413">
        <v>16</v>
      </c>
      <c r="P413" t="str">
        <f t="shared" si="114"/>
        <v>Active</v>
      </c>
      <c r="Q413" t="str">
        <f>"PC Extension Shelf  600x800mm"</f>
        <v>PC Extension Shelf  600x800mm</v>
      </c>
      <c r="S413" t="str">
        <f>"PC Extension Shelf  600x800mm"</f>
        <v>PC Extension Shelf  600x800mm</v>
      </c>
      <c r="T413">
        <v>0</v>
      </c>
      <c r="U413">
        <v>192</v>
      </c>
      <c r="V413">
        <v>195.4</v>
      </c>
      <c r="W413" t="str">
        <f t="shared" si="103"/>
        <v>rob</v>
      </c>
    </row>
    <row r="414" spans="1:23">
      <c r="A414" t="str">
        <f t="shared" si="111"/>
        <v>ASM&amp;QC-ER9P-02</v>
      </c>
      <c r="B414" t="str">
        <f>"50-0094-0000"</f>
        <v>50-0094-0000</v>
      </c>
      <c r="C414" t="str">
        <f>"Pre-Engineering, Design and Testing"</f>
        <v>Pre-Engineering, Design and Testing</v>
      </c>
      <c r="D414">
        <v>1</v>
      </c>
      <c r="E414" t="str">
        <f t="shared" si="112"/>
        <v>Assembly&amp;Quality Control ER9Pro (Ballgame &amp; Caliper)</v>
      </c>
      <c r="F414">
        <v>504</v>
      </c>
      <c r="G414" t="str">
        <f t="shared" si="107"/>
        <v>Y</v>
      </c>
      <c r="H414" t="str">
        <f>"DA"</f>
        <v>DA</v>
      </c>
      <c r="I414">
        <v>0</v>
      </c>
      <c r="J414">
        <v>0</v>
      </c>
      <c r="K414" t="str">
        <f t="shared" si="108"/>
        <v>Y</v>
      </c>
      <c r="L414">
        <v>0</v>
      </c>
      <c r="M414" t="str">
        <f t="shared" si="109"/>
        <v>NIS</v>
      </c>
      <c r="O414">
        <v>17</v>
      </c>
      <c r="P414" t="str">
        <f t="shared" si="114"/>
        <v>Active</v>
      </c>
      <c r="Q414" t="str">
        <f>"Pre-Engineering, Design and Testing"</f>
        <v>Pre-Engineering, Design and Testing</v>
      </c>
      <c r="S414" t="str">
        <f>"Pre-Engineering, Design and Testing"</f>
        <v>Pre-Engineering, Design and Testing</v>
      </c>
      <c r="T414">
        <v>0</v>
      </c>
      <c r="U414">
        <v>405</v>
      </c>
      <c r="V414">
        <v>421.2</v>
      </c>
      <c r="W414" t="str">
        <f t="shared" si="103"/>
        <v>rob</v>
      </c>
    </row>
    <row r="415" spans="1:23">
      <c r="A415" t="str">
        <f t="shared" ref="A415:A436" si="115">"ASM&amp;QC-ER9P-03"</f>
        <v>ASM&amp;QC-ER9P-03</v>
      </c>
      <c r="B415" t="str">
        <f>"00-0430-0000"</f>
        <v>00-0430-0000</v>
      </c>
      <c r="C415" t="str">
        <f>"SCORBOT-ER9Pro"</f>
        <v>SCORBOT-ER9Pro</v>
      </c>
      <c r="D415">
        <v>1</v>
      </c>
      <c r="E415" t="str">
        <f t="shared" ref="E415:E436" si="116">"Assembly &amp;Quality Control ER9P(Ballgame&amp;ViewFlex Machine Vision System &amp;Caliper)"</f>
        <v>Assembly &amp;Quality Control ER9P(Ballgame&amp;ViewFlex Machine Vision System &amp;Caliper)</v>
      </c>
      <c r="F415">
        <v>504</v>
      </c>
      <c r="G415" t="str">
        <f t="shared" si="107"/>
        <v>Y</v>
      </c>
      <c r="H415" t="str">
        <f t="shared" ref="H415:H435" si="117">"EA"</f>
        <v>EA</v>
      </c>
      <c r="I415">
        <v>0</v>
      </c>
      <c r="J415">
        <v>0</v>
      </c>
      <c r="K415" t="str">
        <f t="shared" si="108"/>
        <v>Y</v>
      </c>
      <c r="L415">
        <v>0</v>
      </c>
      <c r="M415" t="str">
        <f t="shared" si="109"/>
        <v>NIS</v>
      </c>
      <c r="O415">
        <v>1</v>
      </c>
      <c r="P415" t="str">
        <f t="shared" si="114"/>
        <v>Active</v>
      </c>
      <c r="Q415" t="str">
        <f>"SCORBOT-ER 9Pro (incl. USB-Pro Controller)"</f>
        <v>SCORBOT-ER 9Pro (incl. USB-Pro Controller)</v>
      </c>
      <c r="S415" t="str">
        <f>"SCORBOT-ER 9Pro (incl. USB-Pro Controller)"</f>
        <v>SCORBOT-ER 9Pro (incl. USB-Pro Controller)</v>
      </c>
      <c r="T415">
        <v>0</v>
      </c>
      <c r="U415" s="44">
        <v>10900</v>
      </c>
      <c r="V415" s="44">
        <v>11661.57</v>
      </c>
      <c r="W415" t="str">
        <f t="shared" si="103"/>
        <v>rob</v>
      </c>
    </row>
    <row r="416" spans="1:23">
      <c r="A416" t="str">
        <f t="shared" si="115"/>
        <v>ASM&amp;QC-ER9P-03</v>
      </c>
      <c r="B416" t="str">
        <f>"00-0633-0000"</f>
        <v>00-0633-0000</v>
      </c>
      <c r="C416" t="str">
        <f>"Pneumatic Gripper for ER9-Pro"</f>
        <v>Pneumatic Gripper for ER9-Pro</v>
      </c>
      <c r="D416">
        <v>1</v>
      </c>
      <c r="E416" t="str">
        <f t="shared" si="116"/>
        <v>Assembly &amp;Quality Control ER9P(Ballgame&amp;ViewFlex Machine Vision System &amp;Caliper)</v>
      </c>
      <c r="F416">
        <v>504</v>
      </c>
      <c r="G416" t="str">
        <f t="shared" si="107"/>
        <v>Y</v>
      </c>
      <c r="H416" t="str">
        <f t="shared" si="117"/>
        <v>EA</v>
      </c>
      <c r="I416">
        <v>0</v>
      </c>
      <c r="J416">
        <v>0</v>
      </c>
      <c r="K416" t="str">
        <f t="shared" si="108"/>
        <v>Y</v>
      </c>
      <c r="L416">
        <v>0</v>
      </c>
      <c r="M416" t="str">
        <f t="shared" si="109"/>
        <v>NIS</v>
      </c>
      <c r="O416">
        <v>2</v>
      </c>
      <c r="P416" t="str">
        <f t="shared" si="114"/>
        <v>Active</v>
      </c>
      <c r="Q416" t="str">
        <f>"Pneumatic Gripper for ER 9Pro"</f>
        <v>Pneumatic Gripper for ER 9Pro</v>
      </c>
      <c r="S416" t="str">
        <f>"Pneumatic Gripper for ER9-Pro"</f>
        <v>Pneumatic Gripper for ER9-Pro</v>
      </c>
      <c r="T416">
        <v>0</v>
      </c>
      <c r="U416">
        <v>630</v>
      </c>
      <c r="V416">
        <v>624.72</v>
      </c>
      <c r="W416" t="str">
        <f t="shared" si="103"/>
        <v>rob</v>
      </c>
    </row>
    <row r="417" spans="1:23">
      <c r="A417" t="str">
        <f t="shared" si="115"/>
        <v>ASM&amp;QC-ER9P-03</v>
      </c>
      <c r="B417" t="str">
        <f>"00-1710-0000"</f>
        <v>00-1710-0000</v>
      </c>
      <c r="C417" t="str">
        <f>"Teach Pendant"</f>
        <v>Teach Pendant</v>
      </c>
      <c r="D417">
        <v>1</v>
      </c>
      <c r="E417" t="str">
        <f t="shared" si="116"/>
        <v>Assembly &amp;Quality Control ER9P(Ballgame&amp;ViewFlex Machine Vision System &amp;Caliper)</v>
      </c>
      <c r="F417">
        <v>504</v>
      </c>
      <c r="G417" t="str">
        <f t="shared" si="107"/>
        <v>Y</v>
      </c>
      <c r="H417" t="str">
        <f t="shared" si="117"/>
        <v>EA</v>
      </c>
      <c r="I417">
        <v>0</v>
      </c>
      <c r="J417">
        <v>0</v>
      </c>
      <c r="K417" t="str">
        <f t="shared" si="108"/>
        <v>Y</v>
      </c>
      <c r="L417">
        <v>0</v>
      </c>
      <c r="M417" t="str">
        <f t="shared" si="109"/>
        <v>NIS</v>
      </c>
      <c r="O417">
        <v>3</v>
      </c>
      <c r="P417" t="str">
        <f t="shared" si="114"/>
        <v>Active</v>
      </c>
      <c r="Q417" t="str">
        <f>"Teach Pendant for USB/USB Pro Controllers"</f>
        <v>Teach Pendant for USB/USB Pro Controllers</v>
      </c>
      <c r="S417" t="str">
        <f>"Teach Pendant for USB/USB Pro Controllers"</f>
        <v>Teach Pendant for USB/USB Pro Controllers</v>
      </c>
      <c r="T417">
        <v>0</v>
      </c>
      <c r="U417">
        <v>160.18</v>
      </c>
      <c r="V417">
        <v>161.44999999999999</v>
      </c>
      <c r="W417" t="str">
        <f t="shared" si="103"/>
        <v>rob</v>
      </c>
    </row>
    <row r="418" spans="1:23">
      <c r="A418" t="str">
        <f t="shared" si="115"/>
        <v>ASM&amp;QC-ER9P-03</v>
      </c>
      <c r="B418" t="str">
        <f>"034025"</f>
        <v>034025</v>
      </c>
      <c r="C418" t="str">
        <f>"I/O Interface Box for Controller USB-PRO"</f>
        <v>I/O Interface Box for Controller USB-PRO</v>
      </c>
      <c r="D418">
        <v>1</v>
      </c>
      <c r="E418" t="str">
        <f t="shared" si="116"/>
        <v>Assembly &amp;Quality Control ER9P(Ballgame&amp;ViewFlex Machine Vision System &amp;Caliper)</v>
      </c>
      <c r="F418">
        <v>504</v>
      </c>
      <c r="G418" t="str">
        <f t="shared" si="107"/>
        <v>Y</v>
      </c>
      <c r="H418" t="str">
        <f t="shared" si="117"/>
        <v>EA</v>
      </c>
      <c r="I418">
        <v>0</v>
      </c>
      <c r="J418">
        <v>0</v>
      </c>
      <c r="K418" t="str">
        <f t="shared" si="108"/>
        <v>Y</v>
      </c>
      <c r="L418">
        <v>0</v>
      </c>
      <c r="M418" t="str">
        <f t="shared" si="109"/>
        <v>NIS</v>
      </c>
      <c r="O418">
        <v>4</v>
      </c>
      <c r="P418" t="str">
        <f t="shared" si="114"/>
        <v>Active</v>
      </c>
      <c r="Q418" t="str">
        <f>"I/O Interface Box for Controller USB-PRO"</f>
        <v>I/O Interface Box for Controller USB-PRO</v>
      </c>
      <c r="S418" t="str">
        <f>"קופסת 2+Interface Box I/O כבלים לבקר USBPRO"</f>
        <v>קופסת 2+Interface Box I/O כבלים לבקר USBPRO</v>
      </c>
      <c r="T418">
        <v>0</v>
      </c>
      <c r="U418">
        <v>470</v>
      </c>
      <c r="V418">
        <v>463.62</v>
      </c>
      <c r="W418" t="str">
        <f t="shared" si="103"/>
        <v>rob</v>
      </c>
    </row>
    <row r="419" spans="1:23">
      <c r="A419" t="str">
        <f t="shared" si="115"/>
        <v>ASM&amp;QC-ER9P-03</v>
      </c>
      <c r="B419" t="str">
        <f>"10-2104-9000"</f>
        <v>10-2104-9000</v>
      </c>
      <c r="C419" t="str">
        <f>"Single Buffer for Slotted Table"</f>
        <v>Single Buffer for Slotted Table</v>
      </c>
      <c r="D419">
        <v>3</v>
      </c>
      <c r="E419" t="str">
        <f t="shared" si="116"/>
        <v>Assembly &amp;Quality Control ER9P(Ballgame&amp;ViewFlex Machine Vision System &amp;Caliper)</v>
      </c>
      <c r="F419">
        <v>504</v>
      </c>
      <c r="G419" t="str">
        <f t="shared" si="107"/>
        <v>Y</v>
      </c>
      <c r="H419" t="str">
        <f t="shared" si="117"/>
        <v>EA</v>
      </c>
      <c r="I419">
        <v>0</v>
      </c>
      <c r="J419">
        <v>0</v>
      </c>
      <c r="K419" t="str">
        <f t="shared" si="108"/>
        <v>Y</v>
      </c>
      <c r="L419">
        <v>0</v>
      </c>
      <c r="M419" t="str">
        <f t="shared" si="109"/>
        <v>NIS</v>
      </c>
      <c r="O419">
        <v>5</v>
      </c>
      <c r="P419" t="str">
        <f t="shared" si="114"/>
        <v>Active</v>
      </c>
      <c r="Q419" t="str">
        <f>"Single Buffer for Slotted Table(+height adapter)"</f>
        <v>Single Buffer for Slotted Table(+height adapter)</v>
      </c>
      <c r="S419" t="str">
        <f>"Single Buffer for Slotted Table(+height adapter)"</f>
        <v>Single Buffer for Slotted Table(+height adapter)</v>
      </c>
      <c r="T419">
        <v>0</v>
      </c>
      <c r="U419">
        <v>26</v>
      </c>
      <c r="V419">
        <v>25.49</v>
      </c>
      <c r="W419" t="str">
        <f t="shared" si="103"/>
        <v>rob</v>
      </c>
    </row>
    <row r="420" spans="1:23">
      <c r="A420" t="str">
        <f t="shared" si="115"/>
        <v>ASM&amp;QC-ER9P-03</v>
      </c>
      <c r="B420" t="str">
        <f>"00-1110-0000"</f>
        <v>00-1110-0000</v>
      </c>
      <c r="C420" t="str">
        <f>"Palletizing Rack"</f>
        <v>Palletizing Rack</v>
      </c>
      <c r="D420">
        <v>2</v>
      </c>
      <c r="E420" t="str">
        <f t="shared" si="116"/>
        <v>Assembly &amp;Quality Control ER9P(Ballgame&amp;ViewFlex Machine Vision System &amp;Caliper)</v>
      </c>
      <c r="F420">
        <v>504</v>
      </c>
      <c r="G420" t="str">
        <f t="shared" si="107"/>
        <v>Y</v>
      </c>
      <c r="H420" t="str">
        <f t="shared" si="117"/>
        <v>EA</v>
      </c>
      <c r="I420">
        <v>0</v>
      </c>
      <c r="J420">
        <v>0</v>
      </c>
      <c r="K420" t="str">
        <f t="shared" si="108"/>
        <v>Y</v>
      </c>
      <c r="L420">
        <v>0</v>
      </c>
      <c r="M420" t="str">
        <f t="shared" si="109"/>
        <v>NIS</v>
      </c>
      <c r="O420">
        <v>6</v>
      </c>
      <c r="P420" t="str">
        <f t="shared" si="114"/>
        <v>Active</v>
      </c>
      <c r="Q420" t="str">
        <f>"Palletizing Rack (incl. Pins for creating Jigs)"</f>
        <v>Palletizing Rack (incl. Pins for creating Jigs)</v>
      </c>
      <c r="S420" t="str">
        <f>"Palletizing Rack (incl. Pins for creating Jigs)"</f>
        <v>Palletizing Rack (incl. Pins for creating Jigs)</v>
      </c>
      <c r="T420">
        <v>0</v>
      </c>
      <c r="U420">
        <v>63</v>
      </c>
      <c r="V420">
        <v>58.59</v>
      </c>
      <c r="W420" t="str">
        <f t="shared" si="103"/>
        <v>rob</v>
      </c>
    </row>
    <row r="421" spans="1:23">
      <c r="A421" t="str">
        <f t="shared" si="115"/>
        <v>ASM&amp;QC-ER9P-03</v>
      </c>
      <c r="B421" t="str">
        <f>"021172"</f>
        <v>021172</v>
      </c>
      <c r="C421" t="str">
        <f>"30mm Height Adapter -Rack 001110 on table 001249"</f>
        <v>30mm Height Adapter -Rack 001110 on table 001249</v>
      </c>
      <c r="D421">
        <v>2</v>
      </c>
      <c r="E421" t="str">
        <f t="shared" si="116"/>
        <v>Assembly &amp;Quality Control ER9P(Ballgame&amp;ViewFlex Machine Vision System &amp;Caliper)</v>
      </c>
      <c r="F421">
        <v>504</v>
      </c>
      <c r="G421" t="str">
        <f t="shared" si="107"/>
        <v>Y</v>
      </c>
      <c r="H421" t="str">
        <f t="shared" si="117"/>
        <v>EA</v>
      </c>
      <c r="I421">
        <v>0</v>
      </c>
      <c r="J421">
        <v>0</v>
      </c>
      <c r="K421" t="str">
        <f t="shared" si="108"/>
        <v>Y</v>
      </c>
      <c r="L421">
        <v>0</v>
      </c>
      <c r="M421" t="str">
        <f t="shared" si="109"/>
        <v>NIS</v>
      </c>
      <c r="O421">
        <v>7</v>
      </c>
      <c r="P421" t="str">
        <f t="shared" si="114"/>
        <v>Active</v>
      </c>
      <c r="Q421" t="str">
        <f>"30mm Height Adapter -Rack 001110 on table 001249"</f>
        <v>30mm Height Adapter -Rack 001110 on table 001249</v>
      </c>
      <c r="S421" t="str">
        <f>"30mm Height Adapter -Rack 001110 on table 001249"</f>
        <v>30mm Height Adapter -Rack 001110 on table 001249</v>
      </c>
      <c r="T421">
        <v>0</v>
      </c>
      <c r="U421">
        <v>13.12</v>
      </c>
      <c r="V421">
        <v>13.44</v>
      </c>
      <c r="W421" t="str">
        <f t="shared" si="103"/>
        <v>rob</v>
      </c>
    </row>
    <row r="422" spans="1:23">
      <c r="A422" t="str">
        <f t="shared" si="115"/>
        <v>ASM&amp;QC-ER9P-03</v>
      </c>
      <c r="B422" t="str">
        <f>"21-0004-0000"</f>
        <v>21-0004-0000</v>
      </c>
      <c r="C422" t="str">
        <f>"Assembly, Dual Axis Air Vise Mechanicals"</f>
        <v>Assembly, Dual Axis Air Vise Mechanicals</v>
      </c>
      <c r="D422">
        <v>1</v>
      </c>
      <c r="E422" t="str">
        <f t="shared" si="116"/>
        <v>Assembly &amp;Quality Control ER9P(Ballgame&amp;ViewFlex Machine Vision System &amp;Caliper)</v>
      </c>
      <c r="F422">
        <v>504</v>
      </c>
      <c r="G422" t="str">
        <f t="shared" si="107"/>
        <v>Y</v>
      </c>
      <c r="H422" t="str">
        <f t="shared" si="117"/>
        <v>EA</v>
      </c>
      <c r="I422">
        <v>0</v>
      </c>
      <c r="J422">
        <v>0</v>
      </c>
      <c r="K422" t="str">
        <f t="shared" si="108"/>
        <v>Y</v>
      </c>
      <c r="L422">
        <v>0</v>
      </c>
      <c r="M422" t="str">
        <f t="shared" si="109"/>
        <v>NIS</v>
      </c>
      <c r="O422">
        <v>8</v>
      </c>
      <c r="P422" t="str">
        <f>"Phase Out"</f>
        <v>Phase Out</v>
      </c>
      <c r="Q422" t="str">
        <f>"Pneumatic Dual-Axis Vise"</f>
        <v>Pneumatic Dual-Axis Vise</v>
      </c>
      <c r="S422" t="str">
        <f>"Assembly, Dual Axis Air Vise Mechanicals"</f>
        <v>Assembly, Dual Axis Air Vise Mechanicals</v>
      </c>
      <c r="T422">
        <v>422.16</v>
      </c>
      <c r="U422">
        <v>422</v>
      </c>
      <c r="V422">
        <v>980.27</v>
      </c>
      <c r="W422" t="str">
        <f t="shared" si="103"/>
        <v>rob</v>
      </c>
    </row>
    <row r="423" spans="1:23">
      <c r="A423" t="str">
        <f t="shared" si="115"/>
        <v>ASM&amp;QC-ER9P-03</v>
      </c>
      <c r="B423" t="str">
        <f>"10-2523-4000"</f>
        <v>10-2523-4000</v>
      </c>
      <c r="C423" t="str">
        <f>"Solenoid Valve (24V) for Pipe 3 mm"</f>
        <v>Solenoid Valve (24V) for Pipe 3 mm</v>
      </c>
      <c r="D423">
        <v>1</v>
      </c>
      <c r="E423" t="str">
        <f t="shared" si="116"/>
        <v>Assembly &amp;Quality Control ER9P(Ballgame&amp;ViewFlex Machine Vision System &amp;Caliper)</v>
      </c>
      <c r="F423">
        <v>504</v>
      </c>
      <c r="G423" t="str">
        <f t="shared" si="107"/>
        <v>Y</v>
      </c>
      <c r="H423" t="str">
        <f t="shared" si="117"/>
        <v>EA</v>
      </c>
      <c r="I423">
        <v>0</v>
      </c>
      <c r="J423">
        <v>0</v>
      </c>
      <c r="K423" t="str">
        <f t="shared" si="108"/>
        <v>Y</v>
      </c>
      <c r="L423">
        <v>0</v>
      </c>
      <c r="M423" t="str">
        <f t="shared" si="109"/>
        <v>NIS</v>
      </c>
      <c r="O423">
        <v>9</v>
      </c>
      <c r="P423" t="str">
        <f t="shared" ref="P423:P437" si="118">"Active"</f>
        <v>Active</v>
      </c>
      <c r="Q423" t="str">
        <f>"Solenoid Valve (24V) for Dual Axis Vise 025207"</f>
        <v>Solenoid Valve (24V) for Dual Axis Vise 025207</v>
      </c>
      <c r="S423" t="str">
        <f>"Solenoid Valve (24V) for Pipe 3 mm"</f>
        <v>Solenoid Valve (24V) for Pipe 3 mm</v>
      </c>
      <c r="T423">
        <v>0</v>
      </c>
      <c r="U423">
        <v>137</v>
      </c>
      <c r="V423">
        <v>133.35</v>
      </c>
      <c r="W423" t="str">
        <f t="shared" si="103"/>
        <v>rob</v>
      </c>
    </row>
    <row r="424" spans="1:23">
      <c r="A424" t="str">
        <f t="shared" si="115"/>
        <v>ASM&amp;QC-ER9P-03</v>
      </c>
      <c r="B424" t="str">
        <f>"00-1230-0000"</f>
        <v>00-1230-0000</v>
      </c>
      <c r="C424" t="str">
        <f>"Ball Feeder (incl. sensor for ball counting)"</f>
        <v>Ball Feeder (incl. sensor for ball counting)</v>
      </c>
      <c r="D424">
        <v>1</v>
      </c>
      <c r="E424" t="str">
        <f t="shared" si="116"/>
        <v>Assembly &amp;Quality Control ER9P(Ballgame&amp;ViewFlex Machine Vision System &amp;Caliper)</v>
      </c>
      <c r="F424">
        <v>504</v>
      </c>
      <c r="G424" t="str">
        <f t="shared" si="107"/>
        <v>Y</v>
      </c>
      <c r="H424" t="str">
        <f t="shared" si="117"/>
        <v>EA</v>
      </c>
      <c r="I424">
        <v>0</v>
      </c>
      <c r="J424">
        <v>0</v>
      </c>
      <c r="K424" t="str">
        <f t="shared" si="108"/>
        <v>Y</v>
      </c>
      <c r="L424">
        <v>0</v>
      </c>
      <c r="M424" t="str">
        <f t="shared" si="109"/>
        <v>NIS</v>
      </c>
      <c r="O424">
        <v>10</v>
      </c>
      <c r="P424" t="str">
        <f t="shared" si="118"/>
        <v>Active</v>
      </c>
      <c r="Q424" t="str">
        <f>"Ball Feeder (incl. sensor for ball counting)"</f>
        <v>Ball Feeder (incl. sensor for ball counting)</v>
      </c>
      <c r="S424" t="str">
        <f>"Ball Feeder (incl. sensor for ball counting)"</f>
        <v>Ball Feeder (incl. sensor for ball counting)</v>
      </c>
      <c r="T424">
        <v>0</v>
      </c>
      <c r="U424">
        <v>536</v>
      </c>
      <c r="V424">
        <v>530.72</v>
      </c>
      <c r="W424" t="str">
        <f t="shared" si="103"/>
        <v>rob</v>
      </c>
    </row>
    <row r="425" spans="1:23">
      <c r="A425" t="str">
        <f t="shared" si="115"/>
        <v>ASM&amp;QC-ER9P-03</v>
      </c>
      <c r="B425" t="str">
        <f>"00-1243-0000"</f>
        <v>00-1243-0000</v>
      </c>
      <c r="C425" t="str">
        <f>"Ball Game Set (Assembly with Plastic Pins)"</f>
        <v>Ball Game Set (Assembly with Plastic Pins)</v>
      </c>
      <c r="D425">
        <v>12</v>
      </c>
      <c r="E425" t="str">
        <f t="shared" si="116"/>
        <v>Assembly &amp;Quality Control ER9P(Ballgame&amp;ViewFlex Machine Vision System &amp;Caliper)</v>
      </c>
      <c r="F425">
        <v>504</v>
      </c>
      <c r="G425" t="str">
        <f t="shared" si="107"/>
        <v>Y</v>
      </c>
      <c r="H425" t="str">
        <f t="shared" si="117"/>
        <v>EA</v>
      </c>
      <c r="I425">
        <v>0</v>
      </c>
      <c r="J425">
        <v>0</v>
      </c>
      <c r="K425" t="str">
        <f t="shared" si="108"/>
        <v>Y</v>
      </c>
      <c r="L425">
        <v>0</v>
      </c>
      <c r="M425" t="str">
        <f t="shared" si="109"/>
        <v>NIS</v>
      </c>
      <c r="O425">
        <v>11</v>
      </c>
      <c r="P425" t="str">
        <f t="shared" si="118"/>
        <v>Active</v>
      </c>
      <c r="Q425" t="str">
        <f>"Ball Game Set (Assembly with Plastic Pins)"</f>
        <v>Ball Game Set (Assembly with Plastic Pins)</v>
      </c>
      <c r="S425" t="str">
        <f>"Ball Game Set (Assembly with Plastic Pins)"</f>
        <v>Ball Game Set (Assembly with Plastic Pins)</v>
      </c>
      <c r="T425">
        <v>0</v>
      </c>
      <c r="U425">
        <v>32</v>
      </c>
      <c r="V425">
        <v>34.770000000000003</v>
      </c>
      <c r="W425" t="str">
        <f t="shared" si="103"/>
        <v>rob</v>
      </c>
    </row>
    <row r="426" spans="1:23">
      <c r="A426" t="str">
        <f t="shared" si="115"/>
        <v>ASM&amp;QC-ER9P-03</v>
      </c>
      <c r="B426" t="str">
        <f>"00-1013-0000"</f>
        <v>00-1013-0000</v>
      </c>
      <c r="C426" t="str">
        <f>"Linear Positioning Table 300mm"</f>
        <v>Linear Positioning Table 300mm</v>
      </c>
      <c r="D426">
        <v>1</v>
      </c>
      <c r="E426" t="str">
        <f t="shared" si="116"/>
        <v>Assembly &amp;Quality Control ER9P(Ballgame&amp;ViewFlex Machine Vision System &amp;Caliper)</v>
      </c>
      <c r="F426">
        <v>504</v>
      </c>
      <c r="G426" t="str">
        <f t="shared" si="107"/>
        <v>Y</v>
      </c>
      <c r="H426" t="str">
        <f t="shared" si="117"/>
        <v>EA</v>
      </c>
      <c r="I426">
        <v>0</v>
      </c>
      <c r="J426">
        <v>0</v>
      </c>
      <c r="K426" t="str">
        <f t="shared" si="108"/>
        <v>Y</v>
      </c>
      <c r="L426">
        <v>0</v>
      </c>
      <c r="M426" t="str">
        <f t="shared" si="109"/>
        <v>NIS</v>
      </c>
      <c r="O426">
        <v>12</v>
      </c>
      <c r="P426" t="str">
        <f t="shared" si="118"/>
        <v>Active</v>
      </c>
      <c r="Q426" t="str">
        <f>"Linear Positioning Table 300mm (Belt Drive, 24V)"</f>
        <v>Linear Positioning Table 300mm (Belt Drive, 24V)</v>
      </c>
      <c r="S426" t="str">
        <f>"Linear Positioning Table 300mm (Belt Drive, 24V)"</f>
        <v>Linear Positioning Table 300mm (Belt Drive, 24V)</v>
      </c>
      <c r="T426">
        <v>0</v>
      </c>
      <c r="U426">
        <v>894.02</v>
      </c>
      <c r="V426">
        <v>879.29</v>
      </c>
      <c r="W426" t="str">
        <f t="shared" si="103"/>
        <v>rob</v>
      </c>
    </row>
    <row r="427" spans="1:23">
      <c r="A427" t="str">
        <f t="shared" si="115"/>
        <v>ASM&amp;QC-ER9P-03</v>
      </c>
      <c r="B427" t="str">
        <f>"00-1422-0000"</f>
        <v>00-1422-0000</v>
      </c>
      <c r="C427" t="str">
        <f>"Viewflex for QC (Stand 400mm)"</f>
        <v>Viewflex for QC (Stand 400mm)</v>
      </c>
      <c r="D427">
        <v>1</v>
      </c>
      <c r="E427" t="str">
        <f t="shared" si="116"/>
        <v>Assembly &amp;Quality Control ER9P(Ballgame&amp;ViewFlex Machine Vision System &amp;Caliper)</v>
      </c>
      <c r="F427">
        <v>504</v>
      </c>
      <c r="G427" t="str">
        <f t="shared" si="107"/>
        <v>Y</v>
      </c>
      <c r="H427" t="str">
        <f t="shared" si="117"/>
        <v>EA</v>
      </c>
      <c r="I427">
        <v>0</v>
      </c>
      <c r="J427">
        <v>0</v>
      </c>
      <c r="K427" t="str">
        <f t="shared" si="108"/>
        <v>Y</v>
      </c>
      <c r="L427">
        <v>0</v>
      </c>
      <c r="M427" t="str">
        <f t="shared" si="109"/>
        <v>NIS</v>
      </c>
      <c r="O427">
        <v>13</v>
      </c>
      <c r="P427" t="str">
        <f t="shared" si="118"/>
        <v>Active</v>
      </c>
      <c r="Q427" t="str">
        <f>"Viewflex for QC (Stand 400mm)"</f>
        <v>Viewflex for QC (Stand 400mm)</v>
      </c>
      <c r="S427" t="str">
        <f>"Viewflex for QC (Stand 400mm)"</f>
        <v>Viewflex for QC (Stand 400mm)</v>
      </c>
      <c r="T427">
        <v>0</v>
      </c>
      <c r="U427">
        <v>560</v>
      </c>
      <c r="V427">
        <v>511.35</v>
      </c>
      <c r="W427" t="str">
        <f t="shared" si="103"/>
        <v>rob</v>
      </c>
    </row>
    <row r="428" spans="1:23">
      <c r="A428" t="str">
        <f t="shared" si="115"/>
        <v>ASM&amp;QC-ER9P-03</v>
      </c>
      <c r="B428" t="str">
        <f>"112713"</f>
        <v>112713</v>
      </c>
      <c r="C428" t="str">
        <f>"Marked Aluminum Cylinder"</f>
        <v>Marked Aluminum Cylinder</v>
      </c>
      <c r="D428">
        <v>3</v>
      </c>
      <c r="E428" t="str">
        <f t="shared" si="116"/>
        <v>Assembly &amp;Quality Control ER9P(Ballgame&amp;ViewFlex Machine Vision System &amp;Caliper)</v>
      </c>
      <c r="F428">
        <v>504</v>
      </c>
      <c r="G428" t="str">
        <f t="shared" si="107"/>
        <v>Y</v>
      </c>
      <c r="H428" t="str">
        <f t="shared" si="117"/>
        <v>EA</v>
      </c>
      <c r="I428">
        <v>0</v>
      </c>
      <c r="J428">
        <v>0</v>
      </c>
      <c r="K428" t="str">
        <f t="shared" si="108"/>
        <v>Y</v>
      </c>
      <c r="L428">
        <v>0</v>
      </c>
      <c r="M428" t="str">
        <f t="shared" si="109"/>
        <v>NIS</v>
      </c>
      <c r="O428">
        <v>14</v>
      </c>
      <c r="P428" t="str">
        <f t="shared" si="118"/>
        <v>Active</v>
      </c>
      <c r="Q428" t="str">
        <f>"Mark Al. Cylinder Diam. 35x28 MicroCIM"</f>
        <v>Mark Al. Cylinder Diam. 35x28 MicroCIM</v>
      </c>
      <c r="S428" t="str">
        <f>"Mark Al. Cylinder Diam. 35x28"</f>
        <v>Mark Al. Cylinder Diam. 35x28</v>
      </c>
      <c r="T428">
        <v>0</v>
      </c>
      <c r="U428">
        <v>6</v>
      </c>
      <c r="V428">
        <v>5.97</v>
      </c>
      <c r="W428" t="str">
        <f t="shared" si="103"/>
        <v>rob</v>
      </c>
    </row>
    <row r="429" spans="1:23">
      <c r="A429" t="str">
        <f t="shared" si="115"/>
        <v>ASM&amp;QC-ER9P-03</v>
      </c>
      <c r="B429" t="str">
        <f>"113096"</f>
        <v>113096</v>
      </c>
      <c r="C429" t="str">
        <f>"Plexiglass Cylinders Base"</f>
        <v>Plexiglass Cylinders Base</v>
      </c>
      <c r="D429">
        <v>3</v>
      </c>
      <c r="E429" t="str">
        <f t="shared" si="116"/>
        <v>Assembly &amp;Quality Control ER9P(Ballgame&amp;ViewFlex Machine Vision System &amp;Caliper)</v>
      </c>
      <c r="F429">
        <v>504</v>
      </c>
      <c r="G429" t="str">
        <f t="shared" si="107"/>
        <v>Y</v>
      </c>
      <c r="H429" t="str">
        <f t="shared" si="117"/>
        <v>EA</v>
      </c>
      <c r="I429">
        <v>0</v>
      </c>
      <c r="J429">
        <v>0</v>
      </c>
      <c r="K429" t="str">
        <f t="shared" si="108"/>
        <v>Y</v>
      </c>
      <c r="L429">
        <v>0</v>
      </c>
      <c r="M429" t="str">
        <f t="shared" si="109"/>
        <v>NIS</v>
      </c>
      <c r="O429">
        <v>15</v>
      </c>
      <c r="P429" t="str">
        <f t="shared" si="118"/>
        <v>Active</v>
      </c>
      <c r="Q429" t="str">
        <f>"Plexiglass Cylinders Base MicroCIM"</f>
        <v>Plexiglass Cylinders Base MicroCIM</v>
      </c>
      <c r="S429" t="str">
        <f>"Plexiglass Cylinders Base"</f>
        <v>Plexiglass Cylinders Base</v>
      </c>
      <c r="T429">
        <v>0</v>
      </c>
      <c r="U429">
        <v>7</v>
      </c>
      <c r="V429">
        <v>6.83</v>
      </c>
      <c r="W429" t="str">
        <f t="shared" si="103"/>
        <v>rob</v>
      </c>
    </row>
    <row r="430" spans="1:23">
      <c r="A430" t="str">
        <f t="shared" si="115"/>
        <v>ASM&amp;QC-ER9P-03</v>
      </c>
      <c r="B430" t="str">
        <f>"113316"</f>
        <v>113316</v>
      </c>
      <c r="C430" t="str">
        <f>"Parts Bin"</f>
        <v>Parts Bin</v>
      </c>
      <c r="D430">
        <v>1</v>
      </c>
      <c r="E430" t="str">
        <f t="shared" si="116"/>
        <v>Assembly &amp;Quality Control ER9P(Ballgame&amp;ViewFlex Machine Vision System &amp;Caliper)</v>
      </c>
      <c r="F430">
        <v>504</v>
      </c>
      <c r="G430" t="str">
        <f t="shared" si="107"/>
        <v>Y</v>
      </c>
      <c r="H430" t="str">
        <f t="shared" si="117"/>
        <v>EA</v>
      </c>
      <c r="I430">
        <v>0</v>
      </c>
      <c r="J430">
        <v>0</v>
      </c>
      <c r="K430" t="str">
        <f t="shared" si="108"/>
        <v>Y</v>
      </c>
      <c r="L430">
        <v>0</v>
      </c>
      <c r="M430" t="str">
        <f t="shared" si="109"/>
        <v>NIS</v>
      </c>
      <c r="O430">
        <v>16</v>
      </c>
      <c r="P430" t="str">
        <f t="shared" si="118"/>
        <v>Active</v>
      </c>
      <c r="Q430" t="str">
        <f>"Parts Bin; Plastic Box"</f>
        <v>Parts Bin; Plastic Box</v>
      </c>
      <c r="R430" t="str">
        <f>"1"</f>
        <v>1</v>
      </c>
      <c r="S430" t="str">
        <f>"Parts Bin; Plastic Box"</f>
        <v>Parts Bin; Plastic Box</v>
      </c>
      <c r="T430">
        <v>0</v>
      </c>
      <c r="U430">
        <v>8.0399999999999991</v>
      </c>
      <c r="V430">
        <v>6.39</v>
      </c>
      <c r="W430" t="str">
        <f t="shared" ref="W430:W493" si="119">"rob"</f>
        <v>rob</v>
      </c>
    </row>
    <row r="431" spans="1:23">
      <c r="A431" t="str">
        <f t="shared" si="115"/>
        <v>ASM&amp;QC-ER9P-03</v>
      </c>
      <c r="B431" t="str">
        <f>"00-1254-0000"</f>
        <v>00-1254-0000</v>
      </c>
      <c r="C431" t="str">
        <f>"Automated Stationary Caliper Unit"</f>
        <v>Automated Stationary Caliper Unit</v>
      </c>
      <c r="D431">
        <v>1</v>
      </c>
      <c r="E431" t="str">
        <f t="shared" si="116"/>
        <v>Assembly &amp;Quality Control ER9P(Ballgame&amp;ViewFlex Machine Vision System &amp;Caliper)</v>
      </c>
      <c r="F431">
        <v>504</v>
      </c>
      <c r="G431" t="str">
        <f t="shared" si="107"/>
        <v>Y</v>
      </c>
      <c r="H431" t="str">
        <f t="shared" si="117"/>
        <v>EA</v>
      </c>
      <c r="I431">
        <v>0</v>
      </c>
      <c r="J431">
        <v>0</v>
      </c>
      <c r="K431" t="str">
        <f t="shared" si="108"/>
        <v>Y</v>
      </c>
      <c r="L431">
        <v>0</v>
      </c>
      <c r="M431" t="str">
        <f t="shared" si="109"/>
        <v>NIS</v>
      </c>
      <c r="O431">
        <v>17</v>
      </c>
      <c r="P431" t="str">
        <f t="shared" si="118"/>
        <v>Active</v>
      </c>
      <c r="Q431" t="str">
        <f>"Automat Stationary Caliper  Unit"</f>
        <v>Automat Stationary Caliper  Unit</v>
      </c>
      <c r="S431" t="str">
        <f>"Automat Stationary Caliper  Unit"</f>
        <v>Automat Stationary Caliper  Unit</v>
      </c>
      <c r="T431">
        <v>0</v>
      </c>
      <c r="U431" s="44">
        <v>1165.92</v>
      </c>
      <c r="V431" s="44">
        <v>1246.44</v>
      </c>
      <c r="W431" t="str">
        <f t="shared" si="119"/>
        <v>rob</v>
      </c>
    </row>
    <row r="432" spans="1:23">
      <c r="A432" t="str">
        <f t="shared" si="115"/>
        <v>ASM&amp;QC-ER9P-03</v>
      </c>
      <c r="B432" t="str">
        <f>"113316"</f>
        <v>113316</v>
      </c>
      <c r="C432" t="str">
        <f>"Parts Bin"</f>
        <v>Parts Bin</v>
      </c>
      <c r="D432">
        <v>1</v>
      </c>
      <c r="E432" t="str">
        <f t="shared" si="116"/>
        <v>Assembly &amp;Quality Control ER9P(Ballgame&amp;ViewFlex Machine Vision System &amp;Caliper)</v>
      </c>
      <c r="F432">
        <v>504</v>
      </c>
      <c r="G432" t="str">
        <f t="shared" si="107"/>
        <v>Y</v>
      </c>
      <c r="H432" t="str">
        <f t="shared" si="117"/>
        <v>EA</v>
      </c>
      <c r="I432">
        <v>0</v>
      </c>
      <c r="J432">
        <v>0</v>
      </c>
      <c r="K432" t="str">
        <f t="shared" si="108"/>
        <v>Y</v>
      </c>
      <c r="L432">
        <v>0</v>
      </c>
      <c r="M432" t="str">
        <f t="shared" si="109"/>
        <v>NIS</v>
      </c>
      <c r="O432">
        <v>18</v>
      </c>
      <c r="P432" t="str">
        <f t="shared" si="118"/>
        <v>Active</v>
      </c>
      <c r="Q432" t="str">
        <f>"Parts Bin; Plastic Box"</f>
        <v>Parts Bin; Plastic Box</v>
      </c>
      <c r="R432" t="str">
        <f>"1"</f>
        <v>1</v>
      </c>
      <c r="S432" t="str">
        <f>"Parts Bin; Plastic Box"</f>
        <v>Parts Bin; Plastic Box</v>
      </c>
      <c r="T432">
        <v>0</v>
      </c>
      <c r="U432">
        <v>8.0399999999999991</v>
      </c>
      <c r="V432">
        <v>6.39</v>
      </c>
      <c r="W432" t="str">
        <f t="shared" si="119"/>
        <v>rob</v>
      </c>
    </row>
    <row r="433" spans="1:23">
      <c r="A433" t="str">
        <f t="shared" si="115"/>
        <v>ASM&amp;QC-ER9P-03</v>
      </c>
      <c r="B433" t="str">
        <f>"00-1249-0000"</f>
        <v>00-1249-0000</v>
      </c>
      <c r="C433" t="str">
        <f>"Workbench 1500x800mm (slotted aluminum top)"</f>
        <v>Workbench 1500x800mm (slotted aluminum top)</v>
      </c>
      <c r="D433">
        <v>1</v>
      </c>
      <c r="E433" t="str">
        <f t="shared" si="116"/>
        <v>Assembly &amp;Quality Control ER9P(Ballgame&amp;ViewFlex Machine Vision System &amp;Caliper)</v>
      </c>
      <c r="F433">
        <v>504</v>
      </c>
      <c r="G433" t="str">
        <f t="shared" si="107"/>
        <v>Y</v>
      </c>
      <c r="H433" t="str">
        <f t="shared" si="117"/>
        <v>EA</v>
      </c>
      <c r="I433">
        <v>0</v>
      </c>
      <c r="J433">
        <v>0</v>
      </c>
      <c r="K433" t="str">
        <f t="shared" si="108"/>
        <v>Y</v>
      </c>
      <c r="L433">
        <v>0</v>
      </c>
      <c r="M433" t="str">
        <f t="shared" si="109"/>
        <v>NIS</v>
      </c>
      <c r="O433">
        <v>19</v>
      </c>
      <c r="P433" t="str">
        <f t="shared" si="118"/>
        <v>Active</v>
      </c>
      <c r="Q433" t="str">
        <f>"Workbench 1500x800mm (slotted aluminum top)"</f>
        <v>Workbench 1500x800mm (slotted aluminum top)</v>
      </c>
      <c r="S433" t="str">
        <f>"Workbench 1500x800mm (slotted aluminum top)"</f>
        <v>Workbench 1500x800mm (slotted aluminum top)</v>
      </c>
      <c r="T433">
        <v>0</v>
      </c>
      <c r="U433" s="44">
        <v>1100</v>
      </c>
      <c r="V433" s="44">
        <v>1083.57</v>
      </c>
      <c r="W433" t="str">
        <f t="shared" si="119"/>
        <v>rob</v>
      </c>
    </row>
    <row r="434" spans="1:23">
      <c r="A434" t="str">
        <f t="shared" si="115"/>
        <v>ASM&amp;QC-ER9P-03</v>
      </c>
      <c r="B434" t="str">
        <f>"00-1241-0000"</f>
        <v>00-1241-0000</v>
      </c>
      <c r="C434" t="str">
        <f>"Adapter Mounting Plate for ER9/14Pro &amp; HP3"</f>
        <v>Adapter Mounting Plate for ER9/14Pro &amp; HP3</v>
      </c>
      <c r="D434">
        <v>1</v>
      </c>
      <c r="E434" t="str">
        <f t="shared" si="116"/>
        <v>Assembly &amp;Quality Control ER9P(Ballgame&amp;ViewFlex Machine Vision System &amp;Caliper)</v>
      </c>
      <c r="F434">
        <v>504</v>
      </c>
      <c r="G434" t="str">
        <f t="shared" si="107"/>
        <v>Y</v>
      </c>
      <c r="H434" t="str">
        <f t="shared" si="117"/>
        <v>EA</v>
      </c>
      <c r="I434">
        <v>0</v>
      </c>
      <c r="J434">
        <v>0</v>
      </c>
      <c r="K434" t="str">
        <f t="shared" si="108"/>
        <v>Y</v>
      </c>
      <c r="L434">
        <v>0</v>
      </c>
      <c r="M434" t="str">
        <f t="shared" si="109"/>
        <v>NIS</v>
      </c>
      <c r="O434">
        <v>20</v>
      </c>
      <c r="P434" t="str">
        <f t="shared" si="118"/>
        <v>Active</v>
      </c>
      <c r="Q434" t="str">
        <f>"Adapter Mounting Plate for ER9/14Pro &amp; HP3"</f>
        <v>Adapter Mounting Plate for ER9/14Pro &amp; HP3</v>
      </c>
      <c r="S434" t="str">
        <f>"Adapter Mounting Plate for ER9/14Pro &amp; HP3"</f>
        <v>Adapter Mounting Plate for ER9/14Pro &amp; HP3</v>
      </c>
      <c r="T434">
        <v>0</v>
      </c>
      <c r="U434">
        <v>145</v>
      </c>
      <c r="V434">
        <v>153.93</v>
      </c>
      <c r="W434" t="str">
        <f t="shared" si="119"/>
        <v>rob</v>
      </c>
    </row>
    <row r="435" spans="1:23">
      <c r="A435" t="str">
        <f t="shared" si="115"/>
        <v>ASM&amp;QC-ER9P-03</v>
      </c>
      <c r="B435" t="str">
        <f>"00-1260-0000"</f>
        <v>00-1260-0000</v>
      </c>
      <c r="C435" t="str">
        <f>"PC Extension Shelf  600x800mm"</f>
        <v>PC Extension Shelf  600x800mm</v>
      </c>
      <c r="D435">
        <v>1</v>
      </c>
      <c r="E435" t="str">
        <f t="shared" si="116"/>
        <v>Assembly &amp;Quality Control ER9P(Ballgame&amp;ViewFlex Machine Vision System &amp;Caliper)</v>
      </c>
      <c r="F435">
        <v>504</v>
      </c>
      <c r="G435" t="str">
        <f t="shared" si="107"/>
        <v>Y</v>
      </c>
      <c r="H435" t="str">
        <f t="shared" si="117"/>
        <v>EA</v>
      </c>
      <c r="I435">
        <v>0</v>
      </c>
      <c r="J435">
        <v>0</v>
      </c>
      <c r="K435" t="str">
        <f t="shared" si="108"/>
        <v>Y</v>
      </c>
      <c r="L435">
        <v>0</v>
      </c>
      <c r="M435" t="str">
        <f t="shared" si="109"/>
        <v>NIS</v>
      </c>
      <c r="O435">
        <v>21</v>
      </c>
      <c r="P435" t="str">
        <f t="shared" si="118"/>
        <v>Active</v>
      </c>
      <c r="Q435" t="str">
        <f>"PC Extension Shelf  600x800mm"</f>
        <v>PC Extension Shelf  600x800mm</v>
      </c>
      <c r="S435" t="str">
        <f>"PC Extension Shelf  600x800mm"</f>
        <v>PC Extension Shelf  600x800mm</v>
      </c>
      <c r="T435">
        <v>0</v>
      </c>
      <c r="U435">
        <v>192</v>
      </c>
      <c r="V435">
        <v>195.4</v>
      </c>
      <c r="W435" t="str">
        <f t="shared" si="119"/>
        <v>rob</v>
      </c>
    </row>
    <row r="436" spans="1:23">
      <c r="A436" t="str">
        <f t="shared" si="115"/>
        <v>ASM&amp;QC-ER9P-03</v>
      </c>
      <c r="B436" t="str">
        <f>"50-0094-0000"</f>
        <v>50-0094-0000</v>
      </c>
      <c r="C436" t="str">
        <f>"Pre-Engineering, Design and Testing"</f>
        <v>Pre-Engineering, Design and Testing</v>
      </c>
      <c r="D436">
        <v>1</v>
      </c>
      <c r="E436" t="str">
        <f t="shared" si="116"/>
        <v>Assembly &amp;Quality Control ER9P(Ballgame&amp;ViewFlex Machine Vision System &amp;Caliper)</v>
      </c>
      <c r="F436">
        <v>504</v>
      </c>
      <c r="G436" t="str">
        <f t="shared" si="107"/>
        <v>Y</v>
      </c>
      <c r="H436" t="str">
        <f>"DA"</f>
        <v>DA</v>
      </c>
      <c r="I436">
        <v>0</v>
      </c>
      <c r="J436">
        <v>0</v>
      </c>
      <c r="K436" t="str">
        <f t="shared" si="108"/>
        <v>Y</v>
      </c>
      <c r="L436">
        <v>0</v>
      </c>
      <c r="M436" t="str">
        <f t="shared" si="109"/>
        <v>NIS</v>
      </c>
      <c r="O436">
        <v>22</v>
      </c>
      <c r="P436" t="str">
        <f t="shared" si="118"/>
        <v>Active</v>
      </c>
      <c r="Q436" t="str">
        <f>"Pre-Engineering, Design and Testing"</f>
        <v>Pre-Engineering, Design and Testing</v>
      </c>
      <c r="S436" t="str">
        <f>"Pre-Engineering, Design and Testing"</f>
        <v>Pre-Engineering, Design and Testing</v>
      </c>
      <c r="T436">
        <v>0</v>
      </c>
      <c r="U436">
        <v>405</v>
      </c>
      <c r="V436">
        <v>421.2</v>
      </c>
      <c r="W436" t="str">
        <f t="shared" si="119"/>
        <v>rob</v>
      </c>
    </row>
    <row r="437" spans="1:23">
      <c r="A437" t="str">
        <f t="shared" ref="A437:A454" si="120">"ASM&amp;QC-IROB-01"</f>
        <v>ASM&amp;QC-IROB-01</v>
      </c>
      <c r="B437" t="str">
        <f>"10-2119-9000"</f>
        <v>10-2119-9000</v>
      </c>
      <c r="C437" t="str">
        <f>"Interface with industrial robot"</f>
        <v>Interface with industrial robot</v>
      </c>
      <c r="D437">
        <v>1</v>
      </c>
      <c r="E437" t="str">
        <f t="shared" ref="E437:E454" si="121">"Assembly&amp;Quality Control Light Industrial Robot (Ballgame &amp; Vision)"</f>
        <v>Assembly&amp;Quality Control Light Industrial Robot (Ballgame &amp; Vision)</v>
      </c>
      <c r="F437">
        <v>504</v>
      </c>
      <c r="G437" t="str">
        <f t="shared" si="107"/>
        <v>Y</v>
      </c>
      <c r="H437" t="str">
        <f t="shared" ref="H437:H453" si="122">"EA"</f>
        <v>EA</v>
      </c>
      <c r="I437">
        <v>0</v>
      </c>
      <c r="J437">
        <v>0</v>
      </c>
      <c r="K437" t="str">
        <f t="shared" si="108"/>
        <v>Y</v>
      </c>
      <c r="L437">
        <v>0</v>
      </c>
      <c r="M437" t="str">
        <f t="shared" si="109"/>
        <v>NIS</v>
      </c>
      <c r="O437">
        <v>1</v>
      </c>
      <c r="P437" t="str">
        <f t="shared" si="118"/>
        <v>Active</v>
      </c>
      <c r="Q437" t="str">
        <f>"Interface with industrial robot"</f>
        <v>Interface with industrial robot</v>
      </c>
      <c r="S437" t="str">
        <f>"Interface with industrial robot"</f>
        <v>Interface with industrial robot</v>
      </c>
      <c r="T437">
        <v>0</v>
      </c>
      <c r="U437" s="44">
        <v>2000</v>
      </c>
      <c r="V437" s="44">
        <v>2220</v>
      </c>
      <c r="W437" t="str">
        <f t="shared" si="119"/>
        <v>rob</v>
      </c>
    </row>
    <row r="438" spans="1:23">
      <c r="A438" t="str">
        <f t="shared" si="120"/>
        <v>ASM&amp;QC-IROB-01</v>
      </c>
      <c r="B438" t="str">
        <f>"00-0647-0000"</f>
        <v>00-0647-0000</v>
      </c>
      <c r="C438" t="str">
        <f>"Pneumatic Gripper for 3rd party robots"</f>
        <v>Pneumatic Gripper for 3rd party robots</v>
      </c>
      <c r="D438">
        <v>1</v>
      </c>
      <c r="E438" t="str">
        <f t="shared" si="121"/>
        <v>Assembly&amp;Quality Control Light Industrial Robot (Ballgame &amp; Vision)</v>
      </c>
      <c r="F438">
        <v>504</v>
      </c>
      <c r="G438" t="str">
        <f t="shared" si="107"/>
        <v>Y</v>
      </c>
      <c r="H438" t="str">
        <f t="shared" si="122"/>
        <v>EA</v>
      </c>
      <c r="I438">
        <v>0</v>
      </c>
      <c r="J438">
        <v>0</v>
      </c>
      <c r="K438" t="str">
        <f t="shared" si="108"/>
        <v>Y</v>
      </c>
      <c r="L438">
        <v>0</v>
      </c>
      <c r="M438" t="str">
        <f t="shared" si="109"/>
        <v>NIS</v>
      </c>
      <c r="O438">
        <v>2</v>
      </c>
      <c r="P438" t="str">
        <f>"ECO-N2Buy"</f>
        <v>ECO-N2Buy</v>
      </c>
      <c r="Q438" t="str">
        <f>"Pneumatic Gripper for small industrial robots"</f>
        <v>Pneumatic Gripper for small industrial robots</v>
      </c>
      <c r="S438" t="str">
        <f>"Pneumatic Gripper for small industrial robots"</f>
        <v>Pneumatic Gripper for small industrial robots</v>
      </c>
      <c r="T438">
        <v>0</v>
      </c>
      <c r="U438" s="44">
        <v>1000</v>
      </c>
      <c r="V438">
        <v>646.62</v>
      </c>
      <c r="W438" t="str">
        <f t="shared" si="119"/>
        <v>rob</v>
      </c>
    </row>
    <row r="439" spans="1:23">
      <c r="A439" t="str">
        <f t="shared" si="120"/>
        <v>ASM&amp;QC-IROB-01</v>
      </c>
      <c r="B439" t="str">
        <f>"021031"</f>
        <v>021031</v>
      </c>
      <c r="C439" t="str">
        <f>"Buffer for Template"</f>
        <v>Buffer for Template</v>
      </c>
      <c r="D439">
        <v>4</v>
      </c>
      <c r="E439" t="str">
        <f t="shared" si="121"/>
        <v>Assembly&amp;Quality Control Light Industrial Robot (Ballgame &amp; Vision)</v>
      </c>
      <c r="F439">
        <v>504</v>
      </c>
      <c r="G439" t="str">
        <f t="shared" si="107"/>
        <v>Y</v>
      </c>
      <c r="H439" t="str">
        <f t="shared" si="122"/>
        <v>EA</v>
      </c>
      <c r="I439">
        <v>0</v>
      </c>
      <c r="J439">
        <v>0</v>
      </c>
      <c r="K439" t="str">
        <f t="shared" si="108"/>
        <v>Y</v>
      </c>
      <c r="L439">
        <v>0</v>
      </c>
      <c r="M439" t="str">
        <f t="shared" si="109"/>
        <v>NIS</v>
      </c>
      <c r="O439">
        <v>3</v>
      </c>
      <c r="P439" t="str">
        <f>"Active"</f>
        <v>Active</v>
      </c>
      <c r="Q439" t="str">
        <f>"מכלול- בסיס לטמפלט CIM"</f>
        <v>מכלול- בסיס לטמפלט CIM</v>
      </c>
      <c r="R439" t="str">
        <f>"1"</f>
        <v>1</v>
      </c>
      <c r="S439" t="str">
        <f>"מכלול- בסיס לטמפלט CIM"</f>
        <v>מכלול- בסיס לטמפלט CIM</v>
      </c>
      <c r="T439">
        <v>0</v>
      </c>
      <c r="U439">
        <v>18.329999999999998</v>
      </c>
      <c r="V439">
        <v>13.48</v>
      </c>
      <c r="W439" t="str">
        <f t="shared" si="119"/>
        <v>rob</v>
      </c>
    </row>
    <row r="440" spans="1:23">
      <c r="A440" t="str">
        <f t="shared" si="120"/>
        <v>ASM&amp;QC-IROB-01</v>
      </c>
      <c r="B440" t="str">
        <f>"00-1110-0000"</f>
        <v>00-1110-0000</v>
      </c>
      <c r="C440" t="str">
        <f>"Palletizing Rack"</f>
        <v>Palletizing Rack</v>
      </c>
      <c r="D440">
        <v>2</v>
      </c>
      <c r="E440" t="str">
        <f t="shared" si="121"/>
        <v>Assembly&amp;Quality Control Light Industrial Robot (Ballgame &amp; Vision)</v>
      </c>
      <c r="F440">
        <v>504</v>
      </c>
      <c r="G440" t="str">
        <f t="shared" si="107"/>
        <v>Y</v>
      </c>
      <c r="H440" t="str">
        <f t="shared" si="122"/>
        <v>EA</v>
      </c>
      <c r="I440">
        <v>0</v>
      </c>
      <c r="J440">
        <v>0</v>
      </c>
      <c r="K440" t="str">
        <f t="shared" si="108"/>
        <v>Y</v>
      </c>
      <c r="L440">
        <v>0</v>
      </c>
      <c r="M440" t="str">
        <f t="shared" si="109"/>
        <v>NIS</v>
      </c>
      <c r="O440">
        <v>4</v>
      </c>
      <c r="P440" t="str">
        <f>"Active"</f>
        <v>Active</v>
      </c>
      <c r="Q440" t="str">
        <f>"Palletizing Rack (incl. Pins for creating Jigs)"</f>
        <v>Palletizing Rack (incl. Pins for creating Jigs)</v>
      </c>
      <c r="S440" t="str">
        <f>"Palletizing Rack (incl. Pins for creating Jigs)"</f>
        <v>Palletizing Rack (incl. Pins for creating Jigs)</v>
      </c>
      <c r="T440">
        <v>0</v>
      </c>
      <c r="U440">
        <v>63</v>
      </c>
      <c r="V440">
        <v>58.59</v>
      </c>
      <c r="W440" t="str">
        <f t="shared" si="119"/>
        <v>rob</v>
      </c>
    </row>
    <row r="441" spans="1:23">
      <c r="A441" t="str">
        <f t="shared" si="120"/>
        <v>ASM&amp;QC-IROB-01</v>
      </c>
      <c r="B441" t="str">
        <f>"021177"</f>
        <v>021177</v>
      </c>
      <c r="C441" t="str">
        <f>"30mm Height Adapter -Rack 001110 on formica 19mm"</f>
        <v>30mm Height Adapter -Rack 001110 on formica 19mm</v>
      </c>
      <c r="D441">
        <v>2</v>
      </c>
      <c r="E441" t="str">
        <f t="shared" si="121"/>
        <v>Assembly&amp;Quality Control Light Industrial Robot (Ballgame &amp; Vision)</v>
      </c>
      <c r="F441">
        <v>504</v>
      </c>
      <c r="G441" t="str">
        <f t="shared" si="107"/>
        <v>Y</v>
      </c>
      <c r="H441" t="str">
        <f t="shared" si="122"/>
        <v>EA</v>
      </c>
      <c r="I441">
        <v>0</v>
      </c>
      <c r="J441">
        <v>0</v>
      </c>
      <c r="K441" t="str">
        <f t="shared" si="108"/>
        <v>Y</v>
      </c>
      <c r="L441">
        <v>0</v>
      </c>
      <c r="M441" t="str">
        <f t="shared" si="109"/>
        <v>NIS</v>
      </c>
      <c r="O441">
        <v>5</v>
      </c>
      <c r="P441" t="str">
        <f>"Active"</f>
        <v>Active</v>
      </c>
      <c r="Q441" t="str">
        <f>"30mm Height Adapter -Rack 001110 on formica 19mm"</f>
        <v>30mm Height Adapter -Rack 001110 on formica 19mm</v>
      </c>
      <c r="S441" t="str">
        <f>"30mm Height Adapter -Rack 001110 on formica 19mm"</f>
        <v>30mm Height Adapter -Rack 001110 on formica 19mm</v>
      </c>
      <c r="T441">
        <v>0</v>
      </c>
      <c r="U441">
        <v>4.92</v>
      </c>
      <c r="V441">
        <v>8.43</v>
      </c>
      <c r="W441" t="str">
        <f t="shared" si="119"/>
        <v>rob</v>
      </c>
    </row>
    <row r="442" spans="1:23">
      <c r="A442" t="str">
        <f t="shared" si="120"/>
        <v>ASM&amp;QC-IROB-01</v>
      </c>
      <c r="B442" t="str">
        <f>"21-0004-0000"</f>
        <v>21-0004-0000</v>
      </c>
      <c r="C442" t="str">
        <f>"Assembly, Dual Axis Air Vise Mechanicals"</f>
        <v>Assembly, Dual Axis Air Vise Mechanicals</v>
      </c>
      <c r="D442">
        <v>1</v>
      </c>
      <c r="E442" t="str">
        <f t="shared" si="121"/>
        <v>Assembly&amp;Quality Control Light Industrial Robot (Ballgame &amp; Vision)</v>
      </c>
      <c r="F442">
        <v>504</v>
      </c>
      <c r="G442" t="str">
        <f t="shared" si="107"/>
        <v>Y</v>
      </c>
      <c r="H442" t="str">
        <f t="shared" si="122"/>
        <v>EA</v>
      </c>
      <c r="I442">
        <v>0</v>
      </c>
      <c r="J442">
        <v>0</v>
      </c>
      <c r="K442" t="str">
        <f t="shared" si="108"/>
        <v>Y</v>
      </c>
      <c r="L442">
        <v>0</v>
      </c>
      <c r="M442" t="str">
        <f t="shared" si="109"/>
        <v>NIS</v>
      </c>
      <c r="O442">
        <v>6</v>
      </c>
      <c r="P442" t="str">
        <f>"Phase Out"</f>
        <v>Phase Out</v>
      </c>
      <c r="Q442" t="str">
        <f>"Assembly, Dual Axis Air Vise Mechanicals"</f>
        <v>Assembly, Dual Axis Air Vise Mechanicals</v>
      </c>
      <c r="S442" t="str">
        <f>"Assembly, Dual Axis Air Vise Mechanicals"</f>
        <v>Assembly, Dual Axis Air Vise Mechanicals</v>
      </c>
      <c r="T442">
        <v>422.16</v>
      </c>
      <c r="U442">
        <v>422</v>
      </c>
      <c r="V442">
        <v>980.27</v>
      </c>
      <c r="W442" t="str">
        <f t="shared" si="119"/>
        <v>rob</v>
      </c>
    </row>
    <row r="443" spans="1:23">
      <c r="A443" t="str">
        <f t="shared" si="120"/>
        <v>ASM&amp;QC-IROB-01</v>
      </c>
      <c r="B443" t="str">
        <f>"10-2523-4000"</f>
        <v>10-2523-4000</v>
      </c>
      <c r="C443" t="str">
        <f>"Solenoid Valve (24V) for Pipe 3 mm"</f>
        <v>Solenoid Valve (24V) for Pipe 3 mm</v>
      </c>
      <c r="D443">
        <v>1</v>
      </c>
      <c r="E443" t="str">
        <f t="shared" si="121"/>
        <v>Assembly&amp;Quality Control Light Industrial Robot (Ballgame &amp; Vision)</v>
      </c>
      <c r="F443">
        <v>504</v>
      </c>
      <c r="G443" t="str">
        <f t="shared" si="107"/>
        <v>Y</v>
      </c>
      <c r="H443" t="str">
        <f t="shared" si="122"/>
        <v>EA</v>
      </c>
      <c r="I443">
        <v>0</v>
      </c>
      <c r="J443">
        <v>0</v>
      </c>
      <c r="K443" t="str">
        <f t="shared" si="108"/>
        <v>Y</v>
      </c>
      <c r="L443">
        <v>0</v>
      </c>
      <c r="M443" t="str">
        <f t="shared" si="109"/>
        <v>NIS</v>
      </c>
      <c r="O443">
        <v>7</v>
      </c>
      <c r="P443" t="str">
        <f t="shared" ref="P443:P455" si="123">"Active"</f>
        <v>Active</v>
      </c>
      <c r="Q443" t="str">
        <f>"Solenoid Valve (24V) for Pipe 3 mm"</f>
        <v>Solenoid Valve (24V) for Pipe 3 mm</v>
      </c>
      <c r="S443" t="str">
        <f>"Solenoid Valve (24V) for Pipe 3 mm"</f>
        <v>Solenoid Valve (24V) for Pipe 3 mm</v>
      </c>
      <c r="T443">
        <v>0</v>
      </c>
      <c r="U443">
        <v>137</v>
      </c>
      <c r="V443">
        <v>133.35</v>
      </c>
      <c r="W443" t="str">
        <f t="shared" si="119"/>
        <v>rob</v>
      </c>
    </row>
    <row r="444" spans="1:23">
      <c r="A444" t="str">
        <f t="shared" si="120"/>
        <v>ASM&amp;QC-IROB-01</v>
      </c>
      <c r="B444" t="str">
        <f>"00-1230-0000"</f>
        <v>00-1230-0000</v>
      </c>
      <c r="C444" t="str">
        <f>"Ball Feeder (incl. sensor for ball counting)"</f>
        <v>Ball Feeder (incl. sensor for ball counting)</v>
      </c>
      <c r="D444">
        <v>1</v>
      </c>
      <c r="E444" t="str">
        <f t="shared" si="121"/>
        <v>Assembly&amp;Quality Control Light Industrial Robot (Ballgame &amp; Vision)</v>
      </c>
      <c r="F444">
        <v>504</v>
      </c>
      <c r="G444" t="str">
        <f t="shared" si="107"/>
        <v>Y</v>
      </c>
      <c r="H444" t="str">
        <f t="shared" si="122"/>
        <v>EA</v>
      </c>
      <c r="I444">
        <v>0</v>
      </c>
      <c r="J444">
        <v>0</v>
      </c>
      <c r="K444" t="str">
        <f t="shared" si="108"/>
        <v>Y</v>
      </c>
      <c r="L444">
        <v>0</v>
      </c>
      <c r="M444" t="str">
        <f t="shared" si="109"/>
        <v>NIS</v>
      </c>
      <c r="O444">
        <v>8</v>
      </c>
      <c r="P444" t="str">
        <f t="shared" si="123"/>
        <v>Active</v>
      </c>
      <c r="Q444" t="str">
        <f>"Ball Feeder (incl. sensor for ball counting)"</f>
        <v>Ball Feeder (incl. sensor for ball counting)</v>
      </c>
      <c r="S444" t="str">
        <f>"Ball Feeder (incl. sensor for ball counting)"</f>
        <v>Ball Feeder (incl. sensor for ball counting)</v>
      </c>
      <c r="T444">
        <v>0</v>
      </c>
      <c r="U444">
        <v>536</v>
      </c>
      <c r="V444">
        <v>530.72</v>
      </c>
      <c r="W444" t="str">
        <f t="shared" si="119"/>
        <v>rob</v>
      </c>
    </row>
    <row r="445" spans="1:23">
      <c r="A445" t="str">
        <f t="shared" si="120"/>
        <v>ASM&amp;QC-IROB-01</v>
      </c>
      <c r="B445" t="str">
        <f>"00-1243-0000"</f>
        <v>00-1243-0000</v>
      </c>
      <c r="C445" t="str">
        <f>"Ball Game Set (Assembly with Plastic Pins)"</f>
        <v>Ball Game Set (Assembly with Plastic Pins)</v>
      </c>
      <c r="D445">
        <v>12</v>
      </c>
      <c r="E445" t="str">
        <f t="shared" si="121"/>
        <v>Assembly&amp;Quality Control Light Industrial Robot (Ballgame &amp; Vision)</v>
      </c>
      <c r="F445">
        <v>504</v>
      </c>
      <c r="G445" t="str">
        <f t="shared" si="107"/>
        <v>Y</v>
      </c>
      <c r="H445" t="str">
        <f t="shared" si="122"/>
        <v>EA</v>
      </c>
      <c r="I445">
        <v>0</v>
      </c>
      <c r="J445">
        <v>0</v>
      </c>
      <c r="K445" t="str">
        <f t="shared" si="108"/>
        <v>Y</v>
      </c>
      <c r="L445">
        <v>0</v>
      </c>
      <c r="M445" t="str">
        <f t="shared" si="109"/>
        <v>NIS</v>
      </c>
      <c r="O445">
        <v>9</v>
      </c>
      <c r="P445" t="str">
        <f t="shared" si="123"/>
        <v>Active</v>
      </c>
      <c r="Q445" t="str">
        <f>"Ball Game Set (Assembly with Plastic Pins)"</f>
        <v>Ball Game Set (Assembly with Plastic Pins)</v>
      </c>
      <c r="S445" t="str">
        <f>"Ball Game Set (Assembly with Plastic Pins)"</f>
        <v>Ball Game Set (Assembly with Plastic Pins)</v>
      </c>
      <c r="T445">
        <v>0</v>
      </c>
      <c r="U445">
        <v>32</v>
      </c>
      <c r="V445">
        <v>34.770000000000003</v>
      </c>
      <c r="W445" t="str">
        <f t="shared" si="119"/>
        <v>rob</v>
      </c>
    </row>
    <row r="446" spans="1:23">
      <c r="A446" t="str">
        <f t="shared" si="120"/>
        <v>ASM&amp;QC-IROB-01</v>
      </c>
      <c r="B446" t="str">
        <f>"10-2523-6000"</f>
        <v>10-2523-6000</v>
      </c>
      <c r="C446" t="str">
        <f>"Pneumatic Shifter (155mm stroke w. solenoid 24V)"</f>
        <v>Pneumatic Shifter (155mm stroke w. solenoid 24V)</v>
      </c>
      <c r="D446">
        <v>1</v>
      </c>
      <c r="E446" t="str">
        <f t="shared" si="121"/>
        <v>Assembly&amp;Quality Control Light Industrial Robot (Ballgame &amp; Vision)</v>
      </c>
      <c r="F446">
        <v>504</v>
      </c>
      <c r="G446" t="str">
        <f t="shared" si="107"/>
        <v>Y</v>
      </c>
      <c r="H446" t="str">
        <f t="shared" si="122"/>
        <v>EA</v>
      </c>
      <c r="I446">
        <v>0</v>
      </c>
      <c r="J446">
        <v>0</v>
      </c>
      <c r="K446" t="str">
        <f t="shared" si="108"/>
        <v>Y</v>
      </c>
      <c r="L446">
        <v>0</v>
      </c>
      <c r="M446" t="str">
        <f t="shared" si="109"/>
        <v>NIS</v>
      </c>
      <c r="O446">
        <v>10</v>
      </c>
      <c r="P446" t="str">
        <f t="shared" si="123"/>
        <v>Active</v>
      </c>
      <c r="Q446" t="str">
        <f>"Pneumatic Shifter (155mm stroke w. solenoid 24V)"</f>
        <v>Pneumatic Shifter (155mm stroke w. solenoid 24V)</v>
      </c>
      <c r="S446" t="str">
        <f>"Pneumatic Shifter (155mm stroke w. solenoid 24V)"</f>
        <v>Pneumatic Shifter (155mm stroke w. solenoid 24V)</v>
      </c>
      <c r="T446">
        <v>0</v>
      </c>
      <c r="U446">
        <v>630</v>
      </c>
      <c r="V446">
        <v>687.48</v>
      </c>
      <c r="W446" t="str">
        <f t="shared" si="119"/>
        <v>rob</v>
      </c>
    </row>
    <row r="447" spans="1:23">
      <c r="A447" t="str">
        <f t="shared" si="120"/>
        <v>ASM&amp;QC-IROB-01</v>
      </c>
      <c r="B447" t="str">
        <f>"00-1422-0000"</f>
        <v>00-1422-0000</v>
      </c>
      <c r="C447" t="str">
        <f>"Viewflex for QC (Stand 400mm)"</f>
        <v>Viewflex for QC (Stand 400mm)</v>
      </c>
      <c r="D447">
        <v>1</v>
      </c>
      <c r="E447" t="str">
        <f t="shared" si="121"/>
        <v>Assembly&amp;Quality Control Light Industrial Robot (Ballgame &amp; Vision)</v>
      </c>
      <c r="F447">
        <v>504</v>
      </c>
      <c r="G447" t="str">
        <f t="shared" si="107"/>
        <v>Y</v>
      </c>
      <c r="H447" t="str">
        <f t="shared" si="122"/>
        <v>EA</v>
      </c>
      <c r="I447">
        <v>0</v>
      </c>
      <c r="J447">
        <v>0</v>
      </c>
      <c r="K447" t="str">
        <f t="shared" si="108"/>
        <v>Y</v>
      </c>
      <c r="L447">
        <v>0</v>
      </c>
      <c r="M447" t="str">
        <f t="shared" si="109"/>
        <v>NIS</v>
      </c>
      <c r="O447">
        <v>11</v>
      </c>
      <c r="P447" t="str">
        <f t="shared" si="123"/>
        <v>Active</v>
      </c>
      <c r="Q447" t="str">
        <f>"Viewflex for QC (Stand 400mm)"</f>
        <v>Viewflex for QC (Stand 400mm)</v>
      </c>
      <c r="S447" t="str">
        <f>"Viewflex for QC (Stand 400mm)"</f>
        <v>Viewflex for QC (Stand 400mm)</v>
      </c>
      <c r="T447">
        <v>0</v>
      </c>
      <c r="U447">
        <v>560</v>
      </c>
      <c r="V447">
        <v>511.35</v>
      </c>
      <c r="W447" t="str">
        <f t="shared" si="119"/>
        <v>rob</v>
      </c>
    </row>
    <row r="448" spans="1:23">
      <c r="A448" t="str">
        <f t="shared" si="120"/>
        <v>ASM&amp;QC-IROB-01</v>
      </c>
      <c r="B448" t="str">
        <f>"113096"</f>
        <v>113096</v>
      </c>
      <c r="C448" t="str">
        <f>"Plexiglass Cylinders Base"</f>
        <v>Plexiglass Cylinders Base</v>
      </c>
      <c r="D448">
        <v>3</v>
      </c>
      <c r="E448" t="str">
        <f t="shared" si="121"/>
        <v>Assembly&amp;Quality Control Light Industrial Robot (Ballgame &amp; Vision)</v>
      </c>
      <c r="F448">
        <v>504</v>
      </c>
      <c r="G448" t="str">
        <f t="shared" si="107"/>
        <v>Y</v>
      </c>
      <c r="H448" t="str">
        <f t="shared" si="122"/>
        <v>EA</v>
      </c>
      <c r="I448">
        <v>0</v>
      </c>
      <c r="J448">
        <v>0</v>
      </c>
      <c r="K448" t="str">
        <f t="shared" si="108"/>
        <v>Y</v>
      </c>
      <c r="L448">
        <v>0</v>
      </c>
      <c r="M448" t="str">
        <f t="shared" si="109"/>
        <v>NIS</v>
      </c>
      <c r="O448">
        <v>12</v>
      </c>
      <c r="P448" t="str">
        <f t="shared" si="123"/>
        <v>Active</v>
      </c>
      <c r="Q448" t="str">
        <f>"Plexiglass Cylinders Base"</f>
        <v>Plexiglass Cylinders Base</v>
      </c>
      <c r="S448" t="str">
        <f>"Plexiglass Cylinders Base"</f>
        <v>Plexiglass Cylinders Base</v>
      </c>
      <c r="T448">
        <v>0</v>
      </c>
      <c r="U448">
        <v>7</v>
      </c>
      <c r="V448">
        <v>6.83</v>
      </c>
      <c r="W448" t="str">
        <f t="shared" si="119"/>
        <v>rob</v>
      </c>
    </row>
    <row r="449" spans="1:23">
      <c r="A449" t="str">
        <f t="shared" si="120"/>
        <v>ASM&amp;QC-IROB-01</v>
      </c>
      <c r="B449" t="str">
        <f>"112713"</f>
        <v>112713</v>
      </c>
      <c r="C449" t="str">
        <f>"Marked Aluminum Cylinder"</f>
        <v>Marked Aluminum Cylinder</v>
      </c>
      <c r="D449">
        <v>3</v>
      </c>
      <c r="E449" t="str">
        <f t="shared" si="121"/>
        <v>Assembly&amp;Quality Control Light Industrial Robot (Ballgame &amp; Vision)</v>
      </c>
      <c r="F449">
        <v>504</v>
      </c>
      <c r="G449" t="str">
        <f t="shared" si="107"/>
        <v>Y</v>
      </c>
      <c r="H449" t="str">
        <f t="shared" si="122"/>
        <v>EA</v>
      </c>
      <c r="I449">
        <v>0</v>
      </c>
      <c r="J449">
        <v>0</v>
      </c>
      <c r="K449" t="str">
        <f t="shared" si="108"/>
        <v>Y</v>
      </c>
      <c r="L449">
        <v>0</v>
      </c>
      <c r="M449" t="str">
        <f t="shared" si="109"/>
        <v>NIS</v>
      </c>
      <c r="O449">
        <v>13</v>
      </c>
      <c r="P449" t="str">
        <f t="shared" si="123"/>
        <v>Active</v>
      </c>
      <c r="Q449" t="str">
        <f>"Mark Al. Cylinder Diam. 35x28"</f>
        <v>Mark Al. Cylinder Diam. 35x28</v>
      </c>
      <c r="S449" t="str">
        <f>"Mark Al. Cylinder Diam. 35x28"</f>
        <v>Mark Al. Cylinder Diam. 35x28</v>
      </c>
      <c r="T449">
        <v>0</v>
      </c>
      <c r="U449">
        <v>6</v>
      </c>
      <c r="V449">
        <v>5.97</v>
      </c>
      <c r="W449" t="str">
        <f t="shared" si="119"/>
        <v>rob</v>
      </c>
    </row>
    <row r="450" spans="1:23">
      <c r="A450" t="str">
        <f t="shared" si="120"/>
        <v>ASM&amp;QC-IROB-01</v>
      </c>
      <c r="B450" t="str">
        <f>"113316"</f>
        <v>113316</v>
      </c>
      <c r="C450" t="str">
        <f>"Parts Bin"</f>
        <v>Parts Bin</v>
      </c>
      <c r="D450">
        <v>1</v>
      </c>
      <c r="E450" t="str">
        <f t="shared" si="121"/>
        <v>Assembly&amp;Quality Control Light Industrial Robot (Ballgame &amp; Vision)</v>
      </c>
      <c r="F450">
        <v>504</v>
      </c>
      <c r="G450" t="str">
        <f t="shared" ref="G450:G513" si="124">"Y"</f>
        <v>Y</v>
      </c>
      <c r="H450" t="str">
        <f t="shared" si="122"/>
        <v>EA</v>
      </c>
      <c r="I450">
        <v>0</v>
      </c>
      <c r="J450">
        <v>0</v>
      </c>
      <c r="K450" t="str">
        <f t="shared" ref="K450:K513" si="125">"Y"</f>
        <v>Y</v>
      </c>
      <c r="L450">
        <v>0</v>
      </c>
      <c r="M450" t="str">
        <f t="shared" ref="M450:M513" si="126">"NIS"</f>
        <v>NIS</v>
      </c>
      <c r="O450">
        <v>14</v>
      </c>
      <c r="P450" t="str">
        <f t="shared" si="123"/>
        <v>Active</v>
      </c>
      <c r="Q450" t="str">
        <f>"Parts Bin; Plastic Box"</f>
        <v>Parts Bin; Plastic Box</v>
      </c>
      <c r="R450" t="str">
        <f>"1"</f>
        <v>1</v>
      </c>
      <c r="S450" t="str">
        <f>"Parts Bin; Plastic Box"</f>
        <v>Parts Bin; Plastic Box</v>
      </c>
      <c r="T450">
        <v>0</v>
      </c>
      <c r="U450">
        <v>8.0399999999999991</v>
      </c>
      <c r="V450">
        <v>6.39</v>
      </c>
      <c r="W450" t="str">
        <f t="shared" si="119"/>
        <v>rob</v>
      </c>
    </row>
    <row r="451" spans="1:23">
      <c r="A451" t="str">
        <f t="shared" si="120"/>
        <v>ASM&amp;QC-IROB-01</v>
      </c>
      <c r="B451" t="str">
        <f>"00-1284-0000"</f>
        <v>00-1284-0000</v>
      </c>
      <c r="C451" t="str">
        <f>"Robot Pedestal Welded for ER9/14Pro&amp;MH5"</f>
        <v>Robot Pedestal Welded for ER9/14Pro&amp;MH5</v>
      </c>
      <c r="D451">
        <v>1</v>
      </c>
      <c r="E451" t="str">
        <f t="shared" si="121"/>
        <v>Assembly&amp;Quality Control Light Industrial Robot (Ballgame &amp; Vision)</v>
      </c>
      <c r="F451">
        <v>504</v>
      </c>
      <c r="G451" t="str">
        <f t="shared" si="124"/>
        <v>Y</v>
      </c>
      <c r="H451" t="str">
        <f t="shared" si="122"/>
        <v>EA</v>
      </c>
      <c r="I451">
        <v>0</v>
      </c>
      <c r="J451">
        <v>0</v>
      </c>
      <c r="K451" t="str">
        <f t="shared" si="125"/>
        <v>Y</v>
      </c>
      <c r="L451">
        <v>0</v>
      </c>
      <c r="M451" t="str">
        <f t="shared" si="126"/>
        <v>NIS</v>
      </c>
      <c r="O451">
        <v>15</v>
      </c>
      <c r="P451" t="str">
        <f t="shared" si="123"/>
        <v>Active</v>
      </c>
      <c r="Q451" t="str">
        <f>"Robot Pedestal Welded for ER9/14Pro&amp;MH5"</f>
        <v>Robot Pedestal Welded for ER9/14Pro&amp;MH5</v>
      </c>
      <c r="S451" t="str">
        <f>"Robot Pedestal Welded for ER9/14Pro&amp;MH5"</f>
        <v>Robot Pedestal Welded for ER9/14Pro&amp;MH5</v>
      </c>
      <c r="T451">
        <v>0</v>
      </c>
      <c r="U451">
        <v>723.91</v>
      </c>
      <c r="V451">
        <v>671.12</v>
      </c>
      <c r="W451" t="str">
        <f t="shared" si="119"/>
        <v>rob</v>
      </c>
    </row>
    <row r="452" spans="1:23">
      <c r="A452" t="str">
        <f t="shared" si="120"/>
        <v>ASM&amp;QC-IROB-01</v>
      </c>
      <c r="B452" t="str">
        <f>"00-1293-0000"</f>
        <v>00-1293-0000</v>
      </c>
      <c r="C452" t="str">
        <f>"Mobile Workbench 1500x1140mm (incl. Wheels)"</f>
        <v>Mobile Workbench 1500x1140mm (incl. Wheels)</v>
      </c>
      <c r="D452">
        <v>1</v>
      </c>
      <c r="E452" t="str">
        <f t="shared" si="121"/>
        <v>Assembly&amp;Quality Control Light Industrial Robot (Ballgame &amp; Vision)</v>
      </c>
      <c r="F452">
        <v>504</v>
      </c>
      <c r="G452" t="str">
        <f t="shared" si="124"/>
        <v>Y</v>
      </c>
      <c r="H452" t="str">
        <f t="shared" si="122"/>
        <v>EA</v>
      </c>
      <c r="I452">
        <v>0</v>
      </c>
      <c r="J452">
        <v>0</v>
      </c>
      <c r="K452" t="str">
        <f t="shared" si="125"/>
        <v>Y</v>
      </c>
      <c r="L452">
        <v>0</v>
      </c>
      <c r="M452" t="str">
        <f t="shared" si="126"/>
        <v>NIS</v>
      </c>
      <c r="O452">
        <v>16</v>
      </c>
      <c r="P452" t="str">
        <f t="shared" si="123"/>
        <v>Active</v>
      </c>
      <c r="Q452" t="str">
        <f>"Mobile Workbench 1500x1140mm (incl. Wheels)"</f>
        <v>Mobile Workbench 1500x1140mm (incl. Wheels)</v>
      </c>
      <c r="S452" t="str">
        <f>"Mobile Workbench 1500x1140mm (incl. Wheels)"</f>
        <v>Mobile Workbench 1500x1140mm (incl. Wheels)</v>
      </c>
      <c r="T452">
        <v>0</v>
      </c>
      <c r="U452">
        <v>860</v>
      </c>
      <c r="V452">
        <v>809.36</v>
      </c>
      <c r="W452" t="str">
        <f t="shared" si="119"/>
        <v>rob</v>
      </c>
    </row>
    <row r="453" spans="1:23">
      <c r="A453" t="str">
        <f t="shared" si="120"/>
        <v>ASM&amp;QC-IROB-01</v>
      </c>
      <c r="B453" t="str">
        <f>"00-1290-0000"</f>
        <v>00-1290-0000</v>
      </c>
      <c r="C453" t="str">
        <f>"PC Table 630x800mm (with Keyboard Drawer)"</f>
        <v>PC Table 630x800mm (with Keyboard Drawer)</v>
      </c>
      <c r="D453">
        <v>1</v>
      </c>
      <c r="E453" t="str">
        <f t="shared" si="121"/>
        <v>Assembly&amp;Quality Control Light Industrial Robot (Ballgame &amp; Vision)</v>
      </c>
      <c r="F453">
        <v>504</v>
      </c>
      <c r="G453" t="str">
        <f t="shared" si="124"/>
        <v>Y</v>
      </c>
      <c r="H453" t="str">
        <f t="shared" si="122"/>
        <v>EA</v>
      </c>
      <c r="I453">
        <v>0</v>
      </c>
      <c r="J453">
        <v>0</v>
      </c>
      <c r="K453" t="str">
        <f t="shared" si="125"/>
        <v>Y</v>
      </c>
      <c r="L453">
        <v>0</v>
      </c>
      <c r="M453" t="str">
        <f t="shared" si="126"/>
        <v>NIS</v>
      </c>
      <c r="O453">
        <v>17</v>
      </c>
      <c r="P453" t="str">
        <f t="shared" si="123"/>
        <v>Active</v>
      </c>
      <c r="Q453" t="str">
        <f>"PC Table 630x800mm (with Keyboard Drawer)"</f>
        <v>PC Table 630x800mm (with Keyboard Drawer)</v>
      </c>
      <c r="S453" t="str">
        <f>"PC Table 630x800mm (with Keyboard Drawer)"</f>
        <v>PC Table 630x800mm (with Keyboard Drawer)</v>
      </c>
      <c r="T453">
        <v>0</v>
      </c>
      <c r="U453">
        <v>405.86</v>
      </c>
      <c r="V453">
        <v>329.34</v>
      </c>
      <c r="W453" t="str">
        <f t="shared" si="119"/>
        <v>rob</v>
      </c>
    </row>
    <row r="454" spans="1:23">
      <c r="A454" t="str">
        <f t="shared" si="120"/>
        <v>ASM&amp;QC-IROB-01</v>
      </c>
      <c r="B454" t="str">
        <f>"50-0094-0000"</f>
        <v>50-0094-0000</v>
      </c>
      <c r="C454" t="str">
        <f>"Pre-Engineering, Design and Testing"</f>
        <v>Pre-Engineering, Design and Testing</v>
      </c>
      <c r="D454">
        <v>1</v>
      </c>
      <c r="E454" t="str">
        <f t="shared" si="121"/>
        <v>Assembly&amp;Quality Control Light Industrial Robot (Ballgame &amp; Vision)</v>
      </c>
      <c r="F454">
        <v>504</v>
      </c>
      <c r="G454" t="str">
        <f t="shared" si="124"/>
        <v>Y</v>
      </c>
      <c r="H454" t="str">
        <f>"DA"</f>
        <v>DA</v>
      </c>
      <c r="I454">
        <v>0</v>
      </c>
      <c r="J454">
        <v>0</v>
      </c>
      <c r="K454" t="str">
        <f t="shared" si="125"/>
        <v>Y</v>
      </c>
      <c r="L454">
        <v>0</v>
      </c>
      <c r="M454" t="str">
        <f t="shared" si="126"/>
        <v>NIS</v>
      </c>
      <c r="O454">
        <v>18</v>
      </c>
      <c r="P454" t="str">
        <f t="shared" si="123"/>
        <v>Active</v>
      </c>
      <c r="Q454" t="str">
        <f>"Pre-Engineering, Design and Testing"</f>
        <v>Pre-Engineering, Design and Testing</v>
      </c>
      <c r="S454" t="str">
        <f>"Pre-Engineering, Design and Testing"</f>
        <v>Pre-Engineering, Design and Testing</v>
      </c>
      <c r="T454">
        <v>0</v>
      </c>
      <c r="U454">
        <v>405</v>
      </c>
      <c r="V454">
        <v>421.2</v>
      </c>
      <c r="W454" t="str">
        <f t="shared" si="119"/>
        <v>rob</v>
      </c>
    </row>
    <row r="455" spans="1:23">
      <c r="A455" t="str">
        <f t="shared" ref="A455:A473" si="127">"ASM&amp;QC-IROB-02"</f>
        <v>ASM&amp;QC-IROB-02</v>
      </c>
      <c r="B455" t="str">
        <f>"10-2119-9000"</f>
        <v>10-2119-9000</v>
      </c>
      <c r="C455" t="str">
        <f>"Interface with industrial robot"</f>
        <v>Interface with industrial robot</v>
      </c>
      <c r="D455">
        <v>1</v>
      </c>
      <c r="E455" t="str">
        <f t="shared" ref="E455:E473" si="128">"Assembly&amp;Quality Control Light Industrial Robot (Ballgame &amp; Gluing &amp; Vision)"</f>
        <v>Assembly&amp;Quality Control Light Industrial Robot (Ballgame &amp; Gluing &amp; Vision)</v>
      </c>
      <c r="F455">
        <v>504</v>
      </c>
      <c r="G455" t="str">
        <f t="shared" si="124"/>
        <v>Y</v>
      </c>
      <c r="H455" t="str">
        <f t="shared" ref="H455:H472" si="129">"EA"</f>
        <v>EA</v>
      </c>
      <c r="I455">
        <v>0</v>
      </c>
      <c r="J455">
        <v>0</v>
      </c>
      <c r="K455" t="str">
        <f t="shared" si="125"/>
        <v>Y</v>
      </c>
      <c r="L455">
        <v>0</v>
      </c>
      <c r="M455" t="str">
        <f t="shared" si="126"/>
        <v>NIS</v>
      </c>
      <c r="O455">
        <v>1</v>
      </c>
      <c r="P455" t="str">
        <f t="shared" si="123"/>
        <v>Active</v>
      </c>
      <c r="Q455" t="str">
        <f>"Interface with industrial robot"</f>
        <v>Interface with industrial robot</v>
      </c>
      <c r="S455" t="str">
        <f>"Interface with industrial robot"</f>
        <v>Interface with industrial robot</v>
      </c>
      <c r="T455">
        <v>0</v>
      </c>
      <c r="U455" s="44">
        <v>2000</v>
      </c>
      <c r="V455" s="44">
        <v>2220</v>
      </c>
      <c r="W455" t="str">
        <f t="shared" si="119"/>
        <v>rob</v>
      </c>
    </row>
    <row r="456" spans="1:23">
      <c r="A456" t="str">
        <f t="shared" si="127"/>
        <v>ASM&amp;QC-IROB-02</v>
      </c>
      <c r="B456" t="str">
        <f>"00-0647-0000"</f>
        <v>00-0647-0000</v>
      </c>
      <c r="C456" t="str">
        <f>"Pneumatic Gripper for 3rd party robots"</f>
        <v>Pneumatic Gripper for 3rd party robots</v>
      </c>
      <c r="D456">
        <v>1</v>
      </c>
      <c r="E456" t="str">
        <f t="shared" si="128"/>
        <v>Assembly&amp;Quality Control Light Industrial Robot (Ballgame &amp; Gluing &amp; Vision)</v>
      </c>
      <c r="F456">
        <v>504</v>
      </c>
      <c r="G456" t="str">
        <f t="shared" si="124"/>
        <v>Y</v>
      </c>
      <c r="H456" t="str">
        <f t="shared" si="129"/>
        <v>EA</v>
      </c>
      <c r="I456">
        <v>0</v>
      </c>
      <c r="J456">
        <v>0</v>
      </c>
      <c r="K456" t="str">
        <f t="shared" si="125"/>
        <v>Y</v>
      </c>
      <c r="L456">
        <v>0</v>
      </c>
      <c r="M456" t="str">
        <f t="shared" si="126"/>
        <v>NIS</v>
      </c>
      <c r="O456">
        <v>2</v>
      </c>
      <c r="P456" t="str">
        <f>"ECO-N2Buy"</f>
        <v>ECO-N2Buy</v>
      </c>
      <c r="Q456" t="str">
        <f>"Pneumatic Gripper for small industrial robots"</f>
        <v>Pneumatic Gripper for small industrial robots</v>
      </c>
      <c r="S456" t="str">
        <f>"Pneumatic Gripper for small industrial robots"</f>
        <v>Pneumatic Gripper for small industrial robots</v>
      </c>
      <c r="T456">
        <v>0</v>
      </c>
      <c r="U456" s="44">
        <v>1000</v>
      </c>
      <c r="V456">
        <v>646.62</v>
      </c>
      <c r="W456" t="str">
        <f t="shared" si="119"/>
        <v>rob</v>
      </c>
    </row>
    <row r="457" spans="1:23">
      <c r="A457" t="str">
        <f t="shared" si="127"/>
        <v>ASM&amp;QC-IROB-02</v>
      </c>
      <c r="B457" t="str">
        <f>"021031"</f>
        <v>021031</v>
      </c>
      <c r="C457" t="str">
        <f>"Buffer for Template"</f>
        <v>Buffer for Template</v>
      </c>
      <c r="D457">
        <v>4</v>
      </c>
      <c r="E457" t="str">
        <f t="shared" si="128"/>
        <v>Assembly&amp;Quality Control Light Industrial Robot (Ballgame &amp; Gluing &amp; Vision)</v>
      </c>
      <c r="F457">
        <v>504</v>
      </c>
      <c r="G457" t="str">
        <f t="shared" si="124"/>
        <v>Y</v>
      </c>
      <c r="H457" t="str">
        <f t="shared" si="129"/>
        <v>EA</v>
      </c>
      <c r="I457">
        <v>0</v>
      </c>
      <c r="J457">
        <v>0</v>
      </c>
      <c r="K457" t="str">
        <f t="shared" si="125"/>
        <v>Y</v>
      </c>
      <c r="L457">
        <v>0</v>
      </c>
      <c r="M457" t="str">
        <f t="shared" si="126"/>
        <v>NIS</v>
      </c>
      <c r="O457">
        <v>3</v>
      </c>
      <c r="P457" t="str">
        <f>"Active"</f>
        <v>Active</v>
      </c>
      <c r="Q457" t="str">
        <f>"מכלול- בסיס לטמפלט CIM"</f>
        <v>מכלול- בסיס לטמפלט CIM</v>
      </c>
      <c r="R457" t="str">
        <f>"1"</f>
        <v>1</v>
      </c>
      <c r="S457" t="str">
        <f>"מכלול- בסיס לטמפלט CIM"</f>
        <v>מכלול- בסיס לטמפלט CIM</v>
      </c>
      <c r="T457">
        <v>0</v>
      </c>
      <c r="U457">
        <v>18.329999999999998</v>
      </c>
      <c r="V457">
        <v>13.48</v>
      </c>
      <c r="W457" t="str">
        <f t="shared" si="119"/>
        <v>rob</v>
      </c>
    </row>
    <row r="458" spans="1:23">
      <c r="A458" t="str">
        <f t="shared" si="127"/>
        <v>ASM&amp;QC-IROB-02</v>
      </c>
      <c r="B458" t="str">
        <f>"00-1110-0000"</f>
        <v>00-1110-0000</v>
      </c>
      <c r="C458" t="str">
        <f>"Palletizing Rack"</f>
        <v>Palletizing Rack</v>
      </c>
      <c r="D458">
        <v>2</v>
      </c>
      <c r="E458" t="str">
        <f t="shared" si="128"/>
        <v>Assembly&amp;Quality Control Light Industrial Robot (Ballgame &amp; Gluing &amp; Vision)</v>
      </c>
      <c r="F458">
        <v>504</v>
      </c>
      <c r="G458" t="str">
        <f t="shared" si="124"/>
        <v>Y</v>
      </c>
      <c r="H458" t="str">
        <f t="shared" si="129"/>
        <v>EA</v>
      </c>
      <c r="I458">
        <v>0</v>
      </c>
      <c r="J458">
        <v>0</v>
      </c>
      <c r="K458" t="str">
        <f t="shared" si="125"/>
        <v>Y</v>
      </c>
      <c r="L458">
        <v>0</v>
      </c>
      <c r="M458" t="str">
        <f t="shared" si="126"/>
        <v>NIS</v>
      </c>
      <c r="O458">
        <v>4</v>
      </c>
      <c r="P458" t="str">
        <f>"Active"</f>
        <v>Active</v>
      </c>
      <c r="Q458" t="str">
        <f>"Palletizing Rack (incl. Pins for creating Jigs)"</f>
        <v>Palletizing Rack (incl. Pins for creating Jigs)</v>
      </c>
      <c r="S458" t="str">
        <f>"Palletizing Rack (incl. Pins for creating Jigs)"</f>
        <v>Palletizing Rack (incl. Pins for creating Jigs)</v>
      </c>
      <c r="T458">
        <v>0</v>
      </c>
      <c r="U458">
        <v>63</v>
      </c>
      <c r="V458">
        <v>58.59</v>
      </c>
      <c r="W458" t="str">
        <f t="shared" si="119"/>
        <v>rob</v>
      </c>
    </row>
    <row r="459" spans="1:23">
      <c r="A459" t="str">
        <f t="shared" si="127"/>
        <v>ASM&amp;QC-IROB-02</v>
      </c>
      <c r="B459" t="str">
        <f>"021177"</f>
        <v>021177</v>
      </c>
      <c r="C459" t="str">
        <f>"30mm Height Adapter -Rack 001110 on formica 19mm"</f>
        <v>30mm Height Adapter -Rack 001110 on formica 19mm</v>
      </c>
      <c r="D459">
        <v>2</v>
      </c>
      <c r="E459" t="str">
        <f t="shared" si="128"/>
        <v>Assembly&amp;Quality Control Light Industrial Robot (Ballgame &amp; Gluing &amp; Vision)</v>
      </c>
      <c r="F459">
        <v>504</v>
      </c>
      <c r="G459" t="str">
        <f t="shared" si="124"/>
        <v>Y</v>
      </c>
      <c r="H459" t="str">
        <f t="shared" si="129"/>
        <v>EA</v>
      </c>
      <c r="I459">
        <v>0</v>
      </c>
      <c r="J459">
        <v>0</v>
      </c>
      <c r="K459" t="str">
        <f t="shared" si="125"/>
        <v>Y</v>
      </c>
      <c r="L459">
        <v>0</v>
      </c>
      <c r="M459" t="str">
        <f t="shared" si="126"/>
        <v>NIS</v>
      </c>
      <c r="O459">
        <v>5</v>
      </c>
      <c r="P459" t="str">
        <f>"Active"</f>
        <v>Active</v>
      </c>
      <c r="Q459" t="str">
        <f>"30mm Height Adapter -Rack 001110 on formica 19mm"</f>
        <v>30mm Height Adapter -Rack 001110 on formica 19mm</v>
      </c>
      <c r="S459" t="str">
        <f>"30mm Height Adapter -Rack 001110 on formica 19mm"</f>
        <v>30mm Height Adapter -Rack 001110 on formica 19mm</v>
      </c>
      <c r="T459">
        <v>0</v>
      </c>
      <c r="U459">
        <v>4.92</v>
      </c>
      <c r="V459">
        <v>8.43</v>
      </c>
      <c r="W459" t="str">
        <f t="shared" si="119"/>
        <v>rob</v>
      </c>
    </row>
    <row r="460" spans="1:23">
      <c r="A460" t="str">
        <f t="shared" si="127"/>
        <v>ASM&amp;QC-IROB-02</v>
      </c>
      <c r="B460" t="str">
        <f>"21-0004-0000"</f>
        <v>21-0004-0000</v>
      </c>
      <c r="C460" t="str">
        <f>"Assembly, Dual Axis Air Vise Mechanicals"</f>
        <v>Assembly, Dual Axis Air Vise Mechanicals</v>
      </c>
      <c r="D460">
        <v>1</v>
      </c>
      <c r="E460" t="str">
        <f t="shared" si="128"/>
        <v>Assembly&amp;Quality Control Light Industrial Robot (Ballgame &amp; Gluing &amp; Vision)</v>
      </c>
      <c r="F460">
        <v>504</v>
      </c>
      <c r="G460" t="str">
        <f t="shared" si="124"/>
        <v>Y</v>
      </c>
      <c r="H460" t="str">
        <f t="shared" si="129"/>
        <v>EA</v>
      </c>
      <c r="I460">
        <v>0</v>
      </c>
      <c r="J460">
        <v>0</v>
      </c>
      <c r="K460" t="str">
        <f t="shared" si="125"/>
        <v>Y</v>
      </c>
      <c r="L460">
        <v>0</v>
      </c>
      <c r="M460" t="str">
        <f t="shared" si="126"/>
        <v>NIS</v>
      </c>
      <c r="O460">
        <v>6</v>
      </c>
      <c r="P460" t="str">
        <f>"Phase Out"</f>
        <v>Phase Out</v>
      </c>
      <c r="Q460" t="str">
        <f>"Assembly, Dual Axis Air Vise Mechanicals"</f>
        <v>Assembly, Dual Axis Air Vise Mechanicals</v>
      </c>
      <c r="S460" t="str">
        <f>"Assembly, Dual Axis Air Vise Mechanicals"</f>
        <v>Assembly, Dual Axis Air Vise Mechanicals</v>
      </c>
      <c r="T460">
        <v>422.16</v>
      </c>
      <c r="U460">
        <v>422</v>
      </c>
      <c r="V460">
        <v>980.27</v>
      </c>
      <c r="W460" t="str">
        <f t="shared" si="119"/>
        <v>rob</v>
      </c>
    </row>
    <row r="461" spans="1:23">
      <c r="A461" t="str">
        <f t="shared" si="127"/>
        <v>ASM&amp;QC-IROB-02</v>
      </c>
      <c r="B461" t="str">
        <f>"10-2523-4000"</f>
        <v>10-2523-4000</v>
      </c>
      <c r="C461" t="str">
        <f>"Solenoid Valve (24V) for Pipe 3 mm"</f>
        <v>Solenoid Valve (24V) for Pipe 3 mm</v>
      </c>
      <c r="D461">
        <v>1</v>
      </c>
      <c r="E461" t="str">
        <f t="shared" si="128"/>
        <v>Assembly&amp;Quality Control Light Industrial Robot (Ballgame &amp; Gluing &amp; Vision)</v>
      </c>
      <c r="F461">
        <v>504</v>
      </c>
      <c r="G461" t="str">
        <f t="shared" si="124"/>
        <v>Y</v>
      </c>
      <c r="H461" t="str">
        <f t="shared" si="129"/>
        <v>EA</v>
      </c>
      <c r="I461">
        <v>0</v>
      </c>
      <c r="J461">
        <v>0</v>
      </c>
      <c r="K461" t="str">
        <f t="shared" si="125"/>
        <v>Y</v>
      </c>
      <c r="L461">
        <v>0</v>
      </c>
      <c r="M461" t="str">
        <f t="shared" si="126"/>
        <v>NIS</v>
      </c>
      <c r="O461">
        <v>7</v>
      </c>
      <c r="P461" t="str">
        <f t="shared" ref="P461:P478" si="130">"Active"</f>
        <v>Active</v>
      </c>
      <c r="Q461" t="str">
        <f>"Solenoid Valve (24V) for Pipe 3 mm"</f>
        <v>Solenoid Valve (24V) for Pipe 3 mm</v>
      </c>
      <c r="S461" t="str">
        <f>"Solenoid Valve (24V) for Pipe 3 mm"</f>
        <v>Solenoid Valve (24V) for Pipe 3 mm</v>
      </c>
      <c r="T461">
        <v>0</v>
      </c>
      <c r="U461">
        <v>137</v>
      </c>
      <c r="V461">
        <v>133.35</v>
      </c>
      <c r="W461" t="str">
        <f t="shared" si="119"/>
        <v>rob</v>
      </c>
    </row>
    <row r="462" spans="1:23">
      <c r="A462" t="str">
        <f t="shared" si="127"/>
        <v>ASM&amp;QC-IROB-02</v>
      </c>
      <c r="B462" t="str">
        <f>"00-1230-0000"</f>
        <v>00-1230-0000</v>
      </c>
      <c r="C462" t="str">
        <f>"Ball Feeder (incl. sensor for ball counting)"</f>
        <v>Ball Feeder (incl. sensor for ball counting)</v>
      </c>
      <c r="D462">
        <v>1</v>
      </c>
      <c r="E462" t="str">
        <f t="shared" si="128"/>
        <v>Assembly&amp;Quality Control Light Industrial Robot (Ballgame &amp; Gluing &amp; Vision)</v>
      </c>
      <c r="F462">
        <v>504</v>
      </c>
      <c r="G462" t="str">
        <f t="shared" si="124"/>
        <v>Y</v>
      </c>
      <c r="H462" t="str">
        <f t="shared" si="129"/>
        <v>EA</v>
      </c>
      <c r="I462">
        <v>0</v>
      </c>
      <c r="J462">
        <v>0</v>
      </c>
      <c r="K462" t="str">
        <f t="shared" si="125"/>
        <v>Y</v>
      </c>
      <c r="L462">
        <v>0</v>
      </c>
      <c r="M462" t="str">
        <f t="shared" si="126"/>
        <v>NIS</v>
      </c>
      <c r="O462">
        <v>8</v>
      </c>
      <c r="P462" t="str">
        <f t="shared" si="130"/>
        <v>Active</v>
      </c>
      <c r="Q462" t="str">
        <f>"Ball Feeder (incl. sensor for ball counting)"</f>
        <v>Ball Feeder (incl. sensor for ball counting)</v>
      </c>
      <c r="S462" t="str">
        <f>"Ball Feeder (incl. sensor for ball counting)"</f>
        <v>Ball Feeder (incl. sensor for ball counting)</v>
      </c>
      <c r="T462">
        <v>0</v>
      </c>
      <c r="U462">
        <v>536</v>
      </c>
      <c r="V462">
        <v>530.72</v>
      </c>
      <c r="W462" t="str">
        <f t="shared" si="119"/>
        <v>rob</v>
      </c>
    </row>
    <row r="463" spans="1:23">
      <c r="A463" t="str">
        <f t="shared" si="127"/>
        <v>ASM&amp;QC-IROB-02</v>
      </c>
      <c r="B463" t="str">
        <f>"00-1243-0000"</f>
        <v>00-1243-0000</v>
      </c>
      <c r="C463" t="str">
        <f>"Ball Game Set (Assembly with Plastic Pins)"</f>
        <v>Ball Game Set (Assembly with Plastic Pins)</v>
      </c>
      <c r="D463">
        <v>12</v>
      </c>
      <c r="E463" t="str">
        <f t="shared" si="128"/>
        <v>Assembly&amp;Quality Control Light Industrial Robot (Ballgame &amp; Gluing &amp; Vision)</v>
      </c>
      <c r="F463">
        <v>504</v>
      </c>
      <c r="G463" t="str">
        <f t="shared" si="124"/>
        <v>Y</v>
      </c>
      <c r="H463" t="str">
        <f t="shared" si="129"/>
        <v>EA</v>
      </c>
      <c r="I463">
        <v>0</v>
      </c>
      <c r="J463">
        <v>0</v>
      </c>
      <c r="K463" t="str">
        <f t="shared" si="125"/>
        <v>Y</v>
      </c>
      <c r="L463">
        <v>0</v>
      </c>
      <c r="M463" t="str">
        <f t="shared" si="126"/>
        <v>NIS</v>
      </c>
      <c r="O463">
        <v>9</v>
      </c>
      <c r="P463" t="str">
        <f t="shared" si="130"/>
        <v>Active</v>
      </c>
      <c r="Q463" t="str">
        <f>"Ball Game Set (Assembly with Plastic Pins)"</f>
        <v>Ball Game Set (Assembly with Plastic Pins)</v>
      </c>
      <c r="S463" t="str">
        <f>"Ball Game Set (Assembly with Plastic Pins)"</f>
        <v>Ball Game Set (Assembly with Plastic Pins)</v>
      </c>
      <c r="T463">
        <v>0</v>
      </c>
      <c r="U463">
        <v>32</v>
      </c>
      <c r="V463">
        <v>34.770000000000003</v>
      </c>
      <c r="W463" t="str">
        <f t="shared" si="119"/>
        <v>rob</v>
      </c>
    </row>
    <row r="464" spans="1:23">
      <c r="A464" t="str">
        <f t="shared" si="127"/>
        <v>ASM&amp;QC-IROB-02</v>
      </c>
      <c r="B464" t="str">
        <f>"00-1236-0000"</f>
        <v>00-1236-0000</v>
      </c>
      <c r="C464" t="str">
        <f>"Automatic Glue Dispenser"</f>
        <v>Automatic Glue Dispenser</v>
      </c>
      <c r="D464">
        <v>1</v>
      </c>
      <c r="E464" t="str">
        <f t="shared" si="128"/>
        <v>Assembly&amp;Quality Control Light Industrial Robot (Ballgame &amp; Gluing &amp; Vision)</v>
      </c>
      <c r="F464">
        <v>504</v>
      </c>
      <c r="G464" t="str">
        <f t="shared" si="124"/>
        <v>Y</v>
      </c>
      <c r="H464" t="str">
        <f t="shared" si="129"/>
        <v>EA</v>
      </c>
      <c r="I464">
        <v>0</v>
      </c>
      <c r="J464">
        <v>0</v>
      </c>
      <c r="K464" t="str">
        <f t="shared" si="125"/>
        <v>Y</v>
      </c>
      <c r="L464">
        <v>0</v>
      </c>
      <c r="M464" t="str">
        <f t="shared" si="126"/>
        <v>NIS</v>
      </c>
      <c r="O464">
        <v>10</v>
      </c>
      <c r="P464" t="str">
        <f t="shared" si="130"/>
        <v>Active</v>
      </c>
      <c r="Q464" t="str">
        <f>"Automatic Glue Dispenser"</f>
        <v>Automatic Glue Dispenser</v>
      </c>
      <c r="S464" t="str">
        <f>"Automatic Glue Dispenser"</f>
        <v>Automatic Glue Dispenser</v>
      </c>
      <c r="T464">
        <v>0</v>
      </c>
      <c r="U464" s="44">
        <v>1100</v>
      </c>
      <c r="V464" s="44">
        <v>1097.3699999999999</v>
      </c>
      <c r="W464" t="str">
        <f t="shared" si="119"/>
        <v>rob</v>
      </c>
    </row>
    <row r="465" spans="1:23">
      <c r="A465" t="str">
        <f t="shared" si="127"/>
        <v>ASM&amp;QC-IROB-02</v>
      </c>
      <c r="B465" t="str">
        <f>"10-2523-6000"</f>
        <v>10-2523-6000</v>
      </c>
      <c r="C465" t="str">
        <f>"Pneumatic Shifter (155mm stroke w. solenoid 24V)"</f>
        <v>Pneumatic Shifter (155mm stroke w. solenoid 24V)</v>
      </c>
      <c r="D465">
        <v>1</v>
      </c>
      <c r="E465" t="str">
        <f t="shared" si="128"/>
        <v>Assembly&amp;Quality Control Light Industrial Robot (Ballgame &amp; Gluing &amp; Vision)</v>
      </c>
      <c r="F465">
        <v>504</v>
      </c>
      <c r="G465" t="str">
        <f t="shared" si="124"/>
        <v>Y</v>
      </c>
      <c r="H465" t="str">
        <f t="shared" si="129"/>
        <v>EA</v>
      </c>
      <c r="I465">
        <v>0</v>
      </c>
      <c r="J465">
        <v>0</v>
      </c>
      <c r="K465" t="str">
        <f t="shared" si="125"/>
        <v>Y</v>
      </c>
      <c r="L465">
        <v>0</v>
      </c>
      <c r="M465" t="str">
        <f t="shared" si="126"/>
        <v>NIS</v>
      </c>
      <c r="O465">
        <v>11</v>
      </c>
      <c r="P465" t="str">
        <f t="shared" si="130"/>
        <v>Active</v>
      </c>
      <c r="Q465" t="str">
        <f>"Pneumatic Shifter (155mm stroke w. solenoid 24V)"</f>
        <v>Pneumatic Shifter (155mm stroke w. solenoid 24V)</v>
      </c>
      <c r="S465" t="str">
        <f>"Pneumatic Shifter (155mm stroke w. solenoid 24V)"</f>
        <v>Pneumatic Shifter (155mm stroke w. solenoid 24V)</v>
      </c>
      <c r="T465">
        <v>0</v>
      </c>
      <c r="U465">
        <v>630</v>
      </c>
      <c r="V465">
        <v>687.48</v>
      </c>
      <c r="W465" t="str">
        <f t="shared" si="119"/>
        <v>rob</v>
      </c>
    </row>
    <row r="466" spans="1:23">
      <c r="A466" t="str">
        <f t="shared" si="127"/>
        <v>ASM&amp;QC-IROB-02</v>
      </c>
      <c r="B466" t="str">
        <f>"00-1422-0000"</f>
        <v>00-1422-0000</v>
      </c>
      <c r="C466" t="str">
        <f>"Viewflex for QC (Stand 400mm)"</f>
        <v>Viewflex for QC (Stand 400mm)</v>
      </c>
      <c r="D466">
        <v>1</v>
      </c>
      <c r="E466" t="str">
        <f t="shared" si="128"/>
        <v>Assembly&amp;Quality Control Light Industrial Robot (Ballgame &amp; Gluing &amp; Vision)</v>
      </c>
      <c r="F466">
        <v>504</v>
      </c>
      <c r="G466" t="str">
        <f t="shared" si="124"/>
        <v>Y</v>
      </c>
      <c r="H466" t="str">
        <f t="shared" si="129"/>
        <v>EA</v>
      </c>
      <c r="I466">
        <v>0</v>
      </c>
      <c r="J466">
        <v>0</v>
      </c>
      <c r="K466" t="str">
        <f t="shared" si="125"/>
        <v>Y</v>
      </c>
      <c r="L466">
        <v>0</v>
      </c>
      <c r="M466" t="str">
        <f t="shared" si="126"/>
        <v>NIS</v>
      </c>
      <c r="O466">
        <v>12</v>
      </c>
      <c r="P466" t="str">
        <f t="shared" si="130"/>
        <v>Active</v>
      </c>
      <c r="Q466" t="str">
        <f>"Viewflex for QC (Stand 400mm)"</f>
        <v>Viewflex for QC (Stand 400mm)</v>
      </c>
      <c r="S466" t="str">
        <f>"Viewflex for QC (Stand 400mm)"</f>
        <v>Viewflex for QC (Stand 400mm)</v>
      </c>
      <c r="T466">
        <v>0</v>
      </c>
      <c r="U466">
        <v>560</v>
      </c>
      <c r="V466">
        <v>511.35</v>
      </c>
      <c r="W466" t="str">
        <f t="shared" si="119"/>
        <v>rob</v>
      </c>
    </row>
    <row r="467" spans="1:23">
      <c r="A467" t="str">
        <f t="shared" si="127"/>
        <v>ASM&amp;QC-IROB-02</v>
      </c>
      <c r="B467" t="str">
        <f>"113096"</f>
        <v>113096</v>
      </c>
      <c r="C467" t="str">
        <f>"Plexiglass Cylinders Base"</f>
        <v>Plexiglass Cylinders Base</v>
      </c>
      <c r="D467">
        <v>3</v>
      </c>
      <c r="E467" t="str">
        <f t="shared" si="128"/>
        <v>Assembly&amp;Quality Control Light Industrial Robot (Ballgame &amp; Gluing &amp; Vision)</v>
      </c>
      <c r="F467">
        <v>504</v>
      </c>
      <c r="G467" t="str">
        <f t="shared" si="124"/>
        <v>Y</v>
      </c>
      <c r="H467" t="str">
        <f t="shared" si="129"/>
        <v>EA</v>
      </c>
      <c r="I467">
        <v>0</v>
      </c>
      <c r="J467">
        <v>0</v>
      </c>
      <c r="K467" t="str">
        <f t="shared" si="125"/>
        <v>Y</v>
      </c>
      <c r="L467">
        <v>0</v>
      </c>
      <c r="M467" t="str">
        <f t="shared" si="126"/>
        <v>NIS</v>
      </c>
      <c r="O467">
        <v>13</v>
      </c>
      <c r="P467" t="str">
        <f t="shared" si="130"/>
        <v>Active</v>
      </c>
      <c r="Q467" t="str">
        <f>"Plexiglass Cylinders Base MicroCIM"</f>
        <v>Plexiglass Cylinders Base MicroCIM</v>
      </c>
      <c r="S467" t="str">
        <f>"Plexiglass Cylinders Base"</f>
        <v>Plexiglass Cylinders Base</v>
      </c>
      <c r="T467">
        <v>0</v>
      </c>
      <c r="U467">
        <v>7</v>
      </c>
      <c r="V467">
        <v>6.83</v>
      </c>
      <c r="W467" t="str">
        <f t="shared" si="119"/>
        <v>rob</v>
      </c>
    </row>
    <row r="468" spans="1:23">
      <c r="A468" t="str">
        <f t="shared" si="127"/>
        <v>ASM&amp;QC-IROB-02</v>
      </c>
      <c r="B468" t="str">
        <f>"112713"</f>
        <v>112713</v>
      </c>
      <c r="C468" t="str">
        <f>"Marked Aluminum Cylinder"</f>
        <v>Marked Aluminum Cylinder</v>
      </c>
      <c r="D468">
        <v>3</v>
      </c>
      <c r="E468" t="str">
        <f t="shared" si="128"/>
        <v>Assembly&amp;Quality Control Light Industrial Robot (Ballgame &amp; Gluing &amp; Vision)</v>
      </c>
      <c r="F468">
        <v>504</v>
      </c>
      <c r="G468" t="str">
        <f t="shared" si="124"/>
        <v>Y</v>
      </c>
      <c r="H468" t="str">
        <f t="shared" si="129"/>
        <v>EA</v>
      </c>
      <c r="I468">
        <v>0</v>
      </c>
      <c r="J468">
        <v>0</v>
      </c>
      <c r="K468" t="str">
        <f t="shared" si="125"/>
        <v>Y</v>
      </c>
      <c r="L468">
        <v>0</v>
      </c>
      <c r="M468" t="str">
        <f t="shared" si="126"/>
        <v>NIS</v>
      </c>
      <c r="O468">
        <v>14</v>
      </c>
      <c r="P468" t="str">
        <f t="shared" si="130"/>
        <v>Active</v>
      </c>
      <c r="Q468" t="str">
        <f>"Mark Al. Cylinder Diam. 35x28 MicroCIM"</f>
        <v>Mark Al. Cylinder Diam. 35x28 MicroCIM</v>
      </c>
      <c r="S468" t="str">
        <f>"Mark Al. Cylinder Diam. 35x28"</f>
        <v>Mark Al. Cylinder Diam. 35x28</v>
      </c>
      <c r="T468">
        <v>0</v>
      </c>
      <c r="U468">
        <v>6</v>
      </c>
      <c r="V468">
        <v>5.97</v>
      </c>
      <c r="W468" t="str">
        <f t="shared" si="119"/>
        <v>rob</v>
      </c>
    </row>
    <row r="469" spans="1:23">
      <c r="A469" t="str">
        <f t="shared" si="127"/>
        <v>ASM&amp;QC-IROB-02</v>
      </c>
      <c r="B469" t="str">
        <f>"113316"</f>
        <v>113316</v>
      </c>
      <c r="C469" t="str">
        <f>"Parts Bin"</f>
        <v>Parts Bin</v>
      </c>
      <c r="D469">
        <v>1</v>
      </c>
      <c r="E469" t="str">
        <f t="shared" si="128"/>
        <v>Assembly&amp;Quality Control Light Industrial Robot (Ballgame &amp; Gluing &amp; Vision)</v>
      </c>
      <c r="F469">
        <v>504</v>
      </c>
      <c r="G469" t="str">
        <f t="shared" si="124"/>
        <v>Y</v>
      </c>
      <c r="H469" t="str">
        <f t="shared" si="129"/>
        <v>EA</v>
      </c>
      <c r="I469">
        <v>0</v>
      </c>
      <c r="J469">
        <v>0</v>
      </c>
      <c r="K469" t="str">
        <f t="shared" si="125"/>
        <v>Y</v>
      </c>
      <c r="L469">
        <v>0</v>
      </c>
      <c r="M469" t="str">
        <f t="shared" si="126"/>
        <v>NIS</v>
      </c>
      <c r="O469">
        <v>15</v>
      </c>
      <c r="P469" t="str">
        <f t="shared" si="130"/>
        <v>Active</v>
      </c>
      <c r="Q469" t="str">
        <f>"Parts Bin; Plastic Box"</f>
        <v>Parts Bin; Plastic Box</v>
      </c>
      <c r="R469" t="str">
        <f>"1"</f>
        <v>1</v>
      </c>
      <c r="S469" t="str">
        <f>"Parts Bin; Plastic Box"</f>
        <v>Parts Bin; Plastic Box</v>
      </c>
      <c r="T469">
        <v>0</v>
      </c>
      <c r="U469">
        <v>8.0399999999999991</v>
      </c>
      <c r="V469">
        <v>6.39</v>
      </c>
      <c r="W469" t="str">
        <f t="shared" si="119"/>
        <v>rob</v>
      </c>
    </row>
    <row r="470" spans="1:23">
      <c r="A470" t="str">
        <f t="shared" si="127"/>
        <v>ASM&amp;QC-IROB-02</v>
      </c>
      <c r="B470" t="str">
        <f>"00-1284-0000"</f>
        <v>00-1284-0000</v>
      </c>
      <c r="C470" t="str">
        <f>"Robot Pedestal Welded for ER9/14Pro&amp;MH5"</f>
        <v>Robot Pedestal Welded for ER9/14Pro&amp;MH5</v>
      </c>
      <c r="D470">
        <v>1</v>
      </c>
      <c r="E470" t="str">
        <f t="shared" si="128"/>
        <v>Assembly&amp;Quality Control Light Industrial Robot (Ballgame &amp; Gluing &amp; Vision)</v>
      </c>
      <c r="F470">
        <v>504</v>
      </c>
      <c r="G470" t="str">
        <f t="shared" si="124"/>
        <v>Y</v>
      </c>
      <c r="H470" t="str">
        <f t="shared" si="129"/>
        <v>EA</v>
      </c>
      <c r="I470">
        <v>0</v>
      </c>
      <c r="J470">
        <v>0</v>
      </c>
      <c r="K470" t="str">
        <f t="shared" si="125"/>
        <v>Y</v>
      </c>
      <c r="L470">
        <v>0</v>
      </c>
      <c r="M470" t="str">
        <f t="shared" si="126"/>
        <v>NIS</v>
      </c>
      <c r="O470">
        <v>16</v>
      </c>
      <c r="P470" t="str">
        <f t="shared" si="130"/>
        <v>Active</v>
      </c>
      <c r="Q470" t="str">
        <f>"Robot Pedestal Welded for ER9/14Pro&amp;MH5"</f>
        <v>Robot Pedestal Welded for ER9/14Pro&amp;MH5</v>
      </c>
      <c r="S470" t="str">
        <f>"Robot Pedestal Welded for ER9/14Pro&amp;MH5"</f>
        <v>Robot Pedestal Welded for ER9/14Pro&amp;MH5</v>
      </c>
      <c r="T470">
        <v>0</v>
      </c>
      <c r="U470">
        <v>723.91</v>
      </c>
      <c r="V470">
        <v>671.12</v>
      </c>
      <c r="W470" t="str">
        <f t="shared" si="119"/>
        <v>rob</v>
      </c>
    </row>
    <row r="471" spans="1:23">
      <c r="A471" t="str">
        <f t="shared" si="127"/>
        <v>ASM&amp;QC-IROB-02</v>
      </c>
      <c r="B471" t="str">
        <f>"00-1293-0000"</f>
        <v>00-1293-0000</v>
      </c>
      <c r="C471" t="str">
        <f>"Mobile Workbench 1500x1140mm (incl. Wheels)"</f>
        <v>Mobile Workbench 1500x1140mm (incl. Wheels)</v>
      </c>
      <c r="D471">
        <v>1</v>
      </c>
      <c r="E471" t="str">
        <f t="shared" si="128"/>
        <v>Assembly&amp;Quality Control Light Industrial Robot (Ballgame &amp; Gluing &amp; Vision)</v>
      </c>
      <c r="F471">
        <v>504</v>
      </c>
      <c r="G471" t="str">
        <f t="shared" si="124"/>
        <v>Y</v>
      </c>
      <c r="H471" t="str">
        <f t="shared" si="129"/>
        <v>EA</v>
      </c>
      <c r="I471">
        <v>0</v>
      </c>
      <c r="J471">
        <v>0</v>
      </c>
      <c r="K471" t="str">
        <f t="shared" si="125"/>
        <v>Y</v>
      </c>
      <c r="L471">
        <v>0</v>
      </c>
      <c r="M471" t="str">
        <f t="shared" si="126"/>
        <v>NIS</v>
      </c>
      <c r="O471">
        <v>17</v>
      </c>
      <c r="P471" t="str">
        <f t="shared" si="130"/>
        <v>Active</v>
      </c>
      <c r="Q471" t="str">
        <f>"Mobile Workbench 1500x1140mm (incl. Wheels)"</f>
        <v>Mobile Workbench 1500x1140mm (incl. Wheels)</v>
      </c>
      <c r="S471" t="str">
        <f>"Mobile Workbench 1500x1140mm (incl. Wheels)"</f>
        <v>Mobile Workbench 1500x1140mm (incl. Wheels)</v>
      </c>
      <c r="T471">
        <v>0</v>
      </c>
      <c r="U471">
        <v>860</v>
      </c>
      <c r="V471">
        <v>809.36</v>
      </c>
      <c r="W471" t="str">
        <f t="shared" si="119"/>
        <v>rob</v>
      </c>
    </row>
    <row r="472" spans="1:23">
      <c r="A472" t="str">
        <f t="shared" si="127"/>
        <v>ASM&amp;QC-IROB-02</v>
      </c>
      <c r="B472" t="str">
        <f>"00-1290-0000"</f>
        <v>00-1290-0000</v>
      </c>
      <c r="C472" t="str">
        <f>"PC Table 630x800mm (with Keyboard Drawer)"</f>
        <v>PC Table 630x800mm (with Keyboard Drawer)</v>
      </c>
      <c r="D472">
        <v>1</v>
      </c>
      <c r="E472" t="str">
        <f t="shared" si="128"/>
        <v>Assembly&amp;Quality Control Light Industrial Robot (Ballgame &amp; Gluing &amp; Vision)</v>
      </c>
      <c r="F472">
        <v>504</v>
      </c>
      <c r="G472" t="str">
        <f t="shared" si="124"/>
        <v>Y</v>
      </c>
      <c r="H472" t="str">
        <f t="shared" si="129"/>
        <v>EA</v>
      </c>
      <c r="I472">
        <v>0</v>
      </c>
      <c r="J472">
        <v>0</v>
      </c>
      <c r="K472" t="str">
        <f t="shared" si="125"/>
        <v>Y</v>
      </c>
      <c r="L472">
        <v>0</v>
      </c>
      <c r="M472" t="str">
        <f t="shared" si="126"/>
        <v>NIS</v>
      </c>
      <c r="O472">
        <v>18</v>
      </c>
      <c r="P472" t="str">
        <f t="shared" si="130"/>
        <v>Active</v>
      </c>
      <c r="Q472" t="str">
        <f>"PC Table 630x800mm (with Keyboard Drawer)"</f>
        <v>PC Table 630x800mm (with Keyboard Drawer)</v>
      </c>
      <c r="S472" t="str">
        <f>"PC Table 630x800mm (with Keyboard Drawer)"</f>
        <v>PC Table 630x800mm (with Keyboard Drawer)</v>
      </c>
      <c r="T472">
        <v>0</v>
      </c>
      <c r="U472">
        <v>405.86</v>
      </c>
      <c r="V472">
        <v>329.34</v>
      </c>
      <c r="W472" t="str">
        <f t="shared" si="119"/>
        <v>rob</v>
      </c>
    </row>
    <row r="473" spans="1:23">
      <c r="A473" t="str">
        <f t="shared" si="127"/>
        <v>ASM&amp;QC-IROB-02</v>
      </c>
      <c r="B473" t="str">
        <f>"50-0094-0000"</f>
        <v>50-0094-0000</v>
      </c>
      <c r="C473" t="str">
        <f>"Pre-Engineering, Design and Testing"</f>
        <v>Pre-Engineering, Design and Testing</v>
      </c>
      <c r="D473">
        <v>1</v>
      </c>
      <c r="E473" t="str">
        <f t="shared" si="128"/>
        <v>Assembly&amp;Quality Control Light Industrial Robot (Ballgame &amp; Gluing &amp; Vision)</v>
      </c>
      <c r="F473">
        <v>504</v>
      </c>
      <c r="G473" t="str">
        <f t="shared" si="124"/>
        <v>Y</v>
      </c>
      <c r="H473" t="str">
        <f>"DA"</f>
        <v>DA</v>
      </c>
      <c r="I473">
        <v>0</v>
      </c>
      <c r="J473">
        <v>0</v>
      </c>
      <c r="K473" t="str">
        <f t="shared" si="125"/>
        <v>Y</v>
      </c>
      <c r="L473">
        <v>0</v>
      </c>
      <c r="M473" t="str">
        <f t="shared" si="126"/>
        <v>NIS</v>
      </c>
      <c r="O473">
        <v>19</v>
      </c>
      <c r="P473" t="str">
        <f t="shared" si="130"/>
        <v>Active</v>
      </c>
      <c r="Q473" t="str">
        <f>"Pre-Engineering, Design and Testing"</f>
        <v>Pre-Engineering, Design and Testing</v>
      </c>
      <c r="S473" t="str">
        <f>"Pre-Engineering, Design and Testing"</f>
        <v>Pre-Engineering, Design and Testing</v>
      </c>
      <c r="T473">
        <v>0</v>
      </c>
      <c r="U473">
        <v>405</v>
      </c>
      <c r="V473">
        <v>421.2</v>
      </c>
      <c r="W473" t="str">
        <f t="shared" si="119"/>
        <v>rob</v>
      </c>
    </row>
    <row r="474" spans="1:23">
      <c r="A474" t="str">
        <f t="shared" ref="A474:A491" si="131">"ASM&amp;QC-MH5F-01"</f>
        <v>ASM&amp;QC-MH5F-01</v>
      </c>
      <c r="B474" t="str">
        <f>"00-0436-0000"</f>
        <v>00-0436-0000</v>
      </c>
      <c r="C474" t="str">
        <f>"MH5F compact high-speed 6-axis Robot"</f>
        <v>MH5F compact high-speed 6-axis Robot</v>
      </c>
      <c r="D474">
        <v>1</v>
      </c>
      <c r="E474" t="str">
        <f t="shared" ref="E474:E491" si="132">"Assembly&amp;Quality Control MOTOMAN  MH5F (Ballgame &amp; Vision)"</f>
        <v>Assembly&amp;Quality Control MOTOMAN  MH5F (Ballgame &amp; Vision)</v>
      </c>
      <c r="F474">
        <v>504</v>
      </c>
      <c r="G474" t="str">
        <f t="shared" si="124"/>
        <v>Y</v>
      </c>
      <c r="H474" t="str">
        <f t="shared" ref="H474:H490" si="133">"EA"</f>
        <v>EA</v>
      </c>
      <c r="I474">
        <v>0</v>
      </c>
      <c r="J474">
        <v>0</v>
      </c>
      <c r="K474" t="str">
        <f t="shared" si="125"/>
        <v>Y</v>
      </c>
      <c r="L474">
        <v>0</v>
      </c>
      <c r="M474" t="str">
        <f t="shared" si="126"/>
        <v>NIS</v>
      </c>
      <c r="O474">
        <v>1</v>
      </c>
      <c r="P474" t="str">
        <f t="shared" si="130"/>
        <v>Active</v>
      </c>
      <c r="Q474" t="str">
        <f>"MH5F compact high-speed 6-axis Robot"</f>
        <v>MH5F compact high-speed 6-axis Robot</v>
      </c>
      <c r="S474" t="str">
        <f>"MH5F compact high-speed 6-axis Robot"</f>
        <v>MH5F compact high-speed 6-axis Robot</v>
      </c>
      <c r="T474">
        <v>0</v>
      </c>
      <c r="U474" s="44">
        <v>23500</v>
      </c>
      <c r="V474" s="44">
        <v>16049.14</v>
      </c>
      <c r="W474" t="str">
        <f t="shared" si="119"/>
        <v>rob</v>
      </c>
    </row>
    <row r="475" spans="1:23">
      <c r="A475" t="str">
        <f t="shared" si="131"/>
        <v>ASM&amp;QC-MH5F-01</v>
      </c>
      <c r="B475" t="str">
        <f>"00-0646-0000"</f>
        <v>00-0646-0000</v>
      </c>
      <c r="C475" t="str">
        <f>"Pneumatic Gripper with I/O Box for Motoman MH5F"</f>
        <v>Pneumatic Gripper with I/O Box for Motoman MH5F</v>
      </c>
      <c r="D475">
        <v>1</v>
      </c>
      <c r="E475" t="str">
        <f t="shared" si="132"/>
        <v>Assembly&amp;Quality Control MOTOMAN  MH5F (Ballgame &amp; Vision)</v>
      </c>
      <c r="F475">
        <v>504</v>
      </c>
      <c r="G475" t="str">
        <f t="shared" si="124"/>
        <v>Y</v>
      </c>
      <c r="H475" t="str">
        <f t="shared" si="133"/>
        <v>EA</v>
      </c>
      <c r="I475">
        <v>0</v>
      </c>
      <c r="J475">
        <v>0</v>
      </c>
      <c r="K475" t="str">
        <f t="shared" si="125"/>
        <v>Y</v>
      </c>
      <c r="L475">
        <v>0</v>
      </c>
      <c r="M475" t="str">
        <f t="shared" si="126"/>
        <v>NIS</v>
      </c>
      <c r="O475">
        <v>2</v>
      </c>
      <c r="P475" t="str">
        <f t="shared" si="130"/>
        <v>Active</v>
      </c>
      <c r="Q475" t="str">
        <f>"Pneumatic Gripper with I/O Box for Motoman MH5F"</f>
        <v>Pneumatic Gripper with I/O Box for Motoman MH5F</v>
      </c>
      <c r="S475" t="str">
        <f>"Pneumatic Gripper with I/O Box for Motoman MH5F"</f>
        <v>Pneumatic Gripper with I/O Box for Motoman MH5F</v>
      </c>
      <c r="T475">
        <v>0</v>
      </c>
      <c r="U475" s="44">
        <v>1500</v>
      </c>
      <c r="V475" s="44">
        <v>1238.52</v>
      </c>
      <c r="W475" t="str">
        <f t="shared" si="119"/>
        <v>rob</v>
      </c>
    </row>
    <row r="476" spans="1:23">
      <c r="A476" t="str">
        <f t="shared" si="131"/>
        <v>ASM&amp;QC-MH5F-01</v>
      </c>
      <c r="B476" t="str">
        <f>"021031"</f>
        <v>021031</v>
      </c>
      <c r="C476" t="str">
        <f>"Buffer for Template"</f>
        <v>Buffer for Template</v>
      </c>
      <c r="D476">
        <v>4</v>
      </c>
      <c r="E476" t="str">
        <f t="shared" si="132"/>
        <v>Assembly&amp;Quality Control MOTOMAN  MH5F (Ballgame &amp; Vision)</v>
      </c>
      <c r="F476">
        <v>504</v>
      </c>
      <c r="G476" t="str">
        <f t="shared" si="124"/>
        <v>Y</v>
      </c>
      <c r="H476" t="str">
        <f t="shared" si="133"/>
        <v>EA</v>
      </c>
      <c r="I476">
        <v>0</v>
      </c>
      <c r="J476">
        <v>0</v>
      </c>
      <c r="K476" t="str">
        <f t="shared" si="125"/>
        <v>Y</v>
      </c>
      <c r="L476">
        <v>0</v>
      </c>
      <c r="M476" t="str">
        <f t="shared" si="126"/>
        <v>NIS</v>
      </c>
      <c r="O476">
        <v>3</v>
      </c>
      <c r="P476" t="str">
        <f t="shared" si="130"/>
        <v>Active</v>
      </c>
      <c r="Q476" t="str">
        <f>"מכלול- בסיס לטמפלט CIM"</f>
        <v>מכלול- בסיס לטמפלט CIM</v>
      </c>
      <c r="R476" t="str">
        <f>"1"</f>
        <v>1</v>
      </c>
      <c r="S476" t="str">
        <f>"מכלול- בסיס לטמפלט CIM"</f>
        <v>מכלול- בסיס לטמפלט CIM</v>
      </c>
      <c r="T476">
        <v>0</v>
      </c>
      <c r="U476">
        <v>18.329999999999998</v>
      </c>
      <c r="V476">
        <v>13.48</v>
      </c>
      <c r="W476" t="str">
        <f t="shared" si="119"/>
        <v>rob</v>
      </c>
    </row>
    <row r="477" spans="1:23">
      <c r="A477" t="str">
        <f t="shared" si="131"/>
        <v>ASM&amp;QC-MH5F-01</v>
      </c>
      <c r="B477" t="str">
        <f>"00-1110-0000"</f>
        <v>00-1110-0000</v>
      </c>
      <c r="C477" t="str">
        <f>"Palletizing Rack"</f>
        <v>Palletizing Rack</v>
      </c>
      <c r="D477">
        <v>2</v>
      </c>
      <c r="E477" t="str">
        <f t="shared" si="132"/>
        <v>Assembly&amp;Quality Control MOTOMAN  MH5F (Ballgame &amp; Vision)</v>
      </c>
      <c r="F477">
        <v>504</v>
      </c>
      <c r="G477" t="str">
        <f t="shared" si="124"/>
        <v>Y</v>
      </c>
      <c r="H477" t="str">
        <f t="shared" si="133"/>
        <v>EA</v>
      </c>
      <c r="I477">
        <v>0</v>
      </c>
      <c r="J477">
        <v>0</v>
      </c>
      <c r="K477" t="str">
        <f t="shared" si="125"/>
        <v>Y</v>
      </c>
      <c r="L477">
        <v>0</v>
      </c>
      <c r="M477" t="str">
        <f t="shared" si="126"/>
        <v>NIS</v>
      </c>
      <c r="O477">
        <v>4</v>
      </c>
      <c r="P477" t="str">
        <f t="shared" si="130"/>
        <v>Active</v>
      </c>
      <c r="Q477" t="str">
        <f>"Palletizing Rack (incl. Pins for creating Jigs)"</f>
        <v>Palletizing Rack (incl. Pins for creating Jigs)</v>
      </c>
      <c r="S477" t="str">
        <f>"Palletizing Rack (incl. Pins for creating Jigs)"</f>
        <v>Palletizing Rack (incl. Pins for creating Jigs)</v>
      </c>
      <c r="T477">
        <v>0</v>
      </c>
      <c r="U477">
        <v>63</v>
      </c>
      <c r="V477">
        <v>58.59</v>
      </c>
      <c r="W477" t="str">
        <f t="shared" si="119"/>
        <v>rob</v>
      </c>
    </row>
    <row r="478" spans="1:23">
      <c r="A478" t="str">
        <f t="shared" si="131"/>
        <v>ASM&amp;QC-MH5F-01</v>
      </c>
      <c r="B478" t="str">
        <f>"021177"</f>
        <v>021177</v>
      </c>
      <c r="C478" t="str">
        <f>"30mm Height Adapter -Rack 001110 on formica 19mm"</f>
        <v>30mm Height Adapter -Rack 001110 on formica 19mm</v>
      </c>
      <c r="D478">
        <v>2</v>
      </c>
      <c r="E478" t="str">
        <f t="shared" si="132"/>
        <v>Assembly&amp;Quality Control MOTOMAN  MH5F (Ballgame &amp; Vision)</v>
      </c>
      <c r="F478">
        <v>504</v>
      </c>
      <c r="G478" t="str">
        <f t="shared" si="124"/>
        <v>Y</v>
      </c>
      <c r="H478" t="str">
        <f t="shared" si="133"/>
        <v>EA</v>
      </c>
      <c r="I478">
        <v>0</v>
      </c>
      <c r="J478">
        <v>0</v>
      </c>
      <c r="K478" t="str">
        <f t="shared" si="125"/>
        <v>Y</v>
      </c>
      <c r="L478">
        <v>0</v>
      </c>
      <c r="M478" t="str">
        <f t="shared" si="126"/>
        <v>NIS</v>
      </c>
      <c r="O478">
        <v>5</v>
      </c>
      <c r="P478" t="str">
        <f t="shared" si="130"/>
        <v>Active</v>
      </c>
      <c r="Q478" t="str">
        <f>"30mm Height Adapter -Rack 001110 on formica 19mm"</f>
        <v>30mm Height Adapter -Rack 001110 on formica 19mm</v>
      </c>
      <c r="S478" t="str">
        <f>"30mm Height Adapter -Rack 001110 on formica 19mm"</f>
        <v>30mm Height Adapter -Rack 001110 on formica 19mm</v>
      </c>
      <c r="T478">
        <v>0</v>
      </c>
      <c r="U478">
        <v>4.92</v>
      </c>
      <c r="V478">
        <v>8.43</v>
      </c>
      <c r="W478" t="str">
        <f t="shared" si="119"/>
        <v>rob</v>
      </c>
    </row>
    <row r="479" spans="1:23">
      <c r="A479" t="str">
        <f t="shared" si="131"/>
        <v>ASM&amp;QC-MH5F-01</v>
      </c>
      <c r="B479" t="str">
        <f>"21-0004-0000"</f>
        <v>21-0004-0000</v>
      </c>
      <c r="C479" t="str">
        <f>"Assembly, Dual Axis Air Vise Mechanicals"</f>
        <v>Assembly, Dual Axis Air Vise Mechanicals</v>
      </c>
      <c r="D479">
        <v>1</v>
      </c>
      <c r="E479" t="str">
        <f t="shared" si="132"/>
        <v>Assembly&amp;Quality Control MOTOMAN  MH5F (Ballgame &amp; Vision)</v>
      </c>
      <c r="F479">
        <v>504</v>
      </c>
      <c r="G479" t="str">
        <f t="shared" si="124"/>
        <v>Y</v>
      </c>
      <c r="H479" t="str">
        <f t="shared" si="133"/>
        <v>EA</v>
      </c>
      <c r="I479">
        <v>0</v>
      </c>
      <c r="J479">
        <v>0</v>
      </c>
      <c r="K479" t="str">
        <f t="shared" si="125"/>
        <v>Y</v>
      </c>
      <c r="L479">
        <v>0</v>
      </c>
      <c r="M479" t="str">
        <f t="shared" si="126"/>
        <v>NIS</v>
      </c>
      <c r="O479">
        <v>6</v>
      </c>
      <c r="P479" t="str">
        <f>"Phase Out"</f>
        <v>Phase Out</v>
      </c>
      <c r="Q479" t="str">
        <f>"Assembly, Dual Axis Air Vise Mechanicals"</f>
        <v>Assembly, Dual Axis Air Vise Mechanicals</v>
      </c>
      <c r="S479" t="str">
        <f>"Assembly, Dual Axis Air Vise Mechanicals"</f>
        <v>Assembly, Dual Axis Air Vise Mechanicals</v>
      </c>
      <c r="T479">
        <v>422.16</v>
      </c>
      <c r="U479">
        <v>422</v>
      </c>
      <c r="V479">
        <v>980.27</v>
      </c>
      <c r="W479" t="str">
        <f t="shared" si="119"/>
        <v>rob</v>
      </c>
    </row>
    <row r="480" spans="1:23">
      <c r="A480" t="str">
        <f t="shared" si="131"/>
        <v>ASM&amp;QC-MH5F-01</v>
      </c>
      <c r="B480" t="str">
        <f>"10-2523-4000"</f>
        <v>10-2523-4000</v>
      </c>
      <c r="C480" t="str">
        <f>"Solenoid Valve (24V) for Pipe 3 mm"</f>
        <v>Solenoid Valve (24V) for Pipe 3 mm</v>
      </c>
      <c r="D480">
        <v>1</v>
      </c>
      <c r="E480" t="str">
        <f t="shared" si="132"/>
        <v>Assembly&amp;Quality Control MOTOMAN  MH5F (Ballgame &amp; Vision)</v>
      </c>
      <c r="F480">
        <v>504</v>
      </c>
      <c r="G480" t="str">
        <f t="shared" si="124"/>
        <v>Y</v>
      </c>
      <c r="H480" t="str">
        <f t="shared" si="133"/>
        <v>EA</v>
      </c>
      <c r="I480">
        <v>0</v>
      </c>
      <c r="J480">
        <v>0</v>
      </c>
      <c r="K480" t="str">
        <f t="shared" si="125"/>
        <v>Y</v>
      </c>
      <c r="L480">
        <v>0</v>
      </c>
      <c r="M480" t="str">
        <f t="shared" si="126"/>
        <v>NIS</v>
      </c>
      <c r="O480">
        <v>7</v>
      </c>
      <c r="P480" t="str">
        <f t="shared" ref="P480:P496" si="134">"Active"</f>
        <v>Active</v>
      </c>
      <c r="Q480" t="str">
        <f>"Solenoid Valve (24V) for Pipe 3 mm"</f>
        <v>Solenoid Valve (24V) for Pipe 3 mm</v>
      </c>
      <c r="S480" t="str">
        <f>"Solenoid Valve (24V) for Pipe 3 mm"</f>
        <v>Solenoid Valve (24V) for Pipe 3 mm</v>
      </c>
      <c r="T480">
        <v>0</v>
      </c>
      <c r="U480">
        <v>137</v>
      </c>
      <c r="V480">
        <v>133.35</v>
      </c>
      <c r="W480" t="str">
        <f t="shared" si="119"/>
        <v>rob</v>
      </c>
    </row>
    <row r="481" spans="1:23">
      <c r="A481" t="str">
        <f t="shared" si="131"/>
        <v>ASM&amp;QC-MH5F-01</v>
      </c>
      <c r="B481" t="str">
        <f>"00-1230-0000"</f>
        <v>00-1230-0000</v>
      </c>
      <c r="C481" t="str">
        <f>"Ball Feeder (incl. sensor for ball counting)"</f>
        <v>Ball Feeder (incl. sensor for ball counting)</v>
      </c>
      <c r="D481">
        <v>1</v>
      </c>
      <c r="E481" t="str">
        <f t="shared" si="132"/>
        <v>Assembly&amp;Quality Control MOTOMAN  MH5F (Ballgame &amp; Vision)</v>
      </c>
      <c r="F481">
        <v>504</v>
      </c>
      <c r="G481" t="str">
        <f t="shared" si="124"/>
        <v>Y</v>
      </c>
      <c r="H481" t="str">
        <f t="shared" si="133"/>
        <v>EA</v>
      </c>
      <c r="I481">
        <v>0</v>
      </c>
      <c r="J481">
        <v>0</v>
      </c>
      <c r="K481" t="str">
        <f t="shared" si="125"/>
        <v>Y</v>
      </c>
      <c r="L481">
        <v>0</v>
      </c>
      <c r="M481" t="str">
        <f t="shared" si="126"/>
        <v>NIS</v>
      </c>
      <c r="O481">
        <v>8</v>
      </c>
      <c r="P481" t="str">
        <f t="shared" si="134"/>
        <v>Active</v>
      </c>
      <c r="Q481" t="str">
        <f>"Ball Feeder (incl. sensor for ball counting)"</f>
        <v>Ball Feeder (incl. sensor for ball counting)</v>
      </c>
      <c r="S481" t="str">
        <f>"Ball Feeder (incl. sensor for ball counting)"</f>
        <v>Ball Feeder (incl. sensor for ball counting)</v>
      </c>
      <c r="T481">
        <v>0</v>
      </c>
      <c r="U481">
        <v>536</v>
      </c>
      <c r="V481">
        <v>530.72</v>
      </c>
      <c r="W481" t="str">
        <f t="shared" si="119"/>
        <v>rob</v>
      </c>
    </row>
    <row r="482" spans="1:23">
      <c r="A482" t="str">
        <f t="shared" si="131"/>
        <v>ASM&amp;QC-MH5F-01</v>
      </c>
      <c r="B482" t="str">
        <f>"00-1243-0000"</f>
        <v>00-1243-0000</v>
      </c>
      <c r="C482" t="str">
        <f>"Ball Game Set (Assembly with Plastic Pins)"</f>
        <v>Ball Game Set (Assembly with Plastic Pins)</v>
      </c>
      <c r="D482">
        <v>12</v>
      </c>
      <c r="E482" t="str">
        <f t="shared" si="132"/>
        <v>Assembly&amp;Quality Control MOTOMAN  MH5F (Ballgame &amp; Vision)</v>
      </c>
      <c r="F482">
        <v>504</v>
      </c>
      <c r="G482" t="str">
        <f t="shared" si="124"/>
        <v>Y</v>
      </c>
      <c r="H482" t="str">
        <f t="shared" si="133"/>
        <v>EA</v>
      </c>
      <c r="I482">
        <v>0</v>
      </c>
      <c r="J482">
        <v>0</v>
      </c>
      <c r="K482" t="str">
        <f t="shared" si="125"/>
        <v>Y</v>
      </c>
      <c r="L482">
        <v>0</v>
      </c>
      <c r="M482" t="str">
        <f t="shared" si="126"/>
        <v>NIS</v>
      </c>
      <c r="O482">
        <v>9</v>
      </c>
      <c r="P482" t="str">
        <f t="shared" si="134"/>
        <v>Active</v>
      </c>
      <c r="Q482" t="str">
        <f>"Ball Game Set (Assembly with Plastic Pins)"</f>
        <v>Ball Game Set (Assembly with Plastic Pins)</v>
      </c>
      <c r="S482" t="str">
        <f>"Ball Game Set (Assembly with Plastic Pins)"</f>
        <v>Ball Game Set (Assembly with Plastic Pins)</v>
      </c>
      <c r="T482">
        <v>0</v>
      </c>
      <c r="U482">
        <v>32</v>
      </c>
      <c r="V482">
        <v>34.770000000000003</v>
      </c>
      <c r="W482" t="str">
        <f t="shared" si="119"/>
        <v>rob</v>
      </c>
    </row>
    <row r="483" spans="1:23">
      <c r="A483" t="str">
        <f t="shared" si="131"/>
        <v>ASM&amp;QC-MH5F-01</v>
      </c>
      <c r="B483" t="str">
        <f>"10-2523-6000"</f>
        <v>10-2523-6000</v>
      </c>
      <c r="C483" t="str">
        <f>"Pneumatic Shifter (155mm stroke w. solenoid 24V)"</f>
        <v>Pneumatic Shifter (155mm stroke w. solenoid 24V)</v>
      </c>
      <c r="D483">
        <v>1</v>
      </c>
      <c r="E483" t="str">
        <f t="shared" si="132"/>
        <v>Assembly&amp;Quality Control MOTOMAN  MH5F (Ballgame &amp; Vision)</v>
      </c>
      <c r="F483">
        <v>504</v>
      </c>
      <c r="G483" t="str">
        <f t="shared" si="124"/>
        <v>Y</v>
      </c>
      <c r="H483" t="str">
        <f t="shared" si="133"/>
        <v>EA</v>
      </c>
      <c r="I483">
        <v>0</v>
      </c>
      <c r="J483">
        <v>0</v>
      </c>
      <c r="K483" t="str">
        <f t="shared" si="125"/>
        <v>Y</v>
      </c>
      <c r="L483">
        <v>0</v>
      </c>
      <c r="M483" t="str">
        <f t="shared" si="126"/>
        <v>NIS</v>
      </c>
      <c r="O483">
        <v>10</v>
      </c>
      <c r="P483" t="str">
        <f t="shared" si="134"/>
        <v>Active</v>
      </c>
      <c r="Q483" t="str">
        <f>"Pneumatic Shifter (155mm stroke w. solenoid 24V)"</f>
        <v>Pneumatic Shifter (155mm stroke w. solenoid 24V)</v>
      </c>
      <c r="S483" t="str">
        <f>"Pneumatic Shifter (155mm stroke w. solenoid 24V)"</f>
        <v>Pneumatic Shifter (155mm stroke w. solenoid 24V)</v>
      </c>
      <c r="T483">
        <v>0</v>
      </c>
      <c r="U483">
        <v>630</v>
      </c>
      <c r="V483">
        <v>687.48</v>
      </c>
      <c r="W483" t="str">
        <f t="shared" si="119"/>
        <v>rob</v>
      </c>
    </row>
    <row r="484" spans="1:23">
      <c r="A484" t="str">
        <f t="shared" si="131"/>
        <v>ASM&amp;QC-MH5F-01</v>
      </c>
      <c r="B484" t="str">
        <f>"00-1422-0000"</f>
        <v>00-1422-0000</v>
      </c>
      <c r="C484" t="str">
        <f>"Viewflex for QC (Stand 400mm)"</f>
        <v>Viewflex for QC (Stand 400mm)</v>
      </c>
      <c r="D484">
        <v>1</v>
      </c>
      <c r="E484" t="str">
        <f t="shared" si="132"/>
        <v>Assembly&amp;Quality Control MOTOMAN  MH5F (Ballgame &amp; Vision)</v>
      </c>
      <c r="F484">
        <v>504</v>
      </c>
      <c r="G484" t="str">
        <f t="shared" si="124"/>
        <v>Y</v>
      </c>
      <c r="H484" t="str">
        <f t="shared" si="133"/>
        <v>EA</v>
      </c>
      <c r="I484">
        <v>0</v>
      </c>
      <c r="J484">
        <v>0</v>
      </c>
      <c r="K484" t="str">
        <f t="shared" si="125"/>
        <v>Y</v>
      </c>
      <c r="L484">
        <v>0</v>
      </c>
      <c r="M484" t="str">
        <f t="shared" si="126"/>
        <v>NIS</v>
      </c>
      <c r="O484">
        <v>11</v>
      </c>
      <c r="P484" t="str">
        <f t="shared" si="134"/>
        <v>Active</v>
      </c>
      <c r="Q484" t="str">
        <f>"Viewflex for QC (Stand 400mm)"</f>
        <v>Viewflex for QC (Stand 400mm)</v>
      </c>
      <c r="S484" t="str">
        <f>"Viewflex for QC (Stand 400mm)"</f>
        <v>Viewflex for QC (Stand 400mm)</v>
      </c>
      <c r="T484">
        <v>0</v>
      </c>
      <c r="U484">
        <v>560</v>
      </c>
      <c r="V484">
        <v>511.35</v>
      </c>
      <c r="W484" t="str">
        <f t="shared" si="119"/>
        <v>rob</v>
      </c>
    </row>
    <row r="485" spans="1:23">
      <c r="A485" t="str">
        <f t="shared" si="131"/>
        <v>ASM&amp;QC-MH5F-01</v>
      </c>
      <c r="B485" t="str">
        <f>"113096"</f>
        <v>113096</v>
      </c>
      <c r="C485" t="str">
        <f>"Plexiglass Cylinders Base"</f>
        <v>Plexiglass Cylinders Base</v>
      </c>
      <c r="D485">
        <v>1</v>
      </c>
      <c r="E485" t="str">
        <f t="shared" si="132"/>
        <v>Assembly&amp;Quality Control MOTOMAN  MH5F (Ballgame &amp; Vision)</v>
      </c>
      <c r="F485">
        <v>504</v>
      </c>
      <c r="G485" t="str">
        <f t="shared" si="124"/>
        <v>Y</v>
      </c>
      <c r="H485" t="str">
        <f t="shared" si="133"/>
        <v>EA</v>
      </c>
      <c r="I485">
        <v>0</v>
      </c>
      <c r="J485">
        <v>0</v>
      </c>
      <c r="K485" t="str">
        <f t="shared" si="125"/>
        <v>Y</v>
      </c>
      <c r="L485">
        <v>0</v>
      </c>
      <c r="M485" t="str">
        <f t="shared" si="126"/>
        <v>NIS</v>
      </c>
      <c r="O485">
        <v>12</v>
      </c>
      <c r="P485" t="str">
        <f t="shared" si="134"/>
        <v>Active</v>
      </c>
      <c r="Q485" t="str">
        <f>"Plexiglass Cylinders Base MicroCIM"</f>
        <v>Plexiglass Cylinders Base MicroCIM</v>
      </c>
      <c r="S485" t="str">
        <f>"Plexiglass Cylinders Base"</f>
        <v>Plexiglass Cylinders Base</v>
      </c>
      <c r="T485">
        <v>0</v>
      </c>
      <c r="U485">
        <v>7</v>
      </c>
      <c r="V485">
        <v>6.83</v>
      </c>
      <c r="W485" t="str">
        <f t="shared" si="119"/>
        <v>rob</v>
      </c>
    </row>
    <row r="486" spans="1:23">
      <c r="A486" t="str">
        <f t="shared" si="131"/>
        <v>ASM&amp;QC-MH5F-01</v>
      </c>
      <c r="B486" t="str">
        <f>"112713"</f>
        <v>112713</v>
      </c>
      <c r="C486" t="str">
        <f>"Marked Aluminum Cylinder"</f>
        <v>Marked Aluminum Cylinder</v>
      </c>
      <c r="D486">
        <v>3</v>
      </c>
      <c r="E486" t="str">
        <f t="shared" si="132"/>
        <v>Assembly&amp;Quality Control MOTOMAN  MH5F (Ballgame &amp; Vision)</v>
      </c>
      <c r="F486">
        <v>504</v>
      </c>
      <c r="G486" t="str">
        <f t="shared" si="124"/>
        <v>Y</v>
      </c>
      <c r="H486" t="str">
        <f t="shared" si="133"/>
        <v>EA</v>
      </c>
      <c r="I486">
        <v>0</v>
      </c>
      <c r="J486">
        <v>0</v>
      </c>
      <c r="K486" t="str">
        <f t="shared" si="125"/>
        <v>Y</v>
      </c>
      <c r="L486">
        <v>0</v>
      </c>
      <c r="M486" t="str">
        <f t="shared" si="126"/>
        <v>NIS</v>
      </c>
      <c r="O486">
        <v>13</v>
      </c>
      <c r="P486" t="str">
        <f t="shared" si="134"/>
        <v>Active</v>
      </c>
      <c r="Q486" t="str">
        <f>"Mark Al. Cylinder Diam. 35x28 MicroCIM"</f>
        <v>Mark Al. Cylinder Diam. 35x28 MicroCIM</v>
      </c>
      <c r="S486" t="str">
        <f>"Mark Al. Cylinder Diam. 35x28"</f>
        <v>Mark Al. Cylinder Diam. 35x28</v>
      </c>
      <c r="T486">
        <v>0</v>
      </c>
      <c r="U486">
        <v>6</v>
      </c>
      <c r="V486">
        <v>5.97</v>
      </c>
      <c r="W486" t="str">
        <f t="shared" si="119"/>
        <v>rob</v>
      </c>
    </row>
    <row r="487" spans="1:23">
      <c r="A487" t="str">
        <f t="shared" si="131"/>
        <v>ASM&amp;QC-MH5F-01</v>
      </c>
      <c r="B487" t="str">
        <f>"113316"</f>
        <v>113316</v>
      </c>
      <c r="C487" t="str">
        <f>"Parts Bin"</f>
        <v>Parts Bin</v>
      </c>
      <c r="D487">
        <v>3</v>
      </c>
      <c r="E487" t="str">
        <f t="shared" si="132"/>
        <v>Assembly&amp;Quality Control MOTOMAN  MH5F (Ballgame &amp; Vision)</v>
      </c>
      <c r="F487">
        <v>504</v>
      </c>
      <c r="G487" t="str">
        <f t="shared" si="124"/>
        <v>Y</v>
      </c>
      <c r="H487" t="str">
        <f t="shared" si="133"/>
        <v>EA</v>
      </c>
      <c r="I487">
        <v>0</v>
      </c>
      <c r="J487">
        <v>0</v>
      </c>
      <c r="K487" t="str">
        <f t="shared" si="125"/>
        <v>Y</v>
      </c>
      <c r="L487">
        <v>0</v>
      </c>
      <c r="M487" t="str">
        <f t="shared" si="126"/>
        <v>NIS</v>
      </c>
      <c r="O487">
        <v>14</v>
      </c>
      <c r="P487" t="str">
        <f t="shared" si="134"/>
        <v>Active</v>
      </c>
      <c r="Q487" t="str">
        <f>"Parts Bin; Plastic Box"</f>
        <v>Parts Bin; Plastic Box</v>
      </c>
      <c r="R487" t="str">
        <f>"1"</f>
        <v>1</v>
      </c>
      <c r="S487" t="str">
        <f>"Parts Bin; Plastic Box"</f>
        <v>Parts Bin; Plastic Box</v>
      </c>
      <c r="T487">
        <v>0</v>
      </c>
      <c r="U487">
        <v>8.0399999999999991</v>
      </c>
      <c r="V487">
        <v>6.39</v>
      </c>
      <c r="W487" t="str">
        <f t="shared" si="119"/>
        <v>rob</v>
      </c>
    </row>
    <row r="488" spans="1:23">
      <c r="A488" t="str">
        <f t="shared" si="131"/>
        <v>ASM&amp;QC-MH5F-01</v>
      </c>
      <c r="B488" t="str">
        <f>"00-1284-0000"</f>
        <v>00-1284-0000</v>
      </c>
      <c r="C488" t="str">
        <f>"Robot Pedestal Welded for ER9/14Pro&amp;MH5"</f>
        <v>Robot Pedestal Welded for ER9/14Pro&amp;MH5</v>
      </c>
      <c r="D488">
        <v>1</v>
      </c>
      <c r="E488" t="str">
        <f t="shared" si="132"/>
        <v>Assembly&amp;Quality Control MOTOMAN  MH5F (Ballgame &amp; Vision)</v>
      </c>
      <c r="F488">
        <v>504</v>
      </c>
      <c r="G488" t="str">
        <f t="shared" si="124"/>
        <v>Y</v>
      </c>
      <c r="H488" t="str">
        <f t="shared" si="133"/>
        <v>EA</v>
      </c>
      <c r="I488">
        <v>0</v>
      </c>
      <c r="J488">
        <v>0</v>
      </c>
      <c r="K488" t="str">
        <f t="shared" si="125"/>
        <v>Y</v>
      </c>
      <c r="L488">
        <v>0</v>
      </c>
      <c r="M488" t="str">
        <f t="shared" si="126"/>
        <v>NIS</v>
      </c>
      <c r="O488">
        <v>15</v>
      </c>
      <c r="P488" t="str">
        <f t="shared" si="134"/>
        <v>Active</v>
      </c>
      <c r="Q488" t="str">
        <f>"Robot Pedestal Welded for ER9/14Pro&amp;MH5"</f>
        <v>Robot Pedestal Welded for ER9/14Pro&amp;MH5</v>
      </c>
      <c r="S488" t="str">
        <f>"Robot Pedestal Welded for ER9/14Pro&amp;MH5"</f>
        <v>Robot Pedestal Welded for ER9/14Pro&amp;MH5</v>
      </c>
      <c r="T488">
        <v>0</v>
      </c>
      <c r="U488">
        <v>723.91</v>
      </c>
      <c r="V488">
        <v>671.12</v>
      </c>
      <c r="W488" t="str">
        <f t="shared" si="119"/>
        <v>rob</v>
      </c>
    </row>
    <row r="489" spans="1:23">
      <c r="A489" t="str">
        <f t="shared" si="131"/>
        <v>ASM&amp;QC-MH5F-01</v>
      </c>
      <c r="B489" t="str">
        <f>"00-1293-0000"</f>
        <v>00-1293-0000</v>
      </c>
      <c r="C489" t="str">
        <f>"Mobile Workbench 1500x1140mm (incl. Wheels)"</f>
        <v>Mobile Workbench 1500x1140mm (incl. Wheels)</v>
      </c>
      <c r="D489">
        <v>1</v>
      </c>
      <c r="E489" t="str">
        <f t="shared" si="132"/>
        <v>Assembly&amp;Quality Control MOTOMAN  MH5F (Ballgame &amp; Vision)</v>
      </c>
      <c r="F489">
        <v>504</v>
      </c>
      <c r="G489" t="str">
        <f t="shared" si="124"/>
        <v>Y</v>
      </c>
      <c r="H489" t="str">
        <f t="shared" si="133"/>
        <v>EA</v>
      </c>
      <c r="I489">
        <v>0</v>
      </c>
      <c r="J489">
        <v>0</v>
      </c>
      <c r="K489" t="str">
        <f t="shared" si="125"/>
        <v>Y</v>
      </c>
      <c r="L489">
        <v>0</v>
      </c>
      <c r="M489" t="str">
        <f t="shared" si="126"/>
        <v>NIS</v>
      </c>
      <c r="O489">
        <v>16</v>
      </c>
      <c r="P489" t="str">
        <f t="shared" si="134"/>
        <v>Active</v>
      </c>
      <c r="Q489" t="str">
        <f>"Mobile Workbench 1500x1140mm (incl. Wheels)"</f>
        <v>Mobile Workbench 1500x1140mm (incl. Wheels)</v>
      </c>
      <c r="S489" t="str">
        <f>"Mobile Workbench 1500x1140mm (incl. Wheels)"</f>
        <v>Mobile Workbench 1500x1140mm (incl. Wheels)</v>
      </c>
      <c r="T489">
        <v>0</v>
      </c>
      <c r="U489">
        <v>860</v>
      </c>
      <c r="V489">
        <v>809.36</v>
      </c>
      <c r="W489" t="str">
        <f t="shared" si="119"/>
        <v>rob</v>
      </c>
    </row>
    <row r="490" spans="1:23">
      <c r="A490" t="str">
        <f t="shared" si="131"/>
        <v>ASM&amp;QC-MH5F-01</v>
      </c>
      <c r="B490" t="str">
        <f>"00-1290-0000"</f>
        <v>00-1290-0000</v>
      </c>
      <c r="C490" t="str">
        <f>"PC Table 630x800mm (with Keyboard Drawer)"</f>
        <v>PC Table 630x800mm (with Keyboard Drawer)</v>
      </c>
      <c r="D490">
        <v>1</v>
      </c>
      <c r="E490" t="str">
        <f t="shared" si="132"/>
        <v>Assembly&amp;Quality Control MOTOMAN  MH5F (Ballgame &amp; Vision)</v>
      </c>
      <c r="F490">
        <v>504</v>
      </c>
      <c r="G490" t="str">
        <f t="shared" si="124"/>
        <v>Y</v>
      </c>
      <c r="H490" t="str">
        <f t="shared" si="133"/>
        <v>EA</v>
      </c>
      <c r="I490">
        <v>0</v>
      </c>
      <c r="J490">
        <v>0</v>
      </c>
      <c r="K490" t="str">
        <f t="shared" si="125"/>
        <v>Y</v>
      </c>
      <c r="L490">
        <v>0</v>
      </c>
      <c r="M490" t="str">
        <f t="shared" si="126"/>
        <v>NIS</v>
      </c>
      <c r="O490">
        <v>17</v>
      </c>
      <c r="P490" t="str">
        <f t="shared" si="134"/>
        <v>Active</v>
      </c>
      <c r="Q490" t="str">
        <f>"PC Table 630x800mm (with Keyboard Drawer)"</f>
        <v>PC Table 630x800mm (with Keyboard Drawer)</v>
      </c>
      <c r="S490" t="str">
        <f>"PC Table 630x800mm (with Keyboard Drawer)"</f>
        <v>PC Table 630x800mm (with Keyboard Drawer)</v>
      </c>
      <c r="T490">
        <v>0</v>
      </c>
      <c r="U490">
        <v>405.86</v>
      </c>
      <c r="V490">
        <v>329.34</v>
      </c>
      <c r="W490" t="str">
        <f t="shared" si="119"/>
        <v>rob</v>
      </c>
    </row>
    <row r="491" spans="1:23">
      <c r="A491" t="str">
        <f t="shared" si="131"/>
        <v>ASM&amp;QC-MH5F-01</v>
      </c>
      <c r="B491" t="str">
        <f>"50-0094-0000"</f>
        <v>50-0094-0000</v>
      </c>
      <c r="C491" t="str">
        <f>"Pre-Engineering, Design and Testing"</f>
        <v>Pre-Engineering, Design and Testing</v>
      </c>
      <c r="D491">
        <v>1</v>
      </c>
      <c r="E491" t="str">
        <f t="shared" si="132"/>
        <v>Assembly&amp;Quality Control MOTOMAN  MH5F (Ballgame &amp; Vision)</v>
      </c>
      <c r="F491">
        <v>504</v>
      </c>
      <c r="G491" t="str">
        <f t="shared" si="124"/>
        <v>Y</v>
      </c>
      <c r="H491" t="str">
        <f>"DA"</f>
        <v>DA</v>
      </c>
      <c r="I491">
        <v>0</v>
      </c>
      <c r="J491">
        <v>0</v>
      </c>
      <c r="K491" t="str">
        <f t="shared" si="125"/>
        <v>Y</v>
      </c>
      <c r="L491">
        <v>0</v>
      </c>
      <c r="M491" t="str">
        <f t="shared" si="126"/>
        <v>NIS</v>
      </c>
      <c r="O491">
        <v>18</v>
      </c>
      <c r="P491" t="str">
        <f t="shared" si="134"/>
        <v>Active</v>
      </c>
      <c r="Q491" t="str">
        <f>"Pre-Engineering, Design and Testing"</f>
        <v>Pre-Engineering, Design and Testing</v>
      </c>
      <c r="S491" t="str">
        <f>"Pre-Engineering, Design and Testing"</f>
        <v>Pre-Engineering, Design and Testing</v>
      </c>
      <c r="T491">
        <v>0</v>
      </c>
      <c r="U491">
        <v>405</v>
      </c>
      <c r="V491">
        <v>421.2</v>
      </c>
      <c r="W491" t="str">
        <f t="shared" si="119"/>
        <v>rob</v>
      </c>
    </row>
    <row r="492" spans="1:23">
      <c r="A492" t="str">
        <f t="shared" ref="A492:A510" si="135">"ASM&amp;QC-MH5F-02"</f>
        <v>ASM&amp;QC-MH5F-02</v>
      </c>
      <c r="B492" t="str">
        <f>"00-0436-0000"</f>
        <v>00-0436-0000</v>
      </c>
      <c r="C492" t="str">
        <f>"MH5F compact high-speed 6-axis Robot"</f>
        <v>MH5F compact high-speed 6-axis Robot</v>
      </c>
      <c r="D492">
        <v>1</v>
      </c>
      <c r="E492" t="str">
        <f t="shared" ref="E492:E510" si="136">"Assembly&amp;Quality Control MOTOMAN MH5F (Ballgame &amp; Gluing &amp; Vision)"</f>
        <v>Assembly&amp;Quality Control MOTOMAN MH5F (Ballgame &amp; Gluing &amp; Vision)</v>
      </c>
      <c r="F492">
        <v>504</v>
      </c>
      <c r="G492" t="str">
        <f t="shared" si="124"/>
        <v>Y</v>
      </c>
      <c r="H492" t="str">
        <f t="shared" ref="H492:H509" si="137">"EA"</f>
        <v>EA</v>
      </c>
      <c r="I492">
        <v>0</v>
      </c>
      <c r="J492">
        <v>0</v>
      </c>
      <c r="K492" t="str">
        <f t="shared" si="125"/>
        <v>Y</v>
      </c>
      <c r="L492">
        <v>0</v>
      </c>
      <c r="M492" t="str">
        <f t="shared" si="126"/>
        <v>NIS</v>
      </c>
      <c r="O492">
        <v>1</v>
      </c>
      <c r="P492" t="str">
        <f t="shared" si="134"/>
        <v>Active</v>
      </c>
      <c r="Q492" t="str">
        <f>"MH5F compact high-speed 6-axis Robot"</f>
        <v>MH5F compact high-speed 6-axis Robot</v>
      </c>
      <c r="S492" t="str">
        <f>"MH5F compact high-speed 6-axis Robot"</f>
        <v>MH5F compact high-speed 6-axis Robot</v>
      </c>
      <c r="T492">
        <v>0</v>
      </c>
      <c r="U492" s="44">
        <v>23500</v>
      </c>
      <c r="V492" s="44">
        <v>16049.14</v>
      </c>
      <c r="W492" t="str">
        <f t="shared" si="119"/>
        <v>rob</v>
      </c>
    </row>
    <row r="493" spans="1:23">
      <c r="A493" t="str">
        <f t="shared" si="135"/>
        <v>ASM&amp;QC-MH5F-02</v>
      </c>
      <c r="B493" t="str">
        <f>"00-0646-0000"</f>
        <v>00-0646-0000</v>
      </c>
      <c r="C493" t="str">
        <f>"Pneumatic Gripper with I/O Box for Motoman MH5F"</f>
        <v>Pneumatic Gripper with I/O Box for Motoman MH5F</v>
      </c>
      <c r="D493">
        <v>1</v>
      </c>
      <c r="E493" t="str">
        <f t="shared" si="136"/>
        <v>Assembly&amp;Quality Control MOTOMAN MH5F (Ballgame &amp; Gluing &amp; Vision)</v>
      </c>
      <c r="F493">
        <v>504</v>
      </c>
      <c r="G493" t="str">
        <f t="shared" si="124"/>
        <v>Y</v>
      </c>
      <c r="H493" t="str">
        <f t="shared" si="137"/>
        <v>EA</v>
      </c>
      <c r="I493">
        <v>0</v>
      </c>
      <c r="J493">
        <v>0</v>
      </c>
      <c r="K493" t="str">
        <f t="shared" si="125"/>
        <v>Y</v>
      </c>
      <c r="L493">
        <v>0</v>
      </c>
      <c r="M493" t="str">
        <f t="shared" si="126"/>
        <v>NIS</v>
      </c>
      <c r="O493">
        <v>2</v>
      </c>
      <c r="P493" t="str">
        <f t="shared" si="134"/>
        <v>Active</v>
      </c>
      <c r="Q493" t="str">
        <f>"Pneumatic Gripper with I/O Box for Motoman MH5F"</f>
        <v>Pneumatic Gripper with I/O Box for Motoman MH5F</v>
      </c>
      <c r="S493" t="str">
        <f>"Pneumatic Gripper with I/O Box for Motoman MH5F"</f>
        <v>Pneumatic Gripper with I/O Box for Motoman MH5F</v>
      </c>
      <c r="T493">
        <v>0</v>
      </c>
      <c r="U493" s="44">
        <v>1500</v>
      </c>
      <c r="V493" s="44">
        <v>1238.52</v>
      </c>
      <c r="W493" t="str">
        <f t="shared" si="119"/>
        <v>rob</v>
      </c>
    </row>
    <row r="494" spans="1:23">
      <c r="A494" t="str">
        <f t="shared" si="135"/>
        <v>ASM&amp;QC-MH5F-02</v>
      </c>
      <c r="B494" t="str">
        <f>"021031"</f>
        <v>021031</v>
      </c>
      <c r="C494" t="str">
        <f>"Buffer for Template"</f>
        <v>Buffer for Template</v>
      </c>
      <c r="D494">
        <v>4</v>
      </c>
      <c r="E494" t="str">
        <f t="shared" si="136"/>
        <v>Assembly&amp;Quality Control MOTOMAN MH5F (Ballgame &amp; Gluing &amp; Vision)</v>
      </c>
      <c r="F494">
        <v>504</v>
      </c>
      <c r="G494" t="str">
        <f t="shared" si="124"/>
        <v>Y</v>
      </c>
      <c r="H494" t="str">
        <f t="shared" si="137"/>
        <v>EA</v>
      </c>
      <c r="I494">
        <v>0</v>
      </c>
      <c r="J494">
        <v>0</v>
      </c>
      <c r="K494" t="str">
        <f t="shared" si="125"/>
        <v>Y</v>
      </c>
      <c r="L494">
        <v>0</v>
      </c>
      <c r="M494" t="str">
        <f t="shared" si="126"/>
        <v>NIS</v>
      </c>
      <c r="O494">
        <v>3</v>
      </c>
      <c r="P494" t="str">
        <f t="shared" si="134"/>
        <v>Active</v>
      </c>
      <c r="Q494" t="str">
        <f>"מכלול- בסיס לטמפלט CIM"</f>
        <v>מכלול- בסיס לטמפלט CIM</v>
      </c>
      <c r="R494" t="str">
        <f>"1"</f>
        <v>1</v>
      </c>
      <c r="S494" t="str">
        <f>"מכלול- בסיס לטמפלט CIM"</f>
        <v>מכלול- בסיס לטמפלט CIM</v>
      </c>
      <c r="T494">
        <v>0</v>
      </c>
      <c r="U494">
        <v>18.329999999999998</v>
      </c>
      <c r="V494">
        <v>13.48</v>
      </c>
      <c r="W494" t="str">
        <f t="shared" ref="W494:W557" si="138">"rob"</f>
        <v>rob</v>
      </c>
    </row>
    <row r="495" spans="1:23">
      <c r="A495" t="str">
        <f t="shared" si="135"/>
        <v>ASM&amp;QC-MH5F-02</v>
      </c>
      <c r="B495" t="str">
        <f>"00-1110-0000"</f>
        <v>00-1110-0000</v>
      </c>
      <c r="C495" t="str">
        <f>"Palletizing Rack"</f>
        <v>Palletizing Rack</v>
      </c>
      <c r="D495">
        <v>2</v>
      </c>
      <c r="E495" t="str">
        <f t="shared" si="136"/>
        <v>Assembly&amp;Quality Control MOTOMAN MH5F (Ballgame &amp; Gluing &amp; Vision)</v>
      </c>
      <c r="F495">
        <v>504</v>
      </c>
      <c r="G495" t="str">
        <f t="shared" si="124"/>
        <v>Y</v>
      </c>
      <c r="H495" t="str">
        <f t="shared" si="137"/>
        <v>EA</v>
      </c>
      <c r="I495">
        <v>0</v>
      </c>
      <c r="J495">
        <v>0</v>
      </c>
      <c r="K495" t="str">
        <f t="shared" si="125"/>
        <v>Y</v>
      </c>
      <c r="L495">
        <v>0</v>
      </c>
      <c r="M495" t="str">
        <f t="shared" si="126"/>
        <v>NIS</v>
      </c>
      <c r="O495">
        <v>4</v>
      </c>
      <c r="P495" t="str">
        <f t="shared" si="134"/>
        <v>Active</v>
      </c>
      <c r="Q495" t="str">
        <f>"Palletizing Rack (incl. Pins for creating Jigs)"</f>
        <v>Palletizing Rack (incl. Pins for creating Jigs)</v>
      </c>
      <c r="S495" t="str">
        <f>"Palletizing Rack (incl. Pins for creating Jigs)"</f>
        <v>Palletizing Rack (incl. Pins for creating Jigs)</v>
      </c>
      <c r="T495">
        <v>0</v>
      </c>
      <c r="U495">
        <v>63</v>
      </c>
      <c r="V495">
        <v>58.59</v>
      </c>
      <c r="W495" t="str">
        <f t="shared" si="138"/>
        <v>rob</v>
      </c>
    </row>
    <row r="496" spans="1:23">
      <c r="A496" t="str">
        <f t="shared" si="135"/>
        <v>ASM&amp;QC-MH5F-02</v>
      </c>
      <c r="B496" t="str">
        <f>"021177"</f>
        <v>021177</v>
      </c>
      <c r="C496" t="str">
        <f>"30mm Height Adapter -Rack 001110 on formica 19mm"</f>
        <v>30mm Height Adapter -Rack 001110 on formica 19mm</v>
      </c>
      <c r="D496">
        <v>2</v>
      </c>
      <c r="E496" t="str">
        <f t="shared" si="136"/>
        <v>Assembly&amp;Quality Control MOTOMAN MH5F (Ballgame &amp; Gluing &amp; Vision)</v>
      </c>
      <c r="F496">
        <v>504</v>
      </c>
      <c r="G496" t="str">
        <f t="shared" si="124"/>
        <v>Y</v>
      </c>
      <c r="H496" t="str">
        <f t="shared" si="137"/>
        <v>EA</v>
      </c>
      <c r="I496">
        <v>0</v>
      </c>
      <c r="J496">
        <v>0</v>
      </c>
      <c r="K496" t="str">
        <f t="shared" si="125"/>
        <v>Y</v>
      </c>
      <c r="L496">
        <v>0</v>
      </c>
      <c r="M496" t="str">
        <f t="shared" si="126"/>
        <v>NIS</v>
      </c>
      <c r="O496">
        <v>5</v>
      </c>
      <c r="P496" t="str">
        <f t="shared" si="134"/>
        <v>Active</v>
      </c>
      <c r="Q496" t="str">
        <f>"30mm Height Adapter -Rack 001110 on formica 19mm"</f>
        <v>30mm Height Adapter -Rack 001110 on formica 19mm</v>
      </c>
      <c r="S496" t="str">
        <f>"30mm Height Adapter -Rack 001110 on formica 19mm"</f>
        <v>30mm Height Adapter -Rack 001110 on formica 19mm</v>
      </c>
      <c r="T496">
        <v>0</v>
      </c>
      <c r="U496">
        <v>4.92</v>
      </c>
      <c r="V496">
        <v>8.43</v>
      </c>
      <c r="W496" t="str">
        <f t="shared" si="138"/>
        <v>rob</v>
      </c>
    </row>
    <row r="497" spans="1:23">
      <c r="A497" t="str">
        <f t="shared" si="135"/>
        <v>ASM&amp;QC-MH5F-02</v>
      </c>
      <c r="B497" t="str">
        <f>"21-0004-0000"</f>
        <v>21-0004-0000</v>
      </c>
      <c r="C497" t="str">
        <f>"Assembly, Dual Axis Air Vise Mechanicals"</f>
        <v>Assembly, Dual Axis Air Vise Mechanicals</v>
      </c>
      <c r="D497">
        <v>1</v>
      </c>
      <c r="E497" t="str">
        <f t="shared" si="136"/>
        <v>Assembly&amp;Quality Control MOTOMAN MH5F (Ballgame &amp; Gluing &amp; Vision)</v>
      </c>
      <c r="F497">
        <v>504</v>
      </c>
      <c r="G497" t="str">
        <f t="shared" si="124"/>
        <v>Y</v>
      </c>
      <c r="H497" t="str">
        <f t="shared" si="137"/>
        <v>EA</v>
      </c>
      <c r="I497">
        <v>0</v>
      </c>
      <c r="J497">
        <v>0</v>
      </c>
      <c r="K497" t="str">
        <f t="shared" si="125"/>
        <v>Y</v>
      </c>
      <c r="L497">
        <v>0</v>
      </c>
      <c r="M497" t="str">
        <f t="shared" si="126"/>
        <v>NIS</v>
      </c>
      <c r="O497">
        <v>6</v>
      </c>
      <c r="P497" t="str">
        <f>"Phase Out"</f>
        <v>Phase Out</v>
      </c>
      <c r="Q497" t="str">
        <f>"Assembly, Dual Axis Air Vise Mechanicals"</f>
        <v>Assembly, Dual Axis Air Vise Mechanicals</v>
      </c>
      <c r="S497" t="str">
        <f>"Assembly, Dual Axis Air Vise Mechanicals"</f>
        <v>Assembly, Dual Axis Air Vise Mechanicals</v>
      </c>
      <c r="T497">
        <v>422.16</v>
      </c>
      <c r="U497">
        <v>422</v>
      </c>
      <c r="V497">
        <v>980.27</v>
      </c>
      <c r="W497" t="str">
        <f t="shared" si="138"/>
        <v>rob</v>
      </c>
    </row>
    <row r="498" spans="1:23">
      <c r="A498" t="str">
        <f t="shared" si="135"/>
        <v>ASM&amp;QC-MH5F-02</v>
      </c>
      <c r="B498" t="str">
        <f>"10-2523-4000"</f>
        <v>10-2523-4000</v>
      </c>
      <c r="C498" t="str">
        <f>"Solenoid Valve (24V) for Pipe 3 mm"</f>
        <v>Solenoid Valve (24V) for Pipe 3 mm</v>
      </c>
      <c r="D498">
        <v>1</v>
      </c>
      <c r="E498" t="str">
        <f t="shared" si="136"/>
        <v>Assembly&amp;Quality Control MOTOMAN MH5F (Ballgame &amp; Gluing &amp; Vision)</v>
      </c>
      <c r="F498">
        <v>504</v>
      </c>
      <c r="G498" t="str">
        <f t="shared" si="124"/>
        <v>Y</v>
      </c>
      <c r="H498" t="str">
        <f t="shared" si="137"/>
        <v>EA</v>
      </c>
      <c r="I498">
        <v>0</v>
      </c>
      <c r="J498">
        <v>0</v>
      </c>
      <c r="K498" t="str">
        <f t="shared" si="125"/>
        <v>Y</v>
      </c>
      <c r="L498">
        <v>0</v>
      </c>
      <c r="M498" t="str">
        <f t="shared" si="126"/>
        <v>NIS</v>
      </c>
      <c r="O498">
        <v>7</v>
      </c>
      <c r="P498" t="str">
        <f t="shared" ref="P498:P515" si="139">"Active"</f>
        <v>Active</v>
      </c>
      <c r="Q498" t="str">
        <f>"Solenoid Valve (24V) for Pipe 3 mm"</f>
        <v>Solenoid Valve (24V) for Pipe 3 mm</v>
      </c>
      <c r="S498" t="str">
        <f>"Solenoid Valve (24V) for Pipe 3 mm"</f>
        <v>Solenoid Valve (24V) for Pipe 3 mm</v>
      </c>
      <c r="T498">
        <v>0</v>
      </c>
      <c r="U498">
        <v>137</v>
      </c>
      <c r="V498">
        <v>133.35</v>
      </c>
      <c r="W498" t="str">
        <f t="shared" si="138"/>
        <v>rob</v>
      </c>
    </row>
    <row r="499" spans="1:23">
      <c r="A499" t="str">
        <f t="shared" si="135"/>
        <v>ASM&amp;QC-MH5F-02</v>
      </c>
      <c r="B499" t="str">
        <f>"00-1230-0000"</f>
        <v>00-1230-0000</v>
      </c>
      <c r="C499" t="str">
        <f>"Ball Feeder (incl. sensor for ball counting)"</f>
        <v>Ball Feeder (incl. sensor for ball counting)</v>
      </c>
      <c r="D499">
        <v>1</v>
      </c>
      <c r="E499" t="str">
        <f t="shared" si="136"/>
        <v>Assembly&amp;Quality Control MOTOMAN MH5F (Ballgame &amp; Gluing &amp; Vision)</v>
      </c>
      <c r="F499">
        <v>504</v>
      </c>
      <c r="G499" t="str">
        <f t="shared" si="124"/>
        <v>Y</v>
      </c>
      <c r="H499" t="str">
        <f t="shared" si="137"/>
        <v>EA</v>
      </c>
      <c r="I499">
        <v>0</v>
      </c>
      <c r="J499">
        <v>0</v>
      </c>
      <c r="K499" t="str">
        <f t="shared" si="125"/>
        <v>Y</v>
      </c>
      <c r="L499">
        <v>0</v>
      </c>
      <c r="M499" t="str">
        <f t="shared" si="126"/>
        <v>NIS</v>
      </c>
      <c r="O499">
        <v>8</v>
      </c>
      <c r="P499" t="str">
        <f t="shared" si="139"/>
        <v>Active</v>
      </c>
      <c r="Q499" t="str">
        <f>"Ball Feeder (incl. sensor for ball counting)"</f>
        <v>Ball Feeder (incl. sensor for ball counting)</v>
      </c>
      <c r="S499" t="str">
        <f>"Ball Feeder (incl. sensor for ball counting)"</f>
        <v>Ball Feeder (incl. sensor for ball counting)</v>
      </c>
      <c r="T499">
        <v>0</v>
      </c>
      <c r="U499">
        <v>536</v>
      </c>
      <c r="V499">
        <v>530.72</v>
      </c>
      <c r="W499" t="str">
        <f t="shared" si="138"/>
        <v>rob</v>
      </c>
    </row>
    <row r="500" spans="1:23">
      <c r="A500" t="str">
        <f t="shared" si="135"/>
        <v>ASM&amp;QC-MH5F-02</v>
      </c>
      <c r="B500" t="str">
        <f>"00-1243-0000"</f>
        <v>00-1243-0000</v>
      </c>
      <c r="C500" t="str">
        <f>"Ball Game Set (Assembly with Plastic Pins)"</f>
        <v>Ball Game Set (Assembly with Plastic Pins)</v>
      </c>
      <c r="D500">
        <v>12</v>
      </c>
      <c r="E500" t="str">
        <f t="shared" si="136"/>
        <v>Assembly&amp;Quality Control MOTOMAN MH5F (Ballgame &amp; Gluing &amp; Vision)</v>
      </c>
      <c r="F500">
        <v>504</v>
      </c>
      <c r="G500" t="str">
        <f t="shared" si="124"/>
        <v>Y</v>
      </c>
      <c r="H500" t="str">
        <f t="shared" si="137"/>
        <v>EA</v>
      </c>
      <c r="I500">
        <v>0</v>
      </c>
      <c r="J500">
        <v>0</v>
      </c>
      <c r="K500" t="str">
        <f t="shared" si="125"/>
        <v>Y</v>
      </c>
      <c r="L500">
        <v>0</v>
      </c>
      <c r="M500" t="str">
        <f t="shared" si="126"/>
        <v>NIS</v>
      </c>
      <c r="O500">
        <v>9</v>
      </c>
      <c r="P500" t="str">
        <f t="shared" si="139"/>
        <v>Active</v>
      </c>
      <c r="Q500" t="str">
        <f>"Ball Game Set (Assembly with Plastic Pins)"</f>
        <v>Ball Game Set (Assembly with Plastic Pins)</v>
      </c>
      <c r="S500" t="str">
        <f>"Ball Game Set (Assembly with Plastic Pins)"</f>
        <v>Ball Game Set (Assembly with Plastic Pins)</v>
      </c>
      <c r="T500">
        <v>0</v>
      </c>
      <c r="U500">
        <v>32</v>
      </c>
      <c r="V500">
        <v>34.770000000000003</v>
      </c>
      <c r="W500" t="str">
        <f t="shared" si="138"/>
        <v>rob</v>
      </c>
    </row>
    <row r="501" spans="1:23">
      <c r="A501" t="str">
        <f t="shared" si="135"/>
        <v>ASM&amp;QC-MH5F-02</v>
      </c>
      <c r="B501" t="str">
        <f>"00-1236-0000"</f>
        <v>00-1236-0000</v>
      </c>
      <c r="C501" t="str">
        <f>"Automatic Glue Dispenser"</f>
        <v>Automatic Glue Dispenser</v>
      </c>
      <c r="D501">
        <v>1</v>
      </c>
      <c r="E501" t="str">
        <f t="shared" si="136"/>
        <v>Assembly&amp;Quality Control MOTOMAN MH5F (Ballgame &amp; Gluing &amp; Vision)</v>
      </c>
      <c r="F501">
        <v>504</v>
      </c>
      <c r="G501" t="str">
        <f t="shared" si="124"/>
        <v>Y</v>
      </c>
      <c r="H501" t="str">
        <f t="shared" si="137"/>
        <v>EA</v>
      </c>
      <c r="I501">
        <v>0</v>
      </c>
      <c r="J501">
        <v>0</v>
      </c>
      <c r="K501" t="str">
        <f t="shared" si="125"/>
        <v>Y</v>
      </c>
      <c r="L501">
        <v>0</v>
      </c>
      <c r="M501" t="str">
        <f t="shared" si="126"/>
        <v>NIS</v>
      </c>
      <c r="O501">
        <v>10</v>
      </c>
      <c r="P501" t="str">
        <f t="shared" si="139"/>
        <v>Active</v>
      </c>
      <c r="Q501" t="str">
        <f>"Automatic Glue Dispenser"</f>
        <v>Automatic Glue Dispenser</v>
      </c>
      <c r="S501" t="str">
        <f>"Automatic Glue Dispenser"</f>
        <v>Automatic Glue Dispenser</v>
      </c>
      <c r="T501">
        <v>0</v>
      </c>
      <c r="U501" s="44">
        <v>1100</v>
      </c>
      <c r="V501" s="44">
        <v>1097.3699999999999</v>
      </c>
      <c r="W501" t="str">
        <f t="shared" si="138"/>
        <v>rob</v>
      </c>
    </row>
    <row r="502" spans="1:23">
      <c r="A502" t="str">
        <f t="shared" si="135"/>
        <v>ASM&amp;QC-MH5F-02</v>
      </c>
      <c r="B502" t="str">
        <f>"10-2523-6000"</f>
        <v>10-2523-6000</v>
      </c>
      <c r="C502" t="str">
        <f>"Pneumatic Shifter (155mm stroke w. solenoid 24V)"</f>
        <v>Pneumatic Shifter (155mm stroke w. solenoid 24V)</v>
      </c>
      <c r="D502">
        <v>1</v>
      </c>
      <c r="E502" t="str">
        <f t="shared" si="136"/>
        <v>Assembly&amp;Quality Control MOTOMAN MH5F (Ballgame &amp; Gluing &amp; Vision)</v>
      </c>
      <c r="F502">
        <v>504</v>
      </c>
      <c r="G502" t="str">
        <f t="shared" si="124"/>
        <v>Y</v>
      </c>
      <c r="H502" t="str">
        <f t="shared" si="137"/>
        <v>EA</v>
      </c>
      <c r="I502">
        <v>0</v>
      </c>
      <c r="J502">
        <v>0</v>
      </c>
      <c r="K502" t="str">
        <f t="shared" si="125"/>
        <v>Y</v>
      </c>
      <c r="L502">
        <v>0</v>
      </c>
      <c r="M502" t="str">
        <f t="shared" si="126"/>
        <v>NIS</v>
      </c>
      <c r="O502">
        <v>11</v>
      </c>
      <c r="P502" t="str">
        <f t="shared" si="139"/>
        <v>Active</v>
      </c>
      <c r="Q502" t="str">
        <f>"Pneumatic Shifter (155mm stroke w. solenoid 24V)"</f>
        <v>Pneumatic Shifter (155mm stroke w. solenoid 24V)</v>
      </c>
      <c r="S502" t="str">
        <f>"Pneumatic Shifter (155mm stroke w. solenoid 24V)"</f>
        <v>Pneumatic Shifter (155mm stroke w. solenoid 24V)</v>
      </c>
      <c r="T502">
        <v>0</v>
      </c>
      <c r="U502">
        <v>630</v>
      </c>
      <c r="V502">
        <v>687.48</v>
      </c>
      <c r="W502" t="str">
        <f t="shared" si="138"/>
        <v>rob</v>
      </c>
    </row>
    <row r="503" spans="1:23">
      <c r="A503" t="str">
        <f t="shared" si="135"/>
        <v>ASM&amp;QC-MH5F-02</v>
      </c>
      <c r="B503" t="str">
        <f>"00-1422-0000"</f>
        <v>00-1422-0000</v>
      </c>
      <c r="C503" t="str">
        <f>"Viewflex for QC (Stand 400mm)"</f>
        <v>Viewflex for QC (Stand 400mm)</v>
      </c>
      <c r="D503">
        <v>1</v>
      </c>
      <c r="E503" t="str">
        <f t="shared" si="136"/>
        <v>Assembly&amp;Quality Control MOTOMAN MH5F (Ballgame &amp; Gluing &amp; Vision)</v>
      </c>
      <c r="F503">
        <v>504</v>
      </c>
      <c r="G503" t="str">
        <f t="shared" si="124"/>
        <v>Y</v>
      </c>
      <c r="H503" t="str">
        <f t="shared" si="137"/>
        <v>EA</v>
      </c>
      <c r="I503">
        <v>0</v>
      </c>
      <c r="J503">
        <v>0</v>
      </c>
      <c r="K503" t="str">
        <f t="shared" si="125"/>
        <v>Y</v>
      </c>
      <c r="L503">
        <v>0</v>
      </c>
      <c r="M503" t="str">
        <f t="shared" si="126"/>
        <v>NIS</v>
      </c>
      <c r="O503">
        <v>12</v>
      </c>
      <c r="P503" t="str">
        <f t="shared" si="139"/>
        <v>Active</v>
      </c>
      <c r="Q503" t="str">
        <f>"Viewflex for QC (Stand 400mm)"</f>
        <v>Viewflex for QC (Stand 400mm)</v>
      </c>
      <c r="S503" t="str">
        <f>"Viewflex for QC (Stand 400mm)"</f>
        <v>Viewflex for QC (Stand 400mm)</v>
      </c>
      <c r="T503">
        <v>0</v>
      </c>
      <c r="U503">
        <v>560</v>
      </c>
      <c r="V503">
        <v>511.35</v>
      </c>
      <c r="W503" t="str">
        <f t="shared" si="138"/>
        <v>rob</v>
      </c>
    </row>
    <row r="504" spans="1:23">
      <c r="A504" t="str">
        <f t="shared" si="135"/>
        <v>ASM&amp;QC-MH5F-02</v>
      </c>
      <c r="B504" t="str">
        <f>"113096"</f>
        <v>113096</v>
      </c>
      <c r="C504" t="str">
        <f>"Plexiglass Cylinders Base"</f>
        <v>Plexiglass Cylinders Base</v>
      </c>
      <c r="D504">
        <v>3</v>
      </c>
      <c r="E504" t="str">
        <f t="shared" si="136"/>
        <v>Assembly&amp;Quality Control MOTOMAN MH5F (Ballgame &amp; Gluing &amp; Vision)</v>
      </c>
      <c r="F504">
        <v>504</v>
      </c>
      <c r="G504" t="str">
        <f t="shared" si="124"/>
        <v>Y</v>
      </c>
      <c r="H504" t="str">
        <f t="shared" si="137"/>
        <v>EA</v>
      </c>
      <c r="I504">
        <v>0</v>
      </c>
      <c r="J504">
        <v>0</v>
      </c>
      <c r="K504" t="str">
        <f t="shared" si="125"/>
        <v>Y</v>
      </c>
      <c r="L504">
        <v>0</v>
      </c>
      <c r="M504" t="str">
        <f t="shared" si="126"/>
        <v>NIS</v>
      </c>
      <c r="O504">
        <v>13</v>
      </c>
      <c r="P504" t="str">
        <f t="shared" si="139"/>
        <v>Active</v>
      </c>
      <c r="Q504" t="str">
        <f>"Plexiglass Cylinders Base MicroCIM"</f>
        <v>Plexiglass Cylinders Base MicroCIM</v>
      </c>
      <c r="S504" t="str">
        <f>"Plexiglass Cylinders Base"</f>
        <v>Plexiglass Cylinders Base</v>
      </c>
      <c r="T504">
        <v>0</v>
      </c>
      <c r="U504">
        <v>7</v>
      </c>
      <c r="V504">
        <v>6.83</v>
      </c>
      <c r="W504" t="str">
        <f t="shared" si="138"/>
        <v>rob</v>
      </c>
    </row>
    <row r="505" spans="1:23">
      <c r="A505" t="str">
        <f t="shared" si="135"/>
        <v>ASM&amp;QC-MH5F-02</v>
      </c>
      <c r="B505" t="str">
        <f>"112713"</f>
        <v>112713</v>
      </c>
      <c r="C505" t="str">
        <f>"Marked Aluminum Cylinder"</f>
        <v>Marked Aluminum Cylinder</v>
      </c>
      <c r="D505">
        <v>3</v>
      </c>
      <c r="E505" t="str">
        <f t="shared" si="136"/>
        <v>Assembly&amp;Quality Control MOTOMAN MH5F (Ballgame &amp; Gluing &amp; Vision)</v>
      </c>
      <c r="F505">
        <v>504</v>
      </c>
      <c r="G505" t="str">
        <f t="shared" si="124"/>
        <v>Y</v>
      </c>
      <c r="H505" t="str">
        <f t="shared" si="137"/>
        <v>EA</v>
      </c>
      <c r="I505">
        <v>0</v>
      </c>
      <c r="J505">
        <v>0</v>
      </c>
      <c r="K505" t="str">
        <f t="shared" si="125"/>
        <v>Y</v>
      </c>
      <c r="L505">
        <v>0</v>
      </c>
      <c r="M505" t="str">
        <f t="shared" si="126"/>
        <v>NIS</v>
      </c>
      <c r="O505">
        <v>14</v>
      </c>
      <c r="P505" t="str">
        <f t="shared" si="139"/>
        <v>Active</v>
      </c>
      <c r="Q505" t="str">
        <f>"Mark Al. Cylinder Diam. 35x28 MicroCIM"</f>
        <v>Mark Al. Cylinder Diam. 35x28 MicroCIM</v>
      </c>
      <c r="S505" t="str">
        <f>"Mark Al. Cylinder Diam. 35x28"</f>
        <v>Mark Al. Cylinder Diam. 35x28</v>
      </c>
      <c r="T505">
        <v>0</v>
      </c>
      <c r="U505">
        <v>6</v>
      </c>
      <c r="V505">
        <v>5.97</v>
      </c>
      <c r="W505" t="str">
        <f t="shared" si="138"/>
        <v>rob</v>
      </c>
    </row>
    <row r="506" spans="1:23">
      <c r="A506" t="str">
        <f t="shared" si="135"/>
        <v>ASM&amp;QC-MH5F-02</v>
      </c>
      <c r="B506" t="str">
        <f>"113316"</f>
        <v>113316</v>
      </c>
      <c r="C506" t="str">
        <f>"Parts Bin"</f>
        <v>Parts Bin</v>
      </c>
      <c r="D506">
        <v>1</v>
      </c>
      <c r="E506" t="str">
        <f t="shared" si="136"/>
        <v>Assembly&amp;Quality Control MOTOMAN MH5F (Ballgame &amp; Gluing &amp; Vision)</v>
      </c>
      <c r="F506">
        <v>504</v>
      </c>
      <c r="G506" t="str">
        <f t="shared" si="124"/>
        <v>Y</v>
      </c>
      <c r="H506" t="str">
        <f t="shared" si="137"/>
        <v>EA</v>
      </c>
      <c r="I506">
        <v>0</v>
      </c>
      <c r="J506">
        <v>0</v>
      </c>
      <c r="K506" t="str">
        <f t="shared" si="125"/>
        <v>Y</v>
      </c>
      <c r="L506">
        <v>0</v>
      </c>
      <c r="M506" t="str">
        <f t="shared" si="126"/>
        <v>NIS</v>
      </c>
      <c r="O506">
        <v>15</v>
      </c>
      <c r="P506" t="str">
        <f t="shared" si="139"/>
        <v>Active</v>
      </c>
      <c r="Q506" t="str">
        <f>"Parts Bin; Plastic Box"</f>
        <v>Parts Bin; Plastic Box</v>
      </c>
      <c r="R506" t="str">
        <f>"1"</f>
        <v>1</v>
      </c>
      <c r="S506" t="str">
        <f>"Parts Bin; Plastic Box"</f>
        <v>Parts Bin; Plastic Box</v>
      </c>
      <c r="T506">
        <v>0</v>
      </c>
      <c r="U506">
        <v>8.0399999999999991</v>
      </c>
      <c r="V506">
        <v>6.39</v>
      </c>
      <c r="W506" t="str">
        <f t="shared" si="138"/>
        <v>rob</v>
      </c>
    </row>
    <row r="507" spans="1:23">
      <c r="A507" t="str">
        <f t="shared" si="135"/>
        <v>ASM&amp;QC-MH5F-02</v>
      </c>
      <c r="B507" t="str">
        <f>"00-1284-0000"</f>
        <v>00-1284-0000</v>
      </c>
      <c r="C507" t="str">
        <f>"Robot Pedestal Welded for ER9/14Pro&amp;MH5"</f>
        <v>Robot Pedestal Welded for ER9/14Pro&amp;MH5</v>
      </c>
      <c r="D507">
        <v>1</v>
      </c>
      <c r="E507" t="str">
        <f t="shared" si="136"/>
        <v>Assembly&amp;Quality Control MOTOMAN MH5F (Ballgame &amp; Gluing &amp; Vision)</v>
      </c>
      <c r="F507">
        <v>504</v>
      </c>
      <c r="G507" t="str">
        <f t="shared" si="124"/>
        <v>Y</v>
      </c>
      <c r="H507" t="str">
        <f t="shared" si="137"/>
        <v>EA</v>
      </c>
      <c r="I507">
        <v>0</v>
      </c>
      <c r="J507">
        <v>0</v>
      </c>
      <c r="K507" t="str">
        <f t="shared" si="125"/>
        <v>Y</v>
      </c>
      <c r="L507">
        <v>0</v>
      </c>
      <c r="M507" t="str">
        <f t="shared" si="126"/>
        <v>NIS</v>
      </c>
      <c r="O507">
        <v>16</v>
      </c>
      <c r="P507" t="str">
        <f t="shared" si="139"/>
        <v>Active</v>
      </c>
      <c r="Q507" t="str">
        <f>"Robot Pedestal Welded for ER9/14Pro&amp;MH5"</f>
        <v>Robot Pedestal Welded for ER9/14Pro&amp;MH5</v>
      </c>
      <c r="S507" t="str">
        <f>"Robot Pedestal Welded for ER9/14Pro&amp;MH5"</f>
        <v>Robot Pedestal Welded for ER9/14Pro&amp;MH5</v>
      </c>
      <c r="T507">
        <v>0</v>
      </c>
      <c r="U507">
        <v>723.91</v>
      </c>
      <c r="V507">
        <v>671.12</v>
      </c>
      <c r="W507" t="str">
        <f t="shared" si="138"/>
        <v>rob</v>
      </c>
    </row>
    <row r="508" spans="1:23">
      <c r="A508" t="str">
        <f t="shared" si="135"/>
        <v>ASM&amp;QC-MH5F-02</v>
      </c>
      <c r="B508" t="str">
        <f>"00-1293-0000"</f>
        <v>00-1293-0000</v>
      </c>
      <c r="C508" t="str">
        <f>"Mobile Workbench 1500x1140mm (incl. Wheels)"</f>
        <v>Mobile Workbench 1500x1140mm (incl. Wheels)</v>
      </c>
      <c r="D508">
        <v>1</v>
      </c>
      <c r="E508" t="str">
        <f t="shared" si="136"/>
        <v>Assembly&amp;Quality Control MOTOMAN MH5F (Ballgame &amp; Gluing &amp; Vision)</v>
      </c>
      <c r="F508">
        <v>504</v>
      </c>
      <c r="G508" t="str">
        <f t="shared" si="124"/>
        <v>Y</v>
      </c>
      <c r="H508" t="str">
        <f t="shared" si="137"/>
        <v>EA</v>
      </c>
      <c r="I508">
        <v>0</v>
      </c>
      <c r="J508">
        <v>0</v>
      </c>
      <c r="K508" t="str">
        <f t="shared" si="125"/>
        <v>Y</v>
      </c>
      <c r="L508">
        <v>0</v>
      </c>
      <c r="M508" t="str">
        <f t="shared" si="126"/>
        <v>NIS</v>
      </c>
      <c r="O508">
        <v>17</v>
      </c>
      <c r="P508" t="str">
        <f t="shared" si="139"/>
        <v>Active</v>
      </c>
      <c r="Q508" t="str">
        <f>"Mobile Workbench 1500x1140mm (incl. Wheels)"</f>
        <v>Mobile Workbench 1500x1140mm (incl. Wheels)</v>
      </c>
      <c r="S508" t="str">
        <f>"Mobile Workbench 1500x1140mm (incl. Wheels)"</f>
        <v>Mobile Workbench 1500x1140mm (incl. Wheels)</v>
      </c>
      <c r="T508">
        <v>0</v>
      </c>
      <c r="U508">
        <v>860</v>
      </c>
      <c r="V508">
        <v>809.36</v>
      </c>
      <c r="W508" t="str">
        <f t="shared" si="138"/>
        <v>rob</v>
      </c>
    </row>
    <row r="509" spans="1:23">
      <c r="A509" t="str">
        <f t="shared" si="135"/>
        <v>ASM&amp;QC-MH5F-02</v>
      </c>
      <c r="B509" t="str">
        <f>"00-1290-0000"</f>
        <v>00-1290-0000</v>
      </c>
      <c r="C509" t="str">
        <f>"PC Table 630x800mm (with Keyboard Drawer)"</f>
        <v>PC Table 630x800mm (with Keyboard Drawer)</v>
      </c>
      <c r="D509">
        <v>1</v>
      </c>
      <c r="E509" t="str">
        <f t="shared" si="136"/>
        <v>Assembly&amp;Quality Control MOTOMAN MH5F (Ballgame &amp; Gluing &amp; Vision)</v>
      </c>
      <c r="F509">
        <v>504</v>
      </c>
      <c r="G509" t="str">
        <f t="shared" si="124"/>
        <v>Y</v>
      </c>
      <c r="H509" t="str">
        <f t="shared" si="137"/>
        <v>EA</v>
      </c>
      <c r="I509">
        <v>0</v>
      </c>
      <c r="J509">
        <v>0</v>
      </c>
      <c r="K509" t="str">
        <f t="shared" si="125"/>
        <v>Y</v>
      </c>
      <c r="L509">
        <v>0</v>
      </c>
      <c r="M509" t="str">
        <f t="shared" si="126"/>
        <v>NIS</v>
      </c>
      <c r="O509">
        <v>18</v>
      </c>
      <c r="P509" t="str">
        <f t="shared" si="139"/>
        <v>Active</v>
      </c>
      <c r="Q509" t="str">
        <f>"PC Table 630x800mm (with Keyboard Drawer)"</f>
        <v>PC Table 630x800mm (with Keyboard Drawer)</v>
      </c>
      <c r="S509" t="str">
        <f>"PC Table 630x800mm (with Keyboard Drawer)"</f>
        <v>PC Table 630x800mm (with Keyboard Drawer)</v>
      </c>
      <c r="T509">
        <v>0</v>
      </c>
      <c r="U509">
        <v>405.86</v>
      </c>
      <c r="V509">
        <v>329.34</v>
      </c>
      <c r="W509" t="str">
        <f t="shared" si="138"/>
        <v>rob</v>
      </c>
    </row>
    <row r="510" spans="1:23">
      <c r="A510" t="str">
        <f t="shared" si="135"/>
        <v>ASM&amp;QC-MH5F-02</v>
      </c>
      <c r="B510" t="str">
        <f>"50-0094-0000"</f>
        <v>50-0094-0000</v>
      </c>
      <c r="C510" t="str">
        <f>"Pre-Engineering, Design and Testing"</f>
        <v>Pre-Engineering, Design and Testing</v>
      </c>
      <c r="D510">
        <v>1</v>
      </c>
      <c r="E510" t="str">
        <f t="shared" si="136"/>
        <v>Assembly&amp;Quality Control MOTOMAN MH5F (Ballgame &amp; Gluing &amp; Vision)</v>
      </c>
      <c r="F510">
        <v>504</v>
      </c>
      <c r="G510" t="str">
        <f t="shared" si="124"/>
        <v>Y</v>
      </c>
      <c r="H510" t="str">
        <f>"DA"</f>
        <v>DA</v>
      </c>
      <c r="I510">
        <v>0</v>
      </c>
      <c r="J510">
        <v>0</v>
      </c>
      <c r="K510" t="str">
        <f t="shared" si="125"/>
        <v>Y</v>
      </c>
      <c r="L510">
        <v>0</v>
      </c>
      <c r="M510" t="str">
        <f t="shared" si="126"/>
        <v>NIS</v>
      </c>
      <c r="O510">
        <v>19</v>
      </c>
      <c r="P510" t="str">
        <f t="shared" si="139"/>
        <v>Active</v>
      </c>
      <c r="Q510" t="str">
        <f>"Pre-Engineering, Design and Testing"</f>
        <v>Pre-Engineering, Design and Testing</v>
      </c>
      <c r="S510" t="str">
        <f>"Pre-Engineering, Design and Testing"</f>
        <v>Pre-Engineering, Design and Testing</v>
      </c>
      <c r="T510">
        <v>0</v>
      </c>
      <c r="U510">
        <v>405</v>
      </c>
      <c r="V510">
        <v>421.2</v>
      </c>
      <c r="W510" t="str">
        <f t="shared" si="138"/>
        <v>rob</v>
      </c>
    </row>
    <row r="511" spans="1:23">
      <c r="A511" t="str">
        <f t="shared" ref="A511:A530" si="140">"ASM&amp;QC-MH5F-03"</f>
        <v>ASM&amp;QC-MH5F-03</v>
      </c>
      <c r="B511" t="str">
        <f>"00-0436-0000"</f>
        <v>00-0436-0000</v>
      </c>
      <c r="C511" t="str">
        <f>"MH5F compact high-speed 6-axis Robot"</f>
        <v>MH5F compact high-speed 6-axis Robot</v>
      </c>
      <c r="D511">
        <v>1</v>
      </c>
      <c r="E511" t="str">
        <f t="shared" ref="E511:E530" si="141">"Assembly&amp;Quality Control MOTOMAN  MH5F (Ballgame &amp; Vision &amp; Caliper)"</f>
        <v>Assembly&amp;Quality Control MOTOMAN  MH5F (Ballgame &amp; Vision &amp; Caliper)</v>
      </c>
      <c r="F511">
        <v>504</v>
      </c>
      <c r="G511" t="str">
        <f t="shared" si="124"/>
        <v>Y</v>
      </c>
      <c r="H511" t="str">
        <f t="shared" ref="H511:H529" si="142">"EA"</f>
        <v>EA</v>
      </c>
      <c r="I511">
        <v>0</v>
      </c>
      <c r="J511">
        <v>0</v>
      </c>
      <c r="K511" t="str">
        <f t="shared" si="125"/>
        <v>Y</v>
      </c>
      <c r="L511">
        <v>0</v>
      </c>
      <c r="M511" t="str">
        <f t="shared" si="126"/>
        <v>NIS</v>
      </c>
      <c r="O511">
        <v>1</v>
      </c>
      <c r="P511" t="str">
        <f t="shared" si="139"/>
        <v>Active</v>
      </c>
      <c r="Q511" t="str">
        <f>"MH5F compact high-speed 6-axis Robot"</f>
        <v>MH5F compact high-speed 6-axis Robot</v>
      </c>
      <c r="S511" t="str">
        <f>"MH5F compact high-speed 6-axis Robot"</f>
        <v>MH5F compact high-speed 6-axis Robot</v>
      </c>
      <c r="T511">
        <v>0</v>
      </c>
      <c r="U511" s="44">
        <v>23500</v>
      </c>
      <c r="V511" s="44">
        <v>16049.14</v>
      </c>
      <c r="W511" t="str">
        <f t="shared" si="138"/>
        <v>rob</v>
      </c>
    </row>
    <row r="512" spans="1:23">
      <c r="A512" t="str">
        <f t="shared" si="140"/>
        <v>ASM&amp;QC-MH5F-03</v>
      </c>
      <c r="B512" t="str">
        <f>"00-0646-0000"</f>
        <v>00-0646-0000</v>
      </c>
      <c r="C512" t="str">
        <f>"Pneumatic Gripper with I/O Box for Motoman MH5F"</f>
        <v>Pneumatic Gripper with I/O Box for Motoman MH5F</v>
      </c>
      <c r="D512">
        <v>1</v>
      </c>
      <c r="E512" t="str">
        <f t="shared" si="141"/>
        <v>Assembly&amp;Quality Control MOTOMAN  MH5F (Ballgame &amp; Vision &amp; Caliper)</v>
      </c>
      <c r="F512">
        <v>504</v>
      </c>
      <c r="G512" t="str">
        <f t="shared" si="124"/>
        <v>Y</v>
      </c>
      <c r="H512" t="str">
        <f t="shared" si="142"/>
        <v>EA</v>
      </c>
      <c r="I512">
        <v>0</v>
      </c>
      <c r="J512">
        <v>0</v>
      </c>
      <c r="K512" t="str">
        <f t="shared" si="125"/>
        <v>Y</v>
      </c>
      <c r="L512">
        <v>0</v>
      </c>
      <c r="M512" t="str">
        <f t="shared" si="126"/>
        <v>NIS</v>
      </c>
      <c r="O512">
        <v>2</v>
      </c>
      <c r="P512" t="str">
        <f t="shared" si="139"/>
        <v>Active</v>
      </c>
      <c r="Q512" t="str">
        <f>"Pneumatic Gripper with I/O Box for Motoman MH5F"</f>
        <v>Pneumatic Gripper with I/O Box for Motoman MH5F</v>
      </c>
      <c r="S512" t="str">
        <f>"Pneumatic Gripper with I/O Box for Motoman MH5F"</f>
        <v>Pneumatic Gripper with I/O Box for Motoman MH5F</v>
      </c>
      <c r="T512">
        <v>0</v>
      </c>
      <c r="U512" s="44">
        <v>1500</v>
      </c>
      <c r="V512" s="44">
        <v>1238.52</v>
      </c>
      <c r="W512" t="str">
        <f t="shared" si="138"/>
        <v>rob</v>
      </c>
    </row>
    <row r="513" spans="1:23">
      <c r="A513" t="str">
        <f t="shared" si="140"/>
        <v>ASM&amp;QC-MH5F-03</v>
      </c>
      <c r="B513" t="str">
        <f>"021031"</f>
        <v>021031</v>
      </c>
      <c r="C513" t="str">
        <f>"Buffer for Template"</f>
        <v>Buffer for Template</v>
      </c>
      <c r="D513">
        <v>4</v>
      </c>
      <c r="E513" t="str">
        <f t="shared" si="141"/>
        <v>Assembly&amp;Quality Control MOTOMAN  MH5F (Ballgame &amp; Vision &amp; Caliper)</v>
      </c>
      <c r="F513">
        <v>504</v>
      </c>
      <c r="G513" t="str">
        <f t="shared" si="124"/>
        <v>Y</v>
      </c>
      <c r="H513" t="str">
        <f t="shared" si="142"/>
        <v>EA</v>
      </c>
      <c r="I513">
        <v>0</v>
      </c>
      <c r="J513">
        <v>0</v>
      </c>
      <c r="K513" t="str">
        <f t="shared" si="125"/>
        <v>Y</v>
      </c>
      <c r="L513">
        <v>0</v>
      </c>
      <c r="M513" t="str">
        <f t="shared" si="126"/>
        <v>NIS</v>
      </c>
      <c r="O513">
        <v>3</v>
      </c>
      <c r="P513" t="str">
        <f t="shared" si="139"/>
        <v>Active</v>
      </c>
      <c r="Q513" t="str">
        <f>"מכלול- בסיס לטמפלט CIM"</f>
        <v>מכלול- בסיס לטמפלט CIM</v>
      </c>
      <c r="R513" t="str">
        <f>"1"</f>
        <v>1</v>
      </c>
      <c r="S513" t="str">
        <f>"מכלול- בסיס לטמפלט CIM"</f>
        <v>מכלול- בסיס לטמפלט CIM</v>
      </c>
      <c r="T513">
        <v>0</v>
      </c>
      <c r="U513">
        <v>18.329999999999998</v>
      </c>
      <c r="V513">
        <v>13.48</v>
      </c>
      <c r="W513" t="str">
        <f t="shared" si="138"/>
        <v>rob</v>
      </c>
    </row>
    <row r="514" spans="1:23">
      <c r="A514" t="str">
        <f t="shared" si="140"/>
        <v>ASM&amp;QC-MH5F-03</v>
      </c>
      <c r="B514" t="str">
        <f>"00-1110-0000"</f>
        <v>00-1110-0000</v>
      </c>
      <c r="C514" t="str">
        <f>"Palletizing Rack"</f>
        <v>Palletizing Rack</v>
      </c>
      <c r="D514">
        <v>2</v>
      </c>
      <c r="E514" t="str">
        <f t="shared" si="141"/>
        <v>Assembly&amp;Quality Control MOTOMAN  MH5F (Ballgame &amp; Vision &amp; Caliper)</v>
      </c>
      <c r="F514">
        <v>504</v>
      </c>
      <c r="G514" t="str">
        <f t="shared" ref="G514:G577" si="143">"Y"</f>
        <v>Y</v>
      </c>
      <c r="H514" t="str">
        <f t="shared" si="142"/>
        <v>EA</v>
      </c>
      <c r="I514">
        <v>0</v>
      </c>
      <c r="J514">
        <v>0</v>
      </c>
      <c r="K514" t="str">
        <f t="shared" ref="K514:K577" si="144">"Y"</f>
        <v>Y</v>
      </c>
      <c r="L514">
        <v>0</v>
      </c>
      <c r="M514" t="str">
        <f t="shared" ref="M514:M577" si="145">"NIS"</f>
        <v>NIS</v>
      </c>
      <c r="O514">
        <v>4</v>
      </c>
      <c r="P514" t="str">
        <f t="shared" si="139"/>
        <v>Active</v>
      </c>
      <c r="Q514" t="str">
        <f>"Palletizing Rack (incl. Pins for creating Jigs)"</f>
        <v>Palletizing Rack (incl. Pins for creating Jigs)</v>
      </c>
      <c r="S514" t="str">
        <f>"Palletizing Rack (incl. Pins for creating Jigs)"</f>
        <v>Palletizing Rack (incl. Pins for creating Jigs)</v>
      </c>
      <c r="T514">
        <v>0</v>
      </c>
      <c r="U514">
        <v>63</v>
      </c>
      <c r="V514">
        <v>58.59</v>
      </c>
      <c r="W514" t="str">
        <f t="shared" si="138"/>
        <v>rob</v>
      </c>
    </row>
    <row r="515" spans="1:23">
      <c r="A515" t="str">
        <f t="shared" si="140"/>
        <v>ASM&amp;QC-MH5F-03</v>
      </c>
      <c r="B515" t="str">
        <f>"021177"</f>
        <v>021177</v>
      </c>
      <c r="C515" t="str">
        <f>"30mm Height Adapter -Rack 001110 on formica 19mm"</f>
        <v>30mm Height Adapter -Rack 001110 on formica 19mm</v>
      </c>
      <c r="D515">
        <v>2</v>
      </c>
      <c r="E515" t="str">
        <f t="shared" si="141"/>
        <v>Assembly&amp;Quality Control MOTOMAN  MH5F (Ballgame &amp; Vision &amp; Caliper)</v>
      </c>
      <c r="F515">
        <v>504</v>
      </c>
      <c r="G515" t="str">
        <f t="shared" si="143"/>
        <v>Y</v>
      </c>
      <c r="H515" t="str">
        <f t="shared" si="142"/>
        <v>EA</v>
      </c>
      <c r="I515">
        <v>0</v>
      </c>
      <c r="J515">
        <v>0</v>
      </c>
      <c r="K515" t="str">
        <f t="shared" si="144"/>
        <v>Y</v>
      </c>
      <c r="L515">
        <v>0</v>
      </c>
      <c r="M515" t="str">
        <f t="shared" si="145"/>
        <v>NIS</v>
      </c>
      <c r="O515">
        <v>5</v>
      </c>
      <c r="P515" t="str">
        <f t="shared" si="139"/>
        <v>Active</v>
      </c>
      <c r="Q515" t="str">
        <f>"30mm Height Adapter -Rack 001110 on formica 19mm"</f>
        <v>30mm Height Adapter -Rack 001110 on formica 19mm</v>
      </c>
      <c r="S515" t="str">
        <f>"30mm Height Adapter -Rack 001110 on formica 19mm"</f>
        <v>30mm Height Adapter -Rack 001110 on formica 19mm</v>
      </c>
      <c r="T515">
        <v>0</v>
      </c>
      <c r="U515">
        <v>4.92</v>
      </c>
      <c r="V515">
        <v>8.43</v>
      </c>
      <c r="W515" t="str">
        <f t="shared" si="138"/>
        <v>rob</v>
      </c>
    </row>
    <row r="516" spans="1:23">
      <c r="A516" t="str">
        <f t="shared" si="140"/>
        <v>ASM&amp;QC-MH5F-03</v>
      </c>
      <c r="B516" t="str">
        <f>"21-0004-0000"</f>
        <v>21-0004-0000</v>
      </c>
      <c r="C516" t="str">
        <f>"Assembly, Dual Axis Air Vise Mechanicals"</f>
        <v>Assembly, Dual Axis Air Vise Mechanicals</v>
      </c>
      <c r="D516">
        <v>1</v>
      </c>
      <c r="E516" t="str">
        <f t="shared" si="141"/>
        <v>Assembly&amp;Quality Control MOTOMAN  MH5F (Ballgame &amp; Vision &amp; Caliper)</v>
      </c>
      <c r="F516">
        <v>504</v>
      </c>
      <c r="G516" t="str">
        <f t="shared" si="143"/>
        <v>Y</v>
      </c>
      <c r="H516" t="str">
        <f t="shared" si="142"/>
        <v>EA</v>
      </c>
      <c r="I516">
        <v>0</v>
      </c>
      <c r="J516">
        <v>0</v>
      </c>
      <c r="K516" t="str">
        <f t="shared" si="144"/>
        <v>Y</v>
      </c>
      <c r="L516">
        <v>0</v>
      </c>
      <c r="M516" t="str">
        <f t="shared" si="145"/>
        <v>NIS</v>
      </c>
      <c r="O516">
        <v>6</v>
      </c>
      <c r="P516" t="str">
        <f>"Phase Out"</f>
        <v>Phase Out</v>
      </c>
      <c r="Q516" t="str">
        <f>"Assembly, Dual Axis Air Vise Mechanicals"</f>
        <v>Assembly, Dual Axis Air Vise Mechanicals</v>
      </c>
      <c r="S516" t="str">
        <f>"Assembly, Dual Axis Air Vise Mechanicals"</f>
        <v>Assembly, Dual Axis Air Vise Mechanicals</v>
      </c>
      <c r="T516">
        <v>422.16</v>
      </c>
      <c r="U516">
        <v>422</v>
      </c>
      <c r="V516">
        <v>980.27</v>
      </c>
      <c r="W516" t="str">
        <f t="shared" si="138"/>
        <v>rob</v>
      </c>
    </row>
    <row r="517" spans="1:23">
      <c r="A517" t="str">
        <f t="shared" si="140"/>
        <v>ASM&amp;QC-MH5F-03</v>
      </c>
      <c r="B517" t="str">
        <f>"10-2523-4000"</f>
        <v>10-2523-4000</v>
      </c>
      <c r="C517" t="str">
        <f>"Solenoid Valve (24V) for Pipe 3 mm"</f>
        <v>Solenoid Valve (24V) for Pipe 3 mm</v>
      </c>
      <c r="D517">
        <v>1</v>
      </c>
      <c r="E517" t="str">
        <f t="shared" si="141"/>
        <v>Assembly&amp;Quality Control MOTOMAN  MH5F (Ballgame &amp; Vision &amp; Caliper)</v>
      </c>
      <c r="F517">
        <v>504</v>
      </c>
      <c r="G517" t="str">
        <f t="shared" si="143"/>
        <v>Y</v>
      </c>
      <c r="H517" t="str">
        <f t="shared" si="142"/>
        <v>EA</v>
      </c>
      <c r="I517">
        <v>0</v>
      </c>
      <c r="J517">
        <v>0</v>
      </c>
      <c r="K517" t="str">
        <f t="shared" si="144"/>
        <v>Y</v>
      </c>
      <c r="L517">
        <v>0</v>
      </c>
      <c r="M517" t="str">
        <f t="shared" si="145"/>
        <v>NIS</v>
      </c>
      <c r="O517">
        <v>7</v>
      </c>
      <c r="P517" t="str">
        <f t="shared" ref="P517:P537" si="146">"Active"</f>
        <v>Active</v>
      </c>
      <c r="Q517" t="str">
        <f>"Solenoid Valve (24V) for Pipe 3 mm"</f>
        <v>Solenoid Valve (24V) for Pipe 3 mm</v>
      </c>
      <c r="S517" t="str">
        <f>"Solenoid Valve (24V) for Pipe 3 mm"</f>
        <v>Solenoid Valve (24V) for Pipe 3 mm</v>
      </c>
      <c r="T517">
        <v>0</v>
      </c>
      <c r="U517">
        <v>137</v>
      </c>
      <c r="V517">
        <v>133.35</v>
      </c>
      <c r="W517" t="str">
        <f t="shared" si="138"/>
        <v>rob</v>
      </c>
    </row>
    <row r="518" spans="1:23">
      <c r="A518" t="str">
        <f t="shared" si="140"/>
        <v>ASM&amp;QC-MH5F-03</v>
      </c>
      <c r="B518" t="str">
        <f>"00-1230-0000"</f>
        <v>00-1230-0000</v>
      </c>
      <c r="C518" t="str">
        <f>"Ball Feeder (incl. sensor for ball counting)"</f>
        <v>Ball Feeder (incl. sensor for ball counting)</v>
      </c>
      <c r="D518">
        <v>1</v>
      </c>
      <c r="E518" t="str">
        <f t="shared" si="141"/>
        <v>Assembly&amp;Quality Control MOTOMAN  MH5F (Ballgame &amp; Vision &amp; Caliper)</v>
      </c>
      <c r="F518">
        <v>504</v>
      </c>
      <c r="G518" t="str">
        <f t="shared" si="143"/>
        <v>Y</v>
      </c>
      <c r="H518" t="str">
        <f t="shared" si="142"/>
        <v>EA</v>
      </c>
      <c r="I518">
        <v>0</v>
      </c>
      <c r="J518">
        <v>0</v>
      </c>
      <c r="K518" t="str">
        <f t="shared" si="144"/>
        <v>Y</v>
      </c>
      <c r="L518">
        <v>0</v>
      </c>
      <c r="M518" t="str">
        <f t="shared" si="145"/>
        <v>NIS</v>
      </c>
      <c r="O518">
        <v>8</v>
      </c>
      <c r="P518" t="str">
        <f t="shared" si="146"/>
        <v>Active</v>
      </c>
      <c r="Q518" t="str">
        <f>"Ball Feeder (incl. sensor for ball counting)"</f>
        <v>Ball Feeder (incl. sensor for ball counting)</v>
      </c>
      <c r="S518" t="str">
        <f>"Ball Feeder (incl. sensor for ball counting)"</f>
        <v>Ball Feeder (incl. sensor for ball counting)</v>
      </c>
      <c r="T518">
        <v>0</v>
      </c>
      <c r="U518">
        <v>536</v>
      </c>
      <c r="V518">
        <v>530.72</v>
      </c>
      <c r="W518" t="str">
        <f t="shared" si="138"/>
        <v>rob</v>
      </c>
    </row>
    <row r="519" spans="1:23">
      <c r="A519" t="str">
        <f t="shared" si="140"/>
        <v>ASM&amp;QC-MH5F-03</v>
      </c>
      <c r="B519" t="str">
        <f>"00-1243-0000"</f>
        <v>00-1243-0000</v>
      </c>
      <c r="C519" t="str">
        <f>"Ball Game Set (Assembly with Plastic Pins)"</f>
        <v>Ball Game Set (Assembly with Plastic Pins)</v>
      </c>
      <c r="D519">
        <v>12</v>
      </c>
      <c r="E519" t="str">
        <f t="shared" si="141"/>
        <v>Assembly&amp;Quality Control MOTOMAN  MH5F (Ballgame &amp; Vision &amp; Caliper)</v>
      </c>
      <c r="F519">
        <v>504</v>
      </c>
      <c r="G519" t="str">
        <f t="shared" si="143"/>
        <v>Y</v>
      </c>
      <c r="H519" t="str">
        <f t="shared" si="142"/>
        <v>EA</v>
      </c>
      <c r="I519">
        <v>0</v>
      </c>
      <c r="J519">
        <v>0</v>
      </c>
      <c r="K519" t="str">
        <f t="shared" si="144"/>
        <v>Y</v>
      </c>
      <c r="L519">
        <v>0</v>
      </c>
      <c r="M519" t="str">
        <f t="shared" si="145"/>
        <v>NIS</v>
      </c>
      <c r="O519">
        <v>9</v>
      </c>
      <c r="P519" t="str">
        <f t="shared" si="146"/>
        <v>Active</v>
      </c>
      <c r="Q519" t="str">
        <f>"Ball Game Set (Assembly with Plastic Pins)"</f>
        <v>Ball Game Set (Assembly with Plastic Pins)</v>
      </c>
      <c r="S519" t="str">
        <f>"Ball Game Set (Assembly with Plastic Pins)"</f>
        <v>Ball Game Set (Assembly with Plastic Pins)</v>
      </c>
      <c r="T519">
        <v>0</v>
      </c>
      <c r="U519">
        <v>32</v>
      </c>
      <c r="V519">
        <v>34.770000000000003</v>
      </c>
      <c r="W519" t="str">
        <f t="shared" si="138"/>
        <v>rob</v>
      </c>
    </row>
    <row r="520" spans="1:23">
      <c r="A520" t="str">
        <f t="shared" si="140"/>
        <v>ASM&amp;QC-MH5F-03</v>
      </c>
      <c r="B520" t="str">
        <f>"10-2523-6000"</f>
        <v>10-2523-6000</v>
      </c>
      <c r="C520" t="str">
        <f>"Pneumatic Shifter (155mm stroke w. solenoid 24V)"</f>
        <v>Pneumatic Shifter (155mm stroke w. solenoid 24V)</v>
      </c>
      <c r="D520">
        <v>1</v>
      </c>
      <c r="E520" t="str">
        <f t="shared" si="141"/>
        <v>Assembly&amp;Quality Control MOTOMAN  MH5F (Ballgame &amp; Vision &amp; Caliper)</v>
      </c>
      <c r="F520">
        <v>504</v>
      </c>
      <c r="G520" t="str">
        <f t="shared" si="143"/>
        <v>Y</v>
      </c>
      <c r="H520" t="str">
        <f t="shared" si="142"/>
        <v>EA</v>
      </c>
      <c r="I520">
        <v>0</v>
      </c>
      <c r="J520">
        <v>0</v>
      </c>
      <c r="K520" t="str">
        <f t="shared" si="144"/>
        <v>Y</v>
      </c>
      <c r="L520">
        <v>0</v>
      </c>
      <c r="M520" t="str">
        <f t="shared" si="145"/>
        <v>NIS</v>
      </c>
      <c r="O520">
        <v>10</v>
      </c>
      <c r="P520" t="str">
        <f t="shared" si="146"/>
        <v>Active</v>
      </c>
      <c r="Q520" t="str">
        <f>"Pneumatic Shifter (155mm stroke w. solenoid 24V)"</f>
        <v>Pneumatic Shifter (155mm stroke w. solenoid 24V)</v>
      </c>
      <c r="S520" t="str">
        <f>"Pneumatic Shifter (155mm stroke w. solenoid 24V)"</f>
        <v>Pneumatic Shifter (155mm stroke w. solenoid 24V)</v>
      </c>
      <c r="T520">
        <v>0</v>
      </c>
      <c r="U520">
        <v>630</v>
      </c>
      <c r="V520">
        <v>687.48</v>
      </c>
      <c r="W520" t="str">
        <f t="shared" si="138"/>
        <v>rob</v>
      </c>
    </row>
    <row r="521" spans="1:23">
      <c r="A521" t="str">
        <f t="shared" si="140"/>
        <v>ASM&amp;QC-MH5F-03</v>
      </c>
      <c r="B521" t="str">
        <f>"00-1422-0000"</f>
        <v>00-1422-0000</v>
      </c>
      <c r="C521" t="str">
        <f>"Viewflex for QC (Stand 400mm)"</f>
        <v>Viewflex for QC (Stand 400mm)</v>
      </c>
      <c r="D521">
        <v>1</v>
      </c>
      <c r="E521" t="str">
        <f t="shared" si="141"/>
        <v>Assembly&amp;Quality Control MOTOMAN  MH5F (Ballgame &amp; Vision &amp; Caliper)</v>
      </c>
      <c r="F521">
        <v>504</v>
      </c>
      <c r="G521" t="str">
        <f t="shared" si="143"/>
        <v>Y</v>
      </c>
      <c r="H521" t="str">
        <f t="shared" si="142"/>
        <v>EA</v>
      </c>
      <c r="I521">
        <v>0</v>
      </c>
      <c r="J521">
        <v>0</v>
      </c>
      <c r="K521" t="str">
        <f t="shared" si="144"/>
        <v>Y</v>
      </c>
      <c r="L521">
        <v>0</v>
      </c>
      <c r="M521" t="str">
        <f t="shared" si="145"/>
        <v>NIS</v>
      </c>
      <c r="O521">
        <v>11</v>
      </c>
      <c r="P521" t="str">
        <f t="shared" si="146"/>
        <v>Active</v>
      </c>
      <c r="Q521" t="str">
        <f>"Viewflex for QC (Stand 400mm)"</f>
        <v>Viewflex for QC (Stand 400mm)</v>
      </c>
      <c r="S521" t="str">
        <f>"Viewflex for QC (Stand 400mm)"</f>
        <v>Viewflex for QC (Stand 400mm)</v>
      </c>
      <c r="T521">
        <v>0</v>
      </c>
      <c r="U521">
        <v>560</v>
      </c>
      <c r="V521">
        <v>511.35</v>
      </c>
      <c r="W521" t="str">
        <f t="shared" si="138"/>
        <v>rob</v>
      </c>
    </row>
    <row r="522" spans="1:23">
      <c r="A522" t="str">
        <f t="shared" si="140"/>
        <v>ASM&amp;QC-MH5F-03</v>
      </c>
      <c r="B522" t="str">
        <f>"113096"</f>
        <v>113096</v>
      </c>
      <c r="C522" t="str">
        <f>"Plexiglass Cylinders Base"</f>
        <v>Plexiglass Cylinders Base</v>
      </c>
      <c r="D522">
        <v>3</v>
      </c>
      <c r="E522" t="str">
        <f t="shared" si="141"/>
        <v>Assembly&amp;Quality Control MOTOMAN  MH5F (Ballgame &amp; Vision &amp; Caliper)</v>
      </c>
      <c r="F522">
        <v>504</v>
      </c>
      <c r="G522" t="str">
        <f t="shared" si="143"/>
        <v>Y</v>
      </c>
      <c r="H522" t="str">
        <f t="shared" si="142"/>
        <v>EA</v>
      </c>
      <c r="I522">
        <v>0</v>
      </c>
      <c r="J522">
        <v>0</v>
      </c>
      <c r="K522" t="str">
        <f t="shared" si="144"/>
        <v>Y</v>
      </c>
      <c r="L522">
        <v>0</v>
      </c>
      <c r="M522" t="str">
        <f t="shared" si="145"/>
        <v>NIS</v>
      </c>
      <c r="O522">
        <v>12</v>
      </c>
      <c r="P522" t="str">
        <f t="shared" si="146"/>
        <v>Active</v>
      </c>
      <c r="Q522" t="str">
        <f>"Plexiglass Cylinders Base"</f>
        <v>Plexiglass Cylinders Base</v>
      </c>
      <c r="S522" t="str">
        <f>"Plexiglass Cylinders Base"</f>
        <v>Plexiglass Cylinders Base</v>
      </c>
      <c r="T522">
        <v>0</v>
      </c>
      <c r="U522">
        <v>7</v>
      </c>
      <c r="V522">
        <v>6.83</v>
      </c>
      <c r="W522" t="str">
        <f t="shared" si="138"/>
        <v>rob</v>
      </c>
    </row>
    <row r="523" spans="1:23">
      <c r="A523" t="str">
        <f t="shared" si="140"/>
        <v>ASM&amp;QC-MH5F-03</v>
      </c>
      <c r="B523" t="str">
        <f>"112713"</f>
        <v>112713</v>
      </c>
      <c r="C523" t="str">
        <f>"Marked Aluminum Cylinder"</f>
        <v>Marked Aluminum Cylinder</v>
      </c>
      <c r="D523">
        <v>3</v>
      </c>
      <c r="E523" t="str">
        <f t="shared" si="141"/>
        <v>Assembly&amp;Quality Control MOTOMAN  MH5F (Ballgame &amp; Vision &amp; Caliper)</v>
      </c>
      <c r="F523">
        <v>504</v>
      </c>
      <c r="G523" t="str">
        <f t="shared" si="143"/>
        <v>Y</v>
      </c>
      <c r="H523" t="str">
        <f t="shared" si="142"/>
        <v>EA</v>
      </c>
      <c r="I523">
        <v>0</v>
      </c>
      <c r="J523">
        <v>0</v>
      </c>
      <c r="K523" t="str">
        <f t="shared" si="144"/>
        <v>Y</v>
      </c>
      <c r="L523">
        <v>0</v>
      </c>
      <c r="M523" t="str">
        <f t="shared" si="145"/>
        <v>NIS</v>
      </c>
      <c r="O523">
        <v>13</v>
      </c>
      <c r="P523" t="str">
        <f t="shared" si="146"/>
        <v>Active</v>
      </c>
      <c r="Q523" t="str">
        <f>"Mark Al. Cylinder Diam. 35x28"</f>
        <v>Mark Al. Cylinder Diam. 35x28</v>
      </c>
      <c r="S523" t="str">
        <f>"Mark Al. Cylinder Diam. 35x28"</f>
        <v>Mark Al. Cylinder Diam. 35x28</v>
      </c>
      <c r="T523">
        <v>0</v>
      </c>
      <c r="U523">
        <v>6</v>
      </c>
      <c r="V523">
        <v>5.97</v>
      </c>
      <c r="W523" t="str">
        <f t="shared" si="138"/>
        <v>rob</v>
      </c>
    </row>
    <row r="524" spans="1:23">
      <c r="A524" t="str">
        <f t="shared" si="140"/>
        <v>ASM&amp;QC-MH5F-03</v>
      </c>
      <c r="B524" t="str">
        <f>"113316"</f>
        <v>113316</v>
      </c>
      <c r="C524" t="str">
        <f>"Parts Bin"</f>
        <v>Parts Bin</v>
      </c>
      <c r="D524">
        <v>1</v>
      </c>
      <c r="E524" t="str">
        <f t="shared" si="141"/>
        <v>Assembly&amp;Quality Control MOTOMAN  MH5F (Ballgame &amp; Vision &amp; Caliper)</v>
      </c>
      <c r="F524">
        <v>504</v>
      </c>
      <c r="G524" t="str">
        <f t="shared" si="143"/>
        <v>Y</v>
      </c>
      <c r="H524" t="str">
        <f t="shared" si="142"/>
        <v>EA</v>
      </c>
      <c r="I524">
        <v>0</v>
      </c>
      <c r="J524">
        <v>0</v>
      </c>
      <c r="K524" t="str">
        <f t="shared" si="144"/>
        <v>Y</v>
      </c>
      <c r="L524">
        <v>0</v>
      </c>
      <c r="M524" t="str">
        <f t="shared" si="145"/>
        <v>NIS</v>
      </c>
      <c r="O524">
        <v>14</v>
      </c>
      <c r="P524" t="str">
        <f t="shared" si="146"/>
        <v>Active</v>
      </c>
      <c r="Q524" t="str">
        <f>"Parts Bin; Plastic Box"</f>
        <v>Parts Bin; Plastic Box</v>
      </c>
      <c r="R524" t="str">
        <f>"1"</f>
        <v>1</v>
      </c>
      <c r="S524" t="str">
        <f>"Parts Bin; Plastic Box"</f>
        <v>Parts Bin; Plastic Box</v>
      </c>
      <c r="T524">
        <v>0</v>
      </c>
      <c r="U524">
        <v>8.0399999999999991</v>
      </c>
      <c r="V524">
        <v>6.39</v>
      </c>
      <c r="W524" t="str">
        <f t="shared" si="138"/>
        <v>rob</v>
      </c>
    </row>
    <row r="525" spans="1:23">
      <c r="A525" t="str">
        <f t="shared" si="140"/>
        <v>ASM&amp;QC-MH5F-03</v>
      </c>
      <c r="B525" t="str">
        <f>"00-1254-0000"</f>
        <v>00-1254-0000</v>
      </c>
      <c r="C525" t="str">
        <f>"Automated Stationary Caliper Unit"</f>
        <v>Automated Stationary Caliper Unit</v>
      </c>
      <c r="D525">
        <v>1</v>
      </c>
      <c r="E525" t="str">
        <f t="shared" si="141"/>
        <v>Assembly&amp;Quality Control MOTOMAN  MH5F (Ballgame &amp; Vision &amp; Caliper)</v>
      </c>
      <c r="F525">
        <v>504</v>
      </c>
      <c r="G525" t="str">
        <f t="shared" si="143"/>
        <v>Y</v>
      </c>
      <c r="H525" t="str">
        <f t="shared" si="142"/>
        <v>EA</v>
      </c>
      <c r="I525">
        <v>0</v>
      </c>
      <c r="J525">
        <v>0</v>
      </c>
      <c r="K525" t="str">
        <f t="shared" si="144"/>
        <v>Y</v>
      </c>
      <c r="L525">
        <v>0</v>
      </c>
      <c r="M525" t="str">
        <f t="shared" si="145"/>
        <v>NIS</v>
      </c>
      <c r="O525">
        <v>15</v>
      </c>
      <c r="P525" t="str">
        <f t="shared" si="146"/>
        <v>Active</v>
      </c>
      <c r="Q525" t="str">
        <f>"Automat Stationary Caliper  Unit"</f>
        <v>Automat Stationary Caliper  Unit</v>
      </c>
      <c r="S525" t="str">
        <f>"Automat Stationary Caliper  Unit"</f>
        <v>Automat Stationary Caliper  Unit</v>
      </c>
      <c r="T525">
        <v>0</v>
      </c>
      <c r="U525" s="44">
        <v>1165.92</v>
      </c>
      <c r="V525" s="44">
        <v>1246.44</v>
      </c>
      <c r="W525" t="str">
        <f t="shared" si="138"/>
        <v>rob</v>
      </c>
    </row>
    <row r="526" spans="1:23">
      <c r="A526" t="str">
        <f t="shared" si="140"/>
        <v>ASM&amp;QC-MH5F-03</v>
      </c>
      <c r="B526" t="str">
        <f>"113316"</f>
        <v>113316</v>
      </c>
      <c r="C526" t="str">
        <f>"Parts Bin"</f>
        <v>Parts Bin</v>
      </c>
      <c r="D526">
        <v>1</v>
      </c>
      <c r="E526" t="str">
        <f t="shared" si="141"/>
        <v>Assembly&amp;Quality Control MOTOMAN  MH5F (Ballgame &amp; Vision &amp; Caliper)</v>
      </c>
      <c r="F526">
        <v>504</v>
      </c>
      <c r="G526" t="str">
        <f t="shared" si="143"/>
        <v>Y</v>
      </c>
      <c r="H526" t="str">
        <f t="shared" si="142"/>
        <v>EA</v>
      </c>
      <c r="I526">
        <v>0</v>
      </c>
      <c r="J526">
        <v>0</v>
      </c>
      <c r="K526" t="str">
        <f t="shared" si="144"/>
        <v>Y</v>
      </c>
      <c r="L526">
        <v>0</v>
      </c>
      <c r="M526" t="str">
        <f t="shared" si="145"/>
        <v>NIS</v>
      </c>
      <c r="O526">
        <v>16</v>
      </c>
      <c r="P526" t="str">
        <f t="shared" si="146"/>
        <v>Active</v>
      </c>
      <c r="Q526" t="str">
        <f>"Parts Bin; Plastic Box"</f>
        <v>Parts Bin; Plastic Box</v>
      </c>
      <c r="R526" t="str">
        <f>"1"</f>
        <v>1</v>
      </c>
      <c r="S526" t="str">
        <f>"Parts Bin; Plastic Box"</f>
        <v>Parts Bin; Plastic Box</v>
      </c>
      <c r="T526">
        <v>0</v>
      </c>
      <c r="U526">
        <v>8.0399999999999991</v>
      </c>
      <c r="V526">
        <v>6.39</v>
      </c>
      <c r="W526" t="str">
        <f t="shared" si="138"/>
        <v>rob</v>
      </c>
    </row>
    <row r="527" spans="1:23">
      <c r="A527" t="str">
        <f t="shared" si="140"/>
        <v>ASM&amp;QC-MH5F-03</v>
      </c>
      <c r="B527" t="str">
        <f>"00-1284-0000"</f>
        <v>00-1284-0000</v>
      </c>
      <c r="C527" t="str">
        <f>"Robot Pedestal Welded for ER9/14Pro&amp;MH5"</f>
        <v>Robot Pedestal Welded for ER9/14Pro&amp;MH5</v>
      </c>
      <c r="D527">
        <v>1</v>
      </c>
      <c r="E527" t="str">
        <f t="shared" si="141"/>
        <v>Assembly&amp;Quality Control MOTOMAN  MH5F (Ballgame &amp; Vision &amp; Caliper)</v>
      </c>
      <c r="F527">
        <v>504</v>
      </c>
      <c r="G527" t="str">
        <f t="shared" si="143"/>
        <v>Y</v>
      </c>
      <c r="H527" t="str">
        <f t="shared" si="142"/>
        <v>EA</v>
      </c>
      <c r="I527">
        <v>0</v>
      </c>
      <c r="J527">
        <v>0</v>
      </c>
      <c r="K527" t="str">
        <f t="shared" si="144"/>
        <v>Y</v>
      </c>
      <c r="L527">
        <v>0</v>
      </c>
      <c r="M527" t="str">
        <f t="shared" si="145"/>
        <v>NIS</v>
      </c>
      <c r="O527">
        <v>17</v>
      </c>
      <c r="P527" t="str">
        <f t="shared" si="146"/>
        <v>Active</v>
      </c>
      <c r="Q527" t="str">
        <f>"Robot Pedestal Welded for ER9/14Pro&amp;MH5"</f>
        <v>Robot Pedestal Welded for ER9/14Pro&amp;MH5</v>
      </c>
      <c r="S527" t="str">
        <f>"Robot Pedestal Welded for ER9/14Pro&amp;MH5"</f>
        <v>Robot Pedestal Welded for ER9/14Pro&amp;MH5</v>
      </c>
      <c r="T527">
        <v>0</v>
      </c>
      <c r="U527">
        <v>723.91</v>
      </c>
      <c r="V527">
        <v>671.12</v>
      </c>
      <c r="W527" t="str">
        <f t="shared" si="138"/>
        <v>rob</v>
      </c>
    </row>
    <row r="528" spans="1:23">
      <c r="A528" t="str">
        <f t="shared" si="140"/>
        <v>ASM&amp;QC-MH5F-03</v>
      </c>
      <c r="B528" t="str">
        <f>"00-1293-0000"</f>
        <v>00-1293-0000</v>
      </c>
      <c r="C528" t="str">
        <f>"Mobile Workbench 1500x1140mm (incl. Wheels)"</f>
        <v>Mobile Workbench 1500x1140mm (incl. Wheels)</v>
      </c>
      <c r="D528">
        <v>1</v>
      </c>
      <c r="E528" t="str">
        <f t="shared" si="141"/>
        <v>Assembly&amp;Quality Control MOTOMAN  MH5F (Ballgame &amp; Vision &amp; Caliper)</v>
      </c>
      <c r="F528">
        <v>504</v>
      </c>
      <c r="G528" t="str">
        <f t="shared" si="143"/>
        <v>Y</v>
      </c>
      <c r="H528" t="str">
        <f t="shared" si="142"/>
        <v>EA</v>
      </c>
      <c r="I528">
        <v>0</v>
      </c>
      <c r="J528">
        <v>0</v>
      </c>
      <c r="K528" t="str">
        <f t="shared" si="144"/>
        <v>Y</v>
      </c>
      <c r="L528">
        <v>0</v>
      </c>
      <c r="M528" t="str">
        <f t="shared" si="145"/>
        <v>NIS</v>
      </c>
      <c r="O528">
        <v>18</v>
      </c>
      <c r="P528" t="str">
        <f t="shared" si="146"/>
        <v>Active</v>
      </c>
      <c r="Q528" t="str">
        <f>"Mobile Workbench 1500x1140mm (incl. Wheels)"</f>
        <v>Mobile Workbench 1500x1140mm (incl. Wheels)</v>
      </c>
      <c r="S528" t="str">
        <f>"Mobile Workbench 1500x1140mm (incl. Wheels)"</f>
        <v>Mobile Workbench 1500x1140mm (incl. Wheels)</v>
      </c>
      <c r="T528">
        <v>0</v>
      </c>
      <c r="U528">
        <v>860</v>
      </c>
      <c r="V528">
        <v>809.36</v>
      </c>
      <c r="W528" t="str">
        <f t="shared" si="138"/>
        <v>rob</v>
      </c>
    </row>
    <row r="529" spans="1:23">
      <c r="A529" t="str">
        <f t="shared" si="140"/>
        <v>ASM&amp;QC-MH5F-03</v>
      </c>
      <c r="B529" t="str">
        <f>"00-1290-0000"</f>
        <v>00-1290-0000</v>
      </c>
      <c r="C529" t="str">
        <f>"PC Table 630x800mm (with Keyboard Drawer)"</f>
        <v>PC Table 630x800mm (with Keyboard Drawer)</v>
      </c>
      <c r="D529">
        <v>1</v>
      </c>
      <c r="E529" t="str">
        <f t="shared" si="141"/>
        <v>Assembly&amp;Quality Control MOTOMAN  MH5F (Ballgame &amp; Vision &amp; Caliper)</v>
      </c>
      <c r="F529">
        <v>504</v>
      </c>
      <c r="G529" t="str">
        <f t="shared" si="143"/>
        <v>Y</v>
      </c>
      <c r="H529" t="str">
        <f t="shared" si="142"/>
        <v>EA</v>
      </c>
      <c r="I529">
        <v>0</v>
      </c>
      <c r="J529">
        <v>0</v>
      </c>
      <c r="K529" t="str">
        <f t="shared" si="144"/>
        <v>Y</v>
      </c>
      <c r="L529">
        <v>0</v>
      </c>
      <c r="M529" t="str">
        <f t="shared" si="145"/>
        <v>NIS</v>
      </c>
      <c r="O529">
        <v>19</v>
      </c>
      <c r="P529" t="str">
        <f t="shared" si="146"/>
        <v>Active</v>
      </c>
      <c r="Q529" t="str">
        <f>"PC Table 630x800mm (with Keyboard Drawer)"</f>
        <v>PC Table 630x800mm (with Keyboard Drawer)</v>
      </c>
      <c r="S529" t="str">
        <f>"PC Table 630x800mm (with Keyboard Drawer)"</f>
        <v>PC Table 630x800mm (with Keyboard Drawer)</v>
      </c>
      <c r="T529">
        <v>0</v>
      </c>
      <c r="U529">
        <v>405.86</v>
      </c>
      <c r="V529">
        <v>329.34</v>
      </c>
      <c r="W529" t="str">
        <f t="shared" si="138"/>
        <v>rob</v>
      </c>
    </row>
    <row r="530" spans="1:23">
      <c r="A530" t="str">
        <f t="shared" si="140"/>
        <v>ASM&amp;QC-MH5F-03</v>
      </c>
      <c r="B530" t="str">
        <f>"50-0094-0000"</f>
        <v>50-0094-0000</v>
      </c>
      <c r="C530" t="str">
        <f>"Pre-Engineering, Design and Testing"</f>
        <v>Pre-Engineering, Design and Testing</v>
      </c>
      <c r="D530">
        <v>1</v>
      </c>
      <c r="E530" t="str">
        <f t="shared" si="141"/>
        <v>Assembly&amp;Quality Control MOTOMAN  MH5F (Ballgame &amp; Vision &amp; Caliper)</v>
      </c>
      <c r="F530">
        <v>504</v>
      </c>
      <c r="G530" t="str">
        <f t="shared" si="143"/>
        <v>Y</v>
      </c>
      <c r="H530" t="str">
        <f>"DA"</f>
        <v>DA</v>
      </c>
      <c r="I530">
        <v>0</v>
      </c>
      <c r="J530">
        <v>0</v>
      </c>
      <c r="K530" t="str">
        <f t="shared" si="144"/>
        <v>Y</v>
      </c>
      <c r="L530">
        <v>0</v>
      </c>
      <c r="M530" t="str">
        <f t="shared" si="145"/>
        <v>NIS</v>
      </c>
      <c r="O530">
        <v>20</v>
      </c>
      <c r="P530" t="str">
        <f t="shared" si="146"/>
        <v>Active</v>
      </c>
      <c r="Q530" t="str">
        <f>"Pre-Engineering, Design and Testing"</f>
        <v>Pre-Engineering, Design and Testing</v>
      </c>
      <c r="S530" t="str">
        <f>"Pre-Engineering, Design and Testing"</f>
        <v>Pre-Engineering, Design and Testing</v>
      </c>
      <c r="T530">
        <v>0</v>
      </c>
      <c r="U530">
        <v>405</v>
      </c>
      <c r="V530">
        <v>421.2</v>
      </c>
      <c r="W530" t="str">
        <f t="shared" si="138"/>
        <v>rob</v>
      </c>
    </row>
    <row r="531" spans="1:23">
      <c r="A531" t="str">
        <f t="shared" ref="A531:A545" si="147">"ASM-ER14P-01"</f>
        <v>ASM-ER14P-01</v>
      </c>
      <c r="B531" t="str">
        <f>"00-0432-0000"</f>
        <v>00-0432-0000</v>
      </c>
      <c r="C531" t="str">
        <f>"SCORA-ER 14Pro"</f>
        <v>SCORA-ER 14Pro</v>
      </c>
      <c r="D531">
        <v>1</v>
      </c>
      <c r="E531" t="str">
        <f t="shared" ref="E531:E545" si="148">"Assembly Station with Scora-ER14 Scara robot (Ballgame)"</f>
        <v>Assembly Station with Scora-ER14 Scara robot (Ballgame)</v>
      </c>
      <c r="F531">
        <v>503</v>
      </c>
      <c r="G531" t="str">
        <f t="shared" si="143"/>
        <v>Y</v>
      </c>
      <c r="H531" t="str">
        <f t="shared" ref="H531:H544" si="149">"EA"</f>
        <v>EA</v>
      </c>
      <c r="I531">
        <v>0</v>
      </c>
      <c r="J531">
        <v>0</v>
      </c>
      <c r="K531" t="str">
        <f t="shared" si="144"/>
        <v>Y</v>
      </c>
      <c r="L531">
        <v>0</v>
      </c>
      <c r="M531" t="str">
        <f t="shared" si="145"/>
        <v>NIS</v>
      </c>
      <c r="O531">
        <v>1</v>
      </c>
      <c r="P531" t="str">
        <f t="shared" si="146"/>
        <v>Active</v>
      </c>
      <c r="Q531" t="str">
        <f>"SCORA-ER 14Pro (incl. USB-Pro Controller)"</f>
        <v>SCORA-ER 14Pro (incl. USB-Pro Controller)</v>
      </c>
      <c r="S531" t="str">
        <f>"SCORA-ER 14Pro (incl. USB-Pro Controller)"</f>
        <v>SCORA-ER 14Pro (incl. USB-Pro Controller)</v>
      </c>
      <c r="T531">
        <v>0</v>
      </c>
      <c r="U531" s="44">
        <v>11400</v>
      </c>
      <c r="V531" s="44">
        <v>12383.77</v>
      </c>
      <c r="W531" t="str">
        <f t="shared" si="138"/>
        <v>rob</v>
      </c>
    </row>
    <row r="532" spans="1:23">
      <c r="A532" t="str">
        <f t="shared" si="147"/>
        <v>ASM-ER14P-01</v>
      </c>
      <c r="B532" t="str">
        <f>"00-0634-0000"</f>
        <v>00-0634-0000</v>
      </c>
      <c r="C532" t="str">
        <f>"Pneumatic Gripper for ER 14Pro"</f>
        <v>Pneumatic Gripper for ER 14Pro</v>
      </c>
      <c r="D532">
        <v>1</v>
      </c>
      <c r="E532" t="str">
        <f t="shared" si="148"/>
        <v>Assembly Station with Scora-ER14 Scara robot (Ballgame)</v>
      </c>
      <c r="F532">
        <v>503</v>
      </c>
      <c r="G532" t="str">
        <f t="shared" si="143"/>
        <v>Y</v>
      </c>
      <c r="H532" t="str">
        <f t="shared" si="149"/>
        <v>EA</v>
      </c>
      <c r="I532">
        <v>0</v>
      </c>
      <c r="J532">
        <v>0</v>
      </c>
      <c r="K532" t="str">
        <f t="shared" si="144"/>
        <v>Y</v>
      </c>
      <c r="L532">
        <v>0</v>
      </c>
      <c r="M532" t="str">
        <f t="shared" si="145"/>
        <v>NIS</v>
      </c>
      <c r="O532">
        <v>2</v>
      </c>
      <c r="P532" t="str">
        <f t="shared" si="146"/>
        <v>Active</v>
      </c>
      <c r="Q532" t="str">
        <f>"Pneumatic Gripper for ER 14Pro"</f>
        <v>Pneumatic Gripper for ER 14Pro</v>
      </c>
      <c r="S532" t="str">
        <f>"Pneumatic Gripper for ER 14Pro"</f>
        <v>Pneumatic Gripper for ER 14Pro</v>
      </c>
      <c r="T532">
        <v>0</v>
      </c>
      <c r="U532">
        <v>651</v>
      </c>
      <c r="V532">
        <v>647.6</v>
      </c>
      <c r="W532" t="str">
        <f t="shared" si="138"/>
        <v>rob</v>
      </c>
    </row>
    <row r="533" spans="1:23">
      <c r="A533" t="str">
        <f t="shared" si="147"/>
        <v>ASM-ER14P-01</v>
      </c>
      <c r="B533" t="str">
        <f>"00-1710-0000"</f>
        <v>00-1710-0000</v>
      </c>
      <c r="C533" t="str">
        <f>"Teach Pendant"</f>
        <v>Teach Pendant</v>
      </c>
      <c r="D533">
        <v>1</v>
      </c>
      <c r="E533" t="str">
        <f t="shared" si="148"/>
        <v>Assembly Station with Scora-ER14 Scara robot (Ballgame)</v>
      </c>
      <c r="F533">
        <v>503</v>
      </c>
      <c r="G533" t="str">
        <f t="shared" si="143"/>
        <v>Y</v>
      </c>
      <c r="H533" t="str">
        <f t="shared" si="149"/>
        <v>EA</v>
      </c>
      <c r="I533">
        <v>0</v>
      </c>
      <c r="J533">
        <v>0</v>
      </c>
      <c r="K533" t="str">
        <f t="shared" si="144"/>
        <v>Y</v>
      </c>
      <c r="L533">
        <v>0</v>
      </c>
      <c r="M533" t="str">
        <f t="shared" si="145"/>
        <v>NIS</v>
      </c>
      <c r="O533">
        <v>3</v>
      </c>
      <c r="P533" t="str">
        <f t="shared" si="146"/>
        <v>Active</v>
      </c>
      <c r="Q533" t="str">
        <f>"Teach Pendant for USB/USB Pro Controllers"</f>
        <v>Teach Pendant for USB/USB Pro Controllers</v>
      </c>
      <c r="S533" t="str">
        <f>"Teach Pendant for USB/USB Pro Controllers"</f>
        <v>Teach Pendant for USB/USB Pro Controllers</v>
      </c>
      <c r="T533">
        <v>0</v>
      </c>
      <c r="U533">
        <v>160.18</v>
      </c>
      <c r="V533">
        <v>161.44999999999999</v>
      </c>
      <c r="W533" t="str">
        <f t="shared" si="138"/>
        <v>rob</v>
      </c>
    </row>
    <row r="534" spans="1:23">
      <c r="A534" t="str">
        <f t="shared" si="147"/>
        <v>ASM-ER14P-01</v>
      </c>
      <c r="B534" t="str">
        <f>"034025"</f>
        <v>034025</v>
      </c>
      <c r="C534" t="str">
        <f>"I/O Interface Box for Controller USB-PRO"</f>
        <v>I/O Interface Box for Controller USB-PRO</v>
      </c>
      <c r="D534">
        <v>1</v>
      </c>
      <c r="E534" t="str">
        <f t="shared" si="148"/>
        <v>Assembly Station with Scora-ER14 Scara robot (Ballgame)</v>
      </c>
      <c r="F534">
        <v>503</v>
      </c>
      <c r="G534" t="str">
        <f t="shared" si="143"/>
        <v>Y</v>
      </c>
      <c r="H534" t="str">
        <f t="shared" si="149"/>
        <v>EA</v>
      </c>
      <c r="I534">
        <v>0</v>
      </c>
      <c r="J534">
        <v>0</v>
      </c>
      <c r="K534" t="str">
        <f t="shared" si="144"/>
        <v>Y</v>
      </c>
      <c r="L534">
        <v>0</v>
      </c>
      <c r="M534" t="str">
        <f t="shared" si="145"/>
        <v>NIS</v>
      </c>
      <c r="O534">
        <v>4</v>
      </c>
      <c r="P534" t="str">
        <f t="shared" si="146"/>
        <v>Active</v>
      </c>
      <c r="Q534" t="str">
        <f>"I/O Interface Box for Controller USB-PRO"</f>
        <v>I/O Interface Box for Controller USB-PRO</v>
      </c>
      <c r="S534" t="str">
        <f>"קופסת 2+Interface Box I/O כבלים לבקר USBPRO"</f>
        <v>קופסת 2+Interface Box I/O כבלים לבקר USBPRO</v>
      </c>
      <c r="T534">
        <v>0</v>
      </c>
      <c r="U534">
        <v>470</v>
      </c>
      <c r="V534">
        <v>463.62</v>
      </c>
      <c r="W534" t="str">
        <f t="shared" si="138"/>
        <v>rob</v>
      </c>
    </row>
    <row r="535" spans="1:23">
      <c r="A535" t="str">
        <f t="shared" si="147"/>
        <v>ASM-ER14P-01</v>
      </c>
      <c r="B535" t="str">
        <f>"10-2104-9000"</f>
        <v>10-2104-9000</v>
      </c>
      <c r="C535" t="str">
        <f>"Single Buffer for Slotted Table"</f>
        <v>Single Buffer for Slotted Table</v>
      </c>
      <c r="D535">
        <v>3</v>
      </c>
      <c r="E535" t="str">
        <f t="shared" si="148"/>
        <v>Assembly Station with Scora-ER14 Scara robot (Ballgame)</v>
      </c>
      <c r="F535">
        <v>503</v>
      </c>
      <c r="G535" t="str">
        <f t="shared" si="143"/>
        <v>Y</v>
      </c>
      <c r="H535" t="str">
        <f t="shared" si="149"/>
        <v>EA</v>
      </c>
      <c r="I535">
        <v>0</v>
      </c>
      <c r="J535">
        <v>0</v>
      </c>
      <c r="K535" t="str">
        <f t="shared" si="144"/>
        <v>Y</v>
      </c>
      <c r="L535">
        <v>0</v>
      </c>
      <c r="M535" t="str">
        <f t="shared" si="145"/>
        <v>NIS</v>
      </c>
      <c r="O535">
        <v>5</v>
      </c>
      <c r="P535" t="str">
        <f t="shared" si="146"/>
        <v>Active</v>
      </c>
      <c r="Q535" t="str">
        <f>"Single Buffer for Slotted Table(+height adapter)"</f>
        <v>Single Buffer for Slotted Table(+height adapter)</v>
      </c>
      <c r="S535" t="str">
        <f>"Single Buffer for Slotted Table(+height adapter)"</f>
        <v>Single Buffer for Slotted Table(+height adapter)</v>
      </c>
      <c r="T535">
        <v>0</v>
      </c>
      <c r="U535">
        <v>26</v>
      </c>
      <c r="V535">
        <v>25.49</v>
      </c>
      <c r="W535" t="str">
        <f t="shared" si="138"/>
        <v>rob</v>
      </c>
    </row>
    <row r="536" spans="1:23">
      <c r="A536" t="str">
        <f t="shared" si="147"/>
        <v>ASM-ER14P-01</v>
      </c>
      <c r="B536" t="str">
        <f>"00-1110-0000"</f>
        <v>00-1110-0000</v>
      </c>
      <c r="C536" t="str">
        <f>"Palletizing Rack"</f>
        <v>Palletizing Rack</v>
      </c>
      <c r="D536">
        <v>2</v>
      </c>
      <c r="E536" t="str">
        <f t="shared" si="148"/>
        <v>Assembly Station with Scora-ER14 Scara robot (Ballgame)</v>
      </c>
      <c r="F536">
        <v>503</v>
      </c>
      <c r="G536" t="str">
        <f t="shared" si="143"/>
        <v>Y</v>
      </c>
      <c r="H536" t="str">
        <f t="shared" si="149"/>
        <v>EA</v>
      </c>
      <c r="I536">
        <v>0</v>
      </c>
      <c r="J536">
        <v>0</v>
      </c>
      <c r="K536" t="str">
        <f t="shared" si="144"/>
        <v>Y</v>
      </c>
      <c r="L536">
        <v>0</v>
      </c>
      <c r="M536" t="str">
        <f t="shared" si="145"/>
        <v>NIS</v>
      </c>
      <c r="O536">
        <v>6</v>
      </c>
      <c r="P536" t="str">
        <f t="shared" si="146"/>
        <v>Active</v>
      </c>
      <c r="Q536" t="str">
        <f>"Palletizing Rack (incl. Pins for creating Jigs)"</f>
        <v>Palletizing Rack (incl. Pins for creating Jigs)</v>
      </c>
      <c r="S536" t="str">
        <f>"Palletizing Rack (incl. Pins for creating Jigs)"</f>
        <v>Palletizing Rack (incl. Pins for creating Jigs)</v>
      </c>
      <c r="T536">
        <v>0</v>
      </c>
      <c r="U536">
        <v>63</v>
      </c>
      <c r="V536">
        <v>58.59</v>
      </c>
      <c r="W536" t="str">
        <f t="shared" si="138"/>
        <v>rob</v>
      </c>
    </row>
    <row r="537" spans="1:23">
      <c r="A537" t="str">
        <f t="shared" si="147"/>
        <v>ASM-ER14P-01</v>
      </c>
      <c r="B537" t="str">
        <f>"021172"</f>
        <v>021172</v>
      </c>
      <c r="C537" t="str">
        <f>"30mm Height Adapter -Rack 001110 on table 001249"</f>
        <v>30mm Height Adapter -Rack 001110 on table 001249</v>
      </c>
      <c r="D537">
        <v>2</v>
      </c>
      <c r="E537" t="str">
        <f t="shared" si="148"/>
        <v>Assembly Station with Scora-ER14 Scara robot (Ballgame)</v>
      </c>
      <c r="F537">
        <v>503</v>
      </c>
      <c r="G537" t="str">
        <f t="shared" si="143"/>
        <v>Y</v>
      </c>
      <c r="H537" t="str">
        <f t="shared" si="149"/>
        <v>EA</v>
      </c>
      <c r="I537">
        <v>0</v>
      </c>
      <c r="J537">
        <v>0</v>
      </c>
      <c r="K537" t="str">
        <f t="shared" si="144"/>
        <v>Y</v>
      </c>
      <c r="L537">
        <v>0</v>
      </c>
      <c r="M537" t="str">
        <f t="shared" si="145"/>
        <v>NIS</v>
      </c>
      <c r="O537">
        <v>7</v>
      </c>
      <c r="P537" t="str">
        <f t="shared" si="146"/>
        <v>Active</v>
      </c>
      <c r="Q537" t="str">
        <f>"30mm Height Adapter -Rack 001110 on table 001249"</f>
        <v>30mm Height Adapter -Rack 001110 on table 001249</v>
      </c>
      <c r="S537" t="str">
        <f>"30mm Height Adapter -Rack 001110 on table 001249"</f>
        <v>30mm Height Adapter -Rack 001110 on table 001249</v>
      </c>
      <c r="T537">
        <v>0</v>
      </c>
      <c r="U537">
        <v>13.12</v>
      </c>
      <c r="V537">
        <v>13.44</v>
      </c>
      <c r="W537" t="str">
        <f t="shared" si="138"/>
        <v>rob</v>
      </c>
    </row>
    <row r="538" spans="1:23">
      <c r="A538" t="str">
        <f t="shared" si="147"/>
        <v>ASM-ER14P-01</v>
      </c>
      <c r="B538" t="str">
        <f>"21-0004-0000"</f>
        <v>21-0004-0000</v>
      </c>
      <c r="C538" t="str">
        <f>"Assembly, Dual Axis Air Vise Mechanicals"</f>
        <v>Assembly, Dual Axis Air Vise Mechanicals</v>
      </c>
      <c r="D538">
        <v>1</v>
      </c>
      <c r="E538" t="str">
        <f t="shared" si="148"/>
        <v>Assembly Station with Scora-ER14 Scara robot (Ballgame)</v>
      </c>
      <c r="F538">
        <v>503</v>
      </c>
      <c r="G538" t="str">
        <f t="shared" si="143"/>
        <v>Y</v>
      </c>
      <c r="H538" t="str">
        <f t="shared" si="149"/>
        <v>EA</v>
      </c>
      <c r="I538">
        <v>0</v>
      </c>
      <c r="J538">
        <v>0</v>
      </c>
      <c r="K538" t="str">
        <f t="shared" si="144"/>
        <v>Y</v>
      </c>
      <c r="L538">
        <v>0</v>
      </c>
      <c r="M538" t="str">
        <f t="shared" si="145"/>
        <v>NIS</v>
      </c>
      <c r="O538">
        <v>8</v>
      </c>
      <c r="P538" t="str">
        <f>"Phase Out"</f>
        <v>Phase Out</v>
      </c>
      <c r="Q538" t="str">
        <f>"Pneumatic Dual-Axis Vise"</f>
        <v>Pneumatic Dual-Axis Vise</v>
      </c>
      <c r="S538" t="str">
        <f>"Assembly, Dual Axis Air Vise Mechanicals"</f>
        <v>Assembly, Dual Axis Air Vise Mechanicals</v>
      </c>
      <c r="T538">
        <v>422.16</v>
      </c>
      <c r="U538">
        <v>422</v>
      </c>
      <c r="V538">
        <v>980.27</v>
      </c>
      <c r="W538" t="str">
        <f t="shared" si="138"/>
        <v>rob</v>
      </c>
    </row>
    <row r="539" spans="1:23">
      <c r="A539" t="str">
        <f t="shared" si="147"/>
        <v>ASM-ER14P-01</v>
      </c>
      <c r="B539" t="str">
        <f>"10-2523-4000"</f>
        <v>10-2523-4000</v>
      </c>
      <c r="C539" t="str">
        <f>"Solenoid Valve (24V) for Pipe 3 mm"</f>
        <v>Solenoid Valve (24V) for Pipe 3 mm</v>
      </c>
      <c r="D539">
        <v>1</v>
      </c>
      <c r="E539" t="str">
        <f t="shared" si="148"/>
        <v>Assembly Station with Scora-ER14 Scara robot (Ballgame)</v>
      </c>
      <c r="F539">
        <v>503</v>
      </c>
      <c r="G539" t="str">
        <f t="shared" si="143"/>
        <v>Y</v>
      </c>
      <c r="H539" t="str">
        <f t="shared" si="149"/>
        <v>EA</v>
      </c>
      <c r="I539">
        <v>0</v>
      </c>
      <c r="J539">
        <v>0</v>
      </c>
      <c r="K539" t="str">
        <f t="shared" si="144"/>
        <v>Y</v>
      </c>
      <c r="L539">
        <v>0</v>
      </c>
      <c r="M539" t="str">
        <f t="shared" si="145"/>
        <v>NIS</v>
      </c>
      <c r="O539">
        <v>9</v>
      </c>
      <c r="P539" t="str">
        <f t="shared" ref="P539:P552" si="150">"Active"</f>
        <v>Active</v>
      </c>
      <c r="Q539" t="str">
        <f>"Solenoid Valve (24V) for Dual Axis Vise 025207"</f>
        <v>Solenoid Valve (24V) for Dual Axis Vise 025207</v>
      </c>
      <c r="S539" t="str">
        <f>"Solenoid Valve (24V) for Pipe 3 mm"</f>
        <v>Solenoid Valve (24V) for Pipe 3 mm</v>
      </c>
      <c r="T539">
        <v>0</v>
      </c>
      <c r="U539">
        <v>137</v>
      </c>
      <c r="V539">
        <v>133.35</v>
      </c>
      <c r="W539" t="str">
        <f t="shared" si="138"/>
        <v>rob</v>
      </c>
    </row>
    <row r="540" spans="1:23">
      <c r="A540" t="str">
        <f t="shared" si="147"/>
        <v>ASM-ER14P-01</v>
      </c>
      <c r="B540" t="str">
        <f>"00-1230-0000"</f>
        <v>00-1230-0000</v>
      </c>
      <c r="C540" t="str">
        <f>"Ball Feeder (incl. sensor for ball counting)"</f>
        <v>Ball Feeder (incl. sensor for ball counting)</v>
      </c>
      <c r="D540">
        <v>1</v>
      </c>
      <c r="E540" t="str">
        <f t="shared" si="148"/>
        <v>Assembly Station with Scora-ER14 Scara robot (Ballgame)</v>
      </c>
      <c r="F540">
        <v>503</v>
      </c>
      <c r="G540" t="str">
        <f t="shared" si="143"/>
        <v>Y</v>
      </c>
      <c r="H540" t="str">
        <f t="shared" si="149"/>
        <v>EA</v>
      </c>
      <c r="I540">
        <v>0</v>
      </c>
      <c r="J540">
        <v>0</v>
      </c>
      <c r="K540" t="str">
        <f t="shared" si="144"/>
        <v>Y</v>
      </c>
      <c r="L540">
        <v>0</v>
      </c>
      <c r="M540" t="str">
        <f t="shared" si="145"/>
        <v>NIS</v>
      </c>
      <c r="O540">
        <v>10</v>
      </c>
      <c r="P540" t="str">
        <f t="shared" si="150"/>
        <v>Active</v>
      </c>
      <c r="Q540" t="str">
        <f>"Ball Feeder (incl. sensor for ball counting)"</f>
        <v>Ball Feeder (incl. sensor for ball counting)</v>
      </c>
      <c r="S540" t="str">
        <f>"Ball Feeder (incl. sensor for ball counting)"</f>
        <v>Ball Feeder (incl. sensor for ball counting)</v>
      </c>
      <c r="T540">
        <v>0</v>
      </c>
      <c r="U540">
        <v>536</v>
      </c>
      <c r="V540">
        <v>530.72</v>
      </c>
      <c r="W540" t="str">
        <f t="shared" si="138"/>
        <v>rob</v>
      </c>
    </row>
    <row r="541" spans="1:23">
      <c r="A541" t="str">
        <f t="shared" si="147"/>
        <v>ASM-ER14P-01</v>
      </c>
      <c r="B541" t="str">
        <f>"00-1243-0000"</f>
        <v>00-1243-0000</v>
      </c>
      <c r="C541" t="str">
        <f>"Ball Game Set (Assembly with Plastic Pins)"</f>
        <v>Ball Game Set (Assembly with Plastic Pins)</v>
      </c>
      <c r="D541">
        <v>12</v>
      </c>
      <c r="E541" t="str">
        <f t="shared" si="148"/>
        <v>Assembly Station with Scora-ER14 Scara robot (Ballgame)</v>
      </c>
      <c r="F541">
        <v>503</v>
      </c>
      <c r="G541" t="str">
        <f t="shared" si="143"/>
        <v>Y</v>
      </c>
      <c r="H541" t="str">
        <f t="shared" si="149"/>
        <v>EA</v>
      </c>
      <c r="I541">
        <v>0</v>
      </c>
      <c r="J541">
        <v>0</v>
      </c>
      <c r="K541" t="str">
        <f t="shared" si="144"/>
        <v>Y</v>
      </c>
      <c r="L541">
        <v>0</v>
      </c>
      <c r="M541" t="str">
        <f t="shared" si="145"/>
        <v>NIS</v>
      </c>
      <c r="O541">
        <v>11</v>
      </c>
      <c r="P541" t="str">
        <f t="shared" si="150"/>
        <v>Active</v>
      </c>
      <c r="Q541" t="str">
        <f>"Ball Game Set (Assembly with Plastic Pins)"</f>
        <v>Ball Game Set (Assembly with Plastic Pins)</v>
      </c>
      <c r="S541" t="str">
        <f>"Ball Game Set (Assembly with Plastic Pins)"</f>
        <v>Ball Game Set (Assembly with Plastic Pins)</v>
      </c>
      <c r="T541">
        <v>0</v>
      </c>
      <c r="U541">
        <v>32</v>
      </c>
      <c r="V541">
        <v>34.770000000000003</v>
      </c>
      <c r="W541" t="str">
        <f t="shared" si="138"/>
        <v>rob</v>
      </c>
    </row>
    <row r="542" spans="1:23">
      <c r="A542" t="str">
        <f t="shared" si="147"/>
        <v>ASM-ER14P-01</v>
      </c>
      <c r="B542" t="str">
        <f>"00-1249-0000"</f>
        <v>00-1249-0000</v>
      </c>
      <c r="C542" t="str">
        <f>"Workbench 1500x800mm (slotted aluminum top)"</f>
        <v>Workbench 1500x800mm (slotted aluminum top)</v>
      </c>
      <c r="D542">
        <v>1</v>
      </c>
      <c r="E542" t="str">
        <f t="shared" si="148"/>
        <v>Assembly Station with Scora-ER14 Scara robot (Ballgame)</v>
      </c>
      <c r="F542">
        <v>503</v>
      </c>
      <c r="G542" t="str">
        <f t="shared" si="143"/>
        <v>Y</v>
      </c>
      <c r="H542" t="str">
        <f t="shared" si="149"/>
        <v>EA</v>
      </c>
      <c r="I542">
        <v>0</v>
      </c>
      <c r="J542">
        <v>0</v>
      </c>
      <c r="K542" t="str">
        <f t="shared" si="144"/>
        <v>Y</v>
      </c>
      <c r="L542">
        <v>0</v>
      </c>
      <c r="M542" t="str">
        <f t="shared" si="145"/>
        <v>NIS</v>
      </c>
      <c r="O542">
        <v>12</v>
      </c>
      <c r="P542" t="str">
        <f t="shared" si="150"/>
        <v>Active</v>
      </c>
      <c r="Q542" t="str">
        <f>"Workbench 1500x800mm (slotted aluminum top)"</f>
        <v>Workbench 1500x800mm (slotted aluminum top)</v>
      </c>
      <c r="S542" t="str">
        <f>"Workbench 1500x800mm (slotted aluminum top)"</f>
        <v>Workbench 1500x800mm (slotted aluminum top)</v>
      </c>
      <c r="T542">
        <v>0</v>
      </c>
      <c r="U542" s="44">
        <v>1100</v>
      </c>
      <c r="V542" s="44">
        <v>1083.57</v>
      </c>
      <c r="W542" t="str">
        <f t="shared" si="138"/>
        <v>rob</v>
      </c>
    </row>
    <row r="543" spans="1:23">
      <c r="A543" t="str">
        <f t="shared" si="147"/>
        <v>ASM-ER14P-01</v>
      </c>
      <c r="B543" t="str">
        <f>"00-1241-0000"</f>
        <v>00-1241-0000</v>
      </c>
      <c r="C543" t="str">
        <f>"Adapter Mounting Plate for ER9/14Pro &amp; HP3"</f>
        <v>Adapter Mounting Plate for ER9/14Pro &amp; HP3</v>
      </c>
      <c r="D543">
        <v>1</v>
      </c>
      <c r="E543" t="str">
        <f t="shared" si="148"/>
        <v>Assembly Station with Scora-ER14 Scara robot (Ballgame)</v>
      </c>
      <c r="F543">
        <v>503</v>
      </c>
      <c r="G543" t="str">
        <f t="shared" si="143"/>
        <v>Y</v>
      </c>
      <c r="H543" t="str">
        <f t="shared" si="149"/>
        <v>EA</v>
      </c>
      <c r="I543">
        <v>0</v>
      </c>
      <c r="J543">
        <v>0</v>
      </c>
      <c r="K543" t="str">
        <f t="shared" si="144"/>
        <v>Y</v>
      </c>
      <c r="L543">
        <v>0</v>
      </c>
      <c r="M543" t="str">
        <f t="shared" si="145"/>
        <v>NIS</v>
      </c>
      <c r="O543">
        <v>13</v>
      </c>
      <c r="P543" t="str">
        <f t="shared" si="150"/>
        <v>Active</v>
      </c>
      <c r="Q543" t="str">
        <f>"Adapter Mounting Plate for ER9/14Pro &amp; HP3"</f>
        <v>Adapter Mounting Plate for ER9/14Pro &amp; HP3</v>
      </c>
      <c r="S543" t="str">
        <f>"Adapter Mounting Plate for ER9/14Pro &amp; HP3"</f>
        <v>Adapter Mounting Plate for ER9/14Pro &amp; HP3</v>
      </c>
      <c r="T543">
        <v>0</v>
      </c>
      <c r="U543">
        <v>145</v>
      </c>
      <c r="V543">
        <v>153.93</v>
      </c>
      <c r="W543" t="str">
        <f t="shared" si="138"/>
        <v>rob</v>
      </c>
    </row>
    <row r="544" spans="1:23">
      <c r="A544" t="str">
        <f t="shared" si="147"/>
        <v>ASM-ER14P-01</v>
      </c>
      <c r="B544" t="str">
        <f>"00-1260-0000"</f>
        <v>00-1260-0000</v>
      </c>
      <c r="C544" t="str">
        <f>"PC Extension Shelf  600x800mm"</f>
        <v>PC Extension Shelf  600x800mm</v>
      </c>
      <c r="D544">
        <v>1</v>
      </c>
      <c r="E544" t="str">
        <f t="shared" si="148"/>
        <v>Assembly Station with Scora-ER14 Scara robot (Ballgame)</v>
      </c>
      <c r="F544">
        <v>503</v>
      </c>
      <c r="G544" t="str">
        <f t="shared" si="143"/>
        <v>Y</v>
      </c>
      <c r="H544" t="str">
        <f t="shared" si="149"/>
        <v>EA</v>
      </c>
      <c r="I544">
        <v>0</v>
      </c>
      <c r="J544">
        <v>0</v>
      </c>
      <c r="K544" t="str">
        <f t="shared" si="144"/>
        <v>Y</v>
      </c>
      <c r="L544">
        <v>0</v>
      </c>
      <c r="M544" t="str">
        <f t="shared" si="145"/>
        <v>NIS</v>
      </c>
      <c r="O544">
        <v>14</v>
      </c>
      <c r="P544" t="str">
        <f t="shared" si="150"/>
        <v>Active</v>
      </c>
      <c r="Q544" t="str">
        <f>"PC Extension Shelf  600x800mm"</f>
        <v>PC Extension Shelf  600x800mm</v>
      </c>
      <c r="S544" t="str">
        <f>"PC Extension Shelf  600x800mm"</f>
        <v>PC Extension Shelf  600x800mm</v>
      </c>
      <c r="T544">
        <v>0</v>
      </c>
      <c r="U544">
        <v>192</v>
      </c>
      <c r="V544">
        <v>195.4</v>
      </c>
      <c r="W544" t="str">
        <f t="shared" si="138"/>
        <v>rob</v>
      </c>
    </row>
    <row r="545" spans="1:23">
      <c r="A545" t="str">
        <f t="shared" si="147"/>
        <v>ASM-ER14P-01</v>
      </c>
      <c r="B545" t="str">
        <f>"50-0094-0000"</f>
        <v>50-0094-0000</v>
      </c>
      <c r="C545" t="str">
        <f>"Pre-Engineering, Design and Testing"</f>
        <v>Pre-Engineering, Design and Testing</v>
      </c>
      <c r="D545">
        <v>1</v>
      </c>
      <c r="E545" t="str">
        <f t="shared" si="148"/>
        <v>Assembly Station with Scora-ER14 Scara robot (Ballgame)</v>
      </c>
      <c r="F545">
        <v>503</v>
      </c>
      <c r="G545" t="str">
        <f t="shared" si="143"/>
        <v>Y</v>
      </c>
      <c r="H545" t="str">
        <f>"DA"</f>
        <v>DA</v>
      </c>
      <c r="I545">
        <v>0</v>
      </c>
      <c r="J545">
        <v>0</v>
      </c>
      <c r="K545" t="str">
        <f t="shared" si="144"/>
        <v>Y</v>
      </c>
      <c r="L545">
        <v>0</v>
      </c>
      <c r="M545" t="str">
        <f t="shared" si="145"/>
        <v>NIS</v>
      </c>
      <c r="O545">
        <v>15</v>
      </c>
      <c r="P545" t="str">
        <f t="shared" si="150"/>
        <v>Active</v>
      </c>
      <c r="Q545" t="str">
        <f>"Pre-Engineering, Design and Testing"</f>
        <v>Pre-Engineering, Design and Testing</v>
      </c>
      <c r="S545" t="str">
        <f>"Pre-Engineering, Design and Testing"</f>
        <v>Pre-Engineering, Design and Testing</v>
      </c>
      <c r="T545">
        <v>0</v>
      </c>
      <c r="U545">
        <v>405</v>
      </c>
      <c r="V545">
        <v>421.2</v>
      </c>
      <c r="W545" t="str">
        <f t="shared" si="138"/>
        <v>rob</v>
      </c>
    </row>
    <row r="546" spans="1:23">
      <c r="A546" t="str">
        <f t="shared" ref="A546:A561" si="151">"ASM-ER14P-02"</f>
        <v>ASM-ER14P-02</v>
      </c>
      <c r="B546" t="str">
        <f>"00-0432-0000"</f>
        <v>00-0432-0000</v>
      </c>
      <c r="C546" t="str">
        <f>"SCORA-ER 14Pro"</f>
        <v>SCORA-ER 14Pro</v>
      </c>
      <c r="D546">
        <v>1</v>
      </c>
      <c r="E546" t="str">
        <f t="shared" ref="E546:E561" si="152">"Assembly Station - with Scora-ER14 Scara Robot (Ballgame &amp; Glueing Machine)"</f>
        <v>Assembly Station - with Scora-ER14 Scara Robot (Ballgame &amp; Glueing Machine)</v>
      </c>
      <c r="F546">
        <v>503</v>
      </c>
      <c r="G546" t="str">
        <f t="shared" si="143"/>
        <v>Y</v>
      </c>
      <c r="H546" t="str">
        <f t="shared" ref="H546:H560" si="153">"EA"</f>
        <v>EA</v>
      </c>
      <c r="I546">
        <v>0</v>
      </c>
      <c r="J546">
        <v>0</v>
      </c>
      <c r="K546" t="str">
        <f t="shared" si="144"/>
        <v>Y</v>
      </c>
      <c r="L546">
        <v>0</v>
      </c>
      <c r="M546" t="str">
        <f t="shared" si="145"/>
        <v>NIS</v>
      </c>
      <c r="O546">
        <v>1</v>
      </c>
      <c r="P546" t="str">
        <f t="shared" si="150"/>
        <v>Active</v>
      </c>
      <c r="Q546" t="str">
        <f>"SCORA-ER 14Pro (incl. USB-Pro Controller)"</f>
        <v>SCORA-ER 14Pro (incl. USB-Pro Controller)</v>
      </c>
      <c r="S546" t="str">
        <f>"SCORA-ER 14Pro (incl. USB-Pro Controller)"</f>
        <v>SCORA-ER 14Pro (incl. USB-Pro Controller)</v>
      </c>
      <c r="T546">
        <v>0</v>
      </c>
      <c r="U546" s="44">
        <v>11400</v>
      </c>
      <c r="V546" s="44">
        <v>12383.77</v>
      </c>
      <c r="W546" t="str">
        <f t="shared" si="138"/>
        <v>rob</v>
      </c>
    </row>
    <row r="547" spans="1:23">
      <c r="A547" t="str">
        <f t="shared" si="151"/>
        <v>ASM-ER14P-02</v>
      </c>
      <c r="B547" t="str">
        <f>"00-0634-0000"</f>
        <v>00-0634-0000</v>
      </c>
      <c r="C547" t="str">
        <f>"Pneumatic Gripper for ER 14Pro"</f>
        <v>Pneumatic Gripper for ER 14Pro</v>
      </c>
      <c r="D547">
        <v>1</v>
      </c>
      <c r="E547" t="str">
        <f t="shared" si="152"/>
        <v>Assembly Station - with Scora-ER14 Scara Robot (Ballgame &amp; Glueing Machine)</v>
      </c>
      <c r="F547">
        <v>503</v>
      </c>
      <c r="G547" t="str">
        <f t="shared" si="143"/>
        <v>Y</v>
      </c>
      <c r="H547" t="str">
        <f t="shared" si="153"/>
        <v>EA</v>
      </c>
      <c r="I547">
        <v>0</v>
      </c>
      <c r="J547">
        <v>0</v>
      </c>
      <c r="K547" t="str">
        <f t="shared" si="144"/>
        <v>Y</v>
      </c>
      <c r="L547">
        <v>0</v>
      </c>
      <c r="M547" t="str">
        <f t="shared" si="145"/>
        <v>NIS</v>
      </c>
      <c r="O547">
        <v>2</v>
      </c>
      <c r="P547" t="str">
        <f t="shared" si="150"/>
        <v>Active</v>
      </c>
      <c r="Q547" t="str">
        <f>"Pneumatic Gripper for ER 14Pro"</f>
        <v>Pneumatic Gripper for ER 14Pro</v>
      </c>
      <c r="S547" t="str">
        <f>"Pneumatic Gripper for ER 14Pro"</f>
        <v>Pneumatic Gripper for ER 14Pro</v>
      </c>
      <c r="T547">
        <v>0</v>
      </c>
      <c r="U547">
        <v>651</v>
      </c>
      <c r="V547">
        <v>647.6</v>
      </c>
      <c r="W547" t="str">
        <f t="shared" si="138"/>
        <v>rob</v>
      </c>
    </row>
    <row r="548" spans="1:23">
      <c r="A548" t="str">
        <f t="shared" si="151"/>
        <v>ASM-ER14P-02</v>
      </c>
      <c r="B548" t="str">
        <f>"00-1710-0000"</f>
        <v>00-1710-0000</v>
      </c>
      <c r="C548" t="str">
        <f>"Teach Pendant"</f>
        <v>Teach Pendant</v>
      </c>
      <c r="D548">
        <v>1</v>
      </c>
      <c r="E548" t="str">
        <f t="shared" si="152"/>
        <v>Assembly Station - with Scora-ER14 Scara Robot (Ballgame &amp; Glueing Machine)</v>
      </c>
      <c r="F548">
        <v>503</v>
      </c>
      <c r="G548" t="str">
        <f t="shared" si="143"/>
        <v>Y</v>
      </c>
      <c r="H548" t="str">
        <f t="shared" si="153"/>
        <v>EA</v>
      </c>
      <c r="I548">
        <v>0</v>
      </c>
      <c r="J548">
        <v>0</v>
      </c>
      <c r="K548" t="str">
        <f t="shared" si="144"/>
        <v>Y</v>
      </c>
      <c r="L548">
        <v>0</v>
      </c>
      <c r="M548" t="str">
        <f t="shared" si="145"/>
        <v>NIS</v>
      </c>
      <c r="O548">
        <v>3</v>
      </c>
      <c r="P548" t="str">
        <f t="shared" si="150"/>
        <v>Active</v>
      </c>
      <c r="Q548" t="str">
        <f>"Teach Pendant for USB/USB Pro Controllers"</f>
        <v>Teach Pendant for USB/USB Pro Controllers</v>
      </c>
      <c r="S548" t="str">
        <f>"Teach Pendant for USB/USB Pro Controllers"</f>
        <v>Teach Pendant for USB/USB Pro Controllers</v>
      </c>
      <c r="T548">
        <v>0</v>
      </c>
      <c r="U548">
        <v>160.18</v>
      </c>
      <c r="V548">
        <v>161.44999999999999</v>
      </c>
      <c r="W548" t="str">
        <f t="shared" si="138"/>
        <v>rob</v>
      </c>
    </row>
    <row r="549" spans="1:23">
      <c r="A549" t="str">
        <f t="shared" si="151"/>
        <v>ASM-ER14P-02</v>
      </c>
      <c r="B549" t="str">
        <f>"034025"</f>
        <v>034025</v>
      </c>
      <c r="C549" t="str">
        <f>"I/O Interface Box for Controller USB-PRO"</f>
        <v>I/O Interface Box for Controller USB-PRO</v>
      </c>
      <c r="D549">
        <v>1</v>
      </c>
      <c r="E549" t="str">
        <f t="shared" si="152"/>
        <v>Assembly Station - with Scora-ER14 Scara Robot (Ballgame &amp; Glueing Machine)</v>
      </c>
      <c r="F549">
        <v>503</v>
      </c>
      <c r="G549" t="str">
        <f t="shared" si="143"/>
        <v>Y</v>
      </c>
      <c r="H549" t="str">
        <f t="shared" si="153"/>
        <v>EA</v>
      </c>
      <c r="I549">
        <v>0</v>
      </c>
      <c r="J549">
        <v>0</v>
      </c>
      <c r="K549" t="str">
        <f t="shared" si="144"/>
        <v>Y</v>
      </c>
      <c r="L549">
        <v>0</v>
      </c>
      <c r="M549" t="str">
        <f t="shared" si="145"/>
        <v>NIS</v>
      </c>
      <c r="O549">
        <v>4</v>
      </c>
      <c r="P549" t="str">
        <f t="shared" si="150"/>
        <v>Active</v>
      </c>
      <c r="Q549" t="str">
        <f>"I/O Interface Box for Controller USB-PRO"</f>
        <v>I/O Interface Box for Controller USB-PRO</v>
      </c>
      <c r="S549" t="str">
        <f>"קופסת 2+Interface Box I/O כבלים לבקר USBPRO"</f>
        <v>קופסת 2+Interface Box I/O כבלים לבקר USBPRO</v>
      </c>
      <c r="T549">
        <v>0</v>
      </c>
      <c r="U549">
        <v>470</v>
      </c>
      <c r="V549">
        <v>463.62</v>
      </c>
      <c r="W549" t="str">
        <f t="shared" si="138"/>
        <v>rob</v>
      </c>
    </row>
    <row r="550" spans="1:23">
      <c r="A550" t="str">
        <f t="shared" si="151"/>
        <v>ASM-ER14P-02</v>
      </c>
      <c r="B550" t="str">
        <f>"10-2104-9000"</f>
        <v>10-2104-9000</v>
      </c>
      <c r="C550" t="str">
        <f>"Single Buffer for Slotted Table"</f>
        <v>Single Buffer for Slotted Table</v>
      </c>
      <c r="D550">
        <v>3</v>
      </c>
      <c r="E550" t="str">
        <f t="shared" si="152"/>
        <v>Assembly Station - with Scora-ER14 Scara Robot (Ballgame &amp; Glueing Machine)</v>
      </c>
      <c r="F550">
        <v>503</v>
      </c>
      <c r="G550" t="str">
        <f t="shared" si="143"/>
        <v>Y</v>
      </c>
      <c r="H550" t="str">
        <f t="shared" si="153"/>
        <v>EA</v>
      </c>
      <c r="I550">
        <v>0</v>
      </c>
      <c r="J550">
        <v>0</v>
      </c>
      <c r="K550" t="str">
        <f t="shared" si="144"/>
        <v>Y</v>
      </c>
      <c r="L550">
        <v>0</v>
      </c>
      <c r="M550" t="str">
        <f t="shared" si="145"/>
        <v>NIS</v>
      </c>
      <c r="O550">
        <v>5</v>
      </c>
      <c r="P550" t="str">
        <f t="shared" si="150"/>
        <v>Active</v>
      </c>
      <c r="Q550" t="str">
        <f>"Single Buffer for Slotted Table(+height adapter)"</f>
        <v>Single Buffer for Slotted Table(+height adapter)</v>
      </c>
      <c r="S550" t="str">
        <f>"Single Buffer for Slotted Table(+height adapter)"</f>
        <v>Single Buffer for Slotted Table(+height adapter)</v>
      </c>
      <c r="T550">
        <v>0</v>
      </c>
      <c r="U550">
        <v>26</v>
      </c>
      <c r="V550">
        <v>25.49</v>
      </c>
      <c r="W550" t="str">
        <f t="shared" si="138"/>
        <v>rob</v>
      </c>
    </row>
    <row r="551" spans="1:23">
      <c r="A551" t="str">
        <f t="shared" si="151"/>
        <v>ASM-ER14P-02</v>
      </c>
      <c r="B551" t="str">
        <f>"00-1110-0000"</f>
        <v>00-1110-0000</v>
      </c>
      <c r="C551" t="str">
        <f>"Palletizing Rack"</f>
        <v>Palletizing Rack</v>
      </c>
      <c r="D551">
        <v>2</v>
      </c>
      <c r="E551" t="str">
        <f t="shared" si="152"/>
        <v>Assembly Station - with Scora-ER14 Scara Robot (Ballgame &amp; Glueing Machine)</v>
      </c>
      <c r="F551">
        <v>503</v>
      </c>
      <c r="G551" t="str">
        <f t="shared" si="143"/>
        <v>Y</v>
      </c>
      <c r="H551" t="str">
        <f t="shared" si="153"/>
        <v>EA</v>
      </c>
      <c r="I551">
        <v>0</v>
      </c>
      <c r="J551">
        <v>0</v>
      </c>
      <c r="K551" t="str">
        <f t="shared" si="144"/>
        <v>Y</v>
      </c>
      <c r="L551">
        <v>0</v>
      </c>
      <c r="M551" t="str">
        <f t="shared" si="145"/>
        <v>NIS</v>
      </c>
      <c r="O551">
        <v>6</v>
      </c>
      <c r="P551" t="str">
        <f t="shared" si="150"/>
        <v>Active</v>
      </c>
      <c r="Q551" t="str">
        <f>"Palletizing Rack (incl. Pins for creating Jigs)"</f>
        <v>Palletizing Rack (incl. Pins for creating Jigs)</v>
      </c>
      <c r="S551" t="str">
        <f>"Palletizing Rack (incl. Pins for creating Jigs)"</f>
        <v>Palletizing Rack (incl. Pins for creating Jigs)</v>
      </c>
      <c r="T551">
        <v>0</v>
      </c>
      <c r="U551">
        <v>63</v>
      </c>
      <c r="V551">
        <v>58.59</v>
      </c>
      <c r="W551" t="str">
        <f t="shared" si="138"/>
        <v>rob</v>
      </c>
    </row>
    <row r="552" spans="1:23">
      <c r="A552" t="str">
        <f t="shared" si="151"/>
        <v>ASM-ER14P-02</v>
      </c>
      <c r="B552" t="str">
        <f>"021172"</f>
        <v>021172</v>
      </c>
      <c r="C552" t="str">
        <f>"30mm Height Adapter -Rack 001110 on table 001249"</f>
        <v>30mm Height Adapter -Rack 001110 on table 001249</v>
      </c>
      <c r="D552">
        <v>2</v>
      </c>
      <c r="E552" t="str">
        <f t="shared" si="152"/>
        <v>Assembly Station - with Scora-ER14 Scara Robot (Ballgame &amp; Glueing Machine)</v>
      </c>
      <c r="F552">
        <v>503</v>
      </c>
      <c r="G552" t="str">
        <f t="shared" si="143"/>
        <v>Y</v>
      </c>
      <c r="H552" t="str">
        <f t="shared" si="153"/>
        <v>EA</v>
      </c>
      <c r="I552">
        <v>0</v>
      </c>
      <c r="J552">
        <v>0</v>
      </c>
      <c r="K552" t="str">
        <f t="shared" si="144"/>
        <v>Y</v>
      </c>
      <c r="L552">
        <v>0</v>
      </c>
      <c r="M552" t="str">
        <f t="shared" si="145"/>
        <v>NIS</v>
      </c>
      <c r="O552">
        <v>7</v>
      </c>
      <c r="P552" t="str">
        <f t="shared" si="150"/>
        <v>Active</v>
      </c>
      <c r="Q552" t="str">
        <f>"30mm Height Adapter -Rack 001110 on table 001249"</f>
        <v>30mm Height Adapter -Rack 001110 on table 001249</v>
      </c>
      <c r="S552" t="str">
        <f>"30mm Height Adapter -Rack 001110 on table 001249"</f>
        <v>30mm Height Adapter -Rack 001110 on table 001249</v>
      </c>
      <c r="T552">
        <v>0</v>
      </c>
      <c r="U552">
        <v>13.12</v>
      </c>
      <c r="V552">
        <v>13.44</v>
      </c>
      <c r="W552" t="str">
        <f t="shared" si="138"/>
        <v>rob</v>
      </c>
    </row>
    <row r="553" spans="1:23">
      <c r="A553" t="str">
        <f t="shared" si="151"/>
        <v>ASM-ER14P-02</v>
      </c>
      <c r="B553" t="str">
        <f>"21-0004-0000"</f>
        <v>21-0004-0000</v>
      </c>
      <c r="C553" t="str">
        <f>"Assembly, Dual Axis Air Vise Mechanicals"</f>
        <v>Assembly, Dual Axis Air Vise Mechanicals</v>
      </c>
      <c r="D553">
        <v>1</v>
      </c>
      <c r="E553" t="str">
        <f t="shared" si="152"/>
        <v>Assembly Station - with Scora-ER14 Scara Robot (Ballgame &amp; Glueing Machine)</v>
      </c>
      <c r="F553">
        <v>503</v>
      </c>
      <c r="G553" t="str">
        <f t="shared" si="143"/>
        <v>Y</v>
      </c>
      <c r="H553" t="str">
        <f t="shared" si="153"/>
        <v>EA</v>
      </c>
      <c r="I553">
        <v>0</v>
      </c>
      <c r="J553">
        <v>0</v>
      </c>
      <c r="K553" t="str">
        <f t="shared" si="144"/>
        <v>Y</v>
      </c>
      <c r="L553">
        <v>0</v>
      </c>
      <c r="M553" t="str">
        <f t="shared" si="145"/>
        <v>NIS</v>
      </c>
      <c r="O553">
        <v>8</v>
      </c>
      <c r="P553" t="str">
        <f>"Phase Out"</f>
        <v>Phase Out</v>
      </c>
      <c r="Q553" t="str">
        <f>"Pneumatic Dual-Axis Vise"</f>
        <v>Pneumatic Dual-Axis Vise</v>
      </c>
      <c r="S553" t="str">
        <f>"Assembly, Dual Axis Air Vise Mechanicals"</f>
        <v>Assembly, Dual Axis Air Vise Mechanicals</v>
      </c>
      <c r="T553">
        <v>422.16</v>
      </c>
      <c r="U553">
        <v>422</v>
      </c>
      <c r="V553">
        <v>980.27</v>
      </c>
      <c r="W553" t="str">
        <f t="shared" si="138"/>
        <v>rob</v>
      </c>
    </row>
    <row r="554" spans="1:23">
      <c r="A554" t="str">
        <f t="shared" si="151"/>
        <v>ASM-ER14P-02</v>
      </c>
      <c r="B554" t="str">
        <f>"10-2523-4000"</f>
        <v>10-2523-4000</v>
      </c>
      <c r="C554" t="str">
        <f>"Solenoid Valve (24V) for Pipe 3 mm"</f>
        <v>Solenoid Valve (24V) for Pipe 3 mm</v>
      </c>
      <c r="D554">
        <v>1</v>
      </c>
      <c r="E554" t="str">
        <f t="shared" si="152"/>
        <v>Assembly Station - with Scora-ER14 Scara Robot (Ballgame &amp; Glueing Machine)</v>
      </c>
      <c r="F554">
        <v>503</v>
      </c>
      <c r="G554" t="str">
        <f t="shared" si="143"/>
        <v>Y</v>
      </c>
      <c r="H554" t="str">
        <f t="shared" si="153"/>
        <v>EA</v>
      </c>
      <c r="I554">
        <v>0</v>
      </c>
      <c r="J554">
        <v>0</v>
      </c>
      <c r="K554" t="str">
        <f t="shared" si="144"/>
        <v>Y</v>
      </c>
      <c r="L554">
        <v>0</v>
      </c>
      <c r="M554" t="str">
        <f t="shared" si="145"/>
        <v>NIS</v>
      </c>
      <c r="O554">
        <v>9</v>
      </c>
      <c r="P554" t="str">
        <f t="shared" ref="P554:P568" si="154">"Active"</f>
        <v>Active</v>
      </c>
      <c r="Q554" t="str">
        <f>"Solenoid Valve (24V) for Dual Axis Vise 025207"</f>
        <v>Solenoid Valve (24V) for Dual Axis Vise 025207</v>
      </c>
      <c r="S554" t="str">
        <f>"Solenoid Valve (24V) for Pipe 3 mm"</f>
        <v>Solenoid Valve (24V) for Pipe 3 mm</v>
      </c>
      <c r="T554">
        <v>0</v>
      </c>
      <c r="U554">
        <v>137</v>
      </c>
      <c r="V554">
        <v>133.35</v>
      </c>
      <c r="W554" t="str">
        <f t="shared" si="138"/>
        <v>rob</v>
      </c>
    </row>
    <row r="555" spans="1:23">
      <c r="A555" t="str">
        <f t="shared" si="151"/>
        <v>ASM-ER14P-02</v>
      </c>
      <c r="B555" t="str">
        <f>"00-1230-0000"</f>
        <v>00-1230-0000</v>
      </c>
      <c r="C555" t="str">
        <f>"Ball Feeder (incl. sensor for ball counting)"</f>
        <v>Ball Feeder (incl. sensor for ball counting)</v>
      </c>
      <c r="D555">
        <v>1</v>
      </c>
      <c r="E555" t="str">
        <f t="shared" si="152"/>
        <v>Assembly Station - with Scora-ER14 Scara Robot (Ballgame &amp; Glueing Machine)</v>
      </c>
      <c r="F555">
        <v>503</v>
      </c>
      <c r="G555" t="str">
        <f t="shared" si="143"/>
        <v>Y</v>
      </c>
      <c r="H555" t="str">
        <f t="shared" si="153"/>
        <v>EA</v>
      </c>
      <c r="I555">
        <v>0</v>
      </c>
      <c r="J555">
        <v>0</v>
      </c>
      <c r="K555" t="str">
        <f t="shared" si="144"/>
        <v>Y</v>
      </c>
      <c r="L555">
        <v>0</v>
      </c>
      <c r="M555" t="str">
        <f t="shared" si="145"/>
        <v>NIS</v>
      </c>
      <c r="O555">
        <v>10</v>
      </c>
      <c r="P555" t="str">
        <f t="shared" si="154"/>
        <v>Active</v>
      </c>
      <c r="Q555" t="str">
        <f>"Ball Feeder (incl. sensor for ball counting)"</f>
        <v>Ball Feeder (incl. sensor for ball counting)</v>
      </c>
      <c r="S555" t="str">
        <f>"Ball Feeder (incl. sensor for ball counting)"</f>
        <v>Ball Feeder (incl. sensor for ball counting)</v>
      </c>
      <c r="T555">
        <v>0</v>
      </c>
      <c r="U555">
        <v>536</v>
      </c>
      <c r="V555">
        <v>530.72</v>
      </c>
      <c r="W555" t="str">
        <f t="shared" si="138"/>
        <v>rob</v>
      </c>
    </row>
    <row r="556" spans="1:23">
      <c r="A556" t="str">
        <f t="shared" si="151"/>
        <v>ASM-ER14P-02</v>
      </c>
      <c r="B556" t="str">
        <f>"00-1236-0000"</f>
        <v>00-1236-0000</v>
      </c>
      <c r="C556" t="str">
        <f>"Automatic Glue Dispenser"</f>
        <v>Automatic Glue Dispenser</v>
      </c>
      <c r="D556">
        <v>1</v>
      </c>
      <c r="E556" t="str">
        <f t="shared" si="152"/>
        <v>Assembly Station - with Scora-ER14 Scara Robot (Ballgame &amp; Glueing Machine)</v>
      </c>
      <c r="F556">
        <v>503</v>
      </c>
      <c r="G556" t="str">
        <f t="shared" si="143"/>
        <v>Y</v>
      </c>
      <c r="H556" t="str">
        <f t="shared" si="153"/>
        <v>EA</v>
      </c>
      <c r="I556">
        <v>0</v>
      </c>
      <c r="J556">
        <v>0</v>
      </c>
      <c r="K556" t="str">
        <f t="shared" si="144"/>
        <v>Y</v>
      </c>
      <c r="L556">
        <v>0</v>
      </c>
      <c r="M556" t="str">
        <f t="shared" si="145"/>
        <v>NIS</v>
      </c>
      <c r="O556">
        <v>11</v>
      </c>
      <c r="P556" t="str">
        <f t="shared" si="154"/>
        <v>Active</v>
      </c>
      <c r="Q556" t="str">
        <f>"Automatic Glue Dispenser"</f>
        <v>Automatic Glue Dispenser</v>
      </c>
      <c r="S556" t="str">
        <f>"Automatic Glue Dispenser"</f>
        <v>Automatic Glue Dispenser</v>
      </c>
      <c r="T556">
        <v>0</v>
      </c>
      <c r="U556" s="44">
        <v>1100</v>
      </c>
      <c r="V556" s="44">
        <v>1097.3699999999999</v>
      </c>
      <c r="W556" t="str">
        <f t="shared" si="138"/>
        <v>rob</v>
      </c>
    </row>
    <row r="557" spans="1:23">
      <c r="A557" t="str">
        <f t="shared" si="151"/>
        <v>ASM-ER14P-02</v>
      </c>
      <c r="B557" t="str">
        <f>"00-1243-0000"</f>
        <v>00-1243-0000</v>
      </c>
      <c r="C557" t="str">
        <f>"Ball Game Set (Assembly with Plastic Pins)"</f>
        <v>Ball Game Set (Assembly with Plastic Pins)</v>
      </c>
      <c r="D557">
        <v>12</v>
      </c>
      <c r="E557" t="str">
        <f t="shared" si="152"/>
        <v>Assembly Station - with Scora-ER14 Scara Robot (Ballgame &amp; Glueing Machine)</v>
      </c>
      <c r="F557">
        <v>503</v>
      </c>
      <c r="G557" t="str">
        <f t="shared" si="143"/>
        <v>Y</v>
      </c>
      <c r="H557" t="str">
        <f t="shared" si="153"/>
        <v>EA</v>
      </c>
      <c r="I557">
        <v>0</v>
      </c>
      <c r="J557">
        <v>0</v>
      </c>
      <c r="K557" t="str">
        <f t="shared" si="144"/>
        <v>Y</v>
      </c>
      <c r="L557">
        <v>0</v>
      </c>
      <c r="M557" t="str">
        <f t="shared" si="145"/>
        <v>NIS</v>
      </c>
      <c r="O557">
        <v>12</v>
      </c>
      <c r="P557" t="str">
        <f t="shared" si="154"/>
        <v>Active</v>
      </c>
      <c r="Q557" t="str">
        <f>"Ball Game Set (Assembly with Plastic Pins)"</f>
        <v>Ball Game Set (Assembly with Plastic Pins)</v>
      </c>
      <c r="S557" t="str">
        <f>"Ball Game Set (Assembly with Plastic Pins)"</f>
        <v>Ball Game Set (Assembly with Plastic Pins)</v>
      </c>
      <c r="T557">
        <v>0</v>
      </c>
      <c r="U557">
        <v>32</v>
      </c>
      <c r="V557">
        <v>34.770000000000003</v>
      </c>
      <c r="W557" t="str">
        <f t="shared" si="138"/>
        <v>rob</v>
      </c>
    </row>
    <row r="558" spans="1:23">
      <c r="A558" t="str">
        <f t="shared" si="151"/>
        <v>ASM-ER14P-02</v>
      </c>
      <c r="B558" t="str">
        <f>"00-1249-0000"</f>
        <v>00-1249-0000</v>
      </c>
      <c r="C558" t="str">
        <f>"Workbench 1500x800mm (slotted aluminum top)"</f>
        <v>Workbench 1500x800mm (slotted aluminum top)</v>
      </c>
      <c r="D558">
        <v>1</v>
      </c>
      <c r="E558" t="str">
        <f t="shared" si="152"/>
        <v>Assembly Station - with Scora-ER14 Scara Robot (Ballgame &amp; Glueing Machine)</v>
      </c>
      <c r="F558">
        <v>503</v>
      </c>
      <c r="G558" t="str">
        <f t="shared" si="143"/>
        <v>Y</v>
      </c>
      <c r="H558" t="str">
        <f t="shared" si="153"/>
        <v>EA</v>
      </c>
      <c r="I558">
        <v>0</v>
      </c>
      <c r="J558">
        <v>0</v>
      </c>
      <c r="K558" t="str">
        <f t="shared" si="144"/>
        <v>Y</v>
      </c>
      <c r="L558">
        <v>0</v>
      </c>
      <c r="M558" t="str">
        <f t="shared" si="145"/>
        <v>NIS</v>
      </c>
      <c r="O558">
        <v>13</v>
      </c>
      <c r="P558" t="str">
        <f t="shared" si="154"/>
        <v>Active</v>
      </c>
      <c r="Q558" t="str">
        <f>"Workbench 1500x800mm (slotted aluminum top)"</f>
        <v>Workbench 1500x800mm (slotted aluminum top)</v>
      </c>
      <c r="S558" t="str">
        <f>"Workbench 1500x800mm (slotted aluminum top)"</f>
        <v>Workbench 1500x800mm (slotted aluminum top)</v>
      </c>
      <c r="T558">
        <v>0</v>
      </c>
      <c r="U558" s="44">
        <v>1100</v>
      </c>
      <c r="V558" s="44">
        <v>1083.57</v>
      </c>
      <c r="W558" t="str">
        <f t="shared" ref="W558:W621" si="155">"rob"</f>
        <v>rob</v>
      </c>
    </row>
    <row r="559" spans="1:23">
      <c r="A559" t="str">
        <f t="shared" si="151"/>
        <v>ASM-ER14P-02</v>
      </c>
      <c r="B559" t="str">
        <f>"00-1241-0000"</f>
        <v>00-1241-0000</v>
      </c>
      <c r="C559" t="str">
        <f>"Adapter Mounting Plate for ER9/14Pro &amp; HP3"</f>
        <v>Adapter Mounting Plate for ER9/14Pro &amp; HP3</v>
      </c>
      <c r="D559">
        <v>1</v>
      </c>
      <c r="E559" t="str">
        <f t="shared" si="152"/>
        <v>Assembly Station - with Scora-ER14 Scara Robot (Ballgame &amp; Glueing Machine)</v>
      </c>
      <c r="F559">
        <v>503</v>
      </c>
      <c r="G559" t="str">
        <f t="shared" si="143"/>
        <v>Y</v>
      </c>
      <c r="H559" t="str">
        <f t="shared" si="153"/>
        <v>EA</v>
      </c>
      <c r="I559">
        <v>0</v>
      </c>
      <c r="J559">
        <v>0</v>
      </c>
      <c r="K559" t="str">
        <f t="shared" si="144"/>
        <v>Y</v>
      </c>
      <c r="L559">
        <v>0</v>
      </c>
      <c r="M559" t="str">
        <f t="shared" si="145"/>
        <v>NIS</v>
      </c>
      <c r="O559">
        <v>14</v>
      </c>
      <c r="P559" t="str">
        <f t="shared" si="154"/>
        <v>Active</v>
      </c>
      <c r="Q559" t="str">
        <f>"Adapter Mounting Plate for ER9/14Pro &amp; HP3"</f>
        <v>Adapter Mounting Plate for ER9/14Pro &amp; HP3</v>
      </c>
      <c r="S559" t="str">
        <f>"Adapter Mounting Plate for ER9/14Pro &amp; HP3"</f>
        <v>Adapter Mounting Plate for ER9/14Pro &amp; HP3</v>
      </c>
      <c r="T559">
        <v>0</v>
      </c>
      <c r="U559">
        <v>145</v>
      </c>
      <c r="V559">
        <v>153.93</v>
      </c>
      <c r="W559" t="str">
        <f t="shared" si="155"/>
        <v>rob</v>
      </c>
    </row>
    <row r="560" spans="1:23">
      <c r="A560" t="str">
        <f t="shared" si="151"/>
        <v>ASM-ER14P-02</v>
      </c>
      <c r="B560" t="str">
        <f>"00-1260-0000"</f>
        <v>00-1260-0000</v>
      </c>
      <c r="C560" t="str">
        <f>"PC Extension Shelf  600x800mm"</f>
        <v>PC Extension Shelf  600x800mm</v>
      </c>
      <c r="D560">
        <v>1</v>
      </c>
      <c r="E560" t="str">
        <f t="shared" si="152"/>
        <v>Assembly Station - with Scora-ER14 Scara Robot (Ballgame &amp; Glueing Machine)</v>
      </c>
      <c r="F560">
        <v>503</v>
      </c>
      <c r="G560" t="str">
        <f t="shared" si="143"/>
        <v>Y</v>
      </c>
      <c r="H560" t="str">
        <f t="shared" si="153"/>
        <v>EA</v>
      </c>
      <c r="I560">
        <v>0</v>
      </c>
      <c r="J560">
        <v>0</v>
      </c>
      <c r="K560" t="str">
        <f t="shared" si="144"/>
        <v>Y</v>
      </c>
      <c r="L560">
        <v>0</v>
      </c>
      <c r="M560" t="str">
        <f t="shared" si="145"/>
        <v>NIS</v>
      </c>
      <c r="O560">
        <v>15</v>
      </c>
      <c r="P560" t="str">
        <f t="shared" si="154"/>
        <v>Active</v>
      </c>
      <c r="Q560" t="str">
        <f>"PC Extension Shelf  600x800mm"</f>
        <v>PC Extension Shelf  600x800mm</v>
      </c>
      <c r="S560" t="str">
        <f>"PC Extension Shelf  600x800mm"</f>
        <v>PC Extension Shelf  600x800mm</v>
      </c>
      <c r="T560">
        <v>0</v>
      </c>
      <c r="U560">
        <v>192</v>
      </c>
      <c r="V560">
        <v>195.4</v>
      </c>
      <c r="W560" t="str">
        <f t="shared" si="155"/>
        <v>rob</v>
      </c>
    </row>
    <row r="561" spans="1:23">
      <c r="A561" t="str">
        <f t="shared" si="151"/>
        <v>ASM-ER14P-02</v>
      </c>
      <c r="B561" t="str">
        <f>"50-0094-0000"</f>
        <v>50-0094-0000</v>
      </c>
      <c r="C561" t="str">
        <f>"Pre-Engineering, Design and Testing"</f>
        <v>Pre-Engineering, Design and Testing</v>
      </c>
      <c r="D561">
        <v>1</v>
      </c>
      <c r="E561" t="str">
        <f t="shared" si="152"/>
        <v>Assembly Station - with Scora-ER14 Scara Robot (Ballgame &amp; Glueing Machine)</v>
      </c>
      <c r="F561">
        <v>503</v>
      </c>
      <c r="G561" t="str">
        <f t="shared" si="143"/>
        <v>Y</v>
      </c>
      <c r="H561" t="str">
        <f>"DA"</f>
        <v>DA</v>
      </c>
      <c r="I561">
        <v>0</v>
      </c>
      <c r="J561">
        <v>0</v>
      </c>
      <c r="K561" t="str">
        <f t="shared" si="144"/>
        <v>Y</v>
      </c>
      <c r="L561">
        <v>0</v>
      </c>
      <c r="M561" t="str">
        <f t="shared" si="145"/>
        <v>NIS</v>
      </c>
      <c r="O561">
        <v>16</v>
      </c>
      <c r="P561" t="str">
        <f t="shared" si="154"/>
        <v>Active</v>
      </c>
      <c r="Q561" t="str">
        <f>"Pre-Engineering, Design and Testing"</f>
        <v>Pre-Engineering, Design and Testing</v>
      </c>
      <c r="S561" t="str">
        <f>"Pre-Engineering, Design and Testing"</f>
        <v>Pre-Engineering, Design and Testing</v>
      </c>
      <c r="T561">
        <v>0</v>
      </c>
      <c r="U561">
        <v>405</v>
      </c>
      <c r="V561">
        <v>421.2</v>
      </c>
      <c r="W561" t="str">
        <f t="shared" si="155"/>
        <v>rob</v>
      </c>
    </row>
    <row r="562" spans="1:23">
      <c r="A562" t="str">
        <f t="shared" ref="A562:A577" si="156">"ASM-ER14P-03"</f>
        <v>ASM-ER14P-03</v>
      </c>
      <c r="B562" t="str">
        <f>"00-0432-0000"</f>
        <v>00-0432-0000</v>
      </c>
      <c r="C562" t="str">
        <f>"SCORA-ER 14Pro"</f>
        <v>SCORA-ER 14Pro</v>
      </c>
      <c r="D562">
        <v>1</v>
      </c>
      <c r="E562" t="str">
        <f t="shared" ref="E562:E577" si="157">"Assembly Station - with Scora-ER14 Robot (Ballgame &amp; Automatic Screwdriver)"</f>
        <v>Assembly Station - with Scora-ER14 Robot (Ballgame &amp; Automatic Screwdriver)</v>
      </c>
      <c r="F562">
        <v>503</v>
      </c>
      <c r="G562" t="str">
        <f t="shared" si="143"/>
        <v>Y</v>
      </c>
      <c r="H562" t="str">
        <f t="shared" ref="H562:H576" si="158">"EA"</f>
        <v>EA</v>
      </c>
      <c r="I562">
        <v>0</v>
      </c>
      <c r="J562">
        <v>0</v>
      </c>
      <c r="K562" t="str">
        <f t="shared" si="144"/>
        <v>Y</v>
      </c>
      <c r="L562">
        <v>0</v>
      </c>
      <c r="M562" t="str">
        <f t="shared" si="145"/>
        <v>NIS</v>
      </c>
      <c r="O562">
        <v>1</v>
      </c>
      <c r="P562" t="str">
        <f t="shared" si="154"/>
        <v>Active</v>
      </c>
      <c r="Q562" t="str">
        <f>"SCORA-ER 14Pro (incl. USB-Pro Controller)"</f>
        <v>SCORA-ER 14Pro (incl. USB-Pro Controller)</v>
      </c>
      <c r="S562" t="str">
        <f>"SCORA-ER 14Pro (incl. USB-Pro Controller)"</f>
        <v>SCORA-ER 14Pro (incl. USB-Pro Controller)</v>
      </c>
      <c r="T562">
        <v>0</v>
      </c>
      <c r="U562" s="44">
        <v>11400</v>
      </c>
      <c r="V562" s="44">
        <v>12383.77</v>
      </c>
      <c r="W562" t="str">
        <f t="shared" si="155"/>
        <v>rob</v>
      </c>
    </row>
    <row r="563" spans="1:23">
      <c r="A563" t="str">
        <f t="shared" si="156"/>
        <v>ASM-ER14P-03</v>
      </c>
      <c r="B563" t="str">
        <f>"00-0634-0000"</f>
        <v>00-0634-0000</v>
      </c>
      <c r="C563" t="str">
        <f>"Pneumatic Gripper for ER 14Pro"</f>
        <v>Pneumatic Gripper for ER 14Pro</v>
      </c>
      <c r="D563">
        <v>1</v>
      </c>
      <c r="E563" t="str">
        <f t="shared" si="157"/>
        <v>Assembly Station - with Scora-ER14 Robot (Ballgame &amp; Automatic Screwdriver)</v>
      </c>
      <c r="F563">
        <v>503</v>
      </c>
      <c r="G563" t="str">
        <f t="shared" si="143"/>
        <v>Y</v>
      </c>
      <c r="H563" t="str">
        <f t="shared" si="158"/>
        <v>EA</v>
      </c>
      <c r="I563">
        <v>0</v>
      </c>
      <c r="J563">
        <v>0</v>
      </c>
      <c r="K563" t="str">
        <f t="shared" si="144"/>
        <v>Y</v>
      </c>
      <c r="L563">
        <v>0</v>
      </c>
      <c r="M563" t="str">
        <f t="shared" si="145"/>
        <v>NIS</v>
      </c>
      <c r="O563">
        <v>2</v>
      </c>
      <c r="P563" t="str">
        <f t="shared" si="154"/>
        <v>Active</v>
      </c>
      <c r="Q563" t="str">
        <f>"Pneumatic Gripper for ER 14Pro"</f>
        <v>Pneumatic Gripper for ER 14Pro</v>
      </c>
      <c r="S563" t="str">
        <f>"Pneumatic Gripper for ER 14Pro"</f>
        <v>Pneumatic Gripper for ER 14Pro</v>
      </c>
      <c r="T563">
        <v>0</v>
      </c>
      <c r="U563">
        <v>651</v>
      </c>
      <c r="V563">
        <v>647.6</v>
      </c>
      <c r="W563" t="str">
        <f t="shared" si="155"/>
        <v>rob</v>
      </c>
    </row>
    <row r="564" spans="1:23">
      <c r="A564" t="str">
        <f t="shared" si="156"/>
        <v>ASM-ER14P-03</v>
      </c>
      <c r="B564" t="str">
        <f>"00-1710-0000"</f>
        <v>00-1710-0000</v>
      </c>
      <c r="C564" t="str">
        <f>"Teach Pendant"</f>
        <v>Teach Pendant</v>
      </c>
      <c r="D564">
        <v>1</v>
      </c>
      <c r="E564" t="str">
        <f t="shared" si="157"/>
        <v>Assembly Station - with Scora-ER14 Robot (Ballgame &amp; Automatic Screwdriver)</v>
      </c>
      <c r="F564">
        <v>503</v>
      </c>
      <c r="G564" t="str">
        <f t="shared" si="143"/>
        <v>Y</v>
      </c>
      <c r="H564" t="str">
        <f t="shared" si="158"/>
        <v>EA</v>
      </c>
      <c r="I564">
        <v>0</v>
      </c>
      <c r="J564">
        <v>0</v>
      </c>
      <c r="K564" t="str">
        <f t="shared" si="144"/>
        <v>Y</v>
      </c>
      <c r="L564">
        <v>0</v>
      </c>
      <c r="M564" t="str">
        <f t="shared" si="145"/>
        <v>NIS</v>
      </c>
      <c r="O564">
        <v>3</v>
      </c>
      <c r="P564" t="str">
        <f t="shared" si="154"/>
        <v>Active</v>
      </c>
      <c r="Q564" t="str">
        <f>"Teach Pendant for USB/USB Pro Controllers"</f>
        <v>Teach Pendant for USB/USB Pro Controllers</v>
      </c>
      <c r="S564" t="str">
        <f>"Teach Pendant for USB/USB Pro Controllers"</f>
        <v>Teach Pendant for USB/USB Pro Controllers</v>
      </c>
      <c r="T564">
        <v>0</v>
      </c>
      <c r="U564">
        <v>160.18</v>
      </c>
      <c r="V564">
        <v>161.44999999999999</v>
      </c>
      <c r="W564" t="str">
        <f t="shared" si="155"/>
        <v>rob</v>
      </c>
    </row>
    <row r="565" spans="1:23">
      <c r="A565" t="str">
        <f t="shared" si="156"/>
        <v>ASM-ER14P-03</v>
      </c>
      <c r="B565" t="str">
        <f>"034025"</f>
        <v>034025</v>
      </c>
      <c r="C565" t="str">
        <f>"I/O Interface Box for Controller USB-PRO"</f>
        <v>I/O Interface Box for Controller USB-PRO</v>
      </c>
      <c r="D565">
        <v>1</v>
      </c>
      <c r="E565" t="str">
        <f t="shared" si="157"/>
        <v>Assembly Station - with Scora-ER14 Robot (Ballgame &amp; Automatic Screwdriver)</v>
      </c>
      <c r="F565">
        <v>503</v>
      </c>
      <c r="G565" t="str">
        <f t="shared" si="143"/>
        <v>Y</v>
      </c>
      <c r="H565" t="str">
        <f t="shared" si="158"/>
        <v>EA</v>
      </c>
      <c r="I565">
        <v>0</v>
      </c>
      <c r="J565">
        <v>0</v>
      </c>
      <c r="K565" t="str">
        <f t="shared" si="144"/>
        <v>Y</v>
      </c>
      <c r="L565">
        <v>0</v>
      </c>
      <c r="M565" t="str">
        <f t="shared" si="145"/>
        <v>NIS</v>
      </c>
      <c r="O565">
        <v>4</v>
      </c>
      <c r="P565" t="str">
        <f t="shared" si="154"/>
        <v>Active</v>
      </c>
      <c r="Q565" t="str">
        <f>"I/O Interface Box for Controller USB-PRO"</f>
        <v>I/O Interface Box for Controller USB-PRO</v>
      </c>
      <c r="S565" t="str">
        <f>"קופסת 2+Interface Box I/O כבלים לבקר USBPRO"</f>
        <v>קופסת 2+Interface Box I/O כבלים לבקר USBPRO</v>
      </c>
      <c r="T565">
        <v>0</v>
      </c>
      <c r="U565">
        <v>470</v>
      </c>
      <c r="V565">
        <v>463.62</v>
      </c>
      <c r="W565" t="str">
        <f t="shared" si="155"/>
        <v>rob</v>
      </c>
    </row>
    <row r="566" spans="1:23">
      <c r="A566" t="str">
        <f t="shared" si="156"/>
        <v>ASM-ER14P-03</v>
      </c>
      <c r="B566" t="str">
        <f>"10-2104-9000"</f>
        <v>10-2104-9000</v>
      </c>
      <c r="C566" t="str">
        <f>"Single Buffer for Slotted Table"</f>
        <v>Single Buffer for Slotted Table</v>
      </c>
      <c r="D566">
        <v>3</v>
      </c>
      <c r="E566" t="str">
        <f t="shared" si="157"/>
        <v>Assembly Station - with Scora-ER14 Robot (Ballgame &amp; Automatic Screwdriver)</v>
      </c>
      <c r="F566">
        <v>503</v>
      </c>
      <c r="G566" t="str">
        <f t="shared" si="143"/>
        <v>Y</v>
      </c>
      <c r="H566" t="str">
        <f t="shared" si="158"/>
        <v>EA</v>
      </c>
      <c r="I566">
        <v>0</v>
      </c>
      <c r="J566">
        <v>0</v>
      </c>
      <c r="K566" t="str">
        <f t="shared" si="144"/>
        <v>Y</v>
      </c>
      <c r="L566">
        <v>0</v>
      </c>
      <c r="M566" t="str">
        <f t="shared" si="145"/>
        <v>NIS</v>
      </c>
      <c r="O566">
        <v>5</v>
      </c>
      <c r="P566" t="str">
        <f t="shared" si="154"/>
        <v>Active</v>
      </c>
      <c r="Q566" t="str">
        <f>"Single Buffer for Slotted Table(+height adapter)"</f>
        <v>Single Buffer for Slotted Table(+height adapter)</v>
      </c>
      <c r="S566" t="str">
        <f>"Single Buffer for Slotted Table(+height adapter)"</f>
        <v>Single Buffer for Slotted Table(+height adapter)</v>
      </c>
      <c r="T566">
        <v>0</v>
      </c>
      <c r="U566">
        <v>26</v>
      </c>
      <c r="V566">
        <v>25.49</v>
      </c>
      <c r="W566" t="str">
        <f t="shared" si="155"/>
        <v>rob</v>
      </c>
    </row>
    <row r="567" spans="1:23">
      <c r="A567" t="str">
        <f t="shared" si="156"/>
        <v>ASM-ER14P-03</v>
      </c>
      <c r="B567" t="str">
        <f>"00-1110-0000"</f>
        <v>00-1110-0000</v>
      </c>
      <c r="C567" t="str">
        <f>"Palletizing Rack"</f>
        <v>Palletizing Rack</v>
      </c>
      <c r="D567">
        <v>2</v>
      </c>
      <c r="E567" t="str">
        <f t="shared" si="157"/>
        <v>Assembly Station - with Scora-ER14 Robot (Ballgame &amp; Automatic Screwdriver)</v>
      </c>
      <c r="F567">
        <v>503</v>
      </c>
      <c r="G567" t="str">
        <f t="shared" si="143"/>
        <v>Y</v>
      </c>
      <c r="H567" t="str">
        <f t="shared" si="158"/>
        <v>EA</v>
      </c>
      <c r="I567">
        <v>0</v>
      </c>
      <c r="J567">
        <v>0</v>
      </c>
      <c r="K567" t="str">
        <f t="shared" si="144"/>
        <v>Y</v>
      </c>
      <c r="L567">
        <v>0</v>
      </c>
      <c r="M567" t="str">
        <f t="shared" si="145"/>
        <v>NIS</v>
      </c>
      <c r="O567">
        <v>6</v>
      </c>
      <c r="P567" t="str">
        <f t="shared" si="154"/>
        <v>Active</v>
      </c>
      <c r="Q567" t="str">
        <f>"Palletizing Rack (incl. Pins for creating Jigs)"</f>
        <v>Palletizing Rack (incl. Pins for creating Jigs)</v>
      </c>
      <c r="S567" t="str">
        <f>"Palletizing Rack (incl. Pins for creating Jigs)"</f>
        <v>Palletizing Rack (incl. Pins for creating Jigs)</v>
      </c>
      <c r="T567">
        <v>0</v>
      </c>
      <c r="U567">
        <v>63</v>
      </c>
      <c r="V567">
        <v>58.59</v>
      </c>
      <c r="W567" t="str">
        <f t="shared" si="155"/>
        <v>rob</v>
      </c>
    </row>
    <row r="568" spans="1:23">
      <c r="A568" t="str">
        <f t="shared" si="156"/>
        <v>ASM-ER14P-03</v>
      </c>
      <c r="B568" t="str">
        <f>"021172"</f>
        <v>021172</v>
      </c>
      <c r="C568" t="str">
        <f>"30mm Height Adapter -Rack 001110 on table 001249"</f>
        <v>30mm Height Adapter -Rack 001110 on table 001249</v>
      </c>
      <c r="D568">
        <v>2</v>
      </c>
      <c r="E568" t="str">
        <f t="shared" si="157"/>
        <v>Assembly Station - with Scora-ER14 Robot (Ballgame &amp; Automatic Screwdriver)</v>
      </c>
      <c r="F568">
        <v>503</v>
      </c>
      <c r="G568" t="str">
        <f t="shared" si="143"/>
        <v>Y</v>
      </c>
      <c r="H568" t="str">
        <f t="shared" si="158"/>
        <v>EA</v>
      </c>
      <c r="I568">
        <v>0</v>
      </c>
      <c r="J568">
        <v>0</v>
      </c>
      <c r="K568" t="str">
        <f t="shared" si="144"/>
        <v>Y</v>
      </c>
      <c r="L568">
        <v>0</v>
      </c>
      <c r="M568" t="str">
        <f t="shared" si="145"/>
        <v>NIS</v>
      </c>
      <c r="O568">
        <v>7</v>
      </c>
      <c r="P568" t="str">
        <f t="shared" si="154"/>
        <v>Active</v>
      </c>
      <c r="Q568" t="str">
        <f>"30mm Height Adapter -Rack 001110 on table 001249"</f>
        <v>30mm Height Adapter -Rack 001110 on table 001249</v>
      </c>
      <c r="S568" t="str">
        <f>"30mm Height Adapter -Rack 001110 on table 001249"</f>
        <v>30mm Height Adapter -Rack 001110 on table 001249</v>
      </c>
      <c r="T568">
        <v>0</v>
      </c>
      <c r="U568">
        <v>13.12</v>
      </c>
      <c r="V568">
        <v>13.44</v>
      </c>
      <c r="W568" t="str">
        <f t="shared" si="155"/>
        <v>rob</v>
      </c>
    </row>
    <row r="569" spans="1:23">
      <c r="A569" t="str">
        <f t="shared" si="156"/>
        <v>ASM-ER14P-03</v>
      </c>
      <c r="B569" t="str">
        <f>"21-0004-0000"</f>
        <v>21-0004-0000</v>
      </c>
      <c r="C569" t="str">
        <f>"Assembly, Dual Axis Air Vise Mechanicals"</f>
        <v>Assembly, Dual Axis Air Vise Mechanicals</v>
      </c>
      <c r="D569">
        <v>1</v>
      </c>
      <c r="E569" t="str">
        <f t="shared" si="157"/>
        <v>Assembly Station - with Scora-ER14 Robot (Ballgame &amp; Automatic Screwdriver)</v>
      </c>
      <c r="F569">
        <v>503</v>
      </c>
      <c r="G569" t="str">
        <f t="shared" si="143"/>
        <v>Y</v>
      </c>
      <c r="H569" t="str">
        <f t="shared" si="158"/>
        <v>EA</v>
      </c>
      <c r="I569">
        <v>0</v>
      </c>
      <c r="J569">
        <v>0</v>
      </c>
      <c r="K569" t="str">
        <f t="shared" si="144"/>
        <v>Y</v>
      </c>
      <c r="L569">
        <v>0</v>
      </c>
      <c r="M569" t="str">
        <f t="shared" si="145"/>
        <v>NIS</v>
      </c>
      <c r="O569">
        <v>8</v>
      </c>
      <c r="P569" t="str">
        <f>"Phase Out"</f>
        <v>Phase Out</v>
      </c>
      <c r="Q569" t="str">
        <f>"Pneumatic Dual-Axis Vise"</f>
        <v>Pneumatic Dual-Axis Vise</v>
      </c>
      <c r="S569" t="str">
        <f>"Assembly, Dual Axis Air Vise Mechanicals"</f>
        <v>Assembly, Dual Axis Air Vise Mechanicals</v>
      </c>
      <c r="T569">
        <v>422.16</v>
      </c>
      <c r="U569">
        <v>422</v>
      </c>
      <c r="V569">
        <v>980.27</v>
      </c>
      <c r="W569" t="str">
        <f t="shared" si="155"/>
        <v>rob</v>
      </c>
    </row>
    <row r="570" spans="1:23">
      <c r="A570" t="str">
        <f t="shared" si="156"/>
        <v>ASM-ER14P-03</v>
      </c>
      <c r="B570" t="str">
        <f>"10-2523-4000"</f>
        <v>10-2523-4000</v>
      </c>
      <c r="C570" t="str">
        <f>"Solenoid Valve (24V) for Pipe 3 mm"</f>
        <v>Solenoid Valve (24V) for Pipe 3 mm</v>
      </c>
      <c r="D570">
        <v>1</v>
      </c>
      <c r="E570" t="str">
        <f t="shared" si="157"/>
        <v>Assembly Station - with Scora-ER14 Robot (Ballgame &amp; Automatic Screwdriver)</v>
      </c>
      <c r="F570">
        <v>503</v>
      </c>
      <c r="G570" t="str">
        <f t="shared" si="143"/>
        <v>Y</v>
      </c>
      <c r="H570" t="str">
        <f t="shared" si="158"/>
        <v>EA</v>
      </c>
      <c r="I570">
        <v>0</v>
      </c>
      <c r="J570">
        <v>0</v>
      </c>
      <c r="K570" t="str">
        <f t="shared" si="144"/>
        <v>Y</v>
      </c>
      <c r="L570">
        <v>0</v>
      </c>
      <c r="M570" t="str">
        <f t="shared" si="145"/>
        <v>NIS</v>
      </c>
      <c r="O570">
        <v>9</v>
      </c>
      <c r="P570" t="str">
        <f>"Active"</f>
        <v>Active</v>
      </c>
      <c r="Q570" t="str">
        <f>"Solenoid Valve (24V) for Dual Axis Vise 025207"</f>
        <v>Solenoid Valve (24V) for Dual Axis Vise 025207</v>
      </c>
      <c r="S570" t="str">
        <f>"Solenoid Valve (24V) for Pipe 3 mm"</f>
        <v>Solenoid Valve (24V) for Pipe 3 mm</v>
      </c>
      <c r="T570">
        <v>0</v>
      </c>
      <c r="U570">
        <v>137</v>
      </c>
      <c r="V570">
        <v>133.35</v>
      </c>
      <c r="W570" t="str">
        <f t="shared" si="155"/>
        <v>rob</v>
      </c>
    </row>
    <row r="571" spans="1:23">
      <c r="A571" t="str">
        <f t="shared" si="156"/>
        <v>ASM-ER14P-03</v>
      </c>
      <c r="B571" t="str">
        <f>"00-1230-0000"</f>
        <v>00-1230-0000</v>
      </c>
      <c r="C571" t="str">
        <f>"Ball Feeder (incl. sensor for ball counting)"</f>
        <v>Ball Feeder (incl. sensor for ball counting)</v>
      </c>
      <c r="D571">
        <v>1</v>
      </c>
      <c r="E571" t="str">
        <f t="shared" si="157"/>
        <v>Assembly Station - with Scora-ER14 Robot (Ballgame &amp; Automatic Screwdriver)</v>
      </c>
      <c r="F571">
        <v>503</v>
      </c>
      <c r="G571" t="str">
        <f t="shared" si="143"/>
        <v>Y</v>
      </c>
      <c r="H571" t="str">
        <f t="shared" si="158"/>
        <v>EA</v>
      </c>
      <c r="I571">
        <v>0</v>
      </c>
      <c r="J571">
        <v>0</v>
      </c>
      <c r="K571" t="str">
        <f t="shared" si="144"/>
        <v>Y</v>
      </c>
      <c r="L571">
        <v>0</v>
      </c>
      <c r="M571" t="str">
        <f t="shared" si="145"/>
        <v>NIS</v>
      </c>
      <c r="O571">
        <v>10</v>
      </c>
      <c r="P571" t="str">
        <f>"Active"</f>
        <v>Active</v>
      </c>
      <c r="Q571" t="str">
        <f>"Ball Feeder (incl. sensor for ball counting)"</f>
        <v>Ball Feeder (incl. sensor for ball counting)</v>
      </c>
      <c r="S571" t="str">
        <f>"Ball Feeder (incl. sensor for ball counting)"</f>
        <v>Ball Feeder (incl. sensor for ball counting)</v>
      </c>
      <c r="T571">
        <v>0</v>
      </c>
      <c r="U571">
        <v>536</v>
      </c>
      <c r="V571">
        <v>530.72</v>
      </c>
      <c r="W571" t="str">
        <f t="shared" si="155"/>
        <v>rob</v>
      </c>
    </row>
    <row r="572" spans="1:23">
      <c r="A572" t="str">
        <f t="shared" si="156"/>
        <v>ASM-ER14P-03</v>
      </c>
      <c r="B572" t="str">
        <f>"00-1221-0000"</f>
        <v>00-1221-0000</v>
      </c>
      <c r="C572" t="str">
        <f>"Ball Game Set (Assembly with screws)"</f>
        <v>Ball Game Set (Assembly with screws)</v>
      </c>
      <c r="D572">
        <v>12</v>
      </c>
      <c r="E572" t="str">
        <f t="shared" si="157"/>
        <v>Assembly Station - with Scora-ER14 Robot (Ballgame &amp; Automatic Screwdriver)</v>
      </c>
      <c r="F572">
        <v>503</v>
      </c>
      <c r="G572" t="str">
        <f t="shared" si="143"/>
        <v>Y</v>
      </c>
      <c r="H572" t="str">
        <f t="shared" si="158"/>
        <v>EA</v>
      </c>
      <c r="I572">
        <v>0</v>
      </c>
      <c r="J572">
        <v>0</v>
      </c>
      <c r="K572" t="str">
        <f t="shared" si="144"/>
        <v>Y</v>
      </c>
      <c r="L572">
        <v>0</v>
      </c>
      <c r="M572" t="str">
        <f t="shared" si="145"/>
        <v>NIS</v>
      </c>
      <c r="O572">
        <v>11</v>
      </c>
      <c r="P572" t="str">
        <f>"Phase Out"</f>
        <v>Phase Out</v>
      </c>
      <c r="Q572" t="str">
        <f>"Ball Game Set (Assembly with screws)"</f>
        <v>Ball Game Set (Assembly with screws)</v>
      </c>
      <c r="S572" t="str">
        <f>"Ball Game Set (Assembly with screws)"</f>
        <v>Ball Game Set (Assembly with screws)</v>
      </c>
      <c r="T572">
        <v>0</v>
      </c>
      <c r="U572">
        <v>26.72</v>
      </c>
      <c r="V572">
        <v>34.44</v>
      </c>
      <c r="W572" t="str">
        <f t="shared" si="155"/>
        <v>rob</v>
      </c>
    </row>
    <row r="573" spans="1:23">
      <c r="A573" t="str">
        <f t="shared" si="156"/>
        <v>ASM-ER14P-03</v>
      </c>
      <c r="B573" t="str">
        <f>"00-1239-0000"</f>
        <v>00-1239-0000</v>
      </c>
      <c r="C573" t="str">
        <f>"Automatic Screwdriver &amp; Screw Feeder, 110V"</f>
        <v>Automatic Screwdriver &amp; Screw Feeder, 110V</v>
      </c>
      <c r="D573">
        <v>1</v>
      </c>
      <c r="E573" t="str">
        <f t="shared" si="157"/>
        <v>Assembly Station - with Scora-ER14 Robot (Ballgame &amp; Automatic Screwdriver)</v>
      </c>
      <c r="F573">
        <v>503</v>
      </c>
      <c r="G573" t="str">
        <f t="shared" si="143"/>
        <v>Y</v>
      </c>
      <c r="H573" t="str">
        <f t="shared" si="158"/>
        <v>EA</v>
      </c>
      <c r="I573">
        <v>0</v>
      </c>
      <c r="J573">
        <v>0</v>
      </c>
      <c r="K573" t="str">
        <f t="shared" si="144"/>
        <v>Y</v>
      </c>
      <c r="L573">
        <v>0</v>
      </c>
      <c r="M573" t="str">
        <f t="shared" si="145"/>
        <v>NIS</v>
      </c>
      <c r="O573">
        <v>12</v>
      </c>
      <c r="P573" t="str">
        <f t="shared" ref="P573:P596" si="159">"Active"</f>
        <v>Active</v>
      </c>
      <c r="Q573" t="str">
        <f>"Automatic Screwdriver &amp; Screw Feeder, 110V"</f>
        <v>Automatic Screwdriver &amp; Screw Feeder, 110V</v>
      </c>
      <c r="S573" t="str">
        <f>"Automatic Screwdriver &amp; Screw Feeder, 110V"</f>
        <v>Automatic Screwdriver &amp; Screw Feeder, 110V</v>
      </c>
      <c r="T573">
        <v>0</v>
      </c>
      <c r="U573" s="44">
        <v>11351.06</v>
      </c>
      <c r="V573" s="44">
        <v>11739.79</v>
      </c>
      <c r="W573" t="str">
        <f t="shared" si="155"/>
        <v>rob</v>
      </c>
    </row>
    <row r="574" spans="1:23">
      <c r="A574" t="str">
        <f t="shared" si="156"/>
        <v>ASM-ER14P-03</v>
      </c>
      <c r="B574" t="str">
        <f>"00-1249-0000"</f>
        <v>00-1249-0000</v>
      </c>
      <c r="C574" t="str">
        <f>"Workbench 1500x800mm (slotted aluminum top)"</f>
        <v>Workbench 1500x800mm (slotted aluminum top)</v>
      </c>
      <c r="D574">
        <v>1</v>
      </c>
      <c r="E574" t="str">
        <f t="shared" si="157"/>
        <v>Assembly Station - with Scora-ER14 Robot (Ballgame &amp; Automatic Screwdriver)</v>
      </c>
      <c r="F574">
        <v>503</v>
      </c>
      <c r="G574" t="str">
        <f t="shared" si="143"/>
        <v>Y</v>
      </c>
      <c r="H574" t="str">
        <f t="shared" si="158"/>
        <v>EA</v>
      </c>
      <c r="I574">
        <v>0</v>
      </c>
      <c r="J574">
        <v>0</v>
      </c>
      <c r="K574" t="str">
        <f t="shared" si="144"/>
        <v>Y</v>
      </c>
      <c r="L574">
        <v>0</v>
      </c>
      <c r="M574" t="str">
        <f t="shared" si="145"/>
        <v>NIS</v>
      </c>
      <c r="O574">
        <v>13</v>
      </c>
      <c r="P574" t="str">
        <f t="shared" si="159"/>
        <v>Active</v>
      </c>
      <c r="Q574" t="str">
        <f>"Workbench 1500x800mm (slotted aluminum top)"</f>
        <v>Workbench 1500x800mm (slotted aluminum top)</v>
      </c>
      <c r="S574" t="str">
        <f>"Workbench 1500x800mm (slotted aluminum top)"</f>
        <v>Workbench 1500x800mm (slotted aluminum top)</v>
      </c>
      <c r="T574">
        <v>0</v>
      </c>
      <c r="U574" s="44">
        <v>1100</v>
      </c>
      <c r="V574" s="44">
        <v>1083.57</v>
      </c>
      <c r="W574" t="str">
        <f t="shared" si="155"/>
        <v>rob</v>
      </c>
    </row>
    <row r="575" spans="1:23">
      <c r="A575" t="str">
        <f t="shared" si="156"/>
        <v>ASM-ER14P-03</v>
      </c>
      <c r="B575" t="str">
        <f>"00-1241-0000"</f>
        <v>00-1241-0000</v>
      </c>
      <c r="C575" t="str">
        <f>"Adapter Mounting Plate for ER9/14Pro &amp; HP3"</f>
        <v>Adapter Mounting Plate for ER9/14Pro &amp; HP3</v>
      </c>
      <c r="D575">
        <v>1</v>
      </c>
      <c r="E575" t="str">
        <f t="shared" si="157"/>
        <v>Assembly Station - with Scora-ER14 Robot (Ballgame &amp; Automatic Screwdriver)</v>
      </c>
      <c r="F575">
        <v>503</v>
      </c>
      <c r="G575" t="str">
        <f t="shared" si="143"/>
        <v>Y</v>
      </c>
      <c r="H575" t="str">
        <f t="shared" si="158"/>
        <v>EA</v>
      </c>
      <c r="I575">
        <v>0</v>
      </c>
      <c r="J575">
        <v>0</v>
      </c>
      <c r="K575" t="str">
        <f t="shared" si="144"/>
        <v>Y</v>
      </c>
      <c r="L575">
        <v>0</v>
      </c>
      <c r="M575" t="str">
        <f t="shared" si="145"/>
        <v>NIS</v>
      </c>
      <c r="O575">
        <v>14</v>
      </c>
      <c r="P575" t="str">
        <f t="shared" si="159"/>
        <v>Active</v>
      </c>
      <c r="Q575" t="str">
        <f>"Adapter Mounting Plate for ER9/14Pro &amp; HP3"</f>
        <v>Adapter Mounting Plate for ER9/14Pro &amp; HP3</v>
      </c>
      <c r="S575" t="str">
        <f>"Adapter Mounting Plate for ER9/14Pro &amp; HP3"</f>
        <v>Adapter Mounting Plate for ER9/14Pro &amp; HP3</v>
      </c>
      <c r="T575">
        <v>0</v>
      </c>
      <c r="U575">
        <v>145</v>
      </c>
      <c r="V575">
        <v>153.93</v>
      </c>
      <c r="W575" t="str">
        <f t="shared" si="155"/>
        <v>rob</v>
      </c>
    </row>
    <row r="576" spans="1:23">
      <c r="A576" t="str">
        <f t="shared" si="156"/>
        <v>ASM-ER14P-03</v>
      </c>
      <c r="B576" t="str">
        <f>"00-1260-0000"</f>
        <v>00-1260-0000</v>
      </c>
      <c r="C576" t="str">
        <f>"PC Extension Shelf  600x800mm"</f>
        <v>PC Extension Shelf  600x800mm</v>
      </c>
      <c r="D576">
        <v>1</v>
      </c>
      <c r="E576" t="str">
        <f t="shared" si="157"/>
        <v>Assembly Station - with Scora-ER14 Robot (Ballgame &amp; Automatic Screwdriver)</v>
      </c>
      <c r="F576">
        <v>503</v>
      </c>
      <c r="G576" t="str">
        <f t="shared" si="143"/>
        <v>Y</v>
      </c>
      <c r="H576" t="str">
        <f t="shared" si="158"/>
        <v>EA</v>
      </c>
      <c r="I576">
        <v>0</v>
      </c>
      <c r="J576">
        <v>0</v>
      </c>
      <c r="K576" t="str">
        <f t="shared" si="144"/>
        <v>Y</v>
      </c>
      <c r="L576">
        <v>0</v>
      </c>
      <c r="M576" t="str">
        <f t="shared" si="145"/>
        <v>NIS</v>
      </c>
      <c r="O576">
        <v>15</v>
      </c>
      <c r="P576" t="str">
        <f t="shared" si="159"/>
        <v>Active</v>
      </c>
      <c r="Q576" t="str">
        <f>"PC Extension Shelf  600x800mm"</f>
        <v>PC Extension Shelf  600x800mm</v>
      </c>
      <c r="S576" t="str">
        <f>"PC Extension Shelf  600x800mm"</f>
        <v>PC Extension Shelf  600x800mm</v>
      </c>
      <c r="T576">
        <v>0</v>
      </c>
      <c r="U576">
        <v>192</v>
      </c>
      <c r="V576">
        <v>195.4</v>
      </c>
      <c r="W576" t="str">
        <f t="shared" si="155"/>
        <v>rob</v>
      </c>
    </row>
    <row r="577" spans="1:23">
      <c r="A577" t="str">
        <f t="shared" si="156"/>
        <v>ASM-ER14P-03</v>
      </c>
      <c r="B577" t="str">
        <f>"50-0094-0000"</f>
        <v>50-0094-0000</v>
      </c>
      <c r="C577" t="str">
        <f>"Pre-Engineering, Design and Testing"</f>
        <v>Pre-Engineering, Design and Testing</v>
      </c>
      <c r="D577">
        <v>1</v>
      </c>
      <c r="E577" t="str">
        <f t="shared" si="157"/>
        <v>Assembly Station - with Scora-ER14 Robot (Ballgame &amp; Automatic Screwdriver)</v>
      </c>
      <c r="F577">
        <v>503</v>
      </c>
      <c r="G577" t="str">
        <f t="shared" si="143"/>
        <v>Y</v>
      </c>
      <c r="H577" t="str">
        <f>"DA"</f>
        <v>DA</v>
      </c>
      <c r="I577">
        <v>0</v>
      </c>
      <c r="J577">
        <v>0</v>
      </c>
      <c r="K577" t="str">
        <f t="shared" si="144"/>
        <v>Y</v>
      </c>
      <c r="L577">
        <v>0</v>
      </c>
      <c r="M577" t="str">
        <f t="shared" si="145"/>
        <v>NIS</v>
      </c>
      <c r="O577">
        <v>16</v>
      </c>
      <c r="P577" t="str">
        <f t="shared" si="159"/>
        <v>Active</v>
      </c>
      <c r="Q577" t="str">
        <f>"Pre-Engineering, Design and Testing"</f>
        <v>Pre-Engineering, Design and Testing</v>
      </c>
      <c r="S577" t="str">
        <f>"Pre-Engineering, Design and Testing"</f>
        <v>Pre-Engineering, Design and Testing</v>
      </c>
      <c r="T577">
        <v>0</v>
      </c>
      <c r="U577">
        <v>405</v>
      </c>
      <c r="V577">
        <v>421.2</v>
      </c>
      <c r="W577" t="str">
        <f t="shared" si="155"/>
        <v>rob</v>
      </c>
    </row>
    <row r="578" spans="1:23">
      <c r="A578" t="str">
        <f t="shared" ref="A578:A589" si="160">"ASM-ER4U-01"</f>
        <v>ASM-ER4U-01</v>
      </c>
      <c r="B578" t="str">
        <f>"00-0413-0000"</f>
        <v>00-0413-0000</v>
      </c>
      <c r="C578" t="str">
        <f>"SCORBOT-ER 4u"</f>
        <v>SCORBOT-ER 4u</v>
      </c>
      <c r="D578">
        <v>1</v>
      </c>
      <c r="E578" t="str">
        <f t="shared" ref="E578:E589" si="161">"Assembly Station - Scorbot-ER4U Robot (Basic Assembly)"</f>
        <v>Assembly Station - Scorbot-ER4U Robot (Basic Assembly)</v>
      </c>
      <c r="F578">
        <v>503</v>
      </c>
      <c r="G578" t="str">
        <f t="shared" ref="G578:G641" si="162">"Y"</f>
        <v>Y</v>
      </c>
      <c r="H578" t="str">
        <f t="shared" ref="H578:H588" si="163">"EA"</f>
        <v>EA</v>
      </c>
      <c r="I578">
        <v>0</v>
      </c>
      <c r="J578">
        <v>0</v>
      </c>
      <c r="K578" t="str">
        <f t="shared" ref="K578:K641" si="164">"Y"</f>
        <v>Y</v>
      </c>
      <c r="L578">
        <v>0</v>
      </c>
      <c r="M578" t="str">
        <f t="shared" ref="M578:M641" si="165">"NIS"</f>
        <v>NIS</v>
      </c>
      <c r="O578">
        <v>1</v>
      </c>
      <c r="P578" t="str">
        <f t="shared" si="159"/>
        <v>Active</v>
      </c>
      <c r="Q578" t="str">
        <f>"SCORBOT-ER 4u (Package)"</f>
        <v>SCORBOT-ER 4u (Package)</v>
      </c>
      <c r="S578" t="str">
        <f>"SCORBOT-ER 4u (Package)"</f>
        <v>SCORBOT-ER 4u (Package)</v>
      </c>
      <c r="T578">
        <v>0</v>
      </c>
      <c r="U578" s="44">
        <v>3200</v>
      </c>
      <c r="V578" s="44">
        <v>3390.7</v>
      </c>
      <c r="W578" t="str">
        <f t="shared" si="155"/>
        <v>rob</v>
      </c>
    </row>
    <row r="579" spans="1:23">
      <c r="A579" t="str">
        <f t="shared" si="160"/>
        <v>ASM-ER4U-01</v>
      </c>
      <c r="B579" t="str">
        <f>"00-0609-0000"</f>
        <v>00-0609-0000</v>
      </c>
      <c r="C579" t="str">
        <f>"Gripper attachment for round and square parts"</f>
        <v>Gripper attachment for round and square parts</v>
      </c>
      <c r="D579">
        <v>1</v>
      </c>
      <c r="E579" t="str">
        <f t="shared" si="161"/>
        <v>Assembly Station - Scorbot-ER4U Robot (Basic Assembly)</v>
      </c>
      <c r="F579">
        <v>503</v>
      </c>
      <c r="G579" t="str">
        <f t="shared" si="162"/>
        <v>Y</v>
      </c>
      <c r="H579" t="str">
        <f t="shared" si="163"/>
        <v>EA</v>
      </c>
      <c r="I579">
        <v>0</v>
      </c>
      <c r="J579">
        <v>0</v>
      </c>
      <c r="K579" t="str">
        <f t="shared" si="164"/>
        <v>Y</v>
      </c>
      <c r="L579">
        <v>0</v>
      </c>
      <c r="M579" t="str">
        <f t="shared" si="165"/>
        <v>NIS</v>
      </c>
      <c r="O579">
        <v>2</v>
      </c>
      <c r="P579" t="str">
        <f t="shared" si="159"/>
        <v>Active</v>
      </c>
      <c r="Q579" t="str">
        <f>"End Effector Attachment for ER4U Gripper"</f>
        <v>End Effector Attachment for ER4U Gripper</v>
      </c>
      <c r="S579" t="str">
        <f>"End Effector Attachment for ER4U Gripper"</f>
        <v>End Effector Attachment for ER4U Gripper</v>
      </c>
      <c r="T579">
        <v>0</v>
      </c>
      <c r="U579">
        <v>25.59</v>
      </c>
      <c r="V579">
        <v>25.11</v>
      </c>
      <c r="W579" t="str">
        <f t="shared" si="155"/>
        <v>rob</v>
      </c>
    </row>
    <row r="580" spans="1:23">
      <c r="A580" t="str">
        <f t="shared" si="160"/>
        <v>ASM-ER4U-01</v>
      </c>
      <c r="B580" t="str">
        <f>"00-1710-0000"</f>
        <v>00-1710-0000</v>
      </c>
      <c r="C580" t="str">
        <f>"Teach Pendant"</f>
        <v>Teach Pendant</v>
      </c>
      <c r="D580">
        <v>1</v>
      </c>
      <c r="E580" t="str">
        <f t="shared" si="161"/>
        <v>Assembly Station - Scorbot-ER4U Robot (Basic Assembly)</v>
      </c>
      <c r="F580">
        <v>503</v>
      </c>
      <c r="G580" t="str">
        <f t="shared" si="162"/>
        <v>Y</v>
      </c>
      <c r="H580" t="str">
        <f t="shared" si="163"/>
        <v>EA</v>
      </c>
      <c r="I580">
        <v>0</v>
      </c>
      <c r="J580">
        <v>0</v>
      </c>
      <c r="K580" t="str">
        <f t="shared" si="164"/>
        <v>Y</v>
      </c>
      <c r="L580">
        <v>0</v>
      </c>
      <c r="M580" t="str">
        <f t="shared" si="165"/>
        <v>NIS</v>
      </c>
      <c r="O580">
        <v>3</v>
      </c>
      <c r="P580" t="str">
        <f t="shared" si="159"/>
        <v>Active</v>
      </c>
      <c r="Q580" t="str">
        <f>"Teach Pendant for USB/USB Pro Controllers"</f>
        <v>Teach Pendant for USB/USB Pro Controllers</v>
      </c>
      <c r="S580" t="str">
        <f>"Teach Pendant for USB/USB Pro Controllers"</f>
        <v>Teach Pendant for USB/USB Pro Controllers</v>
      </c>
      <c r="T580">
        <v>0</v>
      </c>
      <c r="U580">
        <v>160.18</v>
      </c>
      <c r="V580">
        <v>161.44999999999999</v>
      </c>
      <c r="W580" t="str">
        <f t="shared" si="155"/>
        <v>rob</v>
      </c>
    </row>
    <row r="581" spans="1:23">
      <c r="A581" t="str">
        <f t="shared" si="160"/>
        <v>ASM-ER4U-01</v>
      </c>
      <c r="B581" t="str">
        <f>"10-1010-9000"</f>
        <v>10-1010-9000</v>
      </c>
      <c r="C581" t="str">
        <f>"Adapter Mounting Plate for ER4u"</f>
        <v>Adapter Mounting Plate for ER4u</v>
      </c>
      <c r="D581">
        <v>1</v>
      </c>
      <c r="E581" t="str">
        <f t="shared" si="161"/>
        <v>Assembly Station - Scorbot-ER4U Robot (Basic Assembly)</v>
      </c>
      <c r="F581">
        <v>503</v>
      </c>
      <c r="G581" t="str">
        <f t="shared" si="162"/>
        <v>Y</v>
      </c>
      <c r="H581" t="str">
        <f t="shared" si="163"/>
        <v>EA</v>
      </c>
      <c r="I581">
        <v>0</v>
      </c>
      <c r="J581">
        <v>0</v>
      </c>
      <c r="K581" t="str">
        <f t="shared" si="164"/>
        <v>Y</v>
      </c>
      <c r="L581">
        <v>0</v>
      </c>
      <c r="M581" t="str">
        <f t="shared" si="165"/>
        <v>NIS</v>
      </c>
      <c r="O581">
        <v>4</v>
      </c>
      <c r="P581" t="str">
        <f t="shared" si="159"/>
        <v>Active</v>
      </c>
      <c r="Q581" t="str">
        <f>"Adapter Mounting Plate for ER4u"</f>
        <v>Adapter Mounting Plate for ER4u</v>
      </c>
      <c r="S581" t="str">
        <f>"Adapter Mounting Plate for ER4u"</f>
        <v>Adapter Mounting Plate for ER4u</v>
      </c>
      <c r="T581">
        <v>0</v>
      </c>
      <c r="U581">
        <v>117</v>
      </c>
      <c r="V581">
        <v>117.14</v>
      </c>
      <c r="W581" t="str">
        <f t="shared" si="155"/>
        <v>rob</v>
      </c>
    </row>
    <row r="582" spans="1:23">
      <c r="A582" t="str">
        <f t="shared" si="160"/>
        <v>ASM-ER4U-01</v>
      </c>
      <c r="B582" t="str">
        <f>"10-2104-9000"</f>
        <v>10-2104-9000</v>
      </c>
      <c r="C582" t="str">
        <f>"Single Buffer for Slotted Table"</f>
        <v>Single Buffer for Slotted Table</v>
      </c>
      <c r="D582">
        <v>3</v>
      </c>
      <c r="E582" t="str">
        <f t="shared" si="161"/>
        <v>Assembly Station - Scorbot-ER4U Robot (Basic Assembly)</v>
      </c>
      <c r="F582">
        <v>503</v>
      </c>
      <c r="G582" t="str">
        <f t="shared" si="162"/>
        <v>Y</v>
      </c>
      <c r="H582" t="str">
        <f t="shared" si="163"/>
        <v>EA</v>
      </c>
      <c r="I582">
        <v>0</v>
      </c>
      <c r="J582">
        <v>0</v>
      </c>
      <c r="K582" t="str">
        <f t="shared" si="164"/>
        <v>Y</v>
      </c>
      <c r="L582">
        <v>0</v>
      </c>
      <c r="M582" t="str">
        <f t="shared" si="165"/>
        <v>NIS</v>
      </c>
      <c r="O582">
        <v>5</v>
      </c>
      <c r="P582" t="str">
        <f t="shared" si="159"/>
        <v>Active</v>
      </c>
      <c r="Q582" t="str">
        <f>"Single Buffer for Slotted Table(+height adapter)"</f>
        <v>Single Buffer for Slotted Table(+height adapter)</v>
      </c>
      <c r="S582" t="str">
        <f>"Single Buffer for Slotted Table(+height adapter)"</f>
        <v>Single Buffer for Slotted Table(+height adapter)</v>
      </c>
      <c r="T582">
        <v>0</v>
      </c>
      <c r="U582">
        <v>26</v>
      </c>
      <c r="V582">
        <v>25.49</v>
      </c>
      <c r="W582" t="str">
        <f t="shared" si="155"/>
        <v>rob</v>
      </c>
    </row>
    <row r="583" spans="1:23">
      <c r="A583" t="str">
        <f t="shared" si="160"/>
        <v>ASM-ER4U-01</v>
      </c>
      <c r="B583" t="str">
        <f>"00-1110-0000"</f>
        <v>00-1110-0000</v>
      </c>
      <c r="C583" t="str">
        <f>"Palletizing Rack"</f>
        <v>Palletizing Rack</v>
      </c>
      <c r="D583">
        <v>2</v>
      </c>
      <c r="E583" t="str">
        <f t="shared" si="161"/>
        <v>Assembly Station - Scorbot-ER4U Robot (Basic Assembly)</v>
      </c>
      <c r="F583">
        <v>503</v>
      </c>
      <c r="G583" t="str">
        <f t="shared" si="162"/>
        <v>Y</v>
      </c>
      <c r="H583" t="str">
        <f t="shared" si="163"/>
        <v>EA</v>
      </c>
      <c r="I583">
        <v>0</v>
      </c>
      <c r="J583">
        <v>0</v>
      </c>
      <c r="K583" t="str">
        <f t="shared" si="164"/>
        <v>Y</v>
      </c>
      <c r="L583">
        <v>0</v>
      </c>
      <c r="M583" t="str">
        <f t="shared" si="165"/>
        <v>NIS</v>
      </c>
      <c r="O583">
        <v>6</v>
      </c>
      <c r="P583" t="str">
        <f t="shared" si="159"/>
        <v>Active</v>
      </c>
      <c r="Q583" t="str">
        <f>"Palletizing Rack (incl. Pins for creating Jigs)"</f>
        <v>Palletizing Rack (incl. Pins for creating Jigs)</v>
      </c>
      <c r="S583" t="str">
        <f>"Palletizing Rack (incl. Pins for creating Jigs)"</f>
        <v>Palletizing Rack (incl. Pins for creating Jigs)</v>
      </c>
      <c r="T583">
        <v>0</v>
      </c>
      <c r="U583">
        <v>63</v>
      </c>
      <c r="V583">
        <v>58.59</v>
      </c>
      <c r="W583" t="str">
        <f t="shared" si="155"/>
        <v>rob</v>
      </c>
    </row>
    <row r="584" spans="1:23">
      <c r="A584" t="str">
        <f t="shared" si="160"/>
        <v>ASM-ER4U-01</v>
      </c>
      <c r="B584" t="str">
        <f>"021172"</f>
        <v>021172</v>
      </c>
      <c r="C584" t="str">
        <f>"30mm Height Adapter -Rack 001110 on table 001249"</f>
        <v>30mm Height Adapter -Rack 001110 on table 001249</v>
      </c>
      <c r="D584">
        <v>2</v>
      </c>
      <c r="E584" t="str">
        <f t="shared" si="161"/>
        <v>Assembly Station - Scorbot-ER4U Robot (Basic Assembly)</v>
      </c>
      <c r="F584">
        <v>503</v>
      </c>
      <c r="G584" t="str">
        <f t="shared" si="162"/>
        <v>Y</v>
      </c>
      <c r="H584" t="str">
        <f t="shared" si="163"/>
        <v>EA</v>
      </c>
      <c r="I584">
        <v>0</v>
      </c>
      <c r="J584">
        <v>0</v>
      </c>
      <c r="K584" t="str">
        <f t="shared" si="164"/>
        <v>Y</v>
      </c>
      <c r="L584">
        <v>0</v>
      </c>
      <c r="M584" t="str">
        <f t="shared" si="165"/>
        <v>NIS</v>
      </c>
      <c r="O584">
        <v>7</v>
      </c>
      <c r="P584" t="str">
        <f t="shared" si="159"/>
        <v>Active</v>
      </c>
      <c r="Q584" t="str">
        <f>"30mm Height Adapter -Rack 001110 on table 001249"</f>
        <v>30mm Height Adapter -Rack 001110 on table 001249</v>
      </c>
      <c r="S584" t="str">
        <f>"30mm Height Adapter -Rack 001110 on table 001249"</f>
        <v>30mm Height Adapter -Rack 001110 on table 001249</v>
      </c>
      <c r="T584">
        <v>0</v>
      </c>
      <c r="U584">
        <v>13.12</v>
      </c>
      <c r="V584">
        <v>13.44</v>
      </c>
      <c r="W584" t="str">
        <f t="shared" si="155"/>
        <v>rob</v>
      </c>
    </row>
    <row r="585" spans="1:23">
      <c r="A585" t="str">
        <f t="shared" si="160"/>
        <v>ASM-ER4U-01</v>
      </c>
      <c r="B585" t="str">
        <f>"113096"</f>
        <v>113096</v>
      </c>
      <c r="C585" t="str">
        <f>"Plexiglass Cylinders Base"</f>
        <v>Plexiglass Cylinders Base</v>
      </c>
      <c r="D585">
        <v>3</v>
      </c>
      <c r="E585" t="str">
        <f t="shared" si="161"/>
        <v>Assembly Station - Scorbot-ER4U Robot (Basic Assembly)</v>
      </c>
      <c r="F585">
        <v>503</v>
      </c>
      <c r="G585" t="str">
        <f t="shared" si="162"/>
        <v>Y</v>
      </c>
      <c r="H585" t="str">
        <f t="shared" si="163"/>
        <v>EA</v>
      </c>
      <c r="I585">
        <v>0</v>
      </c>
      <c r="J585">
        <v>0</v>
      </c>
      <c r="K585" t="str">
        <f t="shared" si="164"/>
        <v>Y</v>
      </c>
      <c r="L585">
        <v>0</v>
      </c>
      <c r="M585" t="str">
        <f t="shared" si="165"/>
        <v>NIS</v>
      </c>
      <c r="O585">
        <v>8</v>
      </c>
      <c r="P585" t="str">
        <f t="shared" si="159"/>
        <v>Active</v>
      </c>
      <c r="Q585" t="str">
        <f>"Plexiglass Cylinders Base MicroCIM"</f>
        <v>Plexiglass Cylinders Base MicroCIM</v>
      </c>
      <c r="S585" t="str">
        <f>"Plexiglass Cylinders Base"</f>
        <v>Plexiglass Cylinders Base</v>
      </c>
      <c r="T585">
        <v>0</v>
      </c>
      <c r="U585">
        <v>7</v>
      </c>
      <c r="V585">
        <v>6.83</v>
      </c>
      <c r="W585" t="str">
        <f t="shared" si="155"/>
        <v>rob</v>
      </c>
    </row>
    <row r="586" spans="1:23">
      <c r="A586" t="str">
        <f t="shared" si="160"/>
        <v>ASM-ER4U-01</v>
      </c>
      <c r="B586" t="str">
        <f>"112713"</f>
        <v>112713</v>
      </c>
      <c r="C586" t="str">
        <f>"Marked Aluminum Cylinder"</f>
        <v>Marked Aluminum Cylinder</v>
      </c>
      <c r="D586">
        <v>3</v>
      </c>
      <c r="E586" t="str">
        <f t="shared" si="161"/>
        <v>Assembly Station - Scorbot-ER4U Robot (Basic Assembly)</v>
      </c>
      <c r="F586">
        <v>503</v>
      </c>
      <c r="G586" t="str">
        <f t="shared" si="162"/>
        <v>Y</v>
      </c>
      <c r="H586" t="str">
        <f t="shared" si="163"/>
        <v>EA</v>
      </c>
      <c r="I586">
        <v>0</v>
      </c>
      <c r="J586">
        <v>0</v>
      </c>
      <c r="K586" t="str">
        <f t="shared" si="164"/>
        <v>Y</v>
      </c>
      <c r="L586">
        <v>0</v>
      </c>
      <c r="M586" t="str">
        <f t="shared" si="165"/>
        <v>NIS</v>
      </c>
      <c r="O586">
        <v>9</v>
      </c>
      <c r="P586" t="str">
        <f t="shared" si="159"/>
        <v>Active</v>
      </c>
      <c r="Q586" t="str">
        <f>"Mark Al. Cylinder Diam. 35x28 MicroCIM"</f>
        <v>Mark Al. Cylinder Diam. 35x28 MicroCIM</v>
      </c>
      <c r="S586" t="str">
        <f>"Mark Al. Cylinder Diam. 35x28"</f>
        <v>Mark Al. Cylinder Diam. 35x28</v>
      </c>
      <c r="T586">
        <v>0</v>
      </c>
      <c r="U586">
        <v>6</v>
      </c>
      <c r="V586">
        <v>5.97</v>
      </c>
      <c r="W586" t="str">
        <f t="shared" si="155"/>
        <v>rob</v>
      </c>
    </row>
    <row r="587" spans="1:23">
      <c r="A587" t="str">
        <f t="shared" si="160"/>
        <v>ASM-ER4U-01</v>
      </c>
      <c r="B587" t="str">
        <f>"00-1249-0000"</f>
        <v>00-1249-0000</v>
      </c>
      <c r="C587" t="str">
        <f>"Workbench 1500x800mm (slotted aluminum top)"</f>
        <v>Workbench 1500x800mm (slotted aluminum top)</v>
      </c>
      <c r="D587">
        <v>1</v>
      </c>
      <c r="E587" t="str">
        <f t="shared" si="161"/>
        <v>Assembly Station - Scorbot-ER4U Robot (Basic Assembly)</v>
      </c>
      <c r="F587">
        <v>503</v>
      </c>
      <c r="G587" t="str">
        <f t="shared" si="162"/>
        <v>Y</v>
      </c>
      <c r="H587" t="str">
        <f t="shared" si="163"/>
        <v>EA</v>
      </c>
      <c r="I587">
        <v>0</v>
      </c>
      <c r="J587">
        <v>0</v>
      </c>
      <c r="K587" t="str">
        <f t="shared" si="164"/>
        <v>Y</v>
      </c>
      <c r="L587">
        <v>0</v>
      </c>
      <c r="M587" t="str">
        <f t="shared" si="165"/>
        <v>NIS</v>
      </c>
      <c r="O587">
        <v>10</v>
      </c>
      <c r="P587" t="str">
        <f t="shared" si="159"/>
        <v>Active</v>
      </c>
      <c r="Q587" t="str">
        <f>"Workbench 1500x800mm (slotted aluminum top)"</f>
        <v>Workbench 1500x800mm (slotted aluminum top)</v>
      </c>
      <c r="S587" t="str">
        <f>"Workbench 1500x800mm (slotted aluminum top)"</f>
        <v>Workbench 1500x800mm (slotted aluminum top)</v>
      </c>
      <c r="T587">
        <v>0</v>
      </c>
      <c r="U587" s="44">
        <v>1100</v>
      </c>
      <c r="V587" s="44">
        <v>1083.57</v>
      </c>
      <c r="W587" t="str">
        <f t="shared" si="155"/>
        <v>rob</v>
      </c>
    </row>
    <row r="588" spans="1:23">
      <c r="A588" t="str">
        <f t="shared" si="160"/>
        <v>ASM-ER4U-01</v>
      </c>
      <c r="B588" t="str">
        <f>"00-1260-0000"</f>
        <v>00-1260-0000</v>
      </c>
      <c r="C588" t="str">
        <f>"PC Extension Shelf  600x800mm"</f>
        <v>PC Extension Shelf  600x800mm</v>
      </c>
      <c r="D588">
        <v>1</v>
      </c>
      <c r="E588" t="str">
        <f t="shared" si="161"/>
        <v>Assembly Station - Scorbot-ER4U Robot (Basic Assembly)</v>
      </c>
      <c r="F588">
        <v>503</v>
      </c>
      <c r="G588" t="str">
        <f t="shared" si="162"/>
        <v>Y</v>
      </c>
      <c r="H588" t="str">
        <f t="shared" si="163"/>
        <v>EA</v>
      </c>
      <c r="I588">
        <v>0</v>
      </c>
      <c r="J588">
        <v>0</v>
      </c>
      <c r="K588" t="str">
        <f t="shared" si="164"/>
        <v>Y</v>
      </c>
      <c r="L588">
        <v>0</v>
      </c>
      <c r="M588" t="str">
        <f t="shared" si="165"/>
        <v>NIS</v>
      </c>
      <c r="O588">
        <v>11</v>
      </c>
      <c r="P588" t="str">
        <f t="shared" si="159"/>
        <v>Active</v>
      </c>
      <c r="Q588" t="str">
        <f>"PC Extension Shelf  600x800mm"</f>
        <v>PC Extension Shelf  600x800mm</v>
      </c>
      <c r="S588" t="str">
        <f>"PC Extension Shelf  600x800mm"</f>
        <v>PC Extension Shelf  600x800mm</v>
      </c>
      <c r="T588">
        <v>0</v>
      </c>
      <c r="U588">
        <v>192</v>
      </c>
      <c r="V588">
        <v>195.4</v>
      </c>
      <c r="W588" t="str">
        <f t="shared" si="155"/>
        <v>rob</v>
      </c>
    </row>
    <row r="589" spans="1:23">
      <c r="A589" t="str">
        <f t="shared" si="160"/>
        <v>ASM-ER4U-01</v>
      </c>
      <c r="B589" t="str">
        <f>"50-0094-0000"</f>
        <v>50-0094-0000</v>
      </c>
      <c r="C589" t="str">
        <f>"Pre-Engineering, Design and Testing"</f>
        <v>Pre-Engineering, Design and Testing</v>
      </c>
      <c r="D589">
        <v>1</v>
      </c>
      <c r="E589" t="str">
        <f t="shared" si="161"/>
        <v>Assembly Station - Scorbot-ER4U Robot (Basic Assembly)</v>
      </c>
      <c r="F589">
        <v>503</v>
      </c>
      <c r="G589" t="str">
        <f t="shared" si="162"/>
        <v>Y</v>
      </c>
      <c r="H589" t="str">
        <f>"DA"</f>
        <v>DA</v>
      </c>
      <c r="I589">
        <v>0</v>
      </c>
      <c r="J589">
        <v>0</v>
      </c>
      <c r="K589" t="str">
        <f t="shared" si="164"/>
        <v>Y</v>
      </c>
      <c r="L589">
        <v>0</v>
      </c>
      <c r="M589" t="str">
        <f t="shared" si="165"/>
        <v>NIS</v>
      </c>
      <c r="O589">
        <v>12</v>
      </c>
      <c r="P589" t="str">
        <f t="shared" si="159"/>
        <v>Active</v>
      </c>
      <c r="Q589" t="str">
        <f>"Pre-Engineering, Design and Testing"</f>
        <v>Pre-Engineering, Design and Testing</v>
      </c>
      <c r="S589" t="str">
        <f>"Pre-Engineering, Design and Testing"</f>
        <v>Pre-Engineering, Design and Testing</v>
      </c>
      <c r="T589">
        <v>0</v>
      </c>
      <c r="U589">
        <v>405</v>
      </c>
      <c r="V589">
        <v>421.2</v>
      </c>
      <c r="W589" t="str">
        <f t="shared" si="155"/>
        <v>rob</v>
      </c>
    </row>
    <row r="590" spans="1:23">
      <c r="A590" t="str">
        <f t="shared" ref="A590:A604" si="166">"ASM-ER9P-01"</f>
        <v>ASM-ER9P-01</v>
      </c>
      <c r="B590" t="str">
        <f>"00-0430-0000"</f>
        <v>00-0430-0000</v>
      </c>
      <c r="C590" t="str">
        <f>"SCORBOT-ER9Pro"</f>
        <v>SCORBOT-ER9Pro</v>
      </c>
      <c r="D590">
        <v>1</v>
      </c>
      <c r="E590" t="str">
        <f t="shared" ref="E590:E604" si="167">"Assembly Station - Scorbot-ER9Pro Robot (Ballgame)"</f>
        <v>Assembly Station - Scorbot-ER9Pro Robot (Ballgame)</v>
      </c>
      <c r="F590">
        <v>503</v>
      </c>
      <c r="G590" t="str">
        <f t="shared" si="162"/>
        <v>Y</v>
      </c>
      <c r="H590" t="str">
        <f t="shared" ref="H590:H603" si="168">"EA"</f>
        <v>EA</v>
      </c>
      <c r="I590">
        <v>0</v>
      </c>
      <c r="J590">
        <v>0</v>
      </c>
      <c r="K590" t="str">
        <f t="shared" si="164"/>
        <v>Y</v>
      </c>
      <c r="L590">
        <v>0</v>
      </c>
      <c r="M590" t="str">
        <f t="shared" si="165"/>
        <v>NIS</v>
      </c>
      <c r="O590">
        <v>1</v>
      </c>
      <c r="P590" t="str">
        <f t="shared" si="159"/>
        <v>Active</v>
      </c>
      <c r="Q590" t="str">
        <f>"SCORBOT-ER 9Pro (incl. USB-Pro Controller)"</f>
        <v>SCORBOT-ER 9Pro (incl. USB-Pro Controller)</v>
      </c>
      <c r="S590" t="str">
        <f>"SCORBOT-ER 9Pro (incl. USB-Pro Controller)"</f>
        <v>SCORBOT-ER 9Pro (incl. USB-Pro Controller)</v>
      </c>
      <c r="T590">
        <v>0</v>
      </c>
      <c r="U590" s="44">
        <v>10900</v>
      </c>
      <c r="V590" s="44">
        <v>11661.57</v>
      </c>
      <c r="W590" t="str">
        <f t="shared" si="155"/>
        <v>rob</v>
      </c>
    </row>
    <row r="591" spans="1:23">
      <c r="A591" t="str">
        <f t="shared" si="166"/>
        <v>ASM-ER9P-01</v>
      </c>
      <c r="B591" t="str">
        <f>"00-0633-0000"</f>
        <v>00-0633-0000</v>
      </c>
      <c r="C591" t="str">
        <f>"Pneumatic Gripper for ER9-Pro"</f>
        <v>Pneumatic Gripper for ER9-Pro</v>
      </c>
      <c r="D591">
        <v>1</v>
      </c>
      <c r="E591" t="str">
        <f t="shared" si="167"/>
        <v>Assembly Station - Scorbot-ER9Pro Robot (Ballgame)</v>
      </c>
      <c r="F591">
        <v>503</v>
      </c>
      <c r="G591" t="str">
        <f t="shared" si="162"/>
        <v>Y</v>
      </c>
      <c r="H591" t="str">
        <f t="shared" si="168"/>
        <v>EA</v>
      </c>
      <c r="I591">
        <v>0</v>
      </c>
      <c r="J591">
        <v>0</v>
      </c>
      <c r="K591" t="str">
        <f t="shared" si="164"/>
        <v>Y</v>
      </c>
      <c r="L591">
        <v>0</v>
      </c>
      <c r="M591" t="str">
        <f t="shared" si="165"/>
        <v>NIS</v>
      </c>
      <c r="O591">
        <v>2</v>
      </c>
      <c r="P591" t="str">
        <f t="shared" si="159"/>
        <v>Active</v>
      </c>
      <c r="Q591" t="str">
        <f>"Pneumatic Gripper for ER 9Pro"</f>
        <v>Pneumatic Gripper for ER 9Pro</v>
      </c>
      <c r="S591" t="str">
        <f>"Pneumatic Gripper for ER9-Pro"</f>
        <v>Pneumatic Gripper for ER9-Pro</v>
      </c>
      <c r="T591">
        <v>0</v>
      </c>
      <c r="U591">
        <v>630</v>
      </c>
      <c r="V591">
        <v>624.72</v>
      </c>
      <c r="W591" t="str">
        <f t="shared" si="155"/>
        <v>rob</v>
      </c>
    </row>
    <row r="592" spans="1:23">
      <c r="A592" t="str">
        <f t="shared" si="166"/>
        <v>ASM-ER9P-01</v>
      </c>
      <c r="B592" t="str">
        <f>"00-1710-0000"</f>
        <v>00-1710-0000</v>
      </c>
      <c r="C592" t="str">
        <f>"Teach Pendant"</f>
        <v>Teach Pendant</v>
      </c>
      <c r="D592">
        <v>1</v>
      </c>
      <c r="E592" t="str">
        <f t="shared" si="167"/>
        <v>Assembly Station - Scorbot-ER9Pro Robot (Ballgame)</v>
      </c>
      <c r="F592">
        <v>503</v>
      </c>
      <c r="G592" t="str">
        <f t="shared" si="162"/>
        <v>Y</v>
      </c>
      <c r="H592" t="str">
        <f t="shared" si="168"/>
        <v>EA</v>
      </c>
      <c r="I592">
        <v>0</v>
      </c>
      <c r="J592">
        <v>0</v>
      </c>
      <c r="K592" t="str">
        <f t="shared" si="164"/>
        <v>Y</v>
      </c>
      <c r="L592">
        <v>0</v>
      </c>
      <c r="M592" t="str">
        <f t="shared" si="165"/>
        <v>NIS</v>
      </c>
      <c r="O592">
        <v>3</v>
      </c>
      <c r="P592" t="str">
        <f t="shared" si="159"/>
        <v>Active</v>
      </c>
      <c r="Q592" t="str">
        <f>"Teach Pendant for USB/USB Pro Controllers"</f>
        <v>Teach Pendant for USB/USB Pro Controllers</v>
      </c>
      <c r="S592" t="str">
        <f>"Teach Pendant for USB/USB Pro Controllers"</f>
        <v>Teach Pendant for USB/USB Pro Controllers</v>
      </c>
      <c r="T592">
        <v>0</v>
      </c>
      <c r="U592">
        <v>160.18</v>
      </c>
      <c r="V592">
        <v>161.44999999999999</v>
      </c>
      <c r="W592" t="str">
        <f t="shared" si="155"/>
        <v>rob</v>
      </c>
    </row>
    <row r="593" spans="1:23">
      <c r="A593" t="str">
        <f t="shared" si="166"/>
        <v>ASM-ER9P-01</v>
      </c>
      <c r="B593" t="str">
        <f>"034025"</f>
        <v>034025</v>
      </c>
      <c r="C593" t="str">
        <f>"I/O Interface Box for Controller USB-PRO"</f>
        <v>I/O Interface Box for Controller USB-PRO</v>
      </c>
      <c r="D593">
        <v>1</v>
      </c>
      <c r="E593" t="str">
        <f t="shared" si="167"/>
        <v>Assembly Station - Scorbot-ER9Pro Robot (Ballgame)</v>
      </c>
      <c r="F593">
        <v>503</v>
      </c>
      <c r="G593" t="str">
        <f t="shared" si="162"/>
        <v>Y</v>
      </c>
      <c r="H593" t="str">
        <f t="shared" si="168"/>
        <v>EA</v>
      </c>
      <c r="I593">
        <v>0</v>
      </c>
      <c r="J593">
        <v>0</v>
      </c>
      <c r="K593" t="str">
        <f t="shared" si="164"/>
        <v>Y</v>
      </c>
      <c r="L593">
        <v>0</v>
      </c>
      <c r="M593" t="str">
        <f t="shared" si="165"/>
        <v>NIS</v>
      </c>
      <c r="O593">
        <v>4</v>
      </c>
      <c r="P593" t="str">
        <f t="shared" si="159"/>
        <v>Active</v>
      </c>
      <c r="Q593" t="str">
        <f>"I/O Interface Box for Controller USB-PRO"</f>
        <v>I/O Interface Box for Controller USB-PRO</v>
      </c>
      <c r="S593" t="str">
        <f>"קופסת 2+Interface Box I/O כבלים לבקר USBPRO"</f>
        <v>קופסת 2+Interface Box I/O כבלים לבקר USBPRO</v>
      </c>
      <c r="T593">
        <v>0</v>
      </c>
      <c r="U593">
        <v>470</v>
      </c>
      <c r="V593">
        <v>463.62</v>
      </c>
      <c r="W593" t="str">
        <f t="shared" si="155"/>
        <v>rob</v>
      </c>
    </row>
    <row r="594" spans="1:23">
      <c r="A594" t="str">
        <f t="shared" si="166"/>
        <v>ASM-ER9P-01</v>
      </c>
      <c r="B594" t="str">
        <f>"10-2104-9000"</f>
        <v>10-2104-9000</v>
      </c>
      <c r="C594" t="str">
        <f>"Single Buffer for Slotted Table"</f>
        <v>Single Buffer for Slotted Table</v>
      </c>
      <c r="D594">
        <v>3</v>
      </c>
      <c r="E594" t="str">
        <f t="shared" si="167"/>
        <v>Assembly Station - Scorbot-ER9Pro Robot (Ballgame)</v>
      </c>
      <c r="F594">
        <v>503</v>
      </c>
      <c r="G594" t="str">
        <f t="shared" si="162"/>
        <v>Y</v>
      </c>
      <c r="H594" t="str">
        <f t="shared" si="168"/>
        <v>EA</v>
      </c>
      <c r="I594">
        <v>0</v>
      </c>
      <c r="J594">
        <v>0</v>
      </c>
      <c r="K594" t="str">
        <f t="shared" si="164"/>
        <v>Y</v>
      </c>
      <c r="L594">
        <v>0</v>
      </c>
      <c r="M594" t="str">
        <f t="shared" si="165"/>
        <v>NIS</v>
      </c>
      <c r="O594">
        <v>5</v>
      </c>
      <c r="P594" t="str">
        <f t="shared" si="159"/>
        <v>Active</v>
      </c>
      <c r="Q594" t="str">
        <f>"Single Buffer for Slotted Table(+height adapter)"</f>
        <v>Single Buffer for Slotted Table(+height adapter)</v>
      </c>
      <c r="S594" t="str">
        <f>"Single Buffer for Slotted Table(+height adapter)"</f>
        <v>Single Buffer for Slotted Table(+height adapter)</v>
      </c>
      <c r="T594">
        <v>0</v>
      </c>
      <c r="U594">
        <v>26</v>
      </c>
      <c r="V594">
        <v>25.49</v>
      </c>
      <c r="W594" t="str">
        <f t="shared" si="155"/>
        <v>rob</v>
      </c>
    </row>
    <row r="595" spans="1:23">
      <c r="A595" t="str">
        <f t="shared" si="166"/>
        <v>ASM-ER9P-01</v>
      </c>
      <c r="B595" t="str">
        <f>"00-1110-0000"</f>
        <v>00-1110-0000</v>
      </c>
      <c r="C595" t="str">
        <f>"Palletizing Rack"</f>
        <v>Palletizing Rack</v>
      </c>
      <c r="D595">
        <v>2</v>
      </c>
      <c r="E595" t="str">
        <f t="shared" si="167"/>
        <v>Assembly Station - Scorbot-ER9Pro Robot (Ballgame)</v>
      </c>
      <c r="F595">
        <v>503</v>
      </c>
      <c r="G595" t="str">
        <f t="shared" si="162"/>
        <v>Y</v>
      </c>
      <c r="H595" t="str">
        <f t="shared" si="168"/>
        <v>EA</v>
      </c>
      <c r="I595">
        <v>0</v>
      </c>
      <c r="J595">
        <v>0</v>
      </c>
      <c r="K595" t="str">
        <f t="shared" si="164"/>
        <v>Y</v>
      </c>
      <c r="L595">
        <v>0</v>
      </c>
      <c r="M595" t="str">
        <f t="shared" si="165"/>
        <v>NIS</v>
      </c>
      <c r="O595">
        <v>6</v>
      </c>
      <c r="P595" t="str">
        <f t="shared" si="159"/>
        <v>Active</v>
      </c>
      <c r="Q595" t="str">
        <f>"Palletizing Rack (incl. Pins for creating Jigs)"</f>
        <v>Palletizing Rack (incl. Pins for creating Jigs)</v>
      </c>
      <c r="S595" t="str">
        <f>"Palletizing Rack (incl. Pins for creating Jigs)"</f>
        <v>Palletizing Rack (incl. Pins for creating Jigs)</v>
      </c>
      <c r="T595">
        <v>0</v>
      </c>
      <c r="U595">
        <v>63</v>
      </c>
      <c r="V595">
        <v>58.59</v>
      </c>
      <c r="W595" t="str">
        <f t="shared" si="155"/>
        <v>rob</v>
      </c>
    </row>
    <row r="596" spans="1:23">
      <c r="A596" t="str">
        <f t="shared" si="166"/>
        <v>ASM-ER9P-01</v>
      </c>
      <c r="B596" t="str">
        <f>"021172"</f>
        <v>021172</v>
      </c>
      <c r="C596" t="str">
        <f>"30mm Height Adapter -Rack 001110 on table 001249"</f>
        <v>30mm Height Adapter -Rack 001110 on table 001249</v>
      </c>
      <c r="D596">
        <v>2</v>
      </c>
      <c r="E596" t="str">
        <f t="shared" si="167"/>
        <v>Assembly Station - Scorbot-ER9Pro Robot (Ballgame)</v>
      </c>
      <c r="F596">
        <v>503</v>
      </c>
      <c r="G596" t="str">
        <f t="shared" si="162"/>
        <v>Y</v>
      </c>
      <c r="H596" t="str">
        <f t="shared" si="168"/>
        <v>EA</v>
      </c>
      <c r="I596">
        <v>0</v>
      </c>
      <c r="J596">
        <v>0</v>
      </c>
      <c r="K596" t="str">
        <f t="shared" si="164"/>
        <v>Y</v>
      </c>
      <c r="L596">
        <v>0</v>
      </c>
      <c r="M596" t="str">
        <f t="shared" si="165"/>
        <v>NIS</v>
      </c>
      <c r="O596">
        <v>7</v>
      </c>
      <c r="P596" t="str">
        <f t="shared" si="159"/>
        <v>Active</v>
      </c>
      <c r="Q596" t="str">
        <f>"30mm Height Adapter -Rack 001110 on table 001249"</f>
        <v>30mm Height Adapter -Rack 001110 on table 001249</v>
      </c>
      <c r="S596" t="str">
        <f>"30mm Height Adapter -Rack 001110 on table 001249"</f>
        <v>30mm Height Adapter -Rack 001110 on table 001249</v>
      </c>
      <c r="T596">
        <v>0</v>
      </c>
      <c r="U596">
        <v>13.12</v>
      </c>
      <c r="V596">
        <v>13.44</v>
      </c>
      <c r="W596" t="str">
        <f t="shared" si="155"/>
        <v>rob</v>
      </c>
    </row>
    <row r="597" spans="1:23">
      <c r="A597" t="str">
        <f t="shared" si="166"/>
        <v>ASM-ER9P-01</v>
      </c>
      <c r="B597" t="str">
        <f>"21-0004-0000"</f>
        <v>21-0004-0000</v>
      </c>
      <c r="C597" t="str">
        <f>"Assembly, Dual Axis Air Vise Mechanicals"</f>
        <v>Assembly, Dual Axis Air Vise Mechanicals</v>
      </c>
      <c r="D597">
        <v>1</v>
      </c>
      <c r="E597" t="str">
        <f t="shared" si="167"/>
        <v>Assembly Station - Scorbot-ER9Pro Robot (Ballgame)</v>
      </c>
      <c r="F597">
        <v>503</v>
      </c>
      <c r="G597" t="str">
        <f t="shared" si="162"/>
        <v>Y</v>
      </c>
      <c r="H597" t="str">
        <f t="shared" si="168"/>
        <v>EA</v>
      </c>
      <c r="I597">
        <v>0</v>
      </c>
      <c r="J597">
        <v>0</v>
      </c>
      <c r="K597" t="str">
        <f t="shared" si="164"/>
        <v>Y</v>
      </c>
      <c r="L597">
        <v>0</v>
      </c>
      <c r="M597" t="str">
        <f t="shared" si="165"/>
        <v>NIS</v>
      </c>
      <c r="O597">
        <v>8</v>
      </c>
      <c r="P597" t="str">
        <f>"Phase Out"</f>
        <v>Phase Out</v>
      </c>
      <c r="Q597" t="str">
        <f>"Pneumatic Dual-Axis Vise"</f>
        <v>Pneumatic Dual-Axis Vise</v>
      </c>
      <c r="S597" t="str">
        <f>"Assembly, Dual Axis Air Vise Mechanicals"</f>
        <v>Assembly, Dual Axis Air Vise Mechanicals</v>
      </c>
      <c r="T597">
        <v>422.16</v>
      </c>
      <c r="U597">
        <v>422</v>
      </c>
      <c r="V597">
        <v>980.27</v>
      </c>
      <c r="W597" t="str">
        <f t="shared" si="155"/>
        <v>rob</v>
      </c>
    </row>
    <row r="598" spans="1:23">
      <c r="A598" t="str">
        <f t="shared" si="166"/>
        <v>ASM-ER9P-01</v>
      </c>
      <c r="B598" t="str">
        <f>"10-2523-4000"</f>
        <v>10-2523-4000</v>
      </c>
      <c r="C598" t="str">
        <f>"Solenoid Valve (24V) for Pipe 3 mm"</f>
        <v>Solenoid Valve (24V) for Pipe 3 mm</v>
      </c>
      <c r="D598">
        <v>1</v>
      </c>
      <c r="E598" t="str">
        <f t="shared" si="167"/>
        <v>Assembly Station - Scorbot-ER9Pro Robot (Ballgame)</v>
      </c>
      <c r="F598">
        <v>503</v>
      </c>
      <c r="G598" t="str">
        <f t="shared" si="162"/>
        <v>Y</v>
      </c>
      <c r="H598" t="str">
        <f t="shared" si="168"/>
        <v>EA</v>
      </c>
      <c r="I598">
        <v>0</v>
      </c>
      <c r="J598">
        <v>0</v>
      </c>
      <c r="K598" t="str">
        <f t="shared" si="164"/>
        <v>Y</v>
      </c>
      <c r="L598">
        <v>0</v>
      </c>
      <c r="M598" t="str">
        <f t="shared" si="165"/>
        <v>NIS</v>
      </c>
      <c r="O598">
        <v>9</v>
      </c>
      <c r="P598" t="str">
        <f t="shared" ref="P598:P611" si="169">"Active"</f>
        <v>Active</v>
      </c>
      <c r="Q598" t="str">
        <f>"Solenoid Valve (24V) for Dual Axis Vise 025207"</f>
        <v>Solenoid Valve (24V) for Dual Axis Vise 025207</v>
      </c>
      <c r="S598" t="str">
        <f>"Solenoid Valve (24V) for Pipe 3 mm"</f>
        <v>Solenoid Valve (24V) for Pipe 3 mm</v>
      </c>
      <c r="T598">
        <v>0</v>
      </c>
      <c r="U598">
        <v>137</v>
      </c>
      <c r="V598">
        <v>133.35</v>
      </c>
      <c r="W598" t="str">
        <f t="shared" si="155"/>
        <v>rob</v>
      </c>
    </row>
    <row r="599" spans="1:23">
      <c r="A599" t="str">
        <f t="shared" si="166"/>
        <v>ASM-ER9P-01</v>
      </c>
      <c r="B599" t="str">
        <f>"00-1230-0000"</f>
        <v>00-1230-0000</v>
      </c>
      <c r="C599" t="str">
        <f>"Ball Feeder (incl. sensor for ball counting)"</f>
        <v>Ball Feeder (incl. sensor for ball counting)</v>
      </c>
      <c r="D599">
        <v>1</v>
      </c>
      <c r="E599" t="str">
        <f t="shared" si="167"/>
        <v>Assembly Station - Scorbot-ER9Pro Robot (Ballgame)</v>
      </c>
      <c r="F599">
        <v>503</v>
      </c>
      <c r="G599" t="str">
        <f t="shared" si="162"/>
        <v>Y</v>
      </c>
      <c r="H599" t="str">
        <f t="shared" si="168"/>
        <v>EA</v>
      </c>
      <c r="I599">
        <v>0</v>
      </c>
      <c r="J599">
        <v>0</v>
      </c>
      <c r="K599" t="str">
        <f t="shared" si="164"/>
        <v>Y</v>
      </c>
      <c r="L599">
        <v>0</v>
      </c>
      <c r="M599" t="str">
        <f t="shared" si="165"/>
        <v>NIS</v>
      </c>
      <c r="O599">
        <v>10</v>
      </c>
      <c r="P599" t="str">
        <f t="shared" si="169"/>
        <v>Active</v>
      </c>
      <c r="Q599" t="str">
        <f>"Ball Feeder (incl. sensor for ball counting)"</f>
        <v>Ball Feeder (incl. sensor for ball counting)</v>
      </c>
      <c r="S599" t="str">
        <f>"Ball Feeder (incl. sensor for ball counting)"</f>
        <v>Ball Feeder (incl. sensor for ball counting)</v>
      </c>
      <c r="T599">
        <v>0</v>
      </c>
      <c r="U599">
        <v>536</v>
      </c>
      <c r="V599">
        <v>530.72</v>
      </c>
      <c r="W599" t="str">
        <f t="shared" si="155"/>
        <v>rob</v>
      </c>
    </row>
    <row r="600" spans="1:23">
      <c r="A600" t="str">
        <f t="shared" si="166"/>
        <v>ASM-ER9P-01</v>
      </c>
      <c r="B600" t="str">
        <f>"00-1243-0000"</f>
        <v>00-1243-0000</v>
      </c>
      <c r="C600" t="str">
        <f>"Ball Game Set (Assembly with Plastic Pins)"</f>
        <v>Ball Game Set (Assembly with Plastic Pins)</v>
      </c>
      <c r="D600">
        <v>12</v>
      </c>
      <c r="E600" t="str">
        <f t="shared" si="167"/>
        <v>Assembly Station - Scorbot-ER9Pro Robot (Ballgame)</v>
      </c>
      <c r="F600">
        <v>503</v>
      </c>
      <c r="G600" t="str">
        <f t="shared" si="162"/>
        <v>Y</v>
      </c>
      <c r="H600" t="str">
        <f t="shared" si="168"/>
        <v>EA</v>
      </c>
      <c r="I600">
        <v>0</v>
      </c>
      <c r="J600">
        <v>0</v>
      </c>
      <c r="K600" t="str">
        <f t="shared" si="164"/>
        <v>Y</v>
      </c>
      <c r="L600">
        <v>0</v>
      </c>
      <c r="M600" t="str">
        <f t="shared" si="165"/>
        <v>NIS</v>
      </c>
      <c r="O600">
        <v>11</v>
      </c>
      <c r="P600" t="str">
        <f t="shared" si="169"/>
        <v>Active</v>
      </c>
      <c r="Q600" t="str">
        <f>"Ball Game Set (Assembly with Plastic Pins)"</f>
        <v>Ball Game Set (Assembly with Plastic Pins)</v>
      </c>
      <c r="S600" t="str">
        <f>"Ball Game Set (Assembly with Plastic Pins)"</f>
        <v>Ball Game Set (Assembly with Plastic Pins)</v>
      </c>
      <c r="T600">
        <v>0</v>
      </c>
      <c r="U600">
        <v>32</v>
      </c>
      <c r="V600">
        <v>34.770000000000003</v>
      </c>
      <c r="W600" t="str">
        <f t="shared" si="155"/>
        <v>rob</v>
      </c>
    </row>
    <row r="601" spans="1:23">
      <c r="A601" t="str">
        <f t="shared" si="166"/>
        <v>ASM-ER9P-01</v>
      </c>
      <c r="B601" t="str">
        <f>"00-1249-0000"</f>
        <v>00-1249-0000</v>
      </c>
      <c r="C601" t="str">
        <f>"Workbench 1500x800mm (slotted aluminum top)"</f>
        <v>Workbench 1500x800mm (slotted aluminum top)</v>
      </c>
      <c r="D601">
        <v>1</v>
      </c>
      <c r="E601" t="str">
        <f t="shared" si="167"/>
        <v>Assembly Station - Scorbot-ER9Pro Robot (Ballgame)</v>
      </c>
      <c r="F601">
        <v>503</v>
      </c>
      <c r="G601" t="str">
        <f t="shared" si="162"/>
        <v>Y</v>
      </c>
      <c r="H601" t="str">
        <f t="shared" si="168"/>
        <v>EA</v>
      </c>
      <c r="I601">
        <v>0</v>
      </c>
      <c r="J601">
        <v>0</v>
      </c>
      <c r="K601" t="str">
        <f t="shared" si="164"/>
        <v>Y</v>
      </c>
      <c r="L601">
        <v>0</v>
      </c>
      <c r="M601" t="str">
        <f t="shared" si="165"/>
        <v>NIS</v>
      </c>
      <c r="O601">
        <v>12</v>
      </c>
      <c r="P601" t="str">
        <f t="shared" si="169"/>
        <v>Active</v>
      </c>
      <c r="Q601" t="str">
        <f>"Workbench 1500x800mm (slotted aluminum top)"</f>
        <v>Workbench 1500x800mm (slotted aluminum top)</v>
      </c>
      <c r="S601" t="str">
        <f>"Workbench 1500x800mm (slotted aluminum top)"</f>
        <v>Workbench 1500x800mm (slotted aluminum top)</v>
      </c>
      <c r="T601">
        <v>0</v>
      </c>
      <c r="U601" s="44">
        <v>1100</v>
      </c>
      <c r="V601" s="44">
        <v>1083.57</v>
      </c>
      <c r="W601" t="str">
        <f t="shared" si="155"/>
        <v>rob</v>
      </c>
    </row>
    <row r="602" spans="1:23">
      <c r="A602" t="str">
        <f t="shared" si="166"/>
        <v>ASM-ER9P-01</v>
      </c>
      <c r="B602" t="str">
        <f>"00-1241-0000"</f>
        <v>00-1241-0000</v>
      </c>
      <c r="C602" t="str">
        <f>"Adapter Mounting Plate for ER9/14Pro &amp; HP3"</f>
        <v>Adapter Mounting Plate for ER9/14Pro &amp; HP3</v>
      </c>
      <c r="D602">
        <v>1</v>
      </c>
      <c r="E602" t="str">
        <f t="shared" si="167"/>
        <v>Assembly Station - Scorbot-ER9Pro Robot (Ballgame)</v>
      </c>
      <c r="F602">
        <v>503</v>
      </c>
      <c r="G602" t="str">
        <f t="shared" si="162"/>
        <v>Y</v>
      </c>
      <c r="H602" t="str">
        <f t="shared" si="168"/>
        <v>EA</v>
      </c>
      <c r="I602">
        <v>0</v>
      </c>
      <c r="J602">
        <v>0</v>
      </c>
      <c r="K602" t="str">
        <f t="shared" si="164"/>
        <v>Y</v>
      </c>
      <c r="L602">
        <v>0</v>
      </c>
      <c r="M602" t="str">
        <f t="shared" si="165"/>
        <v>NIS</v>
      </c>
      <c r="O602">
        <v>13</v>
      </c>
      <c r="P602" t="str">
        <f t="shared" si="169"/>
        <v>Active</v>
      </c>
      <c r="Q602" t="str">
        <f>"Adapter Mounting Plate for ER9/14Pro &amp; HP3"</f>
        <v>Adapter Mounting Plate for ER9/14Pro &amp; HP3</v>
      </c>
      <c r="S602" t="str">
        <f>"Adapter Mounting Plate for ER9/14Pro &amp; HP3"</f>
        <v>Adapter Mounting Plate for ER9/14Pro &amp; HP3</v>
      </c>
      <c r="T602">
        <v>0</v>
      </c>
      <c r="U602">
        <v>145</v>
      </c>
      <c r="V602">
        <v>153.93</v>
      </c>
      <c r="W602" t="str">
        <f t="shared" si="155"/>
        <v>rob</v>
      </c>
    </row>
    <row r="603" spans="1:23">
      <c r="A603" t="str">
        <f t="shared" si="166"/>
        <v>ASM-ER9P-01</v>
      </c>
      <c r="B603" t="str">
        <f>"00-1260-0000"</f>
        <v>00-1260-0000</v>
      </c>
      <c r="C603" t="str">
        <f>"PC Extension Shelf  600x800mm"</f>
        <v>PC Extension Shelf  600x800mm</v>
      </c>
      <c r="D603">
        <v>1</v>
      </c>
      <c r="E603" t="str">
        <f t="shared" si="167"/>
        <v>Assembly Station - Scorbot-ER9Pro Robot (Ballgame)</v>
      </c>
      <c r="F603">
        <v>503</v>
      </c>
      <c r="G603" t="str">
        <f t="shared" si="162"/>
        <v>Y</v>
      </c>
      <c r="H603" t="str">
        <f t="shared" si="168"/>
        <v>EA</v>
      </c>
      <c r="I603">
        <v>0</v>
      </c>
      <c r="J603">
        <v>0</v>
      </c>
      <c r="K603" t="str">
        <f t="shared" si="164"/>
        <v>Y</v>
      </c>
      <c r="L603">
        <v>0</v>
      </c>
      <c r="M603" t="str">
        <f t="shared" si="165"/>
        <v>NIS</v>
      </c>
      <c r="O603">
        <v>14</v>
      </c>
      <c r="P603" t="str">
        <f t="shared" si="169"/>
        <v>Active</v>
      </c>
      <c r="Q603" t="str">
        <f>"PC Extension Shelf  600x800mm"</f>
        <v>PC Extension Shelf  600x800mm</v>
      </c>
      <c r="S603" t="str">
        <f>"PC Extension Shelf  600x800mm"</f>
        <v>PC Extension Shelf  600x800mm</v>
      </c>
      <c r="T603">
        <v>0</v>
      </c>
      <c r="U603">
        <v>192</v>
      </c>
      <c r="V603">
        <v>195.4</v>
      </c>
      <c r="W603" t="str">
        <f t="shared" si="155"/>
        <v>rob</v>
      </c>
    </row>
    <row r="604" spans="1:23">
      <c r="A604" t="str">
        <f t="shared" si="166"/>
        <v>ASM-ER9P-01</v>
      </c>
      <c r="B604" t="str">
        <f>"50-0094-0000"</f>
        <v>50-0094-0000</v>
      </c>
      <c r="C604" t="str">
        <f>"Pre-Engineering, Design and Testing"</f>
        <v>Pre-Engineering, Design and Testing</v>
      </c>
      <c r="D604">
        <v>1</v>
      </c>
      <c r="E604" t="str">
        <f t="shared" si="167"/>
        <v>Assembly Station - Scorbot-ER9Pro Robot (Ballgame)</v>
      </c>
      <c r="F604">
        <v>503</v>
      </c>
      <c r="G604" t="str">
        <f t="shared" si="162"/>
        <v>Y</v>
      </c>
      <c r="H604" t="str">
        <f>"DA"</f>
        <v>DA</v>
      </c>
      <c r="I604">
        <v>0</v>
      </c>
      <c r="J604">
        <v>0</v>
      </c>
      <c r="K604" t="str">
        <f t="shared" si="164"/>
        <v>Y</v>
      </c>
      <c r="L604">
        <v>0</v>
      </c>
      <c r="M604" t="str">
        <f t="shared" si="165"/>
        <v>NIS</v>
      </c>
      <c r="O604">
        <v>15</v>
      </c>
      <c r="P604" t="str">
        <f t="shared" si="169"/>
        <v>Active</v>
      </c>
      <c r="Q604" t="str">
        <f>"Pre-Engineering, Design and Testing"</f>
        <v>Pre-Engineering, Design and Testing</v>
      </c>
      <c r="S604" t="str">
        <f>"Pre-Engineering, Design and Testing"</f>
        <v>Pre-Engineering, Design and Testing</v>
      </c>
      <c r="T604">
        <v>0</v>
      </c>
      <c r="U604">
        <v>405</v>
      </c>
      <c r="V604">
        <v>421.2</v>
      </c>
      <c r="W604" t="str">
        <f t="shared" si="155"/>
        <v>rob</v>
      </c>
    </row>
    <row r="605" spans="1:23">
      <c r="A605" t="str">
        <f t="shared" ref="A605:A620" si="170">"ASM-ER9P-03"</f>
        <v>ASM-ER9P-03</v>
      </c>
      <c r="B605" t="str">
        <f>"00-0430-0000"</f>
        <v>00-0430-0000</v>
      </c>
      <c r="C605" t="str">
        <f>"SCORBOT-ER9Pro"</f>
        <v>SCORBOT-ER9Pro</v>
      </c>
      <c r="D605">
        <v>1</v>
      </c>
      <c r="E605" t="str">
        <f t="shared" ref="E605:E620" si="171">"Assembly - Scorbot-ER9Pro Robot (Ballgame &amp; Automatic Screwdriver)"</f>
        <v>Assembly - Scorbot-ER9Pro Robot (Ballgame &amp; Automatic Screwdriver)</v>
      </c>
      <c r="F605">
        <v>503</v>
      </c>
      <c r="G605" t="str">
        <f t="shared" si="162"/>
        <v>Y</v>
      </c>
      <c r="H605" t="str">
        <f t="shared" ref="H605:H619" si="172">"EA"</f>
        <v>EA</v>
      </c>
      <c r="I605">
        <v>0</v>
      </c>
      <c r="J605">
        <v>0</v>
      </c>
      <c r="K605" t="str">
        <f t="shared" si="164"/>
        <v>Y</v>
      </c>
      <c r="L605">
        <v>0</v>
      </c>
      <c r="M605" t="str">
        <f t="shared" si="165"/>
        <v>NIS</v>
      </c>
      <c r="O605">
        <v>1</v>
      </c>
      <c r="P605" t="str">
        <f t="shared" si="169"/>
        <v>Active</v>
      </c>
      <c r="Q605" t="str">
        <f>"SCORBOT-ER 9Pro (incl. USB-Pro Controller)"</f>
        <v>SCORBOT-ER 9Pro (incl. USB-Pro Controller)</v>
      </c>
      <c r="S605" t="str">
        <f>"SCORBOT-ER 9Pro (incl. USB-Pro Controller)"</f>
        <v>SCORBOT-ER 9Pro (incl. USB-Pro Controller)</v>
      </c>
      <c r="T605">
        <v>0</v>
      </c>
      <c r="U605" s="44">
        <v>10900</v>
      </c>
      <c r="V605" s="44">
        <v>11661.57</v>
      </c>
      <c r="W605" t="str">
        <f t="shared" si="155"/>
        <v>rob</v>
      </c>
    </row>
    <row r="606" spans="1:23">
      <c r="A606" t="str">
        <f t="shared" si="170"/>
        <v>ASM-ER9P-03</v>
      </c>
      <c r="B606" t="str">
        <f>"00-0633-0000"</f>
        <v>00-0633-0000</v>
      </c>
      <c r="C606" t="str">
        <f>"Pneumatic Gripper for ER9-Pro"</f>
        <v>Pneumatic Gripper for ER9-Pro</v>
      </c>
      <c r="D606">
        <v>1</v>
      </c>
      <c r="E606" t="str">
        <f t="shared" si="171"/>
        <v>Assembly - Scorbot-ER9Pro Robot (Ballgame &amp; Automatic Screwdriver)</v>
      </c>
      <c r="F606">
        <v>503</v>
      </c>
      <c r="G606" t="str">
        <f t="shared" si="162"/>
        <v>Y</v>
      </c>
      <c r="H606" t="str">
        <f t="shared" si="172"/>
        <v>EA</v>
      </c>
      <c r="I606">
        <v>0</v>
      </c>
      <c r="J606">
        <v>0</v>
      </c>
      <c r="K606" t="str">
        <f t="shared" si="164"/>
        <v>Y</v>
      </c>
      <c r="L606">
        <v>0</v>
      </c>
      <c r="M606" t="str">
        <f t="shared" si="165"/>
        <v>NIS</v>
      </c>
      <c r="O606">
        <v>2</v>
      </c>
      <c r="P606" t="str">
        <f t="shared" si="169"/>
        <v>Active</v>
      </c>
      <c r="Q606" t="str">
        <f>"Pneumatic Gripper for ER 9Pro"</f>
        <v>Pneumatic Gripper for ER 9Pro</v>
      </c>
      <c r="S606" t="str">
        <f>"Pneumatic Gripper for ER9-Pro"</f>
        <v>Pneumatic Gripper for ER9-Pro</v>
      </c>
      <c r="T606">
        <v>0</v>
      </c>
      <c r="U606">
        <v>630</v>
      </c>
      <c r="V606">
        <v>624.72</v>
      </c>
      <c r="W606" t="str">
        <f t="shared" si="155"/>
        <v>rob</v>
      </c>
    </row>
    <row r="607" spans="1:23">
      <c r="A607" t="str">
        <f t="shared" si="170"/>
        <v>ASM-ER9P-03</v>
      </c>
      <c r="B607" t="str">
        <f>"00-1710-0000"</f>
        <v>00-1710-0000</v>
      </c>
      <c r="C607" t="str">
        <f>"Teach Pendant"</f>
        <v>Teach Pendant</v>
      </c>
      <c r="D607">
        <v>1</v>
      </c>
      <c r="E607" t="str">
        <f t="shared" si="171"/>
        <v>Assembly - Scorbot-ER9Pro Robot (Ballgame &amp; Automatic Screwdriver)</v>
      </c>
      <c r="F607">
        <v>503</v>
      </c>
      <c r="G607" t="str">
        <f t="shared" si="162"/>
        <v>Y</v>
      </c>
      <c r="H607" t="str">
        <f t="shared" si="172"/>
        <v>EA</v>
      </c>
      <c r="I607">
        <v>0</v>
      </c>
      <c r="J607">
        <v>0</v>
      </c>
      <c r="K607" t="str">
        <f t="shared" si="164"/>
        <v>Y</v>
      </c>
      <c r="L607">
        <v>0</v>
      </c>
      <c r="M607" t="str">
        <f t="shared" si="165"/>
        <v>NIS</v>
      </c>
      <c r="O607">
        <v>3</v>
      </c>
      <c r="P607" t="str">
        <f t="shared" si="169"/>
        <v>Active</v>
      </c>
      <c r="Q607" t="str">
        <f>"Teach Pendant for USB/USB Pro Controllers"</f>
        <v>Teach Pendant for USB/USB Pro Controllers</v>
      </c>
      <c r="S607" t="str">
        <f>"Teach Pendant for USB/USB Pro Controllers"</f>
        <v>Teach Pendant for USB/USB Pro Controllers</v>
      </c>
      <c r="T607">
        <v>0</v>
      </c>
      <c r="U607">
        <v>160.18</v>
      </c>
      <c r="V607">
        <v>161.44999999999999</v>
      </c>
      <c r="W607" t="str">
        <f t="shared" si="155"/>
        <v>rob</v>
      </c>
    </row>
    <row r="608" spans="1:23">
      <c r="A608" t="str">
        <f t="shared" si="170"/>
        <v>ASM-ER9P-03</v>
      </c>
      <c r="B608" t="str">
        <f>"034025"</f>
        <v>034025</v>
      </c>
      <c r="C608" t="str">
        <f>"I/O Interface Box for Controller USB-PRO"</f>
        <v>I/O Interface Box for Controller USB-PRO</v>
      </c>
      <c r="D608">
        <v>1</v>
      </c>
      <c r="E608" t="str">
        <f t="shared" si="171"/>
        <v>Assembly - Scorbot-ER9Pro Robot (Ballgame &amp; Automatic Screwdriver)</v>
      </c>
      <c r="F608">
        <v>503</v>
      </c>
      <c r="G608" t="str">
        <f t="shared" si="162"/>
        <v>Y</v>
      </c>
      <c r="H608" t="str">
        <f t="shared" si="172"/>
        <v>EA</v>
      </c>
      <c r="I608">
        <v>0</v>
      </c>
      <c r="J608">
        <v>0</v>
      </c>
      <c r="K608" t="str">
        <f t="shared" si="164"/>
        <v>Y</v>
      </c>
      <c r="L608">
        <v>0</v>
      </c>
      <c r="M608" t="str">
        <f t="shared" si="165"/>
        <v>NIS</v>
      </c>
      <c r="O608">
        <v>4</v>
      </c>
      <c r="P608" t="str">
        <f t="shared" si="169"/>
        <v>Active</v>
      </c>
      <c r="Q608" t="str">
        <f>"I/O Interface Box for Controller USB-PRO"</f>
        <v>I/O Interface Box for Controller USB-PRO</v>
      </c>
      <c r="S608" t="str">
        <f>"קופסת 2+Interface Box I/O כבלים לבקר USBPRO"</f>
        <v>קופסת 2+Interface Box I/O כבלים לבקר USBPRO</v>
      </c>
      <c r="T608">
        <v>0</v>
      </c>
      <c r="U608">
        <v>470</v>
      </c>
      <c r="V608">
        <v>463.62</v>
      </c>
      <c r="W608" t="str">
        <f t="shared" si="155"/>
        <v>rob</v>
      </c>
    </row>
    <row r="609" spans="1:23">
      <c r="A609" t="str">
        <f t="shared" si="170"/>
        <v>ASM-ER9P-03</v>
      </c>
      <c r="B609" t="str">
        <f>"10-2104-9000"</f>
        <v>10-2104-9000</v>
      </c>
      <c r="C609" t="str">
        <f>"Single Buffer for Slotted Table"</f>
        <v>Single Buffer for Slotted Table</v>
      </c>
      <c r="D609">
        <v>3</v>
      </c>
      <c r="E609" t="str">
        <f t="shared" si="171"/>
        <v>Assembly - Scorbot-ER9Pro Robot (Ballgame &amp; Automatic Screwdriver)</v>
      </c>
      <c r="F609">
        <v>503</v>
      </c>
      <c r="G609" t="str">
        <f t="shared" si="162"/>
        <v>Y</v>
      </c>
      <c r="H609" t="str">
        <f t="shared" si="172"/>
        <v>EA</v>
      </c>
      <c r="I609">
        <v>0</v>
      </c>
      <c r="J609">
        <v>0</v>
      </c>
      <c r="K609" t="str">
        <f t="shared" si="164"/>
        <v>Y</v>
      </c>
      <c r="L609">
        <v>0</v>
      </c>
      <c r="M609" t="str">
        <f t="shared" si="165"/>
        <v>NIS</v>
      </c>
      <c r="O609">
        <v>5</v>
      </c>
      <c r="P609" t="str">
        <f t="shared" si="169"/>
        <v>Active</v>
      </c>
      <c r="Q609" t="str">
        <f>"Single Buffer for Slotted Table(+height adapter)"</f>
        <v>Single Buffer for Slotted Table(+height adapter)</v>
      </c>
      <c r="S609" t="str">
        <f>"Single Buffer for Slotted Table(+height adapter)"</f>
        <v>Single Buffer for Slotted Table(+height adapter)</v>
      </c>
      <c r="T609">
        <v>0</v>
      </c>
      <c r="U609">
        <v>26</v>
      </c>
      <c r="V609">
        <v>25.49</v>
      </c>
      <c r="W609" t="str">
        <f t="shared" si="155"/>
        <v>rob</v>
      </c>
    </row>
    <row r="610" spans="1:23">
      <c r="A610" t="str">
        <f t="shared" si="170"/>
        <v>ASM-ER9P-03</v>
      </c>
      <c r="B610" t="str">
        <f>"00-1110-0000"</f>
        <v>00-1110-0000</v>
      </c>
      <c r="C610" t="str">
        <f>"Palletizing Rack"</f>
        <v>Palletizing Rack</v>
      </c>
      <c r="D610">
        <v>2</v>
      </c>
      <c r="E610" t="str">
        <f t="shared" si="171"/>
        <v>Assembly - Scorbot-ER9Pro Robot (Ballgame &amp; Automatic Screwdriver)</v>
      </c>
      <c r="F610">
        <v>503</v>
      </c>
      <c r="G610" t="str">
        <f t="shared" si="162"/>
        <v>Y</v>
      </c>
      <c r="H610" t="str">
        <f t="shared" si="172"/>
        <v>EA</v>
      </c>
      <c r="I610">
        <v>0</v>
      </c>
      <c r="J610">
        <v>0</v>
      </c>
      <c r="K610" t="str">
        <f t="shared" si="164"/>
        <v>Y</v>
      </c>
      <c r="L610">
        <v>0</v>
      </c>
      <c r="M610" t="str">
        <f t="shared" si="165"/>
        <v>NIS</v>
      </c>
      <c r="O610">
        <v>6</v>
      </c>
      <c r="P610" t="str">
        <f t="shared" si="169"/>
        <v>Active</v>
      </c>
      <c r="Q610" t="str">
        <f>"Palletizing Rack (incl. Pins for creating Jigs)"</f>
        <v>Palletizing Rack (incl. Pins for creating Jigs)</v>
      </c>
      <c r="S610" t="str">
        <f>"Palletizing Rack (incl. Pins for creating Jigs)"</f>
        <v>Palletizing Rack (incl. Pins for creating Jigs)</v>
      </c>
      <c r="T610">
        <v>0</v>
      </c>
      <c r="U610">
        <v>63</v>
      </c>
      <c r="V610">
        <v>58.59</v>
      </c>
      <c r="W610" t="str">
        <f t="shared" si="155"/>
        <v>rob</v>
      </c>
    </row>
    <row r="611" spans="1:23">
      <c r="A611" t="str">
        <f t="shared" si="170"/>
        <v>ASM-ER9P-03</v>
      </c>
      <c r="B611" t="str">
        <f>"021172"</f>
        <v>021172</v>
      </c>
      <c r="C611" t="str">
        <f>"30mm Height Adapter -Rack 001110 on table 001249"</f>
        <v>30mm Height Adapter -Rack 001110 on table 001249</v>
      </c>
      <c r="D611">
        <v>2</v>
      </c>
      <c r="E611" t="str">
        <f t="shared" si="171"/>
        <v>Assembly - Scorbot-ER9Pro Robot (Ballgame &amp; Automatic Screwdriver)</v>
      </c>
      <c r="F611">
        <v>503</v>
      </c>
      <c r="G611" t="str">
        <f t="shared" si="162"/>
        <v>Y</v>
      </c>
      <c r="H611" t="str">
        <f t="shared" si="172"/>
        <v>EA</v>
      </c>
      <c r="I611">
        <v>0</v>
      </c>
      <c r="J611">
        <v>0</v>
      </c>
      <c r="K611" t="str">
        <f t="shared" si="164"/>
        <v>Y</v>
      </c>
      <c r="L611">
        <v>0</v>
      </c>
      <c r="M611" t="str">
        <f t="shared" si="165"/>
        <v>NIS</v>
      </c>
      <c r="O611">
        <v>7</v>
      </c>
      <c r="P611" t="str">
        <f t="shared" si="169"/>
        <v>Active</v>
      </c>
      <c r="Q611" t="str">
        <f>"30mm Height Adapter -Rack 001110 on table 001249"</f>
        <v>30mm Height Adapter -Rack 001110 on table 001249</v>
      </c>
      <c r="S611" t="str">
        <f>"30mm Height Adapter -Rack 001110 on table 001249"</f>
        <v>30mm Height Adapter -Rack 001110 on table 001249</v>
      </c>
      <c r="T611">
        <v>0</v>
      </c>
      <c r="U611">
        <v>13.12</v>
      </c>
      <c r="V611">
        <v>13.44</v>
      </c>
      <c r="W611" t="str">
        <f t="shared" si="155"/>
        <v>rob</v>
      </c>
    </row>
    <row r="612" spans="1:23">
      <c r="A612" t="str">
        <f t="shared" si="170"/>
        <v>ASM-ER9P-03</v>
      </c>
      <c r="B612" t="str">
        <f>"21-0004-0000"</f>
        <v>21-0004-0000</v>
      </c>
      <c r="C612" t="str">
        <f>"Assembly, Dual Axis Air Vise Mechanicals"</f>
        <v>Assembly, Dual Axis Air Vise Mechanicals</v>
      </c>
      <c r="D612">
        <v>1</v>
      </c>
      <c r="E612" t="str">
        <f t="shared" si="171"/>
        <v>Assembly - Scorbot-ER9Pro Robot (Ballgame &amp; Automatic Screwdriver)</v>
      </c>
      <c r="F612">
        <v>503</v>
      </c>
      <c r="G612" t="str">
        <f t="shared" si="162"/>
        <v>Y</v>
      </c>
      <c r="H612" t="str">
        <f t="shared" si="172"/>
        <v>EA</v>
      </c>
      <c r="I612">
        <v>0</v>
      </c>
      <c r="J612">
        <v>0</v>
      </c>
      <c r="K612" t="str">
        <f t="shared" si="164"/>
        <v>Y</v>
      </c>
      <c r="L612">
        <v>0</v>
      </c>
      <c r="M612" t="str">
        <f t="shared" si="165"/>
        <v>NIS</v>
      </c>
      <c r="O612">
        <v>8</v>
      </c>
      <c r="P612" t="str">
        <f>"Phase Out"</f>
        <v>Phase Out</v>
      </c>
      <c r="Q612" t="str">
        <f>"Pneumatic Dual-Axis Vise"</f>
        <v>Pneumatic Dual-Axis Vise</v>
      </c>
      <c r="S612" t="str">
        <f>"Assembly, Dual Axis Air Vise Mechanicals"</f>
        <v>Assembly, Dual Axis Air Vise Mechanicals</v>
      </c>
      <c r="T612">
        <v>422.16</v>
      </c>
      <c r="U612">
        <v>422</v>
      </c>
      <c r="V612">
        <v>980.27</v>
      </c>
      <c r="W612" t="str">
        <f t="shared" si="155"/>
        <v>rob</v>
      </c>
    </row>
    <row r="613" spans="1:23">
      <c r="A613" t="str">
        <f t="shared" si="170"/>
        <v>ASM-ER9P-03</v>
      </c>
      <c r="B613" t="str">
        <f>"10-2523-4000"</f>
        <v>10-2523-4000</v>
      </c>
      <c r="C613" t="str">
        <f>"Solenoid Valve (24V) for Pipe 3 mm"</f>
        <v>Solenoid Valve (24V) for Pipe 3 mm</v>
      </c>
      <c r="D613">
        <v>1</v>
      </c>
      <c r="E613" t="str">
        <f t="shared" si="171"/>
        <v>Assembly - Scorbot-ER9Pro Robot (Ballgame &amp; Automatic Screwdriver)</v>
      </c>
      <c r="F613">
        <v>503</v>
      </c>
      <c r="G613" t="str">
        <f t="shared" si="162"/>
        <v>Y</v>
      </c>
      <c r="H613" t="str">
        <f t="shared" si="172"/>
        <v>EA</v>
      </c>
      <c r="I613">
        <v>0</v>
      </c>
      <c r="J613">
        <v>0</v>
      </c>
      <c r="K613" t="str">
        <f t="shared" si="164"/>
        <v>Y</v>
      </c>
      <c r="L613">
        <v>0</v>
      </c>
      <c r="M613" t="str">
        <f t="shared" si="165"/>
        <v>NIS</v>
      </c>
      <c r="O613">
        <v>9</v>
      </c>
      <c r="P613" t="str">
        <f>"Active"</f>
        <v>Active</v>
      </c>
      <c r="Q613" t="str">
        <f>"Solenoid Valve (24V) for Dual Axis Vise 025207"</f>
        <v>Solenoid Valve (24V) for Dual Axis Vise 025207</v>
      </c>
      <c r="S613" t="str">
        <f>"Solenoid Valve (24V) for Pipe 3 mm"</f>
        <v>Solenoid Valve (24V) for Pipe 3 mm</v>
      </c>
      <c r="T613">
        <v>0</v>
      </c>
      <c r="U613">
        <v>137</v>
      </c>
      <c r="V613">
        <v>133.35</v>
      </c>
      <c r="W613" t="str">
        <f t="shared" si="155"/>
        <v>rob</v>
      </c>
    </row>
    <row r="614" spans="1:23">
      <c r="A614" t="str">
        <f t="shared" si="170"/>
        <v>ASM-ER9P-03</v>
      </c>
      <c r="B614" t="str">
        <f>"00-1230-0000"</f>
        <v>00-1230-0000</v>
      </c>
      <c r="C614" t="str">
        <f>"Ball Feeder (incl. sensor for ball counting)"</f>
        <v>Ball Feeder (incl. sensor for ball counting)</v>
      </c>
      <c r="D614">
        <v>1</v>
      </c>
      <c r="E614" t="str">
        <f t="shared" si="171"/>
        <v>Assembly - Scorbot-ER9Pro Robot (Ballgame &amp; Automatic Screwdriver)</v>
      </c>
      <c r="F614">
        <v>503</v>
      </c>
      <c r="G614" t="str">
        <f t="shared" si="162"/>
        <v>Y</v>
      </c>
      <c r="H614" t="str">
        <f t="shared" si="172"/>
        <v>EA</v>
      </c>
      <c r="I614">
        <v>0</v>
      </c>
      <c r="J614">
        <v>0</v>
      </c>
      <c r="K614" t="str">
        <f t="shared" si="164"/>
        <v>Y</v>
      </c>
      <c r="L614">
        <v>0</v>
      </c>
      <c r="M614" t="str">
        <f t="shared" si="165"/>
        <v>NIS</v>
      </c>
      <c r="O614">
        <v>10</v>
      </c>
      <c r="P614" t="str">
        <f>"Active"</f>
        <v>Active</v>
      </c>
      <c r="Q614" t="str">
        <f>"Ball Feeder (incl. sensor for ball counting)"</f>
        <v>Ball Feeder (incl. sensor for ball counting)</v>
      </c>
      <c r="S614" t="str">
        <f>"Ball Feeder (incl. sensor for ball counting)"</f>
        <v>Ball Feeder (incl. sensor for ball counting)</v>
      </c>
      <c r="T614">
        <v>0</v>
      </c>
      <c r="U614">
        <v>536</v>
      </c>
      <c r="V614">
        <v>530.72</v>
      </c>
      <c r="W614" t="str">
        <f t="shared" si="155"/>
        <v>rob</v>
      </c>
    </row>
    <row r="615" spans="1:23">
      <c r="A615" t="str">
        <f t="shared" si="170"/>
        <v>ASM-ER9P-03</v>
      </c>
      <c r="B615" t="str">
        <f>"00-1221-0000"</f>
        <v>00-1221-0000</v>
      </c>
      <c r="C615" t="str">
        <f>"Ball Game Set (Assembly with screws)"</f>
        <v>Ball Game Set (Assembly with screws)</v>
      </c>
      <c r="D615">
        <v>1</v>
      </c>
      <c r="E615" t="str">
        <f t="shared" si="171"/>
        <v>Assembly - Scorbot-ER9Pro Robot (Ballgame &amp; Automatic Screwdriver)</v>
      </c>
      <c r="F615">
        <v>503</v>
      </c>
      <c r="G615" t="str">
        <f t="shared" si="162"/>
        <v>Y</v>
      </c>
      <c r="H615" t="str">
        <f t="shared" si="172"/>
        <v>EA</v>
      </c>
      <c r="I615">
        <v>0</v>
      </c>
      <c r="J615">
        <v>0</v>
      </c>
      <c r="K615" t="str">
        <f t="shared" si="164"/>
        <v>Y</v>
      </c>
      <c r="L615">
        <v>0</v>
      </c>
      <c r="M615" t="str">
        <f t="shared" si="165"/>
        <v>NIS</v>
      </c>
      <c r="O615">
        <v>11</v>
      </c>
      <c r="P615" t="str">
        <f>"Phase Out"</f>
        <v>Phase Out</v>
      </c>
      <c r="Q615" t="str">
        <f>"Ball Game Set (Assembly with screws)"</f>
        <v>Ball Game Set (Assembly with screws)</v>
      </c>
      <c r="S615" t="str">
        <f>"Ball Game Set (Assembly with screws)"</f>
        <v>Ball Game Set (Assembly with screws)</v>
      </c>
      <c r="T615">
        <v>0</v>
      </c>
      <c r="U615">
        <v>26.72</v>
      </c>
      <c r="V615">
        <v>34.44</v>
      </c>
      <c r="W615" t="str">
        <f t="shared" si="155"/>
        <v>rob</v>
      </c>
    </row>
    <row r="616" spans="1:23">
      <c r="A616" t="str">
        <f t="shared" si="170"/>
        <v>ASM-ER9P-03</v>
      </c>
      <c r="B616" t="str">
        <f>"00-1239-0000"</f>
        <v>00-1239-0000</v>
      </c>
      <c r="C616" t="str">
        <f>"Automatic Screwdriver &amp; Screw Feeder, 110V"</f>
        <v>Automatic Screwdriver &amp; Screw Feeder, 110V</v>
      </c>
      <c r="D616">
        <v>1</v>
      </c>
      <c r="E616" t="str">
        <f t="shared" si="171"/>
        <v>Assembly - Scorbot-ER9Pro Robot (Ballgame &amp; Automatic Screwdriver)</v>
      </c>
      <c r="F616">
        <v>503</v>
      </c>
      <c r="G616" t="str">
        <f t="shared" si="162"/>
        <v>Y</v>
      </c>
      <c r="H616" t="str">
        <f t="shared" si="172"/>
        <v>EA</v>
      </c>
      <c r="I616">
        <v>0</v>
      </c>
      <c r="J616">
        <v>0</v>
      </c>
      <c r="K616" t="str">
        <f t="shared" si="164"/>
        <v>Y</v>
      </c>
      <c r="L616">
        <v>0</v>
      </c>
      <c r="M616" t="str">
        <f t="shared" si="165"/>
        <v>NIS</v>
      </c>
      <c r="O616">
        <v>12</v>
      </c>
      <c r="P616" t="str">
        <f t="shared" ref="P616:P627" si="173">"Active"</f>
        <v>Active</v>
      </c>
      <c r="Q616" t="str">
        <f>"Automatic Screwdriver &amp; Screw Feeder, 110V"</f>
        <v>Automatic Screwdriver &amp; Screw Feeder, 110V</v>
      </c>
      <c r="S616" t="str">
        <f>"Automatic Screwdriver &amp; Screw Feeder, 110V"</f>
        <v>Automatic Screwdriver &amp; Screw Feeder, 110V</v>
      </c>
      <c r="T616">
        <v>0</v>
      </c>
      <c r="U616" s="44">
        <v>11351.06</v>
      </c>
      <c r="V616" s="44">
        <v>11739.79</v>
      </c>
      <c r="W616" t="str">
        <f t="shared" si="155"/>
        <v>rob</v>
      </c>
    </row>
    <row r="617" spans="1:23">
      <c r="A617" t="str">
        <f t="shared" si="170"/>
        <v>ASM-ER9P-03</v>
      </c>
      <c r="B617" t="str">
        <f>"00-1249-0000"</f>
        <v>00-1249-0000</v>
      </c>
      <c r="C617" t="str">
        <f>"Workbench 1500x800mm (slotted aluminum top)"</f>
        <v>Workbench 1500x800mm (slotted aluminum top)</v>
      </c>
      <c r="D617">
        <v>1</v>
      </c>
      <c r="E617" t="str">
        <f t="shared" si="171"/>
        <v>Assembly - Scorbot-ER9Pro Robot (Ballgame &amp; Automatic Screwdriver)</v>
      </c>
      <c r="F617">
        <v>503</v>
      </c>
      <c r="G617" t="str">
        <f t="shared" si="162"/>
        <v>Y</v>
      </c>
      <c r="H617" t="str">
        <f t="shared" si="172"/>
        <v>EA</v>
      </c>
      <c r="I617">
        <v>0</v>
      </c>
      <c r="J617">
        <v>0</v>
      </c>
      <c r="K617" t="str">
        <f t="shared" si="164"/>
        <v>Y</v>
      </c>
      <c r="L617">
        <v>0</v>
      </c>
      <c r="M617" t="str">
        <f t="shared" si="165"/>
        <v>NIS</v>
      </c>
      <c r="O617">
        <v>13</v>
      </c>
      <c r="P617" t="str">
        <f t="shared" si="173"/>
        <v>Active</v>
      </c>
      <c r="Q617" t="str">
        <f>"Workbench 1500x800mm (slotted aluminum top)"</f>
        <v>Workbench 1500x800mm (slotted aluminum top)</v>
      </c>
      <c r="S617" t="str">
        <f>"Workbench 1500x800mm (slotted aluminum top)"</f>
        <v>Workbench 1500x800mm (slotted aluminum top)</v>
      </c>
      <c r="T617">
        <v>0</v>
      </c>
      <c r="U617" s="44">
        <v>1100</v>
      </c>
      <c r="V617" s="44">
        <v>1083.57</v>
      </c>
      <c r="W617" t="str">
        <f t="shared" si="155"/>
        <v>rob</v>
      </c>
    </row>
    <row r="618" spans="1:23">
      <c r="A618" t="str">
        <f t="shared" si="170"/>
        <v>ASM-ER9P-03</v>
      </c>
      <c r="B618" t="str">
        <f>"00-1241-0000"</f>
        <v>00-1241-0000</v>
      </c>
      <c r="C618" t="str">
        <f>"Adapter Mounting Plate for ER9/14Pro &amp; HP3"</f>
        <v>Adapter Mounting Plate for ER9/14Pro &amp; HP3</v>
      </c>
      <c r="D618">
        <v>1</v>
      </c>
      <c r="E618" t="str">
        <f t="shared" si="171"/>
        <v>Assembly - Scorbot-ER9Pro Robot (Ballgame &amp; Automatic Screwdriver)</v>
      </c>
      <c r="F618">
        <v>503</v>
      </c>
      <c r="G618" t="str">
        <f t="shared" si="162"/>
        <v>Y</v>
      </c>
      <c r="H618" t="str">
        <f t="shared" si="172"/>
        <v>EA</v>
      </c>
      <c r="I618">
        <v>0</v>
      </c>
      <c r="J618">
        <v>0</v>
      </c>
      <c r="K618" t="str">
        <f t="shared" si="164"/>
        <v>Y</v>
      </c>
      <c r="L618">
        <v>0</v>
      </c>
      <c r="M618" t="str">
        <f t="shared" si="165"/>
        <v>NIS</v>
      </c>
      <c r="O618">
        <v>14</v>
      </c>
      <c r="P618" t="str">
        <f t="shared" si="173"/>
        <v>Active</v>
      </c>
      <c r="Q618" t="str">
        <f>"Adapter Mounting Plate for ER9/14Pro &amp; HP3"</f>
        <v>Adapter Mounting Plate for ER9/14Pro &amp; HP3</v>
      </c>
      <c r="S618" t="str">
        <f>"Adapter Mounting Plate for ER9/14Pro &amp; HP3"</f>
        <v>Adapter Mounting Plate for ER9/14Pro &amp; HP3</v>
      </c>
      <c r="T618">
        <v>0</v>
      </c>
      <c r="U618">
        <v>145</v>
      </c>
      <c r="V618">
        <v>153.93</v>
      </c>
      <c r="W618" t="str">
        <f t="shared" si="155"/>
        <v>rob</v>
      </c>
    </row>
    <row r="619" spans="1:23">
      <c r="A619" t="str">
        <f t="shared" si="170"/>
        <v>ASM-ER9P-03</v>
      </c>
      <c r="B619" t="str">
        <f>"00-1260-0000"</f>
        <v>00-1260-0000</v>
      </c>
      <c r="C619" t="str">
        <f>"PC Extension Shelf  600x800mm"</f>
        <v>PC Extension Shelf  600x800mm</v>
      </c>
      <c r="D619">
        <v>1</v>
      </c>
      <c r="E619" t="str">
        <f t="shared" si="171"/>
        <v>Assembly - Scorbot-ER9Pro Robot (Ballgame &amp; Automatic Screwdriver)</v>
      </c>
      <c r="F619">
        <v>503</v>
      </c>
      <c r="G619" t="str">
        <f t="shared" si="162"/>
        <v>Y</v>
      </c>
      <c r="H619" t="str">
        <f t="shared" si="172"/>
        <v>EA</v>
      </c>
      <c r="I619">
        <v>0</v>
      </c>
      <c r="J619">
        <v>0</v>
      </c>
      <c r="K619" t="str">
        <f t="shared" si="164"/>
        <v>Y</v>
      </c>
      <c r="L619">
        <v>0</v>
      </c>
      <c r="M619" t="str">
        <f t="shared" si="165"/>
        <v>NIS</v>
      </c>
      <c r="O619">
        <v>15</v>
      </c>
      <c r="P619" t="str">
        <f t="shared" si="173"/>
        <v>Active</v>
      </c>
      <c r="Q619" t="str">
        <f>"PC Extension Shelf  600x800mm"</f>
        <v>PC Extension Shelf  600x800mm</v>
      </c>
      <c r="S619" t="str">
        <f>"PC Extension Shelf  600x800mm"</f>
        <v>PC Extension Shelf  600x800mm</v>
      </c>
      <c r="T619">
        <v>0</v>
      </c>
      <c r="U619">
        <v>192</v>
      </c>
      <c r="V619">
        <v>195.4</v>
      </c>
      <c r="W619" t="str">
        <f t="shared" si="155"/>
        <v>rob</v>
      </c>
    </row>
    <row r="620" spans="1:23">
      <c r="A620" t="str">
        <f t="shared" si="170"/>
        <v>ASM-ER9P-03</v>
      </c>
      <c r="B620" t="str">
        <f>"50-0094-0000"</f>
        <v>50-0094-0000</v>
      </c>
      <c r="C620" t="str">
        <f>"Pre-Engineering, Design and Testing"</f>
        <v>Pre-Engineering, Design and Testing</v>
      </c>
      <c r="D620">
        <v>1</v>
      </c>
      <c r="E620" t="str">
        <f t="shared" si="171"/>
        <v>Assembly - Scorbot-ER9Pro Robot (Ballgame &amp; Automatic Screwdriver)</v>
      </c>
      <c r="F620">
        <v>503</v>
      </c>
      <c r="G620" t="str">
        <f t="shared" si="162"/>
        <v>Y</v>
      </c>
      <c r="H620" t="str">
        <f>"DA"</f>
        <v>DA</v>
      </c>
      <c r="I620">
        <v>0</v>
      </c>
      <c r="J620">
        <v>0</v>
      </c>
      <c r="K620" t="str">
        <f t="shared" si="164"/>
        <v>Y</v>
      </c>
      <c r="L620">
        <v>0</v>
      </c>
      <c r="M620" t="str">
        <f t="shared" si="165"/>
        <v>NIS</v>
      </c>
      <c r="O620">
        <v>16</v>
      </c>
      <c r="P620" t="str">
        <f t="shared" si="173"/>
        <v>Active</v>
      </c>
      <c r="Q620" t="str">
        <f>"Pre-Engineering, Design and Testing"</f>
        <v>Pre-Engineering, Design and Testing</v>
      </c>
      <c r="S620" t="str">
        <f>"Pre-Engineering, Design and Testing"</f>
        <v>Pre-Engineering, Design and Testing</v>
      </c>
      <c r="T620">
        <v>0</v>
      </c>
      <c r="U620">
        <v>405</v>
      </c>
      <c r="V620">
        <v>421.2</v>
      </c>
      <c r="W620" t="str">
        <f t="shared" si="155"/>
        <v>rob</v>
      </c>
    </row>
    <row r="621" spans="1:23">
      <c r="A621" t="str">
        <f t="shared" ref="A621:A635" si="174">"ASM-ER9P-GEAR"</f>
        <v>ASM-ER9P-GEAR</v>
      </c>
      <c r="B621" t="str">
        <f>"00-0430-0000"</f>
        <v>00-0430-0000</v>
      </c>
      <c r="C621" t="str">
        <f>"SCORBOT-ER9Pro"</f>
        <v>SCORBOT-ER9Pro</v>
      </c>
      <c r="D621">
        <v>1</v>
      </c>
      <c r="E621" t="str">
        <f t="shared" ref="E621:E635" si="175">"Assembly Robot ER9 (Gear Assembly)"</f>
        <v>Assembly Robot ER9 (Gear Assembly)</v>
      </c>
      <c r="F621">
        <v>503</v>
      </c>
      <c r="G621" t="str">
        <f t="shared" si="162"/>
        <v>Y</v>
      </c>
      <c r="H621" t="str">
        <f t="shared" ref="H621:H634" si="176">"EA"</f>
        <v>EA</v>
      </c>
      <c r="I621">
        <v>0</v>
      </c>
      <c r="J621">
        <v>0</v>
      </c>
      <c r="K621" t="str">
        <f t="shared" si="164"/>
        <v>Y</v>
      </c>
      <c r="L621">
        <v>0</v>
      </c>
      <c r="M621" t="str">
        <f t="shared" si="165"/>
        <v>NIS</v>
      </c>
      <c r="O621">
        <v>1</v>
      </c>
      <c r="P621" t="str">
        <f t="shared" si="173"/>
        <v>Active</v>
      </c>
      <c r="Q621" t="str">
        <f>"SCORBOT-ER 9Pro (incl. USB-Pro Controller)"</f>
        <v>SCORBOT-ER 9Pro (incl. USB-Pro Controller)</v>
      </c>
      <c r="S621" t="str">
        <f>"SCORBOT-ER 9Pro (incl. USB-Pro Controller)"</f>
        <v>SCORBOT-ER 9Pro (incl. USB-Pro Controller)</v>
      </c>
      <c r="T621">
        <v>0</v>
      </c>
      <c r="U621" s="44">
        <v>10900</v>
      </c>
      <c r="V621" s="44">
        <v>11661.57</v>
      </c>
      <c r="W621" t="str">
        <f t="shared" si="155"/>
        <v>rob</v>
      </c>
    </row>
    <row r="622" spans="1:23">
      <c r="A622" t="str">
        <f t="shared" si="174"/>
        <v>ASM-ER9P-GEAR</v>
      </c>
      <c r="B622" t="str">
        <f>"00-0633-0000"</f>
        <v>00-0633-0000</v>
      </c>
      <c r="C622" t="str">
        <f>"Pneumatic Gripper for ER9-Pro"</f>
        <v>Pneumatic Gripper for ER9-Pro</v>
      </c>
      <c r="D622">
        <v>1</v>
      </c>
      <c r="E622" t="str">
        <f t="shared" si="175"/>
        <v>Assembly Robot ER9 (Gear Assembly)</v>
      </c>
      <c r="F622">
        <v>503</v>
      </c>
      <c r="G622" t="str">
        <f t="shared" si="162"/>
        <v>Y</v>
      </c>
      <c r="H622" t="str">
        <f t="shared" si="176"/>
        <v>EA</v>
      </c>
      <c r="I622">
        <v>0</v>
      </c>
      <c r="J622">
        <v>0</v>
      </c>
      <c r="K622" t="str">
        <f t="shared" si="164"/>
        <v>Y</v>
      </c>
      <c r="L622">
        <v>0</v>
      </c>
      <c r="M622" t="str">
        <f t="shared" si="165"/>
        <v>NIS</v>
      </c>
      <c r="O622">
        <v>2</v>
      </c>
      <c r="P622" t="str">
        <f t="shared" si="173"/>
        <v>Active</v>
      </c>
      <c r="Q622" t="str">
        <f>"Pneumatic Gripper for ER 9Pro"</f>
        <v>Pneumatic Gripper for ER 9Pro</v>
      </c>
      <c r="S622" t="str">
        <f>"Pneumatic Gripper for ER9-Pro"</f>
        <v>Pneumatic Gripper for ER9-Pro</v>
      </c>
      <c r="T622">
        <v>0</v>
      </c>
      <c r="U622">
        <v>630</v>
      </c>
      <c r="V622">
        <v>624.72</v>
      </c>
      <c r="W622" t="str">
        <f t="shared" ref="W622:W685" si="177">"rob"</f>
        <v>rob</v>
      </c>
    </row>
    <row r="623" spans="1:23">
      <c r="A623" t="str">
        <f t="shared" si="174"/>
        <v>ASM-ER9P-GEAR</v>
      </c>
      <c r="B623" t="str">
        <f>"00-1710-0000"</f>
        <v>00-1710-0000</v>
      </c>
      <c r="C623" t="str">
        <f>"Teach Pendant"</f>
        <v>Teach Pendant</v>
      </c>
      <c r="D623">
        <v>1</v>
      </c>
      <c r="E623" t="str">
        <f t="shared" si="175"/>
        <v>Assembly Robot ER9 (Gear Assembly)</v>
      </c>
      <c r="F623">
        <v>503</v>
      </c>
      <c r="G623" t="str">
        <f t="shared" si="162"/>
        <v>Y</v>
      </c>
      <c r="H623" t="str">
        <f t="shared" si="176"/>
        <v>EA</v>
      </c>
      <c r="I623">
        <v>0</v>
      </c>
      <c r="J623">
        <v>0</v>
      </c>
      <c r="K623" t="str">
        <f t="shared" si="164"/>
        <v>Y</v>
      </c>
      <c r="L623">
        <v>0</v>
      </c>
      <c r="M623" t="str">
        <f t="shared" si="165"/>
        <v>NIS</v>
      </c>
      <c r="O623">
        <v>3</v>
      </c>
      <c r="P623" t="str">
        <f t="shared" si="173"/>
        <v>Active</v>
      </c>
      <c r="Q623" t="str">
        <f>"Teach Pendant for USB/USB Pro Controllers"</f>
        <v>Teach Pendant for USB/USB Pro Controllers</v>
      </c>
      <c r="S623" t="str">
        <f>"Teach Pendant for USB/USB Pro Controllers"</f>
        <v>Teach Pendant for USB/USB Pro Controllers</v>
      </c>
      <c r="T623">
        <v>0</v>
      </c>
      <c r="U623">
        <v>160.18</v>
      </c>
      <c r="V623">
        <v>161.44999999999999</v>
      </c>
      <c r="W623" t="str">
        <f t="shared" si="177"/>
        <v>rob</v>
      </c>
    </row>
    <row r="624" spans="1:23">
      <c r="A624" t="str">
        <f t="shared" si="174"/>
        <v>ASM-ER9P-GEAR</v>
      </c>
      <c r="B624" t="str">
        <f>"034025"</f>
        <v>034025</v>
      </c>
      <c r="C624" t="str">
        <f>"I/O Interface Box for Controller USB-PRO"</f>
        <v>I/O Interface Box for Controller USB-PRO</v>
      </c>
      <c r="D624">
        <v>1</v>
      </c>
      <c r="E624" t="str">
        <f t="shared" si="175"/>
        <v>Assembly Robot ER9 (Gear Assembly)</v>
      </c>
      <c r="F624">
        <v>503</v>
      </c>
      <c r="G624" t="str">
        <f t="shared" si="162"/>
        <v>Y</v>
      </c>
      <c r="H624" t="str">
        <f t="shared" si="176"/>
        <v>EA</v>
      </c>
      <c r="I624">
        <v>0</v>
      </c>
      <c r="J624">
        <v>0</v>
      </c>
      <c r="K624" t="str">
        <f t="shared" si="164"/>
        <v>Y</v>
      </c>
      <c r="L624">
        <v>0</v>
      </c>
      <c r="M624" t="str">
        <f t="shared" si="165"/>
        <v>NIS</v>
      </c>
      <c r="O624">
        <v>4</v>
      </c>
      <c r="P624" t="str">
        <f t="shared" si="173"/>
        <v>Active</v>
      </c>
      <c r="Q624" t="str">
        <f>"I/O Interface Box for Controller USB-PRO"</f>
        <v>I/O Interface Box for Controller USB-PRO</v>
      </c>
      <c r="S624" t="str">
        <f>"קופסת 2+Interface Box I/O כבלים לבקר USBPRO"</f>
        <v>קופסת 2+Interface Box I/O כבלים לבקר USBPRO</v>
      </c>
      <c r="T624">
        <v>0</v>
      </c>
      <c r="U624">
        <v>470</v>
      </c>
      <c r="V624">
        <v>463.62</v>
      </c>
      <c r="W624" t="str">
        <f t="shared" si="177"/>
        <v>rob</v>
      </c>
    </row>
    <row r="625" spans="1:23">
      <c r="A625" t="str">
        <f t="shared" si="174"/>
        <v>ASM-ER9P-GEAR</v>
      </c>
      <c r="B625" t="str">
        <f>"10-2104-9000"</f>
        <v>10-2104-9000</v>
      </c>
      <c r="C625" t="str">
        <f>"Single Buffer for Slotted Table"</f>
        <v>Single Buffer for Slotted Table</v>
      </c>
      <c r="D625">
        <v>1</v>
      </c>
      <c r="E625" t="str">
        <f t="shared" si="175"/>
        <v>Assembly Robot ER9 (Gear Assembly)</v>
      </c>
      <c r="F625">
        <v>503</v>
      </c>
      <c r="G625" t="str">
        <f t="shared" si="162"/>
        <v>Y</v>
      </c>
      <c r="H625" t="str">
        <f t="shared" si="176"/>
        <v>EA</v>
      </c>
      <c r="I625">
        <v>0</v>
      </c>
      <c r="J625">
        <v>0</v>
      </c>
      <c r="K625" t="str">
        <f t="shared" si="164"/>
        <v>Y</v>
      </c>
      <c r="L625">
        <v>0</v>
      </c>
      <c r="M625" t="str">
        <f t="shared" si="165"/>
        <v>NIS</v>
      </c>
      <c r="O625">
        <v>5</v>
      </c>
      <c r="P625" t="str">
        <f t="shared" si="173"/>
        <v>Active</v>
      </c>
      <c r="Q625" t="str">
        <f>"Single Buffer for Slotted Table(+height adapter)"</f>
        <v>Single Buffer for Slotted Table(+height adapter)</v>
      </c>
      <c r="S625" t="str">
        <f>"Single Buffer for Slotted Table(+height adapter)"</f>
        <v>Single Buffer for Slotted Table(+height adapter)</v>
      </c>
      <c r="T625">
        <v>0</v>
      </c>
      <c r="U625">
        <v>26</v>
      </c>
      <c r="V625">
        <v>25.49</v>
      </c>
      <c r="W625" t="str">
        <f t="shared" si="177"/>
        <v>rob</v>
      </c>
    </row>
    <row r="626" spans="1:23">
      <c r="A626" t="str">
        <f t="shared" si="174"/>
        <v>ASM-ER9P-GEAR</v>
      </c>
      <c r="B626" t="str">
        <f>"00-1110-0000"</f>
        <v>00-1110-0000</v>
      </c>
      <c r="C626" t="str">
        <f>"Palletizing Rack"</f>
        <v>Palletizing Rack</v>
      </c>
      <c r="D626">
        <v>2</v>
      </c>
      <c r="E626" t="str">
        <f t="shared" si="175"/>
        <v>Assembly Robot ER9 (Gear Assembly)</v>
      </c>
      <c r="F626">
        <v>503</v>
      </c>
      <c r="G626" t="str">
        <f t="shared" si="162"/>
        <v>Y</v>
      </c>
      <c r="H626" t="str">
        <f t="shared" si="176"/>
        <v>EA</v>
      </c>
      <c r="I626">
        <v>0</v>
      </c>
      <c r="J626">
        <v>0</v>
      </c>
      <c r="K626" t="str">
        <f t="shared" si="164"/>
        <v>Y</v>
      </c>
      <c r="L626">
        <v>0</v>
      </c>
      <c r="M626" t="str">
        <f t="shared" si="165"/>
        <v>NIS</v>
      </c>
      <c r="O626">
        <v>6</v>
      </c>
      <c r="P626" t="str">
        <f t="shared" si="173"/>
        <v>Active</v>
      </c>
      <c r="Q626" t="str">
        <f>"Palletizing Rack (incl. Pins for creating Jigs)"</f>
        <v>Palletizing Rack (incl. Pins for creating Jigs)</v>
      </c>
      <c r="S626" t="str">
        <f>"Palletizing Rack (incl. Pins for creating Jigs)"</f>
        <v>Palletizing Rack (incl. Pins for creating Jigs)</v>
      </c>
      <c r="T626">
        <v>0</v>
      </c>
      <c r="U626">
        <v>63</v>
      </c>
      <c r="V626">
        <v>58.59</v>
      </c>
      <c r="W626" t="str">
        <f t="shared" si="177"/>
        <v>rob</v>
      </c>
    </row>
    <row r="627" spans="1:23">
      <c r="A627" t="str">
        <f t="shared" si="174"/>
        <v>ASM-ER9P-GEAR</v>
      </c>
      <c r="B627" t="str">
        <f>"021172"</f>
        <v>021172</v>
      </c>
      <c r="C627" t="str">
        <f>"30mm Height Adapter -Rack 001110 on table 001249"</f>
        <v>30mm Height Adapter -Rack 001110 on table 001249</v>
      </c>
      <c r="D627">
        <v>2</v>
      </c>
      <c r="E627" t="str">
        <f t="shared" si="175"/>
        <v>Assembly Robot ER9 (Gear Assembly)</v>
      </c>
      <c r="F627">
        <v>503</v>
      </c>
      <c r="G627" t="str">
        <f t="shared" si="162"/>
        <v>Y</v>
      </c>
      <c r="H627" t="str">
        <f t="shared" si="176"/>
        <v>EA</v>
      </c>
      <c r="I627">
        <v>0</v>
      </c>
      <c r="J627">
        <v>0</v>
      </c>
      <c r="K627" t="str">
        <f t="shared" si="164"/>
        <v>Y</v>
      </c>
      <c r="L627">
        <v>0</v>
      </c>
      <c r="M627" t="str">
        <f t="shared" si="165"/>
        <v>NIS</v>
      </c>
      <c r="O627">
        <v>7</v>
      </c>
      <c r="P627" t="str">
        <f t="shared" si="173"/>
        <v>Active</v>
      </c>
      <c r="Q627" t="str">
        <f>"30mm Height Adapter -Rack 001110 on table 001249"</f>
        <v>30mm Height Adapter -Rack 001110 on table 001249</v>
      </c>
      <c r="S627" t="str">
        <f>"30mm Height Adapter -Rack 001110 on table 001249"</f>
        <v>30mm Height Adapter -Rack 001110 on table 001249</v>
      </c>
      <c r="T627">
        <v>0</v>
      </c>
      <c r="U627">
        <v>13.12</v>
      </c>
      <c r="V627">
        <v>13.44</v>
      </c>
      <c r="W627" t="str">
        <f t="shared" si="177"/>
        <v>rob</v>
      </c>
    </row>
    <row r="628" spans="1:23">
      <c r="A628" t="str">
        <f t="shared" si="174"/>
        <v>ASM-ER9P-GEAR</v>
      </c>
      <c r="B628" t="str">
        <f>"21-0004-0000"</f>
        <v>21-0004-0000</v>
      </c>
      <c r="C628" t="str">
        <f>"Assembly, Dual Axis Air Vise Mechanicals"</f>
        <v>Assembly, Dual Axis Air Vise Mechanicals</v>
      </c>
      <c r="D628">
        <v>1</v>
      </c>
      <c r="E628" t="str">
        <f t="shared" si="175"/>
        <v>Assembly Robot ER9 (Gear Assembly)</v>
      </c>
      <c r="F628">
        <v>503</v>
      </c>
      <c r="G628" t="str">
        <f t="shared" si="162"/>
        <v>Y</v>
      </c>
      <c r="H628" t="str">
        <f t="shared" si="176"/>
        <v>EA</v>
      </c>
      <c r="I628">
        <v>0</v>
      </c>
      <c r="J628">
        <v>0</v>
      </c>
      <c r="K628" t="str">
        <f t="shared" si="164"/>
        <v>Y</v>
      </c>
      <c r="L628">
        <v>0</v>
      </c>
      <c r="M628" t="str">
        <f t="shared" si="165"/>
        <v>NIS</v>
      </c>
      <c r="O628">
        <v>8</v>
      </c>
      <c r="P628" t="str">
        <f>"Phase Out"</f>
        <v>Phase Out</v>
      </c>
      <c r="Q628" t="str">
        <f>"Assembly, Dual Axis Air Vise Mechanicals"</f>
        <v>Assembly, Dual Axis Air Vise Mechanicals</v>
      </c>
      <c r="S628" t="str">
        <f>"Assembly, Dual Axis Air Vise Mechanicals"</f>
        <v>Assembly, Dual Axis Air Vise Mechanicals</v>
      </c>
      <c r="T628">
        <v>422.16</v>
      </c>
      <c r="U628">
        <v>422</v>
      </c>
      <c r="V628">
        <v>980.27</v>
      </c>
      <c r="W628" t="str">
        <f t="shared" si="177"/>
        <v>rob</v>
      </c>
    </row>
    <row r="629" spans="1:23">
      <c r="A629" t="str">
        <f t="shared" si="174"/>
        <v>ASM-ER9P-GEAR</v>
      </c>
      <c r="B629" t="str">
        <f>"10-2523-4000"</f>
        <v>10-2523-4000</v>
      </c>
      <c r="C629" t="str">
        <f>"Solenoid Valve (24V) for Pipe 3 mm"</f>
        <v>Solenoid Valve (24V) for Pipe 3 mm</v>
      </c>
      <c r="D629">
        <v>1</v>
      </c>
      <c r="E629" t="str">
        <f t="shared" si="175"/>
        <v>Assembly Robot ER9 (Gear Assembly)</v>
      </c>
      <c r="F629">
        <v>503</v>
      </c>
      <c r="G629" t="str">
        <f t="shared" si="162"/>
        <v>Y</v>
      </c>
      <c r="H629" t="str">
        <f t="shared" si="176"/>
        <v>EA</v>
      </c>
      <c r="I629">
        <v>0</v>
      </c>
      <c r="J629">
        <v>0</v>
      </c>
      <c r="K629" t="str">
        <f t="shared" si="164"/>
        <v>Y</v>
      </c>
      <c r="L629">
        <v>0</v>
      </c>
      <c r="M629" t="str">
        <f t="shared" si="165"/>
        <v>NIS</v>
      </c>
      <c r="O629">
        <v>9</v>
      </c>
      <c r="P629" t="str">
        <f t="shared" ref="P629:P636" si="178">"Active"</f>
        <v>Active</v>
      </c>
      <c r="Q629" t="str">
        <f>"Solenoid Valve (24V) for Pipe 3 mm"</f>
        <v>Solenoid Valve (24V) for Pipe 3 mm</v>
      </c>
      <c r="S629" t="str">
        <f>"Solenoid Valve (24V) for Pipe 3 mm"</f>
        <v>Solenoid Valve (24V) for Pipe 3 mm</v>
      </c>
      <c r="T629">
        <v>0</v>
      </c>
      <c r="U629">
        <v>137</v>
      </c>
      <c r="V629">
        <v>133.35</v>
      </c>
      <c r="W629" t="str">
        <f t="shared" si="177"/>
        <v>rob</v>
      </c>
    </row>
    <row r="630" spans="1:23">
      <c r="A630" t="str">
        <f t="shared" si="174"/>
        <v>ASM-ER9P-GEAR</v>
      </c>
      <c r="B630" t="str">
        <f>"021061"</f>
        <v>021061</v>
      </c>
      <c r="C630" t="str">
        <f>"Gear set for assembly application"</f>
        <v>Gear set for assembly application</v>
      </c>
      <c r="D630">
        <v>1</v>
      </c>
      <c r="E630" t="str">
        <f t="shared" si="175"/>
        <v>Assembly Robot ER9 (Gear Assembly)</v>
      </c>
      <c r="F630">
        <v>503</v>
      </c>
      <c r="G630" t="str">
        <f t="shared" si="162"/>
        <v>Y</v>
      </c>
      <c r="H630" t="str">
        <f t="shared" si="176"/>
        <v>EA</v>
      </c>
      <c r="I630">
        <v>0</v>
      </c>
      <c r="J630">
        <v>0</v>
      </c>
      <c r="K630" t="str">
        <f t="shared" si="164"/>
        <v>Y</v>
      </c>
      <c r="L630">
        <v>0</v>
      </c>
      <c r="M630" t="str">
        <f t="shared" si="165"/>
        <v>NIS</v>
      </c>
      <c r="O630">
        <v>10</v>
      </c>
      <c r="P630" t="str">
        <f t="shared" si="178"/>
        <v>Active</v>
      </c>
      <c r="Q630" t="str">
        <f>"Gear set for assembly application"</f>
        <v>Gear set for assembly application</v>
      </c>
      <c r="S630" t="str">
        <f>"Gear set for assembly application"</f>
        <v>Gear set for assembly application</v>
      </c>
      <c r="T630">
        <v>0</v>
      </c>
      <c r="U630">
        <v>140.77000000000001</v>
      </c>
      <c r="V630">
        <v>90.67</v>
      </c>
      <c r="W630" t="str">
        <f t="shared" si="177"/>
        <v>rob</v>
      </c>
    </row>
    <row r="631" spans="1:23">
      <c r="A631" t="str">
        <f t="shared" si="174"/>
        <v>ASM-ER9P-GEAR</v>
      </c>
      <c r="B631" t="str">
        <f>"021062"</f>
        <v>021062</v>
      </c>
      <c r="C631" t="str">
        <f>"Stand 150mm for assembly application"</f>
        <v>Stand 150mm for assembly application</v>
      </c>
      <c r="D631">
        <v>1</v>
      </c>
      <c r="E631" t="str">
        <f t="shared" si="175"/>
        <v>Assembly Robot ER9 (Gear Assembly)</v>
      </c>
      <c r="F631">
        <v>503</v>
      </c>
      <c r="G631" t="str">
        <f t="shared" si="162"/>
        <v>Y</v>
      </c>
      <c r="H631" t="str">
        <f t="shared" si="176"/>
        <v>EA</v>
      </c>
      <c r="I631">
        <v>0</v>
      </c>
      <c r="J631">
        <v>0</v>
      </c>
      <c r="K631" t="str">
        <f t="shared" si="164"/>
        <v>Y</v>
      </c>
      <c r="L631">
        <v>0</v>
      </c>
      <c r="M631" t="str">
        <f t="shared" si="165"/>
        <v>NIS</v>
      </c>
      <c r="O631">
        <v>11</v>
      </c>
      <c r="P631" t="str">
        <f t="shared" si="178"/>
        <v>Active</v>
      </c>
      <c r="Q631" t="str">
        <f>"Stand 150 mm for assembly appli"</f>
        <v>Stand 150 mm for assembly appli</v>
      </c>
      <c r="S631" t="str">
        <f>"Stand 150mm for assembly application"</f>
        <v>Stand 150mm for assembly application</v>
      </c>
      <c r="T631">
        <v>0</v>
      </c>
      <c r="U631">
        <v>22</v>
      </c>
      <c r="V631">
        <v>21.4</v>
      </c>
      <c r="W631" t="str">
        <f t="shared" si="177"/>
        <v>rob</v>
      </c>
    </row>
    <row r="632" spans="1:23">
      <c r="A632" t="str">
        <f t="shared" si="174"/>
        <v>ASM-ER9P-GEAR</v>
      </c>
      <c r="B632" t="str">
        <f>"00-1249-0000"</f>
        <v>00-1249-0000</v>
      </c>
      <c r="C632" t="str">
        <f>"Workbench 1500x800mm (slotted aluminum top)"</f>
        <v>Workbench 1500x800mm (slotted aluminum top)</v>
      </c>
      <c r="D632">
        <v>1</v>
      </c>
      <c r="E632" t="str">
        <f t="shared" si="175"/>
        <v>Assembly Robot ER9 (Gear Assembly)</v>
      </c>
      <c r="F632">
        <v>503</v>
      </c>
      <c r="G632" t="str">
        <f t="shared" si="162"/>
        <v>Y</v>
      </c>
      <c r="H632" t="str">
        <f t="shared" si="176"/>
        <v>EA</v>
      </c>
      <c r="I632">
        <v>0</v>
      </c>
      <c r="J632">
        <v>0</v>
      </c>
      <c r="K632" t="str">
        <f t="shared" si="164"/>
        <v>Y</v>
      </c>
      <c r="L632">
        <v>0</v>
      </c>
      <c r="M632" t="str">
        <f t="shared" si="165"/>
        <v>NIS</v>
      </c>
      <c r="O632">
        <v>12</v>
      </c>
      <c r="P632" t="str">
        <f t="shared" si="178"/>
        <v>Active</v>
      </c>
      <c r="Q632" t="str">
        <f>"Workbench 1500x800mm (slotted aluminum top)"</f>
        <v>Workbench 1500x800mm (slotted aluminum top)</v>
      </c>
      <c r="S632" t="str">
        <f>"Workbench 1500x800mm (slotted aluminum top)"</f>
        <v>Workbench 1500x800mm (slotted aluminum top)</v>
      </c>
      <c r="T632">
        <v>0</v>
      </c>
      <c r="U632" s="44">
        <v>1100</v>
      </c>
      <c r="V632" s="44">
        <v>1083.57</v>
      </c>
      <c r="W632" t="str">
        <f t="shared" si="177"/>
        <v>rob</v>
      </c>
    </row>
    <row r="633" spans="1:23">
      <c r="A633" t="str">
        <f t="shared" si="174"/>
        <v>ASM-ER9P-GEAR</v>
      </c>
      <c r="B633" t="str">
        <f>"00-1241-0000"</f>
        <v>00-1241-0000</v>
      </c>
      <c r="C633" t="str">
        <f>"Adapter Mounting Plate for ER9/14Pro &amp; HP3"</f>
        <v>Adapter Mounting Plate for ER9/14Pro &amp; HP3</v>
      </c>
      <c r="D633">
        <v>1</v>
      </c>
      <c r="E633" t="str">
        <f t="shared" si="175"/>
        <v>Assembly Robot ER9 (Gear Assembly)</v>
      </c>
      <c r="F633">
        <v>503</v>
      </c>
      <c r="G633" t="str">
        <f t="shared" si="162"/>
        <v>Y</v>
      </c>
      <c r="H633" t="str">
        <f t="shared" si="176"/>
        <v>EA</v>
      </c>
      <c r="I633">
        <v>0</v>
      </c>
      <c r="J633">
        <v>0</v>
      </c>
      <c r="K633" t="str">
        <f t="shared" si="164"/>
        <v>Y</v>
      </c>
      <c r="L633">
        <v>0</v>
      </c>
      <c r="M633" t="str">
        <f t="shared" si="165"/>
        <v>NIS</v>
      </c>
      <c r="O633">
        <v>13</v>
      </c>
      <c r="P633" t="str">
        <f t="shared" si="178"/>
        <v>Active</v>
      </c>
      <c r="Q633" t="str">
        <f>"Adapter Mounting Plate for ER9/14Pro &amp; HP3"</f>
        <v>Adapter Mounting Plate for ER9/14Pro &amp; HP3</v>
      </c>
      <c r="S633" t="str">
        <f>"Adapter Mounting Plate for ER9/14Pro &amp; HP3"</f>
        <v>Adapter Mounting Plate for ER9/14Pro &amp; HP3</v>
      </c>
      <c r="T633">
        <v>0</v>
      </c>
      <c r="U633">
        <v>145</v>
      </c>
      <c r="V633">
        <v>153.93</v>
      </c>
      <c r="W633" t="str">
        <f t="shared" si="177"/>
        <v>rob</v>
      </c>
    </row>
    <row r="634" spans="1:23">
      <c r="A634" t="str">
        <f t="shared" si="174"/>
        <v>ASM-ER9P-GEAR</v>
      </c>
      <c r="B634" t="str">
        <f>"00-1260-0000"</f>
        <v>00-1260-0000</v>
      </c>
      <c r="C634" t="str">
        <f>"PC Extension Shelf  600x800mm"</f>
        <v>PC Extension Shelf  600x800mm</v>
      </c>
      <c r="D634">
        <v>1</v>
      </c>
      <c r="E634" t="str">
        <f t="shared" si="175"/>
        <v>Assembly Robot ER9 (Gear Assembly)</v>
      </c>
      <c r="F634">
        <v>503</v>
      </c>
      <c r="G634" t="str">
        <f t="shared" si="162"/>
        <v>Y</v>
      </c>
      <c r="H634" t="str">
        <f t="shared" si="176"/>
        <v>EA</v>
      </c>
      <c r="I634">
        <v>0</v>
      </c>
      <c r="J634">
        <v>0</v>
      </c>
      <c r="K634" t="str">
        <f t="shared" si="164"/>
        <v>Y</v>
      </c>
      <c r="L634">
        <v>0</v>
      </c>
      <c r="M634" t="str">
        <f t="shared" si="165"/>
        <v>NIS</v>
      </c>
      <c r="O634">
        <v>14</v>
      </c>
      <c r="P634" t="str">
        <f t="shared" si="178"/>
        <v>Active</v>
      </c>
      <c r="Q634" t="str">
        <f>"PC Extension Shelf  600x800mm"</f>
        <v>PC Extension Shelf  600x800mm</v>
      </c>
      <c r="S634" t="str">
        <f>"PC Extension Shelf  600x800mm"</f>
        <v>PC Extension Shelf  600x800mm</v>
      </c>
      <c r="T634">
        <v>0</v>
      </c>
      <c r="U634">
        <v>192</v>
      </c>
      <c r="V634">
        <v>195.4</v>
      </c>
      <c r="W634" t="str">
        <f t="shared" si="177"/>
        <v>rob</v>
      </c>
    </row>
    <row r="635" spans="1:23">
      <c r="A635" t="str">
        <f t="shared" si="174"/>
        <v>ASM-ER9P-GEAR</v>
      </c>
      <c r="B635" t="str">
        <f>"50-0094-0000"</f>
        <v>50-0094-0000</v>
      </c>
      <c r="C635" t="str">
        <f>"Pre-Engineering, Design and Testing"</f>
        <v>Pre-Engineering, Design and Testing</v>
      </c>
      <c r="D635">
        <v>1</v>
      </c>
      <c r="E635" t="str">
        <f t="shared" si="175"/>
        <v>Assembly Robot ER9 (Gear Assembly)</v>
      </c>
      <c r="F635">
        <v>503</v>
      </c>
      <c r="G635" t="str">
        <f t="shared" si="162"/>
        <v>Y</v>
      </c>
      <c r="H635" t="str">
        <f>"DA"</f>
        <v>DA</v>
      </c>
      <c r="I635">
        <v>0</v>
      </c>
      <c r="J635">
        <v>0</v>
      </c>
      <c r="K635" t="str">
        <f t="shared" si="164"/>
        <v>Y</v>
      </c>
      <c r="L635">
        <v>0</v>
      </c>
      <c r="M635" t="str">
        <f t="shared" si="165"/>
        <v>NIS</v>
      </c>
      <c r="O635">
        <v>15</v>
      </c>
      <c r="P635" t="str">
        <f t="shared" si="178"/>
        <v>Active</v>
      </c>
      <c r="Q635" t="str">
        <f>"Pre-Engineering, Design and Testing"</f>
        <v>Pre-Engineering, Design and Testing</v>
      </c>
      <c r="S635" t="str">
        <f>"Pre-Engineering, Design and Testing"</f>
        <v>Pre-Engineering, Design and Testing</v>
      </c>
      <c r="T635">
        <v>0</v>
      </c>
      <c r="U635">
        <v>405</v>
      </c>
      <c r="V635">
        <v>421.2</v>
      </c>
      <c r="W635" t="str">
        <f t="shared" si="177"/>
        <v>rob</v>
      </c>
    </row>
    <row r="636" spans="1:23">
      <c r="A636" t="str">
        <f t="shared" ref="A636:A648" si="179">"ASM-IROB-01"</f>
        <v>ASM-IROB-01</v>
      </c>
      <c r="B636" t="str">
        <f>"10-2119-9000"</f>
        <v>10-2119-9000</v>
      </c>
      <c r="C636" t="str">
        <f>"Interface with industrial robot"</f>
        <v>Interface with industrial robot</v>
      </c>
      <c r="D636">
        <v>1</v>
      </c>
      <c r="E636" t="str">
        <f t="shared" ref="E636:E648" si="180">"Assembly Station - for Industrial Robot (Ballgame)"</f>
        <v>Assembly Station - for Industrial Robot (Ballgame)</v>
      </c>
      <c r="F636">
        <v>503</v>
      </c>
      <c r="G636" t="str">
        <f t="shared" si="162"/>
        <v>Y</v>
      </c>
      <c r="H636" t="str">
        <f t="shared" ref="H636:H647" si="181">"EA"</f>
        <v>EA</v>
      </c>
      <c r="I636">
        <v>0</v>
      </c>
      <c r="J636">
        <v>0</v>
      </c>
      <c r="K636" t="str">
        <f t="shared" si="164"/>
        <v>Y</v>
      </c>
      <c r="L636">
        <v>0</v>
      </c>
      <c r="M636" t="str">
        <f t="shared" si="165"/>
        <v>NIS</v>
      </c>
      <c r="O636">
        <v>1</v>
      </c>
      <c r="P636" t="str">
        <f t="shared" si="178"/>
        <v>Active</v>
      </c>
      <c r="Q636" t="str">
        <f>"Interface with industrial robot"</f>
        <v>Interface with industrial robot</v>
      </c>
      <c r="S636" t="str">
        <f>"Interface with industrial robot"</f>
        <v>Interface with industrial robot</v>
      </c>
      <c r="T636">
        <v>0</v>
      </c>
      <c r="U636" s="44">
        <v>2000</v>
      </c>
      <c r="V636" s="44">
        <v>2220</v>
      </c>
      <c r="W636" t="str">
        <f t="shared" si="177"/>
        <v>rob</v>
      </c>
    </row>
    <row r="637" spans="1:23">
      <c r="A637" t="str">
        <f t="shared" si="179"/>
        <v>ASM-IROB-01</v>
      </c>
      <c r="B637" t="str">
        <f>"00-0647-0000"</f>
        <v>00-0647-0000</v>
      </c>
      <c r="C637" t="str">
        <f>"Pneumatic Gripper for 3rd party robots"</f>
        <v>Pneumatic Gripper for 3rd party robots</v>
      </c>
      <c r="D637">
        <v>1</v>
      </c>
      <c r="E637" t="str">
        <f t="shared" si="180"/>
        <v>Assembly Station - for Industrial Robot (Ballgame)</v>
      </c>
      <c r="F637">
        <v>503</v>
      </c>
      <c r="G637" t="str">
        <f t="shared" si="162"/>
        <v>Y</v>
      </c>
      <c r="H637" t="str">
        <f t="shared" si="181"/>
        <v>EA</v>
      </c>
      <c r="I637">
        <v>0</v>
      </c>
      <c r="J637">
        <v>0</v>
      </c>
      <c r="K637" t="str">
        <f t="shared" si="164"/>
        <v>Y</v>
      </c>
      <c r="L637">
        <v>0</v>
      </c>
      <c r="M637" t="str">
        <f t="shared" si="165"/>
        <v>NIS</v>
      </c>
      <c r="O637">
        <v>2</v>
      </c>
      <c r="P637" t="str">
        <f>"ECO-N2Buy"</f>
        <v>ECO-N2Buy</v>
      </c>
      <c r="Q637" t="str">
        <f>"Pneumatic Gripper for small industrial robots"</f>
        <v>Pneumatic Gripper for small industrial robots</v>
      </c>
      <c r="S637" t="str">
        <f>"Pneumatic Gripper for small industrial robots"</f>
        <v>Pneumatic Gripper for small industrial robots</v>
      </c>
      <c r="T637">
        <v>0</v>
      </c>
      <c r="U637" s="44">
        <v>1000</v>
      </c>
      <c r="V637">
        <v>646.62</v>
      </c>
      <c r="W637" t="str">
        <f t="shared" si="177"/>
        <v>rob</v>
      </c>
    </row>
    <row r="638" spans="1:23">
      <c r="A638" t="str">
        <f t="shared" si="179"/>
        <v>ASM-IROB-01</v>
      </c>
      <c r="B638" t="str">
        <f>"021031"</f>
        <v>021031</v>
      </c>
      <c r="C638" t="str">
        <f>"Buffer for Template"</f>
        <v>Buffer for Template</v>
      </c>
      <c r="D638">
        <v>4</v>
      </c>
      <c r="E638" t="str">
        <f t="shared" si="180"/>
        <v>Assembly Station - for Industrial Robot (Ballgame)</v>
      </c>
      <c r="F638">
        <v>503</v>
      </c>
      <c r="G638" t="str">
        <f t="shared" si="162"/>
        <v>Y</v>
      </c>
      <c r="H638" t="str">
        <f t="shared" si="181"/>
        <v>EA</v>
      </c>
      <c r="I638">
        <v>0</v>
      </c>
      <c r="J638">
        <v>0</v>
      </c>
      <c r="K638" t="str">
        <f t="shared" si="164"/>
        <v>Y</v>
      </c>
      <c r="L638">
        <v>0</v>
      </c>
      <c r="M638" t="str">
        <f t="shared" si="165"/>
        <v>NIS</v>
      </c>
      <c r="O638">
        <v>3</v>
      </c>
      <c r="P638" t="str">
        <f>"Active"</f>
        <v>Active</v>
      </c>
      <c r="Q638" t="str">
        <f>"מכלול- בסיס לטמפלט CIM"</f>
        <v>מכלול- בסיס לטמפלט CIM</v>
      </c>
      <c r="R638" t="str">
        <f>"1"</f>
        <v>1</v>
      </c>
      <c r="S638" t="str">
        <f>"מכלול- בסיס לטמפלט CIM"</f>
        <v>מכלול- בסיס לטמפלט CIM</v>
      </c>
      <c r="T638">
        <v>0</v>
      </c>
      <c r="U638">
        <v>18.329999999999998</v>
      </c>
      <c r="V638">
        <v>13.48</v>
      </c>
      <c r="W638" t="str">
        <f t="shared" si="177"/>
        <v>rob</v>
      </c>
    </row>
    <row r="639" spans="1:23">
      <c r="A639" t="str">
        <f t="shared" si="179"/>
        <v>ASM-IROB-01</v>
      </c>
      <c r="B639" t="str">
        <f>"00-1110-0000"</f>
        <v>00-1110-0000</v>
      </c>
      <c r="C639" t="str">
        <f>"Palletizing Rack"</f>
        <v>Palletizing Rack</v>
      </c>
      <c r="D639">
        <v>2</v>
      </c>
      <c r="E639" t="str">
        <f t="shared" si="180"/>
        <v>Assembly Station - for Industrial Robot (Ballgame)</v>
      </c>
      <c r="F639">
        <v>503</v>
      </c>
      <c r="G639" t="str">
        <f t="shared" si="162"/>
        <v>Y</v>
      </c>
      <c r="H639" t="str">
        <f t="shared" si="181"/>
        <v>EA</v>
      </c>
      <c r="I639">
        <v>0</v>
      </c>
      <c r="J639">
        <v>0</v>
      </c>
      <c r="K639" t="str">
        <f t="shared" si="164"/>
        <v>Y</v>
      </c>
      <c r="L639">
        <v>0</v>
      </c>
      <c r="M639" t="str">
        <f t="shared" si="165"/>
        <v>NIS</v>
      </c>
      <c r="O639">
        <v>4</v>
      </c>
      <c r="P639" t="str">
        <f>"Active"</f>
        <v>Active</v>
      </c>
      <c r="Q639" t="str">
        <f>"Palletizing Rack (incl. Pins for creating Jigs)"</f>
        <v>Palletizing Rack (incl. Pins for creating Jigs)</v>
      </c>
      <c r="S639" t="str">
        <f>"Palletizing Rack (incl. Pins for creating Jigs)"</f>
        <v>Palletizing Rack (incl. Pins for creating Jigs)</v>
      </c>
      <c r="T639">
        <v>0</v>
      </c>
      <c r="U639">
        <v>63</v>
      </c>
      <c r="V639">
        <v>58.59</v>
      </c>
      <c r="W639" t="str">
        <f t="shared" si="177"/>
        <v>rob</v>
      </c>
    </row>
    <row r="640" spans="1:23">
      <c r="A640" t="str">
        <f t="shared" si="179"/>
        <v>ASM-IROB-01</v>
      </c>
      <c r="B640" t="str">
        <f>"021177"</f>
        <v>021177</v>
      </c>
      <c r="C640" t="str">
        <f>"30mm Height Adapter -Rack 001110 on formica 19mm"</f>
        <v>30mm Height Adapter -Rack 001110 on formica 19mm</v>
      </c>
      <c r="D640">
        <v>2</v>
      </c>
      <c r="E640" t="str">
        <f t="shared" si="180"/>
        <v>Assembly Station - for Industrial Robot (Ballgame)</v>
      </c>
      <c r="F640">
        <v>503</v>
      </c>
      <c r="G640" t="str">
        <f t="shared" si="162"/>
        <v>Y</v>
      </c>
      <c r="H640" t="str">
        <f t="shared" si="181"/>
        <v>EA</v>
      </c>
      <c r="I640">
        <v>0</v>
      </c>
      <c r="J640">
        <v>0</v>
      </c>
      <c r="K640" t="str">
        <f t="shared" si="164"/>
        <v>Y</v>
      </c>
      <c r="L640">
        <v>0</v>
      </c>
      <c r="M640" t="str">
        <f t="shared" si="165"/>
        <v>NIS</v>
      </c>
      <c r="O640">
        <v>5</v>
      </c>
      <c r="P640" t="str">
        <f>"Active"</f>
        <v>Active</v>
      </c>
      <c r="Q640" t="str">
        <f>"30mm Height Adapter -Rack 001110 on formica 19mm"</f>
        <v>30mm Height Adapter -Rack 001110 on formica 19mm</v>
      </c>
      <c r="S640" t="str">
        <f>"30mm Height Adapter -Rack 001110 on formica 19mm"</f>
        <v>30mm Height Adapter -Rack 001110 on formica 19mm</v>
      </c>
      <c r="T640">
        <v>0</v>
      </c>
      <c r="U640">
        <v>4.92</v>
      </c>
      <c r="V640">
        <v>8.43</v>
      </c>
      <c r="W640" t="str">
        <f t="shared" si="177"/>
        <v>rob</v>
      </c>
    </row>
    <row r="641" spans="1:23">
      <c r="A641" t="str">
        <f t="shared" si="179"/>
        <v>ASM-IROB-01</v>
      </c>
      <c r="B641" t="str">
        <f>"21-0004-0000"</f>
        <v>21-0004-0000</v>
      </c>
      <c r="C641" t="str">
        <f>"Assembly, Dual Axis Air Vise Mechanicals"</f>
        <v>Assembly, Dual Axis Air Vise Mechanicals</v>
      </c>
      <c r="D641">
        <v>1</v>
      </c>
      <c r="E641" t="str">
        <f t="shared" si="180"/>
        <v>Assembly Station - for Industrial Robot (Ballgame)</v>
      </c>
      <c r="F641">
        <v>503</v>
      </c>
      <c r="G641" t="str">
        <f t="shared" si="162"/>
        <v>Y</v>
      </c>
      <c r="H641" t="str">
        <f t="shared" si="181"/>
        <v>EA</v>
      </c>
      <c r="I641">
        <v>0</v>
      </c>
      <c r="J641">
        <v>0</v>
      </c>
      <c r="K641" t="str">
        <f t="shared" si="164"/>
        <v>Y</v>
      </c>
      <c r="L641">
        <v>0</v>
      </c>
      <c r="M641" t="str">
        <f t="shared" si="165"/>
        <v>NIS</v>
      </c>
      <c r="O641">
        <v>6</v>
      </c>
      <c r="P641" t="str">
        <f>"Phase Out"</f>
        <v>Phase Out</v>
      </c>
      <c r="Q641" t="str">
        <f>"Assembly, Dual Axis Air Vise Mechanicals"</f>
        <v>Assembly, Dual Axis Air Vise Mechanicals</v>
      </c>
      <c r="S641" t="str">
        <f>"Assembly, Dual Axis Air Vise Mechanicals"</f>
        <v>Assembly, Dual Axis Air Vise Mechanicals</v>
      </c>
      <c r="T641">
        <v>422.16</v>
      </c>
      <c r="U641">
        <v>422</v>
      </c>
      <c r="V641">
        <v>980.27</v>
      </c>
      <c r="W641" t="str">
        <f t="shared" si="177"/>
        <v>rob</v>
      </c>
    </row>
    <row r="642" spans="1:23">
      <c r="A642" t="str">
        <f t="shared" si="179"/>
        <v>ASM-IROB-01</v>
      </c>
      <c r="B642" t="str">
        <f>"10-2523-4000"</f>
        <v>10-2523-4000</v>
      </c>
      <c r="C642" t="str">
        <f>"Solenoid Valve (24V) for Pipe 3 mm"</f>
        <v>Solenoid Valve (24V) for Pipe 3 mm</v>
      </c>
      <c r="D642">
        <v>1</v>
      </c>
      <c r="E642" t="str">
        <f t="shared" si="180"/>
        <v>Assembly Station - for Industrial Robot (Ballgame)</v>
      </c>
      <c r="F642">
        <v>503</v>
      </c>
      <c r="G642" t="str">
        <f t="shared" ref="G642:G705" si="182">"Y"</f>
        <v>Y</v>
      </c>
      <c r="H642" t="str">
        <f t="shared" si="181"/>
        <v>EA</v>
      </c>
      <c r="I642">
        <v>0</v>
      </c>
      <c r="J642">
        <v>0</v>
      </c>
      <c r="K642" t="str">
        <f t="shared" ref="K642:K705" si="183">"Y"</f>
        <v>Y</v>
      </c>
      <c r="L642">
        <v>0</v>
      </c>
      <c r="M642" t="str">
        <f t="shared" ref="M642:M705" si="184">"NIS"</f>
        <v>NIS</v>
      </c>
      <c r="O642">
        <v>7</v>
      </c>
      <c r="P642" t="str">
        <f t="shared" ref="P642:P649" si="185">"Active"</f>
        <v>Active</v>
      </c>
      <c r="Q642" t="str">
        <f>"Solenoid Valve (24V) for Pipe 3 mm"</f>
        <v>Solenoid Valve (24V) for Pipe 3 mm</v>
      </c>
      <c r="S642" t="str">
        <f>"Solenoid Valve (24V) for Pipe 3 mm"</f>
        <v>Solenoid Valve (24V) for Pipe 3 mm</v>
      </c>
      <c r="T642">
        <v>0</v>
      </c>
      <c r="U642">
        <v>137</v>
      </c>
      <c r="V642">
        <v>133.35</v>
      </c>
      <c r="W642" t="str">
        <f t="shared" si="177"/>
        <v>rob</v>
      </c>
    </row>
    <row r="643" spans="1:23">
      <c r="A643" t="str">
        <f t="shared" si="179"/>
        <v>ASM-IROB-01</v>
      </c>
      <c r="B643" t="str">
        <f>"00-1230-0000"</f>
        <v>00-1230-0000</v>
      </c>
      <c r="C643" t="str">
        <f>"Ball Feeder (incl. sensor for ball counting)"</f>
        <v>Ball Feeder (incl. sensor for ball counting)</v>
      </c>
      <c r="D643">
        <v>1</v>
      </c>
      <c r="E643" t="str">
        <f t="shared" si="180"/>
        <v>Assembly Station - for Industrial Robot (Ballgame)</v>
      </c>
      <c r="F643">
        <v>503</v>
      </c>
      <c r="G643" t="str">
        <f t="shared" si="182"/>
        <v>Y</v>
      </c>
      <c r="H643" t="str">
        <f t="shared" si="181"/>
        <v>EA</v>
      </c>
      <c r="I643">
        <v>0</v>
      </c>
      <c r="J643">
        <v>0</v>
      </c>
      <c r="K643" t="str">
        <f t="shared" si="183"/>
        <v>Y</v>
      </c>
      <c r="L643">
        <v>0</v>
      </c>
      <c r="M643" t="str">
        <f t="shared" si="184"/>
        <v>NIS</v>
      </c>
      <c r="O643">
        <v>8</v>
      </c>
      <c r="P643" t="str">
        <f t="shared" si="185"/>
        <v>Active</v>
      </c>
      <c r="Q643" t="str">
        <f>"Ball Feeder (incl. sensor for ball counting)"</f>
        <v>Ball Feeder (incl. sensor for ball counting)</v>
      </c>
      <c r="S643" t="str">
        <f>"Ball Feeder (incl. sensor for ball counting)"</f>
        <v>Ball Feeder (incl. sensor for ball counting)</v>
      </c>
      <c r="T643">
        <v>0</v>
      </c>
      <c r="U643">
        <v>536</v>
      </c>
      <c r="V643">
        <v>530.72</v>
      </c>
      <c r="W643" t="str">
        <f t="shared" si="177"/>
        <v>rob</v>
      </c>
    </row>
    <row r="644" spans="1:23">
      <c r="A644" t="str">
        <f t="shared" si="179"/>
        <v>ASM-IROB-01</v>
      </c>
      <c r="B644" t="str">
        <f>"00-1243-0000"</f>
        <v>00-1243-0000</v>
      </c>
      <c r="C644" t="str">
        <f>"Ball Game Set (Assembly with Plastic Pins)"</f>
        <v>Ball Game Set (Assembly with Plastic Pins)</v>
      </c>
      <c r="D644">
        <v>12</v>
      </c>
      <c r="E644" t="str">
        <f t="shared" si="180"/>
        <v>Assembly Station - for Industrial Robot (Ballgame)</v>
      </c>
      <c r="F644">
        <v>503</v>
      </c>
      <c r="G644" t="str">
        <f t="shared" si="182"/>
        <v>Y</v>
      </c>
      <c r="H644" t="str">
        <f t="shared" si="181"/>
        <v>EA</v>
      </c>
      <c r="I644">
        <v>0</v>
      </c>
      <c r="J644">
        <v>0</v>
      </c>
      <c r="K644" t="str">
        <f t="shared" si="183"/>
        <v>Y</v>
      </c>
      <c r="L644">
        <v>0</v>
      </c>
      <c r="M644" t="str">
        <f t="shared" si="184"/>
        <v>NIS</v>
      </c>
      <c r="O644">
        <v>9</v>
      </c>
      <c r="P644" t="str">
        <f t="shared" si="185"/>
        <v>Active</v>
      </c>
      <c r="Q644" t="str">
        <f>"Ball Game Set (Assembly with Plastic Pins)"</f>
        <v>Ball Game Set (Assembly with Plastic Pins)</v>
      </c>
      <c r="S644" t="str">
        <f>"Ball Game Set (Assembly with Plastic Pins)"</f>
        <v>Ball Game Set (Assembly with Plastic Pins)</v>
      </c>
      <c r="T644">
        <v>0</v>
      </c>
      <c r="U644">
        <v>32</v>
      </c>
      <c r="V644">
        <v>34.770000000000003</v>
      </c>
      <c r="W644" t="str">
        <f t="shared" si="177"/>
        <v>rob</v>
      </c>
    </row>
    <row r="645" spans="1:23">
      <c r="A645" t="str">
        <f t="shared" si="179"/>
        <v>ASM-IROB-01</v>
      </c>
      <c r="B645" t="str">
        <f>"00-1284-0000"</f>
        <v>00-1284-0000</v>
      </c>
      <c r="C645" t="str">
        <f>"Robot Pedestal Welded for ER9/14Pro&amp;MH5"</f>
        <v>Robot Pedestal Welded for ER9/14Pro&amp;MH5</v>
      </c>
      <c r="D645">
        <v>1</v>
      </c>
      <c r="E645" t="str">
        <f t="shared" si="180"/>
        <v>Assembly Station - for Industrial Robot (Ballgame)</v>
      </c>
      <c r="F645">
        <v>503</v>
      </c>
      <c r="G645" t="str">
        <f t="shared" si="182"/>
        <v>Y</v>
      </c>
      <c r="H645" t="str">
        <f t="shared" si="181"/>
        <v>EA</v>
      </c>
      <c r="I645">
        <v>0</v>
      </c>
      <c r="J645">
        <v>0</v>
      </c>
      <c r="K645" t="str">
        <f t="shared" si="183"/>
        <v>Y</v>
      </c>
      <c r="L645">
        <v>0</v>
      </c>
      <c r="M645" t="str">
        <f t="shared" si="184"/>
        <v>NIS</v>
      </c>
      <c r="O645">
        <v>10</v>
      </c>
      <c r="P645" t="str">
        <f t="shared" si="185"/>
        <v>Active</v>
      </c>
      <c r="Q645" t="str">
        <f>"Robot Pedestal Welded for ER9/14Pro&amp;MH5"</f>
        <v>Robot Pedestal Welded for ER9/14Pro&amp;MH5</v>
      </c>
      <c r="S645" t="str">
        <f>"Robot Pedestal Welded for ER9/14Pro&amp;MH5"</f>
        <v>Robot Pedestal Welded for ER9/14Pro&amp;MH5</v>
      </c>
      <c r="T645">
        <v>0</v>
      </c>
      <c r="U645">
        <v>723.91</v>
      </c>
      <c r="V645">
        <v>671.12</v>
      </c>
      <c r="W645" t="str">
        <f t="shared" si="177"/>
        <v>rob</v>
      </c>
    </row>
    <row r="646" spans="1:23">
      <c r="A646" t="str">
        <f t="shared" si="179"/>
        <v>ASM-IROB-01</v>
      </c>
      <c r="B646" t="str">
        <f>"00-1293-0000"</f>
        <v>00-1293-0000</v>
      </c>
      <c r="C646" t="str">
        <f>"Mobile Workbench 1500x1140mm (incl. Wheels)"</f>
        <v>Mobile Workbench 1500x1140mm (incl. Wheels)</v>
      </c>
      <c r="D646">
        <v>1</v>
      </c>
      <c r="E646" t="str">
        <f t="shared" si="180"/>
        <v>Assembly Station - for Industrial Robot (Ballgame)</v>
      </c>
      <c r="F646">
        <v>503</v>
      </c>
      <c r="G646" t="str">
        <f t="shared" si="182"/>
        <v>Y</v>
      </c>
      <c r="H646" t="str">
        <f t="shared" si="181"/>
        <v>EA</v>
      </c>
      <c r="I646">
        <v>0</v>
      </c>
      <c r="J646">
        <v>0</v>
      </c>
      <c r="K646" t="str">
        <f t="shared" si="183"/>
        <v>Y</v>
      </c>
      <c r="L646">
        <v>0</v>
      </c>
      <c r="M646" t="str">
        <f t="shared" si="184"/>
        <v>NIS</v>
      </c>
      <c r="O646">
        <v>11</v>
      </c>
      <c r="P646" t="str">
        <f t="shared" si="185"/>
        <v>Active</v>
      </c>
      <c r="Q646" t="str">
        <f>"Mobile Workbench 1500x1140mm (incl. Wheels)"</f>
        <v>Mobile Workbench 1500x1140mm (incl. Wheels)</v>
      </c>
      <c r="S646" t="str">
        <f>"Mobile Workbench 1500x1140mm (incl. Wheels)"</f>
        <v>Mobile Workbench 1500x1140mm (incl. Wheels)</v>
      </c>
      <c r="T646">
        <v>0</v>
      </c>
      <c r="U646">
        <v>860</v>
      </c>
      <c r="V646">
        <v>809.36</v>
      </c>
      <c r="W646" t="str">
        <f t="shared" si="177"/>
        <v>rob</v>
      </c>
    </row>
    <row r="647" spans="1:23">
      <c r="A647" t="str">
        <f t="shared" si="179"/>
        <v>ASM-IROB-01</v>
      </c>
      <c r="B647" t="str">
        <f>"00-1290-0000"</f>
        <v>00-1290-0000</v>
      </c>
      <c r="C647" t="str">
        <f>"PC Table 630x800mm (with Keyboard Drawer)"</f>
        <v>PC Table 630x800mm (with Keyboard Drawer)</v>
      </c>
      <c r="D647">
        <v>1</v>
      </c>
      <c r="E647" t="str">
        <f t="shared" si="180"/>
        <v>Assembly Station - for Industrial Robot (Ballgame)</v>
      </c>
      <c r="F647">
        <v>503</v>
      </c>
      <c r="G647" t="str">
        <f t="shared" si="182"/>
        <v>Y</v>
      </c>
      <c r="H647" t="str">
        <f t="shared" si="181"/>
        <v>EA</v>
      </c>
      <c r="I647">
        <v>0</v>
      </c>
      <c r="J647">
        <v>0</v>
      </c>
      <c r="K647" t="str">
        <f t="shared" si="183"/>
        <v>Y</v>
      </c>
      <c r="L647">
        <v>0</v>
      </c>
      <c r="M647" t="str">
        <f t="shared" si="184"/>
        <v>NIS</v>
      </c>
      <c r="O647">
        <v>12</v>
      </c>
      <c r="P647" t="str">
        <f t="shared" si="185"/>
        <v>Active</v>
      </c>
      <c r="Q647" t="str">
        <f>"PC Table 630x800mm (with Keyboard Drawer)"</f>
        <v>PC Table 630x800mm (with Keyboard Drawer)</v>
      </c>
      <c r="S647" t="str">
        <f>"PC Table 630x800mm (with Keyboard Drawer)"</f>
        <v>PC Table 630x800mm (with Keyboard Drawer)</v>
      </c>
      <c r="T647">
        <v>0</v>
      </c>
      <c r="U647">
        <v>405.86</v>
      </c>
      <c r="V647">
        <v>329.34</v>
      </c>
      <c r="W647" t="str">
        <f t="shared" si="177"/>
        <v>rob</v>
      </c>
    </row>
    <row r="648" spans="1:23">
      <c r="A648" t="str">
        <f t="shared" si="179"/>
        <v>ASM-IROB-01</v>
      </c>
      <c r="B648" t="str">
        <f>"50-0094-0000"</f>
        <v>50-0094-0000</v>
      </c>
      <c r="C648" t="str">
        <f>"Pre-Engineering, Design and Testing"</f>
        <v>Pre-Engineering, Design and Testing</v>
      </c>
      <c r="D648">
        <v>1</v>
      </c>
      <c r="E648" t="str">
        <f t="shared" si="180"/>
        <v>Assembly Station - for Industrial Robot (Ballgame)</v>
      </c>
      <c r="F648">
        <v>503</v>
      </c>
      <c r="G648" t="str">
        <f t="shared" si="182"/>
        <v>Y</v>
      </c>
      <c r="H648" t="str">
        <f>"DA"</f>
        <v>DA</v>
      </c>
      <c r="I648">
        <v>0</v>
      </c>
      <c r="J648">
        <v>0</v>
      </c>
      <c r="K648" t="str">
        <f t="shared" si="183"/>
        <v>Y</v>
      </c>
      <c r="L648">
        <v>0</v>
      </c>
      <c r="M648" t="str">
        <f t="shared" si="184"/>
        <v>NIS</v>
      </c>
      <c r="O648">
        <v>13</v>
      </c>
      <c r="P648" t="str">
        <f t="shared" si="185"/>
        <v>Active</v>
      </c>
      <c r="Q648" t="str">
        <f>"Pre-Engineering, Design and Testing"</f>
        <v>Pre-Engineering, Design and Testing</v>
      </c>
      <c r="S648" t="str">
        <f>"Pre-Engineering, Design and Testing"</f>
        <v>Pre-Engineering, Design and Testing</v>
      </c>
      <c r="T648">
        <v>0</v>
      </c>
      <c r="U648">
        <v>405</v>
      </c>
      <c r="V648">
        <v>421.2</v>
      </c>
      <c r="W648" t="str">
        <f t="shared" si="177"/>
        <v>rob</v>
      </c>
    </row>
    <row r="649" spans="1:23">
      <c r="A649" t="str">
        <f t="shared" ref="A649:A662" si="186">"ASM-IROB-02"</f>
        <v>ASM-IROB-02</v>
      </c>
      <c r="B649" t="str">
        <f>"10-2119-9000"</f>
        <v>10-2119-9000</v>
      </c>
      <c r="C649" t="str">
        <f>"Interface with industrial robot"</f>
        <v>Interface with industrial robot</v>
      </c>
      <c r="D649">
        <v>1</v>
      </c>
      <c r="E649" t="str">
        <f t="shared" ref="E649:E662" si="187">"Assembly Station - for Industrial Robot (Ballgame and Glue)"</f>
        <v>Assembly Station - for Industrial Robot (Ballgame and Glue)</v>
      </c>
      <c r="F649">
        <v>503</v>
      </c>
      <c r="G649" t="str">
        <f t="shared" si="182"/>
        <v>Y</v>
      </c>
      <c r="H649" t="str">
        <f t="shared" ref="H649:H661" si="188">"EA"</f>
        <v>EA</v>
      </c>
      <c r="I649">
        <v>0</v>
      </c>
      <c r="J649">
        <v>0</v>
      </c>
      <c r="K649" t="str">
        <f t="shared" si="183"/>
        <v>Y</v>
      </c>
      <c r="L649">
        <v>0</v>
      </c>
      <c r="M649" t="str">
        <f t="shared" si="184"/>
        <v>NIS</v>
      </c>
      <c r="O649">
        <v>1</v>
      </c>
      <c r="P649" t="str">
        <f t="shared" si="185"/>
        <v>Active</v>
      </c>
      <c r="Q649" t="str">
        <f>"Interface with industrial robot"</f>
        <v>Interface with industrial robot</v>
      </c>
      <c r="S649" t="str">
        <f>"Interface with industrial robot"</f>
        <v>Interface with industrial robot</v>
      </c>
      <c r="T649">
        <v>0</v>
      </c>
      <c r="U649" s="44">
        <v>2000</v>
      </c>
      <c r="V649" s="44">
        <v>2220</v>
      </c>
      <c r="W649" t="str">
        <f t="shared" si="177"/>
        <v>rob</v>
      </c>
    </row>
    <row r="650" spans="1:23">
      <c r="A650" t="str">
        <f t="shared" si="186"/>
        <v>ASM-IROB-02</v>
      </c>
      <c r="B650" t="str">
        <f>"00-0647-0000"</f>
        <v>00-0647-0000</v>
      </c>
      <c r="C650" t="str">
        <f>"Pneumatic Gripper for 3rd party robots"</f>
        <v>Pneumatic Gripper for 3rd party robots</v>
      </c>
      <c r="D650">
        <v>1</v>
      </c>
      <c r="E650" t="str">
        <f t="shared" si="187"/>
        <v>Assembly Station - for Industrial Robot (Ballgame and Glue)</v>
      </c>
      <c r="F650">
        <v>503</v>
      </c>
      <c r="G650" t="str">
        <f t="shared" si="182"/>
        <v>Y</v>
      </c>
      <c r="H650" t="str">
        <f t="shared" si="188"/>
        <v>EA</v>
      </c>
      <c r="I650">
        <v>0</v>
      </c>
      <c r="J650">
        <v>0</v>
      </c>
      <c r="K650" t="str">
        <f t="shared" si="183"/>
        <v>Y</v>
      </c>
      <c r="L650">
        <v>0</v>
      </c>
      <c r="M650" t="str">
        <f t="shared" si="184"/>
        <v>NIS</v>
      </c>
      <c r="O650">
        <v>2</v>
      </c>
      <c r="P650" t="str">
        <f>"ECO-N2Buy"</f>
        <v>ECO-N2Buy</v>
      </c>
      <c r="Q650" t="str">
        <f>"Pneumatic Gripper for small industrial robots"</f>
        <v>Pneumatic Gripper for small industrial robots</v>
      </c>
      <c r="S650" t="str">
        <f>"Pneumatic Gripper for small industrial robots"</f>
        <v>Pneumatic Gripper for small industrial robots</v>
      </c>
      <c r="T650">
        <v>0</v>
      </c>
      <c r="U650" s="44">
        <v>1000</v>
      </c>
      <c r="V650">
        <v>646.62</v>
      </c>
      <c r="W650" t="str">
        <f t="shared" si="177"/>
        <v>rob</v>
      </c>
    </row>
    <row r="651" spans="1:23">
      <c r="A651" t="str">
        <f t="shared" si="186"/>
        <v>ASM-IROB-02</v>
      </c>
      <c r="B651" t="str">
        <f>"021031"</f>
        <v>021031</v>
      </c>
      <c r="C651" t="str">
        <f>"Buffer for Template"</f>
        <v>Buffer for Template</v>
      </c>
      <c r="D651">
        <v>1</v>
      </c>
      <c r="E651" t="str">
        <f t="shared" si="187"/>
        <v>Assembly Station - for Industrial Robot (Ballgame and Glue)</v>
      </c>
      <c r="F651">
        <v>503</v>
      </c>
      <c r="G651" t="str">
        <f t="shared" si="182"/>
        <v>Y</v>
      </c>
      <c r="H651" t="str">
        <f t="shared" si="188"/>
        <v>EA</v>
      </c>
      <c r="I651">
        <v>0</v>
      </c>
      <c r="J651">
        <v>0</v>
      </c>
      <c r="K651" t="str">
        <f t="shared" si="183"/>
        <v>Y</v>
      </c>
      <c r="L651">
        <v>0</v>
      </c>
      <c r="M651" t="str">
        <f t="shared" si="184"/>
        <v>NIS</v>
      </c>
      <c r="O651">
        <v>3</v>
      </c>
      <c r="P651" t="str">
        <f>"Active"</f>
        <v>Active</v>
      </c>
      <c r="Q651" t="str">
        <f>"מכלול- בסיס לטמפלט CIM"</f>
        <v>מכלול- בסיס לטמפלט CIM</v>
      </c>
      <c r="R651" t="str">
        <f>"1"</f>
        <v>1</v>
      </c>
      <c r="S651" t="str">
        <f>"מכלול- בסיס לטמפלט CIM"</f>
        <v>מכלול- בסיס לטמפלט CIM</v>
      </c>
      <c r="T651">
        <v>0</v>
      </c>
      <c r="U651">
        <v>18.329999999999998</v>
      </c>
      <c r="V651">
        <v>13.48</v>
      </c>
      <c r="W651" t="str">
        <f t="shared" si="177"/>
        <v>rob</v>
      </c>
    </row>
    <row r="652" spans="1:23">
      <c r="A652" t="str">
        <f t="shared" si="186"/>
        <v>ASM-IROB-02</v>
      </c>
      <c r="B652" t="str">
        <f>"00-1110-0000"</f>
        <v>00-1110-0000</v>
      </c>
      <c r="C652" t="str">
        <f>"Palletizing Rack"</f>
        <v>Palletizing Rack</v>
      </c>
      <c r="D652">
        <v>1</v>
      </c>
      <c r="E652" t="str">
        <f t="shared" si="187"/>
        <v>Assembly Station - for Industrial Robot (Ballgame and Glue)</v>
      </c>
      <c r="F652">
        <v>503</v>
      </c>
      <c r="G652" t="str">
        <f t="shared" si="182"/>
        <v>Y</v>
      </c>
      <c r="H652" t="str">
        <f t="shared" si="188"/>
        <v>EA</v>
      </c>
      <c r="I652">
        <v>0</v>
      </c>
      <c r="J652">
        <v>0</v>
      </c>
      <c r="K652" t="str">
        <f t="shared" si="183"/>
        <v>Y</v>
      </c>
      <c r="L652">
        <v>0</v>
      </c>
      <c r="M652" t="str">
        <f t="shared" si="184"/>
        <v>NIS</v>
      </c>
      <c r="O652">
        <v>4</v>
      </c>
      <c r="P652" t="str">
        <f>"Active"</f>
        <v>Active</v>
      </c>
      <c r="Q652" t="str">
        <f>"Palletizing Rack (incl. Pins for creating Jigs)"</f>
        <v>Palletizing Rack (incl. Pins for creating Jigs)</v>
      </c>
      <c r="S652" t="str">
        <f>"Palletizing Rack (incl. Pins for creating Jigs)"</f>
        <v>Palletizing Rack (incl. Pins for creating Jigs)</v>
      </c>
      <c r="T652">
        <v>0</v>
      </c>
      <c r="U652">
        <v>63</v>
      </c>
      <c r="V652">
        <v>58.59</v>
      </c>
      <c r="W652" t="str">
        <f t="shared" si="177"/>
        <v>rob</v>
      </c>
    </row>
    <row r="653" spans="1:23">
      <c r="A653" t="str">
        <f t="shared" si="186"/>
        <v>ASM-IROB-02</v>
      </c>
      <c r="B653" t="str">
        <f>"021177"</f>
        <v>021177</v>
      </c>
      <c r="C653" t="str">
        <f>"30mm Height Adapter -Rack 001110 on formica 19mm"</f>
        <v>30mm Height Adapter -Rack 001110 on formica 19mm</v>
      </c>
      <c r="D653">
        <v>1</v>
      </c>
      <c r="E653" t="str">
        <f t="shared" si="187"/>
        <v>Assembly Station - for Industrial Robot (Ballgame and Glue)</v>
      </c>
      <c r="F653">
        <v>503</v>
      </c>
      <c r="G653" t="str">
        <f t="shared" si="182"/>
        <v>Y</v>
      </c>
      <c r="H653" t="str">
        <f t="shared" si="188"/>
        <v>EA</v>
      </c>
      <c r="I653">
        <v>0</v>
      </c>
      <c r="J653">
        <v>0</v>
      </c>
      <c r="K653" t="str">
        <f t="shared" si="183"/>
        <v>Y</v>
      </c>
      <c r="L653">
        <v>0</v>
      </c>
      <c r="M653" t="str">
        <f t="shared" si="184"/>
        <v>NIS</v>
      </c>
      <c r="O653">
        <v>5</v>
      </c>
      <c r="P653" t="str">
        <f>"Active"</f>
        <v>Active</v>
      </c>
      <c r="Q653" t="str">
        <f>"30mm Height Adapter -Rack 001110 on formica 19mm"</f>
        <v>30mm Height Adapter -Rack 001110 on formica 19mm</v>
      </c>
      <c r="S653" t="str">
        <f>"30mm Height Adapter -Rack 001110 on formica 19mm"</f>
        <v>30mm Height Adapter -Rack 001110 on formica 19mm</v>
      </c>
      <c r="T653">
        <v>0</v>
      </c>
      <c r="U653">
        <v>4.92</v>
      </c>
      <c r="V653">
        <v>8.43</v>
      </c>
      <c r="W653" t="str">
        <f t="shared" si="177"/>
        <v>rob</v>
      </c>
    </row>
    <row r="654" spans="1:23">
      <c r="A654" t="str">
        <f t="shared" si="186"/>
        <v>ASM-IROB-02</v>
      </c>
      <c r="B654" t="str">
        <f>"21-0004-0000"</f>
        <v>21-0004-0000</v>
      </c>
      <c r="C654" t="str">
        <f>"Assembly, Dual Axis Air Vise Mechanicals"</f>
        <v>Assembly, Dual Axis Air Vise Mechanicals</v>
      </c>
      <c r="D654">
        <v>1</v>
      </c>
      <c r="E654" t="str">
        <f t="shared" si="187"/>
        <v>Assembly Station - for Industrial Robot (Ballgame and Glue)</v>
      </c>
      <c r="F654">
        <v>503</v>
      </c>
      <c r="G654" t="str">
        <f t="shared" si="182"/>
        <v>Y</v>
      </c>
      <c r="H654" t="str">
        <f t="shared" si="188"/>
        <v>EA</v>
      </c>
      <c r="I654">
        <v>0</v>
      </c>
      <c r="J654">
        <v>0</v>
      </c>
      <c r="K654" t="str">
        <f t="shared" si="183"/>
        <v>Y</v>
      </c>
      <c r="L654">
        <v>0</v>
      </c>
      <c r="M654" t="str">
        <f t="shared" si="184"/>
        <v>NIS</v>
      </c>
      <c r="O654">
        <v>6</v>
      </c>
      <c r="P654" t="str">
        <f>"Phase Out"</f>
        <v>Phase Out</v>
      </c>
      <c r="Q654" t="str">
        <f>"Assembly, Dual Axis Air Vise Mechanicals"</f>
        <v>Assembly, Dual Axis Air Vise Mechanicals</v>
      </c>
      <c r="S654" t="str">
        <f>"Assembly, Dual Axis Air Vise Mechanicals"</f>
        <v>Assembly, Dual Axis Air Vise Mechanicals</v>
      </c>
      <c r="T654">
        <v>422.16</v>
      </c>
      <c r="U654">
        <v>422</v>
      </c>
      <c r="V654">
        <v>980.27</v>
      </c>
      <c r="W654" t="str">
        <f t="shared" si="177"/>
        <v>rob</v>
      </c>
    </row>
    <row r="655" spans="1:23">
      <c r="A655" t="str">
        <f t="shared" si="186"/>
        <v>ASM-IROB-02</v>
      </c>
      <c r="B655" t="str">
        <f>"10-2523-4000"</f>
        <v>10-2523-4000</v>
      </c>
      <c r="C655" t="str">
        <f>"Solenoid Valve (24V) for Pipe 3 mm"</f>
        <v>Solenoid Valve (24V) for Pipe 3 mm</v>
      </c>
      <c r="D655">
        <v>1</v>
      </c>
      <c r="E655" t="str">
        <f t="shared" si="187"/>
        <v>Assembly Station - for Industrial Robot (Ballgame and Glue)</v>
      </c>
      <c r="F655">
        <v>503</v>
      </c>
      <c r="G655" t="str">
        <f t="shared" si="182"/>
        <v>Y</v>
      </c>
      <c r="H655" t="str">
        <f t="shared" si="188"/>
        <v>EA</v>
      </c>
      <c r="I655">
        <v>0</v>
      </c>
      <c r="J655">
        <v>0</v>
      </c>
      <c r="K655" t="str">
        <f t="shared" si="183"/>
        <v>Y</v>
      </c>
      <c r="L655">
        <v>0</v>
      </c>
      <c r="M655" t="str">
        <f t="shared" si="184"/>
        <v>NIS</v>
      </c>
      <c r="O655">
        <v>7</v>
      </c>
      <c r="P655" t="str">
        <f t="shared" ref="P655:P663" si="189">"Active"</f>
        <v>Active</v>
      </c>
      <c r="Q655" t="str">
        <f>"Solenoid Valve (24V) for Pipe 3 mm"</f>
        <v>Solenoid Valve (24V) for Pipe 3 mm</v>
      </c>
      <c r="S655" t="str">
        <f>"Solenoid Valve (24V) for Pipe 3 mm"</f>
        <v>Solenoid Valve (24V) for Pipe 3 mm</v>
      </c>
      <c r="T655">
        <v>0</v>
      </c>
      <c r="U655">
        <v>137</v>
      </c>
      <c r="V655">
        <v>133.35</v>
      </c>
      <c r="W655" t="str">
        <f t="shared" si="177"/>
        <v>rob</v>
      </c>
    </row>
    <row r="656" spans="1:23">
      <c r="A656" t="str">
        <f t="shared" si="186"/>
        <v>ASM-IROB-02</v>
      </c>
      <c r="B656" t="str">
        <f>"00-1230-0000"</f>
        <v>00-1230-0000</v>
      </c>
      <c r="C656" t="str">
        <f>"Ball Feeder (incl. sensor for ball counting)"</f>
        <v>Ball Feeder (incl. sensor for ball counting)</v>
      </c>
      <c r="D656">
        <v>1</v>
      </c>
      <c r="E656" t="str">
        <f t="shared" si="187"/>
        <v>Assembly Station - for Industrial Robot (Ballgame and Glue)</v>
      </c>
      <c r="F656">
        <v>503</v>
      </c>
      <c r="G656" t="str">
        <f t="shared" si="182"/>
        <v>Y</v>
      </c>
      <c r="H656" t="str">
        <f t="shared" si="188"/>
        <v>EA</v>
      </c>
      <c r="I656">
        <v>0</v>
      </c>
      <c r="J656">
        <v>0</v>
      </c>
      <c r="K656" t="str">
        <f t="shared" si="183"/>
        <v>Y</v>
      </c>
      <c r="L656">
        <v>0</v>
      </c>
      <c r="M656" t="str">
        <f t="shared" si="184"/>
        <v>NIS</v>
      </c>
      <c r="O656">
        <v>8</v>
      </c>
      <c r="P656" t="str">
        <f t="shared" si="189"/>
        <v>Active</v>
      </c>
      <c r="Q656" t="str">
        <f>"Ball Feeder (incl. sensor for ball counting)"</f>
        <v>Ball Feeder (incl. sensor for ball counting)</v>
      </c>
      <c r="S656" t="str">
        <f>"Ball Feeder (incl. sensor for ball counting)"</f>
        <v>Ball Feeder (incl. sensor for ball counting)</v>
      </c>
      <c r="T656">
        <v>0</v>
      </c>
      <c r="U656">
        <v>536</v>
      </c>
      <c r="V656">
        <v>530.72</v>
      </c>
      <c r="W656" t="str">
        <f t="shared" si="177"/>
        <v>rob</v>
      </c>
    </row>
    <row r="657" spans="1:23">
      <c r="A657" t="str">
        <f t="shared" si="186"/>
        <v>ASM-IROB-02</v>
      </c>
      <c r="B657" t="str">
        <f>"00-1243-0000"</f>
        <v>00-1243-0000</v>
      </c>
      <c r="C657" t="str">
        <f>"Ball Game Set (Assembly with Plastic Pins)"</f>
        <v>Ball Game Set (Assembly with Plastic Pins)</v>
      </c>
      <c r="D657">
        <v>12</v>
      </c>
      <c r="E657" t="str">
        <f t="shared" si="187"/>
        <v>Assembly Station - for Industrial Robot (Ballgame and Glue)</v>
      </c>
      <c r="F657">
        <v>503</v>
      </c>
      <c r="G657" t="str">
        <f t="shared" si="182"/>
        <v>Y</v>
      </c>
      <c r="H657" t="str">
        <f t="shared" si="188"/>
        <v>EA</v>
      </c>
      <c r="I657">
        <v>0</v>
      </c>
      <c r="J657">
        <v>0</v>
      </c>
      <c r="K657" t="str">
        <f t="shared" si="183"/>
        <v>Y</v>
      </c>
      <c r="L657">
        <v>0</v>
      </c>
      <c r="M657" t="str">
        <f t="shared" si="184"/>
        <v>NIS</v>
      </c>
      <c r="O657">
        <v>9</v>
      </c>
      <c r="P657" t="str">
        <f t="shared" si="189"/>
        <v>Active</v>
      </c>
      <c r="Q657" t="str">
        <f>"Ball Game Set (Assembly with Plastic Pins)"</f>
        <v>Ball Game Set (Assembly with Plastic Pins)</v>
      </c>
      <c r="S657" t="str">
        <f>"Ball Game Set (Assembly with Plastic Pins)"</f>
        <v>Ball Game Set (Assembly with Plastic Pins)</v>
      </c>
      <c r="T657">
        <v>0</v>
      </c>
      <c r="U657">
        <v>32</v>
      </c>
      <c r="V657">
        <v>34.770000000000003</v>
      </c>
      <c r="W657" t="str">
        <f t="shared" si="177"/>
        <v>rob</v>
      </c>
    </row>
    <row r="658" spans="1:23">
      <c r="A658" t="str">
        <f t="shared" si="186"/>
        <v>ASM-IROB-02</v>
      </c>
      <c r="B658" t="str">
        <f>"00-1236-0000"</f>
        <v>00-1236-0000</v>
      </c>
      <c r="C658" t="str">
        <f>"Automatic Glue Dispenser"</f>
        <v>Automatic Glue Dispenser</v>
      </c>
      <c r="D658">
        <v>1</v>
      </c>
      <c r="E658" t="str">
        <f t="shared" si="187"/>
        <v>Assembly Station - for Industrial Robot (Ballgame and Glue)</v>
      </c>
      <c r="F658">
        <v>503</v>
      </c>
      <c r="G658" t="str">
        <f t="shared" si="182"/>
        <v>Y</v>
      </c>
      <c r="H658" t="str">
        <f t="shared" si="188"/>
        <v>EA</v>
      </c>
      <c r="I658">
        <v>0</v>
      </c>
      <c r="J658">
        <v>0</v>
      </c>
      <c r="K658" t="str">
        <f t="shared" si="183"/>
        <v>Y</v>
      </c>
      <c r="L658">
        <v>0</v>
      </c>
      <c r="M658" t="str">
        <f t="shared" si="184"/>
        <v>NIS</v>
      </c>
      <c r="O658">
        <v>10</v>
      </c>
      <c r="P658" t="str">
        <f t="shared" si="189"/>
        <v>Active</v>
      </c>
      <c r="Q658" t="str">
        <f>"Automatic Glue Dispenser"</f>
        <v>Automatic Glue Dispenser</v>
      </c>
      <c r="S658" t="str">
        <f>"Automatic Glue Dispenser"</f>
        <v>Automatic Glue Dispenser</v>
      </c>
      <c r="T658">
        <v>0</v>
      </c>
      <c r="U658" s="44">
        <v>1100</v>
      </c>
      <c r="V658" s="44">
        <v>1097.3699999999999</v>
      </c>
      <c r="W658" t="str">
        <f t="shared" si="177"/>
        <v>rob</v>
      </c>
    </row>
    <row r="659" spans="1:23">
      <c r="A659" t="str">
        <f t="shared" si="186"/>
        <v>ASM-IROB-02</v>
      </c>
      <c r="B659" t="str">
        <f>"00-1284-0000"</f>
        <v>00-1284-0000</v>
      </c>
      <c r="C659" t="str">
        <f>"Robot Pedestal Welded for ER9/14Pro&amp;MH5"</f>
        <v>Robot Pedestal Welded for ER9/14Pro&amp;MH5</v>
      </c>
      <c r="D659">
        <v>1</v>
      </c>
      <c r="E659" t="str">
        <f t="shared" si="187"/>
        <v>Assembly Station - for Industrial Robot (Ballgame and Glue)</v>
      </c>
      <c r="F659">
        <v>503</v>
      </c>
      <c r="G659" t="str">
        <f t="shared" si="182"/>
        <v>Y</v>
      </c>
      <c r="H659" t="str">
        <f t="shared" si="188"/>
        <v>EA</v>
      </c>
      <c r="I659">
        <v>0</v>
      </c>
      <c r="J659">
        <v>0</v>
      </c>
      <c r="K659" t="str">
        <f t="shared" si="183"/>
        <v>Y</v>
      </c>
      <c r="L659">
        <v>0</v>
      </c>
      <c r="M659" t="str">
        <f t="shared" si="184"/>
        <v>NIS</v>
      </c>
      <c r="O659">
        <v>11</v>
      </c>
      <c r="P659" t="str">
        <f t="shared" si="189"/>
        <v>Active</v>
      </c>
      <c r="Q659" t="str">
        <f>"Robot Pedestal Welded for ER9/14Pro&amp;MH5"</f>
        <v>Robot Pedestal Welded for ER9/14Pro&amp;MH5</v>
      </c>
      <c r="S659" t="str">
        <f>"Robot Pedestal Welded for ER9/14Pro&amp;MH5"</f>
        <v>Robot Pedestal Welded for ER9/14Pro&amp;MH5</v>
      </c>
      <c r="T659">
        <v>0</v>
      </c>
      <c r="U659">
        <v>723.91</v>
      </c>
      <c r="V659">
        <v>671.12</v>
      </c>
      <c r="W659" t="str">
        <f t="shared" si="177"/>
        <v>rob</v>
      </c>
    </row>
    <row r="660" spans="1:23">
      <c r="A660" t="str">
        <f t="shared" si="186"/>
        <v>ASM-IROB-02</v>
      </c>
      <c r="B660" t="str">
        <f>"00-1293-0000"</f>
        <v>00-1293-0000</v>
      </c>
      <c r="C660" t="str">
        <f>"Mobile Workbench 1500x1140mm (incl. Wheels)"</f>
        <v>Mobile Workbench 1500x1140mm (incl. Wheels)</v>
      </c>
      <c r="D660">
        <v>1</v>
      </c>
      <c r="E660" t="str">
        <f t="shared" si="187"/>
        <v>Assembly Station - for Industrial Robot (Ballgame and Glue)</v>
      </c>
      <c r="F660">
        <v>503</v>
      </c>
      <c r="G660" t="str">
        <f t="shared" si="182"/>
        <v>Y</v>
      </c>
      <c r="H660" t="str">
        <f t="shared" si="188"/>
        <v>EA</v>
      </c>
      <c r="I660">
        <v>0</v>
      </c>
      <c r="J660">
        <v>0</v>
      </c>
      <c r="K660" t="str">
        <f t="shared" si="183"/>
        <v>Y</v>
      </c>
      <c r="L660">
        <v>0</v>
      </c>
      <c r="M660" t="str">
        <f t="shared" si="184"/>
        <v>NIS</v>
      </c>
      <c r="O660">
        <v>12</v>
      </c>
      <c r="P660" t="str">
        <f t="shared" si="189"/>
        <v>Active</v>
      </c>
      <c r="Q660" t="str">
        <f>"Mobile Workbench 1500x1140mm (incl. Wheels)"</f>
        <v>Mobile Workbench 1500x1140mm (incl. Wheels)</v>
      </c>
      <c r="S660" t="str">
        <f>"Mobile Workbench 1500x1140mm (incl. Wheels)"</f>
        <v>Mobile Workbench 1500x1140mm (incl. Wheels)</v>
      </c>
      <c r="T660">
        <v>0</v>
      </c>
      <c r="U660">
        <v>860</v>
      </c>
      <c r="V660">
        <v>809.36</v>
      </c>
      <c r="W660" t="str">
        <f t="shared" si="177"/>
        <v>rob</v>
      </c>
    </row>
    <row r="661" spans="1:23">
      <c r="A661" t="str">
        <f t="shared" si="186"/>
        <v>ASM-IROB-02</v>
      </c>
      <c r="B661" t="str">
        <f>"00-1290-0000"</f>
        <v>00-1290-0000</v>
      </c>
      <c r="C661" t="str">
        <f>"PC Table 630x800mm (with Keyboard Drawer)"</f>
        <v>PC Table 630x800mm (with Keyboard Drawer)</v>
      </c>
      <c r="D661">
        <v>1</v>
      </c>
      <c r="E661" t="str">
        <f t="shared" si="187"/>
        <v>Assembly Station - for Industrial Robot (Ballgame and Glue)</v>
      </c>
      <c r="F661">
        <v>503</v>
      </c>
      <c r="G661" t="str">
        <f t="shared" si="182"/>
        <v>Y</v>
      </c>
      <c r="H661" t="str">
        <f t="shared" si="188"/>
        <v>EA</v>
      </c>
      <c r="I661">
        <v>0</v>
      </c>
      <c r="J661">
        <v>0</v>
      </c>
      <c r="K661" t="str">
        <f t="shared" si="183"/>
        <v>Y</v>
      </c>
      <c r="L661">
        <v>0</v>
      </c>
      <c r="M661" t="str">
        <f t="shared" si="184"/>
        <v>NIS</v>
      </c>
      <c r="O661">
        <v>13</v>
      </c>
      <c r="P661" t="str">
        <f t="shared" si="189"/>
        <v>Active</v>
      </c>
      <c r="Q661" t="str">
        <f>"PC Table 630x800mm (with Keyboard Drawer)"</f>
        <v>PC Table 630x800mm (with Keyboard Drawer)</v>
      </c>
      <c r="S661" t="str">
        <f>"PC Table 630x800mm (with Keyboard Drawer)"</f>
        <v>PC Table 630x800mm (with Keyboard Drawer)</v>
      </c>
      <c r="T661">
        <v>0</v>
      </c>
      <c r="U661">
        <v>405.86</v>
      </c>
      <c r="V661">
        <v>329.34</v>
      </c>
      <c r="W661" t="str">
        <f t="shared" si="177"/>
        <v>rob</v>
      </c>
    </row>
    <row r="662" spans="1:23">
      <c r="A662" t="str">
        <f t="shared" si="186"/>
        <v>ASM-IROB-02</v>
      </c>
      <c r="B662" t="str">
        <f>"50-0094-0000"</f>
        <v>50-0094-0000</v>
      </c>
      <c r="C662" t="str">
        <f>"Pre-Engineering, Design and Testing"</f>
        <v>Pre-Engineering, Design and Testing</v>
      </c>
      <c r="D662">
        <v>1</v>
      </c>
      <c r="E662" t="str">
        <f t="shared" si="187"/>
        <v>Assembly Station - for Industrial Robot (Ballgame and Glue)</v>
      </c>
      <c r="F662">
        <v>503</v>
      </c>
      <c r="G662" t="str">
        <f t="shared" si="182"/>
        <v>Y</v>
      </c>
      <c r="H662" t="str">
        <f>"DA"</f>
        <v>DA</v>
      </c>
      <c r="I662">
        <v>0</v>
      </c>
      <c r="J662">
        <v>0</v>
      </c>
      <c r="K662" t="str">
        <f t="shared" si="183"/>
        <v>Y</v>
      </c>
      <c r="L662">
        <v>0</v>
      </c>
      <c r="M662" t="str">
        <f t="shared" si="184"/>
        <v>NIS</v>
      </c>
      <c r="O662">
        <v>14</v>
      </c>
      <c r="P662" t="str">
        <f t="shared" si="189"/>
        <v>Active</v>
      </c>
      <c r="Q662" t="str">
        <f>"Pre-Engineering, Design and Testing"</f>
        <v>Pre-Engineering, Design and Testing</v>
      </c>
      <c r="S662" t="str">
        <f>"Pre-Engineering, Design and Testing"</f>
        <v>Pre-Engineering, Design and Testing</v>
      </c>
      <c r="T662">
        <v>0</v>
      </c>
      <c r="U662">
        <v>405</v>
      </c>
      <c r="V662">
        <v>421.2</v>
      </c>
      <c r="W662" t="str">
        <f t="shared" si="177"/>
        <v>rob</v>
      </c>
    </row>
    <row r="663" spans="1:23">
      <c r="A663" t="str">
        <f t="shared" ref="A663:A675" si="190">"ASM-KUKA-01"</f>
        <v>ASM-KUKA-01</v>
      </c>
      <c r="B663" t="str">
        <f>"10-2119-9000"</f>
        <v>10-2119-9000</v>
      </c>
      <c r="C663" t="str">
        <f>"Interface with industrial robot"</f>
        <v>Interface with industrial robot</v>
      </c>
      <c r="D663">
        <v>1</v>
      </c>
      <c r="E663" t="str">
        <f t="shared" ref="E663:E675" si="191">"Assembly FOR KUKA KR5 SCARA (Ballgame)"</f>
        <v>Assembly FOR KUKA KR5 SCARA (Ballgame)</v>
      </c>
      <c r="F663">
        <v>503</v>
      </c>
      <c r="G663" t="str">
        <f t="shared" si="182"/>
        <v>Y</v>
      </c>
      <c r="H663" t="str">
        <f t="shared" ref="H663:H674" si="192">"EA"</f>
        <v>EA</v>
      </c>
      <c r="I663">
        <v>0</v>
      </c>
      <c r="J663">
        <v>0</v>
      </c>
      <c r="K663" t="str">
        <f t="shared" si="183"/>
        <v>Y</v>
      </c>
      <c r="L663">
        <v>0</v>
      </c>
      <c r="M663" t="str">
        <f t="shared" si="184"/>
        <v>NIS</v>
      </c>
      <c r="O663">
        <v>1</v>
      </c>
      <c r="P663" t="str">
        <f t="shared" si="189"/>
        <v>Active</v>
      </c>
      <c r="Q663" t="str">
        <f>"Interface with industrial robot"</f>
        <v>Interface with industrial robot</v>
      </c>
      <c r="S663" t="str">
        <f>"Interface with industrial robot"</f>
        <v>Interface with industrial robot</v>
      </c>
      <c r="T663">
        <v>0</v>
      </c>
      <c r="U663" s="44">
        <v>2000</v>
      </c>
      <c r="V663" s="44">
        <v>2220</v>
      </c>
      <c r="W663" t="str">
        <f t="shared" si="177"/>
        <v>rob</v>
      </c>
    </row>
    <row r="664" spans="1:23">
      <c r="A664" t="str">
        <f t="shared" si="190"/>
        <v>ASM-KUKA-01</v>
      </c>
      <c r="B664" t="str">
        <f>"00-0647-0000"</f>
        <v>00-0647-0000</v>
      </c>
      <c r="C664" t="str">
        <f>"Pneumatic Gripper for 3rd party robots"</f>
        <v>Pneumatic Gripper for 3rd party robots</v>
      </c>
      <c r="D664">
        <v>1</v>
      </c>
      <c r="E664" t="str">
        <f t="shared" si="191"/>
        <v>Assembly FOR KUKA KR5 SCARA (Ballgame)</v>
      </c>
      <c r="F664">
        <v>503</v>
      </c>
      <c r="G664" t="str">
        <f t="shared" si="182"/>
        <v>Y</v>
      </c>
      <c r="H664" t="str">
        <f t="shared" si="192"/>
        <v>EA</v>
      </c>
      <c r="I664">
        <v>0</v>
      </c>
      <c r="J664">
        <v>0</v>
      </c>
      <c r="K664" t="str">
        <f t="shared" si="183"/>
        <v>Y</v>
      </c>
      <c r="L664">
        <v>0</v>
      </c>
      <c r="M664" t="str">
        <f t="shared" si="184"/>
        <v>NIS</v>
      </c>
      <c r="O664">
        <v>2</v>
      </c>
      <c r="P664" t="str">
        <f>"ECO-N2Buy"</f>
        <v>ECO-N2Buy</v>
      </c>
      <c r="Q664" t="str">
        <f>"Pneum.Gripper for small industrial Robots"</f>
        <v>Pneum.Gripper for small industrial Robots</v>
      </c>
      <c r="S664" t="str">
        <f>"Pneumatic Gripper for small industrial robots"</f>
        <v>Pneumatic Gripper for small industrial robots</v>
      </c>
      <c r="T664">
        <v>0</v>
      </c>
      <c r="U664" s="44">
        <v>1000</v>
      </c>
      <c r="V664">
        <v>646.62</v>
      </c>
      <c r="W664" t="str">
        <f t="shared" si="177"/>
        <v>rob</v>
      </c>
    </row>
    <row r="665" spans="1:23">
      <c r="A665" t="str">
        <f t="shared" si="190"/>
        <v>ASM-KUKA-01</v>
      </c>
      <c r="B665" t="str">
        <f>"021031"</f>
        <v>021031</v>
      </c>
      <c r="C665" t="str">
        <f>"Buffer for Template"</f>
        <v>Buffer for Template</v>
      </c>
      <c r="D665">
        <v>4</v>
      </c>
      <c r="E665" t="str">
        <f t="shared" si="191"/>
        <v>Assembly FOR KUKA KR5 SCARA (Ballgame)</v>
      </c>
      <c r="F665">
        <v>503</v>
      </c>
      <c r="G665" t="str">
        <f t="shared" si="182"/>
        <v>Y</v>
      </c>
      <c r="H665" t="str">
        <f t="shared" si="192"/>
        <v>EA</v>
      </c>
      <c r="I665">
        <v>0</v>
      </c>
      <c r="J665">
        <v>0</v>
      </c>
      <c r="K665" t="str">
        <f t="shared" si="183"/>
        <v>Y</v>
      </c>
      <c r="L665">
        <v>0</v>
      </c>
      <c r="M665" t="str">
        <f t="shared" si="184"/>
        <v>NIS</v>
      </c>
      <c r="O665">
        <v>3</v>
      </c>
      <c r="P665" t="str">
        <f>"Active"</f>
        <v>Active</v>
      </c>
      <c r="Q665" t="str">
        <f>"מכלול- בסיס לטמפלט CIM"</f>
        <v>מכלול- בסיס לטמפלט CIM</v>
      </c>
      <c r="R665" t="str">
        <f>"1"</f>
        <v>1</v>
      </c>
      <c r="S665" t="str">
        <f>"מכלול- בסיס לטמפלט CIM"</f>
        <v>מכלול- בסיס לטמפלט CIM</v>
      </c>
      <c r="T665">
        <v>0</v>
      </c>
      <c r="U665">
        <v>18.329999999999998</v>
      </c>
      <c r="V665">
        <v>13.48</v>
      </c>
      <c r="W665" t="str">
        <f t="shared" si="177"/>
        <v>rob</v>
      </c>
    </row>
    <row r="666" spans="1:23">
      <c r="A666" t="str">
        <f t="shared" si="190"/>
        <v>ASM-KUKA-01</v>
      </c>
      <c r="B666" t="str">
        <f>"00-1110-0000"</f>
        <v>00-1110-0000</v>
      </c>
      <c r="C666" t="str">
        <f>"Palletizing Rack"</f>
        <v>Palletizing Rack</v>
      </c>
      <c r="D666">
        <v>2</v>
      </c>
      <c r="E666" t="str">
        <f t="shared" si="191"/>
        <v>Assembly FOR KUKA KR5 SCARA (Ballgame)</v>
      </c>
      <c r="F666">
        <v>503</v>
      </c>
      <c r="G666" t="str">
        <f t="shared" si="182"/>
        <v>Y</v>
      </c>
      <c r="H666" t="str">
        <f t="shared" si="192"/>
        <v>EA</v>
      </c>
      <c r="I666">
        <v>0</v>
      </c>
      <c r="J666">
        <v>0</v>
      </c>
      <c r="K666" t="str">
        <f t="shared" si="183"/>
        <v>Y</v>
      </c>
      <c r="L666">
        <v>0</v>
      </c>
      <c r="M666" t="str">
        <f t="shared" si="184"/>
        <v>NIS</v>
      </c>
      <c r="O666">
        <v>4</v>
      </c>
      <c r="P666" t="str">
        <f>"Active"</f>
        <v>Active</v>
      </c>
      <c r="Q666" t="str">
        <f>"Palletizing Rack (incl. Pins for creating Jigs)"</f>
        <v>Palletizing Rack (incl. Pins for creating Jigs)</v>
      </c>
      <c r="S666" t="str">
        <f>"Palletizing Rack (incl. Pins for creating Jigs)"</f>
        <v>Palletizing Rack (incl. Pins for creating Jigs)</v>
      </c>
      <c r="T666">
        <v>0</v>
      </c>
      <c r="U666">
        <v>63</v>
      </c>
      <c r="V666">
        <v>58.59</v>
      </c>
      <c r="W666" t="str">
        <f t="shared" si="177"/>
        <v>rob</v>
      </c>
    </row>
    <row r="667" spans="1:23">
      <c r="A667" t="str">
        <f t="shared" si="190"/>
        <v>ASM-KUKA-01</v>
      </c>
      <c r="B667" t="str">
        <f>"021177"</f>
        <v>021177</v>
      </c>
      <c r="C667" t="str">
        <f>"30mm Height Adapter -Rack 001110 on formica 19mm"</f>
        <v>30mm Height Adapter -Rack 001110 on formica 19mm</v>
      </c>
      <c r="D667">
        <v>2</v>
      </c>
      <c r="E667" t="str">
        <f t="shared" si="191"/>
        <v>Assembly FOR KUKA KR5 SCARA (Ballgame)</v>
      </c>
      <c r="F667">
        <v>503</v>
      </c>
      <c r="G667" t="str">
        <f t="shared" si="182"/>
        <v>Y</v>
      </c>
      <c r="H667" t="str">
        <f t="shared" si="192"/>
        <v>EA</v>
      </c>
      <c r="I667">
        <v>0</v>
      </c>
      <c r="J667">
        <v>0</v>
      </c>
      <c r="K667" t="str">
        <f t="shared" si="183"/>
        <v>Y</v>
      </c>
      <c r="L667">
        <v>0</v>
      </c>
      <c r="M667" t="str">
        <f t="shared" si="184"/>
        <v>NIS</v>
      </c>
      <c r="O667">
        <v>5</v>
      </c>
      <c r="P667" t="str">
        <f>"Active"</f>
        <v>Active</v>
      </c>
      <c r="Q667" t="str">
        <f>"30mm Height Adapter -Rack 001110 on formica 19mm"</f>
        <v>30mm Height Adapter -Rack 001110 on formica 19mm</v>
      </c>
      <c r="S667" t="str">
        <f>"30mm Height Adapter -Rack 001110 on formica 19mm"</f>
        <v>30mm Height Adapter -Rack 001110 on formica 19mm</v>
      </c>
      <c r="T667">
        <v>0</v>
      </c>
      <c r="U667">
        <v>4.92</v>
      </c>
      <c r="V667">
        <v>8.43</v>
      </c>
      <c r="W667" t="str">
        <f t="shared" si="177"/>
        <v>rob</v>
      </c>
    </row>
    <row r="668" spans="1:23">
      <c r="A668" t="str">
        <f t="shared" si="190"/>
        <v>ASM-KUKA-01</v>
      </c>
      <c r="B668" t="str">
        <f>"21-0004-0000"</f>
        <v>21-0004-0000</v>
      </c>
      <c r="C668" t="str">
        <f>"Assembly, Dual Axis Air Vise Mechanicals"</f>
        <v>Assembly, Dual Axis Air Vise Mechanicals</v>
      </c>
      <c r="D668">
        <v>1</v>
      </c>
      <c r="E668" t="str">
        <f t="shared" si="191"/>
        <v>Assembly FOR KUKA KR5 SCARA (Ballgame)</v>
      </c>
      <c r="F668">
        <v>503</v>
      </c>
      <c r="G668" t="str">
        <f t="shared" si="182"/>
        <v>Y</v>
      </c>
      <c r="H668" t="str">
        <f t="shared" si="192"/>
        <v>EA</v>
      </c>
      <c r="I668">
        <v>0</v>
      </c>
      <c r="J668">
        <v>0</v>
      </c>
      <c r="K668" t="str">
        <f t="shared" si="183"/>
        <v>Y</v>
      </c>
      <c r="L668">
        <v>0</v>
      </c>
      <c r="M668" t="str">
        <f t="shared" si="184"/>
        <v>NIS</v>
      </c>
      <c r="O668">
        <v>6</v>
      </c>
      <c r="P668" t="str">
        <f>"Phase Out"</f>
        <v>Phase Out</v>
      </c>
      <c r="Q668" t="str">
        <f>"Pneumatic Dual-Axis Vise"</f>
        <v>Pneumatic Dual-Axis Vise</v>
      </c>
      <c r="S668" t="str">
        <f>"Assembly, Dual Axis Air Vise Mechanicals"</f>
        <v>Assembly, Dual Axis Air Vise Mechanicals</v>
      </c>
      <c r="T668">
        <v>422.16</v>
      </c>
      <c r="U668">
        <v>422</v>
      </c>
      <c r="V668">
        <v>980.27</v>
      </c>
      <c r="W668" t="str">
        <f t="shared" si="177"/>
        <v>rob</v>
      </c>
    </row>
    <row r="669" spans="1:23">
      <c r="A669" t="str">
        <f t="shared" si="190"/>
        <v>ASM-KUKA-01</v>
      </c>
      <c r="B669" t="str">
        <f>"10-2523-4000"</f>
        <v>10-2523-4000</v>
      </c>
      <c r="C669" t="str">
        <f>"Solenoid Valve (24V) for Pipe 3 mm"</f>
        <v>Solenoid Valve (24V) for Pipe 3 mm</v>
      </c>
      <c r="D669">
        <v>1</v>
      </c>
      <c r="E669" t="str">
        <f t="shared" si="191"/>
        <v>Assembly FOR KUKA KR5 SCARA (Ballgame)</v>
      </c>
      <c r="F669">
        <v>503</v>
      </c>
      <c r="G669" t="str">
        <f t="shared" si="182"/>
        <v>Y</v>
      </c>
      <c r="H669" t="str">
        <f t="shared" si="192"/>
        <v>EA</v>
      </c>
      <c r="I669">
        <v>0</v>
      </c>
      <c r="J669">
        <v>0</v>
      </c>
      <c r="K669" t="str">
        <f t="shared" si="183"/>
        <v>Y</v>
      </c>
      <c r="L669">
        <v>0</v>
      </c>
      <c r="M669" t="str">
        <f t="shared" si="184"/>
        <v>NIS</v>
      </c>
      <c r="O669">
        <v>7</v>
      </c>
      <c r="P669" t="str">
        <f t="shared" ref="P669:P678" si="193">"Active"</f>
        <v>Active</v>
      </c>
      <c r="Q669" t="str">
        <f>"Solenoid Valve (24V) for Dual Axis Vise 025207"</f>
        <v>Solenoid Valve (24V) for Dual Axis Vise 025207</v>
      </c>
      <c r="S669" t="str">
        <f>"Solenoid Valve (24V) for Pipe 3 mm"</f>
        <v>Solenoid Valve (24V) for Pipe 3 mm</v>
      </c>
      <c r="T669">
        <v>0</v>
      </c>
      <c r="U669">
        <v>137</v>
      </c>
      <c r="V669">
        <v>133.35</v>
      </c>
      <c r="W669" t="str">
        <f t="shared" si="177"/>
        <v>rob</v>
      </c>
    </row>
    <row r="670" spans="1:23">
      <c r="A670" t="str">
        <f t="shared" si="190"/>
        <v>ASM-KUKA-01</v>
      </c>
      <c r="B670" t="str">
        <f>"00-1230-0000"</f>
        <v>00-1230-0000</v>
      </c>
      <c r="C670" t="str">
        <f>"Ball Feeder (incl. sensor for ball counting)"</f>
        <v>Ball Feeder (incl. sensor for ball counting)</v>
      </c>
      <c r="D670">
        <v>1</v>
      </c>
      <c r="E670" t="str">
        <f t="shared" si="191"/>
        <v>Assembly FOR KUKA KR5 SCARA (Ballgame)</v>
      </c>
      <c r="F670">
        <v>503</v>
      </c>
      <c r="G670" t="str">
        <f t="shared" si="182"/>
        <v>Y</v>
      </c>
      <c r="H670" t="str">
        <f t="shared" si="192"/>
        <v>EA</v>
      </c>
      <c r="I670">
        <v>0</v>
      </c>
      <c r="J670">
        <v>0</v>
      </c>
      <c r="K670" t="str">
        <f t="shared" si="183"/>
        <v>Y</v>
      </c>
      <c r="L670">
        <v>0</v>
      </c>
      <c r="M670" t="str">
        <f t="shared" si="184"/>
        <v>NIS</v>
      </c>
      <c r="O670">
        <v>8</v>
      </c>
      <c r="P670" t="str">
        <f t="shared" si="193"/>
        <v>Active</v>
      </c>
      <c r="Q670" t="str">
        <f>"Ball Feeder (incl. sensor for ball counting)"</f>
        <v>Ball Feeder (incl. sensor for ball counting)</v>
      </c>
      <c r="S670" t="str">
        <f>"Ball Feeder (incl. sensor for ball counting)"</f>
        <v>Ball Feeder (incl. sensor for ball counting)</v>
      </c>
      <c r="T670">
        <v>0</v>
      </c>
      <c r="U670">
        <v>536</v>
      </c>
      <c r="V670">
        <v>530.72</v>
      </c>
      <c r="W670" t="str">
        <f t="shared" si="177"/>
        <v>rob</v>
      </c>
    </row>
    <row r="671" spans="1:23">
      <c r="A671" t="str">
        <f t="shared" si="190"/>
        <v>ASM-KUKA-01</v>
      </c>
      <c r="B671" t="str">
        <f>"00-1243-0000"</f>
        <v>00-1243-0000</v>
      </c>
      <c r="C671" t="str">
        <f>"Ball Game Set (Assembly with Plastic Pins)"</f>
        <v>Ball Game Set (Assembly with Plastic Pins)</v>
      </c>
      <c r="D671">
        <v>12</v>
      </c>
      <c r="E671" t="str">
        <f t="shared" si="191"/>
        <v>Assembly FOR KUKA KR5 SCARA (Ballgame)</v>
      </c>
      <c r="F671">
        <v>503</v>
      </c>
      <c r="G671" t="str">
        <f t="shared" si="182"/>
        <v>Y</v>
      </c>
      <c r="H671" t="str">
        <f t="shared" si="192"/>
        <v>EA</v>
      </c>
      <c r="I671">
        <v>0</v>
      </c>
      <c r="J671">
        <v>0</v>
      </c>
      <c r="K671" t="str">
        <f t="shared" si="183"/>
        <v>Y</v>
      </c>
      <c r="L671">
        <v>0</v>
      </c>
      <c r="M671" t="str">
        <f t="shared" si="184"/>
        <v>NIS</v>
      </c>
      <c r="O671">
        <v>9</v>
      </c>
      <c r="P671" t="str">
        <f t="shared" si="193"/>
        <v>Active</v>
      </c>
      <c r="Q671" t="str">
        <f>"Ball Game Set (Assembly with Plastic Pins)"</f>
        <v>Ball Game Set (Assembly with Plastic Pins)</v>
      </c>
      <c r="S671" t="str">
        <f>"Ball Game Set (Assembly with Plastic Pins)"</f>
        <v>Ball Game Set (Assembly with Plastic Pins)</v>
      </c>
      <c r="T671">
        <v>0</v>
      </c>
      <c r="U671">
        <v>32</v>
      </c>
      <c r="V671">
        <v>34.770000000000003</v>
      </c>
      <c r="W671" t="str">
        <f t="shared" si="177"/>
        <v>rob</v>
      </c>
    </row>
    <row r="672" spans="1:23">
      <c r="A672" t="str">
        <f t="shared" si="190"/>
        <v>ASM-KUKA-01</v>
      </c>
      <c r="B672" t="str">
        <f>"00-1284-0000"</f>
        <v>00-1284-0000</v>
      </c>
      <c r="C672" t="str">
        <f>"Robot Pedestal Welded for ER9/14Pro&amp;MH5"</f>
        <v>Robot Pedestal Welded for ER9/14Pro&amp;MH5</v>
      </c>
      <c r="D672">
        <v>1</v>
      </c>
      <c r="E672" t="str">
        <f t="shared" si="191"/>
        <v>Assembly FOR KUKA KR5 SCARA (Ballgame)</v>
      </c>
      <c r="F672">
        <v>503</v>
      </c>
      <c r="G672" t="str">
        <f t="shared" si="182"/>
        <v>Y</v>
      </c>
      <c r="H672" t="str">
        <f t="shared" si="192"/>
        <v>EA</v>
      </c>
      <c r="I672">
        <v>0</v>
      </c>
      <c r="J672">
        <v>0</v>
      </c>
      <c r="K672" t="str">
        <f t="shared" si="183"/>
        <v>Y</v>
      </c>
      <c r="L672">
        <v>0</v>
      </c>
      <c r="M672" t="str">
        <f t="shared" si="184"/>
        <v>NIS</v>
      </c>
      <c r="O672">
        <v>10</v>
      </c>
      <c r="P672" t="str">
        <f t="shared" si="193"/>
        <v>Active</v>
      </c>
      <c r="Q672" t="str">
        <f>"Heavy Duty Stand for ER9/14Pro&amp;HP3"</f>
        <v>Heavy Duty Stand for ER9/14Pro&amp;HP3</v>
      </c>
      <c r="S672" t="str">
        <f>"Robot Pedestal Welded for ER9/14Pro&amp;MH5"</f>
        <v>Robot Pedestal Welded for ER9/14Pro&amp;MH5</v>
      </c>
      <c r="T672">
        <v>0</v>
      </c>
      <c r="U672">
        <v>723.91</v>
      </c>
      <c r="V672">
        <v>671.12</v>
      </c>
      <c r="W672" t="str">
        <f t="shared" si="177"/>
        <v>rob</v>
      </c>
    </row>
    <row r="673" spans="1:23">
      <c r="A673" t="str">
        <f t="shared" si="190"/>
        <v>ASM-KUKA-01</v>
      </c>
      <c r="B673" t="str">
        <f>"00-1293-0000"</f>
        <v>00-1293-0000</v>
      </c>
      <c r="C673" t="str">
        <f>"Mobile Workbench 1500x1140mm (incl. Wheels)"</f>
        <v>Mobile Workbench 1500x1140mm (incl. Wheels)</v>
      </c>
      <c r="D673">
        <v>1</v>
      </c>
      <c r="E673" t="str">
        <f t="shared" si="191"/>
        <v>Assembly FOR KUKA KR5 SCARA (Ballgame)</v>
      </c>
      <c r="F673">
        <v>503</v>
      </c>
      <c r="G673" t="str">
        <f t="shared" si="182"/>
        <v>Y</v>
      </c>
      <c r="H673" t="str">
        <f t="shared" si="192"/>
        <v>EA</v>
      </c>
      <c r="I673">
        <v>0</v>
      </c>
      <c r="J673">
        <v>0</v>
      </c>
      <c r="K673" t="str">
        <f t="shared" si="183"/>
        <v>Y</v>
      </c>
      <c r="L673">
        <v>0</v>
      </c>
      <c r="M673" t="str">
        <f t="shared" si="184"/>
        <v>NIS</v>
      </c>
      <c r="O673">
        <v>11</v>
      </c>
      <c r="P673" t="str">
        <f t="shared" si="193"/>
        <v>Active</v>
      </c>
      <c r="Q673" t="str">
        <f>"Mobile Workbench 1500x1140mm (incl. Wheels)"</f>
        <v>Mobile Workbench 1500x1140mm (incl. Wheels)</v>
      </c>
      <c r="S673" t="str">
        <f>"Mobile Workbench 1500x1140mm (incl. Wheels)"</f>
        <v>Mobile Workbench 1500x1140mm (incl. Wheels)</v>
      </c>
      <c r="T673">
        <v>0</v>
      </c>
      <c r="U673">
        <v>860</v>
      </c>
      <c r="V673">
        <v>809.36</v>
      </c>
      <c r="W673" t="str">
        <f t="shared" si="177"/>
        <v>rob</v>
      </c>
    </row>
    <row r="674" spans="1:23">
      <c r="A674" t="str">
        <f t="shared" si="190"/>
        <v>ASM-KUKA-01</v>
      </c>
      <c r="B674" t="str">
        <f>"00-1290-0000"</f>
        <v>00-1290-0000</v>
      </c>
      <c r="C674" t="str">
        <f>"PC Table 630x800mm (with Keyboard Drawer)"</f>
        <v>PC Table 630x800mm (with Keyboard Drawer)</v>
      </c>
      <c r="D674">
        <v>1</v>
      </c>
      <c r="E674" t="str">
        <f t="shared" si="191"/>
        <v>Assembly FOR KUKA KR5 SCARA (Ballgame)</v>
      </c>
      <c r="F674">
        <v>503</v>
      </c>
      <c r="G674" t="str">
        <f t="shared" si="182"/>
        <v>Y</v>
      </c>
      <c r="H674" t="str">
        <f t="shared" si="192"/>
        <v>EA</v>
      </c>
      <c r="I674">
        <v>0</v>
      </c>
      <c r="J674">
        <v>0</v>
      </c>
      <c r="K674" t="str">
        <f t="shared" si="183"/>
        <v>Y</v>
      </c>
      <c r="L674">
        <v>0</v>
      </c>
      <c r="M674" t="str">
        <f t="shared" si="184"/>
        <v>NIS</v>
      </c>
      <c r="O674">
        <v>12</v>
      </c>
      <c r="P674" t="str">
        <f t="shared" si="193"/>
        <v>Active</v>
      </c>
      <c r="Q674" t="str">
        <f>"PC Table 630x800mm (with Keyboard Drawer)"</f>
        <v>PC Table 630x800mm (with Keyboard Drawer)</v>
      </c>
      <c r="S674" t="str">
        <f>"PC Table 630x800mm (with Keyboard Drawer)"</f>
        <v>PC Table 630x800mm (with Keyboard Drawer)</v>
      </c>
      <c r="T674">
        <v>0</v>
      </c>
      <c r="U674">
        <v>405.86</v>
      </c>
      <c r="V674">
        <v>329.34</v>
      </c>
      <c r="W674" t="str">
        <f t="shared" si="177"/>
        <v>rob</v>
      </c>
    </row>
    <row r="675" spans="1:23">
      <c r="A675" t="str">
        <f t="shared" si="190"/>
        <v>ASM-KUKA-01</v>
      </c>
      <c r="B675" t="str">
        <f>"50-0094-0000"</f>
        <v>50-0094-0000</v>
      </c>
      <c r="C675" t="str">
        <f>"Pre-Engineering, Design and Testing"</f>
        <v>Pre-Engineering, Design and Testing</v>
      </c>
      <c r="D675">
        <v>1</v>
      </c>
      <c r="E675" t="str">
        <f t="shared" si="191"/>
        <v>Assembly FOR KUKA KR5 SCARA (Ballgame)</v>
      </c>
      <c r="F675">
        <v>503</v>
      </c>
      <c r="G675" t="str">
        <f t="shared" si="182"/>
        <v>Y</v>
      </c>
      <c r="H675" t="str">
        <f>"DA"</f>
        <v>DA</v>
      </c>
      <c r="I675">
        <v>0</v>
      </c>
      <c r="J675">
        <v>0</v>
      </c>
      <c r="K675" t="str">
        <f t="shared" si="183"/>
        <v>Y</v>
      </c>
      <c r="L675">
        <v>0</v>
      </c>
      <c r="M675" t="str">
        <f t="shared" si="184"/>
        <v>NIS</v>
      </c>
      <c r="O675">
        <v>13</v>
      </c>
      <c r="P675" t="str">
        <f t="shared" si="193"/>
        <v>Active</v>
      </c>
      <c r="Q675" t="str">
        <f>"Pre-Engineering, Design and Testing"</f>
        <v>Pre-Engineering, Design and Testing</v>
      </c>
      <c r="S675" t="str">
        <f>"Pre-Engineering, Design and Testing"</f>
        <v>Pre-Engineering, Design and Testing</v>
      </c>
      <c r="T675">
        <v>0</v>
      </c>
      <c r="U675">
        <v>405</v>
      </c>
      <c r="V675">
        <v>421.2</v>
      </c>
      <c r="W675" t="str">
        <f t="shared" si="177"/>
        <v>rob</v>
      </c>
    </row>
    <row r="676" spans="1:23">
      <c r="A676" t="str">
        <f t="shared" ref="A676:A685" si="194">"ASM-MANUAL-01"</f>
        <v>ASM-MANUAL-01</v>
      </c>
      <c r="B676" t="str">
        <f>"021031"</f>
        <v>021031</v>
      </c>
      <c r="C676" t="str">
        <f>"Buffer for Template"</f>
        <v>Buffer for Template</v>
      </c>
      <c r="D676">
        <v>4</v>
      </c>
      <c r="E676" t="str">
        <f t="shared" ref="E676:E685" si="195">"Assembly Manual on mobile Table (Ballgame)"</f>
        <v>Assembly Manual on mobile Table (Ballgame)</v>
      </c>
      <c r="F676">
        <v>503</v>
      </c>
      <c r="G676" t="str">
        <f t="shared" si="182"/>
        <v>Y</v>
      </c>
      <c r="H676" t="str">
        <f t="shared" ref="H676:H684" si="196">"EA"</f>
        <v>EA</v>
      </c>
      <c r="I676">
        <v>0</v>
      </c>
      <c r="J676">
        <v>0</v>
      </c>
      <c r="K676" t="str">
        <f t="shared" si="183"/>
        <v>Y</v>
      </c>
      <c r="L676">
        <v>0</v>
      </c>
      <c r="M676" t="str">
        <f t="shared" si="184"/>
        <v>NIS</v>
      </c>
      <c r="O676">
        <v>1</v>
      </c>
      <c r="P676" t="str">
        <f t="shared" si="193"/>
        <v>Active</v>
      </c>
      <c r="Q676" t="str">
        <f>"מכלול- בסיס לטמפלט CIM"</f>
        <v>מכלול- בסיס לטמפלט CIM</v>
      </c>
      <c r="R676" t="str">
        <f>"1"</f>
        <v>1</v>
      </c>
      <c r="S676" t="str">
        <f>"מכלול- בסיס לטמפלט CIM"</f>
        <v>מכלול- בסיס לטמפלט CIM</v>
      </c>
      <c r="T676">
        <v>0</v>
      </c>
      <c r="U676">
        <v>18.329999999999998</v>
      </c>
      <c r="V676">
        <v>13.48</v>
      </c>
      <c r="W676" t="str">
        <f t="shared" si="177"/>
        <v>rob</v>
      </c>
    </row>
    <row r="677" spans="1:23">
      <c r="A677" t="str">
        <f t="shared" si="194"/>
        <v>ASM-MANUAL-01</v>
      </c>
      <c r="B677" t="str">
        <f>"00-1110-0000"</f>
        <v>00-1110-0000</v>
      </c>
      <c r="C677" t="str">
        <f>"Palletizing Rack"</f>
        <v>Palletizing Rack</v>
      </c>
      <c r="D677">
        <v>2</v>
      </c>
      <c r="E677" t="str">
        <f t="shared" si="195"/>
        <v>Assembly Manual on mobile Table (Ballgame)</v>
      </c>
      <c r="F677">
        <v>503</v>
      </c>
      <c r="G677" t="str">
        <f t="shared" si="182"/>
        <v>Y</v>
      </c>
      <c r="H677" t="str">
        <f t="shared" si="196"/>
        <v>EA</v>
      </c>
      <c r="I677">
        <v>0</v>
      </c>
      <c r="J677">
        <v>0</v>
      </c>
      <c r="K677" t="str">
        <f t="shared" si="183"/>
        <v>Y</v>
      </c>
      <c r="L677">
        <v>0</v>
      </c>
      <c r="M677" t="str">
        <f t="shared" si="184"/>
        <v>NIS</v>
      </c>
      <c r="O677">
        <v>2</v>
      </c>
      <c r="P677" t="str">
        <f t="shared" si="193"/>
        <v>Active</v>
      </c>
      <c r="Q677" t="str">
        <f>"Palletizing Rack (incl. Pins for creating Jigs)"</f>
        <v>Palletizing Rack (incl. Pins for creating Jigs)</v>
      </c>
      <c r="S677" t="str">
        <f>"Palletizing Rack (incl. Pins for creating Jigs)"</f>
        <v>Palletizing Rack (incl. Pins for creating Jigs)</v>
      </c>
      <c r="T677">
        <v>0</v>
      </c>
      <c r="U677">
        <v>63</v>
      </c>
      <c r="V677">
        <v>58.59</v>
      </c>
      <c r="W677" t="str">
        <f t="shared" si="177"/>
        <v>rob</v>
      </c>
    </row>
    <row r="678" spans="1:23">
      <c r="A678" t="str">
        <f t="shared" si="194"/>
        <v>ASM-MANUAL-01</v>
      </c>
      <c r="B678" t="str">
        <f>"021177"</f>
        <v>021177</v>
      </c>
      <c r="C678" t="str">
        <f>"30mm Height Adapter -Rack 001110 on formica 19mm"</f>
        <v>30mm Height Adapter -Rack 001110 on formica 19mm</v>
      </c>
      <c r="D678">
        <v>2</v>
      </c>
      <c r="E678" t="str">
        <f t="shared" si="195"/>
        <v>Assembly Manual on mobile Table (Ballgame)</v>
      </c>
      <c r="F678">
        <v>503</v>
      </c>
      <c r="G678" t="str">
        <f t="shared" si="182"/>
        <v>Y</v>
      </c>
      <c r="H678" t="str">
        <f t="shared" si="196"/>
        <v>EA</v>
      </c>
      <c r="I678">
        <v>0</v>
      </c>
      <c r="J678">
        <v>0</v>
      </c>
      <c r="K678" t="str">
        <f t="shared" si="183"/>
        <v>Y</v>
      </c>
      <c r="L678">
        <v>0</v>
      </c>
      <c r="M678" t="str">
        <f t="shared" si="184"/>
        <v>NIS</v>
      </c>
      <c r="O678">
        <v>3</v>
      </c>
      <c r="P678" t="str">
        <f t="shared" si="193"/>
        <v>Active</v>
      </c>
      <c r="Q678" t="str">
        <f>"30mm Height Adapter -Rack 001110 on formica 19mm"</f>
        <v>30mm Height Adapter -Rack 001110 on formica 19mm</v>
      </c>
      <c r="S678" t="str">
        <f>"30mm Height Adapter -Rack 001110 on formica 19mm"</f>
        <v>30mm Height Adapter -Rack 001110 on formica 19mm</v>
      </c>
      <c r="T678">
        <v>0</v>
      </c>
      <c r="U678">
        <v>4.92</v>
      </c>
      <c r="V678">
        <v>8.43</v>
      </c>
      <c r="W678" t="str">
        <f t="shared" si="177"/>
        <v>rob</v>
      </c>
    </row>
    <row r="679" spans="1:23">
      <c r="A679" t="str">
        <f t="shared" si="194"/>
        <v>ASM-MANUAL-01</v>
      </c>
      <c r="B679" t="str">
        <f>"21-0004-0000"</f>
        <v>21-0004-0000</v>
      </c>
      <c r="C679" t="str">
        <f>"Assembly, Dual Axis Air Vise Mechanicals"</f>
        <v>Assembly, Dual Axis Air Vise Mechanicals</v>
      </c>
      <c r="D679">
        <v>1</v>
      </c>
      <c r="E679" t="str">
        <f t="shared" si="195"/>
        <v>Assembly Manual on mobile Table (Ballgame)</v>
      </c>
      <c r="F679">
        <v>503</v>
      </c>
      <c r="G679" t="str">
        <f t="shared" si="182"/>
        <v>Y</v>
      </c>
      <c r="H679" t="str">
        <f t="shared" si="196"/>
        <v>EA</v>
      </c>
      <c r="I679">
        <v>0</v>
      </c>
      <c r="J679">
        <v>0</v>
      </c>
      <c r="K679" t="str">
        <f t="shared" si="183"/>
        <v>Y</v>
      </c>
      <c r="L679">
        <v>0</v>
      </c>
      <c r="M679" t="str">
        <f t="shared" si="184"/>
        <v>NIS</v>
      </c>
      <c r="O679">
        <v>4</v>
      </c>
      <c r="P679" t="str">
        <f>"Phase Out"</f>
        <v>Phase Out</v>
      </c>
      <c r="Q679" t="str">
        <f>"Pneumatic Dual-Axis Vise"</f>
        <v>Pneumatic Dual-Axis Vise</v>
      </c>
      <c r="S679" t="str">
        <f>"Assembly, Dual Axis Air Vise Mechanicals"</f>
        <v>Assembly, Dual Axis Air Vise Mechanicals</v>
      </c>
      <c r="T679">
        <v>422.16</v>
      </c>
      <c r="U679">
        <v>422</v>
      </c>
      <c r="V679">
        <v>980.27</v>
      </c>
      <c r="W679" t="str">
        <f t="shared" si="177"/>
        <v>rob</v>
      </c>
    </row>
    <row r="680" spans="1:23">
      <c r="A680" t="str">
        <f t="shared" si="194"/>
        <v>ASM-MANUAL-01</v>
      </c>
      <c r="B680" t="str">
        <f>"10-2523-4000"</f>
        <v>10-2523-4000</v>
      </c>
      <c r="C680" t="str">
        <f>"Solenoid Valve (24V) for Pipe 3 mm"</f>
        <v>Solenoid Valve (24V) for Pipe 3 mm</v>
      </c>
      <c r="D680">
        <v>1</v>
      </c>
      <c r="E680" t="str">
        <f t="shared" si="195"/>
        <v>Assembly Manual on mobile Table (Ballgame)</v>
      </c>
      <c r="F680">
        <v>503</v>
      </c>
      <c r="G680" t="str">
        <f t="shared" si="182"/>
        <v>Y</v>
      </c>
      <c r="H680" t="str">
        <f t="shared" si="196"/>
        <v>EA</v>
      </c>
      <c r="I680">
        <v>0</v>
      </c>
      <c r="J680">
        <v>0</v>
      </c>
      <c r="K680" t="str">
        <f t="shared" si="183"/>
        <v>Y</v>
      </c>
      <c r="L680">
        <v>0</v>
      </c>
      <c r="M680" t="str">
        <f t="shared" si="184"/>
        <v>NIS</v>
      </c>
      <c r="O680">
        <v>5</v>
      </c>
      <c r="P680" t="str">
        <f t="shared" ref="P680:P690" si="197">"Active"</f>
        <v>Active</v>
      </c>
      <c r="Q680" t="str">
        <f>"Solenoid Valve (24V) for Dual Axis Vise 025207"</f>
        <v>Solenoid Valve (24V) for Dual Axis Vise 025207</v>
      </c>
      <c r="S680" t="str">
        <f>"Solenoid Valve (24V) for Pipe 3 mm"</f>
        <v>Solenoid Valve (24V) for Pipe 3 mm</v>
      </c>
      <c r="T680">
        <v>0</v>
      </c>
      <c r="U680">
        <v>137</v>
      </c>
      <c r="V680">
        <v>133.35</v>
      </c>
      <c r="W680" t="str">
        <f t="shared" si="177"/>
        <v>rob</v>
      </c>
    </row>
    <row r="681" spans="1:23">
      <c r="A681" t="str">
        <f t="shared" si="194"/>
        <v>ASM-MANUAL-01</v>
      </c>
      <c r="B681" t="str">
        <f>"00-1230-0000"</f>
        <v>00-1230-0000</v>
      </c>
      <c r="C681" t="str">
        <f>"Ball Feeder (incl. sensor for ball counting)"</f>
        <v>Ball Feeder (incl. sensor for ball counting)</v>
      </c>
      <c r="D681">
        <v>1</v>
      </c>
      <c r="E681" t="str">
        <f t="shared" si="195"/>
        <v>Assembly Manual on mobile Table (Ballgame)</v>
      </c>
      <c r="F681">
        <v>503</v>
      </c>
      <c r="G681" t="str">
        <f t="shared" si="182"/>
        <v>Y</v>
      </c>
      <c r="H681" t="str">
        <f t="shared" si="196"/>
        <v>EA</v>
      </c>
      <c r="I681">
        <v>0</v>
      </c>
      <c r="J681">
        <v>0</v>
      </c>
      <c r="K681" t="str">
        <f t="shared" si="183"/>
        <v>Y</v>
      </c>
      <c r="L681">
        <v>0</v>
      </c>
      <c r="M681" t="str">
        <f t="shared" si="184"/>
        <v>NIS</v>
      </c>
      <c r="O681">
        <v>6</v>
      </c>
      <c r="P681" t="str">
        <f t="shared" si="197"/>
        <v>Active</v>
      </c>
      <c r="Q681" t="str">
        <f>"Ball Feeder (incl. sensor for ball counting)"</f>
        <v>Ball Feeder (incl. sensor for ball counting)</v>
      </c>
      <c r="S681" t="str">
        <f>"Ball Feeder (incl. sensor for ball counting)"</f>
        <v>Ball Feeder (incl. sensor for ball counting)</v>
      </c>
      <c r="T681">
        <v>0</v>
      </c>
      <c r="U681">
        <v>536</v>
      </c>
      <c r="V681">
        <v>530.72</v>
      </c>
      <c r="W681" t="str">
        <f t="shared" si="177"/>
        <v>rob</v>
      </c>
    </row>
    <row r="682" spans="1:23">
      <c r="A682" t="str">
        <f t="shared" si="194"/>
        <v>ASM-MANUAL-01</v>
      </c>
      <c r="B682" t="str">
        <f>"00-1243-0000"</f>
        <v>00-1243-0000</v>
      </c>
      <c r="C682" t="str">
        <f>"Ball Game Set (Assembly with Plastic Pins)"</f>
        <v>Ball Game Set (Assembly with Plastic Pins)</v>
      </c>
      <c r="D682">
        <v>12</v>
      </c>
      <c r="E682" t="str">
        <f t="shared" si="195"/>
        <v>Assembly Manual on mobile Table (Ballgame)</v>
      </c>
      <c r="F682">
        <v>503</v>
      </c>
      <c r="G682" t="str">
        <f t="shared" si="182"/>
        <v>Y</v>
      </c>
      <c r="H682" t="str">
        <f t="shared" si="196"/>
        <v>EA</v>
      </c>
      <c r="I682">
        <v>0</v>
      </c>
      <c r="J682">
        <v>0</v>
      </c>
      <c r="K682" t="str">
        <f t="shared" si="183"/>
        <v>Y</v>
      </c>
      <c r="L682">
        <v>0</v>
      </c>
      <c r="M682" t="str">
        <f t="shared" si="184"/>
        <v>NIS</v>
      </c>
      <c r="O682">
        <v>7</v>
      </c>
      <c r="P682" t="str">
        <f t="shared" si="197"/>
        <v>Active</v>
      </c>
      <c r="Q682" t="str">
        <f>"Ball Game Set (Assembly with Plastic Pins)"</f>
        <v>Ball Game Set (Assembly with Plastic Pins)</v>
      </c>
      <c r="S682" t="str">
        <f>"Ball Game Set (Assembly with Plastic Pins)"</f>
        <v>Ball Game Set (Assembly with Plastic Pins)</v>
      </c>
      <c r="T682">
        <v>0</v>
      </c>
      <c r="U682">
        <v>32</v>
      </c>
      <c r="V682">
        <v>34.770000000000003</v>
      </c>
      <c r="W682" t="str">
        <f t="shared" si="177"/>
        <v>rob</v>
      </c>
    </row>
    <row r="683" spans="1:23">
      <c r="A683" t="str">
        <f t="shared" si="194"/>
        <v>ASM-MANUAL-01</v>
      </c>
      <c r="B683" t="str">
        <f>"00-1293-0000"</f>
        <v>00-1293-0000</v>
      </c>
      <c r="C683" t="str">
        <f>"Mobile Workbench 1500x1140mm (incl. Wheels)"</f>
        <v>Mobile Workbench 1500x1140mm (incl. Wheels)</v>
      </c>
      <c r="D683">
        <v>1</v>
      </c>
      <c r="E683" t="str">
        <f t="shared" si="195"/>
        <v>Assembly Manual on mobile Table (Ballgame)</v>
      </c>
      <c r="F683">
        <v>503</v>
      </c>
      <c r="G683" t="str">
        <f t="shared" si="182"/>
        <v>Y</v>
      </c>
      <c r="H683" t="str">
        <f t="shared" si="196"/>
        <v>EA</v>
      </c>
      <c r="I683">
        <v>0</v>
      </c>
      <c r="J683">
        <v>0</v>
      </c>
      <c r="K683" t="str">
        <f t="shared" si="183"/>
        <v>Y</v>
      </c>
      <c r="L683">
        <v>0</v>
      </c>
      <c r="M683" t="str">
        <f t="shared" si="184"/>
        <v>NIS</v>
      </c>
      <c r="O683">
        <v>8</v>
      </c>
      <c r="P683" t="str">
        <f t="shared" si="197"/>
        <v>Active</v>
      </c>
      <c r="Q683" t="str">
        <f>"Mobile Workbench 1500x1140mm (incl. Wheels)"</f>
        <v>Mobile Workbench 1500x1140mm (incl. Wheels)</v>
      </c>
      <c r="S683" t="str">
        <f>"Mobile Workbench 1500x1140mm (incl. Wheels)"</f>
        <v>Mobile Workbench 1500x1140mm (incl. Wheels)</v>
      </c>
      <c r="T683">
        <v>0</v>
      </c>
      <c r="U683">
        <v>860</v>
      </c>
      <c r="V683">
        <v>809.36</v>
      </c>
      <c r="W683" t="str">
        <f t="shared" si="177"/>
        <v>rob</v>
      </c>
    </row>
    <row r="684" spans="1:23">
      <c r="A684" t="str">
        <f t="shared" si="194"/>
        <v>ASM-MANUAL-01</v>
      </c>
      <c r="B684" t="str">
        <f>"00-1290-0000"</f>
        <v>00-1290-0000</v>
      </c>
      <c r="C684" t="str">
        <f>"PC Table 630x800mm (with Keyboard Drawer)"</f>
        <v>PC Table 630x800mm (with Keyboard Drawer)</v>
      </c>
      <c r="D684">
        <v>1</v>
      </c>
      <c r="E684" t="str">
        <f t="shared" si="195"/>
        <v>Assembly Manual on mobile Table (Ballgame)</v>
      </c>
      <c r="F684">
        <v>503</v>
      </c>
      <c r="G684" t="str">
        <f t="shared" si="182"/>
        <v>Y</v>
      </c>
      <c r="H684" t="str">
        <f t="shared" si="196"/>
        <v>EA</v>
      </c>
      <c r="I684">
        <v>0</v>
      </c>
      <c r="J684">
        <v>0</v>
      </c>
      <c r="K684" t="str">
        <f t="shared" si="183"/>
        <v>Y</v>
      </c>
      <c r="L684">
        <v>0</v>
      </c>
      <c r="M684" t="str">
        <f t="shared" si="184"/>
        <v>NIS</v>
      </c>
      <c r="O684">
        <v>9</v>
      </c>
      <c r="P684" t="str">
        <f t="shared" si="197"/>
        <v>Active</v>
      </c>
      <c r="Q684" t="str">
        <f>"PC Table 630x800mm (with Keyboard Drawer)"</f>
        <v>PC Table 630x800mm (with Keyboard Drawer)</v>
      </c>
      <c r="S684" t="str">
        <f>"PC Table 630x800mm (with Keyboard Drawer)"</f>
        <v>PC Table 630x800mm (with Keyboard Drawer)</v>
      </c>
      <c r="T684">
        <v>0</v>
      </c>
      <c r="U684">
        <v>405.86</v>
      </c>
      <c r="V684">
        <v>329.34</v>
      </c>
      <c r="W684" t="str">
        <f t="shared" si="177"/>
        <v>rob</v>
      </c>
    </row>
    <row r="685" spans="1:23">
      <c r="A685" t="str">
        <f t="shared" si="194"/>
        <v>ASM-MANUAL-01</v>
      </c>
      <c r="B685" t="str">
        <f>"50-0094-0000"</f>
        <v>50-0094-0000</v>
      </c>
      <c r="C685" t="str">
        <f>"Pre-Engineering, Design and Testing"</f>
        <v>Pre-Engineering, Design and Testing</v>
      </c>
      <c r="D685">
        <v>1</v>
      </c>
      <c r="E685" t="str">
        <f t="shared" si="195"/>
        <v>Assembly Manual on mobile Table (Ballgame)</v>
      </c>
      <c r="F685">
        <v>503</v>
      </c>
      <c r="G685" t="str">
        <f t="shared" si="182"/>
        <v>Y</v>
      </c>
      <c r="H685" t="str">
        <f>"DA"</f>
        <v>DA</v>
      </c>
      <c r="I685">
        <v>0</v>
      </c>
      <c r="J685">
        <v>0</v>
      </c>
      <c r="K685" t="str">
        <f t="shared" si="183"/>
        <v>Y</v>
      </c>
      <c r="L685">
        <v>0</v>
      </c>
      <c r="M685" t="str">
        <f t="shared" si="184"/>
        <v>NIS</v>
      </c>
      <c r="O685">
        <v>10</v>
      </c>
      <c r="P685" t="str">
        <f t="shared" si="197"/>
        <v>Active</v>
      </c>
      <c r="Q685" t="str">
        <f>"Pre-Engineering, Design and Testing"</f>
        <v>Pre-Engineering, Design and Testing</v>
      </c>
      <c r="S685" t="str">
        <f>"Pre-Engineering, Design and Testing"</f>
        <v>Pre-Engineering, Design and Testing</v>
      </c>
      <c r="T685">
        <v>0</v>
      </c>
      <c r="U685">
        <v>405</v>
      </c>
      <c r="V685">
        <v>421.2</v>
      </c>
      <c r="W685" t="str">
        <f t="shared" si="177"/>
        <v>rob</v>
      </c>
    </row>
    <row r="686" spans="1:23">
      <c r="A686" t="str">
        <f t="shared" ref="A686:A698" si="198">"ASM-MH5F-01"</f>
        <v>ASM-MH5F-01</v>
      </c>
      <c r="B686" t="str">
        <f>"00-0436-0000"</f>
        <v>00-0436-0000</v>
      </c>
      <c r="C686" t="str">
        <f>"MH5F compact high-speed 6-axis Robot"</f>
        <v>MH5F compact high-speed 6-axis Robot</v>
      </c>
      <c r="D686">
        <v>1</v>
      </c>
      <c r="E686" t="str">
        <f t="shared" ref="E686:E698" si="199">"Assembly for MOTOMAN MH5F (Ballgame)"</f>
        <v>Assembly for MOTOMAN MH5F (Ballgame)</v>
      </c>
      <c r="F686">
        <v>503</v>
      </c>
      <c r="G686" t="str">
        <f t="shared" si="182"/>
        <v>Y</v>
      </c>
      <c r="H686" t="str">
        <f t="shared" ref="H686:H697" si="200">"EA"</f>
        <v>EA</v>
      </c>
      <c r="I686">
        <v>0</v>
      </c>
      <c r="J686">
        <v>0</v>
      </c>
      <c r="K686" t="str">
        <f t="shared" si="183"/>
        <v>Y</v>
      </c>
      <c r="L686">
        <v>0</v>
      </c>
      <c r="M686" t="str">
        <f t="shared" si="184"/>
        <v>NIS</v>
      </c>
      <c r="O686">
        <v>1</v>
      </c>
      <c r="P686" t="str">
        <f t="shared" si="197"/>
        <v>Active</v>
      </c>
      <c r="Q686" t="str">
        <f>"Robot MOTOMAN MH5F(incl. FS100 controller, 220V)"</f>
        <v>Robot MOTOMAN MH5F(incl. FS100 controller, 220V)</v>
      </c>
      <c r="S686" t="str">
        <f>"MH5F compact high-speed 6-axis Robot"</f>
        <v>MH5F compact high-speed 6-axis Robot</v>
      </c>
      <c r="T686">
        <v>0</v>
      </c>
      <c r="U686" s="44">
        <v>23500</v>
      </c>
      <c r="V686" s="44">
        <v>16049.14</v>
      </c>
      <c r="W686" t="str">
        <f t="shared" ref="W686:W749" si="201">"rob"</f>
        <v>rob</v>
      </c>
    </row>
    <row r="687" spans="1:23">
      <c r="A687" t="str">
        <f t="shared" si="198"/>
        <v>ASM-MH5F-01</v>
      </c>
      <c r="B687" t="str">
        <f>"00-0646-0000"</f>
        <v>00-0646-0000</v>
      </c>
      <c r="C687" t="str">
        <f>"Pneumatic Gripper with I/O Box for Motoman MH5F"</f>
        <v>Pneumatic Gripper with I/O Box for Motoman MH5F</v>
      </c>
      <c r="D687">
        <v>1</v>
      </c>
      <c r="E687" t="str">
        <f t="shared" si="199"/>
        <v>Assembly for MOTOMAN MH5F (Ballgame)</v>
      </c>
      <c r="F687">
        <v>503</v>
      </c>
      <c r="G687" t="str">
        <f t="shared" si="182"/>
        <v>Y</v>
      </c>
      <c r="H687" t="str">
        <f t="shared" si="200"/>
        <v>EA</v>
      </c>
      <c r="I687">
        <v>0</v>
      </c>
      <c r="J687">
        <v>0</v>
      </c>
      <c r="K687" t="str">
        <f t="shared" si="183"/>
        <v>Y</v>
      </c>
      <c r="L687">
        <v>0</v>
      </c>
      <c r="M687" t="str">
        <f t="shared" si="184"/>
        <v>NIS</v>
      </c>
      <c r="O687">
        <v>2</v>
      </c>
      <c r="P687" t="str">
        <f t="shared" si="197"/>
        <v>Active</v>
      </c>
      <c r="Q687" t="str">
        <f>"Pneumatic Gripper with I/O Box for Motoman MH5F"</f>
        <v>Pneumatic Gripper with I/O Box for Motoman MH5F</v>
      </c>
      <c r="S687" t="str">
        <f>"Pneumatic Gripper with I/O Box for Motoman MH5F"</f>
        <v>Pneumatic Gripper with I/O Box for Motoman MH5F</v>
      </c>
      <c r="T687">
        <v>0</v>
      </c>
      <c r="U687" s="44">
        <v>1500</v>
      </c>
      <c r="V687" s="44">
        <v>1238.52</v>
      </c>
      <c r="W687" t="str">
        <f t="shared" si="201"/>
        <v>rob</v>
      </c>
    </row>
    <row r="688" spans="1:23">
      <c r="A688" t="str">
        <f t="shared" si="198"/>
        <v>ASM-MH5F-01</v>
      </c>
      <c r="B688" t="str">
        <f>"021031"</f>
        <v>021031</v>
      </c>
      <c r="C688" t="str">
        <f>"Buffer for Template"</f>
        <v>Buffer for Template</v>
      </c>
      <c r="D688">
        <v>4</v>
      </c>
      <c r="E688" t="str">
        <f t="shared" si="199"/>
        <v>Assembly for MOTOMAN MH5F (Ballgame)</v>
      </c>
      <c r="F688">
        <v>503</v>
      </c>
      <c r="G688" t="str">
        <f t="shared" si="182"/>
        <v>Y</v>
      </c>
      <c r="H688" t="str">
        <f t="shared" si="200"/>
        <v>EA</v>
      </c>
      <c r="I688">
        <v>0</v>
      </c>
      <c r="J688">
        <v>0</v>
      </c>
      <c r="K688" t="str">
        <f t="shared" si="183"/>
        <v>Y</v>
      </c>
      <c r="L688">
        <v>0</v>
      </c>
      <c r="M688" t="str">
        <f t="shared" si="184"/>
        <v>NIS</v>
      </c>
      <c r="O688">
        <v>3</v>
      </c>
      <c r="P688" t="str">
        <f t="shared" si="197"/>
        <v>Active</v>
      </c>
      <c r="Q688" t="str">
        <f>"מכלול- בסיס לטמפלט CIM"</f>
        <v>מכלול- בסיס לטמפלט CIM</v>
      </c>
      <c r="R688" t="str">
        <f>"1"</f>
        <v>1</v>
      </c>
      <c r="S688" t="str">
        <f>"מכלול- בסיס לטמפלט CIM"</f>
        <v>מכלול- בסיס לטמפלט CIM</v>
      </c>
      <c r="T688">
        <v>0</v>
      </c>
      <c r="U688">
        <v>18.329999999999998</v>
      </c>
      <c r="V688">
        <v>13.48</v>
      </c>
      <c r="W688" t="str">
        <f t="shared" si="201"/>
        <v>rob</v>
      </c>
    </row>
    <row r="689" spans="1:23">
      <c r="A689" t="str">
        <f t="shared" si="198"/>
        <v>ASM-MH5F-01</v>
      </c>
      <c r="B689" t="str">
        <f>"00-1110-0000"</f>
        <v>00-1110-0000</v>
      </c>
      <c r="C689" t="str">
        <f>"Palletizing Rack"</f>
        <v>Palletizing Rack</v>
      </c>
      <c r="D689">
        <v>2</v>
      </c>
      <c r="E689" t="str">
        <f t="shared" si="199"/>
        <v>Assembly for MOTOMAN MH5F (Ballgame)</v>
      </c>
      <c r="F689">
        <v>503</v>
      </c>
      <c r="G689" t="str">
        <f t="shared" si="182"/>
        <v>Y</v>
      </c>
      <c r="H689" t="str">
        <f t="shared" si="200"/>
        <v>EA</v>
      </c>
      <c r="I689">
        <v>0</v>
      </c>
      <c r="J689">
        <v>0</v>
      </c>
      <c r="K689" t="str">
        <f t="shared" si="183"/>
        <v>Y</v>
      </c>
      <c r="L689">
        <v>0</v>
      </c>
      <c r="M689" t="str">
        <f t="shared" si="184"/>
        <v>NIS</v>
      </c>
      <c r="O689">
        <v>4</v>
      </c>
      <c r="P689" t="str">
        <f t="shared" si="197"/>
        <v>Active</v>
      </c>
      <c r="Q689" t="str">
        <f>"Palletizing Rack (incl. Pins for creating Jigs)"</f>
        <v>Palletizing Rack (incl. Pins for creating Jigs)</v>
      </c>
      <c r="S689" t="str">
        <f>"Palletizing Rack (incl. Pins for creating Jigs)"</f>
        <v>Palletizing Rack (incl. Pins for creating Jigs)</v>
      </c>
      <c r="T689">
        <v>0</v>
      </c>
      <c r="U689">
        <v>63</v>
      </c>
      <c r="V689">
        <v>58.59</v>
      </c>
      <c r="W689" t="str">
        <f t="shared" si="201"/>
        <v>rob</v>
      </c>
    </row>
    <row r="690" spans="1:23">
      <c r="A690" t="str">
        <f t="shared" si="198"/>
        <v>ASM-MH5F-01</v>
      </c>
      <c r="B690" t="str">
        <f>"021177"</f>
        <v>021177</v>
      </c>
      <c r="C690" t="str">
        <f>"30mm Height Adapter -Rack 001110 on formica 19mm"</f>
        <v>30mm Height Adapter -Rack 001110 on formica 19mm</v>
      </c>
      <c r="D690">
        <v>2</v>
      </c>
      <c r="E690" t="str">
        <f t="shared" si="199"/>
        <v>Assembly for MOTOMAN MH5F (Ballgame)</v>
      </c>
      <c r="F690">
        <v>503</v>
      </c>
      <c r="G690" t="str">
        <f t="shared" si="182"/>
        <v>Y</v>
      </c>
      <c r="H690" t="str">
        <f t="shared" si="200"/>
        <v>EA</v>
      </c>
      <c r="I690">
        <v>0</v>
      </c>
      <c r="J690">
        <v>0</v>
      </c>
      <c r="K690" t="str">
        <f t="shared" si="183"/>
        <v>Y</v>
      </c>
      <c r="L690">
        <v>0</v>
      </c>
      <c r="M690" t="str">
        <f t="shared" si="184"/>
        <v>NIS</v>
      </c>
      <c r="O690">
        <v>5</v>
      </c>
      <c r="P690" t="str">
        <f t="shared" si="197"/>
        <v>Active</v>
      </c>
      <c r="Q690" t="str">
        <f>"30mm Height Adapter -Rack 001110 on formica 19mm"</f>
        <v>30mm Height Adapter -Rack 001110 on formica 19mm</v>
      </c>
      <c r="S690" t="str">
        <f>"30mm Height Adapter -Rack 001110 on formica 19mm"</f>
        <v>30mm Height Adapter -Rack 001110 on formica 19mm</v>
      </c>
      <c r="T690">
        <v>0</v>
      </c>
      <c r="U690">
        <v>4.92</v>
      </c>
      <c r="V690">
        <v>8.43</v>
      </c>
      <c r="W690" t="str">
        <f t="shared" si="201"/>
        <v>rob</v>
      </c>
    </row>
    <row r="691" spans="1:23">
      <c r="A691" t="str">
        <f t="shared" si="198"/>
        <v>ASM-MH5F-01</v>
      </c>
      <c r="B691" t="str">
        <f>"21-0004-0000"</f>
        <v>21-0004-0000</v>
      </c>
      <c r="C691" t="str">
        <f>"Assembly, Dual Axis Air Vise Mechanicals"</f>
        <v>Assembly, Dual Axis Air Vise Mechanicals</v>
      </c>
      <c r="D691">
        <v>1</v>
      </c>
      <c r="E691" t="str">
        <f t="shared" si="199"/>
        <v>Assembly for MOTOMAN MH5F (Ballgame)</v>
      </c>
      <c r="F691">
        <v>503</v>
      </c>
      <c r="G691" t="str">
        <f t="shared" si="182"/>
        <v>Y</v>
      </c>
      <c r="H691" t="str">
        <f t="shared" si="200"/>
        <v>EA</v>
      </c>
      <c r="I691">
        <v>0</v>
      </c>
      <c r="J691">
        <v>0</v>
      </c>
      <c r="K691" t="str">
        <f t="shared" si="183"/>
        <v>Y</v>
      </c>
      <c r="L691">
        <v>0</v>
      </c>
      <c r="M691" t="str">
        <f t="shared" si="184"/>
        <v>NIS</v>
      </c>
      <c r="O691">
        <v>6</v>
      </c>
      <c r="P691" t="str">
        <f>"Phase Out"</f>
        <v>Phase Out</v>
      </c>
      <c r="Q691" t="str">
        <f>"Pneumatic Dual-Axis Vise"</f>
        <v>Pneumatic Dual-Axis Vise</v>
      </c>
      <c r="S691" t="str">
        <f>"Assembly, Dual Axis Air Vise Mechanicals"</f>
        <v>Assembly, Dual Axis Air Vise Mechanicals</v>
      </c>
      <c r="T691">
        <v>422.16</v>
      </c>
      <c r="U691">
        <v>422</v>
      </c>
      <c r="V691">
        <v>980.27</v>
      </c>
      <c r="W691" t="str">
        <f t="shared" si="201"/>
        <v>rob</v>
      </c>
    </row>
    <row r="692" spans="1:23">
      <c r="A692" t="str">
        <f t="shared" si="198"/>
        <v>ASM-MH5F-01</v>
      </c>
      <c r="B692" t="str">
        <f>"10-2523-4000"</f>
        <v>10-2523-4000</v>
      </c>
      <c r="C692" t="str">
        <f>"Solenoid Valve (24V) for Pipe 3 mm"</f>
        <v>Solenoid Valve (24V) for Pipe 3 mm</v>
      </c>
      <c r="D692">
        <v>1</v>
      </c>
      <c r="E692" t="str">
        <f t="shared" si="199"/>
        <v>Assembly for MOTOMAN MH5F (Ballgame)</v>
      </c>
      <c r="F692">
        <v>503</v>
      </c>
      <c r="G692" t="str">
        <f t="shared" si="182"/>
        <v>Y</v>
      </c>
      <c r="H692" t="str">
        <f t="shared" si="200"/>
        <v>EA</v>
      </c>
      <c r="I692">
        <v>0</v>
      </c>
      <c r="J692">
        <v>0</v>
      </c>
      <c r="K692" t="str">
        <f t="shared" si="183"/>
        <v>Y</v>
      </c>
      <c r="L692">
        <v>0</v>
      </c>
      <c r="M692" t="str">
        <f t="shared" si="184"/>
        <v>NIS</v>
      </c>
      <c r="O692">
        <v>7</v>
      </c>
      <c r="P692" t="str">
        <f t="shared" ref="P692:P703" si="202">"Active"</f>
        <v>Active</v>
      </c>
      <c r="Q692" t="str">
        <f>"Solenoid Valve (24V) for Dual Axis Vise 025207"</f>
        <v>Solenoid Valve (24V) for Dual Axis Vise 025207</v>
      </c>
      <c r="S692" t="str">
        <f>"Solenoid Valve (24V) for Pipe 3 mm"</f>
        <v>Solenoid Valve (24V) for Pipe 3 mm</v>
      </c>
      <c r="T692">
        <v>0</v>
      </c>
      <c r="U692">
        <v>137</v>
      </c>
      <c r="V692">
        <v>133.35</v>
      </c>
      <c r="W692" t="str">
        <f t="shared" si="201"/>
        <v>rob</v>
      </c>
    </row>
    <row r="693" spans="1:23">
      <c r="A693" t="str">
        <f t="shared" si="198"/>
        <v>ASM-MH5F-01</v>
      </c>
      <c r="B693" t="str">
        <f>"00-1230-0000"</f>
        <v>00-1230-0000</v>
      </c>
      <c r="C693" t="str">
        <f>"Ball Feeder (incl. sensor for ball counting)"</f>
        <v>Ball Feeder (incl. sensor for ball counting)</v>
      </c>
      <c r="D693">
        <v>1</v>
      </c>
      <c r="E693" t="str">
        <f t="shared" si="199"/>
        <v>Assembly for MOTOMAN MH5F (Ballgame)</v>
      </c>
      <c r="F693">
        <v>503</v>
      </c>
      <c r="G693" t="str">
        <f t="shared" si="182"/>
        <v>Y</v>
      </c>
      <c r="H693" t="str">
        <f t="shared" si="200"/>
        <v>EA</v>
      </c>
      <c r="I693">
        <v>0</v>
      </c>
      <c r="J693">
        <v>0</v>
      </c>
      <c r="K693" t="str">
        <f t="shared" si="183"/>
        <v>Y</v>
      </c>
      <c r="L693">
        <v>0</v>
      </c>
      <c r="M693" t="str">
        <f t="shared" si="184"/>
        <v>NIS</v>
      </c>
      <c r="O693">
        <v>8</v>
      </c>
      <c r="P693" t="str">
        <f t="shared" si="202"/>
        <v>Active</v>
      </c>
      <c r="Q693" t="str">
        <f>"Ball Feeder (incl. sensor for ball counting)"</f>
        <v>Ball Feeder (incl. sensor for ball counting)</v>
      </c>
      <c r="S693" t="str">
        <f>"Ball Feeder (incl. sensor for ball counting)"</f>
        <v>Ball Feeder (incl. sensor for ball counting)</v>
      </c>
      <c r="T693">
        <v>0</v>
      </c>
      <c r="U693">
        <v>536</v>
      </c>
      <c r="V693">
        <v>530.72</v>
      </c>
      <c r="W693" t="str">
        <f t="shared" si="201"/>
        <v>rob</v>
      </c>
    </row>
    <row r="694" spans="1:23">
      <c r="A694" t="str">
        <f t="shared" si="198"/>
        <v>ASM-MH5F-01</v>
      </c>
      <c r="B694" t="str">
        <f>"00-1243-0000"</f>
        <v>00-1243-0000</v>
      </c>
      <c r="C694" t="str">
        <f>"Ball Game Set (Assembly with Plastic Pins)"</f>
        <v>Ball Game Set (Assembly with Plastic Pins)</v>
      </c>
      <c r="D694">
        <v>12</v>
      </c>
      <c r="E694" t="str">
        <f t="shared" si="199"/>
        <v>Assembly for MOTOMAN MH5F (Ballgame)</v>
      </c>
      <c r="F694">
        <v>503</v>
      </c>
      <c r="G694" t="str">
        <f t="shared" si="182"/>
        <v>Y</v>
      </c>
      <c r="H694" t="str">
        <f t="shared" si="200"/>
        <v>EA</v>
      </c>
      <c r="I694">
        <v>0</v>
      </c>
      <c r="J694">
        <v>0</v>
      </c>
      <c r="K694" t="str">
        <f t="shared" si="183"/>
        <v>Y</v>
      </c>
      <c r="L694">
        <v>0</v>
      </c>
      <c r="M694" t="str">
        <f t="shared" si="184"/>
        <v>NIS</v>
      </c>
      <c r="O694">
        <v>9</v>
      </c>
      <c r="P694" t="str">
        <f t="shared" si="202"/>
        <v>Active</v>
      </c>
      <c r="Q694" t="str">
        <f>"Ball Game Set (Assembly with Plastic Pins)"</f>
        <v>Ball Game Set (Assembly with Plastic Pins)</v>
      </c>
      <c r="S694" t="str">
        <f>"Ball Game Set (Assembly with Plastic Pins)"</f>
        <v>Ball Game Set (Assembly with Plastic Pins)</v>
      </c>
      <c r="T694">
        <v>0</v>
      </c>
      <c r="U694">
        <v>32</v>
      </c>
      <c r="V694">
        <v>34.770000000000003</v>
      </c>
      <c r="W694" t="str">
        <f t="shared" si="201"/>
        <v>rob</v>
      </c>
    </row>
    <row r="695" spans="1:23">
      <c r="A695" t="str">
        <f t="shared" si="198"/>
        <v>ASM-MH5F-01</v>
      </c>
      <c r="B695" t="str">
        <f>"00-1284-0000"</f>
        <v>00-1284-0000</v>
      </c>
      <c r="C695" t="str">
        <f>"Robot Pedestal Welded for ER9/14Pro&amp;MH5"</f>
        <v>Robot Pedestal Welded for ER9/14Pro&amp;MH5</v>
      </c>
      <c r="D695">
        <v>1</v>
      </c>
      <c r="E695" t="str">
        <f t="shared" si="199"/>
        <v>Assembly for MOTOMAN MH5F (Ballgame)</v>
      </c>
      <c r="F695">
        <v>503</v>
      </c>
      <c r="G695" t="str">
        <f t="shared" si="182"/>
        <v>Y</v>
      </c>
      <c r="H695" t="str">
        <f t="shared" si="200"/>
        <v>EA</v>
      </c>
      <c r="I695">
        <v>0</v>
      </c>
      <c r="J695">
        <v>0</v>
      </c>
      <c r="K695" t="str">
        <f t="shared" si="183"/>
        <v>Y</v>
      </c>
      <c r="L695">
        <v>0</v>
      </c>
      <c r="M695" t="str">
        <f t="shared" si="184"/>
        <v>NIS</v>
      </c>
      <c r="O695">
        <v>10</v>
      </c>
      <c r="P695" t="str">
        <f t="shared" si="202"/>
        <v>Active</v>
      </c>
      <c r="Q695" t="str">
        <f>"Heavy Duty Stand for ER9/14Pro&amp;HP3"</f>
        <v>Heavy Duty Stand for ER9/14Pro&amp;HP3</v>
      </c>
      <c r="S695" t="str">
        <f>"Robot Pedestal Welded for ER9/14Pro&amp;MH5"</f>
        <v>Robot Pedestal Welded for ER9/14Pro&amp;MH5</v>
      </c>
      <c r="T695">
        <v>0</v>
      </c>
      <c r="U695">
        <v>723.91</v>
      </c>
      <c r="V695">
        <v>671.12</v>
      </c>
      <c r="W695" t="str">
        <f t="shared" si="201"/>
        <v>rob</v>
      </c>
    </row>
    <row r="696" spans="1:23">
      <c r="A696" t="str">
        <f t="shared" si="198"/>
        <v>ASM-MH5F-01</v>
      </c>
      <c r="B696" t="str">
        <f>"00-1293-0000"</f>
        <v>00-1293-0000</v>
      </c>
      <c r="C696" t="str">
        <f>"Mobile Workbench 1500x1140mm (incl. Wheels)"</f>
        <v>Mobile Workbench 1500x1140mm (incl. Wheels)</v>
      </c>
      <c r="D696">
        <v>1</v>
      </c>
      <c r="E696" t="str">
        <f t="shared" si="199"/>
        <v>Assembly for MOTOMAN MH5F (Ballgame)</v>
      </c>
      <c r="F696">
        <v>503</v>
      </c>
      <c r="G696" t="str">
        <f t="shared" si="182"/>
        <v>Y</v>
      </c>
      <c r="H696" t="str">
        <f t="shared" si="200"/>
        <v>EA</v>
      </c>
      <c r="I696">
        <v>0</v>
      </c>
      <c r="J696">
        <v>0</v>
      </c>
      <c r="K696" t="str">
        <f t="shared" si="183"/>
        <v>Y</v>
      </c>
      <c r="L696">
        <v>0</v>
      </c>
      <c r="M696" t="str">
        <f t="shared" si="184"/>
        <v>NIS</v>
      </c>
      <c r="O696">
        <v>11</v>
      </c>
      <c r="P696" t="str">
        <f t="shared" si="202"/>
        <v>Active</v>
      </c>
      <c r="Q696" t="str">
        <f>"Mobile Workbench 1500x1140mm (incl. Wheels)"</f>
        <v>Mobile Workbench 1500x1140mm (incl. Wheels)</v>
      </c>
      <c r="S696" t="str">
        <f>"Mobile Workbench 1500x1140mm (incl. Wheels)"</f>
        <v>Mobile Workbench 1500x1140mm (incl. Wheels)</v>
      </c>
      <c r="T696">
        <v>0</v>
      </c>
      <c r="U696">
        <v>860</v>
      </c>
      <c r="V696">
        <v>809.36</v>
      </c>
      <c r="W696" t="str">
        <f t="shared" si="201"/>
        <v>rob</v>
      </c>
    </row>
    <row r="697" spans="1:23">
      <c r="A697" t="str">
        <f t="shared" si="198"/>
        <v>ASM-MH5F-01</v>
      </c>
      <c r="B697" t="str">
        <f>"00-1290-0000"</f>
        <v>00-1290-0000</v>
      </c>
      <c r="C697" t="str">
        <f>"PC Table 630x800mm (with Keyboard Drawer)"</f>
        <v>PC Table 630x800mm (with Keyboard Drawer)</v>
      </c>
      <c r="D697">
        <v>1</v>
      </c>
      <c r="E697" t="str">
        <f t="shared" si="199"/>
        <v>Assembly for MOTOMAN MH5F (Ballgame)</v>
      </c>
      <c r="F697">
        <v>503</v>
      </c>
      <c r="G697" t="str">
        <f t="shared" si="182"/>
        <v>Y</v>
      </c>
      <c r="H697" t="str">
        <f t="shared" si="200"/>
        <v>EA</v>
      </c>
      <c r="I697">
        <v>0</v>
      </c>
      <c r="J697">
        <v>0</v>
      </c>
      <c r="K697" t="str">
        <f t="shared" si="183"/>
        <v>Y</v>
      </c>
      <c r="L697">
        <v>0</v>
      </c>
      <c r="M697" t="str">
        <f t="shared" si="184"/>
        <v>NIS</v>
      </c>
      <c r="O697">
        <v>12</v>
      </c>
      <c r="P697" t="str">
        <f t="shared" si="202"/>
        <v>Active</v>
      </c>
      <c r="Q697" t="str">
        <f>"PC Table 630x800mm (with Keyboard Drawer)"</f>
        <v>PC Table 630x800mm (with Keyboard Drawer)</v>
      </c>
      <c r="S697" t="str">
        <f>"PC Table 630x800mm (with Keyboard Drawer)"</f>
        <v>PC Table 630x800mm (with Keyboard Drawer)</v>
      </c>
      <c r="T697">
        <v>0</v>
      </c>
      <c r="U697">
        <v>405.86</v>
      </c>
      <c r="V697">
        <v>329.34</v>
      </c>
      <c r="W697" t="str">
        <f t="shared" si="201"/>
        <v>rob</v>
      </c>
    </row>
    <row r="698" spans="1:23">
      <c r="A698" t="str">
        <f t="shared" si="198"/>
        <v>ASM-MH5F-01</v>
      </c>
      <c r="B698" t="str">
        <f>"50-0094-0000"</f>
        <v>50-0094-0000</v>
      </c>
      <c r="C698" t="str">
        <f>"Pre-Engineering, Design and Testing"</f>
        <v>Pre-Engineering, Design and Testing</v>
      </c>
      <c r="D698">
        <v>1</v>
      </c>
      <c r="E698" t="str">
        <f t="shared" si="199"/>
        <v>Assembly for MOTOMAN MH5F (Ballgame)</v>
      </c>
      <c r="F698">
        <v>503</v>
      </c>
      <c r="G698" t="str">
        <f t="shared" si="182"/>
        <v>Y</v>
      </c>
      <c r="H698" t="str">
        <f>"DA"</f>
        <v>DA</v>
      </c>
      <c r="I698">
        <v>0</v>
      </c>
      <c r="J698">
        <v>0</v>
      </c>
      <c r="K698" t="str">
        <f t="shared" si="183"/>
        <v>Y</v>
      </c>
      <c r="L698">
        <v>0</v>
      </c>
      <c r="M698" t="str">
        <f t="shared" si="184"/>
        <v>NIS</v>
      </c>
      <c r="O698">
        <v>13</v>
      </c>
      <c r="P698" t="str">
        <f t="shared" si="202"/>
        <v>Active</v>
      </c>
      <c r="Q698" t="str">
        <f>"Pre-Engineering, Design and Testing"</f>
        <v>Pre-Engineering, Design and Testing</v>
      </c>
      <c r="S698" t="str">
        <f>"Pre-Engineering, Design and Testing"</f>
        <v>Pre-Engineering, Design and Testing</v>
      </c>
      <c r="T698">
        <v>0</v>
      </c>
      <c r="U698">
        <v>405</v>
      </c>
      <c r="V698">
        <v>421.2</v>
      </c>
      <c r="W698" t="str">
        <f t="shared" si="201"/>
        <v>rob</v>
      </c>
    </row>
    <row r="699" spans="1:23">
      <c r="A699" t="str">
        <f t="shared" ref="A699:A712" si="203">"ASM-MH5F-02"</f>
        <v>ASM-MH5F-02</v>
      </c>
      <c r="B699" t="str">
        <f>"00-0436-0000"</f>
        <v>00-0436-0000</v>
      </c>
      <c r="C699" t="str">
        <f>"MH5F compact high-speed 6-axis Robot"</f>
        <v>MH5F compact high-speed 6-axis Robot</v>
      </c>
      <c r="D699">
        <v>1</v>
      </c>
      <c r="E699" t="str">
        <f t="shared" ref="E699:E712" si="204">"Assembly for MOTOMAN MH5F (Ballgame &amp; Glue)"</f>
        <v>Assembly for MOTOMAN MH5F (Ballgame &amp; Glue)</v>
      </c>
      <c r="F699">
        <v>503</v>
      </c>
      <c r="G699" t="str">
        <f t="shared" si="182"/>
        <v>Y</v>
      </c>
      <c r="H699" t="str">
        <f t="shared" ref="H699:H711" si="205">"EA"</f>
        <v>EA</v>
      </c>
      <c r="I699">
        <v>0</v>
      </c>
      <c r="J699">
        <v>0</v>
      </c>
      <c r="K699" t="str">
        <f t="shared" si="183"/>
        <v>Y</v>
      </c>
      <c r="L699">
        <v>0</v>
      </c>
      <c r="M699" t="str">
        <f t="shared" si="184"/>
        <v>NIS</v>
      </c>
      <c r="O699">
        <v>1</v>
      </c>
      <c r="P699" t="str">
        <f t="shared" si="202"/>
        <v>Active</v>
      </c>
      <c r="Q699" t="str">
        <f>"Robot MOTOMAN MH5F(incl. FS100 controller, 220V)"</f>
        <v>Robot MOTOMAN MH5F(incl. FS100 controller, 220V)</v>
      </c>
      <c r="S699" t="str">
        <f>"MH5F compact high-speed 6-axis Robot"</f>
        <v>MH5F compact high-speed 6-axis Robot</v>
      </c>
      <c r="T699">
        <v>0</v>
      </c>
      <c r="U699" s="44">
        <v>23500</v>
      </c>
      <c r="V699" s="44">
        <v>16049.14</v>
      </c>
      <c r="W699" t="str">
        <f t="shared" si="201"/>
        <v>rob</v>
      </c>
    </row>
    <row r="700" spans="1:23">
      <c r="A700" t="str">
        <f t="shared" si="203"/>
        <v>ASM-MH5F-02</v>
      </c>
      <c r="B700" t="str">
        <f>"00-0646-0000"</f>
        <v>00-0646-0000</v>
      </c>
      <c r="C700" t="str">
        <f>"Pneumatic Gripper with I/O Box for Motoman MH5F"</f>
        <v>Pneumatic Gripper with I/O Box for Motoman MH5F</v>
      </c>
      <c r="D700">
        <v>1</v>
      </c>
      <c r="E700" t="str">
        <f t="shared" si="204"/>
        <v>Assembly for MOTOMAN MH5F (Ballgame &amp; Glue)</v>
      </c>
      <c r="F700">
        <v>503</v>
      </c>
      <c r="G700" t="str">
        <f t="shared" si="182"/>
        <v>Y</v>
      </c>
      <c r="H700" t="str">
        <f t="shared" si="205"/>
        <v>EA</v>
      </c>
      <c r="I700">
        <v>0</v>
      </c>
      <c r="J700">
        <v>0</v>
      </c>
      <c r="K700" t="str">
        <f t="shared" si="183"/>
        <v>Y</v>
      </c>
      <c r="L700">
        <v>0</v>
      </c>
      <c r="M700" t="str">
        <f t="shared" si="184"/>
        <v>NIS</v>
      </c>
      <c r="O700">
        <v>2</v>
      </c>
      <c r="P700" t="str">
        <f t="shared" si="202"/>
        <v>Active</v>
      </c>
      <c r="Q700" t="str">
        <f>"Pneumatic Gripper with I/O Box for Motoman MH5F"</f>
        <v>Pneumatic Gripper with I/O Box for Motoman MH5F</v>
      </c>
      <c r="S700" t="str">
        <f>"Pneumatic Gripper with I/O Box for Motoman MH5F"</f>
        <v>Pneumatic Gripper with I/O Box for Motoman MH5F</v>
      </c>
      <c r="T700">
        <v>0</v>
      </c>
      <c r="U700" s="44">
        <v>1500</v>
      </c>
      <c r="V700" s="44">
        <v>1238.52</v>
      </c>
      <c r="W700" t="str">
        <f t="shared" si="201"/>
        <v>rob</v>
      </c>
    </row>
    <row r="701" spans="1:23">
      <c r="A701" t="str">
        <f t="shared" si="203"/>
        <v>ASM-MH5F-02</v>
      </c>
      <c r="B701" t="str">
        <f>"021031"</f>
        <v>021031</v>
      </c>
      <c r="C701" t="str">
        <f>"Buffer for Template"</f>
        <v>Buffer for Template</v>
      </c>
      <c r="D701">
        <v>4</v>
      </c>
      <c r="E701" t="str">
        <f t="shared" si="204"/>
        <v>Assembly for MOTOMAN MH5F (Ballgame &amp; Glue)</v>
      </c>
      <c r="F701">
        <v>503</v>
      </c>
      <c r="G701" t="str">
        <f t="shared" si="182"/>
        <v>Y</v>
      </c>
      <c r="H701" t="str">
        <f t="shared" si="205"/>
        <v>EA</v>
      </c>
      <c r="I701">
        <v>0</v>
      </c>
      <c r="J701">
        <v>0</v>
      </c>
      <c r="K701" t="str">
        <f t="shared" si="183"/>
        <v>Y</v>
      </c>
      <c r="L701">
        <v>0</v>
      </c>
      <c r="M701" t="str">
        <f t="shared" si="184"/>
        <v>NIS</v>
      </c>
      <c r="O701">
        <v>3</v>
      </c>
      <c r="P701" t="str">
        <f t="shared" si="202"/>
        <v>Active</v>
      </c>
      <c r="Q701" t="str">
        <f>"מכלול- בסיס לטמפלט CIM"</f>
        <v>מכלול- בסיס לטמפלט CIM</v>
      </c>
      <c r="R701" t="str">
        <f>"1"</f>
        <v>1</v>
      </c>
      <c r="S701" t="str">
        <f>"מכלול- בסיס לטמפלט CIM"</f>
        <v>מכלול- בסיס לטמפלט CIM</v>
      </c>
      <c r="T701">
        <v>0</v>
      </c>
      <c r="U701">
        <v>18.329999999999998</v>
      </c>
      <c r="V701">
        <v>13.48</v>
      </c>
      <c r="W701" t="str">
        <f t="shared" si="201"/>
        <v>rob</v>
      </c>
    </row>
    <row r="702" spans="1:23">
      <c r="A702" t="str">
        <f t="shared" si="203"/>
        <v>ASM-MH5F-02</v>
      </c>
      <c r="B702" t="str">
        <f>"00-1110-0000"</f>
        <v>00-1110-0000</v>
      </c>
      <c r="C702" t="str">
        <f>"Palletizing Rack"</f>
        <v>Palletizing Rack</v>
      </c>
      <c r="D702">
        <v>2</v>
      </c>
      <c r="E702" t="str">
        <f t="shared" si="204"/>
        <v>Assembly for MOTOMAN MH5F (Ballgame &amp; Glue)</v>
      </c>
      <c r="F702">
        <v>503</v>
      </c>
      <c r="G702" t="str">
        <f t="shared" si="182"/>
        <v>Y</v>
      </c>
      <c r="H702" t="str">
        <f t="shared" si="205"/>
        <v>EA</v>
      </c>
      <c r="I702">
        <v>0</v>
      </c>
      <c r="J702">
        <v>0</v>
      </c>
      <c r="K702" t="str">
        <f t="shared" si="183"/>
        <v>Y</v>
      </c>
      <c r="L702">
        <v>0</v>
      </c>
      <c r="M702" t="str">
        <f t="shared" si="184"/>
        <v>NIS</v>
      </c>
      <c r="O702">
        <v>4</v>
      </c>
      <c r="P702" t="str">
        <f t="shared" si="202"/>
        <v>Active</v>
      </c>
      <c r="Q702" t="str">
        <f>"Palletizing Rack (incl. Pins for creating Jigs)"</f>
        <v>Palletizing Rack (incl. Pins for creating Jigs)</v>
      </c>
      <c r="S702" t="str">
        <f>"Palletizing Rack (incl. Pins for creating Jigs)"</f>
        <v>Palletizing Rack (incl. Pins for creating Jigs)</v>
      </c>
      <c r="T702">
        <v>0</v>
      </c>
      <c r="U702">
        <v>63</v>
      </c>
      <c r="V702">
        <v>58.59</v>
      </c>
      <c r="W702" t="str">
        <f t="shared" si="201"/>
        <v>rob</v>
      </c>
    </row>
    <row r="703" spans="1:23">
      <c r="A703" t="str">
        <f t="shared" si="203"/>
        <v>ASM-MH5F-02</v>
      </c>
      <c r="B703" t="str">
        <f>"021177"</f>
        <v>021177</v>
      </c>
      <c r="C703" t="str">
        <f>"30mm Height Adapter -Rack 001110 on formica 19mm"</f>
        <v>30mm Height Adapter -Rack 001110 on formica 19mm</v>
      </c>
      <c r="D703">
        <v>2</v>
      </c>
      <c r="E703" t="str">
        <f t="shared" si="204"/>
        <v>Assembly for MOTOMAN MH5F (Ballgame &amp; Glue)</v>
      </c>
      <c r="F703">
        <v>503</v>
      </c>
      <c r="G703" t="str">
        <f t="shared" si="182"/>
        <v>Y</v>
      </c>
      <c r="H703" t="str">
        <f t="shared" si="205"/>
        <v>EA</v>
      </c>
      <c r="I703">
        <v>0</v>
      </c>
      <c r="J703">
        <v>0</v>
      </c>
      <c r="K703" t="str">
        <f t="shared" si="183"/>
        <v>Y</v>
      </c>
      <c r="L703">
        <v>0</v>
      </c>
      <c r="M703" t="str">
        <f t="shared" si="184"/>
        <v>NIS</v>
      </c>
      <c r="O703">
        <v>5</v>
      </c>
      <c r="P703" t="str">
        <f t="shared" si="202"/>
        <v>Active</v>
      </c>
      <c r="Q703" t="str">
        <f>"30mm Height Adapter -Rack 001110 on formica 19mm"</f>
        <v>30mm Height Adapter -Rack 001110 on formica 19mm</v>
      </c>
      <c r="S703" t="str">
        <f>"30mm Height Adapter -Rack 001110 on formica 19mm"</f>
        <v>30mm Height Adapter -Rack 001110 on formica 19mm</v>
      </c>
      <c r="T703">
        <v>0</v>
      </c>
      <c r="U703">
        <v>4.92</v>
      </c>
      <c r="V703">
        <v>8.43</v>
      </c>
      <c r="W703" t="str">
        <f t="shared" si="201"/>
        <v>rob</v>
      </c>
    </row>
    <row r="704" spans="1:23">
      <c r="A704" t="str">
        <f t="shared" si="203"/>
        <v>ASM-MH5F-02</v>
      </c>
      <c r="B704" t="str">
        <f>"21-0004-0000"</f>
        <v>21-0004-0000</v>
      </c>
      <c r="C704" t="str">
        <f>"Assembly, Dual Axis Air Vise Mechanicals"</f>
        <v>Assembly, Dual Axis Air Vise Mechanicals</v>
      </c>
      <c r="D704">
        <v>1</v>
      </c>
      <c r="E704" t="str">
        <f t="shared" si="204"/>
        <v>Assembly for MOTOMAN MH5F (Ballgame &amp; Glue)</v>
      </c>
      <c r="F704">
        <v>503</v>
      </c>
      <c r="G704" t="str">
        <f t="shared" si="182"/>
        <v>Y</v>
      </c>
      <c r="H704" t="str">
        <f t="shared" si="205"/>
        <v>EA</v>
      </c>
      <c r="I704">
        <v>0</v>
      </c>
      <c r="J704">
        <v>0</v>
      </c>
      <c r="K704" t="str">
        <f t="shared" si="183"/>
        <v>Y</v>
      </c>
      <c r="L704">
        <v>0</v>
      </c>
      <c r="M704" t="str">
        <f t="shared" si="184"/>
        <v>NIS</v>
      </c>
      <c r="O704">
        <v>6</v>
      </c>
      <c r="P704" t="str">
        <f>"Phase Out"</f>
        <v>Phase Out</v>
      </c>
      <c r="Q704" t="str">
        <f>"Pneumatic Dual-Axis Vise"</f>
        <v>Pneumatic Dual-Axis Vise</v>
      </c>
      <c r="S704" t="str">
        <f>"Assembly, Dual Axis Air Vise Mechanicals"</f>
        <v>Assembly, Dual Axis Air Vise Mechanicals</v>
      </c>
      <c r="T704">
        <v>422.16</v>
      </c>
      <c r="U704">
        <v>422</v>
      </c>
      <c r="V704">
        <v>980.27</v>
      </c>
      <c r="W704" t="str">
        <f t="shared" si="201"/>
        <v>rob</v>
      </c>
    </row>
    <row r="705" spans="1:23">
      <c r="A705" t="str">
        <f t="shared" si="203"/>
        <v>ASM-MH5F-02</v>
      </c>
      <c r="B705" t="str">
        <f>"10-2523-4000"</f>
        <v>10-2523-4000</v>
      </c>
      <c r="C705" t="str">
        <f>"Solenoid Valve (24V) for Pipe 3 mm"</f>
        <v>Solenoid Valve (24V) for Pipe 3 mm</v>
      </c>
      <c r="D705">
        <v>1</v>
      </c>
      <c r="E705" t="str">
        <f t="shared" si="204"/>
        <v>Assembly for MOTOMAN MH5F (Ballgame &amp; Glue)</v>
      </c>
      <c r="F705">
        <v>503</v>
      </c>
      <c r="G705" t="str">
        <f t="shared" si="182"/>
        <v>Y</v>
      </c>
      <c r="H705" t="str">
        <f t="shared" si="205"/>
        <v>EA</v>
      </c>
      <c r="I705">
        <v>0</v>
      </c>
      <c r="J705">
        <v>0</v>
      </c>
      <c r="K705" t="str">
        <f t="shared" si="183"/>
        <v>Y</v>
      </c>
      <c r="L705">
        <v>0</v>
      </c>
      <c r="M705" t="str">
        <f t="shared" si="184"/>
        <v>NIS</v>
      </c>
      <c r="O705">
        <v>7</v>
      </c>
      <c r="P705" t="str">
        <f t="shared" ref="P705:P717" si="206">"Active"</f>
        <v>Active</v>
      </c>
      <c r="Q705" t="str">
        <f>"Solenoid Valve (24V) for Dual Axis Vise 025207"</f>
        <v>Solenoid Valve (24V) for Dual Axis Vise 025207</v>
      </c>
      <c r="S705" t="str">
        <f>"Solenoid Valve (24V) for Pipe 3 mm"</f>
        <v>Solenoid Valve (24V) for Pipe 3 mm</v>
      </c>
      <c r="T705">
        <v>0</v>
      </c>
      <c r="U705">
        <v>137</v>
      </c>
      <c r="V705">
        <v>133.35</v>
      </c>
      <c r="W705" t="str">
        <f t="shared" si="201"/>
        <v>rob</v>
      </c>
    </row>
    <row r="706" spans="1:23">
      <c r="A706" t="str">
        <f t="shared" si="203"/>
        <v>ASM-MH5F-02</v>
      </c>
      <c r="B706" t="str">
        <f>"00-1230-0000"</f>
        <v>00-1230-0000</v>
      </c>
      <c r="C706" t="str">
        <f>"Ball Feeder (incl. sensor for ball counting)"</f>
        <v>Ball Feeder (incl. sensor for ball counting)</v>
      </c>
      <c r="D706">
        <v>1</v>
      </c>
      <c r="E706" t="str">
        <f t="shared" si="204"/>
        <v>Assembly for MOTOMAN MH5F (Ballgame &amp; Glue)</v>
      </c>
      <c r="F706">
        <v>503</v>
      </c>
      <c r="G706" t="str">
        <f t="shared" ref="G706:G769" si="207">"Y"</f>
        <v>Y</v>
      </c>
      <c r="H706" t="str">
        <f t="shared" si="205"/>
        <v>EA</v>
      </c>
      <c r="I706">
        <v>0</v>
      </c>
      <c r="J706">
        <v>0</v>
      </c>
      <c r="K706" t="str">
        <f t="shared" ref="K706:K769" si="208">"Y"</f>
        <v>Y</v>
      </c>
      <c r="L706">
        <v>0</v>
      </c>
      <c r="M706" t="str">
        <f t="shared" ref="M706:M769" si="209">"NIS"</f>
        <v>NIS</v>
      </c>
      <c r="O706">
        <v>8</v>
      </c>
      <c r="P706" t="str">
        <f t="shared" si="206"/>
        <v>Active</v>
      </c>
      <c r="Q706" t="str">
        <f>"Ball Feeder (incl. sensor for ball counting)"</f>
        <v>Ball Feeder (incl. sensor for ball counting)</v>
      </c>
      <c r="S706" t="str">
        <f>"Ball Feeder (incl. sensor for ball counting)"</f>
        <v>Ball Feeder (incl. sensor for ball counting)</v>
      </c>
      <c r="T706">
        <v>0</v>
      </c>
      <c r="U706">
        <v>536</v>
      </c>
      <c r="V706">
        <v>530.72</v>
      </c>
      <c r="W706" t="str">
        <f t="shared" si="201"/>
        <v>rob</v>
      </c>
    </row>
    <row r="707" spans="1:23">
      <c r="A707" t="str">
        <f t="shared" si="203"/>
        <v>ASM-MH5F-02</v>
      </c>
      <c r="B707" t="str">
        <f>"00-1243-0000"</f>
        <v>00-1243-0000</v>
      </c>
      <c r="C707" t="str">
        <f>"Ball Game Set (Assembly with Plastic Pins)"</f>
        <v>Ball Game Set (Assembly with Plastic Pins)</v>
      </c>
      <c r="D707">
        <v>12</v>
      </c>
      <c r="E707" t="str">
        <f t="shared" si="204"/>
        <v>Assembly for MOTOMAN MH5F (Ballgame &amp; Glue)</v>
      </c>
      <c r="F707">
        <v>503</v>
      </c>
      <c r="G707" t="str">
        <f t="shared" si="207"/>
        <v>Y</v>
      </c>
      <c r="H707" t="str">
        <f t="shared" si="205"/>
        <v>EA</v>
      </c>
      <c r="I707">
        <v>0</v>
      </c>
      <c r="J707">
        <v>0</v>
      </c>
      <c r="K707" t="str">
        <f t="shared" si="208"/>
        <v>Y</v>
      </c>
      <c r="L707">
        <v>0</v>
      </c>
      <c r="M707" t="str">
        <f t="shared" si="209"/>
        <v>NIS</v>
      </c>
      <c r="O707">
        <v>9</v>
      </c>
      <c r="P707" t="str">
        <f t="shared" si="206"/>
        <v>Active</v>
      </c>
      <c r="Q707" t="str">
        <f>"Ball Game Set (Assembly with Plastic Pins)"</f>
        <v>Ball Game Set (Assembly with Plastic Pins)</v>
      </c>
      <c r="S707" t="str">
        <f>"Ball Game Set (Assembly with Plastic Pins)"</f>
        <v>Ball Game Set (Assembly with Plastic Pins)</v>
      </c>
      <c r="T707">
        <v>0</v>
      </c>
      <c r="U707">
        <v>32</v>
      </c>
      <c r="V707">
        <v>34.770000000000003</v>
      </c>
      <c r="W707" t="str">
        <f t="shared" si="201"/>
        <v>rob</v>
      </c>
    </row>
    <row r="708" spans="1:23">
      <c r="A708" t="str">
        <f t="shared" si="203"/>
        <v>ASM-MH5F-02</v>
      </c>
      <c r="B708" t="str">
        <f>"00-1236-0000"</f>
        <v>00-1236-0000</v>
      </c>
      <c r="C708" t="str">
        <f>"Automatic Glue Dispenser"</f>
        <v>Automatic Glue Dispenser</v>
      </c>
      <c r="D708">
        <v>1</v>
      </c>
      <c r="E708" t="str">
        <f t="shared" si="204"/>
        <v>Assembly for MOTOMAN MH5F (Ballgame &amp; Glue)</v>
      </c>
      <c r="F708">
        <v>503</v>
      </c>
      <c r="G708" t="str">
        <f t="shared" si="207"/>
        <v>Y</v>
      </c>
      <c r="H708" t="str">
        <f t="shared" si="205"/>
        <v>EA</v>
      </c>
      <c r="I708">
        <v>0</v>
      </c>
      <c r="J708">
        <v>0</v>
      </c>
      <c r="K708" t="str">
        <f t="shared" si="208"/>
        <v>Y</v>
      </c>
      <c r="L708">
        <v>0</v>
      </c>
      <c r="M708" t="str">
        <f t="shared" si="209"/>
        <v>NIS</v>
      </c>
      <c r="O708">
        <v>10</v>
      </c>
      <c r="P708" t="str">
        <f t="shared" si="206"/>
        <v>Active</v>
      </c>
      <c r="Q708" t="str">
        <f>"Automatic Glue Dispenser"</f>
        <v>Automatic Glue Dispenser</v>
      </c>
      <c r="S708" t="str">
        <f>"Automatic Glue Dispenser"</f>
        <v>Automatic Glue Dispenser</v>
      </c>
      <c r="T708">
        <v>0</v>
      </c>
      <c r="U708" s="44">
        <v>1100</v>
      </c>
      <c r="V708" s="44">
        <v>1097.3699999999999</v>
      </c>
      <c r="W708" t="str">
        <f t="shared" si="201"/>
        <v>rob</v>
      </c>
    </row>
    <row r="709" spans="1:23">
      <c r="A709" t="str">
        <f t="shared" si="203"/>
        <v>ASM-MH5F-02</v>
      </c>
      <c r="B709" t="str">
        <f>"00-1284-0000"</f>
        <v>00-1284-0000</v>
      </c>
      <c r="C709" t="str">
        <f>"Robot Pedestal Welded for ER9/14Pro&amp;MH5"</f>
        <v>Robot Pedestal Welded for ER9/14Pro&amp;MH5</v>
      </c>
      <c r="D709">
        <v>1</v>
      </c>
      <c r="E709" t="str">
        <f t="shared" si="204"/>
        <v>Assembly for MOTOMAN MH5F (Ballgame &amp; Glue)</v>
      </c>
      <c r="F709">
        <v>503</v>
      </c>
      <c r="G709" t="str">
        <f t="shared" si="207"/>
        <v>Y</v>
      </c>
      <c r="H709" t="str">
        <f t="shared" si="205"/>
        <v>EA</v>
      </c>
      <c r="I709">
        <v>0</v>
      </c>
      <c r="J709">
        <v>0</v>
      </c>
      <c r="K709" t="str">
        <f t="shared" si="208"/>
        <v>Y</v>
      </c>
      <c r="L709">
        <v>0</v>
      </c>
      <c r="M709" t="str">
        <f t="shared" si="209"/>
        <v>NIS</v>
      </c>
      <c r="O709">
        <v>11</v>
      </c>
      <c r="P709" t="str">
        <f t="shared" si="206"/>
        <v>Active</v>
      </c>
      <c r="Q709" t="str">
        <f>"Heavy Duty Stand for ER9/14Pro&amp;HP3"</f>
        <v>Heavy Duty Stand for ER9/14Pro&amp;HP3</v>
      </c>
      <c r="S709" t="str">
        <f>"Robot Pedestal Welded for ER9/14Pro&amp;MH5"</f>
        <v>Robot Pedestal Welded for ER9/14Pro&amp;MH5</v>
      </c>
      <c r="T709">
        <v>0</v>
      </c>
      <c r="U709">
        <v>723.91</v>
      </c>
      <c r="V709">
        <v>671.12</v>
      </c>
      <c r="W709" t="str">
        <f t="shared" si="201"/>
        <v>rob</v>
      </c>
    </row>
    <row r="710" spans="1:23">
      <c r="A710" t="str">
        <f t="shared" si="203"/>
        <v>ASM-MH5F-02</v>
      </c>
      <c r="B710" t="str">
        <f>"00-1293-0000"</f>
        <v>00-1293-0000</v>
      </c>
      <c r="C710" t="str">
        <f>"Mobile Workbench 1500x1140mm (incl. Wheels)"</f>
        <v>Mobile Workbench 1500x1140mm (incl. Wheels)</v>
      </c>
      <c r="D710">
        <v>1</v>
      </c>
      <c r="E710" t="str">
        <f t="shared" si="204"/>
        <v>Assembly for MOTOMAN MH5F (Ballgame &amp; Glue)</v>
      </c>
      <c r="F710">
        <v>503</v>
      </c>
      <c r="G710" t="str">
        <f t="shared" si="207"/>
        <v>Y</v>
      </c>
      <c r="H710" t="str">
        <f t="shared" si="205"/>
        <v>EA</v>
      </c>
      <c r="I710">
        <v>0</v>
      </c>
      <c r="J710">
        <v>0</v>
      </c>
      <c r="K710" t="str">
        <f t="shared" si="208"/>
        <v>Y</v>
      </c>
      <c r="L710">
        <v>0</v>
      </c>
      <c r="M710" t="str">
        <f t="shared" si="209"/>
        <v>NIS</v>
      </c>
      <c r="O710">
        <v>12</v>
      </c>
      <c r="P710" t="str">
        <f t="shared" si="206"/>
        <v>Active</v>
      </c>
      <c r="Q710" t="str">
        <f>"Mobile Workbench 1500x1140mm (incl. Wheels)"</f>
        <v>Mobile Workbench 1500x1140mm (incl. Wheels)</v>
      </c>
      <c r="S710" t="str">
        <f>"Mobile Workbench 1500x1140mm (incl. Wheels)"</f>
        <v>Mobile Workbench 1500x1140mm (incl. Wheels)</v>
      </c>
      <c r="T710">
        <v>0</v>
      </c>
      <c r="U710">
        <v>860</v>
      </c>
      <c r="V710">
        <v>809.36</v>
      </c>
      <c r="W710" t="str">
        <f t="shared" si="201"/>
        <v>rob</v>
      </c>
    </row>
    <row r="711" spans="1:23">
      <c r="A711" t="str">
        <f t="shared" si="203"/>
        <v>ASM-MH5F-02</v>
      </c>
      <c r="B711" t="str">
        <f>"00-1290-0000"</f>
        <v>00-1290-0000</v>
      </c>
      <c r="C711" t="str">
        <f>"PC Table 630x800mm (with Keyboard Drawer)"</f>
        <v>PC Table 630x800mm (with Keyboard Drawer)</v>
      </c>
      <c r="D711">
        <v>1</v>
      </c>
      <c r="E711" t="str">
        <f t="shared" si="204"/>
        <v>Assembly for MOTOMAN MH5F (Ballgame &amp; Glue)</v>
      </c>
      <c r="F711">
        <v>503</v>
      </c>
      <c r="G711" t="str">
        <f t="shared" si="207"/>
        <v>Y</v>
      </c>
      <c r="H711" t="str">
        <f t="shared" si="205"/>
        <v>EA</v>
      </c>
      <c r="I711">
        <v>0</v>
      </c>
      <c r="J711">
        <v>0</v>
      </c>
      <c r="K711" t="str">
        <f t="shared" si="208"/>
        <v>Y</v>
      </c>
      <c r="L711">
        <v>0</v>
      </c>
      <c r="M711" t="str">
        <f t="shared" si="209"/>
        <v>NIS</v>
      </c>
      <c r="O711">
        <v>13</v>
      </c>
      <c r="P711" t="str">
        <f t="shared" si="206"/>
        <v>Active</v>
      </c>
      <c r="Q711" t="str">
        <f>"PC Table 630x800mm (with Keyboard Drawer)"</f>
        <v>PC Table 630x800mm (with Keyboard Drawer)</v>
      </c>
      <c r="S711" t="str">
        <f>"PC Table 630x800mm (with Keyboard Drawer)"</f>
        <v>PC Table 630x800mm (with Keyboard Drawer)</v>
      </c>
      <c r="T711">
        <v>0</v>
      </c>
      <c r="U711">
        <v>405.86</v>
      </c>
      <c r="V711">
        <v>329.34</v>
      </c>
      <c r="W711" t="str">
        <f t="shared" si="201"/>
        <v>rob</v>
      </c>
    </row>
    <row r="712" spans="1:23">
      <c r="A712" t="str">
        <f t="shared" si="203"/>
        <v>ASM-MH5F-02</v>
      </c>
      <c r="B712" t="str">
        <f>"50-0094-0000"</f>
        <v>50-0094-0000</v>
      </c>
      <c r="C712" t="str">
        <f>"Pre-Engineering, Design and Testing"</f>
        <v>Pre-Engineering, Design and Testing</v>
      </c>
      <c r="D712">
        <v>1</v>
      </c>
      <c r="E712" t="str">
        <f t="shared" si="204"/>
        <v>Assembly for MOTOMAN MH5F (Ballgame &amp; Glue)</v>
      </c>
      <c r="F712">
        <v>503</v>
      </c>
      <c r="G712" t="str">
        <f t="shared" si="207"/>
        <v>Y</v>
      </c>
      <c r="H712" t="str">
        <f>"DA"</f>
        <v>DA</v>
      </c>
      <c r="I712">
        <v>0</v>
      </c>
      <c r="J712">
        <v>0</v>
      </c>
      <c r="K712" t="str">
        <f t="shared" si="208"/>
        <v>Y</v>
      </c>
      <c r="L712">
        <v>0</v>
      </c>
      <c r="M712" t="str">
        <f t="shared" si="209"/>
        <v>NIS</v>
      </c>
      <c r="O712">
        <v>14</v>
      </c>
      <c r="P712" t="str">
        <f t="shared" si="206"/>
        <v>Active</v>
      </c>
      <c r="Q712" t="str">
        <f>"Pre-Engineering, Design and Testing"</f>
        <v>Pre-Engineering, Design and Testing</v>
      </c>
      <c r="S712" t="str">
        <f>"Pre-Engineering, Design and Testing"</f>
        <v>Pre-Engineering, Design and Testing</v>
      </c>
      <c r="T712">
        <v>0</v>
      </c>
      <c r="U712">
        <v>405</v>
      </c>
      <c r="V712">
        <v>421.2</v>
      </c>
      <c r="W712" t="str">
        <f t="shared" si="201"/>
        <v>rob</v>
      </c>
    </row>
    <row r="713" spans="1:23">
      <c r="A713" t="str">
        <f t="shared" ref="A713:A725" si="210">"ASM-MH5F-GEAR"</f>
        <v>ASM-MH5F-GEAR</v>
      </c>
      <c r="B713" t="str">
        <f>"00-0436-0000"</f>
        <v>00-0436-0000</v>
      </c>
      <c r="C713" t="str">
        <f>"MH5F compact high-speed 6-axis Robot"</f>
        <v>MH5F compact high-speed 6-axis Robot</v>
      </c>
      <c r="D713">
        <v>1</v>
      </c>
      <c r="E713" t="str">
        <f t="shared" ref="E713:E725" si="211">"Assembly for MOTOMAN MH5F (Gear Assembly)"</f>
        <v>Assembly for MOTOMAN MH5F (Gear Assembly)</v>
      </c>
      <c r="F713">
        <v>503</v>
      </c>
      <c r="G713" t="str">
        <f t="shared" si="207"/>
        <v>Y</v>
      </c>
      <c r="H713" t="str">
        <f t="shared" ref="H713:H724" si="212">"EA"</f>
        <v>EA</v>
      </c>
      <c r="I713">
        <v>0</v>
      </c>
      <c r="J713">
        <v>0</v>
      </c>
      <c r="K713" t="str">
        <f t="shared" si="208"/>
        <v>Y</v>
      </c>
      <c r="L713">
        <v>0</v>
      </c>
      <c r="M713" t="str">
        <f t="shared" si="209"/>
        <v>NIS</v>
      </c>
      <c r="O713">
        <v>1</v>
      </c>
      <c r="P713" t="str">
        <f t="shared" si="206"/>
        <v>Active</v>
      </c>
      <c r="Q713" t="str">
        <f>"MH5F compact high-speed 6-axis Robot"</f>
        <v>MH5F compact high-speed 6-axis Robot</v>
      </c>
      <c r="S713" t="str">
        <f>"MH5F compact high-speed 6-axis Robot"</f>
        <v>MH5F compact high-speed 6-axis Robot</v>
      </c>
      <c r="T713">
        <v>0</v>
      </c>
      <c r="U713" s="44">
        <v>23500</v>
      </c>
      <c r="V713" s="44">
        <v>16049.14</v>
      </c>
      <c r="W713" t="str">
        <f t="shared" si="201"/>
        <v>rob</v>
      </c>
    </row>
    <row r="714" spans="1:23">
      <c r="A714" t="str">
        <f t="shared" si="210"/>
        <v>ASM-MH5F-GEAR</v>
      </c>
      <c r="B714" t="str">
        <f>"00-0646-0000"</f>
        <v>00-0646-0000</v>
      </c>
      <c r="C714" t="str">
        <f>"Pneumatic Gripper with I/O Box for Motoman MH5F"</f>
        <v>Pneumatic Gripper with I/O Box for Motoman MH5F</v>
      </c>
      <c r="D714">
        <v>1</v>
      </c>
      <c r="E714" t="str">
        <f t="shared" si="211"/>
        <v>Assembly for MOTOMAN MH5F (Gear Assembly)</v>
      </c>
      <c r="F714">
        <v>503</v>
      </c>
      <c r="G714" t="str">
        <f t="shared" si="207"/>
        <v>Y</v>
      </c>
      <c r="H714" t="str">
        <f t="shared" si="212"/>
        <v>EA</v>
      </c>
      <c r="I714">
        <v>0</v>
      </c>
      <c r="J714">
        <v>0</v>
      </c>
      <c r="K714" t="str">
        <f t="shared" si="208"/>
        <v>Y</v>
      </c>
      <c r="L714">
        <v>0</v>
      </c>
      <c r="M714" t="str">
        <f t="shared" si="209"/>
        <v>NIS</v>
      </c>
      <c r="O714">
        <v>2</v>
      </c>
      <c r="P714" t="str">
        <f t="shared" si="206"/>
        <v>Active</v>
      </c>
      <c r="Q714" t="str">
        <f>"Pneumatic Gripper with I/O Box for Motoman MH5F"</f>
        <v>Pneumatic Gripper with I/O Box for Motoman MH5F</v>
      </c>
      <c r="S714" t="str">
        <f>"Pneumatic Gripper with I/O Box for Motoman MH5F"</f>
        <v>Pneumatic Gripper with I/O Box for Motoman MH5F</v>
      </c>
      <c r="T714">
        <v>0</v>
      </c>
      <c r="U714" s="44">
        <v>1500</v>
      </c>
      <c r="V714" s="44">
        <v>1238.52</v>
      </c>
      <c r="W714" t="str">
        <f t="shared" si="201"/>
        <v>rob</v>
      </c>
    </row>
    <row r="715" spans="1:23">
      <c r="A715" t="str">
        <f t="shared" si="210"/>
        <v>ASM-MH5F-GEAR</v>
      </c>
      <c r="B715" t="str">
        <f>"021031"</f>
        <v>021031</v>
      </c>
      <c r="C715" t="str">
        <f>"Buffer for Template"</f>
        <v>Buffer for Template</v>
      </c>
      <c r="D715">
        <v>4</v>
      </c>
      <c r="E715" t="str">
        <f t="shared" si="211"/>
        <v>Assembly for MOTOMAN MH5F (Gear Assembly)</v>
      </c>
      <c r="F715">
        <v>503</v>
      </c>
      <c r="G715" t="str">
        <f t="shared" si="207"/>
        <v>Y</v>
      </c>
      <c r="H715" t="str">
        <f t="shared" si="212"/>
        <v>EA</v>
      </c>
      <c r="I715">
        <v>0</v>
      </c>
      <c r="J715">
        <v>0</v>
      </c>
      <c r="K715" t="str">
        <f t="shared" si="208"/>
        <v>Y</v>
      </c>
      <c r="L715">
        <v>0</v>
      </c>
      <c r="M715" t="str">
        <f t="shared" si="209"/>
        <v>NIS</v>
      </c>
      <c r="O715">
        <v>3</v>
      </c>
      <c r="P715" t="str">
        <f t="shared" si="206"/>
        <v>Active</v>
      </c>
      <c r="Q715" t="str">
        <f>"מכלול- בסיס לטמפלט CIM"</f>
        <v>מכלול- בסיס לטמפלט CIM</v>
      </c>
      <c r="R715" t="str">
        <f>"1"</f>
        <v>1</v>
      </c>
      <c r="S715" t="str">
        <f>"מכלול- בסיס לטמפלט CIM"</f>
        <v>מכלול- בסיס לטמפלט CIM</v>
      </c>
      <c r="T715">
        <v>0</v>
      </c>
      <c r="U715">
        <v>18.329999999999998</v>
      </c>
      <c r="V715">
        <v>13.48</v>
      </c>
      <c r="W715" t="str">
        <f t="shared" si="201"/>
        <v>rob</v>
      </c>
    </row>
    <row r="716" spans="1:23">
      <c r="A716" t="str">
        <f t="shared" si="210"/>
        <v>ASM-MH5F-GEAR</v>
      </c>
      <c r="B716" t="str">
        <f>"00-1110-0000"</f>
        <v>00-1110-0000</v>
      </c>
      <c r="C716" t="str">
        <f>"Palletizing Rack"</f>
        <v>Palletizing Rack</v>
      </c>
      <c r="D716">
        <v>2</v>
      </c>
      <c r="E716" t="str">
        <f t="shared" si="211"/>
        <v>Assembly for MOTOMAN MH5F (Gear Assembly)</v>
      </c>
      <c r="F716">
        <v>503</v>
      </c>
      <c r="G716" t="str">
        <f t="shared" si="207"/>
        <v>Y</v>
      </c>
      <c r="H716" t="str">
        <f t="shared" si="212"/>
        <v>EA</v>
      </c>
      <c r="I716">
        <v>0</v>
      </c>
      <c r="J716">
        <v>0</v>
      </c>
      <c r="K716" t="str">
        <f t="shared" si="208"/>
        <v>Y</v>
      </c>
      <c r="L716">
        <v>0</v>
      </c>
      <c r="M716" t="str">
        <f t="shared" si="209"/>
        <v>NIS</v>
      </c>
      <c r="O716">
        <v>4</v>
      </c>
      <c r="P716" t="str">
        <f t="shared" si="206"/>
        <v>Active</v>
      </c>
      <c r="Q716" t="str">
        <f>"Palletizing Rack (incl. Pins for creating Jigs)"</f>
        <v>Palletizing Rack (incl. Pins for creating Jigs)</v>
      </c>
      <c r="S716" t="str">
        <f>"Palletizing Rack (incl. Pins for creating Jigs)"</f>
        <v>Palletizing Rack (incl. Pins for creating Jigs)</v>
      </c>
      <c r="T716">
        <v>0</v>
      </c>
      <c r="U716">
        <v>63</v>
      </c>
      <c r="V716">
        <v>58.59</v>
      </c>
      <c r="W716" t="str">
        <f t="shared" si="201"/>
        <v>rob</v>
      </c>
    </row>
    <row r="717" spans="1:23">
      <c r="A717" t="str">
        <f t="shared" si="210"/>
        <v>ASM-MH5F-GEAR</v>
      </c>
      <c r="B717" t="str">
        <f>"021172"</f>
        <v>021172</v>
      </c>
      <c r="C717" t="str">
        <f>"30mm Height Adapter -Rack 001110 on table 001249"</f>
        <v>30mm Height Adapter -Rack 001110 on table 001249</v>
      </c>
      <c r="D717">
        <v>2</v>
      </c>
      <c r="E717" t="str">
        <f t="shared" si="211"/>
        <v>Assembly for MOTOMAN MH5F (Gear Assembly)</v>
      </c>
      <c r="F717">
        <v>503</v>
      </c>
      <c r="G717" t="str">
        <f t="shared" si="207"/>
        <v>Y</v>
      </c>
      <c r="H717" t="str">
        <f t="shared" si="212"/>
        <v>EA</v>
      </c>
      <c r="I717">
        <v>0</v>
      </c>
      <c r="J717">
        <v>0</v>
      </c>
      <c r="K717" t="str">
        <f t="shared" si="208"/>
        <v>Y</v>
      </c>
      <c r="L717">
        <v>0</v>
      </c>
      <c r="M717" t="str">
        <f t="shared" si="209"/>
        <v>NIS</v>
      </c>
      <c r="O717">
        <v>5</v>
      </c>
      <c r="P717" t="str">
        <f t="shared" si="206"/>
        <v>Active</v>
      </c>
      <c r="Q717" t="str">
        <f>"30mm Height Adapter -Rack 001110 on table 001249"</f>
        <v>30mm Height Adapter -Rack 001110 on table 001249</v>
      </c>
      <c r="S717" t="str">
        <f>"30mm Height Adapter -Rack 001110 on table 001249"</f>
        <v>30mm Height Adapter -Rack 001110 on table 001249</v>
      </c>
      <c r="T717">
        <v>0</v>
      </c>
      <c r="U717">
        <v>13.12</v>
      </c>
      <c r="V717">
        <v>13.44</v>
      </c>
      <c r="W717" t="str">
        <f t="shared" si="201"/>
        <v>rob</v>
      </c>
    </row>
    <row r="718" spans="1:23">
      <c r="A718" t="str">
        <f t="shared" si="210"/>
        <v>ASM-MH5F-GEAR</v>
      </c>
      <c r="B718" t="str">
        <f>"21-0004-0000"</f>
        <v>21-0004-0000</v>
      </c>
      <c r="C718" t="str">
        <f>"Assembly, Dual Axis Air Vise Mechanicals"</f>
        <v>Assembly, Dual Axis Air Vise Mechanicals</v>
      </c>
      <c r="D718">
        <v>1</v>
      </c>
      <c r="E718" t="str">
        <f t="shared" si="211"/>
        <v>Assembly for MOTOMAN MH5F (Gear Assembly)</v>
      </c>
      <c r="F718">
        <v>503</v>
      </c>
      <c r="G718" t="str">
        <f t="shared" si="207"/>
        <v>Y</v>
      </c>
      <c r="H718" t="str">
        <f t="shared" si="212"/>
        <v>EA</v>
      </c>
      <c r="I718">
        <v>0</v>
      </c>
      <c r="J718">
        <v>0</v>
      </c>
      <c r="K718" t="str">
        <f t="shared" si="208"/>
        <v>Y</v>
      </c>
      <c r="L718">
        <v>0</v>
      </c>
      <c r="M718" t="str">
        <f t="shared" si="209"/>
        <v>NIS</v>
      </c>
      <c r="O718">
        <v>6</v>
      </c>
      <c r="P718" t="str">
        <f>"Phase Out"</f>
        <v>Phase Out</v>
      </c>
      <c r="Q718" t="str">
        <f>"Assembly, Dual Axis Air Vise Mechanicals"</f>
        <v>Assembly, Dual Axis Air Vise Mechanicals</v>
      </c>
      <c r="S718" t="str">
        <f>"Assembly, Dual Axis Air Vise Mechanicals"</f>
        <v>Assembly, Dual Axis Air Vise Mechanicals</v>
      </c>
      <c r="T718">
        <v>422.16</v>
      </c>
      <c r="U718">
        <v>422</v>
      </c>
      <c r="V718">
        <v>980.27</v>
      </c>
      <c r="W718" t="str">
        <f t="shared" si="201"/>
        <v>rob</v>
      </c>
    </row>
    <row r="719" spans="1:23">
      <c r="A719" t="str">
        <f t="shared" si="210"/>
        <v>ASM-MH5F-GEAR</v>
      </c>
      <c r="B719" t="str">
        <f>"10-2523-4000"</f>
        <v>10-2523-4000</v>
      </c>
      <c r="C719" t="str">
        <f>"Solenoid Valve (24V) for Pipe 3 mm"</f>
        <v>Solenoid Valve (24V) for Pipe 3 mm</v>
      </c>
      <c r="D719">
        <v>1</v>
      </c>
      <c r="E719" t="str">
        <f t="shared" si="211"/>
        <v>Assembly for MOTOMAN MH5F (Gear Assembly)</v>
      </c>
      <c r="F719">
        <v>503</v>
      </c>
      <c r="G719" t="str">
        <f t="shared" si="207"/>
        <v>Y</v>
      </c>
      <c r="H719" t="str">
        <f t="shared" si="212"/>
        <v>EA</v>
      </c>
      <c r="I719">
        <v>0</v>
      </c>
      <c r="J719">
        <v>0</v>
      </c>
      <c r="K719" t="str">
        <f t="shared" si="208"/>
        <v>Y</v>
      </c>
      <c r="L719">
        <v>0</v>
      </c>
      <c r="M719" t="str">
        <f t="shared" si="209"/>
        <v>NIS</v>
      </c>
      <c r="O719">
        <v>7</v>
      </c>
      <c r="P719" t="str">
        <f t="shared" ref="P719:P750" si="213">"Active"</f>
        <v>Active</v>
      </c>
      <c r="Q719" t="str">
        <f>"Solenoid Valve (24V) for Pipe 3 mm"</f>
        <v>Solenoid Valve (24V) for Pipe 3 mm</v>
      </c>
      <c r="S719" t="str">
        <f>"Solenoid Valve (24V) for Pipe 3 mm"</f>
        <v>Solenoid Valve (24V) for Pipe 3 mm</v>
      </c>
      <c r="T719">
        <v>0</v>
      </c>
      <c r="U719">
        <v>137</v>
      </c>
      <c r="V719">
        <v>133.35</v>
      </c>
      <c r="W719" t="str">
        <f t="shared" si="201"/>
        <v>rob</v>
      </c>
    </row>
    <row r="720" spans="1:23">
      <c r="A720" t="str">
        <f t="shared" si="210"/>
        <v>ASM-MH5F-GEAR</v>
      </c>
      <c r="B720" t="str">
        <f>"021061"</f>
        <v>021061</v>
      </c>
      <c r="C720" t="str">
        <f>"Gear set for assembly application"</f>
        <v>Gear set for assembly application</v>
      </c>
      <c r="D720">
        <v>1</v>
      </c>
      <c r="E720" t="str">
        <f t="shared" si="211"/>
        <v>Assembly for MOTOMAN MH5F (Gear Assembly)</v>
      </c>
      <c r="F720">
        <v>503</v>
      </c>
      <c r="G720" t="str">
        <f t="shared" si="207"/>
        <v>Y</v>
      </c>
      <c r="H720" t="str">
        <f t="shared" si="212"/>
        <v>EA</v>
      </c>
      <c r="I720">
        <v>0</v>
      </c>
      <c r="J720">
        <v>0</v>
      </c>
      <c r="K720" t="str">
        <f t="shared" si="208"/>
        <v>Y</v>
      </c>
      <c r="L720">
        <v>0</v>
      </c>
      <c r="M720" t="str">
        <f t="shared" si="209"/>
        <v>NIS</v>
      </c>
      <c r="O720">
        <v>8</v>
      </c>
      <c r="P720" t="str">
        <f t="shared" si="213"/>
        <v>Active</v>
      </c>
      <c r="Q720" t="str">
        <f>"Gear set for assembly application"</f>
        <v>Gear set for assembly application</v>
      </c>
      <c r="S720" t="str">
        <f>"Gear set for assembly application"</f>
        <v>Gear set for assembly application</v>
      </c>
      <c r="T720">
        <v>0</v>
      </c>
      <c r="U720">
        <v>140.77000000000001</v>
      </c>
      <c r="V720">
        <v>90.67</v>
      </c>
      <c r="W720" t="str">
        <f t="shared" si="201"/>
        <v>rob</v>
      </c>
    </row>
    <row r="721" spans="1:23">
      <c r="A721" t="str">
        <f t="shared" si="210"/>
        <v>ASM-MH5F-GEAR</v>
      </c>
      <c r="B721" t="str">
        <f>"021062"</f>
        <v>021062</v>
      </c>
      <c r="C721" t="str">
        <f>"Stand 150mm for assembly application"</f>
        <v>Stand 150mm for assembly application</v>
      </c>
      <c r="D721">
        <v>1</v>
      </c>
      <c r="E721" t="str">
        <f t="shared" si="211"/>
        <v>Assembly for MOTOMAN MH5F (Gear Assembly)</v>
      </c>
      <c r="F721">
        <v>503</v>
      </c>
      <c r="G721" t="str">
        <f t="shared" si="207"/>
        <v>Y</v>
      </c>
      <c r="H721" t="str">
        <f t="shared" si="212"/>
        <v>EA</v>
      </c>
      <c r="I721">
        <v>0</v>
      </c>
      <c r="J721">
        <v>0</v>
      </c>
      <c r="K721" t="str">
        <f t="shared" si="208"/>
        <v>Y</v>
      </c>
      <c r="L721">
        <v>0</v>
      </c>
      <c r="M721" t="str">
        <f t="shared" si="209"/>
        <v>NIS</v>
      </c>
      <c r="O721">
        <v>9</v>
      </c>
      <c r="P721" t="str">
        <f t="shared" si="213"/>
        <v>Active</v>
      </c>
      <c r="Q721" t="str">
        <f>"Stand 150mm for assembly application"</f>
        <v>Stand 150mm for assembly application</v>
      </c>
      <c r="S721" t="str">
        <f>"Stand 150mm for assembly application"</f>
        <v>Stand 150mm for assembly application</v>
      </c>
      <c r="T721">
        <v>0</v>
      </c>
      <c r="U721">
        <v>22</v>
      </c>
      <c r="V721">
        <v>21.4</v>
      </c>
      <c r="W721" t="str">
        <f t="shared" si="201"/>
        <v>rob</v>
      </c>
    </row>
    <row r="722" spans="1:23">
      <c r="A722" t="str">
        <f t="shared" si="210"/>
        <v>ASM-MH5F-GEAR</v>
      </c>
      <c r="B722" t="str">
        <f>"00-1284-0000"</f>
        <v>00-1284-0000</v>
      </c>
      <c r="C722" t="str">
        <f>"Robot Pedestal Welded for ER9/14Pro&amp;MH5"</f>
        <v>Robot Pedestal Welded for ER9/14Pro&amp;MH5</v>
      </c>
      <c r="D722">
        <v>1</v>
      </c>
      <c r="E722" t="str">
        <f t="shared" si="211"/>
        <v>Assembly for MOTOMAN MH5F (Gear Assembly)</v>
      </c>
      <c r="F722">
        <v>503</v>
      </c>
      <c r="G722" t="str">
        <f t="shared" si="207"/>
        <v>Y</v>
      </c>
      <c r="H722" t="str">
        <f t="shared" si="212"/>
        <v>EA</v>
      </c>
      <c r="I722">
        <v>0</v>
      </c>
      <c r="J722">
        <v>0</v>
      </c>
      <c r="K722" t="str">
        <f t="shared" si="208"/>
        <v>Y</v>
      </c>
      <c r="L722">
        <v>0</v>
      </c>
      <c r="M722" t="str">
        <f t="shared" si="209"/>
        <v>NIS</v>
      </c>
      <c r="O722">
        <v>10</v>
      </c>
      <c r="P722" t="str">
        <f t="shared" si="213"/>
        <v>Active</v>
      </c>
      <c r="Q722" t="str">
        <f>"Robot Pedestal Welded for ER9/14Pro&amp;MH5"</f>
        <v>Robot Pedestal Welded for ER9/14Pro&amp;MH5</v>
      </c>
      <c r="S722" t="str">
        <f>"Robot Pedestal Welded for ER9/14Pro&amp;MH5"</f>
        <v>Robot Pedestal Welded for ER9/14Pro&amp;MH5</v>
      </c>
      <c r="T722">
        <v>0</v>
      </c>
      <c r="U722">
        <v>723.91</v>
      </c>
      <c r="V722">
        <v>671.12</v>
      </c>
      <c r="W722" t="str">
        <f t="shared" si="201"/>
        <v>rob</v>
      </c>
    </row>
    <row r="723" spans="1:23">
      <c r="A723" t="str">
        <f t="shared" si="210"/>
        <v>ASM-MH5F-GEAR</v>
      </c>
      <c r="B723" t="str">
        <f>"00-1293-0000"</f>
        <v>00-1293-0000</v>
      </c>
      <c r="C723" t="str">
        <f>"Mobile Workbench 1500x1140mm (incl. Wheels)"</f>
        <v>Mobile Workbench 1500x1140mm (incl. Wheels)</v>
      </c>
      <c r="D723">
        <v>1</v>
      </c>
      <c r="E723" t="str">
        <f t="shared" si="211"/>
        <v>Assembly for MOTOMAN MH5F (Gear Assembly)</v>
      </c>
      <c r="F723">
        <v>503</v>
      </c>
      <c r="G723" t="str">
        <f t="shared" si="207"/>
        <v>Y</v>
      </c>
      <c r="H723" t="str">
        <f t="shared" si="212"/>
        <v>EA</v>
      </c>
      <c r="I723">
        <v>0</v>
      </c>
      <c r="J723">
        <v>0</v>
      </c>
      <c r="K723" t="str">
        <f t="shared" si="208"/>
        <v>Y</v>
      </c>
      <c r="L723">
        <v>0</v>
      </c>
      <c r="M723" t="str">
        <f t="shared" si="209"/>
        <v>NIS</v>
      </c>
      <c r="O723">
        <v>11</v>
      </c>
      <c r="P723" t="str">
        <f t="shared" si="213"/>
        <v>Active</v>
      </c>
      <c r="Q723" t="str">
        <f>"Mobile Workbench 1500x1140mm (incl. Wheels)"</f>
        <v>Mobile Workbench 1500x1140mm (incl. Wheels)</v>
      </c>
      <c r="S723" t="str">
        <f>"Mobile Workbench 1500x1140mm (incl. Wheels)"</f>
        <v>Mobile Workbench 1500x1140mm (incl. Wheels)</v>
      </c>
      <c r="T723">
        <v>0</v>
      </c>
      <c r="U723">
        <v>860</v>
      </c>
      <c r="V723">
        <v>809.36</v>
      </c>
      <c r="W723" t="str">
        <f t="shared" si="201"/>
        <v>rob</v>
      </c>
    </row>
    <row r="724" spans="1:23">
      <c r="A724" t="str">
        <f t="shared" si="210"/>
        <v>ASM-MH5F-GEAR</v>
      </c>
      <c r="B724" t="str">
        <f>"00-1290-0000"</f>
        <v>00-1290-0000</v>
      </c>
      <c r="C724" t="str">
        <f>"PC Table 630x800mm (with Keyboard Drawer)"</f>
        <v>PC Table 630x800mm (with Keyboard Drawer)</v>
      </c>
      <c r="D724">
        <v>1</v>
      </c>
      <c r="E724" t="str">
        <f t="shared" si="211"/>
        <v>Assembly for MOTOMAN MH5F (Gear Assembly)</v>
      </c>
      <c r="F724">
        <v>503</v>
      </c>
      <c r="G724" t="str">
        <f t="shared" si="207"/>
        <v>Y</v>
      </c>
      <c r="H724" t="str">
        <f t="shared" si="212"/>
        <v>EA</v>
      </c>
      <c r="I724">
        <v>0</v>
      </c>
      <c r="J724">
        <v>0</v>
      </c>
      <c r="K724" t="str">
        <f t="shared" si="208"/>
        <v>Y</v>
      </c>
      <c r="L724">
        <v>0</v>
      </c>
      <c r="M724" t="str">
        <f t="shared" si="209"/>
        <v>NIS</v>
      </c>
      <c r="O724">
        <v>12</v>
      </c>
      <c r="P724" t="str">
        <f t="shared" si="213"/>
        <v>Active</v>
      </c>
      <c r="Q724" t="str">
        <f>"PC Table 630x800mm (with Keyboard Drawer)"</f>
        <v>PC Table 630x800mm (with Keyboard Drawer)</v>
      </c>
      <c r="S724" t="str">
        <f>"PC Table 630x800mm (with Keyboard Drawer)"</f>
        <v>PC Table 630x800mm (with Keyboard Drawer)</v>
      </c>
      <c r="T724">
        <v>0</v>
      </c>
      <c r="U724">
        <v>405.86</v>
      </c>
      <c r="V724">
        <v>329.34</v>
      </c>
      <c r="W724" t="str">
        <f t="shared" si="201"/>
        <v>rob</v>
      </c>
    </row>
    <row r="725" spans="1:23">
      <c r="A725" t="str">
        <f t="shared" si="210"/>
        <v>ASM-MH5F-GEAR</v>
      </c>
      <c r="B725" t="str">
        <f>"50-0094-0000"</f>
        <v>50-0094-0000</v>
      </c>
      <c r="C725" t="str">
        <f>"Pre-Engineering, Design and Testing"</f>
        <v>Pre-Engineering, Design and Testing</v>
      </c>
      <c r="D725">
        <v>1</v>
      </c>
      <c r="E725" t="str">
        <f t="shared" si="211"/>
        <v>Assembly for MOTOMAN MH5F (Gear Assembly)</v>
      </c>
      <c r="F725">
        <v>503</v>
      </c>
      <c r="G725" t="str">
        <f t="shared" si="207"/>
        <v>Y</v>
      </c>
      <c r="H725" t="str">
        <f>"DA"</f>
        <v>DA</v>
      </c>
      <c r="I725">
        <v>0</v>
      </c>
      <c r="J725">
        <v>0</v>
      </c>
      <c r="K725" t="str">
        <f t="shared" si="208"/>
        <v>Y</v>
      </c>
      <c r="L725">
        <v>0</v>
      </c>
      <c r="M725" t="str">
        <f t="shared" si="209"/>
        <v>NIS</v>
      </c>
      <c r="O725">
        <v>13</v>
      </c>
      <c r="P725" t="str">
        <f t="shared" si="213"/>
        <v>Active</v>
      </c>
      <c r="Q725" t="str">
        <f>"Pre-Engineering, Design and Testing"</f>
        <v>Pre-Engineering, Design and Testing</v>
      </c>
      <c r="S725" t="str">
        <f>"Pre-Engineering, Design and Testing"</f>
        <v>Pre-Engineering, Design and Testing</v>
      </c>
      <c r="T725">
        <v>0</v>
      </c>
      <c r="U725">
        <v>405</v>
      </c>
      <c r="V725">
        <v>421.2</v>
      </c>
      <c r="W725" t="str">
        <f t="shared" si="201"/>
        <v>rob</v>
      </c>
    </row>
    <row r="726" spans="1:23">
      <c r="A726" t="str">
        <f>"ASRS-36U"</f>
        <v>ASRS-36U</v>
      </c>
      <c r="B726" t="str">
        <f>"00-0420-0000"</f>
        <v>00-0420-0000</v>
      </c>
      <c r="C726" t="str">
        <f>"ASRS-36u (36-bay Storage Unit)"</f>
        <v>ASRS-36u (36-bay Storage Unit)</v>
      </c>
      <c r="D726">
        <v>1</v>
      </c>
      <c r="E726" t="str">
        <f>"ASRS (Automated Storage and Retrieval System)-36 Shelves &amp; with teach pendant"</f>
        <v>ASRS (Automated Storage and Retrieval System)-36 Shelves &amp; with teach pendant</v>
      </c>
      <c r="F726">
        <v>501</v>
      </c>
      <c r="G726" t="str">
        <f t="shared" si="207"/>
        <v>Y</v>
      </c>
      <c r="H726" t="str">
        <f>"EA"</f>
        <v>EA</v>
      </c>
      <c r="I726">
        <v>0</v>
      </c>
      <c r="J726">
        <v>0</v>
      </c>
      <c r="K726" t="str">
        <f t="shared" si="208"/>
        <v>Y</v>
      </c>
      <c r="L726">
        <v>0</v>
      </c>
      <c r="M726" t="str">
        <f t="shared" si="209"/>
        <v>NIS</v>
      </c>
      <c r="O726">
        <v>1</v>
      </c>
      <c r="P726" t="str">
        <f t="shared" si="213"/>
        <v>Active</v>
      </c>
      <c r="Q726" t="str">
        <f>"ASRS-36u (36-bay Storage Unit)"</f>
        <v>ASRS-36u (36-bay Storage Unit)</v>
      </c>
      <c r="S726" t="str">
        <f>"ASRS-36u (36-bay Storage Unit)"</f>
        <v>ASRS-36u (36-bay Storage Unit)</v>
      </c>
      <c r="T726">
        <v>0</v>
      </c>
      <c r="U726" s="44">
        <v>7163.22</v>
      </c>
      <c r="V726" s="44">
        <v>7383.14</v>
      </c>
      <c r="W726" t="str">
        <f t="shared" si="201"/>
        <v>rob</v>
      </c>
    </row>
    <row r="727" spans="1:23">
      <c r="A727" t="str">
        <f>"ASRS-36U"</f>
        <v>ASRS-36U</v>
      </c>
      <c r="B727" t="str">
        <f>"00-1710-0000"</f>
        <v>00-1710-0000</v>
      </c>
      <c r="C727" t="str">
        <f>"Teach Pendant"</f>
        <v>Teach Pendant</v>
      </c>
      <c r="D727">
        <v>1</v>
      </c>
      <c r="E727" t="str">
        <f>"ASRS (Automated Storage and Retrieval System)-36 Shelves &amp; with teach pendant"</f>
        <v>ASRS (Automated Storage and Retrieval System)-36 Shelves &amp; with teach pendant</v>
      </c>
      <c r="F727">
        <v>501</v>
      </c>
      <c r="G727" t="str">
        <f t="shared" si="207"/>
        <v>Y</v>
      </c>
      <c r="H727" t="str">
        <f>"EA"</f>
        <v>EA</v>
      </c>
      <c r="I727">
        <v>0</v>
      </c>
      <c r="J727">
        <v>0</v>
      </c>
      <c r="K727" t="str">
        <f t="shared" si="208"/>
        <v>Y</v>
      </c>
      <c r="L727">
        <v>0</v>
      </c>
      <c r="M727" t="str">
        <f t="shared" si="209"/>
        <v>NIS</v>
      </c>
      <c r="O727">
        <v>2</v>
      </c>
      <c r="P727" t="str">
        <f t="shared" si="213"/>
        <v>Active</v>
      </c>
      <c r="Q727" t="str">
        <f>"Teach Pendant for USB/USB Pro Controllers"</f>
        <v>Teach Pendant for USB/USB Pro Controllers</v>
      </c>
      <c r="S727" t="str">
        <f>"Teach Pendant for USB/USB Pro Controllers"</f>
        <v>Teach Pendant for USB/USB Pro Controllers</v>
      </c>
      <c r="T727">
        <v>0</v>
      </c>
      <c r="U727">
        <v>160.18</v>
      </c>
      <c r="V727">
        <v>161.44999999999999</v>
      </c>
      <c r="W727" t="str">
        <f t="shared" si="201"/>
        <v>rob</v>
      </c>
    </row>
    <row r="728" spans="1:23">
      <c r="A728" t="str">
        <f>"ASRS-36U"</f>
        <v>ASRS-36U</v>
      </c>
      <c r="B728" t="str">
        <f>"50-0094-0000"</f>
        <v>50-0094-0000</v>
      </c>
      <c r="C728" t="str">
        <f>"Pre-Engineering, Design and Testing"</f>
        <v>Pre-Engineering, Design and Testing</v>
      </c>
      <c r="D728">
        <v>1</v>
      </c>
      <c r="E728" t="str">
        <f>"ASRS (Automated Storage and Retrieval System)-36 Shelves &amp; with teach pendant"</f>
        <v>ASRS (Automated Storage and Retrieval System)-36 Shelves &amp; with teach pendant</v>
      </c>
      <c r="F728">
        <v>501</v>
      </c>
      <c r="G728" t="str">
        <f t="shared" si="207"/>
        <v>Y</v>
      </c>
      <c r="H728" t="str">
        <f>"DA"</f>
        <v>DA</v>
      </c>
      <c r="I728">
        <v>0</v>
      </c>
      <c r="J728">
        <v>0</v>
      </c>
      <c r="K728" t="str">
        <f t="shared" si="208"/>
        <v>Y</v>
      </c>
      <c r="L728">
        <v>0</v>
      </c>
      <c r="M728" t="str">
        <f t="shared" si="209"/>
        <v>NIS</v>
      </c>
      <c r="O728">
        <v>3</v>
      </c>
      <c r="P728" t="str">
        <f t="shared" si="213"/>
        <v>Active</v>
      </c>
      <c r="Q728" t="str">
        <f>"Pre-Engineering, Design and Testing"</f>
        <v>Pre-Engineering, Design and Testing</v>
      </c>
      <c r="S728" t="str">
        <f>"Pre-Engineering, Design and Testing"</f>
        <v>Pre-Engineering, Design and Testing</v>
      </c>
      <c r="T728">
        <v>0</v>
      </c>
      <c r="U728">
        <v>405</v>
      </c>
      <c r="V728">
        <v>421.2</v>
      </c>
      <c r="W728" t="str">
        <f t="shared" si="201"/>
        <v>rob</v>
      </c>
    </row>
    <row r="729" spans="1:23">
      <c r="A729" t="str">
        <f>"ASRS-36U-RDR"</f>
        <v>ASRS-36U-RDR</v>
      </c>
      <c r="B729" t="str">
        <f>"00-0420-0000"</f>
        <v>00-0420-0000</v>
      </c>
      <c r="C729" t="str">
        <f>"ASRS-36u (36-bay Storage Unit)"</f>
        <v>ASRS-36u (36-bay Storage Unit)</v>
      </c>
      <c r="D729">
        <v>1</v>
      </c>
      <c r="E729" t="str">
        <f>"ASRS (Automated Storage and Retrieval System)-36 Shelves &amp; RFID Reader"</f>
        <v>ASRS (Automated Storage and Retrieval System)-36 Shelves &amp; RFID Reader</v>
      </c>
      <c r="F729">
        <v>501</v>
      </c>
      <c r="G729" t="str">
        <f t="shared" si="207"/>
        <v>Y</v>
      </c>
      <c r="H729" t="str">
        <f>"EA"</f>
        <v>EA</v>
      </c>
      <c r="I729">
        <v>0</v>
      </c>
      <c r="J729">
        <v>0</v>
      </c>
      <c r="K729" t="str">
        <f t="shared" si="208"/>
        <v>Y</v>
      </c>
      <c r="L729">
        <v>0</v>
      </c>
      <c r="M729" t="str">
        <f t="shared" si="209"/>
        <v>NIS</v>
      </c>
      <c r="O729">
        <v>1</v>
      </c>
      <c r="P729" t="str">
        <f t="shared" si="213"/>
        <v>Active</v>
      </c>
      <c r="Q729" t="str">
        <f>"ASRS-36u (36-bay Storage Unit)"</f>
        <v>ASRS-36u (36-bay Storage Unit)</v>
      </c>
      <c r="S729" t="str">
        <f>"ASRS-36u (36-bay Storage Unit)"</f>
        <v>ASRS-36u (36-bay Storage Unit)</v>
      </c>
      <c r="T729">
        <v>0</v>
      </c>
      <c r="U729" s="44">
        <v>7163.22</v>
      </c>
      <c r="V729" s="44">
        <v>7383.14</v>
      </c>
      <c r="W729" t="str">
        <f t="shared" si="201"/>
        <v>rob</v>
      </c>
    </row>
    <row r="730" spans="1:23">
      <c r="A730" t="str">
        <f>"ASRS-36U-RDR"</f>
        <v>ASRS-36U-RDR</v>
      </c>
      <c r="B730" t="str">
        <f>"00-1710-0000"</f>
        <v>00-1710-0000</v>
      </c>
      <c r="C730" t="str">
        <f>"Teach Pendant"</f>
        <v>Teach Pendant</v>
      </c>
      <c r="D730">
        <v>1</v>
      </c>
      <c r="E730" t="str">
        <f>"ASRS (Automated Storage and Retrieval System)-36 Shelves &amp; RFID Reader"</f>
        <v>ASRS (Automated Storage and Retrieval System)-36 Shelves &amp; RFID Reader</v>
      </c>
      <c r="F730">
        <v>501</v>
      </c>
      <c r="G730" t="str">
        <f t="shared" si="207"/>
        <v>Y</v>
      </c>
      <c r="H730" t="str">
        <f>"EA"</f>
        <v>EA</v>
      </c>
      <c r="I730">
        <v>0</v>
      </c>
      <c r="J730">
        <v>0</v>
      </c>
      <c r="K730" t="str">
        <f t="shared" si="208"/>
        <v>Y</v>
      </c>
      <c r="L730">
        <v>0</v>
      </c>
      <c r="M730" t="str">
        <f t="shared" si="209"/>
        <v>NIS</v>
      </c>
      <c r="O730">
        <v>2</v>
      </c>
      <c r="P730" t="str">
        <f t="shared" si="213"/>
        <v>Active</v>
      </c>
      <c r="Q730" t="str">
        <f>"Teach Pendant for USB/USB Pro Controllers"</f>
        <v>Teach Pendant for USB/USB Pro Controllers</v>
      </c>
      <c r="S730" t="str">
        <f>"Teach Pendant for USB/USB Pro Controllers"</f>
        <v>Teach Pendant for USB/USB Pro Controllers</v>
      </c>
      <c r="T730">
        <v>0</v>
      </c>
      <c r="U730">
        <v>160.18</v>
      </c>
      <c r="V730">
        <v>161.44999999999999</v>
      </c>
      <c r="W730" t="str">
        <f t="shared" si="201"/>
        <v>rob</v>
      </c>
    </row>
    <row r="731" spans="1:23">
      <c r="A731" t="str">
        <f>"ASRS-36U-RDR"</f>
        <v>ASRS-36U-RDR</v>
      </c>
      <c r="B731" t="str">
        <f>"10-2119-8000"</f>
        <v>10-2119-8000</v>
      </c>
      <c r="C731" t="str">
        <f>"RFID Reader System 115/230V"</f>
        <v>RFID Reader System 115/230V</v>
      </c>
      <c r="D731">
        <v>1</v>
      </c>
      <c r="E731" t="str">
        <f>"ASRS (Automated Storage and Retrieval System)-36 Shelves &amp; RFID Reader"</f>
        <v>ASRS (Automated Storage and Retrieval System)-36 Shelves &amp; RFID Reader</v>
      </c>
      <c r="F731">
        <v>501</v>
      </c>
      <c r="G731" t="str">
        <f t="shared" si="207"/>
        <v>Y</v>
      </c>
      <c r="H731" t="str">
        <f>"EA"</f>
        <v>EA</v>
      </c>
      <c r="I731">
        <v>0</v>
      </c>
      <c r="J731">
        <v>0</v>
      </c>
      <c r="K731" t="str">
        <f t="shared" si="208"/>
        <v>Y</v>
      </c>
      <c r="L731">
        <v>0</v>
      </c>
      <c r="M731" t="str">
        <f t="shared" si="209"/>
        <v>NIS</v>
      </c>
      <c r="O731">
        <v>3</v>
      </c>
      <c r="P731" t="str">
        <f t="shared" si="213"/>
        <v>Active</v>
      </c>
      <c r="Q731" t="str">
        <f>"RFID Reader  System, 115/230V"</f>
        <v>RFID Reader  System, 115/230V</v>
      </c>
      <c r="S731" t="str">
        <f>"RFID Reader System, 115/230"</f>
        <v>RFID Reader System, 115/230</v>
      </c>
      <c r="T731">
        <v>0</v>
      </c>
      <c r="U731">
        <v>220</v>
      </c>
      <c r="V731">
        <v>211.6</v>
      </c>
      <c r="W731" t="str">
        <f t="shared" si="201"/>
        <v>rob</v>
      </c>
    </row>
    <row r="732" spans="1:23">
      <c r="A732" t="str">
        <f>"ASRS-36U-RDR"</f>
        <v>ASRS-36U-RDR</v>
      </c>
      <c r="B732" t="str">
        <f>"410472"</f>
        <v>410472</v>
      </c>
      <c r="C732" t="str">
        <f>"RFID Tag 20"</f>
        <v>RFID Tag 20</v>
      </c>
      <c r="D732">
        <v>36</v>
      </c>
      <c r="E732" t="str">
        <f>"ASRS (Automated Storage and Retrieval System)-36 Shelves &amp; RFID Reader"</f>
        <v>ASRS (Automated Storage and Retrieval System)-36 Shelves &amp; RFID Reader</v>
      </c>
      <c r="F732">
        <v>501</v>
      </c>
      <c r="G732" t="str">
        <f t="shared" si="207"/>
        <v>Y</v>
      </c>
      <c r="H732" t="str">
        <f>"EA"</f>
        <v>EA</v>
      </c>
      <c r="I732">
        <v>0</v>
      </c>
      <c r="J732">
        <v>0</v>
      </c>
      <c r="K732" t="str">
        <f t="shared" si="208"/>
        <v>Y</v>
      </c>
      <c r="L732">
        <v>0</v>
      </c>
      <c r="M732" t="str">
        <f t="shared" si="209"/>
        <v>NIS</v>
      </c>
      <c r="O732">
        <v>4</v>
      </c>
      <c r="P732" t="str">
        <f t="shared" si="213"/>
        <v>Active</v>
      </c>
      <c r="Q732" t="str">
        <f>"RFID Tag Diam. 20mm"</f>
        <v>RFID Tag Diam. 20mm</v>
      </c>
      <c r="R732" t="str">
        <f>"1"</f>
        <v>1</v>
      </c>
      <c r="S732" t="str">
        <f>"תג שקוף עם מדבקה RFID Tag 125KHz Diam.=20mm"</f>
        <v>תג שקוף עם מדבקה RFID Tag 125KHz Diam.=20mm</v>
      </c>
      <c r="T732">
        <v>0</v>
      </c>
      <c r="U732">
        <v>1.41</v>
      </c>
      <c r="V732">
        <v>1.41</v>
      </c>
      <c r="W732" t="str">
        <f t="shared" si="201"/>
        <v>rob</v>
      </c>
    </row>
    <row r="733" spans="1:23">
      <c r="A733" t="str">
        <f>"ASRS-36U-RDR"</f>
        <v>ASRS-36U-RDR</v>
      </c>
      <c r="B733" t="str">
        <f>"50-0094-0000"</f>
        <v>50-0094-0000</v>
      </c>
      <c r="C733" t="str">
        <f>"Pre-Engineering, Design and Testing"</f>
        <v>Pre-Engineering, Design and Testing</v>
      </c>
      <c r="D733">
        <v>1</v>
      </c>
      <c r="E733" t="str">
        <f>"ASRS (Automated Storage and Retrieval System)-36 Shelves &amp; RFID Reader"</f>
        <v>ASRS (Automated Storage and Retrieval System)-36 Shelves &amp; RFID Reader</v>
      </c>
      <c r="F733">
        <v>501</v>
      </c>
      <c r="G733" t="str">
        <f t="shared" si="207"/>
        <v>Y</v>
      </c>
      <c r="H733" t="str">
        <f>"DA"</f>
        <v>DA</v>
      </c>
      <c r="I733">
        <v>0</v>
      </c>
      <c r="J733">
        <v>0</v>
      </c>
      <c r="K733" t="str">
        <f t="shared" si="208"/>
        <v>Y</v>
      </c>
      <c r="L733">
        <v>0</v>
      </c>
      <c r="M733" t="str">
        <f t="shared" si="209"/>
        <v>NIS</v>
      </c>
      <c r="O733">
        <v>5</v>
      </c>
      <c r="P733" t="str">
        <f t="shared" si="213"/>
        <v>Active</v>
      </c>
      <c r="Q733" t="str">
        <f>"Pre-Engineering, Design and Testing"</f>
        <v>Pre-Engineering, Design and Testing</v>
      </c>
      <c r="S733" t="str">
        <f>"Pre-Engineering, Design and Testing"</f>
        <v>Pre-Engineering, Design and Testing</v>
      </c>
      <c r="T733">
        <v>0</v>
      </c>
      <c r="U733">
        <v>405</v>
      </c>
      <c r="V733">
        <v>421.2</v>
      </c>
      <c r="W733" t="str">
        <f t="shared" si="201"/>
        <v>rob</v>
      </c>
    </row>
    <row r="734" spans="1:23">
      <c r="A734" t="str">
        <f>"ASRS-36Ux2"</f>
        <v>ASRS-36Ux2</v>
      </c>
      <c r="B734" t="str">
        <f>"00-0424-0000"</f>
        <v>00-0424-0000</v>
      </c>
      <c r="C734" t="str">
        <f>"ASRS-36x2 (72-bay Storage Unit)"</f>
        <v>ASRS-36x2 (72-bay Storage Unit)</v>
      </c>
      <c r="D734">
        <v>1</v>
      </c>
      <c r="E734" t="str">
        <f>"ASRS (Automated Storage and Retrieval System)-72 Shelves &amp; Cartesian Robot"</f>
        <v>ASRS (Automated Storage and Retrieval System)-72 Shelves &amp; Cartesian Robot</v>
      </c>
      <c r="F734">
        <v>501</v>
      </c>
      <c r="G734" t="str">
        <f t="shared" si="207"/>
        <v>Y</v>
      </c>
      <c r="H734" t="str">
        <f>"EA"</f>
        <v>EA</v>
      </c>
      <c r="I734">
        <v>0</v>
      </c>
      <c r="J734">
        <v>0</v>
      </c>
      <c r="K734" t="str">
        <f t="shared" si="208"/>
        <v>Y</v>
      </c>
      <c r="L734">
        <v>0</v>
      </c>
      <c r="M734" t="str">
        <f t="shared" si="209"/>
        <v>NIS</v>
      </c>
      <c r="O734">
        <v>1</v>
      </c>
      <c r="P734" t="str">
        <f t="shared" si="213"/>
        <v>Active</v>
      </c>
      <c r="Q734" t="str">
        <f>"ASRS-36x2 (72-bay Storage Unit)"</f>
        <v>ASRS-36x2 (72-bay Storage Unit)</v>
      </c>
      <c r="S734" t="str">
        <f>"ASRS-36x2 (72-bay Storage Unit)"</f>
        <v>ASRS-36x2 (72-bay Storage Unit)</v>
      </c>
      <c r="T734">
        <v>0</v>
      </c>
      <c r="U734" s="44">
        <v>9059.7199999999993</v>
      </c>
      <c r="V734" s="44">
        <v>9398.2800000000007</v>
      </c>
      <c r="W734" t="str">
        <f t="shared" si="201"/>
        <v>rob</v>
      </c>
    </row>
    <row r="735" spans="1:23">
      <c r="A735" t="str">
        <f>"ASRS-36Ux2"</f>
        <v>ASRS-36Ux2</v>
      </c>
      <c r="B735" t="str">
        <f>"00-1710-0000"</f>
        <v>00-1710-0000</v>
      </c>
      <c r="C735" t="str">
        <f>"Teach Pendant"</f>
        <v>Teach Pendant</v>
      </c>
      <c r="D735">
        <v>1</v>
      </c>
      <c r="E735" t="str">
        <f>"ASRS (Automated Storage and Retrieval System)-72 Shelves &amp; Cartesian Robot"</f>
        <v>ASRS (Automated Storage and Retrieval System)-72 Shelves &amp; Cartesian Robot</v>
      </c>
      <c r="F735">
        <v>501</v>
      </c>
      <c r="G735" t="str">
        <f t="shared" si="207"/>
        <v>Y</v>
      </c>
      <c r="H735" t="str">
        <f>"EA"</f>
        <v>EA</v>
      </c>
      <c r="I735">
        <v>0</v>
      </c>
      <c r="J735">
        <v>0</v>
      </c>
      <c r="K735" t="str">
        <f t="shared" si="208"/>
        <v>Y</v>
      </c>
      <c r="L735">
        <v>0</v>
      </c>
      <c r="M735" t="str">
        <f t="shared" si="209"/>
        <v>NIS</v>
      </c>
      <c r="O735">
        <v>2</v>
      </c>
      <c r="P735" t="str">
        <f t="shared" si="213"/>
        <v>Active</v>
      </c>
      <c r="Q735" t="str">
        <f>"Teach Pendant for USB/USB Pro Controllers"</f>
        <v>Teach Pendant for USB/USB Pro Controllers</v>
      </c>
      <c r="S735" t="str">
        <f>"Teach Pendant for USB/USB Pro Controllers"</f>
        <v>Teach Pendant for USB/USB Pro Controllers</v>
      </c>
      <c r="T735">
        <v>0</v>
      </c>
      <c r="U735">
        <v>160.18</v>
      </c>
      <c r="V735">
        <v>161.44999999999999</v>
      </c>
      <c r="W735" t="str">
        <f t="shared" si="201"/>
        <v>rob</v>
      </c>
    </row>
    <row r="736" spans="1:23">
      <c r="A736" t="str">
        <f>"ASRS-36Ux2"</f>
        <v>ASRS-36Ux2</v>
      </c>
      <c r="B736" t="str">
        <f>"50-0094-0000"</f>
        <v>50-0094-0000</v>
      </c>
      <c r="C736" t="str">
        <f>"Pre-Engineering, Design and Testing"</f>
        <v>Pre-Engineering, Design and Testing</v>
      </c>
      <c r="D736">
        <v>1</v>
      </c>
      <c r="E736" t="str">
        <f>"ASRS (Automated Storage and Retrieval System)-72 Shelves &amp; Cartesian Robot"</f>
        <v>ASRS (Automated Storage and Retrieval System)-72 Shelves &amp; Cartesian Robot</v>
      </c>
      <c r="F736">
        <v>501</v>
      </c>
      <c r="G736" t="str">
        <f t="shared" si="207"/>
        <v>Y</v>
      </c>
      <c r="H736" t="str">
        <f>"DA"</f>
        <v>DA</v>
      </c>
      <c r="I736">
        <v>0</v>
      </c>
      <c r="J736">
        <v>0</v>
      </c>
      <c r="K736" t="str">
        <f t="shared" si="208"/>
        <v>Y</v>
      </c>
      <c r="L736">
        <v>0</v>
      </c>
      <c r="M736" t="str">
        <f t="shared" si="209"/>
        <v>NIS</v>
      </c>
      <c r="O736">
        <v>3</v>
      </c>
      <c r="P736" t="str">
        <f t="shared" si="213"/>
        <v>Active</v>
      </c>
      <c r="Q736" t="str">
        <f>"Pre-Engineering, Design and Testing"</f>
        <v>Pre-Engineering, Design and Testing</v>
      </c>
      <c r="S736" t="str">
        <f>"Pre-Engineering, Design and Testing"</f>
        <v>Pre-Engineering, Design and Testing</v>
      </c>
      <c r="T736">
        <v>0</v>
      </c>
      <c r="U736">
        <v>405</v>
      </c>
      <c r="V736">
        <v>421.2</v>
      </c>
      <c r="W736" t="str">
        <f t="shared" si="201"/>
        <v>rob</v>
      </c>
    </row>
    <row r="737" spans="1:23">
      <c r="A737" t="str">
        <f>"ASRS-36Ux2-RDR"</f>
        <v>ASRS-36Ux2-RDR</v>
      </c>
      <c r="B737" t="str">
        <f>"00-0424-0000"</f>
        <v>00-0424-0000</v>
      </c>
      <c r="C737" t="str">
        <f>"ASRS-36x2 (72-bay Storage Unit)"</f>
        <v>ASRS-36x2 (72-bay Storage Unit)</v>
      </c>
      <c r="D737">
        <v>1</v>
      </c>
      <c r="E737" t="str">
        <f>"ASRS (Automated Storage and Retrieval System)-72 Shelves &amp; RFID Reader"</f>
        <v>ASRS (Automated Storage and Retrieval System)-72 Shelves &amp; RFID Reader</v>
      </c>
      <c r="F737">
        <v>501</v>
      </c>
      <c r="G737" t="str">
        <f t="shared" si="207"/>
        <v>Y</v>
      </c>
      <c r="H737" t="str">
        <f>"EA"</f>
        <v>EA</v>
      </c>
      <c r="I737">
        <v>0</v>
      </c>
      <c r="J737">
        <v>0</v>
      </c>
      <c r="K737" t="str">
        <f t="shared" si="208"/>
        <v>Y</v>
      </c>
      <c r="L737">
        <v>0</v>
      </c>
      <c r="M737" t="str">
        <f t="shared" si="209"/>
        <v>NIS</v>
      </c>
      <c r="O737">
        <v>1</v>
      </c>
      <c r="P737" t="str">
        <f t="shared" si="213"/>
        <v>Active</v>
      </c>
      <c r="Q737" t="str">
        <f>"ASRS-36x2 (72-bay Storage Unit)"</f>
        <v>ASRS-36x2 (72-bay Storage Unit)</v>
      </c>
      <c r="S737" t="str">
        <f>"ASRS-36x2 (72-bay Storage Unit)"</f>
        <v>ASRS-36x2 (72-bay Storage Unit)</v>
      </c>
      <c r="T737">
        <v>0</v>
      </c>
      <c r="U737" s="44">
        <v>9059.7199999999993</v>
      </c>
      <c r="V737" s="44">
        <v>9398.2800000000007</v>
      </c>
      <c r="W737" t="str">
        <f t="shared" si="201"/>
        <v>rob</v>
      </c>
    </row>
    <row r="738" spans="1:23">
      <c r="A738" t="str">
        <f>"ASRS-36Ux2-RDR"</f>
        <v>ASRS-36Ux2-RDR</v>
      </c>
      <c r="B738" t="str">
        <f>"00-1710-0000"</f>
        <v>00-1710-0000</v>
      </c>
      <c r="C738" t="str">
        <f>"Teach Pendant"</f>
        <v>Teach Pendant</v>
      </c>
      <c r="D738">
        <v>1</v>
      </c>
      <c r="E738" t="str">
        <f>"ASRS (Automated Storage and Retrieval System)-72 Shelves &amp; RFID Reader"</f>
        <v>ASRS (Automated Storage and Retrieval System)-72 Shelves &amp; RFID Reader</v>
      </c>
      <c r="F738">
        <v>501</v>
      </c>
      <c r="G738" t="str">
        <f t="shared" si="207"/>
        <v>Y</v>
      </c>
      <c r="H738" t="str">
        <f>"EA"</f>
        <v>EA</v>
      </c>
      <c r="I738">
        <v>0</v>
      </c>
      <c r="J738">
        <v>0</v>
      </c>
      <c r="K738" t="str">
        <f t="shared" si="208"/>
        <v>Y</v>
      </c>
      <c r="L738">
        <v>0</v>
      </c>
      <c r="M738" t="str">
        <f t="shared" si="209"/>
        <v>NIS</v>
      </c>
      <c r="O738">
        <v>2</v>
      </c>
      <c r="P738" t="str">
        <f t="shared" si="213"/>
        <v>Active</v>
      </c>
      <c r="Q738" t="str">
        <f>"Teach Pendant for USB/USB Pro Controllers"</f>
        <v>Teach Pendant for USB/USB Pro Controllers</v>
      </c>
      <c r="S738" t="str">
        <f>"Teach Pendant for USB/USB Pro Controllers"</f>
        <v>Teach Pendant for USB/USB Pro Controllers</v>
      </c>
      <c r="T738">
        <v>0</v>
      </c>
      <c r="U738">
        <v>160.18</v>
      </c>
      <c r="V738">
        <v>161.44999999999999</v>
      </c>
      <c r="W738" t="str">
        <f t="shared" si="201"/>
        <v>rob</v>
      </c>
    </row>
    <row r="739" spans="1:23">
      <c r="A739" t="str">
        <f>"ASRS-36Ux2-RDR"</f>
        <v>ASRS-36Ux2-RDR</v>
      </c>
      <c r="B739" t="str">
        <f>"10-2119-8000"</f>
        <v>10-2119-8000</v>
      </c>
      <c r="C739" t="str">
        <f>"RFID Reader System 115/230V"</f>
        <v>RFID Reader System 115/230V</v>
      </c>
      <c r="D739">
        <v>1</v>
      </c>
      <c r="E739" t="str">
        <f>"ASRS (Automated Storage and Retrieval System)-72 Shelves &amp; RFID Reader"</f>
        <v>ASRS (Automated Storage and Retrieval System)-72 Shelves &amp; RFID Reader</v>
      </c>
      <c r="F739">
        <v>501</v>
      </c>
      <c r="G739" t="str">
        <f t="shared" si="207"/>
        <v>Y</v>
      </c>
      <c r="H739" t="str">
        <f>"EA"</f>
        <v>EA</v>
      </c>
      <c r="I739">
        <v>0</v>
      </c>
      <c r="J739">
        <v>0</v>
      </c>
      <c r="K739" t="str">
        <f t="shared" si="208"/>
        <v>Y</v>
      </c>
      <c r="L739">
        <v>0</v>
      </c>
      <c r="M739" t="str">
        <f t="shared" si="209"/>
        <v>NIS</v>
      </c>
      <c r="O739">
        <v>3</v>
      </c>
      <c r="P739" t="str">
        <f t="shared" si="213"/>
        <v>Active</v>
      </c>
      <c r="Q739" t="str">
        <f>"RFID Reader  System, 115/230V"</f>
        <v>RFID Reader  System, 115/230V</v>
      </c>
      <c r="S739" t="str">
        <f>"RFID Reader System, 115/230"</f>
        <v>RFID Reader System, 115/230</v>
      </c>
      <c r="T739">
        <v>0</v>
      </c>
      <c r="U739">
        <v>220</v>
      </c>
      <c r="V739">
        <v>211.6</v>
      </c>
      <c r="W739" t="str">
        <f t="shared" si="201"/>
        <v>rob</v>
      </c>
    </row>
    <row r="740" spans="1:23">
      <c r="A740" t="str">
        <f>"ASRS-36Ux2-RDR"</f>
        <v>ASRS-36Ux2-RDR</v>
      </c>
      <c r="B740" t="str">
        <f>"410472"</f>
        <v>410472</v>
      </c>
      <c r="C740" t="str">
        <f>"RFID Tag 20"</f>
        <v>RFID Tag 20</v>
      </c>
      <c r="D740">
        <v>72</v>
      </c>
      <c r="E740" t="str">
        <f>"ASRS (Automated Storage and Retrieval System)-72 Shelves &amp; RFID Reader"</f>
        <v>ASRS (Automated Storage and Retrieval System)-72 Shelves &amp; RFID Reader</v>
      </c>
      <c r="F740">
        <v>501</v>
      </c>
      <c r="G740" t="str">
        <f t="shared" si="207"/>
        <v>Y</v>
      </c>
      <c r="H740" t="str">
        <f>"EA"</f>
        <v>EA</v>
      </c>
      <c r="I740">
        <v>0</v>
      </c>
      <c r="J740">
        <v>0</v>
      </c>
      <c r="K740" t="str">
        <f t="shared" si="208"/>
        <v>Y</v>
      </c>
      <c r="L740">
        <v>0</v>
      </c>
      <c r="M740" t="str">
        <f t="shared" si="209"/>
        <v>NIS</v>
      </c>
      <c r="O740">
        <v>4</v>
      </c>
      <c r="P740" t="str">
        <f t="shared" si="213"/>
        <v>Active</v>
      </c>
      <c r="Q740" t="str">
        <f>"RFID Tag Diam. 20mm"</f>
        <v>RFID Tag Diam. 20mm</v>
      </c>
      <c r="R740" t="str">
        <f>"1"</f>
        <v>1</v>
      </c>
      <c r="S740" t="str">
        <f>"תג שקוף עם מדבקה RFID Tag 125KHz Diam.=20mm"</f>
        <v>תג שקוף עם מדבקה RFID Tag 125KHz Diam.=20mm</v>
      </c>
      <c r="T740">
        <v>0</v>
      </c>
      <c r="U740">
        <v>1.41</v>
      </c>
      <c r="V740">
        <v>1.41</v>
      </c>
      <c r="W740" t="str">
        <f t="shared" si="201"/>
        <v>rob</v>
      </c>
    </row>
    <row r="741" spans="1:23">
      <c r="A741" t="str">
        <f>"ASRS-36Ux2-RDR"</f>
        <v>ASRS-36Ux2-RDR</v>
      </c>
      <c r="B741" t="str">
        <f>"50-0094-0000"</f>
        <v>50-0094-0000</v>
      </c>
      <c r="C741" t="str">
        <f>"Pre-Engineering, Design and Testing"</f>
        <v>Pre-Engineering, Design and Testing</v>
      </c>
      <c r="D741">
        <v>1</v>
      </c>
      <c r="E741" t="str">
        <f>"ASRS (Automated Storage and Retrieval System)-72 Shelves &amp; RFID Reader"</f>
        <v>ASRS (Automated Storage and Retrieval System)-72 Shelves &amp; RFID Reader</v>
      </c>
      <c r="F741">
        <v>501</v>
      </c>
      <c r="G741" t="str">
        <f t="shared" si="207"/>
        <v>Y</v>
      </c>
      <c r="H741" t="str">
        <f>"DA"</f>
        <v>DA</v>
      </c>
      <c r="I741">
        <v>0</v>
      </c>
      <c r="J741">
        <v>0</v>
      </c>
      <c r="K741" t="str">
        <f t="shared" si="208"/>
        <v>Y</v>
      </c>
      <c r="L741">
        <v>0</v>
      </c>
      <c r="M741" t="str">
        <f t="shared" si="209"/>
        <v>NIS</v>
      </c>
      <c r="O741">
        <v>5</v>
      </c>
      <c r="P741" t="str">
        <f t="shared" si="213"/>
        <v>Active</v>
      </c>
      <c r="Q741" t="str">
        <f>"Pre-Engineering, Design and Testing"</f>
        <v>Pre-Engineering, Design and Testing</v>
      </c>
      <c r="S741" t="str">
        <f>"Pre-Engineering, Design and Testing"</f>
        <v>Pre-Engineering, Design and Testing</v>
      </c>
      <c r="T741">
        <v>0</v>
      </c>
      <c r="U741">
        <v>405</v>
      </c>
      <c r="V741">
        <v>421.2</v>
      </c>
      <c r="W741" t="str">
        <f t="shared" si="201"/>
        <v>rob</v>
      </c>
    </row>
    <row r="742" spans="1:23">
      <c r="A742" t="str">
        <f t="shared" ref="A742:A747" si="214">"ASRS-ER4U-06"</f>
        <v>ASRS-ER4U-06</v>
      </c>
      <c r="B742" t="str">
        <f>"00-0413-0000"</f>
        <v>00-0413-0000</v>
      </c>
      <c r="C742" t="str">
        <f>"SCORBOT-ER 4u"</f>
        <v>SCORBOT-ER 4u</v>
      </c>
      <c r="D742">
        <v>1</v>
      </c>
      <c r="E742" t="str">
        <f t="shared" ref="E742:E747" si="215">"ASRS (Automated Storage and Retrieval System)-6 Shelves &amp; Scorbot-ER4U robot"</f>
        <v>ASRS (Automated Storage and Retrieval System)-6 Shelves &amp; Scorbot-ER4U robot</v>
      </c>
      <c r="F742">
        <v>501</v>
      </c>
      <c r="G742" t="str">
        <f t="shared" si="207"/>
        <v>Y</v>
      </c>
      <c r="H742" t="str">
        <f>"EA"</f>
        <v>EA</v>
      </c>
      <c r="I742">
        <v>0</v>
      </c>
      <c r="J742">
        <v>0</v>
      </c>
      <c r="K742" t="str">
        <f t="shared" si="208"/>
        <v>Y</v>
      </c>
      <c r="L742">
        <v>0</v>
      </c>
      <c r="M742" t="str">
        <f t="shared" si="209"/>
        <v>NIS</v>
      </c>
      <c r="O742">
        <v>1</v>
      </c>
      <c r="P742" t="str">
        <f t="shared" si="213"/>
        <v>Active</v>
      </c>
      <c r="Q742" t="str">
        <f>"SCORBOT-ER 4u (Package)"</f>
        <v>SCORBOT-ER 4u (Package)</v>
      </c>
      <c r="S742" t="str">
        <f>"SCORBOT-ER 4u (Package)"</f>
        <v>SCORBOT-ER 4u (Package)</v>
      </c>
      <c r="T742">
        <v>0</v>
      </c>
      <c r="U742" s="44">
        <v>3200</v>
      </c>
      <c r="V742" s="44">
        <v>3390.7</v>
      </c>
      <c r="W742" t="str">
        <f t="shared" si="201"/>
        <v>rob</v>
      </c>
    </row>
    <row r="743" spans="1:23">
      <c r="A743" t="str">
        <f t="shared" si="214"/>
        <v>ASRS-ER4U-06</v>
      </c>
      <c r="B743" t="str">
        <f>"00-0609-0000"</f>
        <v>00-0609-0000</v>
      </c>
      <c r="C743" t="str">
        <f>"Gripper attachment for round and square parts"</f>
        <v>Gripper attachment for round and square parts</v>
      </c>
      <c r="D743">
        <v>1</v>
      </c>
      <c r="E743" t="str">
        <f t="shared" si="215"/>
        <v>ASRS (Automated Storage and Retrieval System)-6 Shelves &amp; Scorbot-ER4U robot</v>
      </c>
      <c r="F743">
        <v>501</v>
      </c>
      <c r="G743" t="str">
        <f t="shared" si="207"/>
        <v>Y</v>
      </c>
      <c r="H743" t="str">
        <f>"EA"</f>
        <v>EA</v>
      </c>
      <c r="I743">
        <v>0</v>
      </c>
      <c r="J743">
        <v>0</v>
      </c>
      <c r="K743" t="str">
        <f t="shared" si="208"/>
        <v>Y</v>
      </c>
      <c r="L743">
        <v>0</v>
      </c>
      <c r="M743" t="str">
        <f t="shared" si="209"/>
        <v>NIS</v>
      </c>
      <c r="O743">
        <v>2</v>
      </c>
      <c r="P743" t="str">
        <f t="shared" si="213"/>
        <v>Active</v>
      </c>
      <c r="Q743" t="str">
        <f>"End Effector Attachment for ER4U Gripper"</f>
        <v>End Effector Attachment for ER4U Gripper</v>
      </c>
      <c r="S743" t="str">
        <f>"End Effector Attachment for ER4U Gripper"</f>
        <v>End Effector Attachment for ER4U Gripper</v>
      </c>
      <c r="T743">
        <v>0</v>
      </c>
      <c r="U743">
        <v>25.59</v>
      </c>
      <c r="V743">
        <v>25.11</v>
      </c>
      <c r="W743" t="str">
        <f t="shared" si="201"/>
        <v>rob</v>
      </c>
    </row>
    <row r="744" spans="1:23">
      <c r="A744" t="str">
        <f t="shared" si="214"/>
        <v>ASRS-ER4U-06</v>
      </c>
      <c r="B744" t="str">
        <f>"00-1710-0000"</f>
        <v>00-1710-0000</v>
      </c>
      <c r="C744" t="str">
        <f>"Teach Pendant"</f>
        <v>Teach Pendant</v>
      </c>
      <c r="D744">
        <v>1</v>
      </c>
      <c r="E744" t="str">
        <f t="shared" si="215"/>
        <v>ASRS (Automated Storage and Retrieval System)-6 Shelves &amp; Scorbot-ER4U robot</v>
      </c>
      <c r="F744">
        <v>501</v>
      </c>
      <c r="G744" t="str">
        <f t="shared" si="207"/>
        <v>Y</v>
      </c>
      <c r="H744" t="str">
        <f>"EA"</f>
        <v>EA</v>
      </c>
      <c r="I744">
        <v>0</v>
      </c>
      <c r="J744">
        <v>0</v>
      </c>
      <c r="K744" t="str">
        <f t="shared" si="208"/>
        <v>Y</v>
      </c>
      <c r="L744">
        <v>0</v>
      </c>
      <c r="M744" t="str">
        <f t="shared" si="209"/>
        <v>NIS</v>
      </c>
      <c r="O744">
        <v>3</v>
      </c>
      <c r="P744" t="str">
        <f t="shared" si="213"/>
        <v>Active</v>
      </c>
      <c r="Q744" t="str">
        <f>"Teach Pendant for USB/USB Pro Controllers"</f>
        <v>Teach Pendant for USB/USB Pro Controllers</v>
      </c>
      <c r="S744" t="str">
        <f>"Teach Pendant for USB/USB Pro Controllers"</f>
        <v>Teach Pendant for USB/USB Pro Controllers</v>
      </c>
      <c r="T744">
        <v>0</v>
      </c>
      <c r="U744">
        <v>160.18</v>
      </c>
      <c r="V744">
        <v>161.44999999999999</v>
      </c>
      <c r="W744" t="str">
        <f t="shared" si="201"/>
        <v>rob</v>
      </c>
    </row>
    <row r="745" spans="1:23">
      <c r="A745" t="str">
        <f t="shared" si="214"/>
        <v>ASRS-ER4U-06</v>
      </c>
      <c r="B745" t="str">
        <f>"00-1121-0000"</f>
        <v>00-1121-0000</v>
      </c>
      <c r="C745" t="str">
        <f>"MicroASRS (6-bay Storage Rack)"</f>
        <v>MicroASRS (6-bay Storage Rack)</v>
      </c>
      <c r="D745">
        <v>1</v>
      </c>
      <c r="E745" t="str">
        <f t="shared" si="215"/>
        <v>ASRS (Automated Storage and Retrieval System)-6 Shelves &amp; Scorbot-ER4U robot</v>
      </c>
      <c r="F745">
        <v>501</v>
      </c>
      <c r="G745" t="str">
        <f t="shared" si="207"/>
        <v>Y</v>
      </c>
      <c r="H745" t="str">
        <f>"EA"</f>
        <v>EA</v>
      </c>
      <c r="I745">
        <v>0</v>
      </c>
      <c r="J745">
        <v>0</v>
      </c>
      <c r="K745" t="str">
        <f t="shared" si="208"/>
        <v>Y</v>
      </c>
      <c r="L745">
        <v>0</v>
      </c>
      <c r="M745" t="str">
        <f t="shared" si="209"/>
        <v>NIS</v>
      </c>
      <c r="O745">
        <v>4</v>
      </c>
      <c r="P745" t="str">
        <f t="shared" si="213"/>
        <v>Active</v>
      </c>
      <c r="Q745" t="str">
        <f>"MicroASRS (6-bay Storage Rack)"</f>
        <v>MicroASRS (6-bay Storage Rack)</v>
      </c>
      <c r="S745" t="str">
        <f>"MicroASRS (6-bay Storage Rack)"</f>
        <v>MicroASRS (6-bay Storage Rack)</v>
      </c>
      <c r="T745">
        <v>0</v>
      </c>
      <c r="U745">
        <v>430</v>
      </c>
      <c r="V745">
        <v>443.16</v>
      </c>
      <c r="W745" t="str">
        <f t="shared" si="201"/>
        <v>rob</v>
      </c>
    </row>
    <row r="746" spans="1:23">
      <c r="A746" t="str">
        <f t="shared" si="214"/>
        <v>ASRS-ER4U-06</v>
      </c>
      <c r="B746" t="str">
        <f>"00-1251-0000"</f>
        <v>00-1251-0000</v>
      </c>
      <c r="C746" t="str">
        <f>"Workbench 1500x800mm (Formica Top)"</f>
        <v>Workbench 1500x800mm (Formica Top)</v>
      </c>
      <c r="D746">
        <v>1</v>
      </c>
      <c r="E746" t="str">
        <f t="shared" si="215"/>
        <v>ASRS (Automated Storage and Retrieval System)-6 Shelves &amp; Scorbot-ER4U robot</v>
      </c>
      <c r="F746">
        <v>501</v>
      </c>
      <c r="G746" t="str">
        <f t="shared" si="207"/>
        <v>Y</v>
      </c>
      <c r="H746" t="str">
        <f>"EA"</f>
        <v>EA</v>
      </c>
      <c r="I746">
        <v>0</v>
      </c>
      <c r="J746">
        <v>0</v>
      </c>
      <c r="K746" t="str">
        <f t="shared" si="208"/>
        <v>Y</v>
      </c>
      <c r="L746">
        <v>0</v>
      </c>
      <c r="M746" t="str">
        <f t="shared" si="209"/>
        <v>NIS</v>
      </c>
      <c r="O746">
        <v>5</v>
      </c>
      <c r="P746" t="str">
        <f t="shared" si="213"/>
        <v>Active</v>
      </c>
      <c r="Q746" t="str">
        <f>"Workbench 1500x800mm (Formica Top)"</f>
        <v>Workbench 1500x800mm (Formica Top)</v>
      </c>
      <c r="S746" t="str">
        <f>"Workbench 1500x800mm (Formica Top)"</f>
        <v>Workbench 1500x800mm (Formica Top)</v>
      </c>
      <c r="T746">
        <v>0</v>
      </c>
      <c r="U746">
        <v>582</v>
      </c>
      <c r="V746">
        <v>588.6</v>
      </c>
      <c r="W746" t="str">
        <f t="shared" si="201"/>
        <v>rob</v>
      </c>
    </row>
    <row r="747" spans="1:23">
      <c r="A747" t="str">
        <f t="shared" si="214"/>
        <v>ASRS-ER4U-06</v>
      </c>
      <c r="B747" t="str">
        <f>"50-0094-0000"</f>
        <v>50-0094-0000</v>
      </c>
      <c r="C747" t="str">
        <f>"Pre-Engineering, Design and Testing"</f>
        <v>Pre-Engineering, Design and Testing</v>
      </c>
      <c r="D747">
        <v>1</v>
      </c>
      <c r="E747" t="str">
        <f t="shared" si="215"/>
        <v>ASRS (Automated Storage and Retrieval System)-6 Shelves &amp; Scorbot-ER4U robot</v>
      </c>
      <c r="F747">
        <v>501</v>
      </c>
      <c r="G747" t="str">
        <f t="shared" si="207"/>
        <v>Y</v>
      </c>
      <c r="H747" t="str">
        <f>"DA"</f>
        <v>DA</v>
      </c>
      <c r="I747">
        <v>0</v>
      </c>
      <c r="J747">
        <v>0</v>
      </c>
      <c r="K747" t="str">
        <f t="shared" si="208"/>
        <v>Y</v>
      </c>
      <c r="L747">
        <v>0</v>
      </c>
      <c r="M747" t="str">
        <f t="shared" si="209"/>
        <v>NIS</v>
      </c>
      <c r="O747">
        <v>6</v>
      </c>
      <c r="P747" t="str">
        <f t="shared" si="213"/>
        <v>Active</v>
      </c>
      <c r="Q747" t="str">
        <f>"Pre-Engineering, Design and Testing"</f>
        <v>Pre-Engineering, Design and Testing</v>
      </c>
      <c r="S747" t="str">
        <f>"Pre-Engineering, Design and Testing"</f>
        <v>Pre-Engineering, Design and Testing</v>
      </c>
      <c r="T747">
        <v>0</v>
      </c>
      <c r="U747">
        <v>405</v>
      </c>
      <c r="V747">
        <v>421.2</v>
      </c>
      <c r="W747" t="str">
        <f t="shared" si="201"/>
        <v>rob</v>
      </c>
    </row>
    <row r="748" spans="1:23">
      <c r="A748" t="str">
        <f t="shared" ref="A748:A755" si="216">"ASRS-ER4U-06-RDR"</f>
        <v>ASRS-ER4U-06-RDR</v>
      </c>
      <c r="B748" t="str">
        <f>"00-0413-0000"</f>
        <v>00-0413-0000</v>
      </c>
      <c r="C748" t="str">
        <f>"SCORBOT-ER 4u"</f>
        <v>SCORBOT-ER 4u</v>
      </c>
      <c r="D748">
        <v>1</v>
      </c>
      <c r="E748" t="str">
        <f t="shared" ref="E748:E755" si="217">"ASRS (Aut.Storage &amp; Retrieval Sys)-6 Shelves, Scorbot-ER4U robot &amp; RFID Reader"</f>
        <v>ASRS (Aut.Storage &amp; Retrieval Sys)-6 Shelves, Scorbot-ER4U robot &amp; RFID Reader</v>
      </c>
      <c r="F748">
        <v>501</v>
      </c>
      <c r="G748" t="str">
        <f t="shared" si="207"/>
        <v>Y</v>
      </c>
      <c r="H748" t="str">
        <f t="shared" ref="H748:H754" si="218">"EA"</f>
        <v>EA</v>
      </c>
      <c r="I748">
        <v>0</v>
      </c>
      <c r="J748">
        <v>0</v>
      </c>
      <c r="K748" t="str">
        <f t="shared" si="208"/>
        <v>Y</v>
      </c>
      <c r="L748">
        <v>0</v>
      </c>
      <c r="M748" t="str">
        <f t="shared" si="209"/>
        <v>NIS</v>
      </c>
      <c r="O748">
        <v>1</v>
      </c>
      <c r="P748" t="str">
        <f t="shared" si="213"/>
        <v>Active</v>
      </c>
      <c r="Q748" t="str">
        <f>"SCORBOT-ER 4u (Package)"</f>
        <v>SCORBOT-ER 4u (Package)</v>
      </c>
      <c r="S748" t="str">
        <f>"SCORBOT-ER 4u (Package)"</f>
        <v>SCORBOT-ER 4u (Package)</v>
      </c>
      <c r="T748">
        <v>0</v>
      </c>
      <c r="U748" s="44">
        <v>3200</v>
      </c>
      <c r="V748" s="44">
        <v>3390.7</v>
      </c>
      <c r="W748" t="str">
        <f t="shared" si="201"/>
        <v>rob</v>
      </c>
    </row>
    <row r="749" spans="1:23">
      <c r="A749" t="str">
        <f t="shared" si="216"/>
        <v>ASRS-ER4U-06-RDR</v>
      </c>
      <c r="B749" t="str">
        <f>"00-0609-0000"</f>
        <v>00-0609-0000</v>
      </c>
      <c r="C749" t="str">
        <f>"Gripper attachment for round and square parts"</f>
        <v>Gripper attachment for round and square parts</v>
      </c>
      <c r="D749">
        <v>1</v>
      </c>
      <c r="E749" t="str">
        <f t="shared" si="217"/>
        <v>ASRS (Aut.Storage &amp; Retrieval Sys)-6 Shelves, Scorbot-ER4U robot &amp; RFID Reader</v>
      </c>
      <c r="F749">
        <v>501</v>
      </c>
      <c r="G749" t="str">
        <f t="shared" si="207"/>
        <v>Y</v>
      </c>
      <c r="H749" t="str">
        <f t="shared" si="218"/>
        <v>EA</v>
      </c>
      <c r="I749">
        <v>0</v>
      </c>
      <c r="J749">
        <v>0</v>
      </c>
      <c r="K749" t="str">
        <f t="shared" si="208"/>
        <v>Y</v>
      </c>
      <c r="L749">
        <v>0</v>
      </c>
      <c r="M749" t="str">
        <f t="shared" si="209"/>
        <v>NIS</v>
      </c>
      <c r="O749">
        <v>2</v>
      </c>
      <c r="P749" t="str">
        <f t="shared" si="213"/>
        <v>Active</v>
      </c>
      <c r="Q749" t="str">
        <f>"End Effector Attachment for ER4U Gripper"</f>
        <v>End Effector Attachment for ER4U Gripper</v>
      </c>
      <c r="S749" t="str">
        <f>"End Effector Attachment for ER4U Gripper"</f>
        <v>End Effector Attachment for ER4U Gripper</v>
      </c>
      <c r="T749">
        <v>0</v>
      </c>
      <c r="U749">
        <v>25.59</v>
      </c>
      <c r="V749">
        <v>25.11</v>
      </c>
      <c r="W749" t="str">
        <f t="shared" si="201"/>
        <v>rob</v>
      </c>
    </row>
    <row r="750" spans="1:23">
      <c r="A750" t="str">
        <f t="shared" si="216"/>
        <v>ASRS-ER4U-06-RDR</v>
      </c>
      <c r="B750" t="str">
        <f>"00-1710-0000"</f>
        <v>00-1710-0000</v>
      </c>
      <c r="C750" t="str">
        <f>"Teach Pendant"</f>
        <v>Teach Pendant</v>
      </c>
      <c r="D750">
        <v>1</v>
      </c>
      <c r="E750" t="str">
        <f t="shared" si="217"/>
        <v>ASRS (Aut.Storage &amp; Retrieval Sys)-6 Shelves, Scorbot-ER4U robot &amp; RFID Reader</v>
      </c>
      <c r="F750">
        <v>501</v>
      </c>
      <c r="G750" t="str">
        <f t="shared" si="207"/>
        <v>Y</v>
      </c>
      <c r="H750" t="str">
        <f t="shared" si="218"/>
        <v>EA</v>
      </c>
      <c r="I750">
        <v>0</v>
      </c>
      <c r="J750">
        <v>0</v>
      </c>
      <c r="K750" t="str">
        <f t="shared" si="208"/>
        <v>Y</v>
      </c>
      <c r="L750">
        <v>0</v>
      </c>
      <c r="M750" t="str">
        <f t="shared" si="209"/>
        <v>NIS</v>
      </c>
      <c r="O750">
        <v>3</v>
      </c>
      <c r="P750" t="str">
        <f t="shared" si="213"/>
        <v>Active</v>
      </c>
      <c r="Q750" t="str">
        <f>"Teach Pendant for USB/USB Pro Controllers"</f>
        <v>Teach Pendant for USB/USB Pro Controllers</v>
      </c>
      <c r="S750" t="str">
        <f>"Teach Pendant for USB/USB Pro Controllers"</f>
        <v>Teach Pendant for USB/USB Pro Controllers</v>
      </c>
      <c r="T750">
        <v>0</v>
      </c>
      <c r="U750">
        <v>160.18</v>
      </c>
      <c r="V750">
        <v>161.44999999999999</v>
      </c>
      <c r="W750" t="str">
        <f t="shared" ref="W750:W798" si="219">"rob"</f>
        <v>rob</v>
      </c>
    </row>
    <row r="751" spans="1:23">
      <c r="A751" t="str">
        <f t="shared" si="216"/>
        <v>ASRS-ER4U-06-RDR</v>
      </c>
      <c r="B751" t="str">
        <f>"00-1121-0000"</f>
        <v>00-1121-0000</v>
      </c>
      <c r="C751" t="str">
        <f>"MicroASRS (6-bay Storage Rack)"</f>
        <v>MicroASRS (6-bay Storage Rack)</v>
      </c>
      <c r="D751">
        <v>1</v>
      </c>
      <c r="E751" t="str">
        <f t="shared" si="217"/>
        <v>ASRS (Aut.Storage &amp; Retrieval Sys)-6 Shelves, Scorbot-ER4U robot &amp; RFID Reader</v>
      </c>
      <c r="F751">
        <v>501</v>
      </c>
      <c r="G751" t="str">
        <f t="shared" si="207"/>
        <v>Y</v>
      </c>
      <c r="H751" t="str">
        <f t="shared" si="218"/>
        <v>EA</v>
      </c>
      <c r="I751">
        <v>0</v>
      </c>
      <c r="J751">
        <v>0</v>
      </c>
      <c r="K751" t="str">
        <f t="shared" si="208"/>
        <v>Y</v>
      </c>
      <c r="L751">
        <v>0</v>
      </c>
      <c r="M751" t="str">
        <f t="shared" si="209"/>
        <v>NIS</v>
      </c>
      <c r="O751">
        <v>4</v>
      </c>
      <c r="P751" t="str">
        <f t="shared" ref="P751:P782" si="220">"Active"</f>
        <v>Active</v>
      </c>
      <c r="Q751" t="str">
        <f>"MicroASRS (6-bay Storage Rack)"</f>
        <v>MicroASRS (6-bay Storage Rack)</v>
      </c>
      <c r="S751" t="str">
        <f>"MicroASRS (6-bay Storage Rack)"</f>
        <v>MicroASRS (6-bay Storage Rack)</v>
      </c>
      <c r="T751">
        <v>0</v>
      </c>
      <c r="U751">
        <v>430</v>
      </c>
      <c r="V751">
        <v>443.16</v>
      </c>
      <c r="W751" t="str">
        <f t="shared" si="219"/>
        <v>rob</v>
      </c>
    </row>
    <row r="752" spans="1:23">
      <c r="A752" t="str">
        <f t="shared" si="216"/>
        <v>ASRS-ER4U-06-RDR</v>
      </c>
      <c r="B752" t="str">
        <f>"10-2119-8000"</f>
        <v>10-2119-8000</v>
      </c>
      <c r="C752" t="str">
        <f>"RFID Reader System 115/230V"</f>
        <v>RFID Reader System 115/230V</v>
      </c>
      <c r="D752">
        <v>1</v>
      </c>
      <c r="E752" t="str">
        <f t="shared" si="217"/>
        <v>ASRS (Aut.Storage &amp; Retrieval Sys)-6 Shelves, Scorbot-ER4U robot &amp; RFID Reader</v>
      </c>
      <c r="F752">
        <v>501</v>
      </c>
      <c r="G752" t="str">
        <f t="shared" si="207"/>
        <v>Y</v>
      </c>
      <c r="H752" t="str">
        <f t="shared" si="218"/>
        <v>EA</v>
      </c>
      <c r="I752">
        <v>0</v>
      </c>
      <c r="J752">
        <v>0</v>
      </c>
      <c r="K752" t="str">
        <f t="shared" si="208"/>
        <v>Y</v>
      </c>
      <c r="L752">
        <v>0</v>
      </c>
      <c r="M752" t="str">
        <f t="shared" si="209"/>
        <v>NIS</v>
      </c>
      <c r="O752">
        <v>5</v>
      </c>
      <c r="P752" t="str">
        <f t="shared" si="220"/>
        <v>Active</v>
      </c>
      <c r="Q752" t="str">
        <f>"RFID Reader  System, 115/230V"</f>
        <v>RFID Reader  System, 115/230V</v>
      </c>
      <c r="S752" t="str">
        <f>"RFID Reader System, 115/230"</f>
        <v>RFID Reader System, 115/230</v>
      </c>
      <c r="T752">
        <v>0</v>
      </c>
      <c r="U752">
        <v>220</v>
      </c>
      <c r="V752">
        <v>211.6</v>
      </c>
      <c r="W752" t="str">
        <f t="shared" si="219"/>
        <v>rob</v>
      </c>
    </row>
    <row r="753" spans="1:23">
      <c r="A753" t="str">
        <f t="shared" si="216"/>
        <v>ASRS-ER4U-06-RDR</v>
      </c>
      <c r="B753" t="str">
        <f>"410472"</f>
        <v>410472</v>
      </c>
      <c r="C753" t="str">
        <f>"RFID Tag 20"</f>
        <v>RFID Tag 20</v>
      </c>
      <c r="D753">
        <v>6</v>
      </c>
      <c r="E753" t="str">
        <f t="shared" si="217"/>
        <v>ASRS (Aut.Storage &amp; Retrieval Sys)-6 Shelves, Scorbot-ER4U robot &amp; RFID Reader</v>
      </c>
      <c r="F753">
        <v>501</v>
      </c>
      <c r="G753" t="str">
        <f t="shared" si="207"/>
        <v>Y</v>
      </c>
      <c r="H753" t="str">
        <f t="shared" si="218"/>
        <v>EA</v>
      </c>
      <c r="I753">
        <v>0</v>
      </c>
      <c r="J753">
        <v>0</v>
      </c>
      <c r="K753" t="str">
        <f t="shared" si="208"/>
        <v>Y</v>
      </c>
      <c r="L753">
        <v>0</v>
      </c>
      <c r="M753" t="str">
        <f t="shared" si="209"/>
        <v>NIS</v>
      </c>
      <c r="O753">
        <v>6</v>
      </c>
      <c r="P753" t="str">
        <f t="shared" si="220"/>
        <v>Active</v>
      </c>
      <c r="Q753" t="str">
        <f>"RFID Tag Diam. 20mm"</f>
        <v>RFID Tag Diam. 20mm</v>
      </c>
      <c r="R753" t="str">
        <f>"1"</f>
        <v>1</v>
      </c>
      <c r="S753" t="str">
        <f>"תג שקוף עם מדבקה RFID Tag 125KHz Diam.=20mm"</f>
        <v>תג שקוף עם מדבקה RFID Tag 125KHz Diam.=20mm</v>
      </c>
      <c r="T753">
        <v>0</v>
      </c>
      <c r="U753">
        <v>1.41</v>
      </c>
      <c r="V753">
        <v>1.41</v>
      </c>
      <c r="W753" t="str">
        <f t="shared" si="219"/>
        <v>rob</v>
      </c>
    </row>
    <row r="754" spans="1:23">
      <c r="A754" t="str">
        <f t="shared" si="216"/>
        <v>ASRS-ER4U-06-RDR</v>
      </c>
      <c r="B754" t="str">
        <f>"00-1251-0000"</f>
        <v>00-1251-0000</v>
      </c>
      <c r="C754" t="str">
        <f>"Workbench 1500x800mm (Formica Top)"</f>
        <v>Workbench 1500x800mm (Formica Top)</v>
      </c>
      <c r="D754">
        <v>1</v>
      </c>
      <c r="E754" t="str">
        <f t="shared" si="217"/>
        <v>ASRS (Aut.Storage &amp; Retrieval Sys)-6 Shelves, Scorbot-ER4U robot &amp; RFID Reader</v>
      </c>
      <c r="F754">
        <v>501</v>
      </c>
      <c r="G754" t="str">
        <f t="shared" si="207"/>
        <v>Y</v>
      </c>
      <c r="H754" t="str">
        <f t="shared" si="218"/>
        <v>EA</v>
      </c>
      <c r="I754">
        <v>0</v>
      </c>
      <c r="J754">
        <v>0</v>
      </c>
      <c r="K754" t="str">
        <f t="shared" si="208"/>
        <v>Y</v>
      </c>
      <c r="L754">
        <v>0</v>
      </c>
      <c r="M754" t="str">
        <f t="shared" si="209"/>
        <v>NIS</v>
      </c>
      <c r="O754">
        <v>7</v>
      </c>
      <c r="P754" t="str">
        <f t="shared" si="220"/>
        <v>Active</v>
      </c>
      <c r="Q754" t="str">
        <f>"Workbench 1500x800mm (Formica Top)"</f>
        <v>Workbench 1500x800mm (Formica Top)</v>
      </c>
      <c r="S754" t="str">
        <f>"Workbench 1500x800mm (Formica Top)"</f>
        <v>Workbench 1500x800mm (Formica Top)</v>
      </c>
      <c r="T754">
        <v>0</v>
      </c>
      <c r="U754">
        <v>582</v>
      </c>
      <c r="V754">
        <v>588.6</v>
      </c>
      <c r="W754" t="str">
        <f t="shared" si="219"/>
        <v>rob</v>
      </c>
    </row>
    <row r="755" spans="1:23">
      <c r="A755" t="str">
        <f t="shared" si="216"/>
        <v>ASRS-ER4U-06-RDR</v>
      </c>
      <c r="B755" t="str">
        <f>"50-0094-0000"</f>
        <v>50-0094-0000</v>
      </c>
      <c r="C755" t="str">
        <f>"Pre-Engineering, Design and Testing"</f>
        <v>Pre-Engineering, Design and Testing</v>
      </c>
      <c r="D755">
        <v>1</v>
      </c>
      <c r="E755" t="str">
        <f t="shared" si="217"/>
        <v>ASRS (Aut.Storage &amp; Retrieval Sys)-6 Shelves, Scorbot-ER4U robot &amp; RFID Reader</v>
      </c>
      <c r="F755">
        <v>501</v>
      </c>
      <c r="G755" t="str">
        <f t="shared" si="207"/>
        <v>Y</v>
      </c>
      <c r="H755" t="str">
        <f>"DA"</f>
        <v>DA</v>
      </c>
      <c r="I755">
        <v>0</v>
      </c>
      <c r="J755">
        <v>0</v>
      </c>
      <c r="K755" t="str">
        <f t="shared" si="208"/>
        <v>Y</v>
      </c>
      <c r="L755">
        <v>0</v>
      </c>
      <c r="M755" t="str">
        <f t="shared" si="209"/>
        <v>NIS</v>
      </c>
      <c r="O755">
        <v>8</v>
      </c>
      <c r="P755" t="str">
        <f t="shared" si="220"/>
        <v>Active</v>
      </c>
      <c r="Q755" t="str">
        <f>"Pre-Engineering, Design and Testing"</f>
        <v>Pre-Engineering, Design and Testing</v>
      </c>
      <c r="S755" t="str">
        <f>"Pre-Engineering, Design and Testing"</f>
        <v>Pre-Engineering, Design and Testing</v>
      </c>
      <c r="T755">
        <v>0</v>
      </c>
      <c r="U755">
        <v>405</v>
      </c>
      <c r="V755">
        <v>421.2</v>
      </c>
      <c r="W755" t="str">
        <f t="shared" si="219"/>
        <v>rob</v>
      </c>
    </row>
    <row r="756" spans="1:23">
      <c r="A756" t="str">
        <f t="shared" ref="A756:A761" si="221">"ASRS-ER4U-12"</f>
        <v>ASRS-ER4U-12</v>
      </c>
      <c r="B756" t="str">
        <f>"00-0413-0000"</f>
        <v>00-0413-0000</v>
      </c>
      <c r="C756" t="str">
        <f>"SCORBOT-ER 4u"</f>
        <v>SCORBOT-ER 4u</v>
      </c>
      <c r="D756">
        <v>1</v>
      </c>
      <c r="E756" t="str">
        <f t="shared" ref="E756:E761" si="222">"ASRS (Automated Storage and Retrieval System)-12 Shelves &amp; B72ER4U"</f>
        <v>ASRS (Automated Storage and Retrieval System)-12 Shelves &amp; B72ER4U</v>
      </c>
      <c r="F756">
        <v>501</v>
      </c>
      <c r="G756" t="str">
        <f t="shared" si="207"/>
        <v>Y</v>
      </c>
      <c r="H756" t="str">
        <f>"EA"</f>
        <v>EA</v>
      </c>
      <c r="I756">
        <v>0</v>
      </c>
      <c r="J756">
        <v>0</v>
      </c>
      <c r="K756" t="str">
        <f t="shared" si="208"/>
        <v>Y</v>
      </c>
      <c r="L756">
        <v>0</v>
      </c>
      <c r="M756" t="str">
        <f t="shared" si="209"/>
        <v>NIS</v>
      </c>
      <c r="O756">
        <v>1</v>
      </c>
      <c r="P756" t="str">
        <f t="shared" si="220"/>
        <v>Active</v>
      </c>
      <c r="Q756" t="str">
        <f>"SCORBOT-ER 4u (Package)"</f>
        <v>SCORBOT-ER 4u (Package)</v>
      </c>
      <c r="S756" t="str">
        <f>"SCORBOT-ER 4u (Package)"</f>
        <v>SCORBOT-ER 4u (Package)</v>
      </c>
      <c r="T756">
        <v>0</v>
      </c>
      <c r="U756" s="44">
        <v>3200</v>
      </c>
      <c r="V756" s="44">
        <v>3390.7</v>
      </c>
      <c r="W756" t="str">
        <f t="shared" si="219"/>
        <v>rob</v>
      </c>
    </row>
    <row r="757" spans="1:23">
      <c r="A757" t="str">
        <f t="shared" si="221"/>
        <v>ASRS-ER4U-12</v>
      </c>
      <c r="B757" t="str">
        <f>"00-0609-0000"</f>
        <v>00-0609-0000</v>
      </c>
      <c r="C757" t="str">
        <f>"Gripper attachment for round and square parts"</f>
        <v>Gripper attachment for round and square parts</v>
      </c>
      <c r="D757">
        <v>1</v>
      </c>
      <c r="E757" t="str">
        <f t="shared" si="222"/>
        <v>ASRS (Automated Storage and Retrieval System)-12 Shelves &amp; B72ER4U</v>
      </c>
      <c r="F757">
        <v>501</v>
      </c>
      <c r="G757" t="str">
        <f t="shared" si="207"/>
        <v>Y</v>
      </c>
      <c r="H757" t="str">
        <f>"EA"</f>
        <v>EA</v>
      </c>
      <c r="I757">
        <v>0</v>
      </c>
      <c r="J757">
        <v>0</v>
      </c>
      <c r="K757" t="str">
        <f t="shared" si="208"/>
        <v>Y</v>
      </c>
      <c r="L757">
        <v>0</v>
      </c>
      <c r="M757" t="str">
        <f t="shared" si="209"/>
        <v>NIS</v>
      </c>
      <c r="O757">
        <v>2</v>
      </c>
      <c r="P757" t="str">
        <f t="shared" si="220"/>
        <v>Active</v>
      </c>
      <c r="Q757" t="str">
        <f>"End Effector Attachment for ER4U Gripper"</f>
        <v>End Effector Attachment for ER4U Gripper</v>
      </c>
      <c r="S757" t="str">
        <f>"End Effector Attachment for ER4U Gripper"</f>
        <v>End Effector Attachment for ER4U Gripper</v>
      </c>
      <c r="T757">
        <v>0</v>
      </c>
      <c r="U757">
        <v>25.59</v>
      </c>
      <c r="V757">
        <v>25.11</v>
      </c>
      <c r="W757" t="str">
        <f t="shared" si="219"/>
        <v>rob</v>
      </c>
    </row>
    <row r="758" spans="1:23">
      <c r="A758" t="str">
        <f t="shared" si="221"/>
        <v>ASRS-ER4U-12</v>
      </c>
      <c r="B758" t="str">
        <f>"00-1710-0000"</f>
        <v>00-1710-0000</v>
      </c>
      <c r="C758" t="str">
        <f>"Teach Pendant"</f>
        <v>Teach Pendant</v>
      </c>
      <c r="D758">
        <v>1</v>
      </c>
      <c r="E758" t="str">
        <f t="shared" si="222"/>
        <v>ASRS (Automated Storage and Retrieval System)-12 Shelves &amp; B72ER4U</v>
      </c>
      <c r="F758">
        <v>501</v>
      </c>
      <c r="G758" t="str">
        <f t="shared" si="207"/>
        <v>Y</v>
      </c>
      <c r="H758" t="str">
        <f>"EA"</f>
        <v>EA</v>
      </c>
      <c r="I758">
        <v>0</v>
      </c>
      <c r="J758">
        <v>0</v>
      </c>
      <c r="K758" t="str">
        <f t="shared" si="208"/>
        <v>Y</v>
      </c>
      <c r="L758">
        <v>0</v>
      </c>
      <c r="M758" t="str">
        <f t="shared" si="209"/>
        <v>NIS</v>
      </c>
      <c r="O758">
        <v>3</v>
      </c>
      <c r="P758" t="str">
        <f t="shared" si="220"/>
        <v>Active</v>
      </c>
      <c r="Q758" t="str">
        <f>"Teach Pendant for USB/USB Pro Controllers"</f>
        <v>Teach Pendant for USB/USB Pro Controllers</v>
      </c>
      <c r="S758" t="str">
        <f>"Teach Pendant for USB/USB Pro Controllers"</f>
        <v>Teach Pendant for USB/USB Pro Controllers</v>
      </c>
      <c r="T758">
        <v>0</v>
      </c>
      <c r="U758">
        <v>160.18</v>
      </c>
      <c r="V758">
        <v>161.44999999999999</v>
      </c>
      <c r="W758" t="str">
        <f t="shared" si="219"/>
        <v>rob</v>
      </c>
    </row>
    <row r="759" spans="1:23">
      <c r="A759" t="str">
        <f t="shared" si="221"/>
        <v>ASRS-ER4U-12</v>
      </c>
      <c r="B759" t="str">
        <f>"00-1121-0000"</f>
        <v>00-1121-0000</v>
      </c>
      <c r="C759" t="str">
        <f>"MicroASRS (6-bay Storage Rack)"</f>
        <v>MicroASRS (6-bay Storage Rack)</v>
      </c>
      <c r="D759">
        <v>2</v>
      </c>
      <c r="E759" t="str">
        <f t="shared" si="222"/>
        <v>ASRS (Automated Storage and Retrieval System)-12 Shelves &amp; B72ER4U</v>
      </c>
      <c r="F759">
        <v>501</v>
      </c>
      <c r="G759" t="str">
        <f t="shared" si="207"/>
        <v>Y</v>
      </c>
      <c r="H759" t="str">
        <f>"EA"</f>
        <v>EA</v>
      </c>
      <c r="I759">
        <v>0</v>
      </c>
      <c r="J759">
        <v>0</v>
      </c>
      <c r="K759" t="str">
        <f t="shared" si="208"/>
        <v>Y</v>
      </c>
      <c r="L759">
        <v>0</v>
      </c>
      <c r="M759" t="str">
        <f t="shared" si="209"/>
        <v>NIS</v>
      </c>
      <c r="O759">
        <v>4</v>
      </c>
      <c r="P759" t="str">
        <f t="shared" si="220"/>
        <v>Active</v>
      </c>
      <c r="Q759" t="str">
        <f>"MicroASRS (6-bay Storage Rack)"</f>
        <v>MicroASRS (6-bay Storage Rack)</v>
      </c>
      <c r="S759" t="str">
        <f>"MicroASRS (6-bay Storage Rack)"</f>
        <v>MicroASRS (6-bay Storage Rack)</v>
      </c>
      <c r="T759">
        <v>0</v>
      </c>
      <c r="U759">
        <v>430</v>
      </c>
      <c r="V759">
        <v>443.16</v>
      </c>
      <c r="W759" t="str">
        <f t="shared" si="219"/>
        <v>rob</v>
      </c>
    </row>
    <row r="760" spans="1:23">
      <c r="A760" t="str">
        <f t="shared" si="221"/>
        <v>ASRS-ER4U-12</v>
      </c>
      <c r="B760" t="str">
        <f>"00-1251-0000"</f>
        <v>00-1251-0000</v>
      </c>
      <c r="C760" t="str">
        <f>"Workbench 1500x800mm (Formica Top)"</f>
        <v>Workbench 1500x800mm (Formica Top)</v>
      </c>
      <c r="D760">
        <v>1</v>
      </c>
      <c r="E760" t="str">
        <f t="shared" si="222"/>
        <v>ASRS (Automated Storage and Retrieval System)-12 Shelves &amp; B72ER4U</v>
      </c>
      <c r="F760">
        <v>501</v>
      </c>
      <c r="G760" t="str">
        <f t="shared" si="207"/>
        <v>Y</v>
      </c>
      <c r="H760" t="str">
        <f>"EA"</f>
        <v>EA</v>
      </c>
      <c r="I760">
        <v>0</v>
      </c>
      <c r="J760">
        <v>0</v>
      </c>
      <c r="K760" t="str">
        <f t="shared" si="208"/>
        <v>Y</v>
      </c>
      <c r="L760">
        <v>0</v>
      </c>
      <c r="M760" t="str">
        <f t="shared" si="209"/>
        <v>NIS</v>
      </c>
      <c r="O760">
        <v>5</v>
      </c>
      <c r="P760" t="str">
        <f t="shared" si="220"/>
        <v>Active</v>
      </c>
      <c r="Q760" t="str">
        <f>"Workbench 1500x800mm (Formica Top)"</f>
        <v>Workbench 1500x800mm (Formica Top)</v>
      </c>
      <c r="S760" t="str">
        <f>"Workbench 1500x800mm (Formica Top)"</f>
        <v>Workbench 1500x800mm (Formica Top)</v>
      </c>
      <c r="T760">
        <v>0</v>
      </c>
      <c r="U760">
        <v>582</v>
      </c>
      <c r="V760">
        <v>588.6</v>
      </c>
      <c r="W760" t="str">
        <f t="shared" si="219"/>
        <v>rob</v>
      </c>
    </row>
    <row r="761" spans="1:23">
      <c r="A761" t="str">
        <f t="shared" si="221"/>
        <v>ASRS-ER4U-12</v>
      </c>
      <c r="B761" t="str">
        <f>"50-0094-0000"</f>
        <v>50-0094-0000</v>
      </c>
      <c r="C761" t="str">
        <f>"Pre-Engineering, Design and Testing"</f>
        <v>Pre-Engineering, Design and Testing</v>
      </c>
      <c r="D761">
        <v>1</v>
      </c>
      <c r="E761" t="str">
        <f t="shared" si="222"/>
        <v>ASRS (Automated Storage and Retrieval System)-12 Shelves &amp; B72ER4U</v>
      </c>
      <c r="F761">
        <v>501</v>
      </c>
      <c r="G761" t="str">
        <f t="shared" si="207"/>
        <v>Y</v>
      </c>
      <c r="H761" t="str">
        <f>"DA"</f>
        <v>DA</v>
      </c>
      <c r="I761">
        <v>0</v>
      </c>
      <c r="J761">
        <v>0</v>
      </c>
      <c r="K761" t="str">
        <f t="shared" si="208"/>
        <v>Y</v>
      </c>
      <c r="L761">
        <v>0</v>
      </c>
      <c r="M761" t="str">
        <f t="shared" si="209"/>
        <v>NIS</v>
      </c>
      <c r="O761">
        <v>6</v>
      </c>
      <c r="P761" t="str">
        <f t="shared" si="220"/>
        <v>Active</v>
      </c>
      <c r="Q761" t="str">
        <f>"Pre-Engineering, Design and Testing"</f>
        <v>Pre-Engineering, Design and Testing</v>
      </c>
      <c r="S761" t="str">
        <f>"Pre-Engineering, Design and Testing"</f>
        <v>Pre-Engineering, Design and Testing</v>
      </c>
      <c r="T761">
        <v>0</v>
      </c>
      <c r="U761">
        <v>405</v>
      </c>
      <c r="V761">
        <v>421.2</v>
      </c>
      <c r="W761" t="str">
        <f t="shared" si="219"/>
        <v>rob</v>
      </c>
    </row>
    <row r="762" spans="1:23">
      <c r="A762" t="str">
        <f t="shared" ref="A762:A769" si="223">"ASRS-ER4U-12-RDR"</f>
        <v>ASRS-ER4U-12-RDR</v>
      </c>
      <c r="B762" t="str">
        <f>"00-0413-0000"</f>
        <v>00-0413-0000</v>
      </c>
      <c r="C762" t="str">
        <f>"SCORBOT-ER 4u"</f>
        <v>SCORBOT-ER 4u</v>
      </c>
      <c r="D762">
        <v>1</v>
      </c>
      <c r="E762" t="str">
        <f t="shared" ref="E762:E769" si="224">"ASRS (Aut.Storage &amp; Retrieval Sys)-12 Shelves, Scorbot-ER4U robot &amp; RFID Reader"</f>
        <v>ASRS (Aut.Storage &amp; Retrieval Sys)-12 Shelves, Scorbot-ER4U robot &amp; RFID Reader</v>
      </c>
      <c r="F762">
        <v>501</v>
      </c>
      <c r="G762" t="str">
        <f t="shared" si="207"/>
        <v>Y</v>
      </c>
      <c r="H762" t="str">
        <f t="shared" ref="H762:H768" si="225">"EA"</f>
        <v>EA</v>
      </c>
      <c r="I762">
        <v>0</v>
      </c>
      <c r="J762">
        <v>0</v>
      </c>
      <c r="K762" t="str">
        <f t="shared" si="208"/>
        <v>Y</v>
      </c>
      <c r="L762">
        <v>0</v>
      </c>
      <c r="M762" t="str">
        <f t="shared" si="209"/>
        <v>NIS</v>
      </c>
      <c r="O762">
        <v>1</v>
      </c>
      <c r="P762" t="str">
        <f t="shared" si="220"/>
        <v>Active</v>
      </c>
      <c r="Q762" t="str">
        <f>"SCORBOT-ER 4u (Package)"</f>
        <v>SCORBOT-ER 4u (Package)</v>
      </c>
      <c r="S762" t="str">
        <f>"SCORBOT-ER 4u (Package)"</f>
        <v>SCORBOT-ER 4u (Package)</v>
      </c>
      <c r="T762">
        <v>0</v>
      </c>
      <c r="U762" s="44">
        <v>3200</v>
      </c>
      <c r="V762" s="44">
        <v>3390.7</v>
      </c>
      <c r="W762" t="str">
        <f t="shared" si="219"/>
        <v>rob</v>
      </c>
    </row>
    <row r="763" spans="1:23">
      <c r="A763" t="str">
        <f t="shared" si="223"/>
        <v>ASRS-ER4U-12-RDR</v>
      </c>
      <c r="B763" t="str">
        <f>"00-0609-0000"</f>
        <v>00-0609-0000</v>
      </c>
      <c r="C763" t="str">
        <f>"Gripper attachment for round and square parts"</f>
        <v>Gripper attachment for round and square parts</v>
      </c>
      <c r="D763">
        <v>1</v>
      </c>
      <c r="E763" t="str">
        <f t="shared" si="224"/>
        <v>ASRS (Aut.Storage &amp; Retrieval Sys)-12 Shelves, Scorbot-ER4U robot &amp; RFID Reader</v>
      </c>
      <c r="F763">
        <v>501</v>
      </c>
      <c r="G763" t="str">
        <f t="shared" si="207"/>
        <v>Y</v>
      </c>
      <c r="H763" t="str">
        <f t="shared" si="225"/>
        <v>EA</v>
      </c>
      <c r="I763">
        <v>0</v>
      </c>
      <c r="J763">
        <v>0</v>
      </c>
      <c r="K763" t="str">
        <f t="shared" si="208"/>
        <v>Y</v>
      </c>
      <c r="L763">
        <v>0</v>
      </c>
      <c r="M763" t="str">
        <f t="shared" si="209"/>
        <v>NIS</v>
      </c>
      <c r="O763">
        <v>2</v>
      </c>
      <c r="P763" t="str">
        <f t="shared" si="220"/>
        <v>Active</v>
      </c>
      <c r="Q763" t="str">
        <f>"End Effector Attachment for ER4U Gripper"</f>
        <v>End Effector Attachment for ER4U Gripper</v>
      </c>
      <c r="S763" t="str">
        <f>"End Effector Attachment for ER4U Gripper"</f>
        <v>End Effector Attachment for ER4U Gripper</v>
      </c>
      <c r="T763">
        <v>0</v>
      </c>
      <c r="U763">
        <v>25.59</v>
      </c>
      <c r="V763">
        <v>25.11</v>
      </c>
      <c r="W763" t="str">
        <f t="shared" si="219"/>
        <v>rob</v>
      </c>
    </row>
    <row r="764" spans="1:23">
      <c r="A764" t="str">
        <f t="shared" si="223"/>
        <v>ASRS-ER4U-12-RDR</v>
      </c>
      <c r="B764" t="str">
        <f>"00-1710-0000"</f>
        <v>00-1710-0000</v>
      </c>
      <c r="C764" t="str">
        <f>"Teach Pendant"</f>
        <v>Teach Pendant</v>
      </c>
      <c r="D764">
        <v>1</v>
      </c>
      <c r="E764" t="str">
        <f t="shared" si="224"/>
        <v>ASRS (Aut.Storage &amp; Retrieval Sys)-12 Shelves, Scorbot-ER4U robot &amp; RFID Reader</v>
      </c>
      <c r="F764">
        <v>501</v>
      </c>
      <c r="G764" t="str">
        <f t="shared" si="207"/>
        <v>Y</v>
      </c>
      <c r="H764" t="str">
        <f t="shared" si="225"/>
        <v>EA</v>
      </c>
      <c r="I764">
        <v>0</v>
      </c>
      <c r="J764">
        <v>0</v>
      </c>
      <c r="K764" t="str">
        <f t="shared" si="208"/>
        <v>Y</v>
      </c>
      <c r="L764">
        <v>0</v>
      </c>
      <c r="M764" t="str">
        <f t="shared" si="209"/>
        <v>NIS</v>
      </c>
      <c r="O764">
        <v>3</v>
      </c>
      <c r="P764" t="str">
        <f t="shared" si="220"/>
        <v>Active</v>
      </c>
      <c r="Q764" t="str">
        <f>"Teach Pendant for USB/USB Pro Controllers"</f>
        <v>Teach Pendant for USB/USB Pro Controllers</v>
      </c>
      <c r="S764" t="str">
        <f>"Teach Pendant for USB/USB Pro Controllers"</f>
        <v>Teach Pendant for USB/USB Pro Controllers</v>
      </c>
      <c r="T764">
        <v>0</v>
      </c>
      <c r="U764">
        <v>160.18</v>
      </c>
      <c r="V764">
        <v>161.44999999999999</v>
      </c>
      <c r="W764" t="str">
        <f t="shared" si="219"/>
        <v>rob</v>
      </c>
    </row>
    <row r="765" spans="1:23">
      <c r="A765" t="str">
        <f t="shared" si="223"/>
        <v>ASRS-ER4U-12-RDR</v>
      </c>
      <c r="B765" t="str">
        <f>"00-1121-0000"</f>
        <v>00-1121-0000</v>
      </c>
      <c r="C765" t="str">
        <f>"MicroASRS (6-bay Storage Rack)"</f>
        <v>MicroASRS (6-bay Storage Rack)</v>
      </c>
      <c r="D765">
        <v>2</v>
      </c>
      <c r="E765" t="str">
        <f t="shared" si="224"/>
        <v>ASRS (Aut.Storage &amp; Retrieval Sys)-12 Shelves, Scorbot-ER4U robot &amp; RFID Reader</v>
      </c>
      <c r="F765">
        <v>501</v>
      </c>
      <c r="G765" t="str">
        <f t="shared" si="207"/>
        <v>Y</v>
      </c>
      <c r="H765" t="str">
        <f t="shared" si="225"/>
        <v>EA</v>
      </c>
      <c r="I765">
        <v>0</v>
      </c>
      <c r="J765">
        <v>0</v>
      </c>
      <c r="K765" t="str">
        <f t="shared" si="208"/>
        <v>Y</v>
      </c>
      <c r="L765">
        <v>0</v>
      </c>
      <c r="M765" t="str">
        <f t="shared" si="209"/>
        <v>NIS</v>
      </c>
      <c r="O765">
        <v>4</v>
      </c>
      <c r="P765" t="str">
        <f t="shared" si="220"/>
        <v>Active</v>
      </c>
      <c r="Q765" t="str">
        <f>"MicroASRS (6-bay Storage Rack)"</f>
        <v>MicroASRS (6-bay Storage Rack)</v>
      </c>
      <c r="S765" t="str">
        <f>"MicroASRS (6-bay Storage Rack)"</f>
        <v>MicroASRS (6-bay Storage Rack)</v>
      </c>
      <c r="T765">
        <v>0</v>
      </c>
      <c r="U765">
        <v>430</v>
      </c>
      <c r="V765">
        <v>443.16</v>
      </c>
      <c r="W765" t="str">
        <f t="shared" si="219"/>
        <v>rob</v>
      </c>
    </row>
    <row r="766" spans="1:23">
      <c r="A766" t="str">
        <f t="shared" si="223"/>
        <v>ASRS-ER4U-12-RDR</v>
      </c>
      <c r="B766" t="str">
        <f>"10-2119-8000"</f>
        <v>10-2119-8000</v>
      </c>
      <c r="C766" t="str">
        <f>"RFID Reader System 115/230V"</f>
        <v>RFID Reader System 115/230V</v>
      </c>
      <c r="D766">
        <v>1</v>
      </c>
      <c r="E766" t="str">
        <f t="shared" si="224"/>
        <v>ASRS (Aut.Storage &amp; Retrieval Sys)-12 Shelves, Scorbot-ER4U robot &amp; RFID Reader</v>
      </c>
      <c r="F766">
        <v>501</v>
      </c>
      <c r="G766" t="str">
        <f t="shared" si="207"/>
        <v>Y</v>
      </c>
      <c r="H766" t="str">
        <f t="shared" si="225"/>
        <v>EA</v>
      </c>
      <c r="I766">
        <v>0</v>
      </c>
      <c r="J766">
        <v>0</v>
      </c>
      <c r="K766" t="str">
        <f t="shared" si="208"/>
        <v>Y</v>
      </c>
      <c r="L766">
        <v>0</v>
      </c>
      <c r="M766" t="str">
        <f t="shared" si="209"/>
        <v>NIS</v>
      </c>
      <c r="O766">
        <v>5</v>
      </c>
      <c r="P766" t="str">
        <f t="shared" si="220"/>
        <v>Active</v>
      </c>
      <c r="Q766" t="str">
        <f>"RFID Reader  System, 115/230V"</f>
        <v>RFID Reader  System, 115/230V</v>
      </c>
      <c r="S766" t="str">
        <f>"RFID Reader System, 115/230"</f>
        <v>RFID Reader System, 115/230</v>
      </c>
      <c r="T766">
        <v>0</v>
      </c>
      <c r="U766">
        <v>220</v>
      </c>
      <c r="V766">
        <v>211.6</v>
      </c>
      <c r="W766" t="str">
        <f t="shared" si="219"/>
        <v>rob</v>
      </c>
    </row>
    <row r="767" spans="1:23">
      <c r="A767" t="str">
        <f t="shared" si="223"/>
        <v>ASRS-ER4U-12-RDR</v>
      </c>
      <c r="B767" t="str">
        <f>"410472"</f>
        <v>410472</v>
      </c>
      <c r="C767" t="str">
        <f>"RFID Tag 20"</f>
        <v>RFID Tag 20</v>
      </c>
      <c r="D767">
        <v>12</v>
      </c>
      <c r="E767" t="str">
        <f t="shared" si="224"/>
        <v>ASRS (Aut.Storage &amp; Retrieval Sys)-12 Shelves, Scorbot-ER4U robot &amp; RFID Reader</v>
      </c>
      <c r="F767">
        <v>501</v>
      </c>
      <c r="G767" t="str">
        <f t="shared" si="207"/>
        <v>Y</v>
      </c>
      <c r="H767" t="str">
        <f t="shared" si="225"/>
        <v>EA</v>
      </c>
      <c r="I767">
        <v>0</v>
      </c>
      <c r="J767">
        <v>0</v>
      </c>
      <c r="K767" t="str">
        <f t="shared" si="208"/>
        <v>Y</v>
      </c>
      <c r="L767">
        <v>0</v>
      </c>
      <c r="M767" t="str">
        <f t="shared" si="209"/>
        <v>NIS</v>
      </c>
      <c r="O767">
        <v>6</v>
      </c>
      <c r="P767" t="str">
        <f t="shared" si="220"/>
        <v>Active</v>
      </c>
      <c r="Q767" t="str">
        <f>"RFID Tag Diam. 20mm"</f>
        <v>RFID Tag Diam. 20mm</v>
      </c>
      <c r="R767" t="str">
        <f>"1"</f>
        <v>1</v>
      </c>
      <c r="S767" t="str">
        <f>"תג שקוף עם מדבקה RFID Tag 125KHz Diam.=20mm"</f>
        <v>תג שקוף עם מדבקה RFID Tag 125KHz Diam.=20mm</v>
      </c>
      <c r="T767">
        <v>0</v>
      </c>
      <c r="U767">
        <v>1.41</v>
      </c>
      <c r="V767">
        <v>1.41</v>
      </c>
      <c r="W767" t="str">
        <f t="shared" si="219"/>
        <v>rob</v>
      </c>
    </row>
    <row r="768" spans="1:23">
      <c r="A768" t="str">
        <f t="shared" si="223"/>
        <v>ASRS-ER4U-12-RDR</v>
      </c>
      <c r="B768" t="str">
        <f>"00-1251-0000"</f>
        <v>00-1251-0000</v>
      </c>
      <c r="C768" t="str">
        <f>"Workbench 1500x800mm (Formica Top)"</f>
        <v>Workbench 1500x800mm (Formica Top)</v>
      </c>
      <c r="D768">
        <v>1</v>
      </c>
      <c r="E768" t="str">
        <f t="shared" si="224"/>
        <v>ASRS (Aut.Storage &amp; Retrieval Sys)-12 Shelves, Scorbot-ER4U robot &amp; RFID Reader</v>
      </c>
      <c r="F768">
        <v>501</v>
      </c>
      <c r="G768" t="str">
        <f t="shared" si="207"/>
        <v>Y</v>
      </c>
      <c r="H768" t="str">
        <f t="shared" si="225"/>
        <v>EA</v>
      </c>
      <c r="I768">
        <v>0</v>
      </c>
      <c r="J768">
        <v>0</v>
      </c>
      <c r="K768" t="str">
        <f t="shared" si="208"/>
        <v>Y</v>
      </c>
      <c r="L768">
        <v>0</v>
      </c>
      <c r="M768" t="str">
        <f t="shared" si="209"/>
        <v>NIS</v>
      </c>
      <c r="O768">
        <v>7</v>
      </c>
      <c r="P768" t="str">
        <f t="shared" si="220"/>
        <v>Active</v>
      </c>
      <c r="Q768" t="str">
        <f>"Workbench 1500x800mm (Formica Top)"</f>
        <v>Workbench 1500x800mm (Formica Top)</v>
      </c>
      <c r="S768" t="str">
        <f>"Workbench 1500x800mm (Formica Top)"</f>
        <v>Workbench 1500x800mm (Formica Top)</v>
      </c>
      <c r="T768">
        <v>0</v>
      </c>
      <c r="U768">
        <v>582</v>
      </c>
      <c r="V768">
        <v>588.6</v>
      </c>
      <c r="W768" t="str">
        <f t="shared" si="219"/>
        <v>rob</v>
      </c>
    </row>
    <row r="769" spans="1:23">
      <c r="A769" t="str">
        <f t="shared" si="223"/>
        <v>ASRS-ER4U-12-RDR</v>
      </c>
      <c r="B769" t="str">
        <f>"50-0094-0000"</f>
        <v>50-0094-0000</v>
      </c>
      <c r="C769" t="str">
        <f>"Pre-Engineering, Design and Testing"</f>
        <v>Pre-Engineering, Design and Testing</v>
      </c>
      <c r="D769">
        <v>1</v>
      </c>
      <c r="E769" t="str">
        <f t="shared" si="224"/>
        <v>ASRS (Aut.Storage &amp; Retrieval Sys)-12 Shelves, Scorbot-ER4U robot &amp; RFID Reader</v>
      </c>
      <c r="F769">
        <v>501</v>
      </c>
      <c r="G769" t="str">
        <f t="shared" si="207"/>
        <v>Y</v>
      </c>
      <c r="H769" t="str">
        <f>"DA"</f>
        <v>DA</v>
      </c>
      <c r="I769">
        <v>0</v>
      </c>
      <c r="J769">
        <v>0</v>
      </c>
      <c r="K769" t="str">
        <f t="shared" si="208"/>
        <v>Y</v>
      </c>
      <c r="L769">
        <v>0</v>
      </c>
      <c r="M769" t="str">
        <f t="shared" si="209"/>
        <v>NIS</v>
      </c>
      <c r="O769">
        <v>8</v>
      </c>
      <c r="P769" t="str">
        <f t="shared" si="220"/>
        <v>Active</v>
      </c>
      <c r="Q769" t="str">
        <f>"Pre-Engineering, Design and Testing"</f>
        <v>Pre-Engineering, Design and Testing</v>
      </c>
      <c r="S769" t="str">
        <f>"Pre-Engineering, Design and Testing"</f>
        <v>Pre-Engineering, Design and Testing</v>
      </c>
      <c r="T769">
        <v>0</v>
      </c>
      <c r="U769">
        <v>405</v>
      </c>
      <c r="V769">
        <v>421.2</v>
      </c>
      <c r="W769" t="str">
        <f t="shared" si="219"/>
        <v>rob</v>
      </c>
    </row>
    <row r="770" spans="1:23">
      <c r="A770" t="str">
        <f t="shared" ref="A770:A778" si="226">"ASRS-ER4U-18"</f>
        <v>ASRS-ER4U-18</v>
      </c>
      <c r="B770" t="str">
        <f>"00-0413-0000"</f>
        <v>00-0413-0000</v>
      </c>
      <c r="C770" t="str">
        <f>"SCORBOT-ER 4u"</f>
        <v>SCORBOT-ER 4u</v>
      </c>
      <c r="D770">
        <v>1</v>
      </c>
      <c r="E770" t="str">
        <f t="shared" ref="E770:E778" si="227">"ASRS - 18 Shelves &amp; ER4U"</f>
        <v>ASRS - 18 Shelves &amp; ER4U</v>
      </c>
      <c r="F770">
        <v>999</v>
      </c>
      <c r="G770" t="str">
        <f t="shared" ref="G770:G833" si="228">"Y"</f>
        <v>Y</v>
      </c>
      <c r="H770" t="str">
        <f t="shared" ref="H770:H777" si="229">"EA"</f>
        <v>EA</v>
      </c>
      <c r="I770">
        <v>0</v>
      </c>
      <c r="J770">
        <v>0</v>
      </c>
      <c r="K770" t="str">
        <f t="shared" ref="K770:K833" si="230">"Y"</f>
        <v>Y</v>
      </c>
      <c r="L770">
        <v>0</v>
      </c>
      <c r="M770" t="str">
        <f t="shared" ref="M770:M833" si="231">"NIS"</f>
        <v>NIS</v>
      </c>
      <c r="O770">
        <v>1</v>
      </c>
      <c r="P770" t="str">
        <f t="shared" si="220"/>
        <v>Active</v>
      </c>
      <c r="Q770" t="str">
        <f>"SCORBOT-ER 4u (Package)"</f>
        <v>SCORBOT-ER 4u (Package)</v>
      </c>
      <c r="S770" t="str">
        <f>"SCORBOT-ER 4u (Package)"</f>
        <v>SCORBOT-ER 4u (Package)</v>
      </c>
      <c r="T770">
        <v>0</v>
      </c>
      <c r="U770" s="44">
        <v>3200</v>
      </c>
      <c r="V770" s="44">
        <v>3390.7</v>
      </c>
      <c r="W770" t="str">
        <f t="shared" si="219"/>
        <v>rob</v>
      </c>
    </row>
    <row r="771" spans="1:23">
      <c r="A771" t="str">
        <f t="shared" si="226"/>
        <v>ASRS-ER4U-18</v>
      </c>
      <c r="B771" t="str">
        <f>"00-0609-0000"</f>
        <v>00-0609-0000</v>
      </c>
      <c r="C771" t="str">
        <f>"Gripper attachment for round and square parts"</f>
        <v>Gripper attachment for round and square parts</v>
      </c>
      <c r="D771">
        <v>1</v>
      </c>
      <c r="E771" t="str">
        <f t="shared" si="227"/>
        <v>ASRS - 18 Shelves &amp; ER4U</v>
      </c>
      <c r="F771">
        <v>999</v>
      </c>
      <c r="G771" t="str">
        <f t="shared" si="228"/>
        <v>Y</v>
      </c>
      <c r="H771" t="str">
        <f t="shared" si="229"/>
        <v>EA</v>
      </c>
      <c r="I771">
        <v>0</v>
      </c>
      <c r="J771">
        <v>0</v>
      </c>
      <c r="K771" t="str">
        <f t="shared" si="230"/>
        <v>Y</v>
      </c>
      <c r="L771">
        <v>0</v>
      </c>
      <c r="M771" t="str">
        <f t="shared" si="231"/>
        <v>NIS</v>
      </c>
      <c r="O771">
        <v>2</v>
      </c>
      <c r="P771" t="str">
        <f t="shared" si="220"/>
        <v>Active</v>
      </c>
      <c r="Q771" t="str">
        <f>"End Effector Attachment for ER4U Gripper"</f>
        <v>End Effector Attachment for ER4U Gripper</v>
      </c>
      <c r="S771" t="str">
        <f>"End Effector Attachment for ER4U Gripper"</f>
        <v>End Effector Attachment for ER4U Gripper</v>
      </c>
      <c r="T771">
        <v>0</v>
      </c>
      <c r="U771">
        <v>25.59</v>
      </c>
      <c r="V771">
        <v>25.11</v>
      </c>
      <c r="W771" t="str">
        <f t="shared" si="219"/>
        <v>rob</v>
      </c>
    </row>
    <row r="772" spans="1:23">
      <c r="A772" t="str">
        <f t="shared" si="226"/>
        <v>ASRS-ER4U-18</v>
      </c>
      <c r="B772" t="str">
        <f>"00-1710-0000"</f>
        <v>00-1710-0000</v>
      </c>
      <c r="C772" t="str">
        <f>"Teach Pendant"</f>
        <v>Teach Pendant</v>
      </c>
      <c r="D772">
        <v>1</v>
      </c>
      <c r="E772" t="str">
        <f t="shared" si="227"/>
        <v>ASRS - 18 Shelves &amp; ER4U</v>
      </c>
      <c r="F772">
        <v>999</v>
      </c>
      <c r="G772" t="str">
        <f t="shared" si="228"/>
        <v>Y</v>
      </c>
      <c r="H772" t="str">
        <f t="shared" si="229"/>
        <v>EA</v>
      </c>
      <c r="I772">
        <v>0</v>
      </c>
      <c r="J772">
        <v>0</v>
      </c>
      <c r="K772" t="str">
        <f t="shared" si="230"/>
        <v>Y</v>
      </c>
      <c r="L772">
        <v>0</v>
      </c>
      <c r="M772" t="str">
        <f t="shared" si="231"/>
        <v>NIS</v>
      </c>
      <c r="O772">
        <v>3</v>
      </c>
      <c r="P772" t="str">
        <f t="shared" si="220"/>
        <v>Active</v>
      </c>
      <c r="Q772" t="str">
        <f>"Teach Pendant for USB/USB Pro Controllers"</f>
        <v>Teach Pendant for USB/USB Pro Controllers</v>
      </c>
      <c r="S772" t="str">
        <f>"Teach Pendant for USB/USB Pro Controllers"</f>
        <v>Teach Pendant for USB/USB Pro Controllers</v>
      </c>
      <c r="T772">
        <v>0</v>
      </c>
      <c r="U772">
        <v>160.18</v>
      </c>
      <c r="V772">
        <v>161.44999999999999</v>
      </c>
      <c r="W772" t="str">
        <f t="shared" si="219"/>
        <v>rob</v>
      </c>
    </row>
    <row r="773" spans="1:23">
      <c r="A773" t="str">
        <f t="shared" si="226"/>
        <v>ASRS-ER4U-18</v>
      </c>
      <c r="B773" t="str">
        <f>"00-1020-0000"</f>
        <v>00-1020-0000</v>
      </c>
      <c r="C773" t="str">
        <f>"LSB 1.0m, Belt, TT"</f>
        <v>LSB 1.0m, Belt, TT</v>
      </c>
      <c r="D773">
        <v>1</v>
      </c>
      <c r="E773" t="str">
        <f t="shared" si="227"/>
        <v>ASRS - 18 Shelves &amp; ER4U</v>
      </c>
      <c r="F773">
        <v>999</v>
      </c>
      <c r="G773" t="str">
        <f t="shared" si="228"/>
        <v>Y</v>
      </c>
      <c r="H773" t="str">
        <f t="shared" si="229"/>
        <v>EA</v>
      </c>
      <c r="I773">
        <v>0</v>
      </c>
      <c r="J773">
        <v>0</v>
      </c>
      <c r="K773" t="str">
        <f t="shared" si="230"/>
        <v>Y</v>
      </c>
      <c r="L773">
        <v>0</v>
      </c>
      <c r="M773" t="str">
        <f t="shared" si="231"/>
        <v>NIS</v>
      </c>
      <c r="O773">
        <v>4</v>
      </c>
      <c r="P773" t="str">
        <f t="shared" si="220"/>
        <v>Active</v>
      </c>
      <c r="Q773" t="str">
        <f>"LSB 1.0m (Belt, Table-Top)"</f>
        <v>LSB 1.0m (Belt, Table-Top)</v>
      </c>
      <c r="S773" t="str">
        <f>"LSB 1.0m, Belt, Table-Top"</f>
        <v>LSB 1.0m, Belt, Table-Top</v>
      </c>
      <c r="T773">
        <v>0</v>
      </c>
      <c r="U773" s="44">
        <v>1850</v>
      </c>
      <c r="V773" s="44">
        <v>1739.55</v>
      </c>
      <c r="W773" t="str">
        <f t="shared" si="219"/>
        <v>rob</v>
      </c>
    </row>
    <row r="774" spans="1:23">
      <c r="A774" t="str">
        <f t="shared" si="226"/>
        <v>ASRS-ER4U-18</v>
      </c>
      <c r="B774" t="str">
        <f>"00-1121-0000"</f>
        <v>00-1121-0000</v>
      </c>
      <c r="C774" t="str">
        <f>"MicroASRS (6-bay Storage Rack)"</f>
        <v>MicroASRS (6-bay Storage Rack)</v>
      </c>
      <c r="D774">
        <v>3</v>
      </c>
      <c r="E774" t="str">
        <f t="shared" si="227"/>
        <v>ASRS - 18 Shelves &amp; ER4U</v>
      </c>
      <c r="F774">
        <v>999</v>
      </c>
      <c r="G774" t="str">
        <f t="shared" si="228"/>
        <v>Y</v>
      </c>
      <c r="H774" t="str">
        <f t="shared" si="229"/>
        <v>EA</v>
      </c>
      <c r="I774">
        <v>0</v>
      </c>
      <c r="J774">
        <v>0</v>
      </c>
      <c r="K774" t="str">
        <f t="shared" si="230"/>
        <v>Y</v>
      </c>
      <c r="L774">
        <v>0</v>
      </c>
      <c r="M774" t="str">
        <f t="shared" si="231"/>
        <v>NIS</v>
      </c>
      <c r="O774">
        <v>5</v>
      </c>
      <c r="P774" t="str">
        <f t="shared" si="220"/>
        <v>Active</v>
      </c>
      <c r="Q774" t="str">
        <f>"MicroASRS (6-bay Storage Rack)"</f>
        <v>MicroASRS (6-bay Storage Rack)</v>
      </c>
      <c r="S774" t="str">
        <f>"MicroASRS (6-bay Storage Rack)"</f>
        <v>MicroASRS (6-bay Storage Rack)</v>
      </c>
      <c r="T774">
        <v>0</v>
      </c>
      <c r="U774">
        <v>430</v>
      </c>
      <c r="V774">
        <v>443.16</v>
      </c>
      <c r="W774" t="str">
        <f t="shared" si="219"/>
        <v>rob</v>
      </c>
    </row>
    <row r="775" spans="1:23">
      <c r="A775" t="str">
        <f t="shared" si="226"/>
        <v>ASRS-ER4U-18</v>
      </c>
      <c r="B775" t="str">
        <f>"021181"</f>
        <v>021181</v>
      </c>
      <c r="C775" t="str">
        <f>"97mm Height Adapter -Rack 001110 on formica 19mm"</f>
        <v>97mm Height Adapter -Rack 001110 on formica 19mm</v>
      </c>
      <c r="D775">
        <v>3</v>
      </c>
      <c r="E775" t="str">
        <f t="shared" si="227"/>
        <v>ASRS - 18 Shelves &amp; ER4U</v>
      </c>
      <c r="F775">
        <v>999</v>
      </c>
      <c r="G775" t="str">
        <f t="shared" si="228"/>
        <v>Y</v>
      </c>
      <c r="H775" t="str">
        <f t="shared" si="229"/>
        <v>EA</v>
      </c>
      <c r="I775">
        <v>0</v>
      </c>
      <c r="J775">
        <v>0</v>
      </c>
      <c r="K775" t="str">
        <f t="shared" si="230"/>
        <v>Y</v>
      </c>
      <c r="L775">
        <v>0</v>
      </c>
      <c r="M775" t="str">
        <f t="shared" si="231"/>
        <v>NIS</v>
      </c>
      <c r="O775">
        <v>6</v>
      </c>
      <c r="P775" t="str">
        <f t="shared" si="220"/>
        <v>Active</v>
      </c>
      <c r="Q775" t="str">
        <f>"97mm Height Adapter -Rack 001110 on formica 19mm"</f>
        <v>97mm Height Adapter -Rack 001110 on formica 19mm</v>
      </c>
      <c r="S775" t="str">
        <f>"97mm Height Adapter -Rack 001110 on formica 19mm"</f>
        <v>97mm Height Adapter -Rack 001110 on formica 19mm</v>
      </c>
      <c r="T775">
        <v>0</v>
      </c>
      <c r="U775">
        <v>8.0299999999999994</v>
      </c>
      <c r="V775">
        <v>8.85</v>
      </c>
      <c r="W775" t="str">
        <f t="shared" si="219"/>
        <v>rob</v>
      </c>
    </row>
    <row r="776" spans="1:23">
      <c r="A776" t="str">
        <f t="shared" si="226"/>
        <v>ASRS-ER4U-18</v>
      </c>
      <c r="B776" t="str">
        <f>"00-1251-0000"</f>
        <v>00-1251-0000</v>
      </c>
      <c r="C776" t="str">
        <f>"Workbench 1500x800mm (Formica Top)"</f>
        <v>Workbench 1500x800mm (Formica Top)</v>
      </c>
      <c r="D776">
        <v>1</v>
      </c>
      <c r="E776" t="str">
        <f t="shared" si="227"/>
        <v>ASRS - 18 Shelves &amp; ER4U</v>
      </c>
      <c r="F776">
        <v>999</v>
      </c>
      <c r="G776" t="str">
        <f t="shared" si="228"/>
        <v>Y</v>
      </c>
      <c r="H776" t="str">
        <f t="shared" si="229"/>
        <v>EA</v>
      </c>
      <c r="I776">
        <v>0</v>
      </c>
      <c r="J776">
        <v>0</v>
      </c>
      <c r="K776" t="str">
        <f t="shared" si="230"/>
        <v>Y</v>
      </c>
      <c r="L776">
        <v>0</v>
      </c>
      <c r="M776" t="str">
        <f t="shared" si="231"/>
        <v>NIS</v>
      </c>
      <c r="O776">
        <v>7</v>
      </c>
      <c r="P776" t="str">
        <f t="shared" si="220"/>
        <v>Active</v>
      </c>
      <c r="Q776" t="str">
        <f>"Workbench 1500x800mm (Formica Top)"</f>
        <v>Workbench 1500x800mm (Formica Top)</v>
      </c>
      <c r="S776" t="str">
        <f>"Workbench 1500x800mm (Formica Top)"</f>
        <v>Workbench 1500x800mm (Formica Top)</v>
      </c>
      <c r="T776">
        <v>0</v>
      </c>
      <c r="U776">
        <v>582</v>
      </c>
      <c r="V776">
        <v>588.6</v>
      </c>
      <c r="W776" t="str">
        <f t="shared" si="219"/>
        <v>rob</v>
      </c>
    </row>
    <row r="777" spans="1:23">
      <c r="A777" t="str">
        <f t="shared" si="226"/>
        <v>ASRS-ER4U-18</v>
      </c>
      <c r="B777" t="str">
        <f>"00-1260-0000"</f>
        <v>00-1260-0000</v>
      </c>
      <c r="C777" t="str">
        <f>"PC Extension Shelf  600x800mm"</f>
        <v>PC Extension Shelf  600x800mm</v>
      </c>
      <c r="D777">
        <v>1</v>
      </c>
      <c r="E777" t="str">
        <f t="shared" si="227"/>
        <v>ASRS - 18 Shelves &amp; ER4U</v>
      </c>
      <c r="F777">
        <v>999</v>
      </c>
      <c r="G777" t="str">
        <f t="shared" si="228"/>
        <v>Y</v>
      </c>
      <c r="H777" t="str">
        <f t="shared" si="229"/>
        <v>EA</v>
      </c>
      <c r="I777">
        <v>0</v>
      </c>
      <c r="J777">
        <v>0</v>
      </c>
      <c r="K777" t="str">
        <f t="shared" si="230"/>
        <v>Y</v>
      </c>
      <c r="L777">
        <v>0</v>
      </c>
      <c r="M777" t="str">
        <f t="shared" si="231"/>
        <v>NIS</v>
      </c>
      <c r="O777">
        <v>8</v>
      </c>
      <c r="P777" t="str">
        <f t="shared" si="220"/>
        <v>Active</v>
      </c>
      <c r="Q777" t="str">
        <f>"PC Extension Shelf  600x800mm"</f>
        <v>PC Extension Shelf  600x800mm</v>
      </c>
      <c r="S777" t="str">
        <f>"PC Extension Shelf  600x800mm"</f>
        <v>PC Extension Shelf  600x800mm</v>
      </c>
      <c r="T777">
        <v>0</v>
      </c>
      <c r="U777">
        <v>192</v>
      </c>
      <c r="V777">
        <v>195.4</v>
      </c>
      <c r="W777" t="str">
        <f t="shared" si="219"/>
        <v>rob</v>
      </c>
    </row>
    <row r="778" spans="1:23">
      <c r="A778" t="str">
        <f t="shared" si="226"/>
        <v>ASRS-ER4U-18</v>
      </c>
      <c r="B778" t="str">
        <f>"50-0094-0000"</f>
        <v>50-0094-0000</v>
      </c>
      <c r="C778" t="str">
        <f>"Pre-Engineering, Design and Testing"</f>
        <v>Pre-Engineering, Design and Testing</v>
      </c>
      <c r="D778">
        <v>1</v>
      </c>
      <c r="E778" t="str">
        <f t="shared" si="227"/>
        <v>ASRS - 18 Shelves &amp; ER4U</v>
      </c>
      <c r="F778">
        <v>999</v>
      </c>
      <c r="G778" t="str">
        <f t="shared" si="228"/>
        <v>Y</v>
      </c>
      <c r="H778" t="str">
        <f>"DA"</f>
        <v>DA</v>
      </c>
      <c r="I778">
        <v>0</v>
      </c>
      <c r="J778">
        <v>0</v>
      </c>
      <c r="K778" t="str">
        <f t="shared" si="230"/>
        <v>Y</v>
      </c>
      <c r="L778">
        <v>0</v>
      </c>
      <c r="M778" t="str">
        <f t="shared" si="231"/>
        <v>NIS</v>
      </c>
      <c r="O778">
        <v>9</v>
      </c>
      <c r="P778" t="str">
        <f t="shared" si="220"/>
        <v>Active</v>
      </c>
      <c r="Q778" t="str">
        <f>"Pre-Engineering, Design and Testing"</f>
        <v>Pre-Engineering, Design and Testing</v>
      </c>
      <c r="S778" t="str">
        <f>"Pre-Engineering, Design and Testing"</f>
        <v>Pre-Engineering, Design and Testing</v>
      </c>
      <c r="T778">
        <v>0</v>
      </c>
      <c r="U778">
        <v>405</v>
      </c>
      <c r="V778">
        <v>421.2</v>
      </c>
      <c r="W778" t="str">
        <f t="shared" si="219"/>
        <v>rob</v>
      </c>
    </row>
    <row r="779" spans="1:23">
      <c r="A779" t="str">
        <f t="shared" ref="A779:A788" si="232">"ASRS-ER4U-18-RDR"</f>
        <v>ASRS-ER4U-18-RDR</v>
      </c>
      <c r="B779" t="str">
        <f>"00-0413-0000"</f>
        <v>00-0413-0000</v>
      </c>
      <c r="C779" t="str">
        <f>"SCORBOT-ER 4u"</f>
        <v>SCORBOT-ER 4u</v>
      </c>
      <c r="D779">
        <v>1</v>
      </c>
      <c r="E779" t="str">
        <f t="shared" ref="E779:E788" si="233">"ASRS - 18 Shelves &amp; ER4U &amp; RFID Reader"</f>
        <v>ASRS - 18 Shelves &amp; ER4U &amp; RFID Reader</v>
      </c>
      <c r="F779">
        <v>999</v>
      </c>
      <c r="G779" t="str">
        <f t="shared" si="228"/>
        <v>Y</v>
      </c>
      <c r="H779" t="str">
        <f t="shared" ref="H779:H787" si="234">"EA"</f>
        <v>EA</v>
      </c>
      <c r="I779">
        <v>0</v>
      </c>
      <c r="J779">
        <v>0</v>
      </c>
      <c r="K779" t="str">
        <f t="shared" si="230"/>
        <v>Y</v>
      </c>
      <c r="L779">
        <v>0</v>
      </c>
      <c r="M779" t="str">
        <f t="shared" si="231"/>
        <v>NIS</v>
      </c>
      <c r="O779">
        <v>1</v>
      </c>
      <c r="P779" t="str">
        <f t="shared" si="220"/>
        <v>Active</v>
      </c>
      <c r="Q779" t="str">
        <f>"SCORBOT-ER 4u (Package)"</f>
        <v>SCORBOT-ER 4u (Package)</v>
      </c>
      <c r="S779" t="str">
        <f>"SCORBOT-ER 4u (Package)"</f>
        <v>SCORBOT-ER 4u (Package)</v>
      </c>
      <c r="T779">
        <v>0</v>
      </c>
      <c r="U779" s="44">
        <v>3200</v>
      </c>
      <c r="V779" s="44">
        <v>3390.7</v>
      </c>
      <c r="W779" t="str">
        <f t="shared" si="219"/>
        <v>rob</v>
      </c>
    </row>
    <row r="780" spans="1:23">
      <c r="A780" t="str">
        <f t="shared" si="232"/>
        <v>ASRS-ER4U-18-RDR</v>
      </c>
      <c r="B780" t="str">
        <f>"00-0609-0000"</f>
        <v>00-0609-0000</v>
      </c>
      <c r="C780" t="str">
        <f>"Gripper attachment for round and square parts"</f>
        <v>Gripper attachment for round and square parts</v>
      </c>
      <c r="D780">
        <v>1</v>
      </c>
      <c r="E780" t="str">
        <f t="shared" si="233"/>
        <v>ASRS - 18 Shelves &amp; ER4U &amp; RFID Reader</v>
      </c>
      <c r="F780">
        <v>999</v>
      </c>
      <c r="G780" t="str">
        <f t="shared" si="228"/>
        <v>Y</v>
      </c>
      <c r="H780" t="str">
        <f t="shared" si="234"/>
        <v>EA</v>
      </c>
      <c r="I780">
        <v>0</v>
      </c>
      <c r="J780">
        <v>0</v>
      </c>
      <c r="K780" t="str">
        <f t="shared" si="230"/>
        <v>Y</v>
      </c>
      <c r="L780">
        <v>0</v>
      </c>
      <c r="M780" t="str">
        <f t="shared" si="231"/>
        <v>NIS</v>
      </c>
      <c r="O780">
        <v>2</v>
      </c>
      <c r="P780" t="str">
        <f t="shared" si="220"/>
        <v>Active</v>
      </c>
      <c r="Q780" t="str">
        <f>"End Effector Attachment for ER4U Gripper"</f>
        <v>End Effector Attachment for ER4U Gripper</v>
      </c>
      <c r="S780" t="str">
        <f>"End Effector Attachment for ER4U Gripper"</f>
        <v>End Effector Attachment for ER4U Gripper</v>
      </c>
      <c r="T780">
        <v>0</v>
      </c>
      <c r="U780">
        <v>25.59</v>
      </c>
      <c r="V780">
        <v>25.11</v>
      </c>
      <c r="W780" t="str">
        <f t="shared" si="219"/>
        <v>rob</v>
      </c>
    </row>
    <row r="781" spans="1:23">
      <c r="A781" t="str">
        <f t="shared" si="232"/>
        <v>ASRS-ER4U-18-RDR</v>
      </c>
      <c r="B781" t="str">
        <f>"00-1710-0000"</f>
        <v>00-1710-0000</v>
      </c>
      <c r="C781" t="str">
        <f>"Teach Pendant"</f>
        <v>Teach Pendant</v>
      </c>
      <c r="D781">
        <v>1</v>
      </c>
      <c r="E781" t="str">
        <f t="shared" si="233"/>
        <v>ASRS - 18 Shelves &amp; ER4U &amp; RFID Reader</v>
      </c>
      <c r="F781">
        <v>999</v>
      </c>
      <c r="G781" t="str">
        <f t="shared" si="228"/>
        <v>Y</v>
      </c>
      <c r="H781" t="str">
        <f t="shared" si="234"/>
        <v>EA</v>
      </c>
      <c r="I781">
        <v>0</v>
      </c>
      <c r="J781">
        <v>0</v>
      </c>
      <c r="K781" t="str">
        <f t="shared" si="230"/>
        <v>Y</v>
      </c>
      <c r="L781">
        <v>0</v>
      </c>
      <c r="M781" t="str">
        <f t="shared" si="231"/>
        <v>NIS</v>
      </c>
      <c r="O781">
        <v>3</v>
      </c>
      <c r="P781" t="str">
        <f t="shared" si="220"/>
        <v>Active</v>
      </c>
      <c r="Q781" t="str">
        <f>"Teach Pendant for USB/USB Pro Controllers"</f>
        <v>Teach Pendant for USB/USB Pro Controllers</v>
      </c>
      <c r="S781" t="str">
        <f>"Teach Pendant for USB/USB Pro Controllers"</f>
        <v>Teach Pendant for USB/USB Pro Controllers</v>
      </c>
      <c r="T781">
        <v>0</v>
      </c>
      <c r="U781">
        <v>160.18</v>
      </c>
      <c r="V781">
        <v>161.44999999999999</v>
      </c>
      <c r="W781" t="str">
        <f t="shared" si="219"/>
        <v>rob</v>
      </c>
    </row>
    <row r="782" spans="1:23">
      <c r="A782" t="str">
        <f t="shared" si="232"/>
        <v>ASRS-ER4U-18-RDR</v>
      </c>
      <c r="B782" t="str">
        <f>"00-1020-0000"</f>
        <v>00-1020-0000</v>
      </c>
      <c r="C782" t="str">
        <f>"LSB 1.0m, Belt, TT"</f>
        <v>LSB 1.0m, Belt, TT</v>
      </c>
      <c r="D782">
        <v>1</v>
      </c>
      <c r="E782" t="str">
        <f t="shared" si="233"/>
        <v>ASRS - 18 Shelves &amp; ER4U &amp; RFID Reader</v>
      </c>
      <c r="F782">
        <v>999</v>
      </c>
      <c r="G782" t="str">
        <f t="shared" si="228"/>
        <v>Y</v>
      </c>
      <c r="H782" t="str">
        <f t="shared" si="234"/>
        <v>EA</v>
      </c>
      <c r="I782">
        <v>0</v>
      </c>
      <c r="J782">
        <v>0</v>
      </c>
      <c r="K782" t="str">
        <f t="shared" si="230"/>
        <v>Y</v>
      </c>
      <c r="L782">
        <v>0</v>
      </c>
      <c r="M782" t="str">
        <f t="shared" si="231"/>
        <v>NIS</v>
      </c>
      <c r="O782">
        <v>4</v>
      </c>
      <c r="P782" t="str">
        <f t="shared" si="220"/>
        <v>Active</v>
      </c>
      <c r="Q782" t="str">
        <f>"LSB 1.0m (Belt, Table-Top)"</f>
        <v>LSB 1.0m (Belt, Table-Top)</v>
      </c>
      <c r="S782" t="str">
        <f>"LSB 1.0m, Belt, Table-Top"</f>
        <v>LSB 1.0m, Belt, Table-Top</v>
      </c>
      <c r="T782">
        <v>0</v>
      </c>
      <c r="U782" s="44">
        <v>1850</v>
      </c>
      <c r="V782" s="44">
        <v>1739.55</v>
      </c>
      <c r="W782" t="str">
        <f t="shared" si="219"/>
        <v>rob</v>
      </c>
    </row>
    <row r="783" spans="1:23">
      <c r="A783" t="str">
        <f t="shared" si="232"/>
        <v>ASRS-ER4U-18-RDR</v>
      </c>
      <c r="B783" t="str">
        <f>"00-1121-0000"</f>
        <v>00-1121-0000</v>
      </c>
      <c r="C783" t="str">
        <f>"MicroASRS (6-bay Storage Rack)"</f>
        <v>MicroASRS (6-bay Storage Rack)</v>
      </c>
      <c r="D783">
        <v>3</v>
      </c>
      <c r="E783" t="str">
        <f t="shared" si="233"/>
        <v>ASRS - 18 Shelves &amp; ER4U &amp; RFID Reader</v>
      </c>
      <c r="F783">
        <v>999</v>
      </c>
      <c r="G783" t="str">
        <f t="shared" si="228"/>
        <v>Y</v>
      </c>
      <c r="H783" t="str">
        <f t="shared" si="234"/>
        <v>EA</v>
      </c>
      <c r="I783">
        <v>0</v>
      </c>
      <c r="J783">
        <v>0</v>
      </c>
      <c r="K783" t="str">
        <f t="shared" si="230"/>
        <v>Y</v>
      </c>
      <c r="L783">
        <v>0</v>
      </c>
      <c r="M783" t="str">
        <f t="shared" si="231"/>
        <v>NIS</v>
      </c>
      <c r="O783">
        <v>5</v>
      </c>
      <c r="P783" t="str">
        <f t="shared" ref="P783:P806" si="235">"Active"</f>
        <v>Active</v>
      </c>
      <c r="Q783" t="str">
        <f>"MicroASRS (6-bay Storage Rack)"</f>
        <v>MicroASRS (6-bay Storage Rack)</v>
      </c>
      <c r="S783" t="str">
        <f>"MicroASRS (6-bay Storage Rack)"</f>
        <v>MicroASRS (6-bay Storage Rack)</v>
      </c>
      <c r="T783">
        <v>0</v>
      </c>
      <c r="U783">
        <v>430</v>
      </c>
      <c r="V783">
        <v>443.16</v>
      </c>
      <c r="W783" t="str">
        <f t="shared" si="219"/>
        <v>rob</v>
      </c>
    </row>
    <row r="784" spans="1:23">
      <c r="A784" t="str">
        <f t="shared" si="232"/>
        <v>ASRS-ER4U-18-RDR</v>
      </c>
      <c r="B784" t="str">
        <f>"021181"</f>
        <v>021181</v>
      </c>
      <c r="C784" t="str">
        <f>"97mm Height Adapter -Rack 001110 on formica 19mm"</f>
        <v>97mm Height Adapter -Rack 001110 on formica 19mm</v>
      </c>
      <c r="D784">
        <v>3</v>
      </c>
      <c r="E784" t="str">
        <f t="shared" si="233"/>
        <v>ASRS - 18 Shelves &amp; ER4U &amp; RFID Reader</v>
      </c>
      <c r="F784">
        <v>999</v>
      </c>
      <c r="G784" t="str">
        <f t="shared" si="228"/>
        <v>Y</v>
      </c>
      <c r="H784" t="str">
        <f t="shared" si="234"/>
        <v>EA</v>
      </c>
      <c r="I784">
        <v>0</v>
      </c>
      <c r="J784">
        <v>0</v>
      </c>
      <c r="K784" t="str">
        <f t="shared" si="230"/>
        <v>Y</v>
      </c>
      <c r="L784">
        <v>0</v>
      </c>
      <c r="M784" t="str">
        <f t="shared" si="231"/>
        <v>NIS</v>
      </c>
      <c r="O784">
        <v>6</v>
      </c>
      <c r="P784" t="str">
        <f t="shared" si="235"/>
        <v>Active</v>
      </c>
      <c r="Q784" t="str">
        <f>"97mm Height Adapter -Rack 001110 on formica 19mm"</f>
        <v>97mm Height Adapter -Rack 001110 on formica 19mm</v>
      </c>
      <c r="S784" t="str">
        <f>"97mm Height Adapter -Rack 001110 on formica 19mm"</f>
        <v>97mm Height Adapter -Rack 001110 on formica 19mm</v>
      </c>
      <c r="T784">
        <v>0</v>
      </c>
      <c r="U784">
        <v>8.0299999999999994</v>
      </c>
      <c r="V784">
        <v>8.85</v>
      </c>
      <c r="W784" t="str">
        <f t="shared" si="219"/>
        <v>rob</v>
      </c>
    </row>
    <row r="785" spans="1:23">
      <c r="A785" t="str">
        <f t="shared" si="232"/>
        <v>ASRS-ER4U-18-RDR</v>
      </c>
      <c r="B785" t="str">
        <f>"10-2119-8000"</f>
        <v>10-2119-8000</v>
      </c>
      <c r="C785" t="str">
        <f>"RFID Reader System 115/230V"</f>
        <v>RFID Reader System 115/230V</v>
      </c>
      <c r="D785">
        <v>1</v>
      </c>
      <c r="E785" t="str">
        <f t="shared" si="233"/>
        <v>ASRS - 18 Shelves &amp; ER4U &amp; RFID Reader</v>
      </c>
      <c r="F785">
        <v>999</v>
      </c>
      <c r="G785" t="str">
        <f t="shared" si="228"/>
        <v>Y</v>
      </c>
      <c r="H785" t="str">
        <f t="shared" si="234"/>
        <v>EA</v>
      </c>
      <c r="I785">
        <v>0</v>
      </c>
      <c r="J785">
        <v>0</v>
      </c>
      <c r="K785" t="str">
        <f t="shared" si="230"/>
        <v>Y</v>
      </c>
      <c r="L785">
        <v>0</v>
      </c>
      <c r="M785" t="str">
        <f t="shared" si="231"/>
        <v>NIS</v>
      </c>
      <c r="O785">
        <v>7</v>
      </c>
      <c r="P785" t="str">
        <f t="shared" si="235"/>
        <v>Active</v>
      </c>
      <c r="Q785" t="str">
        <f>"RFID Reader  System, 115/230V"</f>
        <v>RFID Reader  System, 115/230V</v>
      </c>
      <c r="S785" t="str">
        <f>"RFID Reader System, 115/230"</f>
        <v>RFID Reader System, 115/230</v>
      </c>
      <c r="T785">
        <v>0</v>
      </c>
      <c r="U785">
        <v>220</v>
      </c>
      <c r="V785">
        <v>211.6</v>
      </c>
      <c r="W785" t="str">
        <f t="shared" si="219"/>
        <v>rob</v>
      </c>
    </row>
    <row r="786" spans="1:23">
      <c r="A786" t="str">
        <f t="shared" si="232"/>
        <v>ASRS-ER4U-18-RDR</v>
      </c>
      <c r="B786" t="str">
        <f>"410472"</f>
        <v>410472</v>
      </c>
      <c r="C786" t="str">
        <f>"RFID Tag 20"</f>
        <v>RFID Tag 20</v>
      </c>
      <c r="D786">
        <v>18</v>
      </c>
      <c r="E786" t="str">
        <f t="shared" si="233"/>
        <v>ASRS - 18 Shelves &amp; ER4U &amp; RFID Reader</v>
      </c>
      <c r="F786">
        <v>999</v>
      </c>
      <c r="G786" t="str">
        <f t="shared" si="228"/>
        <v>Y</v>
      </c>
      <c r="H786" t="str">
        <f t="shared" si="234"/>
        <v>EA</v>
      </c>
      <c r="I786">
        <v>0</v>
      </c>
      <c r="J786">
        <v>0</v>
      </c>
      <c r="K786" t="str">
        <f t="shared" si="230"/>
        <v>Y</v>
      </c>
      <c r="L786">
        <v>0</v>
      </c>
      <c r="M786" t="str">
        <f t="shared" si="231"/>
        <v>NIS</v>
      </c>
      <c r="O786">
        <v>8</v>
      </c>
      <c r="P786" t="str">
        <f t="shared" si="235"/>
        <v>Active</v>
      </c>
      <c r="Q786" t="str">
        <f>"RFID Tag Diam. 20mm"</f>
        <v>RFID Tag Diam. 20mm</v>
      </c>
      <c r="R786" t="str">
        <f>"1"</f>
        <v>1</v>
      </c>
      <c r="S786" t="str">
        <f>"תג שקוף עם מדבקה RFID Tag 125KHz Diam.=20mm"</f>
        <v>תג שקוף עם מדבקה RFID Tag 125KHz Diam.=20mm</v>
      </c>
      <c r="T786">
        <v>0</v>
      </c>
      <c r="U786">
        <v>1.41</v>
      </c>
      <c r="V786">
        <v>1.41</v>
      </c>
      <c r="W786" t="str">
        <f t="shared" si="219"/>
        <v>rob</v>
      </c>
    </row>
    <row r="787" spans="1:23">
      <c r="A787" t="str">
        <f t="shared" si="232"/>
        <v>ASRS-ER4U-18-RDR</v>
      </c>
      <c r="B787" t="str">
        <f>"00-1251-0000"</f>
        <v>00-1251-0000</v>
      </c>
      <c r="C787" t="str">
        <f>"Workbench 1500x800mm (Formica Top)"</f>
        <v>Workbench 1500x800mm (Formica Top)</v>
      </c>
      <c r="D787">
        <v>1</v>
      </c>
      <c r="E787" t="str">
        <f t="shared" si="233"/>
        <v>ASRS - 18 Shelves &amp; ER4U &amp; RFID Reader</v>
      </c>
      <c r="F787">
        <v>999</v>
      </c>
      <c r="G787" t="str">
        <f t="shared" si="228"/>
        <v>Y</v>
      </c>
      <c r="H787" t="str">
        <f t="shared" si="234"/>
        <v>EA</v>
      </c>
      <c r="I787">
        <v>0</v>
      </c>
      <c r="J787">
        <v>0</v>
      </c>
      <c r="K787" t="str">
        <f t="shared" si="230"/>
        <v>Y</v>
      </c>
      <c r="L787">
        <v>0</v>
      </c>
      <c r="M787" t="str">
        <f t="shared" si="231"/>
        <v>NIS</v>
      </c>
      <c r="O787">
        <v>9</v>
      </c>
      <c r="P787" t="str">
        <f t="shared" si="235"/>
        <v>Active</v>
      </c>
      <c r="Q787" t="str">
        <f>"Workbench 1500x800mm (Formica Top)"</f>
        <v>Workbench 1500x800mm (Formica Top)</v>
      </c>
      <c r="S787" t="str">
        <f>"Workbench 1500x800mm (Formica Top)"</f>
        <v>Workbench 1500x800mm (Formica Top)</v>
      </c>
      <c r="T787">
        <v>0</v>
      </c>
      <c r="U787">
        <v>582</v>
      </c>
      <c r="V787">
        <v>588.6</v>
      </c>
      <c r="W787" t="str">
        <f t="shared" si="219"/>
        <v>rob</v>
      </c>
    </row>
    <row r="788" spans="1:23">
      <c r="A788" t="str">
        <f t="shared" si="232"/>
        <v>ASRS-ER4U-18-RDR</v>
      </c>
      <c r="B788" t="str">
        <f>"50-0094-0000"</f>
        <v>50-0094-0000</v>
      </c>
      <c r="C788" t="str">
        <f>"Pre-Engineering, Design and Testing"</f>
        <v>Pre-Engineering, Design and Testing</v>
      </c>
      <c r="D788">
        <v>1</v>
      </c>
      <c r="E788" t="str">
        <f t="shared" si="233"/>
        <v>ASRS - 18 Shelves &amp; ER4U &amp; RFID Reader</v>
      </c>
      <c r="F788">
        <v>999</v>
      </c>
      <c r="G788" t="str">
        <f t="shared" si="228"/>
        <v>Y</v>
      </c>
      <c r="H788" t="str">
        <f>"DA"</f>
        <v>DA</v>
      </c>
      <c r="I788">
        <v>0</v>
      </c>
      <c r="J788">
        <v>0</v>
      </c>
      <c r="K788" t="str">
        <f t="shared" si="230"/>
        <v>Y</v>
      </c>
      <c r="L788">
        <v>0</v>
      </c>
      <c r="M788" t="str">
        <f t="shared" si="231"/>
        <v>NIS</v>
      </c>
      <c r="O788">
        <v>10</v>
      </c>
      <c r="P788" t="str">
        <f t="shared" si="235"/>
        <v>Active</v>
      </c>
      <c r="Q788" t="str">
        <f>"Pre-Engineering, Design and Testing"</f>
        <v>Pre-Engineering, Design and Testing</v>
      </c>
      <c r="S788" t="str">
        <f>"Pre-Engineering, Design and Testing"</f>
        <v>Pre-Engineering, Design and Testing</v>
      </c>
      <c r="T788">
        <v>0</v>
      </c>
      <c r="U788">
        <v>405</v>
      </c>
      <c r="V788">
        <v>421.2</v>
      </c>
      <c r="W788" t="str">
        <f t="shared" si="219"/>
        <v>rob</v>
      </c>
    </row>
    <row r="789" spans="1:23">
      <c r="A789" t="str">
        <f t="shared" ref="A789:A794" si="236">"ASRS-ER9P-06"</f>
        <v>ASRS-ER9P-06</v>
      </c>
      <c r="B789" t="str">
        <f>"00-0430-0000"</f>
        <v>00-0430-0000</v>
      </c>
      <c r="C789" t="str">
        <f>"SCORBOT-ER9Pro"</f>
        <v>SCORBOT-ER9Pro</v>
      </c>
      <c r="D789">
        <v>1</v>
      </c>
      <c r="E789" t="str">
        <f t="shared" ref="E789:E794" si="237">"ASRS (Automated Storage and Retrieval System)-6 Shelves &amp; Scorbot-ER9Pro"</f>
        <v>ASRS (Automated Storage and Retrieval System)-6 Shelves &amp; Scorbot-ER9Pro</v>
      </c>
      <c r="F789">
        <v>501</v>
      </c>
      <c r="G789" t="str">
        <f t="shared" si="228"/>
        <v>Y</v>
      </c>
      <c r="H789" t="str">
        <f>"EA"</f>
        <v>EA</v>
      </c>
      <c r="I789">
        <v>0</v>
      </c>
      <c r="J789">
        <v>0</v>
      </c>
      <c r="K789" t="str">
        <f t="shared" si="230"/>
        <v>Y</v>
      </c>
      <c r="L789">
        <v>0</v>
      </c>
      <c r="M789" t="str">
        <f t="shared" si="231"/>
        <v>NIS</v>
      </c>
      <c r="O789">
        <v>1</v>
      </c>
      <c r="P789" t="str">
        <f t="shared" si="235"/>
        <v>Active</v>
      </c>
      <c r="Q789" t="str">
        <f>"SCORBOT-ER 9Pro (incl. USB-Pro Controller)"</f>
        <v>SCORBOT-ER 9Pro (incl. USB-Pro Controller)</v>
      </c>
      <c r="S789" t="str">
        <f>"SCORBOT-ER 9Pro (incl. USB-Pro Controller)"</f>
        <v>SCORBOT-ER 9Pro (incl. USB-Pro Controller)</v>
      </c>
      <c r="T789">
        <v>0</v>
      </c>
      <c r="U789" s="44">
        <v>10900</v>
      </c>
      <c r="V789" s="44">
        <v>11661.57</v>
      </c>
      <c r="W789" t="str">
        <f t="shared" si="219"/>
        <v>rob</v>
      </c>
    </row>
    <row r="790" spans="1:23">
      <c r="A790" t="str">
        <f t="shared" si="236"/>
        <v>ASRS-ER9P-06</v>
      </c>
      <c r="B790" t="str">
        <f>"00-0633-0000"</f>
        <v>00-0633-0000</v>
      </c>
      <c r="C790" t="str">
        <f>"Pneumatic Gripper for ER9-Pro"</f>
        <v>Pneumatic Gripper for ER9-Pro</v>
      </c>
      <c r="D790">
        <v>1</v>
      </c>
      <c r="E790" t="str">
        <f t="shared" si="237"/>
        <v>ASRS (Automated Storage and Retrieval System)-6 Shelves &amp; Scorbot-ER9Pro</v>
      </c>
      <c r="F790">
        <v>501</v>
      </c>
      <c r="G790" t="str">
        <f t="shared" si="228"/>
        <v>Y</v>
      </c>
      <c r="H790" t="str">
        <f>"EA"</f>
        <v>EA</v>
      </c>
      <c r="I790">
        <v>0</v>
      </c>
      <c r="J790">
        <v>0</v>
      </c>
      <c r="K790" t="str">
        <f t="shared" si="230"/>
        <v>Y</v>
      </c>
      <c r="L790">
        <v>0</v>
      </c>
      <c r="M790" t="str">
        <f t="shared" si="231"/>
        <v>NIS</v>
      </c>
      <c r="O790">
        <v>2</v>
      </c>
      <c r="P790" t="str">
        <f t="shared" si="235"/>
        <v>Active</v>
      </c>
      <c r="Q790" t="str">
        <f>"Pneumatic Gripper for ER 9Pro"</f>
        <v>Pneumatic Gripper for ER 9Pro</v>
      </c>
      <c r="S790" t="str">
        <f>"Pneumatic Gripper for ER9-Pro"</f>
        <v>Pneumatic Gripper for ER9-Pro</v>
      </c>
      <c r="T790">
        <v>0</v>
      </c>
      <c r="U790">
        <v>630</v>
      </c>
      <c r="V790">
        <v>624.72</v>
      </c>
      <c r="W790" t="str">
        <f t="shared" si="219"/>
        <v>rob</v>
      </c>
    </row>
    <row r="791" spans="1:23">
      <c r="A791" t="str">
        <f t="shared" si="236"/>
        <v>ASRS-ER9P-06</v>
      </c>
      <c r="B791" t="str">
        <f>"00-1710-0000"</f>
        <v>00-1710-0000</v>
      </c>
      <c r="C791" t="str">
        <f>"Teach Pendant"</f>
        <v>Teach Pendant</v>
      </c>
      <c r="D791">
        <v>1</v>
      </c>
      <c r="E791" t="str">
        <f t="shared" si="237"/>
        <v>ASRS (Automated Storage and Retrieval System)-6 Shelves &amp; Scorbot-ER9Pro</v>
      </c>
      <c r="F791">
        <v>501</v>
      </c>
      <c r="G791" t="str">
        <f t="shared" si="228"/>
        <v>Y</v>
      </c>
      <c r="H791" t="str">
        <f>"EA"</f>
        <v>EA</v>
      </c>
      <c r="I791">
        <v>0</v>
      </c>
      <c r="J791">
        <v>0</v>
      </c>
      <c r="K791" t="str">
        <f t="shared" si="230"/>
        <v>Y</v>
      </c>
      <c r="L791">
        <v>0</v>
      </c>
      <c r="M791" t="str">
        <f t="shared" si="231"/>
        <v>NIS</v>
      </c>
      <c r="O791">
        <v>3</v>
      </c>
      <c r="P791" t="str">
        <f t="shared" si="235"/>
        <v>Active</v>
      </c>
      <c r="Q791" t="str">
        <f>"Teach Pendant for USB/USB Pro Controllers"</f>
        <v>Teach Pendant for USB/USB Pro Controllers</v>
      </c>
      <c r="S791" t="str">
        <f>"Teach Pendant for USB/USB Pro Controllers"</f>
        <v>Teach Pendant for USB/USB Pro Controllers</v>
      </c>
      <c r="T791">
        <v>0</v>
      </c>
      <c r="U791">
        <v>160.18</v>
      </c>
      <c r="V791">
        <v>161.44999999999999</v>
      </c>
      <c r="W791" t="str">
        <f t="shared" si="219"/>
        <v>rob</v>
      </c>
    </row>
    <row r="792" spans="1:23">
      <c r="A792" t="str">
        <f t="shared" si="236"/>
        <v>ASRS-ER9P-06</v>
      </c>
      <c r="B792" t="str">
        <f>"00-1121-0000"</f>
        <v>00-1121-0000</v>
      </c>
      <c r="C792" t="str">
        <f>"MicroASRS (6-bay Storage Rack)"</f>
        <v>MicroASRS (6-bay Storage Rack)</v>
      </c>
      <c r="D792">
        <v>1</v>
      </c>
      <c r="E792" t="str">
        <f t="shared" si="237"/>
        <v>ASRS (Automated Storage and Retrieval System)-6 Shelves &amp; Scorbot-ER9Pro</v>
      </c>
      <c r="F792">
        <v>501</v>
      </c>
      <c r="G792" t="str">
        <f t="shared" si="228"/>
        <v>Y</v>
      </c>
      <c r="H792" t="str">
        <f>"EA"</f>
        <v>EA</v>
      </c>
      <c r="I792">
        <v>0</v>
      </c>
      <c r="J792">
        <v>0</v>
      </c>
      <c r="K792" t="str">
        <f t="shared" si="230"/>
        <v>Y</v>
      </c>
      <c r="L792">
        <v>0</v>
      </c>
      <c r="M792" t="str">
        <f t="shared" si="231"/>
        <v>NIS</v>
      </c>
      <c r="O792">
        <v>4</v>
      </c>
      <c r="P792" t="str">
        <f t="shared" si="235"/>
        <v>Active</v>
      </c>
      <c r="Q792" t="str">
        <f>"MicroASRS (6-bay Storage Rack)"</f>
        <v>MicroASRS (6-bay Storage Rack)</v>
      </c>
      <c r="S792" t="str">
        <f>"MicroASRS (6-bay Storage Rack)"</f>
        <v>MicroASRS (6-bay Storage Rack)</v>
      </c>
      <c r="T792">
        <v>0</v>
      </c>
      <c r="U792">
        <v>430</v>
      </c>
      <c r="V792">
        <v>443.16</v>
      </c>
      <c r="W792" t="str">
        <f t="shared" si="219"/>
        <v>rob</v>
      </c>
    </row>
    <row r="793" spans="1:23">
      <c r="A793" t="str">
        <f t="shared" si="236"/>
        <v>ASRS-ER9P-06</v>
      </c>
      <c r="B793" t="str">
        <f>"00-1251-0000"</f>
        <v>00-1251-0000</v>
      </c>
      <c r="C793" t="str">
        <f>"Workbench 1500x800mm (Formica Top)"</f>
        <v>Workbench 1500x800mm (Formica Top)</v>
      </c>
      <c r="D793">
        <v>1</v>
      </c>
      <c r="E793" t="str">
        <f t="shared" si="237"/>
        <v>ASRS (Automated Storage and Retrieval System)-6 Shelves &amp; Scorbot-ER9Pro</v>
      </c>
      <c r="F793">
        <v>501</v>
      </c>
      <c r="G793" t="str">
        <f t="shared" si="228"/>
        <v>Y</v>
      </c>
      <c r="H793" t="str">
        <f>"EA"</f>
        <v>EA</v>
      </c>
      <c r="I793">
        <v>0</v>
      </c>
      <c r="J793">
        <v>0</v>
      </c>
      <c r="K793" t="str">
        <f t="shared" si="230"/>
        <v>Y</v>
      </c>
      <c r="L793">
        <v>0</v>
      </c>
      <c r="M793" t="str">
        <f t="shared" si="231"/>
        <v>NIS</v>
      </c>
      <c r="O793">
        <v>5</v>
      </c>
      <c r="P793" t="str">
        <f t="shared" si="235"/>
        <v>Active</v>
      </c>
      <c r="Q793" t="str">
        <f>"Workbench 1500x800mm (Formica Top)"</f>
        <v>Workbench 1500x800mm (Formica Top)</v>
      </c>
      <c r="S793" t="str">
        <f>"Workbench 1500x800mm (Formica Top)"</f>
        <v>Workbench 1500x800mm (Formica Top)</v>
      </c>
      <c r="T793">
        <v>0</v>
      </c>
      <c r="U793">
        <v>582</v>
      </c>
      <c r="V793">
        <v>588.6</v>
      </c>
      <c r="W793" t="str">
        <f t="shared" si="219"/>
        <v>rob</v>
      </c>
    </row>
    <row r="794" spans="1:23">
      <c r="A794" t="str">
        <f t="shared" si="236"/>
        <v>ASRS-ER9P-06</v>
      </c>
      <c r="B794" t="str">
        <f>"50-0094-0000"</f>
        <v>50-0094-0000</v>
      </c>
      <c r="C794" t="str">
        <f>"Pre-Engineering, Design and Testing"</f>
        <v>Pre-Engineering, Design and Testing</v>
      </c>
      <c r="D794">
        <v>1</v>
      </c>
      <c r="E794" t="str">
        <f t="shared" si="237"/>
        <v>ASRS (Automated Storage and Retrieval System)-6 Shelves &amp; Scorbot-ER9Pro</v>
      </c>
      <c r="F794">
        <v>501</v>
      </c>
      <c r="G794" t="str">
        <f t="shared" si="228"/>
        <v>Y</v>
      </c>
      <c r="H794" t="str">
        <f>"DA"</f>
        <v>DA</v>
      </c>
      <c r="I794">
        <v>0</v>
      </c>
      <c r="J794">
        <v>0</v>
      </c>
      <c r="K794" t="str">
        <f t="shared" si="230"/>
        <v>Y</v>
      </c>
      <c r="L794">
        <v>0</v>
      </c>
      <c r="M794" t="str">
        <f t="shared" si="231"/>
        <v>NIS</v>
      </c>
      <c r="O794">
        <v>6</v>
      </c>
      <c r="P794" t="str">
        <f t="shared" si="235"/>
        <v>Active</v>
      </c>
      <c r="Q794" t="str">
        <f>"Pre-Engineering, Design and Testing"</f>
        <v>Pre-Engineering, Design and Testing</v>
      </c>
      <c r="S794" t="str">
        <f>"Pre-Engineering, Design and Testing"</f>
        <v>Pre-Engineering, Design and Testing</v>
      </c>
      <c r="T794">
        <v>0</v>
      </c>
      <c r="U794">
        <v>405</v>
      </c>
      <c r="V794">
        <v>421.2</v>
      </c>
      <c r="W794" t="str">
        <f t="shared" si="219"/>
        <v>rob</v>
      </c>
    </row>
    <row r="795" spans="1:23">
      <c r="A795" t="str">
        <f>"ASRS-RDR-ADD-ON"</f>
        <v>ASRS-RDR-ADD-ON</v>
      </c>
      <c r="B795" t="str">
        <f>"10-2119-8000"</f>
        <v>10-2119-8000</v>
      </c>
      <c r="C795" t="str">
        <f>"RFID Reader System 115/230V"</f>
        <v>RFID Reader System 115/230V</v>
      </c>
      <c r="D795">
        <v>1</v>
      </c>
      <c r="E795" t="str">
        <f>"Add On RFID Reader for existing ASRS"</f>
        <v>Add On RFID Reader for existing ASRS</v>
      </c>
      <c r="F795">
        <v>501</v>
      </c>
      <c r="G795" t="str">
        <f t="shared" si="228"/>
        <v>Y</v>
      </c>
      <c r="H795" t="str">
        <f t="shared" ref="H795:H819" si="238">"EA"</f>
        <v>EA</v>
      </c>
      <c r="I795">
        <v>0</v>
      </c>
      <c r="J795">
        <v>0</v>
      </c>
      <c r="K795" t="str">
        <f t="shared" si="230"/>
        <v>Y</v>
      </c>
      <c r="L795">
        <v>0</v>
      </c>
      <c r="M795" t="str">
        <f t="shared" si="231"/>
        <v>NIS</v>
      </c>
      <c r="O795">
        <v>1</v>
      </c>
      <c r="P795" t="str">
        <f t="shared" si="235"/>
        <v>Active</v>
      </c>
      <c r="Q795" t="str">
        <f>"RFID Reader System, 115/230"</f>
        <v>RFID Reader System, 115/230</v>
      </c>
      <c r="S795" t="str">
        <f>"RFID Reader System, 115/230"</f>
        <v>RFID Reader System, 115/230</v>
      </c>
      <c r="T795">
        <v>0</v>
      </c>
      <c r="U795">
        <v>220</v>
      </c>
      <c r="V795">
        <v>211.6</v>
      </c>
      <c r="W795" t="str">
        <f t="shared" si="219"/>
        <v>rob</v>
      </c>
    </row>
    <row r="796" spans="1:23">
      <c r="A796" t="str">
        <f>"ASRS-RDR-ADD-ON"</f>
        <v>ASRS-RDR-ADD-ON</v>
      </c>
      <c r="B796" t="str">
        <f>"410472"</f>
        <v>410472</v>
      </c>
      <c r="C796" t="str">
        <f>"RFID Tag 20"</f>
        <v>RFID Tag 20</v>
      </c>
      <c r="D796">
        <v>1</v>
      </c>
      <c r="E796" t="str">
        <f>"Add On RFID Reader for existing ASRS"</f>
        <v>Add On RFID Reader for existing ASRS</v>
      </c>
      <c r="F796">
        <v>501</v>
      </c>
      <c r="G796" t="str">
        <f t="shared" si="228"/>
        <v>Y</v>
      </c>
      <c r="H796" t="str">
        <f t="shared" si="238"/>
        <v>EA</v>
      </c>
      <c r="I796">
        <v>0</v>
      </c>
      <c r="J796">
        <v>0</v>
      </c>
      <c r="K796" t="str">
        <f t="shared" si="230"/>
        <v>Y</v>
      </c>
      <c r="L796">
        <v>0</v>
      </c>
      <c r="M796" t="str">
        <f t="shared" si="231"/>
        <v>NIS</v>
      </c>
      <c r="O796">
        <v>2</v>
      </c>
      <c r="P796" t="str">
        <f t="shared" si="235"/>
        <v>Active</v>
      </c>
      <c r="Q796" t="str">
        <f>"תג שקוף עם מדבקה RFID Tag 125KHz Diam.=20mm"</f>
        <v>תג שקוף עם מדבקה RFID Tag 125KHz Diam.=20mm</v>
      </c>
      <c r="R796" t="str">
        <f>"1"</f>
        <v>1</v>
      </c>
      <c r="S796" t="str">
        <f>"תג שקוף עם מדבקה RFID Tag 125KHz Diam.=20mm"</f>
        <v>תג שקוף עם מדבקה RFID Tag 125KHz Diam.=20mm</v>
      </c>
      <c r="T796">
        <v>0</v>
      </c>
      <c r="U796">
        <v>1.41</v>
      </c>
      <c r="V796">
        <v>1.41</v>
      </c>
      <c r="W796" t="str">
        <f t="shared" si="219"/>
        <v>rob</v>
      </c>
    </row>
    <row r="797" spans="1:23">
      <c r="A797" t="str">
        <f>"ASRS-UPG-ACL-USB"</f>
        <v>ASRS-UPG-ACL-USB</v>
      </c>
      <c r="B797" t="str">
        <f>"10-1032-3000"</f>
        <v>10-1032-3000</v>
      </c>
      <c r="C797" t="str">
        <f>"Upgrade Package ASRS36/72 to ASRS36/72 U"</f>
        <v>Upgrade Package ASRS36/72 to ASRS36/72 U</v>
      </c>
      <c r="D797">
        <v>1</v>
      </c>
      <c r="E797" t="str">
        <f>"Upgrade ASRS36/72 from ACL controller to USB controller"</f>
        <v>Upgrade ASRS36/72 from ACL controller to USB controller</v>
      </c>
      <c r="F797">
        <v>501</v>
      </c>
      <c r="G797" t="str">
        <f t="shared" si="228"/>
        <v>Y</v>
      </c>
      <c r="H797" t="str">
        <f t="shared" si="238"/>
        <v>EA</v>
      </c>
      <c r="I797">
        <v>0</v>
      </c>
      <c r="J797">
        <v>0</v>
      </c>
      <c r="K797" t="str">
        <f t="shared" si="230"/>
        <v>Y</v>
      </c>
      <c r="L797">
        <v>0</v>
      </c>
      <c r="M797" t="str">
        <f t="shared" si="231"/>
        <v>NIS</v>
      </c>
      <c r="O797">
        <v>1</v>
      </c>
      <c r="P797" t="str">
        <f t="shared" si="235"/>
        <v>Active</v>
      </c>
      <c r="Q797" t="str">
        <f>"Upgrade Package ASRS36/72 to ASRS36/72 U"</f>
        <v>Upgrade Package ASRS36/72 to ASRS36/72 U</v>
      </c>
      <c r="S797" t="str">
        <f>"Upgrade Package ASRS36/72 to ASRS36/72 U"</f>
        <v>Upgrade Package ASRS36/72 to ASRS36/72 U</v>
      </c>
      <c r="T797">
        <v>0</v>
      </c>
      <c r="U797" s="44">
        <v>1589</v>
      </c>
      <c r="V797" s="44">
        <v>1505.66</v>
      </c>
      <c r="W797" t="str">
        <f t="shared" si="219"/>
        <v>rob</v>
      </c>
    </row>
    <row r="798" spans="1:23">
      <c r="A798" t="str">
        <f>"ASRS-UPG-ACL-USB"</f>
        <v>ASRS-UPG-ACL-USB</v>
      </c>
      <c r="B798" t="str">
        <f>"00-1710-0000"</f>
        <v>00-1710-0000</v>
      </c>
      <c r="C798" t="str">
        <f>"Teach Pendant"</f>
        <v>Teach Pendant</v>
      </c>
      <c r="D798">
        <v>1</v>
      </c>
      <c r="E798" t="str">
        <f>"Upgrade ASRS36/72 from ACL controller to USB controller"</f>
        <v>Upgrade ASRS36/72 from ACL controller to USB controller</v>
      </c>
      <c r="F798">
        <v>501</v>
      </c>
      <c r="G798" t="str">
        <f t="shared" si="228"/>
        <v>Y</v>
      </c>
      <c r="H798" t="str">
        <f t="shared" si="238"/>
        <v>EA</v>
      </c>
      <c r="I798">
        <v>0</v>
      </c>
      <c r="J798">
        <v>0</v>
      </c>
      <c r="K798" t="str">
        <f t="shared" si="230"/>
        <v>Y</v>
      </c>
      <c r="L798">
        <v>0</v>
      </c>
      <c r="M798" t="str">
        <f t="shared" si="231"/>
        <v>NIS</v>
      </c>
      <c r="O798">
        <v>2</v>
      </c>
      <c r="P798" t="str">
        <f t="shared" si="235"/>
        <v>Active</v>
      </c>
      <c r="Q798" t="str">
        <f>"Teach Pendant for USB/USB Pro Controllers"</f>
        <v>Teach Pendant for USB/USB Pro Controllers</v>
      </c>
      <c r="S798" t="str">
        <f>"Teach Pendant for USB/USB Pro Controllers"</f>
        <v>Teach Pendant for USB/USB Pro Controllers</v>
      </c>
      <c r="T798">
        <v>0</v>
      </c>
      <c r="U798">
        <v>160.18</v>
      </c>
      <c r="V798">
        <v>161.44999999999999</v>
      </c>
      <c r="W798" t="str">
        <f t="shared" si="219"/>
        <v>rob</v>
      </c>
    </row>
    <row r="799" spans="1:23">
      <c r="A799" t="str">
        <f>"AT-MECH-0001"</f>
        <v>AT-MECH-0001</v>
      </c>
      <c r="B799" t="str">
        <f>"77-8047-0000"</f>
        <v>77-8047-0000</v>
      </c>
      <c r="C799" t="str">
        <f>"LM7 Content, Lab/Vir, Mechanisms"</f>
        <v>LM7 Content, Lab/Vir, Mechanisms</v>
      </c>
      <c r="D799">
        <v>1</v>
      </c>
      <c r="E799" t="str">
        <f>"Mechanisms Lab Trainer &amp; Curriculum"</f>
        <v>Mechanisms Lab Trainer &amp; Curriculum</v>
      </c>
      <c r="F799">
        <v>0</v>
      </c>
      <c r="G799" t="str">
        <f t="shared" si="228"/>
        <v>Y</v>
      </c>
      <c r="H799" t="str">
        <f t="shared" si="238"/>
        <v>EA</v>
      </c>
      <c r="I799">
        <v>0</v>
      </c>
      <c r="J799">
        <v>0</v>
      </c>
      <c r="K799" t="str">
        <f t="shared" si="230"/>
        <v>Y</v>
      </c>
      <c r="L799">
        <v>0</v>
      </c>
      <c r="M799" t="str">
        <f t="shared" si="231"/>
        <v>NIS</v>
      </c>
      <c r="O799">
        <v>1</v>
      </c>
      <c r="P799" t="str">
        <f t="shared" si="235"/>
        <v>Active</v>
      </c>
      <c r="Q799" t="str">
        <f>"LM7 Content, Lab/Vir, Mechanisms"</f>
        <v>LM7 Content, Lab/Vir, Mechanisms</v>
      </c>
      <c r="S799" t="str">
        <f>"LM7 Content, Lab/Vir, Mechanisms"</f>
        <v>LM7 Content, Lab/Vir, Mechanisms</v>
      </c>
      <c r="T799">
        <v>0</v>
      </c>
      <c r="U799">
        <v>5</v>
      </c>
      <c r="V799">
        <v>5</v>
      </c>
      <c r="W799" t="str">
        <f>"zintel"</f>
        <v>zintel</v>
      </c>
    </row>
    <row r="800" spans="1:23">
      <c r="A800" t="str">
        <f t="shared" ref="A800:A820" si="239">"B7-assembly"</f>
        <v>B7-assembly</v>
      </c>
      <c r="B800" t="str">
        <f>"00-0432-0000"</f>
        <v>00-0432-0000</v>
      </c>
      <c r="C800" t="str">
        <f>"SCORA-ER 14Pro"</f>
        <v>SCORA-ER 14Pro</v>
      </c>
      <c r="D800">
        <v>1</v>
      </c>
      <c r="E800" t="str">
        <f t="shared" ref="E800:E820" si="240">"תא הרכבה"</f>
        <v>תא הרכבה</v>
      </c>
      <c r="F800">
        <v>0</v>
      </c>
      <c r="G800" t="str">
        <f t="shared" si="228"/>
        <v>Y</v>
      </c>
      <c r="H800" t="str">
        <f t="shared" si="238"/>
        <v>EA</v>
      </c>
      <c r="I800">
        <v>0</v>
      </c>
      <c r="J800">
        <v>0</v>
      </c>
      <c r="K800" t="str">
        <f t="shared" si="230"/>
        <v>Y</v>
      </c>
      <c r="L800">
        <v>0</v>
      </c>
      <c r="M800" t="str">
        <f t="shared" si="231"/>
        <v>NIS</v>
      </c>
      <c r="O800">
        <v>1</v>
      </c>
      <c r="P800" t="str">
        <f t="shared" si="235"/>
        <v>Active</v>
      </c>
      <c r="Q800" t="str">
        <f>"SCORA-ER 14Pro (incl. USB-Pro Controller)"</f>
        <v>SCORA-ER 14Pro (incl. USB-Pro Controller)</v>
      </c>
      <c r="S800" t="str">
        <f>"SCORA-ER 14Pro (incl. USB-Pro Controller)"</f>
        <v>SCORA-ER 14Pro (incl. USB-Pro Controller)</v>
      </c>
      <c r="T800">
        <v>0</v>
      </c>
      <c r="U800" s="44">
        <v>11400</v>
      </c>
      <c r="V800" s="44">
        <v>12383.77</v>
      </c>
      <c r="W800" t="str">
        <f t="shared" ref="W800:W831" si="241">"tech"</f>
        <v>tech</v>
      </c>
    </row>
    <row r="801" spans="1:23">
      <c r="A801" t="str">
        <f t="shared" si="239"/>
        <v>B7-assembly</v>
      </c>
      <c r="B801" t="str">
        <f>"00-0634-0000"</f>
        <v>00-0634-0000</v>
      </c>
      <c r="C801" t="str">
        <f>"Pneumatic Gripper for ER 14Pro"</f>
        <v>Pneumatic Gripper for ER 14Pro</v>
      </c>
      <c r="D801">
        <v>1</v>
      </c>
      <c r="E801" t="str">
        <f t="shared" si="240"/>
        <v>תא הרכבה</v>
      </c>
      <c r="F801">
        <v>0</v>
      </c>
      <c r="G801" t="str">
        <f t="shared" si="228"/>
        <v>Y</v>
      </c>
      <c r="H801" t="str">
        <f t="shared" si="238"/>
        <v>EA</v>
      </c>
      <c r="I801">
        <v>0</v>
      </c>
      <c r="J801">
        <v>0</v>
      </c>
      <c r="K801" t="str">
        <f t="shared" si="230"/>
        <v>Y</v>
      </c>
      <c r="L801">
        <v>0</v>
      </c>
      <c r="M801" t="str">
        <f t="shared" si="231"/>
        <v>NIS</v>
      </c>
      <c r="O801">
        <v>2</v>
      </c>
      <c r="P801" t="str">
        <f t="shared" si="235"/>
        <v>Active</v>
      </c>
      <c r="Q801" t="str">
        <f>"Pneumatic Gripper for ER 14Pro"</f>
        <v>Pneumatic Gripper for ER 14Pro</v>
      </c>
      <c r="S801" t="str">
        <f>"Pneumatic Gripper for ER 14Pro"</f>
        <v>Pneumatic Gripper for ER 14Pro</v>
      </c>
      <c r="T801">
        <v>0</v>
      </c>
      <c r="U801">
        <v>651</v>
      </c>
      <c r="V801">
        <v>647.6</v>
      </c>
      <c r="W801" t="str">
        <f t="shared" si="241"/>
        <v>tech</v>
      </c>
    </row>
    <row r="802" spans="1:23">
      <c r="A802" t="str">
        <f t="shared" si="239"/>
        <v>B7-assembly</v>
      </c>
      <c r="B802" t="str">
        <f>"00-1710-0000"</f>
        <v>00-1710-0000</v>
      </c>
      <c r="C802" t="str">
        <f>"Teach Pendant"</f>
        <v>Teach Pendant</v>
      </c>
      <c r="D802">
        <v>1</v>
      </c>
      <c r="E802" t="str">
        <f t="shared" si="240"/>
        <v>תא הרכבה</v>
      </c>
      <c r="F802">
        <v>0</v>
      </c>
      <c r="G802" t="str">
        <f t="shared" si="228"/>
        <v>Y</v>
      </c>
      <c r="H802" t="str">
        <f t="shared" si="238"/>
        <v>EA</v>
      </c>
      <c r="I802">
        <v>0</v>
      </c>
      <c r="J802">
        <v>0</v>
      </c>
      <c r="K802" t="str">
        <f t="shared" si="230"/>
        <v>Y</v>
      </c>
      <c r="L802">
        <v>0</v>
      </c>
      <c r="M802" t="str">
        <f t="shared" si="231"/>
        <v>NIS</v>
      </c>
      <c r="O802">
        <v>3</v>
      </c>
      <c r="P802" t="str">
        <f t="shared" si="235"/>
        <v>Active</v>
      </c>
      <c r="Q802" t="str">
        <f>"Teach Pendant for USB/USB Pro Controllers"</f>
        <v>Teach Pendant for USB/USB Pro Controllers</v>
      </c>
      <c r="S802" t="str">
        <f>"Teach Pendant for USB/USB Pro Controllers"</f>
        <v>Teach Pendant for USB/USB Pro Controllers</v>
      </c>
      <c r="T802">
        <v>0</v>
      </c>
      <c r="U802">
        <v>160.18</v>
      </c>
      <c r="V802">
        <v>161.44999999999999</v>
      </c>
      <c r="W802" t="str">
        <f t="shared" si="241"/>
        <v>tech</v>
      </c>
    </row>
    <row r="803" spans="1:23">
      <c r="A803" t="str">
        <f t="shared" si="239"/>
        <v>B7-assembly</v>
      </c>
      <c r="B803" t="str">
        <f>"034025"</f>
        <v>034025</v>
      </c>
      <c r="C803" t="str">
        <f>"I/O Interface Box for Controller USB-PRO"</f>
        <v>I/O Interface Box for Controller USB-PRO</v>
      </c>
      <c r="D803">
        <v>1</v>
      </c>
      <c r="E803" t="str">
        <f t="shared" si="240"/>
        <v>תא הרכבה</v>
      </c>
      <c r="F803">
        <v>0</v>
      </c>
      <c r="G803" t="str">
        <f t="shared" si="228"/>
        <v>Y</v>
      </c>
      <c r="H803" t="str">
        <f t="shared" si="238"/>
        <v>EA</v>
      </c>
      <c r="I803">
        <v>0</v>
      </c>
      <c r="J803">
        <v>0</v>
      </c>
      <c r="K803" t="str">
        <f t="shared" si="230"/>
        <v>Y</v>
      </c>
      <c r="L803">
        <v>0</v>
      </c>
      <c r="M803" t="str">
        <f t="shared" si="231"/>
        <v>NIS</v>
      </c>
      <c r="O803">
        <v>4</v>
      </c>
      <c r="P803" t="str">
        <f t="shared" si="235"/>
        <v>Active</v>
      </c>
      <c r="Q803" t="str">
        <f>"קופסת 2+Interface Box I/O כבלים לבקר USBPRO"</f>
        <v>קופסת 2+Interface Box I/O כבלים לבקר USBPRO</v>
      </c>
      <c r="S803" t="str">
        <f>"קופסת 2+Interface Box I/O כבלים לבקר USBPRO"</f>
        <v>קופסת 2+Interface Box I/O כבלים לבקר USBPRO</v>
      </c>
      <c r="T803">
        <v>0</v>
      </c>
      <c r="U803">
        <v>470</v>
      </c>
      <c r="V803">
        <v>463.62</v>
      </c>
      <c r="W803" t="str">
        <f t="shared" si="241"/>
        <v>tech</v>
      </c>
    </row>
    <row r="804" spans="1:23">
      <c r="A804" t="str">
        <f t="shared" si="239"/>
        <v>B7-assembly</v>
      </c>
      <c r="B804" t="str">
        <f>"10-2104-9000"</f>
        <v>10-2104-9000</v>
      </c>
      <c r="C804" t="str">
        <f>"Single Buffer for Slotted Table"</f>
        <v>Single Buffer for Slotted Table</v>
      </c>
      <c r="D804">
        <v>3</v>
      </c>
      <c r="E804" t="str">
        <f t="shared" si="240"/>
        <v>תא הרכבה</v>
      </c>
      <c r="F804">
        <v>0</v>
      </c>
      <c r="G804" t="str">
        <f t="shared" si="228"/>
        <v>Y</v>
      </c>
      <c r="H804" t="str">
        <f t="shared" si="238"/>
        <v>EA</v>
      </c>
      <c r="I804">
        <v>0</v>
      </c>
      <c r="J804">
        <v>0</v>
      </c>
      <c r="K804" t="str">
        <f t="shared" si="230"/>
        <v>Y</v>
      </c>
      <c r="L804">
        <v>0</v>
      </c>
      <c r="M804" t="str">
        <f t="shared" si="231"/>
        <v>NIS</v>
      </c>
      <c r="O804">
        <v>5</v>
      </c>
      <c r="P804" t="str">
        <f t="shared" si="235"/>
        <v>Active</v>
      </c>
      <c r="Q804" t="str">
        <f>"Single Buffer for Slotted Table(+height adapter)"</f>
        <v>Single Buffer for Slotted Table(+height adapter)</v>
      </c>
      <c r="S804" t="str">
        <f>"Single Buffer for Slotted Table(+height adapter)"</f>
        <v>Single Buffer for Slotted Table(+height adapter)</v>
      </c>
      <c r="T804">
        <v>0</v>
      </c>
      <c r="U804">
        <v>26</v>
      </c>
      <c r="V804">
        <v>25.49</v>
      </c>
      <c r="W804" t="str">
        <f t="shared" si="241"/>
        <v>tech</v>
      </c>
    </row>
    <row r="805" spans="1:23">
      <c r="A805" t="str">
        <f t="shared" si="239"/>
        <v>B7-assembly</v>
      </c>
      <c r="B805" t="str">
        <f>"00-1110-0000"</f>
        <v>00-1110-0000</v>
      </c>
      <c r="C805" t="str">
        <f>"Palletizing Rack"</f>
        <v>Palletizing Rack</v>
      </c>
      <c r="D805">
        <v>2</v>
      </c>
      <c r="E805" t="str">
        <f t="shared" si="240"/>
        <v>תא הרכבה</v>
      </c>
      <c r="F805">
        <v>0</v>
      </c>
      <c r="G805" t="str">
        <f t="shared" si="228"/>
        <v>Y</v>
      </c>
      <c r="H805" t="str">
        <f t="shared" si="238"/>
        <v>EA</v>
      </c>
      <c r="I805">
        <v>0</v>
      </c>
      <c r="J805">
        <v>0</v>
      </c>
      <c r="K805" t="str">
        <f t="shared" si="230"/>
        <v>Y</v>
      </c>
      <c r="L805">
        <v>0</v>
      </c>
      <c r="M805" t="str">
        <f t="shared" si="231"/>
        <v>NIS</v>
      </c>
      <c r="O805">
        <v>6</v>
      </c>
      <c r="P805" t="str">
        <f t="shared" si="235"/>
        <v>Active</v>
      </c>
      <c r="Q805" t="str">
        <f>"Palletizing Rack (incl. Pins for creating Jigs)"</f>
        <v>Palletizing Rack (incl. Pins for creating Jigs)</v>
      </c>
      <c r="S805" t="str">
        <f>"Palletizing Rack (incl. Pins for creating Jigs)"</f>
        <v>Palletizing Rack (incl. Pins for creating Jigs)</v>
      </c>
      <c r="T805">
        <v>0</v>
      </c>
      <c r="U805">
        <v>63</v>
      </c>
      <c r="V805">
        <v>58.59</v>
      </c>
      <c r="W805" t="str">
        <f t="shared" si="241"/>
        <v>tech</v>
      </c>
    </row>
    <row r="806" spans="1:23">
      <c r="A806" t="str">
        <f t="shared" si="239"/>
        <v>B7-assembly</v>
      </c>
      <c r="B806" t="str">
        <f>"021172"</f>
        <v>021172</v>
      </c>
      <c r="C806" t="str">
        <f>"30mm Height Adapter -Rack 001110 on table 001249"</f>
        <v>30mm Height Adapter -Rack 001110 on table 001249</v>
      </c>
      <c r="D806">
        <v>2</v>
      </c>
      <c r="E806" t="str">
        <f t="shared" si="240"/>
        <v>תא הרכבה</v>
      </c>
      <c r="F806">
        <v>0</v>
      </c>
      <c r="G806" t="str">
        <f t="shared" si="228"/>
        <v>Y</v>
      </c>
      <c r="H806" t="str">
        <f t="shared" si="238"/>
        <v>EA</v>
      </c>
      <c r="I806">
        <v>0</v>
      </c>
      <c r="J806">
        <v>0</v>
      </c>
      <c r="K806" t="str">
        <f t="shared" si="230"/>
        <v>Y</v>
      </c>
      <c r="L806">
        <v>0</v>
      </c>
      <c r="M806" t="str">
        <f t="shared" si="231"/>
        <v>NIS</v>
      </c>
      <c r="O806">
        <v>7</v>
      </c>
      <c r="P806" t="str">
        <f t="shared" si="235"/>
        <v>Active</v>
      </c>
      <c r="Q806" t="str">
        <f>"30mm Height Adapter -Rack 001110 on table 001249"</f>
        <v>30mm Height Adapter -Rack 001110 on table 001249</v>
      </c>
      <c r="S806" t="str">
        <f>"30mm Height Adapter -Rack 001110 on table 001249"</f>
        <v>30mm Height Adapter -Rack 001110 on table 001249</v>
      </c>
      <c r="T806">
        <v>0</v>
      </c>
      <c r="U806">
        <v>13.12</v>
      </c>
      <c r="V806">
        <v>13.44</v>
      </c>
      <c r="W806" t="str">
        <f t="shared" si="241"/>
        <v>tech</v>
      </c>
    </row>
    <row r="807" spans="1:23">
      <c r="A807" t="str">
        <f t="shared" si="239"/>
        <v>B7-assembly</v>
      </c>
      <c r="B807" t="str">
        <f>"21-0004-0000"</f>
        <v>21-0004-0000</v>
      </c>
      <c r="C807" t="str">
        <f>"Assembly, Dual Axis Air Vise Mechanicals"</f>
        <v>Assembly, Dual Axis Air Vise Mechanicals</v>
      </c>
      <c r="D807">
        <v>1</v>
      </c>
      <c r="E807" t="str">
        <f t="shared" si="240"/>
        <v>תא הרכבה</v>
      </c>
      <c r="F807">
        <v>0</v>
      </c>
      <c r="G807" t="str">
        <f t="shared" si="228"/>
        <v>Y</v>
      </c>
      <c r="H807" t="str">
        <f t="shared" si="238"/>
        <v>EA</v>
      </c>
      <c r="I807">
        <v>0</v>
      </c>
      <c r="J807">
        <v>0</v>
      </c>
      <c r="K807" t="str">
        <f t="shared" si="230"/>
        <v>Y</v>
      </c>
      <c r="L807">
        <v>0</v>
      </c>
      <c r="M807" t="str">
        <f t="shared" si="231"/>
        <v>NIS</v>
      </c>
      <c r="O807">
        <v>8</v>
      </c>
      <c r="P807" t="str">
        <f>"Phase Out"</f>
        <v>Phase Out</v>
      </c>
      <c r="Q807" t="str">
        <f>"Assembly, Dual Axis Air Vise Mechanicals"</f>
        <v>Assembly, Dual Axis Air Vise Mechanicals</v>
      </c>
      <c r="S807" t="str">
        <f>"Assembly, Dual Axis Air Vise Mechanicals"</f>
        <v>Assembly, Dual Axis Air Vise Mechanicals</v>
      </c>
      <c r="T807">
        <v>422.16</v>
      </c>
      <c r="U807">
        <v>422</v>
      </c>
      <c r="V807">
        <v>980.27</v>
      </c>
      <c r="W807" t="str">
        <f t="shared" si="241"/>
        <v>tech</v>
      </c>
    </row>
    <row r="808" spans="1:23">
      <c r="A808" t="str">
        <f t="shared" si="239"/>
        <v>B7-assembly</v>
      </c>
      <c r="B808" t="str">
        <f>"10-2523-4000"</f>
        <v>10-2523-4000</v>
      </c>
      <c r="C808" t="str">
        <f>"Solenoid Valve (24V) for Pipe 3 mm"</f>
        <v>Solenoid Valve (24V) for Pipe 3 mm</v>
      </c>
      <c r="D808">
        <v>1</v>
      </c>
      <c r="E808" t="str">
        <f t="shared" si="240"/>
        <v>תא הרכבה</v>
      </c>
      <c r="F808">
        <v>0</v>
      </c>
      <c r="G808" t="str">
        <f t="shared" si="228"/>
        <v>Y</v>
      </c>
      <c r="H808" t="str">
        <f t="shared" si="238"/>
        <v>EA</v>
      </c>
      <c r="I808">
        <v>0</v>
      </c>
      <c r="J808">
        <v>0</v>
      </c>
      <c r="K808" t="str">
        <f t="shared" si="230"/>
        <v>Y</v>
      </c>
      <c r="L808">
        <v>0</v>
      </c>
      <c r="M808" t="str">
        <f t="shared" si="231"/>
        <v>NIS</v>
      </c>
      <c r="O808">
        <v>9</v>
      </c>
      <c r="P808" t="str">
        <f t="shared" ref="P808:P845" si="242">"Active"</f>
        <v>Active</v>
      </c>
      <c r="Q808" t="str">
        <f>"Solenoid Valve (24V) for Pipe 3 mm"</f>
        <v>Solenoid Valve (24V) for Pipe 3 mm</v>
      </c>
      <c r="S808" t="str">
        <f>"Solenoid Valve (24V) for Pipe 3 mm"</f>
        <v>Solenoid Valve (24V) for Pipe 3 mm</v>
      </c>
      <c r="T808">
        <v>0</v>
      </c>
      <c r="U808">
        <v>137</v>
      </c>
      <c r="V808">
        <v>133.35</v>
      </c>
      <c r="W808" t="str">
        <f t="shared" si="241"/>
        <v>tech</v>
      </c>
    </row>
    <row r="809" spans="1:23">
      <c r="A809" t="str">
        <f t="shared" si="239"/>
        <v>B7-assembly</v>
      </c>
      <c r="B809" t="str">
        <f>"00-1230-0000"</f>
        <v>00-1230-0000</v>
      </c>
      <c r="C809" t="str">
        <f>"Ball Feeder (incl. sensor for ball counting)"</f>
        <v>Ball Feeder (incl. sensor for ball counting)</v>
      </c>
      <c r="D809">
        <v>1</v>
      </c>
      <c r="E809" t="str">
        <f t="shared" si="240"/>
        <v>תא הרכבה</v>
      </c>
      <c r="F809">
        <v>0</v>
      </c>
      <c r="G809" t="str">
        <f t="shared" si="228"/>
        <v>Y</v>
      </c>
      <c r="H809" t="str">
        <f t="shared" si="238"/>
        <v>EA</v>
      </c>
      <c r="I809">
        <v>0</v>
      </c>
      <c r="J809">
        <v>0</v>
      </c>
      <c r="K809" t="str">
        <f t="shared" si="230"/>
        <v>Y</v>
      </c>
      <c r="L809">
        <v>0</v>
      </c>
      <c r="M809" t="str">
        <f t="shared" si="231"/>
        <v>NIS</v>
      </c>
      <c r="O809">
        <v>10</v>
      </c>
      <c r="P809" t="str">
        <f t="shared" si="242"/>
        <v>Active</v>
      </c>
      <c r="Q809" t="str">
        <f>"Ball Feeder (incl. sensor for ball counting)"</f>
        <v>Ball Feeder (incl. sensor for ball counting)</v>
      </c>
      <c r="S809" t="str">
        <f>"Ball Feeder (incl. sensor for ball counting)"</f>
        <v>Ball Feeder (incl. sensor for ball counting)</v>
      </c>
      <c r="T809">
        <v>0</v>
      </c>
      <c r="U809">
        <v>536</v>
      </c>
      <c r="V809">
        <v>530.72</v>
      </c>
      <c r="W809" t="str">
        <f t="shared" si="241"/>
        <v>tech</v>
      </c>
    </row>
    <row r="810" spans="1:23">
      <c r="A810" t="str">
        <f t="shared" si="239"/>
        <v>B7-assembly</v>
      </c>
      <c r="B810" t="str">
        <f>"00-1243-0000"</f>
        <v>00-1243-0000</v>
      </c>
      <c r="C810" t="str">
        <f>"Ball Game Set (Assembly with Plastic Pins)"</f>
        <v>Ball Game Set (Assembly with Plastic Pins)</v>
      </c>
      <c r="D810">
        <v>12</v>
      </c>
      <c r="E810" t="str">
        <f t="shared" si="240"/>
        <v>תא הרכבה</v>
      </c>
      <c r="F810">
        <v>0</v>
      </c>
      <c r="G810" t="str">
        <f t="shared" si="228"/>
        <v>Y</v>
      </c>
      <c r="H810" t="str">
        <f t="shared" si="238"/>
        <v>EA</v>
      </c>
      <c r="I810">
        <v>0</v>
      </c>
      <c r="J810">
        <v>0</v>
      </c>
      <c r="K810" t="str">
        <f t="shared" si="230"/>
        <v>Y</v>
      </c>
      <c r="L810">
        <v>0</v>
      </c>
      <c r="M810" t="str">
        <f t="shared" si="231"/>
        <v>NIS</v>
      </c>
      <c r="O810">
        <v>11</v>
      </c>
      <c r="P810" t="str">
        <f t="shared" si="242"/>
        <v>Active</v>
      </c>
      <c r="Q810" t="str">
        <f>"Ball Game Set (Assembly with Plastic Pins)"</f>
        <v>Ball Game Set (Assembly with Plastic Pins)</v>
      </c>
      <c r="S810" t="str">
        <f>"Ball Game Set (Assembly with Plastic Pins)"</f>
        <v>Ball Game Set (Assembly with Plastic Pins)</v>
      </c>
      <c r="T810">
        <v>0</v>
      </c>
      <c r="U810">
        <v>32</v>
      </c>
      <c r="V810">
        <v>34.770000000000003</v>
      </c>
      <c r="W810" t="str">
        <f t="shared" si="241"/>
        <v>tech</v>
      </c>
    </row>
    <row r="811" spans="1:23">
      <c r="A811" t="str">
        <f t="shared" si="239"/>
        <v>B7-assembly</v>
      </c>
      <c r="B811" t="str">
        <f>"00-1249-0000"</f>
        <v>00-1249-0000</v>
      </c>
      <c r="C811" t="str">
        <f>"Workbench 1500x800mm (slotted aluminum top)"</f>
        <v>Workbench 1500x800mm (slotted aluminum top)</v>
      </c>
      <c r="D811">
        <v>1</v>
      </c>
      <c r="E811" t="str">
        <f t="shared" si="240"/>
        <v>תא הרכבה</v>
      </c>
      <c r="F811">
        <v>0</v>
      </c>
      <c r="G811" t="str">
        <f t="shared" si="228"/>
        <v>Y</v>
      </c>
      <c r="H811" t="str">
        <f t="shared" si="238"/>
        <v>EA</v>
      </c>
      <c r="I811">
        <v>0</v>
      </c>
      <c r="J811">
        <v>0</v>
      </c>
      <c r="K811" t="str">
        <f t="shared" si="230"/>
        <v>Y</v>
      </c>
      <c r="L811">
        <v>0</v>
      </c>
      <c r="M811" t="str">
        <f t="shared" si="231"/>
        <v>NIS</v>
      </c>
      <c r="O811">
        <v>12</v>
      </c>
      <c r="P811" t="str">
        <f t="shared" si="242"/>
        <v>Active</v>
      </c>
      <c r="Q811" t="str">
        <f>"Workbench 1500x800mm (slotted aluminum top)"</f>
        <v>Workbench 1500x800mm (slotted aluminum top)</v>
      </c>
      <c r="S811" t="str">
        <f>"Workbench 1500x800mm (slotted aluminum top)"</f>
        <v>Workbench 1500x800mm (slotted aluminum top)</v>
      </c>
      <c r="T811">
        <v>0</v>
      </c>
      <c r="U811" s="44">
        <v>1100</v>
      </c>
      <c r="V811" s="44">
        <v>1083.57</v>
      </c>
      <c r="W811" t="str">
        <f t="shared" si="241"/>
        <v>tech</v>
      </c>
    </row>
    <row r="812" spans="1:23">
      <c r="A812" t="str">
        <f t="shared" si="239"/>
        <v>B7-assembly</v>
      </c>
      <c r="B812" t="str">
        <f>"00-1241-0000"</f>
        <v>00-1241-0000</v>
      </c>
      <c r="C812" t="str">
        <f>"Adapter Mounting Plate for ER9/14Pro &amp; HP3"</f>
        <v>Adapter Mounting Plate for ER9/14Pro &amp; HP3</v>
      </c>
      <c r="D812">
        <v>1</v>
      </c>
      <c r="E812" t="str">
        <f t="shared" si="240"/>
        <v>תא הרכבה</v>
      </c>
      <c r="F812">
        <v>0</v>
      </c>
      <c r="G812" t="str">
        <f t="shared" si="228"/>
        <v>Y</v>
      </c>
      <c r="H812" t="str">
        <f t="shared" si="238"/>
        <v>EA</v>
      </c>
      <c r="I812">
        <v>0</v>
      </c>
      <c r="J812">
        <v>0</v>
      </c>
      <c r="K812" t="str">
        <f t="shared" si="230"/>
        <v>Y</v>
      </c>
      <c r="L812">
        <v>0</v>
      </c>
      <c r="M812" t="str">
        <f t="shared" si="231"/>
        <v>NIS</v>
      </c>
      <c r="O812">
        <v>13</v>
      </c>
      <c r="P812" t="str">
        <f t="shared" si="242"/>
        <v>Active</v>
      </c>
      <c r="Q812" t="str">
        <f>"Adapter Mounting Plate for ER9/14Pro &amp; HP3"</f>
        <v>Adapter Mounting Plate for ER9/14Pro &amp; HP3</v>
      </c>
      <c r="S812" t="str">
        <f>"Adapter Mounting Plate for ER9/14Pro &amp; HP3"</f>
        <v>Adapter Mounting Plate for ER9/14Pro &amp; HP3</v>
      </c>
      <c r="T812">
        <v>0</v>
      </c>
      <c r="U812">
        <v>145</v>
      </c>
      <c r="V812">
        <v>153.93</v>
      </c>
      <c r="W812" t="str">
        <f t="shared" si="241"/>
        <v>tech</v>
      </c>
    </row>
    <row r="813" spans="1:23">
      <c r="A813" t="str">
        <f t="shared" si="239"/>
        <v>B7-assembly</v>
      </c>
      <c r="B813" t="str">
        <f>"00-1260-0000"</f>
        <v>00-1260-0000</v>
      </c>
      <c r="C813" t="str">
        <f>"PC Extension Shelf  600x800mm"</f>
        <v>PC Extension Shelf  600x800mm</v>
      </c>
      <c r="D813">
        <v>1</v>
      </c>
      <c r="E813" t="str">
        <f t="shared" si="240"/>
        <v>תא הרכבה</v>
      </c>
      <c r="F813">
        <v>0</v>
      </c>
      <c r="G813" t="str">
        <f t="shared" si="228"/>
        <v>Y</v>
      </c>
      <c r="H813" t="str">
        <f t="shared" si="238"/>
        <v>EA</v>
      </c>
      <c r="I813">
        <v>0</v>
      </c>
      <c r="J813">
        <v>0</v>
      </c>
      <c r="K813" t="str">
        <f t="shared" si="230"/>
        <v>Y</v>
      </c>
      <c r="L813">
        <v>0</v>
      </c>
      <c r="M813" t="str">
        <f t="shared" si="231"/>
        <v>NIS</v>
      </c>
      <c r="O813">
        <v>14</v>
      </c>
      <c r="P813" t="str">
        <f t="shared" si="242"/>
        <v>Active</v>
      </c>
      <c r="Q813" t="str">
        <f>"PC Extension Shelf  600x800mm"</f>
        <v>PC Extension Shelf  600x800mm</v>
      </c>
      <c r="S813" t="str">
        <f>"PC Extension Shelf  600x800mm"</f>
        <v>PC Extension Shelf  600x800mm</v>
      </c>
      <c r="T813">
        <v>0</v>
      </c>
      <c r="U813">
        <v>192</v>
      </c>
      <c r="V813">
        <v>195.4</v>
      </c>
      <c r="W813" t="str">
        <f t="shared" si="241"/>
        <v>tech</v>
      </c>
    </row>
    <row r="814" spans="1:23">
      <c r="A814" t="str">
        <f t="shared" si="239"/>
        <v>B7-assembly</v>
      </c>
      <c r="B814" t="str">
        <f>"00-1254-0000"</f>
        <v>00-1254-0000</v>
      </c>
      <c r="C814" t="str">
        <f>"Automated Stationary Caliper Unit"</f>
        <v>Automated Stationary Caliper Unit</v>
      </c>
      <c r="D814">
        <v>1</v>
      </c>
      <c r="E814" t="str">
        <f t="shared" si="240"/>
        <v>תא הרכבה</v>
      </c>
      <c r="F814">
        <v>0</v>
      </c>
      <c r="G814" t="str">
        <f t="shared" si="228"/>
        <v>Y</v>
      </c>
      <c r="H814" t="str">
        <f t="shared" si="238"/>
        <v>EA</v>
      </c>
      <c r="I814">
        <v>0</v>
      </c>
      <c r="J814">
        <v>0</v>
      </c>
      <c r="K814" t="str">
        <f t="shared" si="230"/>
        <v>Y</v>
      </c>
      <c r="L814">
        <v>0</v>
      </c>
      <c r="M814" t="str">
        <f t="shared" si="231"/>
        <v>NIS</v>
      </c>
      <c r="O814">
        <v>15</v>
      </c>
      <c r="P814" t="str">
        <f t="shared" si="242"/>
        <v>Active</v>
      </c>
      <c r="Q814" t="str">
        <f>"Automat Stationary Caliper  Unit"</f>
        <v>Automat Stationary Caliper  Unit</v>
      </c>
      <c r="S814" t="str">
        <f>"Automat Stationary Caliper  Unit"</f>
        <v>Automat Stationary Caliper  Unit</v>
      </c>
      <c r="T814">
        <v>0</v>
      </c>
      <c r="U814" s="44">
        <v>1165.92</v>
      </c>
      <c r="V814" s="44">
        <v>1246.44</v>
      </c>
      <c r="W814" t="str">
        <f t="shared" si="241"/>
        <v>tech</v>
      </c>
    </row>
    <row r="815" spans="1:23">
      <c r="A815" t="str">
        <f t="shared" si="239"/>
        <v>B7-assembly</v>
      </c>
      <c r="B815" t="str">
        <f>"113316"</f>
        <v>113316</v>
      </c>
      <c r="C815" t="str">
        <f>"Parts Bin"</f>
        <v>Parts Bin</v>
      </c>
      <c r="D815">
        <v>2</v>
      </c>
      <c r="E815" t="str">
        <f t="shared" si="240"/>
        <v>תא הרכבה</v>
      </c>
      <c r="F815">
        <v>0</v>
      </c>
      <c r="G815" t="str">
        <f t="shared" si="228"/>
        <v>Y</v>
      </c>
      <c r="H815" t="str">
        <f t="shared" si="238"/>
        <v>EA</v>
      </c>
      <c r="I815">
        <v>0</v>
      </c>
      <c r="J815">
        <v>0</v>
      </c>
      <c r="K815" t="str">
        <f t="shared" si="230"/>
        <v>Y</v>
      </c>
      <c r="L815">
        <v>0</v>
      </c>
      <c r="M815" t="str">
        <f t="shared" si="231"/>
        <v>NIS</v>
      </c>
      <c r="O815">
        <v>16</v>
      </c>
      <c r="P815" t="str">
        <f t="shared" si="242"/>
        <v>Active</v>
      </c>
      <c r="Q815" t="str">
        <f>"Parts Bin; Plastic Box"</f>
        <v>Parts Bin; Plastic Box</v>
      </c>
      <c r="R815" t="str">
        <f>"1"</f>
        <v>1</v>
      </c>
      <c r="S815" t="str">
        <f>"Parts Bin; Plastic Box"</f>
        <v>Parts Bin; Plastic Box</v>
      </c>
      <c r="T815">
        <v>0</v>
      </c>
      <c r="U815">
        <v>8.0399999999999991</v>
      </c>
      <c r="V815">
        <v>6.39</v>
      </c>
      <c r="W815" t="str">
        <f t="shared" si="241"/>
        <v>tech</v>
      </c>
    </row>
    <row r="816" spans="1:23">
      <c r="A816" t="str">
        <f t="shared" si="239"/>
        <v>B7-assembly</v>
      </c>
      <c r="B816" t="str">
        <f>"00-1013-0000"</f>
        <v>00-1013-0000</v>
      </c>
      <c r="C816" t="str">
        <f>"Linear Positioning Table 300mm"</f>
        <v>Linear Positioning Table 300mm</v>
      </c>
      <c r="D816">
        <v>1</v>
      </c>
      <c r="E816" t="str">
        <f t="shared" si="240"/>
        <v>תא הרכבה</v>
      </c>
      <c r="F816">
        <v>0</v>
      </c>
      <c r="G816" t="str">
        <f t="shared" si="228"/>
        <v>Y</v>
      </c>
      <c r="H816" t="str">
        <f t="shared" si="238"/>
        <v>EA</v>
      </c>
      <c r="I816">
        <v>0</v>
      </c>
      <c r="J816">
        <v>0</v>
      </c>
      <c r="K816" t="str">
        <f t="shared" si="230"/>
        <v>Y</v>
      </c>
      <c r="L816">
        <v>0</v>
      </c>
      <c r="M816" t="str">
        <f t="shared" si="231"/>
        <v>NIS</v>
      </c>
      <c r="O816">
        <v>17</v>
      </c>
      <c r="P816" t="str">
        <f t="shared" si="242"/>
        <v>Active</v>
      </c>
      <c r="Q816" t="str">
        <f>"Linear Positioning Table 300mm (Belt Drive, 24V)"</f>
        <v>Linear Positioning Table 300mm (Belt Drive, 24V)</v>
      </c>
      <c r="S816" t="str">
        <f>"Linear Positioning Table 300mm (Belt Drive, 24V)"</f>
        <v>Linear Positioning Table 300mm (Belt Drive, 24V)</v>
      </c>
      <c r="T816">
        <v>0</v>
      </c>
      <c r="U816">
        <v>894.02</v>
      </c>
      <c r="V816">
        <v>879.29</v>
      </c>
      <c r="W816" t="str">
        <f t="shared" si="241"/>
        <v>tech</v>
      </c>
    </row>
    <row r="817" spans="1:23">
      <c r="A817" t="str">
        <f t="shared" si="239"/>
        <v>B7-assembly</v>
      </c>
      <c r="B817" t="str">
        <f>"00-1422-0000"</f>
        <v>00-1422-0000</v>
      </c>
      <c r="C817" t="str">
        <f>"Viewflex for QC (Stand 400mm)"</f>
        <v>Viewflex for QC (Stand 400mm)</v>
      </c>
      <c r="D817">
        <v>1</v>
      </c>
      <c r="E817" t="str">
        <f t="shared" si="240"/>
        <v>תא הרכבה</v>
      </c>
      <c r="F817">
        <v>0</v>
      </c>
      <c r="G817" t="str">
        <f t="shared" si="228"/>
        <v>Y</v>
      </c>
      <c r="H817" t="str">
        <f t="shared" si="238"/>
        <v>EA</v>
      </c>
      <c r="I817">
        <v>0</v>
      </c>
      <c r="J817">
        <v>0</v>
      </c>
      <c r="K817" t="str">
        <f t="shared" si="230"/>
        <v>Y</v>
      </c>
      <c r="L817">
        <v>0</v>
      </c>
      <c r="M817" t="str">
        <f t="shared" si="231"/>
        <v>NIS</v>
      </c>
      <c r="O817">
        <v>18</v>
      </c>
      <c r="P817" t="str">
        <f t="shared" si="242"/>
        <v>Active</v>
      </c>
      <c r="Q817" t="str">
        <f>"Viewflex for QC (Stand 400mm)"</f>
        <v>Viewflex for QC (Stand 400mm)</v>
      </c>
      <c r="S817" t="str">
        <f>"Viewflex for QC (Stand 400mm)"</f>
        <v>Viewflex for QC (Stand 400mm)</v>
      </c>
      <c r="T817">
        <v>0</v>
      </c>
      <c r="U817">
        <v>560</v>
      </c>
      <c r="V817">
        <v>511.35</v>
      </c>
      <c r="W817" t="str">
        <f t="shared" si="241"/>
        <v>tech</v>
      </c>
    </row>
    <row r="818" spans="1:23">
      <c r="A818" t="str">
        <f t="shared" si="239"/>
        <v>B7-assembly</v>
      </c>
      <c r="B818" t="str">
        <f>"112713"</f>
        <v>112713</v>
      </c>
      <c r="C818" t="str">
        <f>"Marked Aluminum Cylinder"</f>
        <v>Marked Aluminum Cylinder</v>
      </c>
      <c r="D818">
        <v>3</v>
      </c>
      <c r="E818" t="str">
        <f t="shared" si="240"/>
        <v>תא הרכבה</v>
      </c>
      <c r="F818">
        <v>0</v>
      </c>
      <c r="G818" t="str">
        <f t="shared" si="228"/>
        <v>Y</v>
      </c>
      <c r="H818" t="str">
        <f t="shared" si="238"/>
        <v>EA</v>
      </c>
      <c r="I818">
        <v>0</v>
      </c>
      <c r="J818">
        <v>0</v>
      </c>
      <c r="K818" t="str">
        <f t="shared" si="230"/>
        <v>Y</v>
      </c>
      <c r="L818">
        <v>0</v>
      </c>
      <c r="M818" t="str">
        <f t="shared" si="231"/>
        <v>NIS</v>
      </c>
      <c r="O818">
        <v>19</v>
      </c>
      <c r="P818" t="str">
        <f t="shared" si="242"/>
        <v>Active</v>
      </c>
      <c r="Q818" t="str">
        <f>"Mark Al. Cylinder Diam. 35x28"</f>
        <v>Mark Al. Cylinder Diam. 35x28</v>
      </c>
      <c r="S818" t="str">
        <f>"Mark Al. Cylinder Diam. 35x28"</f>
        <v>Mark Al. Cylinder Diam. 35x28</v>
      </c>
      <c r="T818">
        <v>0</v>
      </c>
      <c r="U818">
        <v>6</v>
      </c>
      <c r="V818">
        <v>5.97</v>
      </c>
      <c r="W818" t="str">
        <f t="shared" si="241"/>
        <v>tech</v>
      </c>
    </row>
    <row r="819" spans="1:23">
      <c r="A819" t="str">
        <f t="shared" si="239"/>
        <v>B7-assembly</v>
      </c>
      <c r="B819" t="str">
        <f>"113096"</f>
        <v>113096</v>
      </c>
      <c r="C819" t="str">
        <f>"Plexiglass Cylinders Base"</f>
        <v>Plexiglass Cylinders Base</v>
      </c>
      <c r="D819">
        <v>3</v>
      </c>
      <c r="E819" t="str">
        <f t="shared" si="240"/>
        <v>תא הרכבה</v>
      </c>
      <c r="F819">
        <v>0</v>
      </c>
      <c r="G819" t="str">
        <f t="shared" si="228"/>
        <v>Y</v>
      </c>
      <c r="H819" t="str">
        <f t="shared" si="238"/>
        <v>EA</v>
      </c>
      <c r="I819">
        <v>0</v>
      </c>
      <c r="J819">
        <v>0</v>
      </c>
      <c r="K819" t="str">
        <f t="shared" si="230"/>
        <v>Y</v>
      </c>
      <c r="L819">
        <v>0</v>
      </c>
      <c r="M819" t="str">
        <f t="shared" si="231"/>
        <v>NIS</v>
      </c>
      <c r="O819">
        <v>20</v>
      </c>
      <c r="P819" t="str">
        <f t="shared" si="242"/>
        <v>Active</v>
      </c>
      <c r="Q819" t="str">
        <f>"Plexiglass Cylinders Base"</f>
        <v>Plexiglass Cylinders Base</v>
      </c>
      <c r="S819" t="str">
        <f>"Plexiglass Cylinders Base"</f>
        <v>Plexiglass Cylinders Base</v>
      </c>
      <c r="T819">
        <v>0</v>
      </c>
      <c r="U819">
        <v>7</v>
      </c>
      <c r="V819">
        <v>6.83</v>
      </c>
      <c r="W819" t="str">
        <f t="shared" si="241"/>
        <v>tech</v>
      </c>
    </row>
    <row r="820" spans="1:23">
      <c r="A820" t="str">
        <f t="shared" si="239"/>
        <v>B7-assembly</v>
      </c>
      <c r="B820" t="str">
        <f>"50-0094-0000"</f>
        <v>50-0094-0000</v>
      </c>
      <c r="C820" t="str">
        <f>"Pre-Engineering, Design and Testing"</f>
        <v>Pre-Engineering, Design and Testing</v>
      </c>
      <c r="D820">
        <v>1</v>
      </c>
      <c r="E820" t="str">
        <f t="shared" si="240"/>
        <v>תא הרכבה</v>
      </c>
      <c r="F820">
        <v>0</v>
      </c>
      <c r="G820" t="str">
        <f t="shared" si="228"/>
        <v>Y</v>
      </c>
      <c r="H820" t="str">
        <f>"DA"</f>
        <v>DA</v>
      </c>
      <c r="I820">
        <v>0</v>
      </c>
      <c r="J820">
        <v>0</v>
      </c>
      <c r="K820" t="str">
        <f t="shared" si="230"/>
        <v>Y</v>
      </c>
      <c r="L820">
        <v>0</v>
      </c>
      <c r="M820" t="str">
        <f t="shared" si="231"/>
        <v>NIS</v>
      </c>
      <c r="O820">
        <v>21</v>
      </c>
      <c r="P820" t="str">
        <f t="shared" si="242"/>
        <v>Active</v>
      </c>
      <c r="Q820" t="str">
        <f>"Pre-Engineering, Design and Testing"</f>
        <v>Pre-Engineering, Design and Testing</v>
      </c>
      <c r="S820" t="str">
        <f>"Pre-Engineering, Design and Testing"</f>
        <v>Pre-Engineering, Design and Testing</v>
      </c>
      <c r="T820">
        <v>0</v>
      </c>
      <c r="U820">
        <v>405</v>
      </c>
      <c r="V820">
        <v>421.2</v>
      </c>
      <c r="W820" t="str">
        <f t="shared" si="241"/>
        <v>tech</v>
      </c>
    </row>
    <row r="821" spans="1:23">
      <c r="A821" t="str">
        <f t="shared" ref="A821:A868" si="243">"B7-FMS"</f>
        <v>B7-FMS</v>
      </c>
      <c r="B821" t="str">
        <f>"00-0430-0000"</f>
        <v>00-0430-0000</v>
      </c>
      <c r="C821" t="str">
        <f>"SCORBOT-ER9Pro"</f>
        <v>SCORBOT-ER9Pro</v>
      </c>
      <c r="D821">
        <v>1</v>
      </c>
      <c r="E821" t="str">
        <f t="shared" ref="E821:E868" si="244">"תא FMS"</f>
        <v>תא FMS</v>
      </c>
      <c r="F821">
        <v>0</v>
      </c>
      <c r="G821" t="str">
        <f t="shared" si="228"/>
        <v>Y</v>
      </c>
      <c r="H821" t="str">
        <f t="shared" ref="H821:H865" si="245">"EA"</f>
        <v>EA</v>
      </c>
      <c r="I821">
        <v>0</v>
      </c>
      <c r="J821">
        <v>0</v>
      </c>
      <c r="K821" t="str">
        <f t="shared" si="230"/>
        <v>Y</v>
      </c>
      <c r="L821">
        <v>0</v>
      </c>
      <c r="M821" t="str">
        <f t="shared" si="231"/>
        <v>NIS</v>
      </c>
      <c r="O821">
        <v>1</v>
      </c>
      <c r="P821" t="str">
        <f t="shared" si="242"/>
        <v>Active</v>
      </c>
      <c r="Q821" t="str">
        <f>"SCORBOT-ER 9Pro (incl. USB-Pro Controller)"</f>
        <v>SCORBOT-ER 9Pro (incl. USB-Pro Controller)</v>
      </c>
      <c r="S821" t="str">
        <f>"SCORBOT-ER 9Pro (incl. USB-Pro Controller)"</f>
        <v>SCORBOT-ER 9Pro (incl. USB-Pro Controller)</v>
      </c>
      <c r="T821">
        <v>0</v>
      </c>
      <c r="U821" s="44">
        <v>10900</v>
      </c>
      <c r="V821" s="44">
        <v>11661.57</v>
      </c>
      <c r="W821" t="str">
        <f t="shared" si="241"/>
        <v>tech</v>
      </c>
    </row>
    <row r="822" spans="1:23">
      <c r="A822" t="str">
        <f t="shared" si="243"/>
        <v>B7-FMS</v>
      </c>
      <c r="B822" t="str">
        <f>"00-0633-0000"</f>
        <v>00-0633-0000</v>
      </c>
      <c r="C822" t="str">
        <f>"Pneumatic Gripper for ER9-Pro"</f>
        <v>Pneumatic Gripper for ER9-Pro</v>
      </c>
      <c r="D822">
        <v>1</v>
      </c>
      <c r="E822" t="str">
        <f t="shared" si="244"/>
        <v>תא FMS</v>
      </c>
      <c r="F822">
        <v>0</v>
      </c>
      <c r="G822" t="str">
        <f t="shared" si="228"/>
        <v>Y</v>
      </c>
      <c r="H822" t="str">
        <f t="shared" si="245"/>
        <v>EA</v>
      </c>
      <c r="I822">
        <v>0</v>
      </c>
      <c r="J822">
        <v>0</v>
      </c>
      <c r="K822" t="str">
        <f t="shared" si="230"/>
        <v>Y</v>
      </c>
      <c r="L822">
        <v>0</v>
      </c>
      <c r="M822" t="str">
        <f t="shared" si="231"/>
        <v>NIS</v>
      </c>
      <c r="O822">
        <v>2</v>
      </c>
      <c r="P822" t="str">
        <f t="shared" si="242"/>
        <v>Active</v>
      </c>
      <c r="Q822" t="str">
        <f>"Pneumatic Gripper for ER9-Pro"</f>
        <v>Pneumatic Gripper for ER9-Pro</v>
      </c>
      <c r="S822" t="str">
        <f>"Pneumatic Gripper for ER9-Pro"</f>
        <v>Pneumatic Gripper for ER9-Pro</v>
      </c>
      <c r="T822">
        <v>0</v>
      </c>
      <c r="U822">
        <v>630</v>
      </c>
      <c r="V822">
        <v>624.72</v>
      </c>
      <c r="W822" t="str">
        <f t="shared" si="241"/>
        <v>tech</v>
      </c>
    </row>
    <row r="823" spans="1:23">
      <c r="A823" t="str">
        <f t="shared" si="243"/>
        <v>B7-FMS</v>
      </c>
      <c r="B823" t="str">
        <f>"00-1710-0000"</f>
        <v>00-1710-0000</v>
      </c>
      <c r="C823" t="str">
        <f>"Teach Pendant"</f>
        <v>Teach Pendant</v>
      </c>
      <c r="D823">
        <v>1</v>
      </c>
      <c r="E823" t="str">
        <f t="shared" si="244"/>
        <v>תא FMS</v>
      </c>
      <c r="F823">
        <v>0</v>
      </c>
      <c r="G823" t="str">
        <f t="shared" si="228"/>
        <v>Y</v>
      </c>
      <c r="H823" t="str">
        <f t="shared" si="245"/>
        <v>EA</v>
      </c>
      <c r="I823">
        <v>0</v>
      </c>
      <c r="J823">
        <v>0</v>
      </c>
      <c r="K823" t="str">
        <f t="shared" si="230"/>
        <v>Y</v>
      </c>
      <c r="L823">
        <v>0</v>
      </c>
      <c r="M823" t="str">
        <f t="shared" si="231"/>
        <v>NIS</v>
      </c>
      <c r="O823">
        <v>3</v>
      </c>
      <c r="P823" t="str">
        <f t="shared" si="242"/>
        <v>Active</v>
      </c>
      <c r="Q823" t="str">
        <f>"Teach Pendant for USB/USB Pro Controllers"</f>
        <v>Teach Pendant for USB/USB Pro Controllers</v>
      </c>
      <c r="S823" t="str">
        <f>"Teach Pendant for USB/USB Pro Controllers"</f>
        <v>Teach Pendant for USB/USB Pro Controllers</v>
      </c>
      <c r="T823">
        <v>0</v>
      </c>
      <c r="U823">
        <v>160.18</v>
      </c>
      <c r="V823">
        <v>161.44999999999999</v>
      </c>
      <c r="W823" t="str">
        <f t="shared" si="241"/>
        <v>tech</v>
      </c>
    </row>
    <row r="824" spans="1:23">
      <c r="A824" t="str">
        <f t="shared" si="243"/>
        <v>B7-FMS</v>
      </c>
      <c r="B824" t="str">
        <f>"00-1017-0000"</f>
        <v>00-1017-0000</v>
      </c>
      <c r="C824" t="str">
        <f>"LSB 1.8m, Belt, FM"</f>
        <v>LSB 1.8m, Belt, FM</v>
      </c>
      <c r="D824">
        <v>1</v>
      </c>
      <c r="E824" t="str">
        <f t="shared" si="244"/>
        <v>תא FMS</v>
      </c>
      <c r="F824">
        <v>0</v>
      </c>
      <c r="G824" t="str">
        <f t="shared" si="228"/>
        <v>Y</v>
      </c>
      <c r="H824" t="str">
        <f t="shared" si="245"/>
        <v>EA</v>
      </c>
      <c r="I824">
        <v>0</v>
      </c>
      <c r="J824">
        <v>0</v>
      </c>
      <c r="K824" t="str">
        <f t="shared" si="230"/>
        <v>Y</v>
      </c>
      <c r="L824">
        <v>0</v>
      </c>
      <c r="M824" t="str">
        <f t="shared" si="231"/>
        <v>NIS</v>
      </c>
      <c r="O824">
        <v>4</v>
      </c>
      <c r="P824" t="str">
        <f t="shared" si="242"/>
        <v>Active</v>
      </c>
      <c r="Q824" t="str">
        <f>"LSB 1.8m, Belt, Floor Mounted incl. Stand"</f>
        <v>LSB 1.8m, Belt, Floor Mounted incl. Stand</v>
      </c>
      <c r="S824" t="str">
        <f>"LSB 1.8m, Belt, Floor Mounted incl. Stand"</f>
        <v>LSB 1.8m, Belt, Floor Mounted incl. Stand</v>
      </c>
      <c r="T824">
        <v>0</v>
      </c>
      <c r="U824" s="44">
        <v>2342.3000000000002</v>
      </c>
      <c r="V824" s="44">
        <v>2266.2600000000002</v>
      </c>
      <c r="W824" t="str">
        <f t="shared" si="241"/>
        <v>tech</v>
      </c>
    </row>
    <row r="825" spans="1:23">
      <c r="A825" t="str">
        <f t="shared" si="243"/>
        <v>B7-FMS</v>
      </c>
      <c r="B825" t="str">
        <f>"034025"</f>
        <v>034025</v>
      </c>
      <c r="C825" t="str">
        <f>"I/O Interface Box for Controller USB-PRO"</f>
        <v>I/O Interface Box for Controller USB-PRO</v>
      </c>
      <c r="D825">
        <v>1</v>
      </c>
      <c r="E825" t="str">
        <f t="shared" si="244"/>
        <v>תא FMS</v>
      </c>
      <c r="F825">
        <v>0</v>
      </c>
      <c r="G825" t="str">
        <f t="shared" si="228"/>
        <v>Y</v>
      </c>
      <c r="H825" t="str">
        <f t="shared" si="245"/>
        <v>EA</v>
      </c>
      <c r="I825">
        <v>0</v>
      </c>
      <c r="J825">
        <v>0</v>
      </c>
      <c r="K825" t="str">
        <f t="shared" si="230"/>
        <v>Y</v>
      </c>
      <c r="L825">
        <v>0</v>
      </c>
      <c r="M825" t="str">
        <f t="shared" si="231"/>
        <v>NIS</v>
      </c>
      <c r="O825">
        <v>5</v>
      </c>
      <c r="P825" t="str">
        <f t="shared" si="242"/>
        <v>Active</v>
      </c>
      <c r="Q825" t="str">
        <f>"קופסת 2+Interface Box I/O כבלים לבקר USBPRO"</f>
        <v>קופסת 2+Interface Box I/O כבלים לבקר USBPRO</v>
      </c>
      <c r="S825" t="str">
        <f>"קופסת 2+Interface Box I/O כבלים לבקר USBPRO"</f>
        <v>קופסת 2+Interface Box I/O כבלים לבקר USBPRO</v>
      </c>
      <c r="T825">
        <v>0</v>
      </c>
      <c r="U825">
        <v>470</v>
      </c>
      <c r="V825">
        <v>463.62</v>
      </c>
      <c r="W825" t="str">
        <f t="shared" si="241"/>
        <v>tech</v>
      </c>
    </row>
    <row r="826" spans="1:23">
      <c r="A826" t="str">
        <f t="shared" si="243"/>
        <v>B7-FMS</v>
      </c>
      <c r="B826" t="str">
        <f>"10-2521-7000"</f>
        <v>10-2521-7000</v>
      </c>
      <c r="C826" t="str">
        <f>"Pneumatic Feeder for Rectangular products"</f>
        <v>Pneumatic Feeder for Rectangular products</v>
      </c>
      <c r="D826">
        <v>1</v>
      </c>
      <c r="E826" t="str">
        <f t="shared" si="244"/>
        <v>תא FMS</v>
      </c>
      <c r="F826">
        <v>0</v>
      </c>
      <c r="G826" t="str">
        <f t="shared" si="228"/>
        <v>Y</v>
      </c>
      <c r="H826" t="str">
        <f t="shared" si="245"/>
        <v>EA</v>
      </c>
      <c r="I826">
        <v>0</v>
      </c>
      <c r="J826">
        <v>0</v>
      </c>
      <c r="K826" t="str">
        <f t="shared" si="230"/>
        <v>Y</v>
      </c>
      <c r="L826">
        <v>0</v>
      </c>
      <c r="M826" t="str">
        <f t="shared" si="231"/>
        <v>NIS</v>
      </c>
      <c r="O826">
        <v>6</v>
      </c>
      <c r="P826" t="str">
        <f t="shared" si="242"/>
        <v>Active</v>
      </c>
      <c r="Q826" t="str">
        <f>"Pneumatic Feeder for Rectangular Parts"</f>
        <v>Pneumatic Feeder for Rectangular Parts</v>
      </c>
      <c r="S826" t="str">
        <f>"Pneumatic Feeder for Rectangular Parts"</f>
        <v>Pneumatic Feeder for Rectangular Parts</v>
      </c>
      <c r="T826">
        <v>0</v>
      </c>
      <c r="U826">
        <v>595</v>
      </c>
      <c r="V826">
        <v>555.15</v>
      </c>
      <c r="W826" t="str">
        <f t="shared" si="241"/>
        <v>tech</v>
      </c>
    </row>
    <row r="827" spans="1:23">
      <c r="A827" t="str">
        <f t="shared" si="243"/>
        <v>B7-FMS</v>
      </c>
      <c r="B827" t="str">
        <f>"10-1007-4000"</f>
        <v>10-1007-4000</v>
      </c>
      <c r="C827" t="str">
        <f>"Gravity Parts Feeder (with microswitch sensor)"</f>
        <v>Gravity Parts Feeder (with microswitch sensor)</v>
      </c>
      <c r="D827">
        <v>1</v>
      </c>
      <c r="E827" t="str">
        <f t="shared" si="244"/>
        <v>תא FMS</v>
      </c>
      <c r="F827">
        <v>0</v>
      </c>
      <c r="G827" t="str">
        <f t="shared" si="228"/>
        <v>Y</v>
      </c>
      <c r="H827" t="str">
        <f t="shared" si="245"/>
        <v>EA</v>
      </c>
      <c r="I827">
        <v>0</v>
      </c>
      <c r="J827">
        <v>0</v>
      </c>
      <c r="K827" t="str">
        <f t="shared" si="230"/>
        <v>Y</v>
      </c>
      <c r="L827">
        <v>0</v>
      </c>
      <c r="M827" t="str">
        <f t="shared" si="231"/>
        <v>NIS</v>
      </c>
      <c r="O827">
        <v>7</v>
      </c>
      <c r="P827" t="str">
        <f t="shared" si="242"/>
        <v>Active</v>
      </c>
      <c r="Q827" t="str">
        <f>"Gravity Parts Feeder (incl.microswitch sensor)"</f>
        <v>Gravity Parts Feeder (incl.microswitch sensor)</v>
      </c>
      <c r="S827" t="str">
        <f>"Gravity Parts Feeder (incl.microswitch sensor)"</f>
        <v>Gravity Parts Feeder (incl.microswitch sensor)</v>
      </c>
      <c r="T827">
        <v>0</v>
      </c>
      <c r="U827">
        <v>148</v>
      </c>
      <c r="V827">
        <v>148.26</v>
      </c>
      <c r="W827" t="str">
        <f t="shared" si="241"/>
        <v>tech</v>
      </c>
    </row>
    <row r="828" spans="1:23">
      <c r="A828" t="str">
        <f t="shared" si="243"/>
        <v>B7-FMS</v>
      </c>
      <c r="B828" t="str">
        <f>"00-1110-0000"</f>
        <v>00-1110-0000</v>
      </c>
      <c r="C828" t="str">
        <f>"Palletizing Rack"</f>
        <v>Palletizing Rack</v>
      </c>
      <c r="D828">
        <v>1</v>
      </c>
      <c r="E828" t="str">
        <f t="shared" si="244"/>
        <v>תא FMS</v>
      </c>
      <c r="F828">
        <v>0</v>
      </c>
      <c r="G828" t="str">
        <f t="shared" si="228"/>
        <v>Y</v>
      </c>
      <c r="H828" t="str">
        <f t="shared" si="245"/>
        <v>EA</v>
      </c>
      <c r="I828">
        <v>0</v>
      </c>
      <c r="J828">
        <v>0</v>
      </c>
      <c r="K828" t="str">
        <f t="shared" si="230"/>
        <v>Y</v>
      </c>
      <c r="L828">
        <v>0</v>
      </c>
      <c r="M828" t="str">
        <f t="shared" si="231"/>
        <v>NIS</v>
      </c>
      <c r="O828">
        <v>8</v>
      </c>
      <c r="P828" t="str">
        <f t="shared" si="242"/>
        <v>Active</v>
      </c>
      <c r="Q828" t="str">
        <f>"Palletizing Rack (incl. Pins for creating Jigs)"</f>
        <v>Palletizing Rack (incl. Pins for creating Jigs)</v>
      </c>
      <c r="S828" t="str">
        <f>"Palletizing Rack (incl. Pins for creating Jigs)"</f>
        <v>Palletizing Rack (incl. Pins for creating Jigs)</v>
      </c>
      <c r="T828">
        <v>0</v>
      </c>
      <c r="U828">
        <v>63</v>
      </c>
      <c r="V828">
        <v>58.59</v>
      </c>
      <c r="W828" t="str">
        <f t="shared" si="241"/>
        <v>tech</v>
      </c>
    </row>
    <row r="829" spans="1:23">
      <c r="A829" t="str">
        <f t="shared" si="243"/>
        <v>B7-FMS</v>
      </c>
      <c r="B829" t="str">
        <f>"021152"</f>
        <v>021152</v>
      </c>
      <c r="C829" t="str">
        <f>"Shelf Buffer for CIM conveyor"</f>
        <v>Shelf Buffer for CIM conveyor</v>
      </c>
      <c r="D829">
        <v>2</v>
      </c>
      <c r="E829" t="str">
        <f t="shared" si="244"/>
        <v>תא FMS</v>
      </c>
      <c r="F829">
        <v>0</v>
      </c>
      <c r="G829" t="str">
        <f t="shared" si="228"/>
        <v>Y</v>
      </c>
      <c r="H829" t="str">
        <f t="shared" si="245"/>
        <v>EA</v>
      </c>
      <c r="I829">
        <v>0</v>
      </c>
      <c r="J829">
        <v>0</v>
      </c>
      <c r="K829" t="str">
        <f t="shared" si="230"/>
        <v>Y</v>
      </c>
      <c r="L829">
        <v>0</v>
      </c>
      <c r="M829" t="str">
        <f t="shared" si="231"/>
        <v>NIS</v>
      </c>
      <c r="O829">
        <v>9</v>
      </c>
      <c r="P829" t="str">
        <f t="shared" si="242"/>
        <v>Active</v>
      </c>
      <c r="Q829" t="str">
        <f>"מכלול- מדף בפר סטנדרטי OPEN-CIM"</f>
        <v>מכלול- מדף בפר סטנדרטי OPEN-CIM</v>
      </c>
      <c r="R829" t="str">
        <f>"1"</f>
        <v>1</v>
      </c>
      <c r="S829" t="str">
        <f>"מכלול- מדף בפר סטנדרטי OPEN-CIM"</f>
        <v>מכלול- מדף בפר סטנדרטי OPEN-CIM</v>
      </c>
      <c r="T829">
        <v>0</v>
      </c>
      <c r="U829">
        <v>83.12</v>
      </c>
      <c r="V829">
        <v>92.76</v>
      </c>
      <c r="W829" t="str">
        <f t="shared" si="241"/>
        <v>tech</v>
      </c>
    </row>
    <row r="830" spans="1:23">
      <c r="A830" t="str">
        <f t="shared" si="243"/>
        <v>B7-FMS</v>
      </c>
      <c r="B830" t="str">
        <f>"50-0093-0000"</f>
        <v>50-0093-0000</v>
      </c>
      <c r="C830" t="str">
        <f>"Interface Programming for Intelitek CNC Machine"</f>
        <v>Interface Programming for Intelitek CNC Machine</v>
      </c>
      <c r="D830">
        <v>1</v>
      </c>
      <c r="E830" t="str">
        <f t="shared" si="244"/>
        <v>תא FMS</v>
      </c>
      <c r="F830">
        <v>0</v>
      </c>
      <c r="G830" t="str">
        <f t="shared" si="228"/>
        <v>Y</v>
      </c>
      <c r="H830" t="str">
        <f t="shared" si="245"/>
        <v>EA</v>
      </c>
      <c r="I830">
        <v>0</v>
      </c>
      <c r="J830">
        <v>0</v>
      </c>
      <c r="K830" t="str">
        <f t="shared" si="230"/>
        <v>Y</v>
      </c>
      <c r="L830">
        <v>0</v>
      </c>
      <c r="M830" t="str">
        <f t="shared" si="231"/>
        <v>NIS</v>
      </c>
      <c r="O830">
        <v>10</v>
      </c>
      <c r="P830" t="str">
        <f t="shared" si="242"/>
        <v>Active</v>
      </c>
      <c r="Q830" t="str">
        <f>"Interface Programming for Intelitek CNC Machine"</f>
        <v>Interface Programming for Intelitek CNC Machine</v>
      </c>
      <c r="S830" t="str">
        <f>"Interface Programming for Intelitek CNC Machine"</f>
        <v>Interface Programming for Intelitek CNC Machine</v>
      </c>
      <c r="T830">
        <v>0</v>
      </c>
      <c r="U830">
        <v>0</v>
      </c>
      <c r="V830">
        <v>0</v>
      </c>
      <c r="W830" t="str">
        <f t="shared" si="241"/>
        <v>tech</v>
      </c>
    </row>
    <row r="831" spans="1:23">
      <c r="A831" t="str">
        <f t="shared" si="243"/>
        <v>B7-FMS</v>
      </c>
      <c r="B831" t="str">
        <f>"00-5509-0220"</f>
        <v>00-5509-0220</v>
      </c>
      <c r="C831" t="str">
        <f>"ProMill 8000 AC with 12 Tool ATC"</f>
        <v>ProMill 8000 AC with 12 Tool ATC</v>
      </c>
      <c r="D831">
        <v>1</v>
      </c>
      <c r="E831" t="str">
        <f t="shared" si="244"/>
        <v>תא FMS</v>
      </c>
      <c r="F831">
        <v>0</v>
      </c>
      <c r="G831" t="str">
        <f t="shared" si="228"/>
        <v>Y</v>
      </c>
      <c r="H831" t="str">
        <f t="shared" si="245"/>
        <v>EA</v>
      </c>
      <c r="I831">
        <v>0</v>
      </c>
      <c r="J831">
        <v>0</v>
      </c>
      <c r="K831" t="str">
        <f t="shared" si="230"/>
        <v>Y</v>
      </c>
      <c r="L831">
        <v>0</v>
      </c>
      <c r="M831" t="str">
        <f t="shared" si="231"/>
        <v>NIS</v>
      </c>
      <c r="O831">
        <v>11</v>
      </c>
      <c r="P831" t="str">
        <f t="shared" si="242"/>
        <v>Active</v>
      </c>
      <c r="Q831" t="str">
        <f>"ProMill 8000 AC with 12 Tool ATC 220V"</f>
        <v>ProMill 8000 AC with 12 Tool ATC 220V</v>
      </c>
      <c r="S831" t="str">
        <f>"ProMill 8000 AC with 12 Tool ATC 220V"</f>
        <v>ProMill 8000 AC with 12 Tool ATC 220V</v>
      </c>
      <c r="T831">
        <v>0</v>
      </c>
      <c r="U831" s="44">
        <v>7800</v>
      </c>
      <c r="V831" s="44">
        <v>7781.65</v>
      </c>
      <c r="W831" t="str">
        <f t="shared" si="241"/>
        <v>tech</v>
      </c>
    </row>
    <row r="832" spans="1:23">
      <c r="A832" t="str">
        <f t="shared" si="243"/>
        <v>B7-FMS</v>
      </c>
      <c r="B832" t="str">
        <f>"10-1108-1220"</f>
        <v>10-1108-1220</v>
      </c>
      <c r="C832" t="str">
        <f>"- Coolant system 27L -220V"</f>
        <v>- Coolant system 27L -220V</v>
      </c>
      <c r="D832">
        <v>1</v>
      </c>
      <c r="E832" t="str">
        <f t="shared" si="244"/>
        <v>תא FMS</v>
      </c>
      <c r="F832">
        <v>0</v>
      </c>
      <c r="G832" t="str">
        <f t="shared" si="228"/>
        <v>Y</v>
      </c>
      <c r="H832" t="str">
        <f t="shared" si="245"/>
        <v>EA</v>
      </c>
      <c r="I832">
        <v>0</v>
      </c>
      <c r="J832">
        <v>0</v>
      </c>
      <c r="K832" t="str">
        <f t="shared" si="230"/>
        <v>Y</v>
      </c>
      <c r="L832">
        <v>0</v>
      </c>
      <c r="M832" t="str">
        <f t="shared" si="231"/>
        <v>NIS</v>
      </c>
      <c r="O832">
        <v>12</v>
      </c>
      <c r="P832" t="str">
        <f t="shared" si="242"/>
        <v>Active</v>
      </c>
      <c r="Q832" t="str">
        <f>"Coolant system 27L - 220V"</f>
        <v>Coolant system 27L - 220V</v>
      </c>
      <c r="S832" t="str">
        <f>"Coolant system 27L - 220V"</f>
        <v>Coolant system 27L - 220V</v>
      </c>
      <c r="T832">
        <v>0</v>
      </c>
      <c r="U832">
        <v>117.08</v>
      </c>
      <c r="V832">
        <v>117.15</v>
      </c>
      <c r="W832" t="str">
        <f t="shared" ref="W832:W863" si="246">"tech"</f>
        <v>tech</v>
      </c>
    </row>
    <row r="833" spans="1:23">
      <c r="A833" t="str">
        <f t="shared" si="243"/>
        <v>B7-FMS</v>
      </c>
      <c r="B833" t="str">
        <f>"10-1111-9000"</f>
        <v>10-1111-9000</v>
      </c>
      <c r="C833" t="str">
        <f>"ISO 20 tool holder"</f>
        <v>ISO 20 tool holder</v>
      </c>
      <c r="D833">
        <v>12</v>
      </c>
      <c r="E833" t="str">
        <f t="shared" si="244"/>
        <v>תא FMS</v>
      </c>
      <c r="F833">
        <v>0</v>
      </c>
      <c r="G833" t="str">
        <f t="shared" si="228"/>
        <v>Y</v>
      </c>
      <c r="H833" t="str">
        <f t="shared" si="245"/>
        <v>EA</v>
      </c>
      <c r="I833">
        <v>0</v>
      </c>
      <c r="J833">
        <v>0</v>
      </c>
      <c r="K833" t="str">
        <f t="shared" si="230"/>
        <v>Y</v>
      </c>
      <c r="L833">
        <v>0</v>
      </c>
      <c r="M833" t="str">
        <f t="shared" si="231"/>
        <v>NIS</v>
      </c>
      <c r="O833">
        <v>13</v>
      </c>
      <c r="P833" t="str">
        <f t="shared" si="242"/>
        <v>Active</v>
      </c>
      <c r="Q833" t="str">
        <f>"ISO 20 tool holder with nut"</f>
        <v>ISO 20 tool holder with nut</v>
      </c>
      <c r="S833" t="str">
        <f>"ISO 20 tool holder with nut"</f>
        <v>ISO 20 tool holder with nut</v>
      </c>
      <c r="T833">
        <v>0</v>
      </c>
      <c r="U833">
        <v>103</v>
      </c>
      <c r="V833">
        <v>103.19</v>
      </c>
      <c r="W833" t="str">
        <f t="shared" si="246"/>
        <v>tech</v>
      </c>
    </row>
    <row r="834" spans="1:23">
      <c r="A834" t="str">
        <f t="shared" si="243"/>
        <v>B7-FMS</v>
      </c>
      <c r="B834" t="str">
        <f>"10-1110-4000"</f>
        <v>10-1110-4000</v>
      </c>
      <c r="C834" t="str">
        <f>"-- Pneumatic Shield (ProMill 8000 for FMS)"</f>
        <v>-- Pneumatic Shield (ProMill 8000 for FMS)</v>
      </c>
      <c r="D834">
        <v>1</v>
      </c>
      <c r="E834" t="str">
        <f t="shared" si="244"/>
        <v>תא FMS</v>
      </c>
      <c r="F834">
        <v>0</v>
      </c>
      <c r="G834" t="str">
        <f t="shared" ref="G834:G897" si="247">"Y"</f>
        <v>Y</v>
      </c>
      <c r="H834" t="str">
        <f t="shared" si="245"/>
        <v>EA</v>
      </c>
      <c r="I834">
        <v>0</v>
      </c>
      <c r="J834">
        <v>0</v>
      </c>
      <c r="K834" t="str">
        <f t="shared" ref="K834:K897" si="248">"Y"</f>
        <v>Y</v>
      </c>
      <c r="L834">
        <v>0</v>
      </c>
      <c r="M834" t="str">
        <f t="shared" ref="M834:M897" si="249">"NIS"</f>
        <v>NIS</v>
      </c>
      <c r="O834">
        <v>14</v>
      </c>
      <c r="P834" t="str">
        <f t="shared" si="242"/>
        <v>Active</v>
      </c>
      <c r="Q834" t="str">
        <f>"Pneumatic Shield with Sensors (ProMill 8000)"</f>
        <v>Pneumatic Shield with Sensors (ProMill 8000)</v>
      </c>
      <c r="S834" t="str">
        <f>"Pneumatic Shield with Sensors (ProMill 8000)"</f>
        <v>Pneumatic Shield with Sensors (ProMill 8000)</v>
      </c>
      <c r="T834">
        <v>0</v>
      </c>
      <c r="U834">
        <v>390</v>
      </c>
      <c r="V834">
        <v>390.02</v>
      </c>
      <c r="W834" t="str">
        <f t="shared" si="246"/>
        <v>tech</v>
      </c>
    </row>
    <row r="835" spans="1:23">
      <c r="A835" t="str">
        <f t="shared" si="243"/>
        <v>B7-FMS</v>
      </c>
      <c r="B835" t="str">
        <f>"10-1110-7000"</f>
        <v>10-1110-7000</v>
      </c>
      <c r="C835" t="str">
        <f>"--Dual Axis Vise (for FMS)"</f>
        <v>--Dual Axis Vise (for FMS)</v>
      </c>
      <c r="D835">
        <v>1</v>
      </c>
      <c r="E835" t="str">
        <f t="shared" si="244"/>
        <v>תא FMS</v>
      </c>
      <c r="F835">
        <v>0</v>
      </c>
      <c r="G835" t="str">
        <f t="shared" si="247"/>
        <v>Y</v>
      </c>
      <c r="H835" t="str">
        <f t="shared" si="245"/>
        <v>EA</v>
      </c>
      <c r="I835">
        <v>0</v>
      </c>
      <c r="J835">
        <v>0</v>
      </c>
      <c r="K835" t="str">
        <f t="shared" si="248"/>
        <v>Y</v>
      </c>
      <c r="L835">
        <v>0</v>
      </c>
      <c r="M835" t="str">
        <f t="shared" si="249"/>
        <v>NIS</v>
      </c>
      <c r="O835">
        <v>15</v>
      </c>
      <c r="P835" t="str">
        <f t="shared" si="242"/>
        <v>Active</v>
      </c>
      <c r="Q835" t="str">
        <f>"Dual Axis Vise (BenchMill 6000/ ProMill 8000)"</f>
        <v>Dual Axis Vise (BenchMill 6000/ ProMill 8000)</v>
      </c>
      <c r="S835" t="str">
        <f>"Dual Axis Vise (BenchMill 6000/ ProMill 8000)"</f>
        <v>Dual Axis Vise (BenchMill 6000/ ProMill 8000)</v>
      </c>
      <c r="T835">
        <v>0</v>
      </c>
      <c r="U835">
        <v>239</v>
      </c>
      <c r="V835">
        <v>219.6</v>
      </c>
      <c r="W835" t="str">
        <f t="shared" si="246"/>
        <v>tech</v>
      </c>
    </row>
    <row r="836" spans="1:23">
      <c r="A836" t="str">
        <f t="shared" si="243"/>
        <v>B7-FMS</v>
      </c>
      <c r="B836" t="str">
        <f>"10-1112-2000"</f>
        <v>10-1112-2000</v>
      </c>
      <c r="C836" t="str">
        <f>"ER16 Collet set-8 pieces(3,4,5,6,7,8,9 and 10mm)"</f>
        <v>ER16 Collet set-8 pieces(3,4,5,6,7,8,9 and 10mm)</v>
      </c>
      <c r="D836">
        <v>1</v>
      </c>
      <c r="E836" t="str">
        <f t="shared" si="244"/>
        <v>תא FMS</v>
      </c>
      <c r="F836">
        <v>0</v>
      </c>
      <c r="G836" t="str">
        <f t="shared" si="247"/>
        <v>Y</v>
      </c>
      <c r="H836" t="str">
        <f t="shared" si="245"/>
        <v>EA</v>
      </c>
      <c r="I836">
        <v>0</v>
      </c>
      <c r="J836">
        <v>0</v>
      </c>
      <c r="K836" t="str">
        <f t="shared" si="248"/>
        <v>Y</v>
      </c>
      <c r="L836">
        <v>0</v>
      </c>
      <c r="M836" t="str">
        <f t="shared" si="249"/>
        <v>NIS</v>
      </c>
      <c r="O836">
        <v>16</v>
      </c>
      <c r="P836" t="str">
        <f t="shared" si="242"/>
        <v>Active</v>
      </c>
      <c r="Q836" t="str">
        <f>"ER16 Collet set-8 pieces(3,4,5,6,7,8,9 and 10mm)"</f>
        <v>ER16 Collet set-8 pieces(3,4,5,6,7,8,9 and 10mm)</v>
      </c>
      <c r="S836" t="str">
        <f>"ER16 Collet set-8 pieces(3,4,5,6,7,8,9 and 10mm)"</f>
        <v>ER16 Collet set-8 pieces(3,4,5,6,7,8,9 and 10mm)</v>
      </c>
      <c r="T836">
        <v>0</v>
      </c>
      <c r="U836">
        <v>71</v>
      </c>
      <c r="V836">
        <v>64.84</v>
      </c>
      <c r="W836" t="str">
        <f t="shared" si="246"/>
        <v>tech</v>
      </c>
    </row>
    <row r="837" spans="1:23">
      <c r="A837" t="str">
        <f t="shared" si="243"/>
        <v>B7-FMS</v>
      </c>
      <c r="B837" t="str">
        <f>"10-1113-4000"</f>
        <v>10-1113-4000</v>
      </c>
      <c r="C837" t="str">
        <f>"Metric End Mill Package(2X 3,6,8,10End,4,6 Ball)"</f>
        <v>Metric End Mill Package(2X 3,6,8,10End,4,6 Ball)</v>
      </c>
      <c r="D837">
        <v>1</v>
      </c>
      <c r="E837" t="str">
        <f t="shared" si="244"/>
        <v>תא FMS</v>
      </c>
      <c r="F837">
        <v>0</v>
      </c>
      <c r="G837" t="str">
        <f t="shared" si="247"/>
        <v>Y</v>
      </c>
      <c r="H837" t="str">
        <f t="shared" si="245"/>
        <v>EA</v>
      </c>
      <c r="I837">
        <v>0</v>
      </c>
      <c r="J837">
        <v>0</v>
      </c>
      <c r="K837" t="str">
        <f t="shared" si="248"/>
        <v>Y</v>
      </c>
      <c r="L837">
        <v>0</v>
      </c>
      <c r="M837" t="str">
        <f t="shared" si="249"/>
        <v>NIS</v>
      </c>
      <c r="O837">
        <v>17</v>
      </c>
      <c r="P837" t="str">
        <f t="shared" si="242"/>
        <v>Active</v>
      </c>
      <c r="Q837" t="str">
        <f>"Metric Advanced End Mill Package 5121"</f>
        <v>Metric Advanced End Mill Package 5121</v>
      </c>
      <c r="S837" t="str">
        <f>"Metric Advanced End Mill Package 5121"</f>
        <v>Metric Advanced End Mill Package 5121</v>
      </c>
      <c r="T837">
        <v>0</v>
      </c>
      <c r="U837">
        <v>55</v>
      </c>
      <c r="V837">
        <v>50.17</v>
      </c>
      <c r="W837" t="str">
        <f t="shared" si="246"/>
        <v>tech</v>
      </c>
    </row>
    <row r="838" spans="1:23">
      <c r="A838" t="str">
        <f t="shared" si="243"/>
        <v>B7-FMS</v>
      </c>
      <c r="B838" t="str">
        <f>"10-1113-6000"</f>
        <v>10-1113-6000</v>
      </c>
      <c r="C838" t="str">
        <f>"- Metric Engraving Package (1,1.5,2 mm End mill)"</f>
        <v>- Metric Engraving Package (1,1.5,2 mm End mill)</v>
      </c>
      <c r="D838">
        <v>1</v>
      </c>
      <c r="E838" t="str">
        <f t="shared" si="244"/>
        <v>תא FMS</v>
      </c>
      <c r="F838">
        <v>0</v>
      </c>
      <c r="G838" t="str">
        <f t="shared" si="247"/>
        <v>Y</v>
      </c>
      <c r="H838" t="str">
        <f t="shared" si="245"/>
        <v>EA</v>
      </c>
      <c r="I838">
        <v>0</v>
      </c>
      <c r="J838">
        <v>0</v>
      </c>
      <c r="K838" t="str">
        <f t="shared" si="248"/>
        <v>Y</v>
      </c>
      <c r="L838">
        <v>0</v>
      </c>
      <c r="M838" t="str">
        <f t="shared" si="249"/>
        <v>NIS</v>
      </c>
      <c r="O838">
        <v>18</v>
      </c>
      <c r="P838" t="str">
        <f t="shared" si="242"/>
        <v>Active</v>
      </c>
      <c r="Q838" t="str">
        <f>"Metric Engraving Package 5711"</f>
        <v>Metric Engraving Package 5711</v>
      </c>
      <c r="S838" t="str">
        <f>"Metric Engraving Package 5711"</f>
        <v>Metric Engraving Package 5711</v>
      </c>
      <c r="T838">
        <v>0</v>
      </c>
      <c r="U838">
        <v>41</v>
      </c>
      <c r="V838">
        <v>37.909999999999997</v>
      </c>
      <c r="W838" t="str">
        <f t="shared" si="246"/>
        <v>tech</v>
      </c>
    </row>
    <row r="839" spans="1:23">
      <c r="A839" t="str">
        <f t="shared" si="243"/>
        <v>B7-FMS</v>
      </c>
      <c r="B839" t="str">
        <f>"10-1111-1000"</f>
        <v>10-1111-1000</v>
      </c>
      <c r="C839" t="str">
        <f>"- Handwheel - Manual Control"</f>
        <v>- Handwheel - Manual Control</v>
      </c>
      <c r="D839">
        <v>1</v>
      </c>
      <c r="E839" t="str">
        <f t="shared" si="244"/>
        <v>תא FMS</v>
      </c>
      <c r="F839">
        <v>0</v>
      </c>
      <c r="G839" t="str">
        <f t="shared" si="247"/>
        <v>Y</v>
      </c>
      <c r="H839" t="str">
        <f t="shared" si="245"/>
        <v>EA</v>
      </c>
      <c r="I839">
        <v>0</v>
      </c>
      <c r="J839">
        <v>0</v>
      </c>
      <c r="K839" t="str">
        <f t="shared" si="248"/>
        <v>Y</v>
      </c>
      <c r="L839">
        <v>0</v>
      </c>
      <c r="M839" t="str">
        <f t="shared" si="249"/>
        <v>NIS</v>
      </c>
      <c r="O839">
        <v>19</v>
      </c>
      <c r="P839" t="str">
        <f t="shared" si="242"/>
        <v>Active</v>
      </c>
      <c r="Q839" t="str">
        <f>"Jog Pendant Handwheel"</f>
        <v>Jog Pendant Handwheel</v>
      </c>
      <c r="S839" t="str">
        <f>"Jog Pendant Handwheel"</f>
        <v>Jog Pendant Handwheel</v>
      </c>
      <c r="T839">
        <v>0</v>
      </c>
      <c r="U839">
        <v>235</v>
      </c>
      <c r="V839">
        <v>235.03</v>
      </c>
      <c r="W839" t="str">
        <f t="shared" si="246"/>
        <v>tech</v>
      </c>
    </row>
    <row r="840" spans="1:23">
      <c r="A840" t="str">
        <f t="shared" si="243"/>
        <v>B7-FMS</v>
      </c>
      <c r="B840" t="str">
        <f>"10-1105-5000"</f>
        <v>10-1105-5000</v>
      </c>
      <c r="C840" t="str">
        <f>"Computer and monitor attachment"</f>
        <v>Computer and monitor attachment</v>
      </c>
      <c r="D840">
        <v>1</v>
      </c>
      <c r="E840" t="str">
        <f t="shared" si="244"/>
        <v>תא FMS</v>
      </c>
      <c r="F840">
        <v>0</v>
      </c>
      <c r="G840" t="str">
        <f t="shared" si="247"/>
        <v>Y</v>
      </c>
      <c r="H840" t="str">
        <f t="shared" si="245"/>
        <v>EA</v>
      </c>
      <c r="I840">
        <v>0</v>
      </c>
      <c r="J840">
        <v>0</v>
      </c>
      <c r="K840" t="str">
        <f t="shared" si="248"/>
        <v>Y</v>
      </c>
      <c r="L840">
        <v>0</v>
      </c>
      <c r="M840" t="str">
        <f t="shared" si="249"/>
        <v>NIS</v>
      </c>
      <c r="O840">
        <v>20</v>
      </c>
      <c r="P840" t="str">
        <f t="shared" si="242"/>
        <v>Active</v>
      </c>
      <c r="Q840" t="str">
        <f>"Computer and monitor stand (attached to machine)"</f>
        <v>Computer and monitor stand (attached to machine)</v>
      </c>
      <c r="S840" t="str">
        <f>"Computer and monitor stand (attached to machine)"</f>
        <v>Computer and monitor stand (attached to machine)</v>
      </c>
      <c r="T840">
        <v>0</v>
      </c>
      <c r="U840">
        <v>105.36</v>
      </c>
      <c r="V840">
        <v>103.02</v>
      </c>
      <c r="W840" t="str">
        <f t="shared" si="246"/>
        <v>tech</v>
      </c>
    </row>
    <row r="841" spans="1:23">
      <c r="A841" t="str">
        <f t="shared" si="243"/>
        <v>B7-FMS</v>
      </c>
      <c r="B841" t="str">
        <f>"10-1115-0000"</f>
        <v>10-1115-0000</v>
      </c>
      <c r="C841" t="str">
        <f>"ER16 Collet set - 2 x (3,6,8,10mm)"</f>
        <v>ER16 Collet set - 2 x (3,6,8,10mm)</v>
      </c>
      <c r="D841">
        <v>1</v>
      </c>
      <c r="E841" t="str">
        <f t="shared" si="244"/>
        <v>תא FMS</v>
      </c>
      <c r="F841">
        <v>0</v>
      </c>
      <c r="G841" t="str">
        <f t="shared" si="247"/>
        <v>Y</v>
      </c>
      <c r="H841" t="str">
        <f t="shared" si="245"/>
        <v>EA</v>
      </c>
      <c r="I841">
        <v>0</v>
      </c>
      <c r="J841">
        <v>0</v>
      </c>
      <c r="K841" t="str">
        <f t="shared" si="248"/>
        <v>Y</v>
      </c>
      <c r="L841">
        <v>0</v>
      </c>
      <c r="M841" t="str">
        <f t="shared" si="249"/>
        <v>NIS</v>
      </c>
      <c r="O841">
        <v>21</v>
      </c>
      <c r="P841" t="str">
        <f t="shared" si="242"/>
        <v>Active</v>
      </c>
      <c r="Q841" t="str">
        <f>"ER16 Collet set-8 pieces(2)3,(2)6,(2)8,(2)10mm"</f>
        <v>ER16 Collet set-8 pieces(2)3,(2)6,(2)8,(2)10mm</v>
      </c>
      <c r="S841" t="str">
        <f>"ER16 Collet set-8 pieces(2)3,(2)6,(2)8,(2)10mm"</f>
        <v>ER16 Collet set-8 pieces(2)3,(2)6,(2)8,(2)10mm</v>
      </c>
      <c r="T841">
        <v>0</v>
      </c>
      <c r="U841">
        <v>71</v>
      </c>
      <c r="V841">
        <v>70.63</v>
      </c>
      <c r="W841" t="str">
        <f t="shared" si="246"/>
        <v>tech</v>
      </c>
    </row>
    <row r="842" spans="1:23">
      <c r="A842" t="str">
        <f t="shared" si="243"/>
        <v>B7-FMS</v>
      </c>
      <c r="B842" t="str">
        <f>"10-1111-6000"</f>
        <v>10-1111-6000</v>
      </c>
      <c r="C842" t="str">
        <f>"4"" Vise"</f>
        <v>4" Vise</v>
      </c>
      <c r="D842">
        <v>1</v>
      </c>
      <c r="E842" t="str">
        <f t="shared" si="244"/>
        <v>תא FMS</v>
      </c>
      <c r="F842">
        <v>0</v>
      </c>
      <c r="G842" t="str">
        <f t="shared" si="247"/>
        <v>Y</v>
      </c>
      <c r="H842" t="str">
        <f t="shared" si="245"/>
        <v>EA</v>
      </c>
      <c r="I842">
        <v>0</v>
      </c>
      <c r="J842">
        <v>0</v>
      </c>
      <c r="K842" t="str">
        <f t="shared" si="248"/>
        <v>Y</v>
      </c>
      <c r="L842">
        <v>0</v>
      </c>
      <c r="M842" t="str">
        <f t="shared" si="249"/>
        <v>NIS</v>
      </c>
      <c r="O842">
        <v>22</v>
      </c>
      <c r="P842" t="str">
        <f t="shared" si="242"/>
        <v>Active</v>
      </c>
      <c r="Q842" t="str">
        <f>"4"" Precision Maching Vise"</f>
        <v>4" Precision Maching Vise</v>
      </c>
      <c r="S842" t="str">
        <f>"4"" Precision Maching Vise"</f>
        <v>4" Precision Maching Vise</v>
      </c>
      <c r="T842">
        <v>0</v>
      </c>
      <c r="U842">
        <v>53</v>
      </c>
      <c r="V842">
        <v>49.5</v>
      </c>
      <c r="W842" t="str">
        <f t="shared" si="246"/>
        <v>tech</v>
      </c>
    </row>
    <row r="843" spans="1:23">
      <c r="A843" t="str">
        <f t="shared" si="243"/>
        <v>B7-FMS</v>
      </c>
      <c r="B843" t="str">
        <f>"10-1111-5000"</f>
        <v>10-1111-5000</v>
      </c>
      <c r="C843" t="str">
        <f>"clamping kit 58 pcs set"</f>
        <v>clamping kit 58 pcs set</v>
      </c>
      <c r="D843">
        <v>1</v>
      </c>
      <c r="E843" t="str">
        <f t="shared" si="244"/>
        <v>תא FMS</v>
      </c>
      <c r="F843">
        <v>0</v>
      </c>
      <c r="G843" t="str">
        <f t="shared" si="247"/>
        <v>Y</v>
      </c>
      <c r="H843" t="str">
        <f t="shared" si="245"/>
        <v>EA</v>
      </c>
      <c r="I843">
        <v>0</v>
      </c>
      <c r="J843">
        <v>0</v>
      </c>
      <c r="K843" t="str">
        <f t="shared" si="248"/>
        <v>Y</v>
      </c>
      <c r="L843">
        <v>0</v>
      </c>
      <c r="M843" t="str">
        <f t="shared" si="249"/>
        <v>NIS</v>
      </c>
      <c r="O843">
        <v>23</v>
      </c>
      <c r="P843" t="str">
        <f t="shared" si="242"/>
        <v>Active</v>
      </c>
      <c r="Q843" t="str">
        <f>"clamping kit 58 pcs set"</f>
        <v>clamping kit 58 pcs set</v>
      </c>
      <c r="S843" t="str">
        <f>"clamping kit 58 pcs set"</f>
        <v>clamping kit 58 pcs set</v>
      </c>
      <c r="T843">
        <v>0</v>
      </c>
      <c r="U843">
        <v>52</v>
      </c>
      <c r="V843">
        <v>51.72</v>
      </c>
      <c r="W843" t="str">
        <f t="shared" si="246"/>
        <v>tech</v>
      </c>
    </row>
    <row r="844" spans="1:23">
      <c r="A844" t="str">
        <f t="shared" si="243"/>
        <v>B7-FMS</v>
      </c>
      <c r="B844" t="str">
        <f>"10-1115-3000"</f>
        <v>10-1115-3000</v>
      </c>
      <c r="C844" t="str">
        <f>"- 4th axis package"</f>
        <v>- 4th axis package</v>
      </c>
      <c r="D844">
        <v>1</v>
      </c>
      <c r="E844" t="str">
        <f t="shared" si="244"/>
        <v>תא FMS</v>
      </c>
      <c r="F844">
        <v>0</v>
      </c>
      <c r="G844" t="str">
        <f t="shared" si="247"/>
        <v>Y</v>
      </c>
      <c r="H844" t="str">
        <f t="shared" si="245"/>
        <v>EA</v>
      </c>
      <c r="I844">
        <v>0</v>
      </c>
      <c r="J844">
        <v>0</v>
      </c>
      <c r="K844" t="str">
        <f t="shared" si="248"/>
        <v>Y</v>
      </c>
      <c r="L844">
        <v>0</v>
      </c>
      <c r="M844" t="str">
        <f t="shared" si="249"/>
        <v>NIS</v>
      </c>
      <c r="O844">
        <v>24</v>
      </c>
      <c r="P844" t="str">
        <f t="shared" si="242"/>
        <v>Active</v>
      </c>
      <c r="Q844" t="str">
        <f>"4th axis package"</f>
        <v>4th axis package</v>
      </c>
      <c r="S844" t="str">
        <f>"4th axis package"</f>
        <v>4th axis package</v>
      </c>
      <c r="T844">
        <v>0</v>
      </c>
      <c r="U844">
        <v>735.68</v>
      </c>
      <c r="V844" s="44">
        <v>1077.4000000000001</v>
      </c>
      <c r="W844" t="str">
        <f t="shared" si="246"/>
        <v>tech</v>
      </c>
    </row>
    <row r="845" spans="1:23">
      <c r="A845" t="str">
        <f t="shared" si="243"/>
        <v>B7-FMS</v>
      </c>
      <c r="B845" t="str">
        <f>"63-8001-1000"</f>
        <v>63-8001-1000</v>
      </c>
      <c r="C845" t="str">
        <f>"-CNCMotion for ProMill 8000"</f>
        <v>-CNCMotion for ProMill 8000</v>
      </c>
      <c r="D845">
        <v>1</v>
      </c>
      <c r="E845" t="str">
        <f t="shared" si="244"/>
        <v>תא FMS</v>
      </c>
      <c r="F845">
        <v>0</v>
      </c>
      <c r="G845" t="str">
        <f t="shared" si="247"/>
        <v>Y</v>
      </c>
      <c r="H845" t="str">
        <f t="shared" si="245"/>
        <v>EA</v>
      </c>
      <c r="I845">
        <v>0</v>
      </c>
      <c r="J845">
        <v>0</v>
      </c>
      <c r="K845" t="str">
        <f t="shared" si="248"/>
        <v>Y</v>
      </c>
      <c r="L845">
        <v>0</v>
      </c>
      <c r="M845" t="str">
        <f t="shared" si="249"/>
        <v>NIS</v>
      </c>
      <c r="O845">
        <v>25</v>
      </c>
      <c r="P845" t="str">
        <f t="shared" si="242"/>
        <v>Active</v>
      </c>
      <c r="Q845" t="str">
        <f>"CNCMotion Sim. Sftwr, ProMill 8000"</f>
        <v>CNCMotion Sim. Sftwr, ProMill 8000</v>
      </c>
      <c r="S845" t="str">
        <f>"CNCMotion Sim. Sftwr, ProMill 8000"</f>
        <v>CNCMotion Sim. Sftwr, ProMill 8000</v>
      </c>
      <c r="T845">
        <v>0</v>
      </c>
      <c r="U845">
        <v>0</v>
      </c>
      <c r="V845">
        <v>0</v>
      </c>
      <c r="W845" t="str">
        <f t="shared" si="246"/>
        <v>tech</v>
      </c>
    </row>
    <row r="846" spans="1:23">
      <c r="A846" t="str">
        <f t="shared" si="243"/>
        <v>B7-FMS</v>
      </c>
      <c r="B846" t="str">
        <f>"10-6723-0000"</f>
        <v>10-6723-0000</v>
      </c>
      <c r="C846" t="str">
        <f>"spectraCAD Engraver"</f>
        <v>spectraCAD Engraver</v>
      </c>
      <c r="D846">
        <v>1</v>
      </c>
      <c r="E846" t="str">
        <f t="shared" si="244"/>
        <v>תא FMS</v>
      </c>
      <c r="F846">
        <v>0</v>
      </c>
      <c r="G846" t="str">
        <f t="shared" si="247"/>
        <v>Y</v>
      </c>
      <c r="H846" t="str">
        <f t="shared" si="245"/>
        <v>EA</v>
      </c>
      <c r="I846">
        <v>0</v>
      </c>
      <c r="J846">
        <v>0</v>
      </c>
      <c r="K846" t="str">
        <f t="shared" si="248"/>
        <v>Y</v>
      </c>
      <c r="L846">
        <v>0</v>
      </c>
      <c r="M846" t="str">
        <f t="shared" si="249"/>
        <v>NIS</v>
      </c>
      <c r="O846">
        <v>26</v>
      </c>
      <c r="P846" t="str">
        <f>"Inactive"</f>
        <v>Inactive</v>
      </c>
      <c r="Q846" t="str">
        <f>"spectraCAD Engraver"</f>
        <v>spectraCAD Engraver</v>
      </c>
      <c r="S846" t="str">
        <f>"spectraCAD Engraver"</f>
        <v>spectraCAD Engraver</v>
      </c>
      <c r="T846">
        <v>20.37</v>
      </c>
      <c r="U846">
        <v>16.420000000000002</v>
      </c>
      <c r="V846">
        <v>16.91</v>
      </c>
      <c r="W846" t="str">
        <f t="shared" si="246"/>
        <v>tech</v>
      </c>
    </row>
    <row r="847" spans="1:23">
      <c r="A847" t="str">
        <f t="shared" si="243"/>
        <v>B7-FMS</v>
      </c>
      <c r="B847" t="str">
        <f>"10-6721-0000"</f>
        <v>10-6721-0000</v>
      </c>
      <c r="C847" t="str">
        <f>"spectraCAM Milling, First Copy"</f>
        <v>spectraCAM Milling, First Copy</v>
      </c>
      <c r="D847">
        <v>1</v>
      </c>
      <c r="E847" t="str">
        <f t="shared" si="244"/>
        <v>תא FMS</v>
      </c>
      <c r="F847">
        <v>0</v>
      </c>
      <c r="G847" t="str">
        <f t="shared" si="247"/>
        <v>Y</v>
      </c>
      <c r="H847" t="str">
        <f t="shared" si="245"/>
        <v>EA</v>
      </c>
      <c r="I847">
        <v>0</v>
      </c>
      <c r="J847">
        <v>0</v>
      </c>
      <c r="K847" t="str">
        <f t="shared" si="248"/>
        <v>Y</v>
      </c>
      <c r="L847">
        <v>0</v>
      </c>
      <c r="M847" t="str">
        <f t="shared" si="249"/>
        <v>NIS</v>
      </c>
      <c r="O847">
        <v>27</v>
      </c>
      <c r="P847" t="str">
        <f>"Inactive"</f>
        <v>Inactive</v>
      </c>
      <c r="Q847" t="str">
        <f>"spectraCAM Milling, First Copy"</f>
        <v>spectraCAM Milling, First Copy</v>
      </c>
      <c r="S847" t="str">
        <f>"spectraCAM Milling, First Copy"</f>
        <v>spectraCAM Milling, First Copy</v>
      </c>
      <c r="T847">
        <v>48.97</v>
      </c>
      <c r="U847">
        <v>41.31</v>
      </c>
      <c r="V847">
        <v>42.55</v>
      </c>
      <c r="W847" t="str">
        <f t="shared" si="246"/>
        <v>tech</v>
      </c>
    </row>
    <row r="848" spans="1:23">
      <c r="A848" t="str">
        <f t="shared" si="243"/>
        <v>B7-FMS</v>
      </c>
      <c r="B848" t="str">
        <f>"113034"</f>
        <v>113034</v>
      </c>
      <c r="C848" t="str">
        <f>"Raw Material - Perspex Block"</f>
        <v>Raw Material - Perspex Block</v>
      </c>
      <c r="D848">
        <v>250</v>
      </c>
      <c r="E848" t="str">
        <f t="shared" si="244"/>
        <v>תא FMS</v>
      </c>
      <c r="F848">
        <v>0</v>
      </c>
      <c r="G848" t="str">
        <f t="shared" si="247"/>
        <v>Y</v>
      </c>
      <c r="H848" t="str">
        <f t="shared" si="245"/>
        <v>EA</v>
      </c>
      <c r="I848">
        <v>0</v>
      </c>
      <c r="J848">
        <v>0</v>
      </c>
      <c r="K848" t="str">
        <f t="shared" si="248"/>
        <v>Y</v>
      </c>
      <c r="L848">
        <v>0</v>
      </c>
      <c r="M848" t="str">
        <f t="shared" si="249"/>
        <v>NIS</v>
      </c>
      <c r="O848">
        <v>28</v>
      </c>
      <c r="P848" t="str">
        <f t="shared" ref="P848:P862" si="250">"Active"</f>
        <v>Active</v>
      </c>
      <c r="Q848" t="str">
        <f>"Raw Material Stock - Perspex Block"</f>
        <v>Raw Material Stock - Perspex Block</v>
      </c>
      <c r="S848" t="str">
        <f>"Raw Material Stock - Perspex Block"</f>
        <v>Raw Material Stock - Perspex Block</v>
      </c>
      <c r="T848">
        <v>0</v>
      </c>
      <c r="U848">
        <v>1.1000000000000001</v>
      </c>
      <c r="V848">
        <v>1.0900000000000001</v>
      </c>
      <c r="W848" t="str">
        <f t="shared" si="246"/>
        <v>tech</v>
      </c>
    </row>
    <row r="849" spans="1:23">
      <c r="A849" t="str">
        <f t="shared" si="243"/>
        <v>B7-FMS</v>
      </c>
      <c r="B849" t="str">
        <f>"50-0093-0000"</f>
        <v>50-0093-0000</v>
      </c>
      <c r="C849" t="str">
        <f>"Interface Programming for Intelitek CNC Machine"</f>
        <v>Interface Programming for Intelitek CNC Machine</v>
      </c>
      <c r="D849">
        <v>1</v>
      </c>
      <c r="E849" t="str">
        <f t="shared" si="244"/>
        <v>תא FMS</v>
      </c>
      <c r="F849">
        <v>0</v>
      </c>
      <c r="G849" t="str">
        <f t="shared" si="247"/>
        <v>Y</v>
      </c>
      <c r="H849" t="str">
        <f t="shared" si="245"/>
        <v>EA</v>
      </c>
      <c r="I849">
        <v>0</v>
      </c>
      <c r="J849">
        <v>0</v>
      </c>
      <c r="K849" t="str">
        <f t="shared" si="248"/>
        <v>Y</v>
      </c>
      <c r="L849">
        <v>0</v>
      </c>
      <c r="M849" t="str">
        <f t="shared" si="249"/>
        <v>NIS</v>
      </c>
      <c r="O849">
        <v>29</v>
      </c>
      <c r="P849" t="str">
        <f t="shared" si="250"/>
        <v>Active</v>
      </c>
      <c r="Q849" t="str">
        <f>"Interface Programming for Intelitek CNC Machine"</f>
        <v>Interface Programming for Intelitek CNC Machine</v>
      </c>
      <c r="S849" t="str">
        <f>"Interface Programming for Intelitek CNC Machine"</f>
        <v>Interface Programming for Intelitek CNC Machine</v>
      </c>
      <c r="T849">
        <v>0</v>
      </c>
      <c r="U849">
        <v>0</v>
      </c>
      <c r="V849">
        <v>0</v>
      </c>
      <c r="W849" t="str">
        <f t="shared" si="246"/>
        <v>tech</v>
      </c>
    </row>
    <row r="850" spans="1:23">
      <c r="A850" t="str">
        <f t="shared" si="243"/>
        <v>B7-FMS</v>
      </c>
      <c r="B850" t="str">
        <f>"00-5501-0220"</f>
        <v>00-5501-0220</v>
      </c>
      <c r="C850" t="str">
        <f>"CNC ProTurn 9000 AC 220V"</f>
        <v>CNC ProTurn 9000 AC 220V</v>
      </c>
      <c r="D850">
        <v>1</v>
      </c>
      <c r="E850" t="str">
        <f t="shared" si="244"/>
        <v>תא FMS</v>
      </c>
      <c r="F850">
        <v>0</v>
      </c>
      <c r="G850" t="str">
        <f t="shared" si="247"/>
        <v>Y</v>
      </c>
      <c r="H850" t="str">
        <f t="shared" si="245"/>
        <v>EA</v>
      </c>
      <c r="I850">
        <v>0</v>
      </c>
      <c r="J850">
        <v>0</v>
      </c>
      <c r="K850" t="str">
        <f t="shared" si="248"/>
        <v>Y</v>
      </c>
      <c r="L850">
        <v>0</v>
      </c>
      <c r="M850" t="str">
        <f t="shared" si="249"/>
        <v>NIS</v>
      </c>
      <c r="O850">
        <v>30</v>
      </c>
      <c r="P850" t="str">
        <f t="shared" si="250"/>
        <v>Active</v>
      </c>
      <c r="Q850" t="str">
        <f>"CNC ProTurn 9000 AC 220V"</f>
        <v>CNC ProTurn 9000 AC 220V</v>
      </c>
      <c r="S850" t="str">
        <f>"CNC ProTurn 9000 AC 220V"</f>
        <v>CNC ProTurn 9000 AC 220V</v>
      </c>
      <c r="T850">
        <v>0</v>
      </c>
      <c r="U850" s="44">
        <v>6204.98</v>
      </c>
      <c r="V850" s="44">
        <v>6570.68</v>
      </c>
      <c r="W850" t="str">
        <f t="shared" si="246"/>
        <v>tech</v>
      </c>
    </row>
    <row r="851" spans="1:23">
      <c r="A851" t="str">
        <f t="shared" si="243"/>
        <v>B7-FMS</v>
      </c>
      <c r="B851" t="str">
        <f>"10-1110-6000"</f>
        <v>10-1110-6000</v>
      </c>
      <c r="C851" t="str">
        <f>"-- Pneumatic Shield (ProTurn 9000 for FMS)"</f>
        <v>-- Pneumatic Shield (ProTurn 9000 for FMS)</v>
      </c>
      <c r="D851">
        <v>1</v>
      </c>
      <c r="E851" t="str">
        <f t="shared" si="244"/>
        <v>תא FMS</v>
      </c>
      <c r="F851">
        <v>0</v>
      </c>
      <c r="G851" t="str">
        <f t="shared" si="247"/>
        <v>Y</v>
      </c>
      <c r="H851" t="str">
        <f t="shared" si="245"/>
        <v>EA</v>
      </c>
      <c r="I851">
        <v>0</v>
      </c>
      <c r="J851">
        <v>0</v>
      </c>
      <c r="K851" t="str">
        <f t="shared" si="248"/>
        <v>Y</v>
      </c>
      <c r="L851">
        <v>0</v>
      </c>
      <c r="M851" t="str">
        <f t="shared" si="249"/>
        <v>NIS</v>
      </c>
      <c r="O851">
        <v>31</v>
      </c>
      <c r="P851" t="str">
        <f t="shared" si="250"/>
        <v>Active</v>
      </c>
      <c r="Q851" t="str">
        <f>"Pneumatic Shield with Sensors (ProTurn 9000)"</f>
        <v>Pneumatic Shield with Sensors (ProTurn 9000)</v>
      </c>
      <c r="S851" t="str">
        <f>"Pneumatic Shield with Sensors (ProTurn 9000)"</f>
        <v>Pneumatic Shield with Sensors (ProTurn 9000)</v>
      </c>
      <c r="T851">
        <v>0</v>
      </c>
      <c r="U851">
        <v>425</v>
      </c>
      <c r="V851">
        <v>423.6</v>
      </c>
      <c r="W851" t="str">
        <f t="shared" si="246"/>
        <v>tech</v>
      </c>
    </row>
    <row r="852" spans="1:23">
      <c r="A852" t="str">
        <f t="shared" si="243"/>
        <v>B7-FMS</v>
      </c>
      <c r="B852" t="str">
        <f>"10-1111-0000"</f>
        <v>10-1111-0000</v>
      </c>
      <c r="C852" t="str">
        <f>"-- Pneumatic Chuck (ProTurn 9000 for FMS)"</f>
        <v>-- Pneumatic Chuck (ProTurn 9000 for FMS)</v>
      </c>
      <c r="D852">
        <v>1</v>
      </c>
      <c r="E852" t="str">
        <f t="shared" si="244"/>
        <v>תא FMS</v>
      </c>
      <c r="F852">
        <v>0</v>
      </c>
      <c r="G852" t="str">
        <f t="shared" si="247"/>
        <v>Y</v>
      </c>
      <c r="H852" t="str">
        <f t="shared" si="245"/>
        <v>EA</v>
      </c>
      <c r="I852">
        <v>0</v>
      </c>
      <c r="J852">
        <v>0</v>
      </c>
      <c r="K852" t="str">
        <f t="shared" si="248"/>
        <v>Y</v>
      </c>
      <c r="L852">
        <v>0</v>
      </c>
      <c r="M852" t="str">
        <f t="shared" si="249"/>
        <v>NIS</v>
      </c>
      <c r="O852">
        <v>32</v>
      </c>
      <c r="P852" t="str">
        <f t="shared" si="250"/>
        <v>Active</v>
      </c>
      <c r="Q852" t="str">
        <f>"Pneumatic Chuck (ProTurn 9000)"</f>
        <v>Pneumatic Chuck (ProTurn 9000)</v>
      </c>
      <c r="S852" t="str">
        <f>"Pneumatic Chuck (ProTurn 9000)"</f>
        <v>Pneumatic Chuck (ProTurn 9000)</v>
      </c>
      <c r="T852">
        <v>0</v>
      </c>
      <c r="U852">
        <v>660</v>
      </c>
      <c r="V852">
        <v>656.57</v>
      </c>
      <c r="W852" t="str">
        <f t="shared" si="246"/>
        <v>tech</v>
      </c>
    </row>
    <row r="853" spans="1:23">
      <c r="A853" t="str">
        <f t="shared" si="243"/>
        <v>B7-FMS</v>
      </c>
      <c r="B853" t="str">
        <f>"10-1110-1000"</f>
        <v>10-1110-1000</v>
      </c>
      <c r="C853" t="str">
        <f>"10 x 10mm cutter tool holder"</f>
        <v>10 x 10mm cutter tool holder</v>
      </c>
      <c r="D853">
        <v>1</v>
      </c>
      <c r="E853" t="str">
        <f t="shared" si="244"/>
        <v>תא FMS</v>
      </c>
      <c r="F853">
        <v>0</v>
      </c>
      <c r="G853" t="str">
        <f t="shared" si="247"/>
        <v>Y</v>
      </c>
      <c r="H853" t="str">
        <f t="shared" si="245"/>
        <v>EA</v>
      </c>
      <c r="I853">
        <v>0</v>
      </c>
      <c r="J853">
        <v>0</v>
      </c>
      <c r="K853" t="str">
        <f t="shared" si="248"/>
        <v>Y</v>
      </c>
      <c r="L853">
        <v>0</v>
      </c>
      <c r="M853" t="str">
        <f t="shared" si="249"/>
        <v>NIS</v>
      </c>
      <c r="O853">
        <v>33</v>
      </c>
      <c r="P853" t="str">
        <f t="shared" si="250"/>
        <v>Active</v>
      </c>
      <c r="Q853" t="str">
        <f>"10x10mm TiN coated cutter set (replaceable tip)"</f>
        <v>10x10mm TiN coated cutter set (replaceable tip)</v>
      </c>
      <c r="S853" t="str">
        <f>"10x10mm TiN coated cutter set (replaceable tip)"</f>
        <v>10x10mm TiN coated cutter set (replaceable tip)</v>
      </c>
      <c r="T853">
        <v>0</v>
      </c>
      <c r="U853">
        <v>65</v>
      </c>
      <c r="V853">
        <v>65.540000000000006</v>
      </c>
      <c r="W853" t="str">
        <f t="shared" si="246"/>
        <v>tech</v>
      </c>
    </row>
    <row r="854" spans="1:23">
      <c r="A854" t="str">
        <f t="shared" si="243"/>
        <v>B7-FMS</v>
      </c>
      <c r="B854" t="str">
        <f>"10-1105-9000"</f>
        <v>10-1105-9000</v>
      </c>
      <c r="C854" t="str">
        <f>"- 125mm 4 independent jaw chuck"</f>
        <v>- 125mm 4 independent jaw chuck</v>
      </c>
      <c r="D854">
        <v>1</v>
      </c>
      <c r="E854" t="str">
        <f t="shared" si="244"/>
        <v>תא FMS</v>
      </c>
      <c r="F854">
        <v>0</v>
      </c>
      <c r="G854" t="str">
        <f t="shared" si="247"/>
        <v>Y</v>
      </c>
      <c r="H854" t="str">
        <f t="shared" si="245"/>
        <v>EA</v>
      </c>
      <c r="I854">
        <v>0</v>
      </c>
      <c r="J854">
        <v>0</v>
      </c>
      <c r="K854" t="str">
        <f t="shared" si="248"/>
        <v>Y</v>
      </c>
      <c r="L854">
        <v>0</v>
      </c>
      <c r="M854" t="str">
        <f t="shared" si="249"/>
        <v>NIS</v>
      </c>
      <c r="O854">
        <v>34</v>
      </c>
      <c r="P854" t="str">
        <f t="shared" si="250"/>
        <v>Active</v>
      </c>
      <c r="Q854" t="str">
        <f>"125mm 4-jaw chuck (independent) with flange"</f>
        <v>125mm 4-jaw chuck (independent) with flange</v>
      </c>
      <c r="S854" t="str">
        <f>"125mm 4-jaw chuck (independent) with flange"</f>
        <v>125mm 4-jaw chuck (independent) with flange</v>
      </c>
      <c r="T854">
        <v>0</v>
      </c>
      <c r="U854">
        <v>70.25</v>
      </c>
      <c r="V854">
        <v>76.2</v>
      </c>
      <c r="W854" t="str">
        <f t="shared" si="246"/>
        <v>tech</v>
      </c>
    </row>
    <row r="855" spans="1:23">
      <c r="A855" t="str">
        <f t="shared" si="243"/>
        <v>B7-FMS</v>
      </c>
      <c r="B855" t="str">
        <f>"10-1106-0000"</f>
        <v>10-1106-0000</v>
      </c>
      <c r="C855" t="str">
        <f>"- 11pcs Cutter set 10 x 10mmt"</f>
        <v>- 11pcs Cutter set 10 x 10mmt</v>
      </c>
      <c r="D855">
        <v>1</v>
      </c>
      <c r="E855" t="str">
        <f t="shared" si="244"/>
        <v>תא FMS</v>
      </c>
      <c r="F855">
        <v>0</v>
      </c>
      <c r="G855" t="str">
        <f t="shared" si="247"/>
        <v>Y</v>
      </c>
      <c r="H855" t="str">
        <f t="shared" si="245"/>
        <v>EA</v>
      </c>
      <c r="I855">
        <v>0</v>
      </c>
      <c r="J855">
        <v>0</v>
      </c>
      <c r="K855" t="str">
        <f t="shared" si="248"/>
        <v>Y</v>
      </c>
      <c r="L855">
        <v>0</v>
      </c>
      <c r="M855" t="str">
        <f t="shared" si="249"/>
        <v>NIS</v>
      </c>
      <c r="O855">
        <v>35</v>
      </c>
      <c r="P855" t="str">
        <f t="shared" si="250"/>
        <v>Active</v>
      </c>
      <c r="Q855" t="str">
        <f>"10 x 10mm cutter 11pcs set"</f>
        <v>10 x 10mm cutter 11pcs set</v>
      </c>
      <c r="S855" t="str">
        <f>"10 x 10mm cutter 11pcs set"</f>
        <v>10 x 10mm cutter 11pcs set</v>
      </c>
      <c r="T855">
        <v>0</v>
      </c>
      <c r="U855">
        <v>36.29</v>
      </c>
      <c r="V855">
        <v>42.51</v>
      </c>
      <c r="W855" t="str">
        <f t="shared" si="246"/>
        <v>tech</v>
      </c>
    </row>
    <row r="856" spans="1:23">
      <c r="A856" t="str">
        <f t="shared" si="243"/>
        <v>B7-FMS</v>
      </c>
      <c r="B856" t="str">
        <f>"10-1110-2000"</f>
        <v>10-1110-2000</v>
      </c>
      <c r="C856" t="str">
        <f>"TiN coated tip for 011101"</f>
        <v>TiN coated tip for 011101</v>
      </c>
      <c r="D856">
        <v>1</v>
      </c>
      <c r="E856" t="str">
        <f t="shared" si="244"/>
        <v>תא FMS</v>
      </c>
      <c r="F856">
        <v>0</v>
      </c>
      <c r="G856" t="str">
        <f t="shared" si="247"/>
        <v>Y</v>
      </c>
      <c r="H856" t="str">
        <f t="shared" si="245"/>
        <v>EA</v>
      </c>
      <c r="I856">
        <v>0</v>
      </c>
      <c r="J856">
        <v>0</v>
      </c>
      <c r="K856" t="str">
        <f t="shared" si="248"/>
        <v>Y</v>
      </c>
      <c r="L856">
        <v>0</v>
      </c>
      <c r="M856" t="str">
        <f t="shared" si="249"/>
        <v>NIS</v>
      </c>
      <c r="O856">
        <v>36</v>
      </c>
      <c r="P856" t="str">
        <f t="shared" si="250"/>
        <v>Active</v>
      </c>
      <c r="Q856" t="str">
        <f>"TiN coated tip for 011101"</f>
        <v>TiN coated tip for 011101</v>
      </c>
      <c r="S856" t="str">
        <f>"TiN coated tip for 011101"</f>
        <v>TiN coated tip for 011101</v>
      </c>
      <c r="T856">
        <v>0</v>
      </c>
      <c r="U856">
        <v>42</v>
      </c>
      <c r="V856">
        <v>41.71</v>
      </c>
      <c r="W856" t="str">
        <f t="shared" si="246"/>
        <v>tech</v>
      </c>
    </row>
    <row r="857" spans="1:23">
      <c r="A857" t="str">
        <f t="shared" si="243"/>
        <v>B7-FMS</v>
      </c>
      <c r="B857" t="str">
        <f>"10-1106-6000"</f>
        <v>10-1106-6000</v>
      </c>
      <c r="C857" t="str">
        <f>"- Rolling center"</f>
        <v>- Rolling center</v>
      </c>
      <c r="D857">
        <v>1</v>
      </c>
      <c r="E857" t="str">
        <f t="shared" si="244"/>
        <v>תא FMS</v>
      </c>
      <c r="F857">
        <v>0</v>
      </c>
      <c r="G857" t="str">
        <f t="shared" si="247"/>
        <v>Y</v>
      </c>
      <c r="H857" t="str">
        <f t="shared" si="245"/>
        <v>EA</v>
      </c>
      <c r="I857">
        <v>0</v>
      </c>
      <c r="J857">
        <v>0</v>
      </c>
      <c r="K857" t="str">
        <f t="shared" si="248"/>
        <v>Y</v>
      </c>
      <c r="L857">
        <v>0</v>
      </c>
      <c r="M857" t="str">
        <f t="shared" si="249"/>
        <v>NIS</v>
      </c>
      <c r="O857">
        <v>37</v>
      </c>
      <c r="P857" t="str">
        <f t="shared" si="250"/>
        <v>Active</v>
      </c>
      <c r="Q857" t="str">
        <f>"Rolling center"</f>
        <v>Rolling center</v>
      </c>
      <c r="S857" t="str">
        <f>"Rolling center"</f>
        <v>Rolling center</v>
      </c>
      <c r="T857">
        <v>0</v>
      </c>
      <c r="U857">
        <v>23.42</v>
      </c>
      <c r="V857">
        <v>23.55</v>
      </c>
      <c r="W857" t="str">
        <f t="shared" si="246"/>
        <v>tech</v>
      </c>
    </row>
    <row r="858" spans="1:23">
      <c r="A858" t="str">
        <f t="shared" si="243"/>
        <v>B7-FMS</v>
      </c>
      <c r="B858" t="str">
        <f>"10-1105-7000"</f>
        <v>10-1105-7000</v>
      </c>
      <c r="C858" t="str">
        <f>"Drill Chuck for Tailstock"</f>
        <v>Drill Chuck for Tailstock</v>
      </c>
      <c r="D858">
        <v>1</v>
      </c>
      <c r="E858" t="str">
        <f t="shared" si="244"/>
        <v>תא FMS</v>
      </c>
      <c r="F858">
        <v>0</v>
      </c>
      <c r="G858" t="str">
        <f t="shared" si="247"/>
        <v>Y</v>
      </c>
      <c r="H858" t="str">
        <f t="shared" si="245"/>
        <v>EA</v>
      </c>
      <c r="I858">
        <v>0</v>
      </c>
      <c r="J858">
        <v>0</v>
      </c>
      <c r="K858" t="str">
        <f t="shared" si="248"/>
        <v>Y</v>
      </c>
      <c r="L858">
        <v>0</v>
      </c>
      <c r="M858" t="str">
        <f t="shared" si="249"/>
        <v>NIS</v>
      </c>
      <c r="O858">
        <v>38</v>
      </c>
      <c r="P858" t="str">
        <f t="shared" si="250"/>
        <v>Active</v>
      </c>
      <c r="Q858" t="str">
        <f>"Drill Chuck for Tailstock MT2 13mm"</f>
        <v>Drill Chuck for Tailstock MT2 13mm</v>
      </c>
      <c r="S858" t="str">
        <f>"Drill Chuck for Tailstock MT2 13mm"</f>
        <v>Drill Chuck for Tailstock MT2 13mm</v>
      </c>
      <c r="T858">
        <v>0</v>
      </c>
      <c r="U858">
        <v>21.07</v>
      </c>
      <c r="V858">
        <v>23.52</v>
      </c>
      <c r="W858" t="str">
        <f t="shared" si="246"/>
        <v>tech</v>
      </c>
    </row>
    <row r="859" spans="1:23">
      <c r="A859" t="str">
        <f t="shared" si="243"/>
        <v>B7-FMS</v>
      </c>
      <c r="B859" t="str">
        <f>"10-1108-1220"</f>
        <v>10-1108-1220</v>
      </c>
      <c r="C859" t="str">
        <f>"- Coolant system 27L -220V"</f>
        <v>- Coolant system 27L -220V</v>
      </c>
      <c r="D859">
        <v>1</v>
      </c>
      <c r="E859" t="str">
        <f t="shared" si="244"/>
        <v>תא FMS</v>
      </c>
      <c r="F859">
        <v>0</v>
      </c>
      <c r="G859" t="str">
        <f t="shared" si="247"/>
        <v>Y</v>
      </c>
      <c r="H859" t="str">
        <f t="shared" si="245"/>
        <v>EA</v>
      </c>
      <c r="I859">
        <v>0</v>
      </c>
      <c r="J859">
        <v>0</v>
      </c>
      <c r="K859" t="str">
        <f t="shared" si="248"/>
        <v>Y</v>
      </c>
      <c r="L859">
        <v>0</v>
      </c>
      <c r="M859" t="str">
        <f t="shared" si="249"/>
        <v>NIS</v>
      </c>
      <c r="O859">
        <v>39</v>
      </c>
      <c r="P859" t="str">
        <f t="shared" si="250"/>
        <v>Active</v>
      </c>
      <c r="Q859" t="str">
        <f>"Coolant system 27L - 220V"</f>
        <v>Coolant system 27L - 220V</v>
      </c>
      <c r="S859" t="str">
        <f>"Coolant system 27L - 220V"</f>
        <v>Coolant system 27L - 220V</v>
      </c>
      <c r="T859">
        <v>0</v>
      </c>
      <c r="U859">
        <v>117.08</v>
      </c>
      <c r="V859">
        <v>117.15</v>
      </c>
      <c r="W859" t="str">
        <f t="shared" si="246"/>
        <v>tech</v>
      </c>
    </row>
    <row r="860" spans="1:23">
      <c r="A860" t="str">
        <f t="shared" si="243"/>
        <v>B7-FMS</v>
      </c>
      <c r="B860" t="str">
        <f>"10-1111-1000"</f>
        <v>10-1111-1000</v>
      </c>
      <c r="C860" t="str">
        <f>"- Handwheel - Manual Control"</f>
        <v>- Handwheel - Manual Control</v>
      </c>
      <c r="D860">
        <v>1</v>
      </c>
      <c r="E860" t="str">
        <f t="shared" si="244"/>
        <v>תא FMS</v>
      </c>
      <c r="F860">
        <v>0</v>
      </c>
      <c r="G860" t="str">
        <f t="shared" si="247"/>
        <v>Y</v>
      </c>
      <c r="H860" t="str">
        <f t="shared" si="245"/>
        <v>EA</v>
      </c>
      <c r="I860">
        <v>0</v>
      </c>
      <c r="J860">
        <v>0</v>
      </c>
      <c r="K860" t="str">
        <f t="shared" si="248"/>
        <v>Y</v>
      </c>
      <c r="L860">
        <v>0</v>
      </c>
      <c r="M860" t="str">
        <f t="shared" si="249"/>
        <v>NIS</v>
      </c>
      <c r="O860">
        <v>40</v>
      </c>
      <c r="P860" t="str">
        <f t="shared" si="250"/>
        <v>Active</v>
      </c>
      <c r="Q860" t="str">
        <f>"Jog Pendant Handwheel"</f>
        <v>Jog Pendant Handwheel</v>
      </c>
      <c r="S860" t="str">
        <f>"Jog Pendant Handwheel"</f>
        <v>Jog Pendant Handwheel</v>
      </c>
      <c r="T860">
        <v>0</v>
      </c>
      <c r="U860">
        <v>235</v>
      </c>
      <c r="V860">
        <v>235.03</v>
      </c>
      <c r="W860" t="str">
        <f t="shared" si="246"/>
        <v>tech</v>
      </c>
    </row>
    <row r="861" spans="1:23">
      <c r="A861" t="str">
        <f t="shared" si="243"/>
        <v>B7-FMS</v>
      </c>
      <c r="B861" t="str">
        <f>"10-1105-5000"</f>
        <v>10-1105-5000</v>
      </c>
      <c r="C861" t="str">
        <f>"Computer and monitor attachment"</f>
        <v>Computer and monitor attachment</v>
      </c>
      <c r="D861">
        <v>1</v>
      </c>
      <c r="E861" t="str">
        <f t="shared" si="244"/>
        <v>תא FMS</v>
      </c>
      <c r="F861">
        <v>0</v>
      </c>
      <c r="G861" t="str">
        <f t="shared" si="247"/>
        <v>Y</v>
      </c>
      <c r="H861" t="str">
        <f t="shared" si="245"/>
        <v>EA</v>
      </c>
      <c r="I861">
        <v>0</v>
      </c>
      <c r="J861">
        <v>0</v>
      </c>
      <c r="K861" t="str">
        <f t="shared" si="248"/>
        <v>Y</v>
      </c>
      <c r="L861">
        <v>0</v>
      </c>
      <c r="M861" t="str">
        <f t="shared" si="249"/>
        <v>NIS</v>
      </c>
      <c r="O861">
        <v>41</v>
      </c>
      <c r="P861" t="str">
        <f t="shared" si="250"/>
        <v>Active</v>
      </c>
      <c r="Q861" t="str">
        <f>"Computer and monitor stand (attached to machine)"</f>
        <v>Computer and monitor stand (attached to machine)</v>
      </c>
      <c r="S861" t="str">
        <f>"Computer and monitor stand (attached to machine)"</f>
        <v>Computer and monitor stand (attached to machine)</v>
      </c>
      <c r="T861">
        <v>0</v>
      </c>
      <c r="U861">
        <v>105.36</v>
      </c>
      <c r="V861">
        <v>103.02</v>
      </c>
      <c r="W861" t="str">
        <f t="shared" si="246"/>
        <v>tech</v>
      </c>
    </row>
    <row r="862" spans="1:23">
      <c r="A862" t="str">
        <f t="shared" si="243"/>
        <v>B7-FMS</v>
      </c>
      <c r="B862" t="str">
        <f>"63-9001-1000"</f>
        <v>63-9001-1000</v>
      </c>
      <c r="C862" t="str">
        <f>"-CNCMotion for ProTurn 9000"</f>
        <v>-CNCMotion for ProTurn 9000</v>
      </c>
      <c r="D862">
        <v>1</v>
      </c>
      <c r="E862" t="str">
        <f t="shared" si="244"/>
        <v>תא FMS</v>
      </c>
      <c r="F862">
        <v>0</v>
      </c>
      <c r="G862" t="str">
        <f t="shared" si="247"/>
        <v>Y</v>
      </c>
      <c r="H862" t="str">
        <f t="shared" si="245"/>
        <v>EA</v>
      </c>
      <c r="I862">
        <v>0</v>
      </c>
      <c r="J862">
        <v>0</v>
      </c>
      <c r="K862" t="str">
        <f t="shared" si="248"/>
        <v>Y</v>
      </c>
      <c r="L862">
        <v>0</v>
      </c>
      <c r="M862" t="str">
        <f t="shared" si="249"/>
        <v>NIS</v>
      </c>
      <c r="O862">
        <v>42</v>
      </c>
      <c r="P862" t="str">
        <f t="shared" si="250"/>
        <v>Active</v>
      </c>
      <c r="Q862" t="str">
        <f>"CNCMotion Sim. Sftwr, ProTurn 9000"</f>
        <v>CNCMotion Sim. Sftwr, ProTurn 9000</v>
      </c>
      <c r="S862" t="str">
        <f>"CNCMotion Sim. Sftwr, ProTurn 9000"</f>
        <v>CNCMotion Sim. Sftwr, ProTurn 9000</v>
      </c>
      <c r="T862">
        <v>0</v>
      </c>
      <c r="U862">
        <v>10</v>
      </c>
      <c r="V862">
        <v>0</v>
      </c>
      <c r="W862" t="str">
        <f t="shared" si="246"/>
        <v>tech</v>
      </c>
    </row>
    <row r="863" spans="1:23">
      <c r="A863" t="str">
        <f t="shared" si="243"/>
        <v>B7-FMS</v>
      </c>
      <c r="B863" t="str">
        <f>"10-6741-0000"</f>
        <v>10-6741-0000</v>
      </c>
      <c r="C863" t="str">
        <f>"spectraCAM Turning, First Copy"</f>
        <v>spectraCAM Turning, First Copy</v>
      </c>
      <c r="D863">
        <v>1</v>
      </c>
      <c r="E863" t="str">
        <f t="shared" si="244"/>
        <v>תא FMS</v>
      </c>
      <c r="F863">
        <v>0</v>
      </c>
      <c r="G863" t="str">
        <f t="shared" si="247"/>
        <v>Y</v>
      </c>
      <c r="H863" t="str">
        <f t="shared" si="245"/>
        <v>EA</v>
      </c>
      <c r="I863">
        <v>0</v>
      </c>
      <c r="J863">
        <v>0</v>
      </c>
      <c r="K863" t="str">
        <f t="shared" si="248"/>
        <v>Y</v>
      </c>
      <c r="L863">
        <v>0</v>
      </c>
      <c r="M863" t="str">
        <f t="shared" si="249"/>
        <v>NIS</v>
      </c>
      <c r="O863">
        <v>43</v>
      </c>
      <c r="P863" t="str">
        <f>"Inactive"</f>
        <v>Inactive</v>
      </c>
      <c r="Q863" t="str">
        <f>"spectraCAM Turning, First Copy"</f>
        <v>spectraCAM Turning, First Copy</v>
      </c>
      <c r="S863" t="str">
        <f>"spectraCAM Turning, First Copy"</f>
        <v>spectraCAM Turning, First Copy</v>
      </c>
      <c r="T863">
        <v>41.27</v>
      </c>
      <c r="U863">
        <v>25.06</v>
      </c>
      <c r="V863">
        <v>25.81</v>
      </c>
      <c r="W863" t="str">
        <f t="shared" si="246"/>
        <v>tech</v>
      </c>
    </row>
    <row r="864" spans="1:23">
      <c r="A864" t="str">
        <f t="shared" si="243"/>
        <v>B7-FMS</v>
      </c>
      <c r="B864" t="str">
        <f>"112496"</f>
        <v>112496</v>
      </c>
      <c r="C864" t="str">
        <f>"Raw Material - Brass  Rod"</f>
        <v>Raw Material - Brass  Rod</v>
      </c>
      <c r="D864">
        <v>250</v>
      </c>
      <c r="E864" t="str">
        <f t="shared" si="244"/>
        <v>תא FMS</v>
      </c>
      <c r="F864">
        <v>0</v>
      </c>
      <c r="G864" t="str">
        <f t="shared" si="247"/>
        <v>Y</v>
      </c>
      <c r="H864" t="str">
        <f t="shared" si="245"/>
        <v>EA</v>
      </c>
      <c r="I864">
        <v>0</v>
      </c>
      <c r="J864">
        <v>0</v>
      </c>
      <c r="K864" t="str">
        <f t="shared" si="248"/>
        <v>Y</v>
      </c>
      <c r="L864">
        <v>0</v>
      </c>
      <c r="M864" t="str">
        <f t="shared" si="249"/>
        <v>NIS</v>
      </c>
      <c r="O864">
        <v>44</v>
      </c>
      <c r="P864" t="str">
        <f t="shared" ref="P864:P927" si="251">"Active"</f>
        <v>Active</v>
      </c>
      <c r="Q864" t="str">
        <f>"Raw Material Stock - Brass  Rod"</f>
        <v>Raw Material Stock - Brass  Rod</v>
      </c>
      <c r="S864" t="str">
        <f>"Raw Material Stock - Brass  Rod"</f>
        <v>Raw Material Stock - Brass  Rod</v>
      </c>
      <c r="T864">
        <v>0</v>
      </c>
      <c r="U864">
        <v>3.67</v>
      </c>
      <c r="V864">
        <v>2.69</v>
      </c>
      <c r="W864" t="str">
        <f t="shared" ref="W864:W890" si="252">"tech"</f>
        <v>tech</v>
      </c>
    </row>
    <row r="865" spans="1:23">
      <c r="A865" t="str">
        <f t="shared" si="243"/>
        <v>B7-FMS</v>
      </c>
      <c r="B865" t="str">
        <f>"00-1251-0000"</f>
        <v>00-1251-0000</v>
      </c>
      <c r="C865" t="str">
        <f>"Workbench 1500x800mm (Formica Top)"</f>
        <v>Workbench 1500x800mm (Formica Top)</v>
      </c>
      <c r="D865">
        <v>1</v>
      </c>
      <c r="E865" t="str">
        <f t="shared" si="244"/>
        <v>תא FMS</v>
      </c>
      <c r="F865">
        <v>0</v>
      </c>
      <c r="G865" t="str">
        <f t="shared" si="247"/>
        <v>Y</v>
      </c>
      <c r="H865" t="str">
        <f t="shared" si="245"/>
        <v>EA</v>
      </c>
      <c r="I865">
        <v>0</v>
      </c>
      <c r="J865">
        <v>0</v>
      </c>
      <c r="K865" t="str">
        <f t="shared" si="248"/>
        <v>Y</v>
      </c>
      <c r="L865">
        <v>0</v>
      </c>
      <c r="M865" t="str">
        <f t="shared" si="249"/>
        <v>NIS</v>
      </c>
      <c r="O865">
        <v>45</v>
      </c>
      <c r="P865" t="str">
        <f t="shared" si="251"/>
        <v>Active</v>
      </c>
      <c r="Q865" t="str">
        <f>"Workbench 1500x800mm (Formica Top)"</f>
        <v>Workbench 1500x800mm (Formica Top)</v>
      </c>
      <c r="S865" t="str">
        <f>"Workbench 1500x800mm (Formica Top)"</f>
        <v>Workbench 1500x800mm (Formica Top)</v>
      </c>
      <c r="T865">
        <v>0</v>
      </c>
      <c r="U865">
        <v>582</v>
      </c>
      <c r="V865">
        <v>588.6</v>
      </c>
      <c r="W865" t="str">
        <f t="shared" si="252"/>
        <v>tech</v>
      </c>
    </row>
    <row r="866" spans="1:23">
      <c r="A866" t="str">
        <f t="shared" si="243"/>
        <v>B7-FMS</v>
      </c>
      <c r="B866" t="str">
        <f>"50-0094-0000"</f>
        <v>50-0094-0000</v>
      </c>
      <c r="C866" t="str">
        <f>"Pre-Engineering, Design and Testing"</f>
        <v>Pre-Engineering, Design and Testing</v>
      </c>
      <c r="D866">
        <v>1</v>
      </c>
      <c r="E866" t="str">
        <f t="shared" si="244"/>
        <v>תא FMS</v>
      </c>
      <c r="F866">
        <v>0</v>
      </c>
      <c r="G866" t="str">
        <f t="shared" si="247"/>
        <v>Y</v>
      </c>
      <c r="H866" t="str">
        <f>"DA"</f>
        <v>DA</v>
      </c>
      <c r="I866">
        <v>0</v>
      </c>
      <c r="J866">
        <v>0</v>
      </c>
      <c r="K866" t="str">
        <f t="shared" si="248"/>
        <v>Y</v>
      </c>
      <c r="L866">
        <v>0</v>
      </c>
      <c r="M866" t="str">
        <f t="shared" si="249"/>
        <v>NIS</v>
      </c>
      <c r="O866">
        <v>46</v>
      </c>
      <c r="P866" t="str">
        <f t="shared" si="251"/>
        <v>Active</v>
      </c>
      <c r="Q866" t="str">
        <f>"Pre-Engineering, Design and Testing"</f>
        <v>Pre-Engineering, Design and Testing</v>
      </c>
      <c r="S866" t="str">
        <f>"Pre-Engineering, Design and Testing"</f>
        <v>Pre-Engineering, Design and Testing</v>
      </c>
      <c r="T866">
        <v>0</v>
      </c>
      <c r="U866">
        <v>405</v>
      </c>
      <c r="V866">
        <v>421.2</v>
      </c>
      <c r="W866" t="str">
        <f t="shared" si="252"/>
        <v>tech</v>
      </c>
    </row>
    <row r="867" spans="1:23">
      <c r="A867" t="str">
        <f t="shared" si="243"/>
        <v>B7-FMS</v>
      </c>
      <c r="B867" t="str">
        <f>"63-9072-0000"</f>
        <v>63-9072-0000</v>
      </c>
      <c r="C867" t="str">
        <f>"OpenCIM/FMS Software"</f>
        <v>OpenCIM/FMS Software</v>
      </c>
      <c r="D867">
        <v>1</v>
      </c>
      <c r="E867" t="str">
        <f t="shared" si="244"/>
        <v>תא FMS</v>
      </c>
      <c r="F867">
        <v>0</v>
      </c>
      <c r="G867" t="str">
        <f t="shared" si="247"/>
        <v>Y</v>
      </c>
      <c r="H867" t="str">
        <f t="shared" ref="H867:H883" si="253">"EA"</f>
        <v>EA</v>
      </c>
      <c r="I867">
        <v>0</v>
      </c>
      <c r="J867">
        <v>0</v>
      </c>
      <c r="K867" t="str">
        <f t="shared" si="248"/>
        <v>Y</v>
      </c>
      <c r="L867">
        <v>0</v>
      </c>
      <c r="M867" t="str">
        <f t="shared" si="249"/>
        <v>NIS</v>
      </c>
      <c r="O867">
        <v>47</v>
      </c>
      <c r="P867" t="str">
        <f t="shared" si="251"/>
        <v>Active</v>
      </c>
      <c r="Q867" t="str">
        <f>"OpenCIM/FMS Software Package"</f>
        <v>OpenCIM/FMS Software Package</v>
      </c>
      <c r="S867" t="str">
        <f>"OpenCIM/FMS Software Package"</f>
        <v>OpenCIM/FMS Software Package</v>
      </c>
      <c r="T867">
        <v>0</v>
      </c>
      <c r="U867">
        <v>35.44</v>
      </c>
      <c r="V867">
        <v>33.99</v>
      </c>
      <c r="W867" t="str">
        <f t="shared" si="252"/>
        <v>tech</v>
      </c>
    </row>
    <row r="868" spans="1:23">
      <c r="A868" t="str">
        <f t="shared" si="243"/>
        <v>B7-FMS</v>
      </c>
      <c r="B868" t="str">
        <f>"63-7000-1400"</f>
        <v>63-7000-1400</v>
      </c>
      <c r="C868" t="str">
        <f>"License Key For OpenFMS Software"</f>
        <v>License Key For OpenFMS Software</v>
      </c>
      <c r="D868">
        <v>1</v>
      </c>
      <c r="E868" t="str">
        <f t="shared" si="244"/>
        <v>תא FMS</v>
      </c>
      <c r="F868">
        <v>0</v>
      </c>
      <c r="G868" t="str">
        <f t="shared" si="247"/>
        <v>Y</v>
      </c>
      <c r="H868" t="str">
        <f t="shared" si="253"/>
        <v>EA</v>
      </c>
      <c r="I868">
        <v>0</v>
      </c>
      <c r="J868">
        <v>0</v>
      </c>
      <c r="K868" t="str">
        <f t="shared" si="248"/>
        <v>Y</v>
      </c>
      <c r="L868">
        <v>0</v>
      </c>
      <c r="M868" t="str">
        <f t="shared" si="249"/>
        <v>NIS</v>
      </c>
      <c r="O868">
        <v>48</v>
      </c>
      <c r="P868" t="str">
        <f t="shared" si="251"/>
        <v>Active</v>
      </c>
      <c r="Q868" t="str">
        <f>"License Key For OpenFMS Software"</f>
        <v>License Key For OpenFMS Software</v>
      </c>
      <c r="R868" t="str">
        <f>"1"</f>
        <v>1</v>
      </c>
      <c r="S868" t="str">
        <f>"License Key For OpenFMS Software"</f>
        <v>License Key For OpenFMS Software</v>
      </c>
      <c r="T868">
        <v>0</v>
      </c>
      <c r="U868">
        <v>1.2</v>
      </c>
      <c r="V868">
        <v>1.33</v>
      </c>
      <c r="W868" t="str">
        <f t="shared" si="252"/>
        <v>tech</v>
      </c>
    </row>
    <row r="869" spans="1:23">
      <c r="A869" t="str">
        <f t="shared" ref="A869:A884" si="254">"B7-robots"</f>
        <v>B7-robots</v>
      </c>
      <c r="B869" t="str">
        <f>"00-0430-0000"</f>
        <v>00-0430-0000</v>
      </c>
      <c r="C869" t="str">
        <f>"SCORBOT-ER9Pro"</f>
        <v>SCORBOT-ER9Pro</v>
      </c>
      <c r="D869">
        <v>1</v>
      </c>
      <c r="E869" t="str">
        <f t="shared" ref="E869:E884" si="255">"תא רובוטי"</f>
        <v>תא רובוטי</v>
      </c>
      <c r="F869">
        <v>0</v>
      </c>
      <c r="G869" t="str">
        <f t="shared" si="247"/>
        <v>Y</v>
      </c>
      <c r="H869" t="str">
        <f t="shared" si="253"/>
        <v>EA</v>
      </c>
      <c r="I869">
        <v>0</v>
      </c>
      <c r="J869">
        <v>0</v>
      </c>
      <c r="K869" t="str">
        <f t="shared" si="248"/>
        <v>Y</v>
      </c>
      <c r="L869">
        <v>0</v>
      </c>
      <c r="M869" t="str">
        <f t="shared" si="249"/>
        <v>NIS</v>
      </c>
      <c r="O869">
        <v>1</v>
      </c>
      <c r="P869" t="str">
        <f t="shared" si="251"/>
        <v>Active</v>
      </c>
      <c r="Q869" t="str">
        <f>"SCORBOT-ER 9Pro (incl. USB-Pro Controller)"</f>
        <v>SCORBOT-ER 9Pro (incl. USB-Pro Controller)</v>
      </c>
      <c r="S869" t="str">
        <f>"SCORBOT-ER 9Pro (incl. USB-Pro Controller)"</f>
        <v>SCORBOT-ER 9Pro (incl. USB-Pro Controller)</v>
      </c>
      <c r="T869">
        <v>0</v>
      </c>
      <c r="U869" s="44">
        <v>10900</v>
      </c>
      <c r="V869" s="44">
        <v>11661.57</v>
      </c>
      <c r="W869" t="str">
        <f t="shared" si="252"/>
        <v>tech</v>
      </c>
    </row>
    <row r="870" spans="1:23">
      <c r="A870" t="str">
        <f t="shared" si="254"/>
        <v>B7-robots</v>
      </c>
      <c r="B870" t="str">
        <f>"00-1710-0000"</f>
        <v>00-1710-0000</v>
      </c>
      <c r="C870" t="str">
        <f>"Teach Pendant"</f>
        <v>Teach Pendant</v>
      </c>
      <c r="D870">
        <v>1</v>
      </c>
      <c r="E870" t="str">
        <f t="shared" si="255"/>
        <v>תא רובוטי</v>
      </c>
      <c r="F870">
        <v>0</v>
      </c>
      <c r="G870" t="str">
        <f t="shared" si="247"/>
        <v>Y</v>
      </c>
      <c r="H870" t="str">
        <f t="shared" si="253"/>
        <v>EA</v>
      </c>
      <c r="I870">
        <v>0</v>
      </c>
      <c r="J870">
        <v>0</v>
      </c>
      <c r="K870" t="str">
        <f t="shared" si="248"/>
        <v>Y</v>
      </c>
      <c r="L870">
        <v>0</v>
      </c>
      <c r="M870" t="str">
        <f t="shared" si="249"/>
        <v>NIS</v>
      </c>
      <c r="O870">
        <v>2</v>
      </c>
      <c r="P870" t="str">
        <f t="shared" si="251"/>
        <v>Active</v>
      </c>
      <c r="Q870" t="str">
        <f>"Teach Pendant for USB/USB Pro Controllers"</f>
        <v>Teach Pendant for USB/USB Pro Controllers</v>
      </c>
      <c r="S870" t="str">
        <f>"Teach Pendant for USB/USB Pro Controllers"</f>
        <v>Teach Pendant for USB/USB Pro Controllers</v>
      </c>
      <c r="T870">
        <v>0</v>
      </c>
      <c r="U870">
        <v>160.18</v>
      </c>
      <c r="V870">
        <v>161.44999999999999</v>
      </c>
      <c r="W870" t="str">
        <f t="shared" si="252"/>
        <v>tech</v>
      </c>
    </row>
    <row r="871" spans="1:23">
      <c r="A871" t="str">
        <f t="shared" si="254"/>
        <v>B7-robots</v>
      </c>
      <c r="B871" t="str">
        <f>"00-0633-0000"</f>
        <v>00-0633-0000</v>
      </c>
      <c r="C871" t="str">
        <f>"Pneumatic Gripper for ER9-Pro"</f>
        <v>Pneumatic Gripper for ER9-Pro</v>
      </c>
      <c r="D871">
        <v>1</v>
      </c>
      <c r="E871" t="str">
        <f t="shared" si="255"/>
        <v>תא רובוטי</v>
      </c>
      <c r="F871">
        <v>0</v>
      </c>
      <c r="G871" t="str">
        <f t="shared" si="247"/>
        <v>Y</v>
      </c>
      <c r="H871" t="str">
        <f t="shared" si="253"/>
        <v>EA</v>
      </c>
      <c r="I871">
        <v>0</v>
      </c>
      <c r="J871">
        <v>0</v>
      </c>
      <c r="K871" t="str">
        <f t="shared" si="248"/>
        <v>Y</v>
      </c>
      <c r="L871">
        <v>0</v>
      </c>
      <c r="M871" t="str">
        <f t="shared" si="249"/>
        <v>NIS</v>
      </c>
      <c r="O871">
        <v>3</v>
      </c>
      <c r="P871" t="str">
        <f t="shared" si="251"/>
        <v>Active</v>
      </c>
      <c r="Q871" t="str">
        <f>"Pneumatic Gripper for ER9-Pro"</f>
        <v>Pneumatic Gripper for ER9-Pro</v>
      </c>
      <c r="S871" t="str">
        <f>"Pneumatic Gripper for ER9-Pro"</f>
        <v>Pneumatic Gripper for ER9-Pro</v>
      </c>
      <c r="T871">
        <v>0</v>
      </c>
      <c r="U871">
        <v>630</v>
      </c>
      <c r="V871">
        <v>624.72</v>
      </c>
      <c r="W871" t="str">
        <f t="shared" si="252"/>
        <v>tech</v>
      </c>
    </row>
    <row r="872" spans="1:23">
      <c r="A872" t="str">
        <f t="shared" si="254"/>
        <v>B7-robots</v>
      </c>
      <c r="B872" t="str">
        <f>"00-1110-0000"</f>
        <v>00-1110-0000</v>
      </c>
      <c r="C872" t="str">
        <f>"Palletizing Rack"</f>
        <v>Palletizing Rack</v>
      </c>
      <c r="D872">
        <v>1</v>
      </c>
      <c r="E872" t="str">
        <f t="shared" si="255"/>
        <v>תא רובוטי</v>
      </c>
      <c r="F872">
        <v>0</v>
      </c>
      <c r="G872" t="str">
        <f t="shared" si="247"/>
        <v>Y</v>
      </c>
      <c r="H872" t="str">
        <f t="shared" si="253"/>
        <v>EA</v>
      </c>
      <c r="I872">
        <v>0</v>
      </c>
      <c r="J872">
        <v>0</v>
      </c>
      <c r="K872" t="str">
        <f t="shared" si="248"/>
        <v>Y</v>
      </c>
      <c r="L872">
        <v>0</v>
      </c>
      <c r="M872" t="str">
        <f t="shared" si="249"/>
        <v>NIS</v>
      </c>
      <c r="O872">
        <v>4</v>
      </c>
      <c r="P872" t="str">
        <f t="shared" si="251"/>
        <v>Active</v>
      </c>
      <c r="Q872" t="str">
        <f>"Palletizing Rack (incl. Pins for creating Jigs)"</f>
        <v>Palletizing Rack (incl. Pins for creating Jigs)</v>
      </c>
      <c r="S872" t="str">
        <f>"Palletizing Rack (incl. Pins for creating Jigs)"</f>
        <v>Palletizing Rack (incl. Pins for creating Jigs)</v>
      </c>
      <c r="T872">
        <v>0</v>
      </c>
      <c r="U872">
        <v>63</v>
      </c>
      <c r="V872">
        <v>58.59</v>
      </c>
      <c r="W872" t="str">
        <f t="shared" si="252"/>
        <v>tech</v>
      </c>
    </row>
    <row r="873" spans="1:23">
      <c r="A873" t="str">
        <f t="shared" si="254"/>
        <v>B7-robots</v>
      </c>
      <c r="B873" t="str">
        <f>"10-2521-0000"</f>
        <v>10-2521-0000</v>
      </c>
      <c r="C873" t="str">
        <f>"Pneumatic Feeder for Round products"</f>
        <v>Pneumatic Feeder for Round products</v>
      </c>
      <c r="D873">
        <v>1</v>
      </c>
      <c r="E873" t="str">
        <f t="shared" si="255"/>
        <v>תא רובוטי</v>
      </c>
      <c r="F873">
        <v>0</v>
      </c>
      <c r="G873" t="str">
        <f t="shared" si="247"/>
        <v>Y</v>
      </c>
      <c r="H873" t="str">
        <f t="shared" si="253"/>
        <v>EA</v>
      </c>
      <c r="I873">
        <v>0</v>
      </c>
      <c r="J873">
        <v>0</v>
      </c>
      <c r="K873" t="str">
        <f t="shared" si="248"/>
        <v>Y</v>
      </c>
      <c r="L873">
        <v>0</v>
      </c>
      <c r="M873" t="str">
        <f t="shared" si="249"/>
        <v>NIS</v>
      </c>
      <c r="O873">
        <v>5</v>
      </c>
      <c r="P873" t="str">
        <f t="shared" si="251"/>
        <v>Active</v>
      </c>
      <c r="Q873" t="str">
        <f>"Pneumatic Feeder for Round Parts"</f>
        <v>Pneumatic Feeder for Round Parts</v>
      </c>
      <c r="S873" t="str">
        <f>"Pneumatic Feeder for Round Parts"</f>
        <v>Pneumatic Feeder for Round Parts</v>
      </c>
      <c r="T873">
        <v>0</v>
      </c>
      <c r="U873">
        <v>562.61</v>
      </c>
      <c r="V873">
        <v>524.15</v>
      </c>
      <c r="W873" t="str">
        <f t="shared" si="252"/>
        <v>tech</v>
      </c>
    </row>
    <row r="874" spans="1:23">
      <c r="A874" t="str">
        <f t="shared" si="254"/>
        <v>B7-robots</v>
      </c>
      <c r="B874" t="str">
        <f>"113316"</f>
        <v>113316</v>
      </c>
      <c r="C874" t="str">
        <f>"Parts Bin"</f>
        <v>Parts Bin</v>
      </c>
      <c r="D874">
        <v>1</v>
      </c>
      <c r="E874" t="str">
        <f t="shared" si="255"/>
        <v>תא רובוטי</v>
      </c>
      <c r="F874">
        <v>0</v>
      </c>
      <c r="G874" t="str">
        <f t="shared" si="247"/>
        <v>Y</v>
      </c>
      <c r="H874" t="str">
        <f t="shared" si="253"/>
        <v>EA</v>
      </c>
      <c r="I874">
        <v>0</v>
      </c>
      <c r="J874">
        <v>0</v>
      </c>
      <c r="K874" t="str">
        <f t="shared" si="248"/>
        <v>Y</v>
      </c>
      <c r="L874">
        <v>0</v>
      </c>
      <c r="M874" t="str">
        <f t="shared" si="249"/>
        <v>NIS</v>
      </c>
      <c r="O874">
        <v>6</v>
      </c>
      <c r="P874" t="str">
        <f t="shared" si="251"/>
        <v>Active</v>
      </c>
      <c r="Q874" t="str">
        <f>"Parts Bin; Plastic Box"</f>
        <v>Parts Bin; Plastic Box</v>
      </c>
      <c r="R874" t="str">
        <f>"1"</f>
        <v>1</v>
      </c>
      <c r="S874" t="str">
        <f>"Parts Bin; Plastic Box"</f>
        <v>Parts Bin; Plastic Box</v>
      </c>
      <c r="T874">
        <v>0</v>
      </c>
      <c r="U874">
        <v>8.0399999999999991</v>
      </c>
      <c r="V874">
        <v>6.39</v>
      </c>
      <c r="W874" t="str">
        <f t="shared" si="252"/>
        <v>tech</v>
      </c>
    </row>
    <row r="875" spans="1:23">
      <c r="A875" t="str">
        <f t="shared" si="254"/>
        <v>B7-robots</v>
      </c>
      <c r="B875" t="str">
        <f>"63-7000-1800"</f>
        <v>63-7000-1800</v>
      </c>
      <c r="C875" t="str">
        <f>"License Key for RoboCell/SCORBASE USB Pro"</f>
        <v>License Key for RoboCell/SCORBASE USB Pro</v>
      </c>
      <c r="D875">
        <v>1</v>
      </c>
      <c r="E875" t="str">
        <f t="shared" si="255"/>
        <v>תא רובוטי</v>
      </c>
      <c r="F875">
        <v>0</v>
      </c>
      <c r="G875" t="str">
        <f t="shared" si="247"/>
        <v>Y</v>
      </c>
      <c r="H875" t="str">
        <f t="shared" si="253"/>
        <v>EA</v>
      </c>
      <c r="I875">
        <v>0</v>
      </c>
      <c r="J875">
        <v>0</v>
      </c>
      <c r="K875" t="str">
        <f t="shared" si="248"/>
        <v>Y</v>
      </c>
      <c r="L875">
        <v>0</v>
      </c>
      <c r="M875" t="str">
        <f t="shared" si="249"/>
        <v>NIS</v>
      </c>
      <c r="O875">
        <v>7</v>
      </c>
      <c r="P875" t="str">
        <f t="shared" si="251"/>
        <v>Active</v>
      </c>
      <c r="Q875" t="str">
        <f>"License Key for RoboCell/SCORBASE USB Pro"</f>
        <v>License Key for RoboCell/SCORBASE USB Pro</v>
      </c>
      <c r="R875" t="str">
        <f>"1"</f>
        <v>1</v>
      </c>
      <c r="S875" t="str">
        <f>"License Key for RoboCell/SCORBASE USB Pro"</f>
        <v>License Key for RoboCell/SCORBASE USB Pro</v>
      </c>
      <c r="T875">
        <v>0</v>
      </c>
      <c r="U875">
        <v>10</v>
      </c>
      <c r="V875">
        <v>11.1</v>
      </c>
      <c r="W875" t="str">
        <f t="shared" si="252"/>
        <v>tech</v>
      </c>
    </row>
    <row r="876" spans="1:23">
      <c r="A876" t="str">
        <f t="shared" si="254"/>
        <v>B7-robots</v>
      </c>
      <c r="B876" t="str">
        <f>"00-1201-0000"</f>
        <v>00-1201-0000</v>
      </c>
      <c r="C876" t="str">
        <f>"I/O Experiment Table"</f>
        <v>I/O Experiment Table</v>
      </c>
      <c r="D876">
        <v>1</v>
      </c>
      <c r="E876" t="str">
        <f t="shared" si="255"/>
        <v>תא רובוטי</v>
      </c>
      <c r="F876">
        <v>0</v>
      </c>
      <c r="G876" t="str">
        <f t="shared" si="247"/>
        <v>Y</v>
      </c>
      <c r="H876" t="str">
        <f t="shared" si="253"/>
        <v>EA</v>
      </c>
      <c r="I876">
        <v>0</v>
      </c>
      <c r="J876">
        <v>0</v>
      </c>
      <c r="K876" t="str">
        <f t="shared" si="248"/>
        <v>Y</v>
      </c>
      <c r="L876">
        <v>0</v>
      </c>
      <c r="M876" t="str">
        <f t="shared" si="249"/>
        <v>NIS</v>
      </c>
      <c r="O876">
        <v>8</v>
      </c>
      <c r="P876" t="str">
        <f t="shared" si="251"/>
        <v>Active</v>
      </c>
      <c r="Q876" t="str">
        <f>"I/O Experiment Table"</f>
        <v>I/O Experiment Table</v>
      </c>
      <c r="S876" t="str">
        <f>"I/O Experiment Table"</f>
        <v>I/O Experiment Table</v>
      </c>
      <c r="T876">
        <v>0</v>
      </c>
      <c r="U876">
        <v>242</v>
      </c>
      <c r="V876">
        <v>230.37</v>
      </c>
      <c r="W876" t="str">
        <f t="shared" si="252"/>
        <v>tech</v>
      </c>
    </row>
    <row r="877" spans="1:23">
      <c r="A877" t="str">
        <f t="shared" si="254"/>
        <v>B7-robots</v>
      </c>
      <c r="B877" t="str">
        <f>"00-1010-0000"</f>
        <v>00-1010-0000</v>
      </c>
      <c r="C877" t="str">
        <f>"Conveyor Belt tabletop"</f>
        <v>Conveyor Belt tabletop</v>
      </c>
      <c r="D877">
        <v>1</v>
      </c>
      <c r="E877" t="str">
        <f t="shared" si="255"/>
        <v>תא רובוטי</v>
      </c>
      <c r="F877">
        <v>0</v>
      </c>
      <c r="G877" t="str">
        <f t="shared" si="247"/>
        <v>Y</v>
      </c>
      <c r="H877" t="str">
        <f t="shared" si="253"/>
        <v>EA</v>
      </c>
      <c r="I877">
        <v>0</v>
      </c>
      <c r="J877">
        <v>0</v>
      </c>
      <c r="K877" t="str">
        <f t="shared" si="248"/>
        <v>Y</v>
      </c>
      <c r="L877">
        <v>0</v>
      </c>
      <c r="M877" t="str">
        <f t="shared" si="249"/>
        <v>NIS</v>
      </c>
      <c r="O877">
        <v>9</v>
      </c>
      <c r="P877" t="str">
        <f t="shared" si="251"/>
        <v>Active</v>
      </c>
      <c r="Q877" t="str">
        <f>"Conveyor Belt (24V)"</f>
        <v>Conveyor Belt (24V)</v>
      </c>
      <c r="S877" t="str">
        <f>"Conveyor Belt (24V)"</f>
        <v>Conveyor Belt (24V)</v>
      </c>
      <c r="T877">
        <v>0</v>
      </c>
      <c r="U877">
        <v>510</v>
      </c>
      <c r="V877">
        <v>472.02</v>
      </c>
      <c r="W877" t="str">
        <f t="shared" si="252"/>
        <v>tech</v>
      </c>
    </row>
    <row r="878" spans="1:23">
      <c r="A878" t="str">
        <f t="shared" si="254"/>
        <v>B7-robots</v>
      </c>
      <c r="B878" t="str">
        <f>"00-1203-0000"</f>
        <v>00-1203-0000</v>
      </c>
      <c r="C878" t="str">
        <f>"Photoelectric Sensor for Belt Conveyor"</f>
        <v>Photoelectric Sensor for Belt Conveyor</v>
      </c>
      <c r="D878">
        <v>1</v>
      </c>
      <c r="E878" t="str">
        <f t="shared" si="255"/>
        <v>תא רובוטי</v>
      </c>
      <c r="F878">
        <v>0</v>
      </c>
      <c r="G878" t="str">
        <f t="shared" si="247"/>
        <v>Y</v>
      </c>
      <c r="H878" t="str">
        <f t="shared" si="253"/>
        <v>EA</v>
      </c>
      <c r="I878">
        <v>0</v>
      </c>
      <c r="J878">
        <v>0</v>
      </c>
      <c r="K878" t="str">
        <f t="shared" si="248"/>
        <v>Y</v>
      </c>
      <c r="L878">
        <v>0</v>
      </c>
      <c r="M878" t="str">
        <f t="shared" si="249"/>
        <v>NIS</v>
      </c>
      <c r="O878">
        <v>10</v>
      </c>
      <c r="P878" t="str">
        <f t="shared" si="251"/>
        <v>Active</v>
      </c>
      <c r="Q878" t="str">
        <f>"Photoelectric Sensor for Belt Conveyor"</f>
        <v>Photoelectric Sensor for Belt Conveyor</v>
      </c>
      <c r="S878" t="str">
        <f>"Photoelectric Sensor for Belt Conveyor"</f>
        <v>Photoelectric Sensor for Belt Conveyor</v>
      </c>
      <c r="T878">
        <v>0</v>
      </c>
      <c r="U878">
        <v>108</v>
      </c>
      <c r="V878">
        <v>100.82</v>
      </c>
      <c r="W878" t="str">
        <f t="shared" si="252"/>
        <v>tech</v>
      </c>
    </row>
    <row r="879" spans="1:23">
      <c r="A879" t="str">
        <f t="shared" si="254"/>
        <v>B7-robots</v>
      </c>
      <c r="B879" t="str">
        <f>"00-1249-0000"</f>
        <v>00-1249-0000</v>
      </c>
      <c r="C879" t="str">
        <f>"Workbench 1500x800mm (slotted aluminum top)"</f>
        <v>Workbench 1500x800mm (slotted aluminum top)</v>
      </c>
      <c r="D879">
        <v>1</v>
      </c>
      <c r="E879" t="str">
        <f t="shared" si="255"/>
        <v>תא רובוטי</v>
      </c>
      <c r="F879">
        <v>0</v>
      </c>
      <c r="G879" t="str">
        <f t="shared" si="247"/>
        <v>Y</v>
      </c>
      <c r="H879" t="str">
        <f t="shared" si="253"/>
        <v>EA</v>
      </c>
      <c r="I879">
        <v>0</v>
      </c>
      <c r="J879">
        <v>0</v>
      </c>
      <c r="K879" t="str">
        <f t="shared" si="248"/>
        <v>Y</v>
      </c>
      <c r="L879">
        <v>0</v>
      </c>
      <c r="M879" t="str">
        <f t="shared" si="249"/>
        <v>NIS</v>
      </c>
      <c r="O879">
        <v>11</v>
      </c>
      <c r="P879" t="str">
        <f t="shared" si="251"/>
        <v>Active</v>
      </c>
      <c r="Q879" t="str">
        <f>"Workbench 1500x800mm (slotted aluminum top)"</f>
        <v>Workbench 1500x800mm (slotted aluminum top)</v>
      </c>
      <c r="S879" t="str">
        <f>"Workbench 1500x800mm (slotted aluminum top)"</f>
        <v>Workbench 1500x800mm (slotted aluminum top)</v>
      </c>
      <c r="T879">
        <v>0</v>
      </c>
      <c r="U879" s="44">
        <v>1100</v>
      </c>
      <c r="V879" s="44">
        <v>1083.57</v>
      </c>
      <c r="W879" t="str">
        <f t="shared" si="252"/>
        <v>tech</v>
      </c>
    </row>
    <row r="880" spans="1:23">
      <c r="A880" t="str">
        <f t="shared" si="254"/>
        <v>B7-robots</v>
      </c>
      <c r="B880" t="str">
        <f>"00-1260-0000"</f>
        <v>00-1260-0000</v>
      </c>
      <c r="C880" t="str">
        <f>"PC Extension Shelf  600x800mm"</f>
        <v>PC Extension Shelf  600x800mm</v>
      </c>
      <c r="D880">
        <v>1</v>
      </c>
      <c r="E880" t="str">
        <f t="shared" si="255"/>
        <v>תא רובוטי</v>
      </c>
      <c r="F880">
        <v>0</v>
      </c>
      <c r="G880" t="str">
        <f t="shared" si="247"/>
        <v>Y</v>
      </c>
      <c r="H880" t="str">
        <f t="shared" si="253"/>
        <v>EA</v>
      </c>
      <c r="I880">
        <v>0</v>
      </c>
      <c r="J880">
        <v>0</v>
      </c>
      <c r="K880" t="str">
        <f t="shared" si="248"/>
        <v>Y</v>
      </c>
      <c r="L880">
        <v>0</v>
      </c>
      <c r="M880" t="str">
        <f t="shared" si="249"/>
        <v>NIS</v>
      </c>
      <c r="O880">
        <v>12</v>
      </c>
      <c r="P880" t="str">
        <f t="shared" si="251"/>
        <v>Active</v>
      </c>
      <c r="Q880" t="str">
        <f>"PC Extension Shelf  600x800mm"</f>
        <v>PC Extension Shelf  600x800mm</v>
      </c>
      <c r="S880" t="str">
        <f>"PC Extension Shelf  600x800mm"</f>
        <v>PC Extension Shelf  600x800mm</v>
      </c>
      <c r="T880">
        <v>0</v>
      </c>
      <c r="U880">
        <v>192</v>
      </c>
      <c r="V880">
        <v>195.4</v>
      </c>
      <c r="W880" t="str">
        <f t="shared" si="252"/>
        <v>tech</v>
      </c>
    </row>
    <row r="881" spans="1:23">
      <c r="A881" t="str">
        <f t="shared" si="254"/>
        <v>B7-robots</v>
      </c>
      <c r="B881" t="str">
        <f>"00-1241-0000"</f>
        <v>00-1241-0000</v>
      </c>
      <c r="C881" t="str">
        <f>"Adapter Mounting Plate for ER9/14Pro &amp; HP3"</f>
        <v>Adapter Mounting Plate for ER9/14Pro &amp; HP3</v>
      </c>
      <c r="D881">
        <v>1</v>
      </c>
      <c r="E881" t="str">
        <f t="shared" si="255"/>
        <v>תא רובוטי</v>
      </c>
      <c r="F881">
        <v>0</v>
      </c>
      <c r="G881" t="str">
        <f t="shared" si="247"/>
        <v>Y</v>
      </c>
      <c r="H881" t="str">
        <f t="shared" si="253"/>
        <v>EA</v>
      </c>
      <c r="I881">
        <v>0</v>
      </c>
      <c r="J881">
        <v>0</v>
      </c>
      <c r="K881" t="str">
        <f t="shared" si="248"/>
        <v>Y</v>
      </c>
      <c r="L881">
        <v>0</v>
      </c>
      <c r="M881" t="str">
        <f t="shared" si="249"/>
        <v>NIS</v>
      </c>
      <c r="O881">
        <v>13</v>
      </c>
      <c r="P881" t="str">
        <f t="shared" si="251"/>
        <v>Active</v>
      </c>
      <c r="Q881" t="str">
        <f>"Adapter Mounting Plate for ER9/14Pro &amp; HP3"</f>
        <v>Adapter Mounting Plate for ER9/14Pro &amp; HP3</v>
      </c>
      <c r="S881" t="str">
        <f>"Adapter Mounting Plate for ER9/14Pro &amp; HP3"</f>
        <v>Adapter Mounting Plate for ER9/14Pro &amp; HP3</v>
      </c>
      <c r="T881">
        <v>0</v>
      </c>
      <c r="U881">
        <v>145</v>
      </c>
      <c r="V881">
        <v>153.93</v>
      </c>
      <c r="W881" t="str">
        <f t="shared" si="252"/>
        <v>tech</v>
      </c>
    </row>
    <row r="882" spans="1:23">
      <c r="A882" t="str">
        <f t="shared" si="254"/>
        <v>B7-robots</v>
      </c>
      <c r="B882" t="str">
        <f>"00-1426-0000"</f>
        <v>00-1426-0000</v>
      </c>
      <c r="C882" t="str">
        <f>"Viewflex - Machine Vision (Stand 1000mm)"</f>
        <v>Viewflex - Machine Vision (Stand 1000mm)</v>
      </c>
      <c r="D882">
        <v>1</v>
      </c>
      <c r="E882" t="str">
        <f t="shared" si="255"/>
        <v>תא רובוטי</v>
      </c>
      <c r="F882">
        <v>0</v>
      </c>
      <c r="G882" t="str">
        <f t="shared" si="247"/>
        <v>Y</v>
      </c>
      <c r="H882" t="str">
        <f t="shared" si="253"/>
        <v>EA</v>
      </c>
      <c r="I882">
        <v>0</v>
      </c>
      <c r="J882">
        <v>0</v>
      </c>
      <c r="K882" t="str">
        <f t="shared" si="248"/>
        <v>Y</v>
      </c>
      <c r="L882">
        <v>0</v>
      </c>
      <c r="M882" t="str">
        <f t="shared" si="249"/>
        <v>NIS</v>
      </c>
      <c r="O882">
        <v>14</v>
      </c>
      <c r="P882" t="str">
        <f t="shared" si="251"/>
        <v>Active</v>
      </c>
      <c r="Q882" t="str">
        <f>"Viewflex for Robot Guidance (Stand 1000mm)"</f>
        <v>Viewflex for Robot Guidance (Stand 1000mm)</v>
      </c>
      <c r="S882" t="str">
        <f>"Viewflex for Robot Guidance (Stand 1000mm)"</f>
        <v>Viewflex for Robot Guidance (Stand 1000mm)</v>
      </c>
      <c r="T882">
        <v>0</v>
      </c>
      <c r="U882">
        <v>610.01</v>
      </c>
      <c r="V882">
        <v>569.09</v>
      </c>
      <c r="W882" t="str">
        <f t="shared" si="252"/>
        <v>tech</v>
      </c>
    </row>
    <row r="883" spans="1:23">
      <c r="A883" t="str">
        <f t="shared" si="254"/>
        <v>B7-robots</v>
      </c>
      <c r="B883" t="str">
        <f>"112713"</f>
        <v>112713</v>
      </c>
      <c r="C883" t="str">
        <f>"Marked Aluminum Cylinder"</f>
        <v>Marked Aluminum Cylinder</v>
      </c>
      <c r="D883">
        <v>4</v>
      </c>
      <c r="E883" t="str">
        <f t="shared" si="255"/>
        <v>תא רובוטי</v>
      </c>
      <c r="F883">
        <v>0</v>
      </c>
      <c r="G883" t="str">
        <f t="shared" si="247"/>
        <v>Y</v>
      </c>
      <c r="H883" t="str">
        <f t="shared" si="253"/>
        <v>EA</v>
      </c>
      <c r="I883">
        <v>0</v>
      </c>
      <c r="J883">
        <v>0</v>
      </c>
      <c r="K883" t="str">
        <f t="shared" si="248"/>
        <v>Y</v>
      </c>
      <c r="L883">
        <v>0</v>
      </c>
      <c r="M883" t="str">
        <f t="shared" si="249"/>
        <v>NIS</v>
      </c>
      <c r="O883">
        <v>15</v>
      </c>
      <c r="P883" t="str">
        <f t="shared" si="251"/>
        <v>Active</v>
      </c>
      <c r="Q883" t="str">
        <f>"Mark Al. Cylinder Diam. 35x28"</f>
        <v>Mark Al. Cylinder Diam. 35x28</v>
      </c>
      <c r="S883" t="str">
        <f>"Mark Al. Cylinder Diam. 35x28"</f>
        <v>Mark Al. Cylinder Diam. 35x28</v>
      </c>
      <c r="T883">
        <v>0</v>
      </c>
      <c r="U883">
        <v>6</v>
      </c>
      <c r="V883">
        <v>5.97</v>
      </c>
      <c r="W883" t="str">
        <f t="shared" si="252"/>
        <v>tech</v>
      </c>
    </row>
    <row r="884" spans="1:23">
      <c r="A884" t="str">
        <f t="shared" si="254"/>
        <v>B7-robots</v>
      </c>
      <c r="B884" t="str">
        <f>"Wk Hrs"</f>
        <v>Wk Hrs</v>
      </c>
      <c r="C884" t="str">
        <f>"Work Hours"</f>
        <v>Work Hours</v>
      </c>
      <c r="D884">
        <v>5</v>
      </c>
      <c r="E884" t="str">
        <f t="shared" si="255"/>
        <v>תא רובוטי</v>
      </c>
      <c r="F884">
        <v>0</v>
      </c>
      <c r="G884" t="str">
        <f t="shared" si="247"/>
        <v>Y</v>
      </c>
      <c r="H884" t="str">
        <f>"HR"</f>
        <v>HR</v>
      </c>
      <c r="I884">
        <v>0</v>
      </c>
      <c r="J884">
        <v>0</v>
      </c>
      <c r="K884" t="str">
        <f t="shared" si="248"/>
        <v>Y</v>
      </c>
      <c r="L884">
        <v>0</v>
      </c>
      <c r="M884" t="str">
        <f t="shared" si="249"/>
        <v>NIS</v>
      </c>
      <c r="O884">
        <v>16</v>
      </c>
      <c r="P884" t="str">
        <f t="shared" si="251"/>
        <v>Active</v>
      </c>
      <c r="Q884" t="str">
        <f>"שעות עבודה"</f>
        <v>שעות עבודה</v>
      </c>
      <c r="S884" t="str">
        <f>"Work Hours"</f>
        <v>Work Hours</v>
      </c>
      <c r="T884">
        <v>0</v>
      </c>
      <c r="U884">
        <v>73</v>
      </c>
      <c r="V884">
        <v>75.92</v>
      </c>
      <c r="W884" t="str">
        <f t="shared" si="252"/>
        <v>tech</v>
      </c>
    </row>
    <row r="885" spans="1:23">
      <c r="A885" t="str">
        <f t="shared" ref="A885:A890" si="256">"B7-welding"</f>
        <v>B7-welding</v>
      </c>
      <c r="B885" t="str">
        <f>"00-0436-0000"</f>
        <v>00-0436-0000</v>
      </c>
      <c r="C885" t="str">
        <f>"MH5F compact high-speed 6-axis Robot"</f>
        <v>MH5F compact high-speed 6-axis Robot</v>
      </c>
      <c r="D885">
        <v>1</v>
      </c>
      <c r="E885" t="str">
        <f t="shared" ref="E885:E890" si="257">"תא ריתוך"</f>
        <v>תא ריתוך</v>
      </c>
      <c r="F885">
        <v>0</v>
      </c>
      <c r="G885" t="str">
        <f t="shared" si="247"/>
        <v>Y</v>
      </c>
      <c r="H885" t="str">
        <f>"EA"</f>
        <v>EA</v>
      </c>
      <c r="I885">
        <v>0</v>
      </c>
      <c r="J885">
        <v>0</v>
      </c>
      <c r="K885" t="str">
        <f t="shared" si="248"/>
        <v>Y</v>
      </c>
      <c r="L885">
        <v>0</v>
      </c>
      <c r="M885" t="str">
        <f t="shared" si="249"/>
        <v>NIS</v>
      </c>
      <c r="O885">
        <v>1</v>
      </c>
      <c r="P885" t="str">
        <f t="shared" si="251"/>
        <v>Active</v>
      </c>
      <c r="Q885" t="str">
        <f>"MH5F compact high-speed 6-axis Robot"</f>
        <v>MH5F compact high-speed 6-axis Robot</v>
      </c>
      <c r="S885" t="str">
        <f>"MH5F compact high-speed 6-axis Robot"</f>
        <v>MH5F compact high-speed 6-axis Robot</v>
      </c>
      <c r="T885">
        <v>0</v>
      </c>
      <c r="U885" s="44">
        <v>23500</v>
      </c>
      <c r="V885" s="44">
        <v>16049.14</v>
      </c>
      <c r="W885" t="str">
        <f t="shared" si="252"/>
        <v>tech</v>
      </c>
    </row>
    <row r="886" spans="1:23">
      <c r="A886" t="str">
        <f t="shared" si="256"/>
        <v>B7-welding</v>
      </c>
      <c r="B886" t="str">
        <f>"00-0634-0000"</f>
        <v>00-0634-0000</v>
      </c>
      <c r="C886" t="str">
        <f>"Pneumatic Gripper for ER 14Pro"</f>
        <v>Pneumatic Gripper for ER 14Pro</v>
      </c>
      <c r="D886">
        <v>1</v>
      </c>
      <c r="E886" t="str">
        <f t="shared" si="257"/>
        <v>תא ריתוך</v>
      </c>
      <c r="F886">
        <v>0</v>
      </c>
      <c r="G886" t="str">
        <f t="shared" si="247"/>
        <v>Y</v>
      </c>
      <c r="H886" t="str">
        <f>"EA"</f>
        <v>EA</v>
      </c>
      <c r="I886">
        <v>0</v>
      </c>
      <c r="J886">
        <v>0</v>
      </c>
      <c r="K886" t="str">
        <f t="shared" si="248"/>
        <v>Y</v>
      </c>
      <c r="L886">
        <v>0</v>
      </c>
      <c r="M886" t="str">
        <f t="shared" si="249"/>
        <v>NIS</v>
      </c>
      <c r="O886">
        <v>2</v>
      </c>
      <c r="P886" t="str">
        <f t="shared" si="251"/>
        <v>Active</v>
      </c>
      <c r="Q886" t="str">
        <f>"Pneumatic Gripper for ER 14Pro"</f>
        <v>Pneumatic Gripper for ER 14Pro</v>
      </c>
      <c r="S886" t="str">
        <f>"Pneumatic Gripper for ER 14Pro"</f>
        <v>Pneumatic Gripper for ER 14Pro</v>
      </c>
      <c r="T886">
        <v>0</v>
      </c>
      <c r="U886">
        <v>651</v>
      </c>
      <c r="V886">
        <v>647.6</v>
      </c>
      <c r="W886" t="str">
        <f t="shared" si="252"/>
        <v>tech</v>
      </c>
    </row>
    <row r="887" spans="1:23">
      <c r="A887" t="str">
        <f t="shared" si="256"/>
        <v>B7-welding</v>
      </c>
      <c r="B887" t="str">
        <f>"00-3085-0000"</f>
        <v>00-3085-0000</v>
      </c>
      <c r="C887" t="str">
        <f>"Automated Welding booth for ER9Pro/MH5"</f>
        <v>Automated Welding booth for ER9Pro/MH5</v>
      </c>
      <c r="D887">
        <v>1</v>
      </c>
      <c r="E887" t="str">
        <f t="shared" si="257"/>
        <v>תא ריתוך</v>
      </c>
      <c r="F887">
        <v>0</v>
      </c>
      <c r="G887" t="str">
        <f t="shared" si="247"/>
        <v>Y</v>
      </c>
      <c r="H887" t="str">
        <f>"EA"</f>
        <v>EA</v>
      </c>
      <c r="I887">
        <v>0</v>
      </c>
      <c r="J887">
        <v>0</v>
      </c>
      <c r="K887" t="str">
        <f t="shared" si="248"/>
        <v>Y</v>
      </c>
      <c r="L887">
        <v>0</v>
      </c>
      <c r="M887" t="str">
        <f t="shared" si="249"/>
        <v>NIS</v>
      </c>
      <c r="O887">
        <v>3</v>
      </c>
      <c r="P887" t="str">
        <f t="shared" si="251"/>
        <v>Active</v>
      </c>
      <c r="Q887" t="str">
        <f>"Automated Welding for ER9Pro/MH5 (CIM)"</f>
        <v>Automated Welding for ER9Pro/MH5 (CIM)</v>
      </c>
      <c r="S887" t="str">
        <f>"Automated Welding for ER9Pro/MH5 (CIM)"</f>
        <v>Automated Welding for ER9Pro/MH5 (CIM)</v>
      </c>
      <c r="T887">
        <v>0</v>
      </c>
      <c r="U887" s="44">
        <v>7440.55</v>
      </c>
      <c r="V887" s="44">
        <v>6530.58</v>
      </c>
      <c r="W887" t="str">
        <f t="shared" si="252"/>
        <v>tech</v>
      </c>
    </row>
    <row r="888" spans="1:23">
      <c r="A888" t="str">
        <f t="shared" si="256"/>
        <v>B7-welding</v>
      </c>
      <c r="B888" t="str">
        <f>"434004"</f>
        <v>434004</v>
      </c>
      <c r="C888" t="str">
        <f>"Welder-Millwermatic 180 Auto-Set, 230V, 60Hz"</f>
        <v>Welder-Millwermatic 180 Auto-Set, 230V, 60Hz</v>
      </c>
      <c r="D888">
        <v>1</v>
      </c>
      <c r="E888" t="str">
        <f t="shared" si="257"/>
        <v>תא ריתוך</v>
      </c>
      <c r="F888">
        <v>0</v>
      </c>
      <c r="G888" t="str">
        <f t="shared" si="247"/>
        <v>Y</v>
      </c>
      <c r="H888" t="str">
        <f>"EA"</f>
        <v>EA</v>
      </c>
      <c r="I888">
        <v>0</v>
      </c>
      <c r="J888">
        <v>0</v>
      </c>
      <c r="K888" t="str">
        <f t="shared" si="248"/>
        <v>Y</v>
      </c>
      <c r="L888">
        <v>0</v>
      </c>
      <c r="M888" t="str">
        <f t="shared" si="249"/>
        <v>NIS</v>
      </c>
      <c r="O888">
        <v>4</v>
      </c>
      <c r="P888" t="str">
        <f t="shared" si="251"/>
        <v>Active</v>
      </c>
      <c r="Q888" t="str">
        <f>"Welder-Millwermatic 180 Auto-Set, 230V, 60Hz"</f>
        <v>Welder-Millwermatic 180 Auto-Set, 230V, 60Hz</v>
      </c>
      <c r="S888" t="str">
        <f>"Welder-Millwermatic 180 Auto-Set, 230V, 60Hz"</f>
        <v>Welder-Millwermatic 180 Auto-Set, 230V, 60Hz</v>
      </c>
      <c r="T888">
        <v>0</v>
      </c>
      <c r="U888" s="44">
        <v>1309.3499999999999</v>
      </c>
      <c r="V888" s="44">
        <v>1246.56</v>
      </c>
      <c r="W888" t="str">
        <f t="shared" si="252"/>
        <v>tech</v>
      </c>
    </row>
    <row r="889" spans="1:23">
      <c r="A889" t="str">
        <f t="shared" si="256"/>
        <v>B7-welding</v>
      </c>
      <c r="B889" t="str">
        <f>"00-1290-0000"</f>
        <v>00-1290-0000</v>
      </c>
      <c r="C889" t="str">
        <f>"PC Table 630x800mm (with Keyboard Drawer)"</f>
        <v>PC Table 630x800mm (with Keyboard Drawer)</v>
      </c>
      <c r="D889">
        <v>1</v>
      </c>
      <c r="E889" t="str">
        <f t="shared" si="257"/>
        <v>תא ריתוך</v>
      </c>
      <c r="F889">
        <v>0</v>
      </c>
      <c r="G889" t="str">
        <f t="shared" si="247"/>
        <v>Y</v>
      </c>
      <c r="H889" t="str">
        <f>"EA"</f>
        <v>EA</v>
      </c>
      <c r="I889">
        <v>0</v>
      </c>
      <c r="J889">
        <v>0</v>
      </c>
      <c r="K889" t="str">
        <f t="shared" si="248"/>
        <v>Y</v>
      </c>
      <c r="L889">
        <v>0</v>
      </c>
      <c r="M889" t="str">
        <f t="shared" si="249"/>
        <v>NIS</v>
      </c>
      <c r="O889">
        <v>5</v>
      </c>
      <c r="P889" t="str">
        <f t="shared" si="251"/>
        <v>Active</v>
      </c>
      <c r="Q889" t="str">
        <f>"PC Table 630x800mm (with Keyboard Drawer)"</f>
        <v>PC Table 630x800mm (with Keyboard Drawer)</v>
      </c>
      <c r="S889" t="str">
        <f>"PC Table 630x800mm (with Keyboard Drawer)"</f>
        <v>PC Table 630x800mm (with Keyboard Drawer)</v>
      </c>
      <c r="T889">
        <v>0</v>
      </c>
      <c r="U889">
        <v>405.86</v>
      </c>
      <c r="V889">
        <v>329.34</v>
      </c>
      <c r="W889" t="str">
        <f t="shared" si="252"/>
        <v>tech</v>
      </c>
    </row>
    <row r="890" spans="1:23">
      <c r="A890" t="str">
        <f t="shared" si="256"/>
        <v>B7-welding</v>
      </c>
      <c r="B890" t="str">
        <f>"50-0094-0000"</f>
        <v>50-0094-0000</v>
      </c>
      <c r="C890" t="str">
        <f>"Pre-Engineering, Design and Testing"</f>
        <v>Pre-Engineering, Design and Testing</v>
      </c>
      <c r="D890">
        <v>1</v>
      </c>
      <c r="E890" t="str">
        <f t="shared" si="257"/>
        <v>תא ריתוך</v>
      </c>
      <c r="F890">
        <v>0</v>
      </c>
      <c r="G890" t="str">
        <f t="shared" si="247"/>
        <v>Y</v>
      </c>
      <c r="H890" t="str">
        <f>"DA"</f>
        <v>DA</v>
      </c>
      <c r="I890">
        <v>0</v>
      </c>
      <c r="J890">
        <v>0</v>
      </c>
      <c r="K890" t="str">
        <f t="shared" si="248"/>
        <v>Y</v>
      </c>
      <c r="L890">
        <v>0</v>
      </c>
      <c r="M890" t="str">
        <f t="shared" si="249"/>
        <v>NIS</v>
      </c>
      <c r="O890">
        <v>6</v>
      </c>
      <c r="P890" t="str">
        <f t="shared" si="251"/>
        <v>Active</v>
      </c>
      <c r="Q890" t="str">
        <f>"Pre-Engineering, Design and Testing"</f>
        <v>Pre-Engineering, Design and Testing</v>
      </c>
      <c r="S890" t="str">
        <f>"Pre-Engineering, Design and Testing"</f>
        <v>Pre-Engineering, Design and Testing</v>
      </c>
      <c r="T890">
        <v>0</v>
      </c>
      <c r="U890">
        <v>405</v>
      </c>
      <c r="V890">
        <v>421.2</v>
      </c>
      <c r="W890" t="str">
        <f t="shared" si="252"/>
        <v>tech</v>
      </c>
    </row>
    <row r="891" spans="1:23">
      <c r="A891" t="str">
        <f>"CIM&amp;FMS-SERVICE1"</f>
        <v>CIM&amp;FMS-SERVICE1</v>
      </c>
      <c r="B891" t="str">
        <f>"50-0095-0000"</f>
        <v>50-0095-0000</v>
      </c>
      <c r="C891" t="str">
        <f>"Installation at Customer Site"</f>
        <v>Installation at Customer Site</v>
      </c>
      <c r="D891">
        <v>1</v>
      </c>
      <c r="E891" t="str">
        <f>"On Site Service (Maintenance/Training) for CIM/FMS (within 12 month from installation)"</f>
        <v>On Site Service (Maintenance/Training) for CIM/FMS (within 12 month from installation)</v>
      </c>
      <c r="F891">
        <v>560</v>
      </c>
      <c r="G891" t="str">
        <f t="shared" si="247"/>
        <v>Y</v>
      </c>
      <c r="H891" t="str">
        <f>"DA"</f>
        <v>DA</v>
      </c>
      <c r="I891">
        <v>0</v>
      </c>
      <c r="J891">
        <v>0</v>
      </c>
      <c r="K891" t="str">
        <f t="shared" si="248"/>
        <v>Y</v>
      </c>
      <c r="L891">
        <v>0</v>
      </c>
      <c r="M891" t="str">
        <f t="shared" si="249"/>
        <v>NIS</v>
      </c>
      <c r="O891">
        <v>1</v>
      </c>
      <c r="P891" t="str">
        <f t="shared" si="251"/>
        <v>Active</v>
      </c>
      <c r="Q891" t="str">
        <f>"Installation at Customer Site (Days)"</f>
        <v>Installation at Customer Site (Days)</v>
      </c>
      <c r="S891" t="str">
        <f>"Installation at Customer Site (Days)"</f>
        <v>Installation at Customer Site (Days)</v>
      </c>
      <c r="T891">
        <v>0</v>
      </c>
      <c r="U891">
        <v>864</v>
      </c>
      <c r="V891">
        <v>898.56</v>
      </c>
      <c r="W891" t="str">
        <f t="shared" ref="W891:W916" si="258">"rob"</f>
        <v>rob</v>
      </c>
    </row>
    <row r="892" spans="1:23">
      <c r="A892" t="str">
        <f>"CIM&amp;FMS-SERVICE1"</f>
        <v>CIM&amp;FMS-SERVICE1</v>
      </c>
      <c r="B892" t="str">
        <f>"50-0096-0000"</f>
        <v>50-0096-0000</v>
      </c>
      <c r="C892" t="str">
        <f>"Training at Customer Site (Days)"</f>
        <v>Training at Customer Site (Days)</v>
      </c>
      <c r="D892">
        <v>1</v>
      </c>
      <c r="E892" t="str">
        <f>"On Site Service (Maintenance/Training) for CIM/FMS (within 12 month from installation)"</f>
        <v>On Site Service (Maintenance/Training) for CIM/FMS (within 12 month from installation)</v>
      </c>
      <c r="F892">
        <v>560</v>
      </c>
      <c r="G892" t="str">
        <f t="shared" si="247"/>
        <v>Y</v>
      </c>
      <c r="H892" t="str">
        <f>"DA"</f>
        <v>DA</v>
      </c>
      <c r="I892">
        <v>0</v>
      </c>
      <c r="J892">
        <v>0</v>
      </c>
      <c r="K892" t="str">
        <f t="shared" si="248"/>
        <v>Y</v>
      </c>
      <c r="L892">
        <v>0</v>
      </c>
      <c r="M892" t="str">
        <f t="shared" si="249"/>
        <v>NIS</v>
      </c>
      <c r="O892">
        <v>2</v>
      </c>
      <c r="P892" t="str">
        <f t="shared" si="251"/>
        <v>Active</v>
      </c>
      <c r="Q892" t="str">
        <f>"Training at Customer Site (Days)"</f>
        <v>Training at Customer Site (Days)</v>
      </c>
      <c r="S892" t="str">
        <f>"Training at Customer Site (Days)"</f>
        <v>Training at Customer Site (Days)</v>
      </c>
      <c r="T892">
        <v>0</v>
      </c>
      <c r="U892">
        <v>864</v>
      </c>
      <c r="V892">
        <v>898.56</v>
      </c>
      <c r="W892" t="str">
        <f t="shared" si="258"/>
        <v>rob</v>
      </c>
    </row>
    <row r="893" spans="1:23">
      <c r="A893" t="str">
        <f>"CIM&amp;FMS-SERVICE1"</f>
        <v>CIM&amp;FMS-SERVICE1</v>
      </c>
      <c r="B893" t="str">
        <f>"50-0081-0000"</f>
        <v>50-0081-0000</v>
      </c>
      <c r="C893" t="str">
        <f>"Travel expenses - (long distance)"</f>
        <v>Travel expenses - (long distance)</v>
      </c>
      <c r="D893">
        <v>1</v>
      </c>
      <c r="E893" t="str">
        <f>"On Site Service (Maintenance/Training) for CIM/FMS (within 12 month from installation)"</f>
        <v>On Site Service (Maintenance/Training) for CIM/FMS (within 12 month from installation)</v>
      </c>
      <c r="F893">
        <v>560</v>
      </c>
      <c r="G893" t="str">
        <f t="shared" si="247"/>
        <v>Y</v>
      </c>
      <c r="H893" t="str">
        <f>"EA"</f>
        <v>EA</v>
      </c>
      <c r="I893">
        <v>0</v>
      </c>
      <c r="J893">
        <v>0</v>
      </c>
      <c r="K893" t="str">
        <f t="shared" si="248"/>
        <v>Y</v>
      </c>
      <c r="L893">
        <v>0</v>
      </c>
      <c r="M893" t="str">
        <f t="shared" si="249"/>
        <v>NIS</v>
      </c>
      <c r="O893">
        <v>3</v>
      </c>
      <c r="P893" t="str">
        <f t="shared" si="251"/>
        <v>Active</v>
      </c>
      <c r="Q893" t="str">
        <f>"Travel expenses"</f>
        <v>Travel expenses</v>
      </c>
      <c r="S893" t="str">
        <f>"Travel expenses - (long distance)"</f>
        <v>Travel expenses - (long distance)</v>
      </c>
      <c r="T893">
        <v>0</v>
      </c>
      <c r="U893" s="44">
        <v>2800</v>
      </c>
      <c r="V893" s="44">
        <v>2800</v>
      </c>
      <c r="W893" t="str">
        <f t="shared" si="258"/>
        <v>rob</v>
      </c>
    </row>
    <row r="894" spans="1:23">
      <c r="A894" t="str">
        <f>"CIM&amp;FMS-SERVICE2"</f>
        <v>CIM&amp;FMS-SERVICE2</v>
      </c>
      <c r="B894" t="str">
        <f>"50-0095-0000"</f>
        <v>50-0095-0000</v>
      </c>
      <c r="C894" t="str">
        <f>"Installation at Customer Site"</f>
        <v>Installation at Customer Site</v>
      </c>
      <c r="D894">
        <v>1</v>
      </c>
      <c r="E894" t="str">
        <f>"On Site Service (Maintenance and/or Training) for CIM/FMS (within 24 month from installation)"</f>
        <v>On Site Service (Maintenance and/or Training) for CIM/FMS (within 24 month from installation)</v>
      </c>
      <c r="F894">
        <v>560</v>
      </c>
      <c r="G894" t="str">
        <f t="shared" si="247"/>
        <v>Y</v>
      </c>
      <c r="H894" t="str">
        <f>"DA"</f>
        <v>DA</v>
      </c>
      <c r="I894">
        <v>0</v>
      </c>
      <c r="J894">
        <v>0</v>
      </c>
      <c r="K894" t="str">
        <f t="shared" si="248"/>
        <v>Y</v>
      </c>
      <c r="L894">
        <v>0</v>
      </c>
      <c r="M894" t="str">
        <f t="shared" si="249"/>
        <v>NIS</v>
      </c>
      <c r="O894">
        <v>1</v>
      </c>
      <c r="P894" t="str">
        <f t="shared" si="251"/>
        <v>Active</v>
      </c>
      <c r="Q894" t="str">
        <f>"Installation at Customer Site (Days)"</f>
        <v>Installation at Customer Site (Days)</v>
      </c>
      <c r="S894" t="str">
        <f>"Installation at Customer Site (Days)"</f>
        <v>Installation at Customer Site (Days)</v>
      </c>
      <c r="T894">
        <v>0</v>
      </c>
      <c r="U894">
        <v>864</v>
      </c>
      <c r="V894">
        <v>898.56</v>
      </c>
      <c r="W894" t="str">
        <f t="shared" si="258"/>
        <v>rob</v>
      </c>
    </row>
    <row r="895" spans="1:23">
      <c r="A895" t="str">
        <f>"CIM&amp;FMS-SERVICE2"</f>
        <v>CIM&amp;FMS-SERVICE2</v>
      </c>
      <c r="B895" t="str">
        <f>"50-0096-0000"</f>
        <v>50-0096-0000</v>
      </c>
      <c r="C895" t="str">
        <f>"Training at Customer Site (Days)"</f>
        <v>Training at Customer Site (Days)</v>
      </c>
      <c r="D895">
        <v>1</v>
      </c>
      <c r="E895" t="str">
        <f>"On Site Service (Maintenance and/or Training) for CIM/FMS (within 24 month from installation)"</f>
        <v>On Site Service (Maintenance and/or Training) for CIM/FMS (within 24 month from installation)</v>
      </c>
      <c r="F895">
        <v>560</v>
      </c>
      <c r="G895" t="str">
        <f t="shared" si="247"/>
        <v>Y</v>
      </c>
      <c r="H895" t="str">
        <f>"DA"</f>
        <v>DA</v>
      </c>
      <c r="I895">
        <v>0</v>
      </c>
      <c r="J895">
        <v>0</v>
      </c>
      <c r="K895" t="str">
        <f t="shared" si="248"/>
        <v>Y</v>
      </c>
      <c r="L895">
        <v>0</v>
      </c>
      <c r="M895" t="str">
        <f t="shared" si="249"/>
        <v>NIS</v>
      </c>
      <c r="O895">
        <v>2</v>
      </c>
      <c r="P895" t="str">
        <f t="shared" si="251"/>
        <v>Active</v>
      </c>
      <c r="Q895" t="str">
        <f>"Training at Customer Site (Days)"</f>
        <v>Training at Customer Site (Days)</v>
      </c>
      <c r="S895" t="str">
        <f>"Training at Customer Site (Days)"</f>
        <v>Training at Customer Site (Days)</v>
      </c>
      <c r="T895">
        <v>0</v>
      </c>
      <c r="U895">
        <v>864</v>
      </c>
      <c r="V895">
        <v>898.56</v>
      </c>
      <c r="W895" t="str">
        <f t="shared" si="258"/>
        <v>rob</v>
      </c>
    </row>
    <row r="896" spans="1:23">
      <c r="A896" t="str">
        <f>"CIM&amp;FMS-SERVICE2"</f>
        <v>CIM&amp;FMS-SERVICE2</v>
      </c>
      <c r="B896" t="str">
        <f>"50-0081-0000"</f>
        <v>50-0081-0000</v>
      </c>
      <c r="C896" t="str">
        <f>"Travel expenses - (long distance)"</f>
        <v>Travel expenses - (long distance)</v>
      </c>
      <c r="D896">
        <v>1</v>
      </c>
      <c r="E896" t="str">
        <f>"On Site Service (Maintenance and/or Training) for CIM/FMS (within 24 month from installation)"</f>
        <v>On Site Service (Maintenance and/or Training) for CIM/FMS (within 24 month from installation)</v>
      </c>
      <c r="F896">
        <v>560</v>
      </c>
      <c r="G896" t="str">
        <f t="shared" si="247"/>
        <v>Y</v>
      </c>
      <c r="H896" t="str">
        <f t="shared" ref="H896:H959" si="259">"EA"</f>
        <v>EA</v>
      </c>
      <c r="I896">
        <v>0</v>
      </c>
      <c r="J896">
        <v>0</v>
      </c>
      <c r="K896" t="str">
        <f t="shared" si="248"/>
        <v>Y</v>
      </c>
      <c r="L896">
        <v>0</v>
      </c>
      <c r="M896" t="str">
        <f t="shared" si="249"/>
        <v>NIS</v>
      </c>
      <c r="O896">
        <v>3</v>
      </c>
      <c r="P896" t="str">
        <f t="shared" si="251"/>
        <v>Active</v>
      </c>
      <c r="Q896" t="str">
        <f>"Travel expenses"</f>
        <v>Travel expenses</v>
      </c>
      <c r="S896" t="str">
        <f>"Travel expenses - (long distance)"</f>
        <v>Travel expenses - (long distance)</v>
      </c>
      <c r="T896">
        <v>0</v>
      </c>
      <c r="U896" s="44">
        <v>2800</v>
      </c>
      <c r="V896" s="44">
        <v>2800</v>
      </c>
      <c r="W896" t="str">
        <f t="shared" si="258"/>
        <v>rob</v>
      </c>
    </row>
    <row r="897" spans="1:23">
      <c r="A897" t="str">
        <f t="shared" ref="A897:A913" si="260">"CIM-LM7-BUND"</f>
        <v>CIM-LM7-BUND</v>
      </c>
      <c r="B897" t="str">
        <f>"77-3005-0002"</f>
        <v>77-3005-0002</v>
      </c>
      <c r="C897" t="str">
        <f>"LM7 Content, Vir, spectraCAM Milling (M)"</f>
        <v>LM7 Content, Vir, spectraCAM Milling (M)</v>
      </c>
      <c r="D897">
        <v>1</v>
      </c>
      <c r="E897" t="str">
        <f t="shared" ref="E897:E913" si="261">"CIM Complete Virtual Content, Classroom License, LM7"</f>
        <v>CIM Complete Virtual Content, Classroom License, LM7</v>
      </c>
      <c r="F897">
        <v>0</v>
      </c>
      <c r="G897" t="str">
        <f t="shared" si="247"/>
        <v>Y</v>
      </c>
      <c r="H897" t="str">
        <f t="shared" si="259"/>
        <v>EA</v>
      </c>
      <c r="I897">
        <v>0</v>
      </c>
      <c r="J897">
        <v>0</v>
      </c>
      <c r="K897" t="str">
        <f t="shared" si="248"/>
        <v>Y</v>
      </c>
      <c r="L897">
        <v>0</v>
      </c>
      <c r="M897" t="str">
        <f t="shared" si="249"/>
        <v>NIS</v>
      </c>
      <c r="O897">
        <v>1</v>
      </c>
      <c r="P897" t="str">
        <f t="shared" si="251"/>
        <v>Active</v>
      </c>
      <c r="Q897" t="str">
        <f>"LM7 Content, Vir, spectraCAM Milling (M)"</f>
        <v>LM7 Content, Vir, spectraCAM Milling (M)</v>
      </c>
      <c r="S897" t="str">
        <f>"LM7 Content, Vir, spectraCAM Milling (M)"</f>
        <v>LM7 Content, Vir, spectraCAM Milling (M)</v>
      </c>
      <c r="T897">
        <v>0</v>
      </c>
      <c r="U897">
        <v>5</v>
      </c>
      <c r="V897">
        <v>5.2</v>
      </c>
      <c r="W897" t="str">
        <f t="shared" si="258"/>
        <v>rob</v>
      </c>
    </row>
    <row r="898" spans="1:23">
      <c r="A898" t="str">
        <f t="shared" si="260"/>
        <v>CIM-LM7-BUND</v>
      </c>
      <c r="B898" t="str">
        <f>"77-3004-0002"</f>
        <v>77-3004-0002</v>
      </c>
      <c r="C898" t="str">
        <f>"LM7 Content, Vir, spectraCAD Engraving (M)"</f>
        <v>LM7 Content, Vir, spectraCAD Engraving (M)</v>
      </c>
      <c r="D898">
        <v>1</v>
      </c>
      <c r="E898" t="str">
        <f t="shared" si="261"/>
        <v>CIM Complete Virtual Content, Classroom License, LM7</v>
      </c>
      <c r="F898">
        <v>0</v>
      </c>
      <c r="G898" t="str">
        <f t="shared" ref="G898:G961" si="262">"Y"</f>
        <v>Y</v>
      </c>
      <c r="H898" t="str">
        <f t="shared" si="259"/>
        <v>EA</v>
      </c>
      <c r="I898">
        <v>0</v>
      </c>
      <c r="J898">
        <v>0</v>
      </c>
      <c r="K898" t="str">
        <f t="shared" ref="K898:K961" si="263">"Y"</f>
        <v>Y</v>
      </c>
      <c r="L898">
        <v>0</v>
      </c>
      <c r="M898" t="str">
        <f t="shared" ref="M898:M961" si="264">"NIS"</f>
        <v>NIS</v>
      </c>
      <c r="O898">
        <v>2</v>
      </c>
      <c r="P898" t="str">
        <f t="shared" si="251"/>
        <v>Active</v>
      </c>
      <c r="Q898" t="str">
        <f>"LM7 Content, Vir, spectraCAD Engraving (M)"</f>
        <v>LM7 Content, Vir, spectraCAD Engraving (M)</v>
      </c>
      <c r="S898" t="str">
        <f>"LM7 Content, Vir, spectraCAD Engraving (M)"</f>
        <v>LM7 Content, Vir, spectraCAD Engraving (M)</v>
      </c>
      <c r="T898">
        <v>0</v>
      </c>
      <c r="U898">
        <v>5</v>
      </c>
      <c r="V898">
        <v>5.2</v>
      </c>
      <c r="W898" t="str">
        <f t="shared" si="258"/>
        <v>rob</v>
      </c>
    </row>
    <row r="899" spans="1:23">
      <c r="A899" t="str">
        <f t="shared" si="260"/>
        <v>CIM-LM7-BUND</v>
      </c>
      <c r="B899" t="str">
        <f>"77-3007-0002"</f>
        <v>77-3007-0002</v>
      </c>
      <c r="C899" t="str">
        <f>"LM7 Content, Vir, spectraCAM Turning (M)"</f>
        <v>LM7 Content, Vir, spectraCAM Turning (M)</v>
      </c>
      <c r="D899">
        <v>1</v>
      </c>
      <c r="E899" t="str">
        <f t="shared" si="261"/>
        <v>CIM Complete Virtual Content, Classroom License, LM7</v>
      </c>
      <c r="F899">
        <v>0</v>
      </c>
      <c r="G899" t="str">
        <f t="shared" si="262"/>
        <v>Y</v>
      </c>
      <c r="H899" t="str">
        <f t="shared" si="259"/>
        <v>EA</v>
      </c>
      <c r="I899">
        <v>0</v>
      </c>
      <c r="J899">
        <v>0</v>
      </c>
      <c r="K899" t="str">
        <f t="shared" si="263"/>
        <v>Y</v>
      </c>
      <c r="L899">
        <v>0</v>
      </c>
      <c r="M899" t="str">
        <f t="shared" si="264"/>
        <v>NIS</v>
      </c>
      <c r="O899">
        <v>3</v>
      </c>
      <c r="P899" t="str">
        <f t="shared" si="251"/>
        <v>Active</v>
      </c>
      <c r="Q899" t="str">
        <f>"LM7 Content, Vir, spectraCAM Turning (M)"</f>
        <v>LM7 Content, Vir, spectraCAM Turning (M)</v>
      </c>
      <c r="S899" t="str">
        <f>"LM7 Content, Vir, spectraCAM Turning (M)"</f>
        <v>LM7 Content, Vir, spectraCAM Turning (M)</v>
      </c>
      <c r="T899">
        <v>0</v>
      </c>
      <c r="U899">
        <v>5</v>
      </c>
      <c r="V899">
        <v>5.2</v>
      </c>
      <c r="W899" t="str">
        <f t="shared" si="258"/>
        <v>rob</v>
      </c>
    </row>
    <row r="900" spans="1:23">
      <c r="A900" t="str">
        <f t="shared" si="260"/>
        <v>CIM-LM7-BUND</v>
      </c>
      <c r="B900" t="str">
        <f>"77-3140-0002"</f>
        <v>77-3140-0002</v>
      </c>
      <c r="C900" t="str">
        <f>"LM7 Content, Vir, CNCMilling w/BenchMill 6000(M)"</f>
        <v>LM7 Content, Vir, CNCMilling w/BenchMill 6000(M)</v>
      </c>
      <c r="D900">
        <v>1</v>
      </c>
      <c r="E900" t="str">
        <f t="shared" si="261"/>
        <v>CIM Complete Virtual Content, Classroom License, LM7</v>
      </c>
      <c r="F900">
        <v>0</v>
      </c>
      <c r="G900" t="str">
        <f t="shared" si="262"/>
        <v>Y</v>
      </c>
      <c r="H900" t="str">
        <f t="shared" si="259"/>
        <v>EA</v>
      </c>
      <c r="I900">
        <v>0</v>
      </c>
      <c r="J900">
        <v>0</v>
      </c>
      <c r="K900" t="str">
        <f t="shared" si="263"/>
        <v>Y</v>
      </c>
      <c r="L900">
        <v>0</v>
      </c>
      <c r="M900" t="str">
        <f t="shared" si="264"/>
        <v>NIS</v>
      </c>
      <c r="O900">
        <v>4</v>
      </c>
      <c r="P900" t="str">
        <f t="shared" si="251"/>
        <v>Active</v>
      </c>
      <c r="Q900" t="str">
        <f>"LM7 Content, Vir, CNCMilling w/BenchMill 6000(M)"</f>
        <v>LM7 Content, Vir, CNCMilling w/BenchMill 6000(M)</v>
      </c>
      <c r="S900" t="str">
        <f>"LM7 Content, Vir, CNCMilling w/BenchMill 6000(M)"</f>
        <v>LM7 Content, Vir, CNCMilling w/BenchMill 6000(M)</v>
      </c>
      <c r="T900">
        <v>0</v>
      </c>
      <c r="U900">
        <v>5</v>
      </c>
      <c r="V900">
        <v>5.2</v>
      </c>
      <c r="W900" t="str">
        <f t="shared" si="258"/>
        <v>rob</v>
      </c>
    </row>
    <row r="901" spans="1:23">
      <c r="A901" t="str">
        <f t="shared" si="260"/>
        <v>CIM-LM7-BUND</v>
      </c>
      <c r="B901" t="str">
        <f>"77-3141-0002"</f>
        <v>77-3141-0002</v>
      </c>
      <c r="C901" t="str">
        <f>"LM7 Content, Vir, CNCTurning w/BenchTurn 7000(M)"</f>
        <v>LM7 Content, Vir, CNCTurning w/BenchTurn 7000(M)</v>
      </c>
      <c r="D901">
        <v>1</v>
      </c>
      <c r="E901" t="str">
        <f t="shared" si="261"/>
        <v>CIM Complete Virtual Content, Classroom License, LM7</v>
      </c>
      <c r="F901">
        <v>0</v>
      </c>
      <c r="G901" t="str">
        <f t="shared" si="262"/>
        <v>Y</v>
      </c>
      <c r="H901" t="str">
        <f t="shared" si="259"/>
        <v>EA</v>
      </c>
      <c r="I901">
        <v>0</v>
      </c>
      <c r="J901">
        <v>0</v>
      </c>
      <c r="K901" t="str">
        <f t="shared" si="263"/>
        <v>Y</v>
      </c>
      <c r="L901">
        <v>0</v>
      </c>
      <c r="M901" t="str">
        <f t="shared" si="264"/>
        <v>NIS</v>
      </c>
      <c r="O901">
        <v>5</v>
      </c>
      <c r="P901" t="str">
        <f t="shared" si="251"/>
        <v>Active</v>
      </c>
      <c r="Q901" t="str">
        <f>"LM7 Content, Vir, CNCTurning w/BenchTurn 7000(M)"</f>
        <v>LM7 Content, Vir, CNCTurning w/BenchTurn 7000(M)</v>
      </c>
      <c r="S901" t="str">
        <f>"LM7 Content, Vir, CNCTurning w/BenchTurn 7000(M)"</f>
        <v>LM7 Content, Vir, CNCTurning w/BenchTurn 7000(M)</v>
      </c>
      <c r="T901">
        <v>0</v>
      </c>
      <c r="U901">
        <v>5</v>
      </c>
      <c r="V901">
        <v>5.2</v>
      </c>
      <c r="W901" t="str">
        <f t="shared" si="258"/>
        <v>rob</v>
      </c>
    </row>
    <row r="902" spans="1:23">
      <c r="A902" t="str">
        <f t="shared" si="260"/>
        <v>CIM-LM7-BUND</v>
      </c>
      <c r="B902" t="str">
        <f>"77-3142-0002"</f>
        <v>77-3142-0002</v>
      </c>
      <c r="C902" t="str">
        <f>"LM7 Content, Vir, CNC Milling w/ProMill 8000 (M)"</f>
        <v>LM7 Content, Vir, CNC Milling w/ProMill 8000 (M)</v>
      </c>
      <c r="D902">
        <v>1</v>
      </c>
      <c r="E902" t="str">
        <f t="shared" si="261"/>
        <v>CIM Complete Virtual Content, Classroom License, LM7</v>
      </c>
      <c r="F902">
        <v>0</v>
      </c>
      <c r="G902" t="str">
        <f t="shared" si="262"/>
        <v>Y</v>
      </c>
      <c r="H902" t="str">
        <f t="shared" si="259"/>
        <v>EA</v>
      </c>
      <c r="I902">
        <v>0</v>
      </c>
      <c r="J902">
        <v>0</v>
      </c>
      <c r="K902" t="str">
        <f t="shared" si="263"/>
        <v>Y</v>
      </c>
      <c r="L902">
        <v>0</v>
      </c>
      <c r="M902" t="str">
        <f t="shared" si="264"/>
        <v>NIS</v>
      </c>
      <c r="O902">
        <v>6</v>
      </c>
      <c r="P902" t="str">
        <f t="shared" si="251"/>
        <v>Active</v>
      </c>
      <c r="Q902" t="str">
        <f>"LM7 Content, Vir, CNC Milling w/ProMill 8000 (M)"</f>
        <v>LM7 Content, Vir, CNC Milling w/ProMill 8000 (M)</v>
      </c>
      <c r="S902" t="str">
        <f>"LM7 Content, Vir, CNC Milling w/ProMill 8000 (M)"</f>
        <v>LM7 Content, Vir, CNC Milling w/ProMill 8000 (M)</v>
      </c>
      <c r="T902">
        <v>0</v>
      </c>
      <c r="U902">
        <v>5</v>
      </c>
      <c r="V902">
        <v>5.2</v>
      </c>
      <c r="W902" t="str">
        <f t="shared" si="258"/>
        <v>rob</v>
      </c>
    </row>
    <row r="903" spans="1:23">
      <c r="A903" t="str">
        <f t="shared" si="260"/>
        <v>CIM-LM7-BUND</v>
      </c>
      <c r="B903" t="str">
        <f>"77-3143-0002"</f>
        <v>77-3143-0002</v>
      </c>
      <c r="C903" t="str">
        <f>"LM7 Content, Vir, CNC Turning w/ProTurn 9000 (M)"</f>
        <v>LM7 Content, Vir, CNC Turning w/ProTurn 9000 (M)</v>
      </c>
      <c r="D903">
        <v>1</v>
      </c>
      <c r="E903" t="str">
        <f t="shared" si="261"/>
        <v>CIM Complete Virtual Content, Classroom License, LM7</v>
      </c>
      <c r="F903">
        <v>0</v>
      </c>
      <c r="G903" t="str">
        <f t="shared" si="262"/>
        <v>Y</v>
      </c>
      <c r="H903" t="str">
        <f t="shared" si="259"/>
        <v>EA</v>
      </c>
      <c r="I903">
        <v>0</v>
      </c>
      <c r="J903">
        <v>0</v>
      </c>
      <c r="K903" t="str">
        <f t="shared" si="263"/>
        <v>Y</v>
      </c>
      <c r="L903">
        <v>0</v>
      </c>
      <c r="M903" t="str">
        <f t="shared" si="264"/>
        <v>NIS</v>
      </c>
      <c r="O903">
        <v>7</v>
      </c>
      <c r="P903" t="str">
        <f t="shared" si="251"/>
        <v>Active</v>
      </c>
      <c r="Q903" t="str">
        <f>"LM7 Content, Vir, CNC Turning w/ProTurn 9000 (M)"</f>
        <v>LM7 Content, Vir, CNC Turning w/ProTurn 9000 (M)</v>
      </c>
      <c r="S903" t="str">
        <f>"LM7 Content, Vir, CNC Turning w/ProTurn 9000 (M)"</f>
        <v>LM7 Content, Vir, CNC Turning w/ProTurn 9000 (M)</v>
      </c>
      <c r="T903">
        <v>0</v>
      </c>
      <c r="U903">
        <v>5</v>
      </c>
      <c r="V903">
        <v>5.2</v>
      </c>
      <c r="W903" t="str">
        <f t="shared" si="258"/>
        <v>rob</v>
      </c>
    </row>
    <row r="904" spans="1:23">
      <c r="A904" t="str">
        <f t="shared" si="260"/>
        <v>CIM-LM7-BUND</v>
      </c>
      <c r="B904" t="str">
        <f>"77-3046-0000"</f>
        <v>77-3046-0000</v>
      </c>
      <c r="C904" t="str">
        <f>"LM7 Content, Vir, Fundamentals w/ER4U"</f>
        <v>LM7 Content, Vir, Fundamentals w/ER4U</v>
      </c>
      <c r="D904">
        <v>1</v>
      </c>
      <c r="E904" t="str">
        <f t="shared" si="261"/>
        <v>CIM Complete Virtual Content, Classroom License, LM7</v>
      </c>
      <c r="F904">
        <v>0</v>
      </c>
      <c r="G904" t="str">
        <f t="shared" si="262"/>
        <v>Y</v>
      </c>
      <c r="H904" t="str">
        <f t="shared" si="259"/>
        <v>EA</v>
      </c>
      <c r="I904">
        <v>0</v>
      </c>
      <c r="J904">
        <v>0</v>
      </c>
      <c r="K904" t="str">
        <f t="shared" si="263"/>
        <v>Y</v>
      </c>
      <c r="L904">
        <v>0</v>
      </c>
      <c r="M904" t="str">
        <f t="shared" si="264"/>
        <v>NIS</v>
      </c>
      <c r="O904">
        <v>8</v>
      </c>
      <c r="P904" t="str">
        <f t="shared" si="251"/>
        <v>Active</v>
      </c>
      <c r="Q904" t="str">
        <f>"LM7 Content, Vir, Fundamentals w/ER4U"</f>
        <v>LM7 Content, Vir, Fundamentals w/ER4U</v>
      </c>
      <c r="S904" t="str">
        <f>"LM7 Content, Vir, Fundamentals w/ER4U"</f>
        <v>LM7 Content, Vir, Fundamentals w/ER4U</v>
      </c>
      <c r="T904">
        <v>0</v>
      </c>
      <c r="U904">
        <v>5</v>
      </c>
      <c r="V904">
        <v>5.2</v>
      </c>
      <c r="W904" t="str">
        <f t="shared" si="258"/>
        <v>rob</v>
      </c>
    </row>
    <row r="905" spans="1:23">
      <c r="A905" t="str">
        <f t="shared" si="260"/>
        <v>CIM-LM7-BUND</v>
      </c>
      <c r="B905" t="str">
        <f>"77-3048-0000"</f>
        <v>77-3048-0000</v>
      </c>
      <c r="C905" t="str">
        <f>"LM7 Content, Vir, Advanced w/ER4U"</f>
        <v>LM7 Content, Vir, Advanced w/ER4U</v>
      </c>
      <c r="D905">
        <v>1</v>
      </c>
      <c r="E905" t="str">
        <f t="shared" si="261"/>
        <v>CIM Complete Virtual Content, Classroom License, LM7</v>
      </c>
      <c r="F905">
        <v>0</v>
      </c>
      <c r="G905" t="str">
        <f t="shared" si="262"/>
        <v>Y</v>
      </c>
      <c r="H905" t="str">
        <f t="shared" si="259"/>
        <v>EA</v>
      </c>
      <c r="I905">
        <v>0</v>
      </c>
      <c r="J905">
        <v>0</v>
      </c>
      <c r="K905" t="str">
        <f t="shared" si="263"/>
        <v>Y</v>
      </c>
      <c r="L905">
        <v>0</v>
      </c>
      <c r="M905" t="str">
        <f t="shared" si="264"/>
        <v>NIS</v>
      </c>
      <c r="O905">
        <v>9</v>
      </c>
      <c r="P905" t="str">
        <f t="shared" si="251"/>
        <v>Active</v>
      </c>
      <c r="Q905" t="str">
        <f>"LM7 Content, Vir, Advanced w/ER4U"</f>
        <v>LM7 Content, Vir, Advanced w/ER4U</v>
      </c>
      <c r="S905" t="str">
        <f>"LM7 Content, Vir, Advanced w/ER4U"</f>
        <v>LM7 Content, Vir, Advanced w/ER4U</v>
      </c>
      <c r="T905">
        <v>0</v>
      </c>
      <c r="U905">
        <v>5</v>
      </c>
      <c r="V905">
        <v>5.2</v>
      </c>
      <c r="W905" t="str">
        <f t="shared" si="258"/>
        <v>rob</v>
      </c>
    </row>
    <row r="906" spans="1:23">
      <c r="A906" t="str">
        <f t="shared" si="260"/>
        <v>CIM-LM7-BUND</v>
      </c>
      <c r="B906" t="str">
        <f>"77-3047-0000"</f>
        <v>77-3047-0000</v>
      </c>
      <c r="C906" t="str">
        <f>"LM7 Content, Vir, Fundamentals w/ER9"</f>
        <v>LM7 Content, Vir, Fundamentals w/ER9</v>
      </c>
      <c r="D906">
        <v>1</v>
      </c>
      <c r="E906" t="str">
        <f t="shared" si="261"/>
        <v>CIM Complete Virtual Content, Classroom License, LM7</v>
      </c>
      <c r="F906">
        <v>0</v>
      </c>
      <c r="G906" t="str">
        <f t="shared" si="262"/>
        <v>Y</v>
      </c>
      <c r="H906" t="str">
        <f t="shared" si="259"/>
        <v>EA</v>
      </c>
      <c r="I906">
        <v>0</v>
      </c>
      <c r="J906">
        <v>0</v>
      </c>
      <c r="K906" t="str">
        <f t="shared" si="263"/>
        <v>Y</v>
      </c>
      <c r="L906">
        <v>0</v>
      </c>
      <c r="M906" t="str">
        <f t="shared" si="264"/>
        <v>NIS</v>
      </c>
      <c r="O906">
        <v>10</v>
      </c>
      <c r="P906" t="str">
        <f t="shared" si="251"/>
        <v>Active</v>
      </c>
      <c r="Q906" t="str">
        <f>"LM7 Content, Vir, Fundamentals w/ER9"</f>
        <v>LM7 Content, Vir, Fundamentals w/ER9</v>
      </c>
      <c r="S906" t="str">
        <f>"LM7 Content, Vir, Fundamentals w/ER9"</f>
        <v>LM7 Content, Vir, Fundamentals w/ER9</v>
      </c>
      <c r="T906">
        <v>0</v>
      </c>
      <c r="U906">
        <v>5</v>
      </c>
      <c r="V906">
        <v>5.2</v>
      </c>
      <c r="W906" t="str">
        <f t="shared" si="258"/>
        <v>rob</v>
      </c>
    </row>
    <row r="907" spans="1:23">
      <c r="A907" t="str">
        <f t="shared" si="260"/>
        <v>CIM-LM7-BUND</v>
      </c>
      <c r="B907" t="str">
        <f>"77-3049-0000"</f>
        <v>77-3049-0000</v>
      </c>
      <c r="C907" t="str">
        <f>"LM7 Content, Vir, Advanced w/ER9"</f>
        <v>LM7 Content, Vir, Advanced w/ER9</v>
      </c>
      <c r="D907">
        <v>1</v>
      </c>
      <c r="E907" t="str">
        <f t="shared" si="261"/>
        <v>CIM Complete Virtual Content, Classroom License, LM7</v>
      </c>
      <c r="F907">
        <v>0</v>
      </c>
      <c r="G907" t="str">
        <f t="shared" si="262"/>
        <v>Y</v>
      </c>
      <c r="H907" t="str">
        <f t="shared" si="259"/>
        <v>EA</v>
      </c>
      <c r="I907">
        <v>0</v>
      </c>
      <c r="J907">
        <v>0</v>
      </c>
      <c r="K907" t="str">
        <f t="shared" si="263"/>
        <v>Y</v>
      </c>
      <c r="L907">
        <v>0</v>
      </c>
      <c r="M907" t="str">
        <f t="shared" si="264"/>
        <v>NIS</v>
      </c>
      <c r="O907">
        <v>11</v>
      </c>
      <c r="P907" t="str">
        <f t="shared" si="251"/>
        <v>Active</v>
      </c>
      <c r="Q907" t="str">
        <f>"LM7 Content, Vir, Advanced w/ER9"</f>
        <v>LM7 Content, Vir, Advanced w/ER9</v>
      </c>
      <c r="S907" t="str">
        <f>"LM7 Content, Vir, Advanced w/ER9"</f>
        <v>LM7 Content, Vir, Advanced w/ER9</v>
      </c>
      <c r="T907">
        <v>0</v>
      </c>
      <c r="U907">
        <v>5</v>
      </c>
      <c r="V907">
        <v>5.2</v>
      </c>
      <c r="W907" t="str">
        <f t="shared" si="258"/>
        <v>rob</v>
      </c>
    </row>
    <row r="908" spans="1:23">
      <c r="A908" t="str">
        <f t="shared" si="260"/>
        <v>CIM-LM7-BUND</v>
      </c>
      <c r="B908" t="str">
        <f>"77-3027-0000"</f>
        <v>77-3027-0000</v>
      </c>
      <c r="C908" t="str">
        <f>"LM7 Content, Vir, Vision &amp; Image Process."</f>
        <v>LM7 Content, Vir, Vision &amp; Image Process.</v>
      </c>
      <c r="D908">
        <v>1</v>
      </c>
      <c r="E908" t="str">
        <f t="shared" si="261"/>
        <v>CIM Complete Virtual Content, Classroom License, LM7</v>
      </c>
      <c r="F908">
        <v>0</v>
      </c>
      <c r="G908" t="str">
        <f t="shared" si="262"/>
        <v>Y</v>
      </c>
      <c r="H908" t="str">
        <f t="shared" si="259"/>
        <v>EA</v>
      </c>
      <c r="I908">
        <v>0</v>
      </c>
      <c r="J908">
        <v>0</v>
      </c>
      <c r="K908" t="str">
        <f t="shared" si="263"/>
        <v>Y</v>
      </c>
      <c r="L908">
        <v>0</v>
      </c>
      <c r="M908" t="str">
        <f t="shared" si="264"/>
        <v>NIS</v>
      </c>
      <c r="O908">
        <v>12</v>
      </c>
      <c r="P908" t="str">
        <f t="shared" si="251"/>
        <v>Active</v>
      </c>
      <c r="Q908" t="str">
        <f>"LM7 Content, Vir, Vision &amp; Image Process."</f>
        <v>LM7 Content, Vir, Vision &amp; Image Process.</v>
      </c>
      <c r="S908" t="str">
        <f>"LM7 Content, Vir, Vision &amp; Image Process."</f>
        <v>LM7 Content, Vir, Vision &amp; Image Process.</v>
      </c>
      <c r="T908">
        <v>0</v>
      </c>
      <c r="U908">
        <v>5</v>
      </c>
      <c r="V908">
        <v>5.2</v>
      </c>
      <c r="W908" t="str">
        <f t="shared" si="258"/>
        <v>rob</v>
      </c>
    </row>
    <row r="909" spans="1:23">
      <c r="A909" t="str">
        <f t="shared" si="260"/>
        <v>CIM-LM7-BUND</v>
      </c>
      <c r="B909" t="str">
        <f>"77-8084-0000"</f>
        <v>77-8084-0000</v>
      </c>
      <c r="C909" t="str">
        <f>"LM7 Content, Lab, Machine Vision &amp; QC 1"</f>
        <v>LM7 Content, Lab, Machine Vision &amp; QC 1</v>
      </c>
      <c r="D909">
        <v>1</v>
      </c>
      <c r="E909" t="str">
        <f t="shared" si="261"/>
        <v>CIM Complete Virtual Content, Classroom License, LM7</v>
      </c>
      <c r="F909">
        <v>0</v>
      </c>
      <c r="G909" t="str">
        <f t="shared" si="262"/>
        <v>Y</v>
      </c>
      <c r="H909" t="str">
        <f t="shared" si="259"/>
        <v>EA</v>
      </c>
      <c r="I909">
        <v>0</v>
      </c>
      <c r="J909">
        <v>0</v>
      </c>
      <c r="K909" t="str">
        <f t="shared" si="263"/>
        <v>Y</v>
      </c>
      <c r="L909">
        <v>0</v>
      </c>
      <c r="M909" t="str">
        <f t="shared" si="264"/>
        <v>NIS</v>
      </c>
      <c r="O909">
        <v>13</v>
      </c>
      <c r="P909" t="str">
        <f t="shared" si="251"/>
        <v>Active</v>
      </c>
      <c r="Q909" t="str">
        <f>"LM7 Content, Lab, Machine Vision &amp; QC 1"</f>
        <v>LM7 Content, Lab, Machine Vision &amp; QC 1</v>
      </c>
      <c r="S909" t="str">
        <f>"LM7 Content, Lab, Machine Vision &amp; QC 1"</f>
        <v>LM7 Content, Lab, Machine Vision &amp; QC 1</v>
      </c>
      <c r="T909">
        <v>0</v>
      </c>
      <c r="U909">
        <v>5</v>
      </c>
      <c r="V909">
        <v>5.2</v>
      </c>
      <c r="W909" t="str">
        <f t="shared" si="258"/>
        <v>rob</v>
      </c>
    </row>
    <row r="910" spans="1:23">
      <c r="A910" t="str">
        <f t="shared" si="260"/>
        <v>CIM-LM7-BUND</v>
      </c>
      <c r="B910" t="str">
        <f>"77-3015-0000"</f>
        <v>77-3015-0000</v>
      </c>
      <c r="C910" t="str">
        <f>"LM7 Content, Vir, CIM 1"</f>
        <v>LM7 Content, Vir, CIM 1</v>
      </c>
      <c r="D910">
        <v>1</v>
      </c>
      <c r="E910" t="str">
        <f t="shared" si="261"/>
        <v>CIM Complete Virtual Content, Classroom License, LM7</v>
      </c>
      <c r="F910">
        <v>0</v>
      </c>
      <c r="G910" t="str">
        <f t="shared" si="262"/>
        <v>Y</v>
      </c>
      <c r="H910" t="str">
        <f t="shared" si="259"/>
        <v>EA</v>
      </c>
      <c r="I910">
        <v>0</v>
      </c>
      <c r="J910">
        <v>0</v>
      </c>
      <c r="K910" t="str">
        <f t="shared" si="263"/>
        <v>Y</v>
      </c>
      <c r="L910">
        <v>0</v>
      </c>
      <c r="M910" t="str">
        <f t="shared" si="264"/>
        <v>NIS</v>
      </c>
      <c r="O910">
        <v>14</v>
      </c>
      <c r="P910" t="str">
        <f t="shared" si="251"/>
        <v>Active</v>
      </c>
      <c r="Q910" t="str">
        <f>"LM7 Content, Vir, CIM 1"</f>
        <v>LM7 Content, Vir, CIM 1</v>
      </c>
      <c r="S910" t="str">
        <f>"LM7 Content, Vir, CIM 1"</f>
        <v>LM7 Content, Vir, CIM 1</v>
      </c>
      <c r="T910">
        <v>0</v>
      </c>
      <c r="U910">
        <v>5</v>
      </c>
      <c r="V910">
        <v>5.2</v>
      </c>
      <c r="W910" t="str">
        <f t="shared" si="258"/>
        <v>rob</v>
      </c>
    </row>
    <row r="911" spans="1:23">
      <c r="A911" t="str">
        <f t="shared" si="260"/>
        <v>CIM-LM7-BUND</v>
      </c>
      <c r="B911" t="str">
        <f>"77-3016-0000"</f>
        <v>77-3016-0000</v>
      </c>
      <c r="C911" t="str">
        <f>"LM7 Content, Vir, CIM 2"</f>
        <v>LM7 Content, Vir, CIM 2</v>
      </c>
      <c r="D911">
        <v>1</v>
      </c>
      <c r="E911" t="str">
        <f t="shared" si="261"/>
        <v>CIM Complete Virtual Content, Classroom License, LM7</v>
      </c>
      <c r="F911">
        <v>0</v>
      </c>
      <c r="G911" t="str">
        <f t="shared" si="262"/>
        <v>Y</v>
      </c>
      <c r="H911" t="str">
        <f t="shared" si="259"/>
        <v>EA</v>
      </c>
      <c r="I911">
        <v>0</v>
      </c>
      <c r="J911">
        <v>0</v>
      </c>
      <c r="K911" t="str">
        <f t="shared" si="263"/>
        <v>Y</v>
      </c>
      <c r="L911">
        <v>0</v>
      </c>
      <c r="M911" t="str">
        <f t="shared" si="264"/>
        <v>NIS</v>
      </c>
      <c r="O911">
        <v>15</v>
      </c>
      <c r="P911" t="str">
        <f t="shared" si="251"/>
        <v>Active</v>
      </c>
      <c r="Q911" t="str">
        <f>"LM7 Content, Vir, CIM 2"</f>
        <v>LM7 Content, Vir, CIM 2</v>
      </c>
      <c r="S911" t="str">
        <f>"LM7 Content, Vir, CIM 2"</f>
        <v>LM7 Content, Vir, CIM 2</v>
      </c>
      <c r="T911">
        <v>0</v>
      </c>
      <c r="U911">
        <v>5</v>
      </c>
      <c r="V911">
        <v>5.2</v>
      </c>
      <c r="W911" t="str">
        <f t="shared" si="258"/>
        <v>rob</v>
      </c>
    </row>
    <row r="912" spans="1:23">
      <c r="A912" t="str">
        <f t="shared" si="260"/>
        <v>CIM-LM7-BUND</v>
      </c>
      <c r="B912" t="str">
        <f>"77-3096-0000"</f>
        <v>77-3096-0000</v>
      </c>
      <c r="C912" t="str">
        <f>"LM7 Content, Vir, Intro to Advanced Mfg"</f>
        <v>LM7 Content, Vir, Intro to Advanced Mfg</v>
      </c>
      <c r="D912">
        <v>1</v>
      </c>
      <c r="E912" t="str">
        <f t="shared" si="261"/>
        <v>CIM Complete Virtual Content, Classroom License, LM7</v>
      </c>
      <c r="F912">
        <v>0</v>
      </c>
      <c r="G912" t="str">
        <f t="shared" si="262"/>
        <v>Y</v>
      </c>
      <c r="H912" t="str">
        <f t="shared" si="259"/>
        <v>EA</v>
      </c>
      <c r="I912">
        <v>0</v>
      </c>
      <c r="J912">
        <v>0</v>
      </c>
      <c r="K912" t="str">
        <f t="shared" si="263"/>
        <v>Y</v>
      </c>
      <c r="L912">
        <v>0</v>
      </c>
      <c r="M912" t="str">
        <f t="shared" si="264"/>
        <v>NIS</v>
      </c>
      <c r="O912">
        <v>16</v>
      </c>
      <c r="P912" t="str">
        <f t="shared" si="251"/>
        <v>Active</v>
      </c>
      <c r="Q912" t="str">
        <f>"LM7 Content, Vir, Intro to Advanced Mfg"</f>
        <v>LM7 Content, Vir, Intro to Advanced Mfg</v>
      </c>
      <c r="S912" t="str">
        <f>"LM7 Content, Vir, Intro to Advanced Mfg"</f>
        <v>LM7 Content, Vir, Intro to Advanced Mfg</v>
      </c>
      <c r="T912">
        <v>0</v>
      </c>
      <c r="U912">
        <v>5</v>
      </c>
      <c r="V912">
        <v>5.2</v>
      </c>
      <c r="W912" t="str">
        <f t="shared" si="258"/>
        <v>rob</v>
      </c>
    </row>
    <row r="913" spans="1:23">
      <c r="A913" t="str">
        <f t="shared" si="260"/>
        <v>CIM-LM7-BUND</v>
      </c>
      <c r="B913" t="str">
        <f>"77-3022-0000"</f>
        <v>77-3022-0000</v>
      </c>
      <c r="C913" t="str">
        <f>"LM7 Content, Vir, Flexible Manufacturing Sys"</f>
        <v>LM7 Content, Vir, Flexible Manufacturing Sys</v>
      </c>
      <c r="D913">
        <v>1</v>
      </c>
      <c r="E913" t="str">
        <f t="shared" si="261"/>
        <v>CIM Complete Virtual Content, Classroom License, LM7</v>
      </c>
      <c r="F913">
        <v>0</v>
      </c>
      <c r="G913" t="str">
        <f t="shared" si="262"/>
        <v>Y</v>
      </c>
      <c r="H913" t="str">
        <f t="shared" si="259"/>
        <v>EA</v>
      </c>
      <c r="I913">
        <v>0</v>
      </c>
      <c r="J913">
        <v>0</v>
      </c>
      <c r="K913" t="str">
        <f t="shared" si="263"/>
        <v>Y</v>
      </c>
      <c r="L913">
        <v>0</v>
      </c>
      <c r="M913" t="str">
        <f t="shared" si="264"/>
        <v>NIS</v>
      </c>
      <c r="O913">
        <v>17</v>
      </c>
      <c r="P913" t="str">
        <f t="shared" si="251"/>
        <v>Active</v>
      </c>
      <c r="Q913" t="str">
        <f>"LM7 Content, Vir, Flexible Manufacturing Sys"</f>
        <v>LM7 Content, Vir, Flexible Manufacturing Sys</v>
      </c>
      <c r="S913" t="str">
        <f>"LM7 Content, Vir, Flexible Manufacturing Sys"</f>
        <v>LM7 Content, Vir, Flexible Manufacturing Sys</v>
      </c>
      <c r="T913">
        <v>0</v>
      </c>
      <c r="U913">
        <v>5</v>
      </c>
      <c r="V913">
        <v>5.2</v>
      </c>
      <c r="W913" t="str">
        <f t="shared" si="258"/>
        <v>rob</v>
      </c>
    </row>
    <row r="914" spans="1:23">
      <c r="A914" t="str">
        <f>"CIM-MANAGER-ST"</f>
        <v>CIM-MANAGER-ST</v>
      </c>
      <c r="B914" t="str">
        <f>"63-9072-0000"</f>
        <v>63-9072-0000</v>
      </c>
      <c r="C914" t="str">
        <f>"OpenCIM/FMS Software"</f>
        <v>OpenCIM/FMS Software</v>
      </c>
      <c r="D914">
        <v>1</v>
      </c>
      <c r="E914" t="str">
        <f>"CIM System Management Station including OpenCIM online Software"</f>
        <v>CIM System Management Station including OpenCIM online Software</v>
      </c>
      <c r="F914">
        <v>550</v>
      </c>
      <c r="G914" t="str">
        <f t="shared" si="262"/>
        <v>Y</v>
      </c>
      <c r="H914" t="str">
        <f t="shared" si="259"/>
        <v>EA</v>
      </c>
      <c r="I914">
        <v>0</v>
      </c>
      <c r="J914">
        <v>0</v>
      </c>
      <c r="K914" t="str">
        <f t="shared" si="263"/>
        <v>Y</v>
      </c>
      <c r="L914">
        <v>0</v>
      </c>
      <c r="M914" t="str">
        <f t="shared" si="264"/>
        <v>NIS</v>
      </c>
      <c r="O914">
        <v>1</v>
      </c>
      <c r="P914" t="str">
        <f t="shared" si="251"/>
        <v>Active</v>
      </c>
      <c r="Q914" t="str">
        <f>"OpenCIM/FMS Software Package"</f>
        <v>OpenCIM/FMS Software Package</v>
      </c>
      <c r="S914" t="str">
        <f>"OpenCIM/FMS Software Package"</f>
        <v>OpenCIM/FMS Software Package</v>
      </c>
      <c r="T914">
        <v>0</v>
      </c>
      <c r="U914">
        <v>35.44</v>
      </c>
      <c r="V914">
        <v>33.99</v>
      </c>
      <c r="W914" t="str">
        <f t="shared" si="258"/>
        <v>rob</v>
      </c>
    </row>
    <row r="915" spans="1:23">
      <c r="A915" t="str">
        <f>"CIM-MANAGER-ST"</f>
        <v>CIM-MANAGER-ST</v>
      </c>
      <c r="B915" t="str">
        <f>"63-7000-1200"</f>
        <v>63-7000-1200</v>
      </c>
      <c r="C915" t="str">
        <f>"License Key For OpenCIM Online"</f>
        <v>License Key For OpenCIM Online</v>
      </c>
      <c r="D915">
        <v>1</v>
      </c>
      <c r="E915" t="str">
        <f>"CIM System Management Station including OpenCIM online Software"</f>
        <v>CIM System Management Station including OpenCIM online Software</v>
      </c>
      <c r="F915">
        <v>550</v>
      </c>
      <c r="G915" t="str">
        <f t="shared" si="262"/>
        <v>Y</v>
      </c>
      <c r="H915" t="str">
        <f t="shared" si="259"/>
        <v>EA</v>
      </c>
      <c r="I915">
        <v>0</v>
      </c>
      <c r="J915">
        <v>0</v>
      </c>
      <c r="K915" t="str">
        <f t="shared" si="263"/>
        <v>Y</v>
      </c>
      <c r="L915">
        <v>0</v>
      </c>
      <c r="M915" t="str">
        <f t="shared" si="264"/>
        <v>NIS</v>
      </c>
      <c r="O915">
        <v>2</v>
      </c>
      <c r="P915" t="str">
        <f t="shared" si="251"/>
        <v>Active</v>
      </c>
      <c r="Q915" t="str">
        <f>"License Key For OpenCIM Online Software"</f>
        <v>License Key For OpenCIM Online Software</v>
      </c>
      <c r="R915" t="str">
        <f>"1"</f>
        <v>1</v>
      </c>
      <c r="S915" t="str">
        <f>"License Key For OpenCIM Online Software"</f>
        <v>License Key For OpenCIM Online Software</v>
      </c>
      <c r="T915">
        <v>0</v>
      </c>
      <c r="U915">
        <v>5</v>
      </c>
      <c r="V915">
        <v>5.55</v>
      </c>
      <c r="W915" t="str">
        <f t="shared" si="258"/>
        <v>rob</v>
      </c>
    </row>
    <row r="916" spans="1:23">
      <c r="A916" t="str">
        <f>"CIM-MANAGER-ST"</f>
        <v>CIM-MANAGER-ST</v>
      </c>
      <c r="B916" t="str">
        <f>"00-1250-0000"</f>
        <v>00-1250-0000</v>
      </c>
      <c r="C916" t="str">
        <f>"Workbench 1800x800mm (Formica Top)"</f>
        <v>Workbench 1800x800mm (Formica Top)</v>
      </c>
      <c r="D916">
        <v>1</v>
      </c>
      <c r="E916" t="str">
        <f>"CIM System Management Station including OpenCIM online Software"</f>
        <v>CIM System Management Station including OpenCIM online Software</v>
      </c>
      <c r="F916">
        <v>550</v>
      </c>
      <c r="G916" t="str">
        <f t="shared" si="262"/>
        <v>Y</v>
      </c>
      <c r="H916" t="str">
        <f t="shared" si="259"/>
        <v>EA</v>
      </c>
      <c r="I916">
        <v>0</v>
      </c>
      <c r="J916">
        <v>0</v>
      </c>
      <c r="K916" t="str">
        <f t="shared" si="263"/>
        <v>Y</v>
      </c>
      <c r="L916">
        <v>0</v>
      </c>
      <c r="M916" t="str">
        <f t="shared" si="264"/>
        <v>NIS</v>
      </c>
      <c r="O916">
        <v>3</v>
      </c>
      <c r="P916" t="str">
        <f t="shared" si="251"/>
        <v>Active</v>
      </c>
      <c r="Q916" t="str">
        <f>"Workbench 1800x800mm (Formica Top)"</f>
        <v>Workbench 1800x800mm (Formica Top)</v>
      </c>
      <c r="S916" t="str">
        <f>"Workbench 1800x800mm (Formica Top)"</f>
        <v>Workbench 1800x800mm (Formica Top)</v>
      </c>
      <c r="T916">
        <v>0</v>
      </c>
      <c r="U916">
        <v>599.12</v>
      </c>
      <c r="V916">
        <v>564.05999999999995</v>
      </c>
      <c r="W916" t="str">
        <f t="shared" si="258"/>
        <v>rob</v>
      </c>
    </row>
    <row r="917" spans="1:23">
      <c r="A917" t="str">
        <f>"CNC-1000-STND"</f>
        <v>CNC-1000-STND</v>
      </c>
      <c r="B917" t="str">
        <f>"00-1000-0110"</f>
        <v>00-1000-0110</v>
      </c>
      <c r="C917" t="str">
        <f>"Bench Router 1000 16in x 24in HSS - 110V"</f>
        <v>Bench Router 1000 16in x 24in HSS - 110V</v>
      </c>
      <c r="D917">
        <v>1</v>
      </c>
      <c r="E917" t="str">
        <f>"BenchRouter 1000 Starter Bundle 110V/220V, 16"" x 24"" HSS, Curriculum, 40 seats VCarvePro"</f>
        <v>BenchRouter 1000 Starter Bundle 110V/220V, 16" x 24" HSS, Curriculum, 40 seats VCarvePro</v>
      </c>
      <c r="F917">
        <v>0</v>
      </c>
      <c r="G917" t="str">
        <f t="shared" si="262"/>
        <v>Y</v>
      </c>
      <c r="H917" t="str">
        <f t="shared" si="259"/>
        <v>EA</v>
      </c>
      <c r="I917">
        <v>0</v>
      </c>
      <c r="J917">
        <v>0</v>
      </c>
      <c r="K917" t="str">
        <f t="shared" si="263"/>
        <v>Y</v>
      </c>
      <c r="L917">
        <v>0</v>
      </c>
      <c r="M917" t="str">
        <f t="shared" si="264"/>
        <v>NIS</v>
      </c>
      <c r="O917">
        <v>1</v>
      </c>
      <c r="P917" t="str">
        <f t="shared" si="251"/>
        <v>Active</v>
      </c>
      <c r="Q917" t="str">
        <f>"Bench Router 1000 16in x 24in HSS - 110V"</f>
        <v>Bench Router 1000 16in x 24in HSS - 110V</v>
      </c>
      <c r="S917" t="str">
        <f>"Bench Router 1000 16in x 24in HSS - 110V"</f>
        <v>Bench Router 1000 16in x 24in HSS - 110V</v>
      </c>
      <c r="T917" s="44">
        <v>3967.6</v>
      </c>
      <c r="U917" s="44">
        <v>3815</v>
      </c>
      <c r="V917" s="44">
        <v>3967.6</v>
      </c>
      <c r="W917" t="str">
        <f t="shared" ref="W917:W980" si="265">"zintel"</f>
        <v>zintel</v>
      </c>
    </row>
    <row r="918" spans="1:23">
      <c r="A918" t="str">
        <f>"CNC-1000-STND"</f>
        <v>CNC-1000-STND</v>
      </c>
      <c r="B918" t="str">
        <f>"63-2000-VCRV"</f>
        <v>63-2000-VCRV</v>
      </c>
      <c r="C918" t="str">
        <f>"VCarve Pro CNC Software; 1 Seat (30 Education)"</f>
        <v>VCarve Pro CNC Software; 1 Seat (30 Education)</v>
      </c>
      <c r="D918">
        <v>1</v>
      </c>
      <c r="E918" t="str">
        <f>"BenchRouter 1000 Starter Bundle 110V/220V, 16"" x 24"" HSS, Curriculum, 40 seats VCarvePro"</f>
        <v>BenchRouter 1000 Starter Bundle 110V/220V, 16" x 24" HSS, Curriculum, 40 seats VCarvePro</v>
      </c>
      <c r="F918">
        <v>0</v>
      </c>
      <c r="G918" t="str">
        <f t="shared" si="262"/>
        <v>Y</v>
      </c>
      <c r="H918" t="str">
        <f t="shared" si="259"/>
        <v>EA</v>
      </c>
      <c r="I918">
        <v>0</v>
      </c>
      <c r="J918">
        <v>0</v>
      </c>
      <c r="K918" t="str">
        <f t="shared" si="263"/>
        <v>Y</v>
      </c>
      <c r="L918">
        <v>0</v>
      </c>
      <c r="M918" t="str">
        <f t="shared" si="264"/>
        <v>NIS</v>
      </c>
      <c r="O918">
        <v>2</v>
      </c>
      <c r="P918" t="str">
        <f t="shared" si="251"/>
        <v>Active</v>
      </c>
      <c r="Q918" t="str">
        <f>"Vcarve Pro Education Software; 40 Seats"</f>
        <v>Vcarve Pro Education Software; 40 Seats</v>
      </c>
      <c r="S918" t="str">
        <f>"VCarve Pro CNC Software; 1 Seat (30 Education)"</f>
        <v>VCarve Pro CNC Software; 1 Seat (30 Education)</v>
      </c>
      <c r="T918">
        <v>675.21</v>
      </c>
      <c r="U918">
        <v>469.79</v>
      </c>
      <c r="V918">
        <v>488.58</v>
      </c>
      <c r="W918" t="str">
        <f t="shared" si="265"/>
        <v>zintel</v>
      </c>
    </row>
    <row r="919" spans="1:23">
      <c r="A919" t="str">
        <f>"CNC-1000-STND"</f>
        <v>CNC-1000-STND</v>
      </c>
      <c r="B919" t="str">
        <f>"34-1000-VCRV"</f>
        <v>34-1000-VCRV</v>
      </c>
      <c r="C919" t="str">
        <f>"VCarve Pro Licensing Notification Document"</f>
        <v>VCarve Pro Licensing Notification Document</v>
      </c>
      <c r="D919">
        <v>1</v>
      </c>
      <c r="E919" t="str">
        <f>"BenchRouter 1000 Starter Bundle 110V/220V, 16"" x 24"" HSS, Curriculum, 40 seats VCarvePro"</f>
        <v>BenchRouter 1000 Starter Bundle 110V/220V, 16" x 24" HSS, Curriculum, 40 seats VCarvePro</v>
      </c>
      <c r="F919">
        <v>0</v>
      </c>
      <c r="G919" t="str">
        <f t="shared" si="262"/>
        <v>Y</v>
      </c>
      <c r="H919" t="str">
        <f t="shared" si="259"/>
        <v>EA</v>
      </c>
      <c r="I919">
        <v>0</v>
      </c>
      <c r="J919">
        <v>0</v>
      </c>
      <c r="K919" t="str">
        <f t="shared" si="263"/>
        <v>Y</v>
      </c>
      <c r="L919">
        <v>0</v>
      </c>
      <c r="M919" t="str">
        <f t="shared" si="264"/>
        <v>NIS</v>
      </c>
      <c r="O919">
        <v>3</v>
      </c>
      <c r="P919" t="str">
        <f t="shared" si="251"/>
        <v>Active</v>
      </c>
      <c r="Q919" t="str">
        <f>"VCarve Pro Licensing Notification Document"</f>
        <v>VCarve Pro Licensing Notification Document</v>
      </c>
      <c r="S919" t="str">
        <f>"VCarve Pro Licensing Notification Document"</f>
        <v>VCarve Pro Licensing Notification Document</v>
      </c>
      <c r="T919">
        <v>1.04</v>
      </c>
      <c r="U919">
        <v>1</v>
      </c>
      <c r="V919">
        <v>0</v>
      </c>
      <c r="W919" t="str">
        <f t="shared" si="265"/>
        <v>zintel</v>
      </c>
    </row>
    <row r="920" spans="1:23">
      <c r="A920" t="str">
        <f>"CNC-1000-STND"</f>
        <v>CNC-1000-STND</v>
      </c>
      <c r="B920" t="str">
        <f>"77-8160-0001-L"</f>
        <v>77-8160-0001-L</v>
      </c>
      <c r="C920" t="str">
        <f>"OL Content, Intro to CNC Routers, 1 Year Lease"</f>
        <v>OL Content, Intro to CNC Routers, 1 Year Lease</v>
      </c>
      <c r="D920">
        <v>1</v>
      </c>
      <c r="E920" t="str">
        <f>"BenchRouter 1000 Starter Bundle 110V/220V, 16"" x 24"" HSS, Curriculum, 40 seats VCarvePro"</f>
        <v>BenchRouter 1000 Starter Bundle 110V/220V, 16" x 24" HSS, Curriculum, 40 seats VCarvePro</v>
      </c>
      <c r="F920">
        <v>0</v>
      </c>
      <c r="G920" t="str">
        <f t="shared" si="262"/>
        <v>Y</v>
      </c>
      <c r="H920" t="str">
        <f t="shared" si="259"/>
        <v>EA</v>
      </c>
      <c r="I920">
        <v>0</v>
      </c>
      <c r="J920">
        <v>0</v>
      </c>
      <c r="K920" t="str">
        <f t="shared" si="263"/>
        <v>Y</v>
      </c>
      <c r="L920">
        <v>0</v>
      </c>
      <c r="M920" t="str">
        <f t="shared" si="264"/>
        <v>NIS</v>
      </c>
      <c r="O920">
        <v>4</v>
      </c>
      <c r="P920" t="str">
        <f t="shared" si="251"/>
        <v>Active</v>
      </c>
      <c r="Q920" t="str">
        <f>"OL Content, Intro to CNC Routers, 1 Year Lease"</f>
        <v>OL Content, Intro to CNC Routers, 1 Year Lease</v>
      </c>
      <c r="S920" t="str">
        <f>"OL Content, Intro to CNC Routers, 1 Year Lease"</f>
        <v>OL Content, Intro to CNC Routers, 1 Year Lease</v>
      </c>
      <c r="T920">
        <v>0</v>
      </c>
      <c r="U920">
        <v>5</v>
      </c>
      <c r="V920">
        <v>0</v>
      </c>
      <c r="W920" t="str">
        <f t="shared" si="265"/>
        <v>zintel</v>
      </c>
    </row>
    <row r="921" spans="1:23">
      <c r="A921" t="str">
        <f>"CNC-1000-VCRV"</f>
        <v>CNC-1000-VCRV</v>
      </c>
      <c r="B921" t="str">
        <f>"63-2000-VCRV"</f>
        <v>63-2000-VCRV</v>
      </c>
      <c r="C921" t="str">
        <f>"VCarve Pro CNC Software; 1 Seat (30 Education)"</f>
        <v>VCarve Pro CNC Software; 1 Seat (30 Education)</v>
      </c>
      <c r="D921">
        <v>1</v>
      </c>
      <c r="E921" t="str">
        <f>"VCarve Pro CNC Software Pack ; 1 Seat (30 Education)"</f>
        <v>VCarve Pro CNC Software Pack ; 1 Seat (30 Education)</v>
      </c>
      <c r="F921">
        <v>0</v>
      </c>
      <c r="G921" t="str">
        <f t="shared" si="262"/>
        <v>Y</v>
      </c>
      <c r="H921" t="str">
        <f t="shared" si="259"/>
        <v>EA</v>
      </c>
      <c r="I921">
        <v>0</v>
      </c>
      <c r="J921">
        <v>0</v>
      </c>
      <c r="K921" t="str">
        <f t="shared" si="263"/>
        <v>Y</v>
      </c>
      <c r="L921">
        <v>0</v>
      </c>
      <c r="M921" t="str">
        <f t="shared" si="264"/>
        <v>NIS</v>
      </c>
      <c r="O921">
        <v>1</v>
      </c>
      <c r="P921" t="str">
        <f t="shared" si="251"/>
        <v>Active</v>
      </c>
      <c r="Q921" t="str">
        <f>"VCarve Pro CNC Software; 1 Seat (30 Education)"</f>
        <v>VCarve Pro CNC Software; 1 Seat (30 Education)</v>
      </c>
      <c r="S921" t="str">
        <f>"VCarve Pro CNC Software; 1 Seat (30 Education)"</f>
        <v>VCarve Pro CNC Software; 1 Seat (30 Education)</v>
      </c>
      <c r="T921">
        <v>675.21</v>
      </c>
      <c r="U921">
        <v>469.79</v>
      </c>
      <c r="V921">
        <v>488.58</v>
      </c>
      <c r="W921" t="str">
        <f t="shared" si="265"/>
        <v>zintel</v>
      </c>
    </row>
    <row r="922" spans="1:23">
      <c r="A922" t="str">
        <f>"CNC-1000-VCRV"</f>
        <v>CNC-1000-VCRV</v>
      </c>
      <c r="B922" t="str">
        <f>"34-1000-VCRV"</f>
        <v>34-1000-VCRV</v>
      </c>
      <c r="C922" t="str">
        <f>"VCarve Pro Licensing Notification Document"</f>
        <v>VCarve Pro Licensing Notification Document</v>
      </c>
      <c r="D922">
        <v>1</v>
      </c>
      <c r="E922" t="str">
        <f>"VCarve Pro CNC Software Pack ; 1 Seat (30 Education)"</f>
        <v>VCarve Pro CNC Software Pack ; 1 Seat (30 Education)</v>
      </c>
      <c r="F922">
        <v>0</v>
      </c>
      <c r="G922" t="str">
        <f t="shared" si="262"/>
        <v>Y</v>
      </c>
      <c r="H922" t="str">
        <f t="shared" si="259"/>
        <v>EA</v>
      </c>
      <c r="I922">
        <v>0</v>
      </c>
      <c r="J922">
        <v>0</v>
      </c>
      <c r="K922" t="str">
        <f t="shared" si="263"/>
        <v>Y</v>
      </c>
      <c r="L922">
        <v>0</v>
      </c>
      <c r="M922" t="str">
        <f t="shared" si="264"/>
        <v>NIS</v>
      </c>
      <c r="O922">
        <v>2</v>
      </c>
      <c r="P922" t="str">
        <f t="shared" si="251"/>
        <v>Active</v>
      </c>
      <c r="Q922" t="str">
        <f>"VCarve Pro Licensing Notification Document"</f>
        <v>VCarve Pro Licensing Notification Document</v>
      </c>
      <c r="S922" t="str">
        <f>"VCarve Pro Licensing Notification Document"</f>
        <v>VCarve Pro Licensing Notification Document</v>
      </c>
      <c r="T922">
        <v>1.04</v>
      </c>
      <c r="U922">
        <v>1</v>
      </c>
      <c r="V922">
        <v>0</v>
      </c>
      <c r="W922" t="str">
        <f t="shared" si="265"/>
        <v>zintel</v>
      </c>
    </row>
    <row r="923" spans="1:23">
      <c r="A923" t="str">
        <f>"CNC-2000-STND"</f>
        <v>CNC-2000-STND</v>
      </c>
      <c r="B923" t="str">
        <f>"00-2044-0220"</f>
        <v>00-2044-0220</v>
      </c>
      <c r="C923" t="str">
        <f>"Pro Router 2000 4ft x 4ft HSS - 220V"</f>
        <v>Pro Router 2000 4ft x 4ft HSS - 220V</v>
      </c>
      <c r="D923">
        <v>1</v>
      </c>
      <c r="E923" t="str">
        <f>"ProRouter 2000 Starter Bundle 220v: 4x4 Router HSS, Curriculum and 40 seats VCarvePro"</f>
        <v>ProRouter 2000 Starter Bundle 220v: 4x4 Router HSS, Curriculum and 40 seats VCarvePro</v>
      </c>
      <c r="F923">
        <v>0</v>
      </c>
      <c r="G923" t="str">
        <f t="shared" si="262"/>
        <v>Y</v>
      </c>
      <c r="H923" t="str">
        <f t="shared" si="259"/>
        <v>EA</v>
      </c>
      <c r="I923">
        <v>0</v>
      </c>
      <c r="J923">
        <v>0</v>
      </c>
      <c r="K923" t="str">
        <f t="shared" si="263"/>
        <v>Y</v>
      </c>
      <c r="L923">
        <v>0</v>
      </c>
      <c r="M923" t="str">
        <f t="shared" si="264"/>
        <v>NIS</v>
      </c>
      <c r="O923">
        <v>1</v>
      </c>
      <c r="P923" t="str">
        <f t="shared" si="251"/>
        <v>Active</v>
      </c>
      <c r="Q923" t="str">
        <f>"Pro Router 2000 4ft x 4ft HSS - 220V"</f>
        <v>Pro Router 2000 4ft x 4ft HSS - 220V</v>
      </c>
      <c r="S923" t="str">
        <f>"Pro Router 2000 4ft x 4ft HSS - 220V"</f>
        <v>Pro Router 2000 4ft x 4ft HSS - 220V</v>
      </c>
      <c r="T923" s="44">
        <v>12244.99</v>
      </c>
      <c r="U923" s="44">
        <v>11757.83</v>
      </c>
      <c r="V923" s="44">
        <v>12228.14</v>
      </c>
      <c r="W923" t="str">
        <f t="shared" si="265"/>
        <v>zintel</v>
      </c>
    </row>
    <row r="924" spans="1:23">
      <c r="A924" t="str">
        <f>"CNC-2000-STND"</f>
        <v>CNC-2000-STND</v>
      </c>
      <c r="B924" t="str">
        <f>"63-2000-VCRV"</f>
        <v>63-2000-VCRV</v>
      </c>
      <c r="C924" t="str">
        <f>"VCarve Pro CNC Software; 1 Seat (30 Education)"</f>
        <v>VCarve Pro CNC Software; 1 Seat (30 Education)</v>
      </c>
      <c r="D924">
        <v>1</v>
      </c>
      <c r="E924" t="str">
        <f>"ProRouter 2000 Starter Bundle 220v: 4x4 Router HSS, Curriculum and 40 seats VCarvePro"</f>
        <v>ProRouter 2000 Starter Bundle 220v: 4x4 Router HSS, Curriculum and 40 seats VCarvePro</v>
      </c>
      <c r="F924">
        <v>0</v>
      </c>
      <c r="G924" t="str">
        <f t="shared" si="262"/>
        <v>Y</v>
      </c>
      <c r="H924" t="str">
        <f t="shared" si="259"/>
        <v>EA</v>
      </c>
      <c r="I924">
        <v>0</v>
      </c>
      <c r="J924">
        <v>0</v>
      </c>
      <c r="K924" t="str">
        <f t="shared" si="263"/>
        <v>Y</v>
      </c>
      <c r="L924">
        <v>0</v>
      </c>
      <c r="M924" t="str">
        <f t="shared" si="264"/>
        <v>NIS</v>
      </c>
      <c r="O924">
        <v>2</v>
      </c>
      <c r="P924" t="str">
        <f t="shared" si="251"/>
        <v>Active</v>
      </c>
      <c r="Q924" t="str">
        <f>"Vcarve Pro Education Software; 40 Seats"</f>
        <v>Vcarve Pro Education Software; 40 Seats</v>
      </c>
      <c r="S924" t="str">
        <f>"VCarve Pro CNC Software; 1 Seat (30 Education)"</f>
        <v>VCarve Pro CNC Software; 1 Seat (30 Education)</v>
      </c>
      <c r="T924">
        <v>675.21</v>
      </c>
      <c r="U924">
        <v>469.79</v>
      </c>
      <c r="V924">
        <v>488.58</v>
      </c>
      <c r="W924" t="str">
        <f t="shared" si="265"/>
        <v>zintel</v>
      </c>
    </row>
    <row r="925" spans="1:23">
      <c r="A925" t="str">
        <f>"CNC-2000-STND"</f>
        <v>CNC-2000-STND</v>
      </c>
      <c r="B925" t="str">
        <f>"34-1000-VCRV"</f>
        <v>34-1000-VCRV</v>
      </c>
      <c r="C925" t="str">
        <f>"VCarve Pro Licensing Notification Document"</f>
        <v>VCarve Pro Licensing Notification Document</v>
      </c>
      <c r="D925">
        <v>1</v>
      </c>
      <c r="E925" t="str">
        <f>"ProRouter 2000 Starter Bundle 220v: 4x4 Router HSS, Curriculum and 40 seats VCarvePro"</f>
        <v>ProRouter 2000 Starter Bundle 220v: 4x4 Router HSS, Curriculum and 40 seats VCarvePro</v>
      </c>
      <c r="F925">
        <v>0</v>
      </c>
      <c r="G925" t="str">
        <f t="shared" si="262"/>
        <v>Y</v>
      </c>
      <c r="H925" t="str">
        <f t="shared" si="259"/>
        <v>EA</v>
      </c>
      <c r="I925">
        <v>0</v>
      </c>
      <c r="J925">
        <v>0</v>
      </c>
      <c r="K925" t="str">
        <f t="shared" si="263"/>
        <v>Y</v>
      </c>
      <c r="L925">
        <v>0</v>
      </c>
      <c r="M925" t="str">
        <f t="shared" si="264"/>
        <v>NIS</v>
      </c>
      <c r="O925">
        <v>3</v>
      </c>
      <c r="P925" t="str">
        <f t="shared" si="251"/>
        <v>Active</v>
      </c>
      <c r="Q925" t="str">
        <f>"VCarve Pro Licensing Notification Document"</f>
        <v>VCarve Pro Licensing Notification Document</v>
      </c>
      <c r="S925" t="str">
        <f>"VCarve Pro Licensing Notification Document"</f>
        <v>VCarve Pro Licensing Notification Document</v>
      </c>
      <c r="T925">
        <v>1.04</v>
      </c>
      <c r="U925">
        <v>1</v>
      </c>
      <c r="V925">
        <v>0</v>
      </c>
      <c r="W925" t="str">
        <f t="shared" si="265"/>
        <v>zintel</v>
      </c>
    </row>
    <row r="926" spans="1:23">
      <c r="A926" t="str">
        <f>"CNC-2000-STND"</f>
        <v>CNC-2000-STND</v>
      </c>
      <c r="B926" t="str">
        <f>"77-8160-0001-L"</f>
        <v>77-8160-0001-L</v>
      </c>
      <c r="C926" t="str">
        <f>"OL Content, Intro to CNC Routers, 1 Year Lease"</f>
        <v>OL Content, Intro to CNC Routers, 1 Year Lease</v>
      </c>
      <c r="D926">
        <v>1</v>
      </c>
      <c r="E926" t="str">
        <f>"ProRouter 2000 Starter Bundle 220v: 4x4 Router HSS, Curriculum and 40 seats VCarvePro"</f>
        <v>ProRouter 2000 Starter Bundle 220v: 4x4 Router HSS, Curriculum and 40 seats VCarvePro</v>
      </c>
      <c r="F926">
        <v>0</v>
      </c>
      <c r="G926" t="str">
        <f t="shared" si="262"/>
        <v>Y</v>
      </c>
      <c r="H926" t="str">
        <f t="shared" si="259"/>
        <v>EA</v>
      </c>
      <c r="I926">
        <v>0</v>
      </c>
      <c r="J926">
        <v>0</v>
      </c>
      <c r="K926" t="str">
        <f t="shared" si="263"/>
        <v>Y</v>
      </c>
      <c r="L926">
        <v>0</v>
      </c>
      <c r="M926" t="str">
        <f t="shared" si="264"/>
        <v>NIS</v>
      </c>
      <c r="O926">
        <v>4</v>
      </c>
      <c r="P926" t="str">
        <f t="shared" si="251"/>
        <v>Active</v>
      </c>
      <c r="Q926" t="str">
        <f>"OL Content, Intro to CNC Routers, 1 Year Lease"</f>
        <v>OL Content, Intro to CNC Routers, 1 Year Lease</v>
      </c>
      <c r="S926" t="str">
        <f>"OL Content, Intro to CNC Routers, 1 Year Lease"</f>
        <v>OL Content, Intro to CNC Routers, 1 Year Lease</v>
      </c>
      <c r="T926">
        <v>0</v>
      </c>
      <c r="U926">
        <v>5</v>
      </c>
      <c r="V926">
        <v>0</v>
      </c>
      <c r="W926" t="str">
        <f t="shared" si="265"/>
        <v>zintel</v>
      </c>
    </row>
    <row r="927" spans="1:23">
      <c r="A927" t="str">
        <f>"CNC-2000-STND"</f>
        <v>CNC-2000-STND</v>
      </c>
      <c r="B927" t="str">
        <f>"77-1207-1010"</f>
        <v>77-1207-1010</v>
      </c>
      <c r="C927" t="str">
        <f>"LearnMate 7, Single Class Hosted Flat Fee"</f>
        <v>LearnMate 7, Single Class Hosted Flat Fee</v>
      </c>
      <c r="D927">
        <v>1</v>
      </c>
      <c r="E927" t="str">
        <f>"ProRouter 2000 Starter Bundle 220v: 4x4 Router HSS, Curriculum and 40 seats VCarvePro"</f>
        <v>ProRouter 2000 Starter Bundle 220v: 4x4 Router HSS, Curriculum and 40 seats VCarvePro</v>
      </c>
      <c r="F927">
        <v>0</v>
      </c>
      <c r="G927" t="str">
        <f t="shared" si="262"/>
        <v>Y</v>
      </c>
      <c r="H927" t="str">
        <f t="shared" si="259"/>
        <v>EA</v>
      </c>
      <c r="I927">
        <v>0</v>
      </c>
      <c r="J927">
        <v>0</v>
      </c>
      <c r="K927" t="str">
        <f t="shared" si="263"/>
        <v>Y</v>
      </c>
      <c r="L927">
        <v>0</v>
      </c>
      <c r="M927" t="str">
        <f t="shared" si="264"/>
        <v>NIS</v>
      </c>
      <c r="N927" t="str">
        <f>"Y"</f>
        <v>Y</v>
      </c>
      <c r="O927">
        <v>5</v>
      </c>
      <c r="P927" t="str">
        <f t="shared" si="251"/>
        <v>Active</v>
      </c>
      <c r="Q927" t="str">
        <f>"LearnMate 7, Single Class Hosted Flat Fee"</f>
        <v>LearnMate 7, Single Class Hosted Flat Fee</v>
      </c>
      <c r="S927" t="str">
        <f>"LearnMate 7, Single Class Hosted Flat Fee"</f>
        <v>LearnMate 7, Single Class Hosted Flat Fee</v>
      </c>
      <c r="T927">
        <v>0</v>
      </c>
      <c r="U927">
        <v>202</v>
      </c>
      <c r="V927">
        <v>200</v>
      </c>
      <c r="W927" t="str">
        <f t="shared" si="265"/>
        <v>zintel</v>
      </c>
    </row>
    <row r="928" spans="1:23">
      <c r="A928" t="str">
        <f>"CNC-2100-STND"</f>
        <v>CNC-2100-STND</v>
      </c>
      <c r="B928" t="str">
        <f>"00-2048-0220"</f>
        <v>00-2048-0220</v>
      </c>
      <c r="C928" t="str">
        <f>"Pro Router 2100 4ft x 8ft HSS - 220V"</f>
        <v>Pro Router 2100 4ft x 8ft HSS - 220V</v>
      </c>
      <c r="D928">
        <v>1</v>
      </c>
      <c r="E928" t="str">
        <f>"ProRouter 2100 Starter Bundle 220V; 4X8 Router HSS, Curriculum &amp; 40 seats VCarvePro"</f>
        <v>ProRouter 2100 Starter Bundle 220V; 4X8 Router HSS, Curriculum &amp; 40 seats VCarvePro</v>
      </c>
      <c r="F928">
        <v>0</v>
      </c>
      <c r="G928" t="str">
        <f t="shared" si="262"/>
        <v>Y</v>
      </c>
      <c r="H928" t="str">
        <f t="shared" si="259"/>
        <v>EA</v>
      </c>
      <c r="I928">
        <v>0</v>
      </c>
      <c r="J928">
        <v>0</v>
      </c>
      <c r="K928" t="str">
        <f t="shared" si="263"/>
        <v>Y</v>
      </c>
      <c r="L928">
        <v>0</v>
      </c>
      <c r="M928" t="str">
        <f t="shared" si="264"/>
        <v>NIS</v>
      </c>
      <c r="O928">
        <v>1</v>
      </c>
      <c r="P928" t="str">
        <f t="shared" ref="P928:P991" si="266">"Active"</f>
        <v>Active</v>
      </c>
      <c r="Q928" t="str">
        <f>"Pro Router 2100 4ft x 8ft HSS - 220V"</f>
        <v>Pro Router 2100 4ft x 8ft HSS - 220V</v>
      </c>
      <c r="S928" t="str">
        <f>"Pro Router 2100 4ft x 8ft HSS - 220V"</f>
        <v>Pro Router 2100 4ft x 8ft HSS - 220V</v>
      </c>
      <c r="T928" s="44">
        <v>14293.12</v>
      </c>
      <c r="U928" s="44">
        <v>13326.07</v>
      </c>
      <c r="V928" s="44">
        <v>13859.11</v>
      </c>
      <c r="W928" t="str">
        <f t="shared" si="265"/>
        <v>zintel</v>
      </c>
    </row>
    <row r="929" spans="1:23">
      <c r="A929" t="str">
        <f>"CNC-2100-STND"</f>
        <v>CNC-2100-STND</v>
      </c>
      <c r="B929" t="str">
        <f>"63-2000-VCRV"</f>
        <v>63-2000-VCRV</v>
      </c>
      <c r="C929" t="str">
        <f>"VCarve Pro CNC Software; 1 Seat (30 Education)"</f>
        <v>VCarve Pro CNC Software; 1 Seat (30 Education)</v>
      </c>
      <c r="D929">
        <v>1</v>
      </c>
      <c r="E929" t="str">
        <f>"ProRouter 2100 Starter Bundle 220V; 4X8 Router HSS, Curriculum &amp; 40 seats VCarvePro"</f>
        <v>ProRouter 2100 Starter Bundle 220V; 4X8 Router HSS, Curriculum &amp; 40 seats VCarvePro</v>
      </c>
      <c r="F929">
        <v>0</v>
      </c>
      <c r="G929" t="str">
        <f t="shared" si="262"/>
        <v>Y</v>
      </c>
      <c r="H929" t="str">
        <f t="shared" si="259"/>
        <v>EA</v>
      </c>
      <c r="I929">
        <v>0</v>
      </c>
      <c r="J929">
        <v>0</v>
      </c>
      <c r="K929" t="str">
        <f t="shared" si="263"/>
        <v>Y</v>
      </c>
      <c r="L929">
        <v>0</v>
      </c>
      <c r="M929" t="str">
        <f t="shared" si="264"/>
        <v>NIS</v>
      </c>
      <c r="O929">
        <v>2</v>
      </c>
      <c r="P929" t="str">
        <f t="shared" si="266"/>
        <v>Active</v>
      </c>
      <c r="Q929" t="str">
        <f>"Vcarve Pro Education Software; 40 Seats"</f>
        <v>Vcarve Pro Education Software; 40 Seats</v>
      </c>
      <c r="S929" t="str">
        <f>"VCarve Pro CNC Software; 1 Seat (30 Education)"</f>
        <v>VCarve Pro CNC Software; 1 Seat (30 Education)</v>
      </c>
      <c r="T929">
        <v>675.21</v>
      </c>
      <c r="U929">
        <v>469.79</v>
      </c>
      <c r="V929">
        <v>488.58</v>
      </c>
      <c r="W929" t="str">
        <f t="shared" si="265"/>
        <v>zintel</v>
      </c>
    </row>
    <row r="930" spans="1:23">
      <c r="A930" t="str">
        <f>"CNC-2100-STND"</f>
        <v>CNC-2100-STND</v>
      </c>
      <c r="B930" t="str">
        <f>"34-1000-VCRV"</f>
        <v>34-1000-VCRV</v>
      </c>
      <c r="C930" t="str">
        <f>"VCarve Pro Licensing Notification Document"</f>
        <v>VCarve Pro Licensing Notification Document</v>
      </c>
      <c r="D930">
        <v>1</v>
      </c>
      <c r="E930" t="str">
        <f>"ProRouter 2100 Starter Bundle 220V; 4X8 Router HSS, Curriculum &amp; 40 seats VCarvePro"</f>
        <v>ProRouter 2100 Starter Bundle 220V; 4X8 Router HSS, Curriculum &amp; 40 seats VCarvePro</v>
      </c>
      <c r="F930">
        <v>0</v>
      </c>
      <c r="G930" t="str">
        <f t="shared" si="262"/>
        <v>Y</v>
      </c>
      <c r="H930" t="str">
        <f t="shared" si="259"/>
        <v>EA</v>
      </c>
      <c r="I930">
        <v>0</v>
      </c>
      <c r="J930">
        <v>0</v>
      </c>
      <c r="K930" t="str">
        <f t="shared" si="263"/>
        <v>Y</v>
      </c>
      <c r="L930">
        <v>0</v>
      </c>
      <c r="M930" t="str">
        <f t="shared" si="264"/>
        <v>NIS</v>
      </c>
      <c r="O930">
        <v>3</v>
      </c>
      <c r="P930" t="str">
        <f t="shared" si="266"/>
        <v>Active</v>
      </c>
      <c r="Q930" t="str">
        <f>"VCarve Pro Licensing Notification Document"</f>
        <v>VCarve Pro Licensing Notification Document</v>
      </c>
      <c r="S930" t="str">
        <f>"VCarve Pro Licensing Notification Document"</f>
        <v>VCarve Pro Licensing Notification Document</v>
      </c>
      <c r="T930">
        <v>1.04</v>
      </c>
      <c r="U930">
        <v>1</v>
      </c>
      <c r="V930">
        <v>0</v>
      </c>
      <c r="W930" t="str">
        <f t="shared" si="265"/>
        <v>zintel</v>
      </c>
    </row>
    <row r="931" spans="1:23">
      <c r="A931" t="str">
        <f>"CNC-2100-STND"</f>
        <v>CNC-2100-STND</v>
      </c>
      <c r="B931" t="str">
        <f>"77-8160-0001-L"</f>
        <v>77-8160-0001-L</v>
      </c>
      <c r="C931" t="str">
        <f>"OL Content, Intro to CNC Routers, 1 Year Lease"</f>
        <v>OL Content, Intro to CNC Routers, 1 Year Lease</v>
      </c>
      <c r="D931">
        <v>1</v>
      </c>
      <c r="E931" t="str">
        <f>"ProRouter 2100 Starter Bundle 220V; 4X8 Router HSS, Curriculum &amp; 40 seats VCarvePro"</f>
        <v>ProRouter 2100 Starter Bundle 220V; 4X8 Router HSS, Curriculum &amp; 40 seats VCarvePro</v>
      </c>
      <c r="F931">
        <v>0</v>
      </c>
      <c r="G931" t="str">
        <f t="shared" si="262"/>
        <v>Y</v>
      </c>
      <c r="H931" t="str">
        <f t="shared" si="259"/>
        <v>EA</v>
      </c>
      <c r="I931">
        <v>0</v>
      </c>
      <c r="J931">
        <v>0</v>
      </c>
      <c r="K931" t="str">
        <f t="shared" si="263"/>
        <v>Y</v>
      </c>
      <c r="L931">
        <v>0</v>
      </c>
      <c r="M931" t="str">
        <f t="shared" si="264"/>
        <v>NIS</v>
      </c>
      <c r="O931">
        <v>4</v>
      </c>
      <c r="P931" t="str">
        <f t="shared" si="266"/>
        <v>Active</v>
      </c>
      <c r="Q931" t="str">
        <f>"OL Content, Intro to CNC Routers, 1 Year Lease"</f>
        <v>OL Content, Intro to CNC Routers, 1 Year Lease</v>
      </c>
      <c r="S931" t="str">
        <f>"OL Content, Intro to CNC Routers, 1 Year Lease"</f>
        <v>OL Content, Intro to CNC Routers, 1 Year Lease</v>
      </c>
      <c r="T931">
        <v>0</v>
      </c>
      <c r="U931">
        <v>5</v>
      </c>
      <c r="V931">
        <v>0</v>
      </c>
      <c r="W931" t="str">
        <f t="shared" si="265"/>
        <v>zintel</v>
      </c>
    </row>
    <row r="932" spans="1:23">
      <c r="A932" t="str">
        <f>"CNC-2100-STND"</f>
        <v>CNC-2100-STND</v>
      </c>
      <c r="B932" t="str">
        <f>"77-1207-1010"</f>
        <v>77-1207-1010</v>
      </c>
      <c r="C932" t="str">
        <f>"LearnMate 7, Single Class Hosted Flat Fee"</f>
        <v>LearnMate 7, Single Class Hosted Flat Fee</v>
      </c>
      <c r="D932">
        <v>1</v>
      </c>
      <c r="E932" t="str">
        <f>"ProRouter 2100 Starter Bundle 220V; 4X8 Router HSS, Curriculum &amp; 40 seats VCarvePro"</f>
        <v>ProRouter 2100 Starter Bundle 220V; 4X8 Router HSS, Curriculum &amp; 40 seats VCarvePro</v>
      </c>
      <c r="F932">
        <v>0</v>
      </c>
      <c r="G932" t="str">
        <f t="shared" si="262"/>
        <v>Y</v>
      </c>
      <c r="H932" t="str">
        <f t="shared" si="259"/>
        <v>EA</v>
      </c>
      <c r="I932">
        <v>0</v>
      </c>
      <c r="J932">
        <v>0</v>
      </c>
      <c r="K932" t="str">
        <f t="shared" si="263"/>
        <v>Y</v>
      </c>
      <c r="L932">
        <v>0</v>
      </c>
      <c r="M932" t="str">
        <f t="shared" si="264"/>
        <v>NIS</v>
      </c>
      <c r="N932" t="str">
        <f>"Y"</f>
        <v>Y</v>
      </c>
      <c r="O932">
        <v>5</v>
      </c>
      <c r="P932" t="str">
        <f t="shared" si="266"/>
        <v>Active</v>
      </c>
      <c r="Q932" t="str">
        <f>"LearnMate 7, Single Class Hosted Flat Fee"</f>
        <v>LearnMate 7, Single Class Hosted Flat Fee</v>
      </c>
      <c r="S932" t="str">
        <f>"LearnMate 7, Single Class Hosted Flat Fee"</f>
        <v>LearnMate 7, Single Class Hosted Flat Fee</v>
      </c>
      <c r="T932">
        <v>0</v>
      </c>
      <c r="U932">
        <v>202</v>
      </c>
      <c r="V932">
        <v>200</v>
      </c>
      <c r="W932" t="str">
        <f t="shared" si="265"/>
        <v>zintel</v>
      </c>
    </row>
    <row r="933" spans="1:23">
      <c r="A933" t="str">
        <f t="shared" ref="A933:A949" si="267">"CNC-6000"</f>
        <v>CNC-6000</v>
      </c>
      <c r="B933" t="str">
        <f>"00-5505-0220"</f>
        <v>00-5505-0220</v>
      </c>
      <c r="C933" t="str">
        <f>"CNC BenchMILL 6000, 220 VAC"</f>
        <v>CNC BenchMILL 6000, 220 VAC</v>
      </c>
      <c r="D933">
        <v>1</v>
      </c>
      <c r="E933" t="str">
        <f t="shared" ref="E933:E949" si="268">"BenchMill 6000, CNC Milling Machine  with 4 tools ATC"</f>
        <v>BenchMill 6000, CNC Milling Machine  with 4 tools ATC</v>
      </c>
      <c r="F933">
        <v>907</v>
      </c>
      <c r="G933" t="str">
        <f t="shared" si="262"/>
        <v>Y</v>
      </c>
      <c r="H933" t="str">
        <f t="shared" si="259"/>
        <v>EA</v>
      </c>
      <c r="I933">
        <v>0</v>
      </c>
      <c r="J933">
        <v>0</v>
      </c>
      <c r="K933" t="str">
        <f t="shared" si="263"/>
        <v>Y</v>
      </c>
      <c r="L933">
        <v>0</v>
      </c>
      <c r="M933" t="str">
        <f t="shared" si="264"/>
        <v>NIS</v>
      </c>
      <c r="O933">
        <v>1</v>
      </c>
      <c r="P933" t="str">
        <f t="shared" si="266"/>
        <v>Active</v>
      </c>
      <c r="Q933" t="str">
        <f>"CNC BenchMill 6000"</f>
        <v>CNC BenchMill 6000</v>
      </c>
      <c r="S933" t="str">
        <f>"CNC BenchMILL 6000, 220 VAC"</f>
        <v>CNC BenchMILL 6000, 220 VAC</v>
      </c>
      <c r="T933">
        <v>0</v>
      </c>
      <c r="U933" s="44">
        <v>4583</v>
      </c>
      <c r="V933" s="44">
        <v>4458.34</v>
      </c>
      <c r="W933" t="str">
        <f t="shared" si="265"/>
        <v>zintel</v>
      </c>
    </row>
    <row r="934" spans="1:23">
      <c r="A934" t="str">
        <f t="shared" si="267"/>
        <v>CNC-6000</v>
      </c>
      <c r="B934" t="str">
        <f>"10-1111-6000"</f>
        <v>10-1111-6000</v>
      </c>
      <c r="C934" t="str">
        <f>"4"" Vise"</f>
        <v>4" Vise</v>
      </c>
      <c r="D934">
        <v>1</v>
      </c>
      <c r="E934" t="str">
        <f t="shared" si="268"/>
        <v>BenchMill 6000, CNC Milling Machine  with 4 tools ATC</v>
      </c>
      <c r="F934">
        <v>907</v>
      </c>
      <c r="G934" t="str">
        <f t="shared" si="262"/>
        <v>Y</v>
      </c>
      <c r="H934" t="str">
        <f t="shared" si="259"/>
        <v>EA</v>
      </c>
      <c r="I934">
        <v>0</v>
      </c>
      <c r="J934">
        <v>0</v>
      </c>
      <c r="K934" t="str">
        <f t="shared" si="263"/>
        <v>Y</v>
      </c>
      <c r="L934">
        <v>0</v>
      </c>
      <c r="M934" t="str">
        <f t="shared" si="264"/>
        <v>NIS</v>
      </c>
      <c r="O934">
        <v>2</v>
      </c>
      <c r="P934" t="str">
        <f t="shared" si="266"/>
        <v>Active</v>
      </c>
      <c r="Q934" t="str">
        <f>"4"" Precision Maching Vise"</f>
        <v>4" Precision Maching Vise</v>
      </c>
      <c r="S934" t="str">
        <f>"4"" Precision Maching Vise"</f>
        <v>4" Precision Maching Vise</v>
      </c>
      <c r="T934">
        <v>0</v>
      </c>
      <c r="U934">
        <v>53</v>
      </c>
      <c r="V934">
        <v>49.5</v>
      </c>
      <c r="W934" t="str">
        <f t="shared" si="265"/>
        <v>zintel</v>
      </c>
    </row>
    <row r="935" spans="1:23">
      <c r="A935" t="str">
        <f t="shared" si="267"/>
        <v>CNC-6000</v>
      </c>
      <c r="B935" t="str">
        <f>"10-1111-5000"</f>
        <v>10-1111-5000</v>
      </c>
      <c r="C935" t="str">
        <f>"clamping kit 58 pcs set"</f>
        <v>clamping kit 58 pcs set</v>
      </c>
      <c r="D935">
        <v>1</v>
      </c>
      <c r="E935" t="str">
        <f t="shared" si="268"/>
        <v>BenchMill 6000, CNC Milling Machine  with 4 tools ATC</v>
      </c>
      <c r="F935">
        <v>907</v>
      </c>
      <c r="G935" t="str">
        <f t="shared" si="262"/>
        <v>Y</v>
      </c>
      <c r="H935" t="str">
        <f t="shared" si="259"/>
        <v>EA</v>
      </c>
      <c r="I935">
        <v>0</v>
      </c>
      <c r="J935">
        <v>0</v>
      </c>
      <c r="K935" t="str">
        <f t="shared" si="263"/>
        <v>Y</v>
      </c>
      <c r="L935">
        <v>0</v>
      </c>
      <c r="M935" t="str">
        <f t="shared" si="264"/>
        <v>NIS</v>
      </c>
      <c r="O935">
        <v>3</v>
      </c>
      <c r="P935" t="str">
        <f t="shared" si="266"/>
        <v>Active</v>
      </c>
      <c r="Q935" t="str">
        <f>"clamping kit 58 pcs set"</f>
        <v>clamping kit 58 pcs set</v>
      </c>
      <c r="S935" t="str">
        <f>"clamping kit 58 pcs set"</f>
        <v>clamping kit 58 pcs set</v>
      </c>
      <c r="T935">
        <v>0</v>
      </c>
      <c r="U935">
        <v>52</v>
      </c>
      <c r="V935">
        <v>51.72</v>
      </c>
      <c r="W935" t="str">
        <f t="shared" si="265"/>
        <v>zintel</v>
      </c>
    </row>
    <row r="936" spans="1:23">
      <c r="A936" t="str">
        <f t="shared" si="267"/>
        <v>CNC-6000</v>
      </c>
      <c r="B936" t="str">
        <f>"10-1111-9000"</f>
        <v>10-1111-9000</v>
      </c>
      <c r="C936" t="str">
        <f>"ISO 20 tool holder"</f>
        <v>ISO 20 tool holder</v>
      </c>
      <c r="D936">
        <v>1</v>
      </c>
      <c r="E936" t="str">
        <f t="shared" si="268"/>
        <v>BenchMill 6000, CNC Milling Machine  with 4 tools ATC</v>
      </c>
      <c r="F936">
        <v>907</v>
      </c>
      <c r="G936" t="str">
        <f t="shared" si="262"/>
        <v>Y</v>
      </c>
      <c r="H936" t="str">
        <f t="shared" si="259"/>
        <v>EA</v>
      </c>
      <c r="I936">
        <v>0</v>
      </c>
      <c r="J936">
        <v>0</v>
      </c>
      <c r="K936" t="str">
        <f t="shared" si="263"/>
        <v>Y</v>
      </c>
      <c r="L936">
        <v>0</v>
      </c>
      <c r="M936" t="str">
        <f t="shared" si="264"/>
        <v>NIS</v>
      </c>
      <c r="O936">
        <v>4</v>
      </c>
      <c r="P936" t="str">
        <f t="shared" si="266"/>
        <v>Active</v>
      </c>
      <c r="Q936" t="str">
        <f>"ISO 20 tool holder with nut"</f>
        <v>ISO 20 tool holder with nut</v>
      </c>
      <c r="S936" t="str">
        <f>"ISO 20 tool holder with nut"</f>
        <v>ISO 20 tool holder with nut</v>
      </c>
      <c r="T936">
        <v>0</v>
      </c>
      <c r="U936">
        <v>103</v>
      </c>
      <c r="V936">
        <v>103.19</v>
      </c>
      <c r="W936" t="str">
        <f t="shared" si="265"/>
        <v>zintel</v>
      </c>
    </row>
    <row r="937" spans="1:23">
      <c r="A937" t="str">
        <f t="shared" si="267"/>
        <v>CNC-6000</v>
      </c>
      <c r="B937" t="str">
        <f>"10-1113-4000"</f>
        <v>10-1113-4000</v>
      </c>
      <c r="C937" t="str">
        <f>"Metric End Mill Package(2X 3,6,8,10End,4,6 Ball)"</f>
        <v>Metric End Mill Package(2X 3,6,8,10End,4,6 Ball)</v>
      </c>
      <c r="D937">
        <v>1</v>
      </c>
      <c r="E937" t="str">
        <f t="shared" si="268"/>
        <v>BenchMill 6000, CNC Milling Machine  with 4 tools ATC</v>
      </c>
      <c r="F937">
        <v>907</v>
      </c>
      <c r="G937" t="str">
        <f t="shared" si="262"/>
        <v>Y</v>
      </c>
      <c r="H937" t="str">
        <f t="shared" si="259"/>
        <v>EA</v>
      </c>
      <c r="I937">
        <v>0</v>
      </c>
      <c r="J937">
        <v>0</v>
      </c>
      <c r="K937" t="str">
        <f t="shared" si="263"/>
        <v>Y</v>
      </c>
      <c r="L937">
        <v>0</v>
      </c>
      <c r="M937" t="str">
        <f t="shared" si="264"/>
        <v>NIS</v>
      </c>
      <c r="O937">
        <v>6</v>
      </c>
      <c r="P937" t="str">
        <f t="shared" si="266"/>
        <v>Active</v>
      </c>
      <c r="Q937" t="str">
        <f>"Metric Advanced End Mill Package 5121"</f>
        <v>Metric Advanced End Mill Package 5121</v>
      </c>
      <c r="S937" t="str">
        <f>"Metric Advanced End Mill Package 5121"</f>
        <v>Metric Advanced End Mill Package 5121</v>
      </c>
      <c r="T937">
        <v>0</v>
      </c>
      <c r="U937">
        <v>55</v>
      </c>
      <c r="V937">
        <v>50.17</v>
      </c>
      <c r="W937" t="str">
        <f t="shared" si="265"/>
        <v>zintel</v>
      </c>
    </row>
    <row r="938" spans="1:23">
      <c r="A938" t="str">
        <f t="shared" si="267"/>
        <v>CNC-6000</v>
      </c>
      <c r="B938" t="str">
        <f>"10-1115-0000"</f>
        <v>10-1115-0000</v>
      </c>
      <c r="C938" t="str">
        <f>"ER16 Collet set - 2 x (3,6,8,10mm)"</f>
        <v>ER16 Collet set - 2 x (3,6,8,10mm)</v>
      </c>
      <c r="D938">
        <v>1</v>
      </c>
      <c r="E938" t="str">
        <f t="shared" si="268"/>
        <v>BenchMill 6000, CNC Milling Machine  with 4 tools ATC</v>
      </c>
      <c r="F938">
        <v>907</v>
      </c>
      <c r="G938" t="str">
        <f t="shared" si="262"/>
        <v>Y</v>
      </c>
      <c r="H938" t="str">
        <f t="shared" si="259"/>
        <v>EA</v>
      </c>
      <c r="I938">
        <v>0</v>
      </c>
      <c r="J938">
        <v>0</v>
      </c>
      <c r="K938" t="str">
        <f t="shared" si="263"/>
        <v>Y</v>
      </c>
      <c r="L938">
        <v>0</v>
      </c>
      <c r="M938" t="str">
        <f t="shared" si="264"/>
        <v>NIS</v>
      </c>
      <c r="O938">
        <v>5</v>
      </c>
      <c r="P938" t="str">
        <f t="shared" si="266"/>
        <v>Active</v>
      </c>
      <c r="Q938" t="str">
        <f>"ER16 Collet set-8 pieces(2)3,(2)6,(2)8,(2)10mm"</f>
        <v>ER16 Collet set-8 pieces(2)3,(2)6,(2)8,(2)10mm</v>
      </c>
      <c r="S938" t="str">
        <f>"ER16 Collet set-8 pieces(2)3,(2)6,(2)8,(2)10mm"</f>
        <v>ER16 Collet set-8 pieces(2)3,(2)6,(2)8,(2)10mm</v>
      </c>
      <c r="T938">
        <v>0</v>
      </c>
      <c r="U938">
        <v>71</v>
      </c>
      <c r="V938">
        <v>70.63</v>
      </c>
      <c r="W938" t="str">
        <f t="shared" si="265"/>
        <v>zintel</v>
      </c>
    </row>
    <row r="939" spans="1:23">
      <c r="A939" t="str">
        <f t="shared" si="267"/>
        <v>CNC-6000</v>
      </c>
      <c r="B939" t="str">
        <f>"10-1115-2000"</f>
        <v>10-1115-2000</v>
      </c>
      <c r="C939" t="str">
        <f>"- Table mounted ATC package"</f>
        <v>- Table mounted ATC package</v>
      </c>
      <c r="D939">
        <v>1</v>
      </c>
      <c r="E939" t="str">
        <f t="shared" si="268"/>
        <v>BenchMill 6000, CNC Milling Machine  with 4 tools ATC</v>
      </c>
      <c r="F939">
        <v>907</v>
      </c>
      <c r="G939" t="str">
        <f t="shared" si="262"/>
        <v>Y</v>
      </c>
      <c r="H939" t="str">
        <f t="shared" si="259"/>
        <v>EA</v>
      </c>
      <c r="I939">
        <v>0</v>
      </c>
      <c r="J939">
        <v>0</v>
      </c>
      <c r="K939" t="str">
        <f t="shared" si="263"/>
        <v>Y</v>
      </c>
      <c r="L939">
        <v>0</v>
      </c>
      <c r="M939" t="str">
        <f t="shared" si="264"/>
        <v>NIS</v>
      </c>
      <c r="O939">
        <v>8</v>
      </c>
      <c r="P939" t="str">
        <f t="shared" si="266"/>
        <v>Active</v>
      </c>
      <c r="Q939" t="str">
        <f>"Table mounted ATC package"</f>
        <v>Table mounted ATC package</v>
      </c>
      <c r="S939" t="str">
        <f>"Table mounted ATC package"</f>
        <v>Table mounted ATC package</v>
      </c>
      <c r="T939">
        <v>0</v>
      </c>
      <c r="U939">
        <v>690</v>
      </c>
      <c r="V939">
        <v>690.59</v>
      </c>
      <c r="W939" t="str">
        <f t="shared" si="265"/>
        <v>zintel</v>
      </c>
    </row>
    <row r="940" spans="1:23">
      <c r="A940" t="str">
        <f t="shared" si="267"/>
        <v>CNC-6000</v>
      </c>
      <c r="B940" t="str">
        <f>"10-1113-6000"</f>
        <v>10-1113-6000</v>
      </c>
      <c r="C940" t="str">
        <f>"- Metric Engraving Package (1,1.5,2 mm End mill)"</f>
        <v>- Metric Engraving Package (1,1.5,2 mm End mill)</v>
      </c>
      <c r="D940">
        <v>1</v>
      </c>
      <c r="E940" t="str">
        <f t="shared" si="268"/>
        <v>BenchMill 6000, CNC Milling Machine  with 4 tools ATC</v>
      </c>
      <c r="F940">
        <v>907</v>
      </c>
      <c r="G940" t="str">
        <f t="shared" si="262"/>
        <v>Y</v>
      </c>
      <c r="H940" t="str">
        <f t="shared" si="259"/>
        <v>EA</v>
      </c>
      <c r="I940">
        <v>0</v>
      </c>
      <c r="J940">
        <v>0</v>
      </c>
      <c r="K940" t="str">
        <f t="shared" si="263"/>
        <v>Y</v>
      </c>
      <c r="L940">
        <v>0</v>
      </c>
      <c r="M940" t="str">
        <f t="shared" si="264"/>
        <v>NIS</v>
      </c>
      <c r="O940">
        <v>7</v>
      </c>
      <c r="P940" t="str">
        <f t="shared" si="266"/>
        <v>Active</v>
      </c>
      <c r="Q940" t="str">
        <f>"Metric Engraving Package 5711"</f>
        <v>Metric Engraving Package 5711</v>
      </c>
      <c r="S940" t="str">
        <f>"Metric Engraving Package 5711"</f>
        <v>Metric Engraving Package 5711</v>
      </c>
      <c r="T940">
        <v>0</v>
      </c>
      <c r="U940">
        <v>41</v>
      </c>
      <c r="V940">
        <v>37.909999999999997</v>
      </c>
      <c r="W940" t="str">
        <f t="shared" si="265"/>
        <v>zintel</v>
      </c>
    </row>
    <row r="941" spans="1:23">
      <c r="A941" t="str">
        <f t="shared" si="267"/>
        <v>CNC-6000</v>
      </c>
      <c r="B941" t="str">
        <f>"10-1111-1000"</f>
        <v>10-1111-1000</v>
      </c>
      <c r="C941" t="str">
        <f>"- Handwheel - Manual Control"</f>
        <v>- Handwheel - Manual Control</v>
      </c>
      <c r="D941">
        <v>1</v>
      </c>
      <c r="E941" t="str">
        <f t="shared" si="268"/>
        <v>BenchMill 6000, CNC Milling Machine  with 4 tools ATC</v>
      </c>
      <c r="F941">
        <v>907</v>
      </c>
      <c r="G941" t="str">
        <f t="shared" si="262"/>
        <v>Y</v>
      </c>
      <c r="H941" t="str">
        <f t="shared" si="259"/>
        <v>EA</v>
      </c>
      <c r="I941">
        <v>0</v>
      </c>
      <c r="J941">
        <v>0</v>
      </c>
      <c r="K941" t="str">
        <f t="shared" si="263"/>
        <v>Y</v>
      </c>
      <c r="L941">
        <v>0</v>
      </c>
      <c r="M941" t="str">
        <f t="shared" si="264"/>
        <v>NIS</v>
      </c>
      <c r="O941">
        <v>9</v>
      </c>
      <c r="P941" t="str">
        <f t="shared" si="266"/>
        <v>Active</v>
      </c>
      <c r="Q941" t="str">
        <f>"Hand wheel"</f>
        <v>Hand wheel</v>
      </c>
      <c r="S941" t="str">
        <f>"Jog Pendant Handwheel"</f>
        <v>Jog Pendant Handwheel</v>
      </c>
      <c r="T941">
        <v>0</v>
      </c>
      <c r="U941">
        <v>235</v>
      </c>
      <c r="V941">
        <v>235.03</v>
      </c>
      <c r="W941" t="str">
        <f t="shared" si="265"/>
        <v>zintel</v>
      </c>
    </row>
    <row r="942" spans="1:23">
      <c r="A942" t="str">
        <f t="shared" si="267"/>
        <v>CNC-6000</v>
      </c>
      <c r="B942" t="str">
        <f>"10-1108-1220"</f>
        <v>10-1108-1220</v>
      </c>
      <c r="C942" t="str">
        <f>"- Coolant system 27L -220V"</f>
        <v>- Coolant system 27L -220V</v>
      </c>
      <c r="D942">
        <v>1</v>
      </c>
      <c r="E942" t="str">
        <f t="shared" si="268"/>
        <v>BenchMill 6000, CNC Milling Machine  with 4 tools ATC</v>
      </c>
      <c r="F942">
        <v>907</v>
      </c>
      <c r="G942" t="str">
        <f t="shared" si="262"/>
        <v>Y</v>
      </c>
      <c r="H942" t="str">
        <f t="shared" si="259"/>
        <v>EA</v>
      </c>
      <c r="I942">
        <v>0</v>
      </c>
      <c r="J942">
        <v>0</v>
      </c>
      <c r="K942" t="str">
        <f t="shared" si="263"/>
        <v>Y</v>
      </c>
      <c r="L942">
        <v>0</v>
      </c>
      <c r="M942" t="str">
        <f t="shared" si="264"/>
        <v>NIS</v>
      </c>
      <c r="N942" t="str">
        <f>"Y"</f>
        <v>Y</v>
      </c>
      <c r="O942">
        <v>10</v>
      </c>
      <c r="P942" t="str">
        <f t="shared" si="266"/>
        <v>Active</v>
      </c>
      <c r="Q942" t="str">
        <f>"Coolant system 27L - 220V"</f>
        <v>Coolant system 27L - 220V</v>
      </c>
      <c r="S942" t="str">
        <f>"Coolant system 27L - 220V"</f>
        <v>Coolant system 27L - 220V</v>
      </c>
      <c r="T942">
        <v>0</v>
      </c>
      <c r="U942">
        <v>117.08</v>
      </c>
      <c r="V942">
        <v>117.15</v>
      </c>
      <c r="W942" t="str">
        <f t="shared" si="265"/>
        <v>zintel</v>
      </c>
    </row>
    <row r="943" spans="1:23">
      <c r="A943" t="str">
        <f t="shared" si="267"/>
        <v>CNC-6000</v>
      </c>
      <c r="B943" t="str">
        <f>"10-1109-2000"</f>
        <v>10-1109-2000</v>
      </c>
      <c r="C943" t="str">
        <f>"- Stand for Benchtop CNC"</f>
        <v>- Stand for Benchtop CNC</v>
      </c>
      <c r="D943">
        <v>1</v>
      </c>
      <c r="E943" t="str">
        <f t="shared" si="268"/>
        <v>BenchMill 6000, CNC Milling Machine  with 4 tools ATC</v>
      </c>
      <c r="F943">
        <v>907</v>
      </c>
      <c r="G943" t="str">
        <f t="shared" si="262"/>
        <v>Y</v>
      </c>
      <c r="H943" t="str">
        <f t="shared" si="259"/>
        <v>EA</v>
      </c>
      <c r="I943">
        <v>0</v>
      </c>
      <c r="J943">
        <v>0</v>
      </c>
      <c r="K943" t="str">
        <f t="shared" si="263"/>
        <v>Y</v>
      </c>
      <c r="L943">
        <v>0</v>
      </c>
      <c r="M943" t="str">
        <f t="shared" si="264"/>
        <v>NIS</v>
      </c>
      <c r="O943">
        <v>11</v>
      </c>
      <c r="P943" t="str">
        <f t="shared" si="266"/>
        <v>Active</v>
      </c>
      <c r="Q943" t="str">
        <f>"Stand 1000x650x800mm (for Benchtop CNC)"</f>
        <v>Stand 1000x650x800mm (for Benchtop CNC)</v>
      </c>
      <c r="S943" t="str">
        <f>"Stand 1000x650x800mm (for Benchtop CNC)"</f>
        <v>Stand 1000x650x800mm (for Benchtop CNC)</v>
      </c>
      <c r="T943">
        <v>0</v>
      </c>
      <c r="U943">
        <v>146.34</v>
      </c>
      <c r="V943">
        <v>147.19</v>
      </c>
      <c r="W943" t="str">
        <f t="shared" si="265"/>
        <v>zintel</v>
      </c>
    </row>
    <row r="944" spans="1:23">
      <c r="A944" t="str">
        <f t="shared" si="267"/>
        <v>CNC-6000</v>
      </c>
      <c r="B944" t="str">
        <f>"10-1115-1000"</f>
        <v>10-1115-1000</v>
      </c>
      <c r="C944" t="str">
        <f>"- Fanuc Emulator panel and stand"</f>
        <v>- Fanuc Emulator panel and stand</v>
      </c>
      <c r="D944">
        <v>1</v>
      </c>
      <c r="E944" t="str">
        <f t="shared" si="268"/>
        <v>BenchMill 6000, CNC Milling Machine  with 4 tools ATC</v>
      </c>
      <c r="F944">
        <v>907</v>
      </c>
      <c r="G944" t="str">
        <f t="shared" si="262"/>
        <v>Y</v>
      </c>
      <c r="H944" t="str">
        <f t="shared" si="259"/>
        <v>EA</v>
      </c>
      <c r="I944">
        <v>0</v>
      </c>
      <c r="J944">
        <v>0</v>
      </c>
      <c r="K944" t="str">
        <f t="shared" si="263"/>
        <v>Y</v>
      </c>
      <c r="L944">
        <v>0</v>
      </c>
      <c r="M944" t="str">
        <f t="shared" si="264"/>
        <v>NIS</v>
      </c>
      <c r="N944" t="str">
        <f>"Y"</f>
        <v>Y</v>
      </c>
      <c r="O944">
        <v>12</v>
      </c>
      <c r="P944" t="str">
        <f t="shared" si="266"/>
        <v>Active</v>
      </c>
      <c r="Q944" t="str">
        <f>"Fanuc Emulator panel and stand"</f>
        <v>Fanuc Emulator panel and stand</v>
      </c>
      <c r="S944" t="str">
        <f>"Fanuc Emulator panel and stand"</f>
        <v>Fanuc Emulator panel and stand</v>
      </c>
      <c r="T944">
        <v>0</v>
      </c>
      <c r="U944">
        <v>804.8</v>
      </c>
      <c r="V944">
        <v>791.17</v>
      </c>
      <c r="W944" t="str">
        <f t="shared" si="265"/>
        <v>zintel</v>
      </c>
    </row>
    <row r="945" spans="1:23">
      <c r="A945" t="str">
        <f t="shared" si="267"/>
        <v>CNC-6000</v>
      </c>
      <c r="B945" t="str">
        <f>"10-1115-3000"</f>
        <v>10-1115-3000</v>
      </c>
      <c r="C945" t="str">
        <f>"- 4th axis package"</f>
        <v>- 4th axis package</v>
      </c>
      <c r="D945">
        <v>1</v>
      </c>
      <c r="E945" t="str">
        <f t="shared" si="268"/>
        <v>BenchMill 6000, CNC Milling Machine  with 4 tools ATC</v>
      </c>
      <c r="F945">
        <v>907</v>
      </c>
      <c r="G945" t="str">
        <f t="shared" si="262"/>
        <v>Y</v>
      </c>
      <c r="H945" t="str">
        <f t="shared" si="259"/>
        <v>EA</v>
      </c>
      <c r="I945">
        <v>0</v>
      </c>
      <c r="J945">
        <v>0</v>
      </c>
      <c r="K945" t="str">
        <f t="shared" si="263"/>
        <v>Y</v>
      </c>
      <c r="L945">
        <v>0</v>
      </c>
      <c r="M945" t="str">
        <f t="shared" si="264"/>
        <v>NIS</v>
      </c>
      <c r="N945" t="str">
        <f>"Y"</f>
        <v>Y</v>
      </c>
      <c r="O945">
        <v>13</v>
      </c>
      <c r="P945" t="str">
        <f t="shared" si="266"/>
        <v>Active</v>
      </c>
      <c r="Q945" t="str">
        <f>"4th axis package"</f>
        <v>4th axis package</v>
      </c>
      <c r="S945" t="str">
        <f>"4th axis package"</f>
        <v>4th axis package</v>
      </c>
      <c r="T945">
        <v>0</v>
      </c>
      <c r="U945">
        <v>735.68</v>
      </c>
      <c r="V945" s="44">
        <v>1077.4000000000001</v>
      </c>
      <c r="W945" t="str">
        <f t="shared" si="265"/>
        <v>zintel</v>
      </c>
    </row>
    <row r="946" spans="1:23">
      <c r="A946" t="str">
        <f t="shared" si="267"/>
        <v>CNC-6000</v>
      </c>
      <c r="B946" t="str">
        <f>"10-1108-6000"</f>
        <v>10-1108-6000</v>
      </c>
      <c r="C946" t="str">
        <f>"- 6mm engraving tool set"</f>
        <v>- 6mm engraving tool set</v>
      </c>
      <c r="D946">
        <v>1</v>
      </c>
      <c r="E946" t="str">
        <f t="shared" si="268"/>
        <v>BenchMill 6000, CNC Milling Machine  with 4 tools ATC</v>
      </c>
      <c r="F946">
        <v>907</v>
      </c>
      <c r="G946" t="str">
        <f t="shared" si="262"/>
        <v>Y</v>
      </c>
      <c r="H946" t="str">
        <f t="shared" si="259"/>
        <v>EA</v>
      </c>
      <c r="I946">
        <v>0</v>
      </c>
      <c r="J946">
        <v>0</v>
      </c>
      <c r="K946" t="str">
        <f t="shared" si="263"/>
        <v>Y</v>
      </c>
      <c r="L946">
        <v>0</v>
      </c>
      <c r="M946" t="str">
        <f t="shared" si="264"/>
        <v>NIS</v>
      </c>
      <c r="O946">
        <v>14</v>
      </c>
      <c r="P946" t="str">
        <f t="shared" si="266"/>
        <v>Active</v>
      </c>
      <c r="Q946" t="str">
        <f>"6mm engraving tool set"</f>
        <v>6mm engraving tool set</v>
      </c>
      <c r="S946" t="str">
        <f>"6mm engraving tool set"</f>
        <v>6mm engraving tool set</v>
      </c>
      <c r="T946">
        <v>0</v>
      </c>
      <c r="U946">
        <v>93.66</v>
      </c>
      <c r="V946">
        <v>94.27</v>
      </c>
      <c r="W946" t="str">
        <f t="shared" si="265"/>
        <v>zintel</v>
      </c>
    </row>
    <row r="947" spans="1:23">
      <c r="A947" t="str">
        <f t="shared" si="267"/>
        <v>CNC-6000</v>
      </c>
      <c r="B947" t="str">
        <f>"10-1108-2000"</f>
        <v>10-1108-2000</v>
      </c>
      <c r="C947" t="str">
        <f>"- 100mm vice with angle adjustment"</f>
        <v>- 100mm vice with angle adjustment</v>
      </c>
      <c r="D947">
        <v>1</v>
      </c>
      <c r="E947" t="str">
        <f t="shared" si="268"/>
        <v>BenchMill 6000, CNC Milling Machine  with 4 tools ATC</v>
      </c>
      <c r="F947">
        <v>907</v>
      </c>
      <c r="G947" t="str">
        <f t="shared" si="262"/>
        <v>Y</v>
      </c>
      <c r="H947" t="str">
        <f t="shared" si="259"/>
        <v>EA</v>
      </c>
      <c r="I947">
        <v>0</v>
      </c>
      <c r="J947">
        <v>0</v>
      </c>
      <c r="K947" t="str">
        <f t="shared" si="263"/>
        <v>Y</v>
      </c>
      <c r="L947">
        <v>0</v>
      </c>
      <c r="M947" t="str">
        <f t="shared" si="264"/>
        <v>NIS</v>
      </c>
      <c r="N947" t="str">
        <f>"Y"</f>
        <v>Y</v>
      </c>
      <c r="O947">
        <v>15</v>
      </c>
      <c r="P947" t="str">
        <f t="shared" si="266"/>
        <v>Active</v>
      </c>
      <c r="Q947" t="str">
        <f>"100mm vice with angle adjustment"</f>
        <v>100mm vice with angle adjustment</v>
      </c>
      <c r="S947" t="str">
        <f>"100mm vice with angle adjustment"</f>
        <v>100mm vice with angle adjustment</v>
      </c>
      <c r="T947">
        <v>0</v>
      </c>
      <c r="U947">
        <v>70.25</v>
      </c>
      <c r="V947">
        <v>293.5</v>
      </c>
      <c r="W947" t="str">
        <f t="shared" si="265"/>
        <v>zintel</v>
      </c>
    </row>
    <row r="948" spans="1:23">
      <c r="A948" t="str">
        <f t="shared" si="267"/>
        <v>CNC-6000</v>
      </c>
      <c r="B948" t="str">
        <f>"63-6001-1000"</f>
        <v>63-6001-1000</v>
      </c>
      <c r="C948" t="str">
        <f>"-CNCMotion Simulation Sftwr for BenchMill 6000"</f>
        <v>-CNCMotion Simulation Sftwr for BenchMill 6000</v>
      </c>
      <c r="D948">
        <v>1</v>
      </c>
      <c r="E948" t="str">
        <f t="shared" si="268"/>
        <v>BenchMill 6000, CNC Milling Machine  with 4 tools ATC</v>
      </c>
      <c r="F948">
        <v>907</v>
      </c>
      <c r="G948" t="str">
        <f t="shared" si="262"/>
        <v>Y</v>
      </c>
      <c r="H948" t="str">
        <f t="shared" si="259"/>
        <v>EA</v>
      </c>
      <c r="I948">
        <v>0</v>
      </c>
      <c r="J948">
        <v>0</v>
      </c>
      <c r="K948" t="str">
        <f t="shared" si="263"/>
        <v>Y</v>
      </c>
      <c r="L948">
        <v>0</v>
      </c>
      <c r="M948" t="str">
        <f t="shared" si="264"/>
        <v>NIS</v>
      </c>
      <c r="O948">
        <v>17</v>
      </c>
      <c r="P948" t="str">
        <f t="shared" si="266"/>
        <v>Active</v>
      </c>
      <c r="Q948" t="str">
        <f>"CNCMotion Sim. Sftwr, BenchMill 6000"</f>
        <v>CNCMotion Sim. Sftwr, BenchMill 6000</v>
      </c>
      <c r="S948" t="str">
        <f>"CNCMotion Sim. Sftwr, BenchMill 6000"</f>
        <v>CNCMotion Sim. Sftwr, BenchMill 6000</v>
      </c>
      <c r="T948">
        <v>0</v>
      </c>
      <c r="U948">
        <v>10</v>
      </c>
      <c r="V948">
        <v>0</v>
      </c>
      <c r="W948" t="str">
        <f t="shared" si="265"/>
        <v>zintel</v>
      </c>
    </row>
    <row r="949" spans="1:23">
      <c r="A949" t="str">
        <f t="shared" si="267"/>
        <v>CNC-6000</v>
      </c>
      <c r="B949" t="str">
        <f>"10-9120-0000"</f>
        <v>10-9120-0000</v>
      </c>
      <c r="C949" t="str">
        <f>"Stock Package, Wax, 3” x 2” x 1.5”– 50 Pcs"</f>
        <v>Stock Package, Wax, 3” x 2” x 1.5”– 50 Pcs</v>
      </c>
      <c r="D949">
        <v>1</v>
      </c>
      <c r="E949" t="str">
        <f t="shared" si="268"/>
        <v>BenchMill 6000, CNC Milling Machine  with 4 tools ATC</v>
      </c>
      <c r="F949">
        <v>907</v>
      </c>
      <c r="G949" t="str">
        <f t="shared" si="262"/>
        <v>Y</v>
      </c>
      <c r="H949" t="str">
        <f t="shared" si="259"/>
        <v>EA</v>
      </c>
      <c r="I949">
        <v>0</v>
      </c>
      <c r="J949">
        <v>0</v>
      </c>
      <c r="K949" t="str">
        <f t="shared" si="263"/>
        <v>Y</v>
      </c>
      <c r="L949">
        <v>0</v>
      </c>
      <c r="M949" t="str">
        <f t="shared" si="264"/>
        <v>NIS</v>
      </c>
      <c r="O949">
        <v>16</v>
      </c>
      <c r="P949" t="str">
        <f t="shared" si="266"/>
        <v>Active</v>
      </c>
      <c r="Q949" t="str">
        <f>"Stock Package, Machinable Wax, Mill, 3""x2""x1.5"""</f>
        <v>Stock Package, Machinable Wax, Mill, 3"x2"x1.5"</v>
      </c>
      <c r="S949" t="str">
        <f>"Stock Package, Wax, 3” x 2” x 1.5”– 50 Pcs"</f>
        <v>Stock Package, Wax, 3” x 2” x 1.5”– 50 Pcs</v>
      </c>
      <c r="T949">
        <v>245</v>
      </c>
      <c r="U949">
        <v>242.73</v>
      </c>
      <c r="V949">
        <v>613.89</v>
      </c>
      <c r="W949" t="str">
        <f t="shared" si="265"/>
        <v>zintel</v>
      </c>
    </row>
    <row r="950" spans="1:23">
      <c r="A950" t="str">
        <f t="shared" ref="A950:A963" si="269">"CNC-6000-ADV-I"</f>
        <v>CNC-6000-ADV-I</v>
      </c>
      <c r="B950" t="str">
        <f>"00-5505-0110"</f>
        <v>00-5505-0110</v>
      </c>
      <c r="C950" t="str">
        <f>"CNC BenchMILL 6000, 110 VAC"</f>
        <v>CNC BenchMILL 6000, 110 VAC</v>
      </c>
      <c r="D950">
        <v>1</v>
      </c>
      <c r="E950" t="str">
        <f t="shared" ref="E950:E963" si="270">"BenchMILL 6000 Advanced Bundle, Imperial, 110/220 VAC"</f>
        <v>BenchMILL 6000 Advanced Bundle, Imperial, 110/220 VAC</v>
      </c>
      <c r="F950">
        <v>0</v>
      </c>
      <c r="G950" t="str">
        <f t="shared" si="262"/>
        <v>Y</v>
      </c>
      <c r="H950" t="str">
        <f t="shared" si="259"/>
        <v>EA</v>
      </c>
      <c r="I950">
        <v>0</v>
      </c>
      <c r="J950">
        <v>0</v>
      </c>
      <c r="K950" t="str">
        <f t="shared" si="263"/>
        <v>Y</v>
      </c>
      <c r="L950">
        <v>0</v>
      </c>
      <c r="M950" t="str">
        <f t="shared" si="264"/>
        <v>NIS</v>
      </c>
      <c r="O950">
        <v>1</v>
      </c>
      <c r="P950" t="str">
        <f t="shared" si="266"/>
        <v>Active</v>
      </c>
      <c r="Q950" t="str">
        <f>"CNC BenchMILL 6000, 110 VAC"</f>
        <v>CNC BenchMILL 6000, 110 VAC</v>
      </c>
      <c r="S950" t="str">
        <f>"CNC BenchMILL 6000, 110 VAC"</f>
        <v>CNC BenchMILL 6000, 110 VAC</v>
      </c>
      <c r="T950">
        <v>0</v>
      </c>
      <c r="U950" s="44">
        <v>4958</v>
      </c>
      <c r="V950" s="44">
        <v>4944</v>
      </c>
      <c r="W950" t="str">
        <f t="shared" si="265"/>
        <v>zintel</v>
      </c>
    </row>
    <row r="951" spans="1:23">
      <c r="A951" t="str">
        <f t="shared" si="269"/>
        <v>CNC-6000-ADV-I</v>
      </c>
      <c r="B951" t="str">
        <f>"10-1111-6000"</f>
        <v>10-1111-6000</v>
      </c>
      <c r="C951" t="str">
        <f>"4"" Vise"</f>
        <v>4" Vise</v>
      </c>
      <c r="D951">
        <v>1</v>
      </c>
      <c r="E951" t="str">
        <f t="shared" si="270"/>
        <v>BenchMILL 6000 Advanced Bundle, Imperial, 110/220 VAC</v>
      </c>
      <c r="F951">
        <v>0</v>
      </c>
      <c r="G951" t="str">
        <f t="shared" si="262"/>
        <v>Y</v>
      </c>
      <c r="H951" t="str">
        <f t="shared" si="259"/>
        <v>EA</v>
      </c>
      <c r="I951">
        <v>0</v>
      </c>
      <c r="J951">
        <v>0</v>
      </c>
      <c r="K951" t="str">
        <f t="shared" si="263"/>
        <v>Y</v>
      </c>
      <c r="L951">
        <v>0</v>
      </c>
      <c r="M951" t="str">
        <f t="shared" si="264"/>
        <v>NIS</v>
      </c>
      <c r="O951">
        <v>2</v>
      </c>
      <c r="P951" t="str">
        <f t="shared" si="266"/>
        <v>Active</v>
      </c>
      <c r="Q951" t="str">
        <f>"4"" Precision Maching Vise"</f>
        <v>4" Precision Maching Vise</v>
      </c>
      <c r="S951" t="str">
        <f>"4"" Precision Maching Vise"</f>
        <v>4" Precision Maching Vise</v>
      </c>
      <c r="T951">
        <v>0</v>
      </c>
      <c r="U951">
        <v>53</v>
      </c>
      <c r="V951">
        <v>49.5</v>
      </c>
      <c r="W951" t="str">
        <f t="shared" si="265"/>
        <v>zintel</v>
      </c>
    </row>
    <row r="952" spans="1:23">
      <c r="A952" t="str">
        <f t="shared" si="269"/>
        <v>CNC-6000-ADV-I</v>
      </c>
      <c r="B952" t="str">
        <f>"10-1111-5000"</f>
        <v>10-1111-5000</v>
      </c>
      <c r="C952" t="str">
        <f>"clamping kit 58 pcs set"</f>
        <v>clamping kit 58 pcs set</v>
      </c>
      <c r="D952">
        <v>1</v>
      </c>
      <c r="E952" t="str">
        <f t="shared" si="270"/>
        <v>BenchMILL 6000 Advanced Bundle, Imperial, 110/220 VAC</v>
      </c>
      <c r="F952">
        <v>0</v>
      </c>
      <c r="G952" t="str">
        <f t="shared" si="262"/>
        <v>Y</v>
      </c>
      <c r="H952" t="str">
        <f t="shared" si="259"/>
        <v>EA</v>
      </c>
      <c r="I952">
        <v>0</v>
      </c>
      <c r="J952">
        <v>0</v>
      </c>
      <c r="K952" t="str">
        <f t="shared" si="263"/>
        <v>Y</v>
      </c>
      <c r="L952">
        <v>0</v>
      </c>
      <c r="M952" t="str">
        <f t="shared" si="264"/>
        <v>NIS</v>
      </c>
      <c r="O952">
        <v>3</v>
      </c>
      <c r="P952" t="str">
        <f t="shared" si="266"/>
        <v>Active</v>
      </c>
      <c r="Q952" t="str">
        <f>"clamping kit 58 pcs set"</f>
        <v>clamping kit 58 pcs set</v>
      </c>
      <c r="S952" t="str">
        <f>"clamping kit 58 pcs set"</f>
        <v>clamping kit 58 pcs set</v>
      </c>
      <c r="T952">
        <v>0</v>
      </c>
      <c r="U952">
        <v>52</v>
      </c>
      <c r="V952">
        <v>51.72</v>
      </c>
      <c r="W952" t="str">
        <f t="shared" si="265"/>
        <v>zintel</v>
      </c>
    </row>
    <row r="953" spans="1:23">
      <c r="A953" t="str">
        <f t="shared" si="269"/>
        <v>CNC-6000-ADV-I</v>
      </c>
      <c r="B953" t="str">
        <f>"10-1111-9000"</f>
        <v>10-1111-9000</v>
      </c>
      <c r="C953" t="str">
        <f>"ISO 20 tool holder"</f>
        <v>ISO 20 tool holder</v>
      </c>
      <c r="D953">
        <v>1</v>
      </c>
      <c r="E953" t="str">
        <f t="shared" si="270"/>
        <v>BenchMILL 6000 Advanced Bundle, Imperial, 110/220 VAC</v>
      </c>
      <c r="F953">
        <v>0</v>
      </c>
      <c r="G953" t="str">
        <f t="shared" si="262"/>
        <v>Y</v>
      </c>
      <c r="H953" t="str">
        <f t="shared" si="259"/>
        <v>EA</v>
      </c>
      <c r="I953">
        <v>0</v>
      </c>
      <c r="J953">
        <v>0</v>
      </c>
      <c r="K953" t="str">
        <f t="shared" si="263"/>
        <v>Y</v>
      </c>
      <c r="L953">
        <v>0</v>
      </c>
      <c r="M953" t="str">
        <f t="shared" si="264"/>
        <v>NIS</v>
      </c>
      <c r="O953">
        <v>4</v>
      </c>
      <c r="P953" t="str">
        <f t="shared" si="266"/>
        <v>Active</v>
      </c>
      <c r="Q953" t="str">
        <f>"ISO 20 tool holder with nut"</f>
        <v>ISO 20 tool holder with nut</v>
      </c>
      <c r="S953" t="str">
        <f>"ISO 20 tool holder with nut"</f>
        <v>ISO 20 tool holder with nut</v>
      </c>
      <c r="T953">
        <v>0</v>
      </c>
      <c r="U953">
        <v>103</v>
      </c>
      <c r="V953">
        <v>103.19</v>
      </c>
      <c r="W953" t="str">
        <f t="shared" si="265"/>
        <v>zintel</v>
      </c>
    </row>
    <row r="954" spans="1:23">
      <c r="A954" t="str">
        <f t="shared" si="269"/>
        <v>CNC-6000-ADV-I</v>
      </c>
      <c r="B954" t="str">
        <f>"10-1113-5000"</f>
        <v>10-1113-5000</v>
      </c>
      <c r="C954" t="str">
        <f>"Imperial Advanced End Mill Package 5120"</f>
        <v>Imperial Advanced End Mill Package 5120</v>
      </c>
      <c r="D954">
        <v>1</v>
      </c>
      <c r="E954" t="str">
        <f t="shared" si="270"/>
        <v>BenchMILL 6000 Advanced Bundle, Imperial, 110/220 VAC</v>
      </c>
      <c r="F954">
        <v>0</v>
      </c>
      <c r="G954" t="str">
        <f t="shared" si="262"/>
        <v>Y</v>
      </c>
      <c r="H954" t="str">
        <f t="shared" si="259"/>
        <v>EA</v>
      </c>
      <c r="I954">
        <v>0</v>
      </c>
      <c r="J954">
        <v>0</v>
      </c>
      <c r="K954" t="str">
        <f t="shared" si="263"/>
        <v>Y</v>
      </c>
      <c r="L954">
        <v>0</v>
      </c>
      <c r="M954" t="str">
        <f t="shared" si="264"/>
        <v>NIS</v>
      </c>
      <c r="O954">
        <v>5</v>
      </c>
      <c r="P954" t="str">
        <f t="shared" si="266"/>
        <v>Active</v>
      </c>
      <c r="Q954" t="str">
        <f>"Imperial Advanced End Mill Package 5120"</f>
        <v>Imperial Advanced End Mill Package 5120</v>
      </c>
      <c r="S954" t="str">
        <f>"Imperial Advanced End Mill Package 5120"</f>
        <v>Imperial Advanced End Mill Package 5120</v>
      </c>
      <c r="T954">
        <v>0</v>
      </c>
      <c r="U954">
        <v>64</v>
      </c>
      <c r="V954">
        <v>64</v>
      </c>
      <c r="W954" t="str">
        <f t="shared" si="265"/>
        <v>zintel</v>
      </c>
    </row>
    <row r="955" spans="1:23">
      <c r="A955" t="str">
        <f t="shared" si="269"/>
        <v>CNC-6000-ADV-I</v>
      </c>
      <c r="B955" t="str">
        <f>"10-1112-2000"</f>
        <v>10-1112-2000</v>
      </c>
      <c r="C955" t="str">
        <f>"ER16 Collet set-8 pieces(3,4,5,6,7,8,9 and 10mm)"</f>
        <v>ER16 Collet set-8 pieces(3,4,5,6,7,8,9 and 10mm)</v>
      </c>
      <c r="D955">
        <v>1</v>
      </c>
      <c r="E955" t="str">
        <f t="shared" si="270"/>
        <v>BenchMILL 6000 Advanced Bundle, Imperial, 110/220 VAC</v>
      </c>
      <c r="F955">
        <v>0</v>
      </c>
      <c r="G955" t="str">
        <f t="shared" si="262"/>
        <v>Y</v>
      </c>
      <c r="H955" t="str">
        <f t="shared" si="259"/>
        <v>EA</v>
      </c>
      <c r="I955">
        <v>0</v>
      </c>
      <c r="J955">
        <v>0</v>
      </c>
      <c r="K955" t="str">
        <f t="shared" si="263"/>
        <v>Y</v>
      </c>
      <c r="L955">
        <v>0</v>
      </c>
      <c r="M955" t="str">
        <f t="shared" si="264"/>
        <v>NIS</v>
      </c>
      <c r="O955">
        <v>6</v>
      </c>
      <c r="P955" t="str">
        <f t="shared" si="266"/>
        <v>Active</v>
      </c>
      <c r="Q955" t="str">
        <f>"ER16 Collet set-8 pieces(3,4,5,6,7,8,9 and 10mm)"</f>
        <v>ER16 Collet set-8 pieces(3,4,5,6,7,8,9 and 10mm)</v>
      </c>
      <c r="S955" t="str">
        <f>"ER16 Collet set-8 pieces(3,4,5,6,7,8,9 and 10mm)"</f>
        <v>ER16 Collet set-8 pieces(3,4,5,6,7,8,9 and 10mm)</v>
      </c>
      <c r="T955">
        <v>0</v>
      </c>
      <c r="U955">
        <v>71</v>
      </c>
      <c r="V955">
        <v>64.84</v>
      </c>
      <c r="W955" t="str">
        <f t="shared" si="265"/>
        <v>zintel</v>
      </c>
    </row>
    <row r="956" spans="1:23">
      <c r="A956" t="str">
        <f t="shared" si="269"/>
        <v>CNC-6000-ADV-I</v>
      </c>
      <c r="B956" t="str">
        <f>"10-1115-2000"</f>
        <v>10-1115-2000</v>
      </c>
      <c r="C956" t="str">
        <f>"- Table mounted ATC package"</f>
        <v>- Table mounted ATC package</v>
      </c>
      <c r="D956">
        <v>1</v>
      </c>
      <c r="E956" t="str">
        <f t="shared" si="270"/>
        <v>BenchMILL 6000 Advanced Bundle, Imperial, 110/220 VAC</v>
      </c>
      <c r="F956">
        <v>0</v>
      </c>
      <c r="G956" t="str">
        <f t="shared" si="262"/>
        <v>Y</v>
      </c>
      <c r="H956" t="str">
        <f t="shared" si="259"/>
        <v>EA</v>
      </c>
      <c r="I956">
        <v>0</v>
      </c>
      <c r="J956">
        <v>0</v>
      </c>
      <c r="K956" t="str">
        <f t="shared" si="263"/>
        <v>Y</v>
      </c>
      <c r="L956">
        <v>0</v>
      </c>
      <c r="M956" t="str">
        <f t="shared" si="264"/>
        <v>NIS</v>
      </c>
      <c r="O956">
        <v>7</v>
      </c>
      <c r="P956" t="str">
        <f t="shared" si="266"/>
        <v>Active</v>
      </c>
      <c r="Q956" t="str">
        <f>"Table mounted ATC package"</f>
        <v>Table mounted ATC package</v>
      </c>
      <c r="S956" t="str">
        <f>"Table mounted ATC package"</f>
        <v>Table mounted ATC package</v>
      </c>
      <c r="T956">
        <v>0</v>
      </c>
      <c r="U956">
        <v>690</v>
      </c>
      <c r="V956">
        <v>690.59</v>
      </c>
      <c r="W956" t="str">
        <f t="shared" si="265"/>
        <v>zintel</v>
      </c>
    </row>
    <row r="957" spans="1:23">
      <c r="A957" t="str">
        <f t="shared" si="269"/>
        <v>CNC-6000-ADV-I</v>
      </c>
      <c r="B957" t="str">
        <f>"10-1111-1000"</f>
        <v>10-1111-1000</v>
      </c>
      <c r="C957" t="str">
        <f>"- Handwheel - Manual Control"</f>
        <v>- Handwheel - Manual Control</v>
      </c>
      <c r="D957">
        <v>1</v>
      </c>
      <c r="E957" t="str">
        <f t="shared" si="270"/>
        <v>BenchMILL 6000 Advanced Bundle, Imperial, 110/220 VAC</v>
      </c>
      <c r="F957">
        <v>0</v>
      </c>
      <c r="G957" t="str">
        <f t="shared" si="262"/>
        <v>Y</v>
      </c>
      <c r="H957" t="str">
        <f t="shared" si="259"/>
        <v>EA</v>
      </c>
      <c r="I957">
        <v>0</v>
      </c>
      <c r="J957">
        <v>0</v>
      </c>
      <c r="K957" t="str">
        <f t="shared" si="263"/>
        <v>Y</v>
      </c>
      <c r="L957">
        <v>0</v>
      </c>
      <c r="M957" t="str">
        <f t="shared" si="264"/>
        <v>NIS</v>
      </c>
      <c r="O957">
        <v>8</v>
      </c>
      <c r="P957" t="str">
        <f t="shared" si="266"/>
        <v>Active</v>
      </c>
      <c r="Q957" t="str">
        <f>"Jog Pendant Handwheel"</f>
        <v>Jog Pendant Handwheel</v>
      </c>
      <c r="S957" t="str">
        <f>"Jog Pendant Handwheel"</f>
        <v>Jog Pendant Handwheel</v>
      </c>
      <c r="T957">
        <v>0</v>
      </c>
      <c r="U957">
        <v>235</v>
      </c>
      <c r="V957">
        <v>235.03</v>
      </c>
      <c r="W957" t="str">
        <f t="shared" si="265"/>
        <v>zintel</v>
      </c>
    </row>
    <row r="958" spans="1:23">
      <c r="A958" t="str">
        <f t="shared" si="269"/>
        <v>CNC-6000-ADV-I</v>
      </c>
      <c r="B958" t="str">
        <f>"10-1108-1110"</f>
        <v>10-1108-1110</v>
      </c>
      <c r="C958" t="str">
        <f>"- Coolant system 27L - 110V"</f>
        <v>- Coolant system 27L - 110V</v>
      </c>
      <c r="D958">
        <v>1</v>
      </c>
      <c r="E958" t="str">
        <f t="shared" si="270"/>
        <v>BenchMILL 6000 Advanced Bundle, Imperial, 110/220 VAC</v>
      </c>
      <c r="F958">
        <v>0</v>
      </c>
      <c r="G958" t="str">
        <f t="shared" si="262"/>
        <v>Y</v>
      </c>
      <c r="H958" t="str">
        <f t="shared" si="259"/>
        <v>EA</v>
      </c>
      <c r="I958">
        <v>0</v>
      </c>
      <c r="J958">
        <v>0</v>
      </c>
      <c r="K958" t="str">
        <f t="shared" si="263"/>
        <v>Y</v>
      </c>
      <c r="L958">
        <v>0</v>
      </c>
      <c r="M958" t="str">
        <f t="shared" si="264"/>
        <v>NIS</v>
      </c>
      <c r="O958">
        <v>9</v>
      </c>
      <c r="P958" t="str">
        <f t="shared" si="266"/>
        <v>Active</v>
      </c>
      <c r="Q958" t="str">
        <f>"Coolant system 27L - 110V"</f>
        <v>Coolant system 27L - 110V</v>
      </c>
      <c r="S958" t="str">
        <f>"Coolant system 27L - 110V"</f>
        <v>Coolant system 27L - 110V</v>
      </c>
      <c r="T958">
        <v>0</v>
      </c>
      <c r="U958">
        <v>132</v>
      </c>
      <c r="V958">
        <v>132</v>
      </c>
      <c r="W958" t="str">
        <f t="shared" si="265"/>
        <v>zintel</v>
      </c>
    </row>
    <row r="959" spans="1:23">
      <c r="A959" t="str">
        <f t="shared" si="269"/>
        <v>CNC-6000-ADV-I</v>
      </c>
      <c r="B959" t="str">
        <f>"10-1109-3000"</f>
        <v>10-1109-3000</v>
      </c>
      <c r="C959" t="str">
        <f>"- 80mm 3-jaw chuck"</f>
        <v>- 80mm 3-jaw chuck</v>
      </c>
      <c r="D959">
        <v>1</v>
      </c>
      <c r="E959" t="str">
        <f t="shared" si="270"/>
        <v>BenchMILL 6000 Advanced Bundle, Imperial, 110/220 VAC</v>
      </c>
      <c r="F959">
        <v>0</v>
      </c>
      <c r="G959" t="str">
        <f t="shared" si="262"/>
        <v>Y</v>
      </c>
      <c r="H959" t="str">
        <f t="shared" si="259"/>
        <v>EA</v>
      </c>
      <c r="I959">
        <v>0</v>
      </c>
      <c r="J959">
        <v>0</v>
      </c>
      <c r="K959" t="str">
        <f t="shared" si="263"/>
        <v>Y</v>
      </c>
      <c r="L959">
        <v>0</v>
      </c>
      <c r="M959" t="str">
        <f t="shared" si="264"/>
        <v>NIS</v>
      </c>
      <c r="O959">
        <v>11</v>
      </c>
      <c r="P959" t="str">
        <f t="shared" si="266"/>
        <v>Active</v>
      </c>
      <c r="Q959" t="str">
        <f>"80mm 3-jaw chuck"</f>
        <v>80mm 3-jaw chuck</v>
      </c>
      <c r="S959" t="str">
        <f>"80mm 3-jaw chuck"</f>
        <v>80mm 3-jaw chuck</v>
      </c>
      <c r="T959">
        <v>0</v>
      </c>
      <c r="U959">
        <v>53</v>
      </c>
      <c r="V959">
        <v>52.35</v>
      </c>
      <c r="W959" t="str">
        <f t="shared" si="265"/>
        <v>zintel</v>
      </c>
    </row>
    <row r="960" spans="1:23">
      <c r="A960" t="str">
        <f t="shared" si="269"/>
        <v>CNC-6000-ADV-I</v>
      </c>
      <c r="B960" t="str">
        <f>"10-1113-7000"</f>
        <v>10-1113-7000</v>
      </c>
      <c r="C960" t="str">
        <f>"- Imperial Engraving Package 5710"</f>
        <v>- Imperial Engraving Package 5710</v>
      </c>
      <c r="D960">
        <v>1</v>
      </c>
      <c r="E960" t="str">
        <f t="shared" si="270"/>
        <v>BenchMILL 6000 Advanced Bundle, Imperial, 110/220 VAC</v>
      </c>
      <c r="F960">
        <v>0</v>
      </c>
      <c r="G960" t="str">
        <f t="shared" si="262"/>
        <v>Y</v>
      </c>
      <c r="H960" t="str">
        <f t="shared" ref="H960:H1023" si="271">"EA"</f>
        <v>EA</v>
      </c>
      <c r="I960">
        <v>0</v>
      </c>
      <c r="J960">
        <v>0</v>
      </c>
      <c r="K960" t="str">
        <f t="shared" si="263"/>
        <v>Y</v>
      </c>
      <c r="L960">
        <v>0</v>
      </c>
      <c r="M960" t="str">
        <f t="shared" si="264"/>
        <v>NIS</v>
      </c>
      <c r="O960">
        <v>12</v>
      </c>
      <c r="P960" t="str">
        <f t="shared" si="266"/>
        <v>Active</v>
      </c>
      <c r="Q960" t="str">
        <f>"Imperial Engraving Package 5710"</f>
        <v>Imperial Engraving Package 5710</v>
      </c>
      <c r="S960" t="str">
        <f>"Imperial Engraving Package 5710"</f>
        <v>Imperial Engraving Package 5710</v>
      </c>
      <c r="T960">
        <v>0</v>
      </c>
      <c r="U960">
        <v>41</v>
      </c>
      <c r="V960">
        <v>41</v>
      </c>
      <c r="W960" t="str">
        <f t="shared" si="265"/>
        <v>zintel</v>
      </c>
    </row>
    <row r="961" spans="1:23">
      <c r="A961" t="str">
        <f t="shared" si="269"/>
        <v>CNC-6000-ADV-I</v>
      </c>
      <c r="B961" t="str">
        <f>"10-9120-0000"</f>
        <v>10-9120-0000</v>
      </c>
      <c r="C961" t="str">
        <f>"Stock Package, Wax, 3” x 2” x 1.5”– 50 Pcs"</f>
        <v>Stock Package, Wax, 3” x 2” x 1.5”– 50 Pcs</v>
      </c>
      <c r="D961">
        <v>1</v>
      </c>
      <c r="E961" t="str">
        <f t="shared" si="270"/>
        <v>BenchMILL 6000 Advanced Bundle, Imperial, 110/220 VAC</v>
      </c>
      <c r="F961">
        <v>0</v>
      </c>
      <c r="G961" t="str">
        <f t="shared" si="262"/>
        <v>Y</v>
      </c>
      <c r="H961" t="str">
        <f t="shared" si="271"/>
        <v>EA</v>
      </c>
      <c r="I961">
        <v>0</v>
      </c>
      <c r="J961">
        <v>0</v>
      </c>
      <c r="K961" t="str">
        <f t="shared" si="263"/>
        <v>Y</v>
      </c>
      <c r="L961">
        <v>0</v>
      </c>
      <c r="M961" t="str">
        <f t="shared" si="264"/>
        <v>NIS</v>
      </c>
      <c r="O961">
        <v>13</v>
      </c>
      <c r="P961" t="str">
        <f t="shared" si="266"/>
        <v>Active</v>
      </c>
      <c r="Q961" t="str">
        <f>"Stock Package, WaxStock Pa3” x 2” x 1.5”– 50 Pcs"</f>
        <v>Stock Package, WaxStock Pa3” x 2” x 1.5”– 50 Pcs</v>
      </c>
      <c r="S961" t="str">
        <f>"Stock Package, Wax, 3” x 2” x 1.5”– 50 Pcs"</f>
        <v>Stock Package, Wax, 3” x 2” x 1.5”– 50 Pcs</v>
      </c>
      <c r="T961">
        <v>245</v>
      </c>
      <c r="U961">
        <v>242.73</v>
      </c>
      <c r="V961">
        <v>613.89</v>
      </c>
      <c r="W961" t="str">
        <f t="shared" si="265"/>
        <v>zintel</v>
      </c>
    </row>
    <row r="962" spans="1:23">
      <c r="A962" t="str">
        <f t="shared" si="269"/>
        <v>CNC-6000-ADV-I</v>
      </c>
      <c r="B962" t="str">
        <f>"77-3140-0001"</f>
        <v>77-3140-0001</v>
      </c>
      <c r="C962" t="str">
        <f>"LM7 Content, Vir, CNC Milling w/BenchMill 6000"</f>
        <v>LM7 Content, Vir, CNC Milling w/BenchMill 6000</v>
      </c>
      <c r="D962">
        <v>1</v>
      </c>
      <c r="E962" t="str">
        <f t="shared" si="270"/>
        <v>BenchMILL 6000 Advanced Bundle, Imperial, 110/220 VAC</v>
      </c>
      <c r="F962">
        <v>0</v>
      </c>
      <c r="G962" t="str">
        <f t="shared" ref="G962:G1025" si="272">"Y"</f>
        <v>Y</v>
      </c>
      <c r="H962" t="str">
        <f t="shared" si="271"/>
        <v>EA</v>
      </c>
      <c r="I962">
        <v>0</v>
      </c>
      <c r="J962">
        <v>0</v>
      </c>
      <c r="K962" t="str">
        <f t="shared" ref="K962:K1025" si="273">"Y"</f>
        <v>Y</v>
      </c>
      <c r="L962">
        <v>0</v>
      </c>
      <c r="M962" t="str">
        <f t="shared" ref="M962:M1025" si="274">"NIS"</f>
        <v>NIS</v>
      </c>
      <c r="O962">
        <v>14</v>
      </c>
      <c r="P962" t="str">
        <f t="shared" si="266"/>
        <v>Active</v>
      </c>
      <c r="Q962" t="str">
        <f>"LM7 Content, Vir, CNC Milling w/BenchMill 6000"</f>
        <v>LM7 Content, Vir, CNC Milling w/BenchMill 6000</v>
      </c>
      <c r="S962" t="str">
        <f>"LM7 Content, Vir, CNC Milling w/BenchMill 6000"</f>
        <v>LM7 Content, Vir, CNC Milling w/BenchMill 6000</v>
      </c>
      <c r="T962">
        <v>0</v>
      </c>
      <c r="U962">
        <v>5</v>
      </c>
      <c r="V962">
        <v>5</v>
      </c>
      <c r="W962" t="str">
        <f t="shared" si="265"/>
        <v>zintel</v>
      </c>
    </row>
    <row r="963" spans="1:23">
      <c r="A963" t="str">
        <f t="shared" si="269"/>
        <v>CNC-6000-ADV-I</v>
      </c>
      <c r="B963" t="str">
        <f>"10-1108-8000"</f>
        <v>10-1108-8000</v>
      </c>
      <c r="C963" t="str">
        <f>"- 4th Axis rotary worktable with tailstock"</f>
        <v>- 4th Axis rotary worktable with tailstock</v>
      </c>
      <c r="D963">
        <v>1</v>
      </c>
      <c r="E963" t="str">
        <f t="shared" si="270"/>
        <v>BenchMILL 6000 Advanced Bundle, Imperial, 110/220 VAC</v>
      </c>
      <c r="F963">
        <v>0</v>
      </c>
      <c r="G963" t="str">
        <f t="shared" si="272"/>
        <v>Y</v>
      </c>
      <c r="H963" t="str">
        <f t="shared" si="271"/>
        <v>EA</v>
      </c>
      <c r="I963">
        <v>0</v>
      </c>
      <c r="J963">
        <v>0</v>
      </c>
      <c r="K963" t="str">
        <f t="shared" si="273"/>
        <v>Y</v>
      </c>
      <c r="L963">
        <v>0</v>
      </c>
      <c r="M963" t="str">
        <f t="shared" si="274"/>
        <v>NIS</v>
      </c>
      <c r="O963">
        <v>15</v>
      </c>
      <c r="P963" t="str">
        <f t="shared" si="266"/>
        <v>Active</v>
      </c>
      <c r="Q963" t="str">
        <f>"100mm rotary worktable (4th axis) with tailstock"</f>
        <v>100mm rotary worktable (4th axis) with tailstock</v>
      </c>
      <c r="S963" t="str">
        <f>"100mm rotary worktable (4th axis) with tailstock"</f>
        <v>100mm rotary worktable (4th axis) with tailstock</v>
      </c>
      <c r="T963">
        <v>0</v>
      </c>
      <c r="U963">
        <v>614.64</v>
      </c>
      <c r="V963">
        <v>594.83000000000004</v>
      </c>
      <c r="W963" t="str">
        <f t="shared" si="265"/>
        <v>zintel</v>
      </c>
    </row>
    <row r="964" spans="1:23">
      <c r="A964" t="str">
        <f t="shared" ref="A964:A972" si="275">"CNC-6000-ADV-IMP"</f>
        <v>CNC-6000-ADV-IMP</v>
      </c>
      <c r="B964" t="str">
        <f>"00-5505-0110"</f>
        <v>00-5505-0110</v>
      </c>
      <c r="C964" t="str">
        <f>"CNC BenchMILL 6000, 110 VAC"</f>
        <v>CNC BenchMILL 6000, 110 VAC</v>
      </c>
      <c r="D964">
        <v>1</v>
      </c>
      <c r="E964" t="str">
        <f t="shared" ref="E964:E972" si="276">"BenchMILL 6000 Advanced bundle, Imperial (110/220 VAC)"</f>
        <v>BenchMILL 6000 Advanced bundle, Imperial (110/220 VAC)</v>
      </c>
      <c r="F964">
        <v>0</v>
      </c>
      <c r="G964" t="str">
        <f t="shared" si="272"/>
        <v>Y</v>
      </c>
      <c r="H964" t="str">
        <f t="shared" si="271"/>
        <v>EA</v>
      </c>
      <c r="I964">
        <v>0</v>
      </c>
      <c r="J964">
        <v>0</v>
      </c>
      <c r="K964" t="str">
        <f t="shared" si="273"/>
        <v>Y</v>
      </c>
      <c r="L964">
        <v>0</v>
      </c>
      <c r="M964" t="str">
        <f t="shared" si="274"/>
        <v>NIS</v>
      </c>
      <c r="O964">
        <v>1</v>
      </c>
      <c r="P964" t="str">
        <f t="shared" si="266"/>
        <v>Active</v>
      </c>
      <c r="Q964" t="str">
        <f>"CNC BenchMILL 6000, 110 VAC"</f>
        <v>CNC BenchMILL 6000, 110 VAC</v>
      </c>
      <c r="S964" t="str">
        <f>"CNC BenchMILL 6000, 110 VAC"</f>
        <v>CNC BenchMILL 6000, 110 VAC</v>
      </c>
      <c r="T964">
        <v>0</v>
      </c>
      <c r="U964" s="44">
        <v>4958</v>
      </c>
      <c r="V964" s="44">
        <v>4944</v>
      </c>
      <c r="W964" t="str">
        <f t="shared" si="265"/>
        <v>zintel</v>
      </c>
    </row>
    <row r="965" spans="1:23">
      <c r="A965" t="str">
        <f t="shared" si="275"/>
        <v>CNC-6000-ADV-IMP</v>
      </c>
      <c r="B965" t="str">
        <f>"10-1111-6000"</f>
        <v>10-1111-6000</v>
      </c>
      <c r="C965" t="str">
        <f>"4"" Vise"</f>
        <v>4" Vise</v>
      </c>
      <c r="D965">
        <v>1</v>
      </c>
      <c r="E965" t="str">
        <f t="shared" si="276"/>
        <v>BenchMILL 6000 Advanced bundle, Imperial (110/220 VAC)</v>
      </c>
      <c r="F965">
        <v>0</v>
      </c>
      <c r="G965" t="str">
        <f t="shared" si="272"/>
        <v>Y</v>
      </c>
      <c r="H965" t="str">
        <f t="shared" si="271"/>
        <v>EA</v>
      </c>
      <c r="I965">
        <v>0</v>
      </c>
      <c r="J965">
        <v>0</v>
      </c>
      <c r="K965" t="str">
        <f t="shared" si="273"/>
        <v>Y</v>
      </c>
      <c r="L965">
        <v>0</v>
      </c>
      <c r="M965" t="str">
        <f t="shared" si="274"/>
        <v>NIS</v>
      </c>
      <c r="O965">
        <v>2</v>
      </c>
      <c r="P965" t="str">
        <f t="shared" si="266"/>
        <v>Active</v>
      </c>
      <c r="Q965" t="str">
        <f>"4"" Precision Maching Vise"</f>
        <v>4" Precision Maching Vise</v>
      </c>
      <c r="S965" t="str">
        <f>"4"" Precision Maching Vise"</f>
        <v>4" Precision Maching Vise</v>
      </c>
      <c r="T965">
        <v>0</v>
      </c>
      <c r="U965">
        <v>53</v>
      </c>
      <c r="V965">
        <v>49.5</v>
      </c>
      <c r="W965" t="str">
        <f t="shared" si="265"/>
        <v>zintel</v>
      </c>
    </row>
    <row r="966" spans="1:23">
      <c r="A966" t="str">
        <f t="shared" si="275"/>
        <v>CNC-6000-ADV-IMP</v>
      </c>
      <c r="B966" t="str">
        <f>"10-1111-5000"</f>
        <v>10-1111-5000</v>
      </c>
      <c r="C966" t="str">
        <f>"clamping kit 58 pcs set"</f>
        <v>clamping kit 58 pcs set</v>
      </c>
      <c r="D966">
        <v>1</v>
      </c>
      <c r="E966" t="str">
        <f t="shared" si="276"/>
        <v>BenchMILL 6000 Advanced bundle, Imperial (110/220 VAC)</v>
      </c>
      <c r="F966">
        <v>0</v>
      </c>
      <c r="G966" t="str">
        <f t="shared" si="272"/>
        <v>Y</v>
      </c>
      <c r="H966" t="str">
        <f t="shared" si="271"/>
        <v>EA</v>
      </c>
      <c r="I966">
        <v>0</v>
      </c>
      <c r="J966">
        <v>0</v>
      </c>
      <c r="K966" t="str">
        <f t="shared" si="273"/>
        <v>Y</v>
      </c>
      <c r="L966">
        <v>0</v>
      </c>
      <c r="M966" t="str">
        <f t="shared" si="274"/>
        <v>NIS</v>
      </c>
      <c r="O966">
        <v>3</v>
      </c>
      <c r="P966" t="str">
        <f t="shared" si="266"/>
        <v>Active</v>
      </c>
      <c r="Q966" t="str">
        <f>"clamping kit 58 pcs set"</f>
        <v>clamping kit 58 pcs set</v>
      </c>
      <c r="S966" t="str">
        <f>"clamping kit 58 pcs set"</f>
        <v>clamping kit 58 pcs set</v>
      </c>
      <c r="T966">
        <v>0</v>
      </c>
      <c r="U966">
        <v>52</v>
      </c>
      <c r="V966">
        <v>51.72</v>
      </c>
      <c r="W966" t="str">
        <f t="shared" si="265"/>
        <v>zintel</v>
      </c>
    </row>
    <row r="967" spans="1:23">
      <c r="A967" t="str">
        <f t="shared" si="275"/>
        <v>CNC-6000-ADV-IMP</v>
      </c>
      <c r="B967" t="str">
        <f>"10-1111-9000"</f>
        <v>10-1111-9000</v>
      </c>
      <c r="C967" t="str">
        <f>"ISO 20 tool holder"</f>
        <v>ISO 20 tool holder</v>
      </c>
      <c r="D967">
        <v>1</v>
      </c>
      <c r="E967" t="str">
        <f t="shared" si="276"/>
        <v>BenchMILL 6000 Advanced bundle, Imperial (110/220 VAC)</v>
      </c>
      <c r="F967">
        <v>0</v>
      </c>
      <c r="G967" t="str">
        <f t="shared" si="272"/>
        <v>Y</v>
      </c>
      <c r="H967" t="str">
        <f t="shared" si="271"/>
        <v>EA</v>
      </c>
      <c r="I967">
        <v>0</v>
      </c>
      <c r="J967">
        <v>0</v>
      </c>
      <c r="K967" t="str">
        <f t="shared" si="273"/>
        <v>Y</v>
      </c>
      <c r="L967">
        <v>0</v>
      </c>
      <c r="M967" t="str">
        <f t="shared" si="274"/>
        <v>NIS</v>
      </c>
      <c r="O967">
        <v>4</v>
      </c>
      <c r="P967" t="str">
        <f t="shared" si="266"/>
        <v>Active</v>
      </c>
      <c r="Q967" t="str">
        <f>"ISO 20 tool holder with nut"</f>
        <v>ISO 20 tool holder with nut</v>
      </c>
      <c r="S967" t="str">
        <f>"ISO 20 tool holder with nut"</f>
        <v>ISO 20 tool holder with nut</v>
      </c>
      <c r="T967">
        <v>0</v>
      </c>
      <c r="U967">
        <v>103</v>
      </c>
      <c r="V967">
        <v>103.19</v>
      </c>
      <c r="W967" t="str">
        <f t="shared" si="265"/>
        <v>zintel</v>
      </c>
    </row>
    <row r="968" spans="1:23">
      <c r="A968" t="str">
        <f t="shared" si="275"/>
        <v>CNC-6000-ADV-IMP</v>
      </c>
      <c r="B968" t="str">
        <f>"10-1113-5000"</f>
        <v>10-1113-5000</v>
      </c>
      <c r="C968" t="str">
        <f>"Imperial Advanced End Mill Package 5120"</f>
        <v>Imperial Advanced End Mill Package 5120</v>
      </c>
      <c r="D968">
        <v>1</v>
      </c>
      <c r="E968" t="str">
        <f t="shared" si="276"/>
        <v>BenchMILL 6000 Advanced bundle, Imperial (110/220 VAC)</v>
      </c>
      <c r="F968">
        <v>0</v>
      </c>
      <c r="G968" t="str">
        <f t="shared" si="272"/>
        <v>Y</v>
      </c>
      <c r="H968" t="str">
        <f t="shared" si="271"/>
        <v>EA</v>
      </c>
      <c r="I968">
        <v>0</v>
      </c>
      <c r="J968">
        <v>0</v>
      </c>
      <c r="K968" t="str">
        <f t="shared" si="273"/>
        <v>Y</v>
      </c>
      <c r="L968">
        <v>0</v>
      </c>
      <c r="M968" t="str">
        <f t="shared" si="274"/>
        <v>NIS</v>
      </c>
      <c r="O968">
        <v>5</v>
      </c>
      <c r="P968" t="str">
        <f t="shared" si="266"/>
        <v>Active</v>
      </c>
      <c r="Q968" t="str">
        <f>"Imperial Advanced End Mill Package 5120"</f>
        <v>Imperial Advanced End Mill Package 5120</v>
      </c>
      <c r="S968" t="str">
        <f>"Imperial Advanced End Mill Package 5120"</f>
        <v>Imperial Advanced End Mill Package 5120</v>
      </c>
      <c r="T968">
        <v>0</v>
      </c>
      <c r="U968">
        <v>64</v>
      </c>
      <c r="V968">
        <v>64</v>
      </c>
      <c r="W968" t="str">
        <f t="shared" si="265"/>
        <v>zintel</v>
      </c>
    </row>
    <row r="969" spans="1:23">
      <c r="A969" t="str">
        <f t="shared" si="275"/>
        <v>CNC-6000-ADV-IMP</v>
      </c>
      <c r="B969" t="str">
        <f>"10-1115-2000"</f>
        <v>10-1115-2000</v>
      </c>
      <c r="C969" t="str">
        <f>"- Table mounted ATC package"</f>
        <v>- Table mounted ATC package</v>
      </c>
      <c r="D969">
        <v>1</v>
      </c>
      <c r="E969" t="str">
        <f t="shared" si="276"/>
        <v>BenchMILL 6000 Advanced bundle, Imperial (110/220 VAC)</v>
      </c>
      <c r="F969">
        <v>0</v>
      </c>
      <c r="G969" t="str">
        <f t="shared" si="272"/>
        <v>Y</v>
      </c>
      <c r="H969" t="str">
        <f t="shared" si="271"/>
        <v>EA</v>
      </c>
      <c r="I969">
        <v>0</v>
      </c>
      <c r="J969">
        <v>0</v>
      </c>
      <c r="K969" t="str">
        <f t="shared" si="273"/>
        <v>Y</v>
      </c>
      <c r="L969">
        <v>0</v>
      </c>
      <c r="M969" t="str">
        <f t="shared" si="274"/>
        <v>NIS</v>
      </c>
      <c r="O969">
        <v>6</v>
      </c>
      <c r="P969" t="str">
        <f t="shared" si="266"/>
        <v>Active</v>
      </c>
      <c r="Q969" t="str">
        <f>"Table mounted ATC package"</f>
        <v>Table mounted ATC package</v>
      </c>
      <c r="S969" t="str">
        <f>"Table mounted ATC package"</f>
        <v>Table mounted ATC package</v>
      </c>
      <c r="T969">
        <v>0</v>
      </c>
      <c r="U969">
        <v>690</v>
      </c>
      <c r="V969">
        <v>690.59</v>
      </c>
      <c r="W969" t="str">
        <f t="shared" si="265"/>
        <v>zintel</v>
      </c>
    </row>
    <row r="970" spans="1:23">
      <c r="A970" t="str">
        <f t="shared" si="275"/>
        <v>CNC-6000-ADV-IMP</v>
      </c>
      <c r="B970" t="str">
        <f>"10-1111-1000"</f>
        <v>10-1111-1000</v>
      </c>
      <c r="C970" t="str">
        <f>"- Handwheel - Manual Control"</f>
        <v>- Handwheel - Manual Control</v>
      </c>
      <c r="D970">
        <v>1</v>
      </c>
      <c r="E970" t="str">
        <f t="shared" si="276"/>
        <v>BenchMILL 6000 Advanced bundle, Imperial (110/220 VAC)</v>
      </c>
      <c r="F970">
        <v>0</v>
      </c>
      <c r="G970" t="str">
        <f t="shared" si="272"/>
        <v>Y</v>
      </c>
      <c r="H970" t="str">
        <f t="shared" si="271"/>
        <v>EA</v>
      </c>
      <c r="I970">
        <v>0</v>
      </c>
      <c r="J970">
        <v>0</v>
      </c>
      <c r="K970" t="str">
        <f t="shared" si="273"/>
        <v>Y</v>
      </c>
      <c r="L970">
        <v>0</v>
      </c>
      <c r="M970" t="str">
        <f t="shared" si="274"/>
        <v>NIS</v>
      </c>
      <c r="O970">
        <v>7</v>
      </c>
      <c r="P970" t="str">
        <f t="shared" si="266"/>
        <v>Active</v>
      </c>
      <c r="Q970" t="str">
        <f>"Jog Pendant Handwheel"</f>
        <v>Jog Pendant Handwheel</v>
      </c>
      <c r="S970" t="str">
        <f>"Jog Pendant Handwheel"</f>
        <v>Jog Pendant Handwheel</v>
      </c>
      <c r="T970">
        <v>0</v>
      </c>
      <c r="U970">
        <v>235</v>
      </c>
      <c r="V970">
        <v>235.03</v>
      </c>
      <c r="W970" t="str">
        <f t="shared" si="265"/>
        <v>zintel</v>
      </c>
    </row>
    <row r="971" spans="1:23">
      <c r="A971" t="str">
        <f t="shared" si="275"/>
        <v>CNC-6000-ADV-IMP</v>
      </c>
      <c r="B971" t="str">
        <f>"10-9120-0000"</f>
        <v>10-9120-0000</v>
      </c>
      <c r="C971" t="str">
        <f>"Stock Package, Wax, 3” x 2” x 1.5”– 50 Pcs"</f>
        <v>Stock Package, Wax, 3” x 2” x 1.5”– 50 Pcs</v>
      </c>
      <c r="D971">
        <v>1</v>
      </c>
      <c r="E971" t="str">
        <f t="shared" si="276"/>
        <v>BenchMILL 6000 Advanced bundle, Imperial (110/220 VAC)</v>
      </c>
      <c r="F971">
        <v>0</v>
      </c>
      <c r="G971" t="str">
        <f t="shared" si="272"/>
        <v>Y</v>
      </c>
      <c r="H971" t="str">
        <f t="shared" si="271"/>
        <v>EA</v>
      </c>
      <c r="I971">
        <v>0</v>
      </c>
      <c r="J971">
        <v>0</v>
      </c>
      <c r="K971" t="str">
        <f t="shared" si="273"/>
        <v>Y</v>
      </c>
      <c r="L971">
        <v>0</v>
      </c>
      <c r="M971" t="str">
        <f t="shared" si="274"/>
        <v>NIS</v>
      </c>
      <c r="O971">
        <v>8</v>
      </c>
      <c r="P971" t="str">
        <f t="shared" si="266"/>
        <v>Active</v>
      </c>
      <c r="Q971" t="str">
        <f>"Stock Package, WaxStock Pa3” x 2” x 1.5”– 50 Pcs"</f>
        <v>Stock Package, WaxStock Pa3” x 2” x 1.5”– 50 Pcs</v>
      </c>
      <c r="S971" t="str">
        <f>"Stock Package, Wax, 3” x 2” x 1.5”– 50 Pcs"</f>
        <v>Stock Package, Wax, 3” x 2” x 1.5”– 50 Pcs</v>
      </c>
      <c r="T971">
        <v>245</v>
      </c>
      <c r="U971">
        <v>242.73</v>
      </c>
      <c r="V971">
        <v>613.89</v>
      </c>
      <c r="W971" t="str">
        <f t="shared" si="265"/>
        <v>zintel</v>
      </c>
    </row>
    <row r="972" spans="1:23">
      <c r="A972" t="str">
        <f t="shared" si="275"/>
        <v>CNC-6000-ADV-IMP</v>
      </c>
      <c r="B972" t="str">
        <f>"77-3140-0001"</f>
        <v>77-3140-0001</v>
      </c>
      <c r="C972" t="str">
        <f>"LM7 Content, Vir, CNC Milling w/BenchMill 6000"</f>
        <v>LM7 Content, Vir, CNC Milling w/BenchMill 6000</v>
      </c>
      <c r="D972">
        <v>1</v>
      </c>
      <c r="E972" t="str">
        <f t="shared" si="276"/>
        <v>BenchMILL 6000 Advanced bundle, Imperial (110/220 VAC)</v>
      </c>
      <c r="F972">
        <v>0</v>
      </c>
      <c r="G972" t="str">
        <f t="shared" si="272"/>
        <v>Y</v>
      </c>
      <c r="H972" t="str">
        <f t="shared" si="271"/>
        <v>EA</v>
      </c>
      <c r="I972">
        <v>0</v>
      </c>
      <c r="J972">
        <v>0</v>
      </c>
      <c r="K972" t="str">
        <f t="shared" si="273"/>
        <v>Y</v>
      </c>
      <c r="L972">
        <v>0</v>
      </c>
      <c r="M972" t="str">
        <f t="shared" si="274"/>
        <v>NIS</v>
      </c>
      <c r="O972">
        <v>9</v>
      </c>
      <c r="P972" t="str">
        <f t="shared" si="266"/>
        <v>Active</v>
      </c>
      <c r="Q972" t="str">
        <f>"LM7 Content, Vir, CNC Milling w/BenchMill 6000"</f>
        <v>LM7 Content, Vir, CNC Milling w/BenchMill 6000</v>
      </c>
      <c r="S972" t="str">
        <f>"LM7 Content, Vir, CNC Milling w/BenchMill 6000"</f>
        <v>LM7 Content, Vir, CNC Milling w/BenchMill 6000</v>
      </c>
      <c r="T972">
        <v>0</v>
      </c>
      <c r="U972">
        <v>5</v>
      </c>
      <c r="V972">
        <v>5</v>
      </c>
      <c r="W972" t="str">
        <f t="shared" si="265"/>
        <v>zintel</v>
      </c>
    </row>
    <row r="973" spans="1:23">
      <c r="A973" t="str">
        <f t="shared" ref="A973:A988" si="277">"CNC-6000-ADV-M"</f>
        <v>CNC-6000-ADV-M</v>
      </c>
      <c r="B973" t="str">
        <f>"00-5505-0220"</f>
        <v>00-5505-0220</v>
      </c>
      <c r="C973" t="str">
        <f>"CNC BenchMILL 6000, 220 VAC"</f>
        <v>CNC BenchMILL 6000, 220 VAC</v>
      </c>
      <c r="D973">
        <v>1</v>
      </c>
      <c r="E973" t="str">
        <f t="shared" ref="E973:E999" si="278">"BenchMILL 6000 Advanced Bundle, Metric, 110/220 VAC"</f>
        <v>BenchMILL 6000 Advanced Bundle, Metric, 110/220 VAC</v>
      </c>
      <c r="F973">
        <v>0</v>
      </c>
      <c r="G973" t="str">
        <f t="shared" si="272"/>
        <v>Y</v>
      </c>
      <c r="H973" t="str">
        <f t="shared" si="271"/>
        <v>EA</v>
      </c>
      <c r="I973">
        <v>0</v>
      </c>
      <c r="J973">
        <v>0</v>
      </c>
      <c r="K973" t="str">
        <f t="shared" si="273"/>
        <v>Y</v>
      </c>
      <c r="L973">
        <v>0</v>
      </c>
      <c r="M973" t="str">
        <f t="shared" si="274"/>
        <v>NIS</v>
      </c>
      <c r="O973">
        <v>1</v>
      </c>
      <c r="P973" t="str">
        <f t="shared" si="266"/>
        <v>Active</v>
      </c>
      <c r="Q973" t="str">
        <f>"CNC BenchMILL 6000, 220 VAC"</f>
        <v>CNC BenchMILL 6000, 220 VAC</v>
      </c>
      <c r="S973" t="str">
        <f>"CNC BenchMILL 6000, 220 VAC"</f>
        <v>CNC BenchMILL 6000, 220 VAC</v>
      </c>
      <c r="T973">
        <v>0</v>
      </c>
      <c r="U973" s="44">
        <v>4583</v>
      </c>
      <c r="V973" s="44">
        <v>4458.34</v>
      </c>
      <c r="W973" t="str">
        <f t="shared" si="265"/>
        <v>zintel</v>
      </c>
    </row>
    <row r="974" spans="1:23">
      <c r="A974" t="str">
        <f t="shared" si="277"/>
        <v>CNC-6000-ADV-M</v>
      </c>
      <c r="B974" t="str">
        <f>"10-1111-6000"</f>
        <v>10-1111-6000</v>
      </c>
      <c r="C974" t="str">
        <f>"4"" Vise"</f>
        <v>4" Vise</v>
      </c>
      <c r="D974">
        <v>1</v>
      </c>
      <c r="E974" t="str">
        <f t="shared" si="278"/>
        <v>BenchMILL 6000 Advanced Bundle, Metric, 110/220 VAC</v>
      </c>
      <c r="F974">
        <v>0</v>
      </c>
      <c r="G974" t="str">
        <f t="shared" si="272"/>
        <v>Y</v>
      </c>
      <c r="H974" t="str">
        <f t="shared" si="271"/>
        <v>EA</v>
      </c>
      <c r="I974">
        <v>0</v>
      </c>
      <c r="J974">
        <v>0</v>
      </c>
      <c r="K974" t="str">
        <f t="shared" si="273"/>
        <v>Y</v>
      </c>
      <c r="L974">
        <v>0</v>
      </c>
      <c r="M974" t="str">
        <f t="shared" si="274"/>
        <v>NIS</v>
      </c>
      <c r="O974">
        <v>2</v>
      </c>
      <c r="P974" t="str">
        <f t="shared" si="266"/>
        <v>Active</v>
      </c>
      <c r="Q974" t="str">
        <f>"4"" Precision Maching Vise"</f>
        <v>4" Precision Maching Vise</v>
      </c>
      <c r="S974" t="str">
        <f>"4"" Precision Maching Vise"</f>
        <v>4" Precision Maching Vise</v>
      </c>
      <c r="T974">
        <v>0</v>
      </c>
      <c r="U974">
        <v>53</v>
      </c>
      <c r="V974">
        <v>49.5</v>
      </c>
      <c r="W974" t="str">
        <f t="shared" si="265"/>
        <v>zintel</v>
      </c>
    </row>
    <row r="975" spans="1:23">
      <c r="A975" t="str">
        <f t="shared" si="277"/>
        <v>CNC-6000-ADV-M</v>
      </c>
      <c r="B975" t="str">
        <f>"10-1111-5000"</f>
        <v>10-1111-5000</v>
      </c>
      <c r="C975" t="str">
        <f>"clamping kit 58 pcs set"</f>
        <v>clamping kit 58 pcs set</v>
      </c>
      <c r="D975">
        <v>1</v>
      </c>
      <c r="E975" t="str">
        <f t="shared" si="278"/>
        <v>BenchMILL 6000 Advanced Bundle, Metric, 110/220 VAC</v>
      </c>
      <c r="F975">
        <v>0</v>
      </c>
      <c r="G975" t="str">
        <f t="shared" si="272"/>
        <v>Y</v>
      </c>
      <c r="H975" t="str">
        <f t="shared" si="271"/>
        <v>EA</v>
      </c>
      <c r="I975">
        <v>0</v>
      </c>
      <c r="J975">
        <v>0</v>
      </c>
      <c r="K975" t="str">
        <f t="shared" si="273"/>
        <v>Y</v>
      </c>
      <c r="L975">
        <v>0</v>
      </c>
      <c r="M975" t="str">
        <f t="shared" si="274"/>
        <v>NIS</v>
      </c>
      <c r="O975">
        <v>3</v>
      </c>
      <c r="P975" t="str">
        <f t="shared" si="266"/>
        <v>Active</v>
      </c>
      <c r="Q975" t="str">
        <f>"clamping kit 58 pcs set"</f>
        <v>clamping kit 58 pcs set</v>
      </c>
      <c r="S975" t="str">
        <f>"clamping kit 58 pcs set"</f>
        <v>clamping kit 58 pcs set</v>
      </c>
      <c r="T975">
        <v>0</v>
      </c>
      <c r="U975">
        <v>52</v>
      </c>
      <c r="V975">
        <v>51.72</v>
      </c>
      <c r="W975" t="str">
        <f t="shared" si="265"/>
        <v>zintel</v>
      </c>
    </row>
    <row r="976" spans="1:23">
      <c r="A976" t="str">
        <f t="shared" si="277"/>
        <v>CNC-6000-ADV-M</v>
      </c>
      <c r="B976" t="str">
        <f>"10-1111-9000"</f>
        <v>10-1111-9000</v>
      </c>
      <c r="C976" t="str">
        <f>"ISO 20 tool holder"</f>
        <v>ISO 20 tool holder</v>
      </c>
      <c r="D976">
        <v>1</v>
      </c>
      <c r="E976" t="str">
        <f t="shared" si="278"/>
        <v>BenchMILL 6000 Advanced Bundle, Metric, 110/220 VAC</v>
      </c>
      <c r="F976">
        <v>0</v>
      </c>
      <c r="G976" t="str">
        <f t="shared" si="272"/>
        <v>Y</v>
      </c>
      <c r="H976" t="str">
        <f t="shared" si="271"/>
        <v>EA</v>
      </c>
      <c r="I976">
        <v>0</v>
      </c>
      <c r="J976">
        <v>0</v>
      </c>
      <c r="K976" t="str">
        <f t="shared" si="273"/>
        <v>Y</v>
      </c>
      <c r="L976">
        <v>0</v>
      </c>
      <c r="M976" t="str">
        <f t="shared" si="274"/>
        <v>NIS</v>
      </c>
      <c r="O976">
        <v>4</v>
      </c>
      <c r="P976" t="str">
        <f t="shared" si="266"/>
        <v>Active</v>
      </c>
      <c r="Q976" t="str">
        <f>"ISO 20 tool holder with nut"</f>
        <v>ISO 20 tool holder with nut</v>
      </c>
      <c r="S976" t="str">
        <f>"ISO 20 tool holder with nut"</f>
        <v>ISO 20 tool holder with nut</v>
      </c>
      <c r="T976">
        <v>0</v>
      </c>
      <c r="U976">
        <v>103</v>
      </c>
      <c r="V976">
        <v>103.19</v>
      </c>
      <c r="W976" t="str">
        <f t="shared" si="265"/>
        <v>zintel</v>
      </c>
    </row>
    <row r="977" spans="1:23">
      <c r="A977" t="str">
        <f t="shared" si="277"/>
        <v>CNC-6000-ADV-M</v>
      </c>
      <c r="B977" t="str">
        <f>"10-1113-4000"</f>
        <v>10-1113-4000</v>
      </c>
      <c r="C977" t="str">
        <f>"Metric End Mill Package(2X 3,6,8,10End,4,6 Ball)"</f>
        <v>Metric End Mill Package(2X 3,6,8,10End,4,6 Ball)</v>
      </c>
      <c r="D977">
        <v>1</v>
      </c>
      <c r="E977" t="str">
        <f t="shared" si="278"/>
        <v>BenchMILL 6000 Advanced Bundle, Metric, 110/220 VAC</v>
      </c>
      <c r="F977">
        <v>0</v>
      </c>
      <c r="G977" t="str">
        <f t="shared" si="272"/>
        <v>Y</v>
      </c>
      <c r="H977" t="str">
        <f t="shared" si="271"/>
        <v>EA</v>
      </c>
      <c r="I977">
        <v>0</v>
      </c>
      <c r="J977">
        <v>0</v>
      </c>
      <c r="K977" t="str">
        <f t="shared" si="273"/>
        <v>Y</v>
      </c>
      <c r="L977">
        <v>0</v>
      </c>
      <c r="M977" t="str">
        <f t="shared" si="274"/>
        <v>NIS</v>
      </c>
      <c r="O977">
        <v>5</v>
      </c>
      <c r="P977" t="str">
        <f t="shared" si="266"/>
        <v>Active</v>
      </c>
      <c r="Q977" t="str">
        <f>"Metric Advanced End Mill Package 5121"</f>
        <v>Metric Advanced End Mill Package 5121</v>
      </c>
      <c r="S977" t="str">
        <f>"Metric Advanced End Mill Package 5121"</f>
        <v>Metric Advanced End Mill Package 5121</v>
      </c>
      <c r="T977">
        <v>0</v>
      </c>
      <c r="U977">
        <v>55</v>
      </c>
      <c r="V977">
        <v>50.17</v>
      </c>
      <c r="W977" t="str">
        <f t="shared" si="265"/>
        <v>zintel</v>
      </c>
    </row>
    <row r="978" spans="1:23">
      <c r="A978" t="str">
        <f t="shared" si="277"/>
        <v>CNC-6000-ADV-M</v>
      </c>
      <c r="B978" t="str">
        <f>"10-1112-2000"</f>
        <v>10-1112-2000</v>
      </c>
      <c r="C978" t="str">
        <f>"ER16 Collet set-8 pieces(3,4,5,6,7,8,9 and 10mm)"</f>
        <v>ER16 Collet set-8 pieces(3,4,5,6,7,8,9 and 10mm)</v>
      </c>
      <c r="D978">
        <v>1</v>
      </c>
      <c r="E978" t="str">
        <f t="shared" si="278"/>
        <v>BenchMILL 6000 Advanced Bundle, Metric, 110/220 VAC</v>
      </c>
      <c r="F978">
        <v>0</v>
      </c>
      <c r="G978" t="str">
        <f t="shared" si="272"/>
        <v>Y</v>
      </c>
      <c r="H978" t="str">
        <f t="shared" si="271"/>
        <v>EA</v>
      </c>
      <c r="I978">
        <v>0</v>
      </c>
      <c r="J978">
        <v>0</v>
      </c>
      <c r="K978" t="str">
        <f t="shared" si="273"/>
        <v>Y</v>
      </c>
      <c r="L978">
        <v>0</v>
      </c>
      <c r="M978" t="str">
        <f t="shared" si="274"/>
        <v>NIS</v>
      </c>
      <c r="O978">
        <v>6</v>
      </c>
      <c r="P978" t="str">
        <f t="shared" si="266"/>
        <v>Active</v>
      </c>
      <c r="Q978" t="str">
        <f>"ER16 Collet set-8 pieces(3,4,5,6,7,8,9 and 10mm)"</f>
        <v>ER16 Collet set-8 pieces(3,4,5,6,7,8,9 and 10mm)</v>
      </c>
      <c r="S978" t="str">
        <f>"ER16 Collet set-8 pieces(3,4,5,6,7,8,9 and 10mm)"</f>
        <v>ER16 Collet set-8 pieces(3,4,5,6,7,8,9 and 10mm)</v>
      </c>
      <c r="T978">
        <v>0</v>
      </c>
      <c r="U978">
        <v>71</v>
      </c>
      <c r="V978">
        <v>64.84</v>
      </c>
      <c r="W978" t="str">
        <f t="shared" si="265"/>
        <v>zintel</v>
      </c>
    </row>
    <row r="979" spans="1:23">
      <c r="A979" t="str">
        <f t="shared" si="277"/>
        <v>CNC-6000-ADV-M</v>
      </c>
      <c r="B979" t="str">
        <f>"10-1115-2000"</f>
        <v>10-1115-2000</v>
      </c>
      <c r="C979" t="str">
        <f>"- Table mounted ATC package"</f>
        <v>- Table mounted ATC package</v>
      </c>
      <c r="D979">
        <v>1</v>
      </c>
      <c r="E979" t="str">
        <f t="shared" si="278"/>
        <v>BenchMILL 6000 Advanced Bundle, Metric, 110/220 VAC</v>
      </c>
      <c r="F979">
        <v>0</v>
      </c>
      <c r="G979" t="str">
        <f t="shared" si="272"/>
        <v>Y</v>
      </c>
      <c r="H979" t="str">
        <f t="shared" si="271"/>
        <v>EA</v>
      </c>
      <c r="I979">
        <v>0</v>
      </c>
      <c r="J979">
        <v>0</v>
      </c>
      <c r="K979" t="str">
        <f t="shared" si="273"/>
        <v>Y</v>
      </c>
      <c r="L979">
        <v>0</v>
      </c>
      <c r="M979" t="str">
        <f t="shared" si="274"/>
        <v>NIS</v>
      </c>
      <c r="O979">
        <v>7</v>
      </c>
      <c r="P979" t="str">
        <f t="shared" si="266"/>
        <v>Active</v>
      </c>
      <c r="Q979" t="str">
        <f>"Table mounted ATC package"</f>
        <v>Table mounted ATC package</v>
      </c>
      <c r="S979" t="str">
        <f>"Table mounted ATC package"</f>
        <v>Table mounted ATC package</v>
      </c>
      <c r="T979">
        <v>0</v>
      </c>
      <c r="U979">
        <v>690</v>
      </c>
      <c r="V979">
        <v>690.59</v>
      </c>
      <c r="W979" t="str">
        <f t="shared" si="265"/>
        <v>zintel</v>
      </c>
    </row>
    <row r="980" spans="1:23">
      <c r="A980" t="str">
        <f t="shared" si="277"/>
        <v>CNC-6000-ADV-M</v>
      </c>
      <c r="B980" t="str">
        <f>"10-1115-0000"</f>
        <v>10-1115-0000</v>
      </c>
      <c r="C980" t="str">
        <f>"ER16 Collet set - 2 x (3,6,8,10mm)"</f>
        <v>ER16 Collet set - 2 x (3,6,8,10mm)</v>
      </c>
      <c r="D980">
        <v>1</v>
      </c>
      <c r="E980" t="str">
        <f t="shared" si="278"/>
        <v>BenchMILL 6000 Advanced Bundle, Metric, 110/220 VAC</v>
      </c>
      <c r="F980">
        <v>0</v>
      </c>
      <c r="G980" t="str">
        <f t="shared" si="272"/>
        <v>Y</v>
      </c>
      <c r="H980" t="str">
        <f t="shared" si="271"/>
        <v>EA</v>
      </c>
      <c r="I980">
        <v>0</v>
      </c>
      <c r="J980">
        <v>0</v>
      </c>
      <c r="K980" t="str">
        <f t="shared" si="273"/>
        <v>Y</v>
      </c>
      <c r="L980">
        <v>0</v>
      </c>
      <c r="M980" t="str">
        <f t="shared" si="274"/>
        <v>NIS</v>
      </c>
      <c r="O980">
        <v>8</v>
      </c>
      <c r="P980" t="str">
        <f t="shared" si="266"/>
        <v>Active</v>
      </c>
      <c r="Q980" t="str">
        <f>"ER16 Collet set-8 pieces(2)3,(2)6,(2)8,(2)10mm"</f>
        <v>ER16 Collet set-8 pieces(2)3,(2)6,(2)8,(2)10mm</v>
      </c>
      <c r="S980" t="str">
        <f>"ER16 Collet set-8 pieces(2)3,(2)6,(2)8,(2)10mm"</f>
        <v>ER16 Collet set-8 pieces(2)3,(2)6,(2)8,(2)10mm</v>
      </c>
      <c r="T980">
        <v>0</v>
      </c>
      <c r="U980">
        <v>71</v>
      </c>
      <c r="V980">
        <v>70.63</v>
      </c>
      <c r="W980" t="str">
        <f t="shared" si="265"/>
        <v>zintel</v>
      </c>
    </row>
    <row r="981" spans="1:23">
      <c r="A981" t="str">
        <f t="shared" si="277"/>
        <v>CNC-6000-ADV-M</v>
      </c>
      <c r="B981" t="str">
        <f>"10-1111-1000"</f>
        <v>10-1111-1000</v>
      </c>
      <c r="C981" t="str">
        <f>"- Handwheel - Manual Control"</f>
        <v>- Handwheel - Manual Control</v>
      </c>
      <c r="D981">
        <v>1</v>
      </c>
      <c r="E981" t="str">
        <f t="shared" si="278"/>
        <v>BenchMILL 6000 Advanced Bundle, Metric, 110/220 VAC</v>
      </c>
      <c r="F981">
        <v>0</v>
      </c>
      <c r="G981" t="str">
        <f t="shared" si="272"/>
        <v>Y</v>
      </c>
      <c r="H981" t="str">
        <f t="shared" si="271"/>
        <v>EA</v>
      </c>
      <c r="I981">
        <v>0</v>
      </c>
      <c r="J981">
        <v>0</v>
      </c>
      <c r="K981" t="str">
        <f t="shared" si="273"/>
        <v>Y</v>
      </c>
      <c r="L981">
        <v>0</v>
      </c>
      <c r="M981" t="str">
        <f t="shared" si="274"/>
        <v>NIS</v>
      </c>
      <c r="O981">
        <v>9</v>
      </c>
      <c r="P981" t="str">
        <f t="shared" si="266"/>
        <v>Active</v>
      </c>
      <c r="Q981" t="str">
        <f>"Jog Pendant Handwheel"</f>
        <v>Jog Pendant Handwheel</v>
      </c>
      <c r="S981" t="str">
        <f>"Jog Pendant Handwheel"</f>
        <v>Jog Pendant Handwheel</v>
      </c>
      <c r="T981">
        <v>0</v>
      </c>
      <c r="U981">
        <v>235</v>
      </c>
      <c r="V981">
        <v>235.03</v>
      </c>
      <c r="W981" t="str">
        <f t="shared" ref="W981:W1044" si="279">"zintel"</f>
        <v>zintel</v>
      </c>
    </row>
    <row r="982" spans="1:23">
      <c r="A982" t="str">
        <f t="shared" si="277"/>
        <v>CNC-6000-ADV-M</v>
      </c>
      <c r="B982" t="str">
        <f>"10-1108-1220"</f>
        <v>10-1108-1220</v>
      </c>
      <c r="C982" t="str">
        <f>"- Coolant system 27L -220V"</f>
        <v>- Coolant system 27L -220V</v>
      </c>
      <c r="D982">
        <v>1</v>
      </c>
      <c r="E982" t="str">
        <f t="shared" si="278"/>
        <v>BenchMILL 6000 Advanced Bundle, Metric, 110/220 VAC</v>
      </c>
      <c r="F982">
        <v>0</v>
      </c>
      <c r="G982" t="str">
        <f t="shared" si="272"/>
        <v>Y</v>
      </c>
      <c r="H982" t="str">
        <f t="shared" si="271"/>
        <v>EA</v>
      </c>
      <c r="I982">
        <v>0</v>
      </c>
      <c r="J982">
        <v>0</v>
      </c>
      <c r="K982" t="str">
        <f t="shared" si="273"/>
        <v>Y</v>
      </c>
      <c r="L982">
        <v>0</v>
      </c>
      <c r="M982" t="str">
        <f t="shared" si="274"/>
        <v>NIS</v>
      </c>
      <c r="O982">
        <v>10</v>
      </c>
      <c r="P982" t="str">
        <f t="shared" si="266"/>
        <v>Active</v>
      </c>
      <c r="Q982" t="str">
        <f>"Coolant system 27L - 220V"</f>
        <v>Coolant system 27L - 220V</v>
      </c>
      <c r="S982" t="str">
        <f>"Coolant system 27L - 220V"</f>
        <v>Coolant system 27L - 220V</v>
      </c>
      <c r="T982">
        <v>0</v>
      </c>
      <c r="U982">
        <v>117.08</v>
      </c>
      <c r="V982">
        <v>117.15</v>
      </c>
      <c r="W982" t="str">
        <f t="shared" si="279"/>
        <v>zintel</v>
      </c>
    </row>
    <row r="983" spans="1:23">
      <c r="A983" t="str">
        <f t="shared" si="277"/>
        <v>CNC-6000-ADV-M</v>
      </c>
      <c r="B983" t="str">
        <f>"10-1109-3000"</f>
        <v>10-1109-3000</v>
      </c>
      <c r="C983" t="str">
        <f>"- 80mm 3-jaw chuck"</f>
        <v>- 80mm 3-jaw chuck</v>
      </c>
      <c r="D983">
        <v>1</v>
      </c>
      <c r="E983" t="str">
        <f t="shared" si="278"/>
        <v>BenchMILL 6000 Advanced Bundle, Metric, 110/220 VAC</v>
      </c>
      <c r="F983">
        <v>0</v>
      </c>
      <c r="G983" t="str">
        <f t="shared" si="272"/>
        <v>Y</v>
      </c>
      <c r="H983" t="str">
        <f t="shared" si="271"/>
        <v>EA</v>
      </c>
      <c r="I983">
        <v>0</v>
      </c>
      <c r="J983">
        <v>0</v>
      </c>
      <c r="K983" t="str">
        <f t="shared" si="273"/>
        <v>Y</v>
      </c>
      <c r="L983">
        <v>0</v>
      </c>
      <c r="M983" t="str">
        <f t="shared" si="274"/>
        <v>NIS</v>
      </c>
      <c r="O983">
        <v>12</v>
      </c>
      <c r="P983" t="str">
        <f t="shared" si="266"/>
        <v>Active</v>
      </c>
      <c r="Q983" t="str">
        <f>"80mm 3-jaw chuck"</f>
        <v>80mm 3-jaw chuck</v>
      </c>
      <c r="S983" t="str">
        <f>"80mm 3-jaw chuck"</f>
        <v>80mm 3-jaw chuck</v>
      </c>
      <c r="T983">
        <v>0</v>
      </c>
      <c r="U983">
        <v>53</v>
      </c>
      <c r="V983">
        <v>52.35</v>
      </c>
      <c r="W983" t="str">
        <f t="shared" si="279"/>
        <v>zintel</v>
      </c>
    </row>
    <row r="984" spans="1:23">
      <c r="A984" t="str">
        <f t="shared" si="277"/>
        <v>CNC-6000-ADV-M</v>
      </c>
      <c r="B984" t="str">
        <f>"10-1108-8000"</f>
        <v>10-1108-8000</v>
      </c>
      <c r="C984" t="str">
        <f>"- 4th Axis rotary worktable with tailstock"</f>
        <v>- 4th Axis rotary worktable with tailstock</v>
      </c>
      <c r="D984">
        <v>1</v>
      </c>
      <c r="E984" t="str">
        <f t="shared" si="278"/>
        <v>BenchMILL 6000 Advanced Bundle, Metric, 110/220 VAC</v>
      </c>
      <c r="F984">
        <v>0</v>
      </c>
      <c r="G984" t="str">
        <f t="shared" si="272"/>
        <v>Y</v>
      </c>
      <c r="H984" t="str">
        <f t="shared" si="271"/>
        <v>EA</v>
      </c>
      <c r="I984">
        <v>0</v>
      </c>
      <c r="J984">
        <v>0</v>
      </c>
      <c r="K984" t="str">
        <f t="shared" si="273"/>
        <v>Y</v>
      </c>
      <c r="L984">
        <v>0</v>
      </c>
      <c r="M984" t="str">
        <f t="shared" si="274"/>
        <v>NIS</v>
      </c>
      <c r="O984">
        <v>13</v>
      </c>
      <c r="P984" t="str">
        <f t="shared" si="266"/>
        <v>Active</v>
      </c>
      <c r="Q984" t="str">
        <f>"100mm rotary worktable (4th axis) with tailstock"</f>
        <v>100mm rotary worktable (4th axis) with tailstock</v>
      </c>
      <c r="S984" t="str">
        <f>"100mm rotary worktable (4th axis) with tailstock"</f>
        <v>100mm rotary worktable (4th axis) with tailstock</v>
      </c>
      <c r="T984">
        <v>0</v>
      </c>
      <c r="U984">
        <v>614.64</v>
      </c>
      <c r="V984">
        <v>594.83000000000004</v>
      </c>
      <c r="W984" t="str">
        <f t="shared" si="279"/>
        <v>zintel</v>
      </c>
    </row>
    <row r="985" spans="1:23">
      <c r="A985" t="str">
        <f t="shared" si="277"/>
        <v>CNC-6000-ADV-M</v>
      </c>
      <c r="B985" t="str">
        <f>"10-1113-6000"</f>
        <v>10-1113-6000</v>
      </c>
      <c r="C985" t="str">
        <f>"- Metric Engraving Package (1,1.5,2 mm End mill)"</f>
        <v>- Metric Engraving Package (1,1.5,2 mm End mill)</v>
      </c>
      <c r="D985">
        <v>1</v>
      </c>
      <c r="E985" t="str">
        <f t="shared" si="278"/>
        <v>BenchMILL 6000 Advanced Bundle, Metric, 110/220 VAC</v>
      </c>
      <c r="F985">
        <v>0</v>
      </c>
      <c r="G985" t="str">
        <f t="shared" si="272"/>
        <v>Y</v>
      </c>
      <c r="H985" t="str">
        <f t="shared" si="271"/>
        <v>EA</v>
      </c>
      <c r="I985">
        <v>0</v>
      </c>
      <c r="J985">
        <v>0</v>
      </c>
      <c r="K985" t="str">
        <f t="shared" si="273"/>
        <v>Y</v>
      </c>
      <c r="L985">
        <v>0</v>
      </c>
      <c r="M985" t="str">
        <f t="shared" si="274"/>
        <v>NIS</v>
      </c>
      <c r="O985">
        <v>14</v>
      </c>
      <c r="P985" t="str">
        <f t="shared" si="266"/>
        <v>Active</v>
      </c>
      <c r="Q985" t="str">
        <f>"Metric Engraving Package 5711"</f>
        <v>Metric Engraving Package 5711</v>
      </c>
      <c r="S985" t="str">
        <f>"Metric Engraving Package 5711"</f>
        <v>Metric Engraving Package 5711</v>
      </c>
      <c r="T985">
        <v>0</v>
      </c>
      <c r="U985">
        <v>41</v>
      </c>
      <c r="V985">
        <v>37.909999999999997</v>
      </c>
      <c r="W985" t="str">
        <f t="shared" si="279"/>
        <v>zintel</v>
      </c>
    </row>
    <row r="986" spans="1:23">
      <c r="A986" t="str">
        <f t="shared" si="277"/>
        <v>CNC-6000-ADV-M</v>
      </c>
      <c r="B986" t="str">
        <f>"10-1108-6000"</f>
        <v>10-1108-6000</v>
      </c>
      <c r="C986" t="str">
        <f>"- 6mm engraving tool set"</f>
        <v>- 6mm engraving tool set</v>
      </c>
      <c r="D986">
        <v>1</v>
      </c>
      <c r="E986" t="str">
        <f t="shared" si="278"/>
        <v>BenchMILL 6000 Advanced Bundle, Metric, 110/220 VAC</v>
      </c>
      <c r="F986">
        <v>0</v>
      </c>
      <c r="G986" t="str">
        <f t="shared" si="272"/>
        <v>Y</v>
      </c>
      <c r="H986" t="str">
        <f t="shared" si="271"/>
        <v>EA</v>
      </c>
      <c r="I986">
        <v>0</v>
      </c>
      <c r="J986">
        <v>0</v>
      </c>
      <c r="K986" t="str">
        <f t="shared" si="273"/>
        <v>Y</v>
      </c>
      <c r="L986">
        <v>0</v>
      </c>
      <c r="M986" t="str">
        <f t="shared" si="274"/>
        <v>NIS</v>
      </c>
      <c r="O986">
        <v>15</v>
      </c>
      <c r="P986" t="str">
        <f t="shared" si="266"/>
        <v>Active</v>
      </c>
      <c r="Q986" t="str">
        <f>"6mm engraving tool set"</f>
        <v>6mm engraving tool set</v>
      </c>
      <c r="S986" t="str">
        <f>"6mm engraving tool set"</f>
        <v>6mm engraving tool set</v>
      </c>
      <c r="T986">
        <v>0</v>
      </c>
      <c r="U986">
        <v>93.66</v>
      </c>
      <c r="V986">
        <v>94.27</v>
      </c>
      <c r="W986" t="str">
        <f t="shared" si="279"/>
        <v>zintel</v>
      </c>
    </row>
    <row r="987" spans="1:23">
      <c r="A987" t="str">
        <f t="shared" si="277"/>
        <v>CNC-6000-ADV-M</v>
      </c>
      <c r="B987" t="str">
        <f>"10-9120-0000"</f>
        <v>10-9120-0000</v>
      </c>
      <c r="C987" t="str">
        <f>"Stock Package, Wax, 3” x 2” x 1.5”– 50 Pcs"</f>
        <v>Stock Package, Wax, 3” x 2” x 1.5”– 50 Pcs</v>
      </c>
      <c r="D987">
        <v>1</v>
      </c>
      <c r="E987" t="str">
        <f t="shared" si="278"/>
        <v>BenchMILL 6000 Advanced Bundle, Metric, 110/220 VAC</v>
      </c>
      <c r="F987">
        <v>0</v>
      </c>
      <c r="G987" t="str">
        <f t="shared" si="272"/>
        <v>Y</v>
      </c>
      <c r="H987" t="str">
        <f t="shared" si="271"/>
        <v>EA</v>
      </c>
      <c r="I987">
        <v>0</v>
      </c>
      <c r="J987">
        <v>0</v>
      </c>
      <c r="K987" t="str">
        <f t="shared" si="273"/>
        <v>Y</v>
      </c>
      <c r="L987">
        <v>0</v>
      </c>
      <c r="M987" t="str">
        <f t="shared" si="274"/>
        <v>NIS</v>
      </c>
      <c r="O987">
        <v>16</v>
      </c>
      <c r="P987" t="str">
        <f t="shared" si="266"/>
        <v>Active</v>
      </c>
      <c r="Q987" t="str">
        <f>"Stock Package, WaxStock Pa3” x 2” x 1.5”– 50 Pcs"</f>
        <v>Stock Package, WaxStock Pa3” x 2” x 1.5”– 50 Pcs</v>
      </c>
      <c r="S987" t="str">
        <f>"Stock Package, Wax, 3” x 2” x 1.5”– 50 Pcs"</f>
        <v>Stock Package, Wax, 3” x 2” x 1.5”– 50 Pcs</v>
      </c>
      <c r="T987">
        <v>245</v>
      </c>
      <c r="U987">
        <v>242.73</v>
      </c>
      <c r="V987">
        <v>613.89</v>
      </c>
      <c r="W987" t="str">
        <f t="shared" si="279"/>
        <v>zintel</v>
      </c>
    </row>
    <row r="988" spans="1:23">
      <c r="A988" t="str">
        <f t="shared" si="277"/>
        <v>CNC-6000-ADV-M</v>
      </c>
      <c r="B988" t="str">
        <f>"77-3140-0002"</f>
        <v>77-3140-0002</v>
      </c>
      <c r="C988" t="str">
        <f>"LM7 Content, Vir, CNCMilling w/BenchMill 6000(M)"</f>
        <v>LM7 Content, Vir, CNCMilling w/BenchMill 6000(M)</v>
      </c>
      <c r="D988">
        <v>1</v>
      </c>
      <c r="E988" t="str">
        <f t="shared" si="278"/>
        <v>BenchMILL 6000 Advanced Bundle, Metric, 110/220 VAC</v>
      </c>
      <c r="F988">
        <v>0</v>
      </c>
      <c r="G988" t="str">
        <f t="shared" si="272"/>
        <v>Y</v>
      </c>
      <c r="H988" t="str">
        <f t="shared" si="271"/>
        <v>EA</v>
      </c>
      <c r="I988">
        <v>0</v>
      </c>
      <c r="J988">
        <v>0</v>
      </c>
      <c r="K988" t="str">
        <f t="shared" si="273"/>
        <v>Y</v>
      </c>
      <c r="L988">
        <v>0</v>
      </c>
      <c r="M988" t="str">
        <f t="shared" si="274"/>
        <v>NIS</v>
      </c>
      <c r="O988">
        <v>17</v>
      </c>
      <c r="P988" t="str">
        <f t="shared" si="266"/>
        <v>Active</v>
      </c>
      <c r="Q988" t="str">
        <f>"LM7 Content, Vir, CNCMilling w/BenchMill 6000(M)"</f>
        <v>LM7 Content, Vir, CNCMilling w/BenchMill 6000(M)</v>
      </c>
      <c r="S988" t="str">
        <f>"LM7 Content, Vir, CNCMilling w/BenchMill 6000(M)"</f>
        <v>LM7 Content, Vir, CNCMilling w/BenchMill 6000(M)</v>
      </c>
      <c r="T988">
        <v>0</v>
      </c>
      <c r="U988">
        <v>5</v>
      </c>
      <c r="V988">
        <v>5.2</v>
      </c>
      <c r="W988" t="str">
        <f t="shared" si="279"/>
        <v>zintel</v>
      </c>
    </row>
    <row r="989" spans="1:23">
      <c r="A989" t="str">
        <f t="shared" ref="A989:A999" si="280">"CNC-6000-ADV-MET"</f>
        <v>CNC-6000-ADV-MET</v>
      </c>
      <c r="B989" t="str">
        <f>"00-5505-0220"</f>
        <v>00-5505-0220</v>
      </c>
      <c r="C989" t="str">
        <f>"CNC BenchMILL 6000, 220 VAC"</f>
        <v>CNC BenchMILL 6000, 220 VAC</v>
      </c>
      <c r="D989">
        <v>1</v>
      </c>
      <c r="E989" t="str">
        <f t="shared" si="278"/>
        <v>BenchMILL 6000 Advanced Bundle, Metric, 110/220 VAC</v>
      </c>
      <c r="F989">
        <v>0</v>
      </c>
      <c r="G989" t="str">
        <f t="shared" si="272"/>
        <v>Y</v>
      </c>
      <c r="H989" t="str">
        <f t="shared" si="271"/>
        <v>EA</v>
      </c>
      <c r="I989">
        <v>0</v>
      </c>
      <c r="J989">
        <v>0</v>
      </c>
      <c r="K989" t="str">
        <f t="shared" si="273"/>
        <v>Y</v>
      </c>
      <c r="L989">
        <v>0</v>
      </c>
      <c r="M989" t="str">
        <f t="shared" si="274"/>
        <v>NIS</v>
      </c>
      <c r="O989">
        <v>1</v>
      </c>
      <c r="P989" t="str">
        <f t="shared" si="266"/>
        <v>Active</v>
      </c>
      <c r="Q989" t="str">
        <f>"CNC BenchMILL 6000, 220 VAC"</f>
        <v>CNC BenchMILL 6000, 220 VAC</v>
      </c>
      <c r="S989" t="str">
        <f>"CNC BenchMILL 6000, 220 VAC"</f>
        <v>CNC BenchMILL 6000, 220 VAC</v>
      </c>
      <c r="T989">
        <v>0</v>
      </c>
      <c r="U989" s="44">
        <v>4583</v>
      </c>
      <c r="V989" s="44">
        <v>4458.34</v>
      </c>
      <c r="W989" t="str">
        <f t="shared" si="279"/>
        <v>zintel</v>
      </c>
    </row>
    <row r="990" spans="1:23">
      <c r="A990" t="str">
        <f t="shared" si="280"/>
        <v>CNC-6000-ADV-MET</v>
      </c>
      <c r="B990" t="str">
        <f>"10-1111-6000"</f>
        <v>10-1111-6000</v>
      </c>
      <c r="C990" t="str">
        <f>"4"" Vise"</f>
        <v>4" Vise</v>
      </c>
      <c r="D990">
        <v>1</v>
      </c>
      <c r="E990" t="str">
        <f t="shared" si="278"/>
        <v>BenchMILL 6000 Advanced Bundle, Metric, 110/220 VAC</v>
      </c>
      <c r="F990">
        <v>0</v>
      </c>
      <c r="G990" t="str">
        <f t="shared" si="272"/>
        <v>Y</v>
      </c>
      <c r="H990" t="str">
        <f t="shared" si="271"/>
        <v>EA</v>
      </c>
      <c r="I990">
        <v>0</v>
      </c>
      <c r="J990">
        <v>0</v>
      </c>
      <c r="K990" t="str">
        <f t="shared" si="273"/>
        <v>Y</v>
      </c>
      <c r="L990">
        <v>0</v>
      </c>
      <c r="M990" t="str">
        <f t="shared" si="274"/>
        <v>NIS</v>
      </c>
      <c r="O990">
        <v>2</v>
      </c>
      <c r="P990" t="str">
        <f t="shared" si="266"/>
        <v>Active</v>
      </c>
      <c r="Q990" t="str">
        <f>"4"" Precision Maching Vise"</f>
        <v>4" Precision Maching Vise</v>
      </c>
      <c r="S990" t="str">
        <f>"4"" Precision Maching Vise"</f>
        <v>4" Precision Maching Vise</v>
      </c>
      <c r="T990">
        <v>0</v>
      </c>
      <c r="U990">
        <v>53</v>
      </c>
      <c r="V990">
        <v>49.5</v>
      </c>
      <c r="W990" t="str">
        <f t="shared" si="279"/>
        <v>zintel</v>
      </c>
    </row>
    <row r="991" spans="1:23">
      <c r="A991" t="str">
        <f t="shared" si="280"/>
        <v>CNC-6000-ADV-MET</v>
      </c>
      <c r="B991" t="str">
        <f>"10-1111-5000"</f>
        <v>10-1111-5000</v>
      </c>
      <c r="C991" t="str">
        <f>"clamping kit 58 pcs set"</f>
        <v>clamping kit 58 pcs set</v>
      </c>
      <c r="D991">
        <v>1</v>
      </c>
      <c r="E991" t="str">
        <f t="shared" si="278"/>
        <v>BenchMILL 6000 Advanced Bundle, Metric, 110/220 VAC</v>
      </c>
      <c r="F991">
        <v>0</v>
      </c>
      <c r="G991" t="str">
        <f t="shared" si="272"/>
        <v>Y</v>
      </c>
      <c r="H991" t="str">
        <f t="shared" si="271"/>
        <v>EA</v>
      </c>
      <c r="I991">
        <v>0</v>
      </c>
      <c r="J991">
        <v>0</v>
      </c>
      <c r="K991" t="str">
        <f t="shared" si="273"/>
        <v>Y</v>
      </c>
      <c r="L991">
        <v>0</v>
      </c>
      <c r="M991" t="str">
        <f t="shared" si="274"/>
        <v>NIS</v>
      </c>
      <c r="O991">
        <v>3</v>
      </c>
      <c r="P991" t="str">
        <f t="shared" si="266"/>
        <v>Active</v>
      </c>
      <c r="Q991" t="str">
        <f>"clamping kit 58 pcs set"</f>
        <v>clamping kit 58 pcs set</v>
      </c>
      <c r="S991" t="str">
        <f>"clamping kit 58 pcs set"</f>
        <v>clamping kit 58 pcs set</v>
      </c>
      <c r="T991">
        <v>0</v>
      </c>
      <c r="U991">
        <v>52</v>
      </c>
      <c r="V991">
        <v>51.72</v>
      </c>
      <c r="W991" t="str">
        <f t="shared" si="279"/>
        <v>zintel</v>
      </c>
    </row>
    <row r="992" spans="1:23">
      <c r="A992" t="str">
        <f t="shared" si="280"/>
        <v>CNC-6000-ADV-MET</v>
      </c>
      <c r="B992" t="str">
        <f>"10-1111-9000"</f>
        <v>10-1111-9000</v>
      </c>
      <c r="C992" t="str">
        <f>"ISO 20 tool holder"</f>
        <v>ISO 20 tool holder</v>
      </c>
      <c r="D992">
        <v>1</v>
      </c>
      <c r="E992" t="str">
        <f t="shared" si="278"/>
        <v>BenchMILL 6000 Advanced Bundle, Metric, 110/220 VAC</v>
      </c>
      <c r="F992">
        <v>0</v>
      </c>
      <c r="G992" t="str">
        <f t="shared" si="272"/>
        <v>Y</v>
      </c>
      <c r="H992" t="str">
        <f t="shared" si="271"/>
        <v>EA</v>
      </c>
      <c r="I992">
        <v>0</v>
      </c>
      <c r="J992">
        <v>0</v>
      </c>
      <c r="K992" t="str">
        <f t="shared" si="273"/>
        <v>Y</v>
      </c>
      <c r="L992">
        <v>0</v>
      </c>
      <c r="M992" t="str">
        <f t="shared" si="274"/>
        <v>NIS</v>
      </c>
      <c r="O992">
        <v>4</v>
      </c>
      <c r="P992" t="str">
        <f t="shared" ref="P992:P1055" si="281">"Active"</f>
        <v>Active</v>
      </c>
      <c r="Q992" t="str">
        <f>"ISO 20 tool holder with nut"</f>
        <v>ISO 20 tool holder with nut</v>
      </c>
      <c r="S992" t="str">
        <f>"ISO 20 tool holder with nut"</f>
        <v>ISO 20 tool holder with nut</v>
      </c>
      <c r="T992">
        <v>0</v>
      </c>
      <c r="U992">
        <v>103</v>
      </c>
      <c r="V992">
        <v>103.19</v>
      </c>
      <c r="W992" t="str">
        <f t="shared" si="279"/>
        <v>zintel</v>
      </c>
    </row>
    <row r="993" spans="1:23">
      <c r="A993" t="str">
        <f t="shared" si="280"/>
        <v>CNC-6000-ADV-MET</v>
      </c>
      <c r="B993" t="str">
        <f>"10-1113-4000"</f>
        <v>10-1113-4000</v>
      </c>
      <c r="C993" t="str">
        <f>"Metric End Mill Package(2X 3,6,8,10End,4,6 Ball)"</f>
        <v>Metric End Mill Package(2X 3,6,8,10End,4,6 Ball)</v>
      </c>
      <c r="D993">
        <v>1</v>
      </c>
      <c r="E993" t="str">
        <f t="shared" si="278"/>
        <v>BenchMILL 6000 Advanced Bundle, Metric, 110/220 VAC</v>
      </c>
      <c r="F993">
        <v>0</v>
      </c>
      <c r="G993" t="str">
        <f t="shared" si="272"/>
        <v>Y</v>
      </c>
      <c r="H993" t="str">
        <f t="shared" si="271"/>
        <v>EA</v>
      </c>
      <c r="I993">
        <v>0</v>
      </c>
      <c r="J993">
        <v>0</v>
      </c>
      <c r="K993" t="str">
        <f t="shared" si="273"/>
        <v>Y</v>
      </c>
      <c r="L993">
        <v>0</v>
      </c>
      <c r="M993" t="str">
        <f t="shared" si="274"/>
        <v>NIS</v>
      </c>
      <c r="O993">
        <v>5</v>
      </c>
      <c r="P993" t="str">
        <f t="shared" si="281"/>
        <v>Active</v>
      </c>
      <c r="Q993" t="str">
        <f>"Metric Advanced End Mill Package 5121"</f>
        <v>Metric Advanced End Mill Package 5121</v>
      </c>
      <c r="S993" t="str">
        <f>"Metric Advanced End Mill Package 5121"</f>
        <v>Metric Advanced End Mill Package 5121</v>
      </c>
      <c r="T993">
        <v>0</v>
      </c>
      <c r="U993">
        <v>55</v>
      </c>
      <c r="V993">
        <v>50.17</v>
      </c>
      <c r="W993" t="str">
        <f t="shared" si="279"/>
        <v>zintel</v>
      </c>
    </row>
    <row r="994" spans="1:23">
      <c r="A994" t="str">
        <f t="shared" si="280"/>
        <v>CNC-6000-ADV-MET</v>
      </c>
      <c r="B994" t="str">
        <f>"10-1112-2000"</f>
        <v>10-1112-2000</v>
      </c>
      <c r="C994" t="str">
        <f>"ER16 Collet set-8 pieces(3,4,5,6,7,8,9 and 10mm)"</f>
        <v>ER16 Collet set-8 pieces(3,4,5,6,7,8,9 and 10mm)</v>
      </c>
      <c r="D994">
        <v>1</v>
      </c>
      <c r="E994" t="str">
        <f t="shared" si="278"/>
        <v>BenchMILL 6000 Advanced Bundle, Metric, 110/220 VAC</v>
      </c>
      <c r="F994">
        <v>0</v>
      </c>
      <c r="G994" t="str">
        <f t="shared" si="272"/>
        <v>Y</v>
      </c>
      <c r="H994" t="str">
        <f t="shared" si="271"/>
        <v>EA</v>
      </c>
      <c r="I994">
        <v>0</v>
      </c>
      <c r="J994">
        <v>0</v>
      </c>
      <c r="K994" t="str">
        <f t="shared" si="273"/>
        <v>Y</v>
      </c>
      <c r="L994">
        <v>0</v>
      </c>
      <c r="M994" t="str">
        <f t="shared" si="274"/>
        <v>NIS</v>
      </c>
      <c r="O994">
        <v>6</v>
      </c>
      <c r="P994" t="str">
        <f t="shared" si="281"/>
        <v>Active</v>
      </c>
      <c r="Q994" t="str">
        <f>"ER16 Collet set-8 pieces(3,4,5,6,7,8,9 and 10mm)"</f>
        <v>ER16 Collet set-8 pieces(3,4,5,6,7,8,9 and 10mm)</v>
      </c>
      <c r="S994" t="str">
        <f>"ER16 Collet set-8 pieces(3,4,5,6,7,8,9 and 10mm)"</f>
        <v>ER16 Collet set-8 pieces(3,4,5,6,7,8,9 and 10mm)</v>
      </c>
      <c r="T994">
        <v>0</v>
      </c>
      <c r="U994">
        <v>71</v>
      </c>
      <c r="V994">
        <v>64.84</v>
      </c>
      <c r="W994" t="str">
        <f t="shared" si="279"/>
        <v>zintel</v>
      </c>
    </row>
    <row r="995" spans="1:23">
      <c r="A995" t="str">
        <f t="shared" si="280"/>
        <v>CNC-6000-ADV-MET</v>
      </c>
      <c r="B995" t="str">
        <f>"10-1115-0000"</f>
        <v>10-1115-0000</v>
      </c>
      <c r="C995" t="str">
        <f>"ER16 Collet set - 2 x (3,6,8,10mm)"</f>
        <v>ER16 Collet set - 2 x (3,6,8,10mm)</v>
      </c>
      <c r="D995">
        <v>1</v>
      </c>
      <c r="E995" t="str">
        <f t="shared" si="278"/>
        <v>BenchMILL 6000 Advanced Bundle, Metric, 110/220 VAC</v>
      </c>
      <c r="F995">
        <v>0</v>
      </c>
      <c r="G995" t="str">
        <f t="shared" si="272"/>
        <v>Y</v>
      </c>
      <c r="H995" t="str">
        <f t="shared" si="271"/>
        <v>EA</v>
      </c>
      <c r="I995">
        <v>0</v>
      </c>
      <c r="J995">
        <v>0</v>
      </c>
      <c r="K995" t="str">
        <f t="shared" si="273"/>
        <v>Y</v>
      </c>
      <c r="L995">
        <v>0</v>
      </c>
      <c r="M995" t="str">
        <f t="shared" si="274"/>
        <v>NIS</v>
      </c>
      <c r="O995">
        <v>7</v>
      </c>
      <c r="P995" t="str">
        <f t="shared" si="281"/>
        <v>Active</v>
      </c>
      <c r="Q995" t="str">
        <f>"ER16 Collet set-8 pieces(2)3,(2)6,(2)8,(2)10mm"</f>
        <v>ER16 Collet set-8 pieces(2)3,(2)6,(2)8,(2)10mm</v>
      </c>
      <c r="S995" t="str">
        <f>"ER16 Collet set-8 pieces(2)3,(2)6,(2)8,(2)10mm"</f>
        <v>ER16 Collet set-8 pieces(2)3,(2)6,(2)8,(2)10mm</v>
      </c>
      <c r="T995">
        <v>0</v>
      </c>
      <c r="U995">
        <v>71</v>
      </c>
      <c r="V995">
        <v>70.63</v>
      </c>
      <c r="W995" t="str">
        <f t="shared" si="279"/>
        <v>zintel</v>
      </c>
    </row>
    <row r="996" spans="1:23">
      <c r="A996" t="str">
        <f t="shared" si="280"/>
        <v>CNC-6000-ADV-MET</v>
      </c>
      <c r="B996" t="str">
        <f>"10-1115-2000"</f>
        <v>10-1115-2000</v>
      </c>
      <c r="C996" t="str">
        <f>"- Table mounted ATC package"</f>
        <v>- Table mounted ATC package</v>
      </c>
      <c r="D996">
        <v>1</v>
      </c>
      <c r="E996" t="str">
        <f t="shared" si="278"/>
        <v>BenchMILL 6000 Advanced Bundle, Metric, 110/220 VAC</v>
      </c>
      <c r="F996">
        <v>0</v>
      </c>
      <c r="G996" t="str">
        <f t="shared" si="272"/>
        <v>Y</v>
      </c>
      <c r="H996" t="str">
        <f t="shared" si="271"/>
        <v>EA</v>
      </c>
      <c r="I996">
        <v>0</v>
      </c>
      <c r="J996">
        <v>0</v>
      </c>
      <c r="K996" t="str">
        <f t="shared" si="273"/>
        <v>Y</v>
      </c>
      <c r="L996">
        <v>0</v>
      </c>
      <c r="M996" t="str">
        <f t="shared" si="274"/>
        <v>NIS</v>
      </c>
      <c r="O996">
        <v>8</v>
      </c>
      <c r="P996" t="str">
        <f t="shared" si="281"/>
        <v>Active</v>
      </c>
      <c r="Q996" t="str">
        <f>"Table mounted ATC package"</f>
        <v>Table mounted ATC package</v>
      </c>
      <c r="S996" t="str">
        <f>"Table mounted ATC package"</f>
        <v>Table mounted ATC package</v>
      </c>
      <c r="T996">
        <v>0</v>
      </c>
      <c r="U996">
        <v>690</v>
      </c>
      <c r="V996">
        <v>690.59</v>
      </c>
      <c r="W996" t="str">
        <f t="shared" si="279"/>
        <v>zintel</v>
      </c>
    </row>
    <row r="997" spans="1:23">
      <c r="A997" t="str">
        <f t="shared" si="280"/>
        <v>CNC-6000-ADV-MET</v>
      </c>
      <c r="B997" t="str">
        <f>"10-1111-1000"</f>
        <v>10-1111-1000</v>
      </c>
      <c r="C997" t="str">
        <f>"- Handwheel - Manual Control"</f>
        <v>- Handwheel - Manual Control</v>
      </c>
      <c r="D997">
        <v>1</v>
      </c>
      <c r="E997" t="str">
        <f t="shared" si="278"/>
        <v>BenchMILL 6000 Advanced Bundle, Metric, 110/220 VAC</v>
      </c>
      <c r="F997">
        <v>0</v>
      </c>
      <c r="G997" t="str">
        <f t="shared" si="272"/>
        <v>Y</v>
      </c>
      <c r="H997" t="str">
        <f t="shared" si="271"/>
        <v>EA</v>
      </c>
      <c r="I997">
        <v>0</v>
      </c>
      <c r="J997">
        <v>0</v>
      </c>
      <c r="K997" t="str">
        <f t="shared" si="273"/>
        <v>Y</v>
      </c>
      <c r="L997">
        <v>0</v>
      </c>
      <c r="M997" t="str">
        <f t="shared" si="274"/>
        <v>NIS</v>
      </c>
      <c r="O997">
        <v>9</v>
      </c>
      <c r="P997" t="str">
        <f t="shared" si="281"/>
        <v>Active</v>
      </c>
      <c r="Q997" t="str">
        <f>"Jog Pendant Handwheel"</f>
        <v>Jog Pendant Handwheel</v>
      </c>
      <c r="S997" t="str">
        <f>"Jog Pendant Handwheel"</f>
        <v>Jog Pendant Handwheel</v>
      </c>
      <c r="T997">
        <v>0</v>
      </c>
      <c r="U997">
        <v>235</v>
      </c>
      <c r="V997">
        <v>235.03</v>
      </c>
      <c r="W997" t="str">
        <f t="shared" si="279"/>
        <v>zintel</v>
      </c>
    </row>
    <row r="998" spans="1:23">
      <c r="A998" t="str">
        <f t="shared" si="280"/>
        <v>CNC-6000-ADV-MET</v>
      </c>
      <c r="B998" t="str">
        <f>"10-9120-0000"</f>
        <v>10-9120-0000</v>
      </c>
      <c r="C998" t="str">
        <f>"Stock Package, Wax, 3” x 2” x 1.5”– 50 Pcs"</f>
        <v>Stock Package, Wax, 3” x 2” x 1.5”– 50 Pcs</v>
      </c>
      <c r="D998">
        <v>1</v>
      </c>
      <c r="E998" t="str">
        <f t="shared" si="278"/>
        <v>BenchMILL 6000 Advanced Bundle, Metric, 110/220 VAC</v>
      </c>
      <c r="F998">
        <v>0</v>
      </c>
      <c r="G998" t="str">
        <f t="shared" si="272"/>
        <v>Y</v>
      </c>
      <c r="H998" t="str">
        <f t="shared" si="271"/>
        <v>EA</v>
      </c>
      <c r="I998">
        <v>0</v>
      </c>
      <c r="J998">
        <v>0</v>
      </c>
      <c r="K998" t="str">
        <f t="shared" si="273"/>
        <v>Y</v>
      </c>
      <c r="L998">
        <v>0</v>
      </c>
      <c r="M998" t="str">
        <f t="shared" si="274"/>
        <v>NIS</v>
      </c>
      <c r="O998">
        <v>10</v>
      </c>
      <c r="P998" t="str">
        <f t="shared" si="281"/>
        <v>Active</v>
      </c>
      <c r="Q998" t="str">
        <f>"Stock Package, WaxStock Pa3” x 2” x 1.5”– 50 Pcs"</f>
        <v>Stock Package, WaxStock Pa3” x 2” x 1.5”– 50 Pcs</v>
      </c>
      <c r="S998" t="str">
        <f>"Stock Package, Wax, 3” x 2” x 1.5”– 50 Pcs"</f>
        <v>Stock Package, Wax, 3” x 2” x 1.5”– 50 Pcs</v>
      </c>
      <c r="T998">
        <v>245</v>
      </c>
      <c r="U998">
        <v>242.73</v>
      </c>
      <c r="V998">
        <v>613.89</v>
      </c>
      <c r="W998" t="str">
        <f t="shared" si="279"/>
        <v>zintel</v>
      </c>
    </row>
    <row r="999" spans="1:23">
      <c r="A999" t="str">
        <f t="shared" si="280"/>
        <v>CNC-6000-ADV-MET</v>
      </c>
      <c r="B999" t="str">
        <f>"77-3140-0002"</f>
        <v>77-3140-0002</v>
      </c>
      <c r="C999" t="str">
        <f>"LM7 Content, Vir, CNCMilling w/BenchMill 6000(M)"</f>
        <v>LM7 Content, Vir, CNCMilling w/BenchMill 6000(M)</v>
      </c>
      <c r="D999">
        <v>1</v>
      </c>
      <c r="E999" t="str">
        <f t="shared" si="278"/>
        <v>BenchMILL 6000 Advanced Bundle, Metric, 110/220 VAC</v>
      </c>
      <c r="F999">
        <v>0</v>
      </c>
      <c r="G999" t="str">
        <f t="shared" si="272"/>
        <v>Y</v>
      </c>
      <c r="H999" t="str">
        <f t="shared" si="271"/>
        <v>EA</v>
      </c>
      <c r="I999">
        <v>0</v>
      </c>
      <c r="J999">
        <v>0</v>
      </c>
      <c r="K999" t="str">
        <f t="shared" si="273"/>
        <v>Y</v>
      </c>
      <c r="L999">
        <v>0</v>
      </c>
      <c r="M999" t="str">
        <f t="shared" si="274"/>
        <v>NIS</v>
      </c>
      <c r="O999">
        <v>11</v>
      </c>
      <c r="P999" t="str">
        <f t="shared" si="281"/>
        <v>Active</v>
      </c>
      <c r="Q999" t="str">
        <f>"LM7 Content, Vir, CNCMilling w/BenchMill 6000(M)"</f>
        <v>LM7 Content, Vir, CNCMilling w/BenchMill 6000(M)</v>
      </c>
      <c r="S999" t="str">
        <f>"LM7 Content, Vir, CNCMilling w/BenchMill 6000(M)"</f>
        <v>LM7 Content, Vir, CNCMilling w/BenchMill 6000(M)</v>
      </c>
      <c r="T999">
        <v>0</v>
      </c>
      <c r="U999">
        <v>5</v>
      </c>
      <c r="V999">
        <v>5.2</v>
      </c>
      <c r="W999" t="str">
        <f t="shared" si="279"/>
        <v>zintel</v>
      </c>
    </row>
    <row r="1000" spans="1:23">
      <c r="A1000" t="str">
        <f t="shared" ref="A1000:A1014" si="282">"CNC-6000-BNDL"</f>
        <v>CNC-6000-BNDL</v>
      </c>
      <c r="B1000" t="str">
        <f>"00-5505-0110"</f>
        <v>00-5505-0110</v>
      </c>
      <c r="C1000" t="str">
        <f>"CNC BenchMILL 6000, 110 VAC"</f>
        <v>CNC BenchMILL 6000, 110 VAC</v>
      </c>
      <c r="D1000">
        <v>1</v>
      </c>
      <c r="E1000" t="str">
        <f t="shared" ref="E1000:E1014" si="283">"BenchMILL 6000 bundle"</f>
        <v>BenchMILL 6000 bundle</v>
      </c>
      <c r="F1000">
        <v>0</v>
      </c>
      <c r="G1000" t="str">
        <f t="shared" si="272"/>
        <v>Y</v>
      </c>
      <c r="H1000" t="str">
        <f t="shared" si="271"/>
        <v>EA</v>
      </c>
      <c r="I1000">
        <v>0</v>
      </c>
      <c r="J1000">
        <v>0</v>
      </c>
      <c r="K1000" t="str">
        <f t="shared" si="273"/>
        <v>Y</v>
      </c>
      <c r="L1000">
        <v>0</v>
      </c>
      <c r="M1000" t="str">
        <f t="shared" si="274"/>
        <v>NIS</v>
      </c>
      <c r="O1000">
        <v>1</v>
      </c>
      <c r="P1000" t="str">
        <f t="shared" si="281"/>
        <v>Active</v>
      </c>
      <c r="Q1000" t="str">
        <f>"CNC BenchMILL 6000, 110 VAC"</f>
        <v>CNC BenchMILL 6000, 110 VAC</v>
      </c>
      <c r="S1000" t="str">
        <f>"CNC BenchMILL 6000, 110 VAC"</f>
        <v>CNC BenchMILL 6000, 110 VAC</v>
      </c>
      <c r="T1000">
        <v>0</v>
      </c>
      <c r="U1000" s="44">
        <v>4958</v>
      </c>
      <c r="V1000" s="44">
        <v>4944</v>
      </c>
      <c r="W1000" t="str">
        <f t="shared" si="279"/>
        <v>zintel</v>
      </c>
    </row>
    <row r="1001" spans="1:23">
      <c r="A1001" t="str">
        <f t="shared" si="282"/>
        <v>CNC-6000-BNDL</v>
      </c>
      <c r="B1001" t="str">
        <f>"10-1111-1000"</f>
        <v>10-1111-1000</v>
      </c>
      <c r="C1001" t="str">
        <f>"- Handwheel - Manual Control"</f>
        <v>- Handwheel - Manual Control</v>
      </c>
      <c r="D1001">
        <v>1</v>
      </c>
      <c r="E1001" t="str">
        <f t="shared" si="283"/>
        <v>BenchMILL 6000 bundle</v>
      </c>
      <c r="F1001">
        <v>0</v>
      </c>
      <c r="G1001" t="str">
        <f t="shared" si="272"/>
        <v>Y</v>
      </c>
      <c r="H1001" t="str">
        <f t="shared" si="271"/>
        <v>EA</v>
      </c>
      <c r="I1001">
        <v>0</v>
      </c>
      <c r="J1001">
        <v>0</v>
      </c>
      <c r="K1001" t="str">
        <f t="shared" si="273"/>
        <v>Y</v>
      </c>
      <c r="L1001">
        <v>0</v>
      </c>
      <c r="M1001" t="str">
        <f t="shared" si="274"/>
        <v>NIS</v>
      </c>
      <c r="O1001">
        <v>2</v>
      </c>
      <c r="P1001" t="str">
        <f t="shared" si="281"/>
        <v>Active</v>
      </c>
      <c r="Q1001" t="str">
        <f>"Jog Pendant Handwheel"</f>
        <v>Jog Pendant Handwheel</v>
      </c>
      <c r="S1001" t="str">
        <f>"Jog Pendant Handwheel"</f>
        <v>Jog Pendant Handwheel</v>
      </c>
      <c r="T1001">
        <v>0</v>
      </c>
      <c r="U1001">
        <v>235</v>
      </c>
      <c r="V1001">
        <v>235.03</v>
      </c>
      <c r="W1001" t="str">
        <f t="shared" si="279"/>
        <v>zintel</v>
      </c>
    </row>
    <row r="1002" spans="1:23">
      <c r="A1002" t="str">
        <f t="shared" si="282"/>
        <v>CNC-6000-BNDL</v>
      </c>
      <c r="B1002" t="str">
        <f>"10-1111-6000"</f>
        <v>10-1111-6000</v>
      </c>
      <c r="C1002" t="str">
        <f>"4"" Vise"</f>
        <v>4" Vise</v>
      </c>
      <c r="D1002">
        <v>1</v>
      </c>
      <c r="E1002" t="str">
        <f t="shared" si="283"/>
        <v>BenchMILL 6000 bundle</v>
      </c>
      <c r="F1002">
        <v>0</v>
      </c>
      <c r="G1002" t="str">
        <f t="shared" si="272"/>
        <v>Y</v>
      </c>
      <c r="H1002" t="str">
        <f t="shared" si="271"/>
        <v>EA</v>
      </c>
      <c r="I1002">
        <v>0</v>
      </c>
      <c r="J1002">
        <v>0</v>
      </c>
      <c r="K1002" t="str">
        <f t="shared" si="273"/>
        <v>Y</v>
      </c>
      <c r="L1002">
        <v>0</v>
      </c>
      <c r="M1002" t="str">
        <f t="shared" si="274"/>
        <v>NIS</v>
      </c>
      <c r="O1002">
        <v>3</v>
      </c>
      <c r="P1002" t="str">
        <f t="shared" si="281"/>
        <v>Active</v>
      </c>
      <c r="Q1002" t="str">
        <f>"4"" Precision Maching Vise"</f>
        <v>4" Precision Maching Vise</v>
      </c>
      <c r="S1002" t="str">
        <f>"4"" Precision Maching Vise"</f>
        <v>4" Precision Maching Vise</v>
      </c>
      <c r="T1002">
        <v>0</v>
      </c>
      <c r="U1002">
        <v>53</v>
      </c>
      <c r="V1002">
        <v>49.5</v>
      </c>
      <c r="W1002" t="str">
        <f t="shared" si="279"/>
        <v>zintel</v>
      </c>
    </row>
    <row r="1003" spans="1:23">
      <c r="A1003" t="str">
        <f t="shared" si="282"/>
        <v>CNC-6000-BNDL</v>
      </c>
      <c r="B1003" t="str">
        <f>"10-1111-7000"</f>
        <v>10-1111-7000</v>
      </c>
      <c r="C1003" t="str">
        <f>"- Imperial 4 tool ISO 20 tool holder package"</f>
        <v>- Imperial 4 tool ISO 20 tool holder package</v>
      </c>
      <c r="D1003">
        <v>1</v>
      </c>
      <c r="E1003" t="str">
        <f t="shared" si="283"/>
        <v>BenchMILL 6000 bundle</v>
      </c>
      <c r="F1003">
        <v>0</v>
      </c>
      <c r="G1003" t="str">
        <f t="shared" si="272"/>
        <v>Y</v>
      </c>
      <c r="H1003" t="str">
        <f t="shared" si="271"/>
        <v>EA</v>
      </c>
      <c r="I1003">
        <v>0</v>
      </c>
      <c r="J1003">
        <v>0</v>
      </c>
      <c r="K1003" t="str">
        <f t="shared" si="273"/>
        <v>Y</v>
      </c>
      <c r="L1003">
        <v>0</v>
      </c>
      <c r="M1003" t="str">
        <f t="shared" si="274"/>
        <v>NIS</v>
      </c>
      <c r="O1003">
        <v>4</v>
      </c>
      <c r="P1003" t="str">
        <f t="shared" si="281"/>
        <v>Active</v>
      </c>
      <c r="Q1003" t="str">
        <f>"Imperial 4 tool ISO 20 tool holder package"</f>
        <v>Imperial 4 tool ISO 20 tool holder package</v>
      </c>
      <c r="S1003" t="str">
        <f>"Imperial 4 tool ISO 20 tool holder package"</f>
        <v>Imperial 4 tool ISO 20 tool holder package</v>
      </c>
      <c r="T1003">
        <v>0</v>
      </c>
      <c r="U1003">
        <v>555</v>
      </c>
      <c r="V1003">
        <v>554</v>
      </c>
      <c r="W1003" t="str">
        <f t="shared" si="279"/>
        <v>zintel</v>
      </c>
    </row>
    <row r="1004" spans="1:23">
      <c r="A1004" t="str">
        <f t="shared" si="282"/>
        <v>CNC-6000-BNDL</v>
      </c>
      <c r="B1004" t="str">
        <f>"10-1113-1000"</f>
        <v>10-1113-1000</v>
      </c>
      <c r="C1004" t="str">
        <f>"- 4 Tool  ATC (Table Mounted)"</f>
        <v>- 4 Tool  ATC (Table Mounted)</v>
      </c>
      <c r="D1004">
        <v>1</v>
      </c>
      <c r="E1004" t="str">
        <f t="shared" si="283"/>
        <v>BenchMILL 6000 bundle</v>
      </c>
      <c r="F1004">
        <v>0</v>
      </c>
      <c r="G1004" t="str">
        <f t="shared" si="272"/>
        <v>Y</v>
      </c>
      <c r="H1004" t="str">
        <f t="shared" si="271"/>
        <v>EA</v>
      </c>
      <c r="I1004">
        <v>0</v>
      </c>
      <c r="J1004">
        <v>0</v>
      </c>
      <c r="K1004" t="str">
        <f t="shared" si="273"/>
        <v>Y</v>
      </c>
      <c r="L1004">
        <v>0</v>
      </c>
      <c r="M1004" t="str">
        <f t="shared" si="274"/>
        <v>NIS</v>
      </c>
      <c r="O1004">
        <v>5</v>
      </c>
      <c r="P1004" t="str">
        <f t="shared" si="281"/>
        <v>Active</v>
      </c>
      <c r="Q1004" t="str">
        <f>"4 Tool Table ATC Package"</f>
        <v>4 Tool Table ATC Package</v>
      </c>
      <c r="S1004" t="str">
        <f>"4 Tool Table ATC Package"</f>
        <v>4 Tool Table ATC Package</v>
      </c>
      <c r="T1004">
        <v>0</v>
      </c>
      <c r="U1004">
        <v>328</v>
      </c>
      <c r="V1004">
        <v>328.26</v>
      </c>
      <c r="W1004" t="str">
        <f t="shared" si="279"/>
        <v>zintel</v>
      </c>
    </row>
    <row r="1005" spans="1:23">
      <c r="A1005" t="str">
        <f t="shared" si="282"/>
        <v>CNC-6000-BNDL</v>
      </c>
      <c r="B1005" t="str">
        <f>"10-1115-5000"</f>
        <v>10-1115-5000</v>
      </c>
      <c r="C1005" t="str">
        <f>"Step Clamp – BM6000, PM8000"</f>
        <v>Step Clamp – BM6000, PM8000</v>
      </c>
      <c r="D1005">
        <v>1</v>
      </c>
      <c r="E1005" t="str">
        <f t="shared" si="283"/>
        <v>BenchMILL 6000 bundle</v>
      </c>
      <c r="F1005">
        <v>0</v>
      </c>
      <c r="G1005" t="str">
        <f t="shared" si="272"/>
        <v>Y</v>
      </c>
      <c r="H1005" t="str">
        <f t="shared" si="271"/>
        <v>EA</v>
      </c>
      <c r="I1005">
        <v>0</v>
      </c>
      <c r="J1005">
        <v>0</v>
      </c>
      <c r="K1005" t="str">
        <f t="shared" si="273"/>
        <v>Y</v>
      </c>
      <c r="L1005">
        <v>0</v>
      </c>
      <c r="M1005" t="str">
        <f t="shared" si="274"/>
        <v>NIS</v>
      </c>
      <c r="O1005">
        <v>6</v>
      </c>
      <c r="P1005" t="str">
        <f t="shared" si="281"/>
        <v>Active</v>
      </c>
      <c r="Q1005" t="str">
        <f>"Step Clamp – BM6000, PM8000"</f>
        <v>Step Clamp – BM6000, PM8000</v>
      </c>
      <c r="S1005" t="str">
        <f>"Step Clamp – BM6000, PM8000"</f>
        <v>Step Clamp – BM6000, PM8000</v>
      </c>
      <c r="T1005">
        <v>0</v>
      </c>
      <c r="U1005">
        <v>3.28</v>
      </c>
      <c r="V1005">
        <v>3.12</v>
      </c>
      <c r="W1005" t="str">
        <f t="shared" si="279"/>
        <v>zintel</v>
      </c>
    </row>
    <row r="1006" spans="1:23">
      <c r="A1006" t="str">
        <f t="shared" si="282"/>
        <v>CNC-6000-BNDL</v>
      </c>
      <c r="B1006" t="str">
        <f>"10-1111-5000"</f>
        <v>10-1111-5000</v>
      </c>
      <c r="C1006" t="str">
        <f>"clamping kit 58 pcs set"</f>
        <v>clamping kit 58 pcs set</v>
      </c>
      <c r="D1006">
        <v>1</v>
      </c>
      <c r="E1006" t="str">
        <f t="shared" si="283"/>
        <v>BenchMILL 6000 bundle</v>
      </c>
      <c r="F1006">
        <v>0</v>
      </c>
      <c r="G1006" t="str">
        <f t="shared" si="272"/>
        <v>Y</v>
      </c>
      <c r="H1006" t="str">
        <f t="shared" si="271"/>
        <v>EA</v>
      </c>
      <c r="I1006">
        <v>0</v>
      </c>
      <c r="J1006">
        <v>0</v>
      </c>
      <c r="K1006" t="str">
        <f t="shared" si="273"/>
        <v>Y</v>
      </c>
      <c r="L1006">
        <v>0</v>
      </c>
      <c r="M1006" t="str">
        <f t="shared" si="274"/>
        <v>NIS</v>
      </c>
      <c r="O1006">
        <v>7</v>
      </c>
      <c r="P1006" t="str">
        <f t="shared" si="281"/>
        <v>Active</v>
      </c>
      <c r="Q1006" t="str">
        <f>"clamping kit 58 pcs set"</f>
        <v>clamping kit 58 pcs set</v>
      </c>
      <c r="S1006" t="str">
        <f>"clamping kit 58 pcs set"</f>
        <v>clamping kit 58 pcs set</v>
      </c>
      <c r="T1006">
        <v>0</v>
      </c>
      <c r="U1006">
        <v>52</v>
      </c>
      <c r="V1006">
        <v>51.72</v>
      </c>
      <c r="W1006" t="str">
        <f t="shared" si="279"/>
        <v>zintel</v>
      </c>
    </row>
    <row r="1007" spans="1:23">
      <c r="A1007" t="str">
        <f t="shared" si="282"/>
        <v>CNC-6000-BNDL</v>
      </c>
      <c r="B1007" t="str">
        <f>"10-1112-2000"</f>
        <v>10-1112-2000</v>
      </c>
      <c r="C1007" t="str">
        <f>"ER16 Collet set-8 pieces(3,4,5,6,7,8,9 and 10mm)"</f>
        <v>ER16 Collet set-8 pieces(3,4,5,6,7,8,9 and 10mm)</v>
      </c>
      <c r="D1007">
        <v>1</v>
      </c>
      <c r="E1007" t="str">
        <f t="shared" si="283"/>
        <v>BenchMILL 6000 bundle</v>
      </c>
      <c r="F1007">
        <v>0</v>
      </c>
      <c r="G1007" t="str">
        <f t="shared" si="272"/>
        <v>Y</v>
      </c>
      <c r="H1007" t="str">
        <f t="shared" si="271"/>
        <v>EA</v>
      </c>
      <c r="I1007">
        <v>0</v>
      </c>
      <c r="J1007">
        <v>0</v>
      </c>
      <c r="K1007" t="str">
        <f t="shared" si="273"/>
        <v>Y</v>
      </c>
      <c r="L1007">
        <v>0</v>
      </c>
      <c r="M1007" t="str">
        <f t="shared" si="274"/>
        <v>NIS</v>
      </c>
      <c r="O1007">
        <v>8</v>
      </c>
      <c r="P1007" t="str">
        <f t="shared" si="281"/>
        <v>Active</v>
      </c>
      <c r="Q1007" t="str">
        <f>"ER16 Collet set-8 pieces(3,4,5,6,7,8,9 and 10mm)"</f>
        <v>ER16 Collet set-8 pieces(3,4,5,6,7,8,9 and 10mm)</v>
      </c>
      <c r="S1007" t="str">
        <f>"ER16 Collet set-8 pieces(3,4,5,6,7,8,9 and 10mm)"</f>
        <v>ER16 Collet set-8 pieces(3,4,5,6,7,8,9 and 10mm)</v>
      </c>
      <c r="T1007">
        <v>0</v>
      </c>
      <c r="U1007">
        <v>71</v>
      </c>
      <c r="V1007">
        <v>64.84</v>
      </c>
      <c r="W1007" t="str">
        <f t="shared" si="279"/>
        <v>zintel</v>
      </c>
    </row>
    <row r="1008" spans="1:23">
      <c r="A1008" t="str">
        <f t="shared" si="282"/>
        <v>CNC-6000-BNDL</v>
      </c>
      <c r="B1008" t="str">
        <f>"10-1113-5000"</f>
        <v>10-1113-5000</v>
      </c>
      <c r="C1008" t="str">
        <f>"Imperial Advanced End Mill Package 5120"</f>
        <v>Imperial Advanced End Mill Package 5120</v>
      </c>
      <c r="D1008">
        <v>1</v>
      </c>
      <c r="E1008" t="str">
        <f t="shared" si="283"/>
        <v>BenchMILL 6000 bundle</v>
      </c>
      <c r="F1008">
        <v>0</v>
      </c>
      <c r="G1008" t="str">
        <f t="shared" si="272"/>
        <v>Y</v>
      </c>
      <c r="H1008" t="str">
        <f t="shared" si="271"/>
        <v>EA</v>
      </c>
      <c r="I1008">
        <v>0</v>
      </c>
      <c r="J1008">
        <v>0</v>
      </c>
      <c r="K1008" t="str">
        <f t="shared" si="273"/>
        <v>Y</v>
      </c>
      <c r="L1008">
        <v>0</v>
      </c>
      <c r="M1008" t="str">
        <f t="shared" si="274"/>
        <v>NIS</v>
      </c>
      <c r="O1008">
        <v>9</v>
      </c>
      <c r="P1008" t="str">
        <f t="shared" si="281"/>
        <v>Active</v>
      </c>
      <c r="Q1008" t="str">
        <f>"Imperial Advanced End Mill Package 5120"</f>
        <v>Imperial Advanced End Mill Package 5120</v>
      </c>
      <c r="S1008" t="str">
        <f>"Imperial Advanced End Mill Package 5120"</f>
        <v>Imperial Advanced End Mill Package 5120</v>
      </c>
      <c r="T1008">
        <v>0</v>
      </c>
      <c r="U1008">
        <v>64</v>
      </c>
      <c r="V1008">
        <v>64</v>
      </c>
      <c r="W1008" t="str">
        <f t="shared" si="279"/>
        <v>zintel</v>
      </c>
    </row>
    <row r="1009" spans="1:23">
      <c r="A1009" t="str">
        <f t="shared" si="282"/>
        <v>CNC-6000-BNDL</v>
      </c>
      <c r="B1009" t="str">
        <f>"10-1113-7000"</f>
        <v>10-1113-7000</v>
      </c>
      <c r="C1009" t="str">
        <f>"- Imperial Engraving Package 5710"</f>
        <v>- Imperial Engraving Package 5710</v>
      </c>
      <c r="D1009">
        <v>1</v>
      </c>
      <c r="E1009" t="str">
        <f t="shared" si="283"/>
        <v>BenchMILL 6000 bundle</v>
      </c>
      <c r="F1009">
        <v>0</v>
      </c>
      <c r="G1009" t="str">
        <f t="shared" si="272"/>
        <v>Y</v>
      </c>
      <c r="H1009" t="str">
        <f t="shared" si="271"/>
        <v>EA</v>
      </c>
      <c r="I1009">
        <v>0</v>
      </c>
      <c r="J1009">
        <v>0</v>
      </c>
      <c r="K1009" t="str">
        <f t="shared" si="273"/>
        <v>Y</v>
      </c>
      <c r="L1009">
        <v>0</v>
      </c>
      <c r="M1009" t="str">
        <f t="shared" si="274"/>
        <v>NIS</v>
      </c>
      <c r="O1009">
        <v>10</v>
      </c>
      <c r="P1009" t="str">
        <f t="shared" si="281"/>
        <v>Active</v>
      </c>
      <c r="Q1009" t="str">
        <f>"Imperial Engraving Package 5710"</f>
        <v>Imperial Engraving Package 5710</v>
      </c>
      <c r="S1009" t="str">
        <f>"Imperial Engraving Package 5710"</f>
        <v>Imperial Engraving Package 5710</v>
      </c>
      <c r="T1009">
        <v>0</v>
      </c>
      <c r="U1009">
        <v>41</v>
      </c>
      <c r="V1009">
        <v>41</v>
      </c>
      <c r="W1009" t="str">
        <f t="shared" si="279"/>
        <v>zintel</v>
      </c>
    </row>
    <row r="1010" spans="1:23">
      <c r="A1010" t="str">
        <f t="shared" si="282"/>
        <v>CNC-6000-BNDL</v>
      </c>
      <c r="B1010" t="str">
        <f>"10-9120-0000"</f>
        <v>10-9120-0000</v>
      </c>
      <c r="C1010" t="str">
        <f>"Stock Package, Wax, 3” x 2” x 1.5”– 50 Pcs"</f>
        <v>Stock Package, Wax, 3” x 2” x 1.5”– 50 Pcs</v>
      </c>
      <c r="D1010">
        <v>1</v>
      </c>
      <c r="E1010" t="str">
        <f t="shared" si="283"/>
        <v>BenchMILL 6000 bundle</v>
      </c>
      <c r="F1010">
        <v>0</v>
      </c>
      <c r="G1010" t="str">
        <f t="shared" si="272"/>
        <v>Y</v>
      </c>
      <c r="H1010" t="str">
        <f t="shared" si="271"/>
        <v>EA</v>
      </c>
      <c r="I1010">
        <v>0</v>
      </c>
      <c r="J1010">
        <v>0</v>
      </c>
      <c r="K1010" t="str">
        <f t="shared" si="273"/>
        <v>Y</v>
      </c>
      <c r="L1010">
        <v>0</v>
      </c>
      <c r="M1010" t="str">
        <f t="shared" si="274"/>
        <v>NIS</v>
      </c>
      <c r="O1010">
        <v>11</v>
      </c>
      <c r="P1010" t="str">
        <f t="shared" si="281"/>
        <v>Active</v>
      </c>
      <c r="Q1010" t="str">
        <f>"Stock Package, Wax, 3” x 2” x 1.5”– 50 Pcs"</f>
        <v>Stock Package, Wax, 3” x 2” x 1.5”– 50 Pcs</v>
      </c>
      <c r="S1010" t="str">
        <f>"Stock Package, Wax, 3” x 2” x 1.5”– 50 Pcs"</f>
        <v>Stock Package, Wax, 3” x 2” x 1.5”– 50 Pcs</v>
      </c>
      <c r="T1010">
        <v>245</v>
      </c>
      <c r="U1010">
        <v>242.73</v>
      </c>
      <c r="V1010">
        <v>613.89</v>
      </c>
      <c r="W1010" t="str">
        <f t="shared" si="279"/>
        <v>zintel</v>
      </c>
    </row>
    <row r="1011" spans="1:23">
      <c r="A1011" t="str">
        <f t="shared" si="282"/>
        <v>CNC-6000-BNDL</v>
      </c>
      <c r="B1011" t="str">
        <f>"10-9160-0000"</f>
        <v>10-9160-0000</v>
      </c>
      <c r="C1011" t="str">
        <f>"Stock Package, Name Badge, Engrave"</f>
        <v>Stock Package, Name Badge, Engrave</v>
      </c>
      <c r="D1011">
        <v>1</v>
      </c>
      <c r="E1011" t="str">
        <f t="shared" si="283"/>
        <v>BenchMILL 6000 bundle</v>
      </c>
      <c r="F1011">
        <v>0</v>
      </c>
      <c r="G1011" t="str">
        <f t="shared" si="272"/>
        <v>Y</v>
      </c>
      <c r="H1011" t="str">
        <f t="shared" si="271"/>
        <v>EA</v>
      </c>
      <c r="I1011">
        <v>0</v>
      </c>
      <c r="J1011">
        <v>0</v>
      </c>
      <c r="K1011" t="str">
        <f t="shared" si="273"/>
        <v>Y</v>
      </c>
      <c r="L1011">
        <v>0</v>
      </c>
      <c r="M1011" t="str">
        <f t="shared" si="274"/>
        <v>NIS</v>
      </c>
      <c r="O1011">
        <v>12</v>
      </c>
      <c r="P1011" t="str">
        <f t="shared" si="281"/>
        <v>Active</v>
      </c>
      <c r="Q1011" t="str">
        <f>"Stock Package, Name Badge, Engrave"</f>
        <v>Stock Package, Name Badge, Engrave</v>
      </c>
      <c r="S1011" t="str">
        <f>"Stock Package, Name Badge, Engrave"</f>
        <v>Stock Package, Name Badge, Engrave</v>
      </c>
      <c r="T1011">
        <v>118.88</v>
      </c>
      <c r="U1011">
        <v>150.34</v>
      </c>
      <c r="V1011">
        <v>155.66</v>
      </c>
      <c r="W1011" t="str">
        <f t="shared" si="279"/>
        <v>zintel</v>
      </c>
    </row>
    <row r="1012" spans="1:23">
      <c r="A1012" t="str">
        <f t="shared" si="282"/>
        <v>CNC-6000-BNDL</v>
      </c>
      <c r="B1012" t="str">
        <f>"77-8140-0001"</f>
        <v>77-8140-0001</v>
      </c>
      <c r="C1012" t="str">
        <f>"LM7 Content, Lab, CNC Milling w/BenchMill 6000"</f>
        <v>LM7 Content, Lab, CNC Milling w/BenchMill 6000</v>
      </c>
      <c r="D1012">
        <v>1</v>
      </c>
      <c r="E1012" t="str">
        <f t="shared" si="283"/>
        <v>BenchMILL 6000 bundle</v>
      </c>
      <c r="F1012">
        <v>0</v>
      </c>
      <c r="G1012" t="str">
        <f t="shared" si="272"/>
        <v>Y</v>
      </c>
      <c r="H1012" t="str">
        <f t="shared" si="271"/>
        <v>EA</v>
      </c>
      <c r="I1012">
        <v>0</v>
      </c>
      <c r="J1012">
        <v>0</v>
      </c>
      <c r="K1012" t="str">
        <f t="shared" si="273"/>
        <v>Y</v>
      </c>
      <c r="L1012">
        <v>0</v>
      </c>
      <c r="M1012" t="str">
        <f t="shared" si="274"/>
        <v>NIS</v>
      </c>
      <c r="O1012">
        <v>13</v>
      </c>
      <c r="P1012" t="str">
        <f t="shared" si="281"/>
        <v>Active</v>
      </c>
      <c r="Q1012" t="str">
        <f>"LM7 Content, Lab, CNC Milling w/BenchMill 6000"</f>
        <v>LM7 Content, Lab, CNC Milling w/BenchMill 6000</v>
      </c>
      <c r="S1012" t="str">
        <f>"LM7 Content, Lab, CNC Milling w/BenchMill 6000"</f>
        <v>LM7 Content, Lab, CNC Milling w/BenchMill 6000</v>
      </c>
      <c r="T1012">
        <v>0</v>
      </c>
      <c r="U1012">
        <v>5</v>
      </c>
      <c r="V1012">
        <v>5</v>
      </c>
      <c r="W1012" t="str">
        <f t="shared" si="279"/>
        <v>zintel</v>
      </c>
    </row>
    <row r="1013" spans="1:23">
      <c r="A1013" t="str">
        <f t="shared" si="282"/>
        <v>CNC-6000-BNDL</v>
      </c>
      <c r="B1013" t="str">
        <f>"39-0000-0029"</f>
        <v>39-0000-0029</v>
      </c>
      <c r="C1013" t="str">
        <f>"Safety Glasses, clear"</f>
        <v>Safety Glasses, clear</v>
      </c>
      <c r="D1013">
        <v>2</v>
      </c>
      <c r="E1013" t="str">
        <f t="shared" si="283"/>
        <v>BenchMILL 6000 bundle</v>
      </c>
      <c r="F1013">
        <v>0</v>
      </c>
      <c r="G1013" t="str">
        <f t="shared" si="272"/>
        <v>Y</v>
      </c>
      <c r="H1013" t="str">
        <f t="shared" si="271"/>
        <v>EA</v>
      </c>
      <c r="I1013">
        <v>0</v>
      </c>
      <c r="J1013">
        <v>0</v>
      </c>
      <c r="K1013" t="str">
        <f t="shared" si="273"/>
        <v>Y</v>
      </c>
      <c r="L1013">
        <v>0</v>
      </c>
      <c r="M1013" t="str">
        <f t="shared" si="274"/>
        <v>NIS</v>
      </c>
      <c r="O1013">
        <v>14</v>
      </c>
      <c r="P1013" t="str">
        <f t="shared" si="281"/>
        <v>Active</v>
      </c>
      <c r="Q1013" t="str">
        <f>"Safety Glasses, clear"</f>
        <v>Safety Glasses, clear</v>
      </c>
      <c r="R1013" t="str">
        <f>"1"</f>
        <v>1</v>
      </c>
      <c r="S1013" t="str">
        <f>"Safety Glasses, clear"</f>
        <v>Safety Glasses, clear</v>
      </c>
      <c r="T1013">
        <v>3.11</v>
      </c>
      <c r="U1013">
        <v>2.19</v>
      </c>
      <c r="V1013">
        <v>1.78</v>
      </c>
      <c r="W1013" t="str">
        <f t="shared" si="279"/>
        <v>zintel</v>
      </c>
    </row>
    <row r="1014" spans="1:23">
      <c r="A1014" t="str">
        <f t="shared" si="282"/>
        <v>CNC-6000-BNDL</v>
      </c>
      <c r="B1014" t="str">
        <f>"63-6789-1000"</f>
        <v>63-6789-1000</v>
      </c>
      <c r="C1014" t="str">
        <f>"CNCMotion Software, All CNC Machines"</f>
        <v>CNCMotion Software, All CNC Machines</v>
      </c>
      <c r="D1014">
        <v>30</v>
      </c>
      <c r="E1014" t="str">
        <f t="shared" si="283"/>
        <v>BenchMILL 6000 bundle</v>
      </c>
      <c r="F1014">
        <v>0</v>
      </c>
      <c r="G1014" t="str">
        <f t="shared" si="272"/>
        <v>Y</v>
      </c>
      <c r="H1014" t="str">
        <f t="shared" si="271"/>
        <v>EA</v>
      </c>
      <c r="I1014">
        <v>0</v>
      </c>
      <c r="J1014">
        <v>0</v>
      </c>
      <c r="K1014" t="str">
        <f t="shared" si="273"/>
        <v>Y</v>
      </c>
      <c r="L1014">
        <v>0</v>
      </c>
      <c r="M1014" t="str">
        <f t="shared" si="274"/>
        <v>NIS</v>
      </c>
      <c r="O1014">
        <v>15</v>
      </c>
      <c r="P1014" t="str">
        <f t="shared" si="281"/>
        <v>Active</v>
      </c>
      <c r="Q1014" t="str">
        <f>"CNCMotion Software, All CNC Machinnew CNC Motion"</f>
        <v>CNCMotion Software, All CNC Machinnew CNC Motion</v>
      </c>
      <c r="S1014" t="str">
        <f>"CNCMotion Software, All CNC Machines"</f>
        <v>CNCMotion Software, All CNC Machines</v>
      </c>
      <c r="T1014">
        <v>0</v>
      </c>
      <c r="U1014">
        <v>9.5</v>
      </c>
      <c r="V1014">
        <v>9.8800000000000008</v>
      </c>
      <c r="W1014" t="str">
        <f t="shared" si="279"/>
        <v>zintel</v>
      </c>
    </row>
    <row r="1015" spans="1:23">
      <c r="A1015" t="str">
        <f t="shared" ref="A1015:A1028" si="284">"CNC-6000-EXP-IMP"</f>
        <v>CNC-6000-EXP-IMP</v>
      </c>
      <c r="B1015" t="str">
        <f>"00-5505-0110"</f>
        <v>00-5505-0110</v>
      </c>
      <c r="C1015" t="str">
        <f>"CNC BenchMILL 6000, 110 VAC"</f>
        <v>CNC BenchMILL 6000, 110 VAC</v>
      </c>
      <c r="D1015">
        <v>1</v>
      </c>
      <c r="E1015" t="str">
        <f t="shared" ref="E1015:E1028" si="285">"BenchMILL 6000 Expert Bundle, Imperial, 110/220 VAC"</f>
        <v>BenchMILL 6000 Expert Bundle, Imperial, 110/220 VAC</v>
      </c>
      <c r="F1015">
        <v>0</v>
      </c>
      <c r="G1015" t="str">
        <f t="shared" si="272"/>
        <v>Y</v>
      </c>
      <c r="H1015" t="str">
        <f t="shared" si="271"/>
        <v>EA</v>
      </c>
      <c r="I1015">
        <v>0</v>
      </c>
      <c r="J1015">
        <v>0</v>
      </c>
      <c r="K1015" t="str">
        <f t="shared" si="273"/>
        <v>Y</v>
      </c>
      <c r="L1015">
        <v>0</v>
      </c>
      <c r="M1015" t="str">
        <f t="shared" si="274"/>
        <v>NIS</v>
      </c>
      <c r="O1015">
        <v>1</v>
      </c>
      <c r="P1015" t="str">
        <f t="shared" si="281"/>
        <v>Active</v>
      </c>
      <c r="Q1015" t="str">
        <f>"CNC BenchMILL 6000, 110 VAC"</f>
        <v>CNC BenchMILL 6000, 110 VAC</v>
      </c>
      <c r="S1015" t="str">
        <f>"CNC BenchMILL 6000, 110 VAC"</f>
        <v>CNC BenchMILL 6000, 110 VAC</v>
      </c>
      <c r="T1015">
        <v>0</v>
      </c>
      <c r="U1015" s="44">
        <v>4958</v>
      </c>
      <c r="V1015" s="44">
        <v>4944</v>
      </c>
      <c r="W1015" t="str">
        <f t="shared" si="279"/>
        <v>zintel</v>
      </c>
    </row>
    <row r="1016" spans="1:23">
      <c r="A1016" t="str">
        <f t="shared" si="284"/>
        <v>CNC-6000-EXP-IMP</v>
      </c>
      <c r="B1016" t="str">
        <f>"10-1111-6000"</f>
        <v>10-1111-6000</v>
      </c>
      <c r="C1016" t="str">
        <f>"4"" Vise"</f>
        <v>4" Vise</v>
      </c>
      <c r="D1016">
        <v>1</v>
      </c>
      <c r="E1016" t="str">
        <f t="shared" si="285"/>
        <v>BenchMILL 6000 Expert Bundle, Imperial, 110/220 VAC</v>
      </c>
      <c r="F1016">
        <v>0</v>
      </c>
      <c r="G1016" t="str">
        <f t="shared" si="272"/>
        <v>Y</v>
      </c>
      <c r="H1016" t="str">
        <f t="shared" si="271"/>
        <v>EA</v>
      </c>
      <c r="I1016">
        <v>0</v>
      </c>
      <c r="J1016">
        <v>0</v>
      </c>
      <c r="K1016" t="str">
        <f t="shared" si="273"/>
        <v>Y</v>
      </c>
      <c r="L1016">
        <v>0</v>
      </c>
      <c r="M1016" t="str">
        <f t="shared" si="274"/>
        <v>NIS</v>
      </c>
      <c r="O1016">
        <v>2</v>
      </c>
      <c r="P1016" t="str">
        <f t="shared" si="281"/>
        <v>Active</v>
      </c>
      <c r="Q1016" t="str">
        <f>"4"" Precision Maching Vise"</f>
        <v>4" Precision Maching Vise</v>
      </c>
      <c r="S1016" t="str">
        <f>"4"" Precision Maching Vise"</f>
        <v>4" Precision Maching Vise</v>
      </c>
      <c r="T1016">
        <v>0</v>
      </c>
      <c r="U1016">
        <v>53</v>
      </c>
      <c r="V1016">
        <v>49.5</v>
      </c>
      <c r="W1016" t="str">
        <f t="shared" si="279"/>
        <v>zintel</v>
      </c>
    </row>
    <row r="1017" spans="1:23">
      <c r="A1017" t="str">
        <f t="shared" si="284"/>
        <v>CNC-6000-EXP-IMP</v>
      </c>
      <c r="B1017" t="str">
        <f>"10-1111-5000"</f>
        <v>10-1111-5000</v>
      </c>
      <c r="C1017" t="str">
        <f>"clamping kit 58 pcs set"</f>
        <v>clamping kit 58 pcs set</v>
      </c>
      <c r="D1017">
        <v>1</v>
      </c>
      <c r="E1017" t="str">
        <f t="shared" si="285"/>
        <v>BenchMILL 6000 Expert Bundle, Imperial, 110/220 VAC</v>
      </c>
      <c r="F1017">
        <v>0</v>
      </c>
      <c r="G1017" t="str">
        <f t="shared" si="272"/>
        <v>Y</v>
      </c>
      <c r="H1017" t="str">
        <f t="shared" si="271"/>
        <v>EA</v>
      </c>
      <c r="I1017">
        <v>0</v>
      </c>
      <c r="J1017">
        <v>0</v>
      </c>
      <c r="K1017" t="str">
        <f t="shared" si="273"/>
        <v>Y</v>
      </c>
      <c r="L1017">
        <v>0</v>
      </c>
      <c r="M1017" t="str">
        <f t="shared" si="274"/>
        <v>NIS</v>
      </c>
      <c r="O1017">
        <v>3</v>
      </c>
      <c r="P1017" t="str">
        <f t="shared" si="281"/>
        <v>Active</v>
      </c>
      <c r="Q1017" t="str">
        <f>"clamping kit 58 pcs set"</f>
        <v>clamping kit 58 pcs set</v>
      </c>
      <c r="S1017" t="str">
        <f>"clamping kit 58 pcs set"</f>
        <v>clamping kit 58 pcs set</v>
      </c>
      <c r="T1017">
        <v>0</v>
      </c>
      <c r="U1017">
        <v>52</v>
      </c>
      <c r="V1017">
        <v>51.72</v>
      </c>
      <c r="W1017" t="str">
        <f t="shared" si="279"/>
        <v>zintel</v>
      </c>
    </row>
    <row r="1018" spans="1:23">
      <c r="A1018" t="str">
        <f t="shared" si="284"/>
        <v>CNC-6000-EXP-IMP</v>
      </c>
      <c r="B1018" t="str">
        <f>"10-1111-9000"</f>
        <v>10-1111-9000</v>
      </c>
      <c r="C1018" t="str">
        <f>"ISO 20 tool holder"</f>
        <v>ISO 20 tool holder</v>
      </c>
      <c r="D1018">
        <v>1</v>
      </c>
      <c r="E1018" t="str">
        <f t="shared" si="285"/>
        <v>BenchMILL 6000 Expert Bundle, Imperial, 110/220 VAC</v>
      </c>
      <c r="F1018">
        <v>0</v>
      </c>
      <c r="G1018" t="str">
        <f t="shared" si="272"/>
        <v>Y</v>
      </c>
      <c r="H1018" t="str">
        <f t="shared" si="271"/>
        <v>EA</v>
      </c>
      <c r="I1018">
        <v>0</v>
      </c>
      <c r="J1018">
        <v>0</v>
      </c>
      <c r="K1018" t="str">
        <f t="shared" si="273"/>
        <v>Y</v>
      </c>
      <c r="L1018">
        <v>0</v>
      </c>
      <c r="M1018" t="str">
        <f t="shared" si="274"/>
        <v>NIS</v>
      </c>
      <c r="O1018">
        <v>4</v>
      </c>
      <c r="P1018" t="str">
        <f t="shared" si="281"/>
        <v>Active</v>
      </c>
      <c r="Q1018" t="str">
        <f>"ISO 20 tool holder with nut"</f>
        <v>ISO 20 tool holder with nut</v>
      </c>
      <c r="S1018" t="str">
        <f>"ISO 20 tool holder with nut"</f>
        <v>ISO 20 tool holder with nut</v>
      </c>
      <c r="T1018">
        <v>0</v>
      </c>
      <c r="U1018">
        <v>103</v>
      </c>
      <c r="V1018">
        <v>103.19</v>
      </c>
      <c r="W1018" t="str">
        <f t="shared" si="279"/>
        <v>zintel</v>
      </c>
    </row>
    <row r="1019" spans="1:23">
      <c r="A1019" t="str">
        <f t="shared" si="284"/>
        <v>CNC-6000-EXP-IMP</v>
      </c>
      <c r="B1019" t="str">
        <f>"10-1113-5000"</f>
        <v>10-1113-5000</v>
      </c>
      <c r="C1019" t="str">
        <f>"Imperial Advanced End Mill Package 5120"</f>
        <v>Imperial Advanced End Mill Package 5120</v>
      </c>
      <c r="D1019">
        <v>1</v>
      </c>
      <c r="E1019" t="str">
        <f t="shared" si="285"/>
        <v>BenchMILL 6000 Expert Bundle, Imperial, 110/220 VAC</v>
      </c>
      <c r="F1019">
        <v>0</v>
      </c>
      <c r="G1019" t="str">
        <f t="shared" si="272"/>
        <v>Y</v>
      </c>
      <c r="H1019" t="str">
        <f t="shared" si="271"/>
        <v>EA</v>
      </c>
      <c r="I1019">
        <v>0</v>
      </c>
      <c r="J1019">
        <v>0</v>
      </c>
      <c r="K1019" t="str">
        <f t="shared" si="273"/>
        <v>Y</v>
      </c>
      <c r="L1019">
        <v>0</v>
      </c>
      <c r="M1019" t="str">
        <f t="shared" si="274"/>
        <v>NIS</v>
      </c>
      <c r="O1019">
        <v>5</v>
      </c>
      <c r="P1019" t="str">
        <f t="shared" si="281"/>
        <v>Active</v>
      </c>
      <c r="Q1019" t="str">
        <f>"Imperial Advanced End Mill Package 5120"</f>
        <v>Imperial Advanced End Mill Package 5120</v>
      </c>
      <c r="S1019" t="str">
        <f>"Imperial Advanced End Mill Package 5120"</f>
        <v>Imperial Advanced End Mill Package 5120</v>
      </c>
      <c r="T1019">
        <v>0</v>
      </c>
      <c r="U1019">
        <v>64</v>
      </c>
      <c r="V1019">
        <v>64</v>
      </c>
      <c r="W1019" t="str">
        <f t="shared" si="279"/>
        <v>zintel</v>
      </c>
    </row>
    <row r="1020" spans="1:23">
      <c r="A1020" t="str">
        <f t="shared" si="284"/>
        <v>CNC-6000-EXP-IMP</v>
      </c>
      <c r="B1020" t="str">
        <f>"10-1112-2000"</f>
        <v>10-1112-2000</v>
      </c>
      <c r="C1020" t="str">
        <f>"ER16 Collet set-8 pieces(3,4,5,6,7,8,9 and 10mm)"</f>
        <v>ER16 Collet set-8 pieces(3,4,5,6,7,8,9 and 10mm)</v>
      </c>
      <c r="D1020">
        <v>1</v>
      </c>
      <c r="E1020" t="str">
        <f t="shared" si="285"/>
        <v>BenchMILL 6000 Expert Bundle, Imperial, 110/220 VAC</v>
      </c>
      <c r="F1020">
        <v>0</v>
      </c>
      <c r="G1020" t="str">
        <f t="shared" si="272"/>
        <v>Y</v>
      </c>
      <c r="H1020" t="str">
        <f t="shared" si="271"/>
        <v>EA</v>
      </c>
      <c r="I1020">
        <v>0</v>
      </c>
      <c r="J1020">
        <v>0</v>
      </c>
      <c r="K1020" t="str">
        <f t="shared" si="273"/>
        <v>Y</v>
      </c>
      <c r="L1020">
        <v>0</v>
      </c>
      <c r="M1020" t="str">
        <f t="shared" si="274"/>
        <v>NIS</v>
      </c>
      <c r="O1020">
        <v>6</v>
      </c>
      <c r="P1020" t="str">
        <f t="shared" si="281"/>
        <v>Active</v>
      </c>
      <c r="Q1020" t="str">
        <f>"ER16 Collet set-8 pieces(3,4,5,6,7,8,9 and 10mm)"</f>
        <v>ER16 Collet set-8 pieces(3,4,5,6,7,8,9 and 10mm)</v>
      </c>
      <c r="S1020" t="str">
        <f>"ER16 Collet set-8 pieces(3,4,5,6,7,8,9 and 10mm)"</f>
        <v>ER16 Collet set-8 pieces(3,4,5,6,7,8,9 and 10mm)</v>
      </c>
      <c r="T1020">
        <v>0</v>
      </c>
      <c r="U1020">
        <v>71</v>
      </c>
      <c r="V1020">
        <v>64.84</v>
      </c>
      <c r="W1020" t="str">
        <f t="shared" si="279"/>
        <v>zintel</v>
      </c>
    </row>
    <row r="1021" spans="1:23">
      <c r="A1021" t="str">
        <f t="shared" si="284"/>
        <v>CNC-6000-EXP-IMP</v>
      </c>
      <c r="B1021" t="str">
        <f>"10-1115-2000"</f>
        <v>10-1115-2000</v>
      </c>
      <c r="C1021" t="str">
        <f>"- Table mounted ATC package"</f>
        <v>- Table mounted ATC package</v>
      </c>
      <c r="D1021">
        <v>1</v>
      </c>
      <c r="E1021" t="str">
        <f t="shared" si="285"/>
        <v>BenchMILL 6000 Expert Bundle, Imperial, 110/220 VAC</v>
      </c>
      <c r="F1021">
        <v>0</v>
      </c>
      <c r="G1021" t="str">
        <f t="shared" si="272"/>
        <v>Y</v>
      </c>
      <c r="H1021" t="str">
        <f t="shared" si="271"/>
        <v>EA</v>
      </c>
      <c r="I1021">
        <v>0</v>
      </c>
      <c r="J1021">
        <v>0</v>
      </c>
      <c r="K1021" t="str">
        <f t="shared" si="273"/>
        <v>Y</v>
      </c>
      <c r="L1021">
        <v>0</v>
      </c>
      <c r="M1021" t="str">
        <f t="shared" si="274"/>
        <v>NIS</v>
      </c>
      <c r="O1021">
        <v>7</v>
      </c>
      <c r="P1021" t="str">
        <f t="shared" si="281"/>
        <v>Active</v>
      </c>
      <c r="Q1021" t="str">
        <f>"Table mounted ATC package"</f>
        <v>Table mounted ATC package</v>
      </c>
      <c r="S1021" t="str">
        <f>"Table mounted ATC package"</f>
        <v>Table mounted ATC package</v>
      </c>
      <c r="T1021">
        <v>0</v>
      </c>
      <c r="U1021">
        <v>690</v>
      </c>
      <c r="V1021">
        <v>690.59</v>
      </c>
      <c r="W1021" t="str">
        <f t="shared" si="279"/>
        <v>zintel</v>
      </c>
    </row>
    <row r="1022" spans="1:23">
      <c r="A1022" t="str">
        <f t="shared" si="284"/>
        <v>CNC-6000-EXP-IMP</v>
      </c>
      <c r="B1022" t="str">
        <f>"10-1111-1000"</f>
        <v>10-1111-1000</v>
      </c>
      <c r="C1022" t="str">
        <f>"- Handwheel - Manual Control"</f>
        <v>- Handwheel - Manual Control</v>
      </c>
      <c r="D1022">
        <v>1</v>
      </c>
      <c r="E1022" t="str">
        <f t="shared" si="285"/>
        <v>BenchMILL 6000 Expert Bundle, Imperial, 110/220 VAC</v>
      </c>
      <c r="F1022">
        <v>0</v>
      </c>
      <c r="G1022" t="str">
        <f t="shared" si="272"/>
        <v>Y</v>
      </c>
      <c r="H1022" t="str">
        <f t="shared" si="271"/>
        <v>EA</v>
      </c>
      <c r="I1022">
        <v>0</v>
      </c>
      <c r="J1022">
        <v>0</v>
      </c>
      <c r="K1022" t="str">
        <f t="shared" si="273"/>
        <v>Y</v>
      </c>
      <c r="L1022">
        <v>0</v>
      </c>
      <c r="M1022" t="str">
        <f t="shared" si="274"/>
        <v>NIS</v>
      </c>
      <c r="O1022">
        <v>8</v>
      </c>
      <c r="P1022" t="str">
        <f t="shared" si="281"/>
        <v>Active</v>
      </c>
      <c r="Q1022" t="str">
        <f>"Jog Pendant Handwheel"</f>
        <v>Jog Pendant Handwheel</v>
      </c>
      <c r="S1022" t="str">
        <f>"Jog Pendant Handwheel"</f>
        <v>Jog Pendant Handwheel</v>
      </c>
      <c r="T1022">
        <v>0</v>
      </c>
      <c r="U1022">
        <v>235</v>
      </c>
      <c r="V1022">
        <v>235.03</v>
      </c>
      <c r="W1022" t="str">
        <f t="shared" si="279"/>
        <v>zintel</v>
      </c>
    </row>
    <row r="1023" spans="1:23">
      <c r="A1023" t="str">
        <f t="shared" si="284"/>
        <v>CNC-6000-EXP-IMP</v>
      </c>
      <c r="B1023" t="str">
        <f>"10-1108-1110"</f>
        <v>10-1108-1110</v>
      </c>
      <c r="C1023" t="str">
        <f>"- Coolant system 27L - 110V"</f>
        <v>- Coolant system 27L - 110V</v>
      </c>
      <c r="D1023">
        <v>1</v>
      </c>
      <c r="E1023" t="str">
        <f t="shared" si="285"/>
        <v>BenchMILL 6000 Expert Bundle, Imperial, 110/220 VAC</v>
      </c>
      <c r="F1023">
        <v>0</v>
      </c>
      <c r="G1023" t="str">
        <f t="shared" si="272"/>
        <v>Y</v>
      </c>
      <c r="H1023" t="str">
        <f t="shared" si="271"/>
        <v>EA</v>
      </c>
      <c r="I1023">
        <v>0</v>
      </c>
      <c r="J1023">
        <v>0</v>
      </c>
      <c r="K1023" t="str">
        <f t="shared" si="273"/>
        <v>Y</v>
      </c>
      <c r="L1023">
        <v>0</v>
      </c>
      <c r="M1023" t="str">
        <f t="shared" si="274"/>
        <v>NIS</v>
      </c>
      <c r="O1023">
        <v>9</v>
      </c>
      <c r="P1023" t="str">
        <f t="shared" si="281"/>
        <v>Active</v>
      </c>
      <c r="Q1023" t="str">
        <f>"Coolant system 27L - 110V"</f>
        <v>Coolant system 27L - 110V</v>
      </c>
      <c r="S1023" t="str">
        <f>"Coolant system 27L - 110V"</f>
        <v>Coolant system 27L - 110V</v>
      </c>
      <c r="T1023">
        <v>0</v>
      </c>
      <c r="U1023">
        <v>132</v>
      </c>
      <c r="V1023">
        <v>132</v>
      </c>
      <c r="W1023" t="str">
        <f t="shared" si="279"/>
        <v>zintel</v>
      </c>
    </row>
    <row r="1024" spans="1:23">
      <c r="A1024" t="str">
        <f t="shared" si="284"/>
        <v>CNC-6000-EXP-IMP</v>
      </c>
      <c r="B1024" t="str">
        <f>"10-1115-3000"</f>
        <v>10-1115-3000</v>
      </c>
      <c r="C1024" t="str">
        <f>"- 4th axis package"</f>
        <v>- 4th axis package</v>
      </c>
      <c r="D1024">
        <v>1</v>
      </c>
      <c r="E1024" t="str">
        <f t="shared" si="285"/>
        <v>BenchMILL 6000 Expert Bundle, Imperial, 110/220 VAC</v>
      </c>
      <c r="F1024">
        <v>0</v>
      </c>
      <c r="G1024" t="str">
        <f t="shared" si="272"/>
        <v>Y</v>
      </c>
      <c r="H1024" t="str">
        <f t="shared" ref="H1024:H1087" si="286">"EA"</f>
        <v>EA</v>
      </c>
      <c r="I1024">
        <v>0</v>
      </c>
      <c r="J1024">
        <v>0</v>
      </c>
      <c r="K1024" t="str">
        <f t="shared" si="273"/>
        <v>Y</v>
      </c>
      <c r="L1024">
        <v>0</v>
      </c>
      <c r="M1024" t="str">
        <f t="shared" si="274"/>
        <v>NIS</v>
      </c>
      <c r="O1024">
        <v>10</v>
      </c>
      <c r="P1024" t="str">
        <f t="shared" si="281"/>
        <v>Active</v>
      </c>
      <c r="Q1024" t="str">
        <f>"4th axis package"</f>
        <v>4th axis package</v>
      </c>
      <c r="S1024" t="str">
        <f>"4th axis package"</f>
        <v>4th axis package</v>
      </c>
      <c r="T1024">
        <v>0</v>
      </c>
      <c r="U1024">
        <v>735.68</v>
      </c>
      <c r="V1024" s="44">
        <v>1077.4000000000001</v>
      </c>
      <c r="W1024" t="str">
        <f t="shared" si="279"/>
        <v>zintel</v>
      </c>
    </row>
    <row r="1025" spans="1:23">
      <c r="A1025" t="str">
        <f t="shared" si="284"/>
        <v>CNC-6000-EXP-IMP</v>
      </c>
      <c r="B1025" t="str">
        <f>"10-1109-3000"</f>
        <v>10-1109-3000</v>
      </c>
      <c r="C1025" t="str">
        <f>"- 80mm 3-jaw chuck"</f>
        <v>- 80mm 3-jaw chuck</v>
      </c>
      <c r="D1025">
        <v>1</v>
      </c>
      <c r="E1025" t="str">
        <f t="shared" si="285"/>
        <v>BenchMILL 6000 Expert Bundle, Imperial, 110/220 VAC</v>
      </c>
      <c r="F1025">
        <v>0</v>
      </c>
      <c r="G1025" t="str">
        <f t="shared" si="272"/>
        <v>Y</v>
      </c>
      <c r="H1025" t="str">
        <f t="shared" si="286"/>
        <v>EA</v>
      </c>
      <c r="I1025">
        <v>0</v>
      </c>
      <c r="J1025">
        <v>0</v>
      </c>
      <c r="K1025" t="str">
        <f t="shared" si="273"/>
        <v>Y</v>
      </c>
      <c r="L1025">
        <v>0</v>
      </c>
      <c r="M1025" t="str">
        <f t="shared" si="274"/>
        <v>NIS</v>
      </c>
      <c r="O1025">
        <v>11</v>
      </c>
      <c r="P1025" t="str">
        <f t="shared" si="281"/>
        <v>Active</v>
      </c>
      <c r="Q1025" t="str">
        <f>"80mm 3-jaw chuck"</f>
        <v>80mm 3-jaw chuck</v>
      </c>
      <c r="S1025" t="str">
        <f>"80mm 3-jaw chuck"</f>
        <v>80mm 3-jaw chuck</v>
      </c>
      <c r="T1025">
        <v>0</v>
      </c>
      <c r="U1025">
        <v>53</v>
      </c>
      <c r="V1025">
        <v>52.35</v>
      </c>
      <c r="W1025" t="str">
        <f t="shared" si="279"/>
        <v>zintel</v>
      </c>
    </row>
    <row r="1026" spans="1:23">
      <c r="A1026" t="str">
        <f t="shared" si="284"/>
        <v>CNC-6000-EXP-IMP</v>
      </c>
      <c r="B1026" t="str">
        <f>"10-1113-7000"</f>
        <v>10-1113-7000</v>
      </c>
      <c r="C1026" t="str">
        <f>"- Imperial Engraving Package 5710"</f>
        <v>- Imperial Engraving Package 5710</v>
      </c>
      <c r="D1026">
        <v>1</v>
      </c>
      <c r="E1026" t="str">
        <f t="shared" si="285"/>
        <v>BenchMILL 6000 Expert Bundle, Imperial, 110/220 VAC</v>
      </c>
      <c r="F1026">
        <v>0</v>
      </c>
      <c r="G1026" t="str">
        <f t="shared" ref="G1026:G1089" si="287">"Y"</f>
        <v>Y</v>
      </c>
      <c r="H1026" t="str">
        <f t="shared" si="286"/>
        <v>EA</v>
      </c>
      <c r="I1026">
        <v>0</v>
      </c>
      <c r="J1026">
        <v>0</v>
      </c>
      <c r="K1026" t="str">
        <f t="shared" ref="K1026:K1089" si="288">"Y"</f>
        <v>Y</v>
      </c>
      <c r="L1026">
        <v>0</v>
      </c>
      <c r="M1026" t="str">
        <f t="shared" ref="M1026:M1089" si="289">"NIS"</f>
        <v>NIS</v>
      </c>
      <c r="O1026">
        <v>12</v>
      </c>
      <c r="P1026" t="str">
        <f t="shared" si="281"/>
        <v>Active</v>
      </c>
      <c r="Q1026" t="str">
        <f>"Imperial Engraving Package 5710"</f>
        <v>Imperial Engraving Package 5710</v>
      </c>
      <c r="S1026" t="str">
        <f>"Imperial Engraving Package 5710"</f>
        <v>Imperial Engraving Package 5710</v>
      </c>
      <c r="T1026">
        <v>0</v>
      </c>
      <c r="U1026">
        <v>41</v>
      </c>
      <c r="V1026">
        <v>41</v>
      </c>
      <c r="W1026" t="str">
        <f t="shared" si="279"/>
        <v>zintel</v>
      </c>
    </row>
    <row r="1027" spans="1:23">
      <c r="A1027" t="str">
        <f t="shared" si="284"/>
        <v>CNC-6000-EXP-IMP</v>
      </c>
      <c r="B1027" t="str">
        <f>"10-9120-0000"</f>
        <v>10-9120-0000</v>
      </c>
      <c r="C1027" t="str">
        <f>"Stock Package, Wax, 3” x 2” x 1.5”– 50 Pcs"</f>
        <v>Stock Package, Wax, 3” x 2” x 1.5”– 50 Pcs</v>
      </c>
      <c r="D1027">
        <v>1</v>
      </c>
      <c r="E1027" t="str">
        <f t="shared" si="285"/>
        <v>BenchMILL 6000 Expert Bundle, Imperial, 110/220 VAC</v>
      </c>
      <c r="F1027">
        <v>0</v>
      </c>
      <c r="G1027" t="str">
        <f t="shared" si="287"/>
        <v>Y</v>
      </c>
      <c r="H1027" t="str">
        <f t="shared" si="286"/>
        <v>EA</v>
      </c>
      <c r="I1027">
        <v>0</v>
      </c>
      <c r="J1027">
        <v>0</v>
      </c>
      <c r="K1027" t="str">
        <f t="shared" si="288"/>
        <v>Y</v>
      </c>
      <c r="L1027">
        <v>0</v>
      </c>
      <c r="M1027" t="str">
        <f t="shared" si="289"/>
        <v>NIS</v>
      </c>
      <c r="O1027">
        <v>13</v>
      </c>
      <c r="P1027" t="str">
        <f t="shared" si="281"/>
        <v>Active</v>
      </c>
      <c r="Q1027" t="str">
        <f>"Stock Package, WaxStock Pa3” x 2” x 1.5”– 50 Pcs"</f>
        <v>Stock Package, WaxStock Pa3” x 2” x 1.5”– 50 Pcs</v>
      </c>
      <c r="S1027" t="str">
        <f>"Stock Package, Wax, 3” x 2” x 1.5”– 50 Pcs"</f>
        <v>Stock Package, Wax, 3” x 2” x 1.5”– 50 Pcs</v>
      </c>
      <c r="T1027">
        <v>245</v>
      </c>
      <c r="U1027">
        <v>242.73</v>
      </c>
      <c r="V1027">
        <v>613.89</v>
      </c>
      <c r="W1027" t="str">
        <f t="shared" si="279"/>
        <v>zintel</v>
      </c>
    </row>
    <row r="1028" spans="1:23">
      <c r="A1028" t="str">
        <f t="shared" si="284"/>
        <v>CNC-6000-EXP-IMP</v>
      </c>
      <c r="B1028" t="str">
        <f>"77-3140-0001"</f>
        <v>77-3140-0001</v>
      </c>
      <c r="C1028" t="str">
        <f>"LM7 Content, Vir, CNC Milling w/BenchMill 6000"</f>
        <v>LM7 Content, Vir, CNC Milling w/BenchMill 6000</v>
      </c>
      <c r="D1028">
        <v>1</v>
      </c>
      <c r="E1028" t="str">
        <f t="shared" si="285"/>
        <v>BenchMILL 6000 Expert Bundle, Imperial, 110/220 VAC</v>
      </c>
      <c r="F1028">
        <v>0</v>
      </c>
      <c r="G1028" t="str">
        <f t="shared" si="287"/>
        <v>Y</v>
      </c>
      <c r="H1028" t="str">
        <f t="shared" si="286"/>
        <v>EA</v>
      </c>
      <c r="I1028">
        <v>0</v>
      </c>
      <c r="J1028">
        <v>0</v>
      </c>
      <c r="K1028" t="str">
        <f t="shared" si="288"/>
        <v>Y</v>
      </c>
      <c r="L1028">
        <v>0</v>
      </c>
      <c r="M1028" t="str">
        <f t="shared" si="289"/>
        <v>NIS</v>
      </c>
      <c r="O1028">
        <v>14</v>
      </c>
      <c r="P1028" t="str">
        <f t="shared" si="281"/>
        <v>Active</v>
      </c>
      <c r="Q1028" t="str">
        <f>"LM7 Content, Vir, CNC Milling w/BenchMill 6000"</f>
        <v>LM7 Content, Vir, CNC Milling w/BenchMill 6000</v>
      </c>
      <c r="S1028" t="str">
        <f>"LM7 Content, Vir, CNC Milling w/BenchMill 6000"</f>
        <v>LM7 Content, Vir, CNC Milling w/BenchMill 6000</v>
      </c>
      <c r="T1028">
        <v>0</v>
      </c>
      <c r="U1028">
        <v>5</v>
      </c>
      <c r="V1028">
        <v>5</v>
      </c>
      <c r="W1028" t="str">
        <f t="shared" si="279"/>
        <v>zintel</v>
      </c>
    </row>
    <row r="1029" spans="1:23">
      <c r="A1029" t="str">
        <f t="shared" ref="A1029:A1044" si="290">"CNC-6000-EXP-MET"</f>
        <v>CNC-6000-EXP-MET</v>
      </c>
      <c r="B1029" t="str">
        <f>"00-5505-0220"</f>
        <v>00-5505-0220</v>
      </c>
      <c r="C1029" t="str">
        <f>"CNC BenchMILL 6000, 220 VAC"</f>
        <v>CNC BenchMILL 6000, 220 VAC</v>
      </c>
      <c r="D1029">
        <v>1</v>
      </c>
      <c r="E1029" t="str">
        <f t="shared" ref="E1029:E1044" si="291">"BenchMILL 6000 Expert Bundle, Metric, 110/220 VAC"</f>
        <v>BenchMILL 6000 Expert Bundle, Metric, 110/220 VAC</v>
      </c>
      <c r="F1029">
        <v>0</v>
      </c>
      <c r="G1029" t="str">
        <f t="shared" si="287"/>
        <v>Y</v>
      </c>
      <c r="H1029" t="str">
        <f t="shared" si="286"/>
        <v>EA</v>
      </c>
      <c r="I1029">
        <v>0</v>
      </c>
      <c r="J1029">
        <v>0</v>
      </c>
      <c r="K1029" t="str">
        <f t="shared" si="288"/>
        <v>Y</v>
      </c>
      <c r="L1029">
        <v>0</v>
      </c>
      <c r="M1029" t="str">
        <f t="shared" si="289"/>
        <v>NIS</v>
      </c>
      <c r="O1029">
        <v>1</v>
      </c>
      <c r="P1029" t="str">
        <f t="shared" si="281"/>
        <v>Active</v>
      </c>
      <c r="Q1029" t="str">
        <f>"CNC BenchMILL 6000, 220 VAC"</f>
        <v>CNC BenchMILL 6000, 220 VAC</v>
      </c>
      <c r="S1029" t="str">
        <f>"CNC BenchMILL 6000, 220 VAC"</f>
        <v>CNC BenchMILL 6000, 220 VAC</v>
      </c>
      <c r="T1029">
        <v>0</v>
      </c>
      <c r="U1029" s="44">
        <v>4583</v>
      </c>
      <c r="V1029" s="44">
        <v>4458.34</v>
      </c>
      <c r="W1029" t="str">
        <f t="shared" si="279"/>
        <v>zintel</v>
      </c>
    </row>
    <row r="1030" spans="1:23">
      <c r="A1030" t="str">
        <f t="shared" si="290"/>
        <v>CNC-6000-EXP-MET</v>
      </c>
      <c r="B1030" t="str">
        <f>"10-1111-6000"</f>
        <v>10-1111-6000</v>
      </c>
      <c r="C1030" t="str">
        <f>"4"" Vise"</f>
        <v>4" Vise</v>
      </c>
      <c r="D1030">
        <v>1</v>
      </c>
      <c r="E1030" t="str">
        <f t="shared" si="291"/>
        <v>BenchMILL 6000 Expert Bundle, Metric, 110/220 VAC</v>
      </c>
      <c r="F1030">
        <v>0</v>
      </c>
      <c r="G1030" t="str">
        <f t="shared" si="287"/>
        <v>Y</v>
      </c>
      <c r="H1030" t="str">
        <f t="shared" si="286"/>
        <v>EA</v>
      </c>
      <c r="I1030">
        <v>0</v>
      </c>
      <c r="J1030">
        <v>0</v>
      </c>
      <c r="K1030" t="str">
        <f t="shared" si="288"/>
        <v>Y</v>
      </c>
      <c r="L1030">
        <v>0</v>
      </c>
      <c r="M1030" t="str">
        <f t="shared" si="289"/>
        <v>NIS</v>
      </c>
      <c r="O1030">
        <v>2</v>
      </c>
      <c r="P1030" t="str">
        <f t="shared" si="281"/>
        <v>Active</v>
      </c>
      <c r="Q1030" t="str">
        <f>"4"" Precision Maching Vise"</f>
        <v>4" Precision Maching Vise</v>
      </c>
      <c r="S1030" t="str">
        <f>"4"" Precision Maching Vise"</f>
        <v>4" Precision Maching Vise</v>
      </c>
      <c r="T1030">
        <v>0</v>
      </c>
      <c r="U1030">
        <v>53</v>
      </c>
      <c r="V1030">
        <v>49.5</v>
      </c>
      <c r="W1030" t="str">
        <f t="shared" si="279"/>
        <v>zintel</v>
      </c>
    </row>
    <row r="1031" spans="1:23">
      <c r="A1031" t="str">
        <f t="shared" si="290"/>
        <v>CNC-6000-EXP-MET</v>
      </c>
      <c r="B1031" t="str">
        <f>"10-1111-5000"</f>
        <v>10-1111-5000</v>
      </c>
      <c r="C1031" t="str">
        <f>"clamping kit 58 pcs set"</f>
        <v>clamping kit 58 pcs set</v>
      </c>
      <c r="D1031">
        <v>1</v>
      </c>
      <c r="E1031" t="str">
        <f t="shared" si="291"/>
        <v>BenchMILL 6000 Expert Bundle, Metric, 110/220 VAC</v>
      </c>
      <c r="F1031">
        <v>0</v>
      </c>
      <c r="G1031" t="str">
        <f t="shared" si="287"/>
        <v>Y</v>
      </c>
      <c r="H1031" t="str">
        <f t="shared" si="286"/>
        <v>EA</v>
      </c>
      <c r="I1031">
        <v>0</v>
      </c>
      <c r="J1031">
        <v>0</v>
      </c>
      <c r="K1031" t="str">
        <f t="shared" si="288"/>
        <v>Y</v>
      </c>
      <c r="L1031">
        <v>0</v>
      </c>
      <c r="M1031" t="str">
        <f t="shared" si="289"/>
        <v>NIS</v>
      </c>
      <c r="O1031">
        <v>3</v>
      </c>
      <c r="P1031" t="str">
        <f t="shared" si="281"/>
        <v>Active</v>
      </c>
      <c r="Q1031" t="str">
        <f>"clamping kit 58 pcs set"</f>
        <v>clamping kit 58 pcs set</v>
      </c>
      <c r="S1031" t="str">
        <f>"clamping kit 58 pcs set"</f>
        <v>clamping kit 58 pcs set</v>
      </c>
      <c r="T1031">
        <v>0</v>
      </c>
      <c r="U1031">
        <v>52</v>
      </c>
      <c r="V1031">
        <v>51.72</v>
      </c>
      <c r="W1031" t="str">
        <f t="shared" si="279"/>
        <v>zintel</v>
      </c>
    </row>
    <row r="1032" spans="1:23">
      <c r="A1032" t="str">
        <f t="shared" si="290"/>
        <v>CNC-6000-EXP-MET</v>
      </c>
      <c r="B1032" t="str">
        <f>"10-1111-9000"</f>
        <v>10-1111-9000</v>
      </c>
      <c r="C1032" t="str">
        <f>"ISO 20 tool holder"</f>
        <v>ISO 20 tool holder</v>
      </c>
      <c r="D1032">
        <v>1</v>
      </c>
      <c r="E1032" t="str">
        <f t="shared" si="291"/>
        <v>BenchMILL 6000 Expert Bundle, Metric, 110/220 VAC</v>
      </c>
      <c r="F1032">
        <v>0</v>
      </c>
      <c r="G1032" t="str">
        <f t="shared" si="287"/>
        <v>Y</v>
      </c>
      <c r="H1032" t="str">
        <f t="shared" si="286"/>
        <v>EA</v>
      </c>
      <c r="I1032">
        <v>0</v>
      </c>
      <c r="J1032">
        <v>0</v>
      </c>
      <c r="K1032" t="str">
        <f t="shared" si="288"/>
        <v>Y</v>
      </c>
      <c r="L1032">
        <v>0</v>
      </c>
      <c r="M1032" t="str">
        <f t="shared" si="289"/>
        <v>NIS</v>
      </c>
      <c r="O1032">
        <v>4</v>
      </c>
      <c r="P1032" t="str">
        <f t="shared" si="281"/>
        <v>Active</v>
      </c>
      <c r="Q1032" t="str">
        <f>"ISO 20 tool holder with nut"</f>
        <v>ISO 20 tool holder with nut</v>
      </c>
      <c r="S1032" t="str">
        <f>"ISO 20 tool holder with nut"</f>
        <v>ISO 20 tool holder with nut</v>
      </c>
      <c r="T1032">
        <v>0</v>
      </c>
      <c r="U1032">
        <v>103</v>
      </c>
      <c r="V1032">
        <v>103.19</v>
      </c>
      <c r="W1032" t="str">
        <f t="shared" si="279"/>
        <v>zintel</v>
      </c>
    </row>
    <row r="1033" spans="1:23">
      <c r="A1033" t="str">
        <f t="shared" si="290"/>
        <v>CNC-6000-EXP-MET</v>
      </c>
      <c r="B1033" t="str">
        <f>"10-1113-4000"</f>
        <v>10-1113-4000</v>
      </c>
      <c r="C1033" t="str">
        <f>"Metric End Mill Package(2X 3,6,8,10End,4,6 Ball)"</f>
        <v>Metric End Mill Package(2X 3,6,8,10End,4,6 Ball)</v>
      </c>
      <c r="D1033">
        <v>1</v>
      </c>
      <c r="E1033" t="str">
        <f t="shared" si="291"/>
        <v>BenchMILL 6000 Expert Bundle, Metric, 110/220 VAC</v>
      </c>
      <c r="F1033">
        <v>0</v>
      </c>
      <c r="G1033" t="str">
        <f t="shared" si="287"/>
        <v>Y</v>
      </c>
      <c r="H1033" t="str">
        <f t="shared" si="286"/>
        <v>EA</v>
      </c>
      <c r="I1033">
        <v>0</v>
      </c>
      <c r="J1033">
        <v>0</v>
      </c>
      <c r="K1033" t="str">
        <f t="shared" si="288"/>
        <v>Y</v>
      </c>
      <c r="L1033">
        <v>0</v>
      </c>
      <c r="M1033" t="str">
        <f t="shared" si="289"/>
        <v>NIS</v>
      </c>
      <c r="O1033">
        <v>5</v>
      </c>
      <c r="P1033" t="str">
        <f t="shared" si="281"/>
        <v>Active</v>
      </c>
      <c r="Q1033" t="str">
        <f>"Metric Advanced End Mill Package 5121"</f>
        <v>Metric Advanced End Mill Package 5121</v>
      </c>
      <c r="S1033" t="str">
        <f>"Metric Advanced End Mill Package 5121"</f>
        <v>Metric Advanced End Mill Package 5121</v>
      </c>
      <c r="T1033">
        <v>0</v>
      </c>
      <c r="U1033">
        <v>55</v>
      </c>
      <c r="V1033">
        <v>50.17</v>
      </c>
      <c r="W1033" t="str">
        <f t="shared" si="279"/>
        <v>zintel</v>
      </c>
    </row>
    <row r="1034" spans="1:23">
      <c r="A1034" t="str">
        <f t="shared" si="290"/>
        <v>CNC-6000-EXP-MET</v>
      </c>
      <c r="B1034" t="str">
        <f>"10-1112-2000"</f>
        <v>10-1112-2000</v>
      </c>
      <c r="C1034" t="str">
        <f>"ER16 Collet set-8 pieces(3,4,5,6,7,8,9 and 10mm)"</f>
        <v>ER16 Collet set-8 pieces(3,4,5,6,7,8,9 and 10mm)</v>
      </c>
      <c r="D1034">
        <v>1</v>
      </c>
      <c r="E1034" t="str">
        <f t="shared" si="291"/>
        <v>BenchMILL 6000 Expert Bundle, Metric, 110/220 VAC</v>
      </c>
      <c r="F1034">
        <v>0</v>
      </c>
      <c r="G1034" t="str">
        <f t="shared" si="287"/>
        <v>Y</v>
      </c>
      <c r="H1034" t="str">
        <f t="shared" si="286"/>
        <v>EA</v>
      </c>
      <c r="I1034">
        <v>0</v>
      </c>
      <c r="J1034">
        <v>0</v>
      </c>
      <c r="K1034" t="str">
        <f t="shared" si="288"/>
        <v>Y</v>
      </c>
      <c r="L1034">
        <v>0</v>
      </c>
      <c r="M1034" t="str">
        <f t="shared" si="289"/>
        <v>NIS</v>
      </c>
      <c r="O1034">
        <v>6</v>
      </c>
      <c r="P1034" t="str">
        <f t="shared" si="281"/>
        <v>Active</v>
      </c>
      <c r="Q1034" t="str">
        <f>"ER16 Collet set-8 pieces(3,4,5,6,7,8,9 and 10mm)"</f>
        <v>ER16 Collet set-8 pieces(3,4,5,6,7,8,9 and 10mm)</v>
      </c>
      <c r="S1034" t="str">
        <f>"ER16 Collet set-8 pieces(3,4,5,6,7,8,9 and 10mm)"</f>
        <v>ER16 Collet set-8 pieces(3,4,5,6,7,8,9 and 10mm)</v>
      </c>
      <c r="T1034">
        <v>0</v>
      </c>
      <c r="U1034">
        <v>71</v>
      </c>
      <c r="V1034">
        <v>64.84</v>
      </c>
      <c r="W1034" t="str">
        <f t="shared" si="279"/>
        <v>zintel</v>
      </c>
    </row>
    <row r="1035" spans="1:23">
      <c r="A1035" t="str">
        <f t="shared" si="290"/>
        <v>CNC-6000-EXP-MET</v>
      </c>
      <c r="B1035" t="str">
        <f>"10-1115-2000"</f>
        <v>10-1115-2000</v>
      </c>
      <c r="C1035" t="str">
        <f>"- Table mounted ATC package"</f>
        <v>- Table mounted ATC package</v>
      </c>
      <c r="D1035">
        <v>1</v>
      </c>
      <c r="E1035" t="str">
        <f t="shared" si="291"/>
        <v>BenchMILL 6000 Expert Bundle, Metric, 110/220 VAC</v>
      </c>
      <c r="F1035">
        <v>0</v>
      </c>
      <c r="G1035" t="str">
        <f t="shared" si="287"/>
        <v>Y</v>
      </c>
      <c r="H1035" t="str">
        <f t="shared" si="286"/>
        <v>EA</v>
      </c>
      <c r="I1035">
        <v>0</v>
      </c>
      <c r="J1035">
        <v>0</v>
      </c>
      <c r="K1035" t="str">
        <f t="shared" si="288"/>
        <v>Y</v>
      </c>
      <c r="L1035">
        <v>0</v>
      </c>
      <c r="M1035" t="str">
        <f t="shared" si="289"/>
        <v>NIS</v>
      </c>
      <c r="O1035">
        <v>7</v>
      </c>
      <c r="P1035" t="str">
        <f t="shared" si="281"/>
        <v>Active</v>
      </c>
      <c r="Q1035" t="str">
        <f>"Table mounted ATC package"</f>
        <v>Table mounted ATC package</v>
      </c>
      <c r="S1035" t="str">
        <f>"Table mounted ATC package"</f>
        <v>Table mounted ATC package</v>
      </c>
      <c r="T1035">
        <v>0</v>
      </c>
      <c r="U1035">
        <v>690</v>
      </c>
      <c r="V1035">
        <v>690.59</v>
      </c>
      <c r="W1035" t="str">
        <f t="shared" si="279"/>
        <v>zintel</v>
      </c>
    </row>
    <row r="1036" spans="1:23">
      <c r="A1036" t="str">
        <f t="shared" si="290"/>
        <v>CNC-6000-EXP-MET</v>
      </c>
      <c r="B1036" t="str">
        <f>"10-1115-0000"</f>
        <v>10-1115-0000</v>
      </c>
      <c r="C1036" t="str">
        <f>"ER16 Collet set - 2 x (3,6,8,10mm)"</f>
        <v>ER16 Collet set - 2 x (3,6,8,10mm)</v>
      </c>
      <c r="D1036">
        <v>1</v>
      </c>
      <c r="E1036" t="str">
        <f t="shared" si="291"/>
        <v>BenchMILL 6000 Expert Bundle, Metric, 110/220 VAC</v>
      </c>
      <c r="F1036">
        <v>0</v>
      </c>
      <c r="G1036" t="str">
        <f t="shared" si="287"/>
        <v>Y</v>
      </c>
      <c r="H1036" t="str">
        <f t="shared" si="286"/>
        <v>EA</v>
      </c>
      <c r="I1036">
        <v>0</v>
      </c>
      <c r="J1036">
        <v>0</v>
      </c>
      <c r="K1036" t="str">
        <f t="shared" si="288"/>
        <v>Y</v>
      </c>
      <c r="L1036">
        <v>0</v>
      </c>
      <c r="M1036" t="str">
        <f t="shared" si="289"/>
        <v>NIS</v>
      </c>
      <c r="O1036">
        <v>8</v>
      </c>
      <c r="P1036" t="str">
        <f t="shared" si="281"/>
        <v>Active</v>
      </c>
      <c r="Q1036" t="str">
        <f>"ER16 Collet set-8 pieces(2)3,(2)6,(2)8,(2)10mm"</f>
        <v>ER16 Collet set-8 pieces(2)3,(2)6,(2)8,(2)10mm</v>
      </c>
      <c r="S1036" t="str">
        <f>"ER16 Collet set-8 pieces(2)3,(2)6,(2)8,(2)10mm"</f>
        <v>ER16 Collet set-8 pieces(2)3,(2)6,(2)8,(2)10mm</v>
      </c>
      <c r="T1036">
        <v>0</v>
      </c>
      <c r="U1036">
        <v>71</v>
      </c>
      <c r="V1036">
        <v>70.63</v>
      </c>
      <c r="W1036" t="str">
        <f t="shared" si="279"/>
        <v>zintel</v>
      </c>
    </row>
    <row r="1037" spans="1:23">
      <c r="A1037" t="str">
        <f t="shared" si="290"/>
        <v>CNC-6000-EXP-MET</v>
      </c>
      <c r="B1037" t="str">
        <f>"10-1111-1000"</f>
        <v>10-1111-1000</v>
      </c>
      <c r="C1037" t="str">
        <f>"- Handwheel - Manual Control"</f>
        <v>- Handwheel - Manual Control</v>
      </c>
      <c r="D1037">
        <v>1</v>
      </c>
      <c r="E1037" t="str">
        <f t="shared" si="291"/>
        <v>BenchMILL 6000 Expert Bundle, Metric, 110/220 VAC</v>
      </c>
      <c r="F1037">
        <v>0</v>
      </c>
      <c r="G1037" t="str">
        <f t="shared" si="287"/>
        <v>Y</v>
      </c>
      <c r="H1037" t="str">
        <f t="shared" si="286"/>
        <v>EA</v>
      </c>
      <c r="I1037">
        <v>0</v>
      </c>
      <c r="J1037">
        <v>0</v>
      </c>
      <c r="K1037" t="str">
        <f t="shared" si="288"/>
        <v>Y</v>
      </c>
      <c r="L1037">
        <v>0</v>
      </c>
      <c r="M1037" t="str">
        <f t="shared" si="289"/>
        <v>NIS</v>
      </c>
      <c r="O1037">
        <v>9</v>
      </c>
      <c r="P1037" t="str">
        <f t="shared" si="281"/>
        <v>Active</v>
      </c>
      <c r="Q1037" t="str">
        <f>"Jog Pendant Handwheel"</f>
        <v>Jog Pendant Handwheel</v>
      </c>
      <c r="S1037" t="str">
        <f>"Jog Pendant Handwheel"</f>
        <v>Jog Pendant Handwheel</v>
      </c>
      <c r="T1037">
        <v>0</v>
      </c>
      <c r="U1037">
        <v>235</v>
      </c>
      <c r="V1037">
        <v>235.03</v>
      </c>
      <c r="W1037" t="str">
        <f t="shared" si="279"/>
        <v>zintel</v>
      </c>
    </row>
    <row r="1038" spans="1:23">
      <c r="A1038" t="str">
        <f t="shared" si="290"/>
        <v>CNC-6000-EXP-MET</v>
      </c>
      <c r="B1038" t="str">
        <f>"10-1108-1220"</f>
        <v>10-1108-1220</v>
      </c>
      <c r="C1038" t="str">
        <f>"- Coolant system 27L -220V"</f>
        <v>- Coolant system 27L -220V</v>
      </c>
      <c r="D1038">
        <v>1</v>
      </c>
      <c r="E1038" t="str">
        <f t="shared" si="291"/>
        <v>BenchMILL 6000 Expert Bundle, Metric, 110/220 VAC</v>
      </c>
      <c r="F1038">
        <v>0</v>
      </c>
      <c r="G1038" t="str">
        <f t="shared" si="287"/>
        <v>Y</v>
      </c>
      <c r="H1038" t="str">
        <f t="shared" si="286"/>
        <v>EA</v>
      </c>
      <c r="I1038">
        <v>0</v>
      </c>
      <c r="J1038">
        <v>0</v>
      </c>
      <c r="K1038" t="str">
        <f t="shared" si="288"/>
        <v>Y</v>
      </c>
      <c r="L1038">
        <v>0</v>
      </c>
      <c r="M1038" t="str">
        <f t="shared" si="289"/>
        <v>NIS</v>
      </c>
      <c r="O1038">
        <v>10</v>
      </c>
      <c r="P1038" t="str">
        <f t="shared" si="281"/>
        <v>Active</v>
      </c>
      <c r="Q1038" t="str">
        <f>"Coolant system 27L - 220V"</f>
        <v>Coolant system 27L - 220V</v>
      </c>
      <c r="S1038" t="str">
        <f>"Coolant system 27L - 220V"</f>
        <v>Coolant system 27L - 220V</v>
      </c>
      <c r="T1038">
        <v>0</v>
      </c>
      <c r="U1038">
        <v>117.08</v>
      </c>
      <c r="V1038">
        <v>117.15</v>
      </c>
      <c r="W1038" t="str">
        <f t="shared" si="279"/>
        <v>zintel</v>
      </c>
    </row>
    <row r="1039" spans="1:23">
      <c r="A1039" t="str">
        <f t="shared" si="290"/>
        <v>CNC-6000-EXP-MET</v>
      </c>
      <c r="B1039" t="str">
        <f>"10-1109-3000"</f>
        <v>10-1109-3000</v>
      </c>
      <c r="C1039" t="str">
        <f>"- 80mm 3-jaw chuck"</f>
        <v>- 80mm 3-jaw chuck</v>
      </c>
      <c r="D1039">
        <v>1</v>
      </c>
      <c r="E1039" t="str">
        <f t="shared" si="291"/>
        <v>BenchMILL 6000 Expert Bundle, Metric, 110/220 VAC</v>
      </c>
      <c r="F1039">
        <v>0</v>
      </c>
      <c r="G1039" t="str">
        <f t="shared" si="287"/>
        <v>Y</v>
      </c>
      <c r="H1039" t="str">
        <f t="shared" si="286"/>
        <v>EA</v>
      </c>
      <c r="I1039">
        <v>0</v>
      </c>
      <c r="J1039">
        <v>0</v>
      </c>
      <c r="K1039" t="str">
        <f t="shared" si="288"/>
        <v>Y</v>
      </c>
      <c r="L1039">
        <v>0</v>
      </c>
      <c r="M1039" t="str">
        <f t="shared" si="289"/>
        <v>NIS</v>
      </c>
      <c r="O1039">
        <v>12</v>
      </c>
      <c r="P1039" t="str">
        <f t="shared" si="281"/>
        <v>Active</v>
      </c>
      <c r="Q1039" t="str">
        <f>"80mm 3-jaw chuck"</f>
        <v>80mm 3-jaw chuck</v>
      </c>
      <c r="S1039" t="str">
        <f>"80mm 3-jaw chuck"</f>
        <v>80mm 3-jaw chuck</v>
      </c>
      <c r="T1039">
        <v>0</v>
      </c>
      <c r="U1039">
        <v>53</v>
      </c>
      <c r="V1039">
        <v>52.35</v>
      </c>
      <c r="W1039" t="str">
        <f t="shared" si="279"/>
        <v>zintel</v>
      </c>
    </row>
    <row r="1040" spans="1:23">
      <c r="A1040" t="str">
        <f t="shared" si="290"/>
        <v>CNC-6000-EXP-MET</v>
      </c>
      <c r="B1040" t="str">
        <f>"10-1108-8000"</f>
        <v>10-1108-8000</v>
      </c>
      <c r="C1040" t="str">
        <f>"- 4th Axis rotary worktable with tailstock"</f>
        <v>- 4th Axis rotary worktable with tailstock</v>
      </c>
      <c r="D1040">
        <v>1</v>
      </c>
      <c r="E1040" t="str">
        <f t="shared" si="291"/>
        <v>BenchMILL 6000 Expert Bundle, Metric, 110/220 VAC</v>
      </c>
      <c r="F1040">
        <v>0</v>
      </c>
      <c r="G1040" t="str">
        <f t="shared" si="287"/>
        <v>Y</v>
      </c>
      <c r="H1040" t="str">
        <f t="shared" si="286"/>
        <v>EA</v>
      </c>
      <c r="I1040">
        <v>0</v>
      </c>
      <c r="J1040">
        <v>0</v>
      </c>
      <c r="K1040" t="str">
        <f t="shared" si="288"/>
        <v>Y</v>
      </c>
      <c r="L1040">
        <v>0</v>
      </c>
      <c r="M1040" t="str">
        <f t="shared" si="289"/>
        <v>NIS</v>
      </c>
      <c r="O1040">
        <v>13</v>
      </c>
      <c r="P1040" t="str">
        <f t="shared" si="281"/>
        <v>Active</v>
      </c>
      <c r="Q1040" t="str">
        <f>"100mm rotary worktable (4th axis) with tailstock"</f>
        <v>100mm rotary worktable (4th axis) with tailstock</v>
      </c>
      <c r="S1040" t="str">
        <f>"100mm rotary worktable (4th axis) with tailstock"</f>
        <v>100mm rotary worktable (4th axis) with tailstock</v>
      </c>
      <c r="T1040">
        <v>0</v>
      </c>
      <c r="U1040">
        <v>614.64</v>
      </c>
      <c r="V1040">
        <v>594.83000000000004</v>
      </c>
      <c r="W1040" t="str">
        <f t="shared" si="279"/>
        <v>zintel</v>
      </c>
    </row>
    <row r="1041" spans="1:23">
      <c r="A1041" t="str">
        <f t="shared" si="290"/>
        <v>CNC-6000-EXP-MET</v>
      </c>
      <c r="B1041" t="str">
        <f>"10-1113-6000"</f>
        <v>10-1113-6000</v>
      </c>
      <c r="C1041" t="str">
        <f>"- Metric Engraving Package (1,1.5,2 mm End mill)"</f>
        <v>- Metric Engraving Package (1,1.5,2 mm End mill)</v>
      </c>
      <c r="D1041">
        <v>1</v>
      </c>
      <c r="E1041" t="str">
        <f t="shared" si="291"/>
        <v>BenchMILL 6000 Expert Bundle, Metric, 110/220 VAC</v>
      </c>
      <c r="F1041">
        <v>0</v>
      </c>
      <c r="G1041" t="str">
        <f t="shared" si="287"/>
        <v>Y</v>
      </c>
      <c r="H1041" t="str">
        <f t="shared" si="286"/>
        <v>EA</v>
      </c>
      <c r="I1041">
        <v>0</v>
      </c>
      <c r="J1041">
        <v>0</v>
      </c>
      <c r="K1041" t="str">
        <f t="shared" si="288"/>
        <v>Y</v>
      </c>
      <c r="L1041">
        <v>0</v>
      </c>
      <c r="M1041" t="str">
        <f t="shared" si="289"/>
        <v>NIS</v>
      </c>
      <c r="O1041">
        <v>14</v>
      </c>
      <c r="P1041" t="str">
        <f t="shared" si="281"/>
        <v>Active</v>
      </c>
      <c r="Q1041" t="str">
        <f>"Metric Engraving Package 5711"</f>
        <v>Metric Engraving Package 5711</v>
      </c>
      <c r="S1041" t="str">
        <f>"Metric Engraving Package 5711"</f>
        <v>Metric Engraving Package 5711</v>
      </c>
      <c r="T1041">
        <v>0</v>
      </c>
      <c r="U1041">
        <v>41</v>
      </c>
      <c r="V1041">
        <v>37.909999999999997</v>
      </c>
      <c r="W1041" t="str">
        <f t="shared" si="279"/>
        <v>zintel</v>
      </c>
    </row>
    <row r="1042" spans="1:23">
      <c r="A1042" t="str">
        <f t="shared" si="290"/>
        <v>CNC-6000-EXP-MET</v>
      </c>
      <c r="B1042" t="str">
        <f>"10-1108-6000"</f>
        <v>10-1108-6000</v>
      </c>
      <c r="C1042" t="str">
        <f>"- 6mm engraving tool set"</f>
        <v>- 6mm engraving tool set</v>
      </c>
      <c r="D1042">
        <v>1</v>
      </c>
      <c r="E1042" t="str">
        <f t="shared" si="291"/>
        <v>BenchMILL 6000 Expert Bundle, Metric, 110/220 VAC</v>
      </c>
      <c r="F1042">
        <v>0</v>
      </c>
      <c r="G1042" t="str">
        <f t="shared" si="287"/>
        <v>Y</v>
      </c>
      <c r="H1042" t="str">
        <f t="shared" si="286"/>
        <v>EA</v>
      </c>
      <c r="I1042">
        <v>0</v>
      </c>
      <c r="J1042">
        <v>0</v>
      </c>
      <c r="K1042" t="str">
        <f t="shared" si="288"/>
        <v>Y</v>
      </c>
      <c r="L1042">
        <v>0</v>
      </c>
      <c r="M1042" t="str">
        <f t="shared" si="289"/>
        <v>NIS</v>
      </c>
      <c r="O1042">
        <v>15</v>
      </c>
      <c r="P1042" t="str">
        <f t="shared" si="281"/>
        <v>Active</v>
      </c>
      <c r="Q1042" t="str">
        <f>"6mm engraving tool set"</f>
        <v>6mm engraving tool set</v>
      </c>
      <c r="S1042" t="str">
        <f>"6mm engraving tool set"</f>
        <v>6mm engraving tool set</v>
      </c>
      <c r="T1042">
        <v>0</v>
      </c>
      <c r="U1042">
        <v>93.66</v>
      </c>
      <c r="V1042">
        <v>94.27</v>
      </c>
      <c r="W1042" t="str">
        <f t="shared" si="279"/>
        <v>zintel</v>
      </c>
    </row>
    <row r="1043" spans="1:23">
      <c r="A1043" t="str">
        <f t="shared" si="290"/>
        <v>CNC-6000-EXP-MET</v>
      </c>
      <c r="B1043" t="str">
        <f>"10-9120-0000"</f>
        <v>10-9120-0000</v>
      </c>
      <c r="C1043" t="str">
        <f>"Stock Package, Wax, 3” x 2” x 1.5”– 50 Pcs"</f>
        <v>Stock Package, Wax, 3” x 2” x 1.5”– 50 Pcs</v>
      </c>
      <c r="D1043">
        <v>1</v>
      </c>
      <c r="E1043" t="str">
        <f t="shared" si="291"/>
        <v>BenchMILL 6000 Expert Bundle, Metric, 110/220 VAC</v>
      </c>
      <c r="F1043">
        <v>0</v>
      </c>
      <c r="G1043" t="str">
        <f t="shared" si="287"/>
        <v>Y</v>
      </c>
      <c r="H1043" t="str">
        <f t="shared" si="286"/>
        <v>EA</v>
      </c>
      <c r="I1043">
        <v>0</v>
      </c>
      <c r="J1043">
        <v>0</v>
      </c>
      <c r="K1043" t="str">
        <f t="shared" si="288"/>
        <v>Y</v>
      </c>
      <c r="L1043">
        <v>0</v>
      </c>
      <c r="M1043" t="str">
        <f t="shared" si="289"/>
        <v>NIS</v>
      </c>
      <c r="O1043">
        <v>16</v>
      </c>
      <c r="P1043" t="str">
        <f t="shared" si="281"/>
        <v>Active</v>
      </c>
      <c r="Q1043" t="str">
        <f>"Stock Package, WaxStock Pa3” x 2” x 1.5”– 50 Pcs"</f>
        <v>Stock Package, WaxStock Pa3” x 2” x 1.5”– 50 Pcs</v>
      </c>
      <c r="S1043" t="str">
        <f>"Stock Package, Wax, 3” x 2” x 1.5”– 50 Pcs"</f>
        <v>Stock Package, Wax, 3” x 2” x 1.5”– 50 Pcs</v>
      </c>
      <c r="T1043">
        <v>245</v>
      </c>
      <c r="U1043">
        <v>242.73</v>
      </c>
      <c r="V1043">
        <v>613.89</v>
      </c>
      <c r="W1043" t="str">
        <f t="shared" si="279"/>
        <v>zintel</v>
      </c>
    </row>
    <row r="1044" spans="1:23">
      <c r="A1044" t="str">
        <f t="shared" si="290"/>
        <v>CNC-6000-EXP-MET</v>
      </c>
      <c r="B1044" t="str">
        <f>"77-3140-0002"</f>
        <v>77-3140-0002</v>
      </c>
      <c r="C1044" t="str">
        <f>"LM7 Content, Vir, CNCMilling w/BenchMill 6000(M)"</f>
        <v>LM7 Content, Vir, CNCMilling w/BenchMill 6000(M)</v>
      </c>
      <c r="D1044">
        <v>1</v>
      </c>
      <c r="E1044" t="str">
        <f t="shared" si="291"/>
        <v>BenchMILL 6000 Expert Bundle, Metric, 110/220 VAC</v>
      </c>
      <c r="F1044">
        <v>0</v>
      </c>
      <c r="G1044" t="str">
        <f t="shared" si="287"/>
        <v>Y</v>
      </c>
      <c r="H1044" t="str">
        <f t="shared" si="286"/>
        <v>EA</v>
      </c>
      <c r="I1044">
        <v>0</v>
      </c>
      <c r="J1044">
        <v>0</v>
      </c>
      <c r="K1044" t="str">
        <f t="shared" si="288"/>
        <v>Y</v>
      </c>
      <c r="L1044">
        <v>0</v>
      </c>
      <c r="M1044" t="str">
        <f t="shared" si="289"/>
        <v>NIS</v>
      </c>
      <c r="O1044">
        <v>17</v>
      </c>
      <c r="P1044" t="str">
        <f t="shared" si="281"/>
        <v>Active</v>
      </c>
      <c r="Q1044" t="str">
        <f>"LM7 Content, Vir, CNCMilling w/BenchMill 6000(M)"</f>
        <v>LM7 Content, Vir, CNCMilling w/BenchMill 6000(M)</v>
      </c>
      <c r="S1044" t="str">
        <f>"LM7 Content, Vir, CNCMilling w/BenchMill 6000(M)"</f>
        <v>LM7 Content, Vir, CNCMilling w/BenchMill 6000(M)</v>
      </c>
      <c r="T1044">
        <v>0</v>
      </c>
      <c r="U1044">
        <v>5</v>
      </c>
      <c r="V1044">
        <v>5.2</v>
      </c>
      <c r="W1044" t="str">
        <f t="shared" si="279"/>
        <v>zintel</v>
      </c>
    </row>
    <row r="1045" spans="1:23">
      <c r="A1045" t="str">
        <f>"CNC-6000-LMOO"</f>
        <v>CNC-6000-LMOO</v>
      </c>
      <c r="B1045" t="str">
        <f>"63-6001-1030"</f>
        <v>63-6001-1030</v>
      </c>
      <c r="C1045" t="str">
        <f>"Thirty seat license for BenchMill6000 vir.sim.cn"</f>
        <v>Thirty seat license for BenchMill6000 vir.sim.cn</v>
      </c>
      <c r="D1045">
        <v>1</v>
      </c>
      <c r="E1045" t="str">
        <f>"Virtual CNC BenchMill 6000 Technology inc 30 seats of CNCMotion &amp; 15 Hr Virtual elearning Imperial"</f>
        <v>Virtual CNC BenchMill 6000 Technology inc 30 seats of CNCMotion &amp; 15 Hr Virtual elearning Imperial</v>
      </c>
      <c r="F1045">
        <v>0</v>
      </c>
      <c r="G1045" t="str">
        <f t="shared" si="287"/>
        <v>Y</v>
      </c>
      <c r="H1045" t="str">
        <f t="shared" si="286"/>
        <v>EA</v>
      </c>
      <c r="I1045">
        <v>0</v>
      </c>
      <c r="J1045">
        <v>0</v>
      </c>
      <c r="K1045" t="str">
        <f t="shared" si="288"/>
        <v>Y</v>
      </c>
      <c r="L1045">
        <v>0</v>
      </c>
      <c r="M1045" t="str">
        <f t="shared" si="289"/>
        <v>NIS</v>
      </c>
      <c r="O1045">
        <v>1</v>
      </c>
      <c r="P1045" t="str">
        <f t="shared" si="281"/>
        <v>Active</v>
      </c>
      <c r="Q1045" t="str">
        <f>"Thirty seat license for BenchMill6000 vir.sim.cn"</f>
        <v>Thirty seat license for BenchMill6000 vir.sim.cn</v>
      </c>
      <c r="S1045" t="str">
        <f>"Thirty seat license for BenchMill6000 vir.sim.cn"</f>
        <v>Thirty seat license for BenchMill6000 vir.sim.cn</v>
      </c>
      <c r="T1045">
        <v>0</v>
      </c>
      <c r="U1045">
        <v>10</v>
      </c>
      <c r="V1045">
        <v>10</v>
      </c>
      <c r="W1045" t="str">
        <f t="shared" ref="W1045:W1108" si="292">"zintel"</f>
        <v>zintel</v>
      </c>
    </row>
    <row r="1046" spans="1:23">
      <c r="A1046" t="str">
        <f>"CNC-6000-LMOO"</f>
        <v>CNC-6000-LMOO</v>
      </c>
      <c r="B1046" t="str">
        <f>"17-8140-0001"</f>
        <v>17-8140-0001</v>
      </c>
      <c r="C1046" t="str">
        <f>"LM5.X Content, Lab, CNC Milling w/BenchMill 6000"</f>
        <v>LM5.X Content, Lab, CNC Milling w/BenchMill 6000</v>
      </c>
      <c r="D1046">
        <v>1</v>
      </c>
      <c r="E1046" t="str">
        <f>"Virtual CNC BenchMill 6000 Technology inc 30 seats of CNCMotion &amp; 15 Hr Virtual elearning Imperial"</f>
        <v>Virtual CNC BenchMill 6000 Technology inc 30 seats of CNCMotion &amp; 15 Hr Virtual elearning Imperial</v>
      </c>
      <c r="F1046">
        <v>0</v>
      </c>
      <c r="G1046" t="str">
        <f t="shared" si="287"/>
        <v>Y</v>
      </c>
      <c r="H1046" t="str">
        <f t="shared" si="286"/>
        <v>EA</v>
      </c>
      <c r="I1046">
        <v>0</v>
      </c>
      <c r="J1046">
        <v>0</v>
      </c>
      <c r="K1046" t="str">
        <f t="shared" si="288"/>
        <v>Y</v>
      </c>
      <c r="L1046">
        <v>0</v>
      </c>
      <c r="M1046" t="str">
        <f t="shared" si="289"/>
        <v>NIS</v>
      </c>
      <c r="O1046">
        <v>2</v>
      </c>
      <c r="P1046" t="str">
        <f t="shared" si="281"/>
        <v>Active</v>
      </c>
      <c r="Q1046" t="str">
        <f>"LM5.X Content, Lab, CNC Milling w/BenchMill 6000"</f>
        <v>LM5.X Content, Lab, CNC Milling w/BenchMill 6000</v>
      </c>
      <c r="S1046" t="str">
        <f>"LM5.X Content, Lab, CNC Milling w/BenchMill 6000"</f>
        <v>LM5.X Content, Lab, CNC Milling w/BenchMill 6000</v>
      </c>
      <c r="T1046">
        <v>0</v>
      </c>
      <c r="U1046">
        <v>5</v>
      </c>
      <c r="V1046">
        <v>5</v>
      </c>
      <c r="W1046" t="str">
        <f t="shared" si="292"/>
        <v>zintel</v>
      </c>
    </row>
    <row r="1047" spans="1:23">
      <c r="A1047" t="str">
        <f>"CNC-6000-LMOO-2"</f>
        <v>CNC-6000-LMOO-2</v>
      </c>
      <c r="B1047" t="str">
        <f>"63-6001-1030"</f>
        <v>63-6001-1030</v>
      </c>
      <c r="C1047" t="str">
        <f>"Thirty seat license for BenchMill6000 vir.sim.cn"</f>
        <v>Thirty seat license for BenchMill6000 vir.sim.cn</v>
      </c>
      <c r="D1047">
        <v>1</v>
      </c>
      <c r="E1047" t="str">
        <f>"Virtual CNC BenchMill 6000 Technology inc 30 seats of CNCMotion &amp; 15 Hr Virtual elearning Metric"</f>
        <v>Virtual CNC BenchMill 6000 Technology inc 30 seats of CNCMotion &amp; 15 Hr Virtual elearning Metric</v>
      </c>
      <c r="F1047">
        <v>0</v>
      </c>
      <c r="G1047" t="str">
        <f t="shared" si="287"/>
        <v>Y</v>
      </c>
      <c r="H1047" t="str">
        <f t="shared" si="286"/>
        <v>EA</v>
      </c>
      <c r="I1047">
        <v>0</v>
      </c>
      <c r="J1047">
        <v>0</v>
      </c>
      <c r="K1047" t="str">
        <f t="shared" si="288"/>
        <v>Y</v>
      </c>
      <c r="L1047">
        <v>0</v>
      </c>
      <c r="M1047" t="str">
        <f t="shared" si="289"/>
        <v>NIS</v>
      </c>
      <c r="O1047">
        <v>1</v>
      </c>
      <c r="P1047" t="str">
        <f t="shared" si="281"/>
        <v>Active</v>
      </c>
      <c r="Q1047" t="str">
        <f>"Thirty seat license for BenchMill6000 vir.sim.cn"</f>
        <v>Thirty seat license for BenchMill6000 vir.sim.cn</v>
      </c>
      <c r="S1047" t="str">
        <f>"Thirty seat license for BenchMill6000 vir.sim.cn"</f>
        <v>Thirty seat license for BenchMill6000 vir.sim.cn</v>
      </c>
      <c r="T1047">
        <v>0</v>
      </c>
      <c r="U1047">
        <v>10</v>
      </c>
      <c r="V1047">
        <v>10</v>
      </c>
      <c r="W1047" t="str">
        <f t="shared" si="292"/>
        <v>zintel</v>
      </c>
    </row>
    <row r="1048" spans="1:23">
      <c r="A1048" t="str">
        <f>"CNC-6000-LMOO-2"</f>
        <v>CNC-6000-LMOO-2</v>
      </c>
      <c r="B1048" t="str">
        <f>"17-3140-0002"</f>
        <v>17-3140-0002</v>
      </c>
      <c r="C1048" t="str">
        <f>"LM5 Content,Vir, CNCMilling w/BenchMill 6000 (M)"</f>
        <v>LM5 Content,Vir, CNCMilling w/BenchMill 6000 (M)</v>
      </c>
      <c r="D1048">
        <v>1</v>
      </c>
      <c r="E1048" t="str">
        <f>"Virtual CNC BenchMill 6000 Technology inc 30 seats of CNCMotion &amp; 15 Hr Virtual elearning Metric"</f>
        <v>Virtual CNC BenchMill 6000 Technology inc 30 seats of CNCMotion &amp; 15 Hr Virtual elearning Metric</v>
      </c>
      <c r="F1048">
        <v>0</v>
      </c>
      <c r="G1048" t="str">
        <f t="shared" si="287"/>
        <v>Y</v>
      </c>
      <c r="H1048" t="str">
        <f t="shared" si="286"/>
        <v>EA</v>
      </c>
      <c r="I1048">
        <v>0</v>
      </c>
      <c r="J1048">
        <v>0</v>
      </c>
      <c r="K1048" t="str">
        <f t="shared" si="288"/>
        <v>Y</v>
      </c>
      <c r="L1048">
        <v>0</v>
      </c>
      <c r="M1048" t="str">
        <f t="shared" si="289"/>
        <v>NIS</v>
      </c>
      <c r="O1048">
        <v>2</v>
      </c>
      <c r="P1048" t="str">
        <f t="shared" si="281"/>
        <v>Active</v>
      </c>
      <c r="Q1048" t="str">
        <f>"LM5 Content,Vir, CNCMilling w/BenchMill 6000 (M)"</f>
        <v>LM5 Content,Vir, CNCMilling w/BenchMill 6000 (M)</v>
      </c>
      <c r="S1048" t="str">
        <f>"LM5 Content,Vir, CNCMilling w/BenchMill 6000 (M)"</f>
        <v>LM5 Content,Vir, CNCMilling w/BenchMill 6000 (M)</v>
      </c>
      <c r="T1048">
        <v>0</v>
      </c>
      <c r="U1048">
        <v>5</v>
      </c>
      <c r="V1048">
        <v>5</v>
      </c>
      <c r="W1048" t="str">
        <f t="shared" si="292"/>
        <v>zintel</v>
      </c>
    </row>
    <row r="1049" spans="1:23">
      <c r="A1049" t="str">
        <f t="shared" ref="A1049:A1058" si="293">"CNC-6000-STND-I"</f>
        <v>CNC-6000-STND-I</v>
      </c>
      <c r="B1049" t="str">
        <f>"00-5505-0110"</f>
        <v>00-5505-0110</v>
      </c>
      <c r="C1049" t="str">
        <f>"CNC BenchMILL 6000, 110 VAC"</f>
        <v>CNC BenchMILL 6000, 110 VAC</v>
      </c>
      <c r="D1049">
        <v>1</v>
      </c>
      <c r="E1049" t="str">
        <f t="shared" ref="E1049:E1058" si="294">"BenchMILL 6000 Standard Bundle, Imperial, 110/220 VAC"</f>
        <v>BenchMILL 6000 Standard Bundle, Imperial, 110/220 VAC</v>
      </c>
      <c r="F1049">
        <v>0</v>
      </c>
      <c r="G1049" t="str">
        <f t="shared" si="287"/>
        <v>Y</v>
      </c>
      <c r="H1049" t="str">
        <f t="shared" si="286"/>
        <v>EA</v>
      </c>
      <c r="I1049">
        <v>0</v>
      </c>
      <c r="J1049">
        <v>0</v>
      </c>
      <c r="K1049" t="str">
        <f t="shared" si="288"/>
        <v>Y</v>
      </c>
      <c r="L1049">
        <v>0</v>
      </c>
      <c r="M1049" t="str">
        <f t="shared" si="289"/>
        <v>NIS</v>
      </c>
      <c r="O1049">
        <v>1</v>
      </c>
      <c r="P1049" t="str">
        <f t="shared" si="281"/>
        <v>Active</v>
      </c>
      <c r="Q1049" t="str">
        <f>"CNC BenchMILL 6000, 110 VAC"</f>
        <v>CNC BenchMILL 6000, 110 VAC</v>
      </c>
      <c r="S1049" t="str">
        <f>"CNC BenchMILL 6000, 110 VAC"</f>
        <v>CNC BenchMILL 6000, 110 VAC</v>
      </c>
      <c r="T1049">
        <v>0</v>
      </c>
      <c r="U1049" s="44">
        <v>4958</v>
      </c>
      <c r="V1049" s="44">
        <v>4944</v>
      </c>
      <c r="W1049" t="str">
        <f t="shared" si="292"/>
        <v>zintel</v>
      </c>
    </row>
    <row r="1050" spans="1:23">
      <c r="A1050" t="str">
        <f t="shared" si="293"/>
        <v>CNC-6000-STND-I</v>
      </c>
      <c r="B1050" t="str">
        <f>"10-1111-6000"</f>
        <v>10-1111-6000</v>
      </c>
      <c r="C1050" t="str">
        <f>"4"" Vise"</f>
        <v>4" Vise</v>
      </c>
      <c r="D1050">
        <v>1</v>
      </c>
      <c r="E1050" t="str">
        <f t="shared" si="294"/>
        <v>BenchMILL 6000 Standard Bundle, Imperial, 110/220 VAC</v>
      </c>
      <c r="F1050">
        <v>0</v>
      </c>
      <c r="G1050" t="str">
        <f t="shared" si="287"/>
        <v>Y</v>
      </c>
      <c r="H1050" t="str">
        <f t="shared" si="286"/>
        <v>EA</v>
      </c>
      <c r="I1050">
        <v>0</v>
      </c>
      <c r="J1050">
        <v>0</v>
      </c>
      <c r="K1050" t="str">
        <f t="shared" si="288"/>
        <v>Y</v>
      </c>
      <c r="L1050">
        <v>0</v>
      </c>
      <c r="M1050" t="str">
        <f t="shared" si="289"/>
        <v>NIS</v>
      </c>
      <c r="O1050">
        <v>2</v>
      </c>
      <c r="P1050" t="str">
        <f t="shared" si="281"/>
        <v>Active</v>
      </c>
      <c r="Q1050" t="str">
        <f>"4"" Precision Maching Vise"</f>
        <v>4" Precision Maching Vise</v>
      </c>
      <c r="S1050" t="str">
        <f>"4"" Precision Maching Vise"</f>
        <v>4" Precision Maching Vise</v>
      </c>
      <c r="T1050">
        <v>0</v>
      </c>
      <c r="U1050">
        <v>53</v>
      </c>
      <c r="V1050">
        <v>49.5</v>
      </c>
      <c r="W1050" t="str">
        <f t="shared" si="292"/>
        <v>zintel</v>
      </c>
    </row>
    <row r="1051" spans="1:23">
      <c r="A1051" t="str">
        <f t="shared" si="293"/>
        <v>CNC-6000-STND-I</v>
      </c>
      <c r="B1051" t="str">
        <f>"10-1111-5000"</f>
        <v>10-1111-5000</v>
      </c>
      <c r="C1051" t="str">
        <f>"clamping kit 58 pcs set"</f>
        <v>clamping kit 58 pcs set</v>
      </c>
      <c r="D1051">
        <v>1</v>
      </c>
      <c r="E1051" t="str">
        <f t="shared" si="294"/>
        <v>BenchMILL 6000 Standard Bundle, Imperial, 110/220 VAC</v>
      </c>
      <c r="F1051">
        <v>0</v>
      </c>
      <c r="G1051" t="str">
        <f t="shared" si="287"/>
        <v>Y</v>
      </c>
      <c r="H1051" t="str">
        <f t="shared" si="286"/>
        <v>EA</v>
      </c>
      <c r="I1051">
        <v>0</v>
      </c>
      <c r="J1051">
        <v>0</v>
      </c>
      <c r="K1051" t="str">
        <f t="shared" si="288"/>
        <v>Y</v>
      </c>
      <c r="L1051">
        <v>0</v>
      </c>
      <c r="M1051" t="str">
        <f t="shared" si="289"/>
        <v>NIS</v>
      </c>
      <c r="O1051">
        <v>3</v>
      </c>
      <c r="P1051" t="str">
        <f t="shared" si="281"/>
        <v>Active</v>
      </c>
      <c r="Q1051" t="str">
        <f>"clamping kit 58 pcs set"</f>
        <v>clamping kit 58 pcs set</v>
      </c>
      <c r="S1051" t="str">
        <f>"clamping kit 58 pcs set"</f>
        <v>clamping kit 58 pcs set</v>
      </c>
      <c r="T1051">
        <v>0</v>
      </c>
      <c r="U1051">
        <v>52</v>
      </c>
      <c r="V1051">
        <v>51.72</v>
      </c>
      <c r="W1051" t="str">
        <f t="shared" si="292"/>
        <v>zintel</v>
      </c>
    </row>
    <row r="1052" spans="1:23">
      <c r="A1052" t="str">
        <f t="shared" si="293"/>
        <v>CNC-6000-STND-I</v>
      </c>
      <c r="B1052" t="str">
        <f>"10-1111-9000"</f>
        <v>10-1111-9000</v>
      </c>
      <c r="C1052" t="str">
        <f>"ISO 20 tool holder"</f>
        <v>ISO 20 tool holder</v>
      </c>
      <c r="D1052">
        <v>1</v>
      </c>
      <c r="E1052" t="str">
        <f t="shared" si="294"/>
        <v>BenchMILL 6000 Standard Bundle, Imperial, 110/220 VAC</v>
      </c>
      <c r="F1052">
        <v>0</v>
      </c>
      <c r="G1052" t="str">
        <f t="shared" si="287"/>
        <v>Y</v>
      </c>
      <c r="H1052" t="str">
        <f t="shared" si="286"/>
        <v>EA</v>
      </c>
      <c r="I1052">
        <v>0</v>
      </c>
      <c r="J1052">
        <v>0</v>
      </c>
      <c r="K1052" t="str">
        <f t="shared" si="288"/>
        <v>Y</v>
      </c>
      <c r="L1052">
        <v>0</v>
      </c>
      <c r="M1052" t="str">
        <f t="shared" si="289"/>
        <v>NIS</v>
      </c>
      <c r="O1052">
        <v>4</v>
      </c>
      <c r="P1052" t="str">
        <f t="shared" si="281"/>
        <v>Active</v>
      </c>
      <c r="Q1052" t="str">
        <f>"ISO 20 tool holder with nut"</f>
        <v>ISO 20 tool holder with nut</v>
      </c>
      <c r="S1052" t="str">
        <f>"ISO 20 tool holder with nut"</f>
        <v>ISO 20 tool holder with nut</v>
      </c>
      <c r="T1052">
        <v>0</v>
      </c>
      <c r="U1052">
        <v>103</v>
      </c>
      <c r="V1052">
        <v>103.19</v>
      </c>
      <c r="W1052" t="str">
        <f t="shared" si="292"/>
        <v>zintel</v>
      </c>
    </row>
    <row r="1053" spans="1:23">
      <c r="A1053" t="str">
        <f t="shared" si="293"/>
        <v>CNC-6000-STND-I</v>
      </c>
      <c r="B1053" t="str">
        <f>"10-1113-5000"</f>
        <v>10-1113-5000</v>
      </c>
      <c r="C1053" t="str">
        <f>"Imperial Advanced End Mill Package 5120"</f>
        <v>Imperial Advanced End Mill Package 5120</v>
      </c>
      <c r="D1053">
        <v>1</v>
      </c>
      <c r="E1053" t="str">
        <f t="shared" si="294"/>
        <v>BenchMILL 6000 Standard Bundle, Imperial, 110/220 VAC</v>
      </c>
      <c r="F1053">
        <v>0</v>
      </c>
      <c r="G1053" t="str">
        <f t="shared" si="287"/>
        <v>Y</v>
      </c>
      <c r="H1053" t="str">
        <f t="shared" si="286"/>
        <v>EA</v>
      </c>
      <c r="I1053">
        <v>0</v>
      </c>
      <c r="J1053">
        <v>0</v>
      </c>
      <c r="K1053" t="str">
        <f t="shared" si="288"/>
        <v>Y</v>
      </c>
      <c r="L1053">
        <v>0</v>
      </c>
      <c r="M1053" t="str">
        <f t="shared" si="289"/>
        <v>NIS</v>
      </c>
      <c r="O1053">
        <v>5</v>
      </c>
      <c r="P1053" t="str">
        <f t="shared" si="281"/>
        <v>Active</v>
      </c>
      <c r="Q1053" t="str">
        <f>"Imperial Advanced End Mill Package 5120"</f>
        <v>Imperial Advanced End Mill Package 5120</v>
      </c>
      <c r="S1053" t="str">
        <f>"Imperial Advanced End Mill Package 5120"</f>
        <v>Imperial Advanced End Mill Package 5120</v>
      </c>
      <c r="T1053">
        <v>0</v>
      </c>
      <c r="U1053">
        <v>64</v>
      </c>
      <c r="V1053">
        <v>64</v>
      </c>
      <c r="W1053" t="str">
        <f t="shared" si="292"/>
        <v>zintel</v>
      </c>
    </row>
    <row r="1054" spans="1:23">
      <c r="A1054" t="str">
        <f t="shared" si="293"/>
        <v>CNC-6000-STND-I</v>
      </c>
      <c r="B1054" t="str">
        <f>"10-1115-2000"</f>
        <v>10-1115-2000</v>
      </c>
      <c r="C1054" t="str">
        <f>"- Table mounted ATC package"</f>
        <v>- Table mounted ATC package</v>
      </c>
      <c r="D1054">
        <v>1</v>
      </c>
      <c r="E1054" t="str">
        <f t="shared" si="294"/>
        <v>BenchMILL 6000 Standard Bundle, Imperial, 110/220 VAC</v>
      </c>
      <c r="F1054">
        <v>0</v>
      </c>
      <c r="G1054" t="str">
        <f t="shared" si="287"/>
        <v>Y</v>
      </c>
      <c r="H1054" t="str">
        <f t="shared" si="286"/>
        <v>EA</v>
      </c>
      <c r="I1054">
        <v>0</v>
      </c>
      <c r="J1054">
        <v>0</v>
      </c>
      <c r="K1054" t="str">
        <f t="shared" si="288"/>
        <v>Y</v>
      </c>
      <c r="L1054">
        <v>0</v>
      </c>
      <c r="M1054" t="str">
        <f t="shared" si="289"/>
        <v>NIS</v>
      </c>
      <c r="O1054">
        <v>6</v>
      </c>
      <c r="P1054" t="str">
        <f t="shared" si="281"/>
        <v>Active</v>
      </c>
      <c r="Q1054" t="str">
        <f>"Table mounted ATC package"</f>
        <v>Table mounted ATC package</v>
      </c>
      <c r="S1054" t="str">
        <f>"Table mounted ATC package"</f>
        <v>Table mounted ATC package</v>
      </c>
      <c r="T1054">
        <v>0</v>
      </c>
      <c r="U1054">
        <v>690</v>
      </c>
      <c r="V1054">
        <v>690.59</v>
      </c>
      <c r="W1054" t="str">
        <f t="shared" si="292"/>
        <v>zintel</v>
      </c>
    </row>
    <row r="1055" spans="1:23">
      <c r="A1055" t="str">
        <f t="shared" si="293"/>
        <v>CNC-6000-STND-I</v>
      </c>
      <c r="B1055" t="str">
        <f>"10-1111-1000"</f>
        <v>10-1111-1000</v>
      </c>
      <c r="C1055" t="str">
        <f>"- Handwheel - Manual Control"</f>
        <v>- Handwheel - Manual Control</v>
      </c>
      <c r="D1055">
        <v>1</v>
      </c>
      <c r="E1055" t="str">
        <f t="shared" si="294"/>
        <v>BenchMILL 6000 Standard Bundle, Imperial, 110/220 VAC</v>
      </c>
      <c r="F1055">
        <v>0</v>
      </c>
      <c r="G1055" t="str">
        <f t="shared" si="287"/>
        <v>Y</v>
      </c>
      <c r="H1055" t="str">
        <f t="shared" si="286"/>
        <v>EA</v>
      </c>
      <c r="I1055">
        <v>0</v>
      </c>
      <c r="J1055">
        <v>0</v>
      </c>
      <c r="K1055" t="str">
        <f t="shared" si="288"/>
        <v>Y</v>
      </c>
      <c r="L1055">
        <v>0</v>
      </c>
      <c r="M1055" t="str">
        <f t="shared" si="289"/>
        <v>NIS</v>
      </c>
      <c r="O1055">
        <v>7</v>
      </c>
      <c r="P1055" t="str">
        <f t="shared" si="281"/>
        <v>Active</v>
      </c>
      <c r="Q1055" t="str">
        <f>"Jog Pendant Handwheel"</f>
        <v>Jog Pendant Handwheel</v>
      </c>
      <c r="S1055" t="str">
        <f>"Jog Pendant Handwheel"</f>
        <v>Jog Pendant Handwheel</v>
      </c>
      <c r="T1055">
        <v>0</v>
      </c>
      <c r="U1055">
        <v>235</v>
      </c>
      <c r="V1055">
        <v>235.03</v>
      </c>
      <c r="W1055" t="str">
        <f t="shared" si="292"/>
        <v>zintel</v>
      </c>
    </row>
    <row r="1056" spans="1:23">
      <c r="A1056" t="str">
        <f t="shared" si="293"/>
        <v>CNC-6000-STND-I</v>
      </c>
      <c r="B1056" t="str">
        <f>"10-9120-0000"</f>
        <v>10-9120-0000</v>
      </c>
      <c r="C1056" t="str">
        <f>"Stock Package, Wax, 3” x 2” x 1.5”– 50 Pcs"</f>
        <v>Stock Package, Wax, 3” x 2” x 1.5”– 50 Pcs</v>
      </c>
      <c r="D1056">
        <v>1</v>
      </c>
      <c r="E1056" t="str">
        <f t="shared" si="294"/>
        <v>BenchMILL 6000 Standard Bundle, Imperial, 110/220 VAC</v>
      </c>
      <c r="F1056">
        <v>0</v>
      </c>
      <c r="G1056" t="str">
        <f t="shared" si="287"/>
        <v>Y</v>
      </c>
      <c r="H1056" t="str">
        <f t="shared" si="286"/>
        <v>EA</v>
      </c>
      <c r="I1056">
        <v>0</v>
      </c>
      <c r="J1056">
        <v>0</v>
      </c>
      <c r="K1056" t="str">
        <f t="shared" si="288"/>
        <v>Y</v>
      </c>
      <c r="L1056">
        <v>0</v>
      </c>
      <c r="M1056" t="str">
        <f t="shared" si="289"/>
        <v>NIS</v>
      </c>
      <c r="O1056">
        <v>8</v>
      </c>
      <c r="P1056" t="str">
        <f t="shared" ref="P1056:P1119" si="295">"Active"</f>
        <v>Active</v>
      </c>
      <c r="Q1056" t="str">
        <f>"Stock Package, WaxStock Pa3” x 2” x 1.5”– 50 Pcs"</f>
        <v>Stock Package, WaxStock Pa3” x 2” x 1.5”– 50 Pcs</v>
      </c>
      <c r="S1056" t="str">
        <f>"Stock Package, Wax, 3” x 2” x 1.5”– 50 Pcs"</f>
        <v>Stock Package, Wax, 3” x 2” x 1.5”– 50 Pcs</v>
      </c>
      <c r="T1056">
        <v>245</v>
      </c>
      <c r="U1056">
        <v>242.73</v>
      </c>
      <c r="V1056">
        <v>613.89</v>
      </c>
      <c r="W1056" t="str">
        <f t="shared" si="292"/>
        <v>zintel</v>
      </c>
    </row>
    <row r="1057" spans="1:23">
      <c r="A1057" t="str">
        <f t="shared" si="293"/>
        <v>CNC-6000-STND-I</v>
      </c>
      <c r="B1057" t="str">
        <f>"77-3140-0001"</f>
        <v>77-3140-0001</v>
      </c>
      <c r="C1057" t="str">
        <f>"LM7 Content, Vir, CNC Milling w/BenchMill 6000"</f>
        <v>LM7 Content, Vir, CNC Milling w/BenchMill 6000</v>
      </c>
      <c r="D1057">
        <v>1</v>
      </c>
      <c r="E1057" t="str">
        <f t="shared" si="294"/>
        <v>BenchMILL 6000 Standard Bundle, Imperial, 110/220 VAC</v>
      </c>
      <c r="F1057">
        <v>0</v>
      </c>
      <c r="G1057" t="str">
        <f t="shared" si="287"/>
        <v>Y</v>
      </c>
      <c r="H1057" t="str">
        <f t="shared" si="286"/>
        <v>EA</v>
      </c>
      <c r="I1057">
        <v>0</v>
      </c>
      <c r="J1057">
        <v>0</v>
      </c>
      <c r="K1057" t="str">
        <f t="shared" si="288"/>
        <v>Y</v>
      </c>
      <c r="L1057">
        <v>0</v>
      </c>
      <c r="M1057" t="str">
        <f t="shared" si="289"/>
        <v>NIS</v>
      </c>
      <c r="O1057">
        <v>9</v>
      </c>
      <c r="P1057" t="str">
        <f t="shared" si="295"/>
        <v>Active</v>
      </c>
      <c r="Q1057" t="str">
        <f>"LM7 Content, Vir, CNC Milling w/BenchMill 6000"</f>
        <v>LM7 Content, Vir, CNC Milling w/BenchMill 6000</v>
      </c>
      <c r="S1057" t="str">
        <f>"LM7 Content, Vir, CNC Milling w/BenchMill 6000"</f>
        <v>LM7 Content, Vir, CNC Milling w/BenchMill 6000</v>
      </c>
      <c r="T1057">
        <v>0</v>
      </c>
      <c r="U1057">
        <v>5</v>
      </c>
      <c r="V1057">
        <v>5</v>
      </c>
      <c r="W1057" t="str">
        <f t="shared" si="292"/>
        <v>zintel</v>
      </c>
    </row>
    <row r="1058" spans="1:23">
      <c r="A1058" t="str">
        <f t="shared" si="293"/>
        <v>CNC-6000-STND-I</v>
      </c>
      <c r="B1058" t="str">
        <f>"10-1112-2000"</f>
        <v>10-1112-2000</v>
      </c>
      <c r="C1058" t="str">
        <f>"ER16 Collet set-8 pieces(3,4,5,6,7,8,9 and 10mm)"</f>
        <v>ER16 Collet set-8 pieces(3,4,5,6,7,8,9 and 10mm)</v>
      </c>
      <c r="D1058">
        <v>1</v>
      </c>
      <c r="E1058" t="str">
        <f t="shared" si="294"/>
        <v>BenchMILL 6000 Standard Bundle, Imperial, 110/220 VAC</v>
      </c>
      <c r="F1058">
        <v>0</v>
      </c>
      <c r="G1058" t="str">
        <f t="shared" si="287"/>
        <v>Y</v>
      </c>
      <c r="H1058" t="str">
        <f t="shared" si="286"/>
        <v>EA</v>
      </c>
      <c r="I1058">
        <v>0</v>
      </c>
      <c r="J1058">
        <v>0</v>
      </c>
      <c r="K1058" t="str">
        <f t="shared" si="288"/>
        <v>Y</v>
      </c>
      <c r="L1058">
        <v>0</v>
      </c>
      <c r="M1058" t="str">
        <f t="shared" si="289"/>
        <v>NIS</v>
      </c>
      <c r="O1058">
        <v>10</v>
      </c>
      <c r="P1058" t="str">
        <f t="shared" si="295"/>
        <v>Active</v>
      </c>
      <c r="Q1058" t="str">
        <f>"ER16 Collet set-8 pieces(3,4,5,6,7,8,9 and 10mm)"</f>
        <v>ER16 Collet set-8 pieces(3,4,5,6,7,8,9 and 10mm)</v>
      </c>
      <c r="S1058" t="str">
        <f>"ER16 Collet set-8 pieces(3,4,5,6,7,8,9 and 10mm)"</f>
        <v>ER16 Collet set-8 pieces(3,4,5,6,7,8,9 and 10mm)</v>
      </c>
      <c r="T1058">
        <v>0</v>
      </c>
      <c r="U1058">
        <v>71</v>
      </c>
      <c r="V1058">
        <v>64.84</v>
      </c>
      <c r="W1058" t="str">
        <f t="shared" si="292"/>
        <v>zintel</v>
      </c>
    </row>
    <row r="1059" spans="1:23">
      <c r="A1059" t="str">
        <f t="shared" ref="A1059:A1069" si="296">"CNC-6000-STND-M"</f>
        <v>CNC-6000-STND-M</v>
      </c>
      <c r="B1059" t="str">
        <f>"00-5505-0220"</f>
        <v>00-5505-0220</v>
      </c>
      <c r="C1059" t="str">
        <f>"CNC BenchMILL 6000, 220 VAC"</f>
        <v>CNC BenchMILL 6000, 220 VAC</v>
      </c>
      <c r="D1059">
        <v>1</v>
      </c>
      <c r="E1059" t="str">
        <f t="shared" ref="E1059:E1069" si="297">"BenchMILL 6000 Standard Bundle, Metric, 110/220 VAC"</f>
        <v>BenchMILL 6000 Standard Bundle, Metric, 110/220 VAC</v>
      </c>
      <c r="F1059">
        <v>0</v>
      </c>
      <c r="G1059" t="str">
        <f t="shared" si="287"/>
        <v>Y</v>
      </c>
      <c r="H1059" t="str">
        <f t="shared" si="286"/>
        <v>EA</v>
      </c>
      <c r="I1059">
        <v>0</v>
      </c>
      <c r="J1059">
        <v>0</v>
      </c>
      <c r="K1059" t="str">
        <f t="shared" si="288"/>
        <v>Y</v>
      </c>
      <c r="L1059">
        <v>0</v>
      </c>
      <c r="M1059" t="str">
        <f t="shared" si="289"/>
        <v>NIS</v>
      </c>
      <c r="O1059">
        <v>1</v>
      </c>
      <c r="P1059" t="str">
        <f t="shared" si="295"/>
        <v>Active</v>
      </c>
      <c r="Q1059" t="str">
        <f>"CNC BenchMILL 6000, 220 VAC"</f>
        <v>CNC BenchMILL 6000, 220 VAC</v>
      </c>
      <c r="S1059" t="str">
        <f>"CNC BenchMILL 6000, 220 VAC"</f>
        <v>CNC BenchMILL 6000, 220 VAC</v>
      </c>
      <c r="T1059">
        <v>0</v>
      </c>
      <c r="U1059" s="44">
        <v>4583</v>
      </c>
      <c r="V1059" s="44">
        <v>4458.34</v>
      </c>
      <c r="W1059" t="str">
        <f t="shared" si="292"/>
        <v>zintel</v>
      </c>
    </row>
    <row r="1060" spans="1:23">
      <c r="A1060" t="str">
        <f t="shared" si="296"/>
        <v>CNC-6000-STND-M</v>
      </c>
      <c r="B1060" t="str">
        <f>"10-1111-6000"</f>
        <v>10-1111-6000</v>
      </c>
      <c r="C1060" t="str">
        <f>"4"" Vise"</f>
        <v>4" Vise</v>
      </c>
      <c r="D1060">
        <v>1</v>
      </c>
      <c r="E1060" t="str">
        <f t="shared" si="297"/>
        <v>BenchMILL 6000 Standard Bundle, Metric, 110/220 VAC</v>
      </c>
      <c r="F1060">
        <v>0</v>
      </c>
      <c r="G1060" t="str">
        <f t="shared" si="287"/>
        <v>Y</v>
      </c>
      <c r="H1060" t="str">
        <f t="shared" si="286"/>
        <v>EA</v>
      </c>
      <c r="I1060">
        <v>0</v>
      </c>
      <c r="J1060">
        <v>0</v>
      </c>
      <c r="K1060" t="str">
        <f t="shared" si="288"/>
        <v>Y</v>
      </c>
      <c r="L1060">
        <v>0</v>
      </c>
      <c r="M1060" t="str">
        <f t="shared" si="289"/>
        <v>NIS</v>
      </c>
      <c r="O1060">
        <v>2</v>
      </c>
      <c r="P1060" t="str">
        <f t="shared" si="295"/>
        <v>Active</v>
      </c>
      <c r="Q1060" t="str">
        <f>"4"" Precision Maching Vise"</f>
        <v>4" Precision Maching Vise</v>
      </c>
      <c r="S1060" t="str">
        <f>"4"" Precision Maching Vise"</f>
        <v>4" Precision Maching Vise</v>
      </c>
      <c r="T1060">
        <v>0</v>
      </c>
      <c r="U1060">
        <v>53</v>
      </c>
      <c r="V1060">
        <v>49.5</v>
      </c>
      <c r="W1060" t="str">
        <f t="shared" si="292"/>
        <v>zintel</v>
      </c>
    </row>
    <row r="1061" spans="1:23">
      <c r="A1061" t="str">
        <f t="shared" si="296"/>
        <v>CNC-6000-STND-M</v>
      </c>
      <c r="B1061" t="str">
        <f>"10-1111-5000"</f>
        <v>10-1111-5000</v>
      </c>
      <c r="C1061" t="str">
        <f>"clamping kit 58 pcs set"</f>
        <v>clamping kit 58 pcs set</v>
      </c>
      <c r="D1061">
        <v>1</v>
      </c>
      <c r="E1061" t="str">
        <f t="shared" si="297"/>
        <v>BenchMILL 6000 Standard Bundle, Metric, 110/220 VAC</v>
      </c>
      <c r="F1061">
        <v>0</v>
      </c>
      <c r="G1061" t="str">
        <f t="shared" si="287"/>
        <v>Y</v>
      </c>
      <c r="H1061" t="str">
        <f t="shared" si="286"/>
        <v>EA</v>
      </c>
      <c r="I1061">
        <v>0</v>
      </c>
      <c r="J1061">
        <v>0</v>
      </c>
      <c r="K1061" t="str">
        <f t="shared" si="288"/>
        <v>Y</v>
      </c>
      <c r="L1061">
        <v>0</v>
      </c>
      <c r="M1061" t="str">
        <f t="shared" si="289"/>
        <v>NIS</v>
      </c>
      <c r="O1061">
        <v>3</v>
      </c>
      <c r="P1061" t="str">
        <f t="shared" si="295"/>
        <v>Active</v>
      </c>
      <c r="Q1061" t="str">
        <f>"clamping kit 58 pcs set"</f>
        <v>clamping kit 58 pcs set</v>
      </c>
      <c r="S1061" t="str">
        <f>"clamping kit 58 pcs set"</f>
        <v>clamping kit 58 pcs set</v>
      </c>
      <c r="T1061">
        <v>0</v>
      </c>
      <c r="U1061">
        <v>52</v>
      </c>
      <c r="V1061">
        <v>51.72</v>
      </c>
      <c r="W1061" t="str">
        <f t="shared" si="292"/>
        <v>zintel</v>
      </c>
    </row>
    <row r="1062" spans="1:23">
      <c r="A1062" t="str">
        <f t="shared" si="296"/>
        <v>CNC-6000-STND-M</v>
      </c>
      <c r="B1062" t="str">
        <f>"10-1111-9000"</f>
        <v>10-1111-9000</v>
      </c>
      <c r="C1062" t="str">
        <f>"ISO 20 tool holder"</f>
        <v>ISO 20 tool holder</v>
      </c>
      <c r="D1062">
        <v>1</v>
      </c>
      <c r="E1062" t="str">
        <f t="shared" si="297"/>
        <v>BenchMILL 6000 Standard Bundle, Metric, 110/220 VAC</v>
      </c>
      <c r="F1062">
        <v>0</v>
      </c>
      <c r="G1062" t="str">
        <f t="shared" si="287"/>
        <v>Y</v>
      </c>
      <c r="H1062" t="str">
        <f t="shared" si="286"/>
        <v>EA</v>
      </c>
      <c r="I1062">
        <v>0</v>
      </c>
      <c r="J1062">
        <v>0</v>
      </c>
      <c r="K1062" t="str">
        <f t="shared" si="288"/>
        <v>Y</v>
      </c>
      <c r="L1062">
        <v>0</v>
      </c>
      <c r="M1062" t="str">
        <f t="shared" si="289"/>
        <v>NIS</v>
      </c>
      <c r="O1062">
        <v>4</v>
      </c>
      <c r="P1062" t="str">
        <f t="shared" si="295"/>
        <v>Active</v>
      </c>
      <c r="Q1062" t="str">
        <f>"ISO 20 tool holder with nut"</f>
        <v>ISO 20 tool holder with nut</v>
      </c>
      <c r="S1062" t="str">
        <f>"ISO 20 tool holder with nut"</f>
        <v>ISO 20 tool holder with nut</v>
      </c>
      <c r="T1062">
        <v>0</v>
      </c>
      <c r="U1062">
        <v>103</v>
      </c>
      <c r="V1062">
        <v>103.19</v>
      </c>
      <c r="W1062" t="str">
        <f t="shared" si="292"/>
        <v>zintel</v>
      </c>
    </row>
    <row r="1063" spans="1:23">
      <c r="A1063" t="str">
        <f t="shared" si="296"/>
        <v>CNC-6000-STND-M</v>
      </c>
      <c r="B1063" t="str">
        <f>"10-1113-4000"</f>
        <v>10-1113-4000</v>
      </c>
      <c r="C1063" t="str">
        <f>"Metric End Mill Package(2X 3,6,8,10End,4,6 Ball)"</f>
        <v>Metric End Mill Package(2X 3,6,8,10End,4,6 Ball)</v>
      </c>
      <c r="D1063">
        <v>1</v>
      </c>
      <c r="E1063" t="str">
        <f t="shared" si="297"/>
        <v>BenchMILL 6000 Standard Bundle, Metric, 110/220 VAC</v>
      </c>
      <c r="F1063">
        <v>0</v>
      </c>
      <c r="G1063" t="str">
        <f t="shared" si="287"/>
        <v>Y</v>
      </c>
      <c r="H1063" t="str">
        <f t="shared" si="286"/>
        <v>EA</v>
      </c>
      <c r="I1063">
        <v>0</v>
      </c>
      <c r="J1063">
        <v>0</v>
      </c>
      <c r="K1063" t="str">
        <f t="shared" si="288"/>
        <v>Y</v>
      </c>
      <c r="L1063">
        <v>0</v>
      </c>
      <c r="M1063" t="str">
        <f t="shared" si="289"/>
        <v>NIS</v>
      </c>
      <c r="O1063">
        <v>5</v>
      </c>
      <c r="P1063" t="str">
        <f t="shared" si="295"/>
        <v>Active</v>
      </c>
      <c r="Q1063" t="str">
        <f>"Metric Advanced End Mill Package 5121"</f>
        <v>Metric Advanced End Mill Package 5121</v>
      </c>
      <c r="S1063" t="str">
        <f>"Metric Advanced End Mill Package 5121"</f>
        <v>Metric Advanced End Mill Package 5121</v>
      </c>
      <c r="T1063">
        <v>0</v>
      </c>
      <c r="U1063">
        <v>55</v>
      </c>
      <c r="V1063">
        <v>50.17</v>
      </c>
      <c r="W1063" t="str">
        <f t="shared" si="292"/>
        <v>zintel</v>
      </c>
    </row>
    <row r="1064" spans="1:23">
      <c r="A1064" t="str">
        <f t="shared" si="296"/>
        <v>CNC-6000-STND-M</v>
      </c>
      <c r="B1064" t="str">
        <f>"10-1112-2000"</f>
        <v>10-1112-2000</v>
      </c>
      <c r="C1064" t="str">
        <f>"ER16 Collet set-8 pieces(3,4,5,6,7,8,9 and 10mm)"</f>
        <v>ER16 Collet set-8 pieces(3,4,5,6,7,8,9 and 10mm)</v>
      </c>
      <c r="D1064">
        <v>1</v>
      </c>
      <c r="E1064" t="str">
        <f t="shared" si="297"/>
        <v>BenchMILL 6000 Standard Bundle, Metric, 110/220 VAC</v>
      </c>
      <c r="F1064">
        <v>0</v>
      </c>
      <c r="G1064" t="str">
        <f t="shared" si="287"/>
        <v>Y</v>
      </c>
      <c r="H1064" t="str">
        <f t="shared" si="286"/>
        <v>EA</v>
      </c>
      <c r="I1064">
        <v>0</v>
      </c>
      <c r="J1064">
        <v>0</v>
      </c>
      <c r="K1064" t="str">
        <f t="shared" si="288"/>
        <v>Y</v>
      </c>
      <c r="L1064">
        <v>0</v>
      </c>
      <c r="M1064" t="str">
        <f t="shared" si="289"/>
        <v>NIS</v>
      </c>
      <c r="O1064">
        <v>6</v>
      </c>
      <c r="P1064" t="str">
        <f t="shared" si="295"/>
        <v>Active</v>
      </c>
      <c r="Q1064" t="str">
        <f>"ER16 Collet set-8 pieces(3,4,5,6,7,8,9 and 10mm)"</f>
        <v>ER16 Collet set-8 pieces(3,4,5,6,7,8,9 and 10mm)</v>
      </c>
      <c r="S1064" t="str">
        <f>"ER16 Collet set-8 pieces(3,4,5,6,7,8,9 and 10mm)"</f>
        <v>ER16 Collet set-8 pieces(3,4,5,6,7,8,9 and 10mm)</v>
      </c>
      <c r="T1064">
        <v>0</v>
      </c>
      <c r="U1064">
        <v>71</v>
      </c>
      <c r="V1064">
        <v>64.84</v>
      </c>
      <c r="W1064" t="str">
        <f t="shared" si="292"/>
        <v>zintel</v>
      </c>
    </row>
    <row r="1065" spans="1:23">
      <c r="A1065" t="str">
        <f t="shared" si="296"/>
        <v>CNC-6000-STND-M</v>
      </c>
      <c r="B1065" t="str">
        <f>"10-1115-0000"</f>
        <v>10-1115-0000</v>
      </c>
      <c r="C1065" t="str">
        <f>"ER16 Collet set - 2 x (3,6,8,10mm)"</f>
        <v>ER16 Collet set - 2 x (3,6,8,10mm)</v>
      </c>
      <c r="D1065">
        <v>1</v>
      </c>
      <c r="E1065" t="str">
        <f t="shared" si="297"/>
        <v>BenchMILL 6000 Standard Bundle, Metric, 110/220 VAC</v>
      </c>
      <c r="F1065">
        <v>0</v>
      </c>
      <c r="G1065" t="str">
        <f t="shared" si="287"/>
        <v>Y</v>
      </c>
      <c r="H1065" t="str">
        <f t="shared" si="286"/>
        <v>EA</v>
      </c>
      <c r="I1065">
        <v>0</v>
      </c>
      <c r="J1065">
        <v>0</v>
      </c>
      <c r="K1065" t="str">
        <f t="shared" si="288"/>
        <v>Y</v>
      </c>
      <c r="L1065">
        <v>0</v>
      </c>
      <c r="M1065" t="str">
        <f t="shared" si="289"/>
        <v>NIS</v>
      </c>
      <c r="O1065">
        <v>7</v>
      </c>
      <c r="P1065" t="str">
        <f t="shared" si="295"/>
        <v>Active</v>
      </c>
      <c r="Q1065" t="str">
        <f>"ER16 Collet set-8 pieces(2)3,(2)6,(2)8,(2)10mm"</f>
        <v>ER16 Collet set-8 pieces(2)3,(2)6,(2)8,(2)10mm</v>
      </c>
      <c r="S1065" t="str">
        <f>"ER16 Collet set-8 pieces(2)3,(2)6,(2)8,(2)10mm"</f>
        <v>ER16 Collet set-8 pieces(2)3,(2)6,(2)8,(2)10mm</v>
      </c>
      <c r="T1065">
        <v>0</v>
      </c>
      <c r="U1065">
        <v>71</v>
      </c>
      <c r="V1065">
        <v>70.63</v>
      </c>
      <c r="W1065" t="str">
        <f t="shared" si="292"/>
        <v>zintel</v>
      </c>
    </row>
    <row r="1066" spans="1:23">
      <c r="A1066" t="str">
        <f t="shared" si="296"/>
        <v>CNC-6000-STND-M</v>
      </c>
      <c r="B1066" t="str">
        <f>"10-1115-2000"</f>
        <v>10-1115-2000</v>
      </c>
      <c r="C1066" t="str">
        <f>"- Table mounted ATC package"</f>
        <v>- Table mounted ATC package</v>
      </c>
      <c r="D1066">
        <v>1</v>
      </c>
      <c r="E1066" t="str">
        <f t="shared" si="297"/>
        <v>BenchMILL 6000 Standard Bundle, Metric, 110/220 VAC</v>
      </c>
      <c r="F1066">
        <v>0</v>
      </c>
      <c r="G1066" t="str">
        <f t="shared" si="287"/>
        <v>Y</v>
      </c>
      <c r="H1066" t="str">
        <f t="shared" si="286"/>
        <v>EA</v>
      </c>
      <c r="I1066">
        <v>0</v>
      </c>
      <c r="J1066">
        <v>0</v>
      </c>
      <c r="K1066" t="str">
        <f t="shared" si="288"/>
        <v>Y</v>
      </c>
      <c r="L1066">
        <v>0</v>
      </c>
      <c r="M1066" t="str">
        <f t="shared" si="289"/>
        <v>NIS</v>
      </c>
      <c r="O1066">
        <v>8</v>
      </c>
      <c r="P1066" t="str">
        <f t="shared" si="295"/>
        <v>Active</v>
      </c>
      <c r="Q1066" t="str">
        <f>"Table mounted ATC package"</f>
        <v>Table mounted ATC package</v>
      </c>
      <c r="S1066" t="str">
        <f>"Table mounted ATC package"</f>
        <v>Table mounted ATC package</v>
      </c>
      <c r="T1066">
        <v>0</v>
      </c>
      <c r="U1066">
        <v>690</v>
      </c>
      <c r="V1066">
        <v>690.59</v>
      </c>
      <c r="W1066" t="str">
        <f t="shared" si="292"/>
        <v>zintel</v>
      </c>
    </row>
    <row r="1067" spans="1:23">
      <c r="A1067" t="str">
        <f t="shared" si="296"/>
        <v>CNC-6000-STND-M</v>
      </c>
      <c r="B1067" t="str">
        <f>"10-1111-1000"</f>
        <v>10-1111-1000</v>
      </c>
      <c r="C1067" t="str">
        <f>"- Handwheel - Manual Control"</f>
        <v>- Handwheel - Manual Control</v>
      </c>
      <c r="D1067">
        <v>1</v>
      </c>
      <c r="E1067" t="str">
        <f t="shared" si="297"/>
        <v>BenchMILL 6000 Standard Bundle, Metric, 110/220 VAC</v>
      </c>
      <c r="F1067">
        <v>0</v>
      </c>
      <c r="G1067" t="str">
        <f t="shared" si="287"/>
        <v>Y</v>
      </c>
      <c r="H1067" t="str">
        <f t="shared" si="286"/>
        <v>EA</v>
      </c>
      <c r="I1067">
        <v>0</v>
      </c>
      <c r="J1067">
        <v>0</v>
      </c>
      <c r="K1067" t="str">
        <f t="shared" si="288"/>
        <v>Y</v>
      </c>
      <c r="L1067">
        <v>0</v>
      </c>
      <c r="M1067" t="str">
        <f t="shared" si="289"/>
        <v>NIS</v>
      </c>
      <c r="O1067">
        <v>9</v>
      </c>
      <c r="P1067" t="str">
        <f t="shared" si="295"/>
        <v>Active</v>
      </c>
      <c r="Q1067" t="str">
        <f>"Jog Pendant Handwheel"</f>
        <v>Jog Pendant Handwheel</v>
      </c>
      <c r="S1067" t="str">
        <f>"Jog Pendant Handwheel"</f>
        <v>Jog Pendant Handwheel</v>
      </c>
      <c r="T1067">
        <v>0</v>
      </c>
      <c r="U1067">
        <v>235</v>
      </c>
      <c r="V1067">
        <v>235.03</v>
      </c>
      <c r="W1067" t="str">
        <f t="shared" si="292"/>
        <v>zintel</v>
      </c>
    </row>
    <row r="1068" spans="1:23">
      <c r="A1068" t="str">
        <f t="shared" si="296"/>
        <v>CNC-6000-STND-M</v>
      </c>
      <c r="B1068" t="str">
        <f>"10-9120-0000"</f>
        <v>10-9120-0000</v>
      </c>
      <c r="C1068" t="str">
        <f>"Stock Package, Wax, 3” x 2” x 1.5”– 50 Pcs"</f>
        <v>Stock Package, Wax, 3” x 2” x 1.5”– 50 Pcs</v>
      </c>
      <c r="D1068">
        <v>1</v>
      </c>
      <c r="E1068" t="str">
        <f t="shared" si="297"/>
        <v>BenchMILL 6000 Standard Bundle, Metric, 110/220 VAC</v>
      </c>
      <c r="F1068">
        <v>0</v>
      </c>
      <c r="G1068" t="str">
        <f t="shared" si="287"/>
        <v>Y</v>
      </c>
      <c r="H1068" t="str">
        <f t="shared" si="286"/>
        <v>EA</v>
      </c>
      <c r="I1068">
        <v>0</v>
      </c>
      <c r="J1068">
        <v>0</v>
      </c>
      <c r="K1068" t="str">
        <f t="shared" si="288"/>
        <v>Y</v>
      </c>
      <c r="L1068">
        <v>0</v>
      </c>
      <c r="M1068" t="str">
        <f t="shared" si="289"/>
        <v>NIS</v>
      </c>
      <c r="O1068">
        <v>10</v>
      </c>
      <c r="P1068" t="str">
        <f t="shared" si="295"/>
        <v>Active</v>
      </c>
      <c r="Q1068" t="str">
        <f>"Stock Package, WaxStock Pa3” x 2” x 1.5”– 50 Pcs"</f>
        <v>Stock Package, WaxStock Pa3” x 2” x 1.5”– 50 Pcs</v>
      </c>
      <c r="S1068" t="str">
        <f>"Stock Package, Wax, 3” x 2” x 1.5”– 50 Pcs"</f>
        <v>Stock Package, Wax, 3” x 2” x 1.5”– 50 Pcs</v>
      </c>
      <c r="T1068">
        <v>245</v>
      </c>
      <c r="U1068">
        <v>242.73</v>
      </c>
      <c r="V1068">
        <v>613.89</v>
      </c>
      <c r="W1068" t="str">
        <f t="shared" si="292"/>
        <v>zintel</v>
      </c>
    </row>
    <row r="1069" spans="1:23">
      <c r="A1069" t="str">
        <f t="shared" si="296"/>
        <v>CNC-6000-STND-M</v>
      </c>
      <c r="B1069" t="str">
        <f>"77-3140-0002"</f>
        <v>77-3140-0002</v>
      </c>
      <c r="C1069" t="str">
        <f>"LM7 Content, Vir, CNCMilling w/BenchMill 6000(M)"</f>
        <v>LM7 Content, Vir, CNCMilling w/BenchMill 6000(M)</v>
      </c>
      <c r="D1069">
        <v>1</v>
      </c>
      <c r="E1069" t="str">
        <f t="shared" si="297"/>
        <v>BenchMILL 6000 Standard Bundle, Metric, 110/220 VAC</v>
      </c>
      <c r="F1069">
        <v>0</v>
      </c>
      <c r="G1069" t="str">
        <f t="shared" si="287"/>
        <v>Y</v>
      </c>
      <c r="H1069" t="str">
        <f t="shared" si="286"/>
        <v>EA</v>
      </c>
      <c r="I1069">
        <v>0</v>
      </c>
      <c r="J1069">
        <v>0</v>
      </c>
      <c r="K1069" t="str">
        <f t="shared" si="288"/>
        <v>Y</v>
      </c>
      <c r="L1069">
        <v>0</v>
      </c>
      <c r="M1069" t="str">
        <f t="shared" si="289"/>
        <v>NIS</v>
      </c>
      <c r="O1069">
        <v>11</v>
      </c>
      <c r="P1069" t="str">
        <f t="shared" si="295"/>
        <v>Active</v>
      </c>
      <c r="Q1069" t="str">
        <f>"LM7 Content, Vir, CNCMilling w/BenchMill 6000(M)"</f>
        <v>LM7 Content, Vir, CNCMilling w/BenchMill 6000(M)</v>
      </c>
      <c r="S1069" t="str">
        <f>"LM7 Content, Vir, CNCMilling w/BenchMill 6000(M)"</f>
        <v>LM7 Content, Vir, CNCMilling w/BenchMill 6000(M)</v>
      </c>
      <c r="T1069">
        <v>0</v>
      </c>
      <c r="U1069">
        <v>5</v>
      </c>
      <c r="V1069">
        <v>5.2</v>
      </c>
      <c r="W1069" t="str">
        <f t="shared" si="292"/>
        <v>zintel</v>
      </c>
    </row>
    <row r="1070" spans="1:23">
      <c r="A1070" t="str">
        <f t="shared" ref="A1070:A1075" si="298">"CNC-6000-STRT"</f>
        <v>CNC-6000-STRT</v>
      </c>
      <c r="B1070" t="str">
        <f>"00-5505-0110"</f>
        <v>00-5505-0110</v>
      </c>
      <c r="C1070" t="str">
        <f>"CNC BenchMILL 6000, 110 VAC"</f>
        <v>CNC BenchMILL 6000, 110 VAC</v>
      </c>
      <c r="D1070">
        <v>1</v>
      </c>
      <c r="E1070" t="str">
        <f t="shared" ref="E1070:E1075" si="299">"BenchMILL 6000 Starter Bundle, Imp/Met, 110/220 VAC"</f>
        <v>BenchMILL 6000 Starter Bundle, Imp/Met, 110/220 VAC</v>
      </c>
      <c r="F1070">
        <v>0</v>
      </c>
      <c r="G1070" t="str">
        <f t="shared" si="287"/>
        <v>Y</v>
      </c>
      <c r="H1070" t="str">
        <f t="shared" si="286"/>
        <v>EA</v>
      </c>
      <c r="I1070">
        <v>0</v>
      </c>
      <c r="J1070">
        <v>0</v>
      </c>
      <c r="K1070" t="str">
        <f t="shared" si="288"/>
        <v>Y</v>
      </c>
      <c r="L1070">
        <v>0</v>
      </c>
      <c r="M1070" t="str">
        <f t="shared" si="289"/>
        <v>NIS</v>
      </c>
      <c r="O1070">
        <v>1</v>
      </c>
      <c r="P1070" t="str">
        <f t="shared" si="295"/>
        <v>Active</v>
      </c>
      <c r="Q1070" t="str">
        <f>"CNC BenchMILL 6000, 110 VAC"</f>
        <v>CNC BenchMILL 6000, 110 VAC</v>
      </c>
      <c r="S1070" t="str">
        <f>"CNC BenchMILL 6000, 110 VAC"</f>
        <v>CNC BenchMILL 6000, 110 VAC</v>
      </c>
      <c r="T1070">
        <v>0</v>
      </c>
      <c r="U1070" s="44">
        <v>4958</v>
      </c>
      <c r="V1070" s="44">
        <v>4944</v>
      </c>
      <c r="W1070" t="str">
        <f t="shared" si="292"/>
        <v>zintel</v>
      </c>
    </row>
    <row r="1071" spans="1:23">
      <c r="A1071" t="str">
        <f t="shared" si="298"/>
        <v>CNC-6000-STRT</v>
      </c>
      <c r="B1071" t="str">
        <f>"10-1111-6000"</f>
        <v>10-1111-6000</v>
      </c>
      <c r="C1071" t="str">
        <f>"4"" Vise"</f>
        <v>4" Vise</v>
      </c>
      <c r="D1071">
        <v>1</v>
      </c>
      <c r="E1071" t="str">
        <f t="shared" si="299"/>
        <v>BenchMILL 6000 Starter Bundle, Imp/Met, 110/220 VAC</v>
      </c>
      <c r="F1071">
        <v>0</v>
      </c>
      <c r="G1071" t="str">
        <f t="shared" si="287"/>
        <v>Y</v>
      </c>
      <c r="H1071" t="str">
        <f t="shared" si="286"/>
        <v>EA</v>
      </c>
      <c r="I1071">
        <v>0</v>
      </c>
      <c r="J1071">
        <v>0</v>
      </c>
      <c r="K1071" t="str">
        <f t="shared" si="288"/>
        <v>Y</v>
      </c>
      <c r="L1071">
        <v>0</v>
      </c>
      <c r="M1071" t="str">
        <f t="shared" si="289"/>
        <v>NIS</v>
      </c>
      <c r="O1071">
        <v>2</v>
      </c>
      <c r="P1071" t="str">
        <f t="shared" si="295"/>
        <v>Active</v>
      </c>
      <c r="Q1071" t="str">
        <f>"4"" Precision Maching Vise"</f>
        <v>4" Precision Maching Vise</v>
      </c>
      <c r="S1071" t="str">
        <f>"4"" Precision Maching Vise"</f>
        <v>4" Precision Maching Vise</v>
      </c>
      <c r="T1071">
        <v>0</v>
      </c>
      <c r="U1071">
        <v>53</v>
      </c>
      <c r="V1071">
        <v>49.5</v>
      </c>
      <c r="W1071" t="str">
        <f t="shared" si="292"/>
        <v>zintel</v>
      </c>
    </row>
    <row r="1072" spans="1:23">
      <c r="A1072" t="str">
        <f t="shared" si="298"/>
        <v>CNC-6000-STRT</v>
      </c>
      <c r="B1072" t="str">
        <f>"10-1111-5000"</f>
        <v>10-1111-5000</v>
      </c>
      <c r="C1072" t="str">
        <f>"clamping kit 58 pcs set"</f>
        <v>clamping kit 58 pcs set</v>
      </c>
      <c r="D1072">
        <v>1</v>
      </c>
      <c r="E1072" t="str">
        <f t="shared" si="299"/>
        <v>BenchMILL 6000 Starter Bundle, Imp/Met, 110/220 VAC</v>
      </c>
      <c r="F1072">
        <v>0</v>
      </c>
      <c r="G1072" t="str">
        <f t="shared" si="287"/>
        <v>Y</v>
      </c>
      <c r="H1072" t="str">
        <f t="shared" si="286"/>
        <v>EA</v>
      </c>
      <c r="I1072">
        <v>0</v>
      </c>
      <c r="J1072">
        <v>0</v>
      </c>
      <c r="K1072" t="str">
        <f t="shared" si="288"/>
        <v>Y</v>
      </c>
      <c r="L1072">
        <v>0</v>
      </c>
      <c r="M1072" t="str">
        <f t="shared" si="289"/>
        <v>NIS</v>
      </c>
      <c r="O1072">
        <v>3</v>
      </c>
      <c r="P1072" t="str">
        <f t="shared" si="295"/>
        <v>Active</v>
      </c>
      <c r="Q1072" t="str">
        <f>"clamping kit 58 pcs set"</f>
        <v>clamping kit 58 pcs set</v>
      </c>
      <c r="S1072" t="str">
        <f>"clamping kit 58 pcs set"</f>
        <v>clamping kit 58 pcs set</v>
      </c>
      <c r="T1072">
        <v>0</v>
      </c>
      <c r="U1072">
        <v>52</v>
      </c>
      <c r="V1072">
        <v>51.72</v>
      </c>
      <c r="W1072" t="str">
        <f t="shared" si="292"/>
        <v>zintel</v>
      </c>
    </row>
    <row r="1073" spans="1:23">
      <c r="A1073" t="str">
        <f t="shared" si="298"/>
        <v>CNC-6000-STRT</v>
      </c>
      <c r="B1073" t="str">
        <f>"10-1112-2000"</f>
        <v>10-1112-2000</v>
      </c>
      <c r="C1073" t="str">
        <f>"ER16 Collet set-8 pieces(3,4,5,6,7,8,9 and 10mm)"</f>
        <v>ER16 Collet set-8 pieces(3,4,5,6,7,8,9 and 10mm)</v>
      </c>
      <c r="D1073">
        <v>1</v>
      </c>
      <c r="E1073" t="str">
        <f t="shared" si="299"/>
        <v>BenchMILL 6000 Starter Bundle, Imp/Met, 110/220 VAC</v>
      </c>
      <c r="F1073">
        <v>0</v>
      </c>
      <c r="G1073" t="str">
        <f t="shared" si="287"/>
        <v>Y</v>
      </c>
      <c r="H1073" t="str">
        <f t="shared" si="286"/>
        <v>EA</v>
      </c>
      <c r="I1073">
        <v>0</v>
      </c>
      <c r="J1073">
        <v>0</v>
      </c>
      <c r="K1073" t="str">
        <f t="shared" si="288"/>
        <v>Y</v>
      </c>
      <c r="L1073">
        <v>0</v>
      </c>
      <c r="M1073" t="str">
        <f t="shared" si="289"/>
        <v>NIS</v>
      </c>
      <c r="O1073">
        <v>4</v>
      </c>
      <c r="P1073" t="str">
        <f t="shared" si="295"/>
        <v>Active</v>
      </c>
      <c r="Q1073" t="str">
        <f>"ER16 Collet set-8 pieces(3,4,5,6,7,8,9 and 10mm)"</f>
        <v>ER16 Collet set-8 pieces(3,4,5,6,7,8,9 and 10mm)</v>
      </c>
      <c r="S1073" t="str">
        <f>"ER16 Collet set-8 pieces(3,4,5,6,7,8,9 and 10mm)"</f>
        <v>ER16 Collet set-8 pieces(3,4,5,6,7,8,9 and 10mm)</v>
      </c>
      <c r="T1073">
        <v>0</v>
      </c>
      <c r="U1073">
        <v>71</v>
      </c>
      <c r="V1073">
        <v>64.84</v>
      </c>
      <c r="W1073" t="str">
        <f t="shared" si="292"/>
        <v>zintel</v>
      </c>
    </row>
    <row r="1074" spans="1:23">
      <c r="A1074" t="str">
        <f t="shared" si="298"/>
        <v>CNC-6000-STRT</v>
      </c>
      <c r="B1074" t="str">
        <f>"10-1113-5000"</f>
        <v>10-1113-5000</v>
      </c>
      <c r="C1074" t="str">
        <f>"Imperial Advanced End Mill Package 5120"</f>
        <v>Imperial Advanced End Mill Package 5120</v>
      </c>
      <c r="D1074">
        <v>1</v>
      </c>
      <c r="E1074" t="str">
        <f t="shared" si="299"/>
        <v>BenchMILL 6000 Starter Bundle, Imp/Met, 110/220 VAC</v>
      </c>
      <c r="F1074">
        <v>0</v>
      </c>
      <c r="G1074" t="str">
        <f t="shared" si="287"/>
        <v>Y</v>
      </c>
      <c r="H1074" t="str">
        <f t="shared" si="286"/>
        <v>EA</v>
      </c>
      <c r="I1074">
        <v>0</v>
      </c>
      <c r="J1074">
        <v>0</v>
      </c>
      <c r="K1074" t="str">
        <f t="shared" si="288"/>
        <v>Y</v>
      </c>
      <c r="L1074">
        <v>0</v>
      </c>
      <c r="M1074" t="str">
        <f t="shared" si="289"/>
        <v>NIS</v>
      </c>
      <c r="O1074">
        <v>5</v>
      </c>
      <c r="P1074" t="str">
        <f t="shared" si="295"/>
        <v>Active</v>
      </c>
      <c r="Q1074" t="str">
        <f>"Imperial Advanced End Mill Package 5120"</f>
        <v>Imperial Advanced End Mill Package 5120</v>
      </c>
      <c r="S1074" t="str">
        <f>"Imperial Advanced End Mill Package 5120"</f>
        <v>Imperial Advanced End Mill Package 5120</v>
      </c>
      <c r="T1074">
        <v>0</v>
      </c>
      <c r="U1074">
        <v>64</v>
      </c>
      <c r="V1074">
        <v>64</v>
      </c>
      <c r="W1074" t="str">
        <f t="shared" si="292"/>
        <v>zintel</v>
      </c>
    </row>
    <row r="1075" spans="1:23">
      <c r="A1075" t="str">
        <f t="shared" si="298"/>
        <v>CNC-6000-STRT</v>
      </c>
      <c r="B1075" t="str">
        <f>"77-3140-0001"</f>
        <v>77-3140-0001</v>
      </c>
      <c r="C1075" t="str">
        <f>"LM7 Content, Vir, CNC Milling w/BenchMill 6000"</f>
        <v>LM7 Content, Vir, CNC Milling w/BenchMill 6000</v>
      </c>
      <c r="D1075">
        <v>1</v>
      </c>
      <c r="E1075" t="str">
        <f t="shared" si="299"/>
        <v>BenchMILL 6000 Starter Bundle, Imp/Met, 110/220 VAC</v>
      </c>
      <c r="F1075">
        <v>0</v>
      </c>
      <c r="G1075" t="str">
        <f t="shared" si="287"/>
        <v>Y</v>
      </c>
      <c r="H1075" t="str">
        <f t="shared" si="286"/>
        <v>EA</v>
      </c>
      <c r="I1075">
        <v>0</v>
      </c>
      <c r="J1075">
        <v>0</v>
      </c>
      <c r="K1075" t="str">
        <f t="shared" si="288"/>
        <v>Y</v>
      </c>
      <c r="L1075">
        <v>0</v>
      </c>
      <c r="M1075" t="str">
        <f t="shared" si="289"/>
        <v>NIS</v>
      </c>
      <c r="O1075">
        <v>6</v>
      </c>
      <c r="P1075" t="str">
        <f t="shared" si="295"/>
        <v>Active</v>
      </c>
      <c r="Q1075" t="str">
        <f>"LM7 Content, Vir, CNC Milling w/BenchMill 6000"</f>
        <v>LM7 Content, Vir, CNC Milling w/BenchMill 6000</v>
      </c>
      <c r="S1075" t="str">
        <f>"LM7 Content, Vir, CNC Milling w/BenchMill 6000"</f>
        <v>LM7 Content, Vir, CNC Milling w/BenchMill 6000</v>
      </c>
      <c r="T1075">
        <v>0</v>
      </c>
      <c r="U1075">
        <v>5</v>
      </c>
      <c r="V1075">
        <v>5</v>
      </c>
      <c r="W1075" t="str">
        <f t="shared" si="292"/>
        <v>zintel</v>
      </c>
    </row>
    <row r="1076" spans="1:23">
      <c r="A1076" t="str">
        <f t="shared" ref="A1076:A1081" si="300">"CNC-600-STRT"</f>
        <v>CNC-600-STRT</v>
      </c>
      <c r="B1076" t="str">
        <f>"00-5505-0110"</f>
        <v>00-5505-0110</v>
      </c>
      <c r="C1076" t="str">
        <f>"CNC BenchMILL 6000, 110 VAC"</f>
        <v>CNC BenchMILL 6000, 110 VAC</v>
      </c>
      <c r="D1076">
        <v>1</v>
      </c>
      <c r="E1076" t="str">
        <f t="shared" ref="E1076:E1081" si="301">"BenchMill 6000 Starter Bundle (110/220VAC) (Imp/Met)"</f>
        <v>BenchMill 6000 Starter Bundle (110/220VAC) (Imp/Met)</v>
      </c>
      <c r="F1076">
        <v>0</v>
      </c>
      <c r="G1076" t="str">
        <f t="shared" si="287"/>
        <v>Y</v>
      </c>
      <c r="H1076" t="str">
        <f t="shared" si="286"/>
        <v>EA</v>
      </c>
      <c r="I1076">
        <v>0</v>
      </c>
      <c r="J1076">
        <v>0</v>
      </c>
      <c r="K1076" t="str">
        <f t="shared" si="288"/>
        <v>Y</v>
      </c>
      <c r="L1076">
        <v>0</v>
      </c>
      <c r="M1076" t="str">
        <f t="shared" si="289"/>
        <v>NIS</v>
      </c>
      <c r="O1076">
        <v>1</v>
      </c>
      <c r="P1076" t="str">
        <f t="shared" si="295"/>
        <v>Active</v>
      </c>
      <c r="Q1076" t="str">
        <f>"CNC BenchMILL 6000, 110 VAC"</f>
        <v>CNC BenchMILL 6000, 110 VAC</v>
      </c>
      <c r="S1076" t="str">
        <f>"CNC BenchMILL 6000, 110 VAC"</f>
        <v>CNC BenchMILL 6000, 110 VAC</v>
      </c>
      <c r="T1076">
        <v>0</v>
      </c>
      <c r="U1076" s="44">
        <v>4958</v>
      </c>
      <c r="V1076" s="44">
        <v>4944</v>
      </c>
      <c r="W1076" t="str">
        <f t="shared" si="292"/>
        <v>zintel</v>
      </c>
    </row>
    <row r="1077" spans="1:23">
      <c r="A1077" t="str">
        <f t="shared" si="300"/>
        <v>CNC-600-STRT</v>
      </c>
      <c r="B1077" t="str">
        <f>"10-1111-6000"</f>
        <v>10-1111-6000</v>
      </c>
      <c r="C1077" t="str">
        <f>"4"" Vise"</f>
        <v>4" Vise</v>
      </c>
      <c r="D1077">
        <v>1</v>
      </c>
      <c r="E1077" t="str">
        <f t="shared" si="301"/>
        <v>BenchMill 6000 Starter Bundle (110/220VAC) (Imp/Met)</v>
      </c>
      <c r="F1077">
        <v>0</v>
      </c>
      <c r="G1077" t="str">
        <f t="shared" si="287"/>
        <v>Y</v>
      </c>
      <c r="H1077" t="str">
        <f t="shared" si="286"/>
        <v>EA</v>
      </c>
      <c r="I1077">
        <v>0</v>
      </c>
      <c r="J1077">
        <v>0</v>
      </c>
      <c r="K1077" t="str">
        <f t="shared" si="288"/>
        <v>Y</v>
      </c>
      <c r="L1077">
        <v>0</v>
      </c>
      <c r="M1077" t="str">
        <f t="shared" si="289"/>
        <v>NIS</v>
      </c>
      <c r="O1077">
        <v>2</v>
      </c>
      <c r="P1077" t="str">
        <f t="shared" si="295"/>
        <v>Active</v>
      </c>
      <c r="Q1077" t="str">
        <f>"4"" Precision Maching Vise"</f>
        <v>4" Precision Maching Vise</v>
      </c>
      <c r="S1077" t="str">
        <f>"4"" Precision Maching Vise"</f>
        <v>4" Precision Maching Vise</v>
      </c>
      <c r="T1077">
        <v>0</v>
      </c>
      <c r="U1077">
        <v>53</v>
      </c>
      <c r="V1077">
        <v>49.5</v>
      </c>
      <c r="W1077" t="str">
        <f t="shared" si="292"/>
        <v>zintel</v>
      </c>
    </row>
    <row r="1078" spans="1:23">
      <c r="A1078" t="str">
        <f t="shared" si="300"/>
        <v>CNC-600-STRT</v>
      </c>
      <c r="B1078" t="str">
        <f>"10-1111-5000"</f>
        <v>10-1111-5000</v>
      </c>
      <c r="C1078" t="str">
        <f>"clamping kit 58 pcs set"</f>
        <v>clamping kit 58 pcs set</v>
      </c>
      <c r="D1078">
        <v>1</v>
      </c>
      <c r="E1078" t="str">
        <f t="shared" si="301"/>
        <v>BenchMill 6000 Starter Bundle (110/220VAC) (Imp/Met)</v>
      </c>
      <c r="F1078">
        <v>0</v>
      </c>
      <c r="G1078" t="str">
        <f t="shared" si="287"/>
        <v>Y</v>
      </c>
      <c r="H1078" t="str">
        <f t="shared" si="286"/>
        <v>EA</v>
      </c>
      <c r="I1078">
        <v>0</v>
      </c>
      <c r="J1078">
        <v>0</v>
      </c>
      <c r="K1078" t="str">
        <f t="shared" si="288"/>
        <v>Y</v>
      </c>
      <c r="L1078">
        <v>0</v>
      </c>
      <c r="M1078" t="str">
        <f t="shared" si="289"/>
        <v>NIS</v>
      </c>
      <c r="O1078">
        <v>3</v>
      </c>
      <c r="P1078" t="str">
        <f t="shared" si="295"/>
        <v>Active</v>
      </c>
      <c r="Q1078" t="str">
        <f>"clamping kit 58 pcs set"</f>
        <v>clamping kit 58 pcs set</v>
      </c>
      <c r="S1078" t="str">
        <f>"clamping kit 58 pcs set"</f>
        <v>clamping kit 58 pcs set</v>
      </c>
      <c r="T1078">
        <v>0</v>
      </c>
      <c r="U1078">
        <v>52</v>
      </c>
      <c r="V1078">
        <v>51.72</v>
      </c>
      <c r="W1078" t="str">
        <f t="shared" si="292"/>
        <v>zintel</v>
      </c>
    </row>
    <row r="1079" spans="1:23">
      <c r="A1079" t="str">
        <f t="shared" si="300"/>
        <v>CNC-600-STRT</v>
      </c>
      <c r="B1079" t="str">
        <f>"10-1112-2000"</f>
        <v>10-1112-2000</v>
      </c>
      <c r="C1079" t="str">
        <f>"ER16 Collet set-8 pieces(3,4,5,6,7,8,9 and 10mm)"</f>
        <v>ER16 Collet set-8 pieces(3,4,5,6,7,8,9 and 10mm)</v>
      </c>
      <c r="D1079">
        <v>1</v>
      </c>
      <c r="E1079" t="str">
        <f t="shared" si="301"/>
        <v>BenchMill 6000 Starter Bundle (110/220VAC) (Imp/Met)</v>
      </c>
      <c r="F1079">
        <v>0</v>
      </c>
      <c r="G1079" t="str">
        <f t="shared" si="287"/>
        <v>Y</v>
      </c>
      <c r="H1079" t="str">
        <f t="shared" si="286"/>
        <v>EA</v>
      </c>
      <c r="I1079">
        <v>0</v>
      </c>
      <c r="J1079">
        <v>0</v>
      </c>
      <c r="K1079" t="str">
        <f t="shared" si="288"/>
        <v>Y</v>
      </c>
      <c r="L1079">
        <v>0</v>
      </c>
      <c r="M1079" t="str">
        <f t="shared" si="289"/>
        <v>NIS</v>
      </c>
      <c r="O1079">
        <v>4</v>
      </c>
      <c r="P1079" t="str">
        <f t="shared" si="295"/>
        <v>Active</v>
      </c>
      <c r="Q1079" t="str">
        <f>"ER16 Collet set-8 pieces(3,4,5,6,7,8,9 and 10mm)"</f>
        <v>ER16 Collet set-8 pieces(3,4,5,6,7,8,9 and 10mm)</v>
      </c>
      <c r="S1079" t="str">
        <f>"ER16 Collet set-8 pieces(3,4,5,6,7,8,9 and 10mm)"</f>
        <v>ER16 Collet set-8 pieces(3,4,5,6,7,8,9 and 10mm)</v>
      </c>
      <c r="T1079">
        <v>0</v>
      </c>
      <c r="U1079">
        <v>71</v>
      </c>
      <c r="V1079">
        <v>64.84</v>
      </c>
      <c r="W1079" t="str">
        <f t="shared" si="292"/>
        <v>zintel</v>
      </c>
    </row>
    <row r="1080" spans="1:23">
      <c r="A1080" t="str">
        <f t="shared" si="300"/>
        <v>CNC-600-STRT</v>
      </c>
      <c r="B1080" t="str">
        <f>"10-1113-5000"</f>
        <v>10-1113-5000</v>
      </c>
      <c r="C1080" t="str">
        <f>"Imperial Advanced End Mill Package 5120"</f>
        <v>Imperial Advanced End Mill Package 5120</v>
      </c>
      <c r="D1080">
        <v>1</v>
      </c>
      <c r="E1080" t="str">
        <f t="shared" si="301"/>
        <v>BenchMill 6000 Starter Bundle (110/220VAC) (Imp/Met)</v>
      </c>
      <c r="F1080">
        <v>0</v>
      </c>
      <c r="G1080" t="str">
        <f t="shared" si="287"/>
        <v>Y</v>
      </c>
      <c r="H1080" t="str">
        <f t="shared" si="286"/>
        <v>EA</v>
      </c>
      <c r="I1080">
        <v>0</v>
      </c>
      <c r="J1080">
        <v>0</v>
      </c>
      <c r="K1080" t="str">
        <f t="shared" si="288"/>
        <v>Y</v>
      </c>
      <c r="L1080">
        <v>0</v>
      </c>
      <c r="M1080" t="str">
        <f t="shared" si="289"/>
        <v>NIS</v>
      </c>
      <c r="O1080">
        <v>5</v>
      </c>
      <c r="P1080" t="str">
        <f t="shared" si="295"/>
        <v>Active</v>
      </c>
      <c r="Q1080" t="str">
        <f>"Imperial Advanced End Mill Package 5120"</f>
        <v>Imperial Advanced End Mill Package 5120</v>
      </c>
      <c r="S1080" t="str">
        <f>"Imperial Advanced End Mill Package 5120"</f>
        <v>Imperial Advanced End Mill Package 5120</v>
      </c>
      <c r="T1080">
        <v>0</v>
      </c>
      <c r="U1080">
        <v>64</v>
      </c>
      <c r="V1080">
        <v>64</v>
      </c>
      <c r="W1080" t="str">
        <f t="shared" si="292"/>
        <v>zintel</v>
      </c>
    </row>
    <row r="1081" spans="1:23">
      <c r="A1081" t="str">
        <f t="shared" si="300"/>
        <v>CNC-600-STRT</v>
      </c>
      <c r="B1081" t="str">
        <f>"77-3140-0001"</f>
        <v>77-3140-0001</v>
      </c>
      <c r="C1081" t="str">
        <f>"LM7 Content, Vir, CNC Milling w/BenchMill 6000"</f>
        <v>LM7 Content, Vir, CNC Milling w/BenchMill 6000</v>
      </c>
      <c r="D1081">
        <v>1</v>
      </c>
      <c r="E1081" t="str">
        <f t="shared" si="301"/>
        <v>BenchMill 6000 Starter Bundle (110/220VAC) (Imp/Met)</v>
      </c>
      <c r="F1081">
        <v>0</v>
      </c>
      <c r="G1081" t="str">
        <f t="shared" si="287"/>
        <v>Y</v>
      </c>
      <c r="H1081" t="str">
        <f t="shared" si="286"/>
        <v>EA</v>
      </c>
      <c r="I1081">
        <v>0</v>
      </c>
      <c r="J1081">
        <v>0</v>
      </c>
      <c r="K1081" t="str">
        <f t="shared" si="288"/>
        <v>Y</v>
      </c>
      <c r="L1081">
        <v>0</v>
      </c>
      <c r="M1081" t="str">
        <f t="shared" si="289"/>
        <v>NIS</v>
      </c>
      <c r="O1081">
        <v>6</v>
      </c>
      <c r="P1081" t="str">
        <f t="shared" si="295"/>
        <v>Active</v>
      </c>
      <c r="Q1081" t="str">
        <f>"LM7 Content, Vir, CNC Milling w/BenchMill 6000"</f>
        <v>LM7 Content, Vir, CNC Milling w/BenchMill 6000</v>
      </c>
      <c r="S1081" t="str">
        <f>"LM7 Content, Vir, CNC Milling w/BenchMill 6000"</f>
        <v>LM7 Content, Vir, CNC Milling w/BenchMill 6000</v>
      </c>
      <c r="T1081">
        <v>0</v>
      </c>
      <c r="U1081">
        <v>5</v>
      </c>
      <c r="V1081">
        <v>5</v>
      </c>
      <c r="W1081" t="str">
        <f t="shared" si="292"/>
        <v>zintel</v>
      </c>
    </row>
    <row r="1082" spans="1:23">
      <c r="A1082" t="str">
        <f t="shared" ref="A1082:A1096" si="302">"CNC-7000"</f>
        <v>CNC-7000</v>
      </c>
      <c r="B1082" t="str">
        <f>"00-5504-0220"</f>
        <v>00-5504-0220</v>
      </c>
      <c r="C1082" t="str">
        <f>"CNC BenchTurn 7000 220V"</f>
        <v>CNC BenchTurn 7000 220V</v>
      </c>
      <c r="D1082">
        <v>1</v>
      </c>
      <c r="E1082" t="str">
        <f t="shared" ref="E1082:E1096" si="303">"BenchTurn 7000, CNC Turning Center"</f>
        <v>BenchTurn 7000, CNC Turning Center</v>
      </c>
      <c r="F1082">
        <v>908</v>
      </c>
      <c r="G1082" t="str">
        <f t="shared" si="287"/>
        <v>Y</v>
      </c>
      <c r="H1082" t="str">
        <f t="shared" si="286"/>
        <v>EA</v>
      </c>
      <c r="I1082">
        <v>0</v>
      </c>
      <c r="J1082">
        <v>0</v>
      </c>
      <c r="K1082" t="str">
        <f t="shared" si="288"/>
        <v>Y</v>
      </c>
      <c r="L1082">
        <v>0</v>
      </c>
      <c r="M1082" t="str">
        <f t="shared" si="289"/>
        <v>NIS</v>
      </c>
      <c r="O1082">
        <v>1</v>
      </c>
      <c r="P1082" t="str">
        <f t="shared" si="295"/>
        <v>Active</v>
      </c>
      <c r="Q1082" t="str">
        <f>"CNC BenchTurn 7000"</f>
        <v>CNC BenchTurn 7000</v>
      </c>
      <c r="S1082" t="str">
        <f>"CNC BenchTurn 7000 220V"</f>
        <v>CNC BenchTurn 7000 220V</v>
      </c>
      <c r="T1082">
        <v>0</v>
      </c>
      <c r="U1082" s="44">
        <v>4600</v>
      </c>
      <c r="V1082" s="44">
        <v>4551.93</v>
      </c>
      <c r="W1082" t="str">
        <f t="shared" si="292"/>
        <v>zintel</v>
      </c>
    </row>
    <row r="1083" spans="1:23">
      <c r="A1083" t="str">
        <f t="shared" si="302"/>
        <v>CNC-7000</v>
      </c>
      <c r="B1083" t="str">
        <f>"10-1110-1000"</f>
        <v>10-1110-1000</v>
      </c>
      <c r="C1083" t="str">
        <f>"10 x 10mm cutter tool holder"</f>
        <v>10 x 10mm cutter tool holder</v>
      </c>
      <c r="D1083">
        <v>1</v>
      </c>
      <c r="E1083" t="str">
        <f t="shared" si="303"/>
        <v>BenchTurn 7000, CNC Turning Center</v>
      </c>
      <c r="F1083">
        <v>908</v>
      </c>
      <c r="G1083" t="str">
        <f t="shared" si="287"/>
        <v>Y</v>
      </c>
      <c r="H1083" t="str">
        <f t="shared" si="286"/>
        <v>EA</v>
      </c>
      <c r="I1083">
        <v>0</v>
      </c>
      <c r="J1083">
        <v>0</v>
      </c>
      <c r="K1083" t="str">
        <f t="shared" si="288"/>
        <v>Y</v>
      </c>
      <c r="L1083">
        <v>0</v>
      </c>
      <c r="M1083" t="str">
        <f t="shared" si="289"/>
        <v>NIS</v>
      </c>
      <c r="O1083">
        <v>2</v>
      </c>
      <c r="P1083" t="str">
        <f t="shared" si="295"/>
        <v>Active</v>
      </c>
      <c r="Q1083" t="str">
        <f>"10x10mm TiN coated cutter set (replaceable tip)"</f>
        <v>10x10mm TiN coated cutter set (replaceable tip)</v>
      </c>
      <c r="S1083" t="str">
        <f>"10x10mm TiN coated cutter set (replaceable tip)"</f>
        <v>10x10mm TiN coated cutter set (replaceable tip)</v>
      </c>
      <c r="T1083">
        <v>0</v>
      </c>
      <c r="U1083">
        <v>65</v>
      </c>
      <c r="V1083">
        <v>65.540000000000006</v>
      </c>
      <c r="W1083" t="str">
        <f t="shared" si="292"/>
        <v>zintel</v>
      </c>
    </row>
    <row r="1084" spans="1:23">
      <c r="A1084" t="str">
        <f t="shared" si="302"/>
        <v>CNC-7000</v>
      </c>
      <c r="B1084" t="str">
        <f>"10-1110-2000"</f>
        <v>10-1110-2000</v>
      </c>
      <c r="C1084" t="str">
        <f>"TiN coated tip for 011101"</f>
        <v>TiN coated tip for 011101</v>
      </c>
      <c r="D1084">
        <v>1</v>
      </c>
      <c r="E1084" t="str">
        <f t="shared" si="303"/>
        <v>BenchTurn 7000, CNC Turning Center</v>
      </c>
      <c r="F1084">
        <v>908</v>
      </c>
      <c r="G1084" t="str">
        <f t="shared" si="287"/>
        <v>Y</v>
      </c>
      <c r="H1084" t="str">
        <f t="shared" si="286"/>
        <v>EA</v>
      </c>
      <c r="I1084">
        <v>0</v>
      </c>
      <c r="J1084">
        <v>0</v>
      </c>
      <c r="K1084" t="str">
        <f t="shared" si="288"/>
        <v>Y</v>
      </c>
      <c r="L1084">
        <v>0</v>
      </c>
      <c r="M1084" t="str">
        <f t="shared" si="289"/>
        <v>NIS</v>
      </c>
      <c r="O1084">
        <v>3</v>
      </c>
      <c r="P1084" t="str">
        <f t="shared" si="295"/>
        <v>Active</v>
      </c>
      <c r="Q1084" t="str">
        <f>"TiN coated tip for 011101"</f>
        <v>TiN coated tip for 011101</v>
      </c>
      <c r="S1084" t="str">
        <f>"TiN coated tip for 011101"</f>
        <v>TiN coated tip for 011101</v>
      </c>
      <c r="T1084">
        <v>0</v>
      </c>
      <c r="U1084">
        <v>42</v>
      </c>
      <c r="V1084">
        <v>41.71</v>
      </c>
      <c r="W1084" t="str">
        <f t="shared" si="292"/>
        <v>zintel</v>
      </c>
    </row>
    <row r="1085" spans="1:23">
      <c r="A1085" t="str">
        <f t="shared" si="302"/>
        <v>CNC-7000</v>
      </c>
      <c r="B1085" t="str">
        <f>"10-1105-7000"</f>
        <v>10-1105-7000</v>
      </c>
      <c r="C1085" t="str">
        <f>"Drill Chuck for Tailstock"</f>
        <v>Drill Chuck for Tailstock</v>
      </c>
      <c r="D1085">
        <v>1</v>
      </c>
      <c r="E1085" t="str">
        <f t="shared" si="303"/>
        <v>BenchTurn 7000, CNC Turning Center</v>
      </c>
      <c r="F1085">
        <v>908</v>
      </c>
      <c r="G1085" t="str">
        <f t="shared" si="287"/>
        <v>Y</v>
      </c>
      <c r="H1085" t="str">
        <f t="shared" si="286"/>
        <v>EA</v>
      </c>
      <c r="I1085">
        <v>0</v>
      </c>
      <c r="J1085">
        <v>0</v>
      </c>
      <c r="K1085" t="str">
        <f t="shared" si="288"/>
        <v>Y</v>
      </c>
      <c r="L1085">
        <v>0</v>
      </c>
      <c r="M1085" t="str">
        <f t="shared" si="289"/>
        <v>NIS</v>
      </c>
      <c r="O1085">
        <v>4</v>
      </c>
      <c r="P1085" t="str">
        <f t="shared" si="295"/>
        <v>Active</v>
      </c>
      <c r="Q1085" t="str">
        <f>"Tailstock extender MT2 13mm tailstock chuck"</f>
        <v>Tailstock extender MT2 13mm tailstock chuck</v>
      </c>
      <c r="S1085" t="str">
        <f>"Drill Chuck for Tailstock MT2 13mm"</f>
        <v>Drill Chuck for Tailstock MT2 13mm</v>
      </c>
      <c r="T1085">
        <v>0</v>
      </c>
      <c r="U1085">
        <v>21.07</v>
      </c>
      <c r="V1085">
        <v>23.52</v>
      </c>
      <c r="W1085" t="str">
        <f t="shared" si="292"/>
        <v>zintel</v>
      </c>
    </row>
    <row r="1086" spans="1:23">
      <c r="A1086" t="str">
        <f t="shared" si="302"/>
        <v>CNC-7000</v>
      </c>
      <c r="B1086" t="str">
        <f>"10-1106-6000"</f>
        <v>10-1106-6000</v>
      </c>
      <c r="C1086" t="str">
        <f>"- Rolling center"</f>
        <v>- Rolling center</v>
      </c>
      <c r="D1086">
        <v>1</v>
      </c>
      <c r="E1086" t="str">
        <f t="shared" si="303"/>
        <v>BenchTurn 7000, CNC Turning Center</v>
      </c>
      <c r="F1086">
        <v>908</v>
      </c>
      <c r="G1086" t="str">
        <f t="shared" si="287"/>
        <v>Y</v>
      </c>
      <c r="H1086" t="str">
        <f t="shared" si="286"/>
        <v>EA</v>
      </c>
      <c r="I1086">
        <v>0</v>
      </c>
      <c r="J1086">
        <v>0</v>
      </c>
      <c r="K1086" t="str">
        <f t="shared" si="288"/>
        <v>Y</v>
      </c>
      <c r="L1086">
        <v>0</v>
      </c>
      <c r="M1086" t="str">
        <f t="shared" si="289"/>
        <v>NIS</v>
      </c>
      <c r="O1086">
        <v>5</v>
      </c>
      <c r="P1086" t="str">
        <f t="shared" si="295"/>
        <v>Active</v>
      </c>
      <c r="Q1086" t="str">
        <f>"Rolling center"</f>
        <v>Rolling center</v>
      </c>
      <c r="S1086" t="str">
        <f>"Rolling center"</f>
        <v>Rolling center</v>
      </c>
      <c r="T1086">
        <v>0</v>
      </c>
      <c r="U1086">
        <v>23.42</v>
      </c>
      <c r="V1086">
        <v>23.55</v>
      </c>
      <c r="W1086" t="str">
        <f t="shared" si="292"/>
        <v>zintel</v>
      </c>
    </row>
    <row r="1087" spans="1:23">
      <c r="A1087" t="str">
        <f t="shared" si="302"/>
        <v>CNC-7000</v>
      </c>
      <c r="B1087" t="str">
        <f>"10-1106-7000"</f>
        <v>10-1106-7000</v>
      </c>
      <c r="C1087" t="str">
        <f>"- 100mm 4 independent jaw chuck"</f>
        <v>- 100mm 4 independent jaw chuck</v>
      </c>
      <c r="D1087">
        <v>1</v>
      </c>
      <c r="E1087" t="str">
        <f t="shared" si="303"/>
        <v>BenchTurn 7000, CNC Turning Center</v>
      </c>
      <c r="F1087">
        <v>908</v>
      </c>
      <c r="G1087" t="str">
        <f t="shared" si="287"/>
        <v>Y</v>
      </c>
      <c r="H1087" t="str">
        <f t="shared" si="286"/>
        <v>EA</v>
      </c>
      <c r="I1087">
        <v>0</v>
      </c>
      <c r="J1087">
        <v>0</v>
      </c>
      <c r="K1087" t="str">
        <f t="shared" si="288"/>
        <v>Y</v>
      </c>
      <c r="L1087">
        <v>0</v>
      </c>
      <c r="M1087" t="str">
        <f t="shared" si="289"/>
        <v>NIS</v>
      </c>
      <c r="N1087" t="str">
        <f>"Y"</f>
        <v>Y</v>
      </c>
      <c r="O1087">
        <v>6</v>
      </c>
      <c r="P1087" t="str">
        <f t="shared" si="295"/>
        <v>Active</v>
      </c>
      <c r="Q1087" t="str">
        <f>"100mm 4-jaw chuck (independent)"</f>
        <v>100mm 4-jaw chuck (independent)</v>
      </c>
      <c r="S1087" t="str">
        <f>"100mm 4-jaw chuck (independent)"</f>
        <v>100mm 4-jaw chuck (independent)</v>
      </c>
      <c r="T1087">
        <v>0</v>
      </c>
      <c r="U1087">
        <v>64.39</v>
      </c>
      <c r="V1087">
        <v>67.209999999999994</v>
      </c>
      <c r="W1087" t="str">
        <f t="shared" si="292"/>
        <v>zintel</v>
      </c>
    </row>
    <row r="1088" spans="1:23">
      <c r="A1088" t="str">
        <f t="shared" si="302"/>
        <v>CNC-7000</v>
      </c>
      <c r="B1088" t="str">
        <f>"10-1111-1000"</f>
        <v>10-1111-1000</v>
      </c>
      <c r="C1088" t="str">
        <f>"- Handwheel - Manual Control"</f>
        <v>- Handwheel - Manual Control</v>
      </c>
      <c r="D1088">
        <v>1</v>
      </c>
      <c r="E1088" t="str">
        <f t="shared" si="303"/>
        <v>BenchTurn 7000, CNC Turning Center</v>
      </c>
      <c r="F1088">
        <v>908</v>
      </c>
      <c r="G1088" t="str">
        <f t="shared" si="287"/>
        <v>Y</v>
      </c>
      <c r="H1088" t="str">
        <f t="shared" ref="H1088:H1151" si="304">"EA"</f>
        <v>EA</v>
      </c>
      <c r="I1088">
        <v>0</v>
      </c>
      <c r="J1088">
        <v>0</v>
      </c>
      <c r="K1088" t="str">
        <f t="shared" si="288"/>
        <v>Y</v>
      </c>
      <c r="L1088">
        <v>0</v>
      </c>
      <c r="M1088" t="str">
        <f t="shared" si="289"/>
        <v>NIS</v>
      </c>
      <c r="O1088">
        <v>7</v>
      </c>
      <c r="P1088" t="str">
        <f t="shared" si="295"/>
        <v>Active</v>
      </c>
      <c r="Q1088" t="str">
        <f>"Hand wheel"</f>
        <v>Hand wheel</v>
      </c>
      <c r="S1088" t="str">
        <f>"Jog Pendant Handwheel"</f>
        <v>Jog Pendant Handwheel</v>
      </c>
      <c r="T1088">
        <v>0</v>
      </c>
      <c r="U1088">
        <v>235</v>
      </c>
      <c r="V1088">
        <v>235.03</v>
      </c>
      <c r="W1088" t="str">
        <f t="shared" si="292"/>
        <v>zintel</v>
      </c>
    </row>
    <row r="1089" spans="1:23">
      <c r="A1089" t="str">
        <f t="shared" si="302"/>
        <v>CNC-7000</v>
      </c>
      <c r="B1089" t="str">
        <f>"10-1108-1220"</f>
        <v>10-1108-1220</v>
      </c>
      <c r="C1089" t="str">
        <f>"- Coolant system 27L -220V"</f>
        <v>- Coolant system 27L -220V</v>
      </c>
      <c r="D1089">
        <v>1</v>
      </c>
      <c r="E1089" t="str">
        <f t="shared" si="303"/>
        <v>BenchTurn 7000, CNC Turning Center</v>
      </c>
      <c r="F1089">
        <v>908</v>
      </c>
      <c r="G1089" t="str">
        <f t="shared" si="287"/>
        <v>Y</v>
      </c>
      <c r="H1089" t="str">
        <f t="shared" si="304"/>
        <v>EA</v>
      </c>
      <c r="I1089">
        <v>0</v>
      </c>
      <c r="J1089">
        <v>0</v>
      </c>
      <c r="K1089" t="str">
        <f t="shared" si="288"/>
        <v>Y</v>
      </c>
      <c r="L1089">
        <v>0</v>
      </c>
      <c r="M1089" t="str">
        <f t="shared" si="289"/>
        <v>NIS</v>
      </c>
      <c r="N1089" t="str">
        <f>"Y"</f>
        <v>Y</v>
      </c>
      <c r="O1089">
        <v>8</v>
      </c>
      <c r="P1089" t="str">
        <f t="shared" si="295"/>
        <v>Active</v>
      </c>
      <c r="Q1089" t="str">
        <f>"Coolant system 27L - 220V"</f>
        <v>Coolant system 27L - 220V</v>
      </c>
      <c r="S1089" t="str">
        <f>"Coolant system 27L - 220V"</f>
        <v>Coolant system 27L - 220V</v>
      </c>
      <c r="T1089">
        <v>0</v>
      </c>
      <c r="U1089">
        <v>117.08</v>
      </c>
      <c r="V1089">
        <v>117.15</v>
      </c>
      <c r="W1089" t="str">
        <f t="shared" si="292"/>
        <v>zintel</v>
      </c>
    </row>
    <row r="1090" spans="1:23">
      <c r="A1090" t="str">
        <f t="shared" si="302"/>
        <v>CNC-7000</v>
      </c>
      <c r="B1090" t="str">
        <f>"10-1109-2000"</f>
        <v>10-1109-2000</v>
      </c>
      <c r="C1090" t="str">
        <f>"- Stand for Benchtop CNC"</f>
        <v>- Stand for Benchtop CNC</v>
      </c>
      <c r="D1090">
        <v>1</v>
      </c>
      <c r="E1090" t="str">
        <f t="shared" si="303"/>
        <v>BenchTurn 7000, CNC Turning Center</v>
      </c>
      <c r="F1090">
        <v>908</v>
      </c>
      <c r="G1090" t="str">
        <f t="shared" ref="G1090:G1153" si="305">"Y"</f>
        <v>Y</v>
      </c>
      <c r="H1090" t="str">
        <f t="shared" si="304"/>
        <v>EA</v>
      </c>
      <c r="I1090">
        <v>0</v>
      </c>
      <c r="J1090">
        <v>0</v>
      </c>
      <c r="K1090" t="str">
        <f t="shared" ref="K1090:K1153" si="306">"Y"</f>
        <v>Y</v>
      </c>
      <c r="L1090">
        <v>0</v>
      </c>
      <c r="M1090" t="str">
        <f t="shared" ref="M1090:M1153" si="307">"NIS"</f>
        <v>NIS</v>
      </c>
      <c r="O1090">
        <v>9</v>
      </c>
      <c r="P1090" t="str">
        <f t="shared" si="295"/>
        <v>Active</v>
      </c>
      <c r="Q1090" t="str">
        <f>"Stand 1000x650x800mm (for Benchtop CNC)"</f>
        <v>Stand 1000x650x800mm (for Benchtop CNC)</v>
      </c>
      <c r="S1090" t="str">
        <f>"Stand 1000x650x800mm (for Benchtop CNC)"</f>
        <v>Stand 1000x650x800mm (for Benchtop CNC)</v>
      </c>
      <c r="T1090">
        <v>0</v>
      </c>
      <c r="U1090">
        <v>146.34</v>
      </c>
      <c r="V1090">
        <v>147.19</v>
      </c>
      <c r="W1090" t="str">
        <f t="shared" si="292"/>
        <v>zintel</v>
      </c>
    </row>
    <row r="1091" spans="1:23">
      <c r="A1091" t="str">
        <f t="shared" si="302"/>
        <v>CNC-7000</v>
      </c>
      <c r="B1091" t="str">
        <f>"63-7001-1000"</f>
        <v>63-7001-1000</v>
      </c>
      <c r="C1091" t="str">
        <f>"-CNCMotion for BenchTurn 7000"</f>
        <v>-CNCMotion for BenchTurn 7000</v>
      </c>
      <c r="D1091">
        <v>1</v>
      </c>
      <c r="E1091" t="str">
        <f t="shared" si="303"/>
        <v>BenchTurn 7000, CNC Turning Center</v>
      </c>
      <c r="F1091">
        <v>908</v>
      </c>
      <c r="G1091" t="str">
        <f t="shared" si="305"/>
        <v>Y</v>
      </c>
      <c r="H1091" t="str">
        <f t="shared" si="304"/>
        <v>EA</v>
      </c>
      <c r="I1091">
        <v>0</v>
      </c>
      <c r="J1091">
        <v>0</v>
      </c>
      <c r="K1091" t="str">
        <f t="shared" si="306"/>
        <v>Y</v>
      </c>
      <c r="L1091">
        <v>0</v>
      </c>
      <c r="M1091" t="str">
        <f t="shared" si="307"/>
        <v>NIS</v>
      </c>
      <c r="O1091">
        <v>14</v>
      </c>
      <c r="P1091" t="str">
        <f t="shared" si="295"/>
        <v>Active</v>
      </c>
      <c r="Q1091" t="str">
        <f>"CNCMotion Sim. Sftwr, BenchTurn 7000"</f>
        <v>CNCMotion Sim. Sftwr, BenchTurn 7000</v>
      </c>
      <c r="S1091" t="str">
        <f>"CNCMotion Sim. Sftwr, BenchTurn 7000"</f>
        <v>CNCMotion Sim. Sftwr, BenchTurn 7000</v>
      </c>
      <c r="T1091">
        <v>0</v>
      </c>
      <c r="U1091">
        <v>10</v>
      </c>
      <c r="V1091">
        <v>0</v>
      </c>
      <c r="W1091" t="str">
        <f t="shared" si="292"/>
        <v>zintel</v>
      </c>
    </row>
    <row r="1092" spans="1:23">
      <c r="A1092" t="str">
        <f t="shared" si="302"/>
        <v>CNC-7000</v>
      </c>
      <c r="B1092" t="str">
        <f>"17-3141-0001"</f>
        <v>17-3141-0001</v>
      </c>
      <c r="C1092" t="str">
        <f>"LM5.X Content, Vir, CNC Turning w/BenchTurn 7000"</f>
        <v>LM5.X Content, Vir, CNC Turning w/BenchTurn 7000</v>
      </c>
      <c r="D1092">
        <v>1</v>
      </c>
      <c r="E1092" t="str">
        <f t="shared" si="303"/>
        <v>BenchTurn 7000, CNC Turning Center</v>
      </c>
      <c r="F1092">
        <v>908</v>
      </c>
      <c r="G1092" t="str">
        <f t="shared" si="305"/>
        <v>Y</v>
      </c>
      <c r="H1092" t="str">
        <f t="shared" si="304"/>
        <v>EA</v>
      </c>
      <c r="I1092">
        <v>0</v>
      </c>
      <c r="J1092">
        <v>0</v>
      </c>
      <c r="K1092" t="str">
        <f t="shared" si="306"/>
        <v>Y</v>
      </c>
      <c r="L1092">
        <v>0</v>
      </c>
      <c r="M1092" t="str">
        <f t="shared" si="307"/>
        <v>NIS</v>
      </c>
      <c r="N1092" t="str">
        <f>"Y"</f>
        <v>Y</v>
      </c>
      <c r="O1092">
        <v>15</v>
      </c>
      <c r="P1092" t="str">
        <f t="shared" si="295"/>
        <v>Active</v>
      </c>
      <c r="Q1092" t="str">
        <f>"LM5.X Content, Vir, CNC Turning w/BenchTurn 7000"</f>
        <v>LM5.X Content, Vir, CNC Turning w/BenchTurn 7000</v>
      </c>
      <c r="S1092" t="str">
        <f>"LM5.X Content, Vir, CNC Turning w/BenchTurn 7000"</f>
        <v>LM5.X Content, Vir, CNC Turning w/BenchTurn 7000</v>
      </c>
      <c r="T1092">
        <v>0</v>
      </c>
      <c r="U1092">
        <v>5</v>
      </c>
      <c r="V1092">
        <v>5</v>
      </c>
      <c r="W1092" t="str">
        <f t="shared" si="292"/>
        <v>zintel</v>
      </c>
    </row>
    <row r="1093" spans="1:23">
      <c r="A1093" t="str">
        <f t="shared" si="302"/>
        <v>CNC-7000</v>
      </c>
      <c r="B1093" t="str">
        <f>"10-1115-1000"</f>
        <v>10-1115-1000</v>
      </c>
      <c r="C1093" t="str">
        <f>"- Fanuc Emulator panel and stand"</f>
        <v>- Fanuc Emulator panel and stand</v>
      </c>
      <c r="D1093">
        <v>1</v>
      </c>
      <c r="E1093" t="str">
        <f t="shared" si="303"/>
        <v>BenchTurn 7000, CNC Turning Center</v>
      </c>
      <c r="F1093">
        <v>908</v>
      </c>
      <c r="G1093" t="str">
        <f t="shared" si="305"/>
        <v>Y</v>
      </c>
      <c r="H1093" t="str">
        <f t="shared" si="304"/>
        <v>EA</v>
      </c>
      <c r="I1093">
        <v>0</v>
      </c>
      <c r="J1093">
        <v>0</v>
      </c>
      <c r="K1093" t="str">
        <f t="shared" si="306"/>
        <v>Y</v>
      </c>
      <c r="L1093">
        <v>0</v>
      </c>
      <c r="M1093" t="str">
        <f t="shared" si="307"/>
        <v>NIS</v>
      </c>
      <c r="N1093" t="str">
        <f>"Y"</f>
        <v>Y</v>
      </c>
      <c r="O1093">
        <v>10</v>
      </c>
      <c r="P1093" t="str">
        <f t="shared" si="295"/>
        <v>Active</v>
      </c>
      <c r="Q1093" t="str">
        <f>"Fanuc Emulator panel and stand"</f>
        <v>Fanuc Emulator panel and stand</v>
      </c>
      <c r="S1093" t="str">
        <f>"Fanuc Emulator panel and stand"</f>
        <v>Fanuc Emulator panel and stand</v>
      </c>
      <c r="T1093">
        <v>0</v>
      </c>
      <c r="U1093">
        <v>804.8</v>
      </c>
      <c r="V1093">
        <v>791.17</v>
      </c>
      <c r="W1093" t="str">
        <f t="shared" si="292"/>
        <v>zintel</v>
      </c>
    </row>
    <row r="1094" spans="1:23">
      <c r="A1094" t="str">
        <f t="shared" si="302"/>
        <v>CNC-7000</v>
      </c>
      <c r="B1094" t="str">
        <f>"10-1106-0000"</f>
        <v>10-1106-0000</v>
      </c>
      <c r="C1094" t="str">
        <f>"- 11pcs Cutter set 10 x 10mmt"</f>
        <v>- 11pcs Cutter set 10 x 10mmt</v>
      </c>
      <c r="D1094">
        <v>1</v>
      </c>
      <c r="E1094" t="str">
        <f t="shared" si="303"/>
        <v>BenchTurn 7000, CNC Turning Center</v>
      </c>
      <c r="F1094">
        <v>908</v>
      </c>
      <c r="G1094" t="str">
        <f t="shared" si="305"/>
        <v>Y</v>
      </c>
      <c r="H1094" t="str">
        <f t="shared" si="304"/>
        <v>EA</v>
      </c>
      <c r="I1094">
        <v>0</v>
      </c>
      <c r="J1094">
        <v>0</v>
      </c>
      <c r="K1094" t="str">
        <f t="shared" si="306"/>
        <v>Y</v>
      </c>
      <c r="L1094">
        <v>0</v>
      </c>
      <c r="M1094" t="str">
        <f t="shared" si="307"/>
        <v>NIS</v>
      </c>
      <c r="N1094" t="str">
        <f>"Y"</f>
        <v>Y</v>
      </c>
      <c r="O1094">
        <v>11</v>
      </c>
      <c r="P1094" t="str">
        <f t="shared" si="295"/>
        <v>Active</v>
      </c>
      <c r="Q1094" t="str">
        <f>"10 x 10mm cutter 11pcs set"</f>
        <v>10 x 10mm cutter 11pcs set</v>
      </c>
      <c r="S1094" t="str">
        <f>"10 x 10mm cutter 11pcs set"</f>
        <v>10 x 10mm cutter 11pcs set</v>
      </c>
      <c r="T1094">
        <v>0</v>
      </c>
      <c r="U1094">
        <v>36.29</v>
      </c>
      <c r="V1094">
        <v>42.51</v>
      </c>
      <c r="W1094" t="str">
        <f t="shared" si="292"/>
        <v>zintel</v>
      </c>
    </row>
    <row r="1095" spans="1:23">
      <c r="A1095" t="str">
        <f t="shared" si="302"/>
        <v>CNC-7000</v>
      </c>
      <c r="B1095" t="str">
        <f>"10-1110-5000"</f>
        <v>10-1110-5000</v>
      </c>
      <c r="C1095" t="str">
        <f>"-- Pneumatic Shield (BenchTurn 7000 for FMS))"</f>
        <v>-- Pneumatic Shield (BenchTurn 7000 for FMS))</v>
      </c>
      <c r="D1095">
        <v>1</v>
      </c>
      <c r="E1095" t="str">
        <f t="shared" si="303"/>
        <v>BenchTurn 7000, CNC Turning Center</v>
      </c>
      <c r="F1095">
        <v>908</v>
      </c>
      <c r="G1095" t="str">
        <f t="shared" si="305"/>
        <v>Y</v>
      </c>
      <c r="H1095" t="str">
        <f t="shared" si="304"/>
        <v>EA</v>
      </c>
      <c r="I1095">
        <v>0</v>
      </c>
      <c r="J1095">
        <v>0</v>
      </c>
      <c r="K1095" t="str">
        <f t="shared" si="306"/>
        <v>Y</v>
      </c>
      <c r="L1095">
        <v>0</v>
      </c>
      <c r="M1095" t="str">
        <f t="shared" si="307"/>
        <v>NIS</v>
      </c>
      <c r="N1095" t="str">
        <f>"Y"</f>
        <v>Y</v>
      </c>
      <c r="O1095">
        <v>12</v>
      </c>
      <c r="P1095" t="str">
        <f t="shared" si="295"/>
        <v>Active</v>
      </c>
      <c r="Q1095" t="str">
        <f>"Pneumatic Shield with Sensors (BenchTurn 7000)"</f>
        <v>Pneumatic Shield with Sensors (BenchTurn 7000)</v>
      </c>
      <c r="S1095" t="str">
        <f>"Pneumatic Shield with Sensors (BenchTurn 7000)"</f>
        <v>Pneumatic Shield with Sensors (BenchTurn 7000)</v>
      </c>
      <c r="T1095">
        <v>0</v>
      </c>
      <c r="U1095">
        <v>144</v>
      </c>
      <c r="V1095">
        <v>128.55000000000001</v>
      </c>
      <c r="W1095" t="str">
        <f t="shared" si="292"/>
        <v>zintel</v>
      </c>
    </row>
    <row r="1096" spans="1:23">
      <c r="A1096" t="str">
        <f t="shared" si="302"/>
        <v>CNC-7000</v>
      </c>
      <c r="B1096" t="str">
        <f>"10-9350-0000"</f>
        <v>10-9350-0000</v>
      </c>
      <c r="C1096" t="str">
        <f>"Stock Package, Machinable Wax, Turn, 1""x 12"""</f>
        <v>Stock Package, Machinable Wax, Turn, 1"x 12"</v>
      </c>
      <c r="D1096">
        <v>1</v>
      </c>
      <c r="E1096" t="str">
        <f t="shared" si="303"/>
        <v>BenchTurn 7000, CNC Turning Center</v>
      </c>
      <c r="F1096">
        <v>908</v>
      </c>
      <c r="G1096" t="str">
        <f t="shared" si="305"/>
        <v>Y</v>
      </c>
      <c r="H1096" t="str">
        <f t="shared" si="304"/>
        <v>EA</v>
      </c>
      <c r="I1096">
        <v>0</v>
      </c>
      <c r="J1096">
        <v>0</v>
      </c>
      <c r="K1096" t="str">
        <f t="shared" si="306"/>
        <v>Y</v>
      </c>
      <c r="L1096">
        <v>0</v>
      </c>
      <c r="M1096" t="str">
        <f t="shared" si="307"/>
        <v>NIS</v>
      </c>
      <c r="O1096">
        <v>13</v>
      </c>
      <c r="P1096" t="str">
        <f t="shared" si="295"/>
        <v>Active</v>
      </c>
      <c r="Q1096" t="str">
        <f>"Stock Package, Machinable Wax, Turn, 1""x 12"""</f>
        <v>Stock Package, Machinable Wax, Turn, 1"x 12"</v>
      </c>
      <c r="S1096" t="str">
        <f>"Stock Package, Machinable Wax, Turn, 1""x 12"""</f>
        <v>Stock Package, Machinable Wax, Turn, 1"x 12"</v>
      </c>
      <c r="T1096">
        <v>166.2</v>
      </c>
      <c r="U1096">
        <v>167</v>
      </c>
      <c r="V1096">
        <v>336.18</v>
      </c>
      <c r="W1096" t="str">
        <f t="shared" si="292"/>
        <v>zintel</v>
      </c>
    </row>
    <row r="1097" spans="1:23">
      <c r="A1097" t="str">
        <f t="shared" ref="A1097:A1106" si="308">"CNC-7000-ADV"</f>
        <v>CNC-7000-ADV</v>
      </c>
      <c r="B1097" t="str">
        <f>"00-5504-0110"</f>
        <v>00-5504-0110</v>
      </c>
      <c r="C1097" t="str">
        <f>"CNC BenchTurn 7000  110V"</f>
        <v>CNC BenchTurn 7000  110V</v>
      </c>
      <c r="D1097">
        <v>1</v>
      </c>
      <c r="E1097" t="str">
        <f t="shared" ref="E1097:E1106" si="309">"BenchTURN 7000 Advanced Bundle, Imp/Met, 110/220 VAC"</f>
        <v>BenchTURN 7000 Advanced Bundle, Imp/Met, 110/220 VAC</v>
      </c>
      <c r="F1097">
        <v>0</v>
      </c>
      <c r="G1097" t="str">
        <f t="shared" si="305"/>
        <v>Y</v>
      </c>
      <c r="H1097" t="str">
        <f t="shared" si="304"/>
        <v>EA</v>
      </c>
      <c r="I1097">
        <v>0</v>
      </c>
      <c r="J1097">
        <v>0</v>
      </c>
      <c r="K1097" t="str">
        <f t="shared" si="306"/>
        <v>Y</v>
      </c>
      <c r="L1097">
        <v>0</v>
      </c>
      <c r="M1097" t="str">
        <f t="shared" si="307"/>
        <v>NIS</v>
      </c>
      <c r="O1097">
        <v>1</v>
      </c>
      <c r="P1097" t="str">
        <f t="shared" si="295"/>
        <v>Active</v>
      </c>
      <c r="Q1097" t="str">
        <f>"CNC BenchTurn 7000 110V"</f>
        <v>CNC BenchTurn 7000 110V</v>
      </c>
      <c r="S1097" t="str">
        <f>"CNC BenchTurn 7000 110V"</f>
        <v>CNC BenchTurn 7000 110V</v>
      </c>
      <c r="T1097">
        <v>0</v>
      </c>
      <c r="U1097" s="44">
        <v>5095</v>
      </c>
      <c r="V1097" s="44">
        <v>5076</v>
      </c>
      <c r="W1097" t="str">
        <f t="shared" si="292"/>
        <v>zintel</v>
      </c>
    </row>
    <row r="1098" spans="1:23">
      <c r="A1098" t="str">
        <f t="shared" si="308"/>
        <v>CNC-7000-ADV</v>
      </c>
      <c r="B1098" t="str">
        <f>"10-1110-1000"</f>
        <v>10-1110-1000</v>
      </c>
      <c r="C1098" t="str">
        <f>"10 x 10mm cutter tool holder"</f>
        <v>10 x 10mm cutter tool holder</v>
      </c>
      <c r="D1098">
        <v>1</v>
      </c>
      <c r="E1098" t="str">
        <f t="shared" si="309"/>
        <v>BenchTURN 7000 Advanced Bundle, Imp/Met, 110/220 VAC</v>
      </c>
      <c r="F1098">
        <v>0</v>
      </c>
      <c r="G1098" t="str">
        <f t="shared" si="305"/>
        <v>Y</v>
      </c>
      <c r="H1098" t="str">
        <f t="shared" si="304"/>
        <v>EA</v>
      </c>
      <c r="I1098">
        <v>0</v>
      </c>
      <c r="J1098">
        <v>0</v>
      </c>
      <c r="K1098" t="str">
        <f t="shared" si="306"/>
        <v>Y</v>
      </c>
      <c r="L1098">
        <v>0</v>
      </c>
      <c r="M1098" t="str">
        <f t="shared" si="307"/>
        <v>NIS</v>
      </c>
      <c r="O1098">
        <v>2</v>
      </c>
      <c r="P1098" t="str">
        <f t="shared" si="295"/>
        <v>Active</v>
      </c>
      <c r="Q1098" t="str">
        <f>"10x10mm TiN coated cutter set (replaceable tip)"</f>
        <v>10x10mm TiN coated cutter set (replaceable tip)</v>
      </c>
      <c r="S1098" t="str">
        <f>"10x10mm TiN coated cutter set (replaceable tip)"</f>
        <v>10x10mm TiN coated cutter set (replaceable tip)</v>
      </c>
      <c r="T1098">
        <v>0</v>
      </c>
      <c r="U1098">
        <v>65</v>
      </c>
      <c r="V1098">
        <v>65.540000000000006</v>
      </c>
      <c r="W1098" t="str">
        <f t="shared" si="292"/>
        <v>zintel</v>
      </c>
    </row>
    <row r="1099" spans="1:23">
      <c r="A1099" t="str">
        <f t="shared" si="308"/>
        <v>CNC-7000-ADV</v>
      </c>
      <c r="B1099" t="str">
        <f>"10-1110-2000"</f>
        <v>10-1110-2000</v>
      </c>
      <c r="C1099" t="str">
        <f>"TiN coated tip for 011101"</f>
        <v>TiN coated tip for 011101</v>
      </c>
      <c r="D1099">
        <v>1</v>
      </c>
      <c r="E1099" t="str">
        <f t="shared" si="309"/>
        <v>BenchTURN 7000 Advanced Bundle, Imp/Met, 110/220 VAC</v>
      </c>
      <c r="F1099">
        <v>0</v>
      </c>
      <c r="G1099" t="str">
        <f t="shared" si="305"/>
        <v>Y</v>
      </c>
      <c r="H1099" t="str">
        <f t="shared" si="304"/>
        <v>EA</v>
      </c>
      <c r="I1099">
        <v>0</v>
      </c>
      <c r="J1099">
        <v>0</v>
      </c>
      <c r="K1099" t="str">
        <f t="shared" si="306"/>
        <v>Y</v>
      </c>
      <c r="L1099">
        <v>0</v>
      </c>
      <c r="M1099" t="str">
        <f t="shared" si="307"/>
        <v>NIS</v>
      </c>
      <c r="O1099">
        <v>3</v>
      </c>
      <c r="P1099" t="str">
        <f t="shared" si="295"/>
        <v>Active</v>
      </c>
      <c r="Q1099" t="str">
        <f>"TiN coated tip for 011101"</f>
        <v>TiN coated tip for 011101</v>
      </c>
      <c r="S1099" t="str">
        <f>"TiN coated tip for 011101"</f>
        <v>TiN coated tip for 011101</v>
      </c>
      <c r="T1099">
        <v>0</v>
      </c>
      <c r="U1099">
        <v>42</v>
      </c>
      <c r="V1099">
        <v>41.71</v>
      </c>
      <c r="W1099" t="str">
        <f t="shared" si="292"/>
        <v>zintel</v>
      </c>
    </row>
    <row r="1100" spans="1:23">
      <c r="A1100" t="str">
        <f t="shared" si="308"/>
        <v>CNC-7000-ADV</v>
      </c>
      <c r="B1100" t="str">
        <f>"10-1105-7000"</f>
        <v>10-1105-7000</v>
      </c>
      <c r="C1100" t="str">
        <f>"Drill Chuck for Tailstock"</f>
        <v>Drill Chuck for Tailstock</v>
      </c>
      <c r="D1100">
        <v>1</v>
      </c>
      <c r="E1100" t="str">
        <f t="shared" si="309"/>
        <v>BenchTURN 7000 Advanced Bundle, Imp/Met, 110/220 VAC</v>
      </c>
      <c r="F1100">
        <v>0</v>
      </c>
      <c r="G1100" t="str">
        <f t="shared" si="305"/>
        <v>Y</v>
      </c>
      <c r="H1100" t="str">
        <f t="shared" si="304"/>
        <v>EA</v>
      </c>
      <c r="I1100">
        <v>0</v>
      </c>
      <c r="J1100">
        <v>0</v>
      </c>
      <c r="K1100" t="str">
        <f t="shared" si="306"/>
        <v>Y</v>
      </c>
      <c r="L1100">
        <v>0</v>
      </c>
      <c r="M1100" t="str">
        <f t="shared" si="307"/>
        <v>NIS</v>
      </c>
      <c r="O1100">
        <v>4</v>
      </c>
      <c r="P1100" t="str">
        <f t="shared" si="295"/>
        <v>Active</v>
      </c>
      <c r="Q1100" t="str">
        <f>"Drill Chuck for Tailstock MT2 13mm"</f>
        <v>Drill Chuck for Tailstock MT2 13mm</v>
      </c>
      <c r="S1100" t="str">
        <f>"Drill Chuck for Tailstock MT2 13mm"</f>
        <v>Drill Chuck for Tailstock MT2 13mm</v>
      </c>
      <c r="T1100">
        <v>0</v>
      </c>
      <c r="U1100">
        <v>21.07</v>
      </c>
      <c r="V1100">
        <v>23.52</v>
      </c>
      <c r="W1100" t="str">
        <f t="shared" si="292"/>
        <v>zintel</v>
      </c>
    </row>
    <row r="1101" spans="1:23">
      <c r="A1101" t="str">
        <f t="shared" si="308"/>
        <v>CNC-7000-ADV</v>
      </c>
      <c r="B1101" t="str">
        <f>"10-1106-7000"</f>
        <v>10-1106-7000</v>
      </c>
      <c r="C1101" t="str">
        <f>"- 100mm 4 independent jaw chuck"</f>
        <v>- 100mm 4 independent jaw chuck</v>
      </c>
      <c r="D1101">
        <v>1</v>
      </c>
      <c r="E1101" t="str">
        <f t="shared" si="309"/>
        <v>BenchTURN 7000 Advanced Bundle, Imp/Met, 110/220 VAC</v>
      </c>
      <c r="F1101">
        <v>0</v>
      </c>
      <c r="G1101" t="str">
        <f t="shared" si="305"/>
        <v>Y</v>
      </c>
      <c r="H1101" t="str">
        <f t="shared" si="304"/>
        <v>EA</v>
      </c>
      <c r="I1101">
        <v>0</v>
      </c>
      <c r="J1101">
        <v>0</v>
      </c>
      <c r="K1101" t="str">
        <f t="shared" si="306"/>
        <v>Y</v>
      </c>
      <c r="L1101">
        <v>0</v>
      </c>
      <c r="M1101" t="str">
        <f t="shared" si="307"/>
        <v>NIS</v>
      </c>
      <c r="O1101">
        <v>5</v>
      </c>
      <c r="P1101" t="str">
        <f t="shared" si="295"/>
        <v>Active</v>
      </c>
      <c r="Q1101" t="str">
        <f>"100mm 4-jaw chuck (independent)"</f>
        <v>100mm 4-jaw chuck (independent)</v>
      </c>
      <c r="S1101" t="str">
        <f>"100mm 4-jaw chuck (independent)"</f>
        <v>100mm 4-jaw chuck (independent)</v>
      </c>
      <c r="T1101">
        <v>0</v>
      </c>
      <c r="U1101">
        <v>64.39</v>
      </c>
      <c r="V1101">
        <v>67.209999999999994</v>
      </c>
      <c r="W1101" t="str">
        <f t="shared" si="292"/>
        <v>zintel</v>
      </c>
    </row>
    <row r="1102" spans="1:23">
      <c r="A1102" t="str">
        <f t="shared" si="308"/>
        <v>CNC-7000-ADV</v>
      </c>
      <c r="B1102" t="str">
        <f>"10-1106-6000"</f>
        <v>10-1106-6000</v>
      </c>
      <c r="C1102" t="str">
        <f>"- Rolling center"</f>
        <v>- Rolling center</v>
      </c>
      <c r="D1102">
        <v>1</v>
      </c>
      <c r="E1102" t="str">
        <f t="shared" si="309"/>
        <v>BenchTURN 7000 Advanced Bundle, Imp/Met, 110/220 VAC</v>
      </c>
      <c r="F1102">
        <v>0</v>
      </c>
      <c r="G1102" t="str">
        <f t="shared" si="305"/>
        <v>Y</v>
      </c>
      <c r="H1102" t="str">
        <f t="shared" si="304"/>
        <v>EA</v>
      </c>
      <c r="I1102">
        <v>0</v>
      </c>
      <c r="J1102">
        <v>0</v>
      </c>
      <c r="K1102" t="str">
        <f t="shared" si="306"/>
        <v>Y</v>
      </c>
      <c r="L1102">
        <v>0</v>
      </c>
      <c r="M1102" t="str">
        <f t="shared" si="307"/>
        <v>NIS</v>
      </c>
      <c r="O1102">
        <v>6</v>
      </c>
      <c r="P1102" t="str">
        <f t="shared" si="295"/>
        <v>Active</v>
      </c>
      <c r="Q1102" t="str">
        <f>"Rolling center"</f>
        <v>Rolling center</v>
      </c>
      <c r="S1102" t="str">
        <f>"Rolling center"</f>
        <v>Rolling center</v>
      </c>
      <c r="T1102">
        <v>0</v>
      </c>
      <c r="U1102">
        <v>23.42</v>
      </c>
      <c r="V1102">
        <v>23.55</v>
      </c>
      <c r="W1102" t="str">
        <f t="shared" si="292"/>
        <v>zintel</v>
      </c>
    </row>
    <row r="1103" spans="1:23">
      <c r="A1103" t="str">
        <f t="shared" si="308"/>
        <v>CNC-7000-ADV</v>
      </c>
      <c r="B1103" t="str">
        <f>"10-1111-1000"</f>
        <v>10-1111-1000</v>
      </c>
      <c r="C1103" t="str">
        <f>"- Handwheel - Manual Control"</f>
        <v>- Handwheel - Manual Control</v>
      </c>
      <c r="D1103">
        <v>1</v>
      </c>
      <c r="E1103" t="str">
        <f t="shared" si="309"/>
        <v>BenchTURN 7000 Advanced Bundle, Imp/Met, 110/220 VAC</v>
      </c>
      <c r="F1103">
        <v>0</v>
      </c>
      <c r="G1103" t="str">
        <f t="shared" si="305"/>
        <v>Y</v>
      </c>
      <c r="H1103" t="str">
        <f t="shared" si="304"/>
        <v>EA</v>
      </c>
      <c r="I1103">
        <v>0</v>
      </c>
      <c r="J1103">
        <v>0</v>
      </c>
      <c r="K1103" t="str">
        <f t="shared" si="306"/>
        <v>Y</v>
      </c>
      <c r="L1103">
        <v>0</v>
      </c>
      <c r="M1103" t="str">
        <f t="shared" si="307"/>
        <v>NIS</v>
      </c>
      <c r="O1103">
        <v>7</v>
      </c>
      <c r="P1103" t="str">
        <f t="shared" si="295"/>
        <v>Active</v>
      </c>
      <c r="Q1103" t="str">
        <f>"Jog Pendant Handwheel"</f>
        <v>Jog Pendant Handwheel</v>
      </c>
      <c r="S1103" t="str">
        <f>"Jog Pendant Handwheel"</f>
        <v>Jog Pendant Handwheel</v>
      </c>
      <c r="T1103">
        <v>0</v>
      </c>
      <c r="U1103">
        <v>235</v>
      </c>
      <c r="V1103">
        <v>235.03</v>
      </c>
      <c r="W1103" t="str">
        <f t="shared" si="292"/>
        <v>zintel</v>
      </c>
    </row>
    <row r="1104" spans="1:23">
      <c r="A1104" t="str">
        <f t="shared" si="308"/>
        <v>CNC-7000-ADV</v>
      </c>
      <c r="B1104" t="str">
        <f>"10-1108-1110"</f>
        <v>10-1108-1110</v>
      </c>
      <c r="C1104" t="str">
        <f>"- Coolant system 27L - 110V"</f>
        <v>- Coolant system 27L - 110V</v>
      </c>
      <c r="D1104">
        <v>1</v>
      </c>
      <c r="E1104" t="str">
        <f t="shared" si="309"/>
        <v>BenchTURN 7000 Advanced Bundle, Imp/Met, 110/220 VAC</v>
      </c>
      <c r="F1104">
        <v>0</v>
      </c>
      <c r="G1104" t="str">
        <f t="shared" si="305"/>
        <v>Y</v>
      </c>
      <c r="H1104" t="str">
        <f t="shared" si="304"/>
        <v>EA</v>
      </c>
      <c r="I1104">
        <v>0</v>
      </c>
      <c r="J1104">
        <v>0</v>
      </c>
      <c r="K1104" t="str">
        <f t="shared" si="306"/>
        <v>Y</v>
      </c>
      <c r="L1104">
        <v>0</v>
      </c>
      <c r="M1104" t="str">
        <f t="shared" si="307"/>
        <v>NIS</v>
      </c>
      <c r="O1104">
        <v>8</v>
      </c>
      <c r="P1104" t="str">
        <f t="shared" si="295"/>
        <v>Active</v>
      </c>
      <c r="Q1104" t="str">
        <f>"Coolant system 27L - 110V"</f>
        <v>Coolant system 27L - 110V</v>
      </c>
      <c r="S1104" t="str">
        <f>"Coolant system 27L - 110V"</f>
        <v>Coolant system 27L - 110V</v>
      </c>
      <c r="T1104">
        <v>0</v>
      </c>
      <c r="U1104">
        <v>132</v>
      </c>
      <c r="V1104">
        <v>132</v>
      </c>
      <c r="W1104" t="str">
        <f t="shared" si="292"/>
        <v>zintel</v>
      </c>
    </row>
    <row r="1105" spans="1:23">
      <c r="A1105" t="str">
        <f t="shared" si="308"/>
        <v>CNC-7000-ADV</v>
      </c>
      <c r="B1105" t="str">
        <f>"10-9350-0000"</f>
        <v>10-9350-0000</v>
      </c>
      <c r="C1105" t="str">
        <f>"Stock Package, Machinable Wax, Turn, 1""x 12"""</f>
        <v>Stock Package, Machinable Wax, Turn, 1"x 12"</v>
      </c>
      <c r="D1105">
        <v>1</v>
      </c>
      <c r="E1105" t="str">
        <f t="shared" si="309"/>
        <v>BenchTURN 7000 Advanced Bundle, Imp/Met, 110/220 VAC</v>
      </c>
      <c r="F1105">
        <v>0</v>
      </c>
      <c r="G1105" t="str">
        <f t="shared" si="305"/>
        <v>Y</v>
      </c>
      <c r="H1105" t="str">
        <f t="shared" si="304"/>
        <v>EA</v>
      </c>
      <c r="I1105">
        <v>0</v>
      </c>
      <c r="J1105">
        <v>0</v>
      </c>
      <c r="K1105" t="str">
        <f t="shared" si="306"/>
        <v>Y</v>
      </c>
      <c r="L1105">
        <v>0</v>
      </c>
      <c r="M1105" t="str">
        <f t="shared" si="307"/>
        <v>NIS</v>
      </c>
      <c r="O1105">
        <v>9</v>
      </c>
      <c r="P1105" t="str">
        <f t="shared" si="295"/>
        <v>Active</v>
      </c>
      <c r="Q1105" t="str">
        <f>"Stock Package, Machinable Wax, Turn, 1""x 12"""</f>
        <v>Stock Package, Machinable Wax, Turn, 1"x 12"</v>
      </c>
      <c r="S1105" t="str">
        <f>"Stock Package, Machinable Wax, Turn, 1""x 12"""</f>
        <v>Stock Package, Machinable Wax, Turn, 1"x 12"</v>
      </c>
      <c r="T1105">
        <v>166.2</v>
      </c>
      <c r="U1105">
        <v>167</v>
      </c>
      <c r="V1105">
        <v>336.18</v>
      </c>
      <c r="W1105" t="str">
        <f t="shared" si="292"/>
        <v>zintel</v>
      </c>
    </row>
    <row r="1106" spans="1:23">
      <c r="A1106" t="str">
        <f t="shared" si="308"/>
        <v>CNC-7000-ADV</v>
      </c>
      <c r="B1106" t="str">
        <f>"77-3141-0001"</f>
        <v>77-3141-0001</v>
      </c>
      <c r="C1106" t="str">
        <f>"LM7 Content, Vir, CNC Turning w/BenchTurn 7000"</f>
        <v>LM7 Content, Vir, CNC Turning w/BenchTurn 7000</v>
      </c>
      <c r="D1106">
        <v>1</v>
      </c>
      <c r="E1106" t="str">
        <f t="shared" si="309"/>
        <v>BenchTURN 7000 Advanced Bundle, Imp/Met, 110/220 VAC</v>
      </c>
      <c r="F1106">
        <v>0</v>
      </c>
      <c r="G1106" t="str">
        <f t="shared" si="305"/>
        <v>Y</v>
      </c>
      <c r="H1106" t="str">
        <f t="shared" si="304"/>
        <v>EA</v>
      </c>
      <c r="I1106">
        <v>0</v>
      </c>
      <c r="J1106">
        <v>0</v>
      </c>
      <c r="K1106" t="str">
        <f t="shared" si="306"/>
        <v>Y</v>
      </c>
      <c r="L1106">
        <v>0</v>
      </c>
      <c r="M1106" t="str">
        <f t="shared" si="307"/>
        <v>NIS</v>
      </c>
      <c r="O1106">
        <v>10</v>
      </c>
      <c r="P1106" t="str">
        <f t="shared" si="295"/>
        <v>Active</v>
      </c>
      <c r="Q1106" t="str">
        <f>"LM7 Content, Vir, CNC Turning w/BenchTurn 7000"</f>
        <v>LM7 Content, Vir, CNC Turning w/BenchTurn 7000</v>
      </c>
      <c r="S1106" t="str">
        <f>"LM7 Content, Vir, CNC Turning w/BenchTurn 7000"</f>
        <v>LM7 Content, Vir, CNC Turning w/BenchTurn 7000</v>
      </c>
      <c r="T1106">
        <v>0</v>
      </c>
      <c r="U1106">
        <v>5</v>
      </c>
      <c r="V1106">
        <v>5</v>
      </c>
      <c r="W1106" t="str">
        <f t="shared" si="292"/>
        <v>zintel</v>
      </c>
    </row>
    <row r="1107" spans="1:23">
      <c r="A1107" t="str">
        <f t="shared" ref="A1107:A1117" si="310">"CNC-7000-BNDL"</f>
        <v>CNC-7000-BNDL</v>
      </c>
      <c r="B1107" t="str">
        <f>"00-5504-0110"</f>
        <v>00-5504-0110</v>
      </c>
      <c r="C1107" t="str">
        <f>"CNC BenchTurn 7000  110V"</f>
        <v>CNC BenchTurn 7000  110V</v>
      </c>
      <c r="D1107">
        <v>1</v>
      </c>
      <c r="E1107" t="str">
        <f t="shared" ref="E1107:E1117" si="311">"BenchTURN 7000 Bundle"</f>
        <v>BenchTURN 7000 Bundle</v>
      </c>
      <c r="F1107">
        <v>0</v>
      </c>
      <c r="G1107" t="str">
        <f t="shared" si="305"/>
        <v>Y</v>
      </c>
      <c r="H1107" t="str">
        <f t="shared" si="304"/>
        <v>EA</v>
      </c>
      <c r="I1107">
        <v>0</v>
      </c>
      <c r="J1107">
        <v>0</v>
      </c>
      <c r="K1107" t="str">
        <f t="shared" si="306"/>
        <v>Y</v>
      </c>
      <c r="L1107">
        <v>0</v>
      </c>
      <c r="M1107" t="str">
        <f t="shared" si="307"/>
        <v>NIS</v>
      </c>
      <c r="O1107">
        <v>1</v>
      </c>
      <c r="P1107" t="str">
        <f t="shared" si="295"/>
        <v>Active</v>
      </c>
      <c r="Q1107" t="str">
        <f>"CNC BenchTurn 7000 110V"</f>
        <v>CNC BenchTurn 7000 110V</v>
      </c>
      <c r="S1107" t="str">
        <f>"CNC BenchTurn 7000 110V"</f>
        <v>CNC BenchTurn 7000 110V</v>
      </c>
      <c r="T1107">
        <v>0</v>
      </c>
      <c r="U1107" s="44">
        <v>5095</v>
      </c>
      <c r="V1107" s="44">
        <v>5076</v>
      </c>
      <c r="W1107" t="str">
        <f t="shared" si="292"/>
        <v>zintel</v>
      </c>
    </row>
    <row r="1108" spans="1:23">
      <c r="A1108" t="str">
        <f t="shared" si="310"/>
        <v>CNC-7000-BNDL</v>
      </c>
      <c r="B1108" t="str">
        <f>"10-1111-1000"</f>
        <v>10-1111-1000</v>
      </c>
      <c r="C1108" t="str">
        <f>"- Handwheel - Manual Control"</f>
        <v>- Handwheel - Manual Control</v>
      </c>
      <c r="D1108">
        <v>1</v>
      </c>
      <c r="E1108" t="str">
        <f t="shared" si="311"/>
        <v>BenchTURN 7000 Bundle</v>
      </c>
      <c r="F1108">
        <v>0</v>
      </c>
      <c r="G1108" t="str">
        <f t="shared" si="305"/>
        <v>Y</v>
      </c>
      <c r="H1108" t="str">
        <f t="shared" si="304"/>
        <v>EA</v>
      </c>
      <c r="I1108">
        <v>0</v>
      </c>
      <c r="J1108">
        <v>0</v>
      </c>
      <c r="K1108" t="str">
        <f t="shared" si="306"/>
        <v>Y</v>
      </c>
      <c r="L1108">
        <v>0</v>
      </c>
      <c r="M1108" t="str">
        <f t="shared" si="307"/>
        <v>NIS</v>
      </c>
      <c r="O1108">
        <v>2</v>
      </c>
      <c r="P1108" t="str">
        <f t="shared" si="295"/>
        <v>Active</v>
      </c>
      <c r="Q1108" t="str">
        <f>"Jog Pendant Handwheel"</f>
        <v>Jog Pendant Handwheel</v>
      </c>
      <c r="S1108" t="str">
        <f>"Jog Pendant Handwheel"</f>
        <v>Jog Pendant Handwheel</v>
      </c>
      <c r="T1108">
        <v>0</v>
      </c>
      <c r="U1108">
        <v>235</v>
      </c>
      <c r="V1108">
        <v>235.03</v>
      </c>
      <c r="W1108" t="str">
        <f t="shared" si="292"/>
        <v>zintel</v>
      </c>
    </row>
    <row r="1109" spans="1:23">
      <c r="A1109" t="str">
        <f t="shared" si="310"/>
        <v>CNC-7000-BNDL</v>
      </c>
      <c r="B1109" t="str">
        <f>"10-1110-1000"</f>
        <v>10-1110-1000</v>
      </c>
      <c r="C1109" t="str">
        <f>"10 x 10mm cutter tool holder"</f>
        <v>10 x 10mm cutter tool holder</v>
      </c>
      <c r="D1109">
        <v>1</v>
      </c>
      <c r="E1109" t="str">
        <f t="shared" si="311"/>
        <v>BenchTURN 7000 Bundle</v>
      </c>
      <c r="F1109">
        <v>0</v>
      </c>
      <c r="G1109" t="str">
        <f t="shared" si="305"/>
        <v>Y</v>
      </c>
      <c r="H1109" t="str">
        <f t="shared" si="304"/>
        <v>EA</v>
      </c>
      <c r="I1109">
        <v>0</v>
      </c>
      <c r="J1109">
        <v>0</v>
      </c>
      <c r="K1109" t="str">
        <f t="shared" si="306"/>
        <v>Y</v>
      </c>
      <c r="L1109">
        <v>0</v>
      </c>
      <c r="M1109" t="str">
        <f t="shared" si="307"/>
        <v>NIS</v>
      </c>
      <c r="O1109">
        <v>3</v>
      </c>
      <c r="P1109" t="str">
        <f t="shared" si="295"/>
        <v>Active</v>
      </c>
      <c r="Q1109" t="str">
        <f>"10x10mm TiN coated cutter set (replaceable tip)"</f>
        <v>10x10mm TiN coated cutter set (replaceable tip)</v>
      </c>
      <c r="S1109" t="str">
        <f>"10x10mm TiN coated cutter set (replaceable tip)"</f>
        <v>10x10mm TiN coated cutter set (replaceable tip)</v>
      </c>
      <c r="T1109">
        <v>0</v>
      </c>
      <c r="U1109">
        <v>65</v>
      </c>
      <c r="V1109">
        <v>65.540000000000006</v>
      </c>
      <c r="W1109" t="str">
        <f t="shared" ref="W1109:W1172" si="312">"zintel"</f>
        <v>zintel</v>
      </c>
    </row>
    <row r="1110" spans="1:23">
      <c r="A1110" t="str">
        <f t="shared" si="310"/>
        <v>CNC-7000-BNDL</v>
      </c>
      <c r="B1110" t="str">
        <f>"10-1110-2000"</f>
        <v>10-1110-2000</v>
      </c>
      <c r="C1110" t="str">
        <f>"TiN coated tip for 011101"</f>
        <v>TiN coated tip for 011101</v>
      </c>
      <c r="D1110">
        <v>1</v>
      </c>
      <c r="E1110" t="str">
        <f t="shared" si="311"/>
        <v>BenchTURN 7000 Bundle</v>
      </c>
      <c r="F1110">
        <v>0</v>
      </c>
      <c r="G1110" t="str">
        <f t="shared" si="305"/>
        <v>Y</v>
      </c>
      <c r="H1110" t="str">
        <f t="shared" si="304"/>
        <v>EA</v>
      </c>
      <c r="I1110">
        <v>0</v>
      </c>
      <c r="J1110">
        <v>0</v>
      </c>
      <c r="K1110" t="str">
        <f t="shared" si="306"/>
        <v>Y</v>
      </c>
      <c r="L1110">
        <v>0</v>
      </c>
      <c r="M1110" t="str">
        <f t="shared" si="307"/>
        <v>NIS</v>
      </c>
      <c r="O1110">
        <v>4</v>
      </c>
      <c r="P1110" t="str">
        <f t="shared" si="295"/>
        <v>Active</v>
      </c>
      <c r="Q1110" t="str">
        <f>"TiN coated tip for 011101"</f>
        <v>TiN coated tip for 011101</v>
      </c>
      <c r="S1110" t="str">
        <f>"TiN coated tip for 011101"</f>
        <v>TiN coated tip for 011101</v>
      </c>
      <c r="T1110">
        <v>0</v>
      </c>
      <c r="U1110">
        <v>42</v>
      </c>
      <c r="V1110">
        <v>41.71</v>
      </c>
      <c r="W1110" t="str">
        <f t="shared" si="312"/>
        <v>zintel</v>
      </c>
    </row>
    <row r="1111" spans="1:23">
      <c r="A1111" t="str">
        <f t="shared" si="310"/>
        <v>CNC-7000-BNDL</v>
      </c>
      <c r="B1111" t="str">
        <f>"10-1105-7000"</f>
        <v>10-1105-7000</v>
      </c>
      <c r="C1111" t="str">
        <f>"Drill Chuck for Tailstock"</f>
        <v>Drill Chuck for Tailstock</v>
      </c>
      <c r="D1111">
        <v>1</v>
      </c>
      <c r="E1111" t="str">
        <f t="shared" si="311"/>
        <v>BenchTURN 7000 Bundle</v>
      </c>
      <c r="F1111">
        <v>0</v>
      </c>
      <c r="G1111" t="str">
        <f t="shared" si="305"/>
        <v>Y</v>
      </c>
      <c r="H1111" t="str">
        <f t="shared" si="304"/>
        <v>EA</v>
      </c>
      <c r="I1111">
        <v>0</v>
      </c>
      <c r="J1111">
        <v>0</v>
      </c>
      <c r="K1111" t="str">
        <f t="shared" si="306"/>
        <v>Y</v>
      </c>
      <c r="L1111">
        <v>0</v>
      </c>
      <c r="M1111" t="str">
        <f t="shared" si="307"/>
        <v>NIS</v>
      </c>
      <c r="O1111">
        <v>5</v>
      </c>
      <c r="P1111" t="str">
        <f t="shared" si="295"/>
        <v>Active</v>
      </c>
      <c r="Q1111" t="str">
        <f>"Drill Chuck for Tailstock MT2 13mm"</f>
        <v>Drill Chuck for Tailstock MT2 13mm</v>
      </c>
      <c r="S1111" t="str">
        <f>"Drill Chuck for Tailstock MT2 13mm"</f>
        <v>Drill Chuck for Tailstock MT2 13mm</v>
      </c>
      <c r="T1111">
        <v>0</v>
      </c>
      <c r="U1111">
        <v>21.07</v>
      </c>
      <c r="V1111">
        <v>23.52</v>
      </c>
      <c r="W1111" t="str">
        <f t="shared" si="312"/>
        <v>zintel</v>
      </c>
    </row>
    <row r="1112" spans="1:23">
      <c r="A1112" t="str">
        <f t="shared" si="310"/>
        <v>CNC-7000-BNDL</v>
      </c>
      <c r="B1112" t="str">
        <f>"10-1106-6000"</f>
        <v>10-1106-6000</v>
      </c>
      <c r="C1112" t="str">
        <f>"- Rolling center"</f>
        <v>- Rolling center</v>
      </c>
      <c r="D1112">
        <v>1</v>
      </c>
      <c r="E1112" t="str">
        <f t="shared" si="311"/>
        <v>BenchTURN 7000 Bundle</v>
      </c>
      <c r="F1112">
        <v>0</v>
      </c>
      <c r="G1112" t="str">
        <f t="shared" si="305"/>
        <v>Y</v>
      </c>
      <c r="H1112" t="str">
        <f t="shared" si="304"/>
        <v>EA</v>
      </c>
      <c r="I1112">
        <v>0</v>
      </c>
      <c r="J1112">
        <v>0</v>
      </c>
      <c r="K1112" t="str">
        <f t="shared" si="306"/>
        <v>Y</v>
      </c>
      <c r="L1112">
        <v>0</v>
      </c>
      <c r="M1112" t="str">
        <f t="shared" si="307"/>
        <v>NIS</v>
      </c>
      <c r="O1112">
        <v>6</v>
      </c>
      <c r="P1112" t="str">
        <f t="shared" si="295"/>
        <v>Active</v>
      </c>
      <c r="Q1112" t="str">
        <f>"Rolling center"</f>
        <v>Rolling center</v>
      </c>
      <c r="S1112" t="str">
        <f>"Rolling center"</f>
        <v>Rolling center</v>
      </c>
      <c r="T1112">
        <v>0</v>
      </c>
      <c r="U1112">
        <v>23.42</v>
      </c>
      <c r="V1112">
        <v>23.55</v>
      </c>
      <c r="W1112" t="str">
        <f t="shared" si="312"/>
        <v>zintel</v>
      </c>
    </row>
    <row r="1113" spans="1:23">
      <c r="A1113" t="str">
        <f t="shared" si="310"/>
        <v>CNC-7000-BNDL</v>
      </c>
      <c r="B1113" t="str">
        <f>"10-9330-0000"</f>
        <v>10-9330-0000</v>
      </c>
      <c r="C1113" t="str">
        <f>"Stock Package, Delrin, Turn, 3/4""x3"""</f>
        <v>Stock Package, Delrin, Turn, 3/4"x3"</v>
      </c>
      <c r="D1113">
        <v>1</v>
      </c>
      <c r="E1113" t="str">
        <f t="shared" si="311"/>
        <v>BenchTURN 7000 Bundle</v>
      </c>
      <c r="F1113">
        <v>0</v>
      </c>
      <c r="G1113" t="str">
        <f t="shared" si="305"/>
        <v>Y</v>
      </c>
      <c r="H1113" t="str">
        <f t="shared" si="304"/>
        <v>EA</v>
      </c>
      <c r="I1113">
        <v>0</v>
      </c>
      <c r="J1113">
        <v>0</v>
      </c>
      <c r="K1113" t="str">
        <f t="shared" si="306"/>
        <v>Y</v>
      </c>
      <c r="L1113">
        <v>0</v>
      </c>
      <c r="M1113" t="str">
        <f t="shared" si="307"/>
        <v>NIS</v>
      </c>
      <c r="O1113">
        <v>7</v>
      </c>
      <c r="P1113" t="str">
        <f t="shared" si="295"/>
        <v>Active</v>
      </c>
      <c r="Q1113" t="str">
        <f>"Stock Package, Delrin, Turn, 3/4""x3"""</f>
        <v>Stock Package, Delrin, Turn, 3/4"x3"</v>
      </c>
      <c r="S1113" t="str">
        <f>"Stock Package, Delrin, Turn, 3/4""x3"""</f>
        <v>Stock Package, Delrin, Turn, 3/4"x3"</v>
      </c>
      <c r="T1113">
        <v>83</v>
      </c>
      <c r="U1113">
        <v>83</v>
      </c>
      <c r="V1113">
        <v>163.55000000000001</v>
      </c>
      <c r="W1113" t="str">
        <f t="shared" si="312"/>
        <v>zintel</v>
      </c>
    </row>
    <row r="1114" spans="1:23">
      <c r="A1114" t="str">
        <f t="shared" si="310"/>
        <v>CNC-7000-BNDL</v>
      </c>
      <c r="B1114" t="str">
        <f>"10-9140-0000"</f>
        <v>10-9140-0000</v>
      </c>
      <c r="C1114" t="str">
        <f>"Stock Package, Brass, Turn"</f>
        <v>Stock Package, Brass, Turn</v>
      </c>
      <c r="D1114">
        <v>1</v>
      </c>
      <c r="E1114" t="str">
        <f t="shared" si="311"/>
        <v>BenchTURN 7000 Bundle</v>
      </c>
      <c r="F1114">
        <v>0</v>
      </c>
      <c r="G1114" t="str">
        <f t="shared" si="305"/>
        <v>Y</v>
      </c>
      <c r="H1114" t="str">
        <f t="shared" si="304"/>
        <v>EA</v>
      </c>
      <c r="I1114">
        <v>0</v>
      </c>
      <c r="J1114">
        <v>0</v>
      </c>
      <c r="K1114" t="str">
        <f t="shared" si="306"/>
        <v>Y</v>
      </c>
      <c r="L1114">
        <v>0</v>
      </c>
      <c r="M1114" t="str">
        <f t="shared" si="307"/>
        <v>NIS</v>
      </c>
      <c r="O1114">
        <v>8</v>
      </c>
      <c r="P1114" t="str">
        <f t="shared" si="295"/>
        <v>Active</v>
      </c>
      <c r="Q1114" t="str">
        <f>"Stock Package, Brass, Turn"</f>
        <v>Stock Package, Brass, Turn</v>
      </c>
      <c r="S1114" t="str">
        <f>"Stock Package, Brass, Turn"</f>
        <v>Stock Package, Brass, Turn</v>
      </c>
      <c r="T1114">
        <v>165.84</v>
      </c>
      <c r="U1114">
        <v>160</v>
      </c>
      <c r="V1114">
        <v>170.92</v>
      </c>
      <c r="W1114" t="str">
        <f t="shared" si="312"/>
        <v>zintel</v>
      </c>
    </row>
    <row r="1115" spans="1:23">
      <c r="A1115" t="str">
        <f t="shared" si="310"/>
        <v>CNC-7000-BNDL</v>
      </c>
      <c r="B1115" t="str">
        <f>"77-8141-0001"</f>
        <v>77-8141-0001</v>
      </c>
      <c r="C1115" t="str">
        <f>"LM7 Content, Lab, CNC Turning w/BenchTurn 7000"</f>
        <v>LM7 Content, Lab, CNC Turning w/BenchTurn 7000</v>
      </c>
      <c r="D1115">
        <v>1</v>
      </c>
      <c r="E1115" t="str">
        <f t="shared" si="311"/>
        <v>BenchTURN 7000 Bundle</v>
      </c>
      <c r="F1115">
        <v>0</v>
      </c>
      <c r="G1115" t="str">
        <f t="shared" si="305"/>
        <v>Y</v>
      </c>
      <c r="H1115" t="str">
        <f t="shared" si="304"/>
        <v>EA</v>
      </c>
      <c r="I1115">
        <v>0</v>
      </c>
      <c r="J1115">
        <v>0</v>
      </c>
      <c r="K1115" t="str">
        <f t="shared" si="306"/>
        <v>Y</v>
      </c>
      <c r="L1115">
        <v>0</v>
      </c>
      <c r="M1115" t="str">
        <f t="shared" si="307"/>
        <v>NIS</v>
      </c>
      <c r="O1115">
        <v>9</v>
      </c>
      <c r="P1115" t="str">
        <f t="shared" si="295"/>
        <v>Active</v>
      </c>
      <c r="Q1115" t="str">
        <f>"LM7 Content, Lab, CNC Turning w/BenchTurn 7000"</f>
        <v>LM7 Content, Lab, CNC Turning w/BenchTurn 7000</v>
      </c>
      <c r="S1115" t="str">
        <f>"LM7 Content, Lab, CNC Turning w/BenchTurn 7000"</f>
        <v>LM7 Content, Lab, CNC Turning w/BenchTurn 7000</v>
      </c>
      <c r="T1115">
        <v>0</v>
      </c>
      <c r="U1115">
        <v>5</v>
      </c>
      <c r="V1115">
        <v>5</v>
      </c>
      <c r="W1115" t="str">
        <f t="shared" si="312"/>
        <v>zintel</v>
      </c>
    </row>
    <row r="1116" spans="1:23">
      <c r="A1116" t="str">
        <f t="shared" si="310"/>
        <v>CNC-7000-BNDL</v>
      </c>
      <c r="B1116" t="str">
        <f>"39-0000-0029"</f>
        <v>39-0000-0029</v>
      </c>
      <c r="C1116" t="str">
        <f>"Safety Glasses, clear"</f>
        <v>Safety Glasses, clear</v>
      </c>
      <c r="D1116">
        <v>2</v>
      </c>
      <c r="E1116" t="str">
        <f t="shared" si="311"/>
        <v>BenchTURN 7000 Bundle</v>
      </c>
      <c r="F1116">
        <v>0</v>
      </c>
      <c r="G1116" t="str">
        <f t="shared" si="305"/>
        <v>Y</v>
      </c>
      <c r="H1116" t="str">
        <f t="shared" si="304"/>
        <v>EA</v>
      </c>
      <c r="I1116">
        <v>0</v>
      </c>
      <c r="J1116">
        <v>0</v>
      </c>
      <c r="K1116" t="str">
        <f t="shared" si="306"/>
        <v>Y</v>
      </c>
      <c r="L1116">
        <v>0</v>
      </c>
      <c r="M1116" t="str">
        <f t="shared" si="307"/>
        <v>NIS</v>
      </c>
      <c r="O1116">
        <v>10</v>
      </c>
      <c r="P1116" t="str">
        <f t="shared" si="295"/>
        <v>Active</v>
      </c>
      <c r="Q1116" t="str">
        <f>"Safety Glasses, clear"</f>
        <v>Safety Glasses, clear</v>
      </c>
      <c r="R1116" t="str">
        <f>"1"</f>
        <v>1</v>
      </c>
      <c r="S1116" t="str">
        <f>"Safety Glasses, clear"</f>
        <v>Safety Glasses, clear</v>
      </c>
      <c r="T1116">
        <v>3.11</v>
      </c>
      <c r="U1116">
        <v>2.19</v>
      </c>
      <c r="V1116">
        <v>1.78</v>
      </c>
      <c r="W1116" t="str">
        <f t="shared" si="312"/>
        <v>zintel</v>
      </c>
    </row>
    <row r="1117" spans="1:23">
      <c r="A1117" t="str">
        <f t="shared" si="310"/>
        <v>CNC-7000-BNDL</v>
      </c>
      <c r="B1117" t="str">
        <f>"63-6789-1000"</f>
        <v>63-6789-1000</v>
      </c>
      <c r="C1117" t="str">
        <f>"CNCMotion Software, All CNC Machines"</f>
        <v>CNCMotion Software, All CNC Machines</v>
      </c>
      <c r="D1117">
        <v>30</v>
      </c>
      <c r="E1117" t="str">
        <f t="shared" si="311"/>
        <v>BenchTURN 7000 Bundle</v>
      </c>
      <c r="F1117">
        <v>0</v>
      </c>
      <c r="G1117" t="str">
        <f t="shared" si="305"/>
        <v>Y</v>
      </c>
      <c r="H1117" t="str">
        <f t="shared" si="304"/>
        <v>EA</v>
      </c>
      <c r="I1117">
        <v>0</v>
      </c>
      <c r="J1117">
        <v>0</v>
      </c>
      <c r="K1117" t="str">
        <f t="shared" si="306"/>
        <v>Y</v>
      </c>
      <c r="L1117">
        <v>0</v>
      </c>
      <c r="M1117" t="str">
        <f t="shared" si="307"/>
        <v>NIS</v>
      </c>
      <c r="O1117">
        <v>11</v>
      </c>
      <c r="P1117" t="str">
        <f t="shared" si="295"/>
        <v>Active</v>
      </c>
      <c r="Q1117" t="str">
        <f>"CNCMotion Software, All CNC Machinnew CNC Motion"</f>
        <v>CNCMotion Software, All CNC Machinnew CNC Motion</v>
      </c>
      <c r="S1117" t="str">
        <f>"CNCMotion Software, All CNC Machines"</f>
        <v>CNCMotion Software, All CNC Machines</v>
      </c>
      <c r="T1117">
        <v>0</v>
      </c>
      <c r="U1117">
        <v>9.5</v>
      </c>
      <c r="V1117">
        <v>9.8800000000000008</v>
      </c>
      <c r="W1117" t="str">
        <f t="shared" si="312"/>
        <v>zintel</v>
      </c>
    </row>
    <row r="1118" spans="1:23">
      <c r="A1118" t="str">
        <f t="shared" ref="A1118:A1126" si="313">"CNC-7000-CLBA"</f>
        <v>CNC-7000-CLBA</v>
      </c>
      <c r="B1118" t="str">
        <f>"17-8141-0001"</f>
        <v>17-8141-0001</v>
      </c>
      <c r="C1118" t="str">
        <f>"LM5.X Content, Lab, CNC Turning w/BenchTurn 7000"</f>
        <v>LM5.X Content, Lab, CNC Turning w/BenchTurn 7000</v>
      </c>
      <c r="D1118">
        <v>1</v>
      </c>
      <c r="E1118" t="str">
        <f t="shared" ref="E1118:E1126" si="314">"110V Bundle w BenchTurn 7000, CNCBase,15 Hrs Lab Instr, Tailstock &amp; Chuck, Jog Pend 4ATC, Cutters"</f>
        <v>110V Bundle w BenchTurn 7000, CNCBase,15 Hrs Lab Instr, Tailstock &amp; Chuck, Jog Pend 4ATC, Cutters</v>
      </c>
      <c r="F1118">
        <v>0</v>
      </c>
      <c r="G1118" t="str">
        <f t="shared" si="305"/>
        <v>Y</v>
      </c>
      <c r="H1118" t="str">
        <f t="shared" si="304"/>
        <v>EA</v>
      </c>
      <c r="I1118">
        <v>0</v>
      </c>
      <c r="J1118">
        <v>0</v>
      </c>
      <c r="K1118" t="str">
        <f t="shared" si="306"/>
        <v>Y</v>
      </c>
      <c r="L1118">
        <v>0</v>
      </c>
      <c r="M1118" t="str">
        <f t="shared" si="307"/>
        <v>NIS</v>
      </c>
      <c r="O1118">
        <v>1</v>
      </c>
      <c r="P1118" t="str">
        <f t="shared" si="295"/>
        <v>Active</v>
      </c>
      <c r="Q1118" t="str">
        <f>"LM5.X Content, Lab, CNC Turning w/BenchTurn 7000"</f>
        <v>LM5.X Content, Lab, CNC Turning w/BenchTurn 7000</v>
      </c>
      <c r="S1118" t="str">
        <f>"LM5.X Content, Lab, CNC Turning w/BenchTurn 7000"</f>
        <v>LM5.X Content, Lab, CNC Turning w/BenchTurn 7000</v>
      </c>
      <c r="T1118">
        <v>0</v>
      </c>
      <c r="U1118">
        <v>5</v>
      </c>
      <c r="V1118">
        <v>5</v>
      </c>
      <c r="W1118" t="str">
        <f t="shared" si="312"/>
        <v>zintel</v>
      </c>
    </row>
    <row r="1119" spans="1:23">
      <c r="A1119" t="str">
        <f t="shared" si="313"/>
        <v>CNC-7000-CLBA</v>
      </c>
      <c r="B1119" t="str">
        <f>"10-1111-1000"</f>
        <v>10-1111-1000</v>
      </c>
      <c r="C1119" t="str">
        <f>"- Handwheel - Manual Control"</f>
        <v>- Handwheel - Manual Control</v>
      </c>
      <c r="D1119">
        <v>1</v>
      </c>
      <c r="E1119" t="str">
        <f t="shared" si="314"/>
        <v>110V Bundle w BenchTurn 7000, CNCBase,15 Hrs Lab Instr, Tailstock &amp; Chuck, Jog Pend 4ATC, Cutters</v>
      </c>
      <c r="F1119">
        <v>0</v>
      </c>
      <c r="G1119" t="str">
        <f t="shared" si="305"/>
        <v>Y</v>
      </c>
      <c r="H1119" t="str">
        <f t="shared" si="304"/>
        <v>EA</v>
      </c>
      <c r="I1119">
        <v>0</v>
      </c>
      <c r="J1119">
        <v>0</v>
      </c>
      <c r="K1119" t="str">
        <f t="shared" si="306"/>
        <v>Y</v>
      </c>
      <c r="L1119">
        <v>0</v>
      </c>
      <c r="M1119" t="str">
        <f t="shared" si="307"/>
        <v>NIS</v>
      </c>
      <c r="O1119">
        <v>2</v>
      </c>
      <c r="P1119" t="str">
        <f t="shared" si="295"/>
        <v>Active</v>
      </c>
      <c r="Q1119" t="str">
        <f>"Jog Pendant Handwheel"</f>
        <v>Jog Pendant Handwheel</v>
      </c>
      <c r="S1119" t="str">
        <f>"Jog Pendant Handwheel"</f>
        <v>Jog Pendant Handwheel</v>
      </c>
      <c r="T1119">
        <v>0</v>
      </c>
      <c r="U1119">
        <v>235</v>
      </c>
      <c r="V1119">
        <v>235.03</v>
      </c>
      <c r="W1119" t="str">
        <f t="shared" si="312"/>
        <v>zintel</v>
      </c>
    </row>
    <row r="1120" spans="1:23">
      <c r="A1120" t="str">
        <f t="shared" si="313"/>
        <v>CNC-7000-CLBA</v>
      </c>
      <c r="B1120" t="str">
        <f>"10-1105-7000"</f>
        <v>10-1105-7000</v>
      </c>
      <c r="C1120" t="str">
        <f>"Drill Chuck for Tailstock"</f>
        <v>Drill Chuck for Tailstock</v>
      </c>
      <c r="D1120">
        <v>1</v>
      </c>
      <c r="E1120" t="str">
        <f t="shared" si="314"/>
        <v>110V Bundle w BenchTurn 7000, CNCBase,15 Hrs Lab Instr, Tailstock &amp; Chuck, Jog Pend 4ATC, Cutters</v>
      </c>
      <c r="F1120">
        <v>0</v>
      </c>
      <c r="G1120" t="str">
        <f t="shared" si="305"/>
        <v>Y</v>
      </c>
      <c r="H1120" t="str">
        <f t="shared" si="304"/>
        <v>EA</v>
      </c>
      <c r="I1120">
        <v>0</v>
      </c>
      <c r="J1120">
        <v>0</v>
      </c>
      <c r="K1120" t="str">
        <f t="shared" si="306"/>
        <v>Y</v>
      </c>
      <c r="L1120">
        <v>0</v>
      </c>
      <c r="M1120" t="str">
        <f t="shared" si="307"/>
        <v>NIS</v>
      </c>
      <c r="O1120">
        <v>3</v>
      </c>
      <c r="P1120" t="str">
        <f t="shared" ref="P1120:P1151" si="315">"Active"</f>
        <v>Active</v>
      </c>
      <c r="Q1120" t="str">
        <f>"Tailstock extender MT2 13mm tailstock chuck"</f>
        <v>Tailstock extender MT2 13mm tailstock chuck</v>
      </c>
      <c r="S1120" t="str">
        <f>"Drill Chuck for Tailstock MT2 13mm"</f>
        <v>Drill Chuck for Tailstock MT2 13mm</v>
      </c>
      <c r="T1120">
        <v>0</v>
      </c>
      <c r="U1120">
        <v>21.07</v>
      </c>
      <c r="V1120">
        <v>23.52</v>
      </c>
      <c r="W1120" t="str">
        <f t="shared" si="312"/>
        <v>zintel</v>
      </c>
    </row>
    <row r="1121" spans="1:23">
      <c r="A1121" t="str">
        <f t="shared" si="313"/>
        <v>CNC-7000-CLBA</v>
      </c>
      <c r="B1121" t="str">
        <f>"10-1110-1000"</f>
        <v>10-1110-1000</v>
      </c>
      <c r="C1121" t="str">
        <f>"10 x 10mm cutter tool holder"</f>
        <v>10 x 10mm cutter tool holder</v>
      </c>
      <c r="D1121">
        <v>1</v>
      </c>
      <c r="E1121" t="str">
        <f t="shared" si="314"/>
        <v>110V Bundle w BenchTurn 7000, CNCBase,15 Hrs Lab Instr, Tailstock &amp; Chuck, Jog Pend 4ATC, Cutters</v>
      </c>
      <c r="F1121">
        <v>0</v>
      </c>
      <c r="G1121" t="str">
        <f t="shared" si="305"/>
        <v>Y</v>
      </c>
      <c r="H1121" t="str">
        <f t="shared" si="304"/>
        <v>EA</v>
      </c>
      <c r="I1121">
        <v>0</v>
      </c>
      <c r="J1121">
        <v>0</v>
      </c>
      <c r="K1121" t="str">
        <f t="shared" si="306"/>
        <v>Y</v>
      </c>
      <c r="L1121">
        <v>0</v>
      </c>
      <c r="M1121" t="str">
        <f t="shared" si="307"/>
        <v>NIS</v>
      </c>
      <c r="O1121">
        <v>4</v>
      </c>
      <c r="P1121" t="str">
        <f t="shared" si="315"/>
        <v>Active</v>
      </c>
      <c r="Q1121" t="str">
        <f>"10x10mm TiN coated cutter set (replaceable tip)"</f>
        <v>10x10mm TiN coated cutter set (replaceable tip)</v>
      </c>
      <c r="S1121" t="str">
        <f>"10x10mm TiN coated cutter set (replaceable tip)"</f>
        <v>10x10mm TiN coated cutter set (replaceable tip)</v>
      </c>
      <c r="T1121">
        <v>0</v>
      </c>
      <c r="U1121">
        <v>65</v>
      </c>
      <c r="V1121">
        <v>65.540000000000006</v>
      </c>
      <c r="W1121" t="str">
        <f t="shared" si="312"/>
        <v>zintel</v>
      </c>
    </row>
    <row r="1122" spans="1:23">
      <c r="A1122" t="str">
        <f t="shared" si="313"/>
        <v>CNC-7000-CLBA</v>
      </c>
      <c r="B1122" t="str">
        <f>"10-9140-0000"</f>
        <v>10-9140-0000</v>
      </c>
      <c r="C1122" t="str">
        <f>"Stock Package, Brass, Turn"</f>
        <v>Stock Package, Brass, Turn</v>
      </c>
      <c r="D1122">
        <v>1</v>
      </c>
      <c r="E1122" t="str">
        <f t="shared" si="314"/>
        <v>110V Bundle w BenchTurn 7000, CNCBase,15 Hrs Lab Instr, Tailstock &amp; Chuck, Jog Pend 4ATC, Cutters</v>
      </c>
      <c r="F1122">
        <v>0</v>
      </c>
      <c r="G1122" t="str">
        <f t="shared" si="305"/>
        <v>Y</v>
      </c>
      <c r="H1122" t="str">
        <f t="shared" si="304"/>
        <v>EA</v>
      </c>
      <c r="I1122">
        <v>0</v>
      </c>
      <c r="J1122">
        <v>0</v>
      </c>
      <c r="K1122" t="str">
        <f t="shared" si="306"/>
        <v>Y</v>
      </c>
      <c r="L1122">
        <v>0</v>
      </c>
      <c r="M1122" t="str">
        <f t="shared" si="307"/>
        <v>NIS</v>
      </c>
      <c r="O1122">
        <v>5</v>
      </c>
      <c r="P1122" t="str">
        <f t="shared" si="315"/>
        <v>Active</v>
      </c>
      <c r="Q1122" t="str">
        <f>"Stock Package, Brass, Turn"</f>
        <v>Stock Package, Brass, Turn</v>
      </c>
      <c r="S1122" t="str">
        <f>"Stock Package, Brass, Turn"</f>
        <v>Stock Package, Brass, Turn</v>
      </c>
      <c r="T1122">
        <v>165.84</v>
      </c>
      <c r="U1122">
        <v>160</v>
      </c>
      <c r="V1122">
        <v>170.92</v>
      </c>
      <c r="W1122" t="str">
        <f t="shared" si="312"/>
        <v>zintel</v>
      </c>
    </row>
    <row r="1123" spans="1:23">
      <c r="A1123" t="str">
        <f t="shared" si="313"/>
        <v>CNC-7000-CLBA</v>
      </c>
      <c r="B1123" t="str">
        <f>"00-5504-0110"</f>
        <v>00-5504-0110</v>
      </c>
      <c r="C1123" t="str">
        <f>"CNC BenchTurn 7000  110V"</f>
        <v>CNC BenchTurn 7000  110V</v>
      </c>
      <c r="D1123">
        <v>1</v>
      </c>
      <c r="E1123" t="str">
        <f t="shared" si="314"/>
        <v>110V Bundle w BenchTurn 7000, CNCBase,15 Hrs Lab Instr, Tailstock &amp; Chuck, Jog Pend 4ATC, Cutters</v>
      </c>
      <c r="F1123">
        <v>0</v>
      </c>
      <c r="G1123" t="str">
        <f t="shared" si="305"/>
        <v>Y</v>
      </c>
      <c r="H1123" t="str">
        <f t="shared" si="304"/>
        <v>EA</v>
      </c>
      <c r="I1123">
        <v>0</v>
      </c>
      <c r="J1123">
        <v>0</v>
      </c>
      <c r="K1123" t="str">
        <f t="shared" si="306"/>
        <v>Y</v>
      </c>
      <c r="L1123">
        <v>0</v>
      </c>
      <c r="M1123" t="str">
        <f t="shared" si="307"/>
        <v>NIS</v>
      </c>
      <c r="O1123">
        <v>6</v>
      </c>
      <c r="P1123" t="str">
        <f t="shared" si="315"/>
        <v>Active</v>
      </c>
      <c r="Q1123" t="str">
        <f>"CNC BenchTurn 7000 110V"</f>
        <v>CNC BenchTurn 7000 110V</v>
      </c>
      <c r="S1123" t="str">
        <f>"CNC BenchTurn 7000 110V"</f>
        <v>CNC BenchTurn 7000 110V</v>
      </c>
      <c r="T1123">
        <v>0</v>
      </c>
      <c r="U1123" s="44">
        <v>5095</v>
      </c>
      <c r="V1123" s="44">
        <v>5076</v>
      </c>
      <c r="W1123" t="str">
        <f t="shared" si="312"/>
        <v>zintel</v>
      </c>
    </row>
    <row r="1124" spans="1:23">
      <c r="A1124" t="str">
        <f t="shared" si="313"/>
        <v>CNC-7000-CLBA</v>
      </c>
      <c r="B1124" t="str">
        <f>"10-1106-6000"</f>
        <v>10-1106-6000</v>
      </c>
      <c r="C1124" t="str">
        <f>"- Rolling center"</f>
        <v>- Rolling center</v>
      </c>
      <c r="D1124">
        <v>1</v>
      </c>
      <c r="E1124" t="str">
        <f t="shared" si="314"/>
        <v>110V Bundle w BenchTurn 7000, CNCBase,15 Hrs Lab Instr, Tailstock &amp; Chuck, Jog Pend 4ATC, Cutters</v>
      </c>
      <c r="F1124">
        <v>0</v>
      </c>
      <c r="G1124" t="str">
        <f t="shared" si="305"/>
        <v>Y</v>
      </c>
      <c r="H1124" t="str">
        <f t="shared" si="304"/>
        <v>EA</v>
      </c>
      <c r="I1124">
        <v>0</v>
      </c>
      <c r="J1124">
        <v>0</v>
      </c>
      <c r="K1124" t="str">
        <f t="shared" si="306"/>
        <v>Y</v>
      </c>
      <c r="L1124">
        <v>0</v>
      </c>
      <c r="M1124" t="str">
        <f t="shared" si="307"/>
        <v>NIS</v>
      </c>
      <c r="O1124">
        <v>7</v>
      </c>
      <c r="P1124" t="str">
        <f t="shared" si="315"/>
        <v>Active</v>
      </c>
      <c r="Q1124" t="str">
        <f>"Rolling center"</f>
        <v>Rolling center</v>
      </c>
      <c r="S1124" t="str">
        <f>"Rolling center"</f>
        <v>Rolling center</v>
      </c>
      <c r="T1124">
        <v>0</v>
      </c>
      <c r="U1124">
        <v>23.42</v>
      </c>
      <c r="V1124">
        <v>23.55</v>
      </c>
      <c r="W1124" t="str">
        <f t="shared" si="312"/>
        <v>zintel</v>
      </c>
    </row>
    <row r="1125" spans="1:23">
      <c r="A1125" t="str">
        <f t="shared" si="313"/>
        <v>CNC-7000-CLBA</v>
      </c>
      <c r="B1125" t="str">
        <f>"33-2040-5001"</f>
        <v>33-2040-5001</v>
      </c>
      <c r="C1125" t="str">
        <f>"ICNC control software"</f>
        <v>ICNC control software</v>
      </c>
      <c r="D1125">
        <v>1</v>
      </c>
      <c r="E1125" t="str">
        <f t="shared" si="314"/>
        <v>110V Bundle w BenchTurn 7000, CNCBase,15 Hrs Lab Instr, Tailstock &amp; Chuck, Jog Pend 4ATC, Cutters</v>
      </c>
      <c r="F1125">
        <v>0</v>
      </c>
      <c r="G1125" t="str">
        <f t="shared" si="305"/>
        <v>Y</v>
      </c>
      <c r="H1125" t="str">
        <f t="shared" si="304"/>
        <v>EA</v>
      </c>
      <c r="I1125">
        <v>0</v>
      </c>
      <c r="J1125">
        <v>0</v>
      </c>
      <c r="K1125" t="str">
        <f t="shared" si="306"/>
        <v>Y</v>
      </c>
      <c r="L1125">
        <v>0</v>
      </c>
      <c r="M1125" t="str">
        <f t="shared" si="307"/>
        <v>NIS</v>
      </c>
      <c r="O1125">
        <v>8</v>
      </c>
      <c r="P1125" t="str">
        <f t="shared" si="315"/>
        <v>Active</v>
      </c>
      <c r="Q1125" t="str">
        <f>"ICNC control software version 5"</f>
        <v>ICNC control software version 5</v>
      </c>
      <c r="S1125" t="str">
        <f>"ICNC control software"</f>
        <v>ICNC control software</v>
      </c>
      <c r="T1125">
        <v>0</v>
      </c>
      <c r="U1125">
        <v>0</v>
      </c>
      <c r="V1125">
        <v>0</v>
      </c>
      <c r="W1125" t="str">
        <f t="shared" si="312"/>
        <v>zintel</v>
      </c>
    </row>
    <row r="1126" spans="1:23">
      <c r="A1126" t="str">
        <f t="shared" si="313"/>
        <v>CNC-7000-CLBA</v>
      </c>
      <c r="B1126" t="str">
        <f>"34-0000-7000"</f>
        <v>34-0000-7000</v>
      </c>
      <c r="C1126" t="str">
        <f>"Benchturn 7000 Quick Start Guide"</f>
        <v>Benchturn 7000 Quick Start Guide</v>
      </c>
      <c r="D1126">
        <v>1</v>
      </c>
      <c r="E1126" t="str">
        <f t="shared" si="314"/>
        <v>110V Bundle w BenchTurn 7000, CNCBase,15 Hrs Lab Instr, Tailstock &amp; Chuck, Jog Pend 4ATC, Cutters</v>
      </c>
      <c r="F1126">
        <v>0</v>
      </c>
      <c r="G1126" t="str">
        <f t="shared" si="305"/>
        <v>Y</v>
      </c>
      <c r="H1126" t="str">
        <f t="shared" si="304"/>
        <v>EA</v>
      </c>
      <c r="I1126">
        <v>0</v>
      </c>
      <c r="J1126">
        <v>0</v>
      </c>
      <c r="K1126" t="str">
        <f t="shared" si="306"/>
        <v>Y</v>
      </c>
      <c r="L1126">
        <v>0</v>
      </c>
      <c r="M1126" t="str">
        <f t="shared" si="307"/>
        <v>NIS</v>
      </c>
      <c r="O1126">
        <v>9</v>
      </c>
      <c r="P1126" t="str">
        <f t="shared" si="315"/>
        <v>Active</v>
      </c>
      <c r="Q1126" t="str">
        <f>"Benchturn 7000 Quick Start Guide"</f>
        <v>Benchturn 7000 Quick Start Guide</v>
      </c>
      <c r="S1126" t="str">
        <f>"Benchturn 7000 Quick Start Guide"</f>
        <v>Benchturn 7000 Quick Start Guide</v>
      </c>
      <c r="T1126">
        <v>0</v>
      </c>
      <c r="U1126">
        <v>0</v>
      </c>
      <c r="V1126">
        <v>0</v>
      </c>
      <c r="W1126" t="str">
        <f t="shared" si="312"/>
        <v>zintel</v>
      </c>
    </row>
    <row r="1127" spans="1:23">
      <c r="A1127" t="str">
        <f>"CNC-7000-LMOO-2"</f>
        <v>CNC-7000-LMOO-2</v>
      </c>
      <c r="B1127" t="str">
        <f>"63-7001-1000"</f>
        <v>63-7001-1000</v>
      </c>
      <c r="C1127" t="str">
        <f>"-CNCMotion for BenchTurn 7000"</f>
        <v>-CNCMotion for BenchTurn 7000</v>
      </c>
      <c r="D1127">
        <v>30</v>
      </c>
      <c r="E1127" t="str">
        <f>"Virtual/Metric Milling Tech for BenchMill 6000 w 30 Seats CNCMotion &amp; 15 Hrs Virtual eLearning"</f>
        <v>Virtual/Metric Milling Tech for BenchMill 6000 w 30 Seats CNCMotion &amp; 15 Hrs Virtual eLearning</v>
      </c>
      <c r="F1127">
        <v>0</v>
      </c>
      <c r="G1127" t="str">
        <f t="shared" si="305"/>
        <v>Y</v>
      </c>
      <c r="H1127" t="str">
        <f t="shared" si="304"/>
        <v>EA</v>
      </c>
      <c r="I1127">
        <v>0</v>
      </c>
      <c r="J1127">
        <v>0</v>
      </c>
      <c r="K1127" t="str">
        <f t="shared" si="306"/>
        <v>Y</v>
      </c>
      <c r="L1127">
        <v>0</v>
      </c>
      <c r="M1127" t="str">
        <f t="shared" si="307"/>
        <v>NIS</v>
      </c>
      <c r="O1127">
        <v>1</v>
      </c>
      <c r="P1127" t="str">
        <f t="shared" si="315"/>
        <v>Active</v>
      </c>
      <c r="Q1127" t="str">
        <f>"CNCMotion Sim. Sftwr, BenchTurn 7000"</f>
        <v>CNCMotion Sim. Sftwr, BenchTurn 7000</v>
      </c>
      <c r="S1127" t="str">
        <f>"CNCMotion Sim. Sftwr, BenchTurn 7000"</f>
        <v>CNCMotion Sim. Sftwr, BenchTurn 7000</v>
      </c>
      <c r="T1127">
        <v>0</v>
      </c>
      <c r="U1127">
        <v>10</v>
      </c>
      <c r="V1127">
        <v>0</v>
      </c>
      <c r="W1127" t="str">
        <f t="shared" si="312"/>
        <v>zintel</v>
      </c>
    </row>
    <row r="1128" spans="1:23">
      <c r="A1128" t="str">
        <f>"CNC-7000-LMOO-2"</f>
        <v>CNC-7000-LMOO-2</v>
      </c>
      <c r="B1128" t="str">
        <f>"17-3140-0002"</f>
        <v>17-3140-0002</v>
      </c>
      <c r="C1128" t="str">
        <f>"LM5 Content,Vir, CNCMilling w/BenchMill 6000 (M)"</f>
        <v>LM5 Content,Vir, CNCMilling w/BenchMill 6000 (M)</v>
      </c>
      <c r="D1128">
        <v>1</v>
      </c>
      <c r="E1128" t="str">
        <f>"Virtual/Metric Milling Tech for BenchMill 6000 w 30 Seats CNCMotion &amp; 15 Hrs Virtual eLearning"</f>
        <v>Virtual/Metric Milling Tech for BenchMill 6000 w 30 Seats CNCMotion &amp; 15 Hrs Virtual eLearning</v>
      </c>
      <c r="F1128">
        <v>0</v>
      </c>
      <c r="G1128" t="str">
        <f t="shared" si="305"/>
        <v>Y</v>
      </c>
      <c r="H1128" t="str">
        <f t="shared" si="304"/>
        <v>EA</v>
      </c>
      <c r="I1128">
        <v>0</v>
      </c>
      <c r="J1128">
        <v>0</v>
      </c>
      <c r="K1128" t="str">
        <f t="shared" si="306"/>
        <v>Y</v>
      </c>
      <c r="L1128">
        <v>0</v>
      </c>
      <c r="M1128" t="str">
        <f t="shared" si="307"/>
        <v>NIS</v>
      </c>
      <c r="O1128">
        <v>2</v>
      </c>
      <c r="P1128" t="str">
        <f t="shared" si="315"/>
        <v>Active</v>
      </c>
      <c r="Q1128" t="str">
        <f>"LM5 Content,Vir, CNCMilling w/BenchMill 6000 (M)"</f>
        <v>LM5 Content,Vir, CNCMilling w/BenchMill 6000 (M)</v>
      </c>
      <c r="S1128" t="str">
        <f>"LM5 Content,Vir, CNCMilling w/BenchMill 6000 (M)"</f>
        <v>LM5 Content,Vir, CNCMilling w/BenchMill 6000 (M)</v>
      </c>
      <c r="T1128">
        <v>0</v>
      </c>
      <c r="U1128">
        <v>5</v>
      </c>
      <c r="V1128">
        <v>5</v>
      </c>
      <c r="W1128" t="str">
        <f t="shared" si="312"/>
        <v>zintel</v>
      </c>
    </row>
    <row r="1129" spans="1:23">
      <c r="A1129" t="str">
        <f t="shared" ref="A1129:A1134" si="316">"CNC-7000-STRT"</f>
        <v>CNC-7000-STRT</v>
      </c>
      <c r="B1129" t="str">
        <f>"00-5504-0110"</f>
        <v>00-5504-0110</v>
      </c>
      <c r="C1129" t="str">
        <f>"CNC BenchTurn 7000  110V"</f>
        <v>CNC BenchTurn 7000  110V</v>
      </c>
      <c r="D1129">
        <v>1</v>
      </c>
      <c r="E1129" t="str">
        <f t="shared" ref="E1129:E1134" si="317">"BenchTURN 7000 Starter Bundle, Imp/Met, 110/220 VAC"</f>
        <v>BenchTURN 7000 Starter Bundle, Imp/Met, 110/220 VAC</v>
      </c>
      <c r="F1129">
        <v>0</v>
      </c>
      <c r="G1129" t="str">
        <f t="shared" si="305"/>
        <v>Y</v>
      </c>
      <c r="H1129" t="str">
        <f t="shared" si="304"/>
        <v>EA</v>
      </c>
      <c r="I1129">
        <v>0</v>
      </c>
      <c r="J1129">
        <v>0</v>
      </c>
      <c r="K1129" t="str">
        <f t="shared" si="306"/>
        <v>Y</v>
      </c>
      <c r="L1129">
        <v>0</v>
      </c>
      <c r="M1129" t="str">
        <f t="shared" si="307"/>
        <v>NIS</v>
      </c>
      <c r="O1129">
        <v>1</v>
      </c>
      <c r="P1129" t="str">
        <f t="shared" si="315"/>
        <v>Active</v>
      </c>
      <c r="Q1129" t="str">
        <f>"CNC BenchTurn 7000 110V"</f>
        <v>CNC BenchTurn 7000 110V</v>
      </c>
      <c r="S1129" t="str">
        <f>"CNC BenchTurn 7000 110V"</f>
        <v>CNC BenchTurn 7000 110V</v>
      </c>
      <c r="T1129">
        <v>0</v>
      </c>
      <c r="U1129" s="44">
        <v>5095</v>
      </c>
      <c r="V1129" s="44">
        <v>5076</v>
      </c>
      <c r="W1129" t="str">
        <f t="shared" si="312"/>
        <v>zintel</v>
      </c>
    </row>
    <row r="1130" spans="1:23">
      <c r="A1130" t="str">
        <f t="shared" si="316"/>
        <v>CNC-7000-STRT</v>
      </c>
      <c r="B1130" t="str">
        <f>"10-1110-1000"</f>
        <v>10-1110-1000</v>
      </c>
      <c r="C1130" t="str">
        <f>"10 x 10mm cutter tool holder"</f>
        <v>10 x 10mm cutter tool holder</v>
      </c>
      <c r="D1130">
        <v>1</v>
      </c>
      <c r="E1130" t="str">
        <f t="shared" si="317"/>
        <v>BenchTURN 7000 Starter Bundle, Imp/Met, 110/220 VAC</v>
      </c>
      <c r="F1130">
        <v>0</v>
      </c>
      <c r="G1130" t="str">
        <f t="shared" si="305"/>
        <v>Y</v>
      </c>
      <c r="H1130" t="str">
        <f t="shared" si="304"/>
        <v>EA</v>
      </c>
      <c r="I1130">
        <v>0</v>
      </c>
      <c r="J1130">
        <v>0</v>
      </c>
      <c r="K1130" t="str">
        <f t="shared" si="306"/>
        <v>Y</v>
      </c>
      <c r="L1130">
        <v>0</v>
      </c>
      <c r="M1130" t="str">
        <f t="shared" si="307"/>
        <v>NIS</v>
      </c>
      <c r="O1130">
        <v>2</v>
      </c>
      <c r="P1130" t="str">
        <f t="shared" si="315"/>
        <v>Active</v>
      </c>
      <c r="Q1130" t="str">
        <f>"10x10mm TiN coated cutter set (replaceable tip)"</f>
        <v>10x10mm TiN coated cutter set (replaceable tip)</v>
      </c>
      <c r="S1130" t="str">
        <f>"10x10mm TiN coated cutter set (replaceable tip)"</f>
        <v>10x10mm TiN coated cutter set (replaceable tip)</v>
      </c>
      <c r="T1130">
        <v>0</v>
      </c>
      <c r="U1130">
        <v>65</v>
      </c>
      <c r="V1130">
        <v>65.540000000000006</v>
      </c>
      <c r="W1130" t="str">
        <f t="shared" si="312"/>
        <v>zintel</v>
      </c>
    </row>
    <row r="1131" spans="1:23">
      <c r="A1131" t="str">
        <f t="shared" si="316"/>
        <v>CNC-7000-STRT</v>
      </c>
      <c r="B1131" t="str">
        <f>"10-1110-2000"</f>
        <v>10-1110-2000</v>
      </c>
      <c r="C1131" t="str">
        <f>"TiN coated tip for 011101"</f>
        <v>TiN coated tip for 011101</v>
      </c>
      <c r="D1131">
        <v>1</v>
      </c>
      <c r="E1131" t="str">
        <f t="shared" si="317"/>
        <v>BenchTURN 7000 Starter Bundle, Imp/Met, 110/220 VAC</v>
      </c>
      <c r="F1131">
        <v>0</v>
      </c>
      <c r="G1131" t="str">
        <f t="shared" si="305"/>
        <v>Y</v>
      </c>
      <c r="H1131" t="str">
        <f t="shared" si="304"/>
        <v>EA</v>
      </c>
      <c r="I1131">
        <v>0</v>
      </c>
      <c r="J1131">
        <v>0</v>
      </c>
      <c r="K1131" t="str">
        <f t="shared" si="306"/>
        <v>Y</v>
      </c>
      <c r="L1131">
        <v>0</v>
      </c>
      <c r="M1131" t="str">
        <f t="shared" si="307"/>
        <v>NIS</v>
      </c>
      <c r="O1131">
        <v>3</v>
      </c>
      <c r="P1131" t="str">
        <f t="shared" si="315"/>
        <v>Active</v>
      </c>
      <c r="Q1131" t="str">
        <f>"TiN coated tip for 011101"</f>
        <v>TiN coated tip for 011101</v>
      </c>
      <c r="S1131" t="str">
        <f>"TiN coated tip for 011101"</f>
        <v>TiN coated tip for 011101</v>
      </c>
      <c r="T1131">
        <v>0</v>
      </c>
      <c r="U1131">
        <v>42</v>
      </c>
      <c r="V1131">
        <v>41.71</v>
      </c>
      <c r="W1131" t="str">
        <f t="shared" si="312"/>
        <v>zintel</v>
      </c>
    </row>
    <row r="1132" spans="1:23">
      <c r="A1132" t="str">
        <f t="shared" si="316"/>
        <v>CNC-7000-STRT</v>
      </c>
      <c r="B1132" t="str">
        <f>"10-1105-7000"</f>
        <v>10-1105-7000</v>
      </c>
      <c r="C1132" t="str">
        <f>"Drill Chuck for Tailstock"</f>
        <v>Drill Chuck for Tailstock</v>
      </c>
      <c r="D1132">
        <v>1</v>
      </c>
      <c r="E1132" t="str">
        <f t="shared" si="317"/>
        <v>BenchTURN 7000 Starter Bundle, Imp/Met, 110/220 VAC</v>
      </c>
      <c r="F1132">
        <v>0</v>
      </c>
      <c r="G1132" t="str">
        <f t="shared" si="305"/>
        <v>Y</v>
      </c>
      <c r="H1132" t="str">
        <f t="shared" si="304"/>
        <v>EA</v>
      </c>
      <c r="I1132">
        <v>0</v>
      </c>
      <c r="J1132">
        <v>0</v>
      </c>
      <c r="K1132" t="str">
        <f t="shared" si="306"/>
        <v>Y</v>
      </c>
      <c r="L1132">
        <v>0</v>
      </c>
      <c r="M1132" t="str">
        <f t="shared" si="307"/>
        <v>NIS</v>
      </c>
      <c r="O1132">
        <v>4</v>
      </c>
      <c r="P1132" t="str">
        <f t="shared" si="315"/>
        <v>Active</v>
      </c>
      <c r="Q1132" t="str">
        <f>"Drill Chuck for Tailstock MT2 13mm"</f>
        <v>Drill Chuck for Tailstock MT2 13mm</v>
      </c>
      <c r="S1132" t="str">
        <f>"Drill Chuck for Tailstock MT2 13mm"</f>
        <v>Drill Chuck for Tailstock MT2 13mm</v>
      </c>
      <c r="T1132">
        <v>0</v>
      </c>
      <c r="U1132">
        <v>21.07</v>
      </c>
      <c r="V1132">
        <v>23.52</v>
      </c>
      <c r="W1132" t="str">
        <f t="shared" si="312"/>
        <v>zintel</v>
      </c>
    </row>
    <row r="1133" spans="1:23">
      <c r="A1133" t="str">
        <f t="shared" si="316"/>
        <v>CNC-7000-STRT</v>
      </c>
      <c r="B1133" t="str">
        <f>"10-1106-6000"</f>
        <v>10-1106-6000</v>
      </c>
      <c r="C1133" t="str">
        <f>"- Rolling center"</f>
        <v>- Rolling center</v>
      </c>
      <c r="D1133">
        <v>1</v>
      </c>
      <c r="E1133" t="str">
        <f t="shared" si="317"/>
        <v>BenchTURN 7000 Starter Bundle, Imp/Met, 110/220 VAC</v>
      </c>
      <c r="F1133">
        <v>0</v>
      </c>
      <c r="G1133" t="str">
        <f t="shared" si="305"/>
        <v>Y</v>
      </c>
      <c r="H1133" t="str">
        <f t="shared" si="304"/>
        <v>EA</v>
      </c>
      <c r="I1133">
        <v>0</v>
      </c>
      <c r="J1133">
        <v>0</v>
      </c>
      <c r="K1133" t="str">
        <f t="shared" si="306"/>
        <v>Y</v>
      </c>
      <c r="L1133">
        <v>0</v>
      </c>
      <c r="M1133" t="str">
        <f t="shared" si="307"/>
        <v>NIS</v>
      </c>
      <c r="O1133">
        <v>5</v>
      </c>
      <c r="P1133" t="str">
        <f t="shared" si="315"/>
        <v>Active</v>
      </c>
      <c r="Q1133" t="str">
        <f>"Rolling center"</f>
        <v>Rolling center</v>
      </c>
      <c r="S1133" t="str">
        <f>"Rolling center"</f>
        <v>Rolling center</v>
      </c>
      <c r="T1133">
        <v>0</v>
      </c>
      <c r="U1133">
        <v>23.42</v>
      </c>
      <c r="V1133">
        <v>23.55</v>
      </c>
      <c r="W1133" t="str">
        <f t="shared" si="312"/>
        <v>zintel</v>
      </c>
    </row>
    <row r="1134" spans="1:23">
      <c r="A1134" t="str">
        <f t="shared" si="316"/>
        <v>CNC-7000-STRT</v>
      </c>
      <c r="B1134" t="str">
        <f>"77-3141-0001"</f>
        <v>77-3141-0001</v>
      </c>
      <c r="C1134" t="str">
        <f>"LM7 Content, Vir, CNC Turning w/BenchTurn 7000"</f>
        <v>LM7 Content, Vir, CNC Turning w/BenchTurn 7000</v>
      </c>
      <c r="D1134">
        <v>1</v>
      </c>
      <c r="E1134" t="str">
        <f t="shared" si="317"/>
        <v>BenchTURN 7000 Starter Bundle, Imp/Met, 110/220 VAC</v>
      </c>
      <c r="F1134">
        <v>0</v>
      </c>
      <c r="G1134" t="str">
        <f t="shared" si="305"/>
        <v>Y</v>
      </c>
      <c r="H1134" t="str">
        <f t="shared" si="304"/>
        <v>EA</v>
      </c>
      <c r="I1134">
        <v>0</v>
      </c>
      <c r="J1134">
        <v>0</v>
      </c>
      <c r="K1134" t="str">
        <f t="shared" si="306"/>
        <v>Y</v>
      </c>
      <c r="L1134">
        <v>0</v>
      </c>
      <c r="M1134" t="str">
        <f t="shared" si="307"/>
        <v>NIS</v>
      </c>
      <c r="O1134">
        <v>6</v>
      </c>
      <c r="P1134" t="str">
        <f t="shared" si="315"/>
        <v>Active</v>
      </c>
      <c r="Q1134" t="str">
        <f>"LM7 Content, Vir, CNC Turning w/BenchTurn 7000"</f>
        <v>LM7 Content, Vir, CNC Turning w/BenchTurn 7000</v>
      </c>
      <c r="S1134" t="str">
        <f>"LM7 Content, Vir, CNC Turning w/BenchTurn 7000"</f>
        <v>LM7 Content, Vir, CNC Turning w/BenchTurn 7000</v>
      </c>
      <c r="T1134">
        <v>0</v>
      </c>
      <c r="U1134">
        <v>5</v>
      </c>
      <c r="V1134">
        <v>5</v>
      </c>
      <c r="W1134" t="str">
        <f t="shared" si="312"/>
        <v>zintel</v>
      </c>
    </row>
    <row r="1135" spans="1:23">
      <c r="A1135" t="str">
        <f t="shared" ref="A1135:A1154" si="318">"CNC-8000AC-12"</f>
        <v>CNC-8000AC-12</v>
      </c>
      <c r="B1135" t="str">
        <f>"00-5509-0220"</f>
        <v>00-5509-0220</v>
      </c>
      <c r="C1135" t="str">
        <f>"ProMill 8000 AC with 12 Tool ATC"</f>
        <v>ProMill 8000 AC with 12 Tool ATC</v>
      </c>
      <c r="D1135">
        <v>1</v>
      </c>
      <c r="E1135" t="str">
        <f t="shared" ref="E1135:E1154" si="319">"ProMill 8000AC - CNC Milling Machine - with 12 tools ATC (Factory installed)"</f>
        <v>ProMill 8000AC - CNC Milling Machine - with 12 tools ATC (Factory installed)</v>
      </c>
      <c r="F1135">
        <v>910</v>
      </c>
      <c r="G1135" t="str">
        <f t="shared" si="305"/>
        <v>Y</v>
      </c>
      <c r="H1135" t="str">
        <f t="shared" si="304"/>
        <v>EA</v>
      </c>
      <c r="I1135">
        <v>0</v>
      </c>
      <c r="J1135">
        <v>0</v>
      </c>
      <c r="K1135" t="str">
        <f t="shared" si="306"/>
        <v>Y</v>
      </c>
      <c r="L1135">
        <v>0</v>
      </c>
      <c r="M1135" t="str">
        <f t="shared" si="307"/>
        <v>NIS</v>
      </c>
      <c r="O1135">
        <v>1</v>
      </c>
      <c r="P1135" t="str">
        <f t="shared" si="315"/>
        <v>Active</v>
      </c>
      <c r="Q1135" t="str">
        <f>"ProMill 8000 AC with 12 Tool ATC 220V"</f>
        <v>ProMill 8000 AC with 12 Tool ATC 220V</v>
      </c>
      <c r="S1135" t="str">
        <f>"ProMill 8000 AC with 12 Tool ATC 220V"</f>
        <v>ProMill 8000 AC with 12 Tool ATC 220V</v>
      </c>
      <c r="T1135">
        <v>0</v>
      </c>
      <c r="U1135" s="44">
        <v>7800</v>
      </c>
      <c r="V1135" s="44">
        <v>7781.65</v>
      </c>
      <c r="W1135" t="str">
        <f t="shared" si="312"/>
        <v>zintel</v>
      </c>
    </row>
    <row r="1136" spans="1:23">
      <c r="A1136" t="str">
        <f t="shared" si="318"/>
        <v>CNC-8000AC-12</v>
      </c>
      <c r="B1136" t="str">
        <f>"10-1115-0000"</f>
        <v>10-1115-0000</v>
      </c>
      <c r="C1136" t="str">
        <f>"ER16 Collet set - 2 x (3,6,8,10mm)"</f>
        <v>ER16 Collet set - 2 x (3,6,8,10mm)</v>
      </c>
      <c r="D1136">
        <v>1</v>
      </c>
      <c r="E1136" t="str">
        <f t="shared" si="319"/>
        <v>ProMill 8000AC - CNC Milling Machine - with 12 tools ATC (Factory installed)</v>
      </c>
      <c r="F1136">
        <v>910</v>
      </c>
      <c r="G1136" t="str">
        <f t="shared" si="305"/>
        <v>Y</v>
      </c>
      <c r="H1136" t="str">
        <f t="shared" si="304"/>
        <v>EA</v>
      </c>
      <c r="I1136">
        <v>0</v>
      </c>
      <c r="J1136">
        <v>0</v>
      </c>
      <c r="K1136" t="str">
        <f t="shared" si="306"/>
        <v>Y</v>
      </c>
      <c r="L1136">
        <v>0</v>
      </c>
      <c r="M1136" t="str">
        <f t="shared" si="307"/>
        <v>NIS</v>
      </c>
      <c r="O1136">
        <v>20</v>
      </c>
      <c r="P1136" t="str">
        <f t="shared" si="315"/>
        <v>Active</v>
      </c>
      <c r="Q1136" t="str">
        <f>"ER16 Collet set-8 pieces(2)3,(2)6,(2)8,(2)10mm"</f>
        <v>ER16 Collet set-8 pieces(2)3,(2)6,(2)8,(2)10mm</v>
      </c>
      <c r="S1136" t="str">
        <f>"ER16 Collet set-8 pieces(2)3,(2)6,(2)8,(2)10mm"</f>
        <v>ER16 Collet set-8 pieces(2)3,(2)6,(2)8,(2)10mm</v>
      </c>
      <c r="T1136">
        <v>0</v>
      </c>
      <c r="U1136">
        <v>71</v>
      </c>
      <c r="V1136">
        <v>70.63</v>
      </c>
      <c r="W1136" t="str">
        <f t="shared" si="312"/>
        <v>zintel</v>
      </c>
    </row>
    <row r="1137" spans="1:23">
      <c r="A1137" t="str">
        <f t="shared" si="318"/>
        <v>CNC-8000AC-12</v>
      </c>
      <c r="B1137" t="str">
        <f>"10-1111-6000"</f>
        <v>10-1111-6000</v>
      </c>
      <c r="C1137" t="str">
        <f>"4"" Vise"</f>
        <v>4" Vise</v>
      </c>
      <c r="D1137">
        <v>1</v>
      </c>
      <c r="E1137" t="str">
        <f t="shared" si="319"/>
        <v>ProMill 8000AC - CNC Milling Machine - with 12 tools ATC (Factory installed)</v>
      </c>
      <c r="F1137">
        <v>910</v>
      </c>
      <c r="G1137" t="str">
        <f t="shared" si="305"/>
        <v>Y</v>
      </c>
      <c r="H1137" t="str">
        <f t="shared" si="304"/>
        <v>EA</v>
      </c>
      <c r="I1137">
        <v>0</v>
      </c>
      <c r="J1137">
        <v>0</v>
      </c>
      <c r="K1137" t="str">
        <f t="shared" si="306"/>
        <v>Y</v>
      </c>
      <c r="L1137">
        <v>0</v>
      </c>
      <c r="M1137" t="str">
        <f t="shared" si="307"/>
        <v>NIS</v>
      </c>
      <c r="O1137">
        <v>3</v>
      </c>
      <c r="P1137" t="str">
        <f t="shared" si="315"/>
        <v>Active</v>
      </c>
      <c r="Q1137" t="str">
        <f>"4"" Precision Maching Vise"</f>
        <v>4" Precision Maching Vise</v>
      </c>
      <c r="S1137" t="str">
        <f>"4"" Precision Maching Vise"</f>
        <v>4" Precision Maching Vise</v>
      </c>
      <c r="T1137">
        <v>0</v>
      </c>
      <c r="U1137">
        <v>53</v>
      </c>
      <c r="V1137">
        <v>49.5</v>
      </c>
      <c r="W1137" t="str">
        <f t="shared" si="312"/>
        <v>zintel</v>
      </c>
    </row>
    <row r="1138" spans="1:23">
      <c r="A1138" t="str">
        <f t="shared" si="318"/>
        <v>CNC-8000AC-12</v>
      </c>
      <c r="B1138" t="str">
        <f>"10-1111-5000"</f>
        <v>10-1111-5000</v>
      </c>
      <c r="C1138" t="str">
        <f>"clamping kit 58 pcs set"</f>
        <v>clamping kit 58 pcs set</v>
      </c>
      <c r="D1138">
        <v>1</v>
      </c>
      <c r="E1138" t="str">
        <f t="shared" si="319"/>
        <v>ProMill 8000AC - CNC Milling Machine - with 12 tools ATC (Factory installed)</v>
      </c>
      <c r="F1138">
        <v>910</v>
      </c>
      <c r="G1138" t="str">
        <f t="shared" si="305"/>
        <v>Y</v>
      </c>
      <c r="H1138" t="str">
        <f t="shared" si="304"/>
        <v>EA</v>
      </c>
      <c r="I1138">
        <v>0</v>
      </c>
      <c r="J1138">
        <v>0</v>
      </c>
      <c r="K1138" t="str">
        <f t="shared" si="306"/>
        <v>Y</v>
      </c>
      <c r="L1138">
        <v>0</v>
      </c>
      <c r="M1138" t="str">
        <f t="shared" si="307"/>
        <v>NIS</v>
      </c>
      <c r="O1138">
        <v>4</v>
      </c>
      <c r="P1138" t="str">
        <f t="shared" si="315"/>
        <v>Active</v>
      </c>
      <c r="Q1138" t="str">
        <f>"clamping kit 58 pcs set"</f>
        <v>clamping kit 58 pcs set</v>
      </c>
      <c r="S1138" t="str">
        <f>"clamping kit 58 pcs set"</f>
        <v>clamping kit 58 pcs set</v>
      </c>
      <c r="T1138">
        <v>0</v>
      </c>
      <c r="U1138">
        <v>52</v>
      </c>
      <c r="V1138">
        <v>51.72</v>
      </c>
      <c r="W1138" t="str">
        <f t="shared" si="312"/>
        <v>zintel</v>
      </c>
    </row>
    <row r="1139" spans="1:23">
      <c r="A1139" t="str">
        <f t="shared" si="318"/>
        <v>CNC-8000AC-12</v>
      </c>
      <c r="B1139" t="str">
        <f>"10-1111-9000"</f>
        <v>10-1111-9000</v>
      </c>
      <c r="C1139" t="str">
        <f>"ISO 20 tool holder"</f>
        <v>ISO 20 tool holder</v>
      </c>
      <c r="D1139">
        <v>12</v>
      </c>
      <c r="E1139" t="str">
        <f t="shared" si="319"/>
        <v>ProMill 8000AC - CNC Milling Machine - with 12 tools ATC (Factory installed)</v>
      </c>
      <c r="F1139">
        <v>910</v>
      </c>
      <c r="G1139" t="str">
        <f t="shared" si="305"/>
        <v>Y</v>
      </c>
      <c r="H1139" t="str">
        <f t="shared" si="304"/>
        <v>EA</v>
      </c>
      <c r="I1139">
        <v>0</v>
      </c>
      <c r="J1139">
        <v>0</v>
      </c>
      <c r="K1139" t="str">
        <f t="shared" si="306"/>
        <v>Y</v>
      </c>
      <c r="L1139">
        <v>0</v>
      </c>
      <c r="M1139" t="str">
        <f t="shared" si="307"/>
        <v>NIS</v>
      </c>
      <c r="O1139">
        <v>13</v>
      </c>
      <c r="P1139" t="str">
        <f t="shared" si="315"/>
        <v>Active</v>
      </c>
      <c r="Q1139" t="str">
        <f>"ISO 20 tool holder with nut"</f>
        <v>ISO 20 tool holder with nut</v>
      </c>
      <c r="S1139" t="str">
        <f>"ISO 20 tool holder with nut"</f>
        <v>ISO 20 tool holder with nut</v>
      </c>
      <c r="T1139">
        <v>0</v>
      </c>
      <c r="U1139">
        <v>103</v>
      </c>
      <c r="V1139">
        <v>103.19</v>
      </c>
      <c r="W1139" t="str">
        <f t="shared" si="312"/>
        <v>zintel</v>
      </c>
    </row>
    <row r="1140" spans="1:23">
      <c r="A1140" t="str">
        <f t="shared" si="318"/>
        <v>CNC-8000AC-12</v>
      </c>
      <c r="B1140" t="str">
        <f>"10-1112-2000"</f>
        <v>10-1112-2000</v>
      </c>
      <c r="C1140" t="str">
        <f>"ER16 Collet set-8 pieces(3,4,5,6,7,8,9 and 10mm)"</f>
        <v>ER16 Collet set-8 pieces(3,4,5,6,7,8,9 and 10mm)</v>
      </c>
      <c r="D1140">
        <v>1</v>
      </c>
      <c r="E1140" t="str">
        <f t="shared" si="319"/>
        <v>ProMill 8000AC - CNC Milling Machine - with 12 tools ATC (Factory installed)</v>
      </c>
      <c r="F1140">
        <v>910</v>
      </c>
      <c r="G1140" t="str">
        <f t="shared" si="305"/>
        <v>Y</v>
      </c>
      <c r="H1140" t="str">
        <f t="shared" si="304"/>
        <v>EA</v>
      </c>
      <c r="I1140">
        <v>0</v>
      </c>
      <c r="J1140">
        <v>0</v>
      </c>
      <c r="K1140" t="str">
        <f t="shared" si="306"/>
        <v>Y</v>
      </c>
      <c r="L1140">
        <v>0</v>
      </c>
      <c r="M1140" t="str">
        <f t="shared" si="307"/>
        <v>NIS</v>
      </c>
      <c r="O1140">
        <v>5</v>
      </c>
      <c r="P1140" t="str">
        <f t="shared" si="315"/>
        <v>Active</v>
      </c>
      <c r="Q1140" t="str">
        <f>"ER16 Collet set-8 pieces(3,4,5,6,7,8,9 and 10mm)"</f>
        <v>ER16 Collet set-8 pieces(3,4,5,6,7,8,9 and 10mm)</v>
      </c>
      <c r="S1140" t="str">
        <f>"ER16 Collet set-8 pieces(3,4,5,6,7,8,9 and 10mm)"</f>
        <v>ER16 Collet set-8 pieces(3,4,5,6,7,8,9 and 10mm)</v>
      </c>
      <c r="T1140">
        <v>0</v>
      </c>
      <c r="U1140">
        <v>71</v>
      </c>
      <c r="V1140">
        <v>64.84</v>
      </c>
      <c r="W1140" t="str">
        <f t="shared" si="312"/>
        <v>zintel</v>
      </c>
    </row>
    <row r="1141" spans="1:23">
      <c r="A1141" t="str">
        <f t="shared" si="318"/>
        <v>CNC-8000AC-12</v>
      </c>
      <c r="B1141" t="str">
        <f>"10-1113-4000"</f>
        <v>10-1113-4000</v>
      </c>
      <c r="C1141" t="str">
        <f>"Metric End Mill Package(2X 3,6,8,10End,4,6 Ball)"</f>
        <v>Metric End Mill Package(2X 3,6,8,10End,4,6 Ball)</v>
      </c>
      <c r="D1141">
        <v>1</v>
      </c>
      <c r="E1141" t="str">
        <f t="shared" si="319"/>
        <v>ProMill 8000AC - CNC Milling Machine - with 12 tools ATC (Factory installed)</v>
      </c>
      <c r="F1141">
        <v>910</v>
      </c>
      <c r="G1141" t="str">
        <f t="shared" si="305"/>
        <v>Y</v>
      </c>
      <c r="H1141" t="str">
        <f t="shared" si="304"/>
        <v>EA</v>
      </c>
      <c r="I1141">
        <v>0</v>
      </c>
      <c r="J1141">
        <v>0</v>
      </c>
      <c r="K1141" t="str">
        <f t="shared" si="306"/>
        <v>Y</v>
      </c>
      <c r="L1141">
        <v>0</v>
      </c>
      <c r="M1141" t="str">
        <f t="shared" si="307"/>
        <v>NIS</v>
      </c>
      <c r="O1141">
        <v>6</v>
      </c>
      <c r="P1141" t="str">
        <f t="shared" si="315"/>
        <v>Active</v>
      </c>
      <c r="Q1141" t="str">
        <f>"Metric Advanced End Mill Package 5121"</f>
        <v>Metric Advanced End Mill Package 5121</v>
      </c>
      <c r="S1141" t="str">
        <f>"Metric Advanced End Mill Package 5121"</f>
        <v>Metric Advanced End Mill Package 5121</v>
      </c>
      <c r="T1141">
        <v>0</v>
      </c>
      <c r="U1141">
        <v>55</v>
      </c>
      <c r="V1141">
        <v>50.17</v>
      </c>
      <c r="W1141" t="str">
        <f t="shared" si="312"/>
        <v>zintel</v>
      </c>
    </row>
    <row r="1142" spans="1:23">
      <c r="A1142" t="str">
        <f t="shared" si="318"/>
        <v>CNC-8000AC-12</v>
      </c>
      <c r="B1142" t="str">
        <f>"10-1105-5000"</f>
        <v>10-1105-5000</v>
      </c>
      <c r="C1142" t="str">
        <f>"Computer and monitor attachment"</f>
        <v>Computer and monitor attachment</v>
      </c>
      <c r="D1142">
        <v>1</v>
      </c>
      <c r="E1142" t="str">
        <f t="shared" si="319"/>
        <v>ProMill 8000AC - CNC Milling Machine - with 12 tools ATC (Factory installed)</v>
      </c>
      <c r="F1142">
        <v>910</v>
      </c>
      <c r="G1142" t="str">
        <f t="shared" si="305"/>
        <v>Y</v>
      </c>
      <c r="H1142" t="str">
        <f t="shared" si="304"/>
        <v>EA</v>
      </c>
      <c r="I1142">
        <v>0</v>
      </c>
      <c r="J1142">
        <v>0</v>
      </c>
      <c r="K1142" t="str">
        <f t="shared" si="306"/>
        <v>Y</v>
      </c>
      <c r="L1142">
        <v>0</v>
      </c>
      <c r="M1142" t="str">
        <f t="shared" si="307"/>
        <v>NIS</v>
      </c>
      <c r="O1142">
        <v>8</v>
      </c>
      <c r="P1142" t="str">
        <f t="shared" si="315"/>
        <v>Active</v>
      </c>
      <c r="Q1142" t="str">
        <f>"Computer and monitor stand (attached to machine)"</f>
        <v>Computer and monitor stand (attached to machine)</v>
      </c>
      <c r="S1142" t="str">
        <f>"Computer and monitor stand (attached to machine)"</f>
        <v>Computer and monitor stand (attached to machine)</v>
      </c>
      <c r="T1142">
        <v>0</v>
      </c>
      <c r="U1142">
        <v>105.36</v>
      </c>
      <c r="V1142">
        <v>103.02</v>
      </c>
      <c r="W1142" t="str">
        <f t="shared" si="312"/>
        <v>zintel</v>
      </c>
    </row>
    <row r="1143" spans="1:23">
      <c r="A1143" t="str">
        <f t="shared" si="318"/>
        <v>CNC-8000AC-12</v>
      </c>
      <c r="B1143" t="str">
        <f>"10-1113-6000"</f>
        <v>10-1113-6000</v>
      </c>
      <c r="C1143" t="str">
        <f>"- Metric Engraving Package (1,1.5,2 mm End mill)"</f>
        <v>- Metric Engraving Package (1,1.5,2 mm End mill)</v>
      </c>
      <c r="D1143">
        <v>1</v>
      </c>
      <c r="E1143" t="str">
        <f t="shared" si="319"/>
        <v>ProMill 8000AC - CNC Milling Machine - with 12 tools ATC (Factory installed)</v>
      </c>
      <c r="F1143">
        <v>910</v>
      </c>
      <c r="G1143" t="str">
        <f t="shared" si="305"/>
        <v>Y</v>
      </c>
      <c r="H1143" t="str">
        <f t="shared" si="304"/>
        <v>EA</v>
      </c>
      <c r="I1143">
        <v>0</v>
      </c>
      <c r="J1143">
        <v>0</v>
      </c>
      <c r="K1143" t="str">
        <f t="shared" si="306"/>
        <v>Y</v>
      </c>
      <c r="L1143">
        <v>0</v>
      </c>
      <c r="M1143" t="str">
        <f t="shared" si="307"/>
        <v>NIS</v>
      </c>
      <c r="O1143">
        <v>7</v>
      </c>
      <c r="P1143" t="str">
        <f t="shared" si="315"/>
        <v>Active</v>
      </c>
      <c r="Q1143" t="str">
        <f>"Metric Engraving Package 5711"</f>
        <v>Metric Engraving Package 5711</v>
      </c>
      <c r="S1143" t="str">
        <f>"Metric Engraving Package 5711"</f>
        <v>Metric Engraving Package 5711</v>
      </c>
      <c r="T1143">
        <v>0</v>
      </c>
      <c r="U1143">
        <v>41</v>
      </c>
      <c r="V1143">
        <v>37.909999999999997</v>
      </c>
      <c r="W1143" t="str">
        <f t="shared" si="312"/>
        <v>zintel</v>
      </c>
    </row>
    <row r="1144" spans="1:23">
      <c r="A1144" t="str">
        <f t="shared" si="318"/>
        <v>CNC-8000AC-12</v>
      </c>
      <c r="B1144" t="str">
        <f>"10-1111-1000"</f>
        <v>10-1111-1000</v>
      </c>
      <c r="C1144" t="str">
        <f>"- Handwheel - Manual Control"</f>
        <v>- Handwheel - Manual Control</v>
      </c>
      <c r="D1144">
        <v>1</v>
      </c>
      <c r="E1144" t="str">
        <f t="shared" si="319"/>
        <v>ProMill 8000AC - CNC Milling Machine - with 12 tools ATC (Factory installed)</v>
      </c>
      <c r="F1144">
        <v>910</v>
      </c>
      <c r="G1144" t="str">
        <f t="shared" si="305"/>
        <v>Y</v>
      </c>
      <c r="H1144" t="str">
        <f t="shared" si="304"/>
        <v>EA</v>
      </c>
      <c r="I1144">
        <v>0</v>
      </c>
      <c r="J1144">
        <v>0</v>
      </c>
      <c r="K1144" t="str">
        <f t="shared" si="306"/>
        <v>Y</v>
      </c>
      <c r="L1144">
        <v>0</v>
      </c>
      <c r="M1144" t="str">
        <f t="shared" si="307"/>
        <v>NIS</v>
      </c>
      <c r="O1144">
        <v>11</v>
      </c>
      <c r="P1144" t="str">
        <f t="shared" si="315"/>
        <v>Active</v>
      </c>
      <c r="Q1144" t="str">
        <f>"Hand wheel"</f>
        <v>Hand wheel</v>
      </c>
      <c r="S1144" t="str">
        <f>"Jog Pendant Handwheel"</f>
        <v>Jog Pendant Handwheel</v>
      </c>
      <c r="T1144">
        <v>0</v>
      </c>
      <c r="U1144">
        <v>235</v>
      </c>
      <c r="V1144">
        <v>235.03</v>
      </c>
      <c r="W1144" t="str">
        <f t="shared" si="312"/>
        <v>zintel</v>
      </c>
    </row>
    <row r="1145" spans="1:23">
      <c r="A1145" t="str">
        <f t="shared" si="318"/>
        <v>CNC-8000AC-12</v>
      </c>
      <c r="B1145" t="str">
        <f>"10-1108-1220"</f>
        <v>10-1108-1220</v>
      </c>
      <c r="C1145" t="str">
        <f>"- Coolant system 27L -220V"</f>
        <v>- Coolant system 27L -220V</v>
      </c>
      <c r="D1145">
        <v>1</v>
      </c>
      <c r="E1145" t="str">
        <f t="shared" si="319"/>
        <v>ProMill 8000AC - CNC Milling Machine - with 12 tools ATC (Factory installed)</v>
      </c>
      <c r="F1145">
        <v>910</v>
      </c>
      <c r="G1145" t="str">
        <f t="shared" si="305"/>
        <v>Y</v>
      </c>
      <c r="H1145" t="str">
        <f t="shared" si="304"/>
        <v>EA</v>
      </c>
      <c r="I1145">
        <v>0</v>
      </c>
      <c r="J1145">
        <v>0</v>
      </c>
      <c r="K1145" t="str">
        <f t="shared" si="306"/>
        <v>Y</v>
      </c>
      <c r="L1145">
        <v>0</v>
      </c>
      <c r="M1145" t="str">
        <f t="shared" si="307"/>
        <v>NIS</v>
      </c>
      <c r="O1145">
        <v>12</v>
      </c>
      <c r="P1145" t="str">
        <f t="shared" si="315"/>
        <v>Active</v>
      </c>
      <c r="Q1145" t="str">
        <f>"Coolant system 27L"</f>
        <v>Coolant system 27L</v>
      </c>
      <c r="S1145" t="str">
        <f>"Coolant system 27L - 220V"</f>
        <v>Coolant system 27L - 220V</v>
      </c>
      <c r="T1145">
        <v>0</v>
      </c>
      <c r="U1145">
        <v>117.08</v>
      </c>
      <c r="V1145">
        <v>117.15</v>
      </c>
      <c r="W1145" t="str">
        <f t="shared" si="312"/>
        <v>zintel</v>
      </c>
    </row>
    <row r="1146" spans="1:23">
      <c r="A1146" t="str">
        <f t="shared" si="318"/>
        <v>CNC-8000AC-12</v>
      </c>
      <c r="B1146" t="str">
        <f>"10-1115-1000"</f>
        <v>10-1115-1000</v>
      </c>
      <c r="C1146" t="str">
        <f>"- Fanuc Emulator panel and stand"</f>
        <v>- Fanuc Emulator panel and stand</v>
      </c>
      <c r="D1146">
        <v>1</v>
      </c>
      <c r="E1146" t="str">
        <f t="shared" si="319"/>
        <v>ProMill 8000AC - CNC Milling Machine - with 12 tools ATC (Factory installed)</v>
      </c>
      <c r="F1146">
        <v>910</v>
      </c>
      <c r="G1146" t="str">
        <f t="shared" si="305"/>
        <v>Y</v>
      </c>
      <c r="H1146" t="str">
        <f t="shared" si="304"/>
        <v>EA</v>
      </c>
      <c r="I1146">
        <v>0</v>
      </c>
      <c r="J1146">
        <v>0</v>
      </c>
      <c r="K1146" t="str">
        <f t="shared" si="306"/>
        <v>Y</v>
      </c>
      <c r="L1146">
        <v>0</v>
      </c>
      <c r="M1146" t="str">
        <f t="shared" si="307"/>
        <v>NIS</v>
      </c>
      <c r="N1146" t="str">
        <f>"Y"</f>
        <v>Y</v>
      </c>
      <c r="O1146">
        <v>15</v>
      </c>
      <c r="P1146" t="str">
        <f t="shared" si="315"/>
        <v>Active</v>
      </c>
      <c r="Q1146" t="str">
        <f>"Fanuc Emulator panel and stand"</f>
        <v>Fanuc Emulator panel and stand</v>
      </c>
      <c r="S1146" t="str">
        <f>"Fanuc Emulator panel and stand"</f>
        <v>Fanuc Emulator panel and stand</v>
      </c>
      <c r="T1146">
        <v>0</v>
      </c>
      <c r="U1146">
        <v>804.8</v>
      </c>
      <c r="V1146">
        <v>791.17</v>
      </c>
      <c r="W1146" t="str">
        <f t="shared" si="312"/>
        <v>zintel</v>
      </c>
    </row>
    <row r="1147" spans="1:23">
      <c r="A1147" t="str">
        <f t="shared" si="318"/>
        <v>CNC-8000AC-12</v>
      </c>
      <c r="B1147" t="str">
        <f>"10-1115-3000"</f>
        <v>10-1115-3000</v>
      </c>
      <c r="C1147" t="str">
        <f>"- 4th axis package"</f>
        <v>- 4th axis package</v>
      </c>
      <c r="D1147">
        <v>1</v>
      </c>
      <c r="E1147" t="str">
        <f t="shared" si="319"/>
        <v>ProMill 8000AC - CNC Milling Machine - with 12 tools ATC (Factory installed)</v>
      </c>
      <c r="F1147">
        <v>910</v>
      </c>
      <c r="G1147" t="str">
        <f t="shared" si="305"/>
        <v>Y</v>
      </c>
      <c r="H1147" t="str">
        <f t="shared" si="304"/>
        <v>EA</v>
      </c>
      <c r="I1147">
        <v>0</v>
      </c>
      <c r="J1147">
        <v>0</v>
      </c>
      <c r="K1147" t="str">
        <f t="shared" si="306"/>
        <v>Y</v>
      </c>
      <c r="L1147">
        <v>0</v>
      </c>
      <c r="M1147" t="str">
        <f t="shared" si="307"/>
        <v>NIS</v>
      </c>
      <c r="N1147" t="str">
        <f>"Y"</f>
        <v>Y</v>
      </c>
      <c r="O1147">
        <v>14</v>
      </c>
      <c r="P1147" t="str">
        <f t="shared" si="315"/>
        <v>Active</v>
      </c>
      <c r="Q1147" t="str">
        <f>"4th axis package"</f>
        <v>4th axis package</v>
      </c>
      <c r="S1147" t="str">
        <f>"4th axis package"</f>
        <v>4th axis package</v>
      </c>
      <c r="T1147">
        <v>0</v>
      </c>
      <c r="U1147">
        <v>735.68</v>
      </c>
      <c r="V1147" s="44">
        <v>1077.4000000000001</v>
      </c>
      <c r="W1147" t="str">
        <f t="shared" si="312"/>
        <v>zintel</v>
      </c>
    </row>
    <row r="1148" spans="1:23">
      <c r="A1148" t="str">
        <f t="shared" si="318"/>
        <v>CNC-8000AC-12</v>
      </c>
      <c r="B1148" t="str">
        <f>"10-1108-6000"</f>
        <v>10-1108-6000</v>
      </c>
      <c r="C1148" t="str">
        <f>"- 6mm engraving tool set"</f>
        <v>- 6mm engraving tool set</v>
      </c>
      <c r="D1148">
        <v>1</v>
      </c>
      <c r="E1148" t="str">
        <f t="shared" si="319"/>
        <v>ProMill 8000AC - CNC Milling Machine - with 12 tools ATC (Factory installed)</v>
      </c>
      <c r="F1148">
        <v>910</v>
      </c>
      <c r="G1148" t="str">
        <f t="shared" si="305"/>
        <v>Y</v>
      </c>
      <c r="H1148" t="str">
        <f t="shared" si="304"/>
        <v>EA</v>
      </c>
      <c r="I1148">
        <v>0</v>
      </c>
      <c r="J1148">
        <v>0</v>
      </c>
      <c r="K1148" t="str">
        <f t="shared" si="306"/>
        <v>Y</v>
      </c>
      <c r="L1148">
        <v>0</v>
      </c>
      <c r="M1148" t="str">
        <f t="shared" si="307"/>
        <v>NIS</v>
      </c>
      <c r="O1148">
        <v>16</v>
      </c>
      <c r="P1148" t="str">
        <f t="shared" si="315"/>
        <v>Active</v>
      </c>
      <c r="Q1148" t="str">
        <f>"6mm engraving tool set"</f>
        <v>6mm engraving tool set</v>
      </c>
      <c r="S1148" t="str">
        <f>"6mm engraving tool set"</f>
        <v>6mm engraving tool set</v>
      </c>
      <c r="T1148">
        <v>0</v>
      </c>
      <c r="U1148">
        <v>93.66</v>
      </c>
      <c r="V1148">
        <v>94.27</v>
      </c>
      <c r="W1148" t="str">
        <f t="shared" si="312"/>
        <v>zintel</v>
      </c>
    </row>
    <row r="1149" spans="1:23">
      <c r="A1149" t="str">
        <f t="shared" si="318"/>
        <v>CNC-8000AC-12</v>
      </c>
      <c r="B1149" t="str">
        <f>"10-1108-2000"</f>
        <v>10-1108-2000</v>
      </c>
      <c r="C1149" t="str">
        <f>"- 100mm vice with angle adjustment"</f>
        <v>- 100mm vice with angle adjustment</v>
      </c>
      <c r="D1149">
        <v>1</v>
      </c>
      <c r="E1149" t="str">
        <f t="shared" si="319"/>
        <v>ProMill 8000AC - CNC Milling Machine - with 12 tools ATC (Factory installed)</v>
      </c>
      <c r="F1149">
        <v>910</v>
      </c>
      <c r="G1149" t="str">
        <f t="shared" si="305"/>
        <v>Y</v>
      </c>
      <c r="H1149" t="str">
        <f t="shared" si="304"/>
        <v>EA</v>
      </c>
      <c r="I1149">
        <v>0</v>
      </c>
      <c r="J1149">
        <v>0</v>
      </c>
      <c r="K1149" t="str">
        <f t="shared" si="306"/>
        <v>Y</v>
      </c>
      <c r="L1149">
        <v>0</v>
      </c>
      <c r="M1149" t="str">
        <f t="shared" si="307"/>
        <v>NIS</v>
      </c>
      <c r="N1149" t="str">
        <f>"Y"</f>
        <v>Y</v>
      </c>
      <c r="O1149">
        <v>17</v>
      </c>
      <c r="P1149" t="str">
        <f t="shared" si="315"/>
        <v>Active</v>
      </c>
      <c r="Q1149" t="str">
        <f>"100mm vice with angle adjustment"</f>
        <v>100mm vice with angle adjustment</v>
      </c>
      <c r="S1149" t="str">
        <f>"100mm vice with angle adjustment"</f>
        <v>100mm vice with angle adjustment</v>
      </c>
      <c r="T1149">
        <v>0</v>
      </c>
      <c r="U1149">
        <v>70.25</v>
      </c>
      <c r="V1149">
        <v>293.5</v>
      </c>
      <c r="W1149" t="str">
        <f t="shared" si="312"/>
        <v>zintel</v>
      </c>
    </row>
    <row r="1150" spans="1:23">
      <c r="A1150" t="str">
        <f t="shared" si="318"/>
        <v>CNC-8000AC-12</v>
      </c>
      <c r="B1150" t="str">
        <f>"10-9120-0000"</f>
        <v>10-9120-0000</v>
      </c>
      <c r="C1150" t="str">
        <f>"Stock Package, Wax, 3” x 2” x 1.5”– 50 Pcs"</f>
        <v>Stock Package, Wax, 3” x 2” x 1.5”– 50 Pcs</v>
      </c>
      <c r="D1150">
        <v>1</v>
      </c>
      <c r="E1150" t="str">
        <f t="shared" si="319"/>
        <v>ProMill 8000AC - CNC Milling Machine - with 12 tools ATC (Factory installed)</v>
      </c>
      <c r="F1150">
        <v>910</v>
      </c>
      <c r="G1150" t="str">
        <f t="shared" si="305"/>
        <v>Y</v>
      </c>
      <c r="H1150" t="str">
        <f t="shared" si="304"/>
        <v>EA</v>
      </c>
      <c r="I1150">
        <v>0</v>
      </c>
      <c r="J1150">
        <v>0</v>
      </c>
      <c r="K1150" t="str">
        <f t="shared" si="306"/>
        <v>Y</v>
      </c>
      <c r="L1150">
        <v>0</v>
      </c>
      <c r="M1150" t="str">
        <f t="shared" si="307"/>
        <v>NIS</v>
      </c>
      <c r="O1150">
        <v>18</v>
      </c>
      <c r="P1150" t="str">
        <f t="shared" si="315"/>
        <v>Active</v>
      </c>
      <c r="Q1150" t="str">
        <f>"Stock Package, Machinable Wax, Mill, 3""x2""x1.5"""</f>
        <v>Stock Package, Machinable Wax, Mill, 3"x2"x1.5"</v>
      </c>
      <c r="S1150" t="str">
        <f>"Stock Package, Wax, 3” x 2” x 1.5”– 50 Pcs"</f>
        <v>Stock Package, Wax, 3” x 2” x 1.5”– 50 Pcs</v>
      </c>
      <c r="T1150">
        <v>245</v>
      </c>
      <c r="U1150">
        <v>242.73</v>
      </c>
      <c r="V1150">
        <v>613.89</v>
      </c>
      <c r="W1150" t="str">
        <f t="shared" si="312"/>
        <v>zintel</v>
      </c>
    </row>
    <row r="1151" spans="1:23">
      <c r="A1151" t="str">
        <f t="shared" si="318"/>
        <v>CNC-8000AC-12</v>
      </c>
      <c r="B1151" t="str">
        <f>"63-8001-1000"</f>
        <v>63-8001-1000</v>
      </c>
      <c r="C1151" t="str">
        <f>"-CNCMotion for ProMill 8000"</f>
        <v>-CNCMotion for ProMill 8000</v>
      </c>
      <c r="D1151">
        <v>1</v>
      </c>
      <c r="E1151" t="str">
        <f t="shared" si="319"/>
        <v>ProMill 8000AC - CNC Milling Machine - with 12 tools ATC (Factory installed)</v>
      </c>
      <c r="F1151">
        <v>910</v>
      </c>
      <c r="G1151" t="str">
        <f t="shared" si="305"/>
        <v>Y</v>
      </c>
      <c r="H1151" t="str">
        <f t="shared" si="304"/>
        <v>EA</v>
      </c>
      <c r="I1151">
        <v>0</v>
      </c>
      <c r="J1151">
        <v>0</v>
      </c>
      <c r="K1151" t="str">
        <f t="shared" si="306"/>
        <v>Y</v>
      </c>
      <c r="L1151">
        <v>0</v>
      </c>
      <c r="M1151" t="str">
        <f t="shared" si="307"/>
        <v>NIS</v>
      </c>
      <c r="O1151">
        <v>19</v>
      </c>
      <c r="P1151" t="str">
        <f t="shared" si="315"/>
        <v>Active</v>
      </c>
      <c r="Q1151" t="str">
        <f>"CNCMotion Sim. Sftwr, ProMill 8000"</f>
        <v>CNCMotion Sim. Sftwr, ProMill 8000</v>
      </c>
      <c r="S1151" t="str">
        <f>"CNCMotion Sim. Sftwr, ProMill 8000"</f>
        <v>CNCMotion Sim. Sftwr, ProMill 8000</v>
      </c>
      <c r="T1151">
        <v>0</v>
      </c>
      <c r="U1151">
        <v>0</v>
      </c>
      <c r="V1151">
        <v>0</v>
      </c>
      <c r="W1151" t="str">
        <f t="shared" si="312"/>
        <v>zintel</v>
      </c>
    </row>
    <row r="1152" spans="1:23">
      <c r="A1152" t="str">
        <f t="shared" si="318"/>
        <v>CNC-8000AC-12</v>
      </c>
      <c r="B1152" t="str">
        <f>"10-6723-0000"</f>
        <v>10-6723-0000</v>
      </c>
      <c r="C1152" t="str">
        <f>"spectraCAD Engraver"</f>
        <v>spectraCAD Engraver</v>
      </c>
      <c r="D1152">
        <v>1</v>
      </c>
      <c r="E1152" t="str">
        <f t="shared" si="319"/>
        <v>ProMill 8000AC - CNC Milling Machine - with 12 tools ATC (Factory installed)</v>
      </c>
      <c r="F1152">
        <v>910</v>
      </c>
      <c r="G1152" t="str">
        <f t="shared" si="305"/>
        <v>Y</v>
      </c>
      <c r="H1152" t="str">
        <f t="shared" ref="H1152:H1215" si="320">"EA"</f>
        <v>EA</v>
      </c>
      <c r="I1152">
        <v>0</v>
      </c>
      <c r="J1152">
        <v>0</v>
      </c>
      <c r="K1152" t="str">
        <f t="shared" si="306"/>
        <v>Y</v>
      </c>
      <c r="L1152">
        <v>0</v>
      </c>
      <c r="M1152" t="str">
        <f t="shared" si="307"/>
        <v>NIS</v>
      </c>
      <c r="N1152" t="str">
        <f>"Y"</f>
        <v>Y</v>
      </c>
      <c r="O1152">
        <v>9</v>
      </c>
      <c r="P1152" t="str">
        <f>"Inactive"</f>
        <v>Inactive</v>
      </c>
      <c r="Q1152" t="str">
        <f>"spectraCAD Engraver"</f>
        <v>spectraCAD Engraver</v>
      </c>
      <c r="S1152" t="str">
        <f>"spectraCAD Engraver"</f>
        <v>spectraCAD Engraver</v>
      </c>
      <c r="T1152">
        <v>20.37</v>
      </c>
      <c r="U1152">
        <v>16.420000000000002</v>
      </c>
      <c r="V1152">
        <v>16.91</v>
      </c>
      <c r="W1152" t="str">
        <f t="shared" si="312"/>
        <v>zintel</v>
      </c>
    </row>
    <row r="1153" spans="1:23">
      <c r="A1153" t="str">
        <f t="shared" si="318"/>
        <v>CNC-8000AC-12</v>
      </c>
      <c r="B1153" t="str">
        <f>"10-6721-0000"</f>
        <v>10-6721-0000</v>
      </c>
      <c r="C1153" t="str">
        <f>"spectraCAM Milling, First Copy"</f>
        <v>spectraCAM Milling, First Copy</v>
      </c>
      <c r="D1153">
        <v>1</v>
      </c>
      <c r="E1153" t="str">
        <f t="shared" si="319"/>
        <v>ProMill 8000AC - CNC Milling Machine - with 12 tools ATC (Factory installed)</v>
      </c>
      <c r="F1153">
        <v>910</v>
      </c>
      <c r="G1153" t="str">
        <f t="shared" si="305"/>
        <v>Y</v>
      </c>
      <c r="H1153" t="str">
        <f t="shared" si="320"/>
        <v>EA</v>
      </c>
      <c r="I1153">
        <v>0</v>
      </c>
      <c r="J1153">
        <v>0</v>
      </c>
      <c r="K1153" t="str">
        <f t="shared" si="306"/>
        <v>Y</v>
      </c>
      <c r="L1153">
        <v>0</v>
      </c>
      <c r="M1153" t="str">
        <f t="shared" si="307"/>
        <v>NIS</v>
      </c>
      <c r="N1153" t="str">
        <f>"Y"</f>
        <v>Y</v>
      </c>
      <c r="O1153">
        <v>10</v>
      </c>
      <c r="P1153" t="str">
        <f>"Inactive"</f>
        <v>Inactive</v>
      </c>
      <c r="Q1153" t="str">
        <f>"spectraCAM Milling, First Copy"</f>
        <v>spectraCAM Milling, First Copy</v>
      </c>
      <c r="S1153" t="str">
        <f>"spectraCAM Milling, First Copy"</f>
        <v>spectraCAM Milling, First Copy</v>
      </c>
      <c r="T1153">
        <v>48.97</v>
      </c>
      <c r="U1153">
        <v>41.31</v>
      </c>
      <c r="V1153">
        <v>42.55</v>
      </c>
      <c r="W1153" t="str">
        <f t="shared" si="312"/>
        <v>zintel</v>
      </c>
    </row>
    <row r="1154" spans="1:23">
      <c r="A1154" t="str">
        <f t="shared" si="318"/>
        <v>CNC-8000AC-12</v>
      </c>
      <c r="B1154" t="str">
        <f>"10-1115-2000"</f>
        <v>10-1115-2000</v>
      </c>
      <c r="C1154" t="str">
        <f>"- Table mounted ATC package"</f>
        <v>- Table mounted ATC package</v>
      </c>
      <c r="D1154">
        <v>1</v>
      </c>
      <c r="E1154" t="str">
        <f t="shared" si="319"/>
        <v>ProMill 8000AC - CNC Milling Machine - with 12 tools ATC (Factory installed)</v>
      </c>
      <c r="F1154">
        <v>910</v>
      </c>
      <c r="G1154" t="str">
        <f t="shared" ref="G1154:G1217" si="321">"Y"</f>
        <v>Y</v>
      </c>
      <c r="H1154" t="str">
        <f t="shared" si="320"/>
        <v>EA</v>
      </c>
      <c r="I1154">
        <v>0</v>
      </c>
      <c r="J1154">
        <v>0</v>
      </c>
      <c r="K1154" t="str">
        <f t="shared" ref="K1154:K1217" si="322">"Y"</f>
        <v>Y</v>
      </c>
      <c r="L1154">
        <v>0</v>
      </c>
      <c r="M1154" t="str">
        <f t="shared" ref="M1154:M1217" si="323">"NIS"</f>
        <v>NIS</v>
      </c>
      <c r="N1154" t="str">
        <f>"Y"</f>
        <v>Y</v>
      </c>
      <c r="O1154">
        <v>2</v>
      </c>
      <c r="P1154" t="str">
        <f>"Active"</f>
        <v>Active</v>
      </c>
      <c r="Q1154" t="str">
        <f>"Table mounted ATC package"</f>
        <v>Table mounted ATC package</v>
      </c>
      <c r="S1154" t="str">
        <f>"Table mounted ATC package"</f>
        <v>Table mounted ATC package</v>
      </c>
      <c r="T1154">
        <v>0</v>
      </c>
      <c r="U1154">
        <v>690</v>
      </c>
      <c r="V1154">
        <v>690.59</v>
      </c>
      <c r="W1154" t="str">
        <f t="shared" si="312"/>
        <v>zintel</v>
      </c>
    </row>
    <row r="1155" spans="1:23">
      <c r="A1155" t="str">
        <f t="shared" ref="A1155:A1172" si="324">"CNC-8000AC-4"</f>
        <v>CNC-8000AC-4</v>
      </c>
      <c r="B1155" t="str">
        <f>"00-5507-0220"</f>
        <v>00-5507-0220</v>
      </c>
      <c r="C1155" t="str">
        <f>"CNC ProMill 8000 AC 220V"</f>
        <v>CNC ProMill 8000 AC 220V</v>
      </c>
      <c r="D1155">
        <v>1</v>
      </c>
      <c r="E1155" t="str">
        <f t="shared" ref="E1155:E1172" si="325">"ProMill 8000AC, AC Servo CNC Milling Center with 4 station ATC"</f>
        <v>ProMill 8000AC, AC Servo CNC Milling Center with 4 station ATC</v>
      </c>
      <c r="F1155">
        <v>909</v>
      </c>
      <c r="G1155" t="str">
        <f t="shared" si="321"/>
        <v>Y</v>
      </c>
      <c r="H1155" t="str">
        <f t="shared" si="320"/>
        <v>EA</v>
      </c>
      <c r="I1155">
        <v>0</v>
      </c>
      <c r="J1155">
        <v>0</v>
      </c>
      <c r="K1155" t="str">
        <f t="shared" si="322"/>
        <v>Y</v>
      </c>
      <c r="L1155">
        <v>0</v>
      </c>
      <c r="M1155" t="str">
        <f t="shared" si="323"/>
        <v>NIS</v>
      </c>
      <c r="O1155">
        <v>1</v>
      </c>
      <c r="P1155" t="str">
        <f>"Phase Out"</f>
        <v>Phase Out</v>
      </c>
      <c r="Q1155" t="str">
        <f>"CNC ProMill 8000 AC"</f>
        <v>CNC ProMill 8000 AC</v>
      </c>
      <c r="S1155" t="str">
        <f>"CNC ProMill 8000 AC 220V"</f>
        <v>CNC ProMill 8000 AC 220V</v>
      </c>
      <c r="T1155">
        <v>0</v>
      </c>
      <c r="U1155" s="44">
        <v>6556.2</v>
      </c>
      <c r="V1155" s="44">
        <v>7054.41</v>
      </c>
      <c r="W1155" t="str">
        <f t="shared" si="312"/>
        <v>zintel</v>
      </c>
    </row>
    <row r="1156" spans="1:23">
      <c r="A1156" t="str">
        <f t="shared" si="324"/>
        <v>CNC-8000AC-4</v>
      </c>
      <c r="B1156" t="str">
        <f>"10-1111-6000"</f>
        <v>10-1111-6000</v>
      </c>
      <c r="C1156" t="str">
        <f>"4"" Vise"</f>
        <v>4" Vise</v>
      </c>
      <c r="D1156">
        <v>1</v>
      </c>
      <c r="E1156" t="str">
        <f t="shared" si="325"/>
        <v>ProMill 8000AC, AC Servo CNC Milling Center with 4 station ATC</v>
      </c>
      <c r="F1156">
        <v>909</v>
      </c>
      <c r="G1156" t="str">
        <f t="shared" si="321"/>
        <v>Y</v>
      </c>
      <c r="H1156" t="str">
        <f t="shared" si="320"/>
        <v>EA</v>
      </c>
      <c r="I1156">
        <v>0</v>
      </c>
      <c r="J1156">
        <v>0</v>
      </c>
      <c r="K1156" t="str">
        <f t="shared" si="322"/>
        <v>Y</v>
      </c>
      <c r="L1156">
        <v>0</v>
      </c>
      <c r="M1156" t="str">
        <f t="shared" si="323"/>
        <v>NIS</v>
      </c>
      <c r="O1156">
        <v>2</v>
      </c>
      <c r="P1156" t="str">
        <f t="shared" ref="P1156:P1187" si="326">"Active"</f>
        <v>Active</v>
      </c>
      <c r="Q1156" t="str">
        <f>"4"" Precision Maching Vise"</f>
        <v>4" Precision Maching Vise</v>
      </c>
      <c r="S1156" t="str">
        <f>"4"" Precision Maching Vise"</f>
        <v>4" Precision Maching Vise</v>
      </c>
      <c r="T1156">
        <v>0</v>
      </c>
      <c r="U1156">
        <v>53</v>
      </c>
      <c r="V1156">
        <v>49.5</v>
      </c>
      <c r="W1156" t="str">
        <f t="shared" si="312"/>
        <v>zintel</v>
      </c>
    </row>
    <row r="1157" spans="1:23">
      <c r="A1157" t="str">
        <f t="shared" si="324"/>
        <v>CNC-8000AC-4</v>
      </c>
      <c r="B1157" t="str">
        <f>"10-1111-5000"</f>
        <v>10-1111-5000</v>
      </c>
      <c r="C1157" t="str">
        <f>"clamping kit 58 pcs set"</f>
        <v>clamping kit 58 pcs set</v>
      </c>
      <c r="D1157">
        <v>1</v>
      </c>
      <c r="E1157" t="str">
        <f t="shared" si="325"/>
        <v>ProMill 8000AC, AC Servo CNC Milling Center with 4 station ATC</v>
      </c>
      <c r="F1157">
        <v>909</v>
      </c>
      <c r="G1157" t="str">
        <f t="shared" si="321"/>
        <v>Y</v>
      </c>
      <c r="H1157" t="str">
        <f t="shared" si="320"/>
        <v>EA</v>
      </c>
      <c r="I1157">
        <v>0</v>
      </c>
      <c r="J1157">
        <v>0</v>
      </c>
      <c r="K1157" t="str">
        <f t="shared" si="322"/>
        <v>Y</v>
      </c>
      <c r="L1157">
        <v>0</v>
      </c>
      <c r="M1157" t="str">
        <f t="shared" si="323"/>
        <v>NIS</v>
      </c>
      <c r="O1157">
        <v>3</v>
      </c>
      <c r="P1157" t="str">
        <f t="shared" si="326"/>
        <v>Active</v>
      </c>
      <c r="Q1157" t="str">
        <f>"clamping kit 58 pcs set"</f>
        <v>clamping kit 58 pcs set</v>
      </c>
      <c r="S1157" t="str">
        <f>"clamping kit 58 pcs set"</f>
        <v>clamping kit 58 pcs set</v>
      </c>
      <c r="T1157">
        <v>0</v>
      </c>
      <c r="U1157">
        <v>52</v>
      </c>
      <c r="V1157">
        <v>51.72</v>
      </c>
      <c r="W1157" t="str">
        <f t="shared" si="312"/>
        <v>zintel</v>
      </c>
    </row>
    <row r="1158" spans="1:23">
      <c r="A1158" t="str">
        <f t="shared" si="324"/>
        <v>CNC-8000AC-4</v>
      </c>
      <c r="B1158" t="str">
        <f>"10-1111-9000"</f>
        <v>10-1111-9000</v>
      </c>
      <c r="C1158" t="str">
        <f>"ISO 20 tool holder"</f>
        <v>ISO 20 tool holder</v>
      </c>
      <c r="D1158">
        <v>1</v>
      </c>
      <c r="E1158" t="str">
        <f t="shared" si="325"/>
        <v>ProMill 8000AC, AC Servo CNC Milling Center with 4 station ATC</v>
      </c>
      <c r="F1158">
        <v>909</v>
      </c>
      <c r="G1158" t="str">
        <f t="shared" si="321"/>
        <v>Y</v>
      </c>
      <c r="H1158" t="str">
        <f t="shared" si="320"/>
        <v>EA</v>
      </c>
      <c r="I1158">
        <v>0</v>
      </c>
      <c r="J1158">
        <v>0</v>
      </c>
      <c r="K1158" t="str">
        <f t="shared" si="322"/>
        <v>Y</v>
      </c>
      <c r="L1158">
        <v>0</v>
      </c>
      <c r="M1158" t="str">
        <f t="shared" si="323"/>
        <v>NIS</v>
      </c>
      <c r="O1158">
        <v>4</v>
      </c>
      <c r="P1158" t="str">
        <f t="shared" si="326"/>
        <v>Active</v>
      </c>
      <c r="Q1158" t="str">
        <f>"ISO 20 tool holder with nut"</f>
        <v>ISO 20 tool holder with nut</v>
      </c>
      <c r="S1158" t="str">
        <f>"ISO 20 tool holder with nut"</f>
        <v>ISO 20 tool holder with nut</v>
      </c>
      <c r="T1158">
        <v>0</v>
      </c>
      <c r="U1158">
        <v>103</v>
      </c>
      <c r="V1158">
        <v>103.19</v>
      </c>
      <c r="W1158" t="str">
        <f t="shared" si="312"/>
        <v>zintel</v>
      </c>
    </row>
    <row r="1159" spans="1:23">
      <c r="A1159" t="str">
        <f t="shared" si="324"/>
        <v>CNC-8000AC-4</v>
      </c>
      <c r="B1159" t="str">
        <f>"10-1115-0000"</f>
        <v>10-1115-0000</v>
      </c>
      <c r="C1159" t="str">
        <f>"ER16 Collet set - 2 x (3,6,8,10mm)"</f>
        <v>ER16 Collet set - 2 x (3,6,8,10mm)</v>
      </c>
      <c r="D1159">
        <v>1</v>
      </c>
      <c r="E1159" t="str">
        <f t="shared" si="325"/>
        <v>ProMill 8000AC, AC Servo CNC Milling Center with 4 station ATC</v>
      </c>
      <c r="F1159">
        <v>909</v>
      </c>
      <c r="G1159" t="str">
        <f t="shared" si="321"/>
        <v>Y</v>
      </c>
      <c r="H1159" t="str">
        <f t="shared" si="320"/>
        <v>EA</v>
      </c>
      <c r="I1159">
        <v>0</v>
      </c>
      <c r="J1159">
        <v>0</v>
      </c>
      <c r="K1159" t="str">
        <f t="shared" si="322"/>
        <v>Y</v>
      </c>
      <c r="L1159">
        <v>0</v>
      </c>
      <c r="M1159" t="str">
        <f t="shared" si="323"/>
        <v>NIS</v>
      </c>
      <c r="O1159">
        <v>5</v>
      </c>
      <c r="P1159" t="str">
        <f t="shared" si="326"/>
        <v>Active</v>
      </c>
      <c r="Q1159" t="str">
        <f>"ER16 Collet set-8 pieces(2)3,(2)6,(2)8,(2)10mm"</f>
        <v>ER16 Collet set-8 pieces(2)3,(2)6,(2)8,(2)10mm</v>
      </c>
      <c r="S1159" t="str">
        <f>"ER16 Collet set-8 pieces(2)3,(2)6,(2)8,(2)10mm"</f>
        <v>ER16 Collet set-8 pieces(2)3,(2)6,(2)8,(2)10mm</v>
      </c>
      <c r="T1159">
        <v>0</v>
      </c>
      <c r="U1159">
        <v>71</v>
      </c>
      <c r="V1159">
        <v>70.63</v>
      </c>
      <c r="W1159" t="str">
        <f t="shared" si="312"/>
        <v>zintel</v>
      </c>
    </row>
    <row r="1160" spans="1:23">
      <c r="A1160" t="str">
        <f t="shared" si="324"/>
        <v>CNC-8000AC-4</v>
      </c>
      <c r="B1160" t="str">
        <f>"10-1113-4000"</f>
        <v>10-1113-4000</v>
      </c>
      <c r="C1160" t="str">
        <f>"Metric End Mill Package(2X 3,6,8,10End,4,6 Ball)"</f>
        <v>Metric End Mill Package(2X 3,6,8,10End,4,6 Ball)</v>
      </c>
      <c r="D1160">
        <v>1</v>
      </c>
      <c r="E1160" t="str">
        <f t="shared" si="325"/>
        <v>ProMill 8000AC, AC Servo CNC Milling Center with 4 station ATC</v>
      </c>
      <c r="F1160">
        <v>909</v>
      </c>
      <c r="G1160" t="str">
        <f t="shared" si="321"/>
        <v>Y</v>
      </c>
      <c r="H1160" t="str">
        <f t="shared" si="320"/>
        <v>EA</v>
      </c>
      <c r="I1160">
        <v>0</v>
      </c>
      <c r="J1160">
        <v>0</v>
      </c>
      <c r="K1160" t="str">
        <f t="shared" si="322"/>
        <v>Y</v>
      </c>
      <c r="L1160">
        <v>0</v>
      </c>
      <c r="M1160" t="str">
        <f t="shared" si="323"/>
        <v>NIS</v>
      </c>
      <c r="O1160">
        <v>6</v>
      </c>
      <c r="P1160" t="str">
        <f t="shared" si="326"/>
        <v>Active</v>
      </c>
      <c r="Q1160" t="str">
        <f>"Metric Advanced End Mill Package 5121"</f>
        <v>Metric Advanced End Mill Package 5121</v>
      </c>
      <c r="S1160" t="str">
        <f>"Metric Advanced End Mill Package 5121"</f>
        <v>Metric Advanced End Mill Package 5121</v>
      </c>
      <c r="T1160">
        <v>0</v>
      </c>
      <c r="U1160">
        <v>55</v>
      </c>
      <c r="V1160">
        <v>50.17</v>
      </c>
      <c r="W1160" t="str">
        <f t="shared" si="312"/>
        <v>zintel</v>
      </c>
    </row>
    <row r="1161" spans="1:23">
      <c r="A1161" t="str">
        <f t="shared" si="324"/>
        <v>CNC-8000AC-4</v>
      </c>
      <c r="B1161" t="str">
        <f>"10-1105-5000"</f>
        <v>10-1105-5000</v>
      </c>
      <c r="C1161" t="str">
        <f>"Computer and monitor attachment"</f>
        <v>Computer and monitor attachment</v>
      </c>
      <c r="D1161">
        <v>1</v>
      </c>
      <c r="E1161" t="str">
        <f t="shared" si="325"/>
        <v>ProMill 8000AC, AC Servo CNC Milling Center with 4 station ATC</v>
      </c>
      <c r="F1161">
        <v>909</v>
      </c>
      <c r="G1161" t="str">
        <f t="shared" si="321"/>
        <v>Y</v>
      </c>
      <c r="H1161" t="str">
        <f t="shared" si="320"/>
        <v>EA</v>
      </c>
      <c r="I1161">
        <v>0</v>
      </c>
      <c r="J1161">
        <v>0</v>
      </c>
      <c r="K1161" t="str">
        <f t="shared" si="322"/>
        <v>Y</v>
      </c>
      <c r="L1161">
        <v>0</v>
      </c>
      <c r="M1161" t="str">
        <f t="shared" si="323"/>
        <v>NIS</v>
      </c>
      <c r="O1161">
        <v>8</v>
      </c>
      <c r="P1161" t="str">
        <f t="shared" si="326"/>
        <v>Active</v>
      </c>
      <c r="Q1161" t="str">
        <f>"Computer and monitor stand (attached to machine)"</f>
        <v>Computer and monitor stand (attached to machine)</v>
      </c>
      <c r="S1161" t="str">
        <f>"Computer and monitor stand (attached to machine)"</f>
        <v>Computer and monitor stand (attached to machine)</v>
      </c>
      <c r="T1161">
        <v>0</v>
      </c>
      <c r="U1161">
        <v>105.36</v>
      </c>
      <c r="V1161">
        <v>103.02</v>
      </c>
      <c r="W1161" t="str">
        <f t="shared" si="312"/>
        <v>zintel</v>
      </c>
    </row>
    <row r="1162" spans="1:23">
      <c r="A1162" t="str">
        <f t="shared" si="324"/>
        <v>CNC-8000AC-4</v>
      </c>
      <c r="B1162" t="str">
        <f>"10-1113-6000"</f>
        <v>10-1113-6000</v>
      </c>
      <c r="C1162" t="str">
        <f>"- Metric Engraving Package (1,1.5,2 mm End mill)"</f>
        <v>- Metric Engraving Package (1,1.5,2 mm End mill)</v>
      </c>
      <c r="D1162">
        <v>1</v>
      </c>
      <c r="E1162" t="str">
        <f t="shared" si="325"/>
        <v>ProMill 8000AC, AC Servo CNC Milling Center with 4 station ATC</v>
      </c>
      <c r="F1162">
        <v>909</v>
      </c>
      <c r="G1162" t="str">
        <f t="shared" si="321"/>
        <v>Y</v>
      </c>
      <c r="H1162" t="str">
        <f t="shared" si="320"/>
        <v>EA</v>
      </c>
      <c r="I1162">
        <v>0</v>
      </c>
      <c r="J1162">
        <v>0</v>
      </c>
      <c r="K1162" t="str">
        <f t="shared" si="322"/>
        <v>Y</v>
      </c>
      <c r="L1162">
        <v>0</v>
      </c>
      <c r="M1162" t="str">
        <f t="shared" si="323"/>
        <v>NIS</v>
      </c>
      <c r="O1162">
        <v>7</v>
      </c>
      <c r="P1162" t="str">
        <f t="shared" si="326"/>
        <v>Active</v>
      </c>
      <c r="Q1162" t="str">
        <f>"Metric Engraving Package 5711"</f>
        <v>Metric Engraving Package 5711</v>
      </c>
      <c r="S1162" t="str">
        <f>"Metric Engraving Package 5711"</f>
        <v>Metric Engraving Package 5711</v>
      </c>
      <c r="T1162">
        <v>0</v>
      </c>
      <c r="U1162">
        <v>41</v>
      </c>
      <c r="V1162">
        <v>37.909999999999997</v>
      </c>
      <c r="W1162" t="str">
        <f t="shared" si="312"/>
        <v>zintel</v>
      </c>
    </row>
    <row r="1163" spans="1:23">
      <c r="A1163" t="str">
        <f t="shared" si="324"/>
        <v>CNC-8000AC-4</v>
      </c>
      <c r="B1163" t="str">
        <f>"10-1115-2000"</f>
        <v>10-1115-2000</v>
      </c>
      <c r="C1163" t="str">
        <f>"- Table mounted ATC package"</f>
        <v>- Table mounted ATC package</v>
      </c>
      <c r="D1163">
        <v>1</v>
      </c>
      <c r="E1163" t="str">
        <f t="shared" si="325"/>
        <v>ProMill 8000AC, AC Servo CNC Milling Center with 4 station ATC</v>
      </c>
      <c r="F1163">
        <v>909</v>
      </c>
      <c r="G1163" t="str">
        <f t="shared" si="321"/>
        <v>Y</v>
      </c>
      <c r="H1163" t="str">
        <f t="shared" si="320"/>
        <v>EA</v>
      </c>
      <c r="I1163">
        <v>0</v>
      </c>
      <c r="J1163">
        <v>0</v>
      </c>
      <c r="K1163" t="str">
        <f t="shared" si="322"/>
        <v>Y</v>
      </c>
      <c r="L1163">
        <v>0</v>
      </c>
      <c r="M1163" t="str">
        <f t="shared" si="323"/>
        <v>NIS</v>
      </c>
      <c r="O1163">
        <v>10</v>
      </c>
      <c r="P1163" t="str">
        <f t="shared" si="326"/>
        <v>Active</v>
      </c>
      <c r="Q1163" t="str">
        <f>"Table mounted ATC package"</f>
        <v>Table mounted ATC package</v>
      </c>
      <c r="S1163" t="str">
        <f>"Table mounted ATC package"</f>
        <v>Table mounted ATC package</v>
      </c>
      <c r="T1163">
        <v>0</v>
      </c>
      <c r="U1163">
        <v>690</v>
      </c>
      <c r="V1163">
        <v>690.59</v>
      </c>
      <c r="W1163" t="str">
        <f t="shared" si="312"/>
        <v>zintel</v>
      </c>
    </row>
    <row r="1164" spans="1:23">
      <c r="A1164" t="str">
        <f t="shared" si="324"/>
        <v>CNC-8000AC-4</v>
      </c>
      <c r="B1164" t="str">
        <f>"10-1111-1000"</f>
        <v>10-1111-1000</v>
      </c>
      <c r="C1164" t="str">
        <f>"- Handwheel - Manual Control"</f>
        <v>- Handwheel - Manual Control</v>
      </c>
      <c r="D1164">
        <v>1</v>
      </c>
      <c r="E1164" t="str">
        <f t="shared" si="325"/>
        <v>ProMill 8000AC, AC Servo CNC Milling Center with 4 station ATC</v>
      </c>
      <c r="F1164">
        <v>909</v>
      </c>
      <c r="G1164" t="str">
        <f t="shared" si="321"/>
        <v>Y</v>
      </c>
      <c r="H1164" t="str">
        <f t="shared" si="320"/>
        <v>EA</v>
      </c>
      <c r="I1164">
        <v>0</v>
      </c>
      <c r="J1164">
        <v>0</v>
      </c>
      <c r="K1164" t="str">
        <f t="shared" si="322"/>
        <v>Y</v>
      </c>
      <c r="L1164">
        <v>0</v>
      </c>
      <c r="M1164" t="str">
        <f t="shared" si="323"/>
        <v>NIS</v>
      </c>
      <c r="O1164">
        <v>11</v>
      </c>
      <c r="P1164" t="str">
        <f t="shared" si="326"/>
        <v>Active</v>
      </c>
      <c r="Q1164" t="str">
        <f>"Hand wheel"</f>
        <v>Hand wheel</v>
      </c>
      <c r="S1164" t="str">
        <f>"Jog Pendant Handwheel"</f>
        <v>Jog Pendant Handwheel</v>
      </c>
      <c r="T1164">
        <v>0</v>
      </c>
      <c r="U1164">
        <v>235</v>
      </c>
      <c r="V1164">
        <v>235.03</v>
      </c>
      <c r="W1164" t="str">
        <f t="shared" si="312"/>
        <v>zintel</v>
      </c>
    </row>
    <row r="1165" spans="1:23">
      <c r="A1165" t="str">
        <f t="shared" si="324"/>
        <v>CNC-8000AC-4</v>
      </c>
      <c r="B1165" t="str">
        <f>"10-1108-1220"</f>
        <v>10-1108-1220</v>
      </c>
      <c r="C1165" t="str">
        <f>"- Coolant system 27L -220V"</f>
        <v>- Coolant system 27L -220V</v>
      </c>
      <c r="D1165">
        <v>1</v>
      </c>
      <c r="E1165" t="str">
        <f t="shared" si="325"/>
        <v>ProMill 8000AC, AC Servo CNC Milling Center with 4 station ATC</v>
      </c>
      <c r="F1165">
        <v>909</v>
      </c>
      <c r="G1165" t="str">
        <f t="shared" si="321"/>
        <v>Y</v>
      </c>
      <c r="H1165" t="str">
        <f t="shared" si="320"/>
        <v>EA</v>
      </c>
      <c r="I1165">
        <v>0</v>
      </c>
      <c r="J1165">
        <v>0</v>
      </c>
      <c r="K1165" t="str">
        <f t="shared" si="322"/>
        <v>Y</v>
      </c>
      <c r="L1165">
        <v>0</v>
      </c>
      <c r="M1165" t="str">
        <f t="shared" si="323"/>
        <v>NIS</v>
      </c>
      <c r="O1165">
        <v>12</v>
      </c>
      <c r="P1165" t="str">
        <f t="shared" si="326"/>
        <v>Active</v>
      </c>
      <c r="Q1165" t="str">
        <f>"Coolant system 27L - 220V"</f>
        <v>Coolant system 27L - 220V</v>
      </c>
      <c r="S1165" t="str">
        <f>"Coolant system 27L - 220V"</f>
        <v>Coolant system 27L - 220V</v>
      </c>
      <c r="T1165">
        <v>0</v>
      </c>
      <c r="U1165">
        <v>117.08</v>
      </c>
      <c r="V1165">
        <v>117.15</v>
      </c>
      <c r="W1165" t="str">
        <f t="shared" si="312"/>
        <v>zintel</v>
      </c>
    </row>
    <row r="1166" spans="1:23">
      <c r="A1166" t="str">
        <f t="shared" si="324"/>
        <v>CNC-8000AC-4</v>
      </c>
      <c r="B1166" t="str">
        <f>"10-1115-1000"</f>
        <v>10-1115-1000</v>
      </c>
      <c r="C1166" t="str">
        <f>"- Fanuc Emulator panel and stand"</f>
        <v>- Fanuc Emulator panel and stand</v>
      </c>
      <c r="D1166">
        <v>1</v>
      </c>
      <c r="E1166" t="str">
        <f t="shared" si="325"/>
        <v>ProMill 8000AC, AC Servo CNC Milling Center with 4 station ATC</v>
      </c>
      <c r="F1166">
        <v>909</v>
      </c>
      <c r="G1166" t="str">
        <f t="shared" si="321"/>
        <v>Y</v>
      </c>
      <c r="H1166" t="str">
        <f t="shared" si="320"/>
        <v>EA</v>
      </c>
      <c r="I1166">
        <v>0</v>
      </c>
      <c r="J1166">
        <v>0</v>
      </c>
      <c r="K1166" t="str">
        <f t="shared" si="322"/>
        <v>Y</v>
      </c>
      <c r="L1166">
        <v>0</v>
      </c>
      <c r="M1166" t="str">
        <f t="shared" si="323"/>
        <v>NIS</v>
      </c>
      <c r="N1166" t="str">
        <f>"Y"</f>
        <v>Y</v>
      </c>
      <c r="O1166">
        <v>13</v>
      </c>
      <c r="P1166" t="str">
        <f t="shared" si="326"/>
        <v>Active</v>
      </c>
      <c r="Q1166" t="str">
        <f>"Fanuc Emulator panel and stand"</f>
        <v>Fanuc Emulator panel and stand</v>
      </c>
      <c r="S1166" t="str">
        <f>"Fanuc Emulator panel and stand"</f>
        <v>Fanuc Emulator panel and stand</v>
      </c>
      <c r="T1166">
        <v>0</v>
      </c>
      <c r="U1166">
        <v>804.8</v>
      </c>
      <c r="V1166">
        <v>791.17</v>
      </c>
      <c r="W1166" t="str">
        <f t="shared" si="312"/>
        <v>zintel</v>
      </c>
    </row>
    <row r="1167" spans="1:23">
      <c r="A1167" t="str">
        <f t="shared" si="324"/>
        <v>CNC-8000AC-4</v>
      </c>
      <c r="B1167" t="str">
        <f>"10-1115-3000"</f>
        <v>10-1115-3000</v>
      </c>
      <c r="C1167" t="str">
        <f>"- 4th axis package"</f>
        <v>- 4th axis package</v>
      </c>
      <c r="D1167">
        <v>1</v>
      </c>
      <c r="E1167" t="str">
        <f t="shared" si="325"/>
        <v>ProMill 8000AC, AC Servo CNC Milling Center with 4 station ATC</v>
      </c>
      <c r="F1167">
        <v>909</v>
      </c>
      <c r="G1167" t="str">
        <f t="shared" si="321"/>
        <v>Y</v>
      </c>
      <c r="H1167" t="str">
        <f t="shared" si="320"/>
        <v>EA</v>
      </c>
      <c r="I1167">
        <v>0</v>
      </c>
      <c r="J1167">
        <v>0</v>
      </c>
      <c r="K1167" t="str">
        <f t="shared" si="322"/>
        <v>Y</v>
      </c>
      <c r="L1167">
        <v>0</v>
      </c>
      <c r="M1167" t="str">
        <f t="shared" si="323"/>
        <v>NIS</v>
      </c>
      <c r="N1167" t="str">
        <f>"Y"</f>
        <v>Y</v>
      </c>
      <c r="O1167">
        <v>14</v>
      </c>
      <c r="P1167" t="str">
        <f t="shared" si="326"/>
        <v>Active</v>
      </c>
      <c r="Q1167" t="str">
        <f>"4th axis package"</f>
        <v>4th axis package</v>
      </c>
      <c r="S1167" t="str">
        <f>"4th axis package"</f>
        <v>4th axis package</v>
      </c>
      <c r="T1167">
        <v>0</v>
      </c>
      <c r="U1167">
        <v>735.68</v>
      </c>
      <c r="V1167" s="44">
        <v>1077.4000000000001</v>
      </c>
      <c r="W1167" t="str">
        <f t="shared" si="312"/>
        <v>zintel</v>
      </c>
    </row>
    <row r="1168" spans="1:23">
      <c r="A1168" t="str">
        <f t="shared" si="324"/>
        <v>CNC-8000AC-4</v>
      </c>
      <c r="B1168" t="str">
        <f>"10-1108-6000"</f>
        <v>10-1108-6000</v>
      </c>
      <c r="C1168" t="str">
        <f>"- 6mm engraving tool set"</f>
        <v>- 6mm engraving tool set</v>
      </c>
      <c r="D1168">
        <v>1</v>
      </c>
      <c r="E1168" t="str">
        <f t="shared" si="325"/>
        <v>ProMill 8000AC, AC Servo CNC Milling Center with 4 station ATC</v>
      </c>
      <c r="F1168">
        <v>909</v>
      </c>
      <c r="G1168" t="str">
        <f t="shared" si="321"/>
        <v>Y</v>
      </c>
      <c r="H1168" t="str">
        <f t="shared" si="320"/>
        <v>EA</v>
      </c>
      <c r="I1168">
        <v>0</v>
      </c>
      <c r="J1168">
        <v>0</v>
      </c>
      <c r="K1168" t="str">
        <f t="shared" si="322"/>
        <v>Y</v>
      </c>
      <c r="L1168">
        <v>0</v>
      </c>
      <c r="M1168" t="str">
        <f t="shared" si="323"/>
        <v>NIS</v>
      </c>
      <c r="O1168">
        <v>15</v>
      </c>
      <c r="P1168" t="str">
        <f t="shared" si="326"/>
        <v>Active</v>
      </c>
      <c r="Q1168" t="str">
        <f>"6mm engraving tool set"</f>
        <v>6mm engraving tool set</v>
      </c>
      <c r="S1168" t="str">
        <f>"6mm engraving tool set"</f>
        <v>6mm engraving tool set</v>
      </c>
      <c r="T1168">
        <v>0</v>
      </c>
      <c r="U1168">
        <v>93.66</v>
      </c>
      <c r="V1168">
        <v>94.27</v>
      </c>
      <c r="W1168" t="str">
        <f t="shared" si="312"/>
        <v>zintel</v>
      </c>
    </row>
    <row r="1169" spans="1:23">
      <c r="A1169" t="str">
        <f t="shared" si="324"/>
        <v>CNC-8000AC-4</v>
      </c>
      <c r="B1169" t="str">
        <f>"10-1108-2000"</f>
        <v>10-1108-2000</v>
      </c>
      <c r="C1169" t="str">
        <f>"- 100mm vice with angle adjustment"</f>
        <v>- 100mm vice with angle adjustment</v>
      </c>
      <c r="D1169">
        <v>1</v>
      </c>
      <c r="E1169" t="str">
        <f t="shared" si="325"/>
        <v>ProMill 8000AC, AC Servo CNC Milling Center with 4 station ATC</v>
      </c>
      <c r="F1169">
        <v>909</v>
      </c>
      <c r="G1169" t="str">
        <f t="shared" si="321"/>
        <v>Y</v>
      </c>
      <c r="H1169" t="str">
        <f t="shared" si="320"/>
        <v>EA</v>
      </c>
      <c r="I1169">
        <v>0</v>
      </c>
      <c r="J1169">
        <v>0</v>
      </c>
      <c r="K1169" t="str">
        <f t="shared" si="322"/>
        <v>Y</v>
      </c>
      <c r="L1169">
        <v>0</v>
      </c>
      <c r="M1169" t="str">
        <f t="shared" si="323"/>
        <v>NIS</v>
      </c>
      <c r="N1169" t="str">
        <f>"Y"</f>
        <v>Y</v>
      </c>
      <c r="O1169">
        <v>16</v>
      </c>
      <c r="P1169" t="str">
        <f t="shared" si="326"/>
        <v>Active</v>
      </c>
      <c r="Q1169" t="str">
        <f>"100mm vice with angle adjustment"</f>
        <v>100mm vice with angle adjustment</v>
      </c>
      <c r="S1169" t="str">
        <f>"100mm vice with angle adjustment"</f>
        <v>100mm vice with angle adjustment</v>
      </c>
      <c r="T1169">
        <v>0</v>
      </c>
      <c r="U1169">
        <v>70.25</v>
      </c>
      <c r="V1169">
        <v>293.5</v>
      </c>
      <c r="W1169" t="str">
        <f t="shared" si="312"/>
        <v>zintel</v>
      </c>
    </row>
    <row r="1170" spans="1:23">
      <c r="A1170" t="str">
        <f t="shared" si="324"/>
        <v>CNC-8000AC-4</v>
      </c>
      <c r="B1170" t="str">
        <f>"10-9120-0000"</f>
        <v>10-9120-0000</v>
      </c>
      <c r="C1170" t="str">
        <f>"Stock Package, Wax, 3” x 2” x 1.5”– 50 Pcs"</f>
        <v>Stock Package, Wax, 3” x 2” x 1.5”– 50 Pcs</v>
      </c>
      <c r="D1170">
        <v>1</v>
      </c>
      <c r="E1170" t="str">
        <f t="shared" si="325"/>
        <v>ProMill 8000AC, AC Servo CNC Milling Center with 4 station ATC</v>
      </c>
      <c r="F1170">
        <v>909</v>
      </c>
      <c r="G1170" t="str">
        <f t="shared" si="321"/>
        <v>Y</v>
      </c>
      <c r="H1170" t="str">
        <f t="shared" si="320"/>
        <v>EA</v>
      </c>
      <c r="I1170">
        <v>0</v>
      </c>
      <c r="J1170">
        <v>0</v>
      </c>
      <c r="K1170" t="str">
        <f t="shared" si="322"/>
        <v>Y</v>
      </c>
      <c r="L1170">
        <v>0</v>
      </c>
      <c r="M1170" t="str">
        <f t="shared" si="323"/>
        <v>NIS</v>
      </c>
      <c r="O1170">
        <v>17</v>
      </c>
      <c r="P1170" t="str">
        <f t="shared" si="326"/>
        <v>Active</v>
      </c>
      <c r="Q1170" t="str">
        <f>"Stock Package, Machinable Wax, Mill, 3""x2""x1.5"""</f>
        <v>Stock Package, Machinable Wax, Mill, 3"x2"x1.5"</v>
      </c>
      <c r="S1170" t="str">
        <f>"Stock Package, Wax, 3” x 2” x 1.5”– 50 Pcs"</f>
        <v>Stock Package, Wax, 3” x 2” x 1.5”– 50 Pcs</v>
      </c>
      <c r="T1170">
        <v>245</v>
      </c>
      <c r="U1170">
        <v>242.73</v>
      </c>
      <c r="V1170">
        <v>613.89</v>
      </c>
      <c r="W1170" t="str">
        <f t="shared" si="312"/>
        <v>zintel</v>
      </c>
    </row>
    <row r="1171" spans="1:23">
      <c r="A1171" t="str">
        <f t="shared" si="324"/>
        <v>CNC-8000AC-4</v>
      </c>
      <c r="B1171" t="str">
        <f>"10-1108-9000"</f>
        <v>10-1108-9000</v>
      </c>
      <c r="C1171" t="str">
        <f>"- Fanuc panel / Computer stand"</f>
        <v>- Fanuc panel / Computer stand</v>
      </c>
      <c r="D1171">
        <v>1</v>
      </c>
      <c r="E1171" t="str">
        <f t="shared" si="325"/>
        <v>ProMill 8000AC, AC Servo CNC Milling Center with 4 station ATC</v>
      </c>
      <c r="F1171">
        <v>909</v>
      </c>
      <c r="G1171" t="str">
        <f t="shared" si="321"/>
        <v>Y</v>
      </c>
      <c r="H1171" t="str">
        <f t="shared" si="320"/>
        <v>EA</v>
      </c>
      <c r="I1171">
        <v>0</v>
      </c>
      <c r="J1171">
        <v>0</v>
      </c>
      <c r="K1171" t="str">
        <f t="shared" si="322"/>
        <v>Y</v>
      </c>
      <c r="L1171">
        <v>0</v>
      </c>
      <c r="M1171" t="str">
        <f t="shared" si="323"/>
        <v>NIS</v>
      </c>
      <c r="N1171" t="str">
        <f>"Y"</f>
        <v>Y</v>
      </c>
      <c r="O1171">
        <v>9</v>
      </c>
      <c r="P1171" t="str">
        <f t="shared" si="326"/>
        <v>Active</v>
      </c>
      <c r="Q1171" t="str">
        <f>"Computer stand"</f>
        <v>Computer stand</v>
      </c>
      <c r="S1171" t="str">
        <f>"Computer stand"</f>
        <v>Computer stand</v>
      </c>
      <c r="T1171">
        <v>0</v>
      </c>
      <c r="U1171">
        <v>128.78</v>
      </c>
      <c r="V1171">
        <v>193.77</v>
      </c>
      <c r="W1171" t="str">
        <f t="shared" si="312"/>
        <v>zintel</v>
      </c>
    </row>
    <row r="1172" spans="1:23">
      <c r="A1172" t="str">
        <f t="shared" si="324"/>
        <v>CNC-8000AC-4</v>
      </c>
      <c r="B1172" t="str">
        <f>"63-8001-1000"</f>
        <v>63-8001-1000</v>
      </c>
      <c r="C1172" t="str">
        <f>"-CNCMotion for ProMill 8000"</f>
        <v>-CNCMotion for ProMill 8000</v>
      </c>
      <c r="D1172">
        <v>1</v>
      </c>
      <c r="E1172" t="str">
        <f t="shared" si="325"/>
        <v>ProMill 8000AC, AC Servo CNC Milling Center with 4 station ATC</v>
      </c>
      <c r="F1172">
        <v>909</v>
      </c>
      <c r="G1172" t="str">
        <f t="shared" si="321"/>
        <v>Y</v>
      </c>
      <c r="H1172" t="str">
        <f t="shared" si="320"/>
        <v>EA</v>
      </c>
      <c r="I1172">
        <v>0</v>
      </c>
      <c r="J1172">
        <v>0</v>
      </c>
      <c r="K1172" t="str">
        <f t="shared" si="322"/>
        <v>Y</v>
      </c>
      <c r="L1172">
        <v>0</v>
      </c>
      <c r="M1172" t="str">
        <f t="shared" si="323"/>
        <v>NIS</v>
      </c>
      <c r="O1172">
        <v>18</v>
      </c>
      <c r="P1172" t="str">
        <f t="shared" si="326"/>
        <v>Active</v>
      </c>
      <c r="Q1172" t="str">
        <f>"CNCMotion Sim. Sftwr, ProMill 8000"</f>
        <v>CNCMotion Sim. Sftwr, ProMill 8000</v>
      </c>
      <c r="S1172" t="str">
        <f>"CNCMotion Sim. Sftwr, ProMill 8000"</f>
        <v>CNCMotion Sim. Sftwr, ProMill 8000</v>
      </c>
      <c r="T1172">
        <v>0</v>
      </c>
      <c r="U1172">
        <v>0</v>
      </c>
      <c r="V1172">
        <v>0</v>
      </c>
      <c r="W1172" t="str">
        <f t="shared" si="312"/>
        <v>zintel</v>
      </c>
    </row>
    <row r="1173" spans="1:23">
      <c r="A1173" t="str">
        <f t="shared" ref="A1173:A1187" si="327">"CNC-8000AC-S-4"</f>
        <v>CNC-8000AC-S-4</v>
      </c>
      <c r="B1173" t="str">
        <f>"00-5508-0220"</f>
        <v>00-5508-0220</v>
      </c>
      <c r="C1173" t="str">
        <f>"CNC ProMill 8000 AC-S 220V &amp; shelf"</f>
        <v>CNC ProMill 8000 AC-S 220V &amp; shelf</v>
      </c>
      <c r="D1173">
        <v>1</v>
      </c>
      <c r="E1173" t="str">
        <f t="shared" ref="E1173:E1187" si="328">"ProMill 8000AC-S - CNC Milling Machine Siemens control  with 4 station ATC"</f>
        <v>ProMill 8000AC-S - CNC Milling Machine Siemens control  with 4 station ATC</v>
      </c>
      <c r="F1173">
        <v>911</v>
      </c>
      <c r="G1173" t="str">
        <f t="shared" si="321"/>
        <v>Y</v>
      </c>
      <c r="H1173" t="str">
        <f t="shared" si="320"/>
        <v>EA</v>
      </c>
      <c r="I1173">
        <v>0</v>
      </c>
      <c r="J1173">
        <v>0</v>
      </c>
      <c r="K1173" t="str">
        <f t="shared" si="322"/>
        <v>Y</v>
      </c>
      <c r="L1173">
        <v>0</v>
      </c>
      <c r="M1173" t="str">
        <f t="shared" si="323"/>
        <v>NIS</v>
      </c>
      <c r="O1173">
        <v>1</v>
      </c>
      <c r="P1173" t="str">
        <f t="shared" si="326"/>
        <v>Active</v>
      </c>
      <c r="Q1173" t="str">
        <f>"CNC ProMill 8000 AC-S 220V &amp; shelf"</f>
        <v>CNC ProMill 8000 AC-S 220V &amp; shelf</v>
      </c>
      <c r="S1173" t="str">
        <f>"CNC ProMill 8000 AC-S 220V &amp; shelf"</f>
        <v>CNC ProMill 8000 AC-S 220V &amp; shelf</v>
      </c>
      <c r="T1173">
        <v>0</v>
      </c>
      <c r="U1173" s="44">
        <v>9190.39</v>
      </c>
      <c r="V1173" s="44">
        <v>9156.7000000000007</v>
      </c>
      <c r="W1173" t="str">
        <f t="shared" ref="W1173:W1236" si="329">"zintel"</f>
        <v>zintel</v>
      </c>
    </row>
    <row r="1174" spans="1:23">
      <c r="A1174" t="str">
        <f t="shared" si="327"/>
        <v>CNC-8000AC-S-4</v>
      </c>
      <c r="B1174" t="str">
        <f>"10-1111-6000"</f>
        <v>10-1111-6000</v>
      </c>
      <c r="C1174" t="str">
        <f>"4"" Vise"</f>
        <v>4" Vise</v>
      </c>
      <c r="D1174">
        <v>1</v>
      </c>
      <c r="E1174" t="str">
        <f t="shared" si="328"/>
        <v>ProMill 8000AC-S - CNC Milling Machine Siemens control  with 4 station ATC</v>
      </c>
      <c r="F1174">
        <v>911</v>
      </c>
      <c r="G1174" t="str">
        <f t="shared" si="321"/>
        <v>Y</v>
      </c>
      <c r="H1174" t="str">
        <f t="shared" si="320"/>
        <v>EA</v>
      </c>
      <c r="I1174">
        <v>0</v>
      </c>
      <c r="J1174">
        <v>0</v>
      </c>
      <c r="K1174" t="str">
        <f t="shared" si="322"/>
        <v>Y</v>
      </c>
      <c r="L1174">
        <v>0</v>
      </c>
      <c r="M1174" t="str">
        <f t="shared" si="323"/>
        <v>NIS</v>
      </c>
      <c r="O1174">
        <v>2</v>
      </c>
      <c r="P1174" t="str">
        <f t="shared" si="326"/>
        <v>Active</v>
      </c>
      <c r="Q1174" t="str">
        <f>"4"" Precision Maching Vise"</f>
        <v>4" Precision Maching Vise</v>
      </c>
      <c r="S1174" t="str">
        <f>"4"" Precision Maching Vise"</f>
        <v>4" Precision Maching Vise</v>
      </c>
      <c r="T1174">
        <v>0</v>
      </c>
      <c r="U1174">
        <v>53</v>
      </c>
      <c r="V1174">
        <v>49.5</v>
      </c>
      <c r="W1174" t="str">
        <f t="shared" si="329"/>
        <v>zintel</v>
      </c>
    </row>
    <row r="1175" spans="1:23">
      <c r="A1175" t="str">
        <f t="shared" si="327"/>
        <v>CNC-8000AC-S-4</v>
      </c>
      <c r="B1175" t="str">
        <f>"10-1111-5000"</f>
        <v>10-1111-5000</v>
      </c>
      <c r="C1175" t="str">
        <f>"clamping kit 58 pcs set"</f>
        <v>clamping kit 58 pcs set</v>
      </c>
      <c r="D1175">
        <v>1</v>
      </c>
      <c r="E1175" t="str">
        <f t="shared" si="328"/>
        <v>ProMill 8000AC-S - CNC Milling Machine Siemens control  with 4 station ATC</v>
      </c>
      <c r="F1175">
        <v>911</v>
      </c>
      <c r="G1175" t="str">
        <f t="shared" si="321"/>
        <v>Y</v>
      </c>
      <c r="H1175" t="str">
        <f t="shared" si="320"/>
        <v>EA</v>
      </c>
      <c r="I1175">
        <v>0</v>
      </c>
      <c r="J1175">
        <v>0</v>
      </c>
      <c r="K1175" t="str">
        <f t="shared" si="322"/>
        <v>Y</v>
      </c>
      <c r="L1175">
        <v>0</v>
      </c>
      <c r="M1175" t="str">
        <f t="shared" si="323"/>
        <v>NIS</v>
      </c>
      <c r="O1175">
        <v>3</v>
      </c>
      <c r="P1175" t="str">
        <f t="shared" si="326"/>
        <v>Active</v>
      </c>
      <c r="Q1175" t="str">
        <f>"clamping kit 58 pcs set"</f>
        <v>clamping kit 58 pcs set</v>
      </c>
      <c r="S1175" t="str">
        <f>"clamping kit 58 pcs set"</f>
        <v>clamping kit 58 pcs set</v>
      </c>
      <c r="T1175">
        <v>0</v>
      </c>
      <c r="U1175">
        <v>52</v>
      </c>
      <c r="V1175">
        <v>51.72</v>
      </c>
      <c r="W1175" t="str">
        <f t="shared" si="329"/>
        <v>zintel</v>
      </c>
    </row>
    <row r="1176" spans="1:23">
      <c r="A1176" t="str">
        <f t="shared" si="327"/>
        <v>CNC-8000AC-S-4</v>
      </c>
      <c r="B1176" t="str">
        <f>"10-1111-9000"</f>
        <v>10-1111-9000</v>
      </c>
      <c r="C1176" t="str">
        <f>"ISO 20 tool holder"</f>
        <v>ISO 20 tool holder</v>
      </c>
      <c r="D1176">
        <v>1</v>
      </c>
      <c r="E1176" t="str">
        <f t="shared" si="328"/>
        <v>ProMill 8000AC-S - CNC Milling Machine Siemens control  with 4 station ATC</v>
      </c>
      <c r="F1176">
        <v>911</v>
      </c>
      <c r="G1176" t="str">
        <f t="shared" si="321"/>
        <v>Y</v>
      </c>
      <c r="H1176" t="str">
        <f t="shared" si="320"/>
        <v>EA</v>
      </c>
      <c r="I1176">
        <v>0</v>
      </c>
      <c r="J1176">
        <v>0</v>
      </c>
      <c r="K1176" t="str">
        <f t="shared" si="322"/>
        <v>Y</v>
      </c>
      <c r="L1176">
        <v>0</v>
      </c>
      <c r="M1176" t="str">
        <f t="shared" si="323"/>
        <v>NIS</v>
      </c>
      <c r="O1176">
        <v>4</v>
      </c>
      <c r="P1176" t="str">
        <f t="shared" si="326"/>
        <v>Active</v>
      </c>
      <c r="Q1176" t="str">
        <f>"ISO 20 tool holder with nut"</f>
        <v>ISO 20 tool holder with nut</v>
      </c>
      <c r="S1176" t="str">
        <f>"ISO 20 tool holder with nut"</f>
        <v>ISO 20 tool holder with nut</v>
      </c>
      <c r="T1176">
        <v>0</v>
      </c>
      <c r="U1176">
        <v>103</v>
      </c>
      <c r="V1176">
        <v>103.19</v>
      </c>
      <c r="W1176" t="str">
        <f t="shared" si="329"/>
        <v>zintel</v>
      </c>
    </row>
    <row r="1177" spans="1:23">
      <c r="A1177" t="str">
        <f t="shared" si="327"/>
        <v>CNC-8000AC-S-4</v>
      </c>
      <c r="B1177" t="str">
        <f>"10-1115-0000"</f>
        <v>10-1115-0000</v>
      </c>
      <c r="C1177" t="str">
        <f>"ER16 Collet set - 2 x (3,6,8,10mm)"</f>
        <v>ER16 Collet set - 2 x (3,6,8,10mm)</v>
      </c>
      <c r="D1177">
        <v>1</v>
      </c>
      <c r="E1177" t="str">
        <f t="shared" si="328"/>
        <v>ProMill 8000AC-S - CNC Milling Machine Siemens control  with 4 station ATC</v>
      </c>
      <c r="F1177">
        <v>911</v>
      </c>
      <c r="G1177" t="str">
        <f t="shared" si="321"/>
        <v>Y</v>
      </c>
      <c r="H1177" t="str">
        <f t="shared" si="320"/>
        <v>EA</v>
      </c>
      <c r="I1177">
        <v>0</v>
      </c>
      <c r="J1177">
        <v>0</v>
      </c>
      <c r="K1177" t="str">
        <f t="shared" si="322"/>
        <v>Y</v>
      </c>
      <c r="L1177">
        <v>0</v>
      </c>
      <c r="M1177" t="str">
        <f t="shared" si="323"/>
        <v>NIS</v>
      </c>
      <c r="O1177">
        <v>5</v>
      </c>
      <c r="P1177" t="str">
        <f t="shared" si="326"/>
        <v>Active</v>
      </c>
      <c r="Q1177" t="str">
        <f>"ER16 Collet set-8 pieces(2)3,(2)6,(2)8,(2)10mm"</f>
        <v>ER16 Collet set-8 pieces(2)3,(2)6,(2)8,(2)10mm</v>
      </c>
      <c r="S1177" t="str">
        <f>"ER16 Collet set-8 pieces(2)3,(2)6,(2)8,(2)10mm"</f>
        <v>ER16 Collet set-8 pieces(2)3,(2)6,(2)8,(2)10mm</v>
      </c>
      <c r="T1177">
        <v>0</v>
      </c>
      <c r="U1177">
        <v>71</v>
      </c>
      <c r="V1177">
        <v>70.63</v>
      </c>
      <c r="W1177" t="str">
        <f t="shared" si="329"/>
        <v>zintel</v>
      </c>
    </row>
    <row r="1178" spans="1:23">
      <c r="A1178" t="str">
        <f t="shared" si="327"/>
        <v>CNC-8000AC-S-4</v>
      </c>
      <c r="B1178" t="str">
        <f>"10-1113-4000"</f>
        <v>10-1113-4000</v>
      </c>
      <c r="C1178" t="str">
        <f>"Metric End Mill Package(2X 3,6,8,10End,4,6 Ball)"</f>
        <v>Metric End Mill Package(2X 3,6,8,10End,4,6 Ball)</v>
      </c>
      <c r="D1178">
        <v>1</v>
      </c>
      <c r="E1178" t="str">
        <f t="shared" si="328"/>
        <v>ProMill 8000AC-S - CNC Milling Machine Siemens control  with 4 station ATC</v>
      </c>
      <c r="F1178">
        <v>911</v>
      </c>
      <c r="G1178" t="str">
        <f t="shared" si="321"/>
        <v>Y</v>
      </c>
      <c r="H1178" t="str">
        <f t="shared" si="320"/>
        <v>EA</v>
      </c>
      <c r="I1178">
        <v>0</v>
      </c>
      <c r="J1178">
        <v>0</v>
      </c>
      <c r="K1178" t="str">
        <f t="shared" si="322"/>
        <v>Y</v>
      </c>
      <c r="L1178">
        <v>0</v>
      </c>
      <c r="M1178" t="str">
        <f t="shared" si="323"/>
        <v>NIS</v>
      </c>
      <c r="O1178">
        <v>6</v>
      </c>
      <c r="P1178" t="str">
        <f t="shared" si="326"/>
        <v>Active</v>
      </c>
      <c r="Q1178" t="str">
        <f>"Metric Advanced End Mill Package 5121"</f>
        <v>Metric Advanced End Mill Package 5121</v>
      </c>
      <c r="S1178" t="str">
        <f>"Metric Advanced End Mill Package 5121"</f>
        <v>Metric Advanced End Mill Package 5121</v>
      </c>
      <c r="T1178">
        <v>0</v>
      </c>
      <c r="U1178">
        <v>55</v>
      </c>
      <c r="V1178">
        <v>50.17</v>
      </c>
      <c r="W1178" t="str">
        <f t="shared" si="329"/>
        <v>zintel</v>
      </c>
    </row>
    <row r="1179" spans="1:23">
      <c r="A1179" t="str">
        <f t="shared" si="327"/>
        <v>CNC-8000AC-S-4</v>
      </c>
      <c r="B1179" t="str">
        <f>"10-1105-5000"</f>
        <v>10-1105-5000</v>
      </c>
      <c r="C1179" t="str">
        <f>"Computer and monitor attachment"</f>
        <v>Computer and monitor attachment</v>
      </c>
      <c r="D1179">
        <v>1</v>
      </c>
      <c r="E1179" t="str">
        <f t="shared" si="328"/>
        <v>ProMill 8000AC-S - CNC Milling Machine Siemens control  with 4 station ATC</v>
      </c>
      <c r="F1179">
        <v>911</v>
      </c>
      <c r="G1179" t="str">
        <f t="shared" si="321"/>
        <v>Y</v>
      </c>
      <c r="H1179" t="str">
        <f t="shared" si="320"/>
        <v>EA</v>
      </c>
      <c r="I1179">
        <v>0</v>
      </c>
      <c r="J1179">
        <v>0</v>
      </c>
      <c r="K1179" t="str">
        <f t="shared" si="322"/>
        <v>Y</v>
      </c>
      <c r="L1179">
        <v>0</v>
      </c>
      <c r="M1179" t="str">
        <f t="shared" si="323"/>
        <v>NIS</v>
      </c>
      <c r="O1179">
        <v>7</v>
      </c>
      <c r="P1179" t="str">
        <f t="shared" si="326"/>
        <v>Active</v>
      </c>
      <c r="Q1179" t="str">
        <f>"Computer and monitor stand (attached to machine)"</f>
        <v>Computer and monitor stand (attached to machine)</v>
      </c>
      <c r="S1179" t="str">
        <f>"Computer and monitor stand (attached to machine)"</f>
        <v>Computer and monitor stand (attached to machine)</v>
      </c>
      <c r="T1179">
        <v>0</v>
      </c>
      <c r="U1179">
        <v>105.36</v>
      </c>
      <c r="V1179">
        <v>103.02</v>
      </c>
      <c r="W1179" t="str">
        <f t="shared" si="329"/>
        <v>zintel</v>
      </c>
    </row>
    <row r="1180" spans="1:23">
      <c r="A1180" t="str">
        <f t="shared" si="327"/>
        <v>CNC-8000AC-S-4</v>
      </c>
      <c r="B1180" t="str">
        <f>"10-1115-2000"</f>
        <v>10-1115-2000</v>
      </c>
      <c r="C1180" t="str">
        <f>"- Table mounted ATC package"</f>
        <v>- Table mounted ATC package</v>
      </c>
      <c r="D1180">
        <v>1</v>
      </c>
      <c r="E1180" t="str">
        <f t="shared" si="328"/>
        <v>ProMill 8000AC-S - CNC Milling Machine Siemens control  with 4 station ATC</v>
      </c>
      <c r="F1180">
        <v>911</v>
      </c>
      <c r="G1180" t="str">
        <f t="shared" si="321"/>
        <v>Y</v>
      </c>
      <c r="H1180" t="str">
        <f t="shared" si="320"/>
        <v>EA</v>
      </c>
      <c r="I1180">
        <v>0</v>
      </c>
      <c r="J1180">
        <v>0</v>
      </c>
      <c r="K1180" t="str">
        <f t="shared" si="322"/>
        <v>Y</v>
      </c>
      <c r="L1180">
        <v>0</v>
      </c>
      <c r="M1180" t="str">
        <f t="shared" si="323"/>
        <v>NIS</v>
      </c>
      <c r="O1180">
        <v>8</v>
      </c>
      <c r="P1180" t="str">
        <f t="shared" si="326"/>
        <v>Active</v>
      </c>
      <c r="Q1180" t="str">
        <f>"Table mounted ATC package"</f>
        <v>Table mounted ATC package</v>
      </c>
      <c r="S1180" t="str">
        <f>"Table mounted ATC package"</f>
        <v>Table mounted ATC package</v>
      </c>
      <c r="T1180">
        <v>0</v>
      </c>
      <c r="U1180">
        <v>690</v>
      </c>
      <c r="V1180">
        <v>690.59</v>
      </c>
      <c r="W1180" t="str">
        <f t="shared" si="329"/>
        <v>zintel</v>
      </c>
    </row>
    <row r="1181" spans="1:23">
      <c r="A1181" t="str">
        <f t="shared" si="327"/>
        <v>CNC-8000AC-S-4</v>
      </c>
      <c r="B1181" t="str">
        <f>"10-1113-6000"</f>
        <v>10-1113-6000</v>
      </c>
      <c r="C1181" t="str">
        <f>"- Metric Engraving Package (1,1.5,2 mm End mill)"</f>
        <v>- Metric Engraving Package (1,1.5,2 mm End mill)</v>
      </c>
      <c r="D1181">
        <v>1</v>
      </c>
      <c r="E1181" t="str">
        <f t="shared" si="328"/>
        <v>ProMill 8000AC-S - CNC Milling Machine Siemens control  with 4 station ATC</v>
      </c>
      <c r="F1181">
        <v>911</v>
      </c>
      <c r="G1181" t="str">
        <f t="shared" si="321"/>
        <v>Y</v>
      </c>
      <c r="H1181" t="str">
        <f t="shared" si="320"/>
        <v>EA</v>
      </c>
      <c r="I1181">
        <v>0</v>
      </c>
      <c r="J1181">
        <v>0</v>
      </c>
      <c r="K1181" t="str">
        <f t="shared" si="322"/>
        <v>Y</v>
      </c>
      <c r="L1181">
        <v>0</v>
      </c>
      <c r="M1181" t="str">
        <f t="shared" si="323"/>
        <v>NIS</v>
      </c>
      <c r="O1181">
        <v>9</v>
      </c>
      <c r="P1181" t="str">
        <f t="shared" si="326"/>
        <v>Active</v>
      </c>
      <c r="Q1181" t="str">
        <f>"Metric Engraving Package 5711"</f>
        <v>Metric Engraving Package 5711</v>
      </c>
      <c r="S1181" t="str">
        <f>"Metric Engraving Package 5711"</f>
        <v>Metric Engraving Package 5711</v>
      </c>
      <c r="T1181">
        <v>0</v>
      </c>
      <c r="U1181">
        <v>41</v>
      </c>
      <c r="V1181">
        <v>37.909999999999997</v>
      </c>
      <c r="W1181" t="str">
        <f t="shared" si="329"/>
        <v>zintel</v>
      </c>
    </row>
    <row r="1182" spans="1:23">
      <c r="A1182" t="str">
        <f t="shared" si="327"/>
        <v>CNC-8000AC-S-4</v>
      </c>
      <c r="B1182" t="str">
        <f>"10-1111-1000"</f>
        <v>10-1111-1000</v>
      </c>
      <c r="C1182" t="str">
        <f>"- Handwheel - Manual Control"</f>
        <v>- Handwheel - Manual Control</v>
      </c>
      <c r="D1182">
        <v>1</v>
      </c>
      <c r="E1182" t="str">
        <f t="shared" si="328"/>
        <v>ProMill 8000AC-S - CNC Milling Machine Siemens control  with 4 station ATC</v>
      </c>
      <c r="F1182">
        <v>911</v>
      </c>
      <c r="G1182" t="str">
        <f t="shared" si="321"/>
        <v>Y</v>
      </c>
      <c r="H1182" t="str">
        <f t="shared" si="320"/>
        <v>EA</v>
      </c>
      <c r="I1182">
        <v>0</v>
      </c>
      <c r="J1182">
        <v>0</v>
      </c>
      <c r="K1182" t="str">
        <f t="shared" si="322"/>
        <v>Y</v>
      </c>
      <c r="L1182">
        <v>0</v>
      </c>
      <c r="M1182" t="str">
        <f t="shared" si="323"/>
        <v>NIS</v>
      </c>
      <c r="O1182">
        <v>10</v>
      </c>
      <c r="P1182" t="str">
        <f t="shared" si="326"/>
        <v>Active</v>
      </c>
      <c r="Q1182" t="str">
        <f>"Hand wheel"</f>
        <v>Hand wheel</v>
      </c>
      <c r="S1182" t="str">
        <f>"Jog Pendant Handwheel"</f>
        <v>Jog Pendant Handwheel</v>
      </c>
      <c r="T1182">
        <v>0</v>
      </c>
      <c r="U1182">
        <v>235</v>
      </c>
      <c r="V1182">
        <v>235.03</v>
      </c>
      <c r="W1182" t="str">
        <f t="shared" si="329"/>
        <v>zintel</v>
      </c>
    </row>
    <row r="1183" spans="1:23">
      <c r="A1183" t="str">
        <f t="shared" si="327"/>
        <v>CNC-8000AC-S-4</v>
      </c>
      <c r="B1183" t="str">
        <f>"10-1108-1220"</f>
        <v>10-1108-1220</v>
      </c>
      <c r="C1183" t="str">
        <f>"- Coolant system 27L -220V"</f>
        <v>- Coolant system 27L -220V</v>
      </c>
      <c r="D1183">
        <v>1</v>
      </c>
      <c r="E1183" t="str">
        <f t="shared" si="328"/>
        <v>ProMill 8000AC-S - CNC Milling Machine Siemens control  with 4 station ATC</v>
      </c>
      <c r="F1183">
        <v>911</v>
      </c>
      <c r="G1183" t="str">
        <f t="shared" si="321"/>
        <v>Y</v>
      </c>
      <c r="H1183" t="str">
        <f t="shared" si="320"/>
        <v>EA</v>
      </c>
      <c r="I1183">
        <v>0</v>
      </c>
      <c r="J1183">
        <v>0</v>
      </c>
      <c r="K1183" t="str">
        <f t="shared" si="322"/>
        <v>Y</v>
      </c>
      <c r="L1183">
        <v>0</v>
      </c>
      <c r="M1183" t="str">
        <f t="shared" si="323"/>
        <v>NIS</v>
      </c>
      <c r="O1183">
        <v>11</v>
      </c>
      <c r="P1183" t="str">
        <f t="shared" si="326"/>
        <v>Active</v>
      </c>
      <c r="Q1183" t="str">
        <f>"Coolant system 27L - 220V"</f>
        <v>Coolant system 27L - 220V</v>
      </c>
      <c r="S1183" t="str">
        <f>"Coolant system 27L - 220V"</f>
        <v>Coolant system 27L - 220V</v>
      </c>
      <c r="T1183">
        <v>0</v>
      </c>
      <c r="U1183">
        <v>117.08</v>
      </c>
      <c r="V1183">
        <v>117.15</v>
      </c>
      <c r="W1183" t="str">
        <f t="shared" si="329"/>
        <v>zintel</v>
      </c>
    </row>
    <row r="1184" spans="1:23">
      <c r="A1184" t="str">
        <f t="shared" si="327"/>
        <v>CNC-8000AC-S-4</v>
      </c>
      <c r="B1184" t="str">
        <f>"10-1115-3000"</f>
        <v>10-1115-3000</v>
      </c>
      <c r="C1184" t="str">
        <f>"- 4th axis package"</f>
        <v>- 4th axis package</v>
      </c>
      <c r="D1184">
        <v>1</v>
      </c>
      <c r="E1184" t="str">
        <f t="shared" si="328"/>
        <v>ProMill 8000AC-S - CNC Milling Machine Siemens control  with 4 station ATC</v>
      </c>
      <c r="F1184">
        <v>911</v>
      </c>
      <c r="G1184" t="str">
        <f t="shared" si="321"/>
        <v>Y</v>
      </c>
      <c r="H1184" t="str">
        <f t="shared" si="320"/>
        <v>EA</v>
      </c>
      <c r="I1184">
        <v>0</v>
      </c>
      <c r="J1184">
        <v>0</v>
      </c>
      <c r="K1184" t="str">
        <f t="shared" si="322"/>
        <v>Y</v>
      </c>
      <c r="L1184">
        <v>0</v>
      </c>
      <c r="M1184" t="str">
        <f t="shared" si="323"/>
        <v>NIS</v>
      </c>
      <c r="O1184">
        <v>13</v>
      </c>
      <c r="P1184" t="str">
        <f t="shared" si="326"/>
        <v>Active</v>
      </c>
      <c r="Q1184" t="str">
        <f>"4th axis package"</f>
        <v>4th axis package</v>
      </c>
      <c r="S1184" t="str">
        <f>"4th axis package"</f>
        <v>4th axis package</v>
      </c>
      <c r="T1184">
        <v>0</v>
      </c>
      <c r="U1184">
        <v>735.68</v>
      </c>
      <c r="V1184" s="44">
        <v>1077.4000000000001</v>
      </c>
      <c r="W1184" t="str">
        <f t="shared" si="329"/>
        <v>zintel</v>
      </c>
    </row>
    <row r="1185" spans="1:23">
      <c r="A1185" t="str">
        <f t="shared" si="327"/>
        <v>CNC-8000AC-S-4</v>
      </c>
      <c r="B1185" t="str">
        <f>"10-1108-6000"</f>
        <v>10-1108-6000</v>
      </c>
      <c r="C1185" t="str">
        <f>"- 6mm engraving tool set"</f>
        <v>- 6mm engraving tool set</v>
      </c>
      <c r="D1185">
        <v>1</v>
      </c>
      <c r="E1185" t="str">
        <f t="shared" si="328"/>
        <v>ProMill 8000AC-S - CNC Milling Machine Siemens control  with 4 station ATC</v>
      </c>
      <c r="F1185">
        <v>911</v>
      </c>
      <c r="G1185" t="str">
        <f t="shared" si="321"/>
        <v>Y</v>
      </c>
      <c r="H1185" t="str">
        <f t="shared" si="320"/>
        <v>EA</v>
      </c>
      <c r="I1185">
        <v>0</v>
      </c>
      <c r="J1185">
        <v>0</v>
      </c>
      <c r="K1185" t="str">
        <f t="shared" si="322"/>
        <v>Y</v>
      </c>
      <c r="L1185">
        <v>0</v>
      </c>
      <c r="M1185" t="str">
        <f t="shared" si="323"/>
        <v>NIS</v>
      </c>
      <c r="O1185">
        <v>14</v>
      </c>
      <c r="P1185" t="str">
        <f t="shared" si="326"/>
        <v>Active</v>
      </c>
      <c r="Q1185" t="str">
        <f>"6mm engraving tool set"</f>
        <v>6mm engraving tool set</v>
      </c>
      <c r="S1185" t="str">
        <f>"6mm engraving tool set"</f>
        <v>6mm engraving tool set</v>
      </c>
      <c r="T1185">
        <v>0</v>
      </c>
      <c r="U1185">
        <v>93.66</v>
      </c>
      <c r="V1185">
        <v>94.27</v>
      </c>
      <c r="W1185" t="str">
        <f t="shared" si="329"/>
        <v>zintel</v>
      </c>
    </row>
    <row r="1186" spans="1:23">
      <c r="A1186" t="str">
        <f t="shared" si="327"/>
        <v>CNC-8000AC-S-4</v>
      </c>
      <c r="B1186" t="str">
        <f>"10-1108-2000"</f>
        <v>10-1108-2000</v>
      </c>
      <c r="C1186" t="str">
        <f>"- 100mm vice with angle adjustment"</f>
        <v>- 100mm vice with angle adjustment</v>
      </c>
      <c r="D1186">
        <v>1</v>
      </c>
      <c r="E1186" t="str">
        <f t="shared" si="328"/>
        <v>ProMill 8000AC-S - CNC Milling Machine Siemens control  with 4 station ATC</v>
      </c>
      <c r="F1186">
        <v>911</v>
      </c>
      <c r="G1186" t="str">
        <f t="shared" si="321"/>
        <v>Y</v>
      </c>
      <c r="H1186" t="str">
        <f t="shared" si="320"/>
        <v>EA</v>
      </c>
      <c r="I1186">
        <v>0</v>
      </c>
      <c r="J1186">
        <v>0</v>
      </c>
      <c r="K1186" t="str">
        <f t="shared" si="322"/>
        <v>Y</v>
      </c>
      <c r="L1186">
        <v>0</v>
      </c>
      <c r="M1186" t="str">
        <f t="shared" si="323"/>
        <v>NIS</v>
      </c>
      <c r="O1186">
        <v>15</v>
      </c>
      <c r="P1186" t="str">
        <f t="shared" si="326"/>
        <v>Active</v>
      </c>
      <c r="Q1186" t="str">
        <f>"100mm vice with angle adjustment"</f>
        <v>100mm vice with angle adjustment</v>
      </c>
      <c r="S1186" t="str">
        <f>"100mm vice with angle adjustment"</f>
        <v>100mm vice with angle adjustment</v>
      </c>
      <c r="T1186">
        <v>0</v>
      </c>
      <c r="U1186">
        <v>70.25</v>
      </c>
      <c r="V1186">
        <v>293.5</v>
      </c>
      <c r="W1186" t="str">
        <f t="shared" si="329"/>
        <v>zintel</v>
      </c>
    </row>
    <row r="1187" spans="1:23">
      <c r="A1187" t="str">
        <f t="shared" si="327"/>
        <v>CNC-8000AC-S-4</v>
      </c>
      <c r="B1187" t="str">
        <f>"10-1110-7000"</f>
        <v>10-1110-7000</v>
      </c>
      <c r="C1187" t="str">
        <f>"--Dual Axis Vise (for FMS)"</f>
        <v>--Dual Axis Vise (for FMS)</v>
      </c>
      <c r="D1187">
        <v>1</v>
      </c>
      <c r="E1187" t="str">
        <f t="shared" si="328"/>
        <v>ProMill 8000AC-S - CNC Milling Machine Siemens control  with 4 station ATC</v>
      </c>
      <c r="F1187">
        <v>911</v>
      </c>
      <c r="G1187" t="str">
        <f t="shared" si="321"/>
        <v>Y</v>
      </c>
      <c r="H1187" t="str">
        <f t="shared" si="320"/>
        <v>EA</v>
      </c>
      <c r="I1187">
        <v>0</v>
      </c>
      <c r="J1187">
        <v>0</v>
      </c>
      <c r="K1187" t="str">
        <f t="shared" si="322"/>
        <v>Y</v>
      </c>
      <c r="L1187">
        <v>0</v>
      </c>
      <c r="M1187" t="str">
        <f t="shared" si="323"/>
        <v>NIS</v>
      </c>
      <c r="O1187">
        <v>16</v>
      </c>
      <c r="P1187" t="str">
        <f t="shared" si="326"/>
        <v>Active</v>
      </c>
      <c r="Q1187" t="str">
        <f>"Dual Axis Vise (BenchMill 6000/ ProMill 8000)"</f>
        <v>Dual Axis Vise (BenchMill 6000/ ProMill 8000)</v>
      </c>
      <c r="S1187" t="str">
        <f>"Dual Axis Vise (BenchMill 6000/ ProMill 8000)"</f>
        <v>Dual Axis Vise (BenchMill 6000/ ProMill 8000)</v>
      </c>
      <c r="T1187">
        <v>0</v>
      </c>
      <c r="U1187">
        <v>239</v>
      </c>
      <c r="V1187">
        <v>219.6</v>
      </c>
      <c r="W1187" t="str">
        <f t="shared" si="329"/>
        <v>zintel</v>
      </c>
    </row>
    <row r="1188" spans="1:23">
      <c r="A1188" t="str">
        <f t="shared" ref="A1188:A1202" si="330">"CNC-8000-ADV-I"</f>
        <v>CNC-8000-ADV-I</v>
      </c>
      <c r="B1188" t="str">
        <f>"00-5509-0110"</f>
        <v>00-5509-0110</v>
      </c>
      <c r="C1188" t="str">
        <f>"ProMill 8000 AC with 12 Tool ATC"</f>
        <v>ProMill 8000 AC with 12 Tool ATC</v>
      </c>
      <c r="D1188">
        <v>1</v>
      </c>
      <c r="E1188" t="str">
        <f t="shared" ref="E1188:E1210" si="331">"ProMILL 8000 Advanced Bundle, Imperial, 110/220 VAC"</f>
        <v>ProMILL 8000 Advanced Bundle, Imperial, 110/220 VAC</v>
      </c>
      <c r="F1188">
        <v>0</v>
      </c>
      <c r="G1188" t="str">
        <f t="shared" si="321"/>
        <v>Y</v>
      </c>
      <c r="H1188" t="str">
        <f t="shared" si="320"/>
        <v>EA</v>
      </c>
      <c r="I1188">
        <v>0</v>
      </c>
      <c r="J1188">
        <v>0</v>
      </c>
      <c r="K1188" t="str">
        <f t="shared" si="322"/>
        <v>Y</v>
      </c>
      <c r="L1188">
        <v>0</v>
      </c>
      <c r="M1188" t="str">
        <f t="shared" si="323"/>
        <v>NIS</v>
      </c>
      <c r="O1188">
        <v>1</v>
      </c>
      <c r="P1188" t="str">
        <f t="shared" ref="P1188:P1219" si="332">"Active"</f>
        <v>Active</v>
      </c>
      <c r="Q1188" t="str">
        <f>"ProMill 8000 AC with 12 Tool ATC 110V"</f>
        <v>ProMill 8000 AC with 12 Tool ATC 110V</v>
      </c>
      <c r="S1188" t="str">
        <f>"ProMill 8000 AC with 12 Tool ATC 110V"</f>
        <v>ProMill 8000 AC with 12 Tool ATC 110V</v>
      </c>
      <c r="T1188">
        <v>0</v>
      </c>
      <c r="U1188" s="44">
        <v>8845</v>
      </c>
      <c r="V1188" s="44">
        <v>8845.2000000000007</v>
      </c>
      <c r="W1188" t="str">
        <f t="shared" si="329"/>
        <v>zintel</v>
      </c>
    </row>
    <row r="1189" spans="1:23">
      <c r="A1189" t="str">
        <f t="shared" si="330"/>
        <v>CNC-8000-ADV-I</v>
      </c>
      <c r="B1189" t="str">
        <f>"10-1111-6000"</f>
        <v>10-1111-6000</v>
      </c>
      <c r="C1189" t="str">
        <f>"4"" Vise"</f>
        <v>4" Vise</v>
      </c>
      <c r="D1189">
        <v>1</v>
      </c>
      <c r="E1189" t="str">
        <f t="shared" si="331"/>
        <v>ProMILL 8000 Advanced Bundle, Imperial, 110/220 VAC</v>
      </c>
      <c r="F1189">
        <v>0</v>
      </c>
      <c r="G1189" t="str">
        <f t="shared" si="321"/>
        <v>Y</v>
      </c>
      <c r="H1189" t="str">
        <f t="shared" si="320"/>
        <v>EA</v>
      </c>
      <c r="I1189">
        <v>0</v>
      </c>
      <c r="J1189">
        <v>0</v>
      </c>
      <c r="K1189" t="str">
        <f t="shared" si="322"/>
        <v>Y</v>
      </c>
      <c r="L1189">
        <v>0</v>
      </c>
      <c r="M1189" t="str">
        <f t="shared" si="323"/>
        <v>NIS</v>
      </c>
      <c r="O1189">
        <v>2</v>
      </c>
      <c r="P1189" t="str">
        <f t="shared" si="332"/>
        <v>Active</v>
      </c>
      <c r="Q1189" t="str">
        <f>"4"" Precision Maching Vise"</f>
        <v>4" Precision Maching Vise</v>
      </c>
      <c r="S1189" t="str">
        <f>"4"" Precision Maching Vise"</f>
        <v>4" Precision Maching Vise</v>
      </c>
      <c r="T1189">
        <v>0</v>
      </c>
      <c r="U1189">
        <v>53</v>
      </c>
      <c r="V1189">
        <v>49.5</v>
      </c>
      <c r="W1189" t="str">
        <f t="shared" si="329"/>
        <v>zintel</v>
      </c>
    </row>
    <row r="1190" spans="1:23">
      <c r="A1190" t="str">
        <f t="shared" si="330"/>
        <v>CNC-8000-ADV-I</v>
      </c>
      <c r="B1190" t="str">
        <f>"10-1111-5000"</f>
        <v>10-1111-5000</v>
      </c>
      <c r="C1190" t="str">
        <f>"clamping kit 58 pcs set"</f>
        <v>clamping kit 58 pcs set</v>
      </c>
      <c r="D1190">
        <v>1</v>
      </c>
      <c r="E1190" t="str">
        <f t="shared" si="331"/>
        <v>ProMILL 8000 Advanced Bundle, Imperial, 110/220 VAC</v>
      </c>
      <c r="F1190">
        <v>0</v>
      </c>
      <c r="G1190" t="str">
        <f t="shared" si="321"/>
        <v>Y</v>
      </c>
      <c r="H1190" t="str">
        <f t="shared" si="320"/>
        <v>EA</v>
      </c>
      <c r="I1190">
        <v>0</v>
      </c>
      <c r="J1190">
        <v>0</v>
      </c>
      <c r="K1190" t="str">
        <f t="shared" si="322"/>
        <v>Y</v>
      </c>
      <c r="L1190">
        <v>0</v>
      </c>
      <c r="M1190" t="str">
        <f t="shared" si="323"/>
        <v>NIS</v>
      </c>
      <c r="O1190">
        <v>3</v>
      </c>
      <c r="P1190" t="str">
        <f t="shared" si="332"/>
        <v>Active</v>
      </c>
      <c r="Q1190" t="str">
        <f>"clamping kit 58 pcs set"</f>
        <v>clamping kit 58 pcs set</v>
      </c>
      <c r="S1190" t="str">
        <f>"clamping kit 58 pcs set"</f>
        <v>clamping kit 58 pcs set</v>
      </c>
      <c r="T1190">
        <v>0</v>
      </c>
      <c r="U1190">
        <v>52</v>
      </c>
      <c r="V1190">
        <v>51.72</v>
      </c>
      <c r="W1190" t="str">
        <f t="shared" si="329"/>
        <v>zintel</v>
      </c>
    </row>
    <row r="1191" spans="1:23">
      <c r="A1191" t="str">
        <f t="shared" si="330"/>
        <v>CNC-8000-ADV-I</v>
      </c>
      <c r="B1191" t="str">
        <f>"10-1113-5000"</f>
        <v>10-1113-5000</v>
      </c>
      <c r="C1191" t="str">
        <f>"Imperial Advanced End Mill Package 5120"</f>
        <v>Imperial Advanced End Mill Package 5120</v>
      </c>
      <c r="D1191">
        <v>1</v>
      </c>
      <c r="E1191" t="str">
        <f t="shared" si="331"/>
        <v>ProMILL 8000 Advanced Bundle, Imperial, 110/220 VAC</v>
      </c>
      <c r="F1191">
        <v>0</v>
      </c>
      <c r="G1191" t="str">
        <f t="shared" si="321"/>
        <v>Y</v>
      </c>
      <c r="H1191" t="str">
        <f t="shared" si="320"/>
        <v>EA</v>
      </c>
      <c r="I1191">
        <v>0</v>
      </c>
      <c r="J1191">
        <v>0</v>
      </c>
      <c r="K1191" t="str">
        <f t="shared" si="322"/>
        <v>Y</v>
      </c>
      <c r="L1191">
        <v>0</v>
      </c>
      <c r="M1191" t="str">
        <f t="shared" si="323"/>
        <v>NIS</v>
      </c>
      <c r="O1191">
        <v>4</v>
      </c>
      <c r="P1191" t="str">
        <f t="shared" si="332"/>
        <v>Active</v>
      </c>
      <c r="Q1191" t="str">
        <f>"Imperial Advanced End Mill Package 5120"</f>
        <v>Imperial Advanced End Mill Package 5120</v>
      </c>
      <c r="S1191" t="str">
        <f>"Imperial Advanced End Mill Package 5120"</f>
        <v>Imperial Advanced End Mill Package 5120</v>
      </c>
      <c r="T1191">
        <v>0</v>
      </c>
      <c r="U1191">
        <v>64</v>
      </c>
      <c r="V1191">
        <v>64</v>
      </c>
      <c r="W1191" t="str">
        <f t="shared" si="329"/>
        <v>zintel</v>
      </c>
    </row>
    <row r="1192" spans="1:23">
      <c r="A1192" t="str">
        <f t="shared" si="330"/>
        <v>CNC-8000-ADV-I</v>
      </c>
      <c r="B1192" t="str">
        <f>"10-1112-2000"</f>
        <v>10-1112-2000</v>
      </c>
      <c r="C1192" t="str">
        <f>"ER16 Collet set-8 pieces(3,4,5,6,7,8,9 and 10mm)"</f>
        <v>ER16 Collet set-8 pieces(3,4,5,6,7,8,9 and 10mm)</v>
      </c>
      <c r="D1192">
        <v>1</v>
      </c>
      <c r="E1192" t="str">
        <f t="shared" si="331"/>
        <v>ProMILL 8000 Advanced Bundle, Imperial, 110/220 VAC</v>
      </c>
      <c r="F1192">
        <v>0</v>
      </c>
      <c r="G1192" t="str">
        <f t="shared" si="321"/>
        <v>Y</v>
      </c>
      <c r="H1192" t="str">
        <f t="shared" si="320"/>
        <v>EA</v>
      </c>
      <c r="I1192">
        <v>0</v>
      </c>
      <c r="J1192">
        <v>0</v>
      </c>
      <c r="K1192" t="str">
        <f t="shared" si="322"/>
        <v>Y</v>
      </c>
      <c r="L1192">
        <v>0</v>
      </c>
      <c r="M1192" t="str">
        <f t="shared" si="323"/>
        <v>NIS</v>
      </c>
      <c r="O1192">
        <v>5</v>
      </c>
      <c r="P1192" t="str">
        <f t="shared" si="332"/>
        <v>Active</v>
      </c>
      <c r="Q1192" t="str">
        <f>"ER16 Collet set-8 pieces(3,4,5,6,7,8,9 and 10mm)"</f>
        <v>ER16 Collet set-8 pieces(3,4,5,6,7,8,9 and 10mm)</v>
      </c>
      <c r="S1192" t="str">
        <f>"ER16 Collet set-8 pieces(3,4,5,6,7,8,9 and 10mm)"</f>
        <v>ER16 Collet set-8 pieces(3,4,5,6,7,8,9 and 10mm)</v>
      </c>
      <c r="T1192">
        <v>0</v>
      </c>
      <c r="U1192">
        <v>71</v>
      </c>
      <c r="V1192">
        <v>64.84</v>
      </c>
      <c r="W1192" t="str">
        <f t="shared" si="329"/>
        <v>zintel</v>
      </c>
    </row>
    <row r="1193" spans="1:23">
      <c r="A1193" t="str">
        <f t="shared" si="330"/>
        <v>CNC-8000-ADV-I</v>
      </c>
      <c r="B1193" t="str">
        <f>"10-1111-7000"</f>
        <v>10-1111-7000</v>
      </c>
      <c r="C1193" t="str">
        <f>"- Imperial 4 tool ISO 20 tool holder package"</f>
        <v>- Imperial 4 tool ISO 20 tool holder package</v>
      </c>
      <c r="D1193">
        <v>1</v>
      </c>
      <c r="E1193" t="str">
        <f t="shared" si="331"/>
        <v>ProMILL 8000 Advanced Bundle, Imperial, 110/220 VAC</v>
      </c>
      <c r="F1193">
        <v>0</v>
      </c>
      <c r="G1193" t="str">
        <f t="shared" si="321"/>
        <v>Y</v>
      </c>
      <c r="H1193" t="str">
        <f t="shared" si="320"/>
        <v>EA</v>
      </c>
      <c r="I1193">
        <v>0</v>
      </c>
      <c r="J1193">
        <v>0</v>
      </c>
      <c r="K1193" t="str">
        <f t="shared" si="322"/>
        <v>Y</v>
      </c>
      <c r="L1193">
        <v>0</v>
      </c>
      <c r="M1193" t="str">
        <f t="shared" si="323"/>
        <v>NIS</v>
      </c>
      <c r="O1193">
        <v>6</v>
      </c>
      <c r="P1193" t="str">
        <f t="shared" si="332"/>
        <v>Active</v>
      </c>
      <c r="Q1193" t="str">
        <f>"Imperial 4 tool ISO 20 tool holder package"</f>
        <v>Imperial 4 tool ISO 20 tool holder package</v>
      </c>
      <c r="S1193" t="str">
        <f>"Imperial 4 tool ISO 20 tool holder package"</f>
        <v>Imperial 4 tool ISO 20 tool holder package</v>
      </c>
      <c r="T1193">
        <v>0</v>
      </c>
      <c r="U1193">
        <v>555</v>
      </c>
      <c r="V1193">
        <v>554</v>
      </c>
      <c r="W1193" t="str">
        <f t="shared" si="329"/>
        <v>zintel</v>
      </c>
    </row>
    <row r="1194" spans="1:23">
      <c r="A1194" t="str">
        <f t="shared" si="330"/>
        <v>CNC-8000-ADV-I</v>
      </c>
      <c r="B1194" t="str">
        <f>"10-1111-1000"</f>
        <v>10-1111-1000</v>
      </c>
      <c r="C1194" t="str">
        <f>"- Handwheel - Manual Control"</f>
        <v>- Handwheel - Manual Control</v>
      </c>
      <c r="D1194">
        <v>1</v>
      </c>
      <c r="E1194" t="str">
        <f t="shared" si="331"/>
        <v>ProMILL 8000 Advanced Bundle, Imperial, 110/220 VAC</v>
      </c>
      <c r="F1194">
        <v>0</v>
      </c>
      <c r="G1194" t="str">
        <f t="shared" si="321"/>
        <v>Y</v>
      </c>
      <c r="H1194" t="str">
        <f t="shared" si="320"/>
        <v>EA</v>
      </c>
      <c r="I1194">
        <v>0</v>
      </c>
      <c r="J1194">
        <v>0</v>
      </c>
      <c r="K1194" t="str">
        <f t="shared" si="322"/>
        <v>Y</v>
      </c>
      <c r="L1194">
        <v>0</v>
      </c>
      <c r="M1194" t="str">
        <f t="shared" si="323"/>
        <v>NIS</v>
      </c>
      <c r="O1194">
        <v>7</v>
      </c>
      <c r="P1194" t="str">
        <f t="shared" si="332"/>
        <v>Active</v>
      </c>
      <c r="Q1194" t="str">
        <f>"Jog Pendant Handwheel"</f>
        <v>Jog Pendant Handwheel</v>
      </c>
      <c r="S1194" t="str">
        <f>"Jog Pendant Handwheel"</f>
        <v>Jog Pendant Handwheel</v>
      </c>
      <c r="T1194">
        <v>0</v>
      </c>
      <c r="U1194">
        <v>235</v>
      </c>
      <c r="V1194">
        <v>235.03</v>
      </c>
      <c r="W1194" t="str">
        <f t="shared" si="329"/>
        <v>zintel</v>
      </c>
    </row>
    <row r="1195" spans="1:23">
      <c r="A1195" t="str">
        <f t="shared" si="330"/>
        <v>CNC-8000-ADV-I</v>
      </c>
      <c r="B1195" t="str">
        <f>"10-1108-1110"</f>
        <v>10-1108-1110</v>
      </c>
      <c r="C1195" t="str">
        <f>"- Coolant system 27L - 110V"</f>
        <v>- Coolant system 27L - 110V</v>
      </c>
      <c r="D1195">
        <v>1</v>
      </c>
      <c r="E1195" t="str">
        <f t="shared" si="331"/>
        <v>ProMILL 8000 Advanced Bundle, Imperial, 110/220 VAC</v>
      </c>
      <c r="F1195">
        <v>0</v>
      </c>
      <c r="G1195" t="str">
        <f t="shared" si="321"/>
        <v>Y</v>
      </c>
      <c r="H1195" t="str">
        <f t="shared" si="320"/>
        <v>EA</v>
      </c>
      <c r="I1195">
        <v>0</v>
      </c>
      <c r="J1195">
        <v>0</v>
      </c>
      <c r="K1195" t="str">
        <f t="shared" si="322"/>
        <v>Y</v>
      </c>
      <c r="L1195">
        <v>0</v>
      </c>
      <c r="M1195" t="str">
        <f t="shared" si="323"/>
        <v>NIS</v>
      </c>
      <c r="O1195">
        <v>8</v>
      </c>
      <c r="P1195" t="str">
        <f t="shared" si="332"/>
        <v>Active</v>
      </c>
      <c r="Q1195" t="str">
        <f>"Coolant system 27L - 110V"</f>
        <v>Coolant system 27L - 110V</v>
      </c>
      <c r="S1195" t="str">
        <f>"Coolant system 27L - 110V"</f>
        <v>Coolant system 27L - 110V</v>
      </c>
      <c r="T1195">
        <v>0</v>
      </c>
      <c r="U1195">
        <v>132</v>
      </c>
      <c r="V1195">
        <v>132</v>
      </c>
      <c r="W1195" t="str">
        <f t="shared" si="329"/>
        <v>zintel</v>
      </c>
    </row>
    <row r="1196" spans="1:23">
      <c r="A1196" t="str">
        <f t="shared" si="330"/>
        <v>CNC-8000-ADV-I</v>
      </c>
      <c r="B1196" t="str">
        <f>"10-1108-8000"</f>
        <v>10-1108-8000</v>
      </c>
      <c r="C1196" t="str">
        <f>"- 4th Axis rotary worktable with tailstock"</f>
        <v>- 4th Axis rotary worktable with tailstock</v>
      </c>
      <c r="D1196">
        <v>1</v>
      </c>
      <c r="E1196" t="str">
        <f t="shared" si="331"/>
        <v>ProMILL 8000 Advanced Bundle, Imperial, 110/220 VAC</v>
      </c>
      <c r="F1196">
        <v>0</v>
      </c>
      <c r="G1196" t="str">
        <f t="shared" si="321"/>
        <v>Y</v>
      </c>
      <c r="H1196" t="str">
        <f t="shared" si="320"/>
        <v>EA</v>
      </c>
      <c r="I1196">
        <v>0</v>
      </c>
      <c r="J1196">
        <v>0</v>
      </c>
      <c r="K1196" t="str">
        <f t="shared" si="322"/>
        <v>Y</v>
      </c>
      <c r="L1196">
        <v>0</v>
      </c>
      <c r="M1196" t="str">
        <f t="shared" si="323"/>
        <v>NIS</v>
      </c>
      <c r="O1196">
        <v>9</v>
      </c>
      <c r="P1196" t="str">
        <f t="shared" si="332"/>
        <v>Active</v>
      </c>
      <c r="Q1196" t="str">
        <f>"100mm rotary worktable (4th axis) with tailstock"</f>
        <v>100mm rotary worktable (4th axis) with tailstock</v>
      </c>
      <c r="S1196" t="str">
        <f>"100mm rotary worktable (4th axis) with tailstock"</f>
        <v>100mm rotary worktable (4th axis) with tailstock</v>
      </c>
      <c r="T1196">
        <v>0</v>
      </c>
      <c r="U1196">
        <v>614.64</v>
      </c>
      <c r="V1196">
        <v>594.83000000000004</v>
      </c>
      <c r="W1196" t="str">
        <f t="shared" si="329"/>
        <v>zintel</v>
      </c>
    </row>
    <row r="1197" spans="1:23">
      <c r="A1197" t="str">
        <f t="shared" si="330"/>
        <v>CNC-8000-ADV-I</v>
      </c>
      <c r="B1197" t="str">
        <f>"10-1109-3000"</f>
        <v>10-1109-3000</v>
      </c>
      <c r="C1197" t="str">
        <f>"- 80mm 3-jaw chuck"</f>
        <v>- 80mm 3-jaw chuck</v>
      </c>
      <c r="D1197">
        <v>1</v>
      </c>
      <c r="E1197" t="str">
        <f t="shared" si="331"/>
        <v>ProMILL 8000 Advanced Bundle, Imperial, 110/220 VAC</v>
      </c>
      <c r="F1197">
        <v>0</v>
      </c>
      <c r="G1197" t="str">
        <f t="shared" si="321"/>
        <v>Y</v>
      </c>
      <c r="H1197" t="str">
        <f t="shared" si="320"/>
        <v>EA</v>
      </c>
      <c r="I1197">
        <v>0</v>
      </c>
      <c r="J1197">
        <v>0</v>
      </c>
      <c r="K1197" t="str">
        <f t="shared" si="322"/>
        <v>Y</v>
      </c>
      <c r="L1197">
        <v>0</v>
      </c>
      <c r="M1197" t="str">
        <f t="shared" si="323"/>
        <v>NIS</v>
      </c>
      <c r="O1197">
        <v>10</v>
      </c>
      <c r="P1197" t="str">
        <f t="shared" si="332"/>
        <v>Active</v>
      </c>
      <c r="Q1197" t="str">
        <f>"80mm 3-jaw chuck"</f>
        <v>80mm 3-jaw chuck</v>
      </c>
      <c r="S1197" t="str">
        <f>"80mm 3-jaw chuck"</f>
        <v>80mm 3-jaw chuck</v>
      </c>
      <c r="T1197">
        <v>0</v>
      </c>
      <c r="U1197">
        <v>53</v>
      </c>
      <c r="V1197">
        <v>52.35</v>
      </c>
      <c r="W1197" t="str">
        <f t="shared" si="329"/>
        <v>zintel</v>
      </c>
    </row>
    <row r="1198" spans="1:23">
      <c r="A1198" t="str">
        <f t="shared" si="330"/>
        <v>CNC-8000-ADV-I</v>
      </c>
      <c r="B1198" t="str">
        <f>"10-1113-7000"</f>
        <v>10-1113-7000</v>
      </c>
      <c r="C1198" t="str">
        <f>"- Imperial Engraving Package 5710"</f>
        <v>- Imperial Engraving Package 5710</v>
      </c>
      <c r="D1198">
        <v>1</v>
      </c>
      <c r="E1198" t="str">
        <f t="shared" si="331"/>
        <v>ProMILL 8000 Advanced Bundle, Imperial, 110/220 VAC</v>
      </c>
      <c r="F1198">
        <v>0</v>
      </c>
      <c r="G1198" t="str">
        <f t="shared" si="321"/>
        <v>Y</v>
      </c>
      <c r="H1198" t="str">
        <f t="shared" si="320"/>
        <v>EA</v>
      </c>
      <c r="I1198">
        <v>0</v>
      </c>
      <c r="J1198">
        <v>0</v>
      </c>
      <c r="K1198" t="str">
        <f t="shared" si="322"/>
        <v>Y</v>
      </c>
      <c r="L1198">
        <v>0</v>
      </c>
      <c r="M1198" t="str">
        <f t="shared" si="323"/>
        <v>NIS</v>
      </c>
      <c r="O1198">
        <v>11</v>
      </c>
      <c r="P1198" t="str">
        <f t="shared" si="332"/>
        <v>Active</v>
      </c>
      <c r="Q1198" t="str">
        <f>"Imperial Engraving Package 5710"</f>
        <v>Imperial Engraving Package 5710</v>
      </c>
      <c r="S1198" t="str">
        <f>"Imperial Engraving Package 5710"</f>
        <v>Imperial Engraving Package 5710</v>
      </c>
      <c r="T1198">
        <v>0</v>
      </c>
      <c r="U1198">
        <v>41</v>
      </c>
      <c r="V1198">
        <v>41</v>
      </c>
      <c r="W1198" t="str">
        <f t="shared" si="329"/>
        <v>zintel</v>
      </c>
    </row>
    <row r="1199" spans="1:23">
      <c r="A1199" t="str">
        <f t="shared" si="330"/>
        <v>CNC-8000-ADV-I</v>
      </c>
      <c r="B1199" t="str">
        <f>"10-1111-9000"</f>
        <v>10-1111-9000</v>
      </c>
      <c r="C1199" t="str">
        <f>"ISO 20 tool holder"</f>
        <v>ISO 20 tool holder</v>
      </c>
      <c r="D1199">
        <v>4</v>
      </c>
      <c r="E1199" t="str">
        <f t="shared" si="331"/>
        <v>ProMILL 8000 Advanced Bundle, Imperial, 110/220 VAC</v>
      </c>
      <c r="F1199">
        <v>0</v>
      </c>
      <c r="G1199" t="str">
        <f t="shared" si="321"/>
        <v>Y</v>
      </c>
      <c r="H1199" t="str">
        <f t="shared" si="320"/>
        <v>EA</v>
      </c>
      <c r="I1199">
        <v>0</v>
      </c>
      <c r="J1199">
        <v>0</v>
      </c>
      <c r="K1199" t="str">
        <f t="shared" si="322"/>
        <v>Y</v>
      </c>
      <c r="L1199">
        <v>0</v>
      </c>
      <c r="M1199" t="str">
        <f t="shared" si="323"/>
        <v>NIS</v>
      </c>
      <c r="O1199">
        <v>12</v>
      </c>
      <c r="P1199" t="str">
        <f t="shared" si="332"/>
        <v>Active</v>
      </c>
      <c r="Q1199" t="str">
        <f>"ISO 20 tool holder with nut"</f>
        <v>ISO 20 tool holder with nut</v>
      </c>
      <c r="S1199" t="str">
        <f>"ISO 20 tool holder with nut"</f>
        <v>ISO 20 tool holder with nut</v>
      </c>
      <c r="T1199">
        <v>0</v>
      </c>
      <c r="U1199">
        <v>103</v>
      </c>
      <c r="V1199">
        <v>103.19</v>
      </c>
      <c r="W1199" t="str">
        <f t="shared" si="329"/>
        <v>zintel</v>
      </c>
    </row>
    <row r="1200" spans="1:23">
      <c r="A1200" t="str">
        <f t="shared" si="330"/>
        <v>CNC-8000-ADV-I</v>
      </c>
      <c r="B1200" t="str">
        <f>"10-9120-0000"</f>
        <v>10-9120-0000</v>
      </c>
      <c r="C1200" t="str">
        <f>"Stock Package, Wax, 3” x 2” x 1.5”– 50 Pcs"</f>
        <v>Stock Package, Wax, 3” x 2” x 1.5”– 50 Pcs</v>
      </c>
      <c r="D1200">
        <v>1</v>
      </c>
      <c r="E1200" t="str">
        <f t="shared" si="331"/>
        <v>ProMILL 8000 Advanced Bundle, Imperial, 110/220 VAC</v>
      </c>
      <c r="F1200">
        <v>0</v>
      </c>
      <c r="G1200" t="str">
        <f t="shared" si="321"/>
        <v>Y</v>
      </c>
      <c r="H1200" t="str">
        <f t="shared" si="320"/>
        <v>EA</v>
      </c>
      <c r="I1200">
        <v>0</v>
      </c>
      <c r="J1200">
        <v>0</v>
      </c>
      <c r="K1200" t="str">
        <f t="shared" si="322"/>
        <v>Y</v>
      </c>
      <c r="L1200">
        <v>0</v>
      </c>
      <c r="M1200" t="str">
        <f t="shared" si="323"/>
        <v>NIS</v>
      </c>
      <c r="O1200">
        <v>13</v>
      </c>
      <c r="P1200" t="str">
        <f t="shared" si="332"/>
        <v>Active</v>
      </c>
      <c r="Q1200" t="str">
        <f>"Stock Package, WaxStock Pa3” x 2” x 1.5”– 50 Pcs"</f>
        <v>Stock Package, WaxStock Pa3” x 2” x 1.5”– 50 Pcs</v>
      </c>
      <c r="S1200" t="str">
        <f>"Stock Package, Wax, 3” x 2” x 1.5”– 50 Pcs"</f>
        <v>Stock Package, Wax, 3” x 2” x 1.5”– 50 Pcs</v>
      </c>
      <c r="T1200">
        <v>245</v>
      </c>
      <c r="U1200">
        <v>242.73</v>
      </c>
      <c r="V1200">
        <v>613.89</v>
      </c>
      <c r="W1200" t="str">
        <f t="shared" si="329"/>
        <v>zintel</v>
      </c>
    </row>
    <row r="1201" spans="1:23">
      <c r="A1201" t="str">
        <f t="shared" si="330"/>
        <v>CNC-8000-ADV-I</v>
      </c>
      <c r="B1201" t="str">
        <f>"77-3142-0001"</f>
        <v>77-3142-0001</v>
      </c>
      <c r="C1201" t="str">
        <f>"LM7 Content, Vir, CNC Milling w/ProMill 8000"</f>
        <v>LM7 Content, Vir, CNC Milling w/ProMill 8000</v>
      </c>
      <c r="D1201">
        <v>1</v>
      </c>
      <c r="E1201" t="str">
        <f t="shared" si="331"/>
        <v>ProMILL 8000 Advanced Bundle, Imperial, 110/220 VAC</v>
      </c>
      <c r="F1201">
        <v>0</v>
      </c>
      <c r="G1201" t="str">
        <f t="shared" si="321"/>
        <v>Y</v>
      </c>
      <c r="H1201" t="str">
        <f t="shared" si="320"/>
        <v>EA</v>
      </c>
      <c r="I1201">
        <v>0</v>
      </c>
      <c r="J1201">
        <v>0</v>
      </c>
      <c r="K1201" t="str">
        <f t="shared" si="322"/>
        <v>Y</v>
      </c>
      <c r="L1201">
        <v>0</v>
      </c>
      <c r="M1201" t="str">
        <f t="shared" si="323"/>
        <v>NIS</v>
      </c>
      <c r="O1201">
        <v>14</v>
      </c>
      <c r="P1201" t="str">
        <f t="shared" si="332"/>
        <v>Active</v>
      </c>
      <c r="Q1201" t="str">
        <f>"LM7 Content, Vir, CNC Milling w/ProMill 8000"</f>
        <v>LM7 Content, Vir, CNC Milling w/ProMill 8000</v>
      </c>
      <c r="S1201" t="str">
        <f>"LM7 Content, Vir, CNC Milling w/ProMill 8000"</f>
        <v>LM7 Content, Vir, CNC Milling w/ProMill 8000</v>
      </c>
      <c r="T1201">
        <v>0</v>
      </c>
      <c r="U1201">
        <v>5</v>
      </c>
      <c r="V1201">
        <v>5</v>
      </c>
      <c r="W1201" t="str">
        <f t="shared" si="329"/>
        <v>zintel</v>
      </c>
    </row>
    <row r="1202" spans="1:23">
      <c r="A1202" t="str">
        <f t="shared" si="330"/>
        <v>CNC-8000-ADV-I</v>
      </c>
      <c r="B1202" t="str">
        <f>"10-1105-5000"</f>
        <v>10-1105-5000</v>
      </c>
      <c r="C1202" t="str">
        <f>"Computer and monitor attachment"</f>
        <v>Computer and monitor attachment</v>
      </c>
      <c r="D1202">
        <v>1</v>
      </c>
      <c r="E1202" t="str">
        <f t="shared" si="331"/>
        <v>ProMILL 8000 Advanced Bundle, Imperial, 110/220 VAC</v>
      </c>
      <c r="F1202">
        <v>0</v>
      </c>
      <c r="G1202" t="str">
        <f t="shared" si="321"/>
        <v>Y</v>
      </c>
      <c r="H1202" t="str">
        <f t="shared" si="320"/>
        <v>EA</v>
      </c>
      <c r="I1202">
        <v>0</v>
      </c>
      <c r="J1202">
        <v>0</v>
      </c>
      <c r="K1202" t="str">
        <f t="shared" si="322"/>
        <v>Y</v>
      </c>
      <c r="L1202">
        <v>0</v>
      </c>
      <c r="M1202" t="str">
        <f t="shared" si="323"/>
        <v>NIS</v>
      </c>
      <c r="O1202">
        <v>15</v>
      </c>
      <c r="P1202" t="str">
        <f t="shared" si="332"/>
        <v>Active</v>
      </c>
      <c r="Q1202" t="str">
        <f>"Computer and monitor stand (attached to machine)"</f>
        <v>Computer and monitor stand (attached to machine)</v>
      </c>
      <c r="S1202" t="str">
        <f>"Computer and monitor stand (attached to machine)"</f>
        <v>Computer and monitor stand (attached to machine)</v>
      </c>
      <c r="T1202">
        <v>0</v>
      </c>
      <c r="U1202">
        <v>105.36</v>
      </c>
      <c r="V1202">
        <v>103.02</v>
      </c>
      <c r="W1202" t="str">
        <f t="shared" si="329"/>
        <v>zintel</v>
      </c>
    </row>
    <row r="1203" spans="1:23">
      <c r="A1203" t="str">
        <f t="shared" ref="A1203:A1210" si="333">"CNC-8000-ADV-IMP"</f>
        <v>CNC-8000-ADV-IMP</v>
      </c>
      <c r="B1203" t="str">
        <f>"00-5509-0110"</f>
        <v>00-5509-0110</v>
      </c>
      <c r="C1203" t="str">
        <f>"ProMill 8000 AC with 12 Tool ATC"</f>
        <v>ProMill 8000 AC with 12 Tool ATC</v>
      </c>
      <c r="D1203">
        <v>1</v>
      </c>
      <c r="E1203" t="str">
        <f t="shared" si="331"/>
        <v>ProMILL 8000 Advanced Bundle, Imperial, 110/220 VAC</v>
      </c>
      <c r="F1203">
        <v>0</v>
      </c>
      <c r="G1203" t="str">
        <f t="shared" si="321"/>
        <v>Y</v>
      </c>
      <c r="H1203" t="str">
        <f t="shared" si="320"/>
        <v>EA</v>
      </c>
      <c r="I1203">
        <v>0</v>
      </c>
      <c r="J1203">
        <v>0</v>
      </c>
      <c r="K1203" t="str">
        <f t="shared" si="322"/>
        <v>Y</v>
      </c>
      <c r="L1203">
        <v>0</v>
      </c>
      <c r="M1203" t="str">
        <f t="shared" si="323"/>
        <v>NIS</v>
      </c>
      <c r="O1203">
        <v>1</v>
      </c>
      <c r="P1203" t="str">
        <f t="shared" si="332"/>
        <v>Active</v>
      </c>
      <c r="Q1203" t="str">
        <f>"ProMill 8000 AC with 12 Tool ATC 110V"</f>
        <v>ProMill 8000 AC with 12 Tool ATC 110V</v>
      </c>
      <c r="S1203" t="str">
        <f>"ProMill 8000 AC with 12 Tool ATC 110V"</f>
        <v>ProMill 8000 AC with 12 Tool ATC 110V</v>
      </c>
      <c r="T1203">
        <v>0</v>
      </c>
      <c r="U1203" s="44">
        <v>8845</v>
      </c>
      <c r="V1203" s="44">
        <v>8845.2000000000007</v>
      </c>
      <c r="W1203" t="str">
        <f t="shared" si="329"/>
        <v>zintel</v>
      </c>
    </row>
    <row r="1204" spans="1:23">
      <c r="A1204" t="str">
        <f t="shared" si="333"/>
        <v>CNC-8000-ADV-IMP</v>
      </c>
      <c r="B1204" t="str">
        <f>"10-1111-6000"</f>
        <v>10-1111-6000</v>
      </c>
      <c r="C1204" t="str">
        <f>"4"" Vise"</f>
        <v>4" Vise</v>
      </c>
      <c r="D1204">
        <v>1</v>
      </c>
      <c r="E1204" t="str">
        <f t="shared" si="331"/>
        <v>ProMILL 8000 Advanced Bundle, Imperial, 110/220 VAC</v>
      </c>
      <c r="F1204">
        <v>0</v>
      </c>
      <c r="G1204" t="str">
        <f t="shared" si="321"/>
        <v>Y</v>
      </c>
      <c r="H1204" t="str">
        <f t="shared" si="320"/>
        <v>EA</v>
      </c>
      <c r="I1204">
        <v>0</v>
      </c>
      <c r="J1204">
        <v>0</v>
      </c>
      <c r="K1204" t="str">
        <f t="shared" si="322"/>
        <v>Y</v>
      </c>
      <c r="L1204">
        <v>0</v>
      </c>
      <c r="M1204" t="str">
        <f t="shared" si="323"/>
        <v>NIS</v>
      </c>
      <c r="O1204">
        <v>2</v>
      </c>
      <c r="P1204" t="str">
        <f t="shared" si="332"/>
        <v>Active</v>
      </c>
      <c r="Q1204" t="str">
        <f>"4"" Precision Maching Vise"</f>
        <v>4" Precision Maching Vise</v>
      </c>
      <c r="S1204" t="str">
        <f>"4"" Precision Maching Vise"</f>
        <v>4" Precision Maching Vise</v>
      </c>
      <c r="T1204">
        <v>0</v>
      </c>
      <c r="U1204">
        <v>53</v>
      </c>
      <c r="V1204">
        <v>49.5</v>
      </c>
      <c r="W1204" t="str">
        <f t="shared" si="329"/>
        <v>zintel</v>
      </c>
    </row>
    <row r="1205" spans="1:23">
      <c r="A1205" t="str">
        <f t="shared" si="333"/>
        <v>CNC-8000-ADV-IMP</v>
      </c>
      <c r="B1205" t="str">
        <f>"10-1111-5000"</f>
        <v>10-1111-5000</v>
      </c>
      <c r="C1205" t="str">
        <f>"clamping kit 58 pcs set"</f>
        <v>clamping kit 58 pcs set</v>
      </c>
      <c r="D1205">
        <v>1</v>
      </c>
      <c r="E1205" t="str">
        <f t="shared" si="331"/>
        <v>ProMILL 8000 Advanced Bundle, Imperial, 110/220 VAC</v>
      </c>
      <c r="F1205">
        <v>0</v>
      </c>
      <c r="G1205" t="str">
        <f t="shared" si="321"/>
        <v>Y</v>
      </c>
      <c r="H1205" t="str">
        <f t="shared" si="320"/>
        <v>EA</v>
      </c>
      <c r="I1205">
        <v>0</v>
      </c>
      <c r="J1205">
        <v>0</v>
      </c>
      <c r="K1205" t="str">
        <f t="shared" si="322"/>
        <v>Y</v>
      </c>
      <c r="L1205">
        <v>0</v>
      </c>
      <c r="M1205" t="str">
        <f t="shared" si="323"/>
        <v>NIS</v>
      </c>
      <c r="O1205">
        <v>3</v>
      </c>
      <c r="P1205" t="str">
        <f t="shared" si="332"/>
        <v>Active</v>
      </c>
      <c r="Q1205" t="str">
        <f>"clamping kit 58 pcs set"</f>
        <v>clamping kit 58 pcs set</v>
      </c>
      <c r="S1205" t="str">
        <f>"clamping kit 58 pcs set"</f>
        <v>clamping kit 58 pcs set</v>
      </c>
      <c r="T1205">
        <v>0</v>
      </c>
      <c r="U1205">
        <v>52</v>
      </c>
      <c r="V1205">
        <v>51.72</v>
      </c>
      <c r="W1205" t="str">
        <f t="shared" si="329"/>
        <v>zintel</v>
      </c>
    </row>
    <row r="1206" spans="1:23">
      <c r="A1206" t="str">
        <f t="shared" si="333"/>
        <v>CNC-8000-ADV-IMP</v>
      </c>
      <c r="B1206" t="str">
        <f>"10-1111-7000"</f>
        <v>10-1111-7000</v>
      </c>
      <c r="C1206" t="str">
        <f>"- Imperial 4 tool ISO 20 tool holder package"</f>
        <v>- Imperial 4 tool ISO 20 tool holder package</v>
      </c>
      <c r="D1206">
        <v>1</v>
      </c>
      <c r="E1206" t="str">
        <f t="shared" si="331"/>
        <v>ProMILL 8000 Advanced Bundle, Imperial, 110/220 VAC</v>
      </c>
      <c r="F1206">
        <v>0</v>
      </c>
      <c r="G1206" t="str">
        <f t="shared" si="321"/>
        <v>Y</v>
      </c>
      <c r="H1206" t="str">
        <f t="shared" si="320"/>
        <v>EA</v>
      </c>
      <c r="I1206">
        <v>0</v>
      </c>
      <c r="J1206">
        <v>0</v>
      </c>
      <c r="K1206" t="str">
        <f t="shared" si="322"/>
        <v>Y</v>
      </c>
      <c r="L1206">
        <v>0</v>
      </c>
      <c r="M1206" t="str">
        <f t="shared" si="323"/>
        <v>NIS</v>
      </c>
      <c r="O1206">
        <v>4</v>
      </c>
      <c r="P1206" t="str">
        <f t="shared" si="332"/>
        <v>Active</v>
      </c>
      <c r="Q1206" t="str">
        <f>"Imperial 4 tool ISO 20 tool holder package"</f>
        <v>Imperial 4 tool ISO 20 tool holder package</v>
      </c>
      <c r="S1206" t="str">
        <f>"Imperial 4 tool ISO 20 tool holder package"</f>
        <v>Imperial 4 tool ISO 20 tool holder package</v>
      </c>
      <c r="T1206">
        <v>0</v>
      </c>
      <c r="U1206">
        <v>555</v>
      </c>
      <c r="V1206">
        <v>554</v>
      </c>
      <c r="W1206" t="str">
        <f t="shared" si="329"/>
        <v>zintel</v>
      </c>
    </row>
    <row r="1207" spans="1:23">
      <c r="A1207" t="str">
        <f t="shared" si="333"/>
        <v>CNC-8000-ADV-IMP</v>
      </c>
      <c r="B1207" t="str">
        <f>"10-1113-5000"</f>
        <v>10-1113-5000</v>
      </c>
      <c r="C1207" t="str">
        <f>"Imperial Advanced End Mill Package 5120"</f>
        <v>Imperial Advanced End Mill Package 5120</v>
      </c>
      <c r="D1207">
        <v>1</v>
      </c>
      <c r="E1207" t="str">
        <f t="shared" si="331"/>
        <v>ProMILL 8000 Advanced Bundle, Imperial, 110/220 VAC</v>
      </c>
      <c r="F1207">
        <v>0</v>
      </c>
      <c r="G1207" t="str">
        <f t="shared" si="321"/>
        <v>Y</v>
      </c>
      <c r="H1207" t="str">
        <f t="shared" si="320"/>
        <v>EA</v>
      </c>
      <c r="I1207">
        <v>0</v>
      </c>
      <c r="J1207">
        <v>0</v>
      </c>
      <c r="K1207" t="str">
        <f t="shared" si="322"/>
        <v>Y</v>
      </c>
      <c r="L1207">
        <v>0</v>
      </c>
      <c r="M1207" t="str">
        <f t="shared" si="323"/>
        <v>NIS</v>
      </c>
      <c r="O1207">
        <v>5</v>
      </c>
      <c r="P1207" t="str">
        <f t="shared" si="332"/>
        <v>Active</v>
      </c>
      <c r="Q1207" t="str">
        <f>"Imperial Advanced End Mill Package 5120"</f>
        <v>Imperial Advanced End Mill Package 5120</v>
      </c>
      <c r="S1207" t="str">
        <f>"Imperial Advanced End Mill Package 5120"</f>
        <v>Imperial Advanced End Mill Package 5120</v>
      </c>
      <c r="T1207">
        <v>0</v>
      </c>
      <c r="U1207">
        <v>64</v>
      </c>
      <c r="V1207">
        <v>64</v>
      </c>
      <c r="W1207" t="str">
        <f t="shared" si="329"/>
        <v>zintel</v>
      </c>
    </row>
    <row r="1208" spans="1:23">
      <c r="A1208" t="str">
        <f t="shared" si="333"/>
        <v>CNC-8000-ADV-IMP</v>
      </c>
      <c r="B1208" t="str">
        <f>"10-1111-1000"</f>
        <v>10-1111-1000</v>
      </c>
      <c r="C1208" t="str">
        <f>"- Handwheel - Manual Control"</f>
        <v>- Handwheel - Manual Control</v>
      </c>
      <c r="D1208">
        <v>1</v>
      </c>
      <c r="E1208" t="str">
        <f t="shared" si="331"/>
        <v>ProMILL 8000 Advanced Bundle, Imperial, 110/220 VAC</v>
      </c>
      <c r="F1208">
        <v>0</v>
      </c>
      <c r="G1208" t="str">
        <f t="shared" si="321"/>
        <v>Y</v>
      </c>
      <c r="H1208" t="str">
        <f t="shared" si="320"/>
        <v>EA</v>
      </c>
      <c r="I1208">
        <v>0</v>
      </c>
      <c r="J1208">
        <v>0</v>
      </c>
      <c r="K1208" t="str">
        <f t="shared" si="322"/>
        <v>Y</v>
      </c>
      <c r="L1208">
        <v>0</v>
      </c>
      <c r="M1208" t="str">
        <f t="shared" si="323"/>
        <v>NIS</v>
      </c>
      <c r="O1208">
        <v>6</v>
      </c>
      <c r="P1208" t="str">
        <f t="shared" si="332"/>
        <v>Active</v>
      </c>
      <c r="Q1208" t="str">
        <f>"Jog Pendant Handwheel"</f>
        <v>Jog Pendant Handwheel</v>
      </c>
      <c r="S1208" t="str">
        <f>"Jog Pendant Handwheel"</f>
        <v>Jog Pendant Handwheel</v>
      </c>
      <c r="T1208">
        <v>0</v>
      </c>
      <c r="U1208">
        <v>235</v>
      </c>
      <c r="V1208">
        <v>235.03</v>
      </c>
      <c r="W1208" t="str">
        <f t="shared" si="329"/>
        <v>zintel</v>
      </c>
    </row>
    <row r="1209" spans="1:23">
      <c r="A1209" t="str">
        <f t="shared" si="333"/>
        <v>CNC-8000-ADV-IMP</v>
      </c>
      <c r="B1209" t="str">
        <f>"10-9120-0000"</f>
        <v>10-9120-0000</v>
      </c>
      <c r="C1209" t="str">
        <f>"Stock Package, Wax, 3” x 2” x 1.5”– 50 Pcs"</f>
        <v>Stock Package, Wax, 3” x 2” x 1.5”– 50 Pcs</v>
      </c>
      <c r="D1209">
        <v>1</v>
      </c>
      <c r="E1209" t="str">
        <f t="shared" si="331"/>
        <v>ProMILL 8000 Advanced Bundle, Imperial, 110/220 VAC</v>
      </c>
      <c r="F1209">
        <v>0</v>
      </c>
      <c r="G1209" t="str">
        <f t="shared" si="321"/>
        <v>Y</v>
      </c>
      <c r="H1209" t="str">
        <f t="shared" si="320"/>
        <v>EA</v>
      </c>
      <c r="I1209">
        <v>0</v>
      </c>
      <c r="J1209">
        <v>0</v>
      </c>
      <c r="K1209" t="str">
        <f t="shared" si="322"/>
        <v>Y</v>
      </c>
      <c r="L1209">
        <v>0</v>
      </c>
      <c r="M1209" t="str">
        <f t="shared" si="323"/>
        <v>NIS</v>
      </c>
      <c r="O1209">
        <v>7</v>
      </c>
      <c r="P1209" t="str">
        <f t="shared" si="332"/>
        <v>Active</v>
      </c>
      <c r="Q1209" t="str">
        <f>"Stock Package, WaxStock Pa3” x 2” x 1.5”– 50 Pcs"</f>
        <v>Stock Package, WaxStock Pa3” x 2” x 1.5”– 50 Pcs</v>
      </c>
      <c r="S1209" t="str">
        <f>"Stock Package, Wax, 3” x 2” x 1.5”– 50 Pcs"</f>
        <v>Stock Package, Wax, 3” x 2” x 1.5”– 50 Pcs</v>
      </c>
      <c r="T1209">
        <v>245</v>
      </c>
      <c r="U1209">
        <v>242.73</v>
      </c>
      <c r="V1209">
        <v>613.89</v>
      </c>
      <c r="W1209" t="str">
        <f t="shared" si="329"/>
        <v>zintel</v>
      </c>
    </row>
    <row r="1210" spans="1:23">
      <c r="A1210" t="str">
        <f t="shared" si="333"/>
        <v>CNC-8000-ADV-IMP</v>
      </c>
      <c r="B1210" t="str">
        <f>"77-3142-0001"</f>
        <v>77-3142-0001</v>
      </c>
      <c r="C1210" t="str">
        <f>"LM7 Content, Vir, CNC Milling w/ProMill 8000"</f>
        <v>LM7 Content, Vir, CNC Milling w/ProMill 8000</v>
      </c>
      <c r="D1210">
        <v>1</v>
      </c>
      <c r="E1210" t="str">
        <f t="shared" si="331"/>
        <v>ProMILL 8000 Advanced Bundle, Imperial, 110/220 VAC</v>
      </c>
      <c r="F1210">
        <v>0</v>
      </c>
      <c r="G1210" t="str">
        <f t="shared" si="321"/>
        <v>Y</v>
      </c>
      <c r="H1210" t="str">
        <f t="shared" si="320"/>
        <v>EA</v>
      </c>
      <c r="I1210">
        <v>0</v>
      </c>
      <c r="J1210">
        <v>0</v>
      </c>
      <c r="K1210" t="str">
        <f t="shared" si="322"/>
        <v>Y</v>
      </c>
      <c r="L1210">
        <v>0</v>
      </c>
      <c r="M1210" t="str">
        <f t="shared" si="323"/>
        <v>NIS</v>
      </c>
      <c r="O1210">
        <v>8</v>
      </c>
      <c r="P1210" t="str">
        <f t="shared" si="332"/>
        <v>Active</v>
      </c>
      <c r="Q1210" t="str">
        <f>"LM7 Content, Vir, CNC Milling w/ProMill 8000"</f>
        <v>LM7 Content, Vir, CNC Milling w/ProMill 8000</v>
      </c>
      <c r="S1210" t="str">
        <f>"LM7 Content, Vir, CNC Milling w/ProMill 8000"</f>
        <v>LM7 Content, Vir, CNC Milling w/ProMill 8000</v>
      </c>
      <c r="T1210">
        <v>0</v>
      </c>
      <c r="U1210">
        <v>5</v>
      </c>
      <c r="V1210">
        <v>5</v>
      </c>
      <c r="W1210" t="str">
        <f t="shared" si="329"/>
        <v>zintel</v>
      </c>
    </row>
    <row r="1211" spans="1:23">
      <c r="A1211" t="str">
        <f t="shared" ref="A1211:A1226" si="334">"CNC-8000-ADV-M"</f>
        <v>CNC-8000-ADV-M</v>
      </c>
      <c r="B1211" t="str">
        <f>"00-5509-0220"</f>
        <v>00-5509-0220</v>
      </c>
      <c r="C1211" t="str">
        <f>"ProMill 8000 AC with 12 Tool ATC"</f>
        <v>ProMill 8000 AC with 12 Tool ATC</v>
      </c>
      <c r="D1211">
        <v>1</v>
      </c>
      <c r="E1211" t="str">
        <f t="shared" ref="E1211:E1226" si="335">"ProMILL 8000 Advanced Bundle, Metric, 110/220 VAC"</f>
        <v>ProMILL 8000 Advanced Bundle, Metric, 110/220 VAC</v>
      </c>
      <c r="F1211">
        <v>0</v>
      </c>
      <c r="G1211" t="str">
        <f t="shared" si="321"/>
        <v>Y</v>
      </c>
      <c r="H1211" t="str">
        <f t="shared" si="320"/>
        <v>EA</v>
      </c>
      <c r="I1211">
        <v>0</v>
      </c>
      <c r="J1211">
        <v>0</v>
      </c>
      <c r="K1211" t="str">
        <f t="shared" si="322"/>
        <v>Y</v>
      </c>
      <c r="L1211">
        <v>0</v>
      </c>
      <c r="M1211" t="str">
        <f t="shared" si="323"/>
        <v>NIS</v>
      </c>
      <c r="O1211">
        <v>1</v>
      </c>
      <c r="P1211" t="str">
        <f t="shared" si="332"/>
        <v>Active</v>
      </c>
      <c r="Q1211" t="str">
        <f>"ProMill 8000 AC with 12 Tool ATC 220V"</f>
        <v>ProMill 8000 AC with 12 Tool ATC 220V</v>
      </c>
      <c r="S1211" t="str">
        <f>"ProMill 8000 AC with 12 Tool ATC 220V"</f>
        <v>ProMill 8000 AC with 12 Tool ATC 220V</v>
      </c>
      <c r="T1211">
        <v>0</v>
      </c>
      <c r="U1211" s="44">
        <v>7800</v>
      </c>
      <c r="V1211" s="44">
        <v>7781.65</v>
      </c>
      <c r="W1211" t="str">
        <f t="shared" si="329"/>
        <v>zintel</v>
      </c>
    </row>
    <row r="1212" spans="1:23">
      <c r="A1212" t="str">
        <f t="shared" si="334"/>
        <v>CNC-8000-ADV-M</v>
      </c>
      <c r="B1212" t="str">
        <f>"10-1111-6000"</f>
        <v>10-1111-6000</v>
      </c>
      <c r="C1212" t="str">
        <f>"4"" Vise"</f>
        <v>4" Vise</v>
      </c>
      <c r="D1212">
        <v>1</v>
      </c>
      <c r="E1212" t="str">
        <f t="shared" si="335"/>
        <v>ProMILL 8000 Advanced Bundle, Metric, 110/220 VAC</v>
      </c>
      <c r="F1212">
        <v>0</v>
      </c>
      <c r="G1212" t="str">
        <f t="shared" si="321"/>
        <v>Y</v>
      </c>
      <c r="H1212" t="str">
        <f t="shared" si="320"/>
        <v>EA</v>
      </c>
      <c r="I1212">
        <v>0</v>
      </c>
      <c r="J1212">
        <v>0</v>
      </c>
      <c r="K1212" t="str">
        <f t="shared" si="322"/>
        <v>Y</v>
      </c>
      <c r="L1212">
        <v>0</v>
      </c>
      <c r="M1212" t="str">
        <f t="shared" si="323"/>
        <v>NIS</v>
      </c>
      <c r="O1212">
        <v>2</v>
      </c>
      <c r="P1212" t="str">
        <f t="shared" si="332"/>
        <v>Active</v>
      </c>
      <c r="Q1212" t="str">
        <f>"4"" Precision Maching Vise"</f>
        <v>4" Precision Maching Vise</v>
      </c>
      <c r="S1212" t="str">
        <f>"4"" Precision Maching Vise"</f>
        <v>4" Precision Maching Vise</v>
      </c>
      <c r="T1212">
        <v>0</v>
      </c>
      <c r="U1212">
        <v>53</v>
      </c>
      <c r="V1212">
        <v>49.5</v>
      </c>
      <c r="W1212" t="str">
        <f t="shared" si="329"/>
        <v>zintel</v>
      </c>
    </row>
    <row r="1213" spans="1:23">
      <c r="A1213" t="str">
        <f t="shared" si="334"/>
        <v>CNC-8000-ADV-M</v>
      </c>
      <c r="B1213" t="str">
        <f>"10-1111-5000"</f>
        <v>10-1111-5000</v>
      </c>
      <c r="C1213" t="str">
        <f>"clamping kit 58 pcs set"</f>
        <v>clamping kit 58 pcs set</v>
      </c>
      <c r="D1213">
        <v>1</v>
      </c>
      <c r="E1213" t="str">
        <f t="shared" si="335"/>
        <v>ProMILL 8000 Advanced Bundle, Metric, 110/220 VAC</v>
      </c>
      <c r="F1213">
        <v>0</v>
      </c>
      <c r="G1213" t="str">
        <f t="shared" si="321"/>
        <v>Y</v>
      </c>
      <c r="H1213" t="str">
        <f t="shared" si="320"/>
        <v>EA</v>
      </c>
      <c r="I1213">
        <v>0</v>
      </c>
      <c r="J1213">
        <v>0</v>
      </c>
      <c r="K1213" t="str">
        <f t="shared" si="322"/>
        <v>Y</v>
      </c>
      <c r="L1213">
        <v>0</v>
      </c>
      <c r="M1213" t="str">
        <f t="shared" si="323"/>
        <v>NIS</v>
      </c>
      <c r="O1213">
        <v>3</v>
      </c>
      <c r="P1213" t="str">
        <f t="shared" si="332"/>
        <v>Active</v>
      </c>
      <c r="Q1213" t="str">
        <f>"clamping kit 58 pcs set"</f>
        <v>clamping kit 58 pcs set</v>
      </c>
      <c r="S1213" t="str">
        <f>"clamping kit 58 pcs set"</f>
        <v>clamping kit 58 pcs set</v>
      </c>
      <c r="T1213">
        <v>0</v>
      </c>
      <c r="U1213">
        <v>52</v>
      </c>
      <c r="V1213">
        <v>51.72</v>
      </c>
      <c r="W1213" t="str">
        <f t="shared" si="329"/>
        <v>zintel</v>
      </c>
    </row>
    <row r="1214" spans="1:23">
      <c r="A1214" t="str">
        <f t="shared" si="334"/>
        <v>CNC-8000-ADV-M</v>
      </c>
      <c r="B1214" t="str">
        <f>"10-1111-9000"</f>
        <v>10-1111-9000</v>
      </c>
      <c r="C1214" t="str">
        <f>"ISO 20 tool holder"</f>
        <v>ISO 20 tool holder</v>
      </c>
      <c r="D1214">
        <v>8</v>
      </c>
      <c r="E1214" t="str">
        <f t="shared" si="335"/>
        <v>ProMILL 8000 Advanced Bundle, Metric, 110/220 VAC</v>
      </c>
      <c r="F1214">
        <v>0</v>
      </c>
      <c r="G1214" t="str">
        <f t="shared" si="321"/>
        <v>Y</v>
      </c>
      <c r="H1214" t="str">
        <f t="shared" si="320"/>
        <v>EA</v>
      </c>
      <c r="I1214">
        <v>0</v>
      </c>
      <c r="J1214">
        <v>0</v>
      </c>
      <c r="K1214" t="str">
        <f t="shared" si="322"/>
        <v>Y</v>
      </c>
      <c r="L1214">
        <v>0</v>
      </c>
      <c r="M1214" t="str">
        <f t="shared" si="323"/>
        <v>NIS</v>
      </c>
      <c r="O1214">
        <v>4</v>
      </c>
      <c r="P1214" t="str">
        <f t="shared" si="332"/>
        <v>Active</v>
      </c>
      <c r="Q1214" t="str">
        <f>"ISO 20 tool holder with nut"</f>
        <v>ISO 20 tool holder with nut</v>
      </c>
      <c r="S1214" t="str">
        <f>"ISO 20 tool holder with nut"</f>
        <v>ISO 20 tool holder with nut</v>
      </c>
      <c r="T1214">
        <v>0</v>
      </c>
      <c r="U1214">
        <v>103</v>
      </c>
      <c r="V1214">
        <v>103.19</v>
      </c>
      <c r="W1214" t="str">
        <f t="shared" si="329"/>
        <v>zintel</v>
      </c>
    </row>
    <row r="1215" spans="1:23">
      <c r="A1215" t="str">
        <f t="shared" si="334"/>
        <v>CNC-8000-ADV-M</v>
      </c>
      <c r="B1215" t="str">
        <f>"10-1113-4000"</f>
        <v>10-1113-4000</v>
      </c>
      <c r="C1215" t="str">
        <f>"Metric End Mill Package(2X 3,6,8,10End,4,6 Ball)"</f>
        <v>Metric End Mill Package(2X 3,6,8,10End,4,6 Ball)</v>
      </c>
      <c r="D1215">
        <v>1</v>
      </c>
      <c r="E1215" t="str">
        <f t="shared" si="335"/>
        <v>ProMILL 8000 Advanced Bundle, Metric, 110/220 VAC</v>
      </c>
      <c r="F1215">
        <v>0</v>
      </c>
      <c r="G1215" t="str">
        <f t="shared" si="321"/>
        <v>Y</v>
      </c>
      <c r="H1215" t="str">
        <f t="shared" si="320"/>
        <v>EA</v>
      </c>
      <c r="I1215">
        <v>0</v>
      </c>
      <c r="J1215">
        <v>0</v>
      </c>
      <c r="K1215" t="str">
        <f t="shared" si="322"/>
        <v>Y</v>
      </c>
      <c r="L1215">
        <v>0</v>
      </c>
      <c r="M1215" t="str">
        <f t="shared" si="323"/>
        <v>NIS</v>
      </c>
      <c r="O1215">
        <v>5</v>
      </c>
      <c r="P1215" t="str">
        <f t="shared" si="332"/>
        <v>Active</v>
      </c>
      <c r="Q1215" t="str">
        <f>"Metric Advanced End Mill Package 5121"</f>
        <v>Metric Advanced End Mill Package 5121</v>
      </c>
      <c r="S1215" t="str">
        <f>"Metric Advanced End Mill Package 5121"</f>
        <v>Metric Advanced End Mill Package 5121</v>
      </c>
      <c r="T1215">
        <v>0</v>
      </c>
      <c r="U1215">
        <v>55</v>
      </c>
      <c r="V1215">
        <v>50.17</v>
      </c>
      <c r="W1215" t="str">
        <f t="shared" si="329"/>
        <v>zintel</v>
      </c>
    </row>
    <row r="1216" spans="1:23">
      <c r="A1216" t="str">
        <f t="shared" si="334"/>
        <v>CNC-8000-ADV-M</v>
      </c>
      <c r="B1216" t="str">
        <f>"10-1112-2000"</f>
        <v>10-1112-2000</v>
      </c>
      <c r="C1216" t="str">
        <f>"ER16 Collet set-8 pieces(3,4,5,6,7,8,9 and 10mm)"</f>
        <v>ER16 Collet set-8 pieces(3,4,5,6,7,8,9 and 10mm)</v>
      </c>
      <c r="D1216">
        <v>1</v>
      </c>
      <c r="E1216" t="str">
        <f t="shared" si="335"/>
        <v>ProMILL 8000 Advanced Bundle, Metric, 110/220 VAC</v>
      </c>
      <c r="F1216">
        <v>0</v>
      </c>
      <c r="G1216" t="str">
        <f t="shared" si="321"/>
        <v>Y</v>
      </c>
      <c r="H1216" t="str">
        <f t="shared" ref="H1216:H1279" si="336">"EA"</f>
        <v>EA</v>
      </c>
      <c r="I1216">
        <v>0</v>
      </c>
      <c r="J1216">
        <v>0</v>
      </c>
      <c r="K1216" t="str">
        <f t="shared" si="322"/>
        <v>Y</v>
      </c>
      <c r="L1216">
        <v>0</v>
      </c>
      <c r="M1216" t="str">
        <f t="shared" si="323"/>
        <v>NIS</v>
      </c>
      <c r="O1216">
        <v>6</v>
      </c>
      <c r="P1216" t="str">
        <f t="shared" si="332"/>
        <v>Active</v>
      </c>
      <c r="Q1216" t="str">
        <f>"ER16 Collet set-8 pieces(3,4,5,6,7,8,9 and 10mm)"</f>
        <v>ER16 Collet set-8 pieces(3,4,5,6,7,8,9 and 10mm)</v>
      </c>
      <c r="S1216" t="str">
        <f>"ER16 Collet set-8 pieces(3,4,5,6,7,8,9 and 10mm)"</f>
        <v>ER16 Collet set-8 pieces(3,4,5,6,7,8,9 and 10mm)</v>
      </c>
      <c r="T1216">
        <v>0</v>
      </c>
      <c r="U1216">
        <v>71</v>
      </c>
      <c r="V1216">
        <v>64.84</v>
      </c>
      <c r="W1216" t="str">
        <f t="shared" si="329"/>
        <v>zintel</v>
      </c>
    </row>
    <row r="1217" spans="1:23">
      <c r="A1217" t="str">
        <f t="shared" si="334"/>
        <v>CNC-8000-ADV-M</v>
      </c>
      <c r="B1217" t="str">
        <f>"10-1115-0000"</f>
        <v>10-1115-0000</v>
      </c>
      <c r="C1217" t="str">
        <f>"ER16 Collet set - 2 x (3,6,8,10mm)"</f>
        <v>ER16 Collet set - 2 x (3,6,8,10mm)</v>
      </c>
      <c r="D1217">
        <v>1</v>
      </c>
      <c r="E1217" t="str">
        <f t="shared" si="335"/>
        <v>ProMILL 8000 Advanced Bundle, Metric, 110/220 VAC</v>
      </c>
      <c r="F1217">
        <v>0</v>
      </c>
      <c r="G1217" t="str">
        <f t="shared" si="321"/>
        <v>Y</v>
      </c>
      <c r="H1217" t="str">
        <f t="shared" si="336"/>
        <v>EA</v>
      </c>
      <c r="I1217">
        <v>0</v>
      </c>
      <c r="J1217">
        <v>0</v>
      </c>
      <c r="K1217" t="str">
        <f t="shared" si="322"/>
        <v>Y</v>
      </c>
      <c r="L1217">
        <v>0</v>
      </c>
      <c r="M1217" t="str">
        <f t="shared" si="323"/>
        <v>NIS</v>
      </c>
      <c r="O1217">
        <v>7</v>
      </c>
      <c r="P1217" t="str">
        <f t="shared" si="332"/>
        <v>Active</v>
      </c>
      <c r="Q1217" t="str">
        <f>"ER16 Collet set-8 pieces(2)3,(2)6,(2)8,(2)10mm"</f>
        <v>ER16 Collet set-8 pieces(2)3,(2)6,(2)8,(2)10mm</v>
      </c>
      <c r="S1217" t="str">
        <f>"ER16 Collet set-8 pieces(2)3,(2)6,(2)8,(2)10mm"</f>
        <v>ER16 Collet set-8 pieces(2)3,(2)6,(2)8,(2)10mm</v>
      </c>
      <c r="T1217">
        <v>0</v>
      </c>
      <c r="U1217">
        <v>71</v>
      </c>
      <c r="V1217">
        <v>70.63</v>
      </c>
      <c r="W1217" t="str">
        <f t="shared" si="329"/>
        <v>zintel</v>
      </c>
    </row>
    <row r="1218" spans="1:23">
      <c r="A1218" t="str">
        <f t="shared" si="334"/>
        <v>CNC-8000-ADV-M</v>
      </c>
      <c r="B1218" t="str">
        <f>"10-1111-1000"</f>
        <v>10-1111-1000</v>
      </c>
      <c r="C1218" t="str">
        <f>"- Handwheel - Manual Control"</f>
        <v>- Handwheel - Manual Control</v>
      </c>
      <c r="D1218">
        <v>1</v>
      </c>
      <c r="E1218" t="str">
        <f t="shared" si="335"/>
        <v>ProMILL 8000 Advanced Bundle, Metric, 110/220 VAC</v>
      </c>
      <c r="F1218">
        <v>0</v>
      </c>
      <c r="G1218" t="str">
        <f t="shared" ref="G1218:G1281" si="337">"Y"</f>
        <v>Y</v>
      </c>
      <c r="H1218" t="str">
        <f t="shared" si="336"/>
        <v>EA</v>
      </c>
      <c r="I1218">
        <v>0</v>
      </c>
      <c r="J1218">
        <v>0</v>
      </c>
      <c r="K1218" t="str">
        <f t="shared" ref="K1218:K1281" si="338">"Y"</f>
        <v>Y</v>
      </c>
      <c r="L1218">
        <v>0</v>
      </c>
      <c r="M1218" t="str">
        <f t="shared" ref="M1218:M1281" si="339">"NIS"</f>
        <v>NIS</v>
      </c>
      <c r="O1218">
        <v>8</v>
      </c>
      <c r="P1218" t="str">
        <f t="shared" si="332"/>
        <v>Active</v>
      </c>
      <c r="Q1218" t="str">
        <f>"Jog Pendant Handwheel"</f>
        <v>Jog Pendant Handwheel</v>
      </c>
      <c r="S1218" t="str">
        <f>"Jog Pendant Handwheel"</f>
        <v>Jog Pendant Handwheel</v>
      </c>
      <c r="T1218">
        <v>0</v>
      </c>
      <c r="U1218">
        <v>235</v>
      </c>
      <c r="V1218">
        <v>235.03</v>
      </c>
      <c r="W1218" t="str">
        <f t="shared" si="329"/>
        <v>zintel</v>
      </c>
    </row>
    <row r="1219" spans="1:23">
      <c r="A1219" t="str">
        <f t="shared" si="334"/>
        <v>CNC-8000-ADV-M</v>
      </c>
      <c r="B1219" t="str">
        <f>"10-1108-1220"</f>
        <v>10-1108-1220</v>
      </c>
      <c r="C1219" t="str">
        <f>"- Coolant system 27L -220V"</f>
        <v>- Coolant system 27L -220V</v>
      </c>
      <c r="D1219">
        <v>1</v>
      </c>
      <c r="E1219" t="str">
        <f t="shared" si="335"/>
        <v>ProMILL 8000 Advanced Bundle, Metric, 110/220 VAC</v>
      </c>
      <c r="F1219">
        <v>0</v>
      </c>
      <c r="G1219" t="str">
        <f t="shared" si="337"/>
        <v>Y</v>
      </c>
      <c r="H1219" t="str">
        <f t="shared" si="336"/>
        <v>EA</v>
      </c>
      <c r="I1219">
        <v>0</v>
      </c>
      <c r="J1219">
        <v>0</v>
      </c>
      <c r="K1219" t="str">
        <f t="shared" si="338"/>
        <v>Y</v>
      </c>
      <c r="L1219">
        <v>0</v>
      </c>
      <c r="M1219" t="str">
        <f t="shared" si="339"/>
        <v>NIS</v>
      </c>
      <c r="O1219">
        <v>9</v>
      </c>
      <c r="P1219" t="str">
        <f t="shared" si="332"/>
        <v>Active</v>
      </c>
      <c r="Q1219" t="str">
        <f>"Coolant system 27L - 220V"</f>
        <v>Coolant system 27L - 220V</v>
      </c>
      <c r="S1219" t="str">
        <f>"Coolant system 27L - 220V"</f>
        <v>Coolant system 27L - 220V</v>
      </c>
      <c r="T1219">
        <v>0</v>
      </c>
      <c r="U1219">
        <v>117.08</v>
      </c>
      <c r="V1219">
        <v>117.15</v>
      </c>
      <c r="W1219" t="str">
        <f t="shared" si="329"/>
        <v>zintel</v>
      </c>
    </row>
    <row r="1220" spans="1:23">
      <c r="A1220" t="str">
        <f t="shared" si="334"/>
        <v>CNC-8000-ADV-M</v>
      </c>
      <c r="B1220" t="str">
        <f>"10-1108-8000"</f>
        <v>10-1108-8000</v>
      </c>
      <c r="C1220" t="str">
        <f>"- 4th Axis rotary worktable with tailstock"</f>
        <v>- 4th Axis rotary worktable with tailstock</v>
      </c>
      <c r="D1220">
        <v>1</v>
      </c>
      <c r="E1220" t="str">
        <f t="shared" si="335"/>
        <v>ProMILL 8000 Advanced Bundle, Metric, 110/220 VAC</v>
      </c>
      <c r="F1220">
        <v>0</v>
      </c>
      <c r="G1220" t="str">
        <f t="shared" si="337"/>
        <v>Y</v>
      </c>
      <c r="H1220" t="str">
        <f t="shared" si="336"/>
        <v>EA</v>
      </c>
      <c r="I1220">
        <v>0</v>
      </c>
      <c r="J1220">
        <v>0</v>
      </c>
      <c r="K1220" t="str">
        <f t="shared" si="338"/>
        <v>Y</v>
      </c>
      <c r="L1220">
        <v>0</v>
      </c>
      <c r="M1220" t="str">
        <f t="shared" si="339"/>
        <v>NIS</v>
      </c>
      <c r="O1220">
        <v>10</v>
      </c>
      <c r="P1220" t="str">
        <f t="shared" ref="P1220:P1226" si="340">"Active"</f>
        <v>Active</v>
      </c>
      <c r="Q1220" t="str">
        <f>"100mm rotary worktable (4th axis) with tailstock"</f>
        <v>100mm rotary worktable (4th axis) with tailstock</v>
      </c>
      <c r="S1220" t="str">
        <f>"100mm rotary worktable (4th axis) with tailstock"</f>
        <v>100mm rotary worktable (4th axis) with tailstock</v>
      </c>
      <c r="T1220">
        <v>0</v>
      </c>
      <c r="U1220">
        <v>614.64</v>
      </c>
      <c r="V1220">
        <v>594.83000000000004</v>
      </c>
      <c r="W1220" t="str">
        <f t="shared" si="329"/>
        <v>zintel</v>
      </c>
    </row>
    <row r="1221" spans="1:23">
      <c r="A1221" t="str">
        <f t="shared" si="334"/>
        <v>CNC-8000-ADV-M</v>
      </c>
      <c r="B1221" t="str">
        <f>"10-1109-3000"</f>
        <v>10-1109-3000</v>
      </c>
      <c r="C1221" t="str">
        <f>"- 80mm 3-jaw chuck"</f>
        <v>- 80mm 3-jaw chuck</v>
      </c>
      <c r="D1221">
        <v>1</v>
      </c>
      <c r="E1221" t="str">
        <f t="shared" si="335"/>
        <v>ProMILL 8000 Advanced Bundle, Metric, 110/220 VAC</v>
      </c>
      <c r="F1221">
        <v>0</v>
      </c>
      <c r="G1221" t="str">
        <f t="shared" si="337"/>
        <v>Y</v>
      </c>
      <c r="H1221" t="str">
        <f t="shared" si="336"/>
        <v>EA</v>
      </c>
      <c r="I1221">
        <v>0</v>
      </c>
      <c r="J1221">
        <v>0</v>
      </c>
      <c r="K1221" t="str">
        <f t="shared" si="338"/>
        <v>Y</v>
      </c>
      <c r="L1221">
        <v>0</v>
      </c>
      <c r="M1221" t="str">
        <f t="shared" si="339"/>
        <v>NIS</v>
      </c>
      <c r="O1221">
        <v>11</v>
      </c>
      <c r="P1221" t="str">
        <f t="shared" si="340"/>
        <v>Active</v>
      </c>
      <c r="Q1221" t="str">
        <f>"80mm 3-jaw chuck"</f>
        <v>80mm 3-jaw chuck</v>
      </c>
      <c r="S1221" t="str">
        <f>"80mm 3-jaw chuck"</f>
        <v>80mm 3-jaw chuck</v>
      </c>
      <c r="T1221">
        <v>0</v>
      </c>
      <c r="U1221">
        <v>53</v>
      </c>
      <c r="V1221">
        <v>52.35</v>
      </c>
      <c r="W1221" t="str">
        <f t="shared" si="329"/>
        <v>zintel</v>
      </c>
    </row>
    <row r="1222" spans="1:23">
      <c r="A1222" t="str">
        <f t="shared" si="334"/>
        <v>CNC-8000-ADV-M</v>
      </c>
      <c r="B1222" t="str">
        <f>"10-1113-6000"</f>
        <v>10-1113-6000</v>
      </c>
      <c r="C1222" t="str">
        <f>"- Metric Engraving Package (1,1.5,2 mm End mill)"</f>
        <v>- Metric Engraving Package (1,1.5,2 mm End mill)</v>
      </c>
      <c r="D1222">
        <v>1</v>
      </c>
      <c r="E1222" t="str">
        <f t="shared" si="335"/>
        <v>ProMILL 8000 Advanced Bundle, Metric, 110/220 VAC</v>
      </c>
      <c r="F1222">
        <v>0</v>
      </c>
      <c r="G1222" t="str">
        <f t="shared" si="337"/>
        <v>Y</v>
      </c>
      <c r="H1222" t="str">
        <f t="shared" si="336"/>
        <v>EA</v>
      </c>
      <c r="I1222">
        <v>0</v>
      </c>
      <c r="J1222">
        <v>0</v>
      </c>
      <c r="K1222" t="str">
        <f t="shared" si="338"/>
        <v>Y</v>
      </c>
      <c r="L1222">
        <v>0</v>
      </c>
      <c r="M1222" t="str">
        <f t="shared" si="339"/>
        <v>NIS</v>
      </c>
      <c r="O1222">
        <v>12</v>
      </c>
      <c r="P1222" t="str">
        <f t="shared" si="340"/>
        <v>Active</v>
      </c>
      <c r="Q1222" t="str">
        <f>"Metric Engraving Package 5711"</f>
        <v>Metric Engraving Package 5711</v>
      </c>
      <c r="S1222" t="str">
        <f>"Metric Engraving Package 5711"</f>
        <v>Metric Engraving Package 5711</v>
      </c>
      <c r="T1222">
        <v>0</v>
      </c>
      <c r="U1222">
        <v>41</v>
      </c>
      <c r="V1222">
        <v>37.909999999999997</v>
      </c>
      <c r="W1222" t="str">
        <f t="shared" si="329"/>
        <v>zintel</v>
      </c>
    </row>
    <row r="1223" spans="1:23">
      <c r="A1223" t="str">
        <f t="shared" si="334"/>
        <v>CNC-8000-ADV-M</v>
      </c>
      <c r="B1223" t="str">
        <f>"10-1108-6000"</f>
        <v>10-1108-6000</v>
      </c>
      <c r="C1223" t="str">
        <f>"- 6mm engraving tool set"</f>
        <v>- 6mm engraving tool set</v>
      </c>
      <c r="D1223">
        <v>1</v>
      </c>
      <c r="E1223" t="str">
        <f t="shared" si="335"/>
        <v>ProMILL 8000 Advanced Bundle, Metric, 110/220 VAC</v>
      </c>
      <c r="F1223">
        <v>0</v>
      </c>
      <c r="G1223" t="str">
        <f t="shared" si="337"/>
        <v>Y</v>
      </c>
      <c r="H1223" t="str">
        <f t="shared" si="336"/>
        <v>EA</v>
      </c>
      <c r="I1223">
        <v>0</v>
      </c>
      <c r="J1223">
        <v>0</v>
      </c>
      <c r="K1223" t="str">
        <f t="shared" si="338"/>
        <v>Y</v>
      </c>
      <c r="L1223">
        <v>0</v>
      </c>
      <c r="M1223" t="str">
        <f t="shared" si="339"/>
        <v>NIS</v>
      </c>
      <c r="O1223">
        <v>13</v>
      </c>
      <c r="P1223" t="str">
        <f t="shared" si="340"/>
        <v>Active</v>
      </c>
      <c r="Q1223" t="str">
        <f>"6mm engraving tool set"</f>
        <v>6mm engraving tool set</v>
      </c>
      <c r="S1223" t="str">
        <f>"6mm engraving tool set"</f>
        <v>6mm engraving tool set</v>
      </c>
      <c r="T1223">
        <v>0</v>
      </c>
      <c r="U1223">
        <v>93.66</v>
      </c>
      <c r="V1223">
        <v>94.27</v>
      </c>
      <c r="W1223" t="str">
        <f t="shared" si="329"/>
        <v>zintel</v>
      </c>
    </row>
    <row r="1224" spans="1:23">
      <c r="A1224" t="str">
        <f t="shared" si="334"/>
        <v>CNC-8000-ADV-M</v>
      </c>
      <c r="B1224" t="str">
        <f>"10-9120-0000"</f>
        <v>10-9120-0000</v>
      </c>
      <c r="C1224" t="str">
        <f>"Stock Package, Wax, 3” x 2” x 1.5”– 50 Pcs"</f>
        <v>Stock Package, Wax, 3” x 2” x 1.5”– 50 Pcs</v>
      </c>
      <c r="D1224">
        <v>1</v>
      </c>
      <c r="E1224" t="str">
        <f t="shared" si="335"/>
        <v>ProMILL 8000 Advanced Bundle, Metric, 110/220 VAC</v>
      </c>
      <c r="F1224">
        <v>0</v>
      </c>
      <c r="G1224" t="str">
        <f t="shared" si="337"/>
        <v>Y</v>
      </c>
      <c r="H1224" t="str">
        <f t="shared" si="336"/>
        <v>EA</v>
      </c>
      <c r="I1224">
        <v>0</v>
      </c>
      <c r="J1224">
        <v>0</v>
      </c>
      <c r="K1224" t="str">
        <f t="shared" si="338"/>
        <v>Y</v>
      </c>
      <c r="L1224">
        <v>0</v>
      </c>
      <c r="M1224" t="str">
        <f t="shared" si="339"/>
        <v>NIS</v>
      </c>
      <c r="O1224">
        <v>14</v>
      </c>
      <c r="P1224" t="str">
        <f t="shared" si="340"/>
        <v>Active</v>
      </c>
      <c r="Q1224" t="str">
        <f>"Stock Package, WaxStock Pa3” x 2” x 1.5”– 50 Pcs"</f>
        <v>Stock Package, WaxStock Pa3” x 2” x 1.5”– 50 Pcs</v>
      </c>
      <c r="S1224" t="str">
        <f>"Stock Package, Wax, 3” x 2” x 1.5”– 50 Pcs"</f>
        <v>Stock Package, Wax, 3” x 2” x 1.5”– 50 Pcs</v>
      </c>
      <c r="T1224">
        <v>245</v>
      </c>
      <c r="U1224">
        <v>242.73</v>
      </c>
      <c r="V1224">
        <v>613.89</v>
      </c>
      <c r="W1224" t="str">
        <f t="shared" si="329"/>
        <v>zintel</v>
      </c>
    </row>
    <row r="1225" spans="1:23">
      <c r="A1225" t="str">
        <f t="shared" si="334"/>
        <v>CNC-8000-ADV-M</v>
      </c>
      <c r="B1225" t="str">
        <f>"77-3142-0002"</f>
        <v>77-3142-0002</v>
      </c>
      <c r="C1225" t="str">
        <f>"LM7 Content, Vir, CNC Milling w/ProMill 8000 (M)"</f>
        <v>LM7 Content, Vir, CNC Milling w/ProMill 8000 (M)</v>
      </c>
      <c r="D1225">
        <v>1</v>
      </c>
      <c r="E1225" t="str">
        <f t="shared" si="335"/>
        <v>ProMILL 8000 Advanced Bundle, Metric, 110/220 VAC</v>
      </c>
      <c r="F1225">
        <v>0</v>
      </c>
      <c r="G1225" t="str">
        <f t="shared" si="337"/>
        <v>Y</v>
      </c>
      <c r="H1225" t="str">
        <f t="shared" si="336"/>
        <v>EA</v>
      </c>
      <c r="I1225">
        <v>0</v>
      </c>
      <c r="J1225">
        <v>0</v>
      </c>
      <c r="K1225" t="str">
        <f t="shared" si="338"/>
        <v>Y</v>
      </c>
      <c r="L1225">
        <v>0</v>
      </c>
      <c r="M1225" t="str">
        <f t="shared" si="339"/>
        <v>NIS</v>
      </c>
      <c r="O1225">
        <v>15</v>
      </c>
      <c r="P1225" t="str">
        <f t="shared" si="340"/>
        <v>Active</v>
      </c>
      <c r="Q1225" t="str">
        <f>"LM7 Content, Vir, CNC Milling w/ProMill 8000 (M)"</f>
        <v>LM7 Content, Vir, CNC Milling w/ProMill 8000 (M)</v>
      </c>
      <c r="S1225" t="str">
        <f>"LM7 Content, Vir, CNC Milling w/ProMill 8000 (M)"</f>
        <v>LM7 Content, Vir, CNC Milling w/ProMill 8000 (M)</v>
      </c>
      <c r="T1225">
        <v>0</v>
      </c>
      <c r="U1225">
        <v>5</v>
      </c>
      <c r="V1225">
        <v>5.2</v>
      </c>
      <c r="W1225" t="str">
        <f t="shared" si="329"/>
        <v>zintel</v>
      </c>
    </row>
    <row r="1226" spans="1:23">
      <c r="A1226" t="str">
        <f t="shared" si="334"/>
        <v>CNC-8000-ADV-M</v>
      </c>
      <c r="B1226" t="str">
        <f>"10-1105-5000"</f>
        <v>10-1105-5000</v>
      </c>
      <c r="C1226" t="str">
        <f>"Computer and monitor attachment"</f>
        <v>Computer and monitor attachment</v>
      </c>
      <c r="D1226">
        <v>1</v>
      </c>
      <c r="E1226" t="str">
        <f t="shared" si="335"/>
        <v>ProMILL 8000 Advanced Bundle, Metric, 110/220 VAC</v>
      </c>
      <c r="F1226">
        <v>0</v>
      </c>
      <c r="G1226" t="str">
        <f t="shared" si="337"/>
        <v>Y</v>
      </c>
      <c r="H1226" t="str">
        <f t="shared" si="336"/>
        <v>EA</v>
      </c>
      <c r="I1226">
        <v>0</v>
      </c>
      <c r="J1226">
        <v>0</v>
      </c>
      <c r="K1226" t="str">
        <f t="shared" si="338"/>
        <v>Y</v>
      </c>
      <c r="L1226">
        <v>0</v>
      </c>
      <c r="M1226" t="str">
        <f t="shared" si="339"/>
        <v>NIS</v>
      </c>
      <c r="O1226">
        <v>16</v>
      </c>
      <c r="P1226" t="str">
        <f t="shared" si="340"/>
        <v>Active</v>
      </c>
      <c r="Q1226" t="str">
        <f>"Computer and monitor stand (attached to machine)"</f>
        <v>Computer and monitor stand (attached to machine)</v>
      </c>
      <c r="S1226" t="str">
        <f>"Computer and monitor stand (attached to machine)"</f>
        <v>Computer and monitor stand (attached to machine)</v>
      </c>
      <c r="T1226">
        <v>0</v>
      </c>
      <c r="U1226">
        <v>105.36</v>
      </c>
      <c r="V1226">
        <v>103.02</v>
      </c>
      <c r="W1226" t="str">
        <f t="shared" si="329"/>
        <v>zintel</v>
      </c>
    </row>
    <row r="1227" spans="1:23">
      <c r="A1227" t="str">
        <f t="shared" ref="A1227:A1242" si="341">"CNC-8000-CLBA"</f>
        <v>CNC-8000-CLBA</v>
      </c>
      <c r="B1227" t="str">
        <f>"00-5507-0110"</f>
        <v>00-5507-0110</v>
      </c>
      <c r="C1227" t="str">
        <f>"CNC ProMill 8000 AC 110V"</f>
        <v>CNC ProMill 8000 AC 110V</v>
      </c>
      <c r="D1227">
        <v>1</v>
      </c>
      <c r="E1227" t="str">
        <f t="shared" ref="E1227:E1242" si="342">"110V Bundle w ProMill 8000, CNC Base,15 Hrs Lab Instr. Machinist kit,jog Pend. 4ATC. etc."</f>
        <v>110V Bundle w ProMill 8000, CNC Base,15 Hrs Lab Instr. Machinist kit,jog Pend. 4ATC. etc.</v>
      </c>
      <c r="F1227">
        <v>0</v>
      </c>
      <c r="G1227" t="str">
        <f t="shared" si="337"/>
        <v>Y</v>
      </c>
      <c r="H1227" t="str">
        <f t="shared" si="336"/>
        <v>EA</v>
      </c>
      <c r="I1227">
        <v>0</v>
      </c>
      <c r="J1227">
        <v>0</v>
      </c>
      <c r="K1227" t="str">
        <f t="shared" si="338"/>
        <v>Y</v>
      </c>
      <c r="L1227">
        <v>0</v>
      </c>
      <c r="M1227" t="str">
        <f t="shared" si="339"/>
        <v>NIS</v>
      </c>
      <c r="O1227">
        <v>1</v>
      </c>
      <c r="P1227" t="str">
        <f>"Phase Out"</f>
        <v>Phase Out</v>
      </c>
      <c r="Q1227" t="str">
        <f>"CNC ProMill 8000 AC 110V"</f>
        <v>CNC ProMill 8000 AC 110V</v>
      </c>
      <c r="S1227" t="str">
        <f>"CNC ProMill 8000 AC 110V"</f>
        <v>CNC ProMill 8000 AC 110V</v>
      </c>
      <c r="T1227">
        <v>0</v>
      </c>
      <c r="U1227" s="44">
        <v>6556.2</v>
      </c>
      <c r="V1227" s="44">
        <v>8064</v>
      </c>
      <c r="W1227" t="str">
        <f t="shared" si="329"/>
        <v>zintel</v>
      </c>
    </row>
    <row r="1228" spans="1:23">
      <c r="A1228" t="str">
        <f t="shared" si="341"/>
        <v>CNC-8000-CLBA</v>
      </c>
      <c r="B1228" t="str">
        <f>"10-1111-1000"</f>
        <v>10-1111-1000</v>
      </c>
      <c r="C1228" t="str">
        <f>"- Handwheel - Manual Control"</f>
        <v>- Handwheel - Manual Control</v>
      </c>
      <c r="D1228">
        <v>1</v>
      </c>
      <c r="E1228" t="str">
        <f t="shared" si="342"/>
        <v>110V Bundle w ProMill 8000, CNC Base,15 Hrs Lab Instr. Machinist kit,jog Pend. 4ATC. etc.</v>
      </c>
      <c r="F1228">
        <v>0</v>
      </c>
      <c r="G1228" t="str">
        <f t="shared" si="337"/>
        <v>Y</v>
      </c>
      <c r="H1228" t="str">
        <f t="shared" si="336"/>
        <v>EA</v>
      </c>
      <c r="I1228">
        <v>0</v>
      </c>
      <c r="J1228">
        <v>0</v>
      </c>
      <c r="K1228" t="str">
        <f t="shared" si="338"/>
        <v>Y</v>
      </c>
      <c r="L1228">
        <v>0</v>
      </c>
      <c r="M1228" t="str">
        <f t="shared" si="339"/>
        <v>NIS</v>
      </c>
      <c r="O1228">
        <v>2</v>
      </c>
      <c r="P1228" t="str">
        <f t="shared" ref="P1228:P1239" si="343">"Active"</f>
        <v>Active</v>
      </c>
      <c r="Q1228" t="str">
        <f>"Jog Pendant Handwheel"</f>
        <v>Jog Pendant Handwheel</v>
      </c>
      <c r="S1228" t="str">
        <f>"Jog Pendant Handwheel"</f>
        <v>Jog Pendant Handwheel</v>
      </c>
      <c r="T1228">
        <v>0</v>
      </c>
      <c r="U1228">
        <v>235</v>
      </c>
      <c r="V1228">
        <v>235.03</v>
      </c>
      <c r="W1228" t="str">
        <f t="shared" si="329"/>
        <v>zintel</v>
      </c>
    </row>
    <row r="1229" spans="1:23">
      <c r="A1229" t="str">
        <f t="shared" si="341"/>
        <v>CNC-8000-CLBA</v>
      </c>
      <c r="B1229" t="str">
        <f>"10-1111-6000"</f>
        <v>10-1111-6000</v>
      </c>
      <c r="C1229" t="str">
        <f>"4"" Vise"</f>
        <v>4" Vise</v>
      </c>
      <c r="D1229">
        <v>1</v>
      </c>
      <c r="E1229" t="str">
        <f t="shared" si="342"/>
        <v>110V Bundle w ProMill 8000, CNC Base,15 Hrs Lab Instr. Machinist kit,jog Pend. 4ATC. etc.</v>
      </c>
      <c r="F1229">
        <v>0</v>
      </c>
      <c r="G1229" t="str">
        <f t="shared" si="337"/>
        <v>Y</v>
      </c>
      <c r="H1229" t="str">
        <f t="shared" si="336"/>
        <v>EA</v>
      </c>
      <c r="I1229">
        <v>0</v>
      </c>
      <c r="J1229">
        <v>0</v>
      </c>
      <c r="K1229" t="str">
        <f t="shared" si="338"/>
        <v>Y</v>
      </c>
      <c r="L1229">
        <v>0</v>
      </c>
      <c r="M1229" t="str">
        <f t="shared" si="339"/>
        <v>NIS</v>
      </c>
      <c r="N1229" t="str">
        <f>"Y"</f>
        <v>Y</v>
      </c>
      <c r="O1229">
        <v>3</v>
      </c>
      <c r="P1229" t="str">
        <f t="shared" si="343"/>
        <v>Active</v>
      </c>
      <c r="Q1229" t="str">
        <f>"4"" Precision Maching Vise"</f>
        <v>4" Precision Maching Vise</v>
      </c>
      <c r="S1229" t="str">
        <f>"4"" Precision Maching Vise"</f>
        <v>4" Precision Maching Vise</v>
      </c>
      <c r="T1229">
        <v>0</v>
      </c>
      <c r="U1229">
        <v>53</v>
      </c>
      <c r="V1229">
        <v>49.5</v>
      </c>
      <c r="W1229" t="str">
        <f t="shared" si="329"/>
        <v>zintel</v>
      </c>
    </row>
    <row r="1230" spans="1:23">
      <c r="A1230" t="str">
        <f t="shared" si="341"/>
        <v>CNC-8000-CLBA</v>
      </c>
      <c r="B1230" t="str">
        <f>"10-1111-7000"</f>
        <v>10-1111-7000</v>
      </c>
      <c r="C1230" t="str">
        <f>"- Imperial 4 tool ISO 20 tool holder package"</f>
        <v>- Imperial 4 tool ISO 20 tool holder package</v>
      </c>
      <c r="D1230">
        <v>1</v>
      </c>
      <c r="E1230" t="str">
        <f t="shared" si="342"/>
        <v>110V Bundle w ProMill 8000, CNC Base,15 Hrs Lab Instr. Machinist kit,jog Pend. 4ATC. etc.</v>
      </c>
      <c r="F1230">
        <v>0</v>
      </c>
      <c r="G1230" t="str">
        <f t="shared" si="337"/>
        <v>Y</v>
      </c>
      <c r="H1230" t="str">
        <f t="shared" si="336"/>
        <v>EA</v>
      </c>
      <c r="I1230">
        <v>0</v>
      </c>
      <c r="J1230">
        <v>0</v>
      </c>
      <c r="K1230" t="str">
        <f t="shared" si="338"/>
        <v>Y</v>
      </c>
      <c r="L1230">
        <v>0</v>
      </c>
      <c r="M1230" t="str">
        <f t="shared" si="339"/>
        <v>NIS</v>
      </c>
      <c r="O1230">
        <v>4</v>
      </c>
      <c r="P1230" t="str">
        <f t="shared" si="343"/>
        <v>Active</v>
      </c>
      <c r="Q1230" t="str">
        <f>"Imperial 4 tool ISO 20 tool holder package"</f>
        <v>Imperial 4 tool ISO 20 tool holder package</v>
      </c>
      <c r="S1230" t="str">
        <f>"Imperial 4 tool ISO 20 tool holder package"</f>
        <v>Imperial 4 tool ISO 20 tool holder package</v>
      </c>
      <c r="T1230">
        <v>0</v>
      </c>
      <c r="U1230">
        <v>555</v>
      </c>
      <c r="V1230">
        <v>554</v>
      </c>
      <c r="W1230" t="str">
        <f t="shared" si="329"/>
        <v>zintel</v>
      </c>
    </row>
    <row r="1231" spans="1:23">
      <c r="A1231" t="str">
        <f t="shared" si="341"/>
        <v>CNC-8000-CLBA</v>
      </c>
      <c r="B1231" t="str">
        <f>"10-1113-1000"</f>
        <v>10-1113-1000</v>
      </c>
      <c r="C1231" t="str">
        <f>"- 4 Tool  ATC (Table Mounted)"</f>
        <v>- 4 Tool  ATC (Table Mounted)</v>
      </c>
      <c r="D1231">
        <v>1</v>
      </c>
      <c r="E1231" t="str">
        <f t="shared" si="342"/>
        <v>110V Bundle w ProMill 8000, CNC Base,15 Hrs Lab Instr. Machinist kit,jog Pend. 4ATC. etc.</v>
      </c>
      <c r="F1231">
        <v>0</v>
      </c>
      <c r="G1231" t="str">
        <f t="shared" si="337"/>
        <v>Y</v>
      </c>
      <c r="H1231" t="str">
        <f t="shared" si="336"/>
        <v>EA</v>
      </c>
      <c r="I1231">
        <v>0</v>
      </c>
      <c r="J1231">
        <v>0</v>
      </c>
      <c r="K1231" t="str">
        <f t="shared" si="338"/>
        <v>Y</v>
      </c>
      <c r="L1231">
        <v>0</v>
      </c>
      <c r="M1231" t="str">
        <f t="shared" si="339"/>
        <v>NIS</v>
      </c>
      <c r="O1231">
        <v>5</v>
      </c>
      <c r="P1231" t="str">
        <f t="shared" si="343"/>
        <v>Active</v>
      </c>
      <c r="Q1231" t="str">
        <f>"4 Tool Table ATC Package"</f>
        <v>4 Tool Table ATC Package</v>
      </c>
      <c r="S1231" t="str">
        <f>"4 Tool Table ATC Package"</f>
        <v>4 Tool Table ATC Package</v>
      </c>
      <c r="T1231">
        <v>0</v>
      </c>
      <c r="U1231">
        <v>328</v>
      </c>
      <c r="V1231">
        <v>328.26</v>
      </c>
      <c r="W1231" t="str">
        <f t="shared" si="329"/>
        <v>zintel</v>
      </c>
    </row>
    <row r="1232" spans="1:23">
      <c r="A1232" t="str">
        <f t="shared" si="341"/>
        <v>CNC-8000-CLBA</v>
      </c>
      <c r="B1232" t="str">
        <f>"10-1113-5000"</f>
        <v>10-1113-5000</v>
      </c>
      <c r="C1232" t="str">
        <f>"Imperial Advanced End Mill Package 5120"</f>
        <v>Imperial Advanced End Mill Package 5120</v>
      </c>
      <c r="D1232">
        <v>1</v>
      </c>
      <c r="E1232" t="str">
        <f t="shared" si="342"/>
        <v>110V Bundle w ProMill 8000, CNC Base,15 Hrs Lab Instr. Machinist kit,jog Pend. 4ATC. etc.</v>
      </c>
      <c r="F1232">
        <v>0</v>
      </c>
      <c r="G1232" t="str">
        <f t="shared" si="337"/>
        <v>Y</v>
      </c>
      <c r="H1232" t="str">
        <f t="shared" si="336"/>
        <v>EA</v>
      </c>
      <c r="I1232">
        <v>0</v>
      </c>
      <c r="J1232">
        <v>0</v>
      </c>
      <c r="K1232" t="str">
        <f t="shared" si="338"/>
        <v>Y</v>
      </c>
      <c r="L1232">
        <v>0</v>
      </c>
      <c r="M1232" t="str">
        <f t="shared" si="339"/>
        <v>NIS</v>
      </c>
      <c r="O1232">
        <v>6</v>
      </c>
      <c r="P1232" t="str">
        <f t="shared" si="343"/>
        <v>Active</v>
      </c>
      <c r="Q1232" t="str">
        <f>"Imperial Advanced End Mill Package 5120"</f>
        <v>Imperial Advanced End Mill Package 5120</v>
      </c>
      <c r="S1232" t="str">
        <f>"Imperial Advanced End Mill Package 5120"</f>
        <v>Imperial Advanced End Mill Package 5120</v>
      </c>
      <c r="T1232">
        <v>0</v>
      </c>
      <c r="U1232">
        <v>64</v>
      </c>
      <c r="V1232">
        <v>64</v>
      </c>
      <c r="W1232" t="str">
        <f t="shared" si="329"/>
        <v>zintel</v>
      </c>
    </row>
    <row r="1233" spans="1:23">
      <c r="A1233" t="str">
        <f t="shared" si="341"/>
        <v>CNC-8000-CLBA</v>
      </c>
      <c r="B1233" t="str">
        <f>"10-1115-5000"</f>
        <v>10-1115-5000</v>
      </c>
      <c r="C1233" t="str">
        <f>"Step Clamp – BM6000, PM8000"</f>
        <v>Step Clamp – BM6000, PM8000</v>
      </c>
      <c r="D1233">
        <v>1</v>
      </c>
      <c r="E1233" t="str">
        <f t="shared" si="342"/>
        <v>110V Bundle w ProMill 8000, CNC Base,15 Hrs Lab Instr. Machinist kit,jog Pend. 4ATC. etc.</v>
      </c>
      <c r="F1233">
        <v>0</v>
      </c>
      <c r="G1233" t="str">
        <f t="shared" si="337"/>
        <v>Y</v>
      </c>
      <c r="H1233" t="str">
        <f t="shared" si="336"/>
        <v>EA</v>
      </c>
      <c r="I1233">
        <v>0</v>
      </c>
      <c r="J1233">
        <v>0</v>
      </c>
      <c r="K1233" t="str">
        <f t="shared" si="338"/>
        <v>Y</v>
      </c>
      <c r="L1233">
        <v>0</v>
      </c>
      <c r="M1233" t="str">
        <f t="shared" si="339"/>
        <v>NIS</v>
      </c>
      <c r="O1233">
        <v>7</v>
      </c>
      <c r="P1233" t="str">
        <f t="shared" si="343"/>
        <v>Active</v>
      </c>
      <c r="Q1233" t="str">
        <f>"Clamp 28 x 62"</f>
        <v>Clamp 28 x 62</v>
      </c>
      <c r="S1233" t="str">
        <f>"Step Clamp – BM6000, PM8000"</f>
        <v>Step Clamp – BM6000, PM8000</v>
      </c>
      <c r="T1233">
        <v>0</v>
      </c>
      <c r="U1233">
        <v>3.28</v>
      </c>
      <c r="V1233">
        <v>3.12</v>
      </c>
      <c r="W1233" t="str">
        <f t="shared" si="329"/>
        <v>zintel</v>
      </c>
    </row>
    <row r="1234" spans="1:23">
      <c r="A1234" t="str">
        <f t="shared" si="341"/>
        <v>CNC-8000-CLBA</v>
      </c>
      <c r="B1234" t="str">
        <f>"10-5810-0000"</f>
        <v>10-5810-0000</v>
      </c>
      <c r="C1234" t="str">
        <f>"Machinist Kit - BenchMill and ProMill"</f>
        <v>Machinist Kit - BenchMill and ProMill</v>
      </c>
      <c r="D1234">
        <v>1</v>
      </c>
      <c r="E1234" t="str">
        <f t="shared" si="342"/>
        <v>110V Bundle w ProMill 8000, CNC Base,15 Hrs Lab Instr. Machinist kit,jog Pend. 4ATC. etc.</v>
      </c>
      <c r="F1234">
        <v>0</v>
      </c>
      <c r="G1234" t="str">
        <f t="shared" si="337"/>
        <v>Y</v>
      </c>
      <c r="H1234" t="str">
        <f t="shared" si="336"/>
        <v>EA</v>
      </c>
      <c r="I1234">
        <v>0</v>
      </c>
      <c r="J1234">
        <v>0</v>
      </c>
      <c r="K1234" t="str">
        <f t="shared" si="338"/>
        <v>Y</v>
      </c>
      <c r="L1234">
        <v>0</v>
      </c>
      <c r="M1234" t="str">
        <f t="shared" si="339"/>
        <v>NIS</v>
      </c>
      <c r="O1234">
        <v>8</v>
      </c>
      <c r="P1234" t="str">
        <f t="shared" si="343"/>
        <v>Active</v>
      </c>
      <c r="Q1234" t="str">
        <f>"Machinist Kit - BenchMill and ProMill"</f>
        <v>Machinist Kit - BenchMill and ProMill</v>
      </c>
      <c r="S1234" t="str">
        <f>"Machinist Kit - BenchMill and ProMill"</f>
        <v>Machinist Kit - BenchMill and ProMill</v>
      </c>
      <c r="T1234">
        <v>697.43</v>
      </c>
      <c r="U1234">
        <v>687.82</v>
      </c>
      <c r="V1234">
        <v>715.33</v>
      </c>
      <c r="W1234" t="str">
        <f t="shared" si="329"/>
        <v>zintel</v>
      </c>
    </row>
    <row r="1235" spans="1:23">
      <c r="A1235" t="str">
        <f t="shared" si="341"/>
        <v>CNC-8000-CLBA</v>
      </c>
      <c r="B1235" t="str">
        <f>"10-7023-9000"</f>
        <v>10-7023-9000</v>
      </c>
      <c r="C1235" t="str">
        <f>"Project, Planetary Gear Box, SA"</f>
        <v>Project, Planetary Gear Box, SA</v>
      </c>
      <c r="D1235">
        <v>1</v>
      </c>
      <c r="E1235" t="str">
        <f t="shared" si="342"/>
        <v>110V Bundle w ProMill 8000, CNC Base,15 Hrs Lab Instr. Machinist kit,jog Pend. 4ATC. etc.</v>
      </c>
      <c r="F1235">
        <v>0</v>
      </c>
      <c r="G1235" t="str">
        <f t="shared" si="337"/>
        <v>Y</v>
      </c>
      <c r="H1235" t="str">
        <f t="shared" si="336"/>
        <v>EA</v>
      </c>
      <c r="I1235">
        <v>0</v>
      </c>
      <c r="J1235">
        <v>0</v>
      </c>
      <c r="K1235" t="str">
        <f t="shared" si="338"/>
        <v>Y</v>
      </c>
      <c r="L1235">
        <v>0</v>
      </c>
      <c r="M1235" t="str">
        <f t="shared" si="339"/>
        <v>NIS</v>
      </c>
      <c r="O1235">
        <v>9</v>
      </c>
      <c r="P1235" t="str">
        <f t="shared" si="343"/>
        <v>Active</v>
      </c>
      <c r="Q1235" t="str">
        <f>"Project, Planetary Gear Box, SA"</f>
        <v>Project, Planetary Gear Box, SA</v>
      </c>
      <c r="S1235" t="str">
        <f>"Project, Planetary Gear Box, SA"</f>
        <v>Project, Planetary Gear Box, SA</v>
      </c>
      <c r="T1235">
        <v>0</v>
      </c>
      <c r="U1235">
        <v>0</v>
      </c>
      <c r="V1235">
        <v>0</v>
      </c>
      <c r="W1235" t="str">
        <f t="shared" si="329"/>
        <v>zintel</v>
      </c>
    </row>
    <row r="1236" spans="1:23">
      <c r="A1236" t="str">
        <f t="shared" si="341"/>
        <v>CNC-8000-CLBA</v>
      </c>
      <c r="B1236" t="str">
        <f>"10-9120-0000"</f>
        <v>10-9120-0000</v>
      </c>
      <c r="C1236" t="str">
        <f>"Stock Package, Wax, 3” x 2” x 1.5”– 50 Pcs"</f>
        <v>Stock Package, Wax, 3” x 2” x 1.5”– 50 Pcs</v>
      </c>
      <c r="D1236">
        <v>1</v>
      </c>
      <c r="E1236" t="str">
        <f t="shared" si="342"/>
        <v>110V Bundle w ProMill 8000, CNC Base,15 Hrs Lab Instr. Machinist kit,jog Pend. 4ATC. etc.</v>
      </c>
      <c r="F1236">
        <v>0</v>
      </c>
      <c r="G1236" t="str">
        <f t="shared" si="337"/>
        <v>Y</v>
      </c>
      <c r="H1236" t="str">
        <f t="shared" si="336"/>
        <v>EA</v>
      </c>
      <c r="I1236">
        <v>0</v>
      </c>
      <c r="J1236">
        <v>0</v>
      </c>
      <c r="K1236" t="str">
        <f t="shared" si="338"/>
        <v>Y</v>
      </c>
      <c r="L1236">
        <v>0</v>
      </c>
      <c r="M1236" t="str">
        <f t="shared" si="339"/>
        <v>NIS</v>
      </c>
      <c r="O1236">
        <v>10</v>
      </c>
      <c r="P1236" t="str">
        <f t="shared" si="343"/>
        <v>Active</v>
      </c>
      <c r="Q1236" t="str">
        <f>"Stock Package, Machinable Wax, Mill, 3""x2""x1.5"""</f>
        <v>Stock Package, Machinable Wax, Mill, 3"x2"x1.5"</v>
      </c>
      <c r="S1236" t="str">
        <f>"Stock Package, Wax, 3” x 2” x 1.5”– 50 Pcs"</f>
        <v>Stock Package, Wax, 3” x 2” x 1.5”– 50 Pcs</v>
      </c>
      <c r="T1236">
        <v>245</v>
      </c>
      <c r="U1236">
        <v>242.73</v>
      </c>
      <c r="V1236">
        <v>613.89</v>
      </c>
      <c r="W1236" t="str">
        <f t="shared" si="329"/>
        <v>zintel</v>
      </c>
    </row>
    <row r="1237" spans="1:23">
      <c r="A1237" t="str">
        <f t="shared" si="341"/>
        <v>CNC-8000-CLBA</v>
      </c>
      <c r="B1237" t="str">
        <f>"10-9160-0000"</f>
        <v>10-9160-0000</v>
      </c>
      <c r="C1237" t="str">
        <f>"Stock Package, Name Badge, Engrave"</f>
        <v>Stock Package, Name Badge, Engrave</v>
      </c>
      <c r="D1237">
        <v>1</v>
      </c>
      <c r="E1237" t="str">
        <f t="shared" si="342"/>
        <v>110V Bundle w ProMill 8000, CNC Base,15 Hrs Lab Instr. Machinist kit,jog Pend. 4ATC. etc.</v>
      </c>
      <c r="F1237">
        <v>0</v>
      </c>
      <c r="G1237" t="str">
        <f t="shared" si="337"/>
        <v>Y</v>
      </c>
      <c r="H1237" t="str">
        <f t="shared" si="336"/>
        <v>EA</v>
      </c>
      <c r="I1237">
        <v>0</v>
      </c>
      <c r="J1237">
        <v>0</v>
      </c>
      <c r="K1237" t="str">
        <f t="shared" si="338"/>
        <v>Y</v>
      </c>
      <c r="L1237">
        <v>0</v>
      </c>
      <c r="M1237" t="str">
        <f t="shared" si="339"/>
        <v>NIS</v>
      </c>
      <c r="O1237">
        <v>11</v>
      </c>
      <c r="P1237" t="str">
        <f t="shared" si="343"/>
        <v>Active</v>
      </c>
      <c r="Q1237" t="str">
        <f>"Stock Package, Name Badge, Engrave"</f>
        <v>Stock Package, Name Badge, Engrave</v>
      </c>
      <c r="S1237" t="str">
        <f>"Stock Package, Name Badge, Engrave"</f>
        <v>Stock Package, Name Badge, Engrave</v>
      </c>
      <c r="T1237">
        <v>118.88</v>
      </c>
      <c r="U1237">
        <v>150.34</v>
      </c>
      <c r="V1237">
        <v>155.66</v>
      </c>
      <c r="W1237" t="str">
        <f t="shared" ref="W1237:W1300" si="344">"zintel"</f>
        <v>zintel</v>
      </c>
    </row>
    <row r="1238" spans="1:23">
      <c r="A1238" t="str">
        <f t="shared" si="341"/>
        <v>CNC-8000-CLBA</v>
      </c>
      <c r="B1238" t="str">
        <f>"17-7022-0001"</f>
        <v>17-7022-0001</v>
      </c>
      <c r="C1238" t="str">
        <f>"LM5.X Content, 4 Cavity Mold Project"</f>
        <v>LM5.X Content, 4 Cavity Mold Project</v>
      </c>
      <c r="D1238">
        <v>1</v>
      </c>
      <c r="E1238" t="str">
        <f t="shared" si="342"/>
        <v>110V Bundle w ProMill 8000, CNC Base,15 Hrs Lab Instr. Machinist kit,jog Pend. 4ATC. etc.</v>
      </c>
      <c r="F1238">
        <v>0</v>
      </c>
      <c r="G1238" t="str">
        <f t="shared" si="337"/>
        <v>Y</v>
      </c>
      <c r="H1238" t="str">
        <f t="shared" si="336"/>
        <v>EA</v>
      </c>
      <c r="I1238">
        <v>0</v>
      </c>
      <c r="J1238">
        <v>0</v>
      </c>
      <c r="K1238" t="str">
        <f t="shared" si="338"/>
        <v>Y</v>
      </c>
      <c r="L1238">
        <v>0</v>
      </c>
      <c r="M1238" t="str">
        <f t="shared" si="339"/>
        <v>NIS</v>
      </c>
      <c r="O1238">
        <v>12</v>
      </c>
      <c r="P1238" t="str">
        <f t="shared" si="343"/>
        <v>Active</v>
      </c>
      <c r="Q1238" t="str">
        <f>"LM5.X Content, 4 Cavity Mold Project"</f>
        <v>LM5.X Content, 4 Cavity Mold Project</v>
      </c>
      <c r="S1238" t="str">
        <f>"LM5.X Content, 4 Cavity Mold Project"</f>
        <v>LM5.X Content, 4 Cavity Mold Project</v>
      </c>
      <c r="T1238">
        <v>0</v>
      </c>
      <c r="U1238">
        <v>5</v>
      </c>
      <c r="V1238">
        <v>5</v>
      </c>
      <c r="W1238" t="str">
        <f t="shared" si="344"/>
        <v>zintel</v>
      </c>
    </row>
    <row r="1239" spans="1:23">
      <c r="A1239" t="str">
        <f t="shared" si="341"/>
        <v>CNC-8000-CLBA</v>
      </c>
      <c r="B1239" t="str">
        <f>"17-3142-0001"</f>
        <v>17-3142-0001</v>
      </c>
      <c r="C1239" t="str">
        <f>"LM5.X Content, Vir, CNC Milling w/ProMill 8000"</f>
        <v>LM5.X Content, Vir, CNC Milling w/ProMill 8000</v>
      </c>
      <c r="D1239">
        <v>1</v>
      </c>
      <c r="E1239" t="str">
        <f t="shared" si="342"/>
        <v>110V Bundle w ProMill 8000, CNC Base,15 Hrs Lab Instr. Machinist kit,jog Pend. 4ATC. etc.</v>
      </c>
      <c r="F1239">
        <v>0</v>
      </c>
      <c r="G1239" t="str">
        <f t="shared" si="337"/>
        <v>Y</v>
      </c>
      <c r="H1239" t="str">
        <f t="shared" si="336"/>
        <v>EA</v>
      </c>
      <c r="I1239">
        <v>0</v>
      </c>
      <c r="J1239">
        <v>0</v>
      </c>
      <c r="K1239" t="str">
        <f t="shared" si="338"/>
        <v>Y</v>
      </c>
      <c r="L1239">
        <v>0</v>
      </c>
      <c r="M1239" t="str">
        <f t="shared" si="339"/>
        <v>NIS</v>
      </c>
      <c r="O1239">
        <v>13</v>
      </c>
      <c r="P1239" t="str">
        <f t="shared" si="343"/>
        <v>Active</v>
      </c>
      <c r="Q1239" t="str">
        <f>"LM5.X Content, Vir, CNC Milling w/ProMill 8000"</f>
        <v>LM5.X Content, Vir, CNC Milling w/ProMill 8000</v>
      </c>
      <c r="S1239" t="str">
        <f>"LM5.X Content, Vir, CNC Milling w/ProMill 8000"</f>
        <v>LM5.X Content, Vir, CNC Milling w/ProMill 8000</v>
      </c>
      <c r="T1239">
        <v>0</v>
      </c>
      <c r="U1239">
        <v>5</v>
      </c>
      <c r="V1239">
        <v>5</v>
      </c>
      <c r="W1239" t="str">
        <f t="shared" si="344"/>
        <v>zintel</v>
      </c>
    </row>
    <row r="1240" spans="1:23">
      <c r="A1240" t="str">
        <f t="shared" si="341"/>
        <v>CNC-8000-CLBA</v>
      </c>
      <c r="B1240" t="str">
        <f>"31-1000-0203"</f>
        <v>31-1000-0203</v>
      </c>
      <c r="C1240" t="str">
        <f>"Sign, CNC Milling Technology"</f>
        <v>Sign, CNC Milling Technology</v>
      </c>
      <c r="D1240">
        <v>1</v>
      </c>
      <c r="E1240" t="str">
        <f t="shared" si="342"/>
        <v>110V Bundle w ProMill 8000, CNC Base,15 Hrs Lab Instr. Machinist kit,jog Pend. 4ATC. etc.</v>
      </c>
      <c r="F1240">
        <v>0</v>
      </c>
      <c r="G1240" t="str">
        <f t="shared" si="337"/>
        <v>Y</v>
      </c>
      <c r="H1240" t="str">
        <f t="shared" si="336"/>
        <v>EA</v>
      </c>
      <c r="I1240">
        <v>0</v>
      </c>
      <c r="J1240">
        <v>0</v>
      </c>
      <c r="K1240" t="str">
        <f t="shared" si="338"/>
        <v>Y</v>
      </c>
      <c r="L1240">
        <v>0</v>
      </c>
      <c r="M1240" t="str">
        <f t="shared" si="339"/>
        <v>NIS</v>
      </c>
      <c r="O1240">
        <v>14</v>
      </c>
      <c r="P1240" t="str">
        <f>"Inactive"</f>
        <v>Inactive</v>
      </c>
      <c r="Q1240" t="str">
        <f>"Sign, CNC Milling Technology"</f>
        <v>Sign, CNC Milling Technology</v>
      </c>
      <c r="S1240" t="str">
        <f>"Sign, CNC Milling Technology"</f>
        <v>Sign, CNC Milling Technology</v>
      </c>
      <c r="T1240">
        <v>17.78</v>
      </c>
      <c r="U1240">
        <v>18.13</v>
      </c>
      <c r="V1240">
        <v>18.420000000000002</v>
      </c>
      <c r="W1240" t="str">
        <f t="shared" si="344"/>
        <v>zintel</v>
      </c>
    </row>
    <row r="1241" spans="1:23">
      <c r="A1241" t="str">
        <f t="shared" si="341"/>
        <v>CNC-8000-CLBA</v>
      </c>
      <c r="B1241" t="str">
        <f>"33-2040-5001"</f>
        <v>33-2040-5001</v>
      </c>
      <c r="C1241" t="str">
        <f>"ICNC control software"</f>
        <v>ICNC control software</v>
      </c>
      <c r="D1241">
        <v>1</v>
      </c>
      <c r="E1241" t="str">
        <f t="shared" si="342"/>
        <v>110V Bundle w ProMill 8000, CNC Base,15 Hrs Lab Instr. Machinist kit,jog Pend. 4ATC. etc.</v>
      </c>
      <c r="F1241">
        <v>0</v>
      </c>
      <c r="G1241" t="str">
        <f t="shared" si="337"/>
        <v>Y</v>
      </c>
      <c r="H1241" t="str">
        <f t="shared" si="336"/>
        <v>EA</v>
      </c>
      <c r="I1241">
        <v>0</v>
      </c>
      <c r="J1241">
        <v>0</v>
      </c>
      <c r="K1241" t="str">
        <f t="shared" si="338"/>
        <v>Y</v>
      </c>
      <c r="L1241">
        <v>0</v>
      </c>
      <c r="M1241" t="str">
        <f t="shared" si="339"/>
        <v>NIS</v>
      </c>
      <c r="O1241">
        <v>15</v>
      </c>
      <c r="P1241" t="str">
        <f>"Active"</f>
        <v>Active</v>
      </c>
      <c r="Q1241" t="str">
        <f>"ICNC control software version 5"</f>
        <v>ICNC control software version 5</v>
      </c>
      <c r="S1241" t="str">
        <f>"ICNC control software"</f>
        <v>ICNC control software</v>
      </c>
      <c r="T1241">
        <v>0</v>
      </c>
      <c r="U1241">
        <v>0</v>
      </c>
      <c r="V1241">
        <v>0</v>
      </c>
      <c r="W1241" t="str">
        <f t="shared" si="344"/>
        <v>zintel</v>
      </c>
    </row>
    <row r="1242" spans="1:23">
      <c r="A1242" t="str">
        <f t="shared" si="341"/>
        <v>CNC-8000-CLBA</v>
      </c>
      <c r="B1242" t="str">
        <f>"34-0000-8000"</f>
        <v>34-0000-8000</v>
      </c>
      <c r="C1242" t="str">
        <f>"Promill 8000 Quick Start Guide"</f>
        <v>Promill 8000 Quick Start Guide</v>
      </c>
      <c r="D1242">
        <v>1</v>
      </c>
      <c r="E1242" t="str">
        <f t="shared" si="342"/>
        <v>110V Bundle w ProMill 8000, CNC Base,15 Hrs Lab Instr. Machinist kit,jog Pend. 4ATC. etc.</v>
      </c>
      <c r="F1242">
        <v>0</v>
      </c>
      <c r="G1242" t="str">
        <f t="shared" si="337"/>
        <v>Y</v>
      </c>
      <c r="H1242" t="str">
        <f t="shared" si="336"/>
        <v>EA</v>
      </c>
      <c r="I1242">
        <v>0</v>
      </c>
      <c r="J1242">
        <v>0</v>
      </c>
      <c r="K1242" t="str">
        <f t="shared" si="338"/>
        <v>Y</v>
      </c>
      <c r="L1242">
        <v>0</v>
      </c>
      <c r="M1242" t="str">
        <f t="shared" si="339"/>
        <v>NIS</v>
      </c>
      <c r="O1242">
        <v>16</v>
      </c>
      <c r="P1242" t="str">
        <f>"Active"</f>
        <v>Active</v>
      </c>
      <c r="Q1242" t="str">
        <f>"Promill 8000 Quick Start Guide"</f>
        <v>Promill 8000 Quick Start Guide</v>
      </c>
      <c r="S1242" t="str">
        <f>"Promill 8000 Quick Start Guide"</f>
        <v>Promill 8000 Quick Start Guide</v>
      </c>
      <c r="T1242">
        <v>0</v>
      </c>
      <c r="U1242">
        <v>0</v>
      </c>
      <c r="V1242">
        <v>0</v>
      </c>
      <c r="W1242" t="str">
        <f t="shared" si="344"/>
        <v>zintel</v>
      </c>
    </row>
    <row r="1243" spans="1:23">
      <c r="A1243" t="str">
        <f t="shared" ref="A1243:A1256" si="345">"CNC-8000-CLBA-2"</f>
        <v>CNC-8000-CLBA-2</v>
      </c>
      <c r="B1243" t="str">
        <f>"00-5507-0220"</f>
        <v>00-5507-0220</v>
      </c>
      <c r="C1243" t="str">
        <f>"CNC ProMill 8000 AC 220V"</f>
        <v>CNC ProMill 8000 AC 220V</v>
      </c>
      <c r="D1243">
        <v>1</v>
      </c>
      <c r="E1243" t="str">
        <f t="shared" ref="E1243:E1256" si="346">"220V Bundle w ProMill 8000, CNC Base,15 Hrs Lab Instr. Machinist kit,jog Pend. 4ATC. etc."</f>
        <v>220V Bundle w ProMill 8000, CNC Base,15 Hrs Lab Instr. Machinist kit,jog Pend. 4ATC. etc.</v>
      </c>
      <c r="F1243">
        <v>0</v>
      </c>
      <c r="G1243" t="str">
        <f t="shared" si="337"/>
        <v>Y</v>
      </c>
      <c r="H1243" t="str">
        <f t="shared" si="336"/>
        <v>EA</v>
      </c>
      <c r="I1243">
        <v>0</v>
      </c>
      <c r="J1243">
        <v>0</v>
      </c>
      <c r="K1243" t="str">
        <f t="shared" si="338"/>
        <v>Y</v>
      </c>
      <c r="L1243">
        <v>0</v>
      </c>
      <c r="M1243" t="str">
        <f t="shared" si="339"/>
        <v>NIS</v>
      </c>
      <c r="O1243">
        <v>1</v>
      </c>
      <c r="P1243" t="str">
        <f>"Phase Out"</f>
        <v>Phase Out</v>
      </c>
      <c r="Q1243" t="str">
        <f>"CNC ProMill 8000 AC 220V"</f>
        <v>CNC ProMill 8000 AC 220V</v>
      </c>
      <c r="S1243" t="str">
        <f>"CNC ProMill 8000 AC 220V"</f>
        <v>CNC ProMill 8000 AC 220V</v>
      </c>
      <c r="T1243">
        <v>0</v>
      </c>
      <c r="U1243" s="44">
        <v>6556.2</v>
      </c>
      <c r="V1243" s="44">
        <v>7054.41</v>
      </c>
      <c r="W1243" t="str">
        <f t="shared" si="344"/>
        <v>zintel</v>
      </c>
    </row>
    <row r="1244" spans="1:23">
      <c r="A1244" t="str">
        <f t="shared" si="345"/>
        <v>CNC-8000-CLBA-2</v>
      </c>
      <c r="B1244" t="str">
        <f>"10-1111-1000"</f>
        <v>10-1111-1000</v>
      </c>
      <c r="C1244" t="str">
        <f>"- Handwheel - Manual Control"</f>
        <v>- Handwheel - Manual Control</v>
      </c>
      <c r="D1244">
        <v>1</v>
      </c>
      <c r="E1244" t="str">
        <f t="shared" si="346"/>
        <v>220V Bundle w ProMill 8000, CNC Base,15 Hrs Lab Instr. Machinist kit,jog Pend. 4ATC. etc.</v>
      </c>
      <c r="F1244">
        <v>0</v>
      </c>
      <c r="G1244" t="str">
        <f t="shared" si="337"/>
        <v>Y</v>
      </c>
      <c r="H1244" t="str">
        <f t="shared" si="336"/>
        <v>EA</v>
      </c>
      <c r="I1244">
        <v>0</v>
      </c>
      <c r="J1244">
        <v>0</v>
      </c>
      <c r="K1244" t="str">
        <f t="shared" si="338"/>
        <v>Y</v>
      </c>
      <c r="L1244">
        <v>0</v>
      </c>
      <c r="M1244" t="str">
        <f t="shared" si="339"/>
        <v>NIS</v>
      </c>
      <c r="O1244">
        <v>2</v>
      </c>
      <c r="P1244" t="str">
        <f t="shared" ref="P1244:P1253" si="347">"Active"</f>
        <v>Active</v>
      </c>
      <c r="Q1244" t="str">
        <f>"Jog Pendant Handwheel"</f>
        <v>Jog Pendant Handwheel</v>
      </c>
      <c r="S1244" t="str">
        <f>"Jog Pendant Handwheel"</f>
        <v>Jog Pendant Handwheel</v>
      </c>
      <c r="T1244">
        <v>0</v>
      </c>
      <c r="U1244">
        <v>235</v>
      </c>
      <c r="V1244">
        <v>235.03</v>
      </c>
      <c r="W1244" t="str">
        <f t="shared" si="344"/>
        <v>zintel</v>
      </c>
    </row>
    <row r="1245" spans="1:23">
      <c r="A1245" t="str">
        <f t="shared" si="345"/>
        <v>CNC-8000-CLBA-2</v>
      </c>
      <c r="B1245" t="str">
        <f>"10-1111-7000"</f>
        <v>10-1111-7000</v>
      </c>
      <c r="C1245" t="str">
        <f>"- Imperial 4 tool ISO 20 tool holder package"</f>
        <v>- Imperial 4 tool ISO 20 tool holder package</v>
      </c>
      <c r="D1245">
        <v>1</v>
      </c>
      <c r="E1245" t="str">
        <f t="shared" si="346"/>
        <v>220V Bundle w ProMill 8000, CNC Base,15 Hrs Lab Instr. Machinist kit,jog Pend. 4ATC. etc.</v>
      </c>
      <c r="F1245">
        <v>0</v>
      </c>
      <c r="G1245" t="str">
        <f t="shared" si="337"/>
        <v>Y</v>
      </c>
      <c r="H1245" t="str">
        <f t="shared" si="336"/>
        <v>EA</v>
      </c>
      <c r="I1245">
        <v>0</v>
      </c>
      <c r="J1245">
        <v>0</v>
      </c>
      <c r="K1245" t="str">
        <f t="shared" si="338"/>
        <v>Y</v>
      </c>
      <c r="L1245">
        <v>0</v>
      </c>
      <c r="M1245" t="str">
        <f t="shared" si="339"/>
        <v>NIS</v>
      </c>
      <c r="O1245">
        <v>3</v>
      </c>
      <c r="P1245" t="str">
        <f t="shared" si="347"/>
        <v>Active</v>
      </c>
      <c r="Q1245" t="str">
        <f>"Imperial 4 tool ISO 20 tool holder package"</f>
        <v>Imperial 4 tool ISO 20 tool holder package</v>
      </c>
      <c r="S1245" t="str">
        <f>"Imperial 4 tool ISO 20 tool holder package"</f>
        <v>Imperial 4 tool ISO 20 tool holder package</v>
      </c>
      <c r="T1245">
        <v>0</v>
      </c>
      <c r="U1245">
        <v>555</v>
      </c>
      <c r="V1245">
        <v>554</v>
      </c>
      <c r="W1245" t="str">
        <f t="shared" si="344"/>
        <v>zintel</v>
      </c>
    </row>
    <row r="1246" spans="1:23">
      <c r="A1246" t="str">
        <f t="shared" si="345"/>
        <v>CNC-8000-CLBA-2</v>
      </c>
      <c r="B1246" t="str">
        <f>"10-1113-1000"</f>
        <v>10-1113-1000</v>
      </c>
      <c r="C1246" t="str">
        <f>"- 4 Tool  ATC (Table Mounted)"</f>
        <v>- 4 Tool  ATC (Table Mounted)</v>
      </c>
      <c r="D1246">
        <v>1</v>
      </c>
      <c r="E1246" t="str">
        <f t="shared" si="346"/>
        <v>220V Bundle w ProMill 8000, CNC Base,15 Hrs Lab Instr. Machinist kit,jog Pend. 4ATC. etc.</v>
      </c>
      <c r="F1246">
        <v>0</v>
      </c>
      <c r="G1246" t="str">
        <f t="shared" si="337"/>
        <v>Y</v>
      </c>
      <c r="H1246" t="str">
        <f t="shared" si="336"/>
        <v>EA</v>
      </c>
      <c r="I1246">
        <v>0</v>
      </c>
      <c r="J1246">
        <v>0</v>
      </c>
      <c r="K1246" t="str">
        <f t="shared" si="338"/>
        <v>Y</v>
      </c>
      <c r="L1246">
        <v>0</v>
      </c>
      <c r="M1246" t="str">
        <f t="shared" si="339"/>
        <v>NIS</v>
      </c>
      <c r="O1246">
        <v>4</v>
      </c>
      <c r="P1246" t="str">
        <f t="shared" si="347"/>
        <v>Active</v>
      </c>
      <c r="Q1246" t="str">
        <f>"4 Tool Table ATC Package"</f>
        <v>4 Tool Table ATC Package</v>
      </c>
      <c r="S1246" t="str">
        <f>"4 Tool Table ATC Package"</f>
        <v>4 Tool Table ATC Package</v>
      </c>
      <c r="T1246">
        <v>0</v>
      </c>
      <c r="U1246">
        <v>328</v>
      </c>
      <c r="V1246">
        <v>328.26</v>
      </c>
      <c r="W1246" t="str">
        <f t="shared" si="344"/>
        <v>zintel</v>
      </c>
    </row>
    <row r="1247" spans="1:23">
      <c r="A1247" t="str">
        <f t="shared" si="345"/>
        <v>CNC-8000-CLBA-2</v>
      </c>
      <c r="B1247" t="str">
        <f>"10-1113-5000"</f>
        <v>10-1113-5000</v>
      </c>
      <c r="C1247" t="str">
        <f>"Imperial Advanced End Mill Package 5120"</f>
        <v>Imperial Advanced End Mill Package 5120</v>
      </c>
      <c r="D1247">
        <v>1</v>
      </c>
      <c r="E1247" t="str">
        <f t="shared" si="346"/>
        <v>220V Bundle w ProMill 8000, CNC Base,15 Hrs Lab Instr. Machinist kit,jog Pend. 4ATC. etc.</v>
      </c>
      <c r="F1247">
        <v>0</v>
      </c>
      <c r="G1247" t="str">
        <f t="shared" si="337"/>
        <v>Y</v>
      </c>
      <c r="H1247" t="str">
        <f t="shared" si="336"/>
        <v>EA</v>
      </c>
      <c r="I1247">
        <v>0</v>
      </c>
      <c r="J1247">
        <v>0</v>
      </c>
      <c r="K1247" t="str">
        <f t="shared" si="338"/>
        <v>Y</v>
      </c>
      <c r="L1247">
        <v>0</v>
      </c>
      <c r="M1247" t="str">
        <f t="shared" si="339"/>
        <v>NIS</v>
      </c>
      <c r="O1247">
        <v>5</v>
      </c>
      <c r="P1247" t="str">
        <f t="shared" si="347"/>
        <v>Active</v>
      </c>
      <c r="Q1247" t="str">
        <f>"Imperial Advanced End Mill Package 5120"</f>
        <v>Imperial Advanced End Mill Package 5120</v>
      </c>
      <c r="S1247" t="str">
        <f>"Imperial Advanced End Mill Package 5120"</f>
        <v>Imperial Advanced End Mill Package 5120</v>
      </c>
      <c r="T1247">
        <v>0</v>
      </c>
      <c r="U1247">
        <v>64</v>
      </c>
      <c r="V1247">
        <v>64</v>
      </c>
      <c r="W1247" t="str">
        <f t="shared" si="344"/>
        <v>zintel</v>
      </c>
    </row>
    <row r="1248" spans="1:23">
      <c r="A1248" t="str">
        <f t="shared" si="345"/>
        <v>CNC-8000-CLBA-2</v>
      </c>
      <c r="B1248" t="str">
        <f>"10-1115-5000"</f>
        <v>10-1115-5000</v>
      </c>
      <c r="C1248" t="str">
        <f>"Step Clamp – BM6000, PM8000"</f>
        <v>Step Clamp – BM6000, PM8000</v>
      </c>
      <c r="D1248">
        <v>1</v>
      </c>
      <c r="E1248" t="str">
        <f t="shared" si="346"/>
        <v>220V Bundle w ProMill 8000, CNC Base,15 Hrs Lab Instr. Machinist kit,jog Pend. 4ATC. etc.</v>
      </c>
      <c r="F1248">
        <v>0</v>
      </c>
      <c r="G1248" t="str">
        <f t="shared" si="337"/>
        <v>Y</v>
      </c>
      <c r="H1248" t="str">
        <f t="shared" si="336"/>
        <v>EA</v>
      </c>
      <c r="I1248">
        <v>0</v>
      </c>
      <c r="J1248">
        <v>0</v>
      </c>
      <c r="K1248" t="str">
        <f t="shared" si="338"/>
        <v>Y</v>
      </c>
      <c r="L1248">
        <v>0</v>
      </c>
      <c r="M1248" t="str">
        <f t="shared" si="339"/>
        <v>NIS</v>
      </c>
      <c r="O1248">
        <v>6</v>
      </c>
      <c r="P1248" t="str">
        <f t="shared" si="347"/>
        <v>Active</v>
      </c>
      <c r="Q1248" t="str">
        <f>"Clamp 28 x 62"</f>
        <v>Clamp 28 x 62</v>
      </c>
      <c r="S1248" t="str">
        <f>"Step Clamp – BM6000, PM8000"</f>
        <v>Step Clamp – BM6000, PM8000</v>
      </c>
      <c r="T1248">
        <v>0</v>
      </c>
      <c r="U1248">
        <v>3.28</v>
      </c>
      <c r="V1248">
        <v>3.12</v>
      </c>
      <c r="W1248" t="str">
        <f t="shared" si="344"/>
        <v>zintel</v>
      </c>
    </row>
    <row r="1249" spans="1:23">
      <c r="A1249" t="str">
        <f t="shared" si="345"/>
        <v>CNC-8000-CLBA-2</v>
      </c>
      <c r="B1249" t="str">
        <f>"10-5810-0000"</f>
        <v>10-5810-0000</v>
      </c>
      <c r="C1249" t="str">
        <f>"Machinist Kit - BenchMill and ProMill"</f>
        <v>Machinist Kit - BenchMill and ProMill</v>
      </c>
      <c r="D1249">
        <v>1</v>
      </c>
      <c r="E1249" t="str">
        <f t="shared" si="346"/>
        <v>220V Bundle w ProMill 8000, CNC Base,15 Hrs Lab Instr. Machinist kit,jog Pend. 4ATC. etc.</v>
      </c>
      <c r="F1249">
        <v>0</v>
      </c>
      <c r="G1249" t="str">
        <f t="shared" si="337"/>
        <v>Y</v>
      </c>
      <c r="H1249" t="str">
        <f t="shared" si="336"/>
        <v>EA</v>
      </c>
      <c r="I1249">
        <v>0</v>
      </c>
      <c r="J1249">
        <v>0</v>
      </c>
      <c r="K1249" t="str">
        <f t="shared" si="338"/>
        <v>Y</v>
      </c>
      <c r="L1249">
        <v>0</v>
      </c>
      <c r="M1249" t="str">
        <f t="shared" si="339"/>
        <v>NIS</v>
      </c>
      <c r="O1249">
        <v>7</v>
      </c>
      <c r="P1249" t="str">
        <f t="shared" si="347"/>
        <v>Active</v>
      </c>
      <c r="Q1249" t="str">
        <f>"Machinist Kit - BenchMill and ProMill"</f>
        <v>Machinist Kit - BenchMill and ProMill</v>
      </c>
      <c r="S1249" t="str">
        <f>"Machinist Kit - BenchMill and ProMill"</f>
        <v>Machinist Kit - BenchMill and ProMill</v>
      </c>
      <c r="T1249">
        <v>697.43</v>
      </c>
      <c r="U1249">
        <v>687.82</v>
      </c>
      <c r="V1249">
        <v>715.33</v>
      </c>
      <c r="W1249" t="str">
        <f t="shared" si="344"/>
        <v>zintel</v>
      </c>
    </row>
    <row r="1250" spans="1:23">
      <c r="A1250" t="str">
        <f t="shared" si="345"/>
        <v>CNC-8000-CLBA-2</v>
      </c>
      <c r="B1250" t="str">
        <f>"10-7023-9000"</f>
        <v>10-7023-9000</v>
      </c>
      <c r="C1250" t="str">
        <f>"Project, Planetary Gear Box, SA"</f>
        <v>Project, Planetary Gear Box, SA</v>
      </c>
      <c r="D1250">
        <v>1</v>
      </c>
      <c r="E1250" t="str">
        <f t="shared" si="346"/>
        <v>220V Bundle w ProMill 8000, CNC Base,15 Hrs Lab Instr. Machinist kit,jog Pend. 4ATC. etc.</v>
      </c>
      <c r="F1250">
        <v>0</v>
      </c>
      <c r="G1250" t="str">
        <f t="shared" si="337"/>
        <v>Y</v>
      </c>
      <c r="H1250" t="str">
        <f t="shared" si="336"/>
        <v>EA</v>
      </c>
      <c r="I1250">
        <v>0</v>
      </c>
      <c r="J1250">
        <v>0</v>
      </c>
      <c r="K1250" t="str">
        <f t="shared" si="338"/>
        <v>Y</v>
      </c>
      <c r="L1250">
        <v>0</v>
      </c>
      <c r="M1250" t="str">
        <f t="shared" si="339"/>
        <v>NIS</v>
      </c>
      <c r="O1250">
        <v>8</v>
      </c>
      <c r="P1250" t="str">
        <f t="shared" si="347"/>
        <v>Active</v>
      </c>
      <c r="Q1250" t="str">
        <f>"Project, Planetary Gear Box, SA"</f>
        <v>Project, Planetary Gear Box, SA</v>
      </c>
      <c r="S1250" t="str">
        <f>"Project, Planetary Gear Box, SA"</f>
        <v>Project, Planetary Gear Box, SA</v>
      </c>
      <c r="T1250">
        <v>0</v>
      </c>
      <c r="U1250">
        <v>0</v>
      </c>
      <c r="V1250">
        <v>0</v>
      </c>
      <c r="W1250" t="str">
        <f t="shared" si="344"/>
        <v>zintel</v>
      </c>
    </row>
    <row r="1251" spans="1:23">
      <c r="A1251" t="str">
        <f t="shared" si="345"/>
        <v>CNC-8000-CLBA-2</v>
      </c>
      <c r="B1251" t="str">
        <f>"10-9120-0000"</f>
        <v>10-9120-0000</v>
      </c>
      <c r="C1251" t="str">
        <f>"Stock Package, Wax, 3” x 2” x 1.5”– 50 Pcs"</f>
        <v>Stock Package, Wax, 3” x 2” x 1.5”– 50 Pcs</v>
      </c>
      <c r="D1251">
        <v>1</v>
      </c>
      <c r="E1251" t="str">
        <f t="shared" si="346"/>
        <v>220V Bundle w ProMill 8000, CNC Base,15 Hrs Lab Instr. Machinist kit,jog Pend. 4ATC. etc.</v>
      </c>
      <c r="F1251">
        <v>0</v>
      </c>
      <c r="G1251" t="str">
        <f t="shared" si="337"/>
        <v>Y</v>
      </c>
      <c r="H1251" t="str">
        <f t="shared" si="336"/>
        <v>EA</v>
      </c>
      <c r="I1251">
        <v>0</v>
      </c>
      <c r="J1251">
        <v>0</v>
      </c>
      <c r="K1251" t="str">
        <f t="shared" si="338"/>
        <v>Y</v>
      </c>
      <c r="L1251">
        <v>0</v>
      </c>
      <c r="M1251" t="str">
        <f t="shared" si="339"/>
        <v>NIS</v>
      </c>
      <c r="O1251">
        <v>9</v>
      </c>
      <c r="P1251" t="str">
        <f t="shared" si="347"/>
        <v>Active</v>
      </c>
      <c r="Q1251" t="str">
        <f>"Stock Package, Machinable Wax, Mill, 3""x2""x1.5"""</f>
        <v>Stock Package, Machinable Wax, Mill, 3"x2"x1.5"</v>
      </c>
      <c r="S1251" t="str">
        <f>"Stock Package, Wax, 3” x 2” x 1.5”– 50 Pcs"</f>
        <v>Stock Package, Wax, 3” x 2” x 1.5”– 50 Pcs</v>
      </c>
      <c r="T1251">
        <v>245</v>
      </c>
      <c r="U1251">
        <v>242.73</v>
      </c>
      <c r="V1251">
        <v>613.89</v>
      </c>
      <c r="W1251" t="str">
        <f t="shared" si="344"/>
        <v>zintel</v>
      </c>
    </row>
    <row r="1252" spans="1:23">
      <c r="A1252" t="str">
        <f t="shared" si="345"/>
        <v>CNC-8000-CLBA-2</v>
      </c>
      <c r="B1252" t="str">
        <f>"10-9160-0000"</f>
        <v>10-9160-0000</v>
      </c>
      <c r="C1252" t="str">
        <f>"Stock Package, Name Badge, Engrave"</f>
        <v>Stock Package, Name Badge, Engrave</v>
      </c>
      <c r="D1252">
        <v>1</v>
      </c>
      <c r="E1252" t="str">
        <f t="shared" si="346"/>
        <v>220V Bundle w ProMill 8000, CNC Base,15 Hrs Lab Instr. Machinist kit,jog Pend. 4ATC. etc.</v>
      </c>
      <c r="F1252">
        <v>0</v>
      </c>
      <c r="G1252" t="str">
        <f t="shared" si="337"/>
        <v>Y</v>
      </c>
      <c r="H1252" t="str">
        <f t="shared" si="336"/>
        <v>EA</v>
      </c>
      <c r="I1252">
        <v>0</v>
      </c>
      <c r="J1252">
        <v>0</v>
      </c>
      <c r="K1252" t="str">
        <f t="shared" si="338"/>
        <v>Y</v>
      </c>
      <c r="L1252">
        <v>0</v>
      </c>
      <c r="M1252" t="str">
        <f t="shared" si="339"/>
        <v>NIS</v>
      </c>
      <c r="O1252">
        <v>10</v>
      </c>
      <c r="P1252" t="str">
        <f t="shared" si="347"/>
        <v>Active</v>
      </c>
      <c r="Q1252" t="str">
        <f>"Stock Package, Name Badge, Engrave"</f>
        <v>Stock Package, Name Badge, Engrave</v>
      </c>
      <c r="S1252" t="str">
        <f>"Stock Package, Name Badge, Engrave"</f>
        <v>Stock Package, Name Badge, Engrave</v>
      </c>
      <c r="T1252">
        <v>118.88</v>
      </c>
      <c r="U1252">
        <v>150.34</v>
      </c>
      <c r="V1252">
        <v>155.66</v>
      </c>
      <c r="W1252" t="str">
        <f t="shared" si="344"/>
        <v>zintel</v>
      </c>
    </row>
    <row r="1253" spans="1:23">
      <c r="A1253" t="str">
        <f t="shared" si="345"/>
        <v>CNC-8000-CLBA-2</v>
      </c>
      <c r="B1253" t="str">
        <f>"17-3142-0001"</f>
        <v>17-3142-0001</v>
      </c>
      <c r="C1253" t="str">
        <f>"LM5.X Content, Vir, CNC Milling w/ProMill 8000"</f>
        <v>LM5.X Content, Vir, CNC Milling w/ProMill 8000</v>
      </c>
      <c r="D1253">
        <v>1</v>
      </c>
      <c r="E1253" t="str">
        <f t="shared" si="346"/>
        <v>220V Bundle w ProMill 8000, CNC Base,15 Hrs Lab Instr. Machinist kit,jog Pend. 4ATC. etc.</v>
      </c>
      <c r="F1253">
        <v>0</v>
      </c>
      <c r="G1253" t="str">
        <f t="shared" si="337"/>
        <v>Y</v>
      </c>
      <c r="H1253" t="str">
        <f t="shared" si="336"/>
        <v>EA</v>
      </c>
      <c r="I1253">
        <v>0</v>
      </c>
      <c r="J1253">
        <v>0</v>
      </c>
      <c r="K1253" t="str">
        <f t="shared" si="338"/>
        <v>Y</v>
      </c>
      <c r="L1253">
        <v>0</v>
      </c>
      <c r="M1253" t="str">
        <f t="shared" si="339"/>
        <v>NIS</v>
      </c>
      <c r="O1253">
        <v>11</v>
      </c>
      <c r="P1253" t="str">
        <f t="shared" si="347"/>
        <v>Active</v>
      </c>
      <c r="Q1253" t="str">
        <f>"LM5.X Content, Vir, CNC Milling w/ProMill 8000"</f>
        <v>LM5.X Content, Vir, CNC Milling w/ProMill 8000</v>
      </c>
      <c r="S1253" t="str">
        <f>"LM5.X Content, Vir, CNC Milling w/ProMill 8000"</f>
        <v>LM5.X Content, Vir, CNC Milling w/ProMill 8000</v>
      </c>
      <c r="T1253">
        <v>0</v>
      </c>
      <c r="U1253">
        <v>5</v>
      </c>
      <c r="V1253">
        <v>5</v>
      </c>
      <c r="W1253" t="str">
        <f t="shared" si="344"/>
        <v>zintel</v>
      </c>
    </row>
    <row r="1254" spans="1:23">
      <c r="A1254" t="str">
        <f t="shared" si="345"/>
        <v>CNC-8000-CLBA-2</v>
      </c>
      <c r="B1254" t="str">
        <f>"31-1000-0203"</f>
        <v>31-1000-0203</v>
      </c>
      <c r="C1254" t="str">
        <f>"Sign, CNC Milling Technology"</f>
        <v>Sign, CNC Milling Technology</v>
      </c>
      <c r="D1254">
        <v>1</v>
      </c>
      <c r="E1254" t="str">
        <f t="shared" si="346"/>
        <v>220V Bundle w ProMill 8000, CNC Base,15 Hrs Lab Instr. Machinist kit,jog Pend. 4ATC. etc.</v>
      </c>
      <c r="F1254">
        <v>0</v>
      </c>
      <c r="G1254" t="str">
        <f t="shared" si="337"/>
        <v>Y</v>
      </c>
      <c r="H1254" t="str">
        <f t="shared" si="336"/>
        <v>EA</v>
      </c>
      <c r="I1254">
        <v>0</v>
      </c>
      <c r="J1254">
        <v>0</v>
      </c>
      <c r="K1254" t="str">
        <f t="shared" si="338"/>
        <v>Y</v>
      </c>
      <c r="L1254">
        <v>0</v>
      </c>
      <c r="M1254" t="str">
        <f t="shared" si="339"/>
        <v>NIS</v>
      </c>
      <c r="O1254">
        <v>12</v>
      </c>
      <c r="P1254" t="str">
        <f>"Inactive"</f>
        <v>Inactive</v>
      </c>
      <c r="Q1254" t="str">
        <f>"Sign, CNC Milling Technology"</f>
        <v>Sign, CNC Milling Technology</v>
      </c>
      <c r="S1254" t="str">
        <f>"Sign, CNC Milling Technology"</f>
        <v>Sign, CNC Milling Technology</v>
      </c>
      <c r="T1254">
        <v>17.78</v>
      </c>
      <c r="U1254">
        <v>18.13</v>
      </c>
      <c r="V1254">
        <v>18.420000000000002</v>
      </c>
      <c r="W1254" t="str">
        <f t="shared" si="344"/>
        <v>zintel</v>
      </c>
    </row>
    <row r="1255" spans="1:23">
      <c r="A1255" t="str">
        <f t="shared" si="345"/>
        <v>CNC-8000-CLBA-2</v>
      </c>
      <c r="B1255" t="str">
        <f>"33-2040-5001"</f>
        <v>33-2040-5001</v>
      </c>
      <c r="C1255" t="str">
        <f>"ICNC control software"</f>
        <v>ICNC control software</v>
      </c>
      <c r="D1255">
        <v>1</v>
      </c>
      <c r="E1255" t="str">
        <f t="shared" si="346"/>
        <v>220V Bundle w ProMill 8000, CNC Base,15 Hrs Lab Instr. Machinist kit,jog Pend. 4ATC. etc.</v>
      </c>
      <c r="F1255">
        <v>0</v>
      </c>
      <c r="G1255" t="str">
        <f t="shared" si="337"/>
        <v>Y</v>
      </c>
      <c r="H1255" t="str">
        <f t="shared" si="336"/>
        <v>EA</v>
      </c>
      <c r="I1255">
        <v>0</v>
      </c>
      <c r="J1255">
        <v>0</v>
      </c>
      <c r="K1255" t="str">
        <f t="shared" si="338"/>
        <v>Y</v>
      </c>
      <c r="L1255">
        <v>0</v>
      </c>
      <c r="M1255" t="str">
        <f t="shared" si="339"/>
        <v>NIS</v>
      </c>
      <c r="O1255">
        <v>13</v>
      </c>
      <c r="P1255" t="str">
        <f t="shared" ref="P1255:P1281" si="348">"Active"</f>
        <v>Active</v>
      </c>
      <c r="Q1255" t="str">
        <f>"ICNC control software version 5"</f>
        <v>ICNC control software version 5</v>
      </c>
      <c r="S1255" t="str">
        <f>"ICNC control software"</f>
        <v>ICNC control software</v>
      </c>
      <c r="T1255">
        <v>0</v>
      </c>
      <c r="U1255">
        <v>0</v>
      </c>
      <c r="V1255">
        <v>0</v>
      </c>
      <c r="W1255" t="str">
        <f t="shared" si="344"/>
        <v>zintel</v>
      </c>
    </row>
    <row r="1256" spans="1:23">
      <c r="A1256" t="str">
        <f t="shared" si="345"/>
        <v>CNC-8000-CLBA-2</v>
      </c>
      <c r="B1256" t="str">
        <f>"34-0000-8000"</f>
        <v>34-0000-8000</v>
      </c>
      <c r="C1256" t="str">
        <f>"Promill 8000 Quick Start Guide"</f>
        <v>Promill 8000 Quick Start Guide</v>
      </c>
      <c r="D1256">
        <v>1</v>
      </c>
      <c r="E1256" t="str">
        <f t="shared" si="346"/>
        <v>220V Bundle w ProMill 8000, CNC Base,15 Hrs Lab Instr. Machinist kit,jog Pend. 4ATC. etc.</v>
      </c>
      <c r="F1256">
        <v>0</v>
      </c>
      <c r="G1256" t="str">
        <f t="shared" si="337"/>
        <v>Y</v>
      </c>
      <c r="H1256" t="str">
        <f t="shared" si="336"/>
        <v>EA</v>
      </c>
      <c r="I1256">
        <v>0</v>
      </c>
      <c r="J1256">
        <v>0</v>
      </c>
      <c r="K1256" t="str">
        <f t="shared" si="338"/>
        <v>Y</v>
      </c>
      <c r="L1256">
        <v>0</v>
      </c>
      <c r="M1256" t="str">
        <f t="shared" si="339"/>
        <v>NIS</v>
      </c>
      <c r="O1256">
        <v>14</v>
      </c>
      <c r="P1256" t="str">
        <f t="shared" si="348"/>
        <v>Active</v>
      </c>
      <c r="Q1256" t="str">
        <f>"Promill 8000 Quick Start Guide"</f>
        <v>Promill 8000 Quick Start Guide</v>
      </c>
      <c r="S1256" t="str">
        <f>"Promill 8000 Quick Start Guide"</f>
        <v>Promill 8000 Quick Start Guide</v>
      </c>
      <c r="T1256">
        <v>0</v>
      </c>
      <c r="U1256">
        <v>0</v>
      </c>
      <c r="V1256">
        <v>0</v>
      </c>
      <c r="W1256" t="str">
        <f t="shared" si="344"/>
        <v>zintel</v>
      </c>
    </row>
    <row r="1257" spans="1:23">
      <c r="A1257" t="str">
        <f t="shared" ref="A1257:A1264" si="349">"CNC-8000-STND-I"</f>
        <v>CNC-8000-STND-I</v>
      </c>
      <c r="B1257" t="str">
        <f>"00-5509-0110"</f>
        <v>00-5509-0110</v>
      </c>
      <c r="C1257" t="str">
        <f>"ProMill 8000 AC with 12 Tool ATC"</f>
        <v>ProMill 8000 AC with 12 Tool ATC</v>
      </c>
      <c r="D1257">
        <v>1</v>
      </c>
      <c r="E1257" t="str">
        <f t="shared" ref="E1257:E1264" si="350">"ProMILL 8000 Standard Bundle, Imperial, 110/220 VAC"</f>
        <v>ProMILL 8000 Standard Bundle, Imperial, 110/220 VAC</v>
      </c>
      <c r="F1257">
        <v>0</v>
      </c>
      <c r="G1257" t="str">
        <f t="shared" si="337"/>
        <v>Y</v>
      </c>
      <c r="H1257" t="str">
        <f t="shared" si="336"/>
        <v>EA</v>
      </c>
      <c r="I1257">
        <v>0</v>
      </c>
      <c r="J1257">
        <v>0</v>
      </c>
      <c r="K1257" t="str">
        <f t="shared" si="338"/>
        <v>Y</v>
      </c>
      <c r="L1257">
        <v>0</v>
      </c>
      <c r="M1257" t="str">
        <f t="shared" si="339"/>
        <v>NIS</v>
      </c>
      <c r="O1257">
        <v>1</v>
      </c>
      <c r="P1257" t="str">
        <f t="shared" si="348"/>
        <v>Active</v>
      </c>
      <c r="Q1257" t="str">
        <f>"ProMill 8000 AC with 12 Tool ATC 110V"</f>
        <v>ProMill 8000 AC with 12 Tool ATC 110V</v>
      </c>
      <c r="S1257" t="str">
        <f>"ProMill 8000 AC with 12 Tool ATC 110V"</f>
        <v>ProMill 8000 AC with 12 Tool ATC 110V</v>
      </c>
      <c r="T1257">
        <v>0</v>
      </c>
      <c r="U1257" s="44">
        <v>8845</v>
      </c>
      <c r="V1257" s="44">
        <v>8845.2000000000007</v>
      </c>
      <c r="W1257" t="str">
        <f t="shared" si="344"/>
        <v>zintel</v>
      </c>
    </row>
    <row r="1258" spans="1:23">
      <c r="A1258" t="str">
        <f t="shared" si="349"/>
        <v>CNC-8000-STND-I</v>
      </c>
      <c r="B1258" t="str">
        <f>"10-1111-6000"</f>
        <v>10-1111-6000</v>
      </c>
      <c r="C1258" t="str">
        <f>"4"" Vise"</f>
        <v>4" Vise</v>
      </c>
      <c r="D1258">
        <v>1</v>
      </c>
      <c r="E1258" t="str">
        <f t="shared" si="350"/>
        <v>ProMILL 8000 Standard Bundle, Imperial, 110/220 VAC</v>
      </c>
      <c r="F1258">
        <v>0</v>
      </c>
      <c r="G1258" t="str">
        <f t="shared" si="337"/>
        <v>Y</v>
      </c>
      <c r="H1258" t="str">
        <f t="shared" si="336"/>
        <v>EA</v>
      </c>
      <c r="I1258">
        <v>0</v>
      </c>
      <c r="J1258">
        <v>0</v>
      </c>
      <c r="K1258" t="str">
        <f t="shared" si="338"/>
        <v>Y</v>
      </c>
      <c r="L1258">
        <v>0</v>
      </c>
      <c r="M1258" t="str">
        <f t="shared" si="339"/>
        <v>NIS</v>
      </c>
      <c r="O1258">
        <v>2</v>
      </c>
      <c r="P1258" t="str">
        <f t="shared" si="348"/>
        <v>Active</v>
      </c>
      <c r="Q1258" t="str">
        <f>"4"" Precision Maching Vise"</f>
        <v>4" Precision Maching Vise</v>
      </c>
      <c r="S1258" t="str">
        <f>"4"" Precision Maching Vise"</f>
        <v>4" Precision Maching Vise</v>
      </c>
      <c r="T1258">
        <v>0</v>
      </c>
      <c r="U1258">
        <v>53</v>
      </c>
      <c r="V1258">
        <v>49.5</v>
      </c>
      <c r="W1258" t="str">
        <f t="shared" si="344"/>
        <v>zintel</v>
      </c>
    </row>
    <row r="1259" spans="1:23">
      <c r="A1259" t="str">
        <f t="shared" si="349"/>
        <v>CNC-8000-STND-I</v>
      </c>
      <c r="B1259" t="str">
        <f>"10-1111-5000"</f>
        <v>10-1111-5000</v>
      </c>
      <c r="C1259" t="str">
        <f>"clamping kit 58 pcs set"</f>
        <v>clamping kit 58 pcs set</v>
      </c>
      <c r="D1259">
        <v>1</v>
      </c>
      <c r="E1259" t="str">
        <f t="shared" si="350"/>
        <v>ProMILL 8000 Standard Bundle, Imperial, 110/220 VAC</v>
      </c>
      <c r="F1259">
        <v>0</v>
      </c>
      <c r="G1259" t="str">
        <f t="shared" si="337"/>
        <v>Y</v>
      </c>
      <c r="H1259" t="str">
        <f t="shared" si="336"/>
        <v>EA</v>
      </c>
      <c r="I1259">
        <v>0</v>
      </c>
      <c r="J1259">
        <v>0</v>
      </c>
      <c r="K1259" t="str">
        <f t="shared" si="338"/>
        <v>Y</v>
      </c>
      <c r="L1259">
        <v>0</v>
      </c>
      <c r="M1259" t="str">
        <f t="shared" si="339"/>
        <v>NIS</v>
      </c>
      <c r="O1259">
        <v>3</v>
      </c>
      <c r="P1259" t="str">
        <f t="shared" si="348"/>
        <v>Active</v>
      </c>
      <c r="Q1259" t="str">
        <f>"clamping kit 58 pcs set"</f>
        <v>clamping kit 58 pcs set</v>
      </c>
      <c r="S1259" t="str">
        <f>"clamping kit 58 pcs set"</f>
        <v>clamping kit 58 pcs set</v>
      </c>
      <c r="T1259">
        <v>0</v>
      </c>
      <c r="U1259">
        <v>52</v>
      </c>
      <c r="V1259">
        <v>51.72</v>
      </c>
      <c r="W1259" t="str">
        <f t="shared" si="344"/>
        <v>zintel</v>
      </c>
    </row>
    <row r="1260" spans="1:23">
      <c r="A1260" t="str">
        <f t="shared" si="349"/>
        <v>CNC-8000-STND-I</v>
      </c>
      <c r="B1260" t="str">
        <f>"10-1111-7000"</f>
        <v>10-1111-7000</v>
      </c>
      <c r="C1260" t="str">
        <f>"- Imperial 4 tool ISO 20 tool holder package"</f>
        <v>- Imperial 4 tool ISO 20 tool holder package</v>
      </c>
      <c r="D1260">
        <v>1</v>
      </c>
      <c r="E1260" t="str">
        <f t="shared" si="350"/>
        <v>ProMILL 8000 Standard Bundle, Imperial, 110/220 VAC</v>
      </c>
      <c r="F1260">
        <v>0</v>
      </c>
      <c r="G1260" t="str">
        <f t="shared" si="337"/>
        <v>Y</v>
      </c>
      <c r="H1260" t="str">
        <f t="shared" si="336"/>
        <v>EA</v>
      </c>
      <c r="I1260">
        <v>0</v>
      </c>
      <c r="J1260">
        <v>0</v>
      </c>
      <c r="K1260" t="str">
        <f t="shared" si="338"/>
        <v>Y</v>
      </c>
      <c r="L1260">
        <v>0</v>
      </c>
      <c r="M1260" t="str">
        <f t="shared" si="339"/>
        <v>NIS</v>
      </c>
      <c r="O1260">
        <v>4</v>
      </c>
      <c r="P1260" t="str">
        <f t="shared" si="348"/>
        <v>Active</v>
      </c>
      <c r="Q1260" t="str">
        <f>"Imperial 4 tool ISO 20 tool holder package"</f>
        <v>Imperial 4 tool ISO 20 tool holder package</v>
      </c>
      <c r="S1260" t="str">
        <f>"Imperial 4 tool ISO 20 tool holder package"</f>
        <v>Imperial 4 tool ISO 20 tool holder package</v>
      </c>
      <c r="T1260">
        <v>0</v>
      </c>
      <c r="U1260">
        <v>555</v>
      </c>
      <c r="V1260">
        <v>554</v>
      </c>
      <c r="W1260" t="str">
        <f t="shared" si="344"/>
        <v>zintel</v>
      </c>
    </row>
    <row r="1261" spans="1:23">
      <c r="A1261" t="str">
        <f t="shared" si="349"/>
        <v>CNC-8000-STND-I</v>
      </c>
      <c r="B1261" t="str">
        <f>"10-1113-5000"</f>
        <v>10-1113-5000</v>
      </c>
      <c r="C1261" t="str">
        <f>"Imperial Advanced End Mill Package 5120"</f>
        <v>Imperial Advanced End Mill Package 5120</v>
      </c>
      <c r="D1261">
        <v>1</v>
      </c>
      <c r="E1261" t="str">
        <f t="shared" si="350"/>
        <v>ProMILL 8000 Standard Bundle, Imperial, 110/220 VAC</v>
      </c>
      <c r="F1261">
        <v>0</v>
      </c>
      <c r="G1261" t="str">
        <f t="shared" si="337"/>
        <v>Y</v>
      </c>
      <c r="H1261" t="str">
        <f t="shared" si="336"/>
        <v>EA</v>
      </c>
      <c r="I1261">
        <v>0</v>
      </c>
      <c r="J1261">
        <v>0</v>
      </c>
      <c r="K1261" t="str">
        <f t="shared" si="338"/>
        <v>Y</v>
      </c>
      <c r="L1261">
        <v>0</v>
      </c>
      <c r="M1261" t="str">
        <f t="shared" si="339"/>
        <v>NIS</v>
      </c>
      <c r="O1261">
        <v>5</v>
      </c>
      <c r="P1261" t="str">
        <f t="shared" si="348"/>
        <v>Active</v>
      </c>
      <c r="Q1261" t="str">
        <f>"Imperial Advanced End Mill Package 5120"</f>
        <v>Imperial Advanced End Mill Package 5120</v>
      </c>
      <c r="S1261" t="str">
        <f>"Imperial Advanced End Mill Package 5120"</f>
        <v>Imperial Advanced End Mill Package 5120</v>
      </c>
      <c r="T1261">
        <v>0</v>
      </c>
      <c r="U1261">
        <v>64</v>
      </c>
      <c r="V1261">
        <v>64</v>
      </c>
      <c r="W1261" t="str">
        <f t="shared" si="344"/>
        <v>zintel</v>
      </c>
    </row>
    <row r="1262" spans="1:23">
      <c r="A1262" t="str">
        <f t="shared" si="349"/>
        <v>CNC-8000-STND-I</v>
      </c>
      <c r="B1262" t="str">
        <f>"10-1111-1000"</f>
        <v>10-1111-1000</v>
      </c>
      <c r="C1262" t="str">
        <f>"- Handwheel - Manual Control"</f>
        <v>- Handwheel - Manual Control</v>
      </c>
      <c r="D1262">
        <v>1</v>
      </c>
      <c r="E1262" t="str">
        <f t="shared" si="350"/>
        <v>ProMILL 8000 Standard Bundle, Imperial, 110/220 VAC</v>
      </c>
      <c r="F1262">
        <v>0</v>
      </c>
      <c r="G1262" t="str">
        <f t="shared" si="337"/>
        <v>Y</v>
      </c>
      <c r="H1262" t="str">
        <f t="shared" si="336"/>
        <v>EA</v>
      </c>
      <c r="I1262">
        <v>0</v>
      </c>
      <c r="J1262">
        <v>0</v>
      </c>
      <c r="K1262" t="str">
        <f t="shared" si="338"/>
        <v>Y</v>
      </c>
      <c r="L1262">
        <v>0</v>
      </c>
      <c r="M1262" t="str">
        <f t="shared" si="339"/>
        <v>NIS</v>
      </c>
      <c r="O1262">
        <v>6</v>
      </c>
      <c r="P1262" t="str">
        <f t="shared" si="348"/>
        <v>Active</v>
      </c>
      <c r="Q1262" t="str">
        <f>"Jog Pendant Handwheel"</f>
        <v>Jog Pendant Handwheel</v>
      </c>
      <c r="S1262" t="str">
        <f>"Jog Pendant Handwheel"</f>
        <v>Jog Pendant Handwheel</v>
      </c>
      <c r="T1262">
        <v>0</v>
      </c>
      <c r="U1262">
        <v>235</v>
      </c>
      <c r="V1262">
        <v>235.03</v>
      </c>
      <c r="W1262" t="str">
        <f t="shared" si="344"/>
        <v>zintel</v>
      </c>
    </row>
    <row r="1263" spans="1:23">
      <c r="A1263" t="str">
        <f t="shared" si="349"/>
        <v>CNC-8000-STND-I</v>
      </c>
      <c r="B1263" t="str">
        <f>"10-9120-0000"</f>
        <v>10-9120-0000</v>
      </c>
      <c r="C1263" t="str">
        <f>"Stock Package, Wax, 3” x 2” x 1.5”– 50 Pcs"</f>
        <v>Stock Package, Wax, 3” x 2” x 1.5”– 50 Pcs</v>
      </c>
      <c r="D1263">
        <v>1</v>
      </c>
      <c r="E1263" t="str">
        <f t="shared" si="350"/>
        <v>ProMILL 8000 Standard Bundle, Imperial, 110/220 VAC</v>
      </c>
      <c r="F1263">
        <v>0</v>
      </c>
      <c r="G1263" t="str">
        <f t="shared" si="337"/>
        <v>Y</v>
      </c>
      <c r="H1263" t="str">
        <f t="shared" si="336"/>
        <v>EA</v>
      </c>
      <c r="I1263">
        <v>0</v>
      </c>
      <c r="J1263">
        <v>0</v>
      </c>
      <c r="K1263" t="str">
        <f t="shared" si="338"/>
        <v>Y</v>
      </c>
      <c r="L1263">
        <v>0</v>
      </c>
      <c r="M1263" t="str">
        <f t="shared" si="339"/>
        <v>NIS</v>
      </c>
      <c r="O1263">
        <v>7</v>
      </c>
      <c r="P1263" t="str">
        <f t="shared" si="348"/>
        <v>Active</v>
      </c>
      <c r="Q1263" t="str">
        <f>"Stock Package, WaxStock Pa3” x 2” x 1.5”– 50 Pcs"</f>
        <v>Stock Package, WaxStock Pa3” x 2” x 1.5”– 50 Pcs</v>
      </c>
      <c r="S1263" t="str">
        <f>"Stock Package, Wax, 3” x 2” x 1.5”– 50 Pcs"</f>
        <v>Stock Package, Wax, 3” x 2” x 1.5”– 50 Pcs</v>
      </c>
      <c r="T1263">
        <v>245</v>
      </c>
      <c r="U1263">
        <v>242.73</v>
      </c>
      <c r="V1263">
        <v>613.89</v>
      </c>
      <c r="W1263" t="str">
        <f t="shared" si="344"/>
        <v>zintel</v>
      </c>
    </row>
    <row r="1264" spans="1:23">
      <c r="A1264" t="str">
        <f t="shared" si="349"/>
        <v>CNC-8000-STND-I</v>
      </c>
      <c r="B1264" t="str">
        <f>"77-3142-0001"</f>
        <v>77-3142-0001</v>
      </c>
      <c r="C1264" t="str">
        <f>"LM7 Content, Vir, CNC Milling w/ProMill 8000"</f>
        <v>LM7 Content, Vir, CNC Milling w/ProMill 8000</v>
      </c>
      <c r="D1264">
        <v>1</v>
      </c>
      <c r="E1264" t="str">
        <f t="shared" si="350"/>
        <v>ProMILL 8000 Standard Bundle, Imperial, 110/220 VAC</v>
      </c>
      <c r="F1264">
        <v>0</v>
      </c>
      <c r="G1264" t="str">
        <f t="shared" si="337"/>
        <v>Y</v>
      </c>
      <c r="H1264" t="str">
        <f t="shared" si="336"/>
        <v>EA</v>
      </c>
      <c r="I1264">
        <v>0</v>
      </c>
      <c r="J1264">
        <v>0</v>
      </c>
      <c r="K1264" t="str">
        <f t="shared" si="338"/>
        <v>Y</v>
      </c>
      <c r="L1264">
        <v>0</v>
      </c>
      <c r="M1264" t="str">
        <f t="shared" si="339"/>
        <v>NIS</v>
      </c>
      <c r="O1264">
        <v>8</v>
      </c>
      <c r="P1264" t="str">
        <f t="shared" si="348"/>
        <v>Active</v>
      </c>
      <c r="Q1264" t="str">
        <f>"LM7 Content, Vir, CNC Milling w/ProMill 8000"</f>
        <v>LM7 Content, Vir, CNC Milling w/ProMill 8000</v>
      </c>
      <c r="S1264" t="str">
        <f>"LM7 Content, Vir, CNC Milling w/ProMill 8000"</f>
        <v>LM7 Content, Vir, CNC Milling w/ProMill 8000</v>
      </c>
      <c r="T1264">
        <v>0</v>
      </c>
      <c r="U1264">
        <v>5</v>
      </c>
      <c r="V1264">
        <v>5</v>
      </c>
      <c r="W1264" t="str">
        <f t="shared" si="344"/>
        <v>zintel</v>
      </c>
    </row>
    <row r="1265" spans="1:23">
      <c r="A1265" t="str">
        <f t="shared" ref="A1265:A1274" si="351">"CNC-8000-STND-M"</f>
        <v>CNC-8000-STND-M</v>
      </c>
      <c r="B1265" t="str">
        <f>"00-5509-0220"</f>
        <v>00-5509-0220</v>
      </c>
      <c r="C1265" t="str">
        <f>"ProMill 8000 AC with 12 Tool ATC"</f>
        <v>ProMill 8000 AC with 12 Tool ATC</v>
      </c>
      <c r="D1265">
        <v>1</v>
      </c>
      <c r="E1265" t="str">
        <f t="shared" ref="E1265:E1274" si="352">"ProMILL 8000 Standard Bundle, Metric, 110/220 VAC"</f>
        <v>ProMILL 8000 Standard Bundle, Metric, 110/220 VAC</v>
      </c>
      <c r="F1265">
        <v>0</v>
      </c>
      <c r="G1265" t="str">
        <f t="shared" si="337"/>
        <v>Y</v>
      </c>
      <c r="H1265" t="str">
        <f t="shared" si="336"/>
        <v>EA</v>
      </c>
      <c r="I1265">
        <v>0</v>
      </c>
      <c r="J1265">
        <v>0</v>
      </c>
      <c r="K1265" t="str">
        <f t="shared" si="338"/>
        <v>Y</v>
      </c>
      <c r="L1265">
        <v>0</v>
      </c>
      <c r="M1265" t="str">
        <f t="shared" si="339"/>
        <v>NIS</v>
      </c>
      <c r="O1265">
        <v>1</v>
      </c>
      <c r="P1265" t="str">
        <f t="shared" si="348"/>
        <v>Active</v>
      </c>
      <c r="Q1265" t="str">
        <f>"ProMill 8000 AC with 12 Tool ATC 220V"</f>
        <v>ProMill 8000 AC with 12 Tool ATC 220V</v>
      </c>
      <c r="S1265" t="str">
        <f>"ProMill 8000 AC with 12 Tool ATC 220V"</f>
        <v>ProMill 8000 AC with 12 Tool ATC 220V</v>
      </c>
      <c r="T1265">
        <v>0</v>
      </c>
      <c r="U1265" s="44">
        <v>7800</v>
      </c>
      <c r="V1265" s="44">
        <v>7781.65</v>
      </c>
      <c r="W1265" t="str">
        <f t="shared" si="344"/>
        <v>zintel</v>
      </c>
    </row>
    <row r="1266" spans="1:23">
      <c r="A1266" t="str">
        <f t="shared" si="351"/>
        <v>CNC-8000-STND-M</v>
      </c>
      <c r="B1266" t="str">
        <f>"10-1111-6000"</f>
        <v>10-1111-6000</v>
      </c>
      <c r="C1266" t="str">
        <f>"4"" Vise"</f>
        <v>4" Vise</v>
      </c>
      <c r="D1266">
        <v>1</v>
      </c>
      <c r="E1266" t="str">
        <f t="shared" si="352"/>
        <v>ProMILL 8000 Standard Bundle, Metric, 110/220 VAC</v>
      </c>
      <c r="F1266">
        <v>0</v>
      </c>
      <c r="G1266" t="str">
        <f t="shared" si="337"/>
        <v>Y</v>
      </c>
      <c r="H1266" t="str">
        <f t="shared" si="336"/>
        <v>EA</v>
      </c>
      <c r="I1266">
        <v>0</v>
      </c>
      <c r="J1266">
        <v>0</v>
      </c>
      <c r="K1266" t="str">
        <f t="shared" si="338"/>
        <v>Y</v>
      </c>
      <c r="L1266">
        <v>0</v>
      </c>
      <c r="M1266" t="str">
        <f t="shared" si="339"/>
        <v>NIS</v>
      </c>
      <c r="O1266">
        <v>2</v>
      </c>
      <c r="P1266" t="str">
        <f t="shared" si="348"/>
        <v>Active</v>
      </c>
      <c r="Q1266" t="str">
        <f>"4"" Precision Maching Vise"</f>
        <v>4" Precision Maching Vise</v>
      </c>
      <c r="S1266" t="str">
        <f>"4"" Precision Maching Vise"</f>
        <v>4" Precision Maching Vise</v>
      </c>
      <c r="T1266">
        <v>0</v>
      </c>
      <c r="U1266">
        <v>53</v>
      </c>
      <c r="V1266">
        <v>49.5</v>
      </c>
      <c r="W1266" t="str">
        <f t="shared" si="344"/>
        <v>zintel</v>
      </c>
    </row>
    <row r="1267" spans="1:23">
      <c r="A1267" t="str">
        <f t="shared" si="351"/>
        <v>CNC-8000-STND-M</v>
      </c>
      <c r="B1267" t="str">
        <f>"10-1111-5000"</f>
        <v>10-1111-5000</v>
      </c>
      <c r="C1267" t="str">
        <f>"clamping kit 58 pcs set"</f>
        <v>clamping kit 58 pcs set</v>
      </c>
      <c r="D1267">
        <v>1</v>
      </c>
      <c r="E1267" t="str">
        <f t="shared" si="352"/>
        <v>ProMILL 8000 Standard Bundle, Metric, 110/220 VAC</v>
      </c>
      <c r="F1267">
        <v>0</v>
      </c>
      <c r="G1267" t="str">
        <f t="shared" si="337"/>
        <v>Y</v>
      </c>
      <c r="H1267" t="str">
        <f t="shared" si="336"/>
        <v>EA</v>
      </c>
      <c r="I1267">
        <v>0</v>
      </c>
      <c r="J1267">
        <v>0</v>
      </c>
      <c r="K1267" t="str">
        <f t="shared" si="338"/>
        <v>Y</v>
      </c>
      <c r="L1267">
        <v>0</v>
      </c>
      <c r="M1267" t="str">
        <f t="shared" si="339"/>
        <v>NIS</v>
      </c>
      <c r="O1267">
        <v>3</v>
      </c>
      <c r="P1267" t="str">
        <f t="shared" si="348"/>
        <v>Active</v>
      </c>
      <c r="Q1267" t="str">
        <f>"clamping kit 58 pcs set"</f>
        <v>clamping kit 58 pcs set</v>
      </c>
      <c r="S1267" t="str">
        <f>"clamping kit 58 pcs set"</f>
        <v>clamping kit 58 pcs set</v>
      </c>
      <c r="T1267">
        <v>0</v>
      </c>
      <c r="U1267">
        <v>52</v>
      </c>
      <c r="V1267">
        <v>51.72</v>
      </c>
      <c r="W1267" t="str">
        <f t="shared" si="344"/>
        <v>zintel</v>
      </c>
    </row>
    <row r="1268" spans="1:23">
      <c r="A1268" t="str">
        <f t="shared" si="351"/>
        <v>CNC-8000-STND-M</v>
      </c>
      <c r="B1268" t="str">
        <f>"10-1115-0000"</f>
        <v>10-1115-0000</v>
      </c>
      <c r="C1268" t="str">
        <f>"ER16 Collet set - 2 x (3,6,8,10mm)"</f>
        <v>ER16 Collet set - 2 x (3,6,8,10mm)</v>
      </c>
      <c r="D1268">
        <v>1</v>
      </c>
      <c r="E1268" t="str">
        <f t="shared" si="352"/>
        <v>ProMILL 8000 Standard Bundle, Metric, 110/220 VAC</v>
      </c>
      <c r="F1268">
        <v>0</v>
      </c>
      <c r="G1268" t="str">
        <f t="shared" si="337"/>
        <v>Y</v>
      </c>
      <c r="H1268" t="str">
        <f t="shared" si="336"/>
        <v>EA</v>
      </c>
      <c r="I1268">
        <v>0</v>
      </c>
      <c r="J1268">
        <v>0</v>
      </c>
      <c r="K1268" t="str">
        <f t="shared" si="338"/>
        <v>Y</v>
      </c>
      <c r="L1268">
        <v>0</v>
      </c>
      <c r="M1268" t="str">
        <f t="shared" si="339"/>
        <v>NIS</v>
      </c>
      <c r="O1268">
        <v>4</v>
      </c>
      <c r="P1268" t="str">
        <f t="shared" si="348"/>
        <v>Active</v>
      </c>
      <c r="Q1268" t="str">
        <f>"ER16 Collet set-8 pieces(2)3,(2)6,(2)8,(2)10mm"</f>
        <v>ER16 Collet set-8 pieces(2)3,(2)6,(2)8,(2)10mm</v>
      </c>
      <c r="S1268" t="str">
        <f>"ER16 Collet set-8 pieces(2)3,(2)6,(2)8,(2)10mm"</f>
        <v>ER16 Collet set-8 pieces(2)3,(2)6,(2)8,(2)10mm</v>
      </c>
      <c r="T1268">
        <v>0</v>
      </c>
      <c r="U1268">
        <v>71</v>
      </c>
      <c r="V1268">
        <v>70.63</v>
      </c>
      <c r="W1268" t="str">
        <f t="shared" si="344"/>
        <v>zintel</v>
      </c>
    </row>
    <row r="1269" spans="1:23">
      <c r="A1269" t="str">
        <f t="shared" si="351"/>
        <v>CNC-8000-STND-M</v>
      </c>
      <c r="B1269" t="str">
        <f>"10-1111-9000"</f>
        <v>10-1111-9000</v>
      </c>
      <c r="C1269" t="str">
        <f>"ISO 20 tool holder"</f>
        <v>ISO 20 tool holder</v>
      </c>
      <c r="D1269">
        <v>4</v>
      </c>
      <c r="E1269" t="str">
        <f t="shared" si="352"/>
        <v>ProMILL 8000 Standard Bundle, Metric, 110/220 VAC</v>
      </c>
      <c r="F1269">
        <v>0</v>
      </c>
      <c r="G1269" t="str">
        <f t="shared" si="337"/>
        <v>Y</v>
      </c>
      <c r="H1269" t="str">
        <f t="shared" si="336"/>
        <v>EA</v>
      </c>
      <c r="I1269">
        <v>0</v>
      </c>
      <c r="J1269">
        <v>0</v>
      </c>
      <c r="K1269" t="str">
        <f t="shared" si="338"/>
        <v>Y</v>
      </c>
      <c r="L1269">
        <v>0</v>
      </c>
      <c r="M1269" t="str">
        <f t="shared" si="339"/>
        <v>NIS</v>
      </c>
      <c r="O1269">
        <v>5</v>
      </c>
      <c r="P1269" t="str">
        <f t="shared" si="348"/>
        <v>Active</v>
      </c>
      <c r="Q1269" t="str">
        <f>"ISO 20 tool holder with nut"</f>
        <v>ISO 20 tool holder with nut</v>
      </c>
      <c r="S1269" t="str">
        <f>"ISO 20 tool holder with nut"</f>
        <v>ISO 20 tool holder with nut</v>
      </c>
      <c r="T1269">
        <v>0</v>
      </c>
      <c r="U1269">
        <v>103</v>
      </c>
      <c r="V1269">
        <v>103.19</v>
      </c>
      <c r="W1269" t="str">
        <f t="shared" si="344"/>
        <v>zintel</v>
      </c>
    </row>
    <row r="1270" spans="1:23">
      <c r="A1270" t="str">
        <f t="shared" si="351"/>
        <v>CNC-8000-STND-M</v>
      </c>
      <c r="B1270" t="str">
        <f>"10-1113-4000"</f>
        <v>10-1113-4000</v>
      </c>
      <c r="C1270" t="str">
        <f>"Metric End Mill Package(2X 3,6,8,10End,4,6 Ball)"</f>
        <v>Metric End Mill Package(2X 3,6,8,10End,4,6 Ball)</v>
      </c>
      <c r="D1270">
        <v>1</v>
      </c>
      <c r="E1270" t="str">
        <f t="shared" si="352"/>
        <v>ProMILL 8000 Standard Bundle, Metric, 110/220 VAC</v>
      </c>
      <c r="F1270">
        <v>0</v>
      </c>
      <c r="G1270" t="str">
        <f t="shared" si="337"/>
        <v>Y</v>
      </c>
      <c r="H1270" t="str">
        <f t="shared" si="336"/>
        <v>EA</v>
      </c>
      <c r="I1270">
        <v>0</v>
      </c>
      <c r="J1270">
        <v>0</v>
      </c>
      <c r="K1270" t="str">
        <f t="shared" si="338"/>
        <v>Y</v>
      </c>
      <c r="L1270">
        <v>0</v>
      </c>
      <c r="M1270" t="str">
        <f t="shared" si="339"/>
        <v>NIS</v>
      </c>
      <c r="O1270">
        <v>6</v>
      </c>
      <c r="P1270" t="str">
        <f t="shared" si="348"/>
        <v>Active</v>
      </c>
      <c r="Q1270" t="str">
        <f>"Metric Advanced End Mill Package 5121"</f>
        <v>Metric Advanced End Mill Package 5121</v>
      </c>
      <c r="S1270" t="str">
        <f>"Metric Advanced End Mill Package 5121"</f>
        <v>Metric Advanced End Mill Package 5121</v>
      </c>
      <c r="T1270">
        <v>0</v>
      </c>
      <c r="U1270">
        <v>55</v>
      </c>
      <c r="V1270">
        <v>50.17</v>
      </c>
      <c r="W1270" t="str">
        <f t="shared" si="344"/>
        <v>zintel</v>
      </c>
    </row>
    <row r="1271" spans="1:23">
      <c r="A1271" t="str">
        <f t="shared" si="351"/>
        <v>CNC-8000-STND-M</v>
      </c>
      <c r="B1271" t="str">
        <f>"10-1112-2000"</f>
        <v>10-1112-2000</v>
      </c>
      <c r="C1271" t="str">
        <f>"ER16 Collet set-8 pieces(3,4,5,6,7,8,9 and 10mm)"</f>
        <v>ER16 Collet set-8 pieces(3,4,5,6,7,8,9 and 10mm)</v>
      </c>
      <c r="D1271">
        <v>1</v>
      </c>
      <c r="E1271" t="str">
        <f t="shared" si="352"/>
        <v>ProMILL 8000 Standard Bundle, Metric, 110/220 VAC</v>
      </c>
      <c r="F1271">
        <v>0</v>
      </c>
      <c r="G1271" t="str">
        <f t="shared" si="337"/>
        <v>Y</v>
      </c>
      <c r="H1271" t="str">
        <f t="shared" si="336"/>
        <v>EA</v>
      </c>
      <c r="I1271">
        <v>0</v>
      </c>
      <c r="J1271">
        <v>0</v>
      </c>
      <c r="K1271" t="str">
        <f t="shared" si="338"/>
        <v>Y</v>
      </c>
      <c r="L1271">
        <v>0</v>
      </c>
      <c r="M1271" t="str">
        <f t="shared" si="339"/>
        <v>NIS</v>
      </c>
      <c r="O1271">
        <v>7</v>
      </c>
      <c r="P1271" t="str">
        <f t="shared" si="348"/>
        <v>Active</v>
      </c>
      <c r="Q1271" t="str">
        <f>"ER16 Collet set-8 pieces(3,4,5,6,7,8,9 and 10mm)"</f>
        <v>ER16 Collet set-8 pieces(3,4,5,6,7,8,9 and 10mm)</v>
      </c>
      <c r="S1271" t="str">
        <f>"ER16 Collet set-8 pieces(3,4,5,6,7,8,9 and 10mm)"</f>
        <v>ER16 Collet set-8 pieces(3,4,5,6,7,8,9 and 10mm)</v>
      </c>
      <c r="T1271">
        <v>0</v>
      </c>
      <c r="U1271">
        <v>71</v>
      </c>
      <c r="V1271">
        <v>64.84</v>
      </c>
      <c r="W1271" t="str">
        <f t="shared" si="344"/>
        <v>zintel</v>
      </c>
    </row>
    <row r="1272" spans="1:23">
      <c r="A1272" t="str">
        <f t="shared" si="351"/>
        <v>CNC-8000-STND-M</v>
      </c>
      <c r="B1272" t="str">
        <f>"10-1111-1000"</f>
        <v>10-1111-1000</v>
      </c>
      <c r="C1272" t="str">
        <f>"- Handwheel - Manual Control"</f>
        <v>- Handwheel - Manual Control</v>
      </c>
      <c r="D1272">
        <v>1</v>
      </c>
      <c r="E1272" t="str">
        <f t="shared" si="352"/>
        <v>ProMILL 8000 Standard Bundle, Metric, 110/220 VAC</v>
      </c>
      <c r="F1272">
        <v>0</v>
      </c>
      <c r="G1272" t="str">
        <f t="shared" si="337"/>
        <v>Y</v>
      </c>
      <c r="H1272" t="str">
        <f t="shared" si="336"/>
        <v>EA</v>
      </c>
      <c r="I1272">
        <v>0</v>
      </c>
      <c r="J1272">
        <v>0</v>
      </c>
      <c r="K1272" t="str">
        <f t="shared" si="338"/>
        <v>Y</v>
      </c>
      <c r="L1272">
        <v>0</v>
      </c>
      <c r="M1272" t="str">
        <f t="shared" si="339"/>
        <v>NIS</v>
      </c>
      <c r="O1272">
        <v>8</v>
      </c>
      <c r="P1272" t="str">
        <f t="shared" si="348"/>
        <v>Active</v>
      </c>
      <c r="Q1272" t="str">
        <f>"Jog Pendant Handwheel"</f>
        <v>Jog Pendant Handwheel</v>
      </c>
      <c r="S1272" t="str">
        <f>"Jog Pendant Handwheel"</f>
        <v>Jog Pendant Handwheel</v>
      </c>
      <c r="T1272">
        <v>0</v>
      </c>
      <c r="U1272">
        <v>235</v>
      </c>
      <c r="V1272">
        <v>235.03</v>
      </c>
      <c r="W1272" t="str">
        <f t="shared" si="344"/>
        <v>zintel</v>
      </c>
    </row>
    <row r="1273" spans="1:23">
      <c r="A1273" t="str">
        <f t="shared" si="351"/>
        <v>CNC-8000-STND-M</v>
      </c>
      <c r="B1273" t="str">
        <f>"10-9120-0000"</f>
        <v>10-9120-0000</v>
      </c>
      <c r="C1273" t="str">
        <f>"Stock Package, Wax, 3” x 2” x 1.5”– 50 Pcs"</f>
        <v>Stock Package, Wax, 3” x 2” x 1.5”– 50 Pcs</v>
      </c>
      <c r="D1273">
        <v>1</v>
      </c>
      <c r="E1273" t="str">
        <f t="shared" si="352"/>
        <v>ProMILL 8000 Standard Bundle, Metric, 110/220 VAC</v>
      </c>
      <c r="F1273">
        <v>0</v>
      </c>
      <c r="G1273" t="str">
        <f t="shared" si="337"/>
        <v>Y</v>
      </c>
      <c r="H1273" t="str">
        <f t="shared" si="336"/>
        <v>EA</v>
      </c>
      <c r="I1273">
        <v>0</v>
      </c>
      <c r="J1273">
        <v>0</v>
      </c>
      <c r="K1273" t="str">
        <f t="shared" si="338"/>
        <v>Y</v>
      </c>
      <c r="L1273">
        <v>0</v>
      </c>
      <c r="M1273" t="str">
        <f t="shared" si="339"/>
        <v>NIS</v>
      </c>
      <c r="O1273">
        <v>9</v>
      </c>
      <c r="P1273" t="str">
        <f t="shared" si="348"/>
        <v>Active</v>
      </c>
      <c r="Q1273" t="str">
        <f>"Stock Package, WaxStock Pa3” x 2” x 1.5”– 50 Pcs"</f>
        <v>Stock Package, WaxStock Pa3” x 2” x 1.5”– 50 Pcs</v>
      </c>
      <c r="S1273" t="str">
        <f>"Stock Package, Wax, 3” x 2” x 1.5”– 50 Pcs"</f>
        <v>Stock Package, Wax, 3” x 2” x 1.5”– 50 Pcs</v>
      </c>
      <c r="T1273">
        <v>245</v>
      </c>
      <c r="U1273">
        <v>242.73</v>
      </c>
      <c r="V1273">
        <v>613.89</v>
      </c>
      <c r="W1273" t="str">
        <f t="shared" si="344"/>
        <v>zintel</v>
      </c>
    </row>
    <row r="1274" spans="1:23">
      <c r="A1274" t="str">
        <f t="shared" si="351"/>
        <v>CNC-8000-STND-M</v>
      </c>
      <c r="B1274" t="str">
        <f>"77-3142-0002"</f>
        <v>77-3142-0002</v>
      </c>
      <c r="C1274" t="str">
        <f>"LM7 Content, Vir, CNC Milling w/ProMill 8000 (M)"</f>
        <v>LM7 Content, Vir, CNC Milling w/ProMill 8000 (M)</v>
      </c>
      <c r="D1274">
        <v>1</v>
      </c>
      <c r="E1274" t="str">
        <f t="shared" si="352"/>
        <v>ProMILL 8000 Standard Bundle, Metric, 110/220 VAC</v>
      </c>
      <c r="F1274">
        <v>0</v>
      </c>
      <c r="G1274" t="str">
        <f t="shared" si="337"/>
        <v>Y</v>
      </c>
      <c r="H1274" t="str">
        <f t="shared" si="336"/>
        <v>EA</v>
      </c>
      <c r="I1274">
        <v>0</v>
      </c>
      <c r="J1274">
        <v>0</v>
      </c>
      <c r="K1274" t="str">
        <f t="shared" si="338"/>
        <v>Y</v>
      </c>
      <c r="L1274">
        <v>0</v>
      </c>
      <c r="M1274" t="str">
        <f t="shared" si="339"/>
        <v>NIS</v>
      </c>
      <c r="O1274">
        <v>10</v>
      </c>
      <c r="P1274" t="str">
        <f t="shared" si="348"/>
        <v>Active</v>
      </c>
      <c r="Q1274" t="str">
        <f>"LM7 Content, Vir, CNC Milling w/ProMill 8000 (M)"</f>
        <v>LM7 Content, Vir, CNC Milling w/ProMill 8000 (M)</v>
      </c>
      <c r="S1274" t="str">
        <f>"LM7 Content, Vir, CNC Milling w/ProMill 8000 (M)"</f>
        <v>LM7 Content, Vir, CNC Milling w/ProMill 8000 (M)</v>
      </c>
      <c r="T1274">
        <v>0</v>
      </c>
      <c r="U1274">
        <v>5</v>
      </c>
      <c r="V1274">
        <v>5.2</v>
      </c>
      <c r="W1274" t="str">
        <f t="shared" si="344"/>
        <v>zintel</v>
      </c>
    </row>
    <row r="1275" spans="1:23">
      <c r="A1275" t="str">
        <f t="shared" ref="A1275:A1281" si="353">"CNC-8000-STRT"</f>
        <v>CNC-8000-STRT</v>
      </c>
      <c r="B1275" t="str">
        <f>"00-5509-0110"</f>
        <v>00-5509-0110</v>
      </c>
      <c r="C1275" t="str">
        <f>"ProMill 8000 AC with 12 Tool ATC"</f>
        <v>ProMill 8000 AC with 12 Tool ATC</v>
      </c>
      <c r="D1275">
        <v>1</v>
      </c>
      <c r="E1275" t="str">
        <f t="shared" ref="E1275:E1281" si="354">"ProMILL 8000 Starter Bundle, Imp/Met, 110/220 VAC"</f>
        <v>ProMILL 8000 Starter Bundle, Imp/Met, 110/220 VAC</v>
      </c>
      <c r="F1275">
        <v>0</v>
      </c>
      <c r="G1275" t="str">
        <f t="shared" si="337"/>
        <v>Y</v>
      </c>
      <c r="H1275" t="str">
        <f t="shared" si="336"/>
        <v>EA</v>
      </c>
      <c r="I1275">
        <v>0</v>
      </c>
      <c r="J1275">
        <v>0</v>
      </c>
      <c r="K1275" t="str">
        <f t="shared" si="338"/>
        <v>Y</v>
      </c>
      <c r="L1275">
        <v>0</v>
      </c>
      <c r="M1275" t="str">
        <f t="shared" si="339"/>
        <v>NIS</v>
      </c>
      <c r="O1275">
        <v>1</v>
      </c>
      <c r="P1275" t="str">
        <f t="shared" si="348"/>
        <v>Active</v>
      </c>
      <c r="Q1275" t="str">
        <f>"ProMill 8000 AC with 12 Tool ATC 110V"</f>
        <v>ProMill 8000 AC with 12 Tool ATC 110V</v>
      </c>
      <c r="S1275" t="str">
        <f>"ProMill 8000 AC with 12 Tool ATC 110V"</f>
        <v>ProMill 8000 AC with 12 Tool ATC 110V</v>
      </c>
      <c r="T1275">
        <v>0</v>
      </c>
      <c r="U1275" s="44">
        <v>8845</v>
      </c>
      <c r="V1275" s="44">
        <v>8845.2000000000007</v>
      </c>
      <c r="W1275" t="str">
        <f t="shared" si="344"/>
        <v>zintel</v>
      </c>
    </row>
    <row r="1276" spans="1:23">
      <c r="A1276" t="str">
        <f t="shared" si="353"/>
        <v>CNC-8000-STRT</v>
      </c>
      <c r="B1276" t="str">
        <f>"10-1111-6000"</f>
        <v>10-1111-6000</v>
      </c>
      <c r="C1276" t="str">
        <f>"4"" Vise"</f>
        <v>4" Vise</v>
      </c>
      <c r="D1276">
        <v>1</v>
      </c>
      <c r="E1276" t="str">
        <f t="shared" si="354"/>
        <v>ProMILL 8000 Starter Bundle, Imp/Met, 110/220 VAC</v>
      </c>
      <c r="F1276">
        <v>0</v>
      </c>
      <c r="G1276" t="str">
        <f t="shared" si="337"/>
        <v>Y</v>
      </c>
      <c r="H1276" t="str">
        <f t="shared" si="336"/>
        <v>EA</v>
      </c>
      <c r="I1276">
        <v>0</v>
      </c>
      <c r="J1276">
        <v>0</v>
      </c>
      <c r="K1276" t="str">
        <f t="shared" si="338"/>
        <v>Y</v>
      </c>
      <c r="L1276">
        <v>0</v>
      </c>
      <c r="M1276" t="str">
        <f t="shared" si="339"/>
        <v>NIS</v>
      </c>
      <c r="O1276">
        <v>2</v>
      </c>
      <c r="P1276" t="str">
        <f t="shared" si="348"/>
        <v>Active</v>
      </c>
      <c r="Q1276" t="str">
        <f>"4"" Precision Maching Vise"</f>
        <v>4" Precision Maching Vise</v>
      </c>
      <c r="S1276" t="str">
        <f>"4"" Precision Maching Vise"</f>
        <v>4" Precision Maching Vise</v>
      </c>
      <c r="T1276">
        <v>0</v>
      </c>
      <c r="U1276">
        <v>53</v>
      </c>
      <c r="V1276">
        <v>49.5</v>
      </c>
      <c r="W1276" t="str">
        <f t="shared" si="344"/>
        <v>zintel</v>
      </c>
    </row>
    <row r="1277" spans="1:23">
      <c r="A1277" t="str">
        <f t="shared" si="353"/>
        <v>CNC-8000-STRT</v>
      </c>
      <c r="B1277" t="str">
        <f>"10-1111-5000"</f>
        <v>10-1111-5000</v>
      </c>
      <c r="C1277" t="str">
        <f>"clamping kit 58 pcs set"</f>
        <v>clamping kit 58 pcs set</v>
      </c>
      <c r="D1277">
        <v>1</v>
      </c>
      <c r="E1277" t="str">
        <f t="shared" si="354"/>
        <v>ProMILL 8000 Starter Bundle, Imp/Met, 110/220 VAC</v>
      </c>
      <c r="F1277">
        <v>0</v>
      </c>
      <c r="G1277" t="str">
        <f t="shared" si="337"/>
        <v>Y</v>
      </c>
      <c r="H1277" t="str">
        <f t="shared" si="336"/>
        <v>EA</v>
      </c>
      <c r="I1277">
        <v>0</v>
      </c>
      <c r="J1277">
        <v>0</v>
      </c>
      <c r="K1277" t="str">
        <f t="shared" si="338"/>
        <v>Y</v>
      </c>
      <c r="L1277">
        <v>0</v>
      </c>
      <c r="M1277" t="str">
        <f t="shared" si="339"/>
        <v>NIS</v>
      </c>
      <c r="O1277">
        <v>3</v>
      </c>
      <c r="P1277" t="str">
        <f t="shared" si="348"/>
        <v>Active</v>
      </c>
      <c r="Q1277" t="str">
        <f>"clamping kit 58 pcs set"</f>
        <v>clamping kit 58 pcs set</v>
      </c>
      <c r="S1277" t="str">
        <f>"clamping kit 58 pcs set"</f>
        <v>clamping kit 58 pcs set</v>
      </c>
      <c r="T1277">
        <v>0</v>
      </c>
      <c r="U1277">
        <v>52</v>
      </c>
      <c r="V1277">
        <v>51.72</v>
      </c>
      <c r="W1277" t="str">
        <f t="shared" si="344"/>
        <v>zintel</v>
      </c>
    </row>
    <row r="1278" spans="1:23">
      <c r="A1278" t="str">
        <f t="shared" si="353"/>
        <v>CNC-8000-STRT</v>
      </c>
      <c r="B1278" t="str">
        <f>"10-1111-9000"</f>
        <v>10-1111-9000</v>
      </c>
      <c r="C1278" t="str">
        <f>"ISO 20 tool holder"</f>
        <v>ISO 20 tool holder</v>
      </c>
      <c r="D1278">
        <v>1</v>
      </c>
      <c r="E1278" t="str">
        <f t="shared" si="354"/>
        <v>ProMILL 8000 Starter Bundle, Imp/Met, 110/220 VAC</v>
      </c>
      <c r="F1278">
        <v>0</v>
      </c>
      <c r="G1278" t="str">
        <f t="shared" si="337"/>
        <v>Y</v>
      </c>
      <c r="H1278" t="str">
        <f t="shared" si="336"/>
        <v>EA</v>
      </c>
      <c r="I1278">
        <v>0</v>
      </c>
      <c r="J1278">
        <v>0</v>
      </c>
      <c r="K1278" t="str">
        <f t="shared" si="338"/>
        <v>Y</v>
      </c>
      <c r="L1278">
        <v>0</v>
      </c>
      <c r="M1278" t="str">
        <f t="shared" si="339"/>
        <v>NIS</v>
      </c>
      <c r="O1278">
        <v>4</v>
      </c>
      <c r="P1278" t="str">
        <f t="shared" si="348"/>
        <v>Active</v>
      </c>
      <c r="Q1278" t="str">
        <f>"ISO 20 tool holder with nut"</f>
        <v>ISO 20 tool holder with nut</v>
      </c>
      <c r="S1278" t="str">
        <f>"ISO 20 tool holder with nut"</f>
        <v>ISO 20 tool holder with nut</v>
      </c>
      <c r="T1278">
        <v>0</v>
      </c>
      <c r="U1278">
        <v>103</v>
      </c>
      <c r="V1278">
        <v>103.19</v>
      </c>
      <c r="W1278" t="str">
        <f t="shared" si="344"/>
        <v>zintel</v>
      </c>
    </row>
    <row r="1279" spans="1:23">
      <c r="A1279" t="str">
        <f t="shared" si="353"/>
        <v>CNC-8000-STRT</v>
      </c>
      <c r="B1279" t="str">
        <f>"10-1113-5000"</f>
        <v>10-1113-5000</v>
      </c>
      <c r="C1279" t="str">
        <f>"Imperial Advanced End Mill Package 5120"</f>
        <v>Imperial Advanced End Mill Package 5120</v>
      </c>
      <c r="D1279">
        <v>1</v>
      </c>
      <c r="E1279" t="str">
        <f t="shared" si="354"/>
        <v>ProMILL 8000 Starter Bundle, Imp/Met, 110/220 VAC</v>
      </c>
      <c r="F1279">
        <v>0</v>
      </c>
      <c r="G1279" t="str">
        <f t="shared" si="337"/>
        <v>Y</v>
      </c>
      <c r="H1279" t="str">
        <f t="shared" si="336"/>
        <v>EA</v>
      </c>
      <c r="I1279">
        <v>0</v>
      </c>
      <c r="J1279">
        <v>0</v>
      </c>
      <c r="K1279" t="str">
        <f t="shared" si="338"/>
        <v>Y</v>
      </c>
      <c r="L1279">
        <v>0</v>
      </c>
      <c r="M1279" t="str">
        <f t="shared" si="339"/>
        <v>NIS</v>
      </c>
      <c r="O1279">
        <v>5</v>
      </c>
      <c r="P1279" t="str">
        <f t="shared" si="348"/>
        <v>Active</v>
      </c>
      <c r="Q1279" t="str">
        <f>"Imperial Advanced End Mill Package 5120"</f>
        <v>Imperial Advanced End Mill Package 5120</v>
      </c>
      <c r="S1279" t="str">
        <f>"Imperial Advanced End Mill Package 5120"</f>
        <v>Imperial Advanced End Mill Package 5120</v>
      </c>
      <c r="T1279">
        <v>0</v>
      </c>
      <c r="U1279">
        <v>64</v>
      </c>
      <c r="V1279">
        <v>64</v>
      </c>
      <c r="W1279" t="str">
        <f t="shared" si="344"/>
        <v>zintel</v>
      </c>
    </row>
    <row r="1280" spans="1:23">
      <c r="A1280" t="str">
        <f t="shared" si="353"/>
        <v>CNC-8000-STRT</v>
      </c>
      <c r="B1280" t="str">
        <f>"10-1112-2000"</f>
        <v>10-1112-2000</v>
      </c>
      <c r="C1280" t="str">
        <f>"ER16 Collet set-8 pieces(3,4,5,6,7,8,9 and 10mm)"</f>
        <v>ER16 Collet set-8 pieces(3,4,5,6,7,8,9 and 10mm)</v>
      </c>
      <c r="D1280">
        <v>1</v>
      </c>
      <c r="E1280" t="str">
        <f t="shared" si="354"/>
        <v>ProMILL 8000 Starter Bundle, Imp/Met, 110/220 VAC</v>
      </c>
      <c r="F1280">
        <v>0</v>
      </c>
      <c r="G1280" t="str">
        <f t="shared" si="337"/>
        <v>Y</v>
      </c>
      <c r="H1280" t="str">
        <f t="shared" ref="H1280:H1343" si="355">"EA"</f>
        <v>EA</v>
      </c>
      <c r="I1280">
        <v>0</v>
      </c>
      <c r="J1280">
        <v>0</v>
      </c>
      <c r="K1280" t="str">
        <f t="shared" si="338"/>
        <v>Y</v>
      </c>
      <c r="L1280">
        <v>0</v>
      </c>
      <c r="M1280" t="str">
        <f t="shared" si="339"/>
        <v>NIS</v>
      </c>
      <c r="O1280">
        <v>6</v>
      </c>
      <c r="P1280" t="str">
        <f t="shared" si="348"/>
        <v>Active</v>
      </c>
      <c r="Q1280" t="str">
        <f>"ER16 Collet set-8 pieces(3,4,5,6,7,8,9 and 10mm)"</f>
        <v>ER16 Collet set-8 pieces(3,4,5,6,7,8,9 and 10mm)</v>
      </c>
      <c r="S1280" t="str">
        <f>"ER16 Collet set-8 pieces(3,4,5,6,7,8,9 and 10mm)"</f>
        <v>ER16 Collet set-8 pieces(3,4,5,6,7,8,9 and 10mm)</v>
      </c>
      <c r="T1280">
        <v>0</v>
      </c>
      <c r="U1280">
        <v>71</v>
      </c>
      <c r="V1280">
        <v>64.84</v>
      </c>
      <c r="W1280" t="str">
        <f t="shared" si="344"/>
        <v>zintel</v>
      </c>
    </row>
    <row r="1281" spans="1:23">
      <c r="A1281" t="str">
        <f t="shared" si="353"/>
        <v>CNC-8000-STRT</v>
      </c>
      <c r="B1281" t="str">
        <f>"77-3142-0001"</f>
        <v>77-3142-0001</v>
      </c>
      <c r="C1281" t="str">
        <f>"LM7 Content, Vir, CNC Milling w/ProMill 8000"</f>
        <v>LM7 Content, Vir, CNC Milling w/ProMill 8000</v>
      </c>
      <c r="D1281">
        <v>1</v>
      </c>
      <c r="E1281" t="str">
        <f t="shared" si="354"/>
        <v>ProMILL 8000 Starter Bundle, Imp/Met, 110/220 VAC</v>
      </c>
      <c r="F1281">
        <v>0</v>
      </c>
      <c r="G1281" t="str">
        <f t="shared" si="337"/>
        <v>Y</v>
      </c>
      <c r="H1281" t="str">
        <f t="shared" si="355"/>
        <v>EA</v>
      </c>
      <c r="I1281">
        <v>0</v>
      </c>
      <c r="J1281">
        <v>0</v>
      </c>
      <c r="K1281" t="str">
        <f t="shared" si="338"/>
        <v>Y</v>
      </c>
      <c r="L1281">
        <v>0</v>
      </c>
      <c r="M1281" t="str">
        <f t="shared" si="339"/>
        <v>NIS</v>
      </c>
      <c r="O1281">
        <v>7</v>
      </c>
      <c r="P1281" t="str">
        <f t="shared" si="348"/>
        <v>Active</v>
      </c>
      <c r="Q1281" t="str">
        <f>"LM7 Content, Vir, CNC Milling w/ProMill 8000"</f>
        <v>LM7 Content, Vir, CNC Milling w/ProMill 8000</v>
      </c>
      <c r="S1281" t="str">
        <f>"LM7 Content, Vir, CNC Milling w/ProMill 8000"</f>
        <v>LM7 Content, Vir, CNC Milling w/ProMill 8000</v>
      </c>
      <c r="T1281">
        <v>0</v>
      </c>
      <c r="U1281">
        <v>5</v>
      </c>
      <c r="V1281">
        <v>5</v>
      </c>
      <c r="W1281" t="str">
        <f t="shared" si="344"/>
        <v>zintel</v>
      </c>
    </row>
    <row r="1282" spans="1:23">
      <c r="A1282" t="str">
        <f t="shared" ref="A1282:A1296" si="356">"CNC-8ATC-BNDL"</f>
        <v>CNC-8ATC-BNDL</v>
      </c>
      <c r="B1282" t="str">
        <f>"00-5507-0110"</f>
        <v>00-5507-0110</v>
      </c>
      <c r="C1282" t="str">
        <f>"CNC ProMill 8000 AC 110V"</f>
        <v>CNC ProMill 8000 AC 110V</v>
      </c>
      <c r="D1282">
        <v>1</v>
      </c>
      <c r="E1282" t="str">
        <f t="shared" ref="E1282:E1296" si="357">"ProMILL 8000 bundle"</f>
        <v>ProMILL 8000 bundle</v>
      </c>
      <c r="F1282">
        <v>0</v>
      </c>
      <c r="G1282" t="str">
        <f t="shared" ref="G1282:G1345" si="358">"Y"</f>
        <v>Y</v>
      </c>
      <c r="H1282" t="str">
        <f t="shared" si="355"/>
        <v>EA</v>
      </c>
      <c r="I1282">
        <v>0</v>
      </c>
      <c r="J1282">
        <v>0</v>
      </c>
      <c r="K1282" t="str">
        <f t="shared" ref="K1282:K1345" si="359">"Y"</f>
        <v>Y</v>
      </c>
      <c r="L1282">
        <v>0</v>
      </c>
      <c r="M1282" t="str">
        <f t="shared" ref="M1282:M1345" si="360">"NIS"</f>
        <v>NIS</v>
      </c>
      <c r="O1282">
        <v>1</v>
      </c>
      <c r="P1282" t="str">
        <f>"Phase Out"</f>
        <v>Phase Out</v>
      </c>
      <c r="Q1282" t="str">
        <f>"CNC ProMill 8000 AC 110V"</f>
        <v>CNC ProMill 8000 AC 110V</v>
      </c>
      <c r="S1282" t="str">
        <f>"CNC ProMill 8000 AC 110V"</f>
        <v>CNC ProMill 8000 AC 110V</v>
      </c>
      <c r="T1282">
        <v>0</v>
      </c>
      <c r="U1282" s="44">
        <v>6556.2</v>
      </c>
      <c r="V1282" s="44">
        <v>8064</v>
      </c>
      <c r="W1282" t="str">
        <f t="shared" si="344"/>
        <v>zintel</v>
      </c>
    </row>
    <row r="1283" spans="1:23">
      <c r="A1283" t="str">
        <f t="shared" si="356"/>
        <v>CNC-8ATC-BNDL</v>
      </c>
      <c r="B1283" t="str">
        <f>"10-1111-1000"</f>
        <v>10-1111-1000</v>
      </c>
      <c r="C1283" t="str">
        <f>"- Handwheel - Manual Control"</f>
        <v>- Handwheel - Manual Control</v>
      </c>
      <c r="D1283">
        <v>1</v>
      </c>
      <c r="E1283" t="str">
        <f t="shared" si="357"/>
        <v>ProMILL 8000 bundle</v>
      </c>
      <c r="F1283">
        <v>0</v>
      </c>
      <c r="G1283" t="str">
        <f t="shared" si="358"/>
        <v>Y</v>
      </c>
      <c r="H1283" t="str">
        <f t="shared" si="355"/>
        <v>EA</v>
      </c>
      <c r="I1283">
        <v>0</v>
      </c>
      <c r="J1283">
        <v>0</v>
      </c>
      <c r="K1283" t="str">
        <f t="shared" si="359"/>
        <v>Y</v>
      </c>
      <c r="L1283">
        <v>0</v>
      </c>
      <c r="M1283" t="str">
        <f t="shared" si="360"/>
        <v>NIS</v>
      </c>
      <c r="O1283">
        <v>2</v>
      </c>
      <c r="P1283" t="str">
        <f t="shared" ref="P1283:P1308" si="361">"Active"</f>
        <v>Active</v>
      </c>
      <c r="Q1283" t="str">
        <f>"Jog Pendant Handwheel"</f>
        <v>Jog Pendant Handwheel</v>
      </c>
      <c r="S1283" t="str">
        <f>"Jog Pendant Handwheel"</f>
        <v>Jog Pendant Handwheel</v>
      </c>
      <c r="T1283">
        <v>0</v>
      </c>
      <c r="U1283">
        <v>235</v>
      </c>
      <c r="V1283">
        <v>235.03</v>
      </c>
      <c r="W1283" t="str">
        <f t="shared" si="344"/>
        <v>zintel</v>
      </c>
    </row>
    <row r="1284" spans="1:23">
      <c r="A1284" t="str">
        <f t="shared" si="356"/>
        <v>CNC-8ATC-BNDL</v>
      </c>
      <c r="B1284" t="str">
        <f>"10-1111-6000"</f>
        <v>10-1111-6000</v>
      </c>
      <c r="C1284" t="str">
        <f>"4"" Vise"</f>
        <v>4" Vise</v>
      </c>
      <c r="D1284">
        <v>1</v>
      </c>
      <c r="E1284" t="str">
        <f t="shared" si="357"/>
        <v>ProMILL 8000 bundle</v>
      </c>
      <c r="F1284">
        <v>0</v>
      </c>
      <c r="G1284" t="str">
        <f t="shared" si="358"/>
        <v>Y</v>
      </c>
      <c r="H1284" t="str">
        <f t="shared" si="355"/>
        <v>EA</v>
      </c>
      <c r="I1284">
        <v>0</v>
      </c>
      <c r="J1284">
        <v>0</v>
      </c>
      <c r="K1284" t="str">
        <f t="shared" si="359"/>
        <v>Y</v>
      </c>
      <c r="L1284">
        <v>0</v>
      </c>
      <c r="M1284" t="str">
        <f t="shared" si="360"/>
        <v>NIS</v>
      </c>
      <c r="O1284">
        <v>3</v>
      </c>
      <c r="P1284" t="str">
        <f t="shared" si="361"/>
        <v>Active</v>
      </c>
      <c r="Q1284" t="str">
        <f>"4"" Precision Maching Vise"</f>
        <v>4" Precision Maching Vise</v>
      </c>
      <c r="S1284" t="str">
        <f>"4"" Precision Maching Vise"</f>
        <v>4" Precision Maching Vise</v>
      </c>
      <c r="T1284">
        <v>0</v>
      </c>
      <c r="U1284">
        <v>53</v>
      </c>
      <c r="V1284">
        <v>49.5</v>
      </c>
      <c r="W1284" t="str">
        <f t="shared" si="344"/>
        <v>zintel</v>
      </c>
    </row>
    <row r="1285" spans="1:23">
      <c r="A1285" t="str">
        <f t="shared" si="356"/>
        <v>CNC-8ATC-BNDL</v>
      </c>
      <c r="B1285" t="str">
        <f>"10-1111-7000"</f>
        <v>10-1111-7000</v>
      </c>
      <c r="C1285" t="str">
        <f>"- Imperial 4 tool ISO 20 tool holder package"</f>
        <v>- Imperial 4 tool ISO 20 tool holder package</v>
      </c>
      <c r="D1285">
        <v>2</v>
      </c>
      <c r="E1285" t="str">
        <f t="shared" si="357"/>
        <v>ProMILL 8000 bundle</v>
      </c>
      <c r="F1285">
        <v>0</v>
      </c>
      <c r="G1285" t="str">
        <f t="shared" si="358"/>
        <v>Y</v>
      </c>
      <c r="H1285" t="str">
        <f t="shared" si="355"/>
        <v>EA</v>
      </c>
      <c r="I1285">
        <v>0</v>
      </c>
      <c r="J1285">
        <v>0</v>
      </c>
      <c r="K1285" t="str">
        <f t="shared" si="359"/>
        <v>Y</v>
      </c>
      <c r="L1285">
        <v>0</v>
      </c>
      <c r="M1285" t="str">
        <f t="shared" si="360"/>
        <v>NIS</v>
      </c>
      <c r="O1285">
        <v>4</v>
      </c>
      <c r="P1285" t="str">
        <f t="shared" si="361"/>
        <v>Active</v>
      </c>
      <c r="Q1285" t="str">
        <f>"Imperial 4 tool ISO 20 tool holder package"</f>
        <v>Imperial 4 tool ISO 20 tool holder package</v>
      </c>
      <c r="S1285" t="str">
        <f>"Imperial 4 tool ISO 20 tool holder package"</f>
        <v>Imperial 4 tool ISO 20 tool holder package</v>
      </c>
      <c r="T1285">
        <v>0</v>
      </c>
      <c r="U1285">
        <v>555</v>
      </c>
      <c r="V1285">
        <v>554</v>
      </c>
      <c r="W1285" t="str">
        <f t="shared" si="344"/>
        <v>zintel</v>
      </c>
    </row>
    <row r="1286" spans="1:23">
      <c r="A1286" t="str">
        <f t="shared" si="356"/>
        <v>CNC-8ATC-BNDL</v>
      </c>
      <c r="B1286" t="str">
        <f>"10-1115-5000"</f>
        <v>10-1115-5000</v>
      </c>
      <c r="C1286" t="str">
        <f>"Step Clamp – BM6000, PM8000"</f>
        <v>Step Clamp – BM6000, PM8000</v>
      </c>
      <c r="D1286">
        <v>1</v>
      </c>
      <c r="E1286" t="str">
        <f t="shared" si="357"/>
        <v>ProMILL 8000 bundle</v>
      </c>
      <c r="F1286">
        <v>0</v>
      </c>
      <c r="G1286" t="str">
        <f t="shared" si="358"/>
        <v>Y</v>
      </c>
      <c r="H1286" t="str">
        <f t="shared" si="355"/>
        <v>EA</v>
      </c>
      <c r="I1286">
        <v>0</v>
      </c>
      <c r="J1286">
        <v>0</v>
      </c>
      <c r="K1286" t="str">
        <f t="shared" si="359"/>
        <v>Y</v>
      </c>
      <c r="L1286">
        <v>0</v>
      </c>
      <c r="M1286" t="str">
        <f t="shared" si="360"/>
        <v>NIS</v>
      </c>
      <c r="O1286">
        <v>5</v>
      </c>
      <c r="P1286" t="str">
        <f t="shared" si="361"/>
        <v>Active</v>
      </c>
      <c r="Q1286" t="str">
        <f>"Step Clamp – BM6000, PM8000"</f>
        <v>Step Clamp – BM6000, PM8000</v>
      </c>
      <c r="S1286" t="str">
        <f>"Step Clamp – BM6000, PM8000"</f>
        <v>Step Clamp – BM6000, PM8000</v>
      </c>
      <c r="T1286">
        <v>0</v>
      </c>
      <c r="U1286">
        <v>3.28</v>
      </c>
      <c r="V1286">
        <v>3.12</v>
      </c>
      <c r="W1286" t="str">
        <f t="shared" si="344"/>
        <v>zintel</v>
      </c>
    </row>
    <row r="1287" spans="1:23">
      <c r="A1287" t="str">
        <f t="shared" si="356"/>
        <v>CNC-8ATC-BNDL</v>
      </c>
      <c r="B1287" t="str">
        <f>"10-1105-5000"</f>
        <v>10-1105-5000</v>
      </c>
      <c r="C1287" t="str">
        <f>"Computer and monitor attachment"</f>
        <v>Computer and monitor attachment</v>
      </c>
      <c r="D1287">
        <v>1</v>
      </c>
      <c r="E1287" t="str">
        <f t="shared" si="357"/>
        <v>ProMILL 8000 bundle</v>
      </c>
      <c r="F1287">
        <v>0</v>
      </c>
      <c r="G1287" t="str">
        <f t="shared" si="358"/>
        <v>Y</v>
      </c>
      <c r="H1287" t="str">
        <f t="shared" si="355"/>
        <v>EA</v>
      </c>
      <c r="I1287">
        <v>0</v>
      </c>
      <c r="J1287">
        <v>0</v>
      </c>
      <c r="K1287" t="str">
        <f t="shared" si="359"/>
        <v>Y</v>
      </c>
      <c r="L1287">
        <v>0</v>
      </c>
      <c r="M1287" t="str">
        <f t="shared" si="360"/>
        <v>NIS</v>
      </c>
      <c r="O1287">
        <v>6</v>
      </c>
      <c r="P1287" t="str">
        <f t="shared" si="361"/>
        <v>Active</v>
      </c>
      <c r="Q1287" t="str">
        <f>"Computer and monitor stand (attached to machine)"</f>
        <v>Computer and monitor stand (attached to machine)</v>
      </c>
      <c r="S1287" t="str">
        <f>"Computer and monitor stand (attached to machine)"</f>
        <v>Computer and monitor stand (attached to machine)</v>
      </c>
      <c r="T1287">
        <v>0</v>
      </c>
      <c r="U1287">
        <v>105.36</v>
      </c>
      <c r="V1287">
        <v>103.02</v>
      </c>
      <c r="W1287" t="str">
        <f t="shared" si="344"/>
        <v>zintel</v>
      </c>
    </row>
    <row r="1288" spans="1:23">
      <c r="A1288" t="str">
        <f t="shared" si="356"/>
        <v>CNC-8ATC-BNDL</v>
      </c>
      <c r="B1288" t="str">
        <f>"10-1112-2000"</f>
        <v>10-1112-2000</v>
      </c>
      <c r="C1288" t="str">
        <f>"ER16 Collet set-8 pieces(3,4,5,6,7,8,9 and 10mm)"</f>
        <v>ER16 Collet set-8 pieces(3,4,5,6,7,8,9 and 10mm)</v>
      </c>
      <c r="D1288">
        <v>1</v>
      </c>
      <c r="E1288" t="str">
        <f t="shared" si="357"/>
        <v>ProMILL 8000 bundle</v>
      </c>
      <c r="F1288">
        <v>0</v>
      </c>
      <c r="G1288" t="str">
        <f t="shared" si="358"/>
        <v>Y</v>
      </c>
      <c r="H1288" t="str">
        <f t="shared" si="355"/>
        <v>EA</v>
      </c>
      <c r="I1288">
        <v>0</v>
      </c>
      <c r="J1288">
        <v>0</v>
      </c>
      <c r="K1288" t="str">
        <f t="shared" si="359"/>
        <v>Y</v>
      </c>
      <c r="L1288">
        <v>0</v>
      </c>
      <c r="M1288" t="str">
        <f t="shared" si="360"/>
        <v>NIS</v>
      </c>
      <c r="O1288">
        <v>7</v>
      </c>
      <c r="P1288" t="str">
        <f t="shared" si="361"/>
        <v>Active</v>
      </c>
      <c r="Q1288" t="str">
        <f>"ER16 Collet set-8 pieces(3,4,5,6,7,8,9 and 10mm)"</f>
        <v>ER16 Collet set-8 pieces(3,4,5,6,7,8,9 and 10mm)</v>
      </c>
      <c r="S1288" t="str">
        <f>"ER16 Collet set-8 pieces(3,4,5,6,7,8,9 and 10mm)"</f>
        <v>ER16 Collet set-8 pieces(3,4,5,6,7,8,9 and 10mm)</v>
      </c>
      <c r="T1288">
        <v>0</v>
      </c>
      <c r="U1288">
        <v>71</v>
      </c>
      <c r="V1288">
        <v>64.84</v>
      </c>
      <c r="W1288" t="str">
        <f t="shared" si="344"/>
        <v>zintel</v>
      </c>
    </row>
    <row r="1289" spans="1:23">
      <c r="A1289" t="str">
        <f t="shared" si="356"/>
        <v>CNC-8ATC-BNDL</v>
      </c>
      <c r="B1289" t="str">
        <f>"10-1111-5000"</f>
        <v>10-1111-5000</v>
      </c>
      <c r="C1289" t="str">
        <f>"clamping kit 58 pcs set"</f>
        <v>clamping kit 58 pcs set</v>
      </c>
      <c r="D1289">
        <v>1</v>
      </c>
      <c r="E1289" t="str">
        <f t="shared" si="357"/>
        <v>ProMILL 8000 bundle</v>
      </c>
      <c r="F1289">
        <v>0</v>
      </c>
      <c r="G1289" t="str">
        <f t="shared" si="358"/>
        <v>Y</v>
      </c>
      <c r="H1289" t="str">
        <f t="shared" si="355"/>
        <v>EA</v>
      </c>
      <c r="I1289">
        <v>0</v>
      </c>
      <c r="J1289">
        <v>0</v>
      </c>
      <c r="K1289" t="str">
        <f t="shared" si="359"/>
        <v>Y</v>
      </c>
      <c r="L1289">
        <v>0</v>
      </c>
      <c r="M1289" t="str">
        <f t="shared" si="360"/>
        <v>NIS</v>
      </c>
      <c r="O1289">
        <v>8</v>
      </c>
      <c r="P1289" t="str">
        <f t="shared" si="361"/>
        <v>Active</v>
      </c>
      <c r="Q1289" t="str">
        <f>"clamping kit 58 pcs set"</f>
        <v>clamping kit 58 pcs set</v>
      </c>
      <c r="S1289" t="str">
        <f>"clamping kit 58 pcs set"</f>
        <v>clamping kit 58 pcs set</v>
      </c>
      <c r="T1289">
        <v>0</v>
      </c>
      <c r="U1289">
        <v>52</v>
      </c>
      <c r="V1289">
        <v>51.72</v>
      </c>
      <c r="W1289" t="str">
        <f t="shared" si="344"/>
        <v>zintel</v>
      </c>
    </row>
    <row r="1290" spans="1:23">
      <c r="A1290" t="str">
        <f t="shared" si="356"/>
        <v>CNC-8ATC-BNDL</v>
      </c>
      <c r="B1290" t="str">
        <f>"10-1113-5000"</f>
        <v>10-1113-5000</v>
      </c>
      <c r="C1290" t="str">
        <f>"Imperial Advanced End Mill Package 5120"</f>
        <v>Imperial Advanced End Mill Package 5120</v>
      </c>
      <c r="D1290">
        <v>1</v>
      </c>
      <c r="E1290" t="str">
        <f t="shared" si="357"/>
        <v>ProMILL 8000 bundle</v>
      </c>
      <c r="F1290">
        <v>0</v>
      </c>
      <c r="G1290" t="str">
        <f t="shared" si="358"/>
        <v>Y</v>
      </c>
      <c r="H1290" t="str">
        <f t="shared" si="355"/>
        <v>EA</v>
      </c>
      <c r="I1290">
        <v>0</v>
      </c>
      <c r="J1290">
        <v>0</v>
      </c>
      <c r="K1290" t="str">
        <f t="shared" si="359"/>
        <v>Y</v>
      </c>
      <c r="L1290">
        <v>0</v>
      </c>
      <c r="M1290" t="str">
        <f t="shared" si="360"/>
        <v>NIS</v>
      </c>
      <c r="O1290">
        <v>9</v>
      </c>
      <c r="P1290" t="str">
        <f t="shared" si="361"/>
        <v>Active</v>
      </c>
      <c r="Q1290" t="str">
        <f>"Imperial Advanced End Mill Package 5120"</f>
        <v>Imperial Advanced End Mill Package 5120</v>
      </c>
      <c r="S1290" t="str">
        <f>"Imperial Advanced End Mill Package 5120"</f>
        <v>Imperial Advanced End Mill Package 5120</v>
      </c>
      <c r="T1290">
        <v>0</v>
      </c>
      <c r="U1290">
        <v>64</v>
      </c>
      <c r="V1290">
        <v>64</v>
      </c>
      <c r="W1290" t="str">
        <f t="shared" si="344"/>
        <v>zintel</v>
      </c>
    </row>
    <row r="1291" spans="1:23">
      <c r="A1291" t="str">
        <f t="shared" si="356"/>
        <v>CNC-8ATC-BNDL</v>
      </c>
      <c r="B1291" t="str">
        <f>"10-1113-7000"</f>
        <v>10-1113-7000</v>
      </c>
      <c r="C1291" t="str">
        <f>"- Imperial Engraving Package 5710"</f>
        <v>- Imperial Engraving Package 5710</v>
      </c>
      <c r="D1291">
        <v>1</v>
      </c>
      <c r="E1291" t="str">
        <f t="shared" si="357"/>
        <v>ProMILL 8000 bundle</v>
      </c>
      <c r="F1291">
        <v>0</v>
      </c>
      <c r="G1291" t="str">
        <f t="shared" si="358"/>
        <v>Y</v>
      </c>
      <c r="H1291" t="str">
        <f t="shared" si="355"/>
        <v>EA</v>
      </c>
      <c r="I1291">
        <v>0</v>
      </c>
      <c r="J1291">
        <v>0</v>
      </c>
      <c r="K1291" t="str">
        <f t="shared" si="359"/>
        <v>Y</v>
      </c>
      <c r="L1291">
        <v>0</v>
      </c>
      <c r="M1291" t="str">
        <f t="shared" si="360"/>
        <v>NIS</v>
      </c>
      <c r="O1291">
        <v>10</v>
      </c>
      <c r="P1291" t="str">
        <f t="shared" si="361"/>
        <v>Active</v>
      </c>
      <c r="Q1291" t="str">
        <f>"Imperial Engraving Package 5710"</f>
        <v>Imperial Engraving Package 5710</v>
      </c>
      <c r="S1291" t="str">
        <f>"Imperial Engraving Package 5710"</f>
        <v>Imperial Engraving Package 5710</v>
      </c>
      <c r="T1291">
        <v>0</v>
      </c>
      <c r="U1291">
        <v>41</v>
      </c>
      <c r="V1291">
        <v>41</v>
      </c>
      <c r="W1291" t="str">
        <f t="shared" si="344"/>
        <v>zintel</v>
      </c>
    </row>
    <row r="1292" spans="1:23">
      <c r="A1292" t="str">
        <f t="shared" si="356"/>
        <v>CNC-8ATC-BNDL</v>
      </c>
      <c r="B1292" t="str">
        <f>"10-9120-0000"</f>
        <v>10-9120-0000</v>
      </c>
      <c r="C1292" t="str">
        <f>"Stock Package, Wax, 3” x 2” x 1.5”– 50 Pcs"</f>
        <v>Stock Package, Wax, 3” x 2” x 1.5”– 50 Pcs</v>
      </c>
      <c r="D1292">
        <v>1</v>
      </c>
      <c r="E1292" t="str">
        <f t="shared" si="357"/>
        <v>ProMILL 8000 bundle</v>
      </c>
      <c r="F1292">
        <v>0</v>
      </c>
      <c r="G1292" t="str">
        <f t="shared" si="358"/>
        <v>Y</v>
      </c>
      <c r="H1292" t="str">
        <f t="shared" si="355"/>
        <v>EA</v>
      </c>
      <c r="I1292">
        <v>0</v>
      </c>
      <c r="J1292">
        <v>0</v>
      </c>
      <c r="K1292" t="str">
        <f t="shared" si="359"/>
        <v>Y</v>
      </c>
      <c r="L1292">
        <v>0</v>
      </c>
      <c r="M1292" t="str">
        <f t="shared" si="360"/>
        <v>NIS</v>
      </c>
      <c r="O1292">
        <v>11</v>
      </c>
      <c r="P1292" t="str">
        <f t="shared" si="361"/>
        <v>Active</v>
      </c>
      <c r="Q1292" t="str">
        <f>"Stock Package, Wax, 3” x 2” x 1.5”– 50 Pcs"</f>
        <v>Stock Package, Wax, 3” x 2” x 1.5”– 50 Pcs</v>
      </c>
      <c r="S1292" t="str">
        <f>"Stock Package, Wax, 3” x 2” x 1.5”– 50 Pcs"</f>
        <v>Stock Package, Wax, 3” x 2” x 1.5”– 50 Pcs</v>
      </c>
      <c r="T1292">
        <v>245</v>
      </c>
      <c r="U1292">
        <v>242.73</v>
      </c>
      <c r="V1292">
        <v>613.89</v>
      </c>
      <c r="W1292" t="str">
        <f t="shared" si="344"/>
        <v>zintel</v>
      </c>
    </row>
    <row r="1293" spans="1:23">
      <c r="A1293" t="str">
        <f t="shared" si="356"/>
        <v>CNC-8ATC-BNDL</v>
      </c>
      <c r="B1293" t="str">
        <f>"10-9160-0000"</f>
        <v>10-9160-0000</v>
      </c>
      <c r="C1293" t="str">
        <f>"Stock Package, Name Badge, Engrave"</f>
        <v>Stock Package, Name Badge, Engrave</v>
      </c>
      <c r="D1293">
        <v>1</v>
      </c>
      <c r="E1293" t="str">
        <f t="shared" si="357"/>
        <v>ProMILL 8000 bundle</v>
      </c>
      <c r="F1293">
        <v>0</v>
      </c>
      <c r="G1293" t="str">
        <f t="shared" si="358"/>
        <v>Y</v>
      </c>
      <c r="H1293" t="str">
        <f t="shared" si="355"/>
        <v>EA</v>
      </c>
      <c r="I1293">
        <v>0</v>
      </c>
      <c r="J1293">
        <v>0</v>
      </c>
      <c r="K1293" t="str">
        <f t="shared" si="359"/>
        <v>Y</v>
      </c>
      <c r="L1293">
        <v>0</v>
      </c>
      <c r="M1293" t="str">
        <f t="shared" si="360"/>
        <v>NIS</v>
      </c>
      <c r="O1293">
        <v>12</v>
      </c>
      <c r="P1293" t="str">
        <f t="shared" si="361"/>
        <v>Active</v>
      </c>
      <c r="Q1293" t="str">
        <f>"Stock Package, Name Badge, Engrave"</f>
        <v>Stock Package, Name Badge, Engrave</v>
      </c>
      <c r="S1293" t="str">
        <f>"Stock Package, Name Badge, Engrave"</f>
        <v>Stock Package, Name Badge, Engrave</v>
      </c>
      <c r="T1293">
        <v>118.88</v>
      </c>
      <c r="U1293">
        <v>150.34</v>
      </c>
      <c r="V1293">
        <v>155.66</v>
      </c>
      <c r="W1293" t="str">
        <f t="shared" si="344"/>
        <v>zintel</v>
      </c>
    </row>
    <row r="1294" spans="1:23">
      <c r="A1294" t="str">
        <f t="shared" si="356"/>
        <v>CNC-8ATC-BNDL</v>
      </c>
      <c r="B1294" t="str">
        <f>"77-8142-0001"</f>
        <v>77-8142-0001</v>
      </c>
      <c r="C1294" t="str">
        <f>"LM7 Content, Lab, CNC Milling w/ProMill 8000"</f>
        <v>LM7 Content, Lab, CNC Milling w/ProMill 8000</v>
      </c>
      <c r="D1294">
        <v>1</v>
      </c>
      <c r="E1294" t="str">
        <f t="shared" si="357"/>
        <v>ProMILL 8000 bundle</v>
      </c>
      <c r="F1294">
        <v>0</v>
      </c>
      <c r="G1294" t="str">
        <f t="shared" si="358"/>
        <v>Y</v>
      </c>
      <c r="H1294" t="str">
        <f t="shared" si="355"/>
        <v>EA</v>
      </c>
      <c r="I1294">
        <v>0</v>
      </c>
      <c r="J1294">
        <v>0</v>
      </c>
      <c r="K1294" t="str">
        <f t="shared" si="359"/>
        <v>Y</v>
      </c>
      <c r="L1294">
        <v>0</v>
      </c>
      <c r="M1294" t="str">
        <f t="shared" si="360"/>
        <v>NIS</v>
      </c>
      <c r="O1294">
        <v>13</v>
      </c>
      <c r="P1294" t="str">
        <f t="shared" si="361"/>
        <v>Active</v>
      </c>
      <c r="Q1294" t="str">
        <f>"LM7 Content, Lab, CNC Milling w/ProMill 8000"</f>
        <v>LM7 Content, Lab, CNC Milling w/ProMill 8000</v>
      </c>
      <c r="S1294" t="str">
        <f>"LM7 Content, Lab, CNC Milling w/ProMill 8000"</f>
        <v>LM7 Content, Lab, CNC Milling w/ProMill 8000</v>
      </c>
      <c r="T1294">
        <v>0</v>
      </c>
      <c r="U1294">
        <v>5</v>
      </c>
      <c r="V1294">
        <v>5</v>
      </c>
      <c r="W1294" t="str">
        <f t="shared" si="344"/>
        <v>zintel</v>
      </c>
    </row>
    <row r="1295" spans="1:23">
      <c r="A1295" t="str">
        <f t="shared" si="356"/>
        <v>CNC-8ATC-BNDL</v>
      </c>
      <c r="B1295" t="str">
        <f>"39-0000-0029"</f>
        <v>39-0000-0029</v>
      </c>
      <c r="C1295" t="str">
        <f>"Safety Glasses, clear"</f>
        <v>Safety Glasses, clear</v>
      </c>
      <c r="D1295">
        <v>2</v>
      </c>
      <c r="E1295" t="str">
        <f t="shared" si="357"/>
        <v>ProMILL 8000 bundle</v>
      </c>
      <c r="F1295">
        <v>0</v>
      </c>
      <c r="G1295" t="str">
        <f t="shared" si="358"/>
        <v>Y</v>
      </c>
      <c r="H1295" t="str">
        <f t="shared" si="355"/>
        <v>EA</v>
      </c>
      <c r="I1295">
        <v>0</v>
      </c>
      <c r="J1295">
        <v>0</v>
      </c>
      <c r="K1295" t="str">
        <f t="shared" si="359"/>
        <v>Y</v>
      </c>
      <c r="L1295">
        <v>0</v>
      </c>
      <c r="M1295" t="str">
        <f t="shared" si="360"/>
        <v>NIS</v>
      </c>
      <c r="O1295">
        <v>14</v>
      </c>
      <c r="P1295" t="str">
        <f t="shared" si="361"/>
        <v>Active</v>
      </c>
      <c r="Q1295" t="str">
        <f>"Safety Glasses, clear"</f>
        <v>Safety Glasses, clear</v>
      </c>
      <c r="R1295" t="str">
        <f>"1"</f>
        <v>1</v>
      </c>
      <c r="S1295" t="str">
        <f>"Safety Glasses, clear"</f>
        <v>Safety Glasses, clear</v>
      </c>
      <c r="T1295">
        <v>3.11</v>
      </c>
      <c r="U1295">
        <v>2.19</v>
      </c>
      <c r="V1295">
        <v>1.78</v>
      </c>
      <c r="W1295" t="str">
        <f t="shared" si="344"/>
        <v>zintel</v>
      </c>
    </row>
    <row r="1296" spans="1:23">
      <c r="A1296" t="str">
        <f t="shared" si="356"/>
        <v>CNC-8ATC-BNDL</v>
      </c>
      <c r="B1296" t="str">
        <f>"63-6789-1000"</f>
        <v>63-6789-1000</v>
      </c>
      <c r="C1296" t="str">
        <f>"CNCMotion Software, All CNC Machines"</f>
        <v>CNCMotion Software, All CNC Machines</v>
      </c>
      <c r="D1296">
        <v>30</v>
      </c>
      <c r="E1296" t="str">
        <f t="shared" si="357"/>
        <v>ProMILL 8000 bundle</v>
      </c>
      <c r="F1296">
        <v>0</v>
      </c>
      <c r="G1296" t="str">
        <f t="shared" si="358"/>
        <v>Y</v>
      </c>
      <c r="H1296" t="str">
        <f t="shared" si="355"/>
        <v>EA</v>
      </c>
      <c r="I1296">
        <v>0</v>
      </c>
      <c r="J1296">
        <v>0</v>
      </c>
      <c r="K1296" t="str">
        <f t="shared" si="359"/>
        <v>Y</v>
      </c>
      <c r="L1296">
        <v>0</v>
      </c>
      <c r="M1296" t="str">
        <f t="shared" si="360"/>
        <v>NIS</v>
      </c>
      <c r="O1296">
        <v>15</v>
      </c>
      <c r="P1296" t="str">
        <f t="shared" si="361"/>
        <v>Active</v>
      </c>
      <c r="Q1296" t="str">
        <f>"CNCMotion Software, All CNC Machinnew CNC Motion"</f>
        <v>CNCMotion Software, All CNC Machinnew CNC Motion</v>
      </c>
      <c r="S1296" t="str">
        <f>"CNCMotion Software, All CNC Machines"</f>
        <v>CNCMotion Software, All CNC Machines</v>
      </c>
      <c r="T1296">
        <v>0</v>
      </c>
      <c r="U1296">
        <v>9.5</v>
      </c>
      <c r="V1296">
        <v>9.8800000000000008</v>
      </c>
      <c r="W1296" t="str">
        <f t="shared" si="344"/>
        <v>zintel</v>
      </c>
    </row>
    <row r="1297" spans="1:23">
      <c r="A1297" t="str">
        <f t="shared" ref="A1297:A1310" si="362">"CNC-9000AC"</f>
        <v>CNC-9000AC</v>
      </c>
      <c r="B1297" t="str">
        <f>"00-5501-0220"</f>
        <v>00-5501-0220</v>
      </c>
      <c r="C1297" t="str">
        <f>"CNC ProTurn 9000 AC 220V"</f>
        <v>CNC ProTurn 9000 AC 220V</v>
      </c>
      <c r="D1297">
        <v>1</v>
      </c>
      <c r="E1297" t="str">
        <f t="shared" ref="E1297:E1310" si="363">"ProTurn 9000AC, AC Servo CNC Turning Center"</f>
        <v>ProTurn 9000AC, AC Servo CNC Turning Center</v>
      </c>
      <c r="F1297">
        <v>912</v>
      </c>
      <c r="G1297" t="str">
        <f t="shared" si="358"/>
        <v>Y</v>
      </c>
      <c r="H1297" t="str">
        <f t="shared" si="355"/>
        <v>EA</v>
      </c>
      <c r="I1297">
        <v>0</v>
      </c>
      <c r="J1297">
        <v>0</v>
      </c>
      <c r="K1297" t="str">
        <f t="shared" si="359"/>
        <v>Y</v>
      </c>
      <c r="L1297">
        <v>0</v>
      </c>
      <c r="M1297" t="str">
        <f t="shared" si="360"/>
        <v>NIS</v>
      </c>
      <c r="O1297">
        <v>1</v>
      </c>
      <c r="P1297" t="str">
        <f t="shared" si="361"/>
        <v>Active</v>
      </c>
      <c r="Q1297" t="str">
        <f>"CNC ProTurn 9000 AC"</f>
        <v>CNC ProTurn 9000 AC</v>
      </c>
      <c r="S1297" t="str">
        <f>"CNC ProTurn 9000 AC 220V"</f>
        <v>CNC ProTurn 9000 AC 220V</v>
      </c>
      <c r="T1297">
        <v>0</v>
      </c>
      <c r="U1297" s="44">
        <v>6204.98</v>
      </c>
      <c r="V1297" s="44">
        <v>6570.68</v>
      </c>
      <c r="W1297" t="str">
        <f t="shared" si="344"/>
        <v>zintel</v>
      </c>
    </row>
    <row r="1298" spans="1:23">
      <c r="A1298" t="str">
        <f t="shared" si="362"/>
        <v>CNC-9000AC</v>
      </c>
      <c r="B1298" t="str">
        <f>"10-1110-1000"</f>
        <v>10-1110-1000</v>
      </c>
      <c r="C1298" t="str">
        <f>"10 x 10mm cutter tool holder"</f>
        <v>10 x 10mm cutter tool holder</v>
      </c>
      <c r="D1298">
        <v>1</v>
      </c>
      <c r="E1298" t="str">
        <f t="shared" si="363"/>
        <v>ProTurn 9000AC, AC Servo CNC Turning Center</v>
      </c>
      <c r="F1298">
        <v>912</v>
      </c>
      <c r="G1298" t="str">
        <f t="shared" si="358"/>
        <v>Y</v>
      </c>
      <c r="H1298" t="str">
        <f t="shared" si="355"/>
        <v>EA</v>
      </c>
      <c r="I1298">
        <v>0</v>
      </c>
      <c r="J1298">
        <v>0</v>
      </c>
      <c r="K1298" t="str">
        <f t="shared" si="359"/>
        <v>Y</v>
      </c>
      <c r="L1298">
        <v>0</v>
      </c>
      <c r="M1298" t="str">
        <f t="shared" si="360"/>
        <v>NIS</v>
      </c>
      <c r="O1298">
        <v>3</v>
      </c>
      <c r="P1298" t="str">
        <f t="shared" si="361"/>
        <v>Active</v>
      </c>
      <c r="Q1298" t="str">
        <f>"10x10mm TiN coated cutter set (replaceable tip)"</f>
        <v>10x10mm TiN coated cutter set (replaceable tip)</v>
      </c>
      <c r="S1298" t="str">
        <f>"10x10mm TiN coated cutter set (replaceable tip)"</f>
        <v>10x10mm TiN coated cutter set (replaceable tip)</v>
      </c>
      <c r="T1298">
        <v>0</v>
      </c>
      <c r="U1298">
        <v>65</v>
      </c>
      <c r="V1298">
        <v>65.540000000000006</v>
      </c>
      <c r="W1298" t="str">
        <f t="shared" si="344"/>
        <v>zintel</v>
      </c>
    </row>
    <row r="1299" spans="1:23">
      <c r="A1299" t="str">
        <f t="shared" si="362"/>
        <v>CNC-9000AC</v>
      </c>
      <c r="B1299" t="str">
        <f>"10-1110-2000"</f>
        <v>10-1110-2000</v>
      </c>
      <c r="C1299" t="str">
        <f>"TiN coated tip for 011101"</f>
        <v>TiN coated tip for 011101</v>
      </c>
      <c r="D1299">
        <v>1</v>
      </c>
      <c r="E1299" t="str">
        <f t="shared" si="363"/>
        <v>ProTurn 9000AC, AC Servo CNC Turning Center</v>
      </c>
      <c r="F1299">
        <v>912</v>
      </c>
      <c r="G1299" t="str">
        <f t="shared" si="358"/>
        <v>Y</v>
      </c>
      <c r="H1299" t="str">
        <f t="shared" si="355"/>
        <v>EA</v>
      </c>
      <c r="I1299">
        <v>0</v>
      </c>
      <c r="J1299">
        <v>0</v>
      </c>
      <c r="K1299" t="str">
        <f t="shared" si="359"/>
        <v>Y</v>
      </c>
      <c r="L1299">
        <v>0</v>
      </c>
      <c r="M1299" t="str">
        <f t="shared" si="360"/>
        <v>NIS</v>
      </c>
      <c r="O1299">
        <v>4</v>
      </c>
      <c r="P1299" t="str">
        <f t="shared" si="361"/>
        <v>Active</v>
      </c>
      <c r="Q1299" t="str">
        <f>"TiN coated tip for 011102"</f>
        <v>TiN coated tip for 011102</v>
      </c>
      <c r="S1299" t="str">
        <f>"TiN coated tip for 011101"</f>
        <v>TiN coated tip for 011101</v>
      </c>
      <c r="T1299">
        <v>0</v>
      </c>
      <c r="U1299">
        <v>42</v>
      </c>
      <c r="V1299">
        <v>41.71</v>
      </c>
      <c r="W1299" t="str">
        <f t="shared" si="344"/>
        <v>zintel</v>
      </c>
    </row>
    <row r="1300" spans="1:23">
      <c r="A1300" t="str">
        <f t="shared" si="362"/>
        <v>CNC-9000AC</v>
      </c>
      <c r="B1300" t="str">
        <f>"10-1105-5000"</f>
        <v>10-1105-5000</v>
      </c>
      <c r="C1300" t="str">
        <f>"Computer and monitor attachment"</f>
        <v>Computer and monitor attachment</v>
      </c>
      <c r="D1300">
        <v>1</v>
      </c>
      <c r="E1300" t="str">
        <f t="shared" si="363"/>
        <v>ProTurn 9000AC, AC Servo CNC Turning Center</v>
      </c>
      <c r="F1300">
        <v>912</v>
      </c>
      <c r="G1300" t="str">
        <f t="shared" si="358"/>
        <v>Y</v>
      </c>
      <c r="H1300" t="str">
        <f t="shared" si="355"/>
        <v>EA</v>
      </c>
      <c r="I1300">
        <v>0</v>
      </c>
      <c r="J1300">
        <v>0</v>
      </c>
      <c r="K1300" t="str">
        <f t="shared" si="359"/>
        <v>Y</v>
      </c>
      <c r="L1300">
        <v>0</v>
      </c>
      <c r="M1300" t="str">
        <f t="shared" si="360"/>
        <v>NIS</v>
      </c>
      <c r="O1300">
        <v>12</v>
      </c>
      <c r="P1300" t="str">
        <f t="shared" si="361"/>
        <v>Active</v>
      </c>
      <c r="Q1300" t="str">
        <f>"Computer and monitor stand (attached to machine)"</f>
        <v>Computer and monitor stand (attached to machine)</v>
      </c>
      <c r="S1300" t="str">
        <f>"Computer and monitor stand (attached to machine)"</f>
        <v>Computer and monitor stand (attached to machine)</v>
      </c>
      <c r="T1300">
        <v>0</v>
      </c>
      <c r="U1300">
        <v>105.36</v>
      </c>
      <c r="V1300">
        <v>103.02</v>
      </c>
      <c r="W1300" t="str">
        <f t="shared" si="344"/>
        <v>zintel</v>
      </c>
    </row>
    <row r="1301" spans="1:23">
      <c r="A1301" t="str">
        <f t="shared" si="362"/>
        <v>CNC-9000AC</v>
      </c>
      <c r="B1301" t="str">
        <f>"10-1105-9000"</f>
        <v>10-1105-9000</v>
      </c>
      <c r="C1301" t="str">
        <f>"- 125mm 4 independent jaw chuck"</f>
        <v>- 125mm 4 independent jaw chuck</v>
      </c>
      <c r="D1301">
        <v>1</v>
      </c>
      <c r="E1301" t="str">
        <f t="shared" si="363"/>
        <v>ProTurn 9000AC, AC Servo CNC Turning Center</v>
      </c>
      <c r="F1301">
        <v>912</v>
      </c>
      <c r="G1301" t="str">
        <f t="shared" si="358"/>
        <v>Y</v>
      </c>
      <c r="H1301" t="str">
        <f t="shared" si="355"/>
        <v>EA</v>
      </c>
      <c r="I1301">
        <v>0</v>
      </c>
      <c r="J1301">
        <v>0</v>
      </c>
      <c r="K1301" t="str">
        <f t="shared" si="359"/>
        <v>Y</v>
      </c>
      <c r="L1301">
        <v>0</v>
      </c>
      <c r="M1301" t="str">
        <f t="shared" si="360"/>
        <v>NIS</v>
      </c>
      <c r="N1301" t="str">
        <f>"Y"</f>
        <v>Y</v>
      </c>
      <c r="O1301">
        <v>5</v>
      </c>
      <c r="P1301" t="str">
        <f t="shared" si="361"/>
        <v>Active</v>
      </c>
      <c r="Q1301" t="str">
        <f>"125mm 4-jaw chuck (independent) with flange"</f>
        <v>125mm 4-jaw chuck (independent) with flange</v>
      </c>
      <c r="S1301" t="str">
        <f>"125mm 4-jaw chuck (independent) with flange"</f>
        <v>125mm 4-jaw chuck (independent) with flange</v>
      </c>
      <c r="T1301">
        <v>0</v>
      </c>
      <c r="U1301">
        <v>70.25</v>
      </c>
      <c r="V1301">
        <v>76.2</v>
      </c>
      <c r="W1301" t="str">
        <f t="shared" ref="W1301:W1351" si="364">"zintel"</f>
        <v>zintel</v>
      </c>
    </row>
    <row r="1302" spans="1:23">
      <c r="A1302" t="str">
        <f t="shared" si="362"/>
        <v>CNC-9000AC</v>
      </c>
      <c r="B1302" t="str">
        <f>"10-1106-6000"</f>
        <v>10-1106-6000</v>
      </c>
      <c r="C1302" t="str">
        <f>"- Rolling center"</f>
        <v>- Rolling center</v>
      </c>
      <c r="D1302">
        <v>1</v>
      </c>
      <c r="E1302" t="str">
        <f t="shared" si="363"/>
        <v>ProTurn 9000AC, AC Servo CNC Turning Center</v>
      </c>
      <c r="F1302">
        <v>912</v>
      </c>
      <c r="G1302" t="str">
        <f t="shared" si="358"/>
        <v>Y</v>
      </c>
      <c r="H1302" t="str">
        <f t="shared" si="355"/>
        <v>EA</v>
      </c>
      <c r="I1302">
        <v>0</v>
      </c>
      <c r="J1302">
        <v>0</v>
      </c>
      <c r="K1302" t="str">
        <f t="shared" si="359"/>
        <v>Y</v>
      </c>
      <c r="L1302">
        <v>0</v>
      </c>
      <c r="M1302" t="str">
        <f t="shared" si="360"/>
        <v>NIS</v>
      </c>
      <c r="O1302">
        <v>6</v>
      </c>
      <c r="P1302" t="str">
        <f t="shared" si="361"/>
        <v>Active</v>
      </c>
      <c r="Q1302" t="str">
        <f>"Rolling center"</f>
        <v>Rolling center</v>
      </c>
      <c r="S1302" t="str">
        <f>"Rolling center"</f>
        <v>Rolling center</v>
      </c>
      <c r="T1302">
        <v>0</v>
      </c>
      <c r="U1302">
        <v>23.42</v>
      </c>
      <c r="V1302">
        <v>23.55</v>
      </c>
      <c r="W1302" t="str">
        <f t="shared" si="364"/>
        <v>zintel</v>
      </c>
    </row>
    <row r="1303" spans="1:23">
      <c r="A1303" t="str">
        <f t="shared" si="362"/>
        <v>CNC-9000AC</v>
      </c>
      <c r="B1303" t="str">
        <f>"10-1105-7000"</f>
        <v>10-1105-7000</v>
      </c>
      <c r="C1303" t="str">
        <f>"Drill Chuck for Tailstock"</f>
        <v>Drill Chuck for Tailstock</v>
      </c>
      <c r="D1303">
        <v>1</v>
      </c>
      <c r="E1303" t="str">
        <f t="shared" si="363"/>
        <v>ProTurn 9000AC, AC Servo CNC Turning Center</v>
      </c>
      <c r="F1303">
        <v>912</v>
      </c>
      <c r="G1303" t="str">
        <f t="shared" si="358"/>
        <v>Y</v>
      </c>
      <c r="H1303" t="str">
        <f t="shared" si="355"/>
        <v>EA</v>
      </c>
      <c r="I1303">
        <v>0</v>
      </c>
      <c r="J1303">
        <v>0</v>
      </c>
      <c r="K1303" t="str">
        <f t="shared" si="359"/>
        <v>Y</v>
      </c>
      <c r="L1303">
        <v>0</v>
      </c>
      <c r="M1303" t="str">
        <f t="shared" si="360"/>
        <v>NIS</v>
      </c>
      <c r="O1303">
        <v>7</v>
      </c>
      <c r="P1303" t="str">
        <f t="shared" si="361"/>
        <v>Active</v>
      </c>
      <c r="Q1303" t="str">
        <f>"Tailstock extender MT2 13mm tailstock chuck"</f>
        <v>Tailstock extender MT2 13mm tailstock chuck</v>
      </c>
      <c r="S1303" t="str">
        <f>"Drill Chuck for Tailstock MT2 13mm"</f>
        <v>Drill Chuck for Tailstock MT2 13mm</v>
      </c>
      <c r="T1303">
        <v>0</v>
      </c>
      <c r="U1303">
        <v>21.07</v>
      </c>
      <c r="V1303">
        <v>23.52</v>
      </c>
      <c r="W1303" t="str">
        <f t="shared" si="364"/>
        <v>zintel</v>
      </c>
    </row>
    <row r="1304" spans="1:23">
      <c r="A1304" t="str">
        <f t="shared" si="362"/>
        <v>CNC-9000AC</v>
      </c>
      <c r="B1304" t="str">
        <f>"10-1111-1000"</f>
        <v>10-1111-1000</v>
      </c>
      <c r="C1304" t="str">
        <f>"- Handwheel - Manual Control"</f>
        <v>- Handwheel - Manual Control</v>
      </c>
      <c r="D1304">
        <v>1</v>
      </c>
      <c r="E1304" t="str">
        <f t="shared" si="363"/>
        <v>ProTurn 9000AC, AC Servo CNC Turning Center</v>
      </c>
      <c r="F1304">
        <v>912</v>
      </c>
      <c r="G1304" t="str">
        <f t="shared" si="358"/>
        <v>Y</v>
      </c>
      <c r="H1304" t="str">
        <f t="shared" si="355"/>
        <v>EA</v>
      </c>
      <c r="I1304">
        <v>0</v>
      </c>
      <c r="J1304">
        <v>0</v>
      </c>
      <c r="K1304" t="str">
        <f t="shared" si="359"/>
        <v>Y</v>
      </c>
      <c r="L1304">
        <v>0</v>
      </c>
      <c r="M1304" t="str">
        <f t="shared" si="360"/>
        <v>NIS</v>
      </c>
      <c r="O1304">
        <v>10</v>
      </c>
      <c r="P1304" t="str">
        <f t="shared" si="361"/>
        <v>Active</v>
      </c>
      <c r="Q1304" t="str">
        <f>"Hand wheel"</f>
        <v>Hand wheel</v>
      </c>
      <c r="S1304" t="str">
        <f>"Jog Pendant Handwheel"</f>
        <v>Jog Pendant Handwheel</v>
      </c>
      <c r="T1304">
        <v>0</v>
      </c>
      <c r="U1304">
        <v>235</v>
      </c>
      <c r="V1304">
        <v>235.03</v>
      </c>
      <c r="W1304" t="str">
        <f t="shared" si="364"/>
        <v>zintel</v>
      </c>
    </row>
    <row r="1305" spans="1:23">
      <c r="A1305" t="str">
        <f t="shared" si="362"/>
        <v>CNC-9000AC</v>
      </c>
      <c r="B1305" t="str">
        <f>"10-1108-1220"</f>
        <v>10-1108-1220</v>
      </c>
      <c r="C1305" t="str">
        <f>"- Coolant system 27L -220V"</f>
        <v>- Coolant system 27L -220V</v>
      </c>
      <c r="D1305">
        <v>1</v>
      </c>
      <c r="E1305" t="str">
        <f t="shared" si="363"/>
        <v>ProTurn 9000AC, AC Servo CNC Turning Center</v>
      </c>
      <c r="F1305">
        <v>912</v>
      </c>
      <c r="G1305" t="str">
        <f t="shared" si="358"/>
        <v>Y</v>
      </c>
      <c r="H1305" t="str">
        <f t="shared" si="355"/>
        <v>EA</v>
      </c>
      <c r="I1305">
        <v>0</v>
      </c>
      <c r="J1305">
        <v>0</v>
      </c>
      <c r="K1305" t="str">
        <f t="shared" si="359"/>
        <v>Y</v>
      </c>
      <c r="L1305">
        <v>0</v>
      </c>
      <c r="M1305" t="str">
        <f t="shared" si="360"/>
        <v>NIS</v>
      </c>
      <c r="O1305">
        <v>11</v>
      </c>
      <c r="P1305" t="str">
        <f t="shared" si="361"/>
        <v>Active</v>
      </c>
      <c r="Q1305" t="str">
        <f>"Coolant system 27L"</f>
        <v>Coolant system 27L</v>
      </c>
      <c r="S1305" t="str">
        <f>"Coolant system 27L - 220V"</f>
        <v>Coolant system 27L - 220V</v>
      </c>
      <c r="T1305">
        <v>0</v>
      </c>
      <c r="U1305">
        <v>117.08</v>
      </c>
      <c r="V1305">
        <v>117.15</v>
      </c>
      <c r="W1305" t="str">
        <f t="shared" si="364"/>
        <v>zintel</v>
      </c>
    </row>
    <row r="1306" spans="1:23">
      <c r="A1306" t="str">
        <f t="shared" si="362"/>
        <v>CNC-9000AC</v>
      </c>
      <c r="B1306" t="str">
        <f>"10-1115-1000"</f>
        <v>10-1115-1000</v>
      </c>
      <c r="C1306" t="str">
        <f>"- Fanuc Emulator panel and stand"</f>
        <v>- Fanuc Emulator panel and stand</v>
      </c>
      <c r="D1306">
        <v>1</v>
      </c>
      <c r="E1306" t="str">
        <f t="shared" si="363"/>
        <v>ProTurn 9000AC, AC Servo CNC Turning Center</v>
      </c>
      <c r="F1306">
        <v>912</v>
      </c>
      <c r="G1306" t="str">
        <f t="shared" si="358"/>
        <v>Y</v>
      </c>
      <c r="H1306" t="str">
        <f t="shared" si="355"/>
        <v>EA</v>
      </c>
      <c r="I1306">
        <v>0</v>
      </c>
      <c r="J1306">
        <v>0</v>
      </c>
      <c r="K1306" t="str">
        <f t="shared" si="359"/>
        <v>Y</v>
      </c>
      <c r="L1306">
        <v>0</v>
      </c>
      <c r="M1306" t="str">
        <f t="shared" si="360"/>
        <v>NIS</v>
      </c>
      <c r="N1306" t="str">
        <f>"Y"</f>
        <v>Y</v>
      </c>
      <c r="O1306">
        <v>13</v>
      </c>
      <c r="P1306" t="str">
        <f t="shared" si="361"/>
        <v>Active</v>
      </c>
      <c r="Q1306" t="str">
        <f>"Fanuc Emulator panel and stand"</f>
        <v>Fanuc Emulator panel and stand</v>
      </c>
      <c r="S1306" t="str">
        <f>"Fanuc Emulator panel and stand"</f>
        <v>Fanuc Emulator panel and stand</v>
      </c>
      <c r="T1306">
        <v>0</v>
      </c>
      <c r="U1306">
        <v>804.8</v>
      </c>
      <c r="V1306">
        <v>791.17</v>
      </c>
      <c r="W1306" t="str">
        <f t="shared" si="364"/>
        <v>zintel</v>
      </c>
    </row>
    <row r="1307" spans="1:23">
      <c r="A1307" t="str">
        <f t="shared" si="362"/>
        <v>CNC-9000AC</v>
      </c>
      <c r="B1307" t="str">
        <f>"10-1106-0000"</f>
        <v>10-1106-0000</v>
      </c>
      <c r="C1307" t="str">
        <f>"- 11pcs Cutter set 10 x 10mmt"</f>
        <v>- 11pcs Cutter set 10 x 10mmt</v>
      </c>
      <c r="D1307">
        <v>1</v>
      </c>
      <c r="E1307" t="str">
        <f t="shared" si="363"/>
        <v>ProTurn 9000AC, AC Servo CNC Turning Center</v>
      </c>
      <c r="F1307">
        <v>912</v>
      </c>
      <c r="G1307" t="str">
        <f t="shared" si="358"/>
        <v>Y</v>
      </c>
      <c r="H1307" t="str">
        <f t="shared" si="355"/>
        <v>EA</v>
      </c>
      <c r="I1307">
        <v>0</v>
      </c>
      <c r="J1307">
        <v>0</v>
      </c>
      <c r="K1307" t="str">
        <f t="shared" si="359"/>
        <v>Y</v>
      </c>
      <c r="L1307">
        <v>0</v>
      </c>
      <c r="M1307" t="str">
        <f t="shared" si="360"/>
        <v>NIS</v>
      </c>
      <c r="N1307" t="str">
        <f>"Y"</f>
        <v>Y</v>
      </c>
      <c r="O1307">
        <v>2</v>
      </c>
      <c r="P1307" t="str">
        <f t="shared" si="361"/>
        <v>Active</v>
      </c>
      <c r="Q1307" t="str">
        <f>"10 x 10mm cutter 11pcs set"</f>
        <v>10 x 10mm cutter 11pcs set</v>
      </c>
      <c r="S1307" t="str">
        <f>"10 x 10mm cutter 11pcs set"</f>
        <v>10 x 10mm cutter 11pcs set</v>
      </c>
      <c r="T1307">
        <v>0</v>
      </c>
      <c r="U1307">
        <v>36.29</v>
      </c>
      <c r="V1307">
        <v>42.51</v>
      </c>
      <c r="W1307" t="str">
        <f t="shared" si="364"/>
        <v>zintel</v>
      </c>
    </row>
    <row r="1308" spans="1:23">
      <c r="A1308" t="str">
        <f t="shared" si="362"/>
        <v>CNC-9000AC</v>
      </c>
      <c r="B1308" t="str">
        <f>"63-9001-1000"</f>
        <v>63-9001-1000</v>
      </c>
      <c r="C1308" t="str">
        <f>"-CNCMotion for ProTurn 9000"</f>
        <v>-CNCMotion for ProTurn 9000</v>
      </c>
      <c r="D1308">
        <v>1</v>
      </c>
      <c r="E1308" t="str">
        <f t="shared" si="363"/>
        <v>ProTurn 9000AC, AC Servo CNC Turning Center</v>
      </c>
      <c r="F1308">
        <v>912</v>
      </c>
      <c r="G1308" t="str">
        <f t="shared" si="358"/>
        <v>Y</v>
      </c>
      <c r="H1308" t="str">
        <f t="shared" si="355"/>
        <v>EA</v>
      </c>
      <c r="I1308">
        <v>0</v>
      </c>
      <c r="J1308">
        <v>0</v>
      </c>
      <c r="K1308" t="str">
        <f t="shared" si="359"/>
        <v>Y</v>
      </c>
      <c r="L1308">
        <v>0</v>
      </c>
      <c r="M1308" t="str">
        <f t="shared" si="360"/>
        <v>NIS</v>
      </c>
      <c r="O1308">
        <v>14</v>
      </c>
      <c r="P1308" t="str">
        <f t="shared" si="361"/>
        <v>Active</v>
      </c>
      <c r="Q1308" t="str">
        <f>"CNCMotion Sim. Sftwr, ProTurn 9000"</f>
        <v>CNCMotion Sim. Sftwr, ProTurn 9000</v>
      </c>
      <c r="S1308" t="str">
        <f>"CNCMotion Sim. Sftwr, ProTurn 9000"</f>
        <v>CNCMotion Sim. Sftwr, ProTurn 9000</v>
      </c>
      <c r="T1308">
        <v>0</v>
      </c>
      <c r="U1308">
        <v>10</v>
      </c>
      <c r="V1308">
        <v>0</v>
      </c>
      <c r="W1308" t="str">
        <f t="shared" si="364"/>
        <v>zintel</v>
      </c>
    </row>
    <row r="1309" spans="1:23">
      <c r="A1309" t="str">
        <f t="shared" si="362"/>
        <v>CNC-9000AC</v>
      </c>
      <c r="B1309" t="str">
        <f>"10-1106-4000"</f>
        <v>10-1106-4000</v>
      </c>
      <c r="C1309" t="str">
        <f>"- Steady rest ProTurn 9000"</f>
        <v>- Steady rest ProTurn 9000</v>
      </c>
      <c r="D1309">
        <v>1</v>
      </c>
      <c r="E1309" t="str">
        <f t="shared" si="363"/>
        <v>ProTurn 9000AC, AC Servo CNC Turning Center</v>
      </c>
      <c r="F1309">
        <v>912</v>
      </c>
      <c r="G1309" t="str">
        <f t="shared" si="358"/>
        <v>Y</v>
      </c>
      <c r="H1309" t="str">
        <f t="shared" si="355"/>
        <v>EA</v>
      </c>
      <c r="I1309">
        <v>0</v>
      </c>
      <c r="J1309">
        <v>0</v>
      </c>
      <c r="K1309" t="str">
        <f t="shared" si="359"/>
        <v>Y</v>
      </c>
      <c r="L1309">
        <v>0</v>
      </c>
      <c r="M1309" t="str">
        <f t="shared" si="360"/>
        <v>NIS</v>
      </c>
      <c r="N1309" t="str">
        <f>"Y"</f>
        <v>Y</v>
      </c>
      <c r="O1309">
        <v>8</v>
      </c>
      <c r="P1309" t="str">
        <f>"Inactive"</f>
        <v>Inactive</v>
      </c>
      <c r="Q1309" t="str">
        <f>"Steady rest ProTurn 9000"</f>
        <v>Steady rest ProTurn 9000</v>
      </c>
      <c r="S1309" t="str">
        <f>"Steady rest ProTurn 9000"</f>
        <v>Steady rest ProTurn 9000</v>
      </c>
      <c r="T1309">
        <v>0</v>
      </c>
      <c r="U1309">
        <v>35.119999999999997</v>
      </c>
      <c r="V1309">
        <v>37</v>
      </c>
      <c r="W1309" t="str">
        <f t="shared" si="364"/>
        <v>zintel</v>
      </c>
    </row>
    <row r="1310" spans="1:23">
      <c r="A1310" t="str">
        <f t="shared" si="362"/>
        <v>CNC-9000AC</v>
      </c>
      <c r="B1310" t="str">
        <f>"10-9350-0000"</f>
        <v>10-9350-0000</v>
      </c>
      <c r="C1310" t="str">
        <f>"Stock Package, Machinable Wax, Turn, 1""x 12"""</f>
        <v>Stock Package, Machinable Wax, Turn, 1"x 12"</v>
      </c>
      <c r="D1310">
        <v>1</v>
      </c>
      <c r="E1310" t="str">
        <f t="shared" si="363"/>
        <v>ProTurn 9000AC, AC Servo CNC Turning Center</v>
      </c>
      <c r="F1310">
        <v>912</v>
      </c>
      <c r="G1310" t="str">
        <f t="shared" si="358"/>
        <v>Y</v>
      </c>
      <c r="H1310" t="str">
        <f t="shared" si="355"/>
        <v>EA</v>
      </c>
      <c r="I1310">
        <v>0</v>
      </c>
      <c r="J1310">
        <v>0</v>
      </c>
      <c r="K1310" t="str">
        <f t="shared" si="359"/>
        <v>Y</v>
      </c>
      <c r="L1310">
        <v>0</v>
      </c>
      <c r="M1310" t="str">
        <f t="shared" si="360"/>
        <v>NIS</v>
      </c>
      <c r="O1310">
        <v>9</v>
      </c>
      <c r="P1310" t="str">
        <f t="shared" ref="P1310:P1319" si="365">"Active"</f>
        <v>Active</v>
      </c>
      <c r="Q1310" t="str">
        <f>"Stock Package, Machinable Wax, Turn, 1""x 12"""</f>
        <v>Stock Package, Machinable Wax, Turn, 1"x 12"</v>
      </c>
      <c r="S1310" t="str">
        <f>"Stock Package, Machinable Wax, Turn, 1""x 12"""</f>
        <v>Stock Package, Machinable Wax, Turn, 1"x 12"</v>
      </c>
      <c r="T1310">
        <v>166.2</v>
      </c>
      <c r="U1310">
        <v>167</v>
      </c>
      <c r="V1310">
        <v>336.18</v>
      </c>
      <c r="W1310" t="str">
        <f t="shared" si="364"/>
        <v>zintel</v>
      </c>
    </row>
    <row r="1311" spans="1:23">
      <c r="A1311" t="str">
        <f t="shared" ref="A1311:A1321" si="366">"CNC-9000AC-S"</f>
        <v>CNC-9000AC-S</v>
      </c>
      <c r="B1311" t="str">
        <f>"00-5503-0220"</f>
        <v>00-5503-0220</v>
      </c>
      <c r="C1311" t="str">
        <f>"CNC ProTurn 9000 AC-S 220V &amp; shelf"</f>
        <v>CNC ProTurn 9000 AC-S 220V &amp; shelf</v>
      </c>
      <c r="D1311">
        <v>1</v>
      </c>
      <c r="E1311" t="str">
        <f t="shared" ref="E1311:E1321" si="367">"ProTurn 9000AC-S - CNC Turning Center with Siemens Control - Advanced Package"</f>
        <v>ProTurn 9000AC-S - CNC Turning Center with Siemens Control - Advanced Package</v>
      </c>
      <c r="F1311">
        <v>913</v>
      </c>
      <c r="G1311" t="str">
        <f t="shared" si="358"/>
        <v>Y</v>
      </c>
      <c r="H1311" t="str">
        <f t="shared" si="355"/>
        <v>EA</v>
      </c>
      <c r="I1311">
        <v>0</v>
      </c>
      <c r="J1311">
        <v>0</v>
      </c>
      <c r="K1311" t="str">
        <f t="shared" si="359"/>
        <v>Y</v>
      </c>
      <c r="L1311">
        <v>0</v>
      </c>
      <c r="M1311" t="str">
        <f t="shared" si="360"/>
        <v>NIS</v>
      </c>
      <c r="O1311">
        <v>1</v>
      </c>
      <c r="P1311" t="str">
        <f t="shared" si="365"/>
        <v>Active</v>
      </c>
      <c r="Q1311" t="str">
        <f>"CNC ProTurn 9000 AC-S"</f>
        <v>CNC ProTurn 9000 AC-S</v>
      </c>
      <c r="S1311" t="str">
        <f>"ProTurn 9000 AC-S 220V &amp; shelf"</f>
        <v>ProTurn 9000 AC-S 220V &amp; shelf</v>
      </c>
      <c r="T1311">
        <v>0</v>
      </c>
      <c r="U1311" s="44">
        <v>7844.03</v>
      </c>
      <c r="V1311" s="44">
        <v>8971.2999999999993</v>
      </c>
      <c r="W1311" t="str">
        <f t="shared" si="364"/>
        <v>zintel</v>
      </c>
    </row>
    <row r="1312" spans="1:23">
      <c r="A1312" t="str">
        <f t="shared" si="366"/>
        <v>CNC-9000AC-S</v>
      </c>
      <c r="B1312" t="str">
        <f>"10-1110-1000"</f>
        <v>10-1110-1000</v>
      </c>
      <c r="C1312" t="str">
        <f>"10 x 10mm cutter tool holder"</f>
        <v>10 x 10mm cutter tool holder</v>
      </c>
      <c r="D1312">
        <v>1</v>
      </c>
      <c r="E1312" t="str">
        <f t="shared" si="367"/>
        <v>ProTurn 9000AC-S - CNC Turning Center with Siemens Control - Advanced Package</v>
      </c>
      <c r="F1312">
        <v>913</v>
      </c>
      <c r="G1312" t="str">
        <f t="shared" si="358"/>
        <v>Y</v>
      </c>
      <c r="H1312" t="str">
        <f t="shared" si="355"/>
        <v>EA</v>
      </c>
      <c r="I1312">
        <v>0</v>
      </c>
      <c r="J1312">
        <v>0</v>
      </c>
      <c r="K1312" t="str">
        <f t="shared" si="359"/>
        <v>Y</v>
      </c>
      <c r="L1312">
        <v>0</v>
      </c>
      <c r="M1312" t="str">
        <f t="shared" si="360"/>
        <v>NIS</v>
      </c>
      <c r="O1312">
        <v>3</v>
      </c>
      <c r="P1312" t="str">
        <f t="shared" si="365"/>
        <v>Active</v>
      </c>
      <c r="Q1312" t="str">
        <f>"10x10mm TiN coated cutter set (replaceable tip)"</f>
        <v>10x10mm TiN coated cutter set (replaceable tip)</v>
      </c>
      <c r="S1312" t="str">
        <f>"10x10mm TiN coated cutter set (replaceable tip)"</f>
        <v>10x10mm TiN coated cutter set (replaceable tip)</v>
      </c>
      <c r="T1312">
        <v>0</v>
      </c>
      <c r="U1312">
        <v>65</v>
      </c>
      <c r="V1312">
        <v>65.540000000000006</v>
      </c>
      <c r="W1312" t="str">
        <f t="shared" si="364"/>
        <v>zintel</v>
      </c>
    </row>
    <row r="1313" spans="1:23">
      <c r="A1313" t="str">
        <f t="shared" si="366"/>
        <v>CNC-9000AC-S</v>
      </c>
      <c r="B1313" t="str">
        <f>"10-1110-2000"</f>
        <v>10-1110-2000</v>
      </c>
      <c r="C1313" t="str">
        <f>"TiN coated tip for 011101"</f>
        <v>TiN coated tip for 011101</v>
      </c>
      <c r="D1313">
        <v>1</v>
      </c>
      <c r="E1313" t="str">
        <f t="shared" si="367"/>
        <v>ProTurn 9000AC-S - CNC Turning Center with Siemens Control - Advanced Package</v>
      </c>
      <c r="F1313">
        <v>913</v>
      </c>
      <c r="G1313" t="str">
        <f t="shared" si="358"/>
        <v>Y</v>
      </c>
      <c r="H1313" t="str">
        <f t="shared" si="355"/>
        <v>EA</v>
      </c>
      <c r="I1313">
        <v>0</v>
      </c>
      <c r="J1313">
        <v>0</v>
      </c>
      <c r="K1313" t="str">
        <f t="shared" si="359"/>
        <v>Y</v>
      </c>
      <c r="L1313">
        <v>0</v>
      </c>
      <c r="M1313" t="str">
        <f t="shared" si="360"/>
        <v>NIS</v>
      </c>
      <c r="O1313">
        <v>4</v>
      </c>
      <c r="P1313" t="str">
        <f t="shared" si="365"/>
        <v>Active</v>
      </c>
      <c r="Q1313" t="str">
        <f>"TiN coated tip for 011102"</f>
        <v>TiN coated tip for 011102</v>
      </c>
      <c r="S1313" t="str">
        <f>"TiN coated tip for 011101"</f>
        <v>TiN coated tip for 011101</v>
      </c>
      <c r="T1313">
        <v>0</v>
      </c>
      <c r="U1313">
        <v>42</v>
      </c>
      <c r="V1313">
        <v>41.71</v>
      </c>
      <c r="W1313" t="str">
        <f t="shared" si="364"/>
        <v>zintel</v>
      </c>
    </row>
    <row r="1314" spans="1:23">
      <c r="A1314" t="str">
        <f t="shared" si="366"/>
        <v>CNC-9000AC-S</v>
      </c>
      <c r="B1314" t="str">
        <f>"10-1105-9000"</f>
        <v>10-1105-9000</v>
      </c>
      <c r="C1314" t="str">
        <f>"- 125mm 4 independent jaw chuck"</f>
        <v>- 125mm 4 independent jaw chuck</v>
      </c>
      <c r="D1314">
        <v>1</v>
      </c>
      <c r="E1314" t="str">
        <f t="shared" si="367"/>
        <v>ProTurn 9000AC-S - CNC Turning Center with Siemens Control - Advanced Package</v>
      </c>
      <c r="F1314">
        <v>913</v>
      </c>
      <c r="G1314" t="str">
        <f t="shared" si="358"/>
        <v>Y</v>
      </c>
      <c r="H1314" t="str">
        <f t="shared" si="355"/>
        <v>EA</v>
      </c>
      <c r="I1314">
        <v>0</v>
      </c>
      <c r="J1314">
        <v>0</v>
      </c>
      <c r="K1314" t="str">
        <f t="shared" si="359"/>
        <v>Y</v>
      </c>
      <c r="L1314">
        <v>0</v>
      </c>
      <c r="M1314" t="str">
        <f t="shared" si="360"/>
        <v>NIS</v>
      </c>
      <c r="O1314">
        <v>5</v>
      </c>
      <c r="P1314" t="str">
        <f t="shared" si="365"/>
        <v>Active</v>
      </c>
      <c r="Q1314" t="str">
        <f>"125mm 4-jaw chuck (independent) with flange"</f>
        <v>125mm 4-jaw chuck (independent) with flange</v>
      </c>
      <c r="S1314" t="str">
        <f>"125mm 4-jaw chuck (independent) with flange"</f>
        <v>125mm 4-jaw chuck (independent) with flange</v>
      </c>
      <c r="T1314">
        <v>0</v>
      </c>
      <c r="U1314">
        <v>70.25</v>
      </c>
      <c r="V1314">
        <v>76.2</v>
      </c>
      <c r="W1314" t="str">
        <f t="shared" si="364"/>
        <v>zintel</v>
      </c>
    </row>
    <row r="1315" spans="1:23">
      <c r="A1315" t="str">
        <f t="shared" si="366"/>
        <v>CNC-9000AC-S</v>
      </c>
      <c r="B1315" t="str">
        <f>"10-1106-6000"</f>
        <v>10-1106-6000</v>
      </c>
      <c r="C1315" t="str">
        <f>"- Rolling center"</f>
        <v>- Rolling center</v>
      </c>
      <c r="D1315">
        <v>1</v>
      </c>
      <c r="E1315" t="str">
        <f t="shared" si="367"/>
        <v>ProTurn 9000AC-S - CNC Turning Center with Siemens Control - Advanced Package</v>
      </c>
      <c r="F1315">
        <v>913</v>
      </c>
      <c r="G1315" t="str">
        <f t="shared" si="358"/>
        <v>Y</v>
      </c>
      <c r="H1315" t="str">
        <f t="shared" si="355"/>
        <v>EA</v>
      </c>
      <c r="I1315">
        <v>0</v>
      </c>
      <c r="J1315">
        <v>0</v>
      </c>
      <c r="K1315" t="str">
        <f t="shared" si="359"/>
        <v>Y</v>
      </c>
      <c r="L1315">
        <v>0</v>
      </c>
      <c r="M1315" t="str">
        <f t="shared" si="360"/>
        <v>NIS</v>
      </c>
      <c r="O1315">
        <v>6</v>
      </c>
      <c r="P1315" t="str">
        <f t="shared" si="365"/>
        <v>Active</v>
      </c>
      <c r="Q1315" t="str">
        <f>"Rolling center"</f>
        <v>Rolling center</v>
      </c>
      <c r="S1315" t="str">
        <f>"Rolling center"</f>
        <v>Rolling center</v>
      </c>
      <c r="T1315">
        <v>0</v>
      </c>
      <c r="U1315">
        <v>23.42</v>
      </c>
      <c r="V1315">
        <v>23.55</v>
      </c>
      <c r="W1315" t="str">
        <f t="shared" si="364"/>
        <v>zintel</v>
      </c>
    </row>
    <row r="1316" spans="1:23">
      <c r="A1316" t="str">
        <f t="shared" si="366"/>
        <v>CNC-9000AC-S</v>
      </c>
      <c r="B1316" t="str">
        <f>"10-1105-7000"</f>
        <v>10-1105-7000</v>
      </c>
      <c r="C1316" t="str">
        <f>"Drill Chuck for Tailstock"</f>
        <v>Drill Chuck for Tailstock</v>
      </c>
      <c r="D1316">
        <v>1</v>
      </c>
      <c r="E1316" t="str">
        <f t="shared" si="367"/>
        <v>ProTurn 9000AC-S - CNC Turning Center with Siemens Control - Advanced Package</v>
      </c>
      <c r="F1316">
        <v>913</v>
      </c>
      <c r="G1316" t="str">
        <f t="shared" si="358"/>
        <v>Y</v>
      </c>
      <c r="H1316" t="str">
        <f t="shared" si="355"/>
        <v>EA</v>
      </c>
      <c r="I1316">
        <v>0</v>
      </c>
      <c r="J1316">
        <v>0</v>
      </c>
      <c r="K1316" t="str">
        <f t="shared" si="359"/>
        <v>Y</v>
      </c>
      <c r="L1316">
        <v>0</v>
      </c>
      <c r="M1316" t="str">
        <f t="shared" si="360"/>
        <v>NIS</v>
      </c>
      <c r="O1316">
        <v>7</v>
      </c>
      <c r="P1316" t="str">
        <f t="shared" si="365"/>
        <v>Active</v>
      </c>
      <c r="Q1316" t="str">
        <f>"Tailstock extender MT2 13mm tailstock chuck"</f>
        <v>Tailstock extender MT2 13mm tailstock chuck</v>
      </c>
      <c r="S1316" t="str">
        <f>"Drill Chuck for Tailstock MT2 13mm"</f>
        <v>Drill Chuck for Tailstock MT2 13mm</v>
      </c>
      <c r="T1316">
        <v>0</v>
      </c>
      <c r="U1316">
        <v>21.07</v>
      </c>
      <c r="V1316">
        <v>23.52</v>
      </c>
      <c r="W1316" t="str">
        <f t="shared" si="364"/>
        <v>zintel</v>
      </c>
    </row>
    <row r="1317" spans="1:23">
      <c r="A1317" t="str">
        <f t="shared" si="366"/>
        <v>CNC-9000AC-S</v>
      </c>
      <c r="B1317" t="str">
        <f>"10-1111-1000"</f>
        <v>10-1111-1000</v>
      </c>
      <c r="C1317" t="str">
        <f>"- Handwheel - Manual Control"</f>
        <v>- Handwheel - Manual Control</v>
      </c>
      <c r="D1317">
        <v>1</v>
      </c>
      <c r="E1317" t="str">
        <f t="shared" si="367"/>
        <v>ProTurn 9000AC-S - CNC Turning Center with Siemens Control - Advanced Package</v>
      </c>
      <c r="F1317">
        <v>913</v>
      </c>
      <c r="G1317" t="str">
        <f t="shared" si="358"/>
        <v>Y</v>
      </c>
      <c r="H1317" t="str">
        <f t="shared" si="355"/>
        <v>EA</v>
      </c>
      <c r="I1317">
        <v>0</v>
      </c>
      <c r="J1317">
        <v>0</v>
      </c>
      <c r="K1317" t="str">
        <f t="shared" si="359"/>
        <v>Y</v>
      </c>
      <c r="L1317">
        <v>0</v>
      </c>
      <c r="M1317" t="str">
        <f t="shared" si="360"/>
        <v>NIS</v>
      </c>
      <c r="O1317">
        <v>10</v>
      </c>
      <c r="P1317" t="str">
        <f t="shared" si="365"/>
        <v>Active</v>
      </c>
      <c r="Q1317" t="str">
        <f>"Hand wheel"</f>
        <v>Hand wheel</v>
      </c>
      <c r="S1317" t="str">
        <f>"Jog Pendant Handwheel"</f>
        <v>Jog Pendant Handwheel</v>
      </c>
      <c r="T1317">
        <v>0</v>
      </c>
      <c r="U1317">
        <v>235</v>
      </c>
      <c r="V1317">
        <v>235.03</v>
      </c>
      <c r="W1317" t="str">
        <f t="shared" si="364"/>
        <v>zintel</v>
      </c>
    </row>
    <row r="1318" spans="1:23">
      <c r="A1318" t="str">
        <f t="shared" si="366"/>
        <v>CNC-9000AC-S</v>
      </c>
      <c r="B1318" t="str">
        <f>"10-1108-1220"</f>
        <v>10-1108-1220</v>
      </c>
      <c r="C1318" t="str">
        <f>"- Coolant system 27L -220V"</f>
        <v>- Coolant system 27L -220V</v>
      </c>
      <c r="D1318">
        <v>1</v>
      </c>
      <c r="E1318" t="str">
        <f t="shared" si="367"/>
        <v>ProTurn 9000AC-S - CNC Turning Center with Siemens Control - Advanced Package</v>
      </c>
      <c r="F1318">
        <v>913</v>
      </c>
      <c r="G1318" t="str">
        <f t="shared" si="358"/>
        <v>Y</v>
      </c>
      <c r="H1318" t="str">
        <f t="shared" si="355"/>
        <v>EA</v>
      </c>
      <c r="I1318">
        <v>0</v>
      </c>
      <c r="J1318">
        <v>0</v>
      </c>
      <c r="K1318" t="str">
        <f t="shared" si="359"/>
        <v>Y</v>
      </c>
      <c r="L1318">
        <v>0</v>
      </c>
      <c r="M1318" t="str">
        <f t="shared" si="360"/>
        <v>NIS</v>
      </c>
      <c r="O1318">
        <v>11</v>
      </c>
      <c r="P1318" t="str">
        <f t="shared" si="365"/>
        <v>Active</v>
      </c>
      <c r="Q1318" t="str">
        <f>"Coolant system 27L"</f>
        <v>Coolant system 27L</v>
      </c>
      <c r="S1318" t="str">
        <f>"Coolant system 27L - 220V"</f>
        <v>Coolant system 27L - 220V</v>
      </c>
      <c r="T1318">
        <v>0</v>
      </c>
      <c r="U1318">
        <v>117.08</v>
      </c>
      <c r="V1318">
        <v>117.15</v>
      </c>
      <c r="W1318" t="str">
        <f t="shared" si="364"/>
        <v>zintel</v>
      </c>
    </row>
    <row r="1319" spans="1:23">
      <c r="A1319" t="str">
        <f t="shared" si="366"/>
        <v>CNC-9000AC-S</v>
      </c>
      <c r="B1319" t="str">
        <f>"10-1106-0000"</f>
        <v>10-1106-0000</v>
      </c>
      <c r="C1319" t="str">
        <f>"- 11pcs Cutter set 10 x 10mmt"</f>
        <v>- 11pcs Cutter set 10 x 10mmt</v>
      </c>
      <c r="D1319">
        <v>1</v>
      </c>
      <c r="E1319" t="str">
        <f t="shared" si="367"/>
        <v>ProTurn 9000AC-S - CNC Turning Center with Siemens Control - Advanced Package</v>
      </c>
      <c r="F1319">
        <v>913</v>
      </c>
      <c r="G1319" t="str">
        <f t="shared" si="358"/>
        <v>Y</v>
      </c>
      <c r="H1319" t="str">
        <f t="shared" si="355"/>
        <v>EA</v>
      </c>
      <c r="I1319">
        <v>0</v>
      </c>
      <c r="J1319">
        <v>0</v>
      </c>
      <c r="K1319" t="str">
        <f t="shared" si="359"/>
        <v>Y</v>
      </c>
      <c r="L1319">
        <v>0</v>
      </c>
      <c r="M1319" t="str">
        <f t="shared" si="360"/>
        <v>NIS</v>
      </c>
      <c r="O1319">
        <v>2</v>
      </c>
      <c r="P1319" t="str">
        <f t="shared" si="365"/>
        <v>Active</v>
      </c>
      <c r="Q1319" t="str">
        <f>"10 x 10mm cutter 11pcs set"</f>
        <v>10 x 10mm cutter 11pcs set</v>
      </c>
      <c r="S1319" t="str">
        <f>"10 x 10mm cutter 11pcs set"</f>
        <v>10 x 10mm cutter 11pcs set</v>
      </c>
      <c r="T1319">
        <v>0</v>
      </c>
      <c r="U1319">
        <v>36.29</v>
      </c>
      <c r="V1319">
        <v>42.51</v>
      </c>
      <c r="W1319" t="str">
        <f t="shared" si="364"/>
        <v>zintel</v>
      </c>
    </row>
    <row r="1320" spans="1:23">
      <c r="A1320" t="str">
        <f t="shared" si="366"/>
        <v>CNC-9000AC-S</v>
      </c>
      <c r="B1320" t="str">
        <f>"10-1106-4000"</f>
        <v>10-1106-4000</v>
      </c>
      <c r="C1320" t="str">
        <f>"- Steady rest ProTurn 9000"</f>
        <v>- Steady rest ProTurn 9000</v>
      </c>
      <c r="D1320">
        <v>1</v>
      </c>
      <c r="E1320" t="str">
        <f t="shared" si="367"/>
        <v>ProTurn 9000AC-S - CNC Turning Center with Siemens Control - Advanced Package</v>
      </c>
      <c r="F1320">
        <v>913</v>
      </c>
      <c r="G1320" t="str">
        <f t="shared" si="358"/>
        <v>Y</v>
      </c>
      <c r="H1320" t="str">
        <f t="shared" si="355"/>
        <v>EA</v>
      </c>
      <c r="I1320">
        <v>0</v>
      </c>
      <c r="J1320">
        <v>0</v>
      </c>
      <c r="K1320" t="str">
        <f t="shared" si="359"/>
        <v>Y</v>
      </c>
      <c r="L1320">
        <v>0</v>
      </c>
      <c r="M1320" t="str">
        <f t="shared" si="360"/>
        <v>NIS</v>
      </c>
      <c r="N1320" t="str">
        <f>"Y"</f>
        <v>Y</v>
      </c>
      <c r="O1320">
        <v>8</v>
      </c>
      <c r="P1320" t="str">
        <f>"Inactive"</f>
        <v>Inactive</v>
      </c>
      <c r="Q1320" t="str">
        <f>"Steady rest ProTurn 9000"</f>
        <v>Steady rest ProTurn 9000</v>
      </c>
      <c r="S1320" t="str">
        <f>"Steady rest ProTurn 9000"</f>
        <v>Steady rest ProTurn 9000</v>
      </c>
      <c r="T1320">
        <v>0</v>
      </c>
      <c r="U1320">
        <v>35.119999999999997</v>
      </c>
      <c r="V1320">
        <v>37</v>
      </c>
      <c r="W1320" t="str">
        <f t="shared" si="364"/>
        <v>zintel</v>
      </c>
    </row>
    <row r="1321" spans="1:23">
      <c r="A1321" t="str">
        <f t="shared" si="366"/>
        <v>CNC-9000AC-S</v>
      </c>
      <c r="B1321" t="str">
        <f>"10-1106-5000"</f>
        <v>10-1106-5000</v>
      </c>
      <c r="C1321" t="str">
        <f>"- Follow rest ProTurn 9000"</f>
        <v>- Follow rest ProTurn 9000</v>
      </c>
      <c r="D1321">
        <v>1</v>
      </c>
      <c r="E1321" t="str">
        <f t="shared" si="367"/>
        <v>ProTurn 9000AC-S - CNC Turning Center with Siemens Control - Advanced Package</v>
      </c>
      <c r="F1321">
        <v>913</v>
      </c>
      <c r="G1321" t="str">
        <f t="shared" si="358"/>
        <v>Y</v>
      </c>
      <c r="H1321" t="str">
        <f t="shared" si="355"/>
        <v>EA</v>
      </c>
      <c r="I1321">
        <v>0</v>
      </c>
      <c r="J1321">
        <v>0</v>
      </c>
      <c r="K1321" t="str">
        <f t="shared" si="359"/>
        <v>Y</v>
      </c>
      <c r="L1321">
        <v>0</v>
      </c>
      <c r="M1321" t="str">
        <f t="shared" si="360"/>
        <v>NIS</v>
      </c>
      <c r="N1321" t="str">
        <f>"Y"</f>
        <v>Y</v>
      </c>
      <c r="O1321">
        <v>9</v>
      </c>
      <c r="P1321" t="str">
        <f>"Inactive"</f>
        <v>Inactive</v>
      </c>
      <c r="Q1321" t="str">
        <f>"Follow rest ProTurn 9000"</f>
        <v>Follow rest ProTurn 9000</v>
      </c>
      <c r="S1321" t="str">
        <f>"Follow rest ProTurn 9000"</f>
        <v>Follow rest ProTurn 9000</v>
      </c>
      <c r="T1321">
        <v>0</v>
      </c>
      <c r="U1321">
        <v>29.27</v>
      </c>
      <c r="V1321">
        <v>31</v>
      </c>
      <c r="W1321" t="str">
        <f t="shared" si="364"/>
        <v>zintel</v>
      </c>
    </row>
    <row r="1322" spans="1:23">
      <c r="A1322" t="str">
        <f t="shared" ref="A1322:A1331" si="368">"CNC-9000-ADV"</f>
        <v>CNC-9000-ADV</v>
      </c>
      <c r="B1322" t="str">
        <f>"00-5501-0110"</f>
        <v>00-5501-0110</v>
      </c>
      <c r="C1322" t="str">
        <f>"CNC ProTurn 9000 AC 110V"</f>
        <v>CNC ProTurn 9000 AC 110V</v>
      </c>
      <c r="D1322">
        <v>1</v>
      </c>
      <c r="E1322" t="str">
        <f t="shared" ref="E1322:E1331" si="369">"ProTURN 9000 Advanced Bundle, Imp/Met, 110/220 VAC"</f>
        <v>ProTURN 9000 Advanced Bundle, Imp/Met, 110/220 VAC</v>
      </c>
      <c r="F1322">
        <v>0</v>
      </c>
      <c r="G1322" t="str">
        <f t="shared" si="358"/>
        <v>Y</v>
      </c>
      <c r="H1322" t="str">
        <f t="shared" si="355"/>
        <v>EA</v>
      </c>
      <c r="I1322">
        <v>0</v>
      </c>
      <c r="J1322">
        <v>0</v>
      </c>
      <c r="K1322" t="str">
        <f t="shared" si="359"/>
        <v>Y</v>
      </c>
      <c r="L1322">
        <v>0</v>
      </c>
      <c r="M1322" t="str">
        <f t="shared" si="360"/>
        <v>NIS</v>
      </c>
      <c r="O1322">
        <v>1</v>
      </c>
      <c r="P1322" t="str">
        <f t="shared" ref="P1322:P1353" si="370">"Active"</f>
        <v>Active</v>
      </c>
      <c r="Q1322" t="str">
        <f>"CNC ProTurn 9000 AC 110V"</f>
        <v>CNC ProTurn 9000 AC 110V</v>
      </c>
      <c r="S1322" t="str">
        <f>"CNC ProTurn 9000 AC 110V"</f>
        <v>CNC ProTurn 9000 AC 110V</v>
      </c>
      <c r="T1322">
        <v>0</v>
      </c>
      <c r="U1322" s="44">
        <v>7364</v>
      </c>
      <c r="V1322" s="44">
        <v>7344</v>
      </c>
      <c r="W1322" t="str">
        <f t="shared" si="364"/>
        <v>zintel</v>
      </c>
    </row>
    <row r="1323" spans="1:23">
      <c r="A1323" t="str">
        <f t="shared" si="368"/>
        <v>CNC-9000-ADV</v>
      </c>
      <c r="B1323" t="str">
        <f>"10-1110-1000"</f>
        <v>10-1110-1000</v>
      </c>
      <c r="C1323" t="str">
        <f>"10 x 10mm cutter tool holder"</f>
        <v>10 x 10mm cutter tool holder</v>
      </c>
      <c r="D1323">
        <v>1</v>
      </c>
      <c r="E1323" t="str">
        <f t="shared" si="369"/>
        <v>ProTURN 9000 Advanced Bundle, Imp/Met, 110/220 VAC</v>
      </c>
      <c r="F1323">
        <v>0</v>
      </c>
      <c r="G1323" t="str">
        <f t="shared" si="358"/>
        <v>Y</v>
      </c>
      <c r="H1323" t="str">
        <f t="shared" si="355"/>
        <v>EA</v>
      </c>
      <c r="I1323">
        <v>0</v>
      </c>
      <c r="J1323">
        <v>0</v>
      </c>
      <c r="K1323" t="str">
        <f t="shared" si="359"/>
        <v>Y</v>
      </c>
      <c r="L1323">
        <v>0</v>
      </c>
      <c r="M1323" t="str">
        <f t="shared" si="360"/>
        <v>NIS</v>
      </c>
      <c r="O1323">
        <v>2</v>
      </c>
      <c r="P1323" t="str">
        <f t="shared" si="370"/>
        <v>Active</v>
      </c>
      <c r="Q1323" t="str">
        <f>"10x10mm TiN coated cutter set (replaceable tip)"</f>
        <v>10x10mm TiN coated cutter set (replaceable tip)</v>
      </c>
      <c r="S1323" t="str">
        <f>"10x10mm TiN coated cutter set (replaceable tip)"</f>
        <v>10x10mm TiN coated cutter set (replaceable tip)</v>
      </c>
      <c r="T1323">
        <v>0</v>
      </c>
      <c r="U1323">
        <v>65</v>
      </c>
      <c r="V1323">
        <v>65.540000000000006</v>
      </c>
      <c r="W1323" t="str">
        <f t="shared" si="364"/>
        <v>zintel</v>
      </c>
    </row>
    <row r="1324" spans="1:23">
      <c r="A1324" t="str">
        <f t="shared" si="368"/>
        <v>CNC-9000-ADV</v>
      </c>
      <c r="B1324" t="str">
        <f>"10-1110-2000"</f>
        <v>10-1110-2000</v>
      </c>
      <c r="C1324" t="str">
        <f>"TiN coated tip for 011101"</f>
        <v>TiN coated tip for 011101</v>
      </c>
      <c r="D1324">
        <v>1</v>
      </c>
      <c r="E1324" t="str">
        <f t="shared" si="369"/>
        <v>ProTURN 9000 Advanced Bundle, Imp/Met, 110/220 VAC</v>
      </c>
      <c r="F1324">
        <v>0</v>
      </c>
      <c r="G1324" t="str">
        <f t="shared" si="358"/>
        <v>Y</v>
      </c>
      <c r="H1324" t="str">
        <f t="shared" si="355"/>
        <v>EA</v>
      </c>
      <c r="I1324">
        <v>0</v>
      </c>
      <c r="J1324">
        <v>0</v>
      </c>
      <c r="K1324" t="str">
        <f t="shared" si="359"/>
        <v>Y</v>
      </c>
      <c r="L1324">
        <v>0</v>
      </c>
      <c r="M1324" t="str">
        <f t="shared" si="360"/>
        <v>NIS</v>
      </c>
      <c r="O1324">
        <v>3</v>
      </c>
      <c r="P1324" t="str">
        <f t="shared" si="370"/>
        <v>Active</v>
      </c>
      <c r="Q1324" t="str">
        <f>"TiN coated tip for 011101"</f>
        <v>TiN coated tip for 011101</v>
      </c>
      <c r="S1324" t="str">
        <f>"TiN coated tip for 011101"</f>
        <v>TiN coated tip for 011101</v>
      </c>
      <c r="T1324">
        <v>0</v>
      </c>
      <c r="U1324">
        <v>42</v>
      </c>
      <c r="V1324">
        <v>41.71</v>
      </c>
      <c r="W1324" t="str">
        <f t="shared" si="364"/>
        <v>zintel</v>
      </c>
    </row>
    <row r="1325" spans="1:23">
      <c r="A1325" t="str">
        <f t="shared" si="368"/>
        <v>CNC-9000-ADV</v>
      </c>
      <c r="B1325" t="str">
        <f>"10-1105-7000"</f>
        <v>10-1105-7000</v>
      </c>
      <c r="C1325" t="str">
        <f>"Drill Chuck for Tailstock"</f>
        <v>Drill Chuck for Tailstock</v>
      </c>
      <c r="D1325">
        <v>1</v>
      </c>
      <c r="E1325" t="str">
        <f t="shared" si="369"/>
        <v>ProTURN 9000 Advanced Bundle, Imp/Met, 110/220 VAC</v>
      </c>
      <c r="F1325">
        <v>0</v>
      </c>
      <c r="G1325" t="str">
        <f t="shared" si="358"/>
        <v>Y</v>
      </c>
      <c r="H1325" t="str">
        <f t="shared" si="355"/>
        <v>EA</v>
      </c>
      <c r="I1325">
        <v>0</v>
      </c>
      <c r="J1325">
        <v>0</v>
      </c>
      <c r="K1325" t="str">
        <f t="shared" si="359"/>
        <v>Y</v>
      </c>
      <c r="L1325">
        <v>0</v>
      </c>
      <c r="M1325" t="str">
        <f t="shared" si="360"/>
        <v>NIS</v>
      </c>
      <c r="O1325">
        <v>4</v>
      </c>
      <c r="P1325" t="str">
        <f t="shared" si="370"/>
        <v>Active</v>
      </c>
      <c r="Q1325" t="str">
        <f>"Drill Chuck for Tailstock MT2 13mm"</f>
        <v>Drill Chuck for Tailstock MT2 13mm</v>
      </c>
      <c r="S1325" t="str">
        <f>"Drill Chuck for Tailstock MT2 13mm"</f>
        <v>Drill Chuck for Tailstock MT2 13mm</v>
      </c>
      <c r="T1325">
        <v>0</v>
      </c>
      <c r="U1325">
        <v>21.07</v>
      </c>
      <c r="V1325">
        <v>23.52</v>
      </c>
      <c r="W1325" t="str">
        <f t="shared" si="364"/>
        <v>zintel</v>
      </c>
    </row>
    <row r="1326" spans="1:23">
      <c r="A1326" t="str">
        <f t="shared" si="368"/>
        <v>CNC-9000-ADV</v>
      </c>
      <c r="B1326" t="str">
        <f>"10-1106-6000"</f>
        <v>10-1106-6000</v>
      </c>
      <c r="C1326" t="str">
        <f>"- Rolling center"</f>
        <v>- Rolling center</v>
      </c>
      <c r="D1326">
        <v>1</v>
      </c>
      <c r="E1326" t="str">
        <f t="shared" si="369"/>
        <v>ProTURN 9000 Advanced Bundle, Imp/Met, 110/220 VAC</v>
      </c>
      <c r="F1326">
        <v>0</v>
      </c>
      <c r="G1326" t="str">
        <f t="shared" si="358"/>
        <v>Y</v>
      </c>
      <c r="H1326" t="str">
        <f t="shared" si="355"/>
        <v>EA</v>
      </c>
      <c r="I1326">
        <v>0</v>
      </c>
      <c r="J1326">
        <v>0</v>
      </c>
      <c r="K1326" t="str">
        <f t="shared" si="359"/>
        <v>Y</v>
      </c>
      <c r="L1326">
        <v>0</v>
      </c>
      <c r="M1326" t="str">
        <f t="shared" si="360"/>
        <v>NIS</v>
      </c>
      <c r="O1326">
        <v>5</v>
      </c>
      <c r="P1326" t="str">
        <f t="shared" si="370"/>
        <v>Active</v>
      </c>
      <c r="Q1326" t="str">
        <f>"Rolling center"</f>
        <v>Rolling center</v>
      </c>
      <c r="S1326" t="str">
        <f>"Rolling center"</f>
        <v>Rolling center</v>
      </c>
      <c r="T1326">
        <v>0</v>
      </c>
      <c r="U1326">
        <v>23.42</v>
      </c>
      <c r="V1326">
        <v>23.55</v>
      </c>
      <c r="W1326" t="str">
        <f t="shared" si="364"/>
        <v>zintel</v>
      </c>
    </row>
    <row r="1327" spans="1:23">
      <c r="A1327" t="str">
        <f t="shared" si="368"/>
        <v>CNC-9000-ADV</v>
      </c>
      <c r="B1327" t="str">
        <f>"10-1106-7000"</f>
        <v>10-1106-7000</v>
      </c>
      <c r="C1327" t="str">
        <f>"- 100mm 4 independent jaw chuck"</f>
        <v>- 100mm 4 independent jaw chuck</v>
      </c>
      <c r="D1327">
        <v>1</v>
      </c>
      <c r="E1327" t="str">
        <f t="shared" si="369"/>
        <v>ProTURN 9000 Advanced Bundle, Imp/Met, 110/220 VAC</v>
      </c>
      <c r="F1327">
        <v>0</v>
      </c>
      <c r="G1327" t="str">
        <f t="shared" si="358"/>
        <v>Y</v>
      </c>
      <c r="H1327" t="str">
        <f t="shared" si="355"/>
        <v>EA</v>
      </c>
      <c r="I1327">
        <v>0</v>
      </c>
      <c r="J1327">
        <v>0</v>
      </c>
      <c r="K1327" t="str">
        <f t="shared" si="359"/>
        <v>Y</v>
      </c>
      <c r="L1327">
        <v>0</v>
      </c>
      <c r="M1327" t="str">
        <f t="shared" si="360"/>
        <v>NIS</v>
      </c>
      <c r="O1327">
        <v>6</v>
      </c>
      <c r="P1327" t="str">
        <f t="shared" si="370"/>
        <v>Active</v>
      </c>
      <c r="Q1327" t="str">
        <f>"100mm 4-jaw chuck (independent)"</f>
        <v>100mm 4-jaw chuck (independent)</v>
      </c>
      <c r="S1327" t="str">
        <f>"100mm 4-jaw chuck (independent)"</f>
        <v>100mm 4-jaw chuck (independent)</v>
      </c>
      <c r="T1327">
        <v>0</v>
      </c>
      <c r="U1327">
        <v>64.39</v>
      </c>
      <c r="V1327">
        <v>67.209999999999994</v>
      </c>
      <c r="W1327" t="str">
        <f t="shared" si="364"/>
        <v>zintel</v>
      </c>
    </row>
    <row r="1328" spans="1:23">
      <c r="A1328" t="str">
        <f t="shared" si="368"/>
        <v>CNC-9000-ADV</v>
      </c>
      <c r="B1328" t="str">
        <f>"10-1111-1000"</f>
        <v>10-1111-1000</v>
      </c>
      <c r="C1328" t="str">
        <f>"- Handwheel - Manual Control"</f>
        <v>- Handwheel - Manual Control</v>
      </c>
      <c r="D1328">
        <v>1</v>
      </c>
      <c r="E1328" t="str">
        <f t="shared" si="369"/>
        <v>ProTURN 9000 Advanced Bundle, Imp/Met, 110/220 VAC</v>
      </c>
      <c r="F1328">
        <v>0</v>
      </c>
      <c r="G1328" t="str">
        <f t="shared" si="358"/>
        <v>Y</v>
      </c>
      <c r="H1328" t="str">
        <f t="shared" si="355"/>
        <v>EA</v>
      </c>
      <c r="I1328">
        <v>0</v>
      </c>
      <c r="J1328">
        <v>0</v>
      </c>
      <c r="K1328" t="str">
        <f t="shared" si="359"/>
        <v>Y</v>
      </c>
      <c r="L1328">
        <v>0</v>
      </c>
      <c r="M1328" t="str">
        <f t="shared" si="360"/>
        <v>NIS</v>
      </c>
      <c r="O1328">
        <v>7</v>
      </c>
      <c r="P1328" t="str">
        <f t="shared" si="370"/>
        <v>Active</v>
      </c>
      <c r="Q1328" t="str">
        <f>"Jog Pendant Handwheel"</f>
        <v>Jog Pendant Handwheel</v>
      </c>
      <c r="S1328" t="str">
        <f>"Jog Pendant Handwheel"</f>
        <v>Jog Pendant Handwheel</v>
      </c>
      <c r="T1328">
        <v>0</v>
      </c>
      <c r="U1328">
        <v>235</v>
      </c>
      <c r="V1328">
        <v>235.03</v>
      </c>
      <c r="W1328" t="str">
        <f t="shared" si="364"/>
        <v>zintel</v>
      </c>
    </row>
    <row r="1329" spans="1:23">
      <c r="A1329" t="str">
        <f t="shared" si="368"/>
        <v>CNC-9000-ADV</v>
      </c>
      <c r="B1329" t="str">
        <f>"10-1108-1110"</f>
        <v>10-1108-1110</v>
      </c>
      <c r="C1329" t="str">
        <f>"- Coolant system 27L - 110V"</f>
        <v>- Coolant system 27L - 110V</v>
      </c>
      <c r="D1329">
        <v>1</v>
      </c>
      <c r="E1329" t="str">
        <f t="shared" si="369"/>
        <v>ProTURN 9000 Advanced Bundle, Imp/Met, 110/220 VAC</v>
      </c>
      <c r="F1329">
        <v>0</v>
      </c>
      <c r="G1329" t="str">
        <f t="shared" si="358"/>
        <v>Y</v>
      </c>
      <c r="H1329" t="str">
        <f t="shared" si="355"/>
        <v>EA</v>
      </c>
      <c r="I1329">
        <v>0</v>
      </c>
      <c r="J1329">
        <v>0</v>
      </c>
      <c r="K1329" t="str">
        <f t="shared" si="359"/>
        <v>Y</v>
      </c>
      <c r="L1329">
        <v>0</v>
      </c>
      <c r="M1329" t="str">
        <f t="shared" si="360"/>
        <v>NIS</v>
      </c>
      <c r="O1329">
        <v>8</v>
      </c>
      <c r="P1329" t="str">
        <f t="shared" si="370"/>
        <v>Active</v>
      </c>
      <c r="Q1329" t="str">
        <f>"Coolant system 27L - 110V"</f>
        <v>Coolant system 27L - 110V</v>
      </c>
      <c r="S1329" t="str">
        <f>"Coolant system 27L - 110V"</f>
        <v>Coolant system 27L - 110V</v>
      </c>
      <c r="T1329">
        <v>0</v>
      </c>
      <c r="U1329">
        <v>132</v>
      </c>
      <c r="V1329">
        <v>132</v>
      </c>
      <c r="W1329" t="str">
        <f t="shared" si="364"/>
        <v>zintel</v>
      </c>
    </row>
    <row r="1330" spans="1:23">
      <c r="A1330" t="str">
        <f t="shared" si="368"/>
        <v>CNC-9000-ADV</v>
      </c>
      <c r="B1330" t="str">
        <f>"10-1105-5000"</f>
        <v>10-1105-5000</v>
      </c>
      <c r="C1330" t="str">
        <f>"Computer and monitor attachment"</f>
        <v>Computer and monitor attachment</v>
      </c>
      <c r="D1330">
        <v>1</v>
      </c>
      <c r="E1330" t="str">
        <f t="shared" si="369"/>
        <v>ProTURN 9000 Advanced Bundle, Imp/Met, 110/220 VAC</v>
      </c>
      <c r="F1330">
        <v>0</v>
      </c>
      <c r="G1330" t="str">
        <f t="shared" si="358"/>
        <v>Y</v>
      </c>
      <c r="H1330" t="str">
        <f t="shared" si="355"/>
        <v>EA</v>
      </c>
      <c r="I1330">
        <v>0</v>
      </c>
      <c r="J1330">
        <v>0</v>
      </c>
      <c r="K1330" t="str">
        <f t="shared" si="359"/>
        <v>Y</v>
      </c>
      <c r="L1330">
        <v>0</v>
      </c>
      <c r="M1330" t="str">
        <f t="shared" si="360"/>
        <v>NIS</v>
      </c>
      <c r="O1330">
        <v>9</v>
      </c>
      <c r="P1330" t="str">
        <f t="shared" si="370"/>
        <v>Active</v>
      </c>
      <c r="Q1330" t="str">
        <f>"Computer and monitor stand (attached to machine)"</f>
        <v>Computer and monitor stand (attached to machine)</v>
      </c>
      <c r="S1330" t="str">
        <f>"Computer and monitor stand (attached to machine)"</f>
        <v>Computer and monitor stand (attached to machine)</v>
      </c>
      <c r="T1330">
        <v>0</v>
      </c>
      <c r="U1330">
        <v>105.36</v>
      </c>
      <c r="V1330">
        <v>103.02</v>
      </c>
      <c r="W1330" t="str">
        <f t="shared" si="364"/>
        <v>zintel</v>
      </c>
    </row>
    <row r="1331" spans="1:23">
      <c r="A1331" t="str">
        <f t="shared" si="368"/>
        <v>CNC-9000-ADV</v>
      </c>
      <c r="B1331" t="str">
        <f>"77-3143-0001"</f>
        <v>77-3143-0001</v>
      </c>
      <c r="C1331" t="str">
        <f>"LM7 Content, Vir, CNC Turning w/ProTurn 9000"</f>
        <v>LM7 Content, Vir, CNC Turning w/ProTurn 9000</v>
      </c>
      <c r="D1331">
        <v>1</v>
      </c>
      <c r="E1331" t="str">
        <f t="shared" si="369"/>
        <v>ProTURN 9000 Advanced Bundle, Imp/Met, 110/220 VAC</v>
      </c>
      <c r="F1331">
        <v>0</v>
      </c>
      <c r="G1331" t="str">
        <f t="shared" si="358"/>
        <v>Y</v>
      </c>
      <c r="H1331" t="str">
        <f t="shared" si="355"/>
        <v>EA</v>
      </c>
      <c r="I1331">
        <v>0</v>
      </c>
      <c r="J1331">
        <v>0</v>
      </c>
      <c r="K1331" t="str">
        <f t="shared" si="359"/>
        <v>Y</v>
      </c>
      <c r="L1331">
        <v>0</v>
      </c>
      <c r="M1331" t="str">
        <f t="shared" si="360"/>
        <v>NIS</v>
      </c>
      <c r="O1331">
        <v>10</v>
      </c>
      <c r="P1331" t="str">
        <f t="shared" si="370"/>
        <v>Active</v>
      </c>
      <c r="Q1331" t="str">
        <f>"LM7 Content, Vir, CNC Turning w/ProTurn 9000"</f>
        <v>LM7 Content, Vir, CNC Turning w/ProTurn 9000</v>
      </c>
      <c r="S1331" t="str">
        <f>"LM7 Content, Vir, CNC Turning w/ProTurn 9000"</f>
        <v>LM7 Content, Vir, CNC Turning w/ProTurn 9000</v>
      </c>
      <c r="T1331">
        <v>0</v>
      </c>
      <c r="U1331">
        <v>5</v>
      </c>
      <c r="V1331">
        <v>5</v>
      </c>
      <c r="W1331" t="str">
        <f t="shared" si="364"/>
        <v>zintel</v>
      </c>
    </row>
    <row r="1332" spans="1:23">
      <c r="A1332" t="str">
        <f t="shared" ref="A1332:A1343" si="371">"CNC-9000-BNDL"</f>
        <v>CNC-9000-BNDL</v>
      </c>
      <c r="B1332" t="str">
        <f>"00-5501-0110"</f>
        <v>00-5501-0110</v>
      </c>
      <c r="C1332" t="str">
        <f>"CNC ProTurn 9000 AC 110V"</f>
        <v>CNC ProTurn 9000 AC 110V</v>
      </c>
      <c r="D1332">
        <v>1</v>
      </c>
      <c r="E1332" t="str">
        <f t="shared" ref="E1332:E1343" si="372">"ProTURN 9000 bundle"</f>
        <v>ProTURN 9000 bundle</v>
      </c>
      <c r="F1332">
        <v>0</v>
      </c>
      <c r="G1332" t="str">
        <f t="shared" si="358"/>
        <v>Y</v>
      </c>
      <c r="H1332" t="str">
        <f t="shared" si="355"/>
        <v>EA</v>
      </c>
      <c r="I1332">
        <v>0</v>
      </c>
      <c r="J1332">
        <v>0</v>
      </c>
      <c r="K1332" t="str">
        <f t="shared" si="359"/>
        <v>Y</v>
      </c>
      <c r="L1332">
        <v>0</v>
      </c>
      <c r="M1332" t="str">
        <f t="shared" si="360"/>
        <v>NIS</v>
      </c>
      <c r="O1332">
        <v>1</v>
      </c>
      <c r="P1332" t="str">
        <f t="shared" si="370"/>
        <v>Active</v>
      </c>
      <c r="Q1332" t="str">
        <f>"CNC ProTurn 9000 AC 110V"</f>
        <v>CNC ProTurn 9000 AC 110V</v>
      </c>
      <c r="S1332" t="str">
        <f>"CNC ProTurn 9000 AC 110V"</f>
        <v>CNC ProTurn 9000 AC 110V</v>
      </c>
      <c r="T1332">
        <v>0</v>
      </c>
      <c r="U1332" s="44">
        <v>7364</v>
      </c>
      <c r="V1332" s="44">
        <v>7344</v>
      </c>
      <c r="W1332" t="str">
        <f t="shared" si="364"/>
        <v>zintel</v>
      </c>
    </row>
    <row r="1333" spans="1:23">
      <c r="A1333" t="str">
        <f t="shared" si="371"/>
        <v>CNC-9000-BNDL</v>
      </c>
      <c r="B1333" t="str">
        <f>"10-1111-1000"</f>
        <v>10-1111-1000</v>
      </c>
      <c r="C1333" t="str">
        <f>"- Handwheel - Manual Control"</f>
        <v>- Handwheel - Manual Control</v>
      </c>
      <c r="D1333">
        <v>1</v>
      </c>
      <c r="E1333" t="str">
        <f t="shared" si="372"/>
        <v>ProTURN 9000 bundle</v>
      </c>
      <c r="F1333">
        <v>0</v>
      </c>
      <c r="G1333" t="str">
        <f t="shared" si="358"/>
        <v>Y</v>
      </c>
      <c r="H1333" t="str">
        <f t="shared" si="355"/>
        <v>EA</v>
      </c>
      <c r="I1333">
        <v>0</v>
      </c>
      <c r="J1333">
        <v>0</v>
      </c>
      <c r="K1333" t="str">
        <f t="shared" si="359"/>
        <v>Y</v>
      </c>
      <c r="L1333">
        <v>0</v>
      </c>
      <c r="M1333" t="str">
        <f t="shared" si="360"/>
        <v>NIS</v>
      </c>
      <c r="O1333">
        <v>2</v>
      </c>
      <c r="P1333" t="str">
        <f t="shared" si="370"/>
        <v>Active</v>
      </c>
      <c r="Q1333" t="str">
        <f>"Jog Pendant Handwheel"</f>
        <v>Jog Pendant Handwheel</v>
      </c>
      <c r="S1333" t="str">
        <f>"Jog Pendant Handwheel"</f>
        <v>Jog Pendant Handwheel</v>
      </c>
      <c r="T1333">
        <v>0</v>
      </c>
      <c r="U1333">
        <v>235</v>
      </c>
      <c r="V1333">
        <v>235.03</v>
      </c>
      <c r="W1333" t="str">
        <f t="shared" si="364"/>
        <v>zintel</v>
      </c>
    </row>
    <row r="1334" spans="1:23">
      <c r="A1334" t="str">
        <f t="shared" si="371"/>
        <v>CNC-9000-BNDL</v>
      </c>
      <c r="B1334" t="str">
        <f>"10-1110-1000"</f>
        <v>10-1110-1000</v>
      </c>
      <c r="C1334" t="str">
        <f>"10 x 10mm cutter tool holder"</f>
        <v>10 x 10mm cutter tool holder</v>
      </c>
      <c r="D1334">
        <v>1</v>
      </c>
      <c r="E1334" t="str">
        <f t="shared" si="372"/>
        <v>ProTURN 9000 bundle</v>
      </c>
      <c r="F1334">
        <v>0</v>
      </c>
      <c r="G1334" t="str">
        <f t="shared" si="358"/>
        <v>Y</v>
      </c>
      <c r="H1334" t="str">
        <f t="shared" si="355"/>
        <v>EA</v>
      </c>
      <c r="I1334">
        <v>0</v>
      </c>
      <c r="J1334">
        <v>0</v>
      </c>
      <c r="K1334" t="str">
        <f t="shared" si="359"/>
        <v>Y</v>
      </c>
      <c r="L1334">
        <v>0</v>
      </c>
      <c r="M1334" t="str">
        <f t="shared" si="360"/>
        <v>NIS</v>
      </c>
      <c r="O1334">
        <v>3</v>
      </c>
      <c r="P1334" t="str">
        <f t="shared" si="370"/>
        <v>Active</v>
      </c>
      <c r="Q1334" t="str">
        <f>"10x10mm TiN coated cutter set (replaceable tip)"</f>
        <v>10x10mm TiN coated cutter set (replaceable tip)</v>
      </c>
      <c r="S1334" t="str">
        <f>"10x10mm TiN coated cutter set (replaceable tip)"</f>
        <v>10x10mm TiN coated cutter set (replaceable tip)</v>
      </c>
      <c r="T1334">
        <v>0</v>
      </c>
      <c r="U1334">
        <v>65</v>
      </c>
      <c r="V1334">
        <v>65.540000000000006</v>
      </c>
      <c r="W1334" t="str">
        <f t="shared" si="364"/>
        <v>zintel</v>
      </c>
    </row>
    <row r="1335" spans="1:23">
      <c r="A1335" t="str">
        <f t="shared" si="371"/>
        <v>CNC-9000-BNDL</v>
      </c>
      <c r="B1335" t="str">
        <f>"10-1110-2000"</f>
        <v>10-1110-2000</v>
      </c>
      <c r="C1335" t="str">
        <f>"TiN coated tip for 011101"</f>
        <v>TiN coated tip for 011101</v>
      </c>
      <c r="D1335">
        <v>1</v>
      </c>
      <c r="E1335" t="str">
        <f t="shared" si="372"/>
        <v>ProTURN 9000 bundle</v>
      </c>
      <c r="F1335">
        <v>0</v>
      </c>
      <c r="G1335" t="str">
        <f t="shared" si="358"/>
        <v>Y</v>
      </c>
      <c r="H1335" t="str">
        <f t="shared" si="355"/>
        <v>EA</v>
      </c>
      <c r="I1335">
        <v>0</v>
      </c>
      <c r="J1335">
        <v>0</v>
      </c>
      <c r="K1335" t="str">
        <f t="shared" si="359"/>
        <v>Y</v>
      </c>
      <c r="L1335">
        <v>0</v>
      </c>
      <c r="M1335" t="str">
        <f t="shared" si="360"/>
        <v>NIS</v>
      </c>
      <c r="O1335">
        <v>4</v>
      </c>
      <c r="P1335" t="str">
        <f t="shared" si="370"/>
        <v>Active</v>
      </c>
      <c r="Q1335" t="str">
        <f>"TiN coated tip for 011101"</f>
        <v>TiN coated tip for 011101</v>
      </c>
      <c r="S1335" t="str">
        <f>"TiN coated tip for 011101"</f>
        <v>TiN coated tip for 011101</v>
      </c>
      <c r="T1335">
        <v>0</v>
      </c>
      <c r="U1335">
        <v>42</v>
      </c>
      <c r="V1335">
        <v>41.71</v>
      </c>
      <c r="W1335" t="str">
        <f t="shared" si="364"/>
        <v>zintel</v>
      </c>
    </row>
    <row r="1336" spans="1:23">
      <c r="A1336" t="str">
        <f t="shared" si="371"/>
        <v>CNC-9000-BNDL</v>
      </c>
      <c r="B1336" t="str">
        <f>"10-1105-5000"</f>
        <v>10-1105-5000</v>
      </c>
      <c r="C1336" t="str">
        <f>"Computer and monitor attachment"</f>
        <v>Computer and monitor attachment</v>
      </c>
      <c r="D1336">
        <v>1</v>
      </c>
      <c r="E1336" t="str">
        <f t="shared" si="372"/>
        <v>ProTURN 9000 bundle</v>
      </c>
      <c r="F1336">
        <v>0</v>
      </c>
      <c r="G1336" t="str">
        <f t="shared" si="358"/>
        <v>Y</v>
      </c>
      <c r="H1336" t="str">
        <f t="shared" si="355"/>
        <v>EA</v>
      </c>
      <c r="I1336">
        <v>0</v>
      </c>
      <c r="J1336">
        <v>0</v>
      </c>
      <c r="K1336" t="str">
        <f t="shared" si="359"/>
        <v>Y</v>
      </c>
      <c r="L1336">
        <v>0</v>
      </c>
      <c r="M1336" t="str">
        <f t="shared" si="360"/>
        <v>NIS</v>
      </c>
      <c r="O1336">
        <v>5</v>
      </c>
      <c r="P1336" t="str">
        <f t="shared" si="370"/>
        <v>Active</v>
      </c>
      <c r="Q1336" t="str">
        <f>"Computer and monitor stand (attached to machine)"</f>
        <v>Computer and monitor stand (attached to machine)</v>
      </c>
      <c r="S1336" t="str">
        <f>"Computer and monitor stand (attached to machine)"</f>
        <v>Computer and monitor stand (attached to machine)</v>
      </c>
      <c r="T1336">
        <v>0</v>
      </c>
      <c r="U1336">
        <v>105.36</v>
      </c>
      <c r="V1336">
        <v>103.02</v>
      </c>
      <c r="W1336" t="str">
        <f t="shared" si="364"/>
        <v>zintel</v>
      </c>
    </row>
    <row r="1337" spans="1:23">
      <c r="A1337" t="str">
        <f t="shared" si="371"/>
        <v>CNC-9000-BNDL</v>
      </c>
      <c r="B1337" t="str">
        <f>"10-1105-7000"</f>
        <v>10-1105-7000</v>
      </c>
      <c r="C1337" t="str">
        <f>"Drill Chuck for Tailstock"</f>
        <v>Drill Chuck for Tailstock</v>
      </c>
      <c r="D1337">
        <v>1</v>
      </c>
      <c r="E1337" t="str">
        <f t="shared" si="372"/>
        <v>ProTURN 9000 bundle</v>
      </c>
      <c r="F1337">
        <v>0</v>
      </c>
      <c r="G1337" t="str">
        <f t="shared" si="358"/>
        <v>Y</v>
      </c>
      <c r="H1337" t="str">
        <f t="shared" si="355"/>
        <v>EA</v>
      </c>
      <c r="I1337">
        <v>0</v>
      </c>
      <c r="J1337">
        <v>0</v>
      </c>
      <c r="K1337" t="str">
        <f t="shared" si="359"/>
        <v>Y</v>
      </c>
      <c r="L1337">
        <v>0</v>
      </c>
      <c r="M1337" t="str">
        <f t="shared" si="360"/>
        <v>NIS</v>
      </c>
      <c r="O1337">
        <v>6</v>
      </c>
      <c r="P1337" t="str">
        <f t="shared" si="370"/>
        <v>Active</v>
      </c>
      <c r="Q1337" t="str">
        <f>"Drill Chuck for Tailstock MT2 13mm"</f>
        <v>Drill Chuck for Tailstock MT2 13mm</v>
      </c>
      <c r="S1337" t="str">
        <f>"Drill Chuck for Tailstock MT2 13mm"</f>
        <v>Drill Chuck for Tailstock MT2 13mm</v>
      </c>
      <c r="T1337">
        <v>0</v>
      </c>
      <c r="U1337">
        <v>21.07</v>
      </c>
      <c r="V1337">
        <v>23.52</v>
      </c>
      <c r="W1337" t="str">
        <f t="shared" si="364"/>
        <v>zintel</v>
      </c>
    </row>
    <row r="1338" spans="1:23">
      <c r="A1338" t="str">
        <f t="shared" si="371"/>
        <v>CNC-9000-BNDL</v>
      </c>
      <c r="B1338" t="str">
        <f>"10-1106-6000"</f>
        <v>10-1106-6000</v>
      </c>
      <c r="C1338" t="str">
        <f>"- Rolling center"</f>
        <v>- Rolling center</v>
      </c>
      <c r="D1338">
        <v>1</v>
      </c>
      <c r="E1338" t="str">
        <f t="shared" si="372"/>
        <v>ProTURN 9000 bundle</v>
      </c>
      <c r="F1338">
        <v>0</v>
      </c>
      <c r="G1338" t="str">
        <f t="shared" si="358"/>
        <v>Y</v>
      </c>
      <c r="H1338" t="str">
        <f t="shared" si="355"/>
        <v>EA</v>
      </c>
      <c r="I1338">
        <v>0</v>
      </c>
      <c r="J1338">
        <v>0</v>
      </c>
      <c r="K1338" t="str">
        <f t="shared" si="359"/>
        <v>Y</v>
      </c>
      <c r="L1338">
        <v>0</v>
      </c>
      <c r="M1338" t="str">
        <f t="shared" si="360"/>
        <v>NIS</v>
      </c>
      <c r="O1338">
        <v>7</v>
      </c>
      <c r="P1338" t="str">
        <f t="shared" si="370"/>
        <v>Active</v>
      </c>
      <c r="Q1338" t="str">
        <f>"Rolling center"</f>
        <v>Rolling center</v>
      </c>
      <c r="S1338" t="str">
        <f>"Rolling center"</f>
        <v>Rolling center</v>
      </c>
      <c r="T1338">
        <v>0</v>
      </c>
      <c r="U1338">
        <v>23.42</v>
      </c>
      <c r="V1338">
        <v>23.55</v>
      </c>
      <c r="W1338" t="str">
        <f t="shared" si="364"/>
        <v>zintel</v>
      </c>
    </row>
    <row r="1339" spans="1:23">
      <c r="A1339" t="str">
        <f t="shared" si="371"/>
        <v>CNC-9000-BNDL</v>
      </c>
      <c r="B1339" t="str">
        <f>"10-9330-0000"</f>
        <v>10-9330-0000</v>
      </c>
      <c r="C1339" t="str">
        <f>"Stock Package, Delrin, Turn, 3/4""x3"""</f>
        <v>Stock Package, Delrin, Turn, 3/4"x3"</v>
      </c>
      <c r="D1339">
        <v>1</v>
      </c>
      <c r="E1339" t="str">
        <f t="shared" si="372"/>
        <v>ProTURN 9000 bundle</v>
      </c>
      <c r="F1339">
        <v>0</v>
      </c>
      <c r="G1339" t="str">
        <f t="shared" si="358"/>
        <v>Y</v>
      </c>
      <c r="H1339" t="str">
        <f t="shared" si="355"/>
        <v>EA</v>
      </c>
      <c r="I1339">
        <v>0</v>
      </c>
      <c r="J1339">
        <v>0</v>
      </c>
      <c r="K1339" t="str">
        <f t="shared" si="359"/>
        <v>Y</v>
      </c>
      <c r="L1339">
        <v>0</v>
      </c>
      <c r="M1339" t="str">
        <f t="shared" si="360"/>
        <v>NIS</v>
      </c>
      <c r="O1339">
        <v>8</v>
      </c>
      <c r="P1339" t="str">
        <f t="shared" si="370"/>
        <v>Active</v>
      </c>
      <c r="Q1339" t="str">
        <f>"Stock Package, Delrin, Turn, 3/4""x3"""</f>
        <v>Stock Package, Delrin, Turn, 3/4"x3"</v>
      </c>
      <c r="S1339" t="str">
        <f>"Stock Package, Delrin, Turn, 3/4""x3"""</f>
        <v>Stock Package, Delrin, Turn, 3/4"x3"</v>
      </c>
      <c r="T1339">
        <v>83</v>
      </c>
      <c r="U1339">
        <v>83</v>
      </c>
      <c r="V1339">
        <v>163.55000000000001</v>
      </c>
      <c r="W1339" t="str">
        <f t="shared" si="364"/>
        <v>zintel</v>
      </c>
    </row>
    <row r="1340" spans="1:23">
      <c r="A1340" t="str">
        <f t="shared" si="371"/>
        <v>CNC-9000-BNDL</v>
      </c>
      <c r="B1340" t="str">
        <f>"10-9140-0000"</f>
        <v>10-9140-0000</v>
      </c>
      <c r="C1340" t="str">
        <f>"Stock Package, Brass, Turn"</f>
        <v>Stock Package, Brass, Turn</v>
      </c>
      <c r="D1340">
        <v>1</v>
      </c>
      <c r="E1340" t="str">
        <f t="shared" si="372"/>
        <v>ProTURN 9000 bundle</v>
      </c>
      <c r="F1340">
        <v>0</v>
      </c>
      <c r="G1340" t="str">
        <f t="shared" si="358"/>
        <v>Y</v>
      </c>
      <c r="H1340" t="str">
        <f t="shared" si="355"/>
        <v>EA</v>
      </c>
      <c r="I1340">
        <v>0</v>
      </c>
      <c r="J1340">
        <v>0</v>
      </c>
      <c r="K1340" t="str">
        <f t="shared" si="359"/>
        <v>Y</v>
      </c>
      <c r="L1340">
        <v>0</v>
      </c>
      <c r="M1340" t="str">
        <f t="shared" si="360"/>
        <v>NIS</v>
      </c>
      <c r="O1340">
        <v>9</v>
      </c>
      <c r="P1340" t="str">
        <f t="shared" si="370"/>
        <v>Active</v>
      </c>
      <c r="Q1340" t="str">
        <f>"Stock Package, Brass, Turn"</f>
        <v>Stock Package, Brass, Turn</v>
      </c>
      <c r="S1340" t="str">
        <f>"Stock Package, Brass, Turn"</f>
        <v>Stock Package, Brass, Turn</v>
      </c>
      <c r="T1340">
        <v>165.84</v>
      </c>
      <c r="U1340">
        <v>160</v>
      </c>
      <c r="V1340">
        <v>170.92</v>
      </c>
      <c r="W1340" t="str">
        <f t="shared" si="364"/>
        <v>zintel</v>
      </c>
    </row>
    <row r="1341" spans="1:23">
      <c r="A1341" t="str">
        <f t="shared" si="371"/>
        <v>CNC-9000-BNDL</v>
      </c>
      <c r="B1341" t="str">
        <f>"77-8143-0001"</f>
        <v>77-8143-0001</v>
      </c>
      <c r="C1341" t="str">
        <f>"LM7 Content, Lab, CNC Turning w/ProTurn 9000"</f>
        <v>LM7 Content, Lab, CNC Turning w/ProTurn 9000</v>
      </c>
      <c r="D1341">
        <v>1</v>
      </c>
      <c r="E1341" t="str">
        <f t="shared" si="372"/>
        <v>ProTURN 9000 bundle</v>
      </c>
      <c r="F1341">
        <v>0</v>
      </c>
      <c r="G1341" t="str">
        <f t="shared" si="358"/>
        <v>Y</v>
      </c>
      <c r="H1341" t="str">
        <f t="shared" si="355"/>
        <v>EA</v>
      </c>
      <c r="I1341">
        <v>0</v>
      </c>
      <c r="J1341">
        <v>0</v>
      </c>
      <c r="K1341" t="str">
        <f t="shared" si="359"/>
        <v>Y</v>
      </c>
      <c r="L1341">
        <v>0</v>
      </c>
      <c r="M1341" t="str">
        <f t="shared" si="360"/>
        <v>NIS</v>
      </c>
      <c r="O1341">
        <v>10</v>
      </c>
      <c r="P1341" t="str">
        <f t="shared" si="370"/>
        <v>Active</v>
      </c>
      <c r="Q1341" t="str">
        <f>"LM7 Content, Lab, CNC Turning w/ProTurn 9000"</f>
        <v>LM7 Content, Lab, CNC Turning w/ProTurn 9000</v>
      </c>
      <c r="S1341" t="str">
        <f>"LM7 Content, Lab, CNC Turning w/ProTurn 9000"</f>
        <v>LM7 Content, Lab, CNC Turning w/ProTurn 9000</v>
      </c>
      <c r="T1341">
        <v>0</v>
      </c>
      <c r="U1341">
        <v>5</v>
      </c>
      <c r="V1341">
        <v>5</v>
      </c>
      <c r="W1341" t="str">
        <f t="shared" si="364"/>
        <v>zintel</v>
      </c>
    </row>
    <row r="1342" spans="1:23">
      <c r="A1342" t="str">
        <f t="shared" si="371"/>
        <v>CNC-9000-BNDL</v>
      </c>
      <c r="B1342" t="str">
        <f>"39-0000-0029"</f>
        <v>39-0000-0029</v>
      </c>
      <c r="C1342" t="str">
        <f>"Safety Glasses, clear"</f>
        <v>Safety Glasses, clear</v>
      </c>
      <c r="D1342">
        <v>2</v>
      </c>
      <c r="E1342" t="str">
        <f t="shared" si="372"/>
        <v>ProTURN 9000 bundle</v>
      </c>
      <c r="F1342">
        <v>0</v>
      </c>
      <c r="G1342" t="str">
        <f t="shared" si="358"/>
        <v>Y</v>
      </c>
      <c r="H1342" t="str">
        <f t="shared" si="355"/>
        <v>EA</v>
      </c>
      <c r="I1342">
        <v>0</v>
      </c>
      <c r="J1342">
        <v>0</v>
      </c>
      <c r="K1342" t="str">
        <f t="shared" si="359"/>
        <v>Y</v>
      </c>
      <c r="L1342">
        <v>0</v>
      </c>
      <c r="M1342" t="str">
        <f t="shared" si="360"/>
        <v>NIS</v>
      </c>
      <c r="O1342">
        <v>11</v>
      </c>
      <c r="P1342" t="str">
        <f t="shared" si="370"/>
        <v>Active</v>
      </c>
      <c r="Q1342" t="str">
        <f>"Safety Glasses, clear"</f>
        <v>Safety Glasses, clear</v>
      </c>
      <c r="R1342" t="str">
        <f>"1"</f>
        <v>1</v>
      </c>
      <c r="S1342" t="str">
        <f>"Safety Glasses, clear"</f>
        <v>Safety Glasses, clear</v>
      </c>
      <c r="T1342">
        <v>3.11</v>
      </c>
      <c r="U1342">
        <v>2.19</v>
      </c>
      <c r="V1342">
        <v>1.78</v>
      </c>
      <c r="W1342" t="str">
        <f t="shared" si="364"/>
        <v>zintel</v>
      </c>
    </row>
    <row r="1343" spans="1:23">
      <c r="A1343" t="str">
        <f t="shared" si="371"/>
        <v>CNC-9000-BNDL</v>
      </c>
      <c r="B1343" t="str">
        <f>"63-6789-1000"</f>
        <v>63-6789-1000</v>
      </c>
      <c r="C1343" t="str">
        <f>"CNCMotion Software, All CNC Machines"</f>
        <v>CNCMotion Software, All CNC Machines</v>
      </c>
      <c r="D1343">
        <v>30</v>
      </c>
      <c r="E1343" t="str">
        <f t="shared" si="372"/>
        <v>ProTURN 9000 bundle</v>
      </c>
      <c r="F1343">
        <v>0</v>
      </c>
      <c r="G1343" t="str">
        <f t="shared" si="358"/>
        <v>Y</v>
      </c>
      <c r="H1343" t="str">
        <f t="shared" si="355"/>
        <v>EA</v>
      </c>
      <c r="I1343">
        <v>0</v>
      </c>
      <c r="J1343">
        <v>0</v>
      </c>
      <c r="K1343" t="str">
        <f t="shared" si="359"/>
        <v>Y</v>
      </c>
      <c r="L1343">
        <v>0</v>
      </c>
      <c r="M1343" t="str">
        <f t="shared" si="360"/>
        <v>NIS</v>
      </c>
      <c r="O1343">
        <v>12</v>
      </c>
      <c r="P1343" t="str">
        <f t="shared" si="370"/>
        <v>Active</v>
      </c>
      <c r="Q1343" t="str">
        <f>"CNCMotion Software, All CNC Machinnew CNC Motion"</f>
        <v>CNCMotion Software, All CNC Machinnew CNC Motion</v>
      </c>
      <c r="S1343" t="str">
        <f>"CNCMotion Software, All CNC Machines"</f>
        <v>CNCMotion Software, All CNC Machines</v>
      </c>
      <c r="T1343">
        <v>0</v>
      </c>
      <c r="U1343">
        <v>9.5</v>
      </c>
      <c r="V1343">
        <v>9.8800000000000008</v>
      </c>
      <c r="W1343" t="str">
        <f t="shared" si="364"/>
        <v>zintel</v>
      </c>
    </row>
    <row r="1344" spans="1:23">
      <c r="A1344" t="str">
        <f t="shared" ref="A1344:A1349" si="373">"CNC-9000-STRT"</f>
        <v>CNC-9000-STRT</v>
      </c>
      <c r="B1344" t="str">
        <f>"00-5501-0110"</f>
        <v>00-5501-0110</v>
      </c>
      <c r="C1344" t="str">
        <f>"CNC ProTurn 9000 AC 110V"</f>
        <v>CNC ProTurn 9000 AC 110V</v>
      </c>
      <c r="D1344">
        <v>1</v>
      </c>
      <c r="E1344" t="str">
        <f t="shared" ref="E1344:E1349" si="374">"ProTURN 9000 Starter Bundle, Imp/Met, 110/220 VAC"</f>
        <v>ProTURN 9000 Starter Bundle, Imp/Met, 110/220 VAC</v>
      </c>
      <c r="F1344">
        <v>0</v>
      </c>
      <c r="G1344" t="str">
        <f t="shared" si="358"/>
        <v>Y</v>
      </c>
      <c r="H1344" t="str">
        <f t="shared" ref="H1344:H1407" si="375">"EA"</f>
        <v>EA</v>
      </c>
      <c r="I1344">
        <v>0</v>
      </c>
      <c r="J1344">
        <v>0</v>
      </c>
      <c r="K1344" t="str">
        <f t="shared" si="359"/>
        <v>Y</v>
      </c>
      <c r="L1344">
        <v>0</v>
      </c>
      <c r="M1344" t="str">
        <f t="shared" si="360"/>
        <v>NIS</v>
      </c>
      <c r="O1344">
        <v>1</v>
      </c>
      <c r="P1344" t="str">
        <f t="shared" si="370"/>
        <v>Active</v>
      </c>
      <c r="Q1344" t="str">
        <f>"CNC ProTurn 9000 AC 110V"</f>
        <v>CNC ProTurn 9000 AC 110V</v>
      </c>
      <c r="S1344" t="str">
        <f>"CNC ProTurn 9000 AC 110V"</f>
        <v>CNC ProTurn 9000 AC 110V</v>
      </c>
      <c r="T1344">
        <v>0</v>
      </c>
      <c r="U1344" s="44">
        <v>7364</v>
      </c>
      <c r="V1344" s="44">
        <v>7344</v>
      </c>
      <c r="W1344" t="str">
        <f t="shared" si="364"/>
        <v>zintel</v>
      </c>
    </row>
    <row r="1345" spans="1:23">
      <c r="A1345" t="str">
        <f t="shared" si="373"/>
        <v>CNC-9000-STRT</v>
      </c>
      <c r="B1345" t="str">
        <f>"10-1110-1000"</f>
        <v>10-1110-1000</v>
      </c>
      <c r="C1345" t="str">
        <f>"10 x 10mm cutter tool holder"</f>
        <v>10 x 10mm cutter tool holder</v>
      </c>
      <c r="D1345">
        <v>1</v>
      </c>
      <c r="E1345" t="str">
        <f t="shared" si="374"/>
        <v>ProTURN 9000 Starter Bundle, Imp/Met, 110/220 VAC</v>
      </c>
      <c r="F1345">
        <v>0</v>
      </c>
      <c r="G1345" t="str">
        <f t="shared" si="358"/>
        <v>Y</v>
      </c>
      <c r="H1345" t="str">
        <f t="shared" si="375"/>
        <v>EA</v>
      </c>
      <c r="I1345">
        <v>0</v>
      </c>
      <c r="J1345">
        <v>0</v>
      </c>
      <c r="K1345" t="str">
        <f t="shared" si="359"/>
        <v>Y</v>
      </c>
      <c r="L1345">
        <v>0</v>
      </c>
      <c r="M1345" t="str">
        <f t="shared" si="360"/>
        <v>NIS</v>
      </c>
      <c r="O1345">
        <v>2</v>
      </c>
      <c r="P1345" t="str">
        <f t="shared" si="370"/>
        <v>Active</v>
      </c>
      <c r="Q1345" t="str">
        <f>"10x10mm TiN coated cutter set (replaceable tip)"</f>
        <v>10x10mm TiN coated cutter set (replaceable tip)</v>
      </c>
      <c r="S1345" t="str">
        <f>"10x10mm TiN coated cutter set (replaceable tip)"</f>
        <v>10x10mm TiN coated cutter set (replaceable tip)</v>
      </c>
      <c r="T1345">
        <v>0</v>
      </c>
      <c r="U1345">
        <v>65</v>
      </c>
      <c r="V1345">
        <v>65.540000000000006</v>
      </c>
      <c r="W1345" t="str">
        <f t="shared" si="364"/>
        <v>zintel</v>
      </c>
    </row>
    <row r="1346" spans="1:23">
      <c r="A1346" t="str">
        <f t="shared" si="373"/>
        <v>CNC-9000-STRT</v>
      </c>
      <c r="B1346" t="str">
        <f>"10-1110-2000"</f>
        <v>10-1110-2000</v>
      </c>
      <c r="C1346" t="str">
        <f>"TiN coated tip for 011101"</f>
        <v>TiN coated tip for 011101</v>
      </c>
      <c r="D1346">
        <v>1</v>
      </c>
      <c r="E1346" t="str">
        <f t="shared" si="374"/>
        <v>ProTURN 9000 Starter Bundle, Imp/Met, 110/220 VAC</v>
      </c>
      <c r="F1346">
        <v>0</v>
      </c>
      <c r="G1346" t="str">
        <f t="shared" ref="G1346:G1409" si="376">"Y"</f>
        <v>Y</v>
      </c>
      <c r="H1346" t="str">
        <f t="shared" si="375"/>
        <v>EA</v>
      </c>
      <c r="I1346">
        <v>0</v>
      </c>
      <c r="J1346">
        <v>0</v>
      </c>
      <c r="K1346" t="str">
        <f t="shared" ref="K1346:K1409" si="377">"Y"</f>
        <v>Y</v>
      </c>
      <c r="L1346">
        <v>0</v>
      </c>
      <c r="M1346" t="str">
        <f t="shared" ref="M1346:M1409" si="378">"NIS"</f>
        <v>NIS</v>
      </c>
      <c r="O1346">
        <v>3</v>
      </c>
      <c r="P1346" t="str">
        <f t="shared" si="370"/>
        <v>Active</v>
      </c>
      <c r="Q1346" t="str">
        <f>"TiN coated tip for 011101"</f>
        <v>TiN coated tip for 011101</v>
      </c>
      <c r="S1346" t="str">
        <f>"TiN coated tip for 011101"</f>
        <v>TiN coated tip for 011101</v>
      </c>
      <c r="T1346">
        <v>0</v>
      </c>
      <c r="U1346">
        <v>42</v>
      </c>
      <c r="V1346">
        <v>41.71</v>
      </c>
      <c r="W1346" t="str">
        <f t="shared" si="364"/>
        <v>zintel</v>
      </c>
    </row>
    <row r="1347" spans="1:23">
      <c r="A1347" t="str">
        <f t="shared" si="373"/>
        <v>CNC-9000-STRT</v>
      </c>
      <c r="B1347" t="str">
        <f>"10-1105-7000"</f>
        <v>10-1105-7000</v>
      </c>
      <c r="C1347" t="str">
        <f>"Drill Chuck for Tailstock"</f>
        <v>Drill Chuck for Tailstock</v>
      </c>
      <c r="D1347">
        <v>1</v>
      </c>
      <c r="E1347" t="str">
        <f t="shared" si="374"/>
        <v>ProTURN 9000 Starter Bundle, Imp/Met, 110/220 VAC</v>
      </c>
      <c r="F1347">
        <v>0</v>
      </c>
      <c r="G1347" t="str">
        <f t="shared" si="376"/>
        <v>Y</v>
      </c>
      <c r="H1347" t="str">
        <f t="shared" si="375"/>
        <v>EA</v>
      </c>
      <c r="I1347">
        <v>0</v>
      </c>
      <c r="J1347">
        <v>0</v>
      </c>
      <c r="K1347" t="str">
        <f t="shared" si="377"/>
        <v>Y</v>
      </c>
      <c r="L1347">
        <v>0</v>
      </c>
      <c r="M1347" t="str">
        <f t="shared" si="378"/>
        <v>NIS</v>
      </c>
      <c r="O1347">
        <v>4</v>
      </c>
      <c r="P1347" t="str">
        <f t="shared" si="370"/>
        <v>Active</v>
      </c>
      <c r="Q1347" t="str">
        <f>"Drill Chuck for Tailstock MT2 13mm"</f>
        <v>Drill Chuck for Tailstock MT2 13mm</v>
      </c>
      <c r="S1347" t="str">
        <f>"Drill Chuck for Tailstock MT2 13mm"</f>
        <v>Drill Chuck for Tailstock MT2 13mm</v>
      </c>
      <c r="T1347">
        <v>0</v>
      </c>
      <c r="U1347">
        <v>21.07</v>
      </c>
      <c r="V1347">
        <v>23.52</v>
      </c>
      <c r="W1347" t="str">
        <f t="shared" si="364"/>
        <v>zintel</v>
      </c>
    </row>
    <row r="1348" spans="1:23">
      <c r="A1348" t="str">
        <f t="shared" si="373"/>
        <v>CNC-9000-STRT</v>
      </c>
      <c r="B1348" t="str">
        <f>"10-1106-6000"</f>
        <v>10-1106-6000</v>
      </c>
      <c r="C1348" t="str">
        <f>"- Rolling center"</f>
        <v>- Rolling center</v>
      </c>
      <c r="D1348">
        <v>1</v>
      </c>
      <c r="E1348" t="str">
        <f t="shared" si="374"/>
        <v>ProTURN 9000 Starter Bundle, Imp/Met, 110/220 VAC</v>
      </c>
      <c r="F1348">
        <v>0</v>
      </c>
      <c r="G1348" t="str">
        <f t="shared" si="376"/>
        <v>Y</v>
      </c>
      <c r="H1348" t="str">
        <f t="shared" si="375"/>
        <v>EA</v>
      </c>
      <c r="I1348">
        <v>0</v>
      </c>
      <c r="J1348">
        <v>0</v>
      </c>
      <c r="K1348" t="str">
        <f t="shared" si="377"/>
        <v>Y</v>
      </c>
      <c r="L1348">
        <v>0</v>
      </c>
      <c r="M1348" t="str">
        <f t="shared" si="378"/>
        <v>NIS</v>
      </c>
      <c r="O1348">
        <v>5</v>
      </c>
      <c r="P1348" t="str">
        <f t="shared" si="370"/>
        <v>Active</v>
      </c>
      <c r="Q1348" t="str">
        <f>"Rolling center"</f>
        <v>Rolling center</v>
      </c>
      <c r="S1348" t="str">
        <f>"Rolling center"</f>
        <v>Rolling center</v>
      </c>
      <c r="T1348">
        <v>0</v>
      </c>
      <c r="U1348">
        <v>23.42</v>
      </c>
      <c r="V1348">
        <v>23.55</v>
      </c>
      <c r="W1348" t="str">
        <f t="shared" si="364"/>
        <v>zintel</v>
      </c>
    </row>
    <row r="1349" spans="1:23">
      <c r="A1349" t="str">
        <f t="shared" si="373"/>
        <v>CNC-9000-STRT</v>
      </c>
      <c r="B1349" t="str">
        <f>"77-3143-0001"</f>
        <v>77-3143-0001</v>
      </c>
      <c r="C1349" t="str">
        <f>"LM7 Content, Vir, CNC Turning w/ProTurn 9000"</f>
        <v>LM7 Content, Vir, CNC Turning w/ProTurn 9000</v>
      </c>
      <c r="D1349">
        <v>1</v>
      </c>
      <c r="E1349" t="str">
        <f t="shared" si="374"/>
        <v>ProTURN 9000 Starter Bundle, Imp/Met, 110/220 VAC</v>
      </c>
      <c r="F1349">
        <v>0</v>
      </c>
      <c r="G1349" t="str">
        <f t="shared" si="376"/>
        <v>Y</v>
      </c>
      <c r="H1349" t="str">
        <f t="shared" si="375"/>
        <v>EA</v>
      </c>
      <c r="I1349">
        <v>0</v>
      </c>
      <c r="J1349">
        <v>0</v>
      </c>
      <c r="K1349" t="str">
        <f t="shared" si="377"/>
        <v>Y</v>
      </c>
      <c r="L1349">
        <v>0</v>
      </c>
      <c r="M1349" t="str">
        <f t="shared" si="378"/>
        <v>NIS</v>
      </c>
      <c r="O1349">
        <v>6</v>
      </c>
      <c r="P1349" t="str">
        <f t="shared" si="370"/>
        <v>Active</v>
      </c>
      <c r="Q1349" t="str">
        <f>"LM7 Content, Vir, CNC Turning w/ProTurn 9000"</f>
        <v>LM7 Content, Vir, CNC Turning w/ProTurn 9000</v>
      </c>
      <c r="S1349" t="str">
        <f>"LM7 Content, Vir, CNC Turning w/ProTurn 9000"</f>
        <v>LM7 Content, Vir, CNC Turning w/ProTurn 9000</v>
      </c>
      <c r="T1349">
        <v>0</v>
      </c>
      <c r="U1349">
        <v>5</v>
      </c>
      <c r="V1349">
        <v>5</v>
      </c>
      <c r="W1349" t="str">
        <f t="shared" si="364"/>
        <v>zintel</v>
      </c>
    </row>
    <row r="1350" spans="1:23">
      <c r="A1350" t="str">
        <f>"CNC-PROJ-YOYO"</f>
        <v>CNC-PROJ-YOYO</v>
      </c>
      <c r="B1350" t="str">
        <f>"10-7001-1001"</f>
        <v>10-7001-1001</v>
      </c>
      <c r="C1350" t="str">
        <f>"Project, Yo-Yo, Components"</f>
        <v>Project, Yo-Yo, Components</v>
      </c>
      <c r="D1350">
        <v>1</v>
      </c>
      <c r="E1350" t="str">
        <f>"LM7, Lab, Projects: Yo-Yo"</f>
        <v>LM7, Lab, Projects: Yo-Yo</v>
      </c>
      <c r="F1350">
        <v>0</v>
      </c>
      <c r="G1350" t="str">
        <f t="shared" si="376"/>
        <v>Y</v>
      </c>
      <c r="H1350" t="str">
        <f t="shared" si="375"/>
        <v>EA</v>
      </c>
      <c r="I1350">
        <v>0</v>
      </c>
      <c r="J1350">
        <v>0</v>
      </c>
      <c r="K1350" t="str">
        <f t="shared" si="377"/>
        <v>Y</v>
      </c>
      <c r="L1350">
        <v>0</v>
      </c>
      <c r="M1350" t="str">
        <f t="shared" si="378"/>
        <v>NIS</v>
      </c>
      <c r="O1350">
        <v>1</v>
      </c>
      <c r="P1350" t="str">
        <f t="shared" si="370"/>
        <v>Active</v>
      </c>
      <c r="Q1350" t="str">
        <f>"Project, Yo-Yo, Components"</f>
        <v>Project, Yo-Yo, Components</v>
      </c>
      <c r="S1350" t="str">
        <f>"Project, Yo-Yo, Components"</f>
        <v>Project, Yo-Yo, Components</v>
      </c>
      <c r="T1350" s="44">
        <v>1973.85</v>
      </c>
      <c r="U1350" s="44">
        <v>1979.37</v>
      </c>
      <c r="V1350" s="44">
        <v>2058.54</v>
      </c>
      <c r="W1350" t="str">
        <f t="shared" si="364"/>
        <v>zintel</v>
      </c>
    </row>
    <row r="1351" spans="1:23">
      <c r="A1351" t="str">
        <f>"CNC-PROJ-YOYO"</f>
        <v>CNC-PROJ-YOYO</v>
      </c>
      <c r="B1351" t="str">
        <f>"77-7001-0001"</f>
        <v>77-7001-0001</v>
      </c>
      <c r="C1351" t="str">
        <f>"LM7 Content, Vir, Yo-Yo Project"</f>
        <v>LM7 Content, Vir, Yo-Yo Project</v>
      </c>
      <c r="D1351">
        <v>1</v>
      </c>
      <c r="E1351" t="str">
        <f>"LM7, Lab, Projects: Yo-Yo"</f>
        <v>LM7, Lab, Projects: Yo-Yo</v>
      </c>
      <c r="F1351">
        <v>0</v>
      </c>
      <c r="G1351" t="str">
        <f t="shared" si="376"/>
        <v>Y</v>
      </c>
      <c r="H1351" t="str">
        <f t="shared" si="375"/>
        <v>EA</v>
      </c>
      <c r="I1351">
        <v>0</v>
      </c>
      <c r="J1351">
        <v>0</v>
      </c>
      <c r="K1351" t="str">
        <f t="shared" si="377"/>
        <v>Y</v>
      </c>
      <c r="L1351">
        <v>0</v>
      </c>
      <c r="M1351" t="str">
        <f t="shared" si="378"/>
        <v>NIS</v>
      </c>
      <c r="O1351">
        <v>2</v>
      </c>
      <c r="P1351" t="str">
        <f t="shared" si="370"/>
        <v>Active</v>
      </c>
      <c r="Q1351" t="str">
        <f>"LM7 Content, Vir, Yo-Yo Project"</f>
        <v>LM7 Content, Vir, Yo-Yo Project</v>
      </c>
      <c r="S1351" t="str">
        <f>"LM7 Content, Vir, Yo-Yo Project"</f>
        <v>LM7 Content, Vir, Yo-Yo Project</v>
      </c>
      <c r="T1351">
        <v>0</v>
      </c>
      <c r="U1351">
        <v>5</v>
      </c>
      <c r="V1351">
        <v>5</v>
      </c>
      <c r="W1351" t="str">
        <f t="shared" si="364"/>
        <v>zintel</v>
      </c>
    </row>
    <row r="1352" spans="1:23">
      <c r="A1352" t="str">
        <f>"CNV-10440x2040"</f>
        <v>CNV-10440x2040</v>
      </c>
      <c r="B1352" t="str">
        <f>"10-2110-9000"</f>
        <v>10-2110-9000</v>
      </c>
      <c r="C1352" t="str">
        <f>"Pallet Conveyor Drive Assembly"</f>
        <v>Pallet Conveyor Drive Assembly</v>
      </c>
      <c r="D1352">
        <v>1</v>
      </c>
      <c r="E1352" t="str">
        <f>"Pallet Conveyor - Max. 8 Stations (10440mm x 2040mm)"</f>
        <v>Pallet Conveyor - Max. 8 Stations (10440mm x 2040mm)</v>
      </c>
      <c r="F1352">
        <v>520</v>
      </c>
      <c r="G1352" t="str">
        <f t="shared" si="376"/>
        <v>Y</v>
      </c>
      <c r="H1352" t="str">
        <f t="shared" si="375"/>
        <v>EA</v>
      </c>
      <c r="I1352">
        <v>0</v>
      </c>
      <c r="J1352">
        <v>0</v>
      </c>
      <c r="K1352" t="str">
        <f t="shared" si="377"/>
        <v>Y</v>
      </c>
      <c r="L1352">
        <v>0</v>
      </c>
      <c r="M1352" t="str">
        <f t="shared" si="378"/>
        <v>NIS</v>
      </c>
      <c r="O1352">
        <v>1</v>
      </c>
      <c r="P1352" t="str">
        <f t="shared" si="370"/>
        <v>Active</v>
      </c>
      <c r="Q1352" t="str">
        <f>"Pallet Conveyor Drive Assembly"</f>
        <v>Pallet Conveyor Drive Assembly</v>
      </c>
      <c r="S1352" t="str">
        <f>"Pallet Conveyor Drive Assembly"</f>
        <v>Pallet Conveyor Drive Assembly</v>
      </c>
      <c r="T1352">
        <v>0</v>
      </c>
      <c r="U1352" s="44">
        <v>3250</v>
      </c>
      <c r="V1352" s="44">
        <v>3208.53</v>
      </c>
      <c r="W1352" t="str">
        <f t="shared" ref="W1352:W1383" si="379">"rob"</f>
        <v>rob</v>
      </c>
    </row>
    <row r="1353" spans="1:23">
      <c r="A1353" t="str">
        <f>"CNV-10440x2040"</f>
        <v>CNV-10440x2040</v>
      </c>
      <c r="B1353" t="str">
        <f>"10-2110-4000"</f>
        <v>10-2110-4000</v>
      </c>
      <c r="C1353" t="str">
        <f>"Pallet Conveyor Corner Section 90°"</f>
        <v>Pallet Conveyor Corner Section 90°</v>
      </c>
      <c r="D1353">
        <v>4</v>
      </c>
      <c r="E1353" t="str">
        <f>"Pallet Conveyor - Max. 8 Stations (10440mm x 2040mm)"</f>
        <v>Pallet Conveyor - Max. 8 Stations (10440mm x 2040mm)</v>
      </c>
      <c r="F1353">
        <v>520</v>
      </c>
      <c r="G1353" t="str">
        <f t="shared" si="376"/>
        <v>Y</v>
      </c>
      <c r="H1353" t="str">
        <f t="shared" si="375"/>
        <v>EA</v>
      </c>
      <c r="I1353">
        <v>0</v>
      </c>
      <c r="J1353">
        <v>0</v>
      </c>
      <c r="K1353" t="str">
        <f t="shared" si="377"/>
        <v>Y</v>
      </c>
      <c r="L1353">
        <v>0</v>
      </c>
      <c r="M1353" t="str">
        <f t="shared" si="378"/>
        <v>NIS</v>
      </c>
      <c r="O1353">
        <v>2</v>
      </c>
      <c r="P1353" t="str">
        <f t="shared" si="370"/>
        <v>Active</v>
      </c>
      <c r="Q1353" t="str">
        <f>"Pallet Conveyor Corner Section 90°"</f>
        <v>Pallet Conveyor Corner Section 90°</v>
      </c>
      <c r="S1353" t="str">
        <f>"Pallet Conveyor Corner Section 90°"</f>
        <v>Pallet Conveyor Corner Section 90°</v>
      </c>
      <c r="T1353">
        <v>0</v>
      </c>
      <c r="U1353">
        <v>390</v>
      </c>
      <c r="V1353">
        <v>354.11</v>
      </c>
      <c r="W1353" t="str">
        <f t="shared" si="379"/>
        <v>rob</v>
      </c>
    </row>
    <row r="1354" spans="1:23">
      <c r="A1354" t="str">
        <f>"CNV-10440x2040"</f>
        <v>CNV-10440x2040</v>
      </c>
      <c r="B1354" t="str">
        <f>"10-2111-0000"</f>
        <v>10-2111-0000</v>
      </c>
      <c r="C1354" t="str">
        <f>"Pallet Conveyor Middle Leg Assembly"</f>
        <v>Pallet Conveyor Middle Leg Assembly</v>
      </c>
      <c r="D1354">
        <v>12</v>
      </c>
      <c r="E1354" t="str">
        <f>"Pallet Conveyor - Max. 8 Stations (10440mm x 2040mm)"</f>
        <v>Pallet Conveyor - Max. 8 Stations (10440mm x 2040mm)</v>
      </c>
      <c r="F1354">
        <v>520</v>
      </c>
      <c r="G1354" t="str">
        <f t="shared" si="376"/>
        <v>Y</v>
      </c>
      <c r="H1354" t="str">
        <f t="shared" si="375"/>
        <v>EA</v>
      </c>
      <c r="I1354">
        <v>0</v>
      </c>
      <c r="J1354">
        <v>0</v>
      </c>
      <c r="K1354" t="str">
        <f t="shared" si="377"/>
        <v>Y</v>
      </c>
      <c r="L1354">
        <v>0</v>
      </c>
      <c r="M1354" t="str">
        <f t="shared" si="378"/>
        <v>NIS</v>
      </c>
      <c r="O1354">
        <v>3</v>
      </c>
      <c r="P1354" t="str">
        <f t="shared" ref="P1354:P1385" si="380">"Active"</f>
        <v>Active</v>
      </c>
      <c r="Q1354" t="str">
        <f>"Pallet Conveyor Middle Leg Assembly"</f>
        <v>Pallet Conveyor Middle Leg Assembly</v>
      </c>
      <c r="S1354" t="str">
        <f>"Pallet Conveyor Middle Leg Assembly"</f>
        <v>Pallet Conveyor Middle Leg Assembly</v>
      </c>
      <c r="T1354">
        <v>0</v>
      </c>
      <c r="U1354">
        <v>370</v>
      </c>
      <c r="V1354">
        <v>339.98</v>
      </c>
      <c r="W1354" t="str">
        <f t="shared" si="379"/>
        <v>rob</v>
      </c>
    </row>
    <row r="1355" spans="1:23">
      <c r="A1355" t="str">
        <f>"CNV-10440x2040"</f>
        <v>CNV-10440x2040</v>
      </c>
      <c r="B1355" t="str">
        <f>"10-2110-1000"</f>
        <v>10-2110-1000</v>
      </c>
      <c r="C1355" t="str">
        <f>"Pallet Conveyor Straight Section 1400mm"</f>
        <v>Pallet Conveyor Straight Section 1400mm</v>
      </c>
      <c r="D1355">
        <v>15</v>
      </c>
      <c r="E1355" t="str">
        <f>"Pallet Conveyor - Max. 8 Stations (10440mm x 2040mm)"</f>
        <v>Pallet Conveyor - Max. 8 Stations (10440mm x 2040mm)</v>
      </c>
      <c r="F1355">
        <v>520</v>
      </c>
      <c r="G1355" t="str">
        <f t="shared" si="376"/>
        <v>Y</v>
      </c>
      <c r="H1355" t="str">
        <f t="shared" si="375"/>
        <v>EA</v>
      </c>
      <c r="I1355">
        <v>0</v>
      </c>
      <c r="J1355">
        <v>0</v>
      </c>
      <c r="K1355" t="str">
        <f t="shared" si="377"/>
        <v>Y</v>
      </c>
      <c r="L1355">
        <v>0</v>
      </c>
      <c r="M1355" t="str">
        <f t="shared" si="378"/>
        <v>NIS</v>
      </c>
      <c r="O1355">
        <v>4</v>
      </c>
      <c r="P1355" t="str">
        <f t="shared" si="380"/>
        <v>Active</v>
      </c>
      <c r="Q1355" t="str">
        <f>"Pallet Conveyor Straight Section 1400mm"</f>
        <v>Pallet Conveyor Straight Section 1400mm</v>
      </c>
      <c r="S1355" t="str">
        <f>"Pallet Conveyor Straight Section 1400mm"</f>
        <v>Pallet Conveyor Straight Section 1400mm</v>
      </c>
      <c r="T1355">
        <v>0</v>
      </c>
      <c r="U1355">
        <v>467.27</v>
      </c>
      <c r="V1355">
        <v>486.81</v>
      </c>
      <c r="W1355" t="str">
        <f t="shared" si="379"/>
        <v>rob</v>
      </c>
    </row>
    <row r="1356" spans="1:23">
      <c r="A1356" t="str">
        <f>"CNV-10440x2040"</f>
        <v>CNV-10440x2040</v>
      </c>
      <c r="B1356" t="str">
        <f>"021041"</f>
        <v>021041</v>
      </c>
      <c r="C1356" t="str">
        <f>"Installation KIT"</f>
        <v>Installation KIT</v>
      </c>
      <c r="D1356">
        <v>1</v>
      </c>
      <c r="E1356" t="str">
        <f>"Pallet Conveyor - Max. 8 Stations (10440mm x 2040mm)"</f>
        <v>Pallet Conveyor - Max. 8 Stations (10440mm x 2040mm)</v>
      </c>
      <c r="F1356">
        <v>520</v>
      </c>
      <c r="G1356" t="str">
        <f t="shared" si="376"/>
        <v>Y</v>
      </c>
      <c r="H1356" t="str">
        <f t="shared" si="375"/>
        <v>EA</v>
      </c>
      <c r="I1356">
        <v>0</v>
      </c>
      <c r="J1356">
        <v>0</v>
      </c>
      <c r="K1356" t="str">
        <f t="shared" si="377"/>
        <v>Y</v>
      </c>
      <c r="L1356">
        <v>0</v>
      </c>
      <c r="M1356" t="str">
        <f t="shared" si="378"/>
        <v>NIS</v>
      </c>
      <c r="O1356">
        <v>5</v>
      </c>
      <c r="P1356" t="str">
        <f t="shared" si="380"/>
        <v>Active</v>
      </c>
      <c r="Q1356" t="str">
        <f>"סט חומרים מתכלים למתקינים Installation KIT"</f>
        <v>סט חומרים מתכלים למתקינים Installation KIT</v>
      </c>
      <c r="S1356" t="str">
        <f>"סט חומרים מתכלים למתקינים Installation KIT"</f>
        <v>סט חומרים מתכלים למתקינים Installation KIT</v>
      </c>
      <c r="T1356">
        <v>0</v>
      </c>
      <c r="U1356">
        <v>140</v>
      </c>
      <c r="V1356">
        <v>137.94999999999999</v>
      </c>
      <c r="W1356" t="str">
        <f t="shared" si="379"/>
        <v>rob</v>
      </c>
    </row>
    <row r="1357" spans="1:23">
      <c r="A1357" t="str">
        <f>"CNV-2040x1400"</f>
        <v>CNV-2040x1400</v>
      </c>
      <c r="B1357" t="str">
        <f>"10-2110-9000"</f>
        <v>10-2110-9000</v>
      </c>
      <c r="C1357" t="str">
        <f>"Pallet Conveyor Drive Assembly"</f>
        <v>Pallet Conveyor Drive Assembly</v>
      </c>
      <c r="D1357">
        <v>1</v>
      </c>
      <c r="E1357" t="str">
        <f>"Pallet Conveyor - Max. 3 Stations (2040mm x 1400mm)"</f>
        <v>Pallet Conveyor - Max. 3 Stations (2040mm x 1400mm)</v>
      </c>
      <c r="F1357">
        <v>520</v>
      </c>
      <c r="G1357" t="str">
        <f t="shared" si="376"/>
        <v>Y</v>
      </c>
      <c r="H1357" t="str">
        <f t="shared" si="375"/>
        <v>EA</v>
      </c>
      <c r="I1357">
        <v>0</v>
      </c>
      <c r="J1357">
        <v>0</v>
      </c>
      <c r="K1357" t="str">
        <f t="shared" si="377"/>
        <v>Y</v>
      </c>
      <c r="L1357">
        <v>0</v>
      </c>
      <c r="M1357" t="str">
        <f t="shared" si="378"/>
        <v>NIS</v>
      </c>
      <c r="O1357">
        <v>1</v>
      </c>
      <c r="P1357" t="str">
        <f t="shared" si="380"/>
        <v>Active</v>
      </c>
      <c r="Q1357" t="str">
        <f>"Pallet Conveyor Drive Assembly"</f>
        <v>Pallet Conveyor Drive Assembly</v>
      </c>
      <c r="S1357" t="str">
        <f>"Pallet Conveyor Drive Assembly"</f>
        <v>Pallet Conveyor Drive Assembly</v>
      </c>
      <c r="T1357">
        <v>0</v>
      </c>
      <c r="U1357" s="44">
        <v>3250</v>
      </c>
      <c r="V1357" s="44">
        <v>3208.53</v>
      </c>
      <c r="W1357" t="str">
        <f t="shared" si="379"/>
        <v>rob</v>
      </c>
    </row>
    <row r="1358" spans="1:23">
      <c r="A1358" t="str">
        <f>"CNV-2040x1400"</f>
        <v>CNV-2040x1400</v>
      </c>
      <c r="B1358" t="str">
        <f>"10-2110-4000"</f>
        <v>10-2110-4000</v>
      </c>
      <c r="C1358" t="str">
        <f>"Pallet Conveyor Corner Section 90°"</f>
        <v>Pallet Conveyor Corner Section 90°</v>
      </c>
      <c r="D1358">
        <v>4</v>
      </c>
      <c r="E1358" t="str">
        <f>"Pallet Conveyor - Max. 3 Stations (2040mm x 1400mm)"</f>
        <v>Pallet Conveyor - Max. 3 Stations (2040mm x 1400mm)</v>
      </c>
      <c r="F1358">
        <v>520</v>
      </c>
      <c r="G1358" t="str">
        <f t="shared" si="376"/>
        <v>Y</v>
      </c>
      <c r="H1358" t="str">
        <f t="shared" si="375"/>
        <v>EA</v>
      </c>
      <c r="I1358">
        <v>0</v>
      </c>
      <c r="J1358">
        <v>0</v>
      </c>
      <c r="K1358" t="str">
        <f t="shared" si="377"/>
        <v>Y</v>
      </c>
      <c r="L1358">
        <v>0</v>
      </c>
      <c r="M1358" t="str">
        <f t="shared" si="378"/>
        <v>NIS</v>
      </c>
      <c r="O1358">
        <v>2</v>
      </c>
      <c r="P1358" t="str">
        <f t="shared" si="380"/>
        <v>Active</v>
      </c>
      <c r="Q1358" t="str">
        <f>"Pallet Conveyor Corner Section 90°"</f>
        <v>Pallet Conveyor Corner Section 90°</v>
      </c>
      <c r="S1358" t="str">
        <f>"Pallet Conveyor Corner Section 90°"</f>
        <v>Pallet Conveyor Corner Section 90°</v>
      </c>
      <c r="T1358">
        <v>0</v>
      </c>
      <c r="U1358">
        <v>390</v>
      </c>
      <c r="V1358">
        <v>354.11</v>
      </c>
      <c r="W1358" t="str">
        <f t="shared" si="379"/>
        <v>rob</v>
      </c>
    </row>
    <row r="1359" spans="1:23">
      <c r="A1359" t="str">
        <f>"CNV-2040x1400"</f>
        <v>CNV-2040x1400</v>
      </c>
      <c r="B1359" t="str">
        <f>"10-2110-1000"</f>
        <v>10-2110-1000</v>
      </c>
      <c r="C1359" t="str">
        <f>"Pallet Conveyor Straight Section 1400mm"</f>
        <v>Pallet Conveyor Straight Section 1400mm</v>
      </c>
      <c r="D1359">
        <v>1</v>
      </c>
      <c r="E1359" t="str">
        <f>"Pallet Conveyor - Max. 3 Stations (2040mm x 1400mm)"</f>
        <v>Pallet Conveyor - Max. 3 Stations (2040mm x 1400mm)</v>
      </c>
      <c r="F1359">
        <v>520</v>
      </c>
      <c r="G1359" t="str">
        <f t="shared" si="376"/>
        <v>Y</v>
      </c>
      <c r="H1359" t="str">
        <f t="shared" si="375"/>
        <v>EA</v>
      </c>
      <c r="I1359">
        <v>0</v>
      </c>
      <c r="J1359">
        <v>0</v>
      </c>
      <c r="K1359" t="str">
        <f t="shared" si="377"/>
        <v>Y</v>
      </c>
      <c r="L1359">
        <v>0</v>
      </c>
      <c r="M1359" t="str">
        <f t="shared" si="378"/>
        <v>NIS</v>
      </c>
      <c r="O1359">
        <v>3</v>
      </c>
      <c r="P1359" t="str">
        <f t="shared" si="380"/>
        <v>Active</v>
      </c>
      <c r="Q1359" t="str">
        <f>"Pallet Conveyor Straight Section 1400mm"</f>
        <v>Pallet Conveyor Straight Section 1400mm</v>
      </c>
      <c r="S1359" t="str">
        <f>"Pallet Conveyor Straight Section 1400mm"</f>
        <v>Pallet Conveyor Straight Section 1400mm</v>
      </c>
      <c r="T1359">
        <v>0</v>
      </c>
      <c r="U1359">
        <v>467.27</v>
      </c>
      <c r="V1359">
        <v>486.81</v>
      </c>
      <c r="W1359" t="str">
        <f t="shared" si="379"/>
        <v>rob</v>
      </c>
    </row>
    <row r="1360" spans="1:23">
      <c r="A1360" t="str">
        <f>"CNV-2040x1400"</f>
        <v>CNV-2040x1400</v>
      </c>
      <c r="B1360" t="str">
        <f>"10-2110-2000"</f>
        <v>10-2110-2000</v>
      </c>
      <c r="C1360" t="str">
        <f>"Pallet Conveyor Straight Section 760mm"</f>
        <v>Pallet Conveyor Straight Section 760mm</v>
      </c>
      <c r="D1360">
        <v>2</v>
      </c>
      <c r="E1360" t="str">
        <f>"Pallet Conveyor - Max. 3 Stations (2040mm x 1400mm)"</f>
        <v>Pallet Conveyor - Max. 3 Stations (2040mm x 1400mm)</v>
      </c>
      <c r="F1360">
        <v>520</v>
      </c>
      <c r="G1360" t="str">
        <f t="shared" si="376"/>
        <v>Y</v>
      </c>
      <c r="H1360" t="str">
        <f t="shared" si="375"/>
        <v>EA</v>
      </c>
      <c r="I1360">
        <v>0</v>
      </c>
      <c r="J1360">
        <v>0</v>
      </c>
      <c r="K1360" t="str">
        <f t="shared" si="377"/>
        <v>Y</v>
      </c>
      <c r="L1360">
        <v>0</v>
      </c>
      <c r="M1360" t="str">
        <f t="shared" si="378"/>
        <v>NIS</v>
      </c>
      <c r="O1360">
        <v>4</v>
      </c>
      <c r="P1360" t="str">
        <f t="shared" si="380"/>
        <v>Active</v>
      </c>
      <c r="Q1360" t="str">
        <f>"Pallet Conveyor Straight Section 760mm"</f>
        <v>Pallet Conveyor Straight Section 760mm</v>
      </c>
      <c r="S1360" t="str">
        <f>"Pallet Conveyor Straight Section 760mm"</f>
        <v>Pallet Conveyor Straight Section 760mm</v>
      </c>
      <c r="T1360">
        <v>0</v>
      </c>
      <c r="U1360">
        <v>332.4</v>
      </c>
      <c r="V1360">
        <v>345.35</v>
      </c>
      <c r="W1360" t="str">
        <f t="shared" si="379"/>
        <v>rob</v>
      </c>
    </row>
    <row r="1361" spans="1:23">
      <c r="A1361" t="str">
        <f>"CNV-2040x1400"</f>
        <v>CNV-2040x1400</v>
      </c>
      <c r="B1361" t="str">
        <f>"021041"</f>
        <v>021041</v>
      </c>
      <c r="C1361" t="str">
        <f>"Installation KIT"</f>
        <v>Installation KIT</v>
      </c>
      <c r="D1361">
        <v>1</v>
      </c>
      <c r="E1361" t="str">
        <f>"Pallet Conveyor - Max. 3 Stations (2040mm x 1400mm)"</f>
        <v>Pallet Conveyor - Max. 3 Stations (2040mm x 1400mm)</v>
      </c>
      <c r="F1361">
        <v>520</v>
      </c>
      <c r="G1361" t="str">
        <f t="shared" si="376"/>
        <v>Y</v>
      </c>
      <c r="H1361" t="str">
        <f t="shared" si="375"/>
        <v>EA</v>
      </c>
      <c r="I1361">
        <v>0</v>
      </c>
      <c r="J1361">
        <v>0</v>
      </c>
      <c r="K1361" t="str">
        <f t="shared" si="377"/>
        <v>Y</v>
      </c>
      <c r="L1361">
        <v>0</v>
      </c>
      <c r="M1361" t="str">
        <f t="shared" si="378"/>
        <v>NIS</v>
      </c>
      <c r="O1361">
        <v>5</v>
      </c>
      <c r="P1361" t="str">
        <f t="shared" si="380"/>
        <v>Active</v>
      </c>
      <c r="Q1361" t="str">
        <f>"סט חומרים מתכלים למתקינים Installation KIT"</f>
        <v>סט חומרים מתכלים למתקינים Installation KIT</v>
      </c>
      <c r="S1361" t="str">
        <f>"סט חומרים מתכלים למתקינים Installation KIT"</f>
        <v>סט חומרים מתכלים למתקינים Installation KIT</v>
      </c>
      <c r="T1361">
        <v>0</v>
      </c>
      <c r="U1361">
        <v>140</v>
      </c>
      <c r="V1361">
        <v>137.94999999999999</v>
      </c>
      <c r="W1361" t="str">
        <f t="shared" si="379"/>
        <v>rob</v>
      </c>
    </row>
    <row r="1362" spans="1:23">
      <c r="A1362" t="str">
        <f>"CNV-2040x700"</f>
        <v>CNV-2040x700</v>
      </c>
      <c r="B1362" t="str">
        <f>"10-2110-9000"</f>
        <v>10-2110-9000</v>
      </c>
      <c r="C1362" t="str">
        <f>"Pallet Conveyor Drive Assembly"</f>
        <v>Pallet Conveyor Drive Assembly</v>
      </c>
      <c r="D1362">
        <v>1</v>
      </c>
      <c r="E1362" t="str">
        <f>"Pallet Conveyor - Max. 2 Stations (2040mm x 700mm)"</f>
        <v>Pallet Conveyor - Max. 2 Stations (2040mm x 700mm)</v>
      </c>
      <c r="F1362">
        <v>520</v>
      </c>
      <c r="G1362" t="str">
        <f t="shared" si="376"/>
        <v>Y</v>
      </c>
      <c r="H1362" t="str">
        <f t="shared" si="375"/>
        <v>EA</v>
      </c>
      <c r="I1362">
        <v>0</v>
      </c>
      <c r="J1362">
        <v>0</v>
      </c>
      <c r="K1362" t="str">
        <f t="shared" si="377"/>
        <v>Y</v>
      </c>
      <c r="L1362">
        <v>0</v>
      </c>
      <c r="M1362" t="str">
        <f t="shared" si="378"/>
        <v>NIS</v>
      </c>
      <c r="O1362">
        <v>1</v>
      </c>
      <c r="P1362" t="str">
        <f t="shared" si="380"/>
        <v>Active</v>
      </c>
      <c r="Q1362" t="str">
        <f>"Pallet Conveyor Drive Assembly"</f>
        <v>Pallet Conveyor Drive Assembly</v>
      </c>
      <c r="S1362" t="str">
        <f>"Pallet Conveyor Drive Assembly"</f>
        <v>Pallet Conveyor Drive Assembly</v>
      </c>
      <c r="T1362">
        <v>0</v>
      </c>
      <c r="U1362" s="44">
        <v>3250</v>
      </c>
      <c r="V1362" s="44">
        <v>3208.53</v>
      </c>
      <c r="W1362" t="str">
        <f t="shared" si="379"/>
        <v>rob</v>
      </c>
    </row>
    <row r="1363" spans="1:23">
      <c r="A1363" t="str">
        <f>"CNV-2040x700"</f>
        <v>CNV-2040x700</v>
      </c>
      <c r="B1363" t="str">
        <f>"10-2110-5000"</f>
        <v>10-2110-5000</v>
      </c>
      <c r="C1363" t="str">
        <f>"Pallet Conveyor Corner Section 180°"</f>
        <v>Pallet Conveyor Corner Section 180°</v>
      </c>
      <c r="D1363">
        <v>2</v>
      </c>
      <c r="E1363" t="str">
        <f>"Pallet Conveyor - Max. 2 Stations (2040mm x 700mm)"</f>
        <v>Pallet Conveyor - Max. 2 Stations (2040mm x 700mm)</v>
      </c>
      <c r="F1363">
        <v>520</v>
      </c>
      <c r="G1363" t="str">
        <f t="shared" si="376"/>
        <v>Y</v>
      </c>
      <c r="H1363" t="str">
        <f t="shared" si="375"/>
        <v>EA</v>
      </c>
      <c r="I1363">
        <v>0</v>
      </c>
      <c r="J1363">
        <v>0</v>
      </c>
      <c r="K1363" t="str">
        <f t="shared" si="377"/>
        <v>Y</v>
      </c>
      <c r="L1363">
        <v>0</v>
      </c>
      <c r="M1363" t="str">
        <f t="shared" si="378"/>
        <v>NIS</v>
      </c>
      <c r="O1363">
        <v>2</v>
      </c>
      <c r="P1363" t="str">
        <f t="shared" si="380"/>
        <v>Active</v>
      </c>
      <c r="Q1363" t="str">
        <f>"Pallet Conveyor Corner Section 180°"</f>
        <v>Pallet Conveyor Corner Section 180°</v>
      </c>
      <c r="S1363" t="str">
        <f>"Pallet Conveyor Corner Section 180°"</f>
        <v>Pallet Conveyor Corner Section 180°</v>
      </c>
      <c r="T1363">
        <v>0</v>
      </c>
      <c r="U1363">
        <v>753.75</v>
      </c>
      <c r="V1363">
        <v>781.16</v>
      </c>
      <c r="W1363" t="str">
        <f t="shared" si="379"/>
        <v>rob</v>
      </c>
    </row>
    <row r="1364" spans="1:23">
      <c r="A1364" t="str">
        <f>"CNV-2040x700"</f>
        <v>CNV-2040x700</v>
      </c>
      <c r="B1364" t="str">
        <f>"10-2110-1000"</f>
        <v>10-2110-1000</v>
      </c>
      <c r="C1364" t="str">
        <f>"Pallet Conveyor Straight Section 1400mm"</f>
        <v>Pallet Conveyor Straight Section 1400mm</v>
      </c>
      <c r="D1364">
        <v>1</v>
      </c>
      <c r="E1364" t="str">
        <f>"Pallet Conveyor - Max. 2 Stations (2040mm x 700mm)"</f>
        <v>Pallet Conveyor - Max. 2 Stations (2040mm x 700mm)</v>
      </c>
      <c r="F1364">
        <v>520</v>
      </c>
      <c r="G1364" t="str">
        <f t="shared" si="376"/>
        <v>Y</v>
      </c>
      <c r="H1364" t="str">
        <f t="shared" si="375"/>
        <v>EA</v>
      </c>
      <c r="I1364">
        <v>0</v>
      </c>
      <c r="J1364">
        <v>0</v>
      </c>
      <c r="K1364" t="str">
        <f t="shared" si="377"/>
        <v>Y</v>
      </c>
      <c r="L1364">
        <v>0</v>
      </c>
      <c r="M1364" t="str">
        <f t="shared" si="378"/>
        <v>NIS</v>
      </c>
      <c r="O1364">
        <v>3</v>
      </c>
      <c r="P1364" t="str">
        <f t="shared" si="380"/>
        <v>Active</v>
      </c>
      <c r="Q1364" t="str">
        <f>"Pallet Conveyor Straight Section 1400mm"</f>
        <v>Pallet Conveyor Straight Section 1400mm</v>
      </c>
      <c r="S1364" t="str">
        <f>"Pallet Conveyor Straight Section 1400mm"</f>
        <v>Pallet Conveyor Straight Section 1400mm</v>
      </c>
      <c r="T1364">
        <v>0</v>
      </c>
      <c r="U1364">
        <v>467.27</v>
      </c>
      <c r="V1364">
        <v>486.81</v>
      </c>
      <c r="W1364" t="str">
        <f t="shared" si="379"/>
        <v>rob</v>
      </c>
    </row>
    <row r="1365" spans="1:23">
      <c r="A1365" t="str">
        <f>"CNV-2040x700"</f>
        <v>CNV-2040x700</v>
      </c>
      <c r="B1365" t="str">
        <f>"021041"</f>
        <v>021041</v>
      </c>
      <c r="C1365" t="str">
        <f>"Installation KIT"</f>
        <v>Installation KIT</v>
      </c>
      <c r="D1365">
        <v>1</v>
      </c>
      <c r="E1365" t="str">
        <f>"Pallet Conveyor - Max. 2 Stations (2040mm x 700mm)"</f>
        <v>Pallet Conveyor - Max. 2 Stations (2040mm x 700mm)</v>
      </c>
      <c r="F1365">
        <v>520</v>
      </c>
      <c r="G1365" t="str">
        <f t="shared" si="376"/>
        <v>Y</v>
      </c>
      <c r="H1365" t="str">
        <f t="shared" si="375"/>
        <v>EA</v>
      </c>
      <c r="I1365">
        <v>0</v>
      </c>
      <c r="J1365">
        <v>0</v>
      </c>
      <c r="K1365" t="str">
        <f t="shared" si="377"/>
        <v>Y</v>
      </c>
      <c r="L1365">
        <v>0</v>
      </c>
      <c r="M1365" t="str">
        <f t="shared" si="378"/>
        <v>NIS</v>
      </c>
      <c r="O1365">
        <v>4</v>
      </c>
      <c r="P1365" t="str">
        <f t="shared" si="380"/>
        <v>Active</v>
      </c>
      <c r="Q1365" t="str">
        <f>"סט חומרים מתכלים למתקינים Installation KIT"</f>
        <v>סט חומרים מתכלים למתקינים Installation KIT</v>
      </c>
      <c r="S1365" t="str">
        <f>"סט חומרים מתכלים למתקינים Installation KIT"</f>
        <v>סט חומרים מתכלים למתקינים Installation KIT</v>
      </c>
      <c r="T1365">
        <v>0</v>
      </c>
      <c r="U1365">
        <v>140</v>
      </c>
      <c r="V1365">
        <v>137.94999999999999</v>
      </c>
      <c r="W1365" t="str">
        <f t="shared" si="379"/>
        <v>rob</v>
      </c>
    </row>
    <row r="1366" spans="1:23">
      <c r="A1366" t="str">
        <f t="shared" ref="A1366:A1371" si="381">"CNV-3440x1400"</f>
        <v>CNV-3440x1400</v>
      </c>
      <c r="B1366" t="str">
        <f>"10-2110-9000"</f>
        <v>10-2110-9000</v>
      </c>
      <c r="C1366" t="str">
        <f>"Pallet Conveyor Drive Assembly"</f>
        <v>Pallet Conveyor Drive Assembly</v>
      </c>
      <c r="D1366">
        <v>1</v>
      </c>
      <c r="E1366" t="str">
        <f t="shared" ref="E1366:E1371" si="382">"Pallet Conveyor - Max .5 Stations (3440mm x 1400mm)"</f>
        <v>Pallet Conveyor - Max .5 Stations (3440mm x 1400mm)</v>
      </c>
      <c r="F1366">
        <v>520</v>
      </c>
      <c r="G1366" t="str">
        <f t="shared" si="376"/>
        <v>Y</v>
      </c>
      <c r="H1366" t="str">
        <f t="shared" si="375"/>
        <v>EA</v>
      </c>
      <c r="I1366">
        <v>0</v>
      </c>
      <c r="J1366">
        <v>0</v>
      </c>
      <c r="K1366" t="str">
        <f t="shared" si="377"/>
        <v>Y</v>
      </c>
      <c r="L1366">
        <v>0</v>
      </c>
      <c r="M1366" t="str">
        <f t="shared" si="378"/>
        <v>NIS</v>
      </c>
      <c r="O1366">
        <v>1</v>
      </c>
      <c r="P1366" t="str">
        <f t="shared" si="380"/>
        <v>Active</v>
      </c>
      <c r="Q1366" t="str">
        <f>"Pallet Conveyor Drive Assembly"</f>
        <v>Pallet Conveyor Drive Assembly</v>
      </c>
      <c r="S1366" t="str">
        <f>"Pallet Conveyor Drive Assembly"</f>
        <v>Pallet Conveyor Drive Assembly</v>
      </c>
      <c r="T1366">
        <v>0</v>
      </c>
      <c r="U1366" s="44">
        <v>3250</v>
      </c>
      <c r="V1366" s="44">
        <v>3208.53</v>
      </c>
      <c r="W1366" t="str">
        <f t="shared" si="379"/>
        <v>rob</v>
      </c>
    </row>
    <row r="1367" spans="1:23">
      <c r="A1367" t="str">
        <f t="shared" si="381"/>
        <v>CNV-3440x1400</v>
      </c>
      <c r="B1367" t="str">
        <f>"10-2110-4000"</f>
        <v>10-2110-4000</v>
      </c>
      <c r="C1367" t="str">
        <f>"Pallet Conveyor Corner Section 90°"</f>
        <v>Pallet Conveyor Corner Section 90°</v>
      </c>
      <c r="D1367">
        <v>4</v>
      </c>
      <c r="E1367" t="str">
        <f t="shared" si="382"/>
        <v>Pallet Conveyor - Max .5 Stations (3440mm x 1400mm)</v>
      </c>
      <c r="F1367">
        <v>520</v>
      </c>
      <c r="G1367" t="str">
        <f t="shared" si="376"/>
        <v>Y</v>
      </c>
      <c r="H1367" t="str">
        <f t="shared" si="375"/>
        <v>EA</v>
      </c>
      <c r="I1367">
        <v>0</v>
      </c>
      <c r="J1367">
        <v>0</v>
      </c>
      <c r="K1367" t="str">
        <f t="shared" si="377"/>
        <v>Y</v>
      </c>
      <c r="L1367">
        <v>0</v>
      </c>
      <c r="M1367" t="str">
        <f t="shared" si="378"/>
        <v>NIS</v>
      </c>
      <c r="O1367">
        <v>2</v>
      </c>
      <c r="P1367" t="str">
        <f t="shared" si="380"/>
        <v>Active</v>
      </c>
      <c r="Q1367" t="str">
        <f>"Pallet Conveyor Corner Section 90°"</f>
        <v>Pallet Conveyor Corner Section 90°</v>
      </c>
      <c r="S1367" t="str">
        <f>"Pallet Conveyor Corner Section 90°"</f>
        <v>Pallet Conveyor Corner Section 90°</v>
      </c>
      <c r="T1367">
        <v>0</v>
      </c>
      <c r="U1367">
        <v>390</v>
      </c>
      <c r="V1367">
        <v>354.11</v>
      </c>
      <c r="W1367" t="str">
        <f t="shared" si="379"/>
        <v>rob</v>
      </c>
    </row>
    <row r="1368" spans="1:23">
      <c r="A1368" t="str">
        <f t="shared" si="381"/>
        <v>CNV-3440x1400</v>
      </c>
      <c r="B1368" t="str">
        <f>"10-2111-0000"</f>
        <v>10-2111-0000</v>
      </c>
      <c r="C1368" t="str">
        <f>"Pallet Conveyor Middle Leg Assembly"</f>
        <v>Pallet Conveyor Middle Leg Assembly</v>
      </c>
      <c r="D1368">
        <v>2</v>
      </c>
      <c r="E1368" t="str">
        <f t="shared" si="382"/>
        <v>Pallet Conveyor - Max .5 Stations (3440mm x 1400mm)</v>
      </c>
      <c r="F1368">
        <v>520</v>
      </c>
      <c r="G1368" t="str">
        <f t="shared" si="376"/>
        <v>Y</v>
      </c>
      <c r="H1368" t="str">
        <f t="shared" si="375"/>
        <v>EA</v>
      </c>
      <c r="I1368">
        <v>0</v>
      </c>
      <c r="J1368">
        <v>0</v>
      </c>
      <c r="K1368" t="str">
        <f t="shared" si="377"/>
        <v>Y</v>
      </c>
      <c r="L1368">
        <v>0</v>
      </c>
      <c r="M1368" t="str">
        <f t="shared" si="378"/>
        <v>NIS</v>
      </c>
      <c r="O1368">
        <v>3</v>
      </c>
      <c r="P1368" t="str">
        <f t="shared" si="380"/>
        <v>Active</v>
      </c>
      <c r="Q1368" t="str">
        <f>"Pallet Conveyor Middle Leg Assembly"</f>
        <v>Pallet Conveyor Middle Leg Assembly</v>
      </c>
      <c r="S1368" t="str">
        <f>"Pallet Conveyor Middle Leg Assembly"</f>
        <v>Pallet Conveyor Middle Leg Assembly</v>
      </c>
      <c r="T1368">
        <v>0</v>
      </c>
      <c r="U1368">
        <v>370</v>
      </c>
      <c r="V1368">
        <v>339.98</v>
      </c>
      <c r="W1368" t="str">
        <f t="shared" si="379"/>
        <v>rob</v>
      </c>
    </row>
    <row r="1369" spans="1:23">
      <c r="A1369" t="str">
        <f t="shared" si="381"/>
        <v>CNV-3440x1400</v>
      </c>
      <c r="B1369" t="str">
        <f>"10-2110-1000"</f>
        <v>10-2110-1000</v>
      </c>
      <c r="C1369" t="str">
        <f>"Pallet Conveyor Straight Section 1400mm"</f>
        <v>Pallet Conveyor Straight Section 1400mm</v>
      </c>
      <c r="D1369">
        <v>3</v>
      </c>
      <c r="E1369" t="str">
        <f t="shared" si="382"/>
        <v>Pallet Conveyor - Max .5 Stations (3440mm x 1400mm)</v>
      </c>
      <c r="F1369">
        <v>520</v>
      </c>
      <c r="G1369" t="str">
        <f t="shared" si="376"/>
        <v>Y</v>
      </c>
      <c r="H1369" t="str">
        <f t="shared" si="375"/>
        <v>EA</v>
      </c>
      <c r="I1369">
        <v>0</v>
      </c>
      <c r="J1369">
        <v>0</v>
      </c>
      <c r="K1369" t="str">
        <f t="shared" si="377"/>
        <v>Y</v>
      </c>
      <c r="L1369">
        <v>0</v>
      </c>
      <c r="M1369" t="str">
        <f t="shared" si="378"/>
        <v>NIS</v>
      </c>
      <c r="O1369">
        <v>4</v>
      </c>
      <c r="P1369" t="str">
        <f t="shared" si="380"/>
        <v>Active</v>
      </c>
      <c r="Q1369" t="str">
        <f>"Pallet Conveyor Straight Section 1400mm"</f>
        <v>Pallet Conveyor Straight Section 1400mm</v>
      </c>
      <c r="S1369" t="str">
        <f>"Pallet Conveyor Straight Section 1400mm"</f>
        <v>Pallet Conveyor Straight Section 1400mm</v>
      </c>
      <c r="T1369">
        <v>0</v>
      </c>
      <c r="U1369">
        <v>467.27</v>
      </c>
      <c r="V1369">
        <v>486.81</v>
      </c>
      <c r="W1369" t="str">
        <f t="shared" si="379"/>
        <v>rob</v>
      </c>
    </row>
    <row r="1370" spans="1:23">
      <c r="A1370" t="str">
        <f t="shared" si="381"/>
        <v>CNV-3440x1400</v>
      </c>
      <c r="B1370" t="str">
        <f>"10-2110-2000"</f>
        <v>10-2110-2000</v>
      </c>
      <c r="C1370" t="str">
        <f>"Pallet Conveyor Straight Section 760mm"</f>
        <v>Pallet Conveyor Straight Section 760mm</v>
      </c>
      <c r="D1370">
        <v>2</v>
      </c>
      <c r="E1370" t="str">
        <f t="shared" si="382"/>
        <v>Pallet Conveyor - Max .5 Stations (3440mm x 1400mm)</v>
      </c>
      <c r="F1370">
        <v>520</v>
      </c>
      <c r="G1370" t="str">
        <f t="shared" si="376"/>
        <v>Y</v>
      </c>
      <c r="H1370" t="str">
        <f t="shared" si="375"/>
        <v>EA</v>
      </c>
      <c r="I1370">
        <v>0</v>
      </c>
      <c r="J1370">
        <v>0</v>
      </c>
      <c r="K1370" t="str">
        <f t="shared" si="377"/>
        <v>Y</v>
      </c>
      <c r="L1370">
        <v>0</v>
      </c>
      <c r="M1370" t="str">
        <f t="shared" si="378"/>
        <v>NIS</v>
      </c>
      <c r="O1370">
        <v>5</v>
      </c>
      <c r="P1370" t="str">
        <f t="shared" si="380"/>
        <v>Active</v>
      </c>
      <c r="Q1370" t="str">
        <f>"Pallet Conveyor Straight Section 760mm"</f>
        <v>Pallet Conveyor Straight Section 760mm</v>
      </c>
      <c r="S1370" t="str">
        <f>"Pallet Conveyor Straight Section 760mm"</f>
        <v>Pallet Conveyor Straight Section 760mm</v>
      </c>
      <c r="T1370">
        <v>0</v>
      </c>
      <c r="U1370">
        <v>332.4</v>
      </c>
      <c r="V1370">
        <v>345.35</v>
      </c>
      <c r="W1370" t="str">
        <f t="shared" si="379"/>
        <v>rob</v>
      </c>
    </row>
    <row r="1371" spans="1:23">
      <c r="A1371" t="str">
        <f t="shared" si="381"/>
        <v>CNV-3440x1400</v>
      </c>
      <c r="B1371" t="str">
        <f>"021041"</f>
        <v>021041</v>
      </c>
      <c r="C1371" t="str">
        <f>"Installation KIT"</f>
        <v>Installation KIT</v>
      </c>
      <c r="D1371">
        <v>1</v>
      </c>
      <c r="E1371" t="str">
        <f t="shared" si="382"/>
        <v>Pallet Conveyor - Max .5 Stations (3440mm x 1400mm)</v>
      </c>
      <c r="F1371">
        <v>520</v>
      </c>
      <c r="G1371" t="str">
        <f t="shared" si="376"/>
        <v>Y</v>
      </c>
      <c r="H1371" t="str">
        <f t="shared" si="375"/>
        <v>EA</v>
      </c>
      <c r="I1371">
        <v>0</v>
      </c>
      <c r="J1371">
        <v>0</v>
      </c>
      <c r="K1371" t="str">
        <f t="shared" si="377"/>
        <v>Y</v>
      </c>
      <c r="L1371">
        <v>0</v>
      </c>
      <c r="M1371" t="str">
        <f t="shared" si="378"/>
        <v>NIS</v>
      </c>
      <c r="O1371">
        <v>6</v>
      </c>
      <c r="P1371" t="str">
        <f t="shared" si="380"/>
        <v>Active</v>
      </c>
      <c r="Q1371" t="str">
        <f>"סט חומרים מתכלים למתקינים Installation KIT"</f>
        <v>סט חומרים מתכלים למתקינים Installation KIT</v>
      </c>
      <c r="S1371" t="str">
        <f>"סט חומרים מתכלים למתקינים Installation KIT"</f>
        <v>סט חומרים מתכלים למתקינים Installation KIT</v>
      </c>
      <c r="T1371">
        <v>0</v>
      </c>
      <c r="U1371">
        <v>140</v>
      </c>
      <c r="V1371">
        <v>137.94999999999999</v>
      </c>
      <c r="W1371" t="str">
        <f t="shared" si="379"/>
        <v>rob</v>
      </c>
    </row>
    <row r="1372" spans="1:23">
      <c r="A1372" t="str">
        <f>"CNV-3440x700"</f>
        <v>CNV-3440x700</v>
      </c>
      <c r="B1372" t="str">
        <f>"10-2110-9000"</f>
        <v>10-2110-9000</v>
      </c>
      <c r="C1372" t="str">
        <f>"Pallet Conveyor Drive Assembly"</f>
        <v>Pallet Conveyor Drive Assembly</v>
      </c>
      <c r="D1372">
        <v>1</v>
      </c>
      <c r="E1372" t="str">
        <f>"Pallet Conveyor - Max. 3 Stations (3440mm x 700mm)"</f>
        <v>Pallet Conveyor - Max. 3 Stations (3440mm x 700mm)</v>
      </c>
      <c r="F1372">
        <v>520</v>
      </c>
      <c r="G1372" t="str">
        <f t="shared" si="376"/>
        <v>Y</v>
      </c>
      <c r="H1372" t="str">
        <f t="shared" si="375"/>
        <v>EA</v>
      </c>
      <c r="I1372">
        <v>0</v>
      </c>
      <c r="J1372">
        <v>0</v>
      </c>
      <c r="K1372" t="str">
        <f t="shared" si="377"/>
        <v>Y</v>
      </c>
      <c r="L1372">
        <v>0</v>
      </c>
      <c r="M1372" t="str">
        <f t="shared" si="378"/>
        <v>NIS</v>
      </c>
      <c r="O1372">
        <v>1</v>
      </c>
      <c r="P1372" t="str">
        <f t="shared" si="380"/>
        <v>Active</v>
      </c>
      <c r="Q1372" t="str">
        <f>"Pallet Conveyor Drive Assembly"</f>
        <v>Pallet Conveyor Drive Assembly</v>
      </c>
      <c r="S1372" t="str">
        <f>"Pallet Conveyor Drive Assembly"</f>
        <v>Pallet Conveyor Drive Assembly</v>
      </c>
      <c r="T1372">
        <v>0</v>
      </c>
      <c r="U1372" s="44">
        <v>3250</v>
      </c>
      <c r="V1372" s="44">
        <v>3208.53</v>
      </c>
      <c r="W1372" t="str">
        <f t="shared" si="379"/>
        <v>rob</v>
      </c>
    </row>
    <row r="1373" spans="1:23">
      <c r="A1373" t="str">
        <f>"CNV-3440x700"</f>
        <v>CNV-3440x700</v>
      </c>
      <c r="B1373" t="str">
        <f>"10-2110-5000"</f>
        <v>10-2110-5000</v>
      </c>
      <c r="C1373" t="str">
        <f>"Pallet Conveyor Corner Section 180°"</f>
        <v>Pallet Conveyor Corner Section 180°</v>
      </c>
      <c r="D1373">
        <v>2</v>
      </c>
      <c r="E1373" t="str">
        <f>"Pallet Conveyor - Max. 3 Stations (3440mm x 700mm)"</f>
        <v>Pallet Conveyor - Max. 3 Stations (3440mm x 700mm)</v>
      </c>
      <c r="F1373">
        <v>520</v>
      </c>
      <c r="G1373" t="str">
        <f t="shared" si="376"/>
        <v>Y</v>
      </c>
      <c r="H1373" t="str">
        <f t="shared" si="375"/>
        <v>EA</v>
      </c>
      <c r="I1373">
        <v>0</v>
      </c>
      <c r="J1373">
        <v>0</v>
      </c>
      <c r="K1373" t="str">
        <f t="shared" si="377"/>
        <v>Y</v>
      </c>
      <c r="L1373">
        <v>0</v>
      </c>
      <c r="M1373" t="str">
        <f t="shared" si="378"/>
        <v>NIS</v>
      </c>
      <c r="O1373">
        <v>2</v>
      </c>
      <c r="P1373" t="str">
        <f t="shared" si="380"/>
        <v>Active</v>
      </c>
      <c r="Q1373" t="str">
        <f>"Pallet Conveyor Corner Section 180°"</f>
        <v>Pallet Conveyor Corner Section 180°</v>
      </c>
      <c r="S1373" t="str">
        <f>"Pallet Conveyor Corner Section 180°"</f>
        <v>Pallet Conveyor Corner Section 180°</v>
      </c>
      <c r="T1373">
        <v>0</v>
      </c>
      <c r="U1373">
        <v>753.75</v>
      </c>
      <c r="V1373">
        <v>781.16</v>
      </c>
      <c r="W1373" t="str">
        <f t="shared" si="379"/>
        <v>rob</v>
      </c>
    </row>
    <row r="1374" spans="1:23">
      <c r="A1374" t="str">
        <f>"CNV-3440x700"</f>
        <v>CNV-3440x700</v>
      </c>
      <c r="B1374" t="str">
        <f>"10-2111-0000"</f>
        <v>10-2111-0000</v>
      </c>
      <c r="C1374" t="str">
        <f>"Pallet Conveyor Middle Leg Assembly"</f>
        <v>Pallet Conveyor Middle Leg Assembly</v>
      </c>
      <c r="D1374">
        <v>2</v>
      </c>
      <c r="E1374" t="str">
        <f>"Pallet Conveyor - Max. 3 Stations (3440mm x 700mm)"</f>
        <v>Pallet Conveyor - Max. 3 Stations (3440mm x 700mm)</v>
      </c>
      <c r="F1374">
        <v>520</v>
      </c>
      <c r="G1374" t="str">
        <f t="shared" si="376"/>
        <v>Y</v>
      </c>
      <c r="H1374" t="str">
        <f t="shared" si="375"/>
        <v>EA</v>
      </c>
      <c r="I1374">
        <v>0</v>
      </c>
      <c r="J1374">
        <v>0</v>
      </c>
      <c r="K1374" t="str">
        <f t="shared" si="377"/>
        <v>Y</v>
      </c>
      <c r="L1374">
        <v>0</v>
      </c>
      <c r="M1374" t="str">
        <f t="shared" si="378"/>
        <v>NIS</v>
      </c>
      <c r="O1374">
        <v>3</v>
      </c>
      <c r="P1374" t="str">
        <f t="shared" si="380"/>
        <v>Active</v>
      </c>
      <c r="Q1374" t="str">
        <f>"Pallet Conveyor Middle Leg Assembly"</f>
        <v>Pallet Conveyor Middle Leg Assembly</v>
      </c>
      <c r="S1374" t="str">
        <f>"Pallet Conveyor Middle Leg Assembly"</f>
        <v>Pallet Conveyor Middle Leg Assembly</v>
      </c>
      <c r="T1374">
        <v>0</v>
      </c>
      <c r="U1374">
        <v>370</v>
      </c>
      <c r="V1374">
        <v>339.98</v>
      </c>
      <c r="W1374" t="str">
        <f t="shared" si="379"/>
        <v>rob</v>
      </c>
    </row>
    <row r="1375" spans="1:23">
      <c r="A1375" t="str">
        <f>"CNV-3440x700"</f>
        <v>CNV-3440x700</v>
      </c>
      <c r="B1375" t="str">
        <f>"10-2110-1000"</f>
        <v>10-2110-1000</v>
      </c>
      <c r="C1375" t="str">
        <f>"Pallet Conveyor Straight Section 1400mm"</f>
        <v>Pallet Conveyor Straight Section 1400mm</v>
      </c>
      <c r="D1375">
        <v>3</v>
      </c>
      <c r="E1375" t="str">
        <f>"Pallet Conveyor - Max. 3 Stations (3440mm x 700mm)"</f>
        <v>Pallet Conveyor - Max. 3 Stations (3440mm x 700mm)</v>
      </c>
      <c r="F1375">
        <v>520</v>
      </c>
      <c r="G1375" t="str">
        <f t="shared" si="376"/>
        <v>Y</v>
      </c>
      <c r="H1375" t="str">
        <f t="shared" si="375"/>
        <v>EA</v>
      </c>
      <c r="I1375">
        <v>0</v>
      </c>
      <c r="J1375">
        <v>0</v>
      </c>
      <c r="K1375" t="str">
        <f t="shared" si="377"/>
        <v>Y</v>
      </c>
      <c r="L1375">
        <v>0</v>
      </c>
      <c r="M1375" t="str">
        <f t="shared" si="378"/>
        <v>NIS</v>
      </c>
      <c r="O1375">
        <v>4</v>
      </c>
      <c r="P1375" t="str">
        <f t="shared" si="380"/>
        <v>Active</v>
      </c>
      <c r="Q1375" t="str">
        <f>"Pallet Conveyor Straight Section 1400mm"</f>
        <v>Pallet Conveyor Straight Section 1400mm</v>
      </c>
      <c r="S1375" t="str">
        <f>"Pallet Conveyor Straight Section 1400mm"</f>
        <v>Pallet Conveyor Straight Section 1400mm</v>
      </c>
      <c r="T1375">
        <v>0</v>
      </c>
      <c r="U1375">
        <v>467.27</v>
      </c>
      <c r="V1375">
        <v>486.81</v>
      </c>
      <c r="W1375" t="str">
        <f t="shared" si="379"/>
        <v>rob</v>
      </c>
    </row>
    <row r="1376" spans="1:23">
      <c r="A1376" t="str">
        <f>"CNV-3440x700"</f>
        <v>CNV-3440x700</v>
      </c>
      <c r="B1376" t="str">
        <f>"021041"</f>
        <v>021041</v>
      </c>
      <c r="C1376" t="str">
        <f>"Installation KIT"</f>
        <v>Installation KIT</v>
      </c>
      <c r="D1376">
        <v>1</v>
      </c>
      <c r="E1376" t="str">
        <f>"Pallet Conveyor - Max. 3 Stations (3440mm x 700mm)"</f>
        <v>Pallet Conveyor - Max. 3 Stations (3440mm x 700mm)</v>
      </c>
      <c r="F1376">
        <v>520</v>
      </c>
      <c r="G1376" t="str">
        <f t="shared" si="376"/>
        <v>Y</v>
      </c>
      <c r="H1376" t="str">
        <f t="shared" si="375"/>
        <v>EA</v>
      </c>
      <c r="I1376">
        <v>0</v>
      </c>
      <c r="J1376">
        <v>0</v>
      </c>
      <c r="K1376" t="str">
        <f t="shared" si="377"/>
        <v>Y</v>
      </c>
      <c r="L1376">
        <v>0</v>
      </c>
      <c r="M1376" t="str">
        <f t="shared" si="378"/>
        <v>NIS</v>
      </c>
      <c r="O1376">
        <v>5</v>
      </c>
      <c r="P1376" t="str">
        <f t="shared" si="380"/>
        <v>Active</v>
      </c>
      <c r="Q1376" t="str">
        <f>"סט חומרים מתכלים למתקינים Installation KIT"</f>
        <v>סט חומרים מתכלים למתקינים Installation KIT</v>
      </c>
      <c r="S1376" t="str">
        <f>"סט חומרים מתכלים למתקינים Installation KIT"</f>
        <v>סט חומרים מתכלים למתקינים Installation KIT</v>
      </c>
      <c r="T1376">
        <v>0</v>
      </c>
      <c r="U1376">
        <v>140</v>
      </c>
      <c r="V1376">
        <v>137.94999999999999</v>
      </c>
      <c r="W1376" t="str">
        <f t="shared" si="379"/>
        <v>rob</v>
      </c>
    </row>
    <row r="1377" spans="1:23">
      <c r="A1377" t="str">
        <f t="shared" ref="A1377:A1382" si="383">"CNV-4840x1400"</f>
        <v>CNV-4840x1400</v>
      </c>
      <c r="B1377" t="str">
        <f>"10-2110-9000"</f>
        <v>10-2110-9000</v>
      </c>
      <c r="C1377" t="str">
        <f>"Pallet Conveyor Drive Assembly"</f>
        <v>Pallet Conveyor Drive Assembly</v>
      </c>
      <c r="D1377">
        <v>1</v>
      </c>
      <c r="E1377" t="str">
        <f t="shared" ref="E1377:E1382" si="384">"Pallet Conveyor - Max. 7 Stations (4840mm x 1400mm)"</f>
        <v>Pallet Conveyor - Max. 7 Stations (4840mm x 1400mm)</v>
      </c>
      <c r="F1377">
        <v>520</v>
      </c>
      <c r="G1377" t="str">
        <f t="shared" si="376"/>
        <v>Y</v>
      </c>
      <c r="H1377" t="str">
        <f t="shared" si="375"/>
        <v>EA</v>
      </c>
      <c r="I1377">
        <v>0</v>
      </c>
      <c r="J1377">
        <v>0</v>
      </c>
      <c r="K1377" t="str">
        <f t="shared" si="377"/>
        <v>Y</v>
      </c>
      <c r="L1377">
        <v>0</v>
      </c>
      <c r="M1377" t="str">
        <f t="shared" si="378"/>
        <v>NIS</v>
      </c>
      <c r="O1377">
        <v>1</v>
      </c>
      <c r="P1377" t="str">
        <f t="shared" si="380"/>
        <v>Active</v>
      </c>
      <c r="Q1377" t="str">
        <f>"Pallet Conveyor Drive Assembly"</f>
        <v>Pallet Conveyor Drive Assembly</v>
      </c>
      <c r="S1377" t="str">
        <f>"Pallet Conveyor Drive Assembly"</f>
        <v>Pallet Conveyor Drive Assembly</v>
      </c>
      <c r="T1377">
        <v>0</v>
      </c>
      <c r="U1377" s="44">
        <v>3250</v>
      </c>
      <c r="V1377" s="44">
        <v>3208.53</v>
      </c>
      <c r="W1377" t="str">
        <f t="shared" si="379"/>
        <v>rob</v>
      </c>
    </row>
    <row r="1378" spans="1:23">
      <c r="A1378" t="str">
        <f t="shared" si="383"/>
        <v>CNV-4840x1400</v>
      </c>
      <c r="B1378" t="str">
        <f>"10-2110-4000"</f>
        <v>10-2110-4000</v>
      </c>
      <c r="C1378" t="str">
        <f>"Pallet Conveyor Corner Section 90°"</f>
        <v>Pallet Conveyor Corner Section 90°</v>
      </c>
      <c r="D1378">
        <v>4</v>
      </c>
      <c r="E1378" t="str">
        <f t="shared" si="384"/>
        <v>Pallet Conveyor - Max. 7 Stations (4840mm x 1400mm)</v>
      </c>
      <c r="F1378">
        <v>520</v>
      </c>
      <c r="G1378" t="str">
        <f t="shared" si="376"/>
        <v>Y</v>
      </c>
      <c r="H1378" t="str">
        <f t="shared" si="375"/>
        <v>EA</v>
      </c>
      <c r="I1378">
        <v>0</v>
      </c>
      <c r="J1378">
        <v>0</v>
      </c>
      <c r="K1378" t="str">
        <f t="shared" si="377"/>
        <v>Y</v>
      </c>
      <c r="L1378">
        <v>0</v>
      </c>
      <c r="M1378" t="str">
        <f t="shared" si="378"/>
        <v>NIS</v>
      </c>
      <c r="O1378">
        <v>2</v>
      </c>
      <c r="P1378" t="str">
        <f t="shared" si="380"/>
        <v>Active</v>
      </c>
      <c r="Q1378" t="str">
        <f>"Pallet Conveyor Corner Section 90°"</f>
        <v>Pallet Conveyor Corner Section 90°</v>
      </c>
      <c r="S1378" t="str">
        <f>"Pallet Conveyor Corner Section 90°"</f>
        <v>Pallet Conveyor Corner Section 90°</v>
      </c>
      <c r="T1378">
        <v>0</v>
      </c>
      <c r="U1378">
        <v>390</v>
      </c>
      <c r="V1378">
        <v>354.11</v>
      </c>
      <c r="W1378" t="str">
        <f t="shared" si="379"/>
        <v>rob</v>
      </c>
    </row>
    <row r="1379" spans="1:23">
      <c r="A1379" t="str">
        <f t="shared" si="383"/>
        <v>CNV-4840x1400</v>
      </c>
      <c r="B1379" t="str">
        <f>"10-2111-0000"</f>
        <v>10-2111-0000</v>
      </c>
      <c r="C1379" t="str">
        <f>"Pallet Conveyor Middle Leg Assembly"</f>
        <v>Pallet Conveyor Middle Leg Assembly</v>
      </c>
      <c r="D1379">
        <v>4</v>
      </c>
      <c r="E1379" t="str">
        <f t="shared" si="384"/>
        <v>Pallet Conveyor - Max. 7 Stations (4840mm x 1400mm)</v>
      </c>
      <c r="F1379">
        <v>520</v>
      </c>
      <c r="G1379" t="str">
        <f t="shared" si="376"/>
        <v>Y</v>
      </c>
      <c r="H1379" t="str">
        <f t="shared" si="375"/>
        <v>EA</v>
      </c>
      <c r="I1379">
        <v>0</v>
      </c>
      <c r="J1379">
        <v>0</v>
      </c>
      <c r="K1379" t="str">
        <f t="shared" si="377"/>
        <v>Y</v>
      </c>
      <c r="L1379">
        <v>0</v>
      </c>
      <c r="M1379" t="str">
        <f t="shared" si="378"/>
        <v>NIS</v>
      </c>
      <c r="O1379">
        <v>3</v>
      </c>
      <c r="P1379" t="str">
        <f t="shared" si="380"/>
        <v>Active</v>
      </c>
      <c r="Q1379" t="str">
        <f>"Pallet Conveyor Middle Leg Assembly"</f>
        <v>Pallet Conveyor Middle Leg Assembly</v>
      </c>
      <c r="S1379" t="str">
        <f>"Pallet Conveyor Middle Leg Assembly"</f>
        <v>Pallet Conveyor Middle Leg Assembly</v>
      </c>
      <c r="T1379">
        <v>0</v>
      </c>
      <c r="U1379">
        <v>370</v>
      </c>
      <c r="V1379">
        <v>339.98</v>
      </c>
      <c r="W1379" t="str">
        <f t="shared" si="379"/>
        <v>rob</v>
      </c>
    </row>
    <row r="1380" spans="1:23">
      <c r="A1380" t="str">
        <f t="shared" si="383"/>
        <v>CNV-4840x1400</v>
      </c>
      <c r="B1380" t="str">
        <f>"10-2110-1000"</f>
        <v>10-2110-1000</v>
      </c>
      <c r="C1380" t="str">
        <f>"Pallet Conveyor Straight Section 1400mm"</f>
        <v>Pallet Conveyor Straight Section 1400mm</v>
      </c>
      <c r="D1380">
        <v>5</v>
      </c>
      <c r="E1380" t="str">
        <f t="shared" si="384"/>
        <v>Pallet Conveyor - Max. 7 Stations (4840mm x 1400mm)</v>
      </c>
      <c r="F1380">
        <v>520</v>
      </c>
      <c r="G1380" t="str">
        <f t="shared" si="376"/>
        <v>Y</v>
      </c>
      <c r="H1380" t="str">
        <f t="shared" si="375"/>
        <v>EA</v>
      </c>
      <c r="I1380">
        <v>0</v>
      </c>
      <c r="J1380">
        <v>0</v>
      </c>
      <c r="K1380" t="str">
        <f t="shared" si="377"/>
        <v>Y</v>
      </c>
      <c r="L1380">
        <v>0</v>
      </c>
      <c r="M1380" t="str">
        <f t="shared" si="378"/>
        <v>NIS</v>
      </c>
      <c r="O1380">
        <v>4</v>
      </c>
      <c r="P1380" t="str">
        <f t="shared" si="380"/>
        <v>Active</v>
      </c>
      <c r="Q1380" t="str">
        <f>"Pallet Conveyor Straight Section 1400mm"</f>
        <v>Pallet Conveyor Straight Section 1400mm</v>
      </c>
      <c r="S1380" t="str">
        <f>"Pallet Conveyor Straight Section 1400mm"</f>
        <v>Pallet Conveyor Straight Section 1400mm</v>
      </c>
      <c r="T1380">
        <v>0</v>
      </c>
      <c r="U1380">
        <v>467.27</v>
      </c>
      <c r="V1380">
        <v>486.81</v>
      </c>
      <c r="W1380" t="str">
        <f t="shared" si="379"/>
        <v>rob</v>
      </c>
    </row>
    <row r="1381" spans="1:23">
      <c r="A1381" t="str">
        <f t="shared" si="383"/>
        <v>CNV-4840x1400</v>
      </c>
      <c r="B1381" t="str">
        <f>"10-2110-2000"</f>
        <v>10-2110-2000</v>
      </c>
      <c r="C1381" t="str">
        <f>"Pallet Conveyor Straight Section 760mm"</f>
        <v>Pallet Conveyor Straight Section 760mm</v>
      </c>
      <c r="D1381">
        <v>2</v>
      </c>
      <c r="E1381" t="str">
        <f t="shared" si="384"/>
        <v>Pallet Conveyor - Max. 7 Stations (4840mm x 1400mm)</v>
      </c>
      <c r="F1381">
        <v>520</v>
      </c>
      <c r="G1381" t="str">
        <f t="shared" si="376"/>
        <v>Y</v>
      </c>
      <c r="H1381" t="str">
        <f t="shared" si="375"/>
        <v>EA</v>
      </c>
      <c r="I1381">
        <v>0</v>
      </c>
      <c r="J1381">
        <v>0</v>
      </c>
      <c r="K1381" t="str">
        <f t="shared" si="377"/>
        <v>Y</v>
      </c>
      <c r="L1381">
        <v>0</v>
      </c>
      <c r="M1381" t="str">
        <f t="shared" si="378"/>
        <v>NIS</v>
      </c>
      <c r="O1381">
        <v>5</v>
      </c>
      <c r="P1381" t="str">
        <f t="shared" si="380"/>
        <v>Active</v>
      </c>
      <c r="Q1381" t="str">
        <f>"Pallet Conveyor Straight Section 760mm"</f>
        <v>Pallet Conveyor Straight Section 760mm</v>
      </c>
      <c r="S1381" t="str">
        <f>"Pallet Conveyor Straight Section 760mm"</f>
        <v>Pallet Conveyor Straight Section 760mm</v>
      </c>
      <c r="T1381">
        <v>0</v>
      </c>
      <c r="U1381">
        <v>332.4</v>
      </c>
      <c r="V1381">
        <v>345.35</v>
      </c>
      <c r="W1381" t="str">
        <f t="shared" si="379"/>
        <v>rob</v>
      </c>
    </row>
    <row r="1382" spans="1:23">
      <c r="A1382" t="str">
        <f t="shared" si="383"/>
        <v>CNV-4840x1400</v>
      </c>
      <c r="B1382" t="str">
        <f>"021041"</f>
        <v>021041</v>
      </c>
      <c r="C1382" t="str">
        <f>"Installation KIT"</f>
        <v>Installation KIT</v>
      </c>
      <c r="D1382">
        <v>1</v>
      </c>
      <c r="E1382" t="str">
        <f t="shared" si="384"/>
        <v>Pallet Conveyor - Max. 7 Stations (4840mm x 1400mm)</v>
      </c>
      <c r="F1382">
        <v>520</v>
      </c>
      <c r="G1382" t="str">
        <f t="shared" si="376"/>
        <v>Y</v>
      </c>
      <c r="H1382" t="str">
        <f t="shared" si="375"/>
        <v>EA</v>
      </c>
      <c r="I1382">
        <v>0</v>
      </c>
      <c r="J1382">
        <v>0</v>
      </c>
      <c r="K1382" t="str">
        <f t="shared" si="377"/>
        <v>Y</v>
      </c>
      <c r="L1382">
        <v>0</v>
      </c>
      <c r="M1382" t="str">
        <f t="shared" si="378"/>
        <v>NIS</v>
      </c>
      <c r="O1382">
        <v>6</v>
      </c>
      <c r="P1382" t="str">
        <f t="shared" si="380"/>
        <v>Active</v>
      </c>
      <c r="Q1382" t="str">
        <f>"סט חומרים מתכלים למתקינים Installation KIT"</f>
        <v>סט חומרים מתכלים למתקינים Installation KIT</v>
      </c>
      <c r="S1382" t="str">
        <f>"סט חומרים מתכלים למתקינים Installation KIT"</f>
        <v>סט חומרים מתכלים למתקינים Installation KIT</v>
      </c>
      <c r="T1382">
        <v>0</v>
      </c>
      <c r="U1382">
        <v>140</v>
      </c>
      <c r="V1382">
        <v>137.94999999999999</v>
      </c>
      <c r="W1382" t="str">
        <f t="shared" si="379"/>
        <v>rob</v>
      </c>
    </row>
    <row r="1383" spans="1:23">
      <c r="A1383" t="str">
        <f>"CNV-4840x700"</f>
        <v>CNV-4840x700</v>
      </c>
      <c r="B1383" t="str">
        <f>"10-2110-9000"</f>
        <v>10-2110-9000</v>
      </c>
      <c r="C1383" t="str">
        <f>"Pallet Conveyor Drive Assembly"</f>
        <v>Pallet Conveyor Drive Assembly</v>
      </c>
      <c r="D1383">
        <v>1</v>
      </c>
      <c r="E1383" t="str">
        <f>"Pallet Conveyor - Max. 5 Stations (4840mm x 700mm)"</f>
        <v>Pallet Conveyor - Max. 5 Stations (4840mm x 700mm)</v>
      </c>
      <c r="F1383">
        <v>520</v>
      </c>
      <c r="G1383" t="str">
        <f t="shared" si="376"/>
        <v>Y</v>
      </c>
      <c r="H1383" t="str">
        <f t="shared" si="375"/>
        <v>EA</v>
      </c>
      <c r="I1383">
        <v>0</v>
      </c>
      <c r="J1383">
        <v>0</v>
      </c>
      <c r="K1383" t="str">
        <f t="shared" si="377"/>
        <v>Y</v>
      </c>
      <c r="L1383">
        <v>0</v>
      </c>
      <c r="M1383" t="str">
        <f t="shared" si="378"/>
        <v>NIS</v>
      </c>
      <c r="O1383">
        <v>1</v>
      </c>
      <c r="P1383" t="str">
        <f t="shared" si="380"/>
        <v>Active</v>
      </c>
      <c r="Q1383" t="str">
        <f>"Pallet Conveyor Drive Assembly"</f>
        <v>Pallet Conveyor Drive Assembly</v>
      </c>
      <c r="S1383" t="str">
        <f>"Pallet Conveyor Drive Assembly"</f>
        <v>Pallet Conveyor Drive Assembly</v>
      </c>
      <c r="T1383">
        <v>0</v>
      </c>
      <c r="U1383" s="44">
        <v>3250</v>
      </c>
      <c r="V1383" s="44">
        <v>3208.53</v>
      </c>
      <c r="W1383" t="str">
        <f t="shared" si="379"/>
        <v>rob</v>
      </c>
    </row>
    <row r="1384" spans="1:23">
      <c r="A1384" t="str">
        <f>"CNV-4840x700"</f>
        <v>CNV-4840x700</v>
      </c>
      <c r="B1384" t="str">
        <f>"10-2110-5000"</f>
        <v>10-2110-5000</v>
      </c>
      <c r="C1384" t="str">
        <f>"Pallet Conveyor Corner Section 180°"</f>
        <v>Pallet Conveyor Corner Section 180°</v>
      </c>
      <c r="D1384">
        <v>2</v>
      </c>
      <c r="E1384" t="str">
        <f>"Pallet Conveyor - Max. 5 Stations (4840mm x 700mm)"</f>
        <v>Pallet Conveyor - Max. 5 Stations (4840mm x 700mm)</v>
      </c>
      <c r="F1384">
        <v>520</v>
      </c>
      <c r="G1384" t="str">
        <f t="shared" si="376"/>
        <v>Y</v>
      </c>
      <c r="H1384" t="str">
        <f t="shared" si="375"/>
        <v>EA</v>
      </c>
      <c r="I1384">
        <v>0</v>
      </c>
      <c r="J1384">
        <v>0</v>
      </c>
      <c r="K1384" t="str">
        <f t="shared" si="377"/>
        <v>Y</v>
      </c>
      <c r="L1384">
        <v>0</v>
      </c>
      <c r="M1384" t="str">
        <f t="shared" si="378"/>
        <v>NIS</v>
      </c>
      <c r="O1384">
        <v>2</v>
      </c>
      <c r="P1384" t="str">
        <f t="shared" si="380"/>
        <v>Active</v>
      </c>
      <c r="Q1384" t="str">
        <f>"Pallet Conveyor Corner Section 180°"</f>
        <v>Pallet Conveyor Corner Section 180°</v>
      </c>
      <c r="S1384" t="str">
        <f>"Pallet Conveyor Corner Section 180°"</f>
        <v>Pallet Conveyor Corner Section 180°</v>
      </c>
      <c r="T1384">
        <v>0</v>
      </c>
      <c r="U1384">
        <v>753.75</v>
      </c>
      <c r="V1384">
        <v>781.16</v>
      </c>
      <c r="W1384" t="str">
        <f t="shared" ref="W1384:W1416" si="385">"rob"</f>
        <v>rob</v>
      </c>
    </row>
    <row r="1385" spans="1:23">
      <c r="A1385" t="str">
        <f>"CNV-4840x700"</f>
        <v>CNV-4840x700</v>
      </c>
      <c r="B1385" t="str">
        <f>"10-2111-0000"</f>
        <v>10-2111-0000</v>
      </c>
      <c r="C1385" t="str">
        <f>"Pallet Conveyor Middle Leg Assembly"</f>
        <v>Pallet Conveyor Middle Leg Assembly</v>
      </c>
      <c r="D1385">
        <v>4</v>
      </c>
      <c r="E1385" t="str">
        <f>"Pallet Conveyor - Max. 5 Stations (4840mm x 700mm)"</f>
        <v>Pallet Conveyor - Max. 5 Stations (4840mm x 700mm)</v>
      </c>
      <c r="F1385">
        <v>520</v>
      </c>
      <c r="G1385" t="str">
        <f t="shared" si="376"/>
        <v>Y</v>
      </c>
      <c r="H1385" t="str">
        <f t="shared" si="375"/>
        <v>EA</v>
      </c>
      <c r="I1385">
        <v>0</v>
      </c>
      <c r="J1385">
        <v>0</v>
      </c>
      <c r="K1385" t="str">
        <f t="shared" si="377"/>
        <v>Y</v>
      </c>
      <c r="L1385">
        <v>0</v>
      </c>
      <c r="M1385" t="str">
        <f t="shared" si="378"/>
        <v>NIS</v>
      </c>
      <c r="O1385">
        <v>3</v>
      </c>
      <c r="P1385" t="str">
        <f t="shared" si="380"/>
        <v>Active</v>
      </c>
      <c r="Q1385" t="str">
        <f>"Pallet Conveyor Middle Leg Assembly"</f>
        <v>Pallet Conveyor Middle Leg Assembly</v>
      </c>
      <c r="S1385" t="str">
        <f>"Pallet Conveyor Middle Leg Assembly"</f>
        <v>Pallet Conveyor Middle Leg Assembly</v>
      </c>
      <c r="T1385">
        <v>0</v>
      </c>
      <c r="U1385">
        <v>370</v>
      </c>
      <c r="V1385">
        <v>339.98</v>
      </c>
      <c r="W1385" t="str">
        <f t="shared" si="385"/>
        <v>rob</v>
      </c>
    </row>
    <row r="1386" spans="1:23">
      <c r="A1386" t="str">
        <f>"CNV-4840x700"</f>
        <v>CNV-4840x700</v>
      </c>
      <c r="B1386" t="str">
        <f>"10-2110-1000"</f>
        <v>10-2110-1000</v>
      </c>
      <c r="C1386" t="str">
        <f>"Pallet Conveyor Straight Section 1400mm"</f>
        <v>Pallet Conveyor Straight Section 1400mm</v>
      </c>
      <c r="D1386">
        <v>5</v>
      </c>
      <c r="E1386" t="str">
        <f>"Pallet Conveyor - Max. 5 Stations (4840mm x 700mm)"</f>
        <v>Pallet Conveyor - Max. 5 Stations (4840mm x 700mm)</v>
      </c>
      <c r="F1386">
        <v>520</v>
      </c>
      <c r="G1386" t="str">
        <f t="shared" si="376"/>
        <v>Y</v>
      </c>
      <c r="H1386" t="str">
        <f t="shared" si="375"/>
        <v>EA</v>
      </c>
      <c r="I1386">
        <v>0</v>
      </c>
      <c r="J1386">
        <v>0</v>
      </c>
      <c r="K1386" t="str">
        <f t="shared" si="377"/>
        <v>Y</v>
      </c>
      <c r="L1386">
        <v>0</v>
      </c>
      <c r="M1386" t="str">
        <f t="shared" si="378"/>
        <v>NIS</v>
      </c>
      <c r="O1386">
        <v>4</v>
      </c>
      <c r="P1386" t="str">
        <f t="shared" ref="P1386:P1417" si="386">"Active"</f>
        <v>Active</v>
      </c>
      <c r="Q1386" t="str">
        <f>"Pallet Conveyor Straight Section 1400mm"</f>
        <v>Pallet Conveyor Straight Section 1400mm</v>
      </c>
      <c r="S1386" t="str">
        <f>"Pallet Conveyor Straight Section 1400mm"</f>
        <v>Pallet Conveyor Straight Section 1400mm</v>
      </c>
      <c r="T1386">
        <v>0</v>
      </c>
      <c r="U1386">
        <v>467.27</v>
      </c>
      <c r="V1386">
        <v>486.81</v>
      </c>
      <c r="W1386" t="str">
        <f t="shared" si="385"/>
        <v>rob</v>
      </c>
    </row>
    <row r="1387" spans="1:23">
      <c r="A1387" t="str">
        <f>"CNV-4840x700"</f>
        <v>CNV-4840x700</v>
      </c>
      <c r="B1387" t="str">
        <f>"021041"</f>
        <v>021041</v>
      </c>
      <c r="C1387" t="str">
        <f>"Installation KIT"</f>
        <v>Installation KIT</v>
      </c>
      <c r="D1387">
        <v>1</v>
      </c>
      <c r="E1387" t="str">
        <f>"Pallet Conveyor - Max. 5 Stations (4840mm x 700mm)"</f>
        <v>Pallet Conveyor - Max. 5 Stations (4840mm x 700mm)</v>
      </c>
      <c r="F1387">
        <v>520</v>
      </c>
      <c r="G1387" t="str">
        <f t="shared" si="376"/>
        <v>Y</v>
      </c>
      <c r="H1387" t="str">
        <f t="shared" si="375"/>
        <v>EA</v>
      </c>
      <c r="I1387">
        <v>0</v>
      </c>
      <c r="J1387">
        <v>0</v>
      </c>
      <c r="K1387" t="str">
        <f t="shared" si="377"/>
        <v>Y</v>
      </c>
      <c r="L1387">
        <v>0</v>
      </c>
      <c r="M1387" t="str">
        <f t="shared" si="378"/>
        <v>NIS</v>
      </c>
      <c r="O1387">
        <v>5</v>
      </c>
      <c r="P1387" t="str">
        <f t="shared" si="386"/>
        <v>Active</v>
      </c>
      <c r="Q1387" t="str">
        <f>"סט חומרים מתכלים למתקינים Installation KIT"</f>
        <v>סט חומרים מתכלים למתקינים Installation KIT</v>
      </c>
      <c r="S1387" t="str">
        <f>"סט חומרים מתכלים למתקינים Installation KIT"</f>
        <v>סט חומרים מתכלים למתקינים Installation KIT</v>
      </c>
      <c r="T1387">
        <v>0</v>
      </c>
      <c r="U1387">
        <v>140</v>
      </c>
      <c r="V1387">
        <v>137.94999999999999</v>
      </c>
      <c r="W1387" t="str">
        <f t="shared" si="385"/>
        <v>rob</v>
      </c>
    </row>
    <row r="1388" spans="1:23">
      <c r="A1388" t="str">
        <f t="shared" ref="A1388:A1393" si="387">"CNV-6240x1400"</f>
        <v>CNV-6240x1400</v>
      </c>
      <c r="B1388" t="str">
        <f>"10-2110-9000"</f>
        <v>10-2110-9000</v>
      </c>
      <c r="C1388" t="str">
        <f>"Pallet Conveyor Drive Assembly"</f>
        <v>Pallet Conveyor Drive Assembly</v>
      </c>
      <c r="D1388">
        <v>1</v>
      </c>
      <c r="E1388" t="str">
        <f t="shared" ref="E1388:E1393" si="388">"Pallet Conveyor - Max. 8 Stations (6240mm x 1400mm)"</f>
        <v>Pallet Conveyor - Max. 8 Stations (6240mm x 1400mm)</v>
      </c>
      <c r="F1388">
        <v>520</v>
      </c>
      <c r="G1388" t="str">
        <f t="shared" si="376"/>
        <v>Y</v>
      </c>
      <c r="H1388" t="str">
        <f t="shared" si="375"/>
        <v>EA</v>
      </c>
      <c r="I1388">
        <v>0</v>
      </c>
      <c r="J1388">
        <v>0</v>
      </c>
      <c r="K1388" t="str">
        <f t="shared" si="377"/>
        <v>Y</v>
      </c>
      <c r="L1388">
        <v>0</v>
      </c>
      <c r="M1388" t="str">
        <f t="shared" si="378"/>
        <v>NIS</v>
      </c>
      <c r="O1388">
        <v>1</v>
      </c>
      <c r="P1388" t="str">
        <f t="shared" si="386"/>
        <v>Active</v>
      </c>
      <c r="Q1388" t="str">
        <f>"Pallet Conveyor Drive Assembly"</f>
        <v>Pallet Conveyor Drive Assembly</v>
      </c>
      <c r="S1388" t="str">
        <f>"Pallet Conveyor Drive Assembly"</f>
        <v>Pallet Conveyor Drive Assembly</v>
      </c>
      <c r="T1388">
        <v>0</v>
      </c>
      <c r="U1388" s="44">
        <v>3250</v>
      </c>
      <c r="V1388" s="44">
        <v>3208.53</v>
      </c>
      <c r="W1388" t="str">
        <f t="shared" si="385"/>
        <v>rob</v>
      </c>
    </row>
    <row r="1389" spans="1:23">
      <c r="A1389" t="str">
        <f t="shared" si="387"/>
        <v>CNV-6240x1400</v>
      </c>
      <c r="B1389" t="str">
        <f>"10-2110-4000"</f>
        <v>10-2110-4000</v>
      </c>
      <c r="C1389" t="str">
        <f>"Pallet Conveyor Corner Section 90°"</f>
        <v>Pallet Conveyor Corner Section 90°</v>
      </c>
      <c r="D1389">
        <v>4</v>
      </c>
      <c r="E1389" t="str">
        <f t="shared" si="388"/>
        <v>Pallet Conveyor - Max. 8 Stations (6240mm x 1400mm)</v>
      </c>
      <c r="F1389">
        <v>520</v>
      </c>
      <c r="G1389" t="str">
        <f t="shared" si="376"/>
        <v>Y</v>
      </c>
      <c r="H1389" t="str">
        <f t="shared" si="375"/>
        <v>EA</v>
      </c>
      <c r="I1389">
        <v>0</v>
      </c>
      <c r="J1389">
        <v>0</v>
      </c>
      <c r="K1389" t="str">
        <f t="shared" si="377"/>
        <v>Y</v>
      </c>
      <c r="L1389">
        <v>0</v>
      </c>
      <c r="M1389" t="str">
        <f t="shared" si="378"/>
        <v>NIS</v>
      </c>
      <c r="O1389">
        <v>2</v>
      </c>
      <c r="P1389" t="str">
        <f t="shared" si="386"/>
        <v>Active</v>
      </c>
      <c r="Q1389" t="str">
        <f>"Pallet Conveyor Corner Section 90°"</f>
        <v>Pallet Conveyor Corner Section 90°</v>
      </c>
      <c r="S1389" t="str">
        <f>"Pallet Conveyor Corner Section 90°"</f>
        <v>Pallet Conveyor Corner Section 90°</v>
      </c>
      <c r="T1389">
        <v>0</v>
      </c>
      <c r="U1389">
        <v>390</v>
      </c>
      <c r="V1389">
        <v>354.11</v>
      </c>
      <c r="W1389" t="str">
        <f t="shared" si="385"/>
        <v>rob</v>
      </c>
    </row>
    <row r="1390" spans="1:23">
      <c r="A1390" t="str">
        <f t="shared" si="387"/>
        <v>CNV-6240x1400</v>
      </c>
      <c r="B1390" t="str">
        <f>"10-2111-0000"</f>
        <v>10-2111-0000</v>
      </c>
      <c r="C1390" t="str">
        <f>"Pallet Conveyor Middle Leg Assembly"</f>
        <v>Pallet Conveyor Middle Leg Assembly</v>
      </c>
      <c r="D1390">
        <v>6</v>
      </c>
      <c r="E1390" t="str">
        <f t="shared" si="388"/>
        <v>Pallet Conveyor - Max. 8 Stations (6240mm x 1400mm)</v>
      </c>
      <c r="F1390">
        <v>520</v>
      </c>
      <c r="G1390" t="str">
        <f t="shared" si="376"/>
        <v>Y</v>
      </c>
      <c r="H1390" t="str">
        <f t="shared" si="375"/>
        <v>EA</v>
      </c>
      <c r="I1390">
        <v>0</v>
      </c>
      <c r="J1390">
        <v>0</v>
      </c>
      <c r="K1390" t="str">
        <f t="shared" si="377"/>
        <v>Y</v>
      </c>
      <c r="L1390">
        <v>0</v>
      </c>
      <c r="M1390" t="str">
        <f t="shared" si="378"/>
        <v>NIS</v>
      </c>
      <c r="O1390">
        <v>3</v>
      </c>
      <c r="P1390" t="str">
        <f t="shared" si="386"/>
        <v>Active</v>
      </c>
      <c r="Q1390" t="str">
        <f>"Pallet Conveyor Middle Leg Assembly"</f>
        <v>Pallet Conveyor Middle Leg Assembly</v>
      </c>
      <c r="S1390" t="str">
        <f>"Pallet Conveyor Middle Leg Assembly"</f>
        <v>Pallet Conveyor Middle Leg Assembly</v>
      </c>
      <c r="T1390">
        <v>0</v>
      </c>
      <c r="U1390">
        <v>370</v>
      </c>
      <c r="V1390">
        <v>339.98</v>
      </c>
      <c r="W1390" t="str">
        <f t="shared" si="385"/>
        <v>rob</v>
      </c>
    </row>
    <row r="1391" spans="1:23">
      <c r="A1391" t="str">
        <f t="shared" si="387"/>
        <v>CNV-6240x1400</v>
      </c>
      <c r="B1391" t="str">
        <f>"10-2110-1000"</f>
        <v>10-2110-1000</v>
      </c>
      <c r="C1391" t="str">
        <f>"Pallet Conveyor Straight Section 1400mm"</f>
        <v>Pallet Conveyor Straight Section 1400mm</v>
      </c>
      <c r="D1391">
        <v>7</v>
      </c>
      <c r="E1391" t="str">
        <f t="shared" si="388"/>
        <v>Pallet Conveyor - Max. 8 Stations (6240mm x 1400mm)</v>
      </c>
      <c r="F1391">
        <v>520</v>
      </c>
      <c r="G1391" t="str">
        <f t="shared" si="376"/>
        <v>Y</v>
      </c>
      <c r="H1391" t="str">
        <f t="shared" si="375"/>
        <v>EA</v>
      </c>
      <c r="I1391">
        <v>0</v>
      </c>
      <c r="J1391">
        <v>0</v>
      </c>
      <c r="K1391" t="str">
        <f t="shared" si="377"/>
        <v>Y</v>
      </c>
      <c r="L1391">
        <v>0</v>
      </c>
      <c r="M1391" t="str">
        <f t="shared" si="378"/>
        <v>NIS</v>
      </c>
      <c r="O1391">
        <v>4</v>
      </c>
      <c r="P1391" t="str">
        <f t="shared" si="386"/>
        <v>Active</v>
      </c>
      <c r="Q1391" t="str">
        <f>"Pallet Conveyor Straight Section 1400mm"</f>
        <v>Pallet Conveyor Straight Section 1400mm</v>
      </c>
      <c r="S1391" t="str">
        <f>"Pallet Conveyor Straight Section 1400mm"</f>
        <v>Pallet Conveyor Straight Section 1400mm</v>
      </c>
      <c r="T1391">
        <v>0</v>
      </c>
      <c r="U1391">
        <v>467.27</v>
      </c>
      <c r="V1391">
        <v>486.81</v>
      </c>
      <c r="W1391" t="str">
        <f t="shared" si="385"/>
        <v>rob</v>
      </c>
    </row>
    <row r="1392" spans="1:23">
      <c r="A1392" t="str">
        <f t="shared" si="387"/>
        <v>CNV-6240x1400</v>
      </c>
      <c r="B1392" t="str">
        <f>"10-2110-2000"</f>
        <v>10-2110-2000</v>
      </c>
      <c r="C1392" t="str">
        <f>"Pallet Conveyor Straight Section 760mm"</f>
        <v>Pallet Conveyor Straight Section 760mm</v>
      </c>
      <c r="D1392">
        <v>2</v>
      </c>
      <c r="E1392" t="str">
        <f t="shared" si="388"/>
        <v>Pallet Conveyor - Max. 8 Stations (6240mm x 1400mm)</v>
      </c>
      <c r="F1392">
        <v>520</v>
      </c>
      <c r="G1392" t="str">
        <f t="shared" si="376"/>
        <v>Y</v>
      </c>
      <c r="H1392" t="str">
        <f t="shared" si="375"/>
        <v>EA</v>
      </c>
      <c r="I1392">
        <v>0</v>
      </c>
      <c r="J1392">
        <v>0</v>
      </c>
      <c r="K1392" t="str">
        <f t="shared" si="377"/>
        <v>Y</v>
      </c>
      <c r="L1392">
        <v>0</v>
      </c>
      <c r="M1392" t="str">
        <f t="shared" si="378"/>
        <v>NIS</v>
      </c>
      <c r="O1392">
        <v>5</v>
      </c>
      <c r="P1392" t="str">
        <f t="shared" si="386"/>
        <v>Active</v>
      </c>
      <c r="Q1392" t="str">
        <f>"Pallet Conveyor Straight Section 760mm"</f>
        <v>Pallet Conveyor Straight Section 760mm</v>
      </c>
      <c r="S1392" t="str">
        <f>"Pallet Conveyor Straight Section 760mm"</f>
        <v>Pallet Conveyor Straight Section 760mm</v>
      </c>
      <c r="T1392">
        <v>0</v>
      </c>
      <c r="U1392">
        <v>332.4</v>
      </c>
      <c r="V1392">
        <v>345.35</v>
      </c>
      <c r="W1392" t="str">
        <f t="shared" si="385"/>
        <v>rob</v>
      </c>
    </row>
    <row r="1393" spans="1:23">
      <c r="A1393" t="str">
        <f t="shared" si="387"/>
        <v>CNV-6240x1400</v>
      </c>
      <c r="B1393" t="str">
        <f>"021041"</f>
        <v>021041</v>
      </c>
      <c r="C1393" t="str">
        <f>"Installation KIT"</f>
        <v>Installation KIT</v>
      </c>
      <c r="D1393">
        <v>1</v>
      </c>
      <c r="E1393" t="str">
        <f t="shared" si="388"/>
        <v>Pallet Conveyor - Max. 8 Stations (6240mm x 1400mm)</v>
      </c>
      <c r="F1393">
        <v>520</v>
      </c>
      <c r="G1393" t="str">
        <f t="shared" si="376"/>
        <v>Y</v>
      </c>
      <c r="H1393" t="str">
        <f t="shared" si="375"/>
        <v>EA</v>
      </c>
      <c r="I1393">
        <v>0</v>
      </c>
      <c r="J1393">
        <v>0</v>
      </c>
      <c r="K1393" t="str">
        <f t="shared" si="377"/>
        <v>Y</v>
      </c>
      <c r="L1393">
        <v>0</v>
      </c>
      <c r="M1393" t="str">
        <f t="shared" si="378"/>
        <v>NIS</v>
      </c>
      <c r="O1393">
        <v>6</v>
      </c>
      <c r="P1393" t="str">
        <f t="shared" si="386"/>
        <v>Active</v>
      </c>
      <c r="Q1393" t="str">
        <f>"סט חומרים מתכלים למתקינים Installation KIT"</f>
        <v>סט חומרים מתכלים למתקינים Installation KIT</v>
      </c>
      <c r="S1393" t="str">
        <f>"סט חומרים מתכלים למתקינים Installation KIT"</f>
        <v>סט חומרים מתכלים למתקינים Installation KIT</v>
      </c>
      <c r="T1393">
        <v>0</v>
      </c>
      <c r="U1393">
        <v>140</v>
      </c>
      <c r="V1393">
        <v>137.94999999999999</v>
      </c>
      <c r="W1393" t="str">
        <f t="shared" si="385"/>
        <v>rob</v>
      </c>
    </row>
    <row r="1394" spans="1:23">
      <c r="A1394" t="str">
        <f>"CNV-6240x700"</f>
        <v>CNV-6240x700</v>
      </c>
      <c r="B1394" t="str">
        <f>"10-2110-9000"</f>
        <v>10-2110-9000</v>
      </c>
      <c r="C1394" t="str">
        <f>"Pallet Conveyor Drive Assembly"</f>
        <v>Pallet Conveyor Drive Assembly</v>
      </c>
      <c r="D1394">
        <v>1</v>
      </c>
      <c r="E1394" t="str">
        <f>"Pallet Conveyor - Max. 7 Stations (6240mm x 700mm)"</f>
        <v>Pallet Conveyor - Max. 7 Stations (6240mm x 700mm)</v>
      </c>
      <c r="F1394">
        <v>520</v>
      </c>
      <c r="G1394" t="str">
        <f t="shared" si="376"/>
        <v>Y</v>
      </c>
      <c r="H1394" t="str">
        <f t="shared" si="375"/>
        <v>EA</v>
      </c>
      <c r="I1394">
        <v>0</v>
      </c>
      <c r="J1394">
        <v>0</v>
      </c>
      <c r="K1394" t="str">
        <f t="shared" si="377"/>
        <v>Y</v>
      </c>
      <c r="L1394">
        <v>0</v>
      </c>
      <c r="M1394" t="str">
        <f t="shared" si="378"/>
        <v>NIS</v>
      </c>
      <c r="O1394">
        <v>1</v>
      </c>
      <c r="P1394" t="str">
        <f t="shared" si="386"/>
        <v>Active</v>
      </c>
      <c r="Q1394" t="str">
        <f>"Pallet Conveyor Drive Assembly"</f>
        <v>Pallet Conveyor Drive Assembly</v>
      </c>
      <c r="S1394" t="str">
        <f>"Pallet Conveyor Drive Assembly"</f>
        <v>Pallet Conveyor Drive Assembly</v>
      </c>
      <c r="T1394">
        <v>0</v>
      </c>
      <c r="U1394" s="44">
        <v>3250</v>
      </c>
      <c r="V1394" s="44">
        <v>3208.53</v>
      </c>
      <c r="W1394" t="str">
        <f t="shared" si="385"/>
        <v>rob</v>
      </c>
    </row>
    <row r="1395" spans="1:23">
      <c r="A1395" t="str">
        <f>"CNV-6240x700"</f>
        <v>CNV-6240x700</v>
      </c>
      <c r="B1395" t="str">
        <f>"10-2110-5000"</f>
        <v>10-2110-5000</v>
      </c>
      <c r="C1395" t="str">
        <f>"Pallet Conveyor Corner Section 180°"</f>
        <v>Pallet Conveyor Corner Section 180°</v>
      </c>
      <c r="D1395">
        <v>2</v>
      </c>
      <c r="E1395" t="str">
        <f>"Pallet Conveyor - Max. 7 Stations (6240mm x 700mm)"</f>
        <v>Pallet Conveyor - Max. 7 Stations (6240mm x 700mm)</v>
      </c>
      <c r="F1395">
        <v>520</v>
      </c>
      <c r="G1395" t="str">
        <f t="shared" si="376"/>
        <v>Y</v>
      </c>
      <c r="H1395" t="str">
        <f t="shared" si="375"/>
        <v>EA</v>
      </c>
      <c r="I1395">
        <v>0</v>
      </c>
      <c r="J1395">
        <v>0</v>
      </c>
      <c r="K1395" t="str">
        <f t="shared" si="377"/>
        <v>Y</v>
      </c>
      <c r="L1395">
        <v>0</v>
      </c>
      <c r="M1395" t="str">
        <f t="shared" si="378"/>
        <v>NIS</v>
      </c>
      <c r="O1395">
        <v>2</v>
      </c>
      <c r="P1395" t="str">
        <f t="shared" si="386"/>
        <v>Active</v>
      </c>
      <c r="Q1395" t="str">
        <f>"Pallet Conveyor Corner Section 180°"</f>
        <v>Pallet Conveyor Corner Section 180°</v>
      </c>
      <c r="S1395" t="str">
        <f>"Pallet Conveyor Corner Section 180°"</f>
        <v>Pallet Conveyor Corner Section 180°</v>
      </c>
      <c r="T1395">
        <v>0</v>
      </c>
      <c r="U1395">
        <v>753.75</v>
      </c>
      <c r="V1395">
        <v>781.16</v>
      </c>
      <c r="W1395" t="str">
        <f t="shared" si="385"/>
        <v>rob</v>
      </c>
    </row>
    <row r="1396" spans="1:23">
      <c r="A1396" t="str">
        <f>"CNV-6240x700"</f>
        <v>CNV-6240x700</v>
      </c>
      <c r="B1396" t="str">
        <f>"10-2111-0000"</f>
        <v>10-2111-0000</v>
      </c>
      <c r="C1396" t="str">
        <f>"Pallet Conveyor Middle Leg Assembly"</f>
        <v>Pallet Conveyor Middle Leg Assembly</v>
      </c>
      <c r="D1396">
        <v>6</v>
      </c>
      <c r="E1396" t="str">
        <f>"Pallet Conveyor - Max. 7 Stations (6240mm x 700mm)"</f>
        <v>Pallet Conveyor - Max. 7 Stations (6240mm x 700mm)</v>
      </c>
      <c r="F1396">
        <v>520</v>
      </c>
      <c r="G1396" t="str">
        <f t="shared" si="376"/>
        <v>Y</v>
      </c>
      <c r="H1396" t="str">
        <f t="shared" si="375"/>
        <v>EA</v>
      </c>
      <c r="I1396">
        <v>0</v>
      </c>
      <c r="J1396">
        <v>0</v>
      </c>
      <c r="K1396" t="str">
        <f t="shared" si="377"/>
        <v>Y</v>
      </c>
      <c r="L1396">
        <v>0</v>
      </c>
      <c r="M1396" t="str">
        <f t="shared" si="378"/>
        <v>NIS</v>
      </c>
      <c r="O1396">
        <v>3</v>
      </c>
      <c r="P1396" t="str">
        <f t="shared" si="386"/>
        <v>Active</v>
      </c>
      <c r="Q1396" t="str">
        <f>"Pallet Conveyor Middle Leg Assembly"</f>
        <v>Pallet Conveyor Middle Leg Assembly</v>
      </c>
      <c r="S1396" t="str">
        <f>"Pallet Conveyor Middle Leg Assembly"</f>
        <v>Pallet Conveyor Middle Leg Assembly</v>
      </c>
      <c r="T1396">
        <v>0</v>
      </c>
      <c r="U1396">
        <v>370</v>
      </c>
      <c r="V1396">
        <v>339.98</v>
      </c>
      <c r="W1396" t="str">
        <f t="shared" si="385"/>
        <v>rob</v>
      </c>
    </row>
    <row r="1397" spans="1:23">
      <c r="A1397" t="str">
        <f>"CNV-6240x700"</f>
        <v>CNV-6240x700</v>
      </c>
      <c r="B1397" t="str">
        <f>"10-2110-1000"</f>
        <v>10-2110-1000</v>
      </c>
      <c r="C1397" t="str">
        <f>"Pallet Conveyor Straight Section 1400mm"</f>
        <v>Pallet Conveyor Straight Section 1400mm</v>
      </c>
      <c r="D1397">
        <v>7</v>
      </c>
      <c r="E1397" t="str">
        <f>"Pallet Conveyor - Max. 7 Stations (6240mm x 700mm)"</f>
        <v>Pallet Conveyor - Max. 7 Stations (6240mm x 700mm)</v>
      </c>
      <c r="F1397">
        <v>520</v>
      </c>
      <c r="G1397" t="str">
        <f t="shared" si="376"/>
        <v>Y</v>
      </c>
      <c r="H1397" t="str">
        <f t="shared" si="375"/>
        <v>EA</v>
      </c>
      <c r="I1397">
        <v>0</v>
      </c>
      <c r="J1397">
        <v>0</v>
      </c>
      <c r="K1397" t="str">
        <f t="shared" si="377"/>
        <v>Y</v>
      </c>
      <c r="L1397">
        <v>0</v>
      </c>
      <c r="M1397" t="str">
        <f t="shared" si="378"/>
        <v>NIS</v>
      </c>
      <c r="O1397">
        <v>4</v>
      </c>
      <c r="P1397" t="str">
        <f t="shared" si="386"/>
        <v>Active</v>
      </c>
      <c r="Q1397" t="str">
        <f>"Pallet Conveyor Straight Section 1400mm"</f>
        <v>Pallet Conveyor Straight Section 1400mm</v>
      </c>
      <c r="S1397" t="str">
        <f>"Pallet Conveyor Straight Section 1400mm"</f>
        <v>Pallet Conveyor Straight Section 1400mm</v>
      </c>
      <c r="T1397">
        <v>0</v>
      </c>
      <c r="U1397">
        <v>467.27</v>
      </c>
      <c r="V1397">
        <v>486.81</v>
      </c>
      <c r="W1397" t="str">
        <f t="shared" si="385"/>
        <v>rob</v>
      </c>
    </row>
    <row r="1398" spans="1:23">
      <c r="A1398" t="str">
        <f>"CNV-6240x700"</f>
        <v>CNV-6240x700</v>
      </c>
      <c r="B1398" t="str">
        <f>"021041"</f>
        <v>021041</v>
      </c>
      <c r="C1398" t="str">
        <f>"Installation KIT"</f>
        <v>Installation KIT</v>
      </c>
      <c r="D1398">
        <v>1</v>
      </c>
      <c r="E1398" t="str">
        <f>"Pallet Conveyor - Max. 7 Stations (6240mm x 700mm)"</f>
        <v>Pallet Conveyor - Max. 7 Stations (6240mm x 700mm)</v>
      </c>
      <c r="F1398">
        <v>520</v>
      </c>
      <c r="G1398" t="str">
        <f t="shared" si="376"/>
        <v>Y</v>
      </c>
      <c r="H1398" t="str">
        <f t="shared" si="375"/>
        <v>EA</v>
      </c>
      <c r="I1398">
        <v>0</v>
      </c>
      <c r="J1398">
        <v>0</v>
      </c>
      <c r="K1398" t="str">
        <f t="shared" si="377"/>
        <v>Y</v>
      </c>
      <c r="L1398">
        <v>0</v>
      </c>
      <c r="M1398" t="str">
        <f t="shared" si="378"/>
        <v>NIS</v>
      </c>
      <c r="O1398">
        <v>5</v>
      </c>
      <c r="P1398" t="str">
        <f t="shared" si="386"/>
        <v>Active</v>
      </c>
      <c r="Q1398" t="str">
        <f>"סט חומרים מתכלים למתקינים Installation KIT"</f>
        <v>סט חומרים מתכלים למתקינים Installation KIT</v>
      </c>
      <c r="S1398" t="str">
        <f>"סט חומרים מתכלים למתקינים Installation KIT"</f>
        <v>סט חומרים מתכלים למתקינים Installation KIT</v>
      </c>
      <c r="T1398">
        <v>0</v>
      </c>
      <c r="U1398">
        <v>140</v>
      </c>
      <c r="V1398">
        <v>137.94999999999999</v>
      </c>
      <c r="W1398" t="str">
        <f t="shared" si="385"/>
        <v>rob</v>
      </c>
    </row>
    <row r="1399" spans="1:23">
      <c r="A1399" t="str">
        <f t="shared" ref="A1399:A1404" si="389">"CNV-7640x1400"</f>
        <v>CNV-7640x1400</v>
      </c>
      <c r="B1399" t="str">
        <f>"10-2110-9000"</f>
        <v>10-2110-9000</v>
      </c>
      <c r="C1399" t="str">
        <f>"Pallet Conveyor Drive Assembly"</f>
        <v>Pallet Conveyor Drive Assembly</v>
      </c>
      <c r="D1399">
        <v>1</v>
      </c>
      <c r="E1399" t="str">
        <f t="shared" ref="E1399:E1404" si="390">"Pallet Conveyor - Max. 8 Stations (7640mm x 1400mm)"</f>
        <v>Pallet Conveyor - Max. 8 Stations (7640mm x 1400mm)</v>
      </c>
      <c r="F1399">
        <v>520</v>
      </c>
      <c r="G1399" t="str">
        <f t="shared" si="376"/>
        <v>Y</v>
      </c>
      <c r="H1399" t="str">
        <f t="shared" si="375"/>
        <v>EA</v>
      </c>
      <c r="I1399">
        <v>0</v>
      </c>
      <c r="J1399">
        <v>0</v>
      </c>
      <c r="K1399" t="str">
        <f t="shared" si="377"/>
        <v>Y</v>
      </c>
      <c r="L1399">
        <v>0</v>
      </c>
      <c r="M1399" t="str">
        <f t="shared" si="378"/>
        <v>NIS</v>
      </c>
      <c r="O1399">
        <v>1</v>
      </c>
      <c r="P1399" t="str">
        <f t="shared" si="386"/>
        <v>Active</v>
      </c>
      <c r="Q1399" t="str">
        <f>"Pallet Conveyor Drive Assembly"</f>
        <v>Pallet Conveyor Drive Assembly</v>
      </c>
      <c r="S1399" t="str">
        <f>"Pallet Conveyor Drive Assembly"</f>
        <v>Pallet Conveyor Drive Assembly</v>
      </c>
      <c r="T1399">
        <v>0</v>
      </c>
      <c r="U1399" s="44">
        <v>3250</v>
      </c>
      <c r="V1399" s="44">
        <v>3208.53</v>
      </c>
      <c r="W1399" t="str">
        <f t="shared" si="385"/>
        <v>rob</v>
      </c>
    </row>
    <row r="1400" spans="1:23">
      <c r="A1400" t="str">
        <f t="shared" si="389"/>
        <v>CNV-7640x1400</v>
      </c>
      <c r="B1400" t="str">
        <f>"10-2110-4000"</f>
        <v>10-2110-4000</v>
      </c>
      <c r="C1400" t="str">
        <f>"Pallet Conveyor Corner Section 90°"</f>
        <v>Pallet Conveyor Corner Section 90°</v>
      </c>
      <c r="D1400">
        <v>4</v>
      </c>
      <c r="E1400" t="str">
        <f t="shared" si="390"/>
        <v>Pallet Conveyor - Max. 8 Stations (7640mm x 1400mm)</v>
      </c>
      <c r="F1400">
        <v>520</v>
      </c>
      <c r="G1400" t="str">
        <f t="shared" si="376"/>
        <v>Y</v>
      </c>
      <c r="H1400" t="str">
        <f t="shared" si="375"/>
        <v>EA</v>
      </c>
      <c r="I1400">
        <v>0</v>
      </c>
      <c r="J1400">
        <v>0</v>
      </c>
      <c r="K1400" t="str">
        <f t="shared" si="377"/>
        <v>Y</v>
      </c>
      <c r="L1400">
        <v>0</v>
      </c>
      <c r="M1400" t="str">
        <f t="shared" si="378"/>
        <v>NIS</v>
      </c>
      <c r="O1400">
        <v>2</v>
      </c>
      <c r="P1400" t="str">
        <f t="shared" si="386"/>
        <v>Active</v>
      </c>
      <c r="Q1400" t="str">
        <f>"Pallet Conveyor Corner Section 90°"</f>
        <v>Pallet Conveyor Corner Section 90°</v>
      </c>
      <c r="S1400" t="str">
        <f>"Pallet Conveyor Corner Section 90°"</f>
        <v>Pallet Conveyor Corner Section 90°</v>
      </c>
      <c r="T1400">
        <v>0</v>
      </c>
      <c r="U1400">
        <v>390</v>
      </c>
      <c r="V1400">
        <v>354.11</v>
      </c>
      <c r="W1400" t="str">
        <f t="shared" si="385"/>
        <v>rob</v>
      </c>
    </row>
    <row r="1401" spans="1:23">
      <c r="A1401" t="str">
        <f t="shared" si="389"/>
        <v>CNV-7640x1400</v>
      </c>
      <c r="B1401" t="str">
        <f>"10-2111-0000"</f>
        <v>10-2111-0000</v>
      </c>
      <c r="C1401" t="str">
        <f>"Pallet Conveyor Middle Leg Assembly"</f>
        <v>Pallet Conveyor Middle Leg Assembly</v>
      </c>
      <c r="D1401">
        <v>8</v>
      </c>
      <c r="E1401" t="str">
        <f t="shared" si="390"/>
        <v>Pallet Conveyor - Max. 8 Stations (7640mm x 1400mm)</v>
      </c>
      <c r="F1401">
        <v>520</v>
      </c>
      <c r="G1401" t="str">
        <f t="shared" si="376"/>
        <v>Y</v>
      </c>
      <c r="H1401" t="str">
        <f t="shared" si="375"/>
        <v>EA</v>
      </c>
      <c r="I1401">
        <v>0</v>
      </c>
      <c r="J1401">
        <v>0</v>
      </c>
      <c r="K1401" t="str">
        <f t="shared" si="377"/>
        <v>Y</v>
      </c>
      <c r="L1401">
        <v>0</v>
      </c>
      <c r="M1401" t="str">
        <f t="shared" si="378"/>
        <v>NIS</v>
      </c>
      <c r="O1401">
        <v>3</v>
      </c>
      <c r="P1401" t="str">
        <f t="shared" si="386"/>
        <v>Active</v>
      </c>
      <c r="Q1401" t="str">
        <f>"Pallet Conveyor Middle Leg Assembly"</f>
        <v>Pallet Conveyor Middle Leg Assembly</v>
      </c>
      <c r="S1401" t="str">
        <f>"Pallet Conveyor Middle Leg Assembly"</f>
        <v>Pallet Conveyor Middle Leg Assembly</v>
      </c>
      <c r="T1401">
        <v>0</v>
      </c>
      <c r="U1401">
        <v>370</v>
      </c>
      <c r="V1401">
        <v>339.98</v>
      </c>
      <c r="W1401" t="str">
        <f t="shared" si="385"/>
        <v>rob</v>
      </c>
    </row>
    <row r="1402" spans="1:23">
      <c r="A1402" t="str">
        <f t="shared" si="389"/>
        <v>CNV-7640x1400</v>
      </c>
      <c r="B1402" t="str">
        <f>"10-2110-1000"</f>
        <v>10-2110-1000</v>
      </c>
      <c r="C1402" t="str">
        <f>"Pallet Conveyor Straight Section 1400mm"</f>
        <v>Pallet Conveyor Straight Section 1400mm</v>
      </c>
      <c r="D1402">
        <v>9</v>
      </c>
      <c r="E1402" t="str">
        <f t="shared" si="390"/>
        <v>Pallet Conveyor - Max. 8 Stations (7640mm x 1400mm)</v>
      </c>
      <c r="F1402">
        <v>520</v>
      </c>
      <c r="G1402" t="str">
        <f t="shared" si="376"/>
        <v>Y</v>
      </c>
      <c r="H1402" t="str">
        <f t="shared" si="375"/>
        <v>EA</v>
      </c>
      <c r="I1402">
        <v>0</v>
      </c>
      <c r="J1402">
        <v>0</v>
      </c>
      <c r="K1402" t="str">
        <f t="shared" si="377"/>
        <v>Y</v>
      </c>
      <c r="L1402">
        <v>0</v>
      </c>
      <c r="M1402" t="str">
        <f t="shared" si="378"/>
        <v>NIS</v>
      </c>
      <c r="O1402">
        <v>4</v>
      </c>
      <c r="P1402" t="str">
        <f t="shared" si="386"/>
        <v>Active</v>
      </c>
      <c r="Q1402" t="str">
        <f>"Pallet Conveyor Straight Section 1400mm"</f>
        <v>Pallet Conveyor Straight Section 1400mm</v>
      </c>
      <c r="S1402" t="str">
        <f>"Pallet Conveyor Straight Section 1400mm"</f>
        <v>Pallet Conveyor Straight Section 1400mm</v>
      </c>
      <c r="T1402">
        <v>0</v>
      </c>
      <c r="U1402">
        <v>467.27</v>
      </c>
      <c r="V1402">
        <v>486.81</v>
      </c>
      <c r="W1402" t="str">
        <f t="shared" si="385"/>
        <v>rob</v>
      </c>
    </row>
    <row r="1403" spans="1:23">
      <c r="A1403" t="str">
        <f t="shared" si="389"/>
        <v>CNV-7640x1400</v>
      </c>
      <c r="B1403" t="str">
        <f>"10-2110-2000"</f>
        <v>10-2110-2000</v>
      </c>
      <c r="C1403" t="str">
        <f>"Pallet Conveyor Straight Section 760mm"</f>
        <v>Pallet Conveyor Straight Section 760mm</v>
      </c>
      <c r="D1403">
        <v>2</v>
      </c>
      <c r="E1403" t="str">
        <f t="shared" si="390"/>
        <v>Pallet Conveyor - Max. 8 Stations (7640mm x 1400mm)</v>
      </c>
      <c r="F1403">
        <v>520</v>
      </c>
      <c r="G1403" t="str">
        <f t="shared" si="376"/>
        <v>Y</v>
      </c>
      <c r="H1403" t="str">
        <f t="shared" si="375"/>
        <v>EA</v>
      </c>
      <c r="I1403">
        <v>0</v>
      </c>
      <c r="J1403">
        <v>0</v>
      </c>
      <c r="K1403" t="str">
        <f t="shared" si="377"/>
        <v>Y</v>
      </c>
      <c r="L1403">
        <v>0</v>
      </c>
      <c r="M1403" t="str">
        <f t="shared" si="378"/>
        <v>NIS</v>
      </c>
      <c r="O1403">
        <v>5</v>
      </c>
      <c r="P1403" t="str">
        <f t="shared" si="386"/>
        <v>Active</v>
      </c>
      <c r="Q1403" t="str">
        <f>"Pallet Conveyor Straight Section 760mm"</f>
        <v>Pallet Conveyor Straight Section 760mm</v>
      </c>
      <c r="S1403" t="str">
        <f>"Pallet Conveyor Straight Section 760mm"</f>
        <v>Pallet Conveyor Straight Section 760mm</v>
      </c>
      <c r="T1403">
        <v>0</v>
      </c>
      <c r="U1403">
        <v>332.4</v>
      </c>
      <c r="V1403">
        <v>345.35</v>
      </c>
      <c r="W1403" t="str">
        <f t="shared" si="385"/>
        <v>rob</v>
      </c>
    </row>
    <row r="1404" spans="1:23">
      <c r="A1404" t="str">
        <f t="shared" si="389"/>
        <v>CNV-7640x1400</v>
      </c>
      <c r="B1404" t="str">
        <f>"021041"</f>
        <v>021041</v>
      </c>
      <c r="C1404" t="str">
        <f>"Installation KIT"</f>
        <v>Installation KIT</v>
      </c>
      <c r="D1404">
        <v>1</v>
      </c>
      <c r="E1404" t="str">
        <f t="shared" si="390"/>
        <v>Pallet Conveyor - Max. 8 Stations (7640mm x 1400mm)</v>
      </c>
      <c r="F1404">
        <v>520</v>
      </c>
      <c r="G1404" t="str">
        <f t="shared" si="376"/>
        <v>Y</v>
      </c>
      <c r="H1404" t="str">
        <f t="shared" si="375"/>
        <v>EA</v>
      </c>
      <c r="I1404">
        <v>0</v>
      </c>
      <c r="J1404">
        <v>0</v>
      </c>
      <c r="K1404" t="str">
        <f t="shared" si="377"/>
        <v>Y</v>
      </c>
      <c r="L1404">
        <v>0</v>
      </c>
      <c r="M1404" t="str">
        <f t="shared" si="378"/>
        <v>NIS</v>
      </c>
      <c r="O1404">
        <v>6</v>
      </c>
      <c r="P1404" t="str">
        <f t="shared" si="386"/>
        <v>Active</v>
      </c>
      <c r="Q1404" t="str">
        <f>"סט חומרים מתכלים למתקינים Installation KIT"</f>
        <v>סט חומרים מתכלים למתקינים Installation KIT</v>
      </c>
      <c r="S1404" t="str">
        <f>"סט חומרים מתכלים למתקינים Installation KIT"</f>
        <v>סט חומרים מתכלים למתקינים Installation KIT</v>
      </c>
      <c r="T1404">
        <v>0</v>
      </c>
      <c r="U1404">
        <v>140</v>
      </c>
      <c r="V1404">
        <v>137.94999999999999</v>
      </c>
      <c r="W1404" t="str">
        <f t="shared" si="385"/>
        <v>rob</v>
      </c>
    </row>
    <row r="1405" spans="1:23">
      <c r="A1405" t="str">
        <f>"CNV-7640x700"</f>
        <v>CNV-7640x700</v>
      </c>
      <c r="B1405" t="str">
        <f>"10-2110-9000"</f>
        <v>10-2110-9000</v>
      </c>
      <c r="C1405" t="str">
        <f>"Pallet Conveyor Drive Assembly"</f>
        <v>Pallet Conveyor Drive Assembly</v>
      </c>
      <c r="D1405">
        <v>1</v>
      </c>
      <c r="E1405" t="str">
        <f>"Pallet Conveyor - Max. 6 Stations (7640mm x 700mm)"</f>
        <v>Pallet Conveyor - Max. 6 Stations (7640mm x 700mm)</v>
      </c>
      <c r="F1405">
        <v>520</v>
      </c>
      <c r="G1405" t="str">
        <f t="shared" si="376"/>
        <v>Y</v>
      </c>
      <c r="H1405" t="str">
        <f t="shared" si="375"/>
        <v>EA</v>
      </c>
      <c r="I1405">
        <v>0</v>
      </c>
      <c r="J1405">
        <v>0</v>
      </c>
      <c r="K1405" t="str">
        <f t="shared" si="377"/>
        <v>Y</v>
      </c>
      <c r="L1405">
        <v>0</v>
      </c>
      <c r="M1405" t="str">
        <f t="shared" si="378"/>
        <v>NIS</v>
      </c>
      <c r="O1405">
        <v>1</v>
      </c>
      <c r="P1405" t="str">
        <f t="shared" si="386"/>
        <v>Active</v>
      </c>
      <c r="Q1405" t="str">
        <f>"Pallet Conveyor Drive Assembly"</f>
        <v>Pallet Conveyor Drive Assembly</v>
      </c>
      <c r="S1405" t="str">
        <f>"Pallet Conveyor Drive Assembly"</f>
        <v>Pallet Conveyor Drive Assembly</v>
      </c>
      <c r="T1405">
        <v>0</v>
      </c>
      <c r="U1405" s="44">
        <v>3250</v>
      </c>
      <c r="V1405" s="44">
        <v>3208.53</v>
      </c>
      <c r="W1405" t="str">
        <f t="shared" si="385"/>
        <v>rob</v>
      </c>
    </row>
    <row r="1406" spans="1:23">
      <c r="A1406" t="str">
        <f>"CNV-7640x700"</f>
        <v>CNV-7640x700</v>
      </c>
      <c r="B1406" t="str">
        <f>"10-2110-5000"</f>
        <v>10-2110-5000</v>
      </c>
      <c r="C1406" t="str">
        <f>"Pallet Conveyor Corner Section 180°"</f>
        <v>Pallet Conveyor Corner Section 180°</v>
      </c>
      <c r="D1406">
        <v>2</v>
      </c>
      <c r="E1406" t="str">
        <f>"Pallet Conveyor - Max. 6 Stations (7640mm x 700mm)"</f>
        <v>Pallet Conveyor - Max. 6 Stations (7640mm x 700mm)</v>
      </c>
      <c r="F1406">
        <v>520</v>
      </c>
      <c r="G1406" t="str">
        <f t="shared" si="376"/>
        <v>Y</v>
      </c>
      <c r="H1406" t="str">
        <f t="shared" si="375"/>
        <v>EA</v>
      </c>
      <c r="I1406">
        <v>0</v>
      </c>
      <c r="J1406">
        <v>0</v>
      </c>
      <c r="K1406" t="str">
        <f t="shared" si="377"/>
        <v>Y</v>
      </c>
      <c r="L1406">
        <v>0</v>
      </c>
      <c r="M1406" t="str">
        <f t="shared" si="378"/>
        <v>NIS</v>
      </c>
      <c r="O1406">
        <v>2</v>
      </c>
      <c r="P1406" t="str">
        <f t="shared" si="386"/>
        <v>Active</v>
      </c>
      <c r="Q1406" t="str">
        <f>"Pallet Conveyor Corner Section 180°"</f>
        <v>Pallet Conveyor Corner Section 180°</v>
      </c>
      <c r="S1406" t="str">
        <f>"Pallet Conveyor Corner Section 180°"</f>
        <v>Pallet Conveyor Corner Section 180°</v>
      </c>
      <c r="T1406">
        <v>0</v>
      </c>
      <c r="U1406">
        <v>753.75</v>
      </c>
      <c r="V1406">
        <v>781.16</v>
      </c>
      <c r="W1406" t="str">
        <f t="shared" si="385"/>
        <v>rob</v>
      </c>
    </row>
    <row r="1407" spans="1:23">
      <c r="A1407" t="str">
        <f>"CNV-7640x700"</f>
        <v>CNV-7640x700</v>
      </c>
      <c r="B1407" t="str">
        <f>"10-2111-0000"</f>
        <v>10-2111-0000</v>
      </c>
      <c r="C1407" t="str">
        <f>"Pallet Conveyor Middle Leg Assembly"</f>
        <v>Pallet Conveyor Middle Leg Assembly</v>
      </c>
      <c r="D1407">
        <v>8</v>
      </c>
      <c r="E1407" t="str">
        <f>"Pallet Conveyor - Max. 6 Stations (7640mm x 700mm)"</f>
        <v>Pallet Conveyor - Max. 6 Stations (7640mm x 700mm)</v>
      </c>
      <c r="F1407">
        <v>520</v>
      </c>
      <c r="G1407" t="str">
        <f t="shared" si="376"/>
        <v>Y</v>
      </c>
      <c r="H1407" t="str">
        <f t="shared" si="375"/>
        <v>EA</v>
      </c>
      <c r="I1407">
        <v>0</v>
      </c>
      <c r="J1407">
        <v>0</v>
      </c>
      <c r="K1407" t="str">
        <f t="shared" si="377"/>
        <v>Y</v>
      </c>
      <c r="L1407">
        <v>0</v>
      </c>
      <c r="M1407" t="str">
        <f t="shared" si="378"/>
        <v>NIS</v>
      </c>
      <c r="O1407">
        <v>3</v>
      </c>
      <c r="P1407" t="str">
        <f t="shared" si="386"/>
        <v>Active</v>
      </c>
      <c r="Q1407" t="str">
        <f>"Pallet Conveyor Middle Leg Assembly"</f>
        <v>Pallet Conveyor Middle Leg Assembly</v>
      </c>
      <c r="S1407" t="str">
        <f>"Pallet Conveyor Middle Leg Assembly"</f>
        <v>Pallet Conveyor Middle Leg Assembly</v>
      </c>
      <c r="T1407">
        <v>0</v>
      </c>
      <c r="U1407">
        <v>370</v>
      </c>
      <c r="V1407">
        <v>339.98</v>
      </c>
      <c r="W1407" t="str">
        <f t="shared" si="385"/>
        <v>rob</v>
      </c>
    </row>
    <row r="1408" spans="1:23">
      <c r="A1408" t="str">
        <f>"CNV-7640x700"</f>
        <v>CNV-7640x700</v>
      </c>
      <c r="B1408" t="str">
        <f>"10-2110-1000"</f>
        <v>10-2110-1000</v>
      </c>
      <c r="C1408" t="str">
        <f>"Pallet Conveyor Straight Section 1400mm"</f>
        <v>Pallet Conveyor Straight Section 1400mm</v>
      </c>
      <c r="D1408">
        <v>9</v>
      </c>
      <c r="E1408" t="str">
        <f>"Pallet Conveyor - Max. 6 Stations (7640mm x 700mm)"</f>
        <v>Pallet Conveyor - Max. 6 Stations (7640mm x 700mm)</v>
      </c>
      <c r="F1408">
        <v>520</v>
      </c>
      <c r="G1408" t="str">
        <f t="shared" si="376"/>
        <v>Y</v>
      </c>
      <c r="H1408" t="str">
        <f t="shared" ref="H1408:H1471" si="391">"EA"</f>
        <v>EA</v>
      </c>
      <c r="I1408">
        <v>0</v>
      </c>
      <c r="J1408">
        <v>0</v>
      </c>
      <c r="K1408" t="str">
        <f t="shared" si="377"/>
        <v>Y</v>
      </c>
      <c r="L1408">
        <v>0</v>
      </c>
      <c r="M1408" t="str">
        <f t="shared" si="378"/>
        <v>NIS</v>
      </c>
      <c r="O1408">
        <v>4</v>
      </c>
      <c r="P1408" t="str">
        <f t="shared" si="386"/>
        <v>Active</v>
      </c>
      <c r="Q1408" t="str">
        <f>"Pallet Conveyor Straight Section 1400mm"</f>
        <v>Pallet Conveyor Straight Section 1400mm</v>
      </c>
      <c r="S1408" t="str">
        <f>"Pallet Conveyor Straight Section 1400mm"</f>
        <v>Pallet Conveyor Straight Section 1400mm</v>
      </c>
      <c r="T1408">
        <v>0</v>
      </c>
      <c r="U1408">
        <v>467.27</v>
      </c>
      <c r="V1408">
        <v>486.81</v>
      </c>
      <c r="W1408" t="str">
        <f t="shared" si="385"/>
        <v>rob</v>
      </c>
    </row>
    <row r="1409" spans="1:23">
      <c r="A1409" t="str">
        <f>"CNV-7640x700"</f>
        <v>CNV-7640x700</v>
      </c>
      <c r="B1409" t="str">
        <f>"021041"</f>
        <v>021041</v>
      </c>
      <c r="C1409" t="str">
        <f>"Installation KIT"</f>
        <v>Installation KIT</v>
      </c>
      <c r="D1409">
        <v>1</v>
      </c>
      <c r="E1409" t="str">
        <f>"Pallet Conveyor - Max. 6 Stations (7640mm x 700mm)"</f>
        <v>Pallet Conveyor - Max. 6 Stations (7640mm x 700mm)</v>
      </c>
      <c r="F1409">
        <v>520</v>
      </c>
      <c r="G1409" t="str">
        <f t="shared" si="376"/>
        <v>Y</v>
      </c>
      <c r="H1409" t="str">
        <f t="shared" si="391"/>
        <v>EA</v>
      </c>
      <c r="I1409">
        <v>0</v>
      </c>
      <c r="J1409">
        <v>0</v>
      </c>
      <c r="K1409" t="str">
        <f t="shared" si="377"/>
        <v>Y</v>
      </c>
      <c r="L1409">
        <v>0</v>
      </c>
      <c r="M1409" t="str">
        <f t="shared" si="378"/>
        <v>NIS</v>
      </c>
      <c r="O1409">
        <v>5</v>
      </c>
      <c r="P1409" t="str">
        <f t="shared" si="386"/>
        <v>Active</v>
      </c>
      <c r="Q1409" t="str">
        <f>"סט חומרים מתכלים למתקינים Installation KIT"</f>
        <v>סט חומרים מתכלים למתקינים Installation KIT</v>
      </c>
      <c r="S1409" t="str">
        <f>"סט חומרים מתכלים למתקינים Installation KIT"</f>
        <v>סט חומרים מתכלים למתקינים Installation KIT</v>
      </c>
      <c r="T1409">
        <v>0</v>
      </c>
      <c r="U1409">
        <v>140</v>
      </c>
      <c r="V1409">
        <v>137.94999999999999</v>
      </c>
      <c r="W1409" t="str">
        <f t="shared" si="385"/>
        <v>rob</v>
      </c>
    </row>
    <row r="1410" spans="1:23">
      <c r="A1410" t="str">
        <f>"CNV-9040x700"</f>
        <v>CNV-9040x700</v>
      </c>
      <c r="B1410" t="str">
        <f>"10-2110-9000"</f>
        <v>10-2110-9000</v>
      </c>
      <c r="C1410" t="str">
        <f>"Pallet Conveyor Drive Assembly"</f>
        <v>Pallet Conveyor Drive Assembly</v>
      </c>
      <c r="D1410">
        <v>1</v>
      </c>
      <c r="E1410" t="str">
        <f>"Pallet Conveyor - Max. 8 Stations (9040mm x 700mm)"</f>
        <v>Pallet Conveyor - Max. 8 Stations (9040mm x 700mm)</v>
      </c>
      <c r="F1410">
        <v>520</v>
      </c>
      <c r="G1410" t="str">
        <f t="shared" ref="G1410:G1473" si="392">"Y"</f>
        <v>Y</v>
      </c>
      <c r="H1410" t="str">
        <f t="shared" si="391"/>
        <v>EA</v>
      </c>
      <c r="I1410">
        <v>0</v>
      </c>
      <c r="J1410">
        <v>0</v>
      </c>
      <c r="K1410" t="str">
        <f t="shared" ref="K1410:K1473" si="393">"Y"</f>
        <v>Y</v>
      </c>
      <c r="L1410">
        <v>0</v>
      </c>
      <c r="M1410" t="str">
        <f t="shared" ref="M1410:M1444" si="394">"NIS"</f>
        <v>NIS</v>
      </c>
      <c r="O1410">
        <v>1</v>
      </c>
      <c r="P1410" t="str">
        <f t="shared" si="386"/>
        <v>Active</v>
      </c>
      <c r="Q1410" t="str">
        <f>"Pallet Conveyor Drive Assembly"</f>
        <v>Pallet Conveyor Drive Assembly</v>
      </c>
      <c r="S1410" t="str">
        <f>"Pallet Conveyor Drive Assembly"</f>
        <v>Pallet Conveyor Drive Assembly</v>
      </c>
      <c r="T1410">
        <v>0</v>
      </c>
      <c r="U1410" s="44">
        <v>3250</v>
      </c>
      <c r="V1410" s="44">
        <v>3208.53</v>
      </c>
      <c r="W1410" t="str">
        <f t="shared" si="385"/>
        <v>rob</v>
      </c>
    </row>
    <row r="1411" spans="1:23">
      <c r="A1411" t="str">
        <f>"CNV-9040x700"</f>
        <v>CNV-9040x700</v>
      </c>
      <c r="B1411" t="str">
        <f>"10-2110-5000"</f>
        <v>10-2110-5000</v>
      </c>
      <c r="C1411" t="str">
        <f>"Pallet Conveyor Corner Section 180°"</f>
        <v>Pallet Conveyor Corner Section 180°</v>
      </c>
      <c r="D1411">
        <v>2</v>
      </c>
      <c r="E1411" t="str">
        <f>"Pallet Conveyor - Max. 8 Stations (9040mm x 700mm)"</f>
        <v>Pallet Conveyor - Max. 8 Stations (9040mm x 700mm)</v>
      </c>
      <c r="F1411">
        <v>520</v>
      </c>
      <c r="G1411" t="str">
        <f t="shared" si="392"/>
        <v>Y</v>
      </c>
      <c r="H1411" t="str">
        <f t="shared" si="391"/>
        <v>EA</v>
      </c>
      <c r="I1411">
        <v>0</v>
      </c>
      <c r="J1411">
        <v>0</v>
      </c>
      <c r="K1411" t="str">
        <f t="shared" si="393"/>
        <v>Y</v>
      </c>
      <c r="L1411">
        <v>0</v>
      </c>
      <c r="M1411" t="str">
        <f t="shared" si="394"/>
        <v>NIS</v>
      </c>
      <c r="O1411">
        <v>2</v>
      </c>
      <c r="P1411" t="str">
        <f t="shared" si="386"/>
        <v>Active</v>
      </c>
      <c r="Q1411" t="str">
        <f>"Pallet Conveyor Corner Section 180°"</f>
        <v>Pallet Conveyor Corner Section 180°</v>
      </c>
      <c r="S1411" t="str">
        <f>"Pallet Conveyor Corner Section 180°"</f>
        <v>Pallet Conveyor Corner Section 180°</v>
      </c>
      <c r="T1411">
        <v>0</v>
      </c>
      <c r="U1411">
        <v>753.75</v>
      </c>
      <c r="V1411">
        <v>781.16</v>
      </c>
      <c r="W1411" t="str">
        <f t="shared" si="385"/>
        <v>rob</v>
      </c>
    </row>
    <row r="1412" spans="1:23">
      <c r="A1412" t="str">
        <f>"CNV-9040x700"</f>
        <v>CNV-9040x700</v>
      </c>
      <c r="B1412" t="str">
        <f>"10-2111-0000"</f>
        <v>10-2111-0000</v>
      </c>
      <c r="C1412" t="str">
        <f>"Pallet Conveyor Middle Leg Assembly"</f>
        <v>Pallet Conveyor Middle Leg Assembly</v>
      </c>
      <c r="D1412">
        <v>10</v>
      </c>
      <c r="E1412" t="str">
        <f>"Pallet Conveyor - Max. 8 Stations (9040mm x 700mm)"</f>
        <v>Pallet Conveyor - Max. 8 Stations (9040mm x 700mm)</v>
      </c>
      <c r="F1412">
        <v>520</v>
      </c>
      <c r="G1412" t="str">
        <f t="shared" si="392"/>
        <v>Y</v>
      </c>
      <c r="H1412" t="str">
        <f t="shared" si="391"/>
        <v>EA</v>
      </c>
      <c r="I1412">
        <v>0</v>
      </c>
      <c r="J1412">
        <v>0</v>
      </c>
      <c r="K1412" t="str">
        <f t="shared" si="393"/>
        <v>Y</v>
      </c>
      <c r="L1412">
        <v>0</v>
      </c>
      <c r="M1412" t="str">
        <f t="shared" si="394"/>
        <v>NIS</v>
      </c>
      <c r="O1412">
        <v>3</v>
      </c>
      <c r="P1412" t="str">
        <f t="shared" si="386"/>
        <v>Active</v>
      </c>
      <c r="Q1412" t="str">
        <f>"Pallet Conveyor Middle Leg Assembly"</f>
        <v>Pallet Conveyor Middle Leg Assembly</v>
      </c>
      <c r="S1412" t="str">
        <f>"Pallet Conveyor Middle Leg Assembly"</f>
        <v>Pallet Conveyor Middle Leg Assembly</v>
      </c>
      <c r="T1412">
        <v>0</v>
      </c>
      <c r="U1412">
        <v>370</v>
      </c>
      <c r="V1412">
        <v>339.98</v>
      </c>
      <c r="W1412" t="str">
        <f t="shared" si="385"/>
        <v>rob</v>
      </c>
    </row>
    <row r="1413" spans="1:23">
      <c r="A1413" t="str">
        <f>"CNV-9040x700"</f>
        <v>CNV-9040x700</v>
      </c>
      <c r="B1413" t="str">
        <f>"10-2110-1000"</f>
        <v>10-2110-1000</v>
      </c>
      <c r="C1413" t="str">
        <f>"Pallet Conveyor Straight Section 1400mm"</f>
        <v>Pallet Conveyor Straight Section 1400mm</v>
      </c>
      <c r="D1413">
        <v>11</v>
      </c>
      <c r="E1413" t="str">
        <f>"Pallet Conveyor - Max. 8 Stations (9040mm x 700mm)"</f>
        <v>Pallet Conveyor - Max. 8 Stations (9040mm x 700mm)</v>
      </c>
      <c r="F1413">
        <v>520</v>
      </c>
      <c r="G1413" t="str">
        <f t="shared" si="392"/>
        <v>Y</v>
      </c>
      <c r="H1413" t="str">
        <f t="shared" si="391"/>
        <v>EA</v>
      </c>
      <c r="I1413">
        <v>0</v>
      </c>
      <c r="J1413">
        <v>0</v>
      </c>
      <c r="K1413" t="str">
        <f t="shared" si="393"/>
        <v>Y</v>
      </c>
      <c r="L1413">
        <v>0</v>
      </c>
      <c r="M1413" t="str">
        <f t="shared" si="394"/>
        <v>NIS</v>
      </c>
      <c r="O1413">
        <v>4</v>
      </c>
      <c r="P1413" t="str">
        <f t="shared" si="386"/>
        <v>Active</v>
      </c>
      <c r="Q1413" t="str">
        <f>"Pallet Conveyor Straight Section 1400mm"</f>
        <v>Pallet Conveyor Straight Section 1400mm</v>
      </c>
      <c r="S1413" t="str">
        <f>"Pallet Conveyor Straight Section 1400mm"</f>
        <v>Pallet Conveyor Straight Section 1400mm</v>
      </c>
      <c r="T1413">
        <v>0</v>
      </c>
      <c r="U1413">
        <v>467.27</v>
      </c>
      <c r="V1413">
        <v>486.81</v>
      </c>
      <c r="W1413" t="str">
        <f t="shared" si="385"/>
        <v>rob</v>
      </c>
    </row>
    <row r="1414" spans="1:23">
      <c r="A1414" t="str">
        <f>"CNV-9040x700"</f>
        <v>CNV-9040x700</v>
      </c>
      <c r="B1414" t="str">
        <f>"021041"</f>
        <v>021041</v>
      </c>
      <c r="C1414" t="str">
        <f>"Installation KIT"</f>
        <v>Installation KIT</v>
      </c>
      <c r="D1414">
        <v>1</v>
      </c>
      <c r="E1414" t="str">
        <f>"Pallet Conveyor - Max. 8 Stations (9040mm x 700mm)"</f>
        <v>Pallet Conveyor - Max. 8 Stations (9040mm x 700mm)</v>
      </c>
      <c r="F1414">
        <v>520</v>
      </c>
      <c r="G1414" t="str">
        <f t="shared" si="392"/>
        <v>Y</v>
      </c>
      <c r="H1414" t="str">
        <f t="shared" si="391"/>
        <v>EA</v>
      </c>
      <c r="I1414">
        <v>0</v>
      </c>
      <c r="J1414">
        <v>0</v>
      </c>
      <c r="K1414" t="str">
        <f t="shared" si="393"/>
        <v>Y</v>
      </c>
      <c r="L1414">
        <v>0</v>
      </c>
      <c r="M1414" t="str">
        <f t="shared" si="394"/>
        <v>NIS</v>
      </c>
      <c r="O1414">
        <v>5</v>
      </c>
      <c r="P1414" t="str">
        <f t="shared" si="386"/>
        <v>Active</v>
      </c>
      <c r="Q1414" t="str">
        <f>"סט חומרים מתכלים למתקינים Installation KIT"</f>
        <v>סט חומרים מתכלים למתקינים Installation KIT</v>
      </c>
      <c r="S1414" t="str">
        <f>"סט חומרים מתכלים למתקינים Installation KIT"</f>
        <v>סט חומרים מתכלים למתקינים Installation KIT</v>
      </c>
      <c r="T1414">
        <v>0</v>
      </c>
      <c r="U1414">
        <v>140</v>
      </c>
      <c r="V1414">
        <v>137.94999999999999</v>
      </c>
      <c r="W1414" t="str">
        <f t="shared" si="385"/>
        <v>rob</v>
      </c>
    </row>
    <row r="1415" spans="1:23">
      <c r="A1415" t="str">
        <f>"CNV-EXP-1400"</f>
        <v>CNV-EXP-1400</v>
      </c>
      <c r="B1415" t="str">
        <f>"10-2111-0000"</f>
        <v>10-2111-0000</v>
      </c>
      <c r="C1415" t="str">
        <f>"Pallet Conveyor Middle Leg Assembly"</f>
        <v>Pallet Conveyor Middle Leg Assembly</v>
      </c>
      <c r="D1415">
        <v>2</v>
      </c>
      <c r="E1415" t="str">
        <f>"Pallet Conveyor Expansion Set (1400mm)"</f>
        <v>Pallet Conveyor Expansion Set (1400mm)</v>
      </c>
      <c r="F1415">
        <v>520</v>
      </c>
      <c r="G1415" t="str">
        <f t="shared" si="392"/>
        <v>Y</v>
      </c>
      <c r="H1415" t="str">
        <f t="shared" si="391"/>
        <v>EA</v>
      </c>
      <c r="I1415">
        <v>0</v>
      </c>
      <c r="J1415">
        <v>0</v>
      </c>
      <c r="K1415" t="str">
        <f t="shared" si="393"/>
        <v>Y</v>
      </c>
      <c r="L1415">
        <v>0</v>
      </c>
      <c r="M1415" t="str">
        <f t="shared" si="394"/>
        <v>NIS</v>
      </c>
      <c r="O1415">
        <v>1</v>
      </c>
      <c r="P1415" t="str">
        <f t="shared" si="386"/>
        <v>Active</v>
      </c>
      <c r="Q1415" t="str">
        <f>"Pallet Conveyor Middle Leg Assembly"</f>
        <v>Pallet Conveyor Middle Leg Assembly</v>
      </c>
      <c r="S1415" t="str">
        <f>"Pallet Conveyor Middle Leg Assembly"</f>
        <v>Pallet Conveyor Middle Leg Assembly</v>
      </c>
      <c r="T1415">
        <v>0</v>
      </c>
      <c r="U1415">
        <v>370</v>
      </c>
      <c r="V1415">
        <v>339.98</v>
      </c>
      <c r="W1415" t="str">
        <f t="shared" si="385"/>
        <v>rob</v>
      </c>
    </row>
    <row r="1416" spans="1:23">
      <c r="A1416" t="str">
        <f>"CNV-EXP-1400"</f>
        <v>CNV-EXP-1400</v>
      </c>
      <c r="B1416" t="str">
        <f>"10-2110-1000"</f>
        <v>10-2110-1000</v>
      </c>
      <c r="C1416" t="str">
        <f>"Pallet Conveyor Straight Section 1400mm"</f>
        <v>Pallet Conveyor Straight Section 1400mm</v>
      </c>
      <c r="D1416">
        <v>2</v>
      </c>
      <c r="E1416" t="str">
        <f>"Pallet Conveyor Expansion Set (1400mm)"</f>
        <v>Pallet Conveyor Expansion Set (1400mm)</v>
      </c>
      <c r="F1416">
        <v>520</v>
      </c>
      <c r="G1416" t="str">
        <f t="shared" si="392"/>
        <v>Y</v>
      </c>
      <c r="H1416" t="str">
        <f t="shared" si="391"/>
        <v>EA</v>
      </c>
      <c r="I1416">
        <v>0</v>
      </c>
      <c r="J1416">
        <v>0</v>
      </c>
      <c r="K1416" t="str">
        <f t="shared" si="393"/>
        <v>Y</v>
      </c>
      <c r="L1416">
        <v>0</v>
      </c>
      <c r="M1416" t="str">
        <f t="shared" si="394"/>
        <v>NIS</v>
      </c>
      <c r="O1416">
        <v>2</v>
      </c>
      <c r="P1416" t="str">
        <f t="shared" si="386"/>
        <v>Active</v>
      </c>
      <c r="Q1416" t="str">
        <f>"Pallet Conveyor Straight Section 1400mm"</f>
        <v>Pallet Conveyor Straight Section 1400mm</v>
      </c>
      <c r="S1416" t="str">
        <f>"Pallet Conveyor Straight Section 1400mm"</f>
        <v>Pallet Conveyor Straight Section 1400mm</v>
      </c>
      <c r="T1416">
        <v>0</v>
      </c>
      <c r="U1416">
        <v>467.27</v>
      </c>
      <c r="V1416">
        <v>486.81</v>
      </c>
      <c r="W1416" t="str">
        <f t="shared" si="385"/>
        <v>rob</v>
      </c>
    </row>
    <row r="1417" spans="1:23">
      <c r="A1417" t="str">
        <f>"CYT-ACTN-0300"</f>
        <v>CYT-ACTN-0300</v>
      </c>
      <c r="B1417" t="str">
        <f>"00-0300-0001"</f>
        <v>00-0300-0001</v>
      </c>
      <c r="C1417" t="str">
        <f>"CytonE 300 Robot"</f>
        <v>CytonE 300 Robot</v>
      </c>
      <c r="D1417">
        <v>1</v>
      </c>
      <c r="E1417" t="str">
        <f>"CytonE 300 &amp; ACTIN control software, Lab ONLY"</f>
        <v>CytonE 300 &amp; ACTIN control software, Lab ONLY</v>
      </c>
      <c r="F1417">
        <v>0</v>
      </c>
      <c r="G1417" t="str">
        <f t="shared" si="392"/>
        <v>Y</v>
      </c>
      <c r="H1417" t="str">
        <f t="shared" si="391"/>
        <v>EA</v>
      </c>
      <c r="I1417">
        <v>0</v>
      </c>
      <c r="J1417">
        <v>0</v>
      </c>
      <c r="K1417" t="str">
        <f t="shared" si="393"/>
        <v>Y</v>
      </c>
      <c r="L1417">
        <v>0</v>
      </c>
      <c r="M1417" t="str">
        <f t="shared" si="394"/>
        <v>NIS</v>
      </c>
      <c r="O1417">
        <v>1</v>
      </c>
      <c r="P1417" t="str">
        <f t="shared" si="386"/>
        <v>Active</v>
      </c>
      <c r="Q1417" t="str">
        <f>"CytonE 300"</f>
        <v>CytonE 300</v>
      </c>
      <c r="S1417" t="str">
        <f>"CytonE 300 Robot"</f>
        <v>CytonE 300 Robot</v>
      </c>
      <c r="T1417" s="44">
        <v>3603.6</v>
      </c>
      <c r="U1417" s="44">
        <v>3603.6</v>
      </c>
      <c r="V1417" s="44">
        <v>4000</v>
      </c>
      <c r="W1417" t="str">
        <f t="shared" ref="W1417:W1444" si="395">"zintel"</f>
        <v>zintel</v>
      </c>
    </row>
    <row r="1418" spans="1:23">
      <c r="A1418" t="str">
        <f>"CYT-ACTN-0300"</f>
        <v>CYT-ACTN-0300</v>
      </c>
      <c r="B1418" t="str">
        <f>"63-0004-0005"</f>
        <v>63-0004-0005</v>
      </c>
      <c r="C1418" t="str">
        <f>"ACTIN Five (5) Seat License"</f>
        <v>ACTIN Five (5) Seat License</v>
      </c>
      <c r="D1418">
        <v>1</v>
      </c>
      <c r="E1418" t="str">
        <f>"CytonE 300 &amp; ACTIN control software, Lab ONLY"</f>
        <v>CytonE 300 &amp; ACTIN control software, Lab ONLY</v>
      </c>
      <c r="F1418">
        <v>0</v>
      </c>
      <c r="G1418" t="str">
        <f t="shared" si="392"/>
        <v>Y</v>
      </c>
      <c r="H1418" t="str">
        <f t="shared" si="391"/>
        <v>EA</v>
      </c>
      <c r="I1418">
        <v>0</v>
      </c>
      <c r="J1418">
        <v>0</v>
      </c>
      <c r="K1418" t="str">
        <f t="shared" si="393"/>
        <v>Y</v>
      </c>
      <c r="L1418">
        <v>0</v>
      </c>
      <c r="M1418" t="str">
        <f t="shared" si="394"/>
        <v>NIS</v>
      </c>
      <c r="O1418">
        <v>2</v>
      </c>
      <c r="P1418" t="str">
        <f t="shared" ref="P1418:P1452" si="396">"Active"</f>
        <v>Active</v>
      </c>
      <c r="Q1418" t="str">
        <f>"ACTIN Five (5) Seat License"</f>
        <v>ACTIN Five (5) Seat License</v>
      </c>
      <c r="S1418" t="str">
        <f>"ACTIN Five (5) Seat License"</f>
        <v>ACTIN Five (5) Seat License</v>
      </c>
      <c r="T1418">
        <v>780</v>
      </c>
      <c r="U1418">
        <v>780</v>
      </c>
      <c r="V1418">
        <v>811.2</v>
      </c>
      <c r="W1418" t="str">
        <f t="shared" si="395"/>
        <v>zintel</v>
      </c>
    </row>
    <row r="1419" spans="1:23">
      <c r="A1419" t="str">
        <f>"CYT-ACTN-1500"</f>
        <v>CYT-ACTN-1500</v>
      </c>
      <c r="B1419" t="str">
        <f>"00-1500-0001"</f>
        <v>00-1500-0001</v>
      </c>
      <c r="C1419" t="str">
        <f>"CytonE 1500"</f>
        <v>CytonE 1500</v>
      </c>
      <c r="D1419">
        <v>1</v>
      </c>
      <c r="E1419" t="str">
        <f>"CytonE 1500 &amp; ACTIN control software, Lab ONLY"</f>
        <v>CytonE 1500 &amp; ACTIN control software, Lab ONLY</v>
      </c>
      <c r="F1419">
        <v>0</v>
      </c>
      <c r="G1419" t="str">
        <f t="shared" si="392"/>
        <v>Y</v>
      </c>
      <c r="H1419" t="str">
        <f t="shared" si="391"/>
        <v>EA</v>
      </c>
      <c r="I1419">
        <v>0</v>
      </c>
      <c r="J1419">
        <v>0</v>
      </c>
      <c r="K1419" t="str">
        <f t="shared" si="393"/>
        <v>Y</v>
      </c>
      <c r="L1419">
        <v>0</v>
      </c>
      <c r="M1419" t="str">
        <f t="shared" si="394"/>
        <v>NIS</v>
      </c>
      <c r="O1419">
        <v>1</v>
      </c>
      <c r="P1419" t="str">
        <f t="shared" si="396"/>
        <v>Active</v>
      </c>
      <c r="Q1419" t="str">
        <f>"CytonE 1500"</f>
        <v>CytonE 1500</v>
      </c>
      <c r="S1419" t="str">
        <f>"CytonE 1500"</f>
        <v>CytonE 1500</v>
      </c>
      <c r="T1419" s="44">
        <v>8663.2000000000007</v>
      </c>
      <c r="U1419" s="44">
        <v>8663.2000000000007</v>
      </c>
      <c r="V1419" s="44">
        <v>4956.1499999999996</v>
      </c>
      <c r="W1419" t="str">
        <f t="shared" si="395"/>
        <v>zintel</v>
      </c>
    </row>
    <row r="1420" spans="1:23">
      <c r="A1420" t="str">
        <f>"CYT-ACTN-1500"</f>
        <v>CYT-ACTN-1500</v>
      </c>
      <c r="B1420" t="str">
        <f>"63-0005-0010"</f>
        <v>63-0005-0010</v>
      </c>
      <c r="C1420" t="str">
        <f>"ACTIN Ten (10) Seat License"</f>
        <v>ACTIN Ten (10) Seat License</v>
      </c>
      <c r="D1420">
        <v>1</v>
      </c>
      <c r="E1420" t="str">
        <f>"CytonE 1500 &amp; ACTIN control software, Lab ONLY"</f>
        <v>CytonE 1500 &amp; ACTIN control software, Lab ONLY</v>
      </c>
      <c r="F1420">
        <v>0</v>
      </c>
      <c r="G1420" t="str">
        <f t="shared" si="392"/>
        <v>Y</v>
      </c>
      <c r="H1420" t="str">
        <f t="shared" si="391"/>
        <v>EA</v>
      </c>
      <c r="I1420">
        <v>0</v>
      </c>
      <c r="J1420">
        <v>0</v>
      </c>
      <c r="K1420" t="str">
        <f t="shared" si="393"/>
        <v>Y</v>
      </c>
      <c r="L1420">
        <v>0</v>
      </c>
      <c r="M1420" t="str">
        <f t="shared" si="394"/>
        <v>NIS</v>
      </c>
      <c r="O1420">
        <v>2</v>
      </c>
      <c r="P1420" t="str">
        <f t="shared" si="396"/>
        <v>Active</v>
      </c>
      <c r="Q1420" t="str">
        <f>"ACTIN Ten (10) Seat License"</f>
        <v>ACTIN Ten (10) Seat License</v>
      </c>
      <c r="S1420" t="str">
        <f>"ACTIN Ten (10) Seat License"</f>
        <v>ACTIN Ten (10) Seat License</v>
      </c>
      <c r="T1420" s="44">
        <v>1300</v>
      </c>
      <c r="U1420" s="44">
        <v>1250</v>
      </c>
      <c r="V1420" s="44">
        <v>1387.5</v>
      </c>
      <c r="W1420" t="str">
        <f t="shared" si="395"/>
        <v>zintel</v>
      </c>
    </row>
    <row r="1421" spans="1:23">
      <c r="A1421" t="str">
        <f>"CYT-ACTN-1502"</f>
        <v>CYT-ACTN-1502</v>
      </c>
      <c r="B1421" t="str">
        <f>"00-1500-0001"</f>
        <v>00-1500-0001</v>
      </c>
      <c r="C1421" t="str">
        <f>"CytonE 1500"</f>
        <v>CytonE 1500</v>
      </c>
      <c r="D1421">
        <v>2</v>
      </c>
      <c r="E1421" t="str">
        <f>"CytonE 1500 (2 ROBOTS) &amp; Classroom license ACTIN control software, Lab ONLY"</f>
        <v>CytonE 1500 (2 ROBOTS) &amp; Classroom license ACTIN control software, Lab ONLY</v>
      </c>
      <c r="F1421">
        <v>0</v>
      </c>
      <c r="G1421" t="str">
        <f t="shared" si="392"/>
        <v>Y</v>
      </c>
      <c r="H1421" t="str">
        <f t="shared" si="391"/>
        <v>EA</v>
      </c>
      <c r="I1421">
        <v>0</v>
      </c>
      <c r="J1421">
        <v>0</v>
      </c>
      <c r="K1421" t="str">
        <f t="shared" si="393"/>
        <v>Y</v>
      </c>
      <c r="L1421">
        <v>0</v>
      </c>
      <c r="M1421" t="str">
        <f t="shared" si="394"/>
        <v>NIS</v>
      </c>
      <c r="O1421">
        <v>1</v>
      </c>
      <c r="P1421" t="str">
        <f t="shared" si="396"/>
        <v>Active</v>
      </c>
      <c r="Q1421" t="str">
        <f>"CytonE 1500"</f>
        <v>CytonE 1500</v>
      </c>
      <c r="S1421" t="str">
        <f>"CytonE 1500"</f>
        <v>CytonE 1500</v>
      </c>
      <c r="T1421" s="44">
        <v>8663.2000000000007</v>
      </c>
      <c r="U1421" s="44">
        <v>8663.2000000000007</v>
      </c>
      <c r="V1421" s="44">
        <v>4956.1499999999996</v>
      </c>
      <c r="W1421" t="str">
        <f t="shared" si="395"/>
        <v>zintel</v>
      </c>
    </row>
    <row r="1422" spans="1:23">
      <c r="A1422" t="str">
        <f>"CYT-ACTN-1502"</f>
        <v>CYT-ACTN-1502</v>
      </c>
      <c r="B1422" t="str">
        <f>"63-0006-0030"</f>
        <v>63-0006-0030</v>
      </c>
      <c r="C1422" t="str">
        <f>"ACTIN Classroom License (up to 30)"</f>
        <v>ACTIN Classroom License (up to 30)</v>
      </c>
      <c r="D1422">
        <v>1</v>
      </c>
      <c r="E1422" t="str">
        <f>"CytonE 1500 (2 ROBOTS) &amp; Classroom license ACTIN control software, Lab ONLY"</f>
        <v>CytonE 1500 (2 ROBOTS) &amp; Classroom license ACTIN control software, Lab ONLY</v>
      </c>
      <c r="F1422">
        <v>0</v>
      </c>
      <c r="G1422" t="str">
        <f t="shared" si="392"/>
        <v>Y</v>
      </c>
      <c r="H1422" t="str">
        <f t="shared" si="391"/>
        <v>EA</v>
      </c>
      <c r="I1422">
        <v>0</v>
      </c>
      <c r="J1422">
        <v>0</v>
      </c>
      <c r="K1422" t="str">
        <f t="shared" si="393"/>
        <v>Y</v>
      </c>
      <c r="L1422">
        <v>0</v>
      </c>
      <c r="M1422" t="str">
        <f t="shared" si="394"/>
        <v>NIS</v>
      </c>
      <c r="O1422">
        <v>2</v>
      </c>
      <c r="P1422" t="str">
        <f t="shared" si="396"/>
        <v>Active</v>
      </c>
      <c r="Q1422" t="str">
        <f>"ACTIN Classroom License (up to 30)"</f>
        <v>ACTIN Classroom License (up to 30)</v>
      </c>
      <c r="S1422" t="str">
        <f>"ACTIN Classroom License (up to 30)"</f>
        <v>ACTIN Classroom License (up to 30)</v>
      </c>
      <c r="T1422" s="44">
        <v>2600</v>
      </c>
      <c r="U1422" s="44">
        <v>2500</v>
      </c>
      <c r="V1422" s="44">
        <v>2775</v>
      </c>
      <c r="W1422" t="str">
        <f t="shared" si="395"/>
        <v>zintel</v>
      </c>
    </row>
    <row r="1423" spans="1:23">
      <c r="A1423" t="str">
        <f>"CYT-ACTN-3002"</f>
        <v>CYT-ACTN-3002</v>
      </c>
      <c r="B1423" t="str">
        <f>"00-0300-0001"</f>
        <v>00-0300-0001</v>
      </c>
      <c r="C1423" t="str">
        <f>"CytonE 300 Robot"</f>
        <v>CytonE 300 Robot</v>
      </c>
      <c r="D1423">
        <v>2</v>
      </c>
      <c r="E1423" t="str">
        <f>"CytonE 300 (2 ROBOTS) &amp; ACTIN control software, Lab ONLY"</f>
        <v>CytonE 300 (2 ROBOTS) &amp; ACTIN control software, Lab ONLY</v>
      </c>
      <c r="F1423">
        <v>0</v>
      </c>
      <c r="G1423" t="str">
        <f t="shared" si="392"/>
        <v>Y</v>
      </c>
      <c r="H1423" t="str">
        <f t="shared" si="391"/>
        <v>EA</v>
      </c>
      <c r="I1423">
        <v>0</v>
      </c>
      <c r="J1423">
        <v>0</v>
      </c>
      <c r="K1423" t="str">
        <f t="shared" si="393"/>
        <v>Y</v>
      </c>
      <c r="L1423">
        <v>0</v>
      </c>
      <c r="M1423" t="str">
        <f t="shared" si="394"/>
        <v>NIS</v>
      </c>
      <c r="O1423">
        <v>1</v>
      </c>
      <c r="P1423" t="str">
        <f t="shared" si="396"/>
        <v>Active</v>
      </c>
      <c r="Q1423" t="str">
        <f>"CytonE 300"</f>
        <v>CytonE 300</v>
      </c>
      <c r="S1423" t="str">
        <f>"CytonE 300 Robot"</f>
        <v>CytonE 300 Robot</v>
      </c>
      <c r="T1423" s="44">
        <v>3603.6</v>
      </c>
      <c r="U1423" s="44">
        <v>3603.6</v>
      </c>
      <c r="V1423" s="44">
        <v>4000</v>
      </c>
      <c r="W1423" t="str">
        <f t="shared" si="395"/>
        <v>zintel</v>
      </c>
    </row>
    <row r="1424" spans="1:23">
      <c r="A1424" t="str">
        <f>"CYT-ACTN-3002"</f>
        <v>CYT-ACTN-3002</v>
      </c>
      <c r="B1424" t="str">
        <f>"63-0005-0010"</f>
        <v>63-0005-0010</v>
      </c>
      <c r="C1424" t="str">
        <f>"ACTIN Ten (10) Seat License"</f>
        <v>ACTIN Ten (10) Seat License</v>
      </c>
      <c r="D1424">
        <v>1</v>
      </c>
      <c r="E1424" t="str">
        <f>"CytonE 300 (2 ROBOTS) &amp; ACTIN control software, Lab ONLY"</f>
        <v>CytonE 300 (2 ROBOTS) &amp; ACTIN control software, Lab ONLY</v>
      </c>
      <c r="F1424">
        <v>0</v>
      </c>
      <c r="G1424" t="str">
        <f t="shared" si="392"/>
        <v>Y</v>
      </c>
      <c r="H1424" t="str">
        <f t="shared" si="391"/>
        <v>EA</v>
      </c>
      <c r="I1424">
        <v>0</v>
      </c>
      <c r="J1424">
        <v>0</v>
      </c>
      <c r="K1424" t="str">
        <f t="shared" si="393"/>
        <v>Y</v>
      </c>
      <c r="L1424">
        <v>0</v>
      </c>
      <c r="M1424" t="str">
        <f t="shared" si="394"/>
        <v>NIS</v>
      </c>
      <c r="O1424">
        <v>2</v>
      </c>
      <c r="P1424" t="str">
        <f t="shared" si="396"/>
        <v>Active</v>
      </c>
      <c r="Q1424" t="str">
        <f>"ACTIN Ten (10) Seat License"</f>
        <v>ACTIN Ten (10) Seat License</v>
      </c>
      <c r="S1424" t="str">
        <f>"ACTIN Ten (10) Seat License"</f>
        <v>ACTIN Ten (10) Seat License</v>
      </c>
      <c r="T1424" s="44">
        <v>1300</v>
      </c>
      <c r="U1424" s="44">
        <v>1250</v>
      </c>
      <c r="V1424" s="44">
        <v>1387.5</v>
      </c>
      <c r="W1424" t="str">
        <f t="shared" si="395"/>
        <v>zintel</v>
      </c>
    </row>
    <row r="1425" spans="1:23">
      <c r="A1425" t="str">
        <f t="shared" ref="A1425:A1444" si="397">"FANUC-SIMUL S/W"</f>
        <v>FANUC-SIMUL S/W</v>
      </c>
      <c r="B1425" t="str">
        <f>"63-6001-2000"</f>
        <v>63-6001-2000</v>
      </c>
      <c r="C1425" t="str">
        <f>"Fanuc Simulation Sftwr for BenchMill 6000"</f>
        <v>Fanuc Simulation Sftwr for BenchMill 6000</v>
      </c>
      <c r="D1425">
        <v>1</v>
      </c>
      <c r="E1425" t="str">
        <f t="shared" ref="E1425:E1444" si="398">"CNCMotion with Fanuc™ Controller 3D Simulation Software"</f>
        <v>CNCMotion with Fanuc™ Controller 3D Simulation Software</v>
      </c>
      <c r="F1425">
        <v>810</v>
      </c>
      <c r="G1425" t="str">
        <f t="shared" si="392"/>
        <v>Y</v>
      </c>
      <c r="H1425" t="str">
        <f t="shared" si="391"/>
        <v>EA</v>
      </c>
      <c r="I1425">
        <v>0</v>
      </c>
      <c r="J1425">
        <v>0</v>
      </c>
      <c r="K1425" t="str">
        <f t="shared" si="393"/>
        <v>Y</v>
      </c>
      <c r="L1425">
        <v>0</v>
      </c>
      <c r="M1425" t="str">
        <f t="shared" si="394"/>
        <v>NIS</v>
      </c>
      <c r="O1425">
        <v>13</v>
      </c>
      <c r="P1425" t="str">
        <f t="shared" si="396"/>
        <v>Active</v>
      </c>
      <c r="Q1425" t="str">
        <f>"Fanuc Simulation Sftwr, BenchMill 6000"</f>
        <v>Fanuc Simulation Sftwr, BenchMill 6000</v>
      </c>
      <c r="S1425" t="str">
        <f>"Fanuc Simulation Sftwr, BenchMill 6000"</f>
        <v>Fanuc Simulation Sftwr, BenchMill 6000</v>
      </c>
      <c r="T1425">
        <v>0</v>
      </c>
      <c r="U1425">
        <v>10</v>
      </c>
      <c r="V1425">
        <v>0</v>
      </c>
      <c r="W1425" t="str">
        <f t="shared" si="395"/>
        <v>zintel</v>
      </c>
    </row>
    <row r="1426" spans="1:23">
      <c r="A1426" t="str">
        <f t="shared" si="397"/>
        <v>FANUC-SIMUL S/W</v>
      </c>
      <c r="B1426" t="str">
        <f>"63-6001-2001"</f>
        <v>63-6001-2001</v>
      </c>
      <c r="C1426" t="str">
        <f>"Fanuc Simulation S/W, BenchMill 6000, add-on Lic"</f>
        <v>Fanuc Simulation S/W, BenchMill 6000, add-on Lic</v>
      </c>
      <c r="D1426">
        <v>1</v>
      </c>
      <c r="E1426" t="str">
        <f t="shared" si="398"/>
        <v>CNCMotion with Fanuc™ Controller 3D Simulation Software</v>
      </c>
      <c r="F1426">
        <v>810</v>
      </c>
      <c r="G1426" t="str">
        <f t="shared" si="392"/>
        <v>Y</v>
      </c>
      <c r="H1426" t="str">
        <f t="shared" si="391"/>
        <v>EA</v>
      </c>
      <c r="I1426">
        <v>0</v>
      </c>
      <c r="J1426">
        <v>0</v>
      </c>
      <c r="K1426" t="str">
        <f t="shared" si="393"/>
        <v>Y</v>
      </c>
      <c r="L1426">
        <v>0</v>
      </c>
      <c r="M1426" t="str">
        <f t="shared" si="394"/>
        <v>NIS</v>
      </c>
      <c r="O1426">
        <v>14</v>
      </c>
      <c r="P1426" t="str">
        <f t="shared" si="396"/>
        <v>Active</v>
      </c>
      <c r="Q1426" t="str">
        <f>"Fanuc Simulation Sftwr, BenchMill 6000, add lic."</f>
        <v>Fanuc Simulation Sftwr, BenchMill 6000, add lic.</v>
      </c>
      <c r="S1426" t="str">
        <f>"Fanuc Simulation Sftwr, BenchMill 6000, add lic."</f>
        <v>Fanuc Simulation Sftwr, BenchMill 6000, add lic.</v>
      </c>
      <c r="T1426">
        <v>0</v>
      </c>
      <c r="U1426">
        <v>25</v>
      </c>
      <c r="V1426">
        <v>26</v>
      </c>
      <c r="W1426" t="str">
        <f t="shared" si="395"/>
        <v>zintel</v>
      </c>
    </row>
    <row r="1427" spans="1:23">
      <c r="A1427" t="str">
        <f t="shared" si="397"/>
        <v>FANUC-SIMUL S/W</v>
      </c>
      <c r="B1427" t="str">
        <f>"63-7001-2000"</f>
        <v>63-7001-2000</v>
      </c>
      <c r="C1427" t="str">
        <f>"Fanuc Simulation Sftwr, BenchTurn 7000"</f>
        <v>Fanuc Simulation Sftwr, BenchTurn 7000</v>
      </c>
      <c r="D1427">
        <v>1</v>
      </c>
      <c r="E1427" t="str">
        <f t="shared" si="398"/>
        <v>CNCMotion with Fanuc™ Controller 3D Simulation Software</v>
      </c>
      <c r="F1427">
        <v>810</v>
      </c>
      <c r="G1427" t="str">
        <f t="shared" si="392"/>
        <v>Y</v>
      </c>
      <c r="H1427" t="str">
        <f t="shared" si="391"/>
        <v>EA</v>
      </c>
      <c r="I1427">
        <v>0</v>
      </c>
      <c r="J1427">
        <v>0</v>
      </c>
      <c r="K1427" t="str">
        <f t="shared" si="393"/>
        <v>Y</v>
      </c>
      <c r="L1427">
        <v>0</v>
      </c>
      <c r="M1427" t="str">
        <f t="shared" si="394"/>
        <v>NIS</v>
      </c>
      <c r="O1427">
        <v>15</v>
      </c>
      <c r="P1427" t="str">
        <f t="shared" si="396"/>
        <v>Active</v>
      </c>
      <c r="Q1427" t="str">
        <f>"Fanuc Simulation Sftwr, BenchTurn 7000"</f>
        <v>Fanuc Simulation Sftwr, BenchTurn 7000</v>
      </c>
      <c r="S1427" t="str">
        <f>"Fanuc Simulation Sftwr, BenchTurn 7000"</f>
        <v>Fanuc Simulation Sftwr, BenchTurn 7000</v>
      </c>
      <c r="T1427">
        <v>0</v>
      </c>
      <c r="U1427">
        <v>25</v>
      </c>
      <c r="V1427">
        <v>0</v>
      </c>
      <c r="W1427" t="str">
        <f t="shared" si="395"/>
        <v>zintel</v>
      </c>
    </row>
    <row r="1428" spans="1:23">
      <c r="A1428" t="str">
        <f t="shared" si="397"/>
        <v>FANUC-SIMUL S/W</v>
      </c>
      <c r="B1428" t="str">
        <f>"63-7001-2001"</f>
        <v>63-7001-2001</v>
      </c>
      <c r="C1428" t="str">
        <f>"Fanuc Simulation S/W, BenchTurn 7000, add-on Lic"</f>
        <v>Fanuc Simulation S/W, BenchTurn 7000, add-on Lic</v>
      </c>
      <c r="D1428">
        <v>1</v>
      </c>
      <c r="E1428" t="str">
        <f t="shared" si="398"/>
        <v>CNCMotion with Fanuc™ Controller 3D Simulation Software</v>
      </c>
      <c r="F1428">
        <v>810</v>
      </c>
      <c r="G1428" t="str">
        <f t="shared" si="392"/>
        <v>Y</v>
      </c>
      <c r="H1428" t="str">
        <f t="shared" si="391"/>
        <v>EA</v>
      </c>
      <c r="I1428">
        <v>0</v>
      </c>
      <c r="J1428">
        <v>0</v>
      </c>
      <c r="K1428" t="str">
        <f t="shared" si="393"/>
        <v>Y</v>
      </c>
      <c r="L1428">
        <v>0</v>
      </c>
      <c r="M1428" t="str">
        <f t="shared" si="394"/>
        <v>NIS</v>
      </c>
      <c r="O1428">
        <v>16</v>
      </c>
      <c r="P1428" t="str">
        <f t="shared" si="396"/>
        <v>Active</v>
      </c>
      <c r="Q1428" t="str">
        <f>"Fanuc Simulation Sftwr, BenchTurn 7000, add lic."</f>
        <v>Fanuc Simulation Sftwr, BenchTurn 7000, add lic.</v>
      </c>
      <c r="S1428" t="str">
        <f>"Fanuc Simulation Sftwr, BenchTurn 7000, add lic."</f>
        <v>Fanuc Simulation Sftwr, BenchTurn 7000, add lic.</v>
      </c>
      <c r="T1428">
        <v>0</v>
      </c>
      <c r="U1428">
        <v>25</v>
      </c>
      <c r="V1428">
        <v>26</v>
      </c>
      <c r="W1428" t="str">
        <f t="shared" si="395"/>
        <v>zintel</v>
      </c>
    </row>
    <row r="1429" spans="1:23">
      <c r="A1429" t="str">
        <f t="shared" si="397"/>
        <v>FANUC-SIMUL S/W</v>
      </c>
      <c r="B1429" t="str">
        <f>"63-8001-2000"</f>
        <v>63-8001-2000</v>
      </c>
      <c r="C1429" t="str">
        <f>"Fanuc Simulation Sftwr, ProMill 8000"</f>
        <v>Fanuc Simulation Sftwr, ProMill 8000</v>
      </c>
      <c r="D1429">
        <v>1</v>
      </c>
      <c r="E1429" t="str">
        <f t="shared" si="398"/>
        <v>CNCMotion with Fanuc™ Controller 3D Simulation Software</v>
      </c>
      <c r="F1429">
        <v>810</v>
      </c>
      <c r="G1429" t="str">
        <f t="shared" si="392"/>
        <v>Y</v>
      </c>
      <c r="H1429" t="str">
        <f t="shared" si="391"/>
        <v>EA</v>
      </c>
      <c r="I1429">
        <v>0</v>
      </c>
      <c r="J1429">
        <v>0</v>
      </c>
      <c r="K1429" t="str">
        <f t="shared" si="393"/>
        <v>Y</v>
      </c>
      <c r="L1429">
        <v>0</v>
      </c>
      <c r="M1429" t="str">
        <f t="shared" si="394"/>
        <v>NIS</v>
      </c>
      <c r="O1429">
        <v>17</v>
      </c>
      <c r="P1429" t="str">
        <f t="shared" si="396"/>
        <v>Active</v>
      </c>
      <c r="Q1429" t="str">
        <f>"Fanuc Simulation Sftwr, ProMill 8000"</f>
        <v>Fanuc Simulation Sftwr, ProMill 8000</v>
      </c>
      <c r="S1429" t="str">
        <f>"Fanuc Simulation Sftwr, ProMill 8000"</f>
        <v>Fanuc Simulation Sftwr, ProMill 8000</v>
      </c>
      <c r="T1429">
        <v>0</v>
      </c>
      <c r="U1429">
        <v>25</v>
      </c>
      <c r="V1429">
        <v>0.69</v>
      </c>
      <c r="W1429" t="str">
        <f t="shared" si="395"/>
        <v>zintel</v>
      </c>
    </row>
    <row r="1430" spans="1:23">
      <c r="A1430" t="str">
        <f t="shared" si="397"/>
        <v>FANUC-SIMUL S/W</v>
      </c>
      <c r="B1430" t="str">
        <f>"63-8001-2001"</f>
        <v>63-8001-2001</v>
      </c>
      <c r="C1430" t="str">
        <f>"Fanuc Simulation S/W,ProMill 8000,add-on License"</f>
        <v>Fanuc Simulation S/W,ProMill 8000,add-on License</v>
      </c>
      <c r="D1430">
        <v>1</v>
      </c>
      <c r="E1430" t="str">
        <f t="shared" si="398"/>
        <v>CNCMotion with Fanuc™ Controller 3D Simulation Software</v>
      </c>
      <c r="F1430">
        <v>810</v>
      </c>
      <c r="G1430" t="str">
        <f t="shared" si="392"/>
        <v>Y</v>
      </c>
      <c r="H1430" t="str">
        <f t="shared" si="391"/>
        <v>EA</v>
      </c>
      <c r="I1430">
        <v>0</v>
      </c>
      <c r="J1430">
        <v>0</v>
      </c>
      <c r="K1430" t="str">
        <f t="shared" si="393"/>
        <v>Y</v>
      </c>
      <c r="L1430">
        <v>0</v>
      </c>
      <c r="M1430" t="str">
        <f t="shared" si="394"/>
        <v>NIS</v>
      </c>
      <c r="O1430">
        <v>18</v>
      </c>
      <c r="P1430" t="str">
        <f t="shared" si="396"/>
        <v>Active</v>
      </c>
      <c r="Q1430" t="str">
        <f>"Fanuc Simulation Sftwr, ProMill 8000, add lic."</f>
        <v>Fanuc Simulation Sftwr, ProMill 8000, add lic.</v>
      </c>
      <c r="S1430" t="str">
        <f>"Fanuc Simulation Sftwr, ProMill 8000, add lic."</f>
        <v>Fanuc Simulation Sftwr, ProMill 8000, add lic.</v>
      </c>
      <c r="T1430">
        <v>0</v>
      </c>
      <c r="U1430">
        <v>25</v>
      </c>
      <c r="V1430">
        <v>0</v>
      </c>
      <c r="W1430" t="str">
        <f t="shared" si="395"/>
        <v>zintel</v>
      </c>
    </row>
    <row r="1431" spans="1:23">
      <c r="A1431" t="str">
        <f t="shared" si="397"/>
        <v>FANUC-SIMUL S/W</v>
      </c>
      <c r="B1431" t="str">
        <f>"63-9001-2000"</f>
        <v>63-9001-2000</v>
      </c>
      <c r="C1431" t="str">
        <f>"Fanuc Simulation Sftwr, ProTurn 9000"</f>
        <v>Fanuc Simulation Sftwr, ProTurn 9000</v>
      </c>
      <c r="D1431">
        <v>1</v>
      </c>
      <c r="E1431" t="str">
        <f t="shared" si="398"/>
        <v>CNCMotion with Fanuc™ Controller 3D Simulation Software</v>
      </c>
      <c r="F1431">
        <v>810</v>
      </c>
      <c r="G1431" t="str">
        <f t="shared" si="392"/>
        <v>Y</v>
      </c>
      <c r="H1431" t="str">
        <f t="shared" si="391"/>
        <v>EA</v>
      </c>
      <c r="I1431">
        <v>0</v>
      </c>
      <c r="J1431">
        <v>0</v>
      </c>
      <c r="K1431" t="str">
        <f t="shared" si="393"/>
        <v>Y</v>
      </c>
      <c r="L1431">
        <v>0</v>
      </c>
      <c r="M1431" t="str">
        <f t="shared" si="394"/>
        <v>NIS</v>
      </c>
      <c r="O1431">
        <v>19</v>
      </c>
      <c r="P1431" t="str">
        <f t="shared" si="396"/>
        <v>Active</v>
      </c>
      <c r="Q1431" t="str">
        <f>"Fanuc Simulation Sftwr, ProTurn 9000"</f>
        <v>Fanuc Simulation Sftwr, ProTurn 9000</v>
      </c>
      <c r="S1431" t="str">
        <f>"Fanuc Simulation Sftwr, ProTurn 9000"</f>
        <v>Fanuc Simulation Sftwr, ProTurn 9000</v>
      </c>
      <c r="T1431">
        <v>0</v>
      </c>
      <c r="U1431">
        <v>25</v>
      </c>
      <c r="V1431">
        <v>0.69</v>
      </c>
      <c r="W1431" t="str">
        <f t="shared" si="395"/>
        <v>zintel</v>
      </c>
    </row>
    <row r="1432" spans="1:23">
      <c r="A1432" t="str">
        <f t="shared" si="397"/>
        <v>FANUC-SIMUL S/W</v>
      </c>
      <c r="B1432" t="str">
        <f>"63-9001-2001"</f>
        <v>63-9001-2001</v>
      </c>
      <c r="C1432" t="str">
        <f>"Fanuc Simulation S/W,ProTurn 9000,add-on License"</f>
        <v>Fanuc Simulation S/W,ProTurn 9000,add-on License</v>
      </c>
      <c r="D1432">
        <v>1</v>
      </c>
      <c r="E1432" t="str">
        <f t="shared" si="398"/>
        <v>CNCMotion with Fanuc™ Controller 3D Simulation Software</v>
      </c>
      <c r="F1432">
        <v>810</v>
      </c>
      <c r="G1432" t="str">
        <f t="shared" si="392"/>
        <v>Y</v>
      </c>
      <c r="H1432" t="str">
        <f t="shared" si="391"/>
        <v>EA</v>
      </c>
      <c r="I1432">
        <v>0</v>
      </c>
      <c r="J1432">
        <v>0</v>
      </c>
      <c r="K1432" t="str">
        <f t="shared" si="393"/>
        <v>Y</v>
      </c>
      <c r="L1432">
        <v>0</v>
      </c>
      <c r="M1432" t="str">
        <f t="shared" si="394"/>
        <v>NIS</v>
      </c>
      <c r="O1432">
        <v>20</v>
      </c>
      <c r="P1432" t="str">
        <f t="shared" si="396"/>
        <v>Active</v>
      </c>
      <c r="Q1432" t="str">
        <f>"Fanuc Simulation Sftwr, ProTurn 9000, add lic."</f>
        <v>Fanuc Simulation Sftwr, ProTurn 9000, add lic.</v>
      </c>
      <c r="S1432" t="str">
        <f>"Fanuc Simulation Sftwr, ProTurn 9000, add lic."</f>
        <v>Fanuc Simulation Sftwr, ProTurn 9000, add lic.</v>
      </c>
      <c r="T1432">
        <v>0</v>
      </c>
      <c r="U1432">
        <v>25</v>
      </c>
      <c r="V1432">
        <v>0</v>
      </c>
      <c r="W1432" t="str">
        <f t="shared" si="395"/>
        <v>zintel</v>
      </c>
    </row>
    <row r="1433" spans="1:23">
      <c r="A1433" t="str">
        <f t="shared" si="397"/>
        <v>FANUC-SIMUL S/W</v>
      </c>
      <c r="B1433" t="str">
        <f>"63-1001-2001"</f>
        <v>63-1001-2001</v>
      </c>
      <c r="C1433" t="str">
        <f>"Fanuc Simulation Sftwr, PLM1000, add lic."</f>
        <v>Fanuc Simulation Sftwr, PLM1000, add lic.</v>
      </c>
      <c r="D1433">
        <v>1</v>
      </c>
      <c r="E1433" t="str">
        <f t="shared" si="398"/>
        <v>CNCMotion with Fanuc™ Controller 3D Simulation Software</v>
      </c>
      <c r="F1433">
        <v>810</v>
      </c>
      <c r="G1433" t="str">
        <f t="shared" si="392"/>
        <v>Y</v>
      </c>
      <c r="H1433" t="str">
        <f t="shared" si="391"/>
        <v>EA</v>
      </c>
      <c r="I1433">
        <v>0</v>
      </c>
      <c r="J1433">
        <v>0</v>
      </c>
      <c r="K1433" t="str">
        <f t="shared" si="393"/>
        <v>Y</v>
      </c>
      <c r="L1433">
        <v>0</v>
      </c>
      <c r="M1433" t="str">
        <f t="shared" si="394"/>
        <v>NIS</v>
      </c>
      <c r="O1433">
        <v>2</v>
      </c>
      <c r="P1433" t="str">
        <f t="shared" si="396"/>
        <v>Active</v>
      </c>
      <c r="Q1433" t="str">
        <f>"PLM 1000, Fanuc Simulator, additional seat"</f>
        <v>PLM 1000, Fanuc Simulator, additional seat</v>
      </c>
      <c r="R1433" t="str">
        <f t="shared" ref="R1433:R1444" si="399">"1"</f>
        <v>1</v>
      </c>
      <c r="S1433" t="str">
        <f>"Fanuc Simulation Sftwr, PLM1000, add lic."</f>
        <v>Fanuc Simulation Sftwr, PLM1000, add lic.</v>
      </c>
      <c r="T1433">
        <v>0</v>
      </c>
      <c r="U1433">
        <v>9.5</v>
      </c>
      <c r="V1433">
        <v>9.7899999999999991</v>
      </c>
      <c r="W1433" t="str">
        <f t="shared" si="395"/>
        <v>zintel</v>
      </c>
    </row>
    <row r="1434" spans="1:23">
      <c r="A1434" t="str">
        <f t="shared" si="397"/>
        <v>FANUC-SIMUL S/W</v>
      </c>
      <c r="B1434" t="str">
        <f>"63-1002-2000"</f>
        <v>63-1002-2000</v>
      </c>
      <c r="C1434" t="str">
        <f>"Fanuc Simulation Sftwr, SPLM1000"</f>
        <v>Fanuc Simulation Sftwr, SPLM1000</v>
      </c>
      <c r="D1434">
        <v>1</v>
      </c>
      <c r="E1434" t="str">
        <f t="shared" si="398"/>
        <v>CNCMotion with Fanuc™ Controller 3D Simulation Software</v>
      </c>
      <c r="F1434">
        <v>810</v>
      </c>
      <c r="G1434" t="str">
        <f t="shared" si="392"/>
        <v>Y</v>
      </c>
      <c r="H1434" t="str">
        <f t="shared" si="391"/>
        <v>EA</v>
      </c>
      <c r="I1434">
        <v>0</v>
      </c>
      <c r="J1434">
        <v>0</v>
      </c>
      <c r="K1434" t="str">
        <f t="shared" si="393"/>
        <v>Y</v>
      </c>
      <c r="L1434">
        <v>0</v>
      </c>
      <c r="M1434" t="str">
        <f t="shared" si="394"/>
        <v>NIS</v>
      </c>
      <c r="O1434">
        <v>3</v>
      </c>
      <c r="P1434" t="str">
        <f t="shared" si="396"/>
        <v>Active</v>
      </c>
      <c r="Q1434" t="str">
        <f>"SPLM 1000, Fanuc Simulator, first copy"</f>
        <v>SPLM 1000, Fanuc Simulator, first copy</v>
      </c>
      <c r="R1434" t="str">
        <f t="shared" si="399"/>
        <v>1</v>
      </c>
      <c r="S1434" t="str">
        <f>"Fanuc Simulation Sftwr, SPLM1000"</f>
        <v>Fanuc Simulation Sftwr, SPLM1000</v>
      </c>
      <c r="T1434">
        <v>9.5</v>
      </c>
      <c r="U1434">
        <v>9.5</v>
      </c>
      <c r="V1434">
        <v>9.7899999999999991</v>
      </c>
      <c r="W1434" t="str">
        <f t="shared" si="395"/>
        <v>zintel</v>
      </c>
    </row>
    <row r="1435" spans="1:23">
      <c r="A1435" t="str">
        <f t="shared" si="397"/>
        <v>FANUC-SIMUL S/W</v>
      </c>
      <c r="B1435" t="str">
        <f>"63-1002-2001"</f>
        <v>63-1002-2001</v>
      </c>
      <c r="C1435" t="str">
        <f>"Fanuc Simulation Sftwr, SPLM1000, add lic."</f>
        <v>Fanuc Simulation Sftwr, SPLM1000, add lic.</v>
      </c>
      <c r="D1435">
        <v>1</v>
      </c>
      <c r="E1435" t="str">
        <f t="shared" si="398"/>
        <v>CNCMotion with Fanuc™ Controller 3D Simulation Software</v>
      </c>
      <c r="F1435">
        <v>810</v>
      </c>
      <c r="G1435" t="str">
        <f t="shared" si="392"/>
        <v>Y</v>
      </c>
      <c r="H1435" t="str">
        <f t="shared" si="391"/>
        <v>EA</v>
      </c>
      <c r="I1435">
        <v>0</v>
      </c>
      <c r="J1435">
        <v>0</v>
      </c>
      <c r="K1435" t="str">
        <f t="shared" si="393"/>
        <v>Y</v>
      </c>
      <c r="L1435">
        <v>0</v>
      </c>
      <c r="M1435" t="str">
        <f t="shared" si="394"/>
        <v>NIS</v>
      </c>
      <c r="O1435">
        <v>4</v>
      </c>
      <c r="P1435" t="str">
        <f t="shared" si="396"/>
        <v>Active</v>
      </c>
      <c r="Q1435" t="str">
        <f>"SPLM 1000, Fanuc Simulator, additional seat"</f>
        <v>SPLM 1000, Fanuc Simulator, additional seat</v>
      </c>
      <c r="R1435" t="str">
        <f t="shared" si="399"/>
        <v>1</v>
      </c>
      <c r="S1435" t="str">
        <f>"Fanuc Simulation Sftwr, SPLM1000, add lic."</f>
        <v>Fanuc Simulation Sftwr, SPLM1000, add lic.</v>
      </c>
      <c r="T1435">
        <v>9.5</v>
      </c>
      <c r="U1435">
        <v>9.5</v>
      </c>
      <c r="V1435">
        <v>33.92</v>
      </c>
      <c r="W1435" t="str">
        <f t="shared" si="395"/>
        <v>zintel</v>
      </c>
    </row>
    <row r="1436" spans="1:23">
      <c r="A1436" t="str">
        <f t="shared" si="397"/>
        <v>FANUC-SIMUL S/W</v>
      </c>
      <c r="B1436" t="str">
        <f>"63-3001-2000"</f>
        <v>63-3001-2000</v>
      </c>
      <c r="C1436" t="str">
        <f>"Fanuc Simulation Sftwr, PLT3000"</f>
        <v>Fanuc Simulation Sftwr, PLT3000</v>
      </c>
      <c r="D1436">
        <v>1</v>
      </c>
      <c r="E1436" t="str">
        <f t="shared" si="398"/>
        <v>CNCMotion with Fanuc™ Controller 3D Simulation Software</v>
      </c>
      <c r="F1436">
        <v>810</v>
      </c>
      <c r="G1436" t="str">
        <f t="shared" si="392"/>
        <v>Y</v>
      </c>
      <c r="H1436" t="str">
        <f t="shared" si="391"/>
        <v>EA</v>
      </c>
      <c r="I1436">
        <v>0</v>
      </c>
      <c r="J1436">
        <v>0</v>
      </c>
      <c r="K1436" t="str">
        <f t="shared" si="393"/>
        <v>Y</v>
      </c>
      <c r="L1436">
        <v>0</v>
      </c>
      <c r="M1436" t="str">
        <f t="shared" si="394"/>
        <v>NIS</v>
      </c>
      <c r="O1436">
        <v>5</v>
      </c>
      <c r="P1436" t="str">
        <f t="shared" si="396"/>
        <v>Active</v>
      </c>
      <c r="Q1436" t="str">
        <f>"PLT 3000, Fanuc Simulator, first copy"</f>
        <v>PLT 3000, Fanuc Simulator, first copy</v>
      </c>
      <c r="R1436" t="str">
        <f t="shared" si="399"/>
        <v>1</v>
      </c>
      <c r="S1436" t="str">
        <f>"Fanuc Simulation Sftwr, PLT3000"</f>
        <v>Fanuc Simulation Sftwr, PLT3000</v>
      </c>
      <c r="T1436">
        <v>0</v>
      </c>
      <c r="U1436">
        <v>9.5</v>
      </c>
      <c r="V1436">
        <v>9.7899999999999991</v>
      </c>
      <c r="W1436" t="str">
        <f t="shared" si="395"/>
        <v>zintel</v>
      </c>
    </row>
    <row r="1437" spans="1:23">
      <c r="A1437" t="str">
        <f t="shared" si="397"/>
        <v>FANUC-SIMUL S/W</v>
      </c>
      <c r="B1437" t="str">
        <f>"63-3001-2001"</f>
        <v>63-3001-2001</v>
      </c>
      <c r="C1437" t="str">
        <f>"Fanuc Simulation Sftwr, PLT3000, add lic."</f>
        <v>Fanuc Simulation Sftwr, PLT3000, add lic.</v>
      </c>
      <c r="D1437">
        <v>1</v>
      </c>
      <c r="E1437" t="str">
        <f t="shared" si="398"/>
        <v>CNCMotion with Fanuc™ Controller 3D Simulation Software</v>
      </c>
      <c r="F1437">
        <v>810</v>
      </c>
      <c r="G1437" t="str">
        <f t="shared" si="392"/>
        <v>Y</v>
      </c>
      <c r="H1437" t="str">
        <f t="shared" si="391"/>
        <v>EA</v>
      </c>
      <c r="I1437">
        <v>0</v>
      </c>
      <c r="J1437">
        <v>0</v>
      </c>
      <c r="K1437" t="str">
        <f t="shared" si="393"/>
        <v>Y</v>
      </c>
      <c r="L1437">
        <v>0</v>
      </c>
      <c r="M1437" t="str">
        <f t="shared" si="394"/>
        <v>NIS</v>
      </c>
      <c r="O1437">
        <v>6</v>
      </c>
      <c r="P1437" t="str">
        <f t="shared" si="396"/>
        <v>Active</v>
      </c>
      <c r="Q1437" t="str">
        <f>"PLT 3000, Fanuc Simulator, additional seat"</f>
        <v>PLT 3000, Fanuc Simulator, additional seat</v>
      </c>
      <c r="R1437" t="str">
        <f t="shared" si="399"/>
        <v>1</v>
      </c>
      <c r="S1437" t="str">
        <f>"Fanuc Simulation Sftwr, PLT3000, add lic."</f>
        <v>Fanuc Simulation Sftwr, PLT3000, add lic.</v>
      </c>
      <c r="T1437">
        <v>0</v>
      </c>
      <c r="U1437">
        <v>9.5</v>
      </c>
      <c r="V1437">
        <v>33.92</v>
      </c>
      <c r="W1437" t="str">
        <f t="shared" si="395"/>
        <v>zintel</v>
      </c>
    </row>
    <row r="1438" spans="1:23">
      <c r="A1438" t="str">
        <f t="shared" si="397"/>
        <v>FANUC-SIMUL S/W</v>
      </c>
      <c r="B1438" t="str">
        <f>"63-0601-2000"</f>
        <v>63-0601-2000</v>
      </c>
      <c r="C1438" t="str">
        <f>"Fanuc Simulation Sftwr, eXpertMill 0600"</f>
        <v>Fanuc Simulation Sftwr, eXpertMill 0600</v>
      </c>
      <c r="D1438">
        <v>1</v>
      </c>
      <c r="E1438" t="str">
        <f t="shared" si="398"/>
        <v>CNCMotion with Fanuc™ Controller 3D Simulation Software</v>
      </c>
      <c r="F1438">
        <v>810</v>
      </c>
      <c r="G1438" t="str">
        <f t="shared" si="392"/>
        <v>Y</v>
      </c>
      <c r="H1438" t="str">
        <f t="shared" si="391"/>
        <v>EA</v>
      </c>
      <c r="I1438">
        <v>0</v>
      </c>
      <c r="J1438">
        <v>0</v>
      </c>
      <c r="K1438" t="str">
        <f t="shared" si="393"/>
        <v>Y</v>
      </c>
      <c r="L1438">
        <v>0</v>
      </c>
      <c r="M1438" t="str">
        <f t="shared" si="394"/>
        <v>NIS</v>
      </c>
      <c r="O1438">
        <v>7</v>
      </c>
      <c r="P1438" t="str">
        <f t="shared" si="396"/>
        <v>Active</v>
      </c>
      <c r="Q1438" t="str">
        <f>"EXM 0600, Fanuc Simulator"</f>
        <v>EXM 0600, Fanuc Simulator</v>
      </c>
      <c r="R1438" t="str">
        <f t="shared" si="399"/>
        <v>1</v>
      </c>
      <c r="S1438" t="str">
        <f>"Fanuc Simulation Sftwr, eXpertMill 0600"</f>
        <v>Fanuc Simulation Sftwr, eXpertMill 0600</v>
      </c>
      <c r="T1438">
        <v>10.53</v>
      </c>
      <c r="U1438">
        <v>9.5</v>
      </c>
      <c r="V1438">
        <v>9.7899999999999991</v>
      </c>
      <c r="W1438" t="str">
        <f t="shared" si="395"/>
        <v>zintel</v>
      </c>
    </row>
    <row r="1439" spans="1:23">
      <c r="A1439" t="str">
        <f t="shared" si="397"/>
        <v>FANUC-SIMUL S/W</v>
      </c>
      <c r="B1439" t="str">
        <f>"63-0601-2001"</f>
        <v>63-0601-2001</v>
      </c>
      <c r="C1439" t="str">
        <f>"Fanuc Simulation Sftwr, eXpertMill 0600, add lic"</f>
        <v>Fanuc Simulation Sftwr, eXpertMill 0600, add lic</v>
      </c>
      <c r="D1439">
        <v>1</v>
      </c>
      <c r="E1439" t="str">
        <f t="shared" si="398"/>
        <v>CNCMotion with Fanuc™ Controller 3D Simulation Software</v>
      </c>
      <c r="F1439">
        <v>810</v>
      </c>
      <c r="G1439" t="str">
        <f t="shared" si="392"/>
        <v>Y</v>
      </c>
      <c r="H1439" t="str">
        <f t="shared" si="391"/>
        <v>EA</v>
      </c>
      <c r="I1439">
        <v>0</v>
      </c>
      <c r="J1439">
        <v>0</v>
      </c>
      <c r="K1439" t="str">
        <f t="shared" si="393"/>
        <v>Y</v>
      </c>
      <c r="L1439">
        <v>0</v>
      </c>
      <c r="M1439" t="str">
        <f t="shared" si="394"/>
        <v>NIS</v>
      </c>
      <c r="O1439">
        <v>8</v>
      </c>
      <c r="P1439" t="str">
        <f t="shared" si="396"/>
        <v>Active</v>
      </c>
      <c r="Q1439" t="str">
        <f>"EXM 0600, Fanuc Simulator, additional seat"</f>
        <v>EXM 0600, Fanuc Simulator, additional seat</v>
      </c>
      <c r="R1439" t="str">
        <f t="shared" si="399"/>
        <v>1</v>
      </c>
      <c r="S1439" t="str">
        <f>"Fanuc Simulation Sftwr, eXpertMill 0600, add lic"</f>
        <v>Fanuc Simulation Sftwr, eXpertMill 0600, add lic</v>
      </c>
      <c r="T1439">
        <v>10.53</v>
      </c>
      <c r="U1439">
        <v>9.5</v>
      </c>
      <c r="V1439">
        <v>9.7899999999999991</v>
      </c>
      <c r="W1439" t="str">
        <f t="shared" si="395"/>
        <v>zintel</v>
      </c>
    </row>
    <row r="1440" spans="1:23">
      <c r="A1440" t="str">
        <f t="shared" si="397"/>
        <v>FANUC-SIMUL S/W</v>
      </c>
      <c r="B1440" t="str">
        <f>"63-0201-2001"</f>
        <v>63-0201-2001</v>
      </c>
      <c r="C1440" t="str">
        <f>"Fanuc Simulation Sftwr, SLM0200"</f>
        <v>Fanuc Simulation Sftwr, SLM0200</v>
      </c>
      <c r="D1440">
        <v>1</v>
      </c>
      <c r="E1440" t="str">
        <f t="shared" si="398"/>
        <v>CNCMotion with Fanuc™ Controller 3D Simulation Software</v>
      </c>
      <c r="F1440">
        <v>810</v>
      </c>
      <c r="G1440" t="str">
        <f t="shared" si="392"/>
        <v>Y</v>
      </c>
      <c r="H1440" t="str">
        <f t="shared" si="391"/>
        <v>EA</v>
      </c>
      <c r="I1440">
        <v>0</v>
      </c>
      <c r="J1440">
        <v>0</v>
      </c>
      <c r="K1440" t="str">
        <f t="shared" si="393"/>
        <v>Y</v>
      </c>
      <c r="L1440">
        <v>0</v>
      </c>
      <c r="M1440" t="str">
        <f t="shared" si="394"/>
        <v>NIS</v>
      </c>
      <c r="O1440">
        <v>9</v>
      </c>
      <c r="P1440" t="str">
        <f t="shared" si="396"/>
        <v>Active</v>
      </c>
      <c r="Q1440" t="str">
        <f>"SLM 0200, Fanuc Simulator"</f>
        <v>SLM 0200, Fanuc Simulator</v>
      </c>
      <c r="R1440" t="str">
        <f t="shared" si="399"/>
        <v>1</v>
      </c>
      <c r="S1440" t="str">
        <f>"Fanuc Simulation Sftwr, SLM0200"</f>
        <v>Fanuc Simulation Sftwr, SLM0200</v>
      </c>
      <c r="T1440">
        <v>11.67</v>
      </c>
      <c r="U1440">
        <v>10.53</v>
      </c>
      <c r="V1440">
        <v>10.85</v>
      </c>
      <c r="W1440" t="str">
        <f t="shared" si="395"/>
        <v>zintel</v>
      </c>
    </row>
    <row r="1441" spans="1:23">
      <c r="A1441" t="str">
        <f t="shared" si="397"/>
        <v>FANUC-SIMUL S/W</v>
      </c>
      <c r="B1441" t="str">
        <f>"63-0201-2002"</f>
        <v>63-0201-2002</v>
      </c>
      <c r="C1441" t="str">
        <f>"Fanuc Simulation Sftwr, SLM0200, add lic."</f>
        <v>Fanuc Simulation Sftwr, SLM0200, add lic.</v>
      </c>
      <c r="D1441">
        <v>1</v>
      </c>
      <c r="E1441" t="str">
        <f t="shared" si="398"/>
        <v>CNCMotion with Fanuc™ Controller 3D Simulation Software</v>
      </c>
      <c r="F1441">
        <v>810</v>
      </c>
      <c r="G1441" t="str">
        <f t="shared" si="392"/>
        <v>Y</v>
      </c>
      <c r="H1441" t="str">
        <f t="shared" si="391"/>
        <v>EA</v>
      </c>
      <c r="I1441">
        <v>0</v>
      </c>
      <c r="J1441">
        <v>0</v>
      </c>
      <c r="K1441" t="str">
        <f t="shared" si="393"/>
        <v>Y</v>
      </c>
      <c r="L1441">
        <v>0</v>
      </c>
      <c r="M1441" t="str">
        <f t="shared" si="394"/>
        <v>NIS</v>
      </c>
      <c r="O1441">
        <v>10</v>
      </c>
      <c r="P1441" t="str">
        <f t="shared" si="396"/>
        <v>Active</v>
      </c>
      <c r="Q1441" t="str">
        <f>"SLM 0200, Fanuc Simulator, additional seat"</f>
        <v>SLM 0200, Fanuc Simulator, additional seat</v>
      </c>
      <c r="R1441" t="str">
        <f t="shared" si="399"/>
        <v>1</v>
      </c>
      <c r="S1441" t="str">
        <f>"Fanuc Simulation Sftwr, SLM0200, add lic."</f>
        <v>Fanuc Simulation Sftwr, SLM0200, add lic.</v>
      </c>
      <c r="T1441">
        <v>11.67</v>
      </c>
      <c r="U1441">
        <v>10.53</v>
      </c>
      <c r="V1441">
        <v>10.85</v>
      </c>
      <c r="W1441" t="str">
        <f t="shared" si="395"/>
        <v>zintel</v>
      </c>
    </row>
    <row r="1442" spans="1:23">
      <c r="A1442" t="str">
        <f t="shared" si="397"/>
        <v>FANUC-SIMUL S/W</v>
      </c>
      <c r="B1442" t="str">
        <f>"63-0401-2001"</f>
        <v>63-0401-2001</v>
      </c>
      <c r="C1442" t="str">
        <f>"Fanuc Simulation Sftwr, SLT0400"</f>
        <v>Fanuc Simulation Sftwr, SLT0400</v>
      </c>
      <c r="D1442">
        <v>1</v>
      </c>
      <c r="E1442" t="str">
        <f t="shared" si="398"/>
        <v>CNCMotion with Fanuc™ Controller 3D Simulation Software</v>
      </c>
      <c r="F1442">
        <v>810</v>
      </c>
      <c r="G1442" t="str">
        <f t="shared" si="392"/>
        <v>Y</v>
      </c>
      <c r="H1442" t="str">
        <f t="shared" si="391"/>
        <v>EA</v>
      </c>
      <c r="I1442">
        <v>0</v>
      </c>
      <c r="J1442">
        <v>0</v>
      </c>
      <c r="K1442" t="str">
        <f t="shared" si="393"/>
        <v>Y</v>
      </c>
      <c r="L1442">
        <v>0</v>
      </c>
      <c r="M1442" t="str">
        <f t="shared" si="394"/>
        <v>NIS</v>
      </c>
      <c r="O1442">
        <v>11</v>
      </c>
      <c r="P1442" t="str">
        <f t="shared" si="396"/>
        <v>Active</v>
      </c>
      <c r="Q1442" t="str">
        <f>"SLT, Fanuc Simulator"</f>
        <v>SLT, Fanuc Simulator</v>
      </c>
      <c r="R1442" t="str">
        <f t="shared" si="399"/>
        <v>1</v>
      </c>
      <c r="S1442" t="str">
        <f>"Fanuc Simulation Sftwr, SLT0400"</f>
        <v>Fanuc Simulation Sftwr, SLT0400</v>
      </c>
      <c r="T1442">
        <v>11.67</v>
      </c>
      <c r="U1442">
        <v>10.53</v>
      </c>
      <c r="V1442">
        <v>10.85</v>
      </c>
      <c r="W1442" t="str">
        <f t="shared" si="395"/>
        <v>zintel</v>
      </c>
    </row>
    <row r="1443" spans="1:23">
      <c r="A1443" t="str">
        <f t="shared" si="397"/>
        <v>FANUC-SIMUL S/W</v>
      </c>
      <c r="B1443" t="str">
        <f>"63-0401-2002"</f>
        <v>63-0401-2002</v>
      </c>
      <c r="C1443" t="str">
        <f>"Fanuc Simulation Sftwr, SLT0400, add lic."</f>
        <v>Fanuc Simulation Sftwr, SLT0400, add lic.</v>
      </c>
      <c r="D1443">
        <v>1</v>
      </c>
      <c r="E1443" t="str">
        <f t="shared" si="398"/>
        <v>CNCMotion with Fanuc™ Controller 3D Simulation Software</v>
      </c>
      <c r="F1443">
        <v>810</v>
      </c>
      <c r="G1443" t="str">
        <f t="shared" si="392"/>
        <v>Y</v>
      </c>
      <c r="H1443" t="str">
        <f t="shared" si="391"/>
        <v>EA</v>
      </c>
      <c r="I1443">
        <v>0</v>
      </c>
      <c r="J1443">
        <v>0</v>
      </c>
      <c r="K1443" t="str">
        <f t="shared" si="393"/>
        <v>Y</v>
      </c>
      <c r="L1443">
        <v>0</v>
      </c>
      <c r="M1443" t="str">
        <f t="shared" si="394"/>
        <v>NIS</v>
      </c>
      <c r="O1443">
        <v>12</v>
      </c>
      <c r="P1443" t="str">
        <f t="shared" si="396"/>
        <v>Active</v>
      </c>
      <c r="Q1443" t="str">
        <f>"SLT, Fanuc Simulator, Additional Seat"</f>
        <v>SLT, Fanuc Simulator, Additional Seat</v>
      </c>
      <c r="R1443" t="str">
        <f t="shared" si="399"/>
        <v>1</v>
      </c>
      <c r="S1443" t="str">
        <f>"Fanuc Simulation Sftwr, SLT0400, add lic."</f>
        <v>Fanuc Simulation Sftwr, SLT0400, add lic.</v>
      </c>
      <c r="T1443">
        <v>11.67</v>
      </c>
      <c r="U1443">
        <v>10.53</v>
      </c>
      <c r="V1443">
        <v>10.85</v>
      </c>
      <c r="W1443" t="str">
        <f t="shared" si="395"/>
        <v>zintel</v>
      </c>
    </row>
    <row r="1444" spans="1:23">
      <c r="A1444" t="str">
        <f t="shared" si="397"/>
        <v>FANUC-SIMUL S/W</v>
      </c>
      <c r="B1444" t="str">
        <f>"63-1001-2000"</f>
        <v>63-1001-2000</v>
      </c>
      <c r="C1444" t="str">
        <f>"Fanuc Simulation Sftwr, PLM1000"</f>
        <v>Fanuc Simulation Sftwr, PLM1000</v>
      </c>
      <c r="D1444">
        <v>1</v>
      </c>
      <c r="E1444" t="str">
        <f t="shared" si="398"/>
        <v>CNCMotion with Fanuc™ Controller 3D Simulation Software</v>
      </c>
      <c r="F1444">
        <v>810</v>
      </c>
      <c r="G1444" t="str">
        <f t="shared" si="392"/>
        <v>Y</v>
      </c>
      <c r="H1444" t="str">
        <f t="shared" si="391"/>
        <v>EA</v>
      </c>
      <c r="I1444">
        <v>0</v>
      </c>
      <c r="J1444">
        <v>0</v>
      </c>
      <c r="K1444" t="str">
        <f t="shared" si="393"/>
        <v>Y</v>
      </c>
      <c r="L1444">
        <v>0</v>
      </c>
      <c r="M1444" t="str">
        <f t="shared" si="394"/>
        <v>NIS</v>
      </c>
      <c r="O1444">
        <v>1</v>
      </c>
      <c r="P1444" t="str">
        <f t="shared" si="396"/>
        <v>Active</v>
      </c>
      <c r="Q1444" t="str">
        <f>"PLM 1000, Fanuc Simulator"</f>
        <v>PLM 1000, Fanuc Simulator</v>
      </c>
      <c r="R1444" t="str">
        <f t="shared" si="399"/>
        <v>1</v>
      </c>
      <c r="S1444" t="str">
        <f>"Fanuc Simulation Sftwr, PLM1000"</f>
        <v>Fanuc Simulation Sftwr, PLM1000</v>
      </c>
      <c r="T1444">
        <v>0</v>
      </c>
      <c r="U1444">
        <v>9.5</v>
      </c>
      <c r="V1444">
        <v>9.7899999999999991</v>
      </c>
      <c r="W1444" t="str">
        <f t="shared" si="395"/>
        <v>zintel</v>
      </c>
    </row>
    <row r="1445" spans="1:23">
      <c r="A1445" t="str">
        <f>"FLEXPONENT LS PS"</f>
        <v>FLEXPONENT LS PS</v>
      </c>
      <c r="B1445" t="str">
        <f>"10-LS00-0200"</f>
        <v>10-LS00-0200</v>
      </c>
      <c r="C1445" t="str">
        <f>"LS200:Jobmaster 2-Sided Mobile Learning Station"</f>
        <v>LS200:Jobmaster 2-Sided Mobile Learning Station</v>
      </c>
      <c r="D1445">
        <v>1</v>
      </c>
      <c r="E1445" t="str">
        <f>"Flexponent Learning Stations and Panel Storage Equipment"</f>
        <v>Flexponent Learning Stations and Panel Storage Equipment</v>
      </c>
      <c r="F1445">
        <v>700</v>
      </c>
      <c r="G1445" t="str">
        <f t="shared" si="392"/>
        <v>Y</v>
      </c>
      <c r="H1445" t="str">
        <f t="shared" si="391"/>
        <v>EA</v>
      </c>
      <c r="I1445">
        <v>0</v>
      </c>
      <c r="J1445">
        <v>0</v>
      </c>
      <c r="K1445" t="str">
        <f t="shared" si="393"/>
        <v>Y</v>
      </c>
      <c r="L1445">
        <v>0</v>
      </c>
      <c r="M1445" t="str">
        <f>"USD"</f>
        <v>USD</v>
      </c>
      <c r="O1445">
        <v>1</v>
      </c>
      <c r="P1445" t="str">
        <f t="shared" si="396"/>
        <v>Active</v>
      </c>
      <c r="Q1445" t="str">
        <f>"LS200:Jobmaster 2-Sided Mobile Learning Station"</f>
        <v>LS200:Jobmaster 2-Sided Mobile Learning Station</v>
      </c>
      <c r="S1445" t="str">
        <f>"LS200:Jobmaster 2-Sided Mobile Learning Station"</f>
        <v>LS200:Jobmaster 2-Sided Mobile Learning Station</v>
      </c>
      <c r="T1445" s="44">
        <v>2283.3200000000002</v>
      </c>
      <c r="U1445" s="44">
        <v>2121</v>
      </c>
      <c r="V1445" s="44">
        <v>3030.14</v>
      </c>
      <c r="W1445" t="str">
        <f t="shared" ref="W1445:W1465" si="400">"rob"</f>
        <v>rob</v>
      </c>
    </row>
    <row r="1446" spans="1:23">
      <c r="A1446" t="str">
        <f>"FLEXPONENT LS PS"</f>
        <v>FLEXPONENT LS PS</v>
      </c>
      <c r="B1446" t="str">
        <f>"10-PC04-0000"</f>
        <v>10-PC04-0000</v>
      </c>
      <c r="C1446" t="str">
        <f>"JM, Panel PC04, 120VAC Power Control"</f>
        <v>JM, Panel PC04, 120VAC Power Control</v>
      </c>
      <c r="D1446">
        <v>1</v>
      </c>
      <c r="E1446" t="str">
        <f>"Flexponent Learning Stations and Panel Storage Equipment"</f>
        <v>Flexponent Learning Stations and Panel Storage Equipment</v>
      </c>
      <c r="F1446">
        <v>700</v>
      </c>
      <c r="G1446" t="str">
        <f t="shared" si="392"/>
        <v>Y</v>
      </c>
      <c r="H1446" t="str">
        <f t="shared" si="391"/>
        <v>EA</v>
      </c>
      <c r="I1446">
        <v>0</v>
      </c>
      <c r="J1446">
        <v>0</v>
      </c>
      <c r="K1446" t="str">
        <f t="shared" si="393"/>
        <v>Y</v>
      </c>
      <c r="L1446">
        <v>0</v>
      </c>
      <c r="M1446" t="str">
        <f>"USD"</f>
        <v>USD</v>
      </c>
      <c r="O1446">
        <v>2</v>
      </c>
      <c r="P1446" t="str">
        <f t="shared" si="396"/>
        <v>Active</v>
      </c>
      <c r="Q1446" t="str">
        <f>"JM, Panel PC04, 120VAC Power Control"</f>
        <v>JM, Panel PC04, 120VAC Power Control</v>
      </c>
      <c r="S1446" t="str">
        <f>"JM, Panel PC04, 120VAC Power Control"</f>
        <v>JM, Panel PC04, 120VAC Power Control</v>
      </c>
      <c r="T1446">
        <v>358.54</v>
      </c>
      <c r="U1446">
        <v>358</v>
      </c>
      <c r="V1446">
        <v>637.30999999999995</v>
      </c>
      <c r="W1446" t="str">
        <f t="shared" si="400"/>
        <v>rob</v>
      </c>
    </row>
    <row r="1447" spans="1:23">
      <c r="A1447" t="str">
        <f>"FLEXPONENT LS PS"</f>
        <v>FLEXPONENT LS PS</v>
      </c>
      <c r="B1447" t="str">
        <f>"10-PC06-0000"</f>
        <v>10-PC06-0000</v>
      </c>
      <c r="C1447" t="str">
        <f>"JM, Panel PC06, 220VAC Three Phase Power Control"</f>
        <v>JM, Panel PC06, 220VAC Three Phase Power Control</v>
      </c>
      <c r="D1447">
        <v>1</v>
      </c>
      <c r="E1447" t="str">
        <f>"Flexponent Learning Stations and Panel Storage Equipment"</f>
        <v>Flexponent Learning Stations and Panel Storage Equipment</v>
      </c>
      <c r="F1447">
        <v>700</v>
      </c>
      <c r="G1447" t="str">
        <f t="shared" si="392"/>
        <v>Y</v>
      </c>
      <c r="H1447" t="str">
        <f t="shared" si="391"/>
        <v>EA</v>
      </c>
      <c r="I1447">
        <v>0</v>
      </c>
      <c r="J1447">
        <v>0</v>
      </c>
      <c r="K1447" t="str">
        <f t="shared" si="393"/>
        <v>Y</v>
      </c>
      <c r="L1447">
        <v>0</v>
      </c>
      <c r="M1447" t="str">
        <f>"USD"</f>
        <v>USD</v>
      </c>
      <c r="O1447">
        <v>3</v>
      </c>
      <c r="P1447" t="str">
        <f t="shared" si="396"/>
        <v>Active</v>
      </c>
      <c r="Q1447" t="str">
        <f>"JM, Panel PC06, 220VAC Three Phase Power Control"</f>
        <v>JM, Panel PC06, 220VAC Three Phase Power Control</v>
      </c>
      <c r="S1447" t="str">
        <f>"JM, Panel PC06, 220VAC Three Phase Power Control"</f>
        <v>JM, Panel PC06, 220VAC Three Phase Power Control</v>
      </c>
      <c r="T1447">
        <v>399.23</v>
      </c>
      <c r="U1447">
        <v>400</v>
      </c>
      <c r="V1447">
        <v>576.48</v>
      </c>
      <c r="W1447" t="str">
        <f t="shared" si="400"/>
        <v>rob</v>
      </c>
    </row>
    <row r="1448" spans="1:23">
      <c r="A1448" t="str">
        <f>"FLEXPONENT LS PS"</f>
        <v>FLEXPONENT LS PS</v>
      </c>
      <c r="B1448" t="str">
        <f>"10-PC09-0000"</f>
        <v>10-PC09-0000</v>
      </c>
      <c r="C1448" t="str">
        <f>"JM, PC09, Transformer,PRI D440V SEC:Y225V 3KVA"</f>
        <v>JM, PC09, Transformer,PRI D440V SEC:Y225V 3KVA</v>
      </c>
      <c r="D1448">
        <v>1</v>
      </c>
      <c r="E1448" t="str">
        <f>"Flexponent Learning Stations and Panel Storage Equipment"</f>
        <v>Flexponent Learning Stations and Panel Storage Equipment</v>
      </c>
      <c r="F1448">
        <v>700</v>
      </c>
      <c r="G1448" t="str">
        <f t="shared" si="392"/>
        <v>Y</v>
      </c>
      <c r="H1448" t="str">
        <f t="shared" si="391"/>
        <v>EA</v>
      </c>
      <c r="I1448">
        <v>0</v>
      </c>
      <c r="J1448">
        <v>0</v>
      </c>
      <c r="K1448" t="str">
        <f t="shared" si="393"/>
        <v>Y</v>
      </c>
      <c r="L1448">
        <v>0</v>
      </c>
      <c r="M1448" t="str">
        <f>"USD"</f>
        <v>USD</v>
      </c>
      <c r="O1448">
        <v>4</v>
      </c>
      <c r="P1448" t="str">
        <f t="shared" si="396"/>
        <v>Active</v>
      </c>
      <c r="Q1448" t="str">
        <f>"JM, PC09, Inter. Transformer Pack, LS200 Bench"</f>
        <v>JM, PC09, Inter. Transformer Pack, LS200 Bench</v>
      </c>
      <c r="S1448" t="str">
        <f>"JM, PC09, Transformer,PRI D440V SEC:Y225V 3KVA"</f>
        <v>JM, PC09, Transformer,PRI D440V SEC:Y225V 3KVA</v>
      </c>
      <c r="T1448">
        <v>0</v>
      </c>
      <c r="U1448">
        <v>0</v>
      </c>
      <c r="V1448">
        <v>0</v>
      </c>
      <c r="W1448" t="str">
        <f t="shared" si="400"/>
        <v>rob</v>
      </c>
    </row>
    <row r="1449" spans="1:23">
      <c r="A1449" t="str">
        <f>"FMS-MANAGER-ST"</f>
        <v>FMS-MANAGER-ST</v>
      </c>
      <c r="B1449" t="str">
        <f>"63-9072-0000"</f>
        <v>63-9072-0000</v>
      </c>
      <c r="C1449" t="str">
        <f>"OpenCIM/FMS Software"</f>
        <v>OpenCIM/FMS Software</v>
      </c>
      <c r="D1449">
        <v>1</v>
      </c>
      <c r="E1449" t="str">
        <f>"FMS System Management Station including OpenFMS online Software"</f>
        <v>FMS System Management Station including OpenFMS online Software</v>
      </c>
      <c r="F1449">
        <v>550</v>
      </c>
      <c r="G1449" t="str">
        <f t="shared" si="392"/>
        <v>Y</v>
      </c>
      <c r="H1449" t="str">
        <f t="shared" si="391"/>
        <v>EA</v>
      </c>
      <c r="I1449">
        <v>0</v>
      </c>
      <c r="J1449">
        <v>0</v>
      </c>
      <c r="K1449" t="str">
        <f t="shared" si="393"/>
        <v>Y</v>
      </c>
      <c r="L1449">
        <v>0</v>
      </c>
      <c r="M1449" t="str">
        <f t="shared" ref="M1449:M1480" si="401">"NIS"</f>
        <v>NIS</v>
      </c>
      <c r="O1449">
        <v>1</v>
      </c>
      <c r="P1449" t="str">
        <f t="shared" si="396"/>
        <v>Active</v>
      </c>
      <c r="Q1449" t="str">
        <f>"OpenCIM/FMS Software Package"</f>
        <v>OpenCIM/FMS Software Package</v>
      </c>
      <c r="S1449" t="str">
        <f>"OpenCIM/FMS Software Package"</f>
        <v>OpenCIM/FMS Software Package</v>
      </c>
      <c r="T1449">
        <v>0</v>
      </c>
      <c r="U1449">
        <v>35.44</v>
      </c>
      <c r="V1449">
        <v>33.99</v>
      </c>
      <c r="W1449" t="str">
        <f t="shared" si="400"/>
        <v>rob</v>
      </c>
    </row>
    <row r="1450" spans="1:23">
      <c r="A1450" t="str">
        <f>"FMS-MANAGER-ST"</f>
        <v>FMS-MANAGER-ST</v>
      </c>
      <c r="B1450" t="str">
        <f>"63-7000-1400"</f>
        <v>63-7000-1400</v>
      </c>
      <c r="C1450" t="str">
        <f>"License Key For OpenFMS Software"</f>
        <v>License Key For OpenFMS Software</v>
      </c>
      <c r="D1450">
        <v>1</v>
      </c>
      <c r="E1450" t="str">
        <f>"FMS System Management Station including OpenFMS online Software"</f>
        <v>FMS System Management Station including OpenFMS online Software</v>
      </c>
      <c r="F1450">
        <v>550</v>
      </c>
      <c r="G1450" t="str">
        <f t="shared" si="392"/>
        <v>Y</v>
      </c>
      <c r="H1450" t="str">
        <f t="shared" si="391"/>
        <v>EA</v>
      </c>
      <c r="I1450">
        <v>0</v>
      </c>
      <c r="J1450">
        <v>0</v>
      </c>
      <c r="K1450" t="str">
        <f t="shared" si="393"/>
        <v>Y</v>
      </c>
      <c r="L1450">
        <v>0</v>
      </c>
      <c r="M1450" t="str">
        <f t="shared" si="401"/>
        <v>NIS</v>
      </c>
      <c r="O1450">
        <v>2</v>
      </c>
      <c r="P1450" t="str">
        <f t="shared" si="396"/>
        <v>Active</v>
      </c>
      <c r="Q1450" t="str">
        <f>"License Key For OpenFMS Software"</f>
        <v>License Key For OpenFMS Software</v>
      </c>
      <c r="R1450" t="str">
        <f>"1"</f>
        <v>1</v>
      </c>
      <c r="S1450" t="str">
        <f>"License Key For OpenFMS Software"</f>
        <v>License Key For OpenFMS Software</v>
      </c>
      <c r="T1450">
        <v>0</v>
      </c>
      <c r="U1450">
        <v>1.2</v>
      </c>
      <c r="V1450">
        <v>1.33</v>
      </c>
      <c r="W1450" t="str">
        <f t="shared" si="400"/>
        <v>rob</v>
      </c>
    </row>
    <row r="1451" spans="1:23">
      <c r="A1451" t="str">
        <f>"FMS-MANAGER-ST"</f>
        <v>FMS-MANAGER-ST</v>
      </c>
      <c r="B1451" t="str">
        <f>"00-1250-0000"</f>
        <v>00-1250-0000</v>
      </c>
      <c r="C1451" t="str">
        <f>"Workbench 1800x800mm (Formica Top)"</f>
        <v>Workbench 1800x800mm (Formica Top)</v>
      </c>
      <c r="D1451">
        <v>1</v>
      </c>
      <c r="E1451" t="str">
        <f>"FMS System Management Station including OpenFMS online Software"</f>
        <v>FMS System Management Station including OpenFMS online Software</v>
      </c>
      <c r="F1451">
        <v>550</v>
      </c>
      <c r="G1451" t="str">
        <f t="shared" si="392"/>
        <v>Y</v>
      </c>
      <c r="H1451" t="str">
        <f t="shared" si="391"/>
        <v>EA</v>
      </c>
      <c r="I1451">
        <v>0</v>
      </c>
      <c r="J1451">
        <v>0</v>
      </c>
      <c r="K1451" t="str">
        <f t="shared" si="393"/>
        <v>Y</v>
      </c>
      <c r="L1451">
        <v>0</v>
      </c>
      <c r="M1451" t="str">
        <f t="shared" si="401"/>
        <v>NIS</v>
      </c>
      <c r="O1451">
        <v>3</v>
      </c>
      <c r="P1451" t="str">
        <f t="shared" si="396"/>
        <v>Active</v>
      </c>
      <c r="Q1451" t="str">
        <f>"Workbench 1800x800mm (Formica Top)"</f>
        <v>Workbench 1800x800mm (Formica Top)</v>
      </c>
      <c r="S1451" t="str">
        <f>"Workbench 1800x800mm (Formica Top)"</f>
        <v>Workbench 1800x800mm (Formica Top)</v>
      </c>
      <c r="T1451">
        <v>0</v>
      </c>
      <c r="U1451">
        <v>599.12</v>
      </c>
      <c r="V1451">
        <v>564.05999999999995</v>
      </c>
      <c r="W1451" t="str">
        <f t="shared" si="400"/>
        <v>rob</v>
      </c>
    </row>
    <row r="1452" spans="1:23">
      <c r="A1452" t="str">
        <f>"FREIGHT&amp;INSUR"</f>
        <v>FREIGHT&amp;INSUR</v>
      </c>
      <c r="B1452" t="str">
        <f>"50-0078-0000"</f>
        <v>50-0078-0000</v>
      </c>
      <c r="C1452" t="str">
        <f>"FREIGHT and INSURANCE charges"</f>
        <v>FREIGHT and INSURANCE charges</v>
      </c>
      <c r="D1452">
        <v>1</v>
      </c>
      <c r="E1452" t="str">
        <f>"Freight and insurance"</f>
        <v>Freight and insurance</v>
      </c>
      <c r="F1452">
        <v>560</v>
      </c>
      <c r="G1452" t="str">
        <f t="shared" si="392"/>
        <v>Y</v>
      </c>
      <c r="H1452" t="str">
        <f t="shared" si="391"/>
        <v>EA</v>
      </c>
      <c r="I1452">
        <v>0</v>
      </c>
      <c r="J1452">
        <v>0</v>
      </c>
      <c r="K1452" t="str">
        <f t="shared" si="393"/>
        <v>Y</v>
      </c>
      <c r="L1452">
        <v>0</v>
      </c>
      <c r="M1452" t="str">
        <f t="shared" si="401"/>
        <v>NIS</v>
      </c>
      <c r="O1452">
        <v>1</v>
      </c>
      <c r="P1452" t="str">
        <f t="shared" si="396"/>
        <v>Active</v>
      </c>
      <c r="Q1452" t="str">
        <f>"Freight and Insurance charges"</f>
        <v>Freight and Insurance charges</v>
      </c>
      <c r="S1452" t="str">
        <f>"FREIGHT and INSURANCE charges"</f>
        <v>FREIGHT and INSURANCE charges</v>
      </c>
      <c r="T1452">
        <v>0</v>
      </c>
      <c r="U1452">
        <v>0</v>
      </c>
      <c r="V1452">
        <v>0</v>
      </c>
      <c r="W1452" t="str">
        <f t="shared" si="400"/>
        <v>rob</v>
      </c>
    </row>
    <row r="1453" spans="1:23">
      <c r="A1453" t="str">
        <f t="shared" ref="A1453:A1465" si="402">"GSTONE-IMC"</f>
        <v>GSTONE-IMC</v>
      </c>
      <c r="B1453" t="str">
        <f>"10-IMC1-0000"</f>
        <v>10-IMC1-0000</v>
      </c>
      <c r="C1453" t="str">
        <f>"Greystone, IMC1, Basic Power Electricity"</f>
        <v>Greystone, IMC1, Basic Power Electricity</v>
      </c>
      <c r="D1453">
        <v>1</v>
      </c>
      <c r="E1453" t="str">
        <f t="shared" ref="E1453:E1465" si="403">"Industrial Maintenance-Electrica Control Training (Bench Top)"</f>
        <v>Industrial Maintenance-Electrica Control Training (Bench Top)</v>
      </c>
      <c r="F1453">
        <v>700</v>
      </c>
      <c r="G1453" t="str">
        <f t="shared" si="392"/>
        <v>Y</v>
      </c>
      <c r="H1453" t="str">
        <f t="shared" si="391"/>
        <v>EA</v>
      </c>
      <c r="I1453">
        <v>0</v>
      </c>
      <c r="J1453">
        <v>0</v>
      </c>
      <c r="K1453" t="str">
        <f t="shared" si="393"/>
        <v>Y</v>
      </c>
      <c r="L1453">
        <v>0</v>
      </c>
      <c r="M1453" t="str">
        <f t="shared" si="401"/>
        <v>NIS</v>
      </c>
      <c r="O1453">
        <v>1</v>
      </c>
      <c r="P1453" t="str">
        <f t="shared" ref="P1453:P1463" si="404">"Inactive"</f>
        <v>Inactive</v>
      </c>
      <c r="Q1453" t="str">
        <f>"Industrial Power Electricity (IMC-1)"</f>
        <v>Industrial Power Electricity (IMC-1)</v>
      </c>
      <c r="S1453" t="str">
        <f>"Greystone, IMC1, Basic Power Electricity"</f>
        <v>Greystone, IMC1, Basic Power Electricity</v>
      </c>
      <c r="T1453" s="44">
        <v>3569.69</v>
      </c>
      <c r="U1453" s="44">
        <v>3483.6</v>
      </c>
      <c r="V1453" s="44">
        <v>3155.38</v>
      </c>
      <c r="W1453" t="str">
        <f t="shared" si="400"/>
        <v>rob</v>
      </c>
    </row>
    <row r="1454" spans="1:23">
      <c r="A1454" t="str">
        <f t="shared" si="402"/>
        <v>GSTONE-IMC</v>
      </c>
      <c r="B1454" t="str">
        <f>"10-IMC1-TB01"</f>
        <v>10-IMC1-TB01</v>
      </c>
      <c r="C1454" t="str">
        <f>"Greystone, Textbook, IMC1"</f>
        <v>Greystone, Textbook, IMC1</v>
      </c>
      <c r="D1454">
        <v>1</v>
      </c>
      <c r="E1454" t="str">
        <f t="shared" si="403"/>
        <v>Industrial Maintenance-Electrica Control Training (Bench Top)</v>
      </c>
      <c r="F1454">
        <v>700</v>
      </c>
      <c r="G1454" t="str">
        <f t="shared" si="392"/>
        <v>Y</v>
      </c>
      <c r="H1454" t="str">
        <f t="shared" si="391"/>
        <v>EA</v>
      </c>
      <c r="I1454">
        <v>0</v>
      </c>
      <c r="J1454">
        <v>0</v>
      </c>
      <c r="K1454" t="str">
        <f t="shared" si="393"/>
        <v>Y</v>
      </c>
      <c r="L1454">
        <v>0</v>
      </c>
      <c r="M1454" t="str">
        <f t="shared" si="401"/>
        <v>NIS</v>
      </c>
      <c r="O1454">
        <v>2</v>
      </c>
      <c r="P1454" t="str">
        <f t="shared" si="404"/>
        <v>Inactive</v>
      </c>
      <c r="Q1454" t="str">
        <f>"Text - Electricity and Basic Electronics-"</f>
        <v>Text - Electricity and Basic Electronics-</v>
      </c>
      <c r="S1454" t="str">
        <f>"Greystone, Textbook, IMC1"</f>
        <v>Greystone, Textbook, IMC1</v>
      </c>
      <c r="T1454">
        <v>66.08</v>
      </c>
      <c r="U1454">
        <v>56.43</v>
      </c>
      <c r="V1454">
        <v>53.02</v>
      </c>
      <c r="W1454" t="str">
        <f t="shared" si="400"/>
        <v>rob</v>
      </c>
    </row>
    <row r="1455" spans="1:23">
      <c r="A1455" t="str">
        <f t="shared" si="402"/>
        <v>GSTONE-IMC</v>
      </c>
      <c r="B1455" t="str">
        <f>"10-IMC1-IG01"</f>
        <v>10-IMC1-IG01</v>
      </c>
      <c r="C1455" t="str">
        <f>"Greystone, Instructor's Guide, IMC1"</f>
        <v>Greystone, Instructor's Guide, IMC1</v>
      </c>
      <c r="D1455">
        <v>1</v>
      </c>
      <c r="E1455" t="str">
        <f t="shared" si="403"/>
        <v>Industrial Maintenance-Electrica Control Training (Bench Top)</v>
      </c>
      <c r="F1455">
        <v>700</v>
      </c>
      <c r="G1455" t="str">
        <f t="shared" si="392"/>
        <v>Y</v>
      </c>
      <c r="H1455" t="str">
        <f t="shared" si="391"/>
        <v>EA</v>
      </c>
      <c r="I1455">
        <v>0</v>
      </c>
      <c r="J1455">
        <v>0</v>
      </c>
      <c r="K1455" t="str">
        <f t="shared" si="393"/>
        <v>Y</v>
      </c>
      <c r="L1455">
        <v>0</v>
      </c>
      <c r="M1455" t="str">
        <f t="shared" si="401"/>
        <v>NIS</v>
      </c>
      <c r="O1455">
        <v>3</v>
      </c>
      <c r="P1455" t="str">
        <f t="shared" si="404"/>
        <v>Inactive</v>
      </c>
      <c r="Q1455" t="str">
        <f>"Instructor Guide for Electricity and"</f>
        <v>Instructor Guide for Electricity and</v>
      </c>
      <c r="S1455" t="str">
        <f>"Greystone, Instructor's Guide, IMC1"</f>
        <v>Greystone, Instructor's Guide, IMC1</v>
      </c>
      <c r="T1455">
        <v>205.17</v>
      </c>
      <c r="U1455">
        <v>83.3</v>
      </c>
      <c r="V1455">
        <v>67.38</v>
      </c>
      <c r="W1455" t="str">
        <f t="shared" si="400"/>
        <v>rob</v>
      </c>
    </row>
    <row r="1456" spans="1:23">
      <c r="A1456" t="str">
        <f t="shared" si="402"/>
        <v>GSTONE-IMC</v>
      </c>
      <c r="B1456" t="str">
        <f>"10-IMC2-0000"</f>
        <v>10-IMC2-0000</v>
      </c>
      <c r="C1456" t="str">
        <f>"Greystone, IMC2, Industrial Motor Control"</f>
        <v>Greystone, IMC2, Industrial Motor Control</v>
      </c>
      <c r="D1456">
        <v>1</v>
      </c>
      <c r="E1456" t="str">
        <f t="shared" si="403"/>
        <v>Industrial Maintenance-Electrica Control Training (Bench Top)</v>
      </c>
      <c r="F1456">
        <v>700</v>
      </c>
      <c r="G1456" t="str">
        <f t="shared" si="392"/>
        <v>Y</v>
      </c>
      <c r="H1456" t="str">
        <f t="shared" si="391"/>
        <v>EA</v>
      </c>
      <c r="I1456">
        <v>0</v>
      </c>
      <c r="J1456">
        <v>0</v>
      </c>
      <c r="K1456" t="str">
        <f t="shared" si="393"/>
        <v>Y</v>
      </c>
      <c r="L1456">
        <v>0</v>
      </c>
      <c r="M1456" t="str">
        <f t="shared" si="401"/>
        <v>NIS</v>
      </c>
      <c r="O1456">
        <v>4</v>
      </c>
      <c r="P1456" t="str">
        <f t="shared" si="404"/>
        <v>Inactive</v>
      </c>
      <c r="Q1456" t="str">
        <f>"Industrial Motor Control (IMC-2)"</f>
        <v>Industrial Motor Control (IMC-2)</v>
      </c>
      <c r="S1456" t="str">
        <f>"Greystone, IMC2, Industrial Motor Control"</f>
        <v>Greystone, IMC2, Industrial Motor Control</v>
      </c>
      <c r="T1456" s="44">
        <v>3179.84</v>
      </c>
      <c r="U1456" s="44">
        <v>3141.45</v>
      </c>
      <c r="V1456" s="44">
        <v>2864.81</v>
      </c>
      <c r="W1456" t="str">
        <f t="shared" si="400"/>
        <v>rob</v>
      </c>
    </row>
    <row r="1457" spans="1:23">
      <c r="A1457" t="str">
        <f t="shared" si="402"/>
        <v>GSTONE-IMC</v>
      </c>
      <c r="B1457" t="str">
        <f>"10-IMC2-TB01"</f>
        <v>10-IMC2-TB01</v>
      </c>
      <c r="C1457" t="str">
        <f>"Greystone, Textbook, IMC2"</f>
        <v>Greystone, Textbook, IMC2</v>
      </c>
      <c r="D1457">
        <v>1</v>
      </c>
      <c r="E1457" t="str">
        <f t="shared" si="403"/>
        <v>Industrial Maintenance-Electrica Control Training (Bench Top)</v>
      </c>
      <c r="F1457">
        <v>700</v>
      </c>
      <c r="G1457" t="str">
        <f t="shared" si="392"/>
        <v>Y</v>
      </c>
      <c r="H1457" t="str">
        <f t="shared" si="391"/>
        <v>EA</v>
      </c>
      <c r="I1457">
        <v>0</v>
      </c>
      <c r="J1457">
        <v>0</v>
      </c>
      <c r="K1457" t="str">
        <f t="shared" si="393"/>
        <v>Y</v>
      </c>
      <c r="L1457">
        <v>0</v>
      </c>
      <c r="M1457" t="str">
        <f t="shared" si="401"/>
        <v>NIS</v>
      </c>
      <c r="O1457">
        <v>5</v>
      </c>
      <c r="P1457" t="str">
        <f t="shared" si="404"/>
        <v>Inactive</v>
      </c>
      <c r="Q1457" t="str">
        <f>"Text - Industrial Motor Control"</f>
        <v>Text - Industrial Motor Control</v>
      </c>
      <c r="S1457" t="str">
        <f>"Greystone, Textbook, IMC2"</f>
        <v>Greystone, Textbook, IMC2</v>
      </c>
      <c r="T1457">
        <v>137.61000000000001</v>
      </c>
      <c r="U1457">
        <v>130.24</v>
      </c>
      <c r="V1457">
        <v>122.78</v>
      </c>
      <c r="W1457" t="str">
        <f t="shared" si="400"/>
        <v>rob</v>
      </c>
    </row>
    <row r="1458" spans="1:23">
      <c r="A1458" t="str">
        <f t="shared" si="402"/>
        <v>GSTONE-IMC</v>
      </c>
      <c r="B1458" t="str">
        <f>"10-IMC2-IG01"</f>
        <v>10-IMC2-IG01</v>
      </c>
      <c r="C1458" t="str">
        <f>"Greystone, Instructor's Guide, IMC2"</f>
        <v>Greystone, Instructor's Guide, IMC2</v>
      </c>
      <c r="D1458">
        <v>1</v>
      </c>
      <c r="E1458" t="str">
        <f t="shared" si="403"/>
        <v>Industrial Maintenance-Electrica Control Training (Bench Top)</v>
      </c>
      <c r="F1458">
        <v>700</v>
      </c>
      <c r="G1458" t="str">
        <f t="shared" si="392"/>
        <v>Y</v>
      </c>
      <c r="H1458" t="str">
        <f t="shared" si="391"/>
        <v>EA</v>
      </c>
      <c r="I1458">
        <v>0</v>
      </c>
      <c r="J1458">
        <v>0</v>
      </c>
      <c r="K1458" t="str">
        <f t="shared" si="393"/>
        <v>Y</v>
      </c>
      <c r="L1458">
        <v>0</v>
      </c>
      <c r="M1458" t="str">
        <f t="shared" si="401"/>
        <v>NIS</v>
      </c>
      <c r="O1458">
        <v>6</v>
      </c>
      <c r="P1458" t="str">
        <f t="shared" si="404"/>
        <v>Inactive</v>
      </c>
      <c r="Q1458" t="str">
        <f>"Instructors Guide for Motor control"</f>
        <v>Instructors Guide for Motor control</v>
      </c>
      <c r="S1458" t="str">
        <f>"Greystone, Instructor's Guide, IMC2"</f>
        <v>Greystone, Instructor's Guide, IMC2</v>
      </c>
      <c r="T1458">
        <v>254.15</v>
      </c>
      <c r="U1458">
        <v>262.63</v>
      </c>
      <c r="V1458">
        <v>278.32</v>
      </c>
      <c r="W1458" t="str">
        <f t="shared" si="400"/>
        <v>rob</v>
      </c>
    </row>
    <row r="1459" spans="1:23">
      <c r="A1459" t="str">
        <f t="shared" si="402"/>
        <v>GSTONE-IMC</v>
      </c>
      <c r="B1459" t="str">
        <f>"10-IMC3-0000"</f>
        <v>10-IMC3-0000</v>
      </c>
      <c r="C1459" t="str">
        <f>"Greystone, IMC3, Sensors"</f>
        <v>Greystone, IMC3, Sensors</v>
      </c>
      <c r="D1459">
        <v>1</v>
      </c>
      <c r="E1459" t="str">
        <f t="shared" si="403"/>
        <v>Industrial Maintenance-Electrica Control Training (Bench Top)</v>
      </c>
      <c r="F1459">
        <v>700</v>
      </c>
      <c r="G1459" t="str">
        <f t="shared" si="392"/>
        <v>Y</v>
      </c>
      <c r="H1459" t="str">
        <f t="shared" si="391"/>
        <v>EA</v>
      </c>
      <c r="I1459">
        <v>0</v>
      </c>
      <c r="J1459">
        <v>0</v>
      </c>
      <c r="K1459" t="str">
        <f t="shared" si="393"/>
        <v>Y</v>
      </c>
      <c r="L1459">
        <v>0</v>
      </c>
      <c r="M1459" t="str">
        <f t="shared" si="401"/>
        <v>NIS</v>
      </c>
      <c r="O1459">
        <v>7</v>
      </c>
      <c r="P1459" t="str">
        <f t="shared" si="404"/>
        <v>Inactive</v>
      </c>
      <c r="Q1459" t="str">
        <f>"Motor Control Sensors (IMC-3)"</f>
        <v>Motor Control Sensors (IMC-3)</v>
      </c>
      <c r="S1459" t="str">
        <f>"Greystone, IMC3, Sensors"</f>
        <v>Greystone, IMC3, Sensors</v>
      </c>
      <c r="T1459" s="44">
        <v>2537.02</v>
      </c>
      <c r="U1459" s="44">
        <v>2274.52</v>
      </c>
      <c r="V1459" s="44">
        <v>2118.96</v>
      </c>
      <c r="W1459" t="str">
        <f t="shared" si="400"/>
        <v>rob</v>
      </c>
    </row>
    <row r="1460" spans="1:23">
      <c r="A1460" t="str">
        <f t="shared" si="402"/>
        <v>GSTONE-IMC</v>
      </c>
      <c r="B1460" t="str">
        <f>"10-IMC4-0000"</f>
        <v>10-IMC4-0000</v>
      </c>
      <c r="C1460" t="str">
        <f>"Greystone, IMC4, Electric Motor Control Drives"</f>
        <v>Greystone, IMC4, Electric Motor Control Drives</v>
      </c>
      <c r="D1460">
        <v>1</v>
      </c>
      <c r="E1460" t="str">
        <f t="shared" si="403"/>
        <v>Industrial Maintenance-Electrica Control Training (Bench Top)</v>
      </c>
      <c r="F1460">
        <v>700</v>
      </c>
      <c r="G1460" t="str">
        <f t="shared" si="392"/>
        <v>Y</v>
      </c>
      <c r="H1460" t="str">
        <f t="shared" si="391"/>
        <v>EA</v>
      </c>
      <c r="I1460">
        <v>0</v>
      </c>
      <c r="J1460">
        <v>0</v>
      </c>
      <c r="K1460" t="str">
        <f t="shared" si="393"/>
        <v>Y</v>
      </c>
      <c r="L1460">
        <v>0</v>
      </c>
      <c r="M1460" t="str">
        <f t="shared" si="401"/>
        <v>NIS</v>
      </c>
      <c r="O1460">
        <v>8</v>
      </c>
      <c r="P1460" t="str">
        <f t="shared" si="404"/>
        <v>Inactive</v>
      </c>
      <c r="Q1460" t="str">
        <f>"Motor Control Drives (IMC-4)"</f>
        <v>Motor Control Drives (IMC-4)</v>
      </c>
      <c r="S1460" t="str">
        <f>"Greystone, IMC4, Electric Motor Control Drives"</f>
        <v>Greystone, IMC4, Electric Motor Control Drives</v>
      </c>
      <c r="T1460" s="44">
        <v>5090.55</v>
      </c>
      <c r="U1460" s="44">
        <v>4885.4399999999996</v>
      </c>
      <c r="V1460" s="44">
        <v>4405.97</v>
      </c>
      <c r="W1460" t="str">
        <f t="shared" si="400"/>
        <v>rob</v>
      </c>
    </row>
    <row r="1461" spans="1:23">
      <c r="A1461" t="str">
        <f t="shared" si="402"/>
        <v>GSTONE-IMC</v>
      </c>
      <c r="B1461" t="str">
        <f>"10-IMC4-TB01"</f>
        <v>10-IMC4-TB01</v>
      </c>
      <c r="C1461" t="str">
        <f>"Greystone, Textbook, IMC4"</f>
        <v>Greystone, Textbook, IMC4</v>
      </c>
      <c r="D1461">
        <v>1</v>
      </c>
      <c r="E1461" t="str">
        <f t="shared" si="403"/>
        <v>Industrial Maintenance-Electrica Control Training (Bench Top)</v>
      </c>
      <c r="F1461">
        <v>700</v>
      </c>
      <c r="G1461" t="str">
        <f t="shared" si="392"/>
        <v>Y</v>
      </c>
      <c r="H1461" t="str">
        <f t="shared" si="391"/>
        <v>EA</v>
      </c>
      <c r="I1461">
        <v>0</v>
      </c>
      <c r="J1461">
        <v>0</v>
      </c>
      <c r="K1461" t="str">
        <f t="shared" si="393"/>
        <v>Y</v>
      </c>
      <c r="L1461">
        <v>0</v>
      </c>
      <c r="M1461" t="str">
        <f t="shared" si="401"/>
        <v>NIS</v>
      </c>
      <c r="O1461">
        <v>9</v>
      </c>
      <c r="P1461" t="str">
        <f t="shared" si="404"/>
        <v>Inactive</v>
      </c>
      <c r="Q1461" t="str">
        <f>"Text - Electronic Variable Speed Drives"</f>
        <v>Text - Electronic Variable Speed Drives</v>
      </c>
      <c r="S1461" t="str">
        <f>"Greystone, Textbook, IMC4"</f>
        <v>Greystone, Textbook, IMC4</v>
      </c>
      <c r="T1461">
        <v>102.68</v>
      </c>
      <c r="U1461">
        <v>102.68</v>
      </c>
      <c r="V1461">
        <v>108.93</v>
      </c>
      <c r="W1461" t="str">
        <f t="shared" si="400"/>
        <v>rob</v>
      </c>
    </row>
    <row r="1462" spans="1:23">
      <c r="A1462" t="str">
        <f t="shared" si="402"/>
        <v>GSTONE-IMC</v>
      </c>
      <c r="B1462" t="str">
        <f>"10-IMC4-IG01"</f>
        <v>10-IMC4-IG01</v>
      </c>
      <c r="C1462" t="str">
        <f>"Greystone, Instructor's Guide, IMC4"</f>
        <v>Greystone, Instructor's Guide, IMC4</v>
      </c>
      <c r="D1462">
        <v>1</v>
      </c>
      <c r="E1462" t="str">
        <f t="shared" si="403"/>
        <v>Industrial Maintenance-Electrica Control Training (Bench Top)</v>
      </c>
      <c r="F1462">
        <v>700</v>
      </c>
      <c r="G1462" t="str">
        <f t="shared" si="392"/>
        <v>Y</v>
      </c>
      <c r="H1462" t="str">
        <f t="shared" si="391"/>
        <v>EA</v>
      </c>
      <c r="I1462">
        <v>0</v>
      </c>
      <c r="J1462">
        <v>0</v>
      </c>
      <c r="K1462" t="str">
        <f t="shared" si="393"/>
        <v>Y</v>
      </c>
      <c r="L1462">
        <v>0</v>
      </c>
      <c r="M1462" t="str">
        <f t="shared" si="401"/>
        <v>NIS</v>
      </c>
      <c r="O1462">
        <v>10</v>
      </c>
      <c r="P1462" t="str">
        <f t="shared" si="404"/>
        <v>Inactive</v>
      </c>
      <c r="Q1462" t="str">
        <f>"Instructors Guide for Electronic"</f>
        <v>Instructors Guide for Electronic</v>
      </c>
      <c r="S1462" t="str">
        <f>"Greystone, Instructor's Guide, IMC4"</f>
        <v>Greystone, Instructor's Guide, IMC4</v>
      </c>
      <c r="T1462">
        <v>36.380000000000003</v>
      </c>
      <c r="U1462">
        <v>36.380000000000003</v>
      </c>
      <c r="V1462">
        <v>38.590000000000003</v>
      </c>
      <c r="W1462" t="str">
        <f t="shared" si="400"/>
        <v>rob</v>
      </c>
    </row>
    <row r="1463" spans="1:23">
      <c r="A1463" t="str">
        <f t="shared" si="402"/>
        <v>GSTONE-IMC</v>
      </c>
      <c r="B1463" t="str">
        <f>"10-IMC8-0000"</f>
        <v>10-IMC8-0000</v>
      </c>
      <c r="C1463" t="str">
        <f>"Greystone, IMC8, Industrial Electric Motors"</f>
        <v>Greystone, IMC8, Industrial Electric Motors</v>
      </c>
      <c r="D1463">
        <v>1</v>
      </c>
      <c r="E1463" t="str">
        <f t="shared" si="403"/>
        <v>Industrial Maintenance-Electrica Control Training (Bench Top)</v>
      </c>
      <c r="F1463">
        <v>700</v>
      </c>
      <c r="G1463" t="str">
        <f t="shared" si="392"/>
        <v>Y</v>
      </c>
      <c r="H1463" t="str">
        <f t="shared" si="391"/>
        <v>EA</v>
      </c>
      <c r="I1463">
        <v>0</v>
      </c>
      <c r="J1463">
        <v>0</v>
      </c>
      <c r="K1463" t="str">
        <f t="shared" si="393"/>
        <v>Y</v>
      </c>
      <c r="L1463">
        <v>0</v>
      </c>
      <c r="M1463" t="str">
        <f t="shared" si="401"/>
        <v>NIS</v>
      </c>
      <c r="O1463">
        <v>11</v>
      </c>
      <c r="P1463" t="str">
        <f t="shared" si="404"/>
        <v>Inactive</v>
      </c>
      <c r="Q1463" t="str">
        <f>"Industrial Electric Machines (Motors) (IMC-8-06)"</f>
        <v>Industrial Electric Machines (Motors) (IMC-8-06)</v>
      </c>
      <c r="S1463" t="str">
        <f>"Greystone, IMC8, Industrial Electric Motors"</f>
        <v>Greystone, IMC8, Industrial Electric Motors</v>
      </c>
      <c r="T1463" s="44">
        <v>5206.26</v>
      </c>
      <c r="U1463" s="44">
        <v>5684.09</v>
      </c>
      <c r="V1463" s="44">
        <v>5294.08</v>
      </c>
      <c r="W1463" t="str">
        <f t="shared" si="400"/>
        <v>rob</v>
      </c>
    </row>
    <row r="1464" spans="1:23">
      <c r="A1464" t="str">
        <f t="shared" si="402"/>
        <v>GSTONE-IMC</v>
      </c>
      <c r="B1464" t="str">
        <f>"10-IMC8-TB01"</f>
        <v>10-IMC8-TB01</v>
      </c>
      <c r="C1464" t="str">
        <f>"Greystone, Textbook, IMC8"</f>
        <v>Greystone, Textbook, IMC8</v>
      </c>
      <c r="D1464">
        <v>1</v>
      </c>
      <c r="E1464" t="str">
        <f t="shared" si="403"/>
        <v>Industrial Maintenance-Electrica Control Training (Bench Top)</v>
      </c>
      <c r="F1464">
        <v>700</v>
      </c>
      <c r="G1464" t="str">
        <f t="shared" si="392"/>
        <v>Y</v>
      </c>
      <c r="H1464" t="str">
        <f t="shared" si="391"/>
        <v>EA</v>
      </c>
      <c r="I1464">
        <v>0</v>
      </c>
      <c r="J1464">
        <v>0</v>
      </c>
      <c r="K1464" t="str">
        <f t="shared" si="393"/>
        <v>Y</v>
      </c>
      <c r="L1464">
        <v>0</v>
      </c>
      <c r="M1464" t="str">
        <f t="shared" si="401"/>
        <v>NIS</v>
      </c>
      <c r="O1464">
        <v>12</v>
      </c>
      <c r="P1464" t="str">
        <f>"Active"</f>
        <v>Active</v>
      </c>
      <c r="Q1464" t="str">
        <f>"Text - Troubleshooting Electric Motors"</f>
        <v>Text - Troubleshooting Electric Motors</v>
      </c>
      <c r="S1464" t="str">
        <f>"Greystone, Textbook, IMC8"</f>
        <v>Greystone, Textbook, IMC8</v>
      </c>
      <c r="T1464">
        <v>39</v>
      </c>
      <c r="U1464">
        <v>44.03</v>
      </c>
      <c r="V1464">
        <v>41.38</v>
      </c>
      <c r="W1464" t="str">
        <f t="shared" si="400"/>
        <v>rob</v>
      </c>
    </row>
    <row r="1465" spans="1:23">
      <c r="A1465" t="str">
        <f t="shared" si="402"/>
        <v>GSTONE-IMC</v>
      </c>
      <c r="B1465" t="str">
        <f>"10-IMC8-TG01"</f>
        <v>10-IMC8-TG01</v>
      </c>
      <c r="C1465" t="str">
        <f>"Answer Key for Troubleshooting Electric Motors"</f>
        <v>Answer Key for Troubleshooting Electric Motors</v>
      </c>
      <c r="D1465">
        <v>1</v>
      </c>
      <c r="E1465" t="str">
        <f t="shared" si="403"/>
        <v>Industrial Maintenance-Electrica Control Training (Bench Top)</v>
      </c>
      <c r="F1465">
        <v>700</v>
      </c>
      <c r="G1465" t="str">
        <f t="shared" si="392"/>
        <v>Y</v>
      </c>
      <c r="H1465" t="str">
        <f t="shared" si="391"/>
        <v>EA</v>
      </c>
      <c r="I1465">
        <v>0</v>
      </c>
      <c r="J1465">
        <v>0</v>
      </c>
      <c r="K1465" t="str">
        <f t="shared" si="393"/>
        <v>Y</v>
      </c>
      <c r="L1465">
        <v>0</v>
      </c>
      <c r="M1465" t="str">
        <f t="shared" si="401"/>
        <v>NIS</v>
      </c>
      <c r="O1465">
        <v>13</v>
      </c>
      <c r="P1465" t="str">
        <f>"Active"</f>
        <v>Active</v>
      </c>
      <c r="Q1465" t="str">
        <f>"Answer Key for Troubleshooting Electric Motors"</f>
        <v>Answer Key for Troubleshooting Electric Motors</v>
      </c>
      <c r="S1465" t="str">
        <f>"Answer Key for Troubleshooting Electric Motors"</f>
        <v>Answer Key for Troubleshooting Electric Motors</v>
      </c>
      <c r="T1465">
        <v>0</v>
      </c>
      <c r="U1465">
        <v>0</v>
      </c>
      <c r="V1465">
        <v>0</v>
      </c>
      <c r="W1465" t="str">
        <f t="shared" si="400"/>
        <v>rob</v>
      </c>
    </row>
    <row r="1466" spans="1:23">
      <c r="A1466" t="str">
        <f>"GSTONE-RWAC"</f>
        <v>GSTONE-RWAC</v>
      </c>
      <c r="B1466" t="str">
        <f>"10-RWAC-0000"</f>
        <v>10-RWAC-0000</v>
      </c>
      <c r="C1466" t="str">
        <f>"Residential Wiring and Controls (RWAC-1)"</f>
        <v>Residential Wiring and Controls (RWAC-1)</v>
      </c>
      <c r="D1466">
        <v>1</v>
      </c>
      <c r="E1466" t="str">
        <f>"GREYSTONE- Electical Wiring"</f>
        <v>GREYSTONE- Electical Wiring</v>
      </c>
      <c r="F1466">
        <v>700</v>
      </c>
      <c r="G1466" t="str">
        <f t="shared" si="392"/>
        <v>Y</v>
      </c>
      <c r="H1466" t="str">
        <f t="shared" si="391"/>
        <v>EA</v>
      </c>
      <c r="I1466">
        <v>0</v>
      </c>
      <c r="J1466">
        <v>0</v>
      </c>
      <c r="K1466" t="str">
        <f t="shared" si="393"/>
        <v>Y</v>
      </c>
      <c r="L1466">
        <v>0</v>
      </c>
      <c r="M1466" t="str">
        <f t="shared" si="401"/>
        <v>NIS</v>
      </c>
      <c r="O1466">
        <v>1</v>
      </c>
      <c r="P1466" t="str">
        <f>"Inactive"</f>
        <v>Inactive</v>
      </c>
      <c r="Q1466" t="str">
        <f>"Residential Wiring and Controls (RWAC-1)"</f>
        <v>Residential Wiring and Controls (RWAC-1)</v>
      </c>
      <c r="S1466" t="str">
        <f>"Residential Wiring and Controls (RWAC-1)"</f>
        <v>Residential Wiring and Controls (RWAC-1)</v>
      </c>
      <c r="T1466">
        <v>0</v>
      </c>
      <c r="U1466">
        <v>0</v>
      </c>
      <c r="V1466">
        <v>0</v>
      </c>
      <c r="W1466" t="str">
        <f>"zintel"</f>
        <v>zintel</v>
      </c>
    </row>
    <row r="1467" spans="1:23">
      <c r="A1467" t="str">
        <f>"GSTONE-RWAC"</f>
        <v>GSTONE-RWAC</v>
      </c>
      <c r="B1467" t="str">
        <f>"10-RWAC-TB01"</f>
        <v>10-RWAC-TB01</v>
      </c>
      <c r="C1467" t="str">
        <f>"Greystone, Textbook, RWAC-1"</f>
        <v>Greystone, Textbook, RWAC-1</v>
      </c>
      <c r="D1467">
        <v>1</v>
      </c>
      <c r="E1467" t="str">
        <f>"GREYSTONE- Electical Wiring"</f>
        <v>GREYSTONE- Electical Wiring</v>
      </c>
      <c r="F1467">
        <v>700</v>
      </c>
      <c r="G1467" t="str">
        <f t="shared" si="392"/>
        <v>Y</v>
      </c>
      <c r="H1467" t="str">
        <f t="shared" si="391"/>
        <v>EA</v>
      </c>
      <c r="I1467">
        <v>0</v>
      </c>
      <c r="J1467">
        <v>0</v>
      </c>
      <c r="K1467" t="str">
        <f t="shared" si="393"/>
        <v>Y</v>
      </c>
      <c r="L1467">
        <v>0</v>
      </c>
      <c r="M1467" t="str">
        <f t="shared" si="401"/>
        <v>NIS</v>
      </c>
      <c r="O1467">
        <v>2</v>
      </c>
      <c r="P1467" t="str">
        <f>"Inactive"</f>
        <v>Inactive</v>
      </c>
      <c r="Q1467" t="str">
        <f>"Text - Electrical Wiring Residential"</f>
        <v>Text - Electrical Wiring Residential</v>
      </c>
      <c r="S1467" t="str">
        <f>"Greystone, Textbook, RWAC-1"</f>
        <v>Greystone, Textbook, RWAC-1</v>
      </c>
      <c r="T1467">
        <v>72.62</v>
      </c>
      <c r="U1467">
        <v>69.97</v>
      </c>
      <c r="V1467">
        <v>74.23</v>
      </c>
      <c r="W1467" t="str">
        <f>"zintel"</f>
        <v>zintel</v>
      </c>
    </row>
    <row r="1468" spans="1:23">
      <c r="A1468" t="str">
        <f>"GSTONE-RWAC"</f>
        <v>GSTONE-RWAC</v>
      </c>
      <c r="B1468" t="str">
        <f>"10-RWAC-IG01"</f>
        <v>10-RWAC-IG01</v>
      </c>
      <c r="C1468" t="str">
        <f>"Greystone, Instructor's Guide, RWAC-1"</f>
        <v>Greystone, Instructor's Guide, RWAC-1</v>
      </c>
      <c r="D1468">
        <v>1</v>
      </c>
      <c r="E1468" t="str">
        <f>"GREYSTONE- Electical Wiring"</f>
        <v>GREYSTONE- Electical Wiring</v>
      </c>
      <c r="F1468">
        <v>700</v>
      </c>
      <c r="G1468" t="str">
        <f t="shared" si="392"/>
        <v>Y</v>
      </c>
      <c r="H1468" t="str">
        <f t="shared" si="391"/>
        <v>EA</v>
      </c>
      <c r="I1468">
        <v>0</v>
      </c>
      <c r="J1468">
        <v>0</v>
      </c>
      <c r="K1468" t="str">
        <f t="shared" si="393"/>
        <v>Y</v>
      </c>
      <c r="L1468">
        <v>0</v>
      </c>
      <c r="M1468" t="str">
        <f t="shared" si="401"/>
        <v>NIS</v>
      </c>
      <c r="O1468">
        <v>3</v>
      </c>
      <c r="P1468" t="str">
        <f>"Active"</f>
        <v>Active</v>
      </c>
      <c r="Q1468" t="str">
        <f>"Electrical Wiring Residential -"</f>
        <v>Electrical Wiring Residential -</v>
      </c>
      <c r="S1468" t="str">
        <f>"Greystone, Instructor's Guide, RWAC-1"</f>
        <v>Greystone, Instructor's Guide, RWAC-1</v>
      </c>
      <c r="T1468">
        <v>29.53</v>
      </c>
      <c r="U1468">
        <v>38.06</v>
      </c>
      <c r="V1468">
        <v>31.73</v>
      </c>
      <c r="W1468" t="str">
        <f>"zintel"</f>
        <v>zintel</v>
      </c>
    </row>
    <row r="1469" spans="1:23">
      <c r="A1469" t="str">
        <f>"GSTONE-RWAC"</f>
        <v>GSTONE-RWAC</v>
      </c>
      <c r="B1469" t="str">
        <f>"10-RWAC-NEC1"</f>
        <v>10-RWAC-NEC1</v>
      </c>
      <c r="C1469" t="str">
        <f>"Greystone, Textbook, National Electrical Code"</f>
        <v>Greystone, Textbook, National Electrical Code</v>
      </c>
      <c r="D1469">
        <v>1</v>
      </c>
      <c r="E1469" t="str">
        <f>"GREYSTONE- Electical Wiring"</f>
        <v>GREYSTONE- Electical Wiring</v>
      </c>
      <c r="F1469">
        <v>700</v>
      </c>
      <c r="G1469" t="str">
        <f t="shared" si="392"/>
        <v>Y</v>
      </c>
      <c r="H1469" t="str">
        <f t="shared" si="391"/>
        <v>EA</v>
      </c>
      <c r="I1469">
        <v>0</v>
      </c>
      <c r="J1469">
        <v>0</v>
      </c>
      <c r="K1469" t="str">
        <f t="shared" si="393"/>
        <v>Y</v>
      </c>
      <c r="L1469">
        <v>0</v>
      </c>
      <c r="M1469" t="str">
        <f t="shared" si="401"/>
        <v>NIS</v>
      </c>
      <c r="O1469">
        <v>4</v>
      </c>
      <c r="P1469" t="str">
        <f>"Inactive"</f>
        <v>Inactive</v>
      </c>
      <c r="Q1469" t="str">
        <f>"National Electrical Code -  Soft Cover"</f>
        <v>National Electrical Code -  Soft Cover</v>
      </c>
      <c r="S1469" t="str">
        <f>"Greystone, Textbook, National Electrical Code"</f>
        <v>Greystone, Textbook, National Electrical Code</v>
      </c>
      <c r="T1469">
        <v>96.12</v>
      </c>
      <c r="U1469">
        <v>73.58</v>
      </c>
      <c r="V1469">
        <v>78.06</v>
      </c>
      <c r="W1469" t="str">
        <f>"zintel"</f>
        <v>zintel</v>
      </c>
    </row>
    <row r="1470" spans="1:23">
      <c r="A1470" t="str">
        <f t="shared" ref="A1470:A1479" si="405">"HYDRAFLX T PANEL"</f>
        <v>HYDRAFLX T PANEL</v>
      </c>
      <c r="B1470" t="str">
        <f>"00-2105-0000"</f>
        <v>00-2105-0000</v>
      </c>
      <c r="C1470" t="str">
        <f>"HydraFlex H1 Basic Hydraulics incl. panel"</f>
        <v>HydraFlex H1 Basic Hydraulics incl. panel</v>
      </c>
      <c r="D1470">
        <v>1</v>
      </c>
      <c r="E1470" t="str">
        <f t="shared" ref="E1470:E1479" si="406">"HydraFlex - Hydraulic Training System"</f>
        <v>HydraFlex - Hydraulic Training System</v>
      </c>
      <c r="F1470">
        <v>810</v>
      </c>
      <c r="G1470" t="str">
        <f t="shared" si="392"/>
        <v>Y</v>
      </c>
      <c r="H1470" t="str">
        <f t="shared" si="391"/>
        <v>EA</v>
      </c>
      <c r="I1470">
        <v>0</v>
      </c>
      <c r="J1470">
        <v>0</v>
      </c>
      <c r="K1470" t="str">
        <f t="shared" si="393"/>
        <v>Y</v>
      </c>
      <c r="L1470">
        <v>0</v>
      </c>
      <c r="M1470" t="str">
        <f t="shared" si="401"/>
        <v>NIS</v>
      </c>
      <c r="O1470">
        <v>1</v>
      </c>
      <c r="P1470" t="str">
        <f>"Active"</f>
        <v>Active</v>
      </c>
      <c r="Q1470" t="str">
        <f>"HydraFlex H1 Basic Hydraulic Package incl. panel"</f>
        <v>HydraFlex H1 Basic Hydraulic Package incl. panel</v>
      </c>
      <c r="S1470" t="str">
        <f>"HydraFlex H1 Basic Hydraulic Package incl. panel"</f>
        <v>HydraFlex H1 Basic Hydraulic Package incl. panel</v>
      </c>
      <c r="T1470">
        <v>0</v>
      </c>
      <c r="U1470" s="44">
        <v>2100</v>
      </c>
      <c r="V1470" s="44">
        <v>2144.7399999999998</v>
      </c>
      <c r="W1470" t="str">
        <f t="shared" ref="W1470:W1511" si="407">"rob"</f>
        <v>rob</v>
      </c>
    </row>
    <row r="1471" spans="1:23">
      <c r="A1471" t="str">
        <f t="shared" si="405"/>
        <v>HYDRAFLX T PANEL</v>
      </c>
      <c r="B1471" t="str">
        <f>"10-2540-1000"</f>
        <v>10-2540-1000</v>
      </c>
      <c r="C1471" t="str">
        <f>"Hydraulic Pump with Oil Tank"</f>
        <v>Hydraulic Pump with Oil Tank</v>
      </c>
      <c r="D1471">
        <v>1</v>
      </c>
      <c r="E1471" t="str">
        <f t="shared" si="406"/>
        <v>HydraFlex - Hydraulic Training System</v>
      </c>
      <c r="F1471">
        <v>810</v>
      </c>
      <c r="G1471" t="str">
        <f t="shared" si="392"/>
        <v>Y</v>
      </c>
      <c r="H1471" t="str">
        <f t="shared" si="391"/>
        <v>EA</v>
      </c>
      <c r="I1471">
        <v>0</v>
      </c>
      <c r="J1471">
        <v>0</v>
      </c>
      <c r="K1471" t="str">
        <f t="shared" si="393"/>
        <v>Y</v>
      </c>
      <c r="L1471">
        <v>0</v>
      </c>
      <c r="M1471" t="str">
        <f t="shared" si="401"/>
        <v>NIS</v>
      </c>
      <c r="O1471">
        <v>2</v>
      </c>
      <c r="P1471" t="str">
        <f>"Active"</f>
        <v>Active</v>
      </c>
      <c r="Q1471" t="str">
        <f>"Power Pack Hyd.- Assy.,Tank 10L,0.75kW,3.5L,220"</f>
        <v>Power Pack Hyd.- Assy.,Tank 10L,0.75kW,3.5L,220</v>
      </c>
      <c r="S1471" t="str">
        <f>"Hyd.Power Pack,Tank 10L,0.75kW,3.5L,220V"</f>
        <v>Hyd.Power Pack,Tank 10L,0.75kW,3.5L,220V</v>
      </c>
      <c r="T1471">
        <v>0</v>
      </c>
      <c r="U1471" s="44">
        <v>1450</v>
      </c>
      <c r="V1471" s="44">
        <v>1400.02</v>
      </c>
      <c r="W1471" t="str">
        <f t="shared" si="407"/>
        <v>rob</v>
      </c>
    </row>
    <row r="1472" spans="1:23">
      <c r="A1472" t="str">
        <f t="shared" si="405"/>
        <v>HYDRAFLX T PANEL</v>
      </c>
      <c r="B1472" t="str">
        <f>"00-2106-0000"</f>
        <v>00-2106-0000</v>
      </c>
      <c r="C1472" t="str">
        <f>"HydraFlex H2 - Advanced Hydraulic add-on kit"</f>
        <v>HydraFlex H2 - Advanced Hydraulic add-on kit</v>
      </c>
      <c r="D1472">
        <v>1</v>
      </c>
      <c r="E1472" t="str">
        <f t="shared" si="406"/>
        <v>HydraFlex - Hydraulic Training System</v>
      </c>
      <c r="F1472">
        <v>810</v>
      </c>
      <c r="G1472" t="str">
        <f t="shared" si="392"/>
        <v>Y</v>
      </c>
      <c r="H1472" t="str">
        <f t="shared" ref="H1472:H1482" si="408">"EA"</f>
        <v>EA</v>
      </c>
      <c r="I1472">
        <v>0</v>
      </c>
      <c r="J1472">
        <v>0</v>
      </c>
      <c r="K1472" t="str">
        <f t="shared" si="393"/>
        <v>Y</v>
      </c>
      <c r="L1472">
        <v>0</v>
      </c>
      <c r="M1472" t="str">
        <f t="shared" si="401"/>
        <v>NIS</v>
      </c>
      <c r="O1472">
        <v>3</v>
      </c>
      <c r="P1472" t="str">
        <f>"Active"</f>
        <v>Active</v>
      </c>
      <c r="Q1472" t="str">
        <f>"HydraFlex H2 - Advanced Hydraulic Package"</f>
        <v>HydraFlex H2 - Advanced Hydraulic Package</v>
      </c>
      <c r="S1472" t="str">
        <f>"HydraFlex H2 - Advanced Hydraulic Package"</f>
        <v>HydraFlex H2 - Advanced Hydraulic Package</v>
      </c>
      <c r="T1472">
        <v>0</v>
      </c>
      <c r="U1472" s="44">
        <v>1313.32</v>
      </c>
      <c r="V1472" s="44">
        <v>1199.46</v>
      </c>
      <c r="W1472" t="str">
        <f t="shared" si="407"/>
        <v>rob</v>
      </c>
    </row>
    <row r="1473" spans="1:23">
      <c r="A1473" t="str">
        <f t="shared" si="405"/>
        <v>HYDRAFLX T PANEL</v>
      </c>
      <c r="B1473" t="str">
        <f>"00-2107-0000"</f>
        <v>00-2107-0000</v>
      </c>
      <c r="C1473" t="str">
        <f>"HydraFlex H3 - Electro-Hydraulics add-on kit"</f>
        <v>HydraFlex H3 - Electro-Hydraulics add-on kit</v>
      </c>
      <c r="D1473">
        <v>1</v>
      </c>
      <c r="E1473" t="str">
        <f t="shared" si="406"/>
        <v>HydraFlex - Hydraulic Training System</v>
      </c>
      <c r="F1473">
        <v>810</v>
      </c>
      <c r="G1473" t="str">
        <f t="shared" si="392"/>
        <v>Y</v>
      </c>
      <c r="H1473" t="str">
        <f t="shared" si="408"/>
        <v>EA</v>
      </c>
      <c r="I1473">
        <v>0</v>
      </c>
      <c r="J1473">
        <v>0</v>
      </c>
      <c r="K1473" t="str">
        <f t="shared" si="393"/>
        <v>Y</v>
      </c>
      <c r="L1473">
        <v>0</v>
      </c>
      <c r="M1473" t="str">
        <f t="shared" si="401"/>
        <v>NIS</v>
      </c>
      <c r="O1473">
        <v>11</v>
      </c>
      <c r="P1473" t="str">
        <f>"Active"</f>
        <v>Active</v>
      </c>
      <c r="Q1473" t="str">
        <f>"HydraFlex H3 -  Electro-Hydraulic package"</f>
        <v>HydraFlex H3 -  Electro-Hydraulic package</v>
      </c>
      <c r="S1473" t="str">
        <f>"HydraFlex H3 -  Electro-Hydraulic package"</f>
        <v>HydraFlex H3 -  Electro-Hydraulic package</v>
      </c>
      <c r="T1473">
        <v>0</v>
      </c>
      <c r="U1473">
        <v>879.29</v>
      </c>
      <c r="V1473">
        <v>693.05</v>
      </c>
      <c r="W1473" t="str">
        <f t="shared" si="407"/>
        <v>rob</v>
      </c>
    </row>
    <row r="1474" spans="1:23">
      <c r="A1474" t="str">
        <f t="shared" si="405"/>
        <v>HYDRAFLX T PANEL</v>
      </c>
      <c r="B1474" t="str">
        <f>"035072"</f>
        <v>035072</v>
      </c>
      <c r="C1474" t="str">
        <f>"Power Supply 110~220 --&gt; 24VDC, 100W"</f>
        <v>Power Supply 110~220 --&gt; 24VDC, 100W</v>
      </c>
      <c r="D1474">
        <v>1</v>
      </c>
      <c r="E1474" t="str">
        <f t="shared" si="406"/>
        <v>HydraFlex - Hydraulic Training System</v>
      </c>
      <c r="F1474">
        <v>810</v>
      </c>
      <c r="G1474" t="str">
        <f t="shared" ref="G1474:G1537" si="409">"Y"</f>
        <v>Y</v>
      </c>
      <c r="H1474" t="str">
        <f t="shared" si="408"/>
        <v>EA</v>
      </c>
      <c r="I1474">
        <v>0</v>
      </c>
      <c r="J1474">
        <v>0</v>
      </c>
      <c r="K1474" t="str">
        <f t="shared" ref="K1474:K1537" si="410">"Y"</f>
        <v>Y</v>
      </c>
      <c r="L1474">
        <v>0</v>
      </c>
      <c r="M1474" t="str">
        <f t="shared" si="401"/>
        <v>NIS</v>
      </c>
      <c r="O1474">
        <v>5</v>
      </c>
      <c r="P1474" t="str">
        <f>"Phase Out"</f>
        <v>Phase Out</v>
      </c>
      <c r="Q1474" t="str">
        <f>"Power Supply Wired Desktop, 110~220, 24VDC, 100"</f>
        <v>Power Supply Wired Desktop, 110~220, 24VDC, 100</v>
      </c>
      <c r="S1474" t="str">
        <f>"Power Supply Wired Desktop, 110~220, 24VDC,100W"</f>
        <v>Power Supply Wired Desktop, 110~220, 24VDC,100W</v>
      </c>
      <c r="T1474">
        <v>0</v>
      </c>
      <c r="U1474">
        <v>256.11</v>
      </c>
      <c r="V1474">
        <v>255.39</v>
      </c>
      <c r="W1474" t="str">
        <f t="shared" si="407"/>
        <v>rob</v>
      </c>
    </row>
    <row r="1475" spans="1:23">
      <c r="A1475" t="str">
        <f t="shared" si="405"/>
        <v>HYDRAFLX T PANEL</v>
      </c>
      <c r="B1475" t="str">
        <f>"10-2542-7000"</f>
        <v>10-2542-7000</v>
      </c>
      <c r="C1475" t="str">
        <f>"Oil collector tray for HydraFlex T-slot panel"</f>
        <v>Oil collector tray for HydraFlex T-slot panel</v>
      </c>
      <c r="D1475">
        <v>1</v>
      </c>
      <c r="E1475" t="str">
        <f t="shared" si="406"/>
        <v>HydraFlex - Hydraulic Training System</v>
      </c>
      <c r="F1475">
        <v>810</v>
      </c>
      <c r="G1475" t="str">
        <f t="shared" si="409"/>
        <v>Y</v>
      </c>
      <c r="H1475" t="str">
        <f t="shared" si="408"/>
        <v>EA</v>
      </c>
      <c r="I1475">
        <v>0</v>
      </c>
      <c r="J1475">
        <v>0</v>
      </c>
      <c r="K1475" t="str">
        <f t="shared" si="410"/>
        <v>Y</v>
      </c>
      <c r="L1475">
        <v>0</v>
      </c>
      <c r="M1475" t="str">
        <f t="shared" si="401"/>
        <v>NIS</v>
      </c>
      <c r="O1475">
        <v>6</v>
      </c>
      <c r="P1475" t="str">
        <f t="shared" ref="P1475:P1514" si="411">"Active"</f>
        <v>Active</v>
      </c>
      <c r="Q1475" t="str">
        <f>"Oil collector tray for HydraFlex T-slot panel"</f>
        <v>Oil collector tray for HydraFlex T-slot panel</v>
      </c>
      <c r="S1475" t="str">
        <f>"Oil collector tray for HydraFlex T-slot panel"</f>
        <v>Oil collector tray for HydraFlex T-slot panel</v>
      </c>
      <c r="T1475">
        <v>0</v>
      </c>
      <c r="U1475">
        <v>190</v>
      </c>
      <c r="V1475">
        <v>102.94</v>
      </c>
      <c r="W1475" t="str">
        <f t="shared" si="407"/>
        <v>rob</v>
      </c>
    </row>
    <row r="1476" spans="1:23">
      <c r="A1476" t="str">
        <f t="shared" si="405"/>
        <v>HYDRAFLX T PANEL</v>
      </c>
      <c r="B1476" t="str">
        <f>"00-3031-0000"</f>
        <v>00-3031-0000</v>
      </c>
      <c r="C1476" t="str">
        <f>"PLC A/B Micrologix for HyraFlex/PneuFlex"</f>
        <v>PLC A/B Micrologix for HyraFlex/PneuFlex</v>
      </c>
      <c r="D1476">
        <v>1</v>
      </c>
      <c r="E1476" t="str">
        <f t="shared" si="406"/>
        <v>HydraFlex - Hydraulic Training System</v>
      </c>
      <c r="F1476">
        <v>810</v>
      </c>
      <c r="G1476" t="str">
        <f t="shared" si="409"/>
        <v>Y</v>
      </c>
      <c r="H1476" t="str">
        <f t="shared" si="408"/>
        <v>EA</v>
      </c>
      <c r="I1476">
        <v>0</v>
      </c>
      <c r="J1476">
        <v>0</v>
      </c>
      <c r="K1476" t="str">
        <f t="shared" si="410"/>
        <v>Y</v>
      </c>
      <c r="L1476">
        <v>0</v>
      </c>
      <c r="M1476" t="str">
        <f t="shared" si="401"/>
        <v>NIS</v>
      </c>
      <c r="O1476">
        <v>7</v>
      </c>
      <c r="P1476" t="str">
        <f t="shared" si="411"/>
        <v>Active</v>
      </c>
      <c r="Q1476" t="str">
        <f>"Computer Interface &amp; PLC A/B Micrologix Pneu/Hyd"</f>
        <v>Computer Interface &amp; PLC A/B Micrologix Pneu/Hyd</v>
      </c>
      <c r="S1476" t="str">
        <f>"Computer Interface &amp; PLC A/B Micrologix Pneu/Hyd"</f>
        <v>Computer Interface &amp; PLC A/B Micrologix Pneu/Hyd</v>
      </c>
      <c r="T1476">
        <v>0</v>
      </c>
      <c r="U1476">
        <v>709.84</v>
      </c>
      <c r="V1476">
        <v>627.34</v>
      </c>
      <c r="W1476" t="str">
        <f t="shared" si="407"/>
        <v>rob</v>
      </c>
    </row>
    <row r="1477" spans="1:23">
      <c r="A1477" t="str">
        <f t="shared" si="405"/>
        <v>HYDRAFLX T PANEL</v>
      </c>
      <c r="B1477" t="str">
        <f>"63-9240-0000"</f>
        <v>63-9240-0000</v>
      </c>
      <c r="C1477" t="str">
        <f>"HydraMotion - Hydraulics Simulation Software"</f>
        <v>HydraMotion - Hydraulics Simulation Software</v>
      </c>
      <c r="D1477">
        <v>1</v>
      </c>
      <c r="E1477" t="str">
        <f t="shared" si="406"/>
        <v>HydraFlex - Hydraulic Training System</v>
      </c>
      <c r="F1477">
        <v>810</v>
      </c>
      <c r="G1477" t="str">
        <f t="shared" si="409"/>
        <v>Y</v>
      </c>
      <c r="H1477" t="str">
        <f t="shared" si="408"/>
        <v>EA</v>
      </c>
      <c r="I1477">
        <v>0</v>
      </c>
      <c r="J1477">
        <v>0</v>
      </c>
      <c r="K1477" t="str">
        <f t="shared" si="410"/>
        <v>Y</v>
      </c>
      <c r="L1477">
        <v>0</v>
      </c>
      <c r="M1477" t="str">
        <f t="shared" si="401"/>
        <v>NIS</v>
      </c>
      <c r="O1477">
        <v>8</v>
      </c>
      <c r="P1477" t="str">
        <f t="shared" si="411"/>
        <v>Active</v>
      </c>
      <c r="Q1477" t="str">
        <f>"HydraMotion Hydraulic Simulation Softw. Package"</f>
        <v>HydraMotion Hydraulic Simulation Softw. Package</v>
      </c>
      <c r="S1477" t="str">
        <f>"HydraMotion Hydraulic Simulation Softw. Package"</f>
        <v>HydraMotion Hydraulic Simulation Softw. Package</v>
      </c>
      <c r="T1477">
        <v>0</v>
      </c>
      <c r="U1477">
        <v>31.77</v>
      </c>
      <c r="V1477">
        <v>32.130000000000003</v>
      </c>
      <c r="W1477" t="str">
        <f t="shared" si="407"/>
        <v>rob</v>
      </c>
    </row>
    <row r="1478" spans="1:23">
      <c r="A1478" t="str">
        <f t="shared" si="405"/>
        <v>HYDRAFLX T PANEL</v>
      </c>
      <c r="B1478" t="str">
        <f>"63-7000-0900"</f>
        <v>63-7000-0900</v>
      </c>
      <c r="C1478" t="str">
        <f>"License Key For HydraMotion Software"</f>
        <v>License Key For HydraMotion Software</v>
      </c>
      <c r="D1478">
        <v>1</v>
      </c>
      <c r="E1478" t="str">
        <f t="shared" si="406"/>
        <v>HydraFlex - Hydraulic Training System</v>
      </c>
      <c r="F1478">
        <v>810</v>
      </c>
      <c r="G1478" t="str">
        <f t="shared" si="409"/>
        <v>Y</v>
      </c>
      <c r="H1478" t="str">
        <f t="shared" si="408"/>
        <v>EA</v>
      </c>
      <c r="I1478">
        <v>0</v>
      </c>
      <c r="J1478">
        <v>0</v>
      </c>
      <c r="K1478" t="str">
        <f t="shared" si="410"/>
        <v>Y</v>
      </c>
      <c r="L1478">
        <v>0</v>
      </c>
      <c r="M1478" t="str">
        <f t="shared" si="401"/>
        <v>NIS</v>
      </c>
      <c r="O1478">
        <v>9</v>
      </c>
      <c r="P1478" t="str">
        <f t="shared" si="411"/>
        <v>Active</v>
      </c>
      <c r="Q1478" t="str">
        <f>"License Key For HydraMotion Software"</f>
        <v>License Key For HydraMotion Software</v>
      </c>
      <c r="R1478" t="str">
        <f>"1"</f>
        <v>1</v>
      </c>
      <c r="S1478" t="str">
        <f>"License Key For HydraMotion Software"</f>
        <v>License Key For HydraMotion Software</v>
      </c>
      <c r="T1478">
        <v>0</v>
      </c>
      <c r="U1478">
        <v>6</v>
      </c>
      <c r="V1478">
        <v>6.66</v>
      </c>
      <c r="W1478" t="str">
        <f t="shared" si="407"/>
        <v>rob</v>
      </c>
    </row>
    <row r="1479" spans="1:23">
      <c r="A1479" t="str">
        <f t="shared" si="405"/>
        <v>HYDRAFLX T PANEL</v>
      </c>
      <c r="B1479" t="str">
        <f>"63-7000-0900"</f>
        <v>63-7000-0900</v>
      </c>
      <c r="C1479" t="str">
        <f>"License Key For HydraMotion Software"</f>
        <v>License Key For HydraMotion Software</v>
      </c>
      <c r="D1479">
        <v>10</v>
      </c>
      <c r="E1479" t="str">
        <f t="shared" si="406"/>
        <v>HydraFlex - Hydraulic Training System</v>
      </c>
      <c r="F1479">
        <v>810</v>
      </c>
      <c r="G1479" t="str">
        <f t="shared" si="409"/>
        <v>Y</v>
      </c>
      <c r="H1479" t="str">
        <f t="shared" si="408"/>
        <v>EA</v>
      </c>
      <c r="I1479">
        <v>0</v>
      </c>
      <c r="J1479">
        <v>0</v>
      </c>
      <c r="K1479" t="str">
        <f t="shared" si="410"/>
        <v>Y</v>
      </c>
      <c r="L1479">
        <v>0</v>
      </c>
      <c r="M1479" t="str">
        <f t="shared" si="401"/>
        <v>NIS</v>
      </c>
      <c r="N1479" t="str">
        <f>"Y"</f>
        <v>Y</v>
      </c>
      <c r="O1479">
        <v>10</v>
      </c>
      <c r="P1479" t="str">
        <f t="shared" si="411"/>
        <v>Active</v>
      </c>
      <c r="Q1479" t="str">
        <f>"License Key For HydraMotion Software"</f>
        <v>License Key For HydraMotion Software</v>
      </c>
      <c r="R1479" t="str">
        <f>"1"</f>
        <v>1</v>
      </c>
      <c r="S1479" t="str">
        <f>"License Key For HydraMotion Software"</f>
        <v>License Key For HydraMotion Software</v>
      </c>
      <c r="T1479">
        <v>0</v>
      </c>
      <c r="U1479">
        <v>6</v>
      </c>
      <c r="V1479">
        <v>6.66</v>
      </c>
      <c r="W1479" t="str">
        <f t="shared" si="407"/>
        <v>rob</v>
      </c>
    </row>
    <row r="1480" spans="1:23">
      <c r="A1480" t="str">
        <f>"HYDRAMOTION SW"</f>
        <v>HYDRAMOTION SW</v>
      </c>
      <c r="B1480" t="str">
        <f>"63-9240-0000"</f>
        <v>63-9240-0000</v>
      </c>
      <c r="C1480" t="str">
        <f>"HydraMotion - Hydraulics Simulation Software"</f>
        <v>HydraMotion - Hydraulics Simulation Software</v>
      </c>
      <c r="D1480">
        <v>1</v>
      </c>
      <c r="E1480" t="str">
        <f>"HydraMotion - Hydraulic simulation Software"</f>
        <v>HydraMotion - Hydraulic simulation Software</v>
      </c>
      <c r="F1480">
        <v>810</v>
      </c>
      <c r="G1480" t="str">
        <f t="shared" si="409"/>
        <v>Y</v>
      </c>
      <c r="H1480" t="str">
        <f t="shared" si="408"/>
        <v>EA</v>
      </c>
      <c r="I1480">
        <v>0</v>
      </c>
      <c r="J1480">
        <v>0</v>
      </c>
      <c r="K1480" t="str">
        <f t="shared" si="410"/>
        <v>Y</v>
      </c>
      <c r="L1480">
        <v>0</v>
      </c>
      <c r="M1480" t="str">
        <f t="shared" si="401"/>
        <v>NIS</v>
      </c>
      <c r="O1480">
        <v>1</v>
      </c>
      <c r="P1480" t="str">
        <f t="shared" si="411"/>
        <v>Active</v>
      </c>
      <c r="Q1480" t="str">
        <f>"HydraMotion Hydraulic Simulation Softw. Package"</f>
        <v>HydraMotion Hydraulic Simulation Softw. Package</v>
      </c>
      <c r="S1480" t="str">
        <f>"HydraMotion Hydraulic Simulation Softw. Package"</f>
        <v>HydraMotion Hydraulic Simulation Softw. Package</v>
      </c>
      <c r="T1480">
        <v>0</v>
      </c>
      <c r="U1480">
        <v>31.77</v>
      </c>
      <c r="V1480">
        <v>32.130000000000003</v>
      </c>
      <c r="W1480" t="str">
        <f t="shared" si="407"/>
        <v>rob</v>
      </c>
    </row>
    <row r="1481" spans="1:23">
      <c r="A1481" t="str">
        <f>"HYDRAMOTION SW"</f>
        <v>HYDRAMOTION SW</v>
      </c>
      <c r="B1481" t="str">
        <f>"63-7000-0900"</f>
        <v>63-7000-0900</v>
      </c>
      <c r="C1481" t="str">
        <f>"License Key For HydraMotion Software"</f>
        <v>License Key For HydraMotion Software</v>
      </c>
      <c r="D1481">
        <v>1</v>
      </c>
      <c r="E1481" t="str">
        <f>"HydraMotion - Hydraulic simulation Software"</f>
        <v>HydraMotion - Hydraulic simulation Software</v>
      </c>
      <c r="F1481">
        <v>810</v>
      </c>
      <c r="G1481" t="str">
        <f t="shared" si="409"/>
        <v>Y</v>
      </c>
      <c r="H1481" t="str">
        <f t="shared" si="408"/>
        <v>EA</v>
      </c>
      <c r="I1481">
        <v>0</v>
      </c>
      <c r="J1481">
        <v>0</v>
      </c>
      <c r="K1481" t="str">
        <f t="shared" si="410"/>
        <v>Y</v>
      </c>
      <c r="L1481">
        <v>0</v>
      </c>
      <c r="M1481" t="str">
        <f t="shared" ref="M1481:M1515" si="412">"NIS"</f>
        <v>NIS</v>
      </c>
      <c r="O1481">
        <v>2</v>
      </c>
      <c r="P1481" t="str">
        <f t="shared" si="411"/>
        <v>Active</v>
      </c>
      <c r="Q1481" t="str">
        <f>"License Key For HydraMotion Software"</f>
        <v>License Key For HydraMotion Software</v>
      </c>
      <c r="R1481" t="str">
        <f>"1"</f>
        <v>1</v>
      </c>
      <c r="S1481" t="str">
        <f>"License Key For HydraMotion Software"</f>
        <v>License Key For HydraMotion Software</v>
      </c>
      <c r="T1481">
        <v>0</v>
      </c>
      <c r="U1481">
        <v>6</v>
      </c>
      <c r="V1481">
        <v>6.66</v>
      </c>
      <c r="W1481" t="str">
        <f t="shared" si="407"/>
        <v>rob</v>
      </c>
    </row>
    <row r="1482" spans="1:23">
      <c r="A1482" t="str">
        <f>"HYDRAMOTION SW"</f>
        <v>HYDRAMOTION SW</v>
      </c>
      <c r="B1482" t="str">
        <f>"63-7000-0900"</f>
        <v>63-7000-0900</v>
      </c>
      <c r="C1482" t="str">
        <f>"License Key For HydraMotion Software"</f>
        <v>License Key For HydraMotion Software</v>
      </c>
      <c r="D1482">
        <v>10</v>
      </c>
      <c r="E1482" t="str">
        <f>"HydraMotion - Hydraulic simulation Software"</f>
        <v>HydraMotion - Hydraulic simulation Software</v>
      </c>
      <c r="F1482">
        <v>810</v>
      </c>
      <c r="G1482" t="str">
        <f t="shared" si="409"/>
        <v>Y</v>
      </c>
      <c r="H1482" t="str">
        <f t="shared" si="408"/>
        <v>EA</v>
      </c>
      <c r="I1482">
        <v>0</v>
      </c>
      <c r="J1482">
        <v>0</v>
      </c>
      <c r="K1482" t="str">
        <f t="shared" si="410"/>
        <v>Y</v>
      </c>
      <c r="L1482">
        <v>0</v>
      </c>
      <c r="M1482" t="str">
        <f t="shared" si="412"/>
        <v>NIS</v>
      </c>
      <c r="O1482">
        <v>3</v>
      </c>
      <c r="P1482" t="str">
        <f t="shared" si="411"/>
        <v>Active</v>
      </c>
      <c r="Q1482" t="str">
        <f>"License Key For HydraMotion Software"</f>
        <v>License Key For HydraMotion Software</v>
      </c>
      <c r="R1482" t="str">
        <f>"1"</f>
        <v>1</v>
      </c>
      <c r="S1482" t="str">
        <f>"License Key For HydraMotion Software"</f>
        <v>License Key For HydraMotion Software</v>
      </c>
      <c r="T1482">
        <v>0</v>
      </c>
      <c r="U1482">
        <v>6</v>
      </c>
      <c r="V1482">
        <v>6.66</v>
      </c>
      <c r="W1482" t="str">
        <f t="shared" si="407"/>
        <v>rob</v>
      </c>
    </row>
    <row r="1483" spans="1:23">
      <c r="A1483" t="str">
        <f>"INST&amp;TRAIN-CIM-1"</f>
        <v>INST&amp;TRAIN-CIM-1</v>
      </c>
      <c r="B1483" t="str">
        <f>"50-0095-0000"</f>
        <v>50-0095-0000</v>
      </c>
      <c r="C1483" t="str">
        <f>"Installation at Customer Site"</f>
        <v>Installation at Customer Site</v>
      </c>
      <c r="D1483">
        <v>2</v>
      </c>
      <c r="E1483" t="str">
        <f>"On Site Installation &amp; Training for additional CIM Station"</f>
        <v>On Site Installation &amp; Training for additional CIM Station</v>
      </c>
      <c r="F1483">
        <v>560</v>
      </c>
      <c r="G1483" t="str">
        <f t="shared" si="409"/>
        <v>Y</v>
      </c>
      <c r="H1483" t="str">
        <f t="shared" ref="H1483:H1511" si="413">"DA"</f>
        <v>DA</v>
      </c>
      <c r="I1483">
        <v>0</v>
      </c>
      <c r="J1483">
        <v>0</v>
      </c>
      <c r="K1483" t="str">
        <f t="shared" si="410"/>
        <v>Y</v>
      </c>
      <c r="L1483">
        <v>0</v>
      </c>
      <c r="M1483" t="str">
        <f t="shared" si="412"/>
        <v>NIS</v>
      </c>
      <c r="O1483">
        <v>1</v>
      </c>
      <c r="P1483" t="str">
        <f t="shared" si="411"/>
        <v>Active</v>
      </c>
      <c r="Q1483" t="str">
        <f>"Installation at Customer Site (Days)"</f>
        <v>Installation at Customer Site (Days)</v>
      </c>
      <c r="S1483" t="str">
        <f>"Installation at Customer Site (Days)"</f>
        <v>Installation at Customer Site (Days)</v>
      </c>
      <c r="T1483">
        <v>0</v>
      </c>
      <c r="U1483">
        <v>864</v>
      </c>
      <c r="V1483">
        <v>898.56</v>
      </c>
      <c r="W1483" t="str">
        <f t="shared" si="407"/>
        <v>rob</v>
      </c>
    </row>
    <row r="1484" spans="1:23">
      <c r="A1484" t="str">
        <f>"INST&amp;TRAIN-CIM-1"</f>
        <v>INST&amp;TRAIN-CIM-1</v>
      </c>
      <c r="B1484" t="str">
        <f>"50-0096-0000"</f>
        <v>50-0096-0000</v>
      </c>
      <c r="C1484" t="str">
        <f>"Training at Customer Site (Days)"</f>
        <v>Training at Customer Site (Days)</v>
      </c>
      <c r="D1484">
        <v>1</v>
      </c>
      <c r="E1484" t="str">
        <f>"On Site Installation &amp; Training for additional CIM Station"</f>
        <v>On Site Installation &amp; Training for additional CIM Station</v>
      </c>
      <c r="F1484">
        <v>560</v>
      </c>
      <c r="G1484" t="str">
        <f t="shared" si="409"/>
        <v>Y</v>
      </c>
      <c r="H1484" t="str">
        <f t="shared" si="413"/>
        <v>DA</v>
      </c>
      <c r="I1484">
        <v>0</v>
      </c>
      <c r="J1484">
        <v>0</v>
      </c>
      <c r="K1484" t="str">
        <f t="shared" si="410"/>
        <v>Y</v>
      </c>
      <c r="L1484">
        <v>0</v>
      </c>
      <c r="M1484" t="str">
        <f t="shared" si="412"/>
        <v>NIS</v>
      </c>
      <c r="O1484">
        <v>2</v>
      </c>
      <c r="P1484" t="str">
        <f t="shared" si="411"/>
        <v>Active</v>
      </c>
      <c r="Q1484" t="str">
        <f>"Training at Customer Site (Days)"</f>
        <v>Training at Customer Site (Days)</v>
      </c>
      <c r="S1484" t="str">
        <f>"Training at Customer Site (Days)"</f>
        <v>Training at Customer Site (Days)</v>
      </c>
      <c r="T1484">
        <v>0</v>
      </c>
      <c r="U1484">
        <v>864</v>
      </c>
      <c r="V1484">
        <v>898.56</v>
      </c>
      <c r="W1484" t="str">
        <f t="shared" si="407"/>
        <v>rob</v>
      </c>
    </row>
    <row r="1485" spans="1:23">
      <c r="A1485" t="str">
        <f>"INST&amp;TRAIN-CIM-2"</f>
        <v>INST&amp;TRAIN-CIM-2</v>
      </c>
      <c r="B1485" t="str">
        <f>"50-0095-0000"</f>
        <v>50-0095-0000</v>
      </c>
      <c r="C1485" t="str">
        <f>"Installation at Customer Site"</f>
        <v>Installation at Customer Site</v>
      </c>
      <c r="D1485">
        <v>5</v>
      </c>
      <c r="E1485" t="str">
        <f>"On Site Installation &amp; Training for 2 Station CIM"</f>
        <v>On Site Installation &amp; Training for 2 Station CIM</v>
      </c>
      <c r="F1485">
        <v>560</v>
      </c>
      <c r="G1485" t="str">
        <f t="shared" si="409"/>
        <v>Y</v>
      </c>
      <c r="H1485" t="str">
        <f t="shared" si="413"/>
        <v>DA</v>
      </c>
      <c r="I1485">
        <v>0</v>
      </c>
      <c r="J1485">
        <v>0</v>
      </c>
      <c r="K1485" t="str">
        <f t="shared" si="410"/>
        <v>Y</v>
      </c>
      <c r="L1485">
        <v>0</v>
      </c>
      <c r="M1485" t="str">
        <f t="shared" si="412"/>
        <v>NIS</v>
      </c>
      <c r="O1485">
        <v>1</v>
      </c>
      <c r="P1485" t="str">
        <f t="shared" si="411"/>
        <v>Active</v>
      </c>
      <c r="Q1485" t="str">
        <f>"Installation at Customer Site (Days)"</f>
        <v>Installation at Customer Site (Days)</v>
      </c>
      <c r="S1485" t="str">
        <f>"Installation at Customer Site (Days)"</f>
        <v>Installation at Customer Site (Days)</v>
      </c>
      <c r="T1485">
        <v>0</v>
      </c>
      <c r="U1485">
        <v>864</v>
      </c>
      <c r="V1485">
        <v>898.56</v>
      </c>
      <c r="W1485" t="str">
        <f t="shared" si="407"/>
        <v>rob</v>
      </c>
    </row>
    <row r="1486" spans="1:23">
      <c r="A1486" t="str">
        <f>"INST&amp;TRAIN-CIM-2"</f>
        <v>INST&amp;TRAIN-CIM-2</v>
      </c>
      <c r="B1486" t="str">
        <f>"50-0096-0000"</f>
        <v>50-0096-0000</v>
      </c>
      <c r="C1486" t="str">
        <f>"Training at Customer Site (Days)"</f>
        <v>Training at Customer Site (Days)</v>
      </c>
      <c r="D1486">
        <v>6</v>
      </c>
      <c r="E1486" t="str">
        <f>"On Site Installation &amp; Training for 2 Station CIM"</f>
        <v>On Site Installation &amp; Training for 2 Station CIM</v>
      </c>
      <c r="F1486">
        <v>560</v>
      </c>
      <c r="G1486" t="str">
        <f t="shared" si="409"/>
        <v>Y</v>
      </c>
      <c r="H1486" t="str">
        <f t="shared" si="413"/>
        <v>DA</v>
      </c>
      <c r="I1486">
        <v>0</v>
      </c>
      <c r="J1486">
        <v>0</v>
      </c>
      <c r="K1486" t="str">
        <f t="shared" si="410"/>
        <v>Y</v>
      </c>
      <c r="L1486">
        <v>0</v>
      </c>
      <c r="M1486" t="str">
        <f t="shared" si="412"/>
        <v>NIS</v>
      </c>
      <c r="O1486">
        <v>2</v>
      </c>
      <c r="P1486" t="str">
        <f t="shared" si="411"/>
        <v>Active</v>
      </c>
      <c r="Q1486" t="str">
        <f>"Training at Customer Site (Days)"</f>
        <v>Training at Customer Site (Days)</v>
      </c>
      <c r="S1486" t="str">
        <f>"Training at Customer Site (Days)"</f>
        <v>Training at Customer Site (Days)</v>
      </c>
      <c r="T1486">
        <v>0</v>
      </c>
      <c r="U1486">
        <v>864</v>
      </c>
      <c r="V1486">
        <v>898.56</v>
      </c>
      <c r="W1486" t="str">
        <f t="shared" si="407"/>
        <v>rob</v>
      </c>
    </row>
    <row r="1487" spans="1:23">
      <c r="A1487" t="str">
        <f>"INST&amp;TRAIN-CIM-3"</f>
        <v>INST&amp;TRAIN-CIM-3</v>
      </c>
      <c r="B1487" t="str">
        <f>"50-0095-0000"</f>
        <v>50-0095-0000</v>
      </c>
      <c r="C1487" t="str">
        <f>"Installation at Customer Site"</f>
        <v>Installation at Customer Site</v>
      </c>
      <c r="D1487">
        <v>8</v>
      </c>
      <c r="E1487" t="str">
        <f>"On Site Installation &amp; Training for 3 Station CIM"</f>
        <v>On Site Installation &amp; Training for 3 Station CIM</v>
      </c>
      <c r="F1487">
        <v>560</v>
      </c>
      <c r="G1487" t="str">
        <f t="shared" si="409"/>
        <v>Y</v>
      </c>
      <c r="H1487" t="str">
        <f t="shared" si="413"/>
        <v>DA</v>
      </c>
      <c r="I1487">
        <v>0</v>
      </c>
      <c r="J1487">
        <v>0</v>
      </c>
      <c r="K1487" t="str">
        <f t="shared" si="410"/>
        <v>Y</v>
      </c>
      <c r="L1487">
        <v>0</v>
      </c>
      <c r="M1487" t="str">
        <f t="shared" si="412"/>
        <v>NIS</v>
      </c>
      <c r="O1487">
        <v>1</v>
      </c>
      <c r="P1487" t="str">
        <f t="shared" si="411"/>
        <v>Active</v>
      </c>
      <c r="Q1487" t="str">
        <f>"Installation at Customer Site (Days)"</f>
        <v>Installation at Customer Site (Days)</v>
      </c>
      <c r="S1487" t="str">
        <f>"Installation at Customer Site (Days)"</f>
        <v>Installation at Customer Site (Days)</v>
      </c>
      <c r="T1487">
        <v>0</v>
      </c>
      <c r="U1487">
        <v>864</v>
      </c>
      <c r="V1487">
        <v>898.56</v>
      </c>
      <c r="W1487" t="str">
        <f t="shared" si="407"/>
        <v>rob</v>
      </c>
    </row>
    <row r="1488" spans="1:23">
      <c r="A1488" t="str">
        <f>"INST&amp;TRAIN-CIM-3"</f>
        <v>INST&amp;TRAIN-CIM-3</v>
      </c>
      <c r="B1488" t="str">
        <f>"50-0096-0000"</f>
        <v>50-0096-0000</v>
      </c>
      <c r="C1488" t="str">
        <f>"Training at Customer Site (Days)"</f>
        <v>Training at Customer Site (Days)</v>
      </c>
      <c r="D1488">
        <v>7</v>
      </c>
      <c r="E1488" t="str">
        <f>"On Site Installation &amp; Training for 3 Station CIM"</f>
        <v>On Site Installation &amp; Training for 3 Station CIM</v>
      </c>
      <c r="F1488">
        <v>560</v>
      </c>
      <c r="G1488" t="str">
        <f t="shared" si="409"/>
        <v>Y</v>
      </c>
      <c r="H1488" t="str">
        <f t="shared" si="413"/>
        <v>DA</v>
      </c>
      <c r="I1488">
        <v>0</v>
      </c>
      <c r="J1488">
        <v>0</v>
      </c>
      <c r="K1488" t="str">
        <f t="shared" si="410"/>
        <v>Y</v>
      </c>
      <c r="L1488">
        <v>0</v>
      </c>
      <c r="M1488" t="str">
        <f t="shared" si="412"/>
        <v>NIS</v>
      </c>
      <c r="O1488">
        <v>2</v>
      </c>
      <c r="P1488" t="str">
        <f t="shared" si="411"/>
        <v>Active</v>
      </c>
      <c r="Q1488" t="str">
        <f>"Training at Customer Site (Days)"</f>
        <v>Training at Customer Site (Days)</v>
      </c>
      <c r="S1488" t="str">
        <f>"Training at Customer Site (Days)"</f>
        <v>Training at Customer Site (Days)</v>
      </c>
      <c r="T1488">
        <v>0</v>
      </c>
      <c r="U1488">
        <v>864</v>
      </c>
      <c r="V1488">
        <v>898.56</v>
      </c>
      <c r="W1488" t="str">
        <f t="shared" si="407"/>
        <v>rob</v>
      </c>
    </row>
    <row r="1489" spans="1:23">
      <c r="A1489" t="str">
        <f>"INST&amp;TRAIN-CIM-4"</f>
        <v>INST&amp;TRAIN-CIM-4</v>
      </c>
      <c r="B1489" t="str">
        <f>"50-0095-0000"</f>
        <v>50-0095-0000</v>
      </c>
      <c r="C1489" t="str">
        <f>"Installation at Customer Site"</f>
        <v>Installation at Customer Site</v>
      </c>
      <c r="D1489">
        <v>10</v>
      </c>
      <c r="E1489" t="str">
        <f>"On Site Installation &amp; Training for 4 Station CIM"</f>
        <v>On Site Installation &amp; Training for 4 Station CIM</v>
      </c>
      <c r="F1489">
        <v>560</v>
      </c>
      <c r="G1489" t="str">
        <f t="shared" si="409"/>
        <v>Y</v>
      </c>
      <c r="H1489" t="str">
        <f t="shared" si="413"/>
        <v>DA</v>
      </c>
      <c r="I1489">
        <v>0</v>
      </c>
      <c r="J1489">
        <v>0</v>
      </c>
      <c r="K1489" t="str">
        <f t="shared" si="410"/>
        <v>Y</v>
      </c>
      <c r="L1489">
        <v>0</v>
      </c>
      <c r="M1489" t="str">
        <f t="shared" si="412"/>
        <v>NIS</v>
      </c>
      <c r="O1489">
        <v>1</v>
      </c>
      <c r="P1489" t="str">
        <f t="shared" si="411"/>
        <v>Active</v>
      </c>
      <c r="Q1489" t="str">
        <f>"Installation at Customer Site (Days)"</f>
        <v>Installation at Customer Site (Days)</v>
      </c>
      <c r="S1489" t="str">
        <f>"Installation at Customer Site (Days)"</f>
        <v>Installation at Customer Site (Days)</v>
      </c>
      <c r="T1489">
        <v>0</v>
      </c>
      <c r="U1489">
        <v>864</v>
      </c>
      <c r="V1489">
        <v>898.56</v>
      </c>
      <c r="W1489" t="str">
        <f t="shared" si="407"/>
        <v>rob</v>
      </c>
    </row>
    <row r="1490" spans="1:23">
      <c r="A1490" t="str">
        <f>"INST&amp;TRAIN-CIM-4"</f>
        <v>INST&amp;TRAIN-CIM-4</v>
      </c>
      <c r="B1490" t="str">
        <f>"50-0096-0000"</f>
        <v>50-0096-0000</v>
      </c>
      <c r="C1490" t="str">
        <f>"Training at Customer Site (Days)"</f>
        <v>Training at Customer Site (Days)</v>
      </c>
      <c r="D1490">
        <v>8</v>
      </c>
      <c r="E1490" t="str">
        <f>"On Site Installation &amp; Training for 4 Station CIM"</f>
        <v>On Site Installation &amp; Training for 4 Station CIM</v>
      </c>
      <c r="F1490">
        <v>560</v>
      </c>
      <c r="G1490" t="str">
        <f t="shared" si="409"/>
        <v>Y</v>
      </c>
      <c r="H1490" t="str">
        <f t="shared" si="413"/>
        <v>DA</v>
      </c>
      <c r="I1490">
        <v>0</v>
      </c>
      <c r="J1490">
        <v>0</v>
      </c>
      <c r="K1490" t="str">
        <f t="shared" si="410"/>
        <v>Y</v>
      </c>
      <c r="L1490">
        <v>0</v>
      </c>
      <c r="M1490" t="str">
        <f t="shared" si="412"/>
        <v>NIS</v>
      </c>
      <c r="O1490">
        <v>2</v>
      </c>
      <c r="P1490" t="str">
        <f t="shared" si="411"/>
        <v>Active</v>
      </c>
      <c r="Q1490" t="str">
        <f>"Training at Customer Site (Days)"</f>
        <v>Training at Customer Site (Days)</v>
      </c>
      <c r="S1490" t="str">
        <f>"Training at Customer Site (Days)"</f>
        <v>Training at Customer Site (Days)</v>
      </c>
      <c r="T1490">
        <v>0</v>
      </c>
      <c r="U1490">
        <v>864</v>
      </c>
      <c r="V1490">
        <v>898.56</v>
      </c>
      <c r="W1490" t="str">
        <f t="shared" si="407"/>
        <v>rob</v>
      </c>
    </row>
    <row r="1491" spans="1:23">
      <c r="A1491" t="str">
        <f>"INST&amp;TRAIN-CIM-5"</f>
        <v>INST&amp;TRAIN-CIM-5</v>
      </c>
      <c r="B1491" t="str">
        <f>"50-0095-0000"</f>
        <v>50-0095-0000</v>
      </c>
      <c r="C1491" t="str">
        <f>"Installation at Customer Site"</f>
        <v>Installation at Customer Site</v>
      </c>
      <c r="D1491">
        <v>12</v>
      </c>
      <c r="E1491" t="str">
        <f>"On Site Installation &amp; Training for 5 Station CIM"</f>
        <v>On Site Installation &amp; Training for 5 Station CIM</v>
      </c>
      <c r="F1491">
        <v>560</v>
      </c>
      <c r="G1491" t="str">
        <f t="shared" si="409"/>
        <v>Y</v>
      </c>
      <c r="H1491" t="str">
        <f t="shared" si="413"/>
        <v>DA</v>
      </c>
      <c r="I1491">
        <v>0</v>
      </c>
      <c r="J1491">
        <v>0</v>
      </c>
      <c r="K1491" t="str">
        <f t="shared" si="410"/>
        <v>Y</v>
      </c>
      <c r="L1491">
        <v>0</v>
      </c>
      <c r="M1491" t="str">
        <f t="shared" si="412"/>
        <v>NIS</v>
      </c>
      <c r="O1491">
        <v>1</v>
      </c>
      <c r="P1491" t="str">
        <f t="shared" si="411"/>
        <v>Active</v>
      </c>
      <c r="Q1491" t="str">
        <f>"Installation at Customer Site (Days)"</f>
        <v>Installation at Customer Site (Days)</v>
      </c>
      <c r="S1491" t="str">
        <f>"Installation at Customer Site (Days)"</f>
        <v>Installation at Customer Site (Days)</v>
      </c>
      <c r="T1491">
        <v>0</v>
      </c>
      <c r="U1491">
        <v>864</v>
      </c>
      <c r="V1491">
        <v>898.56</v>
      </c>
      <c r="W1491" t="str">
        <f t="shared" si="407"/>
        <v>rob</v>
      </c>
    </row>
    <row r="1492" spans="1:23">
      <c r="A1492" t="str">
        <f>"INST&amp;TRAIN-CIM-5"</f>
        <v>INST&amp;TRAIN-CIM-5</v>
      </c>
      <c r="B1492" t="str">
        <f>"50-0096-0000"</f>
        <v>50-0096-0000</v>
      </c>
      <c r="C1492" t="str">
        <f>"Training at Customer Site (Days)"</f>
        <v>Training at Customer Site (Days)</v>
      </c>
      <c r="D1492">
        <v>8</v>
      </c>
      <c r="E1492" t="str">
        <f>"On Site Installation &amp; Training for 5 Station CIM"</f>
        <v>On Site Installation &amp; Training for 5 Station CIM</v>
      </c>
      <c r="F1492">
        <v>560</v>
      </c>
      <c r="G1492" t="str">
        <f t="shared" si="409"/>
        <v>Y</v>
      </c>
      <c r="H1492" t="str">
        <f t="shared" si="413"/>
        <v>DA</v>
      </c>
      <c r="I1492">
        <v>0</v>
      </c>
      <c r="J1492">
        <v>0</v>
      </c>
      <c r="K1492" t="str">
        <f t="shared" si="410"/>
        <v>Y</v>
      </c>
      <c r="L1492">
        <v>0</v>
      </c>
      <c r="M1492" t="str">
        <f t="shared" si="412"/>
        <v>NIS</v>
      </c>
      <c r="O1492">
        <v>2</v>
      </c>
      <c r="P1492" t="str">
        <f t="shared" si="411"/>
        <v>Active</v>
      </c>
      <c r="Q1492" t="str">
        <f>"Training at Customer Site (Days)"</f>
        <v>Training at Customer Site (Days)</v>
      </c>
      <c r="S1492" t="str">
        <f>"Training at Customer Site (Days)"</f>
        <v>Training at Customer Site (Days)</v>
      </c>
      <c r="T1492">
        <v>0</v>
      </c>
      <c r="U1492">
        <v>864</v>
      </c>
      <c r="V1492">
        <v>898.56</v>
      </c>
      <c r="W1492" t="str">
        <f t="shared" si="407"/>
        <v>rob</v>
      </c>
    </row>
    <row r="1493" spans="1:23">
      <c r="A1493" t="str">
        <f>"INST&amp;TRAIN-CIM-6"</f>
        <v>INST&amp;TRAIN-CIM-6</v>
      </c>
      <c r="B1493" t="str">
        <f>"50-0095-0000"</f>
        <v>50-0095-0000</v>
      </c>
      <c r="C1493" t="str">
        <f>"Installation at Customer Site"</f>
        <v>Installation at Customer Site</v>
      </c>
      <c r="D1493">
        <v>14</v>
      </c>
      <c r="E1493" t="str">
        <f>"On Site Installation &amp; Training for 6 Station CIM"</f>
        <v>On Site Installation &amp; Training for 6 Station CIM</v>
      </c>
      <c r="F1493">
        <v>560</v>
      </c>
      <c r="G1493" t="str">
        <f t="shared" si="409"/>
        <v>Y</v>
      </c>
      <c r="H1493" t="str">
        <f t="shared" si="413"/>
        <v>DA</v>
      </c>
      <c r="I1493">
        <v>0</v>
      </c>
      <c r="J1493">
        <v>0</v>
      </c>
      <c r="K1493" t="str">
        <f t="shared" si="410"/>
        <v>Y</v>
      </c>
      <c r="L1493">
        <v>0</v>
      </c>
      <c r="M1493" t="str">
        <f t="shared" si="412"/>
        <v>NIS</v>
      </c>
      <c r="O1493">
        <v>1</v>
      </c>
      <c r="P1493" t="str">
        <f t="shared" si="411"/>
        <v>Active</v>
      </c>
      <c r="Q1493" t="str">
        <f>"Installation at Customer Site (Days)"</f>
        <v>Installation at Customer Site (Days)</v>
      </c>
      <c r="S1493" t="str">
        <f>"Installation at Customer Site (Days)"</f>
        <v>Installation at Customer Site (Days)</v>
      </c>
      <c r="T1493">
        <v>0</v>
      </c>
      <c r="U1493">
        <v>864</v>
      </c>
      <c r="V1493">
        <v>898.56</v>
      </c>
      <c r="W1493" t="str">
        <f t="shared" si="407"/>
        <v>rob</v>
      </c>
    </row>
    <row r="1494" spans="1:23">
      <c r="A1494" t="str">
        <f>"INST&amp;TRAIN-CIM-6"</f>
        <v>INST&amp;TRAIN-CIM-6</v>
      </c>
      <c r="B1494" t="str">
        <f>"50-0096-0000"</f>
        <v>50-0096-0000</v>
      </c>
      <c r="C1494" t="str">
        <f>"Training at Customer Site (Days)"</f>
        <v>Training at Customer Site (Days)</v>
      </c>
      <c r="D1494">
        <v>10</v>
      </c>
      <c r="E1494" t="str">
        <f>"On Site Installation &amp; Training for 6 Station CIM"</f>
        <v>On Site Installation &amp; Training for 6 Station CIM</v>
      </c>
      <c r="F1494">
        <v>560</v>
      </c>
      <c r="G1494" t="str">
        <f t="shared" si="409"/>
        <v>Y</v>
      </c>
      <c r="H1494" t="str">
        <f t="shared" si="413"/>
        <v>DA</v>
      </c>
      <c r="I1494">
        <v>0</v>
      </c>
      <c r="J1494">
        <v>0</v>
      </c>
      <c r="K1494" t="str">
        <f t="shared" si="410"/>
        <v>Y</v>
      </c>
      <c r="L1494">
        <v>0</v>
      </c>
      <c r="M1494" t="str">
        <f t="shared" si="412"/>
        <v>NIS</v>
      </c>
      <c r="O1494">
        <v>2</v>
      </c>
      <c r="P1494" t="str">
        <f t="shared" si="411"/>
        <v>Active</v>
      </c>
      <c r="Q1494" t="str">
        <f>"Training at Customer Site (Days)"</f>
        <v>Training at Customer Site (Days)</v>
      </c>
      <c r="S1494" t="str">
        <f>"Training at Customer Site (Days)"</f>
        <v>Training at Customer Site (Days)</v>
      </c>
      <c r="T1494">
        <v>0</v>
      </c>
      <c r="U1494">
        <v>864</v>
      </c>
      <c r="V1494">
        <v>898.56</v>
      </c>
      <c r="W1494" t="str">
        <f t="shared" si="407"/>
        <v>rob</v>
      </c>
    </row>
    <row r="1495" spans="1:23">
      <c r="A1495" t="str">
        <f>"INST&amp;TRAIN-CIM-7"</f>
        <v>INST&amp;TRAIN-CIM-7</v>
      </c>
      <c r="B1495" t="str">
        <f>"50-0095-0000"</f>
        <v>50-0095-0000</v>
      </c>
      <c r="C1495" t="str">
        <f>"Installation at Customer Site"</f>
        <v>Installation at Customer Site</v>
      </c>
      <c r="D1495">
        <v>15</v>
      </c>
      <c r="E1495" t="str">
        <f>"On Site Installation &amp; Training for 7 Station CIM"</f>
        <v>On Site Installation &amp; Training for 7 Station CIM</v>
      </c>
      <c r="F1495">
        <v>560</v>
      </c>
      <c r="G1495" t="str">
        <f t="shared" si="409"/>
        <v>Y</v>
      </c>
      <c r="H1495" t="str">
        <f t="shared" si="413"/>
        <v>DA</v>
      </c>
      <c r="I1495">
        <v>0</v>
      </c>
      <c r="J1495">
        <v>0</v>
      </c>
      <c r="K1495" t="str">
        <f t="shared" si="410"/>
        <v>Y</v>
      </c>
      <c r="L1495">
        <v>0</v>
      </c>
      <c r="M1495" t="str">
        <f t="shared" si="412"/>
        <v>NIS</v>
      </c>
      <c r="O1495">
        <v>1</v>
      </c>
      <c r="P1495" t="str">
        <f t="shared" si="411"/>
        <v>Active</v>
      </c>
      <c r="Q1495" t="str">
        <f>"Installation at Customer Site (Days)"</f>
        <v>Installation at Customer Site (Days)</v>
      </c>
      <c r="S1495" t="str">
        <f>"Installation at Customer Site (Days)"</f>
        <v>Installation at Customer Site (Days)</v>
      </c>
      <c r="T1495">
        <v>0</v>
      </c>
      <c r="U1495">
        <v>864</v>
      </c>
      <c r="V1495">
        <v>898.56</v>
      </c>
      <c r="W1495" t="str">
        <f t="shared" si="407"/>
        <v>rob</v>
      </c>
    </row>
    <row r="1496" spans="1:23">
      <c r="A1496" t="str">
        <f>"INST&amp;TRAIN-CIM-7"</f>
        <v>INST&amp;TRAIN-CIM-7</v>
      </c>
      <c r="B1496" t="str">
        <f>"50-0096-0000"</f>
        <v>50-0096-0000</v>
      </c>
      <c r="C1496" t="str">
        <f>"Training at Customer Site (Days)"</f>
        <v>Training at Customer Site (Days)</v>
      </c>
      <c r="D1496">
        <v>12</v>
      </c>
      <c r="E1496" t="str">
        <f>"On Site Installation &amp; Training for 7 Station CIM"</f>
        <v>On Site Installation &amp; Training for 7 Station CIM</v>
      </c>
      <c r="F1496">
        <v>560</v>
      </c>
      <c r="G1496" t="str">
        <f t="shared" si="409"/>
        <v>Y</v>
      </c>
      <c r="H1496" t="str">
        <f t="shared" si="413"/>
        <v>DA</v>
      </c>
      <c r="I1496">
        <v>0</v>
      </c>
      <c r="J1496">
        <v>0</v>
      </c>
      <c r="K1496" t="str">
        <f t="shared" si="410"/>
        <v>Y</v>
      </c>
      <c r="L1496">
        <v>0</v>
      </c>
      <c r="M1496" t="str">
        <f t="shared" si="412"/>
        <v>NIS</v>
      </c>
      <c r="O1496">
        <v>2</v>
      </c>
      <c r="P1496" t="str">
        <f t="shared" si="411"/>
        <v>Active</v>
      </c>
      <c r="Q1496" t="str">
        <f>"Training at Customer Site (Days)"</f>
        <v>Training at Customer Site (Days)</v>
      </c>
      <c r="S1496" t="str">
        <f>"Training at Customer Site (Days)"</f>
        <v>Training at Customer Site (Days)</v>
      </c>
      <c r="T1496">
        <v>0</v>
      </c>
      <c r="U1496">
        <v>864</v>
      </c>
      <c r="V1496">
        <v>898.56</v>
      </c>
      <c r="W1496" t="str">
        <f t="shared" si="407"/>
        <v>rob</v>
      </c>
    </row>
    <row r="1497" spans="1:23">
      <c r="A1497" t="str">
        <f>"INST&amp;TRAIN-CIM-8"</f>
        <v>INST&amp;TRAIN-CIM-8</v>
      </c>
      <c r="B1497" t="str">
        <f>"50-0095-0000"</f>
        <v>50-0095-0000</v>
      </c>
      <c r="C1497" t="str">
        <f>"Installation at Customer Site"</f>
        <v>Installation at Customer Site</v>
      </c>
      <c r="D1497">
        <v>16</v>
      </c>
      <c r="E1497" t="str">
        <f>"On Site Installation &amp; Training for 8 Station CIM"</f>
        <v>On Site Installation &amp; Training for 8 Station CIM</v>
      </c>
      <c r="F1497">
        <v>560</v>
      </c>
      <c r="G1497" t="str">
        <f t="shared" si="409"/>
        <v>Y</v>
      </c>
      <c r="H1497" t="str">
        <f t="shared" si="413"/>
        <v>DA</v>
      </c>
      <c r="I1497">
        <v>0</v>
      </c>
      <c r="J1497">
        <v>0</v>
      </c>
      <c r="K1497" t="str">
        <f t="shared" si="410"/>
        <v>Y</v>
      </c>
      <c r="L1497">
        <v>0</v>
      </c>
      <c r="M1497" t="str">
        <f t="shared" si="412"/>
        <v>NIS</v>
      </c>
      <c r="O1497">
        <v>1</v>
      </c>
      <c r="P1497" t="str">
        <f t="shared" si="411"/>
        <v>Active</v>
      </c>
      <c r="Q1497" t="str">
        <f>"Installation at Customer Site (Days)"</f>
        <v>Installation at Customer Site (Days)</v>
      </c>
      <c r="S1497" t="str">
        <f>"Installation at Customer Site (Days)"</f>
        <v>Installation at Customer Site (Days)</v>
      </c>
      <c r="T1497">
        <v>0</v>
      </c>
      <c r="U1497">
        <v>864</v>
      </c>
      <c r="V1497">
        <v>898.56</v>
      </c>
      <c r="W1497" t="str">
        <f t="shared" si="407"/>
        <v>rob</v>
      </c>
    </row>
    <row r="1498" spans="1:23">
      <c r="A1498" t="str">
        <f>"INST&amp;TRAIN-CIM-8"</f>
        <v>INST&amp;TRAIN-CIM-8</v>
      </c>
      <c r="B1498" t="str">
        <f>"50-0096-0000"</f>
        <v>50-0096-0000</v>
      </c>
      <c r="C1498" t="str">
        <f>"Training at Customer Site (Days)"</f>
        <v>Training at Customer Site (Days)</v>
      </c>
      <c r="D1498">
        <v>14</v>
      </c>
      <c r="E1498" t="str">
        <f>"On Site Installation &amp; Training for 8 Station CIM"</f>
        <v>On Site Installation &amp; Training for 8 Station CIM</v>
      </c>
      <c r="F1498">
        <v>560</v>
      </c>
      <c r="G1498" t="str">
        <f t="shared" si="409"/>
        <v>Y</v>
      </c>
      <c r="H1498" t="str">
        <f t="shared" si="413"/>
        <v>DA</v>
      </c>
      <c r="I1498">
        <v>0</v>
      </c>
      <c r="J1498">
        <v>0</v>
      </c>
      <c r="K1498" t="str">
        <f t="shared" si="410"/>
        <v>Y</v>
      </c>
      <c r="L1498">
        <v>0</v>
      </c>
      <c r="M1498" t="str">
        <f t="shared" si="412"/>
        <v>NIS</v>
      </c>
      <c r="O1498">
        <v>2</v>
      </c>
      <c r="P1498" t="str">
        <f t="shared" si="411"/>
        <v>Active</v>
      </c>
      <c r="Q1498" t="str">
        <f>"Training at Customer Site (Days)"</f>
        <v>Training at Customer Site (Days)</v>
      </c>
      <c r="S1498" t="str">
        <f>"Training at Customer Site (Days)"</f>
        <v>Training at Customer Site (Days)</v>
      </c>
      <c r="T1498">
        <v>0</v>
      </c>
      <c r="U1498">
        <v>864</v>
      </c>
      <c r="V1498">
        <v>898.56</v>
      </c>
      <c r="W1498" t="str">
        <f t="shared" si="407"/>
        <v>rob</v>
      </c>
    </row>
    <row r="1499" spans="1:23">
      <c r="A1499" t="str">
        <f>"INST&amp;TRAIN-MTS-1"</f>
        <v>INST&amp;TRAIN-MTS-1</v>
      </c>
      <c r="B1499" t="str">
        <f>"50-0095-0000"</f>
        <v>50-0095-0000</v>
      </c>
      <c r="C1499" t="str">
        <f>"Installation at Customer Site"</f>
        <v>Installation at Customer Site</v>
      </c>
      <c r="D1499">
        <v>2</v>
      </c>
      <c r="E1499" t="str">
        <f>"On Site Installation &amp; Training for MTS with 1 CNC"</f>
        <v>On Site Installation &amp; Training for MTS with 1 CNC</v>
      </c>
      <c r="F1499">
        <v>560</v>
      </c>
      <c r="G1499" t="str">
        <f t="shared" si="409"/>
        <v>Y</v>
      </c>
      <c r="H1499" t="str">
        <f t="shared" si="413"/>
        <v>DA</v>
      </c>
      <c r="I1499">
        <v>0</v>
      </c>
      <c r="J1499">
        <v>0</v>
      </c>
      <c r="K1499" t="str">
        <f t="shared" si="410"/>
        <v>Y</v>
      </c>
      <c r="L1499">
        <v>0</v>
      </c>
      <c r="M1499" t="str">
        <f t="shared" si="412"/>
        <v>NIS</v>
      </c>
      <c r="O1499">
        <v>1</v>
      </c>
      <c r="P1499" t="str">
        <f t="shared" si="411"/>
        <v>Active</v>
      </c>
      <c r="Q1499" t="str">
        <f>"Installation at Customer Site (Days)"</f>
        <v>Installation at Customer Site (Days)</v>
      </c>
      <c r="S1499" t="str">
        <f>"Installation at Customer Site (Days)"</f>
        <v>Installation at Customer Site (Days)</v>
      </c>
      <c r="T1499">
        <v>0</v>
      </c>
      <c r="U1499">
        <v>864</v>
      </c>
      <c r="V1499">
        <v>898.56</v>
      </c>
      <c r="W1499" t="str">
        <f t="shared" si="407"/>
        <v>rob</v>
      </c>
    </row>
    <row r="1500" spans="1:23">
      <c r="A1500" t="str">
        <f>"INST&amp;TRAIN-MTS-1"</f>
        <v>INST&amp;TRAIN-MTS-1</v>
      </c>
      <c r="B1500" t="str">
        <f>"50-0096-0000"</f>
        <v>50-0096-0000</v>
      </c>
      <c r="C1500" t="str">
        <f>"Training at Customer Site (Days)"</f>
        <v>Training at Customer Site (Days)</v>
      </c>
      <c r="D1500">
        <v>2</v>
      </c>
      <c r="E1500" t="str">
        <f>"On Site Installation &amp; Training for MTS with 1 CNC"</f>
        <v>On Site Installation &amp; Training for MTS with 1 CNC</v>
      </c>
      <c r="F1500">
        <v>560</v>
      </c>
      <c r="G1500" t="str">
        <f t="shared" si="409"/>
        <v>Y</v>
      </c>
      <c r="H1500" t="str">
        <f t="shared" si="413"/>
        <v>DA</v>
      </c>
      <c r="I1500">
        <v>0</v>
      </c>
      <c r="J1500">
        <v>0</v>
      </c>
      <c r="K1500" t="str">
        <f t="shared" si="410"/>
        <v>Y</v>
      </c>
      <c r="L1500">
        <v>0</v>
      </c>
      <c r="M1500" t="str">
        <f t="shared" si="412"/>
        <v>NIS</v>
      </c>
      <c r="O1500">
        <v>2</v>
      </c>
      <c r="P1500" t="str">
        <f t="shared" si="411"/>
        <v>Active</v>
      </c>
      <c r="Q1500" t="str">
        <f>"Training at Customer Site (Days)"</f>
        <v>Training at Customer Site (Days)</v>
      </c>
      <c r="S1500" t="str">
        <f>"Training at Customer Site (Days)"</f>
        <v>Training at Customer Site (Days)</v>
      </c>
      <c r="T1500">
        <v>0</v>
      </c>
      <c r="U1500">
        <v>864</v>
      </c>
      <c r="V1500">
        <v>898.56</v>
      </c>
      <c r="W1500" t="str">
        <f t="shared" si="407"/>
        <v>rob</v>
      </c>
    </row>
    <row r="1501" spans="1:23">
      <c r="A1501" t="str">
        <f>"INST&amp;TRAIN-MTS-2"</f>
        <v>INST&amp;TRAIN-MTS-2</v>
      </c>
      <c r="B1501" t="str">
        <f>"50-0095-0000"</f>
        <v>50-0095-0000</v>
      </c>
      <c r="C1501" t="str">
        <f>"Installation at Customer Site"</f>
        <v>Installation at Customer Site</v>
      </c>
      <c r="D1501">
        <v>3</v>
      </c>
      <c r="E1501" t="str">
        <f>"On Site Installation &amp; Training for MTS with 2 CNC"</f>
        <v>On Site Installation &amp; Training for MTS with 2 CNC</v>
      </c>
      <c r="F1501">
        <v>560</v>
      </c>
      <c r="G1501" t="str">
        <f t="shared" si="409"/>
        <v>Y</v>
      </c>
      <c r="H1501" t="str">
        <f t="shared" si="413"/>
        <v>DA</v>
      </c>
      <c r="I1501">
        <v>0</v>
      </c>
      <c r="J1501">
        <v>0</v>
      </c>
      <c r="K1501" t="str">
        <f t="shared" si="410"/>
        <v>Y</v>
      </c>
      <c r="L1501">
        <v>0</v>
      </c>
      <c r="M1501" t="str">
        <f t="shared" si="412"/>
        <v>NIS</v>
      </c>
      <c r="O1501">
        <v>1</v>
      </c>
      <c r="P1501" t="str">
        <f t="shared" si="411"/>
        <v>Active</v>
      </c>
      <c r="Q1501" t="str">
        <f>"Installation at Customer Site (Days)"</f>
        <v>Installation at Customer Site (Days)</v>
      </c>
      <c r="S1501" t="str">
        <f>"Installation at Customer Site (Days)"</f>
        <v>Installation at Customer Site (Days)</v>
      </c>
      <c r="T1501">
        <v>0</v>
      </c>
      <c r="U1501">
        <v>864</v>
      </c>
      <c r="V1501">
        <v>898.56</v>
      </c>
      <c r="W1501" t="str">
        <f t="shared" si="407"/>
        <v>rob</v>
      </c>
    </row>
    <row r="1502" spans="1:23">
      <c r="A1502" t="str">
        <f>"INST&amp;TRAIN-MTS-2"</f>
        <v>INST&amp;TRAIN-MTS-2</v>
      </c>
      <c r="B1502" t="str">
        <f>"50-0096-0000"</f>
        <v>50-0096-0000</v>
      </c>
      <c r="C1502" t="str">
        <f>"Training at Customer Site (Days)"</f>
        <v>Training at Customer Site (Days)</v>
      </c>
      <c r="D1502">
        <v>3</v>
      </c>
      <c r="E1502" t="str">
        <f>"On Site Installation &amp; Training for MTS with 2 CNC"</f>
        <v>On Site Installation &amp; Training for MTS with 2 CNC</v>
      </c>
      <c r="F1502">
        <v>560</v>
      </c>
      <c r="G1502" t="str">
        <f t="shared" si="409"/>
        <v>Y</v>
      </c>
      <c r="H1502" t="str">
        <f t="shared" si="413"/>
        <v>DA</v>
      </c>
      <c r="I1502">
        <v>0</v>
      </c>
      <c r="J1502">
        <v>0</v>
      </c>
      <c r="K1502" t="str">
        <f t="shared" si="410"/>
        <v>Y</v>
      </c>
      <c r="L1502">
        <v>0</v>
      </c>
      <c r="M1502" t="str">
        <f t="shared" si="412"/>
        <v>NIS</v>
      </c>
      <c r="O1502">
        <v>2</v>
      </c>
      <c r="P1502" t="str">
        <f t="shared" si="411"/>
        <v>Active</v>
      </c>
      <c r="Q1502" t="str">
        <f>"Training at Customer Site (Days)"</f>
        <v>Training at Customer Site (Days)</v>
      </c>
      <c r="S1502" t="str">
        <f>"Training at Customer Site (Days)"</f>
        <v>Training at Customer Site (Days)</v>
      </c>
      <c r="T1502">
        <v>0</v>
      </c>
      <c r="U1502">
        <v>864</v>
      </c>
      <c r="V1502">
        <v>898.56</v>
      </c>
      <c r="W1502" t="str">
        <f t="shared" si="407"/>
        <v>rob</v>
      </c>
    </row>
    <row r="1503" spans="1:23">
      <c r="A1503" t="str">
        <f>"INSTALLATION"</f>
        <v>INSTALLATION</v>
      </c>
      <c r="B1503" t="str">
        <f t="shared" ref="B1503:B1511" si="414">"50-0095-0000"</f>
        <v>50-0095-0000</v>
      </c>
      <c r="C1503" t="str">
        <f t="shared" ref="C1503:C1511" si="415">"Installation at Customer Site"</f>
        <v>Installation at Customer Site</v>
      </c>
      <c r="D1503">
        <v>1</v>
      </c>
      <c r="E1503" t="str">
        <f>"On Site Installation"</f>
        <v>On Site Installation</v>
      </c>
      <c r="F1503">
        <v>560</v>
      </c>
      <c r="G1503" t="str">
        <f t="shared" si="409"/>
        <v>Y</v>
      </c>
      <c r="H1503" t="str">
        <f t="shared" si="413"/>
        <v>DA</v>
      </c>
      <c r="I1503">
        <v>0</v>
      </c>
      <c r="J1503">
        <v>0</v>
      </c>
      <c r="K1503" t="str">
        <f t="shared" si="410"/>
        <v>Y</v>
      </c>
      <c r="L1503">
        <v>0</v>
      </c>
      <c r="M1503" t="str">
        <f t="shared" si="412"/>
        <v>NIS</v>
      </c>
      <c r="O1503">
        <v>1</v>
      </c>
      <c r="P1503" t="str">
        <f t="shared" si="411"/>
        <v>Active</v>
      </c>
      <c r="Q1503" t="str">
        <f t="shared" ref="Q1503:Q1511" si="416">"Installation at Customer Site (Days)"</f>
        <v>Installation at Customer Site (Days)</v>
      </c>
      <c r="S1503" t="str">
        <f t="shared" ref="S1503:S1511" si="417">"Installation at Customer Site (Days)"</f>
        <v>Installation at Customer Site (Days)</v>
      </c>
      <c r="T1503">
        <v>0</v>
      </c>
      <c r="U1503">
        <v>864</v>
      </c>
      <c r="V1503">
        <v>898.56</v>
      </c>
      <c r="W1503" t="str">
        <f t="shared" si="407"/>
        <v>rob</v>
      </c>
    </row>
    <row r="1504" spans="1:23">
      <c r="A1504" t="str">
        <f>"INST-CIM-1"</f>
        <v>INST-CIM-1</v>
      </c>
      <c r="B1504" t="str">
        <f t="shared" si="414"/>
        <v>50-0095-0000</v>
      </c>
      <c r="C1504" t="str">
        <f t="shared" si="415"/>
        <v>Installation at Customer Site</v>
      </c>
      <c r="D1504">
        <v>2</v>
      </c>
      <c r="E1504" t="str">
        <f>"On Site Installation - additional CIM Station"</f>
        <v>On Site Installation - additional CIM Station</v>
      </c>
      <c r="F1504">
        <v>560</v>
      </c>
      <c r="G1504" t="str">
        <f t="shared" si="409"/>
        <v>Y</v>
      </c>
      <c r="H1504" t="str">
        <f t="shared" si="413"/>
        <v>DA</v>
      </c>
      <c r="I1504">
        <v>0</v>
      </c>
      <c r="J1504">
        <v>0</v>
      </c>
      <c r="K1504" t="str">
        <f t="shared" si="410"/>
        <v>Y</v>
      </c>
      <c r="L1504">
        <v>0</v>
      </c>
      <c r="M1504" t="str">
        <f t="shared" si="412"/>
        <v>NIS</v>
      </c>
      <c r="O1504">
        <v>1</v>
      </c>
      <c r="P1504" t="str">
        <f t="shared" si="411"/>
        <v>Active</v>
      </c>
      <c r="Q1504" t="str">
        <f t="shared" si="416"/>
        <v>Installation at Customer Site (Days)</v>
      </c>
      <c r="S1504" t="str">
        <f t="shared" si="417"/>
        <v>Installation at Customer Site (Days)</v>
      </c>
      <c r="T1504">
        <v>0</v>
      </c>
      <c r="U1504">
        <v>864</v>
      </c>
      <c r="V1504">
        <v>898.56</v>
      </c>
      <c r="W1504" t="str">
        <f t="shared" si="407"/>
        <v>rob</v>
      </c>
    </row>
    <row r="1505" spans="1:23">
      <c r="A1505" t="str">
        <f>"INST-CIM-2"</f>
        <v>INST-CIM-2</v>
      </c>
      <c r="B1505" t="str">
        <f t="shared" si="414"/>
        <v>50-0095-0000</v>
      </c>
      <c r="C1505" t="str">
        <f t="shared" si="415"/>
        <v>Installation at Customer Site</v>
      </c>
      <c r="D1505">
        <v>5</v>
      </c>
      <c r="E1505" t="str">
        <f>"On Site Installation - 2 Station CIM"</f>
        <v>On Site Installation - 2 Station CIM</v>
      </c>
      <c r="F1505">
        <v>560</v>
      </c>
      <c r="G1505" t="str">
        <f t="shared" si="409"/>
        <v>Y</v>
      </c>
      <c r="H1505" t="str">
        <f t="shared" si="413"/>
        <v>DA</v>
      </c>
      <c r="I1505">
        <v>0</v>
      </c>
      <c r="J1505">
        <v>0</v>
      </c>
      <c r="K1505" t="str">
        <f t="shared" si="410"/>
        <v>Y</v>
      </c>
      <c r="L1505">
        <v>0</v>
      </c>
      <c r="M1505" t="str">
        <f t="shared" si="412"/>
        <v>NIS</v>
      </c>
      <c r="O1505">
        <v>1</v>
      </c>
      <c r="P1505" t="str">
        <f t="shared" si="411"/>
        <v>Active</v>
      </c>
      <c r="Q1505" t="str">
        <f t="shared" si="416"/>
        <v>Installation at Customer Site (Days)</v>
      </c>
      <c r="S1505" t="str">
        <f t="shared" si="417"/>
        <v>Installation at Customer Site (Days)</v>
      </c>
      <c r="T1505">
        <v>0</v>
      </c>
      <c r="U1505">
        <v>864</v>
      </c>
      <c r="V1505">
        <v>898.56</v>
      </c>
      <c r="W1505" t="str">
        <f t="shared" si="407"/>
        <v>rob</v>
      </c>
    </row>
    <row r="1506" spans="1:23">
      <c r="A1506" t="str">
        <f>"INST-CIM-3"</f>
        <v>INST-CIM-3</v>
      </c>
      <c r="B1506" t="str">
        <f t="shared" si="414"/>
        <v>50-0095-0000</v>
      </c>
      <c r="C1506" t="str">
        <f t="shared" si="415"/>
        <v>Installation at Customer Site</v>
      </c>
      <c r="D1506">
        <v>8</v>
      </c>
      <c r="E1506" t="str">
        <f>"On Site Installation - 3 Station CIM"</f>
        <v>On Site Installation - 3 Station CIM</v>
      </c>
      <c r="F1506">
        <v>560</v>
      </c>
      <c r="G1506" t="str">
        <f t="shared" si="409"/>
        <v>Y</v>
      </c>
      <c r="H1506" t="str">
        <f t="shared" si="413"/>
        <v>DA</v>
      </c>
      <c r="I1506">
        <v>0</v>
      </c>
      <c r="J1506">
        <v>0</v>
      </c>
      <c r="K1506" t="str">
        <f t="shared" si="410"/>
        <v>Y</v>
      </c>
      <c r="L1506">
        <v>0</v>
      </c>
      <c r="M1506" t="str">
        <f t="shared" si="412"/>
        <v>NIS</v>
      </c>
      <c r="O1506">
        <v>1</v>
      </c>
      <c r="P1506" t="str">
        <f t="shared" si="411"/>
        <v>Active</v>
      </c>
      <c r="Q1506" t="str">
        <f t="shared" si="416"/>
        <v>Installation at Customer Site (Days)</v>
      </c>
      <c r="S1506" t="str">
        <f t="shared" si="417"/>
        <v>Installation at Customer Site (Days)</v>
      </c>
      <c r="T1506">
        <v>0</v>
      </c>
      <c r="U1506">
        <v>864</v>
      </c>
      <c r="V1506">
        <v>898.56</v>
      </c>
      <c r="W1506" t="str">
        <f t="shared" si="407"/>
        <v>rob</v>
      </c>
    </row>
    <row r="1507" spans="1:23">
      <c r="A1507" t="str">
        <f>"INST-CIM-4"</f>
        <v>INST-CIM-4</v>
      </c>
      <c r="B1507" t="str">
        <f t="shared" si="414"/>
        <v>50-0095-0000</v>
      </c>
      <c r="C1507" t="str">
        <f t="shared" si="415"/>
        <v>Installation at Customer Site</v>
      </c>
      <c r="D1507">
        <v>10</v>
      </c>
      <c r="E1507" t="str">
        <f>"On Site Installation - 4 Station CIM"</f>
        <v>On Site Installation - 4 Station CIM</v>
      </c>
      <c r="F1507">
        <v>560</v>
      </c>
      <c r="G1507" t="str">
        <f t="shared" si="409"/>
        <v>Y</v>
      </c>
      <c r="H1507" t="str">
        <f t="shared" si="413"/>
        <v>DA</v>
      </c>
      <c r="I1507">
        <v>0</v>
      </c>
      <c r="J1507">
        <v>0</v>
      </c>
      <c r="K1507" t="str">
        <f t="shared" si="410"/>
        <v>Y</v>
      </c>
      <c r="L1507">
        <v>0</v>
      </c>
      <c r="M1507" t="str">
        <f t="shared" si="412"/>
        <v>NIS</v>
      </c>
      <c r="O1507">
        <v>1</v>
      </c>
      <c r="P1507" t="str">
        <f t="shared" si="411"/>
        <v>Active</v>
      </c>
      <c r="Q1507" t="str">
        <f t="shared" si="416"/>
        <v>Installation at Customer Site (Days)</v>
      </c>
      <c r="S1507" t="str">
        <f t="shared" si="417"/>
        <v>Installation at Customer Site (Days)</v>
      </c>
      <c r="T1507">
        <v>0</v>
      </c>
      <c r="U1507">
        <v>864</v>
      </c>
      <c r="V1507">
        <v>898.56</v>
      </c>
      <c r="W1507" t="str">
        <f t="shared" si="407"/>
        <v>rob</v>
      </c>
    </row>
    <row r="1508" spans="1:23">
      <c r="A1508" t="str">
        <f>"INST-CIM-5"</f>
        <v>INST-CIM-5</v>
      </c>
      <c r="B1508" t="str">
        <f t="shared" si="414"/>
        <v>50-0095-0000</v>
      </c>
      <c r="C1508" t="str">
        <f t="shared" si="415"/>
        <v>Installation at Customer Site</v>
      </c>
      <c r="D1508">
        <v>12</v>
      </c>
      <c r="E1508" t="str">
        <f>"On Site Installation - 5 Station CIM"</f>
        <v>On Site Installation - 5 Station CIM</v>
      </c>
      <c r="F1508">
        <v>560</v>
      </c>
      <c r="G1508" t="str">
        <f t="shared" si="409"/>
        <v>Y</v>
      </c>
      <c r="H1508" t="str">
        <f t="shared" si="413"/>
        <v>DA</v>
      </c>
      <c r="I1508">
        <v>0</v>
      </c>
      <c r="J1508">
        <v>0</v>
      </c>
      <c r="K1508" t="str">
        <f t="shared" si="410"/>
        <v>Y</v>
      </c>
      <c r="L1508">
        <v>0</v>
      </c>
      <c r="M1508" t="str">
        <f t="shared" si="412"/>
        <v>NIS</v>
      </c>
      <c r="O1508">
        <v>1</v>
      </c>
      <c r="P1508" t="str">
        <f t="shared" si="411"/>
        <v>Active</v>
      </c>
      <c r="Q1508" t="str">
        <f t="shared" si="416"/>
        <v>Installation at Customer Site (Days)</v>
      </c>
      <c r="S1508" t="str">
        <f t="shared" si="417"/>
        <v>Installation at Customer Site (Days)</v>
      </c>
      <c r="T1508">
        <v>0</v>
      </c>
      <c r="U1508">
        <v>864</v>
      </c>
      <c r="V1508">
        <v>898.56</v>
      </c>
      <c r="W1508" t="str">
        <f t="shared" si="407"/>
        <v>rob</v>
      </c>
    </row>
    <row r="1509" spans="1:23">
      <c r="A1509" t="str">
        <f>"INST-CIM-6"</f>
        <v>INST-CIM-6</v>
      </c>
      <c r="B1509" t="str">
        <f t="shared" si="414"/>
        <v>50-0095-0000</v>
      </c>
      <c r="C1509" t="str">
        <f t="shared" si="415"/>
        <v>Installation at Customer Site</v>
      </c>
      <c r="D1509">
        <v>14</v>
      </c>
      <c r="E1509" t="str">
        <f>"On Site Installation - 6 Station CIM"</f>
        <v>On Site Installation - 6 Station CIM</v>
      </c>
      <c r="F1509">
        <v>560</v>
      </c>
      <c r="G1509" t="str">
        <f t="shared" si="409"/>
        <v>Y</v>
      </c>
      <c r="H1509" t="str">
        <f t="shared" si="413"/>
        <v>DA</v>
      </c>
      <c r="I1509">
        <v>0</v>
      </c>
      <c r="J1509">
        <v>0</v>
      </c>
      <c r="K1509" t="str">
        <f t="shared" si="410"/>
        <v>Y</v>
      </c>
      <c r="L1509">
        <v>0</v>
      </c>
      <c r="M1509" t="str">
        <f t="shared" si="412"/>
        <v>NIS</v>
      </c>
      <c r="O1509">
        <v>1</v>
      </c>
      <c r="P1509" t="str">
        <f t="shared" si="411"/>
        <v>Active</v>
      </c>
      <c r="Q1509" t="str">
        <f t="shared" si="416"/>
        <v>Installation at Customer Site (Days)</v>
      </c>
      <c r="S1509" t="str">
        <f t="shared" si="417"/>
        <v>Installation at Customer Site (Days)</v>
      </c>
      <c r="T1509">
        <v>0</v>
      </c>
      <c r="U1509">
        <v>864</v>
      </c>
      <c r="V1509">
        <v>898.56</v>
      </c>
      <c r="W1509" t="str">
        <f t="shared" si="407"/>
        <v>rob</v>
      </c>
    </row>
    <row r="1510" spans="1:23">
      <c r="A1510" t="str">
        <f>"INST-CIM-7"</f>
        <v>INST-CIM-7</v>
      </c>
      <c r="B1510" t="str">
        <f t="shared" si="414"/>
        <v>50-0095-0000</v>
      </c>
      <c r="C1510" t="str">
        <f t="shared" si="415"/>
        <v>Installation at Customer Site</v>
      </c>
      <c r="D1510">
        <v>15</v>
      </c>
      <c r="E1510" t="str">
        <f>"On Site Installation - 7 Station CIM"</f>
        <v>On Site Installation - 7 Station CIM</v>
      </c>
      <c r="F1510">
        <v>560</v>
      </c>
      <c r="G1510" t="str">
        <f t="shared" si="409"/>
        <v>Y</v>
      </c>
      <c r="H1510" t="str">
        <f t="shared" si="413"/>
        <v>DA</v>
      </c>
      <c r="I1510">
        <v>0</v>
      </c>
      <c r="J1510">
        <v>0</v>
      </c>
      <c r="K1510" t="str">
        <f t="shared" si="410"/>
        <v>Y</v>
      </c>
      <c r="L1510">
        <v>0</v>
      </c>
      <c r="M1510" t="str">
        <f t="shared" si="412"/>
        <v>NIS</v>
      </c>
      <c r="O1510">
        <v>1</v>
      </c>
      <c r="P1510" t="str">
        <f t="shared" si="411"/>
        <v>Active</v>
      </c>
      <c r="Q1510" t="str">
        <f t="shared" si="416"/>
        <v>Installation at Customer Site (Days)</v>
      </c>
      <c r="S1510" t="str">
        <f t="shared" si="417"/>
        <v>Installation at Customer Site (Days)</v>
      </c>
      <c r="T1510">
        <v>0</v>
      </c>
      <c r="U1510">
        <v>864</v>
      </c>
      <c r="V1510">
        <v>898.56</v>
      </c>
      <c r="W1510" t="str">
        <f t="shared" si="407"/>
        <v>rob</v>
      </c>
    </row>
    <row r="1511" spans="1:23">
      <c r="A1511" t="str">
        <f>"INST-CIM-8"</f>
        <v>INST-CIM-8</v>
      </c>
      <c r="B1511" t="str">
        <f t="shared" si="414"/>
        <v>50-0095-0000</v>
      </c>
      <c r="C1511" t="str">
        <f t="shared" si="415"/>
        <v>Installation at Customer Site</v>
      </c>
      <c r="D1511">
        <v>16</v>
      </c>
      <c r="E1511" t="str">
        <f>"On Site Installation - 8 Station CIM"</f>
        <v>On Site Installation - 8 Station CIM</v>
      </c>
      <c r="F1511">
        <v>560</v>
      </c>
      <c r="G1511" t="str">
        <f t="shared" si="409"/>
        <v>Y</v>
      </c>
      <c r="H1511" t="str">
        <f t="shared" si="413"/>
        <v>DA</v>
      </c>
      <c r="I1511">
        <v>0</v>
      </c>
      <c r="J1511">
        <v>0</v>
      </c>
      <c r="K1511" t="str">
        <f t="shared" si="410"/>
        <v>Y</v>
      </c>
      <c r="L1511">
        <v>0</v>
      </c>
      <c r="M1511" t="str">
        <f t="shared" si="412"/>
        <v>NIS</v>
      </c>
      <c r="O1511">
        <v>1</v>
      </c>
      <c r="P1511" t="str">
        <f t="shared" si="411"/>
        <v>Active</v>
      </c>
      <c r="Q1511" t="str">
        <f t="shared" si="416"/>
        <v>Installation at Customer Site (Days)</v>
      </c>
      <c r="S1511" t="str">
        <f t="shared" si="417"/>
        <v>Installation at Customer Site (Days)</v>
      </c>
      <c r="T1511">
        <v>0</v>
      </c>
      <c r="U1511">
        <v>864</v>
      </c>
      <c r="V1511">
        <v>898.56</v>
      </c>
      <c r="W1511" t="str">
        <f t="shared" si="407"/>
        <v>rob</v>
      </c>
    </row>
    <row r="1512" spans="1:23">
      <c r="A1512" t="str">
        <f>"ITCR-FULL-0030"</f>
        <v>ITCR-FULL-0030</v>
      </c>
      <c r="B1512" t="str">
        <f>"77-8107-0000"</f>
        <v>77-8107-0000</v>
      </c>
      <c r="C1512" t="str">
        <f>"LM7 Content, Lab, Compet. Robotics for Cortex"</f>
        <v>LM7 Content, Lab, Compet. Robotics for Cortex</v>
      </c>
      <c r="D1512">
        <v>1</v>
      </c>
      <c r="E1512" t="str">
        <f>"Intro to Competitive Robotics, Full Package, LM7, 30 student"</f>
        <v>Intro to Competitive Robotics, Full Package, LM7, 30 student</v>
      </c>
      <c r="F1512">
        <v>0</v>
      </c>
      <c r="G1512" t="str">
        <f t="shared" si="409"/>
        <v>Y</v>
      </c>
      <c r="H1512" t="str">
        <f t="shared" ref="H1512:H1575" si="418">"EA"</f>
        <v>EA</v>
      </c>
      <c r="I1512">
        <v>0</v>
      </c>
      <c r="J1512">
        <v>0</v>
      </c>
      <c r="K1512" t="str">
        <f t="shared" si="410"/>
        <v>Y</v>
      </c>
      <c r="L1512">
        <v>0</v>
      </c>
      <c r="M1512" t="str">
        <f t="shared" si="412"/>
        <v>NIS</v>
      </c>
      <c r="O1512">
        <v>1</v>
      </c>
      <c r="P1512" t="str">
        <f t="shared" si="411"/>
        <v>Active</v>
      </c>
      <c r="Q1512" t="str">
        <f>"LM7 Content, Lab, Compet. Robotics for Cortex"</f>
        <v>LM7 Content, Lab, Compet. Robotics for Cortex</v>
      </c>
      <c r="S1512" t="str">
        <f>"LM7 Content, Lab, Compet. Robotics for Cortex"</f>
        <v>LM7 Content, Lab, Compet. Robotics for Cortex</v>
      </c>
      <c r="T1512">
        <v>0</v>
      </c>
      <c r="U1512">
        <v>5</v>
      </c>
      <c r="V1512">
        <v>5</v>
      </c>
      <c r="W1512" t="str">
        <f t="shared" ref="W1512:W1575" si="419">"zintel"</f>
        <v>zintel</v>
      </c>
    </row>
    <row r="1513" spans="1:23">
      <c r="A1513" t="str">
        <f>"ITCR-FULL-0030"</f>
        <v>ITCR-FULL-0030</v>
      </c>
      <c r="B1513" t="str">
        <f>"276-3000"</f>
        <v>276-3000</v>
      </c>
      <c r="C1513" t="str">
        <f>"VEX, Classroom &amp; Competition Super Kit"</f>
        <v>VEX, Classroom &amp; Competition Super Kit</v>
      </c>
      <c r="D1513">
        <v>15</v>
      </c>
      <c r="E1513" t="str">
        <f>"Intro to Competitive Robotics, Full Package, LM7, 30 student"</f>
        <v>Intro to Competitive Robotics, Full Package, LM7, 30 student</v>
      </c>
      <c r="F1513">
        <v>0</v>
      </c>
      <c r="G1513" t="str">
        <f t="shared" si="409"/>
        <v>Y</v>
      </c>
      <c r="H1513" t="str">
        <f t="shared" si="418"/>
        <v>EA</v>
      </c>
      <c r="I1513">
        <v>0</v>
      </c>
      <c r="J1513">
        <v>0</v>
      </c>
      <c r="K1513" t="str">
        <f t="shared" si="410"/>
        <v>Y</v>
      </c>
      <c r="L1513">
        <v>0</v>
      </c>
      <c r="M1513" t="str">
        <f t="shared" si="412"/>
        <v>NIS</v>
      </c>
      <c r="O1513">
        <v>2</v>
      </c>
      <c r="P1513" t="str">
        <f t="shared" si="411"/>
        <v>Active</v>
      </c>
      <c r="Q1513" t="str">
        <f>"VEX, Classroom &amp; Competition Super Kit"</f>
        <v>VEX, Classroom &amp; Competition Super Kit</v>
      </c>
      <c r="S1513" t="str">
        <f>"VEX, Classroom &amp; Competition Super Kit"</f>
        <v>VEX, Classroom &amp; Competition Super Kit</v>
      </c>
      <c r="T1513">
        <v>764.39</v>
      </c>
      <c r="U1513">
        <v>713</v>
      </c>
      <c r="V1513">
        <v>731.29</v>
      </c>
      <c r="W1513" t="str">
        <f t="shared" si="419"/>
        <v>zintel</v>
      </c>
    </row>
    <row r="1514" spans="1:23">
      <c r="A1514" t="str">
        <f>"ITCR-FULL-0030"</f>
        <v>ITCR-FULL-0030</v>
      </c>
      <c r="B1514" t="str">
        <f>"63-2060-5030"</f>
        <v>63-2060-5030</v>
      </c>
      <c r="C1514" t="str">
        <f>"EasyC V5.x, Perpetual, 30 student"</f>
        <v>EasyC V5.x, Perpetual, 30 student</v>
      </c>
      <c r="D1514">
        <v>1</v>
      </c>
      <c r="E1514" t="str">
        <f>"Intro to Competitive Robotics, Full Package, LM7, 30 student"</f>
        <v>Intro to Competitive Robotics, Full Package, LM7, 30 student</v>
      </c>
      <c r="F1514">
        <v>0</v>
      </c>
      <c r="G1514" t="str">
        <f t="shared" si="409"/>
        <v>Y</v>
      </c>
      <c r="H1514" t="str">
        <f t="shared" si="418"/>
        <v>EA</v>
      </c>
      <c r="I1514">
        <v>0</v>
      </c>
      <c r="J1514">
        <v>0</v>
      </c>
      <c r="K1514" t="str">
        <f t="shared" si="410"/>
        <v>Y</v>
      </c>
      <c r="L1514">
        <v>0</v>
      </c>
      <c r="M1514" t="str">
        <f t="shared" si="412"/>
        <v>NIS</v>
      </c>
      <c r="O1514">
        <v>3</v>
      </c>
      <c r="P1514" t="str">
        <f t="shared" si="411"/>
        <v>Active</v>
      </c>
      <c r="Q1514" t="str">
        <f>"EasyC V5.x, Perpetual, 30 student"</f>
        <v>EasyC V5.x, Perpetual, 30 student</v>
      </c>
      <c r="S1514" t="str">
        <f>"EasyC V5.x, Perpetual, 30 student"</f>
        <v>EasyC V5.x, Perpetual, 30 student</v>
      </c>
      <c r="T1514">
        <v>0</v>
      </c>
      <c r="U1514">
        <v>10</v>
      </c>
      <c r="V1514">
        <v>10</v>
      </c>
      <c r="W1514" t="str">
        <f t="shared" si="419"/>
        <v>zintel</v>
      </c>
    </row>
    <row r="1515" spans="1:23">
      <c r="A1515" t="str">
        <f>"JM-04 Motor Cont"</f>
        <v>JM-04 Motor Cont</v>
      </c>
      <c r="B1515" t="str">
        <f>"00-5601-0000"</f>
        <v>00-5601-0000</v>
      </c>
      <c r="C1515" t="str">
        <f>"Motor control training system - JM04"</f>
        <v>Motor control training system - JM04</v>
      </c>
      <c r="D1515">
        <v>1</v>
      </c>
      <c r="E1515" t="str">
        <f>"Motor control training system - JM04"</f>
        <v>Motor control training system - JM04</v>
      </c>
      <c r="F1515">
        <v>700</v>
      </c>
      <c r="G1515" t="str">
        <f t="shared" si="409"/>
        <v>Y</v>
      </c>
      <c r="H1515" t="str">
        <f t="shared" si="418"/>
        <v>EA</v>
      </c>
      <c r="I1515">
        <v>0</v>
      </c>
      <c r="J1515">
        <v>0</v>
      </c>
      <c r="K1515" t="str">
        <f t="shared" si="410"/>
        <v>Y</v>
      </c>
      <c r="L1515">
        <v>0</v>
      </c>
      <c r="M1515" t="str">
        <f t="shared" si="412"/>
        <v>NIS</v>
      </c>
      <c r="O1515">
        <v>1</v>
      </c>
      <c r="P1515" t="str">
        <f>"New"</f>
        <v>New</v>
      </c>
      <c r="Q1515" t="str">
        <f>"Motor control training system - JM04"</f>
        <v>Motor control training system - JM04</v>
      </c>
      <c r="S1515" t="str">
        <f>"Motor control training system - JM04"</f>
        <v>Motor control training system - JM04</v>
      </c>
      <c r="T1515">
        <v>0</v>
      </c>
      <c r="U1515" s="44">
        <v>3065.27</v>
      </c>
      <c r="V1515" s="44">
        <v>2834.33</v>
      </c>
      <c r="W1515" t="str">
        <f t="shared" si="419"/>
        <v>zintel</v>
      </c>
    </row>
    <row r="1516" spans="1:23">
      <c r="A1516" t="str">
        <f>"JM-04 Motor Cont"</f>
        <v>JM-04 Motor Cont</v>
      </c>
      <c r="B1516" t="str">
        <f>"17-JM04-0000"</f>
        <v>17-JM04-0000</v>
      </c>
      <c r="C1516" t="str">
        <f>"LM5.X Content, Lab,JM04 Motor Control TS"</f>
        <v>LM5.X Content, Lab,JM04 Motor Control TS</v>
      </c>
      <c r="D1516">
        <v>1</v>
      </c>
      <c r="E1516" t="str">
        <f>"Motor control training system - JM04"</f>
        <v>Motor control training system - JM04</v>
      </c>
      <c r="F1516">
        <v>700</v>
      </c>
      <c r="G1516" t="str">
        <f t="shared" si="409"/>
        <v>Y</v>
      </c>
      <c r="H1516" t="str">
        <f t="shared" si="418"/>
        <v>EA</v>
      </c>
      <c r="I1516">
        <v>0</v>
      </c>
      <c r="J1516">
        <v>0</v>
      </c>
      <c r="K1516" t="str">
        <f t="shared" si="410"/>
        <v>Y</v>
      </c>
      <c r="L1516">
        <v>0</v>
      </c>
      <c r="M1516" t="str">
        <f>"USD"</f>
        <v>USD</v>
      </c>
      <c r="O1516">
        <v>2</v>
      </c>
      <c r="P1516" t="str">
        <f>"Active"</f>
        <v>Active</v>
      </c>
      <c r="Q1516" t="str">
        <f>"LM5.X Content, Lab, JobMaster: Motor Control"</f>
        <v>LM5.X Content, Lab, JobMaster: Motor Control</v>
      </c>
      <c r="S1516" t="str">
        <f>"LM5.X Content, Lab,JM04 Motor Control TS"</f>
        <v>LM5.X Content, Lab,JM04 Motor Control TS</v>
      </c>
      <c r="T1516">
        <v>0</v>
      </c>
      <c r="U1516">
        <v>5</v>
      </c>
      <c r="V1516">
        <v>5</v>
      </c>
      <c r="W1516" t="str">
        <f t="shared" si="419"/>
        <v>zintel</v>
      </c>
    </row>
    <row r="1517" spans="1:23">
      <c r="A1517" t="str">
        <f>"JM-06A Train Sys"</f>
        <v>JM-06A Train Sys</v>
      </c>
      <c r="B1517" t="str">
        <f>"00-5602-0000"</f>
        <v>00-5602-0000</v>
      </c>
      <c r="C1517" t="str">
        <f>"Electric and electronic training system - JM06A"</f>
        <v>Electric and electronic training system - JM06A</v>
      </c>
      <c r="D1517">
        <v>1</v>
      </c>
      <c r="E1517" t="str">
        <f>"Electric and electronic training system - JM06A"</f>
        <v>Electric and electronic training system - JM06A</v>
      </c>
      <c r="F1517">
        <v>700</v>
      </c>
      <c r="G1517" t="str">
        <f t="shared" si="409"/>
        <v>Y</v>
      </c>
      <c r="H1517" t="str">
        <f t="shared" si="418"/>
        <v>EA</v>
      </c>
      <c r="I1517">
        <v>0</v>
      </c>
      <c r="J1517">
        <v>0</v>
      </c>
      <c r="K1517" t="str">
        <f t="shared" si="410"/>
        <v>Y</v>
      </c>
      <c r="L1517">
        <v>0</v>
      </c>
      <c r="M1517" t="str">
        <f>"NIS"</f>
        <v>NIS</v>
      </c>
      <c r="O1517">
        <v>1</v>
      </c>
      <c r="P1517" t="str">
        <f>"New"</f>
        <v>New</v>
      </c>
      <c r="Q1517" t="str">
        <f>"Electric and electronic training system - JM06A"</f>
        <v>Electric and electronic training system - JM06A</v>
      </c>
      <c r="S1517" t="str">
        <f>"Electric and electronic training system - JM06A"</f>
        <v>Electric and electronic training system - JM06A</v>
      </c>
      <c r="T1517">
        <v>0</v>
      </c>
      <c r="U1517" s="44">
        <v>4079.25</v>
      </c>
      <c r="V1517" s="44">
        <v>3823.6</v>
      </c>
      <c r="W1517" t="str">
        <f t="shared" si="419"/>
        <v>zintel</v>
      </c>
    </row>
    <row r="1518" spans="1:23">
      <c r="A1518" t="str">
        <f>"JM-06A Train Sys"</f>
        <v>JM-06A Train Sys</v>
      </c>
      <c r="B1518" t="str">
        <f>"17-JM06A-0000"</f>
        <v>17-JM06A-0000</v>
      </c>
      <c r="C1518" t="str">
        <f>"LM5.X Content, Lab,JM06A Electric&amp;Electronic TS"</f>
        <v>LM5.X Content, Lab,JM06A Electric&amp;Electronic TS</v>
      </c>
      <c r="D1518">
        <v>1</v>
      </c>
      <c r="E1518" t="str">
        <f>"Electric and electronic training system - JM06A"</f>
        <v>Electric and electronic training system - JM06A</v>
      </c>
      <c r="F1518">
        <v>700</v>
      </c>
      <c r="G1518" t="str">
        <f t="shared" si="409"/>
        <v>Y</v>
      </c>
      <c r="H1518" t="str">
        <f t="shared" si="418"/>
        <v>EA</v>
      </c>
      <c r="I1518">
        <v>0</v>
      </c>
      <c r="J1518">
        <v>0</v>
      </c>
      <c r="K1518" t="str">
        <f t="shared" si="410"/>
        <v>Y</v>
      </c>
      <c r="L1518">
        <v>0</v>
      </c>
      <c r="M1518" t="str">
        <f>"USD"</f>
        <v>USD</v>
      </c>
      <c r="O1518">
        <v>2</v>
      </c>
      <c r="P1518" t="str">
        <f>"Active"</f>
        <v>Active</v>
      </c>
      <c r="Q1518" t="str">
        <f>"LM5.X Content, Lab, JobMaster: Power Electronics"</f>
        <v>LM5.X Content, Lab, JobMaster: Power Electronics</v>
      </c>
      <c r="S1518" t="str">
        <f>"LM5.X Content, Lab,JM06A Electric&amp;Electronic TS"</f>
        <v>LM5.X Content, Lab,JM06A Electric&amp;Electronic TS</v>
      </c>
      <c r="T1518">
        <v>0</v>
      </c>
      <c r="U1518">
        <v>5</v>
      </c>
      <c r="V1518">
        <v>5</v>
      </c>
      <c r="W1518" t="str">
        <f t="shared" si="419"/>
        <v>zintel</v>
      </c>
    </row>
    <row r="1519" spans="1:23">
      <c r="A1519" t="str">
        <f>"JM-06B Train Sys"</f>
        <v>JM-06B Train Sys</v>
      </c>
      <c r="B1519" t="str">
        <f>"00-5603-0000"</f>
        <v>00-5603-0000</v>
      </c>
      <c r="C1519" t="str">
        <f>"Electric and electronic training system - JM06B"</f>
        <v>Electric and electronic training system - JM06B</v>
      </c>
      <c r="D1519">
        <v>1</v>
      </c>
      <c r="E1519" t="str">
        <f>"Electric and electronic training system - JM06B"</f>
        <v>Electric and electronic training system - JM06B</v>
      </c>
      <c r="F1519">
        <v>700</v>
      </c>
      <c r="G1519" t="str">
        <f t="shared" si="409"/>
        <v>Y</v>
      </c>
      <c r="H1519" t="str">
        <f t="shared" si="418"/>
        <v>EA</v>
      </c>
      <c r="I1519">
        <v>0</v>
      </c>
      <c r="J1519">
        <v>0</v>
      </c>
      <c r="K1519" t="str">
        <f t="shared" si="410"/>
        <v>Y</v>
      </c>
      <c r="L1519">
        <v>0</v>
      </c>
      <c r="M1519" t="str">
        <f>"NIS"</f>
        <v>NIS</v>
      </c>
      <c r="O1519">
        <v>1</v>
      </c>
      <c r="P1519" t="str">
        <f>"New"</f>
        <v>New</v>
      </c>
      <c r="Q1519" t="str">
        <f>"Electric and electronic training system - JM06B"</f>
        <v>Electric and electronic training system - JM06B</v>
      </c>
      <c r="S1519" t="str">
        <f>"Electric and electronic training system - JM06B"</f>
        <v>Electric and electronic training system - JM06B</v>
      </c>
      <c r="T1519">
        <v>0</v>
      </c>
      <c r="U1519" s="44">
        <v>3263.4</v>
      </c>
      <c r="V1519" s="44">
        <v>3028.08</v>
      </c>
      <c r="W1519" t="str">
        <f t="shared" si="419"/>
        <v>zintel</v>
      </c>
    </row>
    <row r="1520" spans="1:23">
      <c r="A1520" t="str">
        <f>"JM-06B Train Sys"</f>
        <v>JM-06B Train Sys</v>
      </c>
      <c r="B1520" t="str">
        <f>"17-JM06B-0000"</f>
        <v>17-JM06B-0000</v>
      </c>
      <c r="C1520" t="str">
        <f>"LM5.X Content, Lab,JM06B Electric&amp;Electronic TS"</f>
        <v>LM5.X Content, Lab,JM06B Electric&amp;Electronic TS</v>
      </c>
      <c r="D1520">
        <v>1</v>
      </c>
      <c r="E1520" t="str">
        <f>"Electric and electronic training system - JM06B"</f>
        <v>Electric and electronic training system - JM06B</v>
      </c>
      <c r="F1520">
        <v>700</v>
      </c>
      <c r="G1520" t="str">
        <f t="shared" si="409"/>
        <v>Y</v>
      </c>
      <c r="H1520" t="str">
        <f t="shared" si="418"/>
        <v>EA</v>
      </c>
      <c r="I1520">
        <v>0</v>
      </c>
      <c r="J1520">
        <v>0</v>
      </c>
      <c r="K1520" t="str">
        <f t="shared" si="410"/>
        <v>Y</v>
      </c>
      <c r="L1520">
        <v>0</v>
      </c>
      <c r="M1520" t="str">
        <f>"USD"</f>
        <v>USD</v>
      </c>
      <c r="O1520">
        <v>2</v>
      </c>
      <c r="P1520" t="str">
        <f t="shared" ref="P1520:P1551" si="420">"Active"</f>
        <v>Active</v>
      </c>
      <c r="Q1520" t="str">
        <f>"LM5.X Content, Lab, JobMaster: Basic Electronics"</f>
        <v>LM5.X Content, Lab, JobMaster: Basic Electronics</v>
      </c>
      <c r="S1520" t="str">
        <f>"LM5.X Content, Lab,JM06B Electric&amp;Electronic TS"</f>
        <v>LM5.X Content, Lab,JM06B Electric&amp;Electronic TS</v>
      </c>
      <c r="T1520">
        <v>0</v>
      </c>
      <c r="U1520">
        <v>5</v>
      </c>
      <c r="V1520">
        <v>5</v>
      </c>
      <c r="W1520" t="str">
        <f t="shared" si="419"/>
        <v>zintel</v>
      </c>
    </row>
    <row r="1521" spans="1:23">
      <c r="A1521" t="str">
        <f t="shared" ref="A1521:A1528" si="421">"JM-BASE-EA01A"</f>
        <v>JM-BASE-EA01A</v>
      </c>
      <c r="B1521" t="str">
        <f>"77-EA01A-0000"</f>
        <v>77-EA01A-0000</v>
      </c>
      <c r="C1521" t="str">
        <f>"LM7 Content, JM, Electrical Circuits"</f>
        <v>LM7 Content, JM, Electrical Circuits</v>
      </c>
      <c r="D1521">
        <v>1</v>
      </c>
      <c r="E1521" t="str">
        <f t="shared" ref="E1521:E1528" si="422">"JM Electrical Circuits, EA01A, LMS Lab"</f>
        <v>JM Electrical Circuits, EA01A, LMS Lab</v>
      </c>
      <c r="F1521">
        <v>0</v>
      </c>
      <c r="G1521" t="str">
        <f t="shared" si="409"/>
        <v>Y</v>
      </c>
      <c r="H1521" t="str">
        <f t="shared" si="418"/>
        <v>EA</v>
      </c>
      <c r="I1521">
        <v>0</v>
      </c>
      <c r="J1521">
        <v>0</v>
      </c>
      <c r="K1521" t="str">
        <f t="shared" si="410"/>
        <v>Y</v>
      </c>
      <c r="L1521">
        <v>0</v>
      </c>
      <c r="M1521" t="str">
        <f t="shared" ref="M1521:M1584" si="423">"NIS"</f>
        <v>NIS</v>
      </c>
      <c r="O1521">
        <v>1</v>
      </c>
      <c r="P1521" t="str">
        <f t="shared" si="420"/>
        <v>Active</v>
      </c>
      <c r="Q1521" t="str">
        <f>"LM7 Content, JM, Electrical Circuits"</f>
        <v>LM7 Content, JM, Electrical Circuits</v>
      </c>
      <c r="S1521" t="str">
        <f>"LM7 Content, JM, Electrical Circuits"</f>
        <v>LM7 Content, JM, Electrical Circuits</v>
      </c>
      <c r="T1521">
        <v>0</v>
      </c>
      <c r="U1521">
        <v>5</v>
      </c>
      <c r="V1521">
        <v>5</v>
      </c>
      <c r="W1521" t="str">
        <f t="shared" si="419"/>
        <v>zintel</v>
      </c>
    </row>
    <row r="1522" spans="1:23">
      <c r="A1522" t="str">
        <f t="shared" si="421"/>
        <v>JM-BASE-EA01A</v>
      </c>
      <c r="B1522" t="str">
        <f>"26-E040-0000"</f>
        <v>26-E040-0000</v>
      </c>
      <c r="C1522" t="str">
        <f>"Assembly, JM, E040, Switches, Lamp, and Buzzer"</f>
        <v>Assembly, JM, E040, Switches, Lamp, and Buzzer</v>
      </c>
      <c r="D1522">
        <v>1</v>
      </c>
      <c r="E1522" t="str">
        <f t="shared" si="422"/>
        <v>JM Electrical Circuits, EA01A, LMS Lab</v>
      </c>
      <c r="F1522">
        <v>0</v>
      </c>
      <c r="G1522" t="str">
        <f t="shared" si="409"/>
        <v>Y</v>
      </c>
      <c r="H1522" t="str">
        <f t="shared" si="418"/>
        <v>EA</v>
      </c>
      <c r="I1522">
        <v>0</v>
      </c>
      <c r="J1522">
        <v>0</v>
      </c>
      <c r="K1522" t="str">
        <f t="shared" si="410"/>
        <v>Y</v>
      </c>
      <c r="L1522">
        <v>0</v>
      </c>
      <c r="M1522" t="str">
        <f t="shared" si="423"/>
        <v>NIS</v>
      </c>
      <c r="O1522">
        <v>2</v>
      </c>
      <c r="P1522" t="str">
        <f t="shared" si="420"/>
        <v>Active</v>
      </c>
      <c r="Q1522" t="str">
        <f>"Assembly, JM, E040, Switches, Lamp, and Buzzer"</f>
        <v>Assembly, JM, E040, Switches, Lamp, and Buzzer</v>
      </c>
      <c r="S1522" t="str">
        <f>"Assembly, JM, E040, Switches, Lamp, and Buzzer"</f>
        <v>Assembly, JM, E040, Switches, Lamp, and Buzzer</v>
      </c>
      <c r="T1522">
        <v>129.08000000000001</v>
      </c>
      <c r="U1522">
        <v>127</v>
      </c>
      <c r="V1522">
        <v>179.69</v>
      </c>
      <c r="W1522" t="str">
        <f t="shared" si="419"/>
        <v>zintel</v>
      </c>
    </row>
    <row r="1523" spans="1:23">
      <c r="A1523" t="str">
        <f t="shared" si="421"/>
        <v>JM-BASE-EA01A</v>
      </c>
      <c r="B1523" t="str">
        <f>"26-E045-0000"</f>
        <v>26-E045-0000</v>
      </c>
      <c r="C1523" t="str">
        <f>"Assembly, JM, E045, Sources of Electricity"</f>
        <v>Assembly, JM, E045, Sources of Electricity</v>
      </c>
      <c r="D1523">
        <v>1</v>
      </c>
      <c r="E1523" t="str">
        <f t="shared" si="422"/>
        <v>JM Electrical Circuits, EA01A, LMS Lab</v>
      </c>
      <c r="F1523">
        <v>0</v>
      </c>
      <c r="G1523" t="str">
        <f t="shared" si="409"/>
        <v>Y</v>
      </c>
      <c r="H1523" t="str">
        <f t="shared" si="418"/>
        <v>EA</v>
      </c>
      <c r="I1523">
        <v>0</v>
      </c>
      <c r="J1523">
        <v>0</v>
      </c>
      <c r="K1523" t="str">
        <f t="shared" si="410"/>
        <v>Y</v>
      </c>
      <c r="L1523">
        <v>0</v>
      </c>
      <c r="M1523" t="str">
        <f t="shared" si="423"/>
        <v>NIS</v>
      </c>
      <c r="O1523">
        <v>3</v>
      </c>
      <c r="P1523" t="str">
        <f t="shared" si="420"/>
        <v>Active</v>
      </c>
      <c r="Q1523" t="str">
        <f>"Assembly, JM, E045, Sources of Electricity"</f>
        <v>Assembly, JM, E045, Sources of Electricity</v>
      </c>
      <c r="S1523" t="str">
        <f>"Assembly, JM, E045, Sources of Electricity"</f>
        <v>Assembly, JM, E045, Sources of Electricity</v>
      </c>
      <c r="T1523">
        <v>92.93</v>
      </c>
      <c r="U1523">
        <v>92</v>
      </c>
      <c r="V1523">
        <v>169.98</v>
      </c>
      <c r="W1523" t="str">
        <f t="shared" si="419"/>
        <v>zintel</v>
      </c>
    </row>
    <row r="1524" spans="1:23">
      <c r="A1524" t="str">
        <f t="shared" si="421"/>
        <v>JM-BASE-EA01A</v>
      </c>
      <c r="B1524" t="str">
        <f>"26-E047-0000"</f>
        <v>26-E047-0000</v>
      </c>
      <c r="C1524" t="str">
        <f>"Assembly, JM, E047, Heat/Light Source"</f>
        <v>Assembly, JM, E047, Heat/Light Source</v>
      </c>
      <c r="D1524">
        <v>1</v>
      </c>
      <c r="E1524" t="str">
        <f t="shared" si="422"/>
        <v>JM Electrical Circuits, EA01A, LMS Lab</v>
      </c>
      <c r="F1524">
        <v>0</v>
      </c>
      <c r="G1524" t="str">
        <f t="shared" si="409"/>
        <v>Y</v>
      </c>
      <c r="H1524" t="str">
        <f t="shared" si="418"/>
        <v>EA</v>
      </c>
      <c r="I1524">
        <v>0</v>
      </c>
      <c r="J1524">
        <v>0</v>
      </c>
      <c r="K1524" t="str">
        <f t="shared" si="410"/>
        <v>Y</v>
      </c>
      <c r="L1524">
        <v>0</v>
      </c>
      <c r="M1524" t="str">
        <f t="shared" si="423"/>
        <v>NIS</v>
      </c>
      <c r="O1524">
        <v>4</v>
      </c>
      <c r="P1524" t="str">
        <f t="shared" si="420"/>
        <v>Active</v>
      </c>
      <c r="Q1524" t="str">
        <f>"Assembly, JM, E047, Heat/Light Source"</f>
        <v>Assembly, JM, E047, Heat/Light Source</v>
      </c>
      <c r="S1524" t="str">
        <f>"Assembly, JM, E047, Heat/Light Source"</f>
        <v>Assembly, JM, E047, Heat/Light Source</v>
      </c>
      <c r="T1524">
        <v>71.62</v>
      </c>
      <c r="U1524">
        <v>72</v>
      </c>
      <c r="V1524">
        <v>121.41</v>
      </c>
      <c r="W1524" t="str">
        <f t="shared" si="419"/>
        <v>zintel</v>
      </c>
    </row>
    <row r="1525" spans="1:23">
      <c r="A1525" t="str">
        <f t="shared" si="421"/>
        <v>JM-BASE-EA01A</v>
      </c>
      <c r="B1525" t="str">
        <f>"26-E151-0000"</f>
        <v>26-E151-0000</v>
      </c>
      <c r="C1525" t="str">
        <f>"Assembly, JM, E151,Series/Parallel Lamps Panel"</f>
        <v>Assembly, JM, E151,Series/Parallel Lamps Panel</v>
      </c>
      <c r="D1525">
        <v>1</v>
      </c>
      <c r="E1525" t="str">
        <f t="shared" si="422"/>
        <v>JM Electrical Circuits, EA01A, LMS Lab</v>
      </c>
      <c r="F1525">
        <v>0</v>
      </c>
      <c r="G1525" t="str">
        <f t="shared" si="409"/>
        <v>Y</v>
      </c>
      <c r="H1525" t="str">
        <f t="shared" si="418"/>
        <v>EA</v>
      </c>
      <c r="I1525">
        <v>0</v>
      </c>
      <c r="J1525">
        <v>0</v>
      </c>
      <c r="K1525" t="str">
        <f t="shared" si="410"/>
        <v>Y</v>
      </c>
      <c r="L1525">
        <v>0</v>
      </c>
      <c r="M1525" t="str">
        <f t="shared" si="423"/>
        <v>NIS</v>
      </c>
      <c r="O1525">
        <v>5</v>
      </c>
      <c r="P1525" t="str">
        <f t="shared" si="420"/>
        <v>Active</v>
      </c>
      <c r="Q1525" t="str">
        <f>"Assembly, JM, E151,Series/Parallel Lamps Panel"</f>
        <v>Assembly, JM, E151,Series/Parallel Lamps Panel</v>
      </c>
      <c r="S1525" t="str">
        <f>"Assembly, JM, E151,Series/Parallel Lamps Panel"</f>
        <v>Assembly, JM, E151,Series/Parallel Lamps Panel</v>
      </c>
      <c r="T1525">
        <v>111.9</v>
      </c>
      <c r="U1525">
        <v>110</v>
      </c>
      <c r="V1525">
        <v>294.89999999999998</v>
      </c>
      <c r="W1525" t="str">
        <f t="shared" si="419"/>
        <v>zintel</v>
      </c>
    </row>
    <row r="1526" spans="1:23">
      <c r="A1526" t="str">
        <f t="shared" si="421"/>
        <v>JM-BASE-EA01A</v>
      </c>
      <c r="B1526" t="str">
        <f>"26-E152-0000"</f>
        <v>26-E152-0000</v>
      </c>
      <c r="C1526" t="str">
        <f>"Assembly, JM, E152, Transformer/Adjustable Power"</f>
        <v>Assembly, JM, E152, Transformer/Adjustable Power</v>
      </c>
      <c r="D1526">
        <v>1</v>
      </c>
      <c r="E1526" t="str">
        <f t="shared" si="422"/>
        <v>JM Electrical Circuits, EA01A, LMS Lab</v>
      </c>
      <c r="F1526">
        <v>0</v>
      </c>
      <c r="G1526" t="str">
        <f t="shared" si="409"/>
        <v>Y</v>
      </c>
      <c r="H1526" t="str">
        <f t="shared" si="418"/>
        <v>EA</v>
      </c>
      <c r="I1526">
        <v>0</v>
      </c>
      <c r="J1526">
        <v>0</v>
      </c>
      <c r="K1526" t="str">
        <f t="shared" si="410"/>
        <v>Y</v>
      </c>
      <c r="L1526">
        <v>0</v>
      </c>
      <c r="M1526" t="str">
        <f t="shared" si="423"/>
        <v>NIS</v>
      </c>
      <c r="O1526">
        <v>6</v>
      </c>
      <c r="P1526" t="str">
        <f t="shared" si="420"/>
        <v>Active</v>
      </c>
      <c r="Q1526" t="str">
        <f>"Assembly, JM, E152, Transformer/Adjustable Power"</f>
        <v>Assembly, JM, E152, Transformer/Adjustable Power</v>
      </c>
      <c r="S1526" t="str">
        <f>"Assembly, JM, E152, Transformer/Adjustable Power"</f>
        <v>Assembly, JM, E152, Transformer/Adjustable Power</v>
      </c>
      <c r="T1526">
        <v>196.61</v>
      </c>
      <c r="U1526">
        <v>195</v>
      </c>
      <c r="V1526">
        <v>414.83</v>
      </c>
      <c r="W1526" t="str">
        <f t="shared" si="419"/>
        <v>zintel</v>
      </c>
    </row>
    <row r="1527" spans="1:23">
      <c r="A1527" t="str">
        <f t="shared" si="421"/>
        <v>JM-BASE-EA01A</v>
      </c>
      <c r="B1527" t="str">
        <f>"36-8900-0007"</f>
        <v>36-8900-0007</v>
      </c>
      <c r="C1527" t="str">
        <f>"JM, Digital Multimeter, Fluke-115"</f>
        <v>JM, Digital Multimeter, Fluke-115</v>
      </c>
      <c r="D1527">
        <v>1</v>
      </c>
      <c r="E1527" t="str">
        <f t="shared" si="422"/>
        <v>JM Electrical Circuits, EA01A, LMS Lab</v>
      </c>
      <c r="F1527">
        <v>0</v>
      </c>
      <c r="G1527" t="str">
        <f t="shared" si="409"/>
        <v>Y</v>
      </c>
      <c r="H1527" t="str">
        <f t="shared" si="418"/>
        <v>EA</v>
      </c>
      <c r="I1527">
        <v>0</v>
      </c>
      <c r="J1527">
        <v>0</v>
      </c>
      <c r="K1527" t="str">
        <f t="shared" si="410"/>
        <v>Y</v>
      </c>
      <c r="L1527">
        <v>0</v>
      </c>
      <c r="M1527" t="str">
        <f t="shared" si="423"/>
        <v>NIS</v>
      </c>
      <c r="O1527">
        <v>7</v>
      </c>
      <c r="P1527" t="str">
        <f t="shared" si="420"/>
        <v>Active</v>
      </c>
      <c r="Q1527" t="str">
        <f>"JM, Digital Multimeter, Fluke-115"</f>
        <v>JM, Digital Multimeter, Fluke-115</v>
      </c>
      <c r="R1527" t="str">
        <f>"1"</f>
        <v>1</v>
      </c>
      <c r="S1527" t="str">
        <f>"JM, Digital Multimeter, Fluke-115"</f>
        <v>JM, Digital Multimeter, Fluke-115</v>
      </c>
      <c r="T1527">
        <v>158.5</v>
      </c>
      <c r="U1527">
        <v>145</v>
      </c>
      <c r="V1527">
        <v>218.54</v>
      </c>
      <c r="W1527" t="str">
        <f t="shared" si="419"/>
        <v>zintel</v>
      </c>
    </row>
    <row r="1528" spans="1:23">
      <c r="A1528" t="str">
        <f t="shared" si="421"/>
        <v>JM-BASE-EA01A</v>
      </c>
      <c r="B1528" t="str">
        <f>"36-EA01A-IG01"</f>
        <v>36-EA01A-IG01</v>
      </c>
      <c r="C1528" t="str">
        <f>"JM, PDF on CD Electrical Circuits - EA01A"</f>
        <v>JM, PDF on CD Electrical Circuits - EA01A</v>
      </c>
      <c r="D1528">
        <v>1</v>
      </c>
      <c r="E1528" t="str">
        <f t="shared" si="422"/>
        <v>JM Electrical Circuits, EA01A, LMS Lab</v>
      </c>
      <c r="F1528">
        <v>0</v>
      </c>
      <c r="G1528" t="str">
        <f t="shared" si="409"/>
        <v>Y</v>
      </c>
      <c r="H1528" t="str">
        <f t="shared" si="418"/>
        <v>EA</v>
      </c>
      <c r="I1528">
        <v>0</v>
      </c>
      <c r="J1528">
        <v>0</v>
      </c>
      <c r="K1528" t="str">
        <f t="shared" si="410"/>
        <v>Y</v>
      </c>
      <c r="L1528">
        <v>0</v>
      </c>
      <c r="M1528" t="str">
        <f t="shared" si="423"/>
        <v>NIS</v>
      </c>
      <c r="N1528" t="str">
        <f>"Y"</f>
        <v>Y</v>
      </c>
      <c r="O1528">
        <v>8</v>
      </c>
      <c r="P1528" t="str">
        <f t="shared" si="420"/>
        <v>Active</v>
      </c>
      <c r="Q1528" t="str">
        <f>"JM, PDF on CD Electrical Circuits - EA01A"</f>
        <v>JM, PDF on CD Electrical Circuits - EA01A</v>
      </c>
      <c r="S1528" t="str">
        <f>"JM, PDF on CD Electrical Circuits - EA01A"</f>
        <v>JM, PDF on CD Electrical Circuits - EA01A</v>
      </c>
      <c r="T1528">
        <v>11.41</v>
      </c>
      <c r="U1528">
        <v>10.3</v>
      </c>
      <c r="V1528">
        <v>11.43</v>
      </c>
      <c r="W1528" t="str">
        <f t="shared" si="419"/>
        <v>zintel</v>
      </c>
    </row>
    <row r="1529" spans="1:23">
      <c r="A1529" t="str">
        <f>"JM-BASE-EA01B"</f>
        <v>JM-BASE-EA01B</v>
      </c>
      <c r="B1529" t="str">
        <f>"77-EA01B-0000"</f>
        <v>77-EA01B-0000</v>
      </c>
      <c r="C1529" t="str">
        <f>"LM7 Content, JM, Resistors &amp; Conductors"</f>
        <v>LM7 Content, JM, Resistors &amp; Conductors</v>
      </c>
      <c r="D1529">
        <v>1</v>
      </c>
      <c r="E1529" t="str">
        <f>"JM Resistors &amp; Conductors, EA01B, LMS LAB"</f>
        <v>JM Resistors &amp; Conductors, EA01B, LMS LAB</v>
      </c>
      <c r="F1529">
        <v>0</v>
      </c>
      <c r="G1529" t="str">
        <f t="shared" si="409"/>
        <v>Y</v>
      </c>
      <c r="H1529" t="str">
        <f t="shared" si="418"/>
        <v>EA</v>
      </c>
      <c r="I1529">
        <v>0</v>
      </c>
      <c r="J1529">
        <v>0</v>
      </c>
      <c r="K1529" t="str">
        <f t="shared" si="410"/>
        <v>Y</v>
      </c>
      <c r="L1529">
        <v>0</v>
      </c>
      <c r="M1529" t="str">
        <f t="shared" si="423"/>
        <v>NIS</v>
      </c>
      <c r="O1529">
        <v>1</v>
      </c>
      <c r="P1529" t="str">
        <f t="shared" si="420"/>
        <v>Active</v>
      </c>
      <c r="Q1529" t="str">
        <f>"LM7 Content, JM, Resistors &amp; Conductors"</f>
        <v>LM7 Content, JM, Resistors &amp; Conductors</v>
      </c>
      <c r="S1529" t="str">
        <f>"LM7 Content, JM, Resistors &amp; Conductors"</f>
        <v>LM7 Content, JM, Resistors &amp; Conductors</v>
      </c>
      <c r="T1529">
        <v>0</v>
      </c>
      <c r="U1529">
        <v>5</v>
      </c>
      <c r="V1529">
        <v>5</v>
      </c>
      <c r="W1529" t="str">
        <f t="shared" si="419"/>
        <v>zintel</v>
      </c>
    </row>
    <row r="1530" spans="1:23">
      <c r="A1530" t="str">
        <f>"JM-BASE-EA01B"</f>
        <v>JM-BASE-EA01B</v>
      </c>
      <c r="B1530" t="str">
        <f>"26-E042-0000"</f>
        <v>26-E042-0000</v>
      </c>
      <c r="C1530" t="str">
        <f>"Assembly, JM, E042, Resistance Panel"</f>
        <v>Assembly, JM, E042, Resistance Panel</v>
      </c>
      <c r="D1530">
        <v>1</v>
      </c>
      <c r="E1530" t="str">
        <f>"JM Resistors &amp; Conductors, EA01B, LMS LAB"</f>
        <v>JM Resistors &amp; Conductors, EA01B, LMS LAB</v>
      </c>
      <c r="F1530">
        <v>0</v>
      </c>
      <c r="G1530" t="str">
        <f t="shared" si="409"/>
        <v>Y</v>
      </c>
      <c r="H1530" t="str">
        <f t="shared" si="418"/>
        <v>EA</v>
      </c>
      <c r="I1530">
        <v>0</v>
      </c>
      <c r="J1530">
        <v>0</v>
      </c>
      <c r="K1530" t="str">
        <f t="shared" si="410"/>
        <v>Y</v>
      </c>
      <c r="L1530">
        <v>0</v>
      </c>
      <c r="M1530" t="str">
        <f t="shared" si="423"/>
        <v>NIS</v>
      </c>
      <c r="O1530">
        <v>2</v>
      </c>
      <c r="P1530" t="str">
        <f t="shared" si="420"/>
        <v>Active</v>
      </c>
      <c r="Q1530" t="str">
        <f>"Assembly, JM, E042, Resistance Panel"</f>
        <v>Assembly, JM, E042, Resistance Panel</v>
      </c>
      <c r="S1530" t="str">
        <f>"Assembly, JM, E042, Resistance Panel"</f>
        <v>Assembly, JM, E042, Resistance Panel</v>
      </c>
      <c r="T1530">
        <v>275.08</v>
      </c>
      <c r="U1530">
        <v>270</v>
      </c>
      <c r="V1530">
        <v>532.45000000000005</v>
      </c>
      <c r="W1530" t="str">
        <f t="shared" si="419"/>
        <v>zintel</v>
      </c>
    </row>
    <row r="1531" spans="1:23">
      <c r="A1531" t="str">
        <f>"JM-BASE-EA01B"</f>
        <v>JM-BASE-EA01B</v>
      </c>
      <c r="B1531" t="str">
        <f>"36-EA01B-IG01"</f>
        <v>36-EA01B-IG01</v>
      </c>
      <c r="C1531" t="str">
        <f>"JM, PDF on CD Resistors &amp; Conductors - EA01B"</f>
        <v>JM, PDF on CD Resistors &amp; Conductors - EA01B</v>
      </c>
      <c r="D1531">
        <v>1</v>
      </c>
      <c r="E1531" t="str">
        <f>"JM Resistors &amp; Conductors, EA01B, LMS LAB"</f>
        <v>JM Resistors &amp; Conductors, EA01B, LMS LAB</v>
      </c>
      <c r="F1531">
        <v>0</v>
      </c>
      <c r="G1531" t="str">
        <f t="shared" si="409"/>
        <v>Y</v>
      </c>
      <c r="H1531" t="str">
        <f t="shared" si="418"/>
        <v>EA</v>
      </c>
      <c r="I1531">
        <v>0</v>
      </c>
      <c r="J1531">
        <v>0</v>
      </c>
      <c r="K1531" t="str">
        <f t="shared" si="410"/>
        <v>Y</v>
      </c>
      <c r="L1531">
        <v>0</v>
      </c>
      <c r="M1531" t="str">
        <f t="shared" si="423"/>
        <v>NIS</v>
      </c>
      <c r="N1531" t="str">
        <f>"Y"</f>
        <v>Y</v>
      </c>
      <c r="O1531">
        <v>3</v>
      </c>
      <c r="P1531" t="str">
        <f t="shared" si="420"/>
        <v>Active</v>
      </c>
      <c r="Q1531" t="str">
        <f>"JM, PDF on CD Resistors &amp; Conductors - EA01B"</f>
        <v>JM, PDF on CD Resistors &amp; Conductors - EA01B</v>
      </c>
      <c r="S1531" t="str">
        <f>"JM, PDF on CD Resistors &amp; Conductors - EA01B"</f>
        <v>JM, PDF on CD Resistors &amp; Conductors - EA01B</v>
      </c>
      <c r="T1531">
        <v>11.41</v>
      </c>
      <c r="U1531">
        <v>10.3</v>
      </c>
      <c r="V1531">
        <v>11.43</v>
      </c>
      <c r="W1531" t="str">
        <f t="shared" si="419"/>
        <v>zintel</v>
      </c>
    </row>
    <row r="1532" spans="1:23">
      <c r="A1532" t="str">
        <f t="shared" ref="A1532:A1538" si="424">"JM-BASE-EA01C"</f>
        <v>JM-BASE-EA01C</v>
      </c>
      <c r="B1532" t="str">
        <f>"77-EA01C-0000"</f>
        <v>77-EA01C-0000</v>
      </c>
      <c r="C1532" t="str">
        <f>"LM7 Content, JM, LCR Circuits"</f>
        <v>LM7 Content, JM, LCR Circuits</v>
      </c>
      <c r="D1532">
        <v>1</v>
      </c>
      <c r="E1532" t="str">
        <f t="shared" ref="E1532:E1538" si="425">"JM LCR Circuits, EA01C, LMS Lab"</f>
        <v>JM LCR Circuits, EA01C, LMS Lab</v>
      </c>
      <c r="F1532">
        <v>0</v>
      </c>
      <c r="G1532" t="str">
        <f t="shared" si="409"/>
        <v>Y</v>
      </c>
      <c r="H1532" t="str">
        <f t="shared" si="418"/>
        <v>EA</v>
      </c>
      <c r="I1532">
        <v>0</v>
      </c>
      <c r="J1532">
        <v>0</v>
      </c>
      <c r="K1532" t="str">
        <f t="shared" si="410"/>
        <v>Y</v>
      </c>
      <c r="L1532">
        <v>0</v>
      </c>
      <c r="M1532" t="str">
        <f t="shared" si="423"/>
        <v>NIS</v>
      </c>
      <c r="O1532">
        <v>1</v>
      </c>
      <c r="P1532" t="str">
        <f t="shared" si="420"/>
        <v>Active</v>
      </c>
      <c r="Q1532" t="str">
        <f>"LM7 Content, JM, LCR Circuits"</f>
        <v>LM7 Content, JM, LCR Circuits</v>
      </c>
      <c r="S1532" t="str">
        <f>"LM7 Content, JM, LCR Circuits"</f>
        <v>LM7 Content, JM, LCR Circuits</v>
      </c>
      <c r="T1532">
        <v>0</v>
      </c>
      <c r="U1532">
        <v>5</v>
      </c>
      <c r="V1532">
        <v>5</v>
      </c>
      <c r="W1532" t="str">
        <f t="shared" si="419"/>
        <v>zintel</v>
      </c>
    </row>
    <row r="1533" spans="1:23">
      <c r="A1533" t="str">
        <f t="shared" si="424"/>
        <v>JM-BASE-EA01C</v>
      </c>
      <c r="B1533" t="str">
        <f>"26-E029-0000"</f>
        <v>26-E029-0000</v>
      </c>
      <c r="C1533" t="str">
        <f>"Assembly, JM, E029, Inductance/Mag Test Panel"</f>
        <v>Assembly, JM, E029, Inductance/Mag Test Panel</v>
      </c>
      <c r="D1533">
        <v>1</v>
      </c>
      <c r="E1533" t="str">
        <f t="shared" si="425"/>
        <v>JM LCR Circuits, EA01C, LMS Lab</v>
      </c>
      <c r="F1533">
        <v>0</v>
      </c>
      <c r="G1533" t="str">
        <f t="shared" si="409"/>
        <v>Y</v>
      </c>
      <c r="H1533" t="str">
        <f t="shared" si="418"/>
        <v>EA</v>
      </c>
      <c r="I1533">
        <v>0</v>
      </c>
      <c r="J1533">
        <v>0</v>
      </c>
      <c r="K1533" t="str">
        <f t="shared" si="410"/>
        <v>Y</v>
      </c>
      <c r="L1533">
        <v>0</v>
      </c>
      <c r="M1533" t="str">
        <f t="shared" si="423"/>
        <v>NIS</v>
      </c>
      <c r="O1533">
        <v>2</v>
      </c>
      <c r="P1533" t="str">
        <f t="shared" si="420"/>
        <v>Active</v>
      </c>
      <c r="Q1533" t="str">
        <f>"Assembly, JM, E029, Inductance/Mag Test Panel"</f>
        <v>Assembly, JM, E029, Inductance/Mag Test Panel</v>
      </c>
      <c r="S1533" t="str">
        <f>"Assembly, JM, E029, Inductance/Mag Test Panel"</f>
        <v>Assembly, JM, E029, Inductance/Mag Test Panel</v>
      </c>
      <c r="T1533">
        <v>159.29</v>
      </c>
      <c r="U1533">
        <v>160</v>
      </c>
      <c r="V1533">
        <v>385.87</v>
      </c>
      <c r="W1533" t="str">
        <f t="shared" si="419"/>
        <v>zintel</v>
      </c>
    </row>
    <row r="1534" spans="1:23">
      <c r="A1534" t="str">
        <f t="shared" si="424"/>
        <v>JM-BASE-EA01C</v>
      </c>
      <c r="B1534" t="str">
        <f>"26-E043-0000"</f>
        <v>26-E043-0000</v>
      </c>
      <c r="C1534" t="str">
        <f>"Assembly, JM, E043, Capacitance Panel"</f>
        <v>Assembly, JM, E043, Capacitance Panel</v>
      </c>
      <c r="D1534">
        <v>1</v>
      </c>
      <c r="E1534" t="str">
        <f t="shared" si="425"/>
        <v>JM LCR Circuits, EA01C, LMS Lab</v>
      </c>
      <c r="F1534">
        <v>0</v>
      </c>
      <c r="G1534" t="str">
        <f t="shared" si="409"/>
        <v>Y</v>
      </c>
      <c r="H1534" t="str">
        <f t="shared" si="418"/>
        <v>EA</v>
      </c>
      <c r="I1534">
        <v>0</v>
      </c>
      <c r="J1534">
        <v>0</v>
      </c>
      <c r="K1534" t="str">
        <f t="shared" si="410"/>
        <v>Y</v>
      </c>
      <c r="L1534">
        <v>0</v>
      </c>
      <c r="M1534" t="str">
        <f t="shared" si="423"/>
        <v>NIS</v>
      </c>
      <c r="O1534">
        <v>3</v>
      </c>
      <c r="P1534" t="str">
        <f t="shared" si="420"/>
        <v>Active</v>
      </c>
      <c r="Q1534" t="str">
        <f>"Assembly, JM, E043, Capacitance Panel"</f>
        <v>Assembly, JM, E043, Capacitance Panel</v>
      </c>
      <c r="S1534" t="str">
        <f>"Assembly, JM, E043, Capacitance Panel"</f>
        <v>Assembly, JM, E043, Capacitance Panel</v>
      </c>
      <c r="T1534">
        <v>101.44</v>
      </c>
      <c r="U1534">
        <v>100</v>
      </c>
      <c r="V1534">
        <v>240.44</v>
      </c>
      <c r="W1534" t="str">
        <f t="shared" si="419"/>
        <v>zintel</v>
      </c>
    </row>
    <row r="1535" spans="1:23">
      <c r="A1535" t="str">
        <f t="shared" si="424"/>
        <v>JM-BASE-EA01C</v>
      </c>
      <c r="B1535" t="str">
        <f>"26-E044-0000"</f>
        <v>26-E044-0000</v>
      </c>
      <c r="C1535" t="str">
        <f>"Assembly, JM, E044, Inductance/Magnetism Panel"</f>
        <v>Assembly, JM, E044, Inductance/Magnetism Panel</v>
      </c>
      <c r="D1535">
        <v>1</v>
      </c>
      <c r="E1535" t="str">
        <f t="shared" si="425"/>
        <v>JM LCR Circuits, EA01C, LMS Lab</v>
      </c>
      <c r="F1535">
        <v>0</v>
      </c>
      <c r="G1535" t="str">
        <f t="shared" si="409"/>
        <v>Y</v>
      </c>
      <c r="H1535" t="str">
        <f t="shared" si="418"/>
        <v>EA</v>
      </c>
      <c r="I1535">
        <v>0</v>
      </c>
      <c r="J1535">
        <v>0</v>
      </c>
      <c r="K1535" t="str">
        <f t="shared" si="410"/>
        <v>Y</v>
      </c>
      <c r="L1535">
        <v>0</v>
      </c>
      <c r="M1535" t="str">
        <f t="shared" si="423"/>
        <v>NIS</v>
      </c>
      <c r="O1535">
        <v>4</v>
      </c>
      <c r="P1535" t="str">
        <f t="shared" si="420"/>
        <v>Active</v>
      </c>
      <c r="Q1535" t="str">
        <f>"Assembly, JM, E044, Inductance/Magnetism Panel"</f>
        <v>Assembly, JM, E044, Inductance/Magnetism Panel</v>
      </c>
      <c r="S1535" t="str">
        <f>"Assembly, JM, E044, Inductance/Magnetism Panel"</f>
        <v>Assembly, JM, E044, Inductance/Magnetism Panel</v>
      </c>
      <c r="T1535">
        <v>113.21</v>
      </c>
      <c r="U1535">
        <v>112</v>
      </c>
      <c r="V1535">
        <v>261.3</v>
      </c>
      <c r="W1535" t="str">
        <f t="shared" si="419"/>
        <v>zintel</v>
      </c>
    </row>
    <row r="1536" spans="1:23">
      <c r="A1536" t="str">
        <f t="shared" si="424"/>
        <v>JM-BASE-EA01C</v>
      </c>
      <c r="B1536" t="str">
        <f>"26-E057-0000"</f>
        <v>26-E057-0000</v>
      </c>
      <c r="C1536" t="str">
        <f>"Assembly, JM, E057, Motor/Generator Demo Panel"</f>
        <v>Assembly, JM, E057, Motor/Generator Demo Panel</v>
      </c>
      <c r="D1536">
        <v>1</v>
      </c>
      <c r="E1536" t="str">
        <f t="shared" si="425"/>
        <v>JM LCR Circuits, EA01C, LMS Lab</v>
      </c>
      <c r="F1536">
        <v>0</v>
      </c>
      <c r="G1536" t="str">
        <f t="shared" si="409"/>
        <v>Y</v>
      </c>
      <c r="H1536" t="str">
        <f t="shared" si="418"/>
        <v>EA</v>
      </c>
      <c r="I1536">
        <v>0</v>
      </c>
      <c r="J1536">
        <v>0</v>
      </c>
      <c r="K1536" t="str">
        <f t="shared" si="410"/>
        <v>Y</v>
      </c>
      <c r="L1536">
        <v>0</v>
      </c>
      <c r="M1536" t="str">
        <f t="shared" si="423"/>
        <v>NIS</v>
      </c>
      <c r="O1536">
        <v>5</v>
      </c>
      <c r="P1536" t="str">
        <f t="shared" si="420"/>
        <v>Active</v>
      </c>
      <c r="Q1536" t="str">
        <f>"Assembly, JM, E057, Motor/Generator Demo Panel"</f>
        <v>Assembly, JM, E057, Motor/Generator Demo Panel</v>
      </c>
      <c r="S1536" t="str">
        <f>"Assembly, JM, E057, Motor/Generator Demo Panel"</f>
        <v>Assembly, JM, E057, Motor/Generator Demo Panel</v>
      </c>
      <c r="T1536">
        <v>182.56</v>
      </c>
      <c r="U1536">
        <v>180</v>
      </c>
      <c r="V1536">
        <v>376.01</v>
      </c>
      <c r="W1536" t="str">
        <f t="shared" si="419"/>
        <v>zintel</v>
      </c>
    </row>
    <row r="1537" spans="1:23">
      <c r="A1537" t="str">
        <f t="shared" si="424"/>
        <v>JM-BASE-EA01C</v>
      </c>
      <c r="B1537" t="str">
        <f>"26-E150-0000"</f>
        <v>26-E150-0000</v>
      </c>
      <c r="C1537" t="str">
        <f>"Assembly, JM, E150, Relay/Contactor Panel"</f>
        <v>Assembly, JM, E150, Relay/Contactor Panel</v>
      </c>
      <c r="D1537">
        <v>1</v>
      </c>
      <c r="E1537" t="str">
        <f t="shared" si="425"/>
        <v>JM LCR Circuits, EA01C, LMS Lab</v>
      </c>
      <c r="F1537">
        <v>0</v>
      </c>
      <c r="G1537" t="str">
        <f t="shared" si="409"/>
        <v>Y</v>
      </c>
      <c r="H1537" t="str">
        <f t="shared" si="418"/>
        <v>EA</v>
      </c>
      <c r="I1537">
        <v>0</v>
      </c>
      <c r="J1537">
        <v>0</v>
      </c>
      <c r="K1537" t="str">
        <f t="shared" si="410"/>
        <v>Y</v>
      </c>
      <c r="L1537">
        <v>0</v>
      </c>
      <c r="M1537" t="str">
        <f t="shared" si="423"/>
        <v>NIS</v>
      </c>
      <c r="O1537">
        <v>6</v>
      </c>
      <c r="P1537" t="str">
        <f t="shared" si="420"/>
        <v>Active</v>
      </c>
      <c r="Q1537" t="str">
        <f>"Assembly, JM, E150, Relay/Contactor Panel"</f>
        <v>Assembly, JM, E150, Relay/Contactor Panel</v>
      </c>
      <c r="S1537" t="str">
        <f>"Assembly, JM, E150, Relay/Contactor Panel"</f>
        <v>Assembly, JM, E150, Relay/Contactor Panel</v>
      </c>
      <c r="T1537">
        <v>213.33</v>
      </c>
      <c r="U1537">
        <v>210</v>
      </c>
      <c r="V1537">
        <v>274.38</v>
      </c>
      <c r="W1537" t="str">
        <f t="shared" si="419"/>
        <v>zintel</v>
      </c>
    </row>
    <row r="1538" spans="1:23">
      <c r="A1538" t="str">
        <f t="shared" si="424"/>
        <v>JM-BASE-EA01C</v>
      </c>
      <c r="B1538" t="str">
        <f>"36-EA01C-IG01"</f>
        <v>36-EA01C-IG01</v>
      </c>
      <c r="C1538" t="str">
        <f>"JM, PDF on CD LCR Circuits - EA01C"</f>
        <v>JM, PDF on CD LCR Circuits - EA01C</v>
      </c>
      <c r="D1538">
        <v>1</v>
      </c>
      <c r="E1538" t="str">
        <f t="shared" si="425"/>
        <v>JM LCR Circuits, EA01C, LMS Lab</v>
      </c>
      <c r="F1538">
        <v>0</v>
      </c>
      <c r="G1538" t="str">
        <f t="shared" ref="G1538:G1601" si="426">"Y"</f>
        <v>Y</v>
      </c>
      <c r="H1538" t="str">
        <f t="shared" si="418"/>
        <v>EA</v>
      </c>
      <c r="I1538">
        <v>0</v>
      </c>
      <c r="J1538">
        <v>0</v>
      </c>
      <c r="K1538" t="str">
        <f t="shared" ref="K1538:K1601" si="427">"Y"</f>
        <v>Y</v>
      </c>
      <c r="L1538">
        <v>0</v>
      </c>
      <c r="M1538" t="str">
        <f t="shared" si="423"/>
        <v>NIS</v>
      </c>
      <c r="N1538" t="str">
        <f>"Y"</f>
        <v>Y</v>
      </c>
      <c r="O1538">
        <v>7</v>
      </c>
      <c r="P1538" t="str">
        <f t="shared" si="420"/>
        <v>Active</v>
      </c>
      <c r="Q1538" t="str">
        <f>"JM, PDF on CD LCR Circuits - EA01C"</f>
        <v>JM, PDF on CD LCR Circuits - EA01C</v>
      </c>
      <c r="S1538" t="str">
        <f>"JM, PDF on CD LCR Circuits - EA01C"</f>
        <v>JM, PDF on CD LCR Circuits - EA01C</v>
      </c>
      <c r="T1538">
        <v>11.41</v>
      </c>
      <c r="U1538">
        <v>10.3</v>
      </c>
      <c r="V1538">
        <v>11.43</v>
      </c>
      <c r="W1538" t="str">
        <f t="shared" si="419"/>
        <v>zintel</v>
      </c>
    </row>
    <row r="1539" spans="1:23">
      <c r="A1539" t="str">
        <f>"JM-BASE-EA01D"</f>
        <v>JM-BASE-EA01D</v>
      </c>
      <c r="B1539" t="str">
        <f>"77-EA01D-0000"</f>
        <v>77-EA01D-0000</v>
      </c>
      <c r="C1539" t="str">
        <f>"LM7 Content, JM, Motors &amp; Generators"</f>
        <v>LM7 Content, JM, Motors &amp; Generators</v>
      </c>
      <c r="D1539">
        <v>1</v>
      </c>
      <c r="E1539" t="str">
        <f>"JM Motors &amp; Generators, EA01D, LMS Lab"</f>
        <v>JM Motors &amp; Generators, EA01D, LMS Lab</v>
      </c>
      <c r="F1539">
        <v>0</v>
      </c>
      <c r="G1539" t="str">
        <f t="shared" si="426"/>
        <v>Y</v>
      </c>
      <c r="H1539" t="str">
        <f t="shared" si="418"/>
        <v>EA</v>
      </c>
      <c r="I1539">
        <v>0</v>
      </c>
      <c r="J1539">
        <v>0</v>
      </c>
      <c r="K1539" t="str">
        <f t="shared" si="427"/>
        <v>Y</v>
      </c>
      <c r="L1539">
        <v>0</v>
      </c>
      <c r="M1539" t="str">
        <f t="shared" si="423"/>
        <v>NIS</v>
      </c>
      <c r="O1539">
        <v>1</v>
      </c>
      <c r="P1539" t="str">
        <f t="shared" si="420"/>
        <v>Active</v>
      </c>
      <c r="Q1539" t="str">
        <f>"LM7 Content, JM, Motors &amp; Generators"</f>
        <v>LM7 Content, JM, Motors &amp; Generators</v>
      </c>
      <c r="S1539" t="str">
        <f>"LM7 Content, JM, Motors &amp; Generators"</f>
        <v>LM7 Content, JM, Motors &amp; Generators</v>
      </c>
      <c r="T1539">
        <v>0</v>
      </c>
      <c r="U1539">
        <v>5</v>
      </c>
      <c r="V1539">
        <v>5</v>
      </c>
      <c r="W1539" t="str">
        <f t="shared" si="419"/>
        <v>zintel</v>
      </c>
    </row>
    <row r="1540" spans="1:23">
      <c r="A1540" t="str">
        <f>"JM-BASE-EA01D"</f>
        <v>JM-BASE-EA01D</v>
      </c>
      <c r="B1540" t="str">
        <f>"36-EA01D-IG01"</f>
        <v>36-EA01D-IG01</v>
      </c>
      <c r="C1540" t="str">
        <f>"JM, PDF on CD Motors and Generators - EA01D"</f>
        <v>JM, PDF on CD Motors and Generators - EA01D</v>
      </c>
      <c r="D1540">
        <v>1</v>
      </c>
      <c r="E1540" t="str">
        <f>"JM Motors &amp; Generators, EA01D, LMS Lab"</f>
        <v>JM Motors &amp; Generators, EA01D, LMS Lab</v>
      </c>
      <c r="F1540">
        <v>0</v>
      </c>
      <c r="G1540" t="str">
        <f t="shared" si="426"/>
        <v>Y</v>
      </c>
      <c r="H1540" t="str">
        <f t="shared" si="418"/>
        <v>EA</v>
      </c>
      <c r="I1540">
        <v>0</v>
      </c>
      <c r="J1540">
        <v>0</v>
      </c>
      <c r="K1540" t="str">
        <f t="shared" si="427"/>
        <v>Y</v>
      </c>
      <c r="L1540">
        <v>0</v>
      </c>
      <c r="M1540" t="str">
        <f t="shared" si="423"/>
        <v>NIS</v>
      </c>
      <c r="N1540" t="str">
        <f>"Y"</f>
        <v>Y</v>
      </c>
      <c r="O1540">
        <v>2</v>
      </c>
      <c r="P1540" t="str">
        <f t="shared" si="420"/>
        <v>Active</v>
      </c>
      <c r="Q1540" t="str">
        <f>"JM, PDF on CD Motors and Generators - EA01D"</f>
        <v>JM, PDF on CD Motors and Generators - EA01D</v>
      </c>
      <c r="S1540" t="str">
        <f>"JM, PDF on CD Motors and Generators - EA01D"</f>
        <v>JM, PDF on CD Motors and Generators - EA01D</v>
      </c>
      <c r="T1540">
        <v>11.41</v>
      </c>
      <c r="U1540">
        <v>10.3</v>
      </c>
      <c r="V1540">
        <v>11.43</v>
      </c>
      <c r="W1540" t="str">
        <f t="shared" si="419"/>
        <v>zintel</v>
      </c>
    </row>
    <row r="1541" spans="1:23">
      <c r="A1541" t="str">
        <f t="shared" ref="A1541:A1562" si="428">"JM-BASE-ELEC"</f>
        <v>JM-BASE-ELEC</v>
      </c>
      <c r="B1541" t="str">
        <f>"10-LS00-0200"</f>
        <v>10-LS00-0200</v>
      </c>
      <c r="C1541" t="str">
        <f>"LS200:Jobmaster 2-Sided Mobile Learning Station"</f>
        <v>LS200:Jobmaster 2-Sided Mobile Learning Station</v>
      </c>
      <c r="D1541">
        <v>1</v>
      </c>
      <c r="E1541" t="str">
        <f t="shared" ref="E1541:E1562" si="429">"Basic Electrical Two-Sided Bench"</f>
        <v>Basic Electrical Two-Sided Bench</v>
      </c>
      <c r="F1541">
        <v>0</v>
      </c>
      <c r="G1541" t="str">
        <f t="shared" si="426"/>
        <v>Y</v>
      </c>
      <c r="H1541" t="str">
        <f t="shared" si="418"/>
        <v>EA</v>
      </c>
      <c r="I1541">
        <v>0</v>
      </c>
      <c r="J1541">
        <v>0</v>
      </c>
      <c r="K1541" t="str">
        <f t="shared" si="427"/>
        <v>Y</v>
      </c>
      <c r="L1541">
        <v>0</v>
      </c>
      <c r="M1541" t="str">
        <f t="shared" si="423"/>
        <v>NIS</v>
      </c>
      <c r="O1541">
        <v>1</v>
      </c>
      <c r="P1541" t="str">
        <f t="shared" si="420"/>
        <v>Active</v>
      </c>
      <c r="Q1541" t="str">
        <f>"LS200:Jobmaster 2-Sided Mobile Learning Station"</f>
        <v>LS200:Jobmaster 2-Sided Mobile Learning Station</v>
      </c>
      <c r="S1541" t="str">
        <f>"LS200:Jobmaster 2-Sided Mobile Learning Station"</f>
        <v>LS200:Jobmaster 2-Sided Mobile Learning Station</v>
      </c>
      <c r="T1541" s="44">
        <v>2283.3200000000002</v>
      </c>
      <c r="U1541" s="44">
        <v>2121</v>
      </c>
      <c r="V1541" s="44">
        <v>3030.14</v>
      </c>
      <c r="W1541" t="str">
        <f t="shared" si="419"/>
        <v>zintel</v>
      </c>
    </row>
    <row r="1542" spans="1:23">
      <c r="A1542" t="str">
        <f t="shared" si="428"/>
        <v>JM-BASE-ELEC</v>
      </c>
      <c r="B1542" t="str">
        <f>"10-PC04-0000"</f>
        <v>10-PC04-0000</v>
      </c>
      <c r="C1542" t="str">
        <f>"JM, Panel PC04, 120VAC Power Control"</f>
        <v>JM, Panel PC04, 120VAC Power Control</v>
      </c>
      <c r="D1542">
        <v>2</v>
      </c>
      <c r="E1542" t="str">
        <f t="shared" si="429"/>
        <v>Basic Electrical Two-Sided Bench</v>
      </c>
      <c r="F1542">
        <v>0</v>
      </c>
      <c r="G1542" t="str">
        <f t="shared" si="426"/>
        <v>Y</v>
      </c>
      <c r="H1542" t="str">
        <f t="shared" si="418"/>
        <v>EA</v>
      </c>
      <c r="I1542">
        <v>0</v>
      </c>
      <c r="J1542">
        <v>0</v>
      </c>
      <c r="K1542" t="str">
        <f t="shared" si="427"/>
        <v>Y</v>
      </c>
      <c r="L1542">
        <v>0</v>
      </c>
      <c r="M1542" t="str">
        <f t="shared" si="423"/>
        <v>NIS</v>
      </c>
      <c r="O1542">
        <v>2</v>
      </c>
      <c r="P1542" t="str">
        <f t="shared" si="420"/>
        <v>Active</v>
      </c>
      <c r="Q1542" t="str">
        <f>"JM, Panel PC04, 120VAC Power Control"</f>
        <v>JM, Panel PC04, 120VAC Power Control</v>
      </c>
      <c r="S1542" t="str">
        <f>"JM, Panel PC04, 120VAC Power Control"</f>
        <v>JM, Panel PC04, 120VAC Power Control</v>
      </c>
      <c r="T1542">
        <v>358.54</v>
      </c>
      <c r="U1542">
        <v>358</v>
      </c>
      <c r="V1542">
        <v>637.30999999999995</v>
      </c>
      <c r="W1542" t="str">
        <f t="shared" si="419"/>
        <v>zintel</v>
      </c>
    </row>
    <row r="1543" spans="1:23">
      <c r="A1543" t="str">
        <f t="shared" si="428"/>
        <v>JM-BASE-ELEC</v>
      </c>
      <c r="B1543" t="str">
        <f>"77-EA01A-0000"</f>
        <v>77-EA01A-0000</v>
      </c>
      <c r="C1543" t="str">
        <f>"LM7 Content, JM, Electrical Circuits"</f>
        <v>LM7 Content, JM, Electrical Circuits</v>
      </c>
      <c r="D1543">
        <v>1</v>
      </c>
      <c r="E1543" t="str">
        <f t="shared" si="429"/>
        <v>Basic Electrical Two-Sided Bench</v>
      </c>
      <c r="F1543">
        <v>0</v>
      </c>
      <c r="G1543" t="str">
        <f t="shared" si="426"/>
        <v>Y</v>
      </c>
      <c r="H1543" t="str">
        <f t="shared" si="418"/>
        <v>EA</v>
      </c>
      <c r="I1543">
        <v>0</v>
      </c>
      <c r="J1543">
        <v>0</v>
      </c>
      <c r="K1543" t="str">
        <f t="shared" si="427"/>
        <v>Y</v>
      </c>
      <c r="L1543">
        <v>0</v>
      </c>
      <c r="M1543" t="str">
        <f t="shared" si="423"/>
        <v>NIS</v>
      </c>
      <c r="O1543">
        <v>3</v>
      </c>
      <c r="P1543" t="str">
        <f t="shared" si="420"/>
        <v>Active</v>
      </c>
      <c r="Q1543" t="str">
        <f>"LM7 Content, JM, Electrical Circuits"</f>
        <v>LM7 Content, JM, Electrical Circuits</v>
      </c>
      <c r="S1543" t="str">
        <f>"LM7 Content, JM, Electrical Circuits"</f>
        <v>LM7 Content, JM, Electrical Circuits</v>
      </c>
      <c r="T1543">
        <v>0</v>
      </c>
      <c r="U1543">
        <v>5</v>
      </c>
      <c r="V1543">
        <v>5</v>
      </c>
      <c r="W1543" t="str">
        <f t="shared" si="419"/>
        <v>zintel</v>
      </c>
    </row>
    <row r="1544" spans="1:23">
      <c r="A1544" t="str">
        <f t="shared" si="428"/>
        <v>JM-BASE-ELEC</v>
      </c>
      <c r="B1544" t="str">
        <f>"26-E040-0000"</f>
        <v>26-E040-0000</v>
      </c>
      <c r="C1544" t="str">
        <f>"Assembly, JM, E040, Switches, Lamp, and Buzzer"</f>
        <v>Assembly, JM, E040, Switches, Lamp, and Buzzer</v>
      </c>
      <c r="D1544">
        <v>2</v>
      </c>
      <c r="E1544" t="str">
        <f t="shared" si="429"/>
        <v>Basic Electrical Two-Sided Bench</v>
      </c>
      <c r="F1544">
        <v>0</v>
      </c>
      <c r="G1544" t="str">
        <f t="shared" si="426"/>
        <v>Y</v>
      </c>
      <c r="H1544" t="str">
        <f t="shared" si="418"/>
        <v>EA</v>
      </c>
      <c r="I1544">
        <v>0</v>
      </c>
      <c r="J1544">
        <v>0</v>
      </c>
      <c r="K1544" t="str">
        <f t="shared" si="427"/>
        <v>Y</v>
      </c>
      <c r="L1544">
        <v>0</v>
      </c>
      <c r="M1544" t="str">
        <f t="shared" si="423"/>
        <v>NIS</v>
      </c>
      <c r="O1544">
        <v>4</v>
      </c>
      <c r="P1544" t="str">
        <f t="shared" si="420"/>
        <v>Active</v>
      </c>
      <c r="Q1544" t="str">
        <f>"Assembly, JM, E040, Switches, Lamp, and Buzzer"</f>
        <v>Assembly, JM, E040, Switches, Lamp, and Buzzer</v>
      </c>
      <c r="S1544" t="str">
        <f>"Assembly, JM, E040, Switches, Lamp, and Buzzer"</f>
        <v>Assembly, JM, E040, Switches, Lamp, and Buzzer</v>
      </c>
      <c r="T1544">
        <v>129.08000000000001</v>
      </c>
      <c r="U1544">
        <v>127</v>
      </c>
      <c r="V1544">
        <v>179.69</v>
      </c>
      <c r="W1544" t="str">
        <f t="shared" si="419"/>
        <v>zintel</v>
      </c>
    </row>
    <row r="1545" spans="1:23">
      <c r="A1545" t="str">
        <f t="shared" si="428"/>
        <v>JM-BASE-ELEC</v>
      </c>
      <c r="B1545" t="str">
        <f>"26-E045-0000"</f>
        <v>26-E045-0000</v>
      </c>
      <c r="C1545" t="str">
        <f>"Assembly, JM, E045, Sources of Electricity"</f>
        <v>Assembly, JM, E045, Sources of Electricity</v>
      </c>
      <c r="D1545">
        <v>2</v>
      </c>
      <c r="E1545" t="str">
        <f t="shared" si="429"/>
        <v>Basic Electrical Two-Sided Bench</v>
      </c>
      <c r="F1545">
        <v>0</v>
      </c>
      <c r="G1545" t="str">
        <f t="shared" si="426"/>
        <v>Y</v>
      </c>
      <c r="H1545" t="str">
        <f t="shared" si="418"/>
        <v>EA</v>
      </c>
      <c r="I1545">
        <v>0</v>
      </c>
      <c r="J1545">
        <v>0</v>
      </c>
      <c r="K1545" t="str">
        <f t="shared" si="427"/>
        <v>Y</v>
      </c>
      <c r="L1545">
        <v>0</v>
      </c>
      <c r="M1545" t="str">
        <f t="shared" si="423"/>
        <v>NIS</v>
      </c>
      <c r="O1545">
        <v>5</v>
      </c>
      <c r="P1545" t="str">
        <f t="shared" si="420"/>
        <v>Active</v>
      </c>
      <c r="Q1545" t="str">
        <f>"Assembly, JM, E045, Sources of Electricity"</f>
        <v>Assembly, JM, E045, Sources of Electricity</v>
      </c>
      <c r="S1545" t="str">
        <f>"Assembly, JM, E045, Sources of Electricity"</f>
        <v>Assembly, JM, E045, Sources of Electricity</v>
      </c>
      <c r="T1545">
        <v>92.93</v>
      </c>
      <c r="U1545">
        <v>92</v>
      </c>
      <c r="V1545">
        <v>169.98</v>
      </c>
      <c r="W1545" t="str">
        <f t="shared" si="419"/>
        <v>zintel</v>
      </c>
    </row>
    <row r="1546" spans="1:23">
      <c r="A1546" t="str">
        <f t="shared" si="428"/>
        <v>JM-BASE-ELEC</v>
      </c>
      <c r="B1546" t="str">
        <f>"26-E047-0000"</f>
        <v>26-E047-0000</v>
      </c>
      <c r="C1546" t="str">
        <f>"Assembly, JM, E047, Heat/Light Source"</f>
        <v>Assembly, JM, E047, Heat/Light Source</v>
      </c>
      <c r="D1546">
        <v>2</v>
      </c>
      <c r="E1546" t="str">
        <f t="shared" si="429"/>
        <v>Basic Electrical Two-Sided Bench</v>
      </c>
      <c r="F1546">
        <v>0</v>
      </c>
      <c r="G1546" t="str">
        <f t="shared" si="426"/>
        <v>Y</v>
      </c>
      <c r="H1546" t="str">
        <f t="shared" si="418"/>
        <v>EA</v>
      </c>
      <c r="I1546">
        <v>0</v>
      </c>
      <c r="J1546">
        <v>0</v>
      </c>
      <c r="K1546" t="str">
        <f t="shared" si="427"/>
        <v>Y</v>
      </c>
      <c r="L1546">
        <v>0</v>
      </c>
      <c r="M1546" t="str">
        <f t="shared" si="423"/>
        <v>NIS</v>
      </c>
      <c r="O1546">
        <v>6</v>
      </c>
      <c r="P1546" t="str">
        <f t="shared" si="420"/>
        <v>Active</v>
      </c>
      <c r="Q1546" t="str">
        <f>"Assembly, JM, E047, Heat/Light Source"</f>
        <v>Assembly, JM, E047, Heat/Light Source</v>
      </c>
      <c r="S1546" t="str">
        <f>"Assembly, JM, E047, Heat/Light Source"</f>
        <v>Assembly, JM, E047, Heat/Light Source</v>
      </c>
      <c r="T1546">
        <v>71.62</v>
      </c>
      <c r="U1546">
        <v>72</v>
      </c>
      <c r="V1546">
        <v>121.41</v>
      </c>
      <c r="W1546" t="str">
        <f t="shared" si="419"/>
        <v>zintel</v>
      </c>
    </row>
    <row r="1547" spans="1:23">
      <c r="A1547" t="str">
        <f t="shared" si="428"/>
        <v>JM-BASE-ELEC</v>
      </c>
      <c r="B1547" t="str">
        <f>"26-E151-0000"</f>
        <v>26-E151-0000</v>
      </c>
      <c r="C1547" t="str">
        <f>"Assembly, JM, E151,Series/Parallel Lamps Panel"</f>
        <v>Assembly, JM, E151,Series/Parallel Lamps Panel</v>
      </c>
      <c r="D1547">
        <v>2</v>
      </c>
      <c r="E1547" t="str">
        <f t="shared" si="429"/>
        <v>Basic Electrical Two-Sided Bench</v>
      </c>
      <c r="F1547">
        <v>0</v>
      </c>
      <c r="G1547" t="str">
        <f t="shared" si="426"/>
        <v>Y</v>
      </c>
      <c r="H1547" t="str">
        <f t="shared" si="418"/>
        <v>EA</v>
      </c>
      <c r="I1547">
        <v>0</v>
      </c>
      <c r="J1547">
        <v>0</v>
      </c>
      <c r="K1547" t="str">
        <f t="shared" si="427"/>
        <v>Y</v>
      </c>
      <c r="L1547">
        <v>0</v>
      </c>
      <c r="M1547" t="str">
        <f t="shared" si="423"/>
        <v>NIS</v>
      </c>
      <c r="O1547">
        <v>7</v>
      </c>
      <c r="P1547" t="str">
        <f t="shared" si="420"/>
        <v>Active</v>
      </c>
      <c r="Q1547" t="str">
        <f>"Assembly, JM, E151,Series/Parallel Lamps Panel"</f>
        <v>Assembly, JM, E151,Series/Parallel Lamps Panel</v>
      </c>
      <c r="S1547" t="str">
        <f>"Assembly, JM, E151,Series/Parallel Lamps Panel"</f>
        <v>Assembly, JM, E151,Series/Parallel Lamps Panel</v>
      </c>
      <c r="T1547">
        <v>111.9</v>
      </c>
      <c r="U1547">
        <v>110</v>
      </c>
      <c r="V1547">
        <v>294.89999999999998</v>
      </c>
      <c r="W1547" t="str">
        <f t="shared" si="419"/>
        <v>zintel</v>
      </c>
    </row>
    <row r="1548" spans="1:23">
      <c r="A1548" t="str">
        <f t="shared" si="428"/>
        <v>JM-BASE-ELEC</v>
      </c>
      <c r="B1548" t="str">
        <f>"26-E152-0000"</f>
        <v>26-E152-0000</v>
      </c>
      <c r="C1548" t="str">
        <f>"Assembly, JM, E152, Transformer/Adjustable Power"</f>
        <v>Assembly, JM, E152, Transformer/Adjustable Power</v>
      </c>
      <c r="D1548">
        <v>2</v>
      </c>
      <c r="E1548" t="str">
        <f t="shared" si="429"/>
        <v>Basic Electrical Two-Sided Bench</v>
      </c>
      <c r="F1548">
        <v>0</v>
      </c>
      <c r="G1548" t="str">
        <f t="shared" si="426"/>
        <v>Y</v>
      </c>
      <c r="H1548" t="str">
        <f t="shared" si="418"/>
        <v>EA</v>
      </c>
      <c r="I1548">
        <v>0</v>
      </c>
      <c r="J1548">
        <v>0</v>
      </c>
      <c r="K1548" t="str">
        <f t="shared" si="427"/>
        <v>Y</v>
      </c>
      <c r="L1548">
        <v>0</v>
      </c>
      <c r="M1548" t="str">
        <f t="shared" si="423"/>
        <v>NIS</v>
      </c>
      <c r="O1548">
        <v>8</v>
      </c>
      <c r="P1548" t="str">
        <f t="shared" si="420"/>
        <v>Active</v>
      </c>
      <c r="Q1548" t="str">
        <f>"Assembly, JM, E152, Transformer/Adjustable Power"</f>
        <v>Assembly, JM, E152, Transformer/Adjustable Power</v>
      </c>
      <c r="S1548" t="str">
        <f>"Assembly, JM, E152, Transformer/Adjustable Power"</f>
        <v>Assembly, JM, E152, Transformer/Adjustable Power</v>
      </c>
      <c r="T1548">
        <v>196.61</v>
      </c>
      <c r="U1548">
        <v>195</v>
      </c>
      <c r="V1548">
        <v>414.83</v>
      </c>
      <c r="W1548" t="str">
        <f t="shared" si="419"/>
        <v>zintel</v>
      </c>
    </row>
    <row r="1549" spans="1:23">
      <c r="A1549" t="str">
        <f t="shared" si="428"/>
        <v>JM-BASE-ELEC</v>
      </c>
      <c r="B1549" t="str">
        <f>"36-8900-0007"</f>
        <v>36-8900-0007</v>
      </c>
      <c r="C1549" t="str">
        <f>"JM, Digital Multimeter, Fluke-115"</f>
        <v>JM, Digital Multimeter, Fluke-115</v>
      </c>
      <c r="D1549">
        <v>2</v>
      </c>
      <c r="E1549" t="str">
        <f t="shared" si="429"/>
        <v>Basic Electrical Two-Sided Bench</v>
      </c>
      <c r="F1549">
        <v>0</v>
      </c>
      <c r="G1549" t="str">
        <f t="shared" si="426"/>
        <v>Y</v>
      </c>
      <c r="H1549" t="str">
        <f t="shared" si="418"/>
        <v>EA</v>
      </c>
      <c r="I1549">
        <v>0</v>
      </c>
      <c r="J1549">
        <v>0</v>
      </c>
      <c r="K1549" t="str">
        <f t="shared" si="427"/>
        <v>Y</v>
      </c>
      <c r="L1549">
        <v>0</v>
      </c>
      <c r="M1549" t="str">
        <f t="shared" si="423"/>
        <v>NIS</v>
      </c>
      <c r="O1549">
        <v>9</v>
      </c>
      <c r="P1549" t="str">
        <f t="shared" si="420"/>
        <v>Active</v>
      </c>
      <c r="Q1549" t="str">
        <f>"JM, Digital Multimeter, Fluke-115"</f>
        <v>JM, Digital Multimeter, Fluke-115</v>
      </c>
      <c r="R1549" t="str">
        <f>"1"</f>
        <v>1</v>
      </c>
      <c r="S1549" t="str">
        <f>"JM, Digital Multimeter, Fluke-115"</f>
        <v>JM, Digital Multimeter, Fluke-115</v>
      </c>
      <c r="T1549">
        <v>158.5</v>
      </c>
      <c r="U1549">
        <v>145</v>
      </c>
      <c r="V1549">
        <v>218.54</v>
      </c>
      <c r="W1549" t="str">
        <f t="shared" si="419"/>
        <v>zintel</v>
      </c>
    </row>
    <row r="1550" spans="1:23">
      <c r="A1550" t="str">
        <f t="shared" si="428"/>
        <v>JM-BASE-ELEC</v>
      </c>
      <c r="B1550" t="str">
        <f>"36-EA01A-IG01"</f>
        <v>36-EA01A-IG01</v>
      </c>
      <c r="C1550" t="str">
        <f>"JM, PDF on CD Electrical Circuits - EA01A"</f>
        <v>JM, PDF on CD Electrical Circuits - EA01A</v>
      </c>
      <c r="D1550">
        <v>1</v>
      </c>
      <c r="E1550" t="str">
        <f t="shared" si="429"/>
        <v>Basic Electrical Two-Sided Bench</v>
      </c>
      <c r="F1550">
        <v>0</v>
      </c>
      <c r="G1550" t="str">
        <f t="shared" si="426"/>
        <v>Y</v>
      </c>
      <c r="H1550" t="str">
        <f t="shared" si="418"/>
        <v>EA</v>
      </c>
      <c r="I1550">
        <v>0</v>
      </c>
      <c r="J1550">
        <v>0</v>
      </c>
      <c r="K1550" t="str">
        <f t="shared" si="427"/>
        <v>Y</v>
      </c>
      <c r="L1550">
        <v>0</v>
      </c>
      <c r="M1550" t="str">
        <f t="shared" si="423"/>
        <v>NIS</v>
      </c>
      <c r="N1550" t="str">
        <f>"Y"</f>
        <v>Y</v>
      </c>
      <c r="O1550">
        <v>10</v>
      </c>
      <c r="P1550" t="str">
        <f t="shared" si="420"/>
        <v>Active</v>
      </c>
      <c r="Q1550" t="str">
        <f>"JM, PDF on CD Electrical Circuits - EA01A"</f>
        <v>JM, PDF on CD Electrical Circuits - EA01A</v>
      </c>
      <c r="S1550" t="str">
        <f>"JM, PDF on CD Electrical Circuits - EA01A"</f>
        <v>JM, PDF on CD Electrical Circuits - EA01A</v>
      </c>
      <c r="T1550">
        <v>11.41</v>
      </c>
      <c r="U1550">
        <v>10.3</v>
      </c>
      <c r="V1550">
        <v>11.43</v>
      </c>
      <c r="W1550" t="str">
        <f t="shared" si="419"/>
        <v>zintel</v>
      </c>
    </row>
    <row r="1551" spans="1:23">
      <c r="A1551" t="str">
        <f t="shared" si="428"/>
        <v>JM-BASE-ELEC</v>
      </c>
      <c r="B1551" t="str">
        <f>"77-EA01B-0000"</f>
        <v>77-EA01B-0000</v>
      </c>
      <c r="C1551" t="str">
        <f>"LM7 Content, JM, Resistors &amp; Conductors"</f>
        <v>LM7 Content, JM, Resistors &amp; Conductors</v>
      </c>
      <c r="D1551">
        <v>1</v>
      </c>
      <c r="E1551" t="str">
        <f t="shared" si="429"/>
        <v>Basic Electrical Two-Sided Bench</v>
      </c>
      <c r="F1551">
        <v>0</v>
      </c>
      <c r="G1551" t="str">
        <f t="shared" si="426"/>
        <v>Y</v>
      </c>
      <c r="H1551" t="str">
        <f t="shared" si="418"/>
        <v>EA</v>
      </c>
      <c r="I1551">
        <v>0</v>
      </c>
      <c r="J1551">
        <v>0</v>
      </c>
      <c r="K1551" t="str">
        <f t="shared" si="427"/>
        <v>Y</v>
      </c>
      <c r="L1551">
        <v>0</v>
      </c>
      <c r="M1551" t="str">
        <f t="shared" si="423"/>
        <v>NIS</v>
      </c>
      <c r="O1551">
        <v>11</v>
      </c>
      <c r="P1551" t="str">
        <f t="shared" si="420"/>
        <v>Active</v>
      </c>
      <c r="Q1551" t="str">
        <f>"LM7 Content, JM, Resistors &amp; Conductors"</f>
        <v>LM7 Content, JM, Resistors &amp; Conductors</v>
      </c>
      <c r="S1551" t="str">
        <f>"LM7 Content, JM, Resistors &amp; Conductors"</f>
        <v>LM7 Content, JM, Resistors &amp; Conductors</v>
      </c>
      <c r="T1551">
        <v>0</v>
      </c>
      <c r="U1551">
        <v>5</v>
      </c>
      <c r="V1551">
        <v>5</v>
      </c>
      <c r="W1551" t="str">
        <f t="shared" si="419"/>
        <v>zintel</v>
      </c>
    </row>
    <row r="1552" spans="1:23">
      <c r="A1552" t="str">
        <f t="shared" si="428"/>
        <v>JM-BASE-ELEC</v>
      </c>
      <c r="B1552" t="str">
        <f>"26-E042-0000"</f>
        <v>26-E042-0000</v>
      </c>
      <c r="C1552" t="str">
        <f>"Assembly, JM, E042, Resistance Panel"</f>
        <v>Assembly, JM, E042, Resistance Panel</v>
      </c>
      <c r="D1552">
        <v>2</v>
      </c>
      <c r="E1552" t="str">
        <f t="shared" si="429"/>
        <v>Basic Electrical Two-Sided Bench</v>
      </c>
      <c r="F1552">
        <v>0</v>
      </c>
      <c r="G1552" t="str">
        <f t="shared" si="426"/>
        <v>Y</v>
      </c>
      <c r="H1552" t="str">
        <f t="shared" si="418"/>
        <v>EA</v>
      </c>
      <c r="I1552">
        <v>0</v>
      </c>
      <c r="J1552">
        <v>0</v>
      </c>
      <c r="K1552" t="str">
        <f t="shared" si="427"/>
        <v>Y</v>
      </c>
      <c r="L1552">
        <v>0</v>
      </c>
      <c r="M1552" t="str">
        <f t="shared" si="423"/>
        <v>NIS</v>
      </c>
      <c r="O1552">
        <v>12</v>
      </c>
      <c r="P1552" t="str">
        <f t="shared" ref="P1552:P1583" si="430">"Active"</f>
        <v>Active</v>
      </c>
      <c r="Q1552" t="str">
        <f>"Assembly, JM, E042, Resistance Panel"</f>
        <v>Assembly, JM, E042, Resistance Panel</v>
      </c>
      <c r="S1552" t="str">
        <f>"Assembly, JM, E042, Resistance Panel"</f>
        <v>Assembly, JM, E042, Resistance Panel</v>
      </c>
      <c r="T1552">
        <v>275.08</v>
      </c>
      <c r="U1552">
        <v>270</v>
      </c>
      <c r="V1552">
        <v>532.45000000000005</v>
      </c>
      <c r="W1552" t="str">
        <f t="shared" si="419"/>
        <v>zintel</v>
      </c>
    </row>
    <row r="1553" spans="1:23">
      <c r="A1553" t="str">
        <f t="shared" si="428"/>
        <v>JM-BASE-ELEC</v>
      </c>
      <c r="B1553" t="str">
        <f>"36-EA01B-IG01"</f>
        <v>36-EA01B-IG01</v>
      </c>
      <c r="C1553" t="str">
        <f>"JM, PDF on CD Resistors &amp; Conductors - EA01B"</f>
        <v>JM, PDF on CD Resistors &amp; Conductors - EA01B</v>
      </c>
      <c r="D1553">
        <v>1</v>
      </c>
      <c r="E1553" t="str">
        <f t="shared" si="429"/>
        <v>Basic Electrical Two-Sided Bench</v>
      </c>
      <c r="F1553">
        <v>0</v>
      </c>
      <c r="G1553" t="str">
        <f t="shared" si="426"/>
        <v>Y</v>
      </c>
      <c r="H1553" t="str">
        <f t="shared" si="418"/>
        <v>EA</v>
      </c>
      <c r="I1553">
        <v>0</v>
      </c>
      <c r="J1553">
        <v>0</v>
      </c>
      <c r="K1553" t="str">
        <f t="shared" si="427"/>
        <v>Y</v>
      </c>
      <c r="L1553">
        <v>0</v>
      </c>
      <c r="M1553" t="str">
        <f t="shared" si="423"/>
        <v>NIS</v>
      </c>
      <c r="N1553" t="str">
        <f>"Y"</f>
        <v>Y</v>
      </c>
      <c r="O1553">
        <v>13</v>
      </c>
      <c r="P1553" t="str">
        <f t="shared" si="430"/>
        <v>Active</v>
      </c>
      <c r="Q1553" t="str">
        <f>"JM, PDF on CD Resistors &amp; Conductors - EA01B"</f>
        <v>JM, PDF on CD Resistors &amp; Conductors - EA01B</v>
      </c>
      <c r="S1553" t="str">
        <f>"JM, PDF on CD Resistors &amp; Conductors - EA01B"</f>
        <v>JM, PDF on CD Resistors &amp; Conductors - EA01B</v>
      </c>
      <c r="T1553">
        <v>11.41</v>
      </c>
      <c r="U1553">
        <v>10.3</v>
      </c>
      <c r="V1553">
        <v>11.43</v>
      </c>
      <c r="W1553" t="str">
        <f t="shared" si="419"/>
        <v>zintel</v>
      </c>
    </row>
    <row r="1554" spans="1:23">
      <c r="A1554" t="str">
        <f t="shared" si="428"/>
        <v>JM-BASE-ELEC</v>
      </c>
      <c r="B1554" t="str">
        <f>"77-EA01C-0000"</f>
        <v>77-EA01C-0000</v>
      </c>
      <c r="C1554" t="str">
        <f>"LM7 Content, JM, LCR Circuits"</f>
        <v>LM7 Content, JM, LCR Circuits</v>
      </c>
      <c r="D1554">
        <v>1</v>
      </c>
      <c r="E1554" t="str">
        <f t="shared" si="429"/>
        <v>Basic Electrical Two-Sided Bench</v>
      </c>
      <c r="F1554">
        <v>0</v>
      </c>
      <c r="G1554" t="str">
        <f t="shared" si="426"/>
        <v>Y</v>
      </c>
      <c r="H1554" t="str">
        <f t="shared" si="418"/>
        <v>EA</v>
      </c>
      <c r="I1554">
        <v>0</v>
      </c>
      <c r="J1554">
        <v>0</v>
      </c>
      <c r="K1554" t="str">
        <f t="shared" si="427"/>
        <v>Y</v>
      </c>
      <c r="L1554">
        <v>0</v>
      </c>
      <c r="M1554" t="str">
        <f t="shared" si="423"/>
        <v>NIS</v>
      </c>
      <c r="O1554">
        <v>14</v>
      </c>
      <c r="P1554" t="str">
        <f t="shared" si="430"/>
        <v>Active</v>
      </c>
      <c r="Q1554" t="str">
        <f>"LM7 Content, JM, LCR Circuits"</f>
        <v>LM7 Content, JM, LCR Circuits</v>
      </c>
      <c r="S1554" t="str">
        <f>"LM7 Content, JM, LCR Circuits"</f>
        <v>LM7 Content, JM, LCR Circuits</v>
      </c>
      <c r="T1554">
        <v>0</v>
      </c>
      <c r="U1554">
        <v>5</v>
      </c>
      <c r="V1554">
        <v>5</v>
      </c>
      <c r="W1554" t="str">
        <f t="shared" si="419"/>
        <v>zintel</v>
      </c>
    </row>
    <row r="1555" spans="1:23">
      <c r="A1555" t="str">
        <f t="shared" si="428"/>
        <v>JM-BASE-ELEC</v>
      </c>
      <c r="B1555" t="str">
        <f>"26-E029-0000"</f>
        <v>26-E029-0000</v>
      </c>
      <c r="C1555" t="str">
        <f>"Assembly, JM, E029, Inductance/Mag Test Panel"</f>
        <v>Assembly, JM, E029, Inductance/Mag Test Panel</v>
      </c>
      <c r="D1555">
        <v>2</v>
      </c>
      <c r="E1555" t="str">
        <f t="shared" si="429"/>
        <v>Basic Electrical Two-Sided Bench</v>
      </c>
      <c r="F1555">
        <v>0</v>
      </c>
      <c r="G1555" t="str">
        <f t="shared" si="426"/>
        <v>Y</v>
      </c>
      <c r="H1555" t="str">
        <f t="shared" si="418"/>
        <v>EA</v>
      </c>
      <c r="I1555">
        <v>0</v>
      </c>
      <c r="J1555">
        <v>0</v>
      </c>
      <c r="K1555" t="str">
        <f t="shared" si="427"/>
        <v>Y</v>
      </c>
      <c r="L1555">
        <v>0</v>
      </c>
      <c r="M1555" t="str">
        <f t="shared" si="423"/>
        <v>NIS</v>
      </c>
      <c r="O1555">
        <v>15</v>
      </c>
      <c r="P1555" t="str">
        <f t="shared" si="430"/>
        <v>Active</v>
      </c>
      <c r="Q1555" t="str">
        <f>"Assembly, JM, E029, Inductance/Mag Test Panel"</f>
        <v>Assembly, JM, E029, Inductance/Mag Test Panel</v>
      </c>
      <c r="S1555" t="str">
        <f>"Assembly, JM, E029, Inductance/Mag Test Panel"</f>
        <v>Assembly, JM, E029, Inductance/Mag Test Panel</v>
      </c>
      <c r="T1555">
        <v>159.29</v>
      </c>
      <c r="U1555">
        <v>160</v>
      </c>
      <c r="V1555">
        <v>385.87</v>
      </c>
      <c r="W1555" t="str">
        <f t="shared" si="419"/>
        <v>zintel</v>
      </c>
    </row>
    <row r="1556" spans="1:23">
      <c r="A1556" t="str">
        <f t="shared" si="428"/>
        <v>JM-BASE-ELEC</v>
      </c>
      <c r="B1556" t="str">
        <f>"26-E043-0000"</f>
        <v>26-E043-0000</v>
      </c>
      <c r="C1556" t="str">
        <f>"Assembly, JM, E043, Capacitance Panel"</f>
        <v>Assembly, JM, E043, Capacitance Panel</v>
      </c>
      <c r="D1556">
        <v>2</v>
      </c>
      <c r="E1556" t="str">
        <f t="shared" si="429"/>
        <v>Basic Electrical Two-Sided Bench</v>
      </c>
      <c r="F1556">
        <v>0</v>
      </c>
      <c r="G1556" t="str">
        <f t="shared" si="426"/>
        <v>Y</v>
      </c>
      <c r="H1556" t="str">
        <f t="shared" si="418"/>
        <v>EA</v>
      </c>
      <c r="I1556">
        <v>0</v>
      </c>
      <c r="J1556">
        <v>0</v>
      </c>
      <c r="K1556" t="str">
        <f t="shared" si="427"/>
        <v>Y</v>
      </c>
      <c r="L1556">
        <v>0</v>
      </c>
      <c r="M1556" t="str">
        <f t="shared" si="423"/>
        <v>NIS</v>
      </c>
      <c r="O1556">
        <v>16</v>
      </c>
      <c r="P1556" t="str">
        <f t="shared" si="430"/>
        <v>Active</v>
      </c>
      <c r="Q1556" t="str">
        <f>"Assembly, JM, E043, Capacitance Panel"</f>
        <v>Assembly, JM, E043, Capacitance Panel</v>
      </c>
      <c r="S1556" t="str">
        <f>"Assembly, JM, E043, Capacitance Panel"</f>
        <v>Assembly, JM, E043, Capacitance Panel</v>
      </c>
      <c r="T1556">
        <v>101.44</v>
      </c>
      <c r="U1556">
        <v>100</v>
      </c>
      <c r="V1556">
        <v>240.44</v>
      </c>
      <c r="W1556" t="str">
        <f t="shared" si="419"/>
        <v>zintel</v>
      </c>
    </row>
    <row r="1557" spans="1:23">
      <c r="A1557" t="str">
        <f t="shared" si="428"/>
        <v>JM-BASE-ELEC</v>
      </c>
      <c r="B1557" t="str">
        <f>"26-E044-0000"</f>
        <v>26-E044-0000</v>
      </c>
      <c r="C1557" t="str">
        <f>"Assembly, JM, E044, Inductance/Magnetism Panel"</f>
        <v>Assembly, JM, E044, Inductance/Magnetism Panel</v>
      </c>
      <c r="D1557">
        <v>2</v>
      </c>
      <c r="E1557" t="str">
        <f t="shared" si="429"/>
        <v>Basic Electrical Two-Sided Bench</v>
      </c>
      <c r="F1557">
        <v>0</v>
      </c>
      <c r="G1557" t="str">
        <f t="shared" si="426"/>
        <v>Y</v>
      </c>
      <c r="H1557" t="str">
        <f t="shared" si="418"/>
        <v>EA</v>
      </c>
      <c r="I1557">
        <v>0</v>
      </c>
      <c r="J1557">
        <v>0</v>
      </c>
      <c r="K1557" t="str">
        <f t="shared" si="427"/>
        <v>Y</v>
      </c>
      <c r="L1557">
        <v>0</v>
      </c>
      <c r="M1557" t="str">
        <f t="shared" si="423"/>
        <v>NIS</v>
      </c>
      <c r="O1557">
        <v>17</v>
      </c>
      <c r="P1557" t="str">
        <f t="shared" si="430"/>
        <v>Active</v>
      </c>
      <c r="Q1557" t="str">
        <f>"Assembly, JM, E044, Inductance/Magnetism Panel"</f>
        <v>Assembly, JM, E044, Inductance/Magnetism Panel</v>
      </c>
      <c r="S1557" t="str">
        <f>"Assembly, JM, E044, Inductance/Magnetism Panel"</f>
        <v>Assembly, JM, E044, Inductance/Magnetism Panel</v>
      </c>
      <c r="T1557">
        <v>113.21</v>
      </c>
      <c r="U1557">
        <v>112</v>
      </c>
      <c r="V1557">
        <v>261.3</v>
      </c>
      <c r="W1557" t="str">
        <f t="shared" si="419"/>
        <v>zintel</v>
      </c>
    </row>
    <row r="1558" spans="1:23">
      <c r="A1558" t="str">
        <f t="shared" si="428"/>
        <v>JM-BASE-ELEC</v>
      </c>
      <c r="B1558" t="str">
        <f>"26-E057-0000"</f>
        <v>26-E057-0000</v>
      </c>
      <c r="C1558" t="str">
        <f>"Assembly, JM, E057, Motor/Generator Demo Panel"</f>
        <v>Assembly, JM, E057, Motor/Generator Demo Panel</v>
      </c>
      <c r="D1558">
        <v>2</v>
      </c>
      <c r="E1558" t="str">
        <f t="shared" si="429"/>
        <v>Basic Electrical Two-Sided Bench</v>
      </c>
      <c r="F1558">
        <v>0</v>
      </c>
      <c r="G1558" t="str">
        <f t="shared" si="426"/>
        <v>Y</v>
      </c>
      <c r="H1558" t="str">
        <f t="shared" si="418"/>
        <v>EA</v>
      </c>
      <c r="I1558">
        <v>0</v>
      </c>
      <c r="J1558">
        <v>0</v>
      </c>
      <c r="K1558" t="str">
        <f t="shared" si="427"/>
        <v>Y</v>
      </c>
      <c r="L1558">
        <v>0</v>
      </c>
      <c r="M1558" t="str">
        <f t="shared" si="423"/>
        <v>NIS</v>
      </c>
      <c r="O1558">
        <v>18</v>
      </c>
      <c r="P1558" t="str">
        <f t="shared" si="430"/>
        <v>Active</v>
      </c>
      <c r="Q1558" t="str">
        <f>"Assembly, JM, E057, Motor/Generator Demo Panel"</f>
        <v>Assembly, JM, E057, Motor/Generator Demo Panel</v>
      </c>
      <c r="S1558" t="str">
        <f>"Assembly, JM, E057, Motor/Generator Demo Panel"</f>
        <v>Assembly, JM, E057, Motor/Generator Demo Panel</v>
      </c>
      <c r="T1558">
        <v>182.56</v>
      </c>
      <c r="U1558">
        <v>180</v>
      </c>
      <c r="V1558">
        <v>376.01</v>
      </c>
      <c r="W1558" t="str">
        <f t="shared" si="419"/>
        <v>zintel</v>
      </c>
    </row>
    <row r="1559" spans="1:23">
      <c r="A1559" t="str">
        <f t="shared" si="428"/>
        <v>JM-BASE-ELEC</v>
      </c>
      <c r="B1559" t="str">
        <f>"26-E150-0000"</f>
        <v>26-E150-0000</v>
      </c>
      <c r="C1559" t="str">
        <f>"Assembly, JM, E150, Relay/Contactor Panel"</f>
        <v>Assembly, JM, E150, Relay/Contactor Panel</v>
      </c>
      <c r="D1559">
        <v>2</v>
      </c>
      <c r="E1559" t="str">
        <f t="shared" si="429"/>
        <v>Basic Electrical Two-Sided Bench</v>
      </c>
      <c r="F1559">
        <v>0</v>
      </c>
      <c r="G1559" t="str">
        <f t="shared" si="426"/>
        <v>Y</v>
      </c>
      <c r="H1559" t="str">
        <f t="shared" si="418"/>
        <v>EA</v>
      </c>
      <c r="I1559">
        <v>0</v>
      </c>
      <c r="J1559">
        <v>0</v>
      </c>
      <c r="K1559" t="str">
        <f t="shared" si="427"/>
        <v>Y</v>
      </c>
      <c r="L1559">
        <v>0</v>
      </c>
      <c r="M1559" t="str">
        <f t="shared" si="423"/>
        <v>NIS</v>
      </c>
      <c r="O1559">
        <v>19</v>
      </c>
      <c r="P1559" t="str">
        <f t="shared" si="430"/>
        <v>Active</v>
      </c>
      <c r="Q1559" t="str">
        <f>"Assembly, JM, E150, Relay/Contactor Panel"</f>
        <v>Assembly, JM, E150, Relay/Contactor Panel</v>
      </c>
      <c r="S1559" t="str">
        <f>"Assembly, JM, E150, Relay/Contactor Panel"</f>
        <v>Assembly, JM, E150, Relay/Contactor Panel</v>
      </c>
      <c r="T1559">
        <v>213.33</v>
      </c>
      <c r="U1559">
        <v>210</v>
      </c>
      <c r="V1559">
        <v>274.38</v>
      </c>
      <c r="W1559" t="str">
        <f t="shared" si="419"/>
        <v>zintel</v>
      </c>
    </row>
    <row r="1560" spans="1:23">
      <c r="A1560" t="str">
        <f t="shared" si="428"/>
        <v>JM-BASE-ELEC</v>
      </c>
      <c r="B1560" t="str">
        <f>"36-EA01C-IG01"</f>
        <v>36-EA01C-IG01</v>
      </c>
      <c r="C1560" t="str">
        <f>"JM, PDF on CD LCR Circuits - EA01C"</f>
        <v>JM, PDF on CD LCR Circuits - EA01C</v>
      </c>
      <c r="D1560">
        <v>1</v>
      </c>
      <c r="E1560" t="str">
        <f t="shared" si="429"/>
        <v>Basic Electrical Two-Sided Bench</v>
      </c>
      <c r="F1560">
        <v>0</v>
      </c>
      <c r="G1560" t="str">
        <f t="shared" si="426"/>
        <v>Y</v>
      </c>
      <c r="H1560" t="str">
        <f t="shared" si="418"/>
        <v>EA</v>
      </c>
      <c r="I1560">
        <v>0</v>
      </c>
      <c r="J1560">
        <v>0</v>
      </c>
      <c r="K1560" t="str">
        <f t="shared" si="427"/>
        <v>Y</v>
      </c>
      <c r="L1560">
        <v>0</v>
      </c>
      <c r="M1560" t="str">
        <f t="shared" si="423"/>
        <v>NIS</v>
      </c>
      <c r="N1560" t="str">
        <f>"Y"</f>
        <v>Y</v>
      </c>
      <c r="O1560">
        <v>20</v>
      </c>
      <c r="P1560" t="str">
        <f t="shared" si="430"/>
        <v>Active</v>
      </c>
      <c r="Q1560" t="str">
        <f>"JM, PDF on CD LCR Circuits - EA01C"</f>
        <v>JM, PDF on CD LCR Circuits - EA01C</v>
      </c>
      <c r="S1560" t="str">
        <f>"JM, PDF on CD LCR Circuits - EA01C"</f>
        <v>JM, PDF on CD LCR Circuits - EA01C</v>
      </c>
      <c r="T1560">
        <v>11.41</v>
      </c>
      <c r="U1560">
        <v>10.3</v>
      </c>
      <c r="V1560">
        <v>11.43</v>
      </c>
      <c r="W1560" t="str">
        <f t="shared" si="419"/>
        <v>zintel</v>
      </c>
    </row>
    <row r="1561" spans="1:23">
      <c r="A1561" t="str">
        <f t="shared" si="428"/>
        <v>JM-BASE-ELEC</v>
      </c>
      <c r="B1561" t="str">
        <f>"77-EA01D-0000"</f>
        <v>77-EA01D-0000</v>
      </c>
      <c r="C1561" t="str">
        <f>"LM7 Content, JM, Motors &amp; Generators"</f>
        <v>LM7 Content, JM, Motors &amp; Generators</v>
      </c>
      <c r="D1561">
        <v>1</v>
      </c>
      <c r="E1561" t="str">
        <f t="shared" si="429"/>
        <v>Basic Electrical Two-Sided Bench</v>
      </c>
      <c r="F1561">
        <v>0</v>
      </c>
      <c r="G1561" t="str">
        <f t="shared" si="426"/>
        <v>Y</v>
      </c>
      <c r="H1561" t="str">
        <f t="shared" si="418"/>
        <v>EA</v>
      </c>
      <c r="I1561">
        <v>0</v>
      </c>
      <c r="J1561">
        <v>0</v>
      </c>
      <c r="K1561" t="str">
        <f t="shared" si="427"/>
        <v>Y</v>
      </c>
      <c r="L1561">
        <v>0</v>
      </c>
      <c r="M1561" t="str">
        <f t="shared" si="423"/>
        <v>NIS</v>
      </c>
      <c r="O1561">
        <v>21</v>
      </c>
      <c r="P1561" t="str">
        <f t="shared" si="430"/>
        <v>Active</v>
      </c>
      <c r="Q1561" t="str">
        <f>"LM7 Content, JM, Motors &amp; Generators"</f>
        <v>LM7 Content, JM, Motors &amp; Generators</v>
      </c>
      <c r="S1561" t="str">
        <f>"LM7 Content, JM, Motors &amp; Generators"</f>
        <v>LM7 Content, JM, Motors &amp; Generators</v>
      </c>
      <c r="T1561">
        <v>0</v>
      </c>
      <c r="U1561">
        <v>5</v>
      </c>
      <c r="V1561">
        <v>5</v>
      </c>
      <c r="W1561" t="str">
        <f t="shared" si="419"/>
        <v>zintel</v>
      </c>
    </row>
    <row r="1562" spans="1:23">
      <c r="A1562" t="str">
        <f t="shared" si="428"/>
        <v>JM-BASE-ELEC</v>
      </c>
      <c r="B1562" t="str">
        <f>"36-EA01D-IG01"</f>
        <v>36-EA01D-IG01</v>
      </c>
      <c r="C1562" t="str">
        <f>"JM, PDF on CD Motors and Generators - EA01D"</f>
        <v>JM, PDF on CD Motors and Generators - EA01D</v>
      </c>
      <c r="D1562">
        <v>1</v>
      </c>
      <c r="E1562" t="str">
        <f t="shared" si="429"/>
        <v>Basic Electrical Two-Sided Bench</v>
      </c>
      <c r="F1562">
        <v>0</v>
      </c>
      <c r="G1562" t="str">
        <f t="shared" si="426"/>
        <v>Y</v>
      </c>
      <c r="H1562" t="str">
        <f t="shared" si="418"/>
        <v>EA</v>
      </c>
      <c r="I1562">
        <v>0</v>
      </c>
      <c r="J1562">
        <v>0</v>
      </c>
      <c r="K1562" t="str">
        <f t="shared" si="427"/>
        <v>Y</v>
      </c>
      <c r="L1562">
        <v>0</v>
      </c>
      <c r="M1562" t="str">
        <f t="shared" si="423"/>
        <v>NIS</v>
      </c>
      <c r="N1562" t="str">
        <f>"Y"</f>
        <v>Y</v>
      </c>
      <c r="O1562">
        <v>22</v>
      </c>
      <c r="P1562" t="str">
        <f t="shared" si="430"/>
        <v>Active</v>
      </c>
      <c r="Q1562" t="str">
        <f>"JM, PDF on CD Motors and Generators - EA01D"</f>
        <v>JM, PDF on CD Motors and Generators - EA01D</v>
      </c>
      <c r="S1562" t="str">
        <f>"JM, PDF on CD Motors and Generators - EA01D"</f>
        <v>JM, PDF on CD Motors and Generators - EA01D</v>
      </c>
      <c r="T1562">
        <v>11.41</v>
      </c>
      <c r="U1562">
        <v>10.3</v>
      </c>
      <c r="V1562">
        <v>11.43</v>
      </c>
      <c r="W1562" t="str">
        <f t="shared" si="419"/>
        <v>zintel</v>
      </c>
    </row>
    <row r="1563" spans="1:23">
      <c r="A1563" t="str">
        <f t="shared" ref="A1563:A1581" si="431">"JM-BASE-ELEC-2"</f>
        <v>JM-BASE-ELEC-2</v>
      </c>
      <c r="B1563" t="str">
        <f>"10-LS00-0200"</f>
        <v>10-LS00-0200</v>
      </c>
      <c r="C1563" t="str">
        <f>"LS200:Jobmaster 2-Sided Mobile Learning Station"</f>
        <v>LS200:Jobmaster 2-Sided Mobile Learning Station</v>
      </c>
      <c r="D1563">
        <v>1</v>
      </c>
      <c r="E1563" t="str">
        <f t="shared" ref="E1563:E1581" si="432">"Basic Electrical Two-Sided Bench 220V"</f>
        <v>Basic Electrical Two-Sided Bench 220V</v>
      </c>
      <c r="F1563">
        <v>0</v>
      </c>
      <c r="G1563" t="str">
        <f t="shared" si="426"/>
        <v>Y</v>
      </c>
      <c r="H1563" t="str">
        <f t="shared" si="418"/>
        <v>EA</v>
      </c>
      <c r="I1563">
        <v>0</v>
      </c>
      <c r="J1563">
        <v>0</v>
      </c>
      <c r="K1563" t="str">
        <f t="shared" si="427"/>
        <v>Y</v>
      </c>
      <c r="L1563">
        <v>0</v>
      </c>
      <c r="M1563" t="str">
        <f t="shared" si="423"/>
        <v>NIS</v>
      </c>
      <c r="O1563">
        <v>1</v>
      </c>
      <c r="P1563" t="str">
        <f t="shared" si="430"/>
        <v>Active</v>
      </c>
      <c r="Q1563" t="str">
        <f>"LS200:Jobmaster 2-Sided Mobile Learning Station"</f>
        <v>LS200:Jobmaster 2-Sided Mobile Learning Station</v>
      </c>
      <c r="S1563" t="str">
        <f>"LS200:Jobmaster 2-Sided Mobile Learning Station"</f>
        <v>LS200:Jobmaster 2-Sided Mobile Learning Station</v>
      </c>
      <c r="T1563" s="44">
        <v>2283.3200000000002</v>
      </c>
      <c r="U1563" s="44">
        <v>2121</v>
      </c>
      <c r="V1563" s="44">
        <v>3030.14</v>
      </c>
      <c r="W1563" t="str">
        <f t="shared" si="419"/>
        <v>zintel</v>
      </c>
    </row>
    <row r="1564" spans="1:23">
      <c r="A1564" t="str">
        <f t="shared" si="431"/>
        <v>JM-BASE-ELEC-2</v>
      </c>
      <c r="B1564" t="str">
        <f>"10-PC04-0000"</f>
        <v>10-PC04-0000</v>
      </c>
      <c r="C1564" t="str">
        <f>"JM, Panel PC04, 120VAC Power Control"</f>
        <v>JM, Panel PC04, 120VAC Power Control</v>
      </c>
      <c r="D1564">
        <v>2</v>
      </c>
      <c r="E1564" t="str">
        <f t="shared" si="432"/>
        <v>Basic Electrical Two-Sided Bench 220V</v>
      </c>
      <c r="F1564">
        <v>0</v>
      </c>
      <c r="G1564" t="str">
        <f t="shared" si="426"/>
        <v>Y</v>
      </c>
      <c r="H1564" t="str">
        <f t="shared" si="418"/>
        <v>EA</v>
      </c>
      <c r="I1564">
        <v>0</v>
      </c>
      <c r="J1564">
        <v>0</v>
      </c>
      <c r="K1564" t="str">
        <f t="shared" si="427"/>
        <v>Y</v>
      </c>
      <c r="L1564">
        <v>0</v>
      </c>
      <c r="M1564" t="str">
        <f t="shared" si="423"/>
        <v>NIS</v>
      </c>
      <c r="O1564">
        <v>2</v>
      </c>
      <c r="P1564" t="str">
        <f t="shared" si="430"/>
        <v>Active</v>
      </c>
      <c r="Q1564" t="str">
        <f>"JM, Panel PC04, 120VAC Power Control"</f>
        <v>JM, Panel PC04, 120VAC Power Control</v>
      </c>
      <c r="S1564" t="str">
        <f>"JM, Panel PC04, 120VAC Power Control"</f>
        <v>JM, Panel PC04, 120VAC Power Control</v>
      </c>
      <c r="T1564">
        <v>358.54</v>
      </c>
      <c r="U1564">
        <v>358</v>
      </c>
      <c r="V1564">
        <v>637.30999999999995</v>
      </c>
      <c r="W1564" t="str">
        <f t="shared" si="419"/>
        <v>zintel</v>
      </c>
    </row>
    <row r="1565" spans="1:23">
      <c r="A1565" t="str">
        <f t="shared" si="431"/>
        <v>JM-BASE-ELEC-2</v>
      </c>
      <c r="B1565" t="str">
        <f>"77-EA01A-0000"</f>
        <v>77-EA01A-0000</v>
      </c>
      <c r="C1565" t="str">
        <f>"LM7 Content, JM, Electrical Circuits"</f>
        <v>LM7 Content, JM, Electrical Circuits</v>
      </c>
      <c r="D1565">
        <v>1</v>
      </c>
      <c r="E1565" t="str">
        <f t="shared" si="432"/>
        <v>Basic Electrical Two-Sided Bench 220V</v>
      </c>
      <c r="F1565">
        <v>0</v>
      </c>
      <c r="G1565" t="str">
        <f t="shared" si="426"/>
        <v>Y</v>
      </c>
      <c r="H1565" t="str">
        <f t="shared" si="418"/>
        <v>EA</v>
      </c>
      <c r="I1565">
        <v>0</v>
      </c>
      <c r="J1565">
        <v>0</v>
      </c>
      <c r="K1565" t="str">
        <f t="shared" si="427"/>
        <v>Y</v>
      </c>
      <c r="L1565">
        <v>0</v>
      </c>
      <c r="M1565" t="str">
        <f t="shared" si="423"/>
        <v>NIS</v>
      </c>
      <c r="O1565">
        <v>3</v>
      </c>
      <c r="P1565" t="str">
        <f t="shared" si="430"/>
        <v>Active</v>
      </c>
      <c r="Q1565" t="str">
        <f>"LM7 Content, JM, Electrical Circuits"</f>
        <v>LM7 Content, JM, Electrical Circuits</v>
      </c>
      <c r="S1565" t="str">
        <f>"LM7 Content, JM, Electrical Circuits"</f>
        <v>LM7 Content, JM, Electrical Circuits</v>
      </c>
      <c r="T1565">
        <v>0</v>
      </c>
      <c r="U1565">
        <v>5</v>
      </c>
      <c r="V1565">
        <v>5</v>
      </c>
      <c r="W1565" t="str">
        <f t="shared" si="419"/>
        <v>zintel</v>
      </c>
    </row>
    <row r="1566" spans="1:23">
      <c r="A1566" t="str">
        <f t="shared" si="431"/>
        <v>JM-BASE-ELEC-2</v>
      </c>
      <c r="B1566" t="str">
        <f>"26-E040-0000"</f>
        <v>26-E040-0000</v>
      </c>
      <c r="C1566" t="str">
        <f>"Assembly, JM, E040, Switches, Lamp, and Buzzer"</f>
        <v>Assembly, JM, E040, Switches, Lamp, and Buzzer</v>
      </c>
      <c r="D1566">
        <v>2</v>
      </c>
      <c r="E1566" t="str">
        <f t="shared" si="432"/>
        <v>Basic Electrical Two-Sided Bench 220V</v>
      </c>
      <c r="F1566">
        <v>0</v>
      </c>
      <c r="G1566" t="str">
        <f t="shared" si="426"/>
        <v>Y</v>
      </c>
      <c r="H1566" t="str">
        <f t="shared" si="418"/>
        <v>EA</v>
      </c>
      <c r="I1566">
        <v>0</v>
      </c>
      <c r="J1566">
        <v>0</v>
      </c>
      <c r="K1566" t="str">
        <f t="shared" si="427"/>
        <v>Y</v>
      </c>
      <c r="L1566">
        <v>0</v>
      </c>
      <c r="M1566" t="str">
        <f t="shared" si="423"/>
        <v>NIS</v>
      </c>
      <c r="O1566">
        <v>4</v>
      </c>
      <c r="P1566" t="str">
        <f t="shared" si="430"/>
        <v>Active</v>
      </c>
      <c r="Q1566" t="str">
        <f>"Assembly, JM, E040, Switches, Lamp, and Buzzer"</f>
        <v>Assembly, JM, E040, Switches, Lamp, and Buzzer</v>
      </c>
      <c r="S1566" t="str">
        <f>"Assembly, JM, E040, Switches, Lamp, and Buzzer"</f>
        <v>Assembly, JM, E040, Switches, Lamp, and Buzzer</v>
      </c>
      <c r="T1566">
        <v>129.08000000000001</v>
      </c>
      <c r="U1566">
        <v>127</v>
      </c>
      <c r="V1566">
        <v>179.69</v>
      </c>
      <c r="W1566" t="str">
        <f t="shared" si="419"/>
        <v>zintel</v>
      </c>
    </row>
    <row r="1567" spans="1:23">
      <c r="A1567" t="str">
        <f t="shared" si="431"/>
        <v>JM-BASE-ELEC-2</v>
      </c>
      <c r="B1567" t="str">
        <f>"26-E045-0000"</f>
        <v>26-E045-0000</v>
      </c>
      <c r="C1567" t="str">
        <f>"Assembly, JM, E045, Sources of Electricity"</f>
        <v>Assembly, JM, E045, Sources of Electricity</v>
      </c>
      <c r="D1567">
        <v>2</v>
      </c>
      <c r="E1567" t="str">
        <f t="shared" si="432"/>
        <v>Basic Electrical Two-Sided Bench 220V</v>
      </c>
      <c r="F1567">
        <v>0</v>
      </c>
      <c r="G1567" t="str">
        <f t="shared" si="426"/>
        <v>Y</v>
      </c>
      <c r="H1567" t="str">
        <f t="shared" si="418"/>
        <v>EA</v>
      </c>
      <c r="I1567">
        <v>0</v>
      </c>
      <c r="J1567">
        <v>0</v>
      </c>
      <c r="K1567" t="str">
        <f t="shared" si="427"/>
        <v>Y</v>
      </c>
      <c r="L1567">
        <v>0</v>
      </c>
      <c r="M1567" t="str">
        <f t="shared" si="423"/>
        <v>NIS</v>
      </c>
      <c r="O1567">
        <v>5</v>
      </c>
      <c r="P1567" t="str">
        <f t="shared" si="430"/>
        <v>Active</v>
      </c>
      <c r="Q1567" t="str">
        <f>"Assembly, JM, E045, Sources of Electricity"</f>
        <v>Assembly, JM, E045, Sources of Electricity</v>
      </c>
      <c r="S1567" t="str">
        <f>"Assembly, JM, E045, Sources of Electricity"</f>
        <v>Assembly, JM, E045, Sources of Electricity</v>
      </c>
      <c r="T1567">
        <v>92.93</v>
      </c>
      <c r="U1567">
        <v>92</v>
      </c>
      <c r="V1567">
        <v>169.98</v>
      </c>
      <c r="W1567" t="str">
        <f t="shared" si="419"/>
        <v>zintel</v>
      </c>
    </row>
    <row r="1568" spans="1:23">
      <c r="A1568" t="str">
        <f t="shared" si="431"/>
        <v>JM-BASE-ELEC-2</v>
      </c>
      <c r="B1568" t="str">
        <f>"26-E047-0000"</f>
        <v>26-E047-0000</v>
      </c>
      <c r="C1568" t="str">
        <f>"Assembly, JM, E047, Heat/Light Source"</f>
        <v>Assembly, JM, E047, Heat/Light Source</v>
      </c>
      <c r="D1568">
        <v>2</v>
      </c>
      <c r="E1568" t="str">
        <f t="shared" si="432"/>
        <v>Basic Electrical Two-Sided Bench 220V</v>
      </c>
      <c r="F1568">
        <v>0</v>
      </c>
      <c r="G1568" t="str">
        <f t="shared" si="426"/>
        <v>Y</v>
      </c>
      <c r="H1568" t="str">
        <f t="shared" si="418"/>
        <v>EA</v>
      </c>
      <c r="I1568">
        <v>0</v>
      </c>
      <c r="J1568">
        <v>0</v>
      </c>
      <c r="K1568" t="str">
        <f t="shared" si="427"/>
        <v>Y</v>
      </c>
      <c r="L1568">
        <v>0</v>
      </c>
      <c r="M1568" t="str">
        <f t="shared" si="423"/>
        <v>NIS</v>
      </c>
      <c r="O1568">
        <v>6</v>
      </c>
      <c r="P1568" t="str">
        <f t="shared" si="430"/>
        <v>Active</v>
      </c>
      <c r="Q1568" t="str">
        <f>"Assembly, JM, E047, Heat/Light Source"</f>
        <v>Assembly, JM, E047, Heat/Light Source</v>
      </c>
      <c r="S1568" t="str">
        <f>"Assembly, JM, E047, Heat/Light Source"</f>
        <v>Assembly, JM, E047, Heat/Light Source</v>
      </c>
      <c r="T1568">
        <v>71.62</v>
      </c>
      <c r="U1568">
        <v>72</v>
      </c>
      <c r="V1568">
        <v>121.41</v>
      </c>
      <c r="W1568" t="str">
        <f t="shared" si="419"/>
        <v>zintel</v>
      </c>
    </row>
    <row r="1569" spans="1:23">
      <c r="A1569" t="str">
        <f t="shared" si="431"/>
        <v>JM-BASE-ELEC-2</v>
      </c>
      <c r="B1569" t="str">
        <f>"26-E151-0000"</f>
        <v>26-E151-0000</v>
      </c>
      <c r="C1569" t="str">
        <f>"Assembly, JM, E151,Series/Parallel Lamps Panel"</f>
        <v>Assembly, JM, E151,Series/Parallel Lamps Panel</v>
      </c>
      <c r="D1569">
        <v>2</v>
      </c>
      <c r="E1569" t="str">
        <f t="shared" si="432"/>
        <v>Basic Electrical Two-Sided Bench 220V</v>
      </c>
      <c r="F1569">
        <v>0</v>
      </c>
      <c r="G1569" t="str">
        <f t="shared" si="426"/>
        <v>Y</v>
      </c>
      <c r="H1569" t="str">
        <f t="shared" si="418"/>
        <v>EA</v>
      </c>
      <c r="I1569">
        <v>0</v>
      </c>
      <c r="J1569">
        <v>0</v>
      </c>
      <c r="K1569" t="str">
        <f t="shared" si="427"/>
        <v>Y</v>
      </c>
      <c r="L1569">
        <v>0</v>
      </c>
      <c r="M1569" t="str">
        <f t="shared" si="423"/>
        <v>NIS</v>
      </c>
      <c r="O1569">
        <v>7</v>
      </c>
      <c r="P1569" t="str">
        <f t="shared" si="430"/>
        <v>Active</v>
      </c>
      <c r="Q1569" t="str">
        <f>"Assembly, JM, E151,Series/Parallel Lamps Panel"</f>
        <v>Assembly, JM, E151,Series/Parallel Lamps Panel</v>
      </c>
      <c r="S1569" t="str">
        <f>"Assembly, JM, E151,Series/Parallel Lamps Panel"</f>
        <v>Assembly, JM, E151,Series/Parallel Lamps Panel</v>
      </c>
      <c r="T1569">
        <v>111.9</v>
      </c>
      <c r="U1569">
        <v>110</v>
      </c>
      <c r="V1569">
        <v>294.89999999999998</v>
      </c>
      <c r="W1569" t="str">
        <f t="shared" si="419"/>
        <v>zintel</v>
      </c>
    </row>
    <row r="1570" spans="1:23">
      <c r="A1570" t="str">
        <f t="shared" si="431"/>
        <v>JM-BASE-ELEC-2</v>
      </c>
      <c r="B1570" t="str">
        <f>"26-E152-0000"</f>
        <v>26-E152-0000</v>
      </c>
      <c r="C1570" t="str">
        <f>"Assembly, JM, E152, Transformer/Adjustable Power"</f>
        <v>Assembly, JM, E152, Transformer/Adjustable Power</v>
      </c>
      <c r="D1570">
        <v>2</v>
      </c>
      <c r="E1570" t="str">
        <f t="shared" si="432"/>
        <v>Basic Electrical Two-Sided Bench 220V</v>
      </c>
      <c r="F1570">
        <v>0</v>
      </c>
      <c r="G1570" t="str">
        <f t="shared" si="426"/>
        <v>Y</v>
      </c>
      <c r="H1570" t="str">
        <f t="shared" si="418"/>
        <v>EA</v>
      </c>
      <c r="I1570">
        <v>0</v>
      </c>
      <c r="J1570">
        <v>0</v>
      </c>
      <c r="K1570" t="str">
        <f t="shared" si="427"/>
        <v>Y</v>
      </c>
      <c r="L1570">
        <v>0</v>
      </c>
      <c r="M1570" t="str">
        <f t="shared" si="423"/>
        <v>NIS</v>
      </c>
      <c r="O1570">
        <v>8</v>
      </c>
      <c r="P1570" t="str">
        <f t="shared" si="430"/>
        <v>Active</v>
      </c>
      <c r="Q1570" t="str">
        <f>"Assembly, JM, E152, Transformer/Adjustable Power"</f>
        <v>Assembly, JM, E152, Transformer/Adjustable Power</v>
      </c>
      <c r="S1570" t="str">
        <f>"Assembly, JM, E152, Transformer/Adjustable Power"</f>
        <v>Assembly, JM, E152, Transformer/Adjustable Power</v>
      </c>
      <c r="T1570">
        <v>196.61</v>
      </c>
      <c r="U1570">
        <v>195</v>
      </c>
      <c r="V1570">
        <v>414.83</v>
      </c>
      <c r="W1570" t="str">
        <f t="shared" si="419"/>
        <v>zintel</v>
      </c>
    </row>
    <row r="1571" spans="1:23">
      <c r="A1571" t="str">
        <f t="shared" si="431"/>
        <v>JM-BASE-ELEC-2</v>
      </c>
      <c r="B1571" t="str">
        <f>"36-8900-0007"</f>
        <v>36-8900-0007</v>
      </c>
      <c r="C1571" t="str">
        <f>"JM, Digital Multimeter, Fluke-115"</f>
        <v>JM, Digital Multimeter, Fluke-115</v>
      </c>
      <c r="D1571">
        <v>2</v>
      </c>
      <c r="E1571" t="str">
        <f t="shared" si="432"/>
        <v>Basic Electrical Two-Sided Bench 220V</v>
      </c>
      <c r="F1571">
        <v>0</v>
      </c>
      <c r="G1571" t="str">
        <f t="shared" si="426"/>
        <v>Y</v>
      </c>
      <c r="H1571" t="str">
        <f t="shared" si="418"/>
        <v>EA</v>
      </c>
      <c r="I1571">
        <v>0</v>
      </c>
      <c r="J1571">
        <v>0</v>
      </c>
      <c r="K1571" t="str">
        <f t="shared" si="427"/>
        <v>Y</v>
      </c>
      <c r="L1571">
        <v>0</v>
      </c>
      <c r="M1571" t="str">
        <f t="shared" si="423"/>
        <v>NIS</v>
      </c>
      <c r="O1571">
        <v>9</v>
      </c>
      <c r="P1571" t="str">
        <f t="shared" si="430"/>
        <v>Active</v>
      </c>
      <c r="Q1571" t="str">
        <f>"JM, Digital Multimeter, Fluke-115"</f>
        <v>JM, Digital Multimeter, Fluke-115</v>
      </c>
      <c r="R1571" t="str">
        <f>"1"</f>
        <v>1</v>
      </c>
      <c r="S1571" t="str">
        <f>"JM, Digital Multimeter, Fluke-115"</f>
        <v>JM, Digital Multimeter, Fluke-115</v>
      </c>
      <c r="T1571">
        <v>158.5</v>
      </c>
      <c r="U1571">
        <v>145</v>
      </c>
      <c r="V1571">
        <v>218.54</v>
      </c>
      <c r="W1571" t="str">
        <f t="shared" si="419"/>
        <v>zintel</v>
      </c>
    </row>
    <row r="1572" spans="1:23">
      <c r="A1572" t="str">
        <f t="shared" si="431"/>
        <v>JM-BASE-ELEC-2</v>
      </c>
      <c r="B1572" t="str">
        <f>"77-EA01B-0000"</f>
        <v>77-EA01B-0000</v>
      </c>
      <c r="C1572" t="str">
        <f>"LM7 Content, JM, Resistors &amp; Conductors"</f>
        <v>LM7 Content, JM, Resistors &amp; Conductors</v>
      </c>
      <c r="D1572">
        <v>1</v>
      </c>
      <c r="E1572" t="str">
        <f t="shared" si="432"/>
        <v>Basic Electrical Two-Sided Bench 220V</v>
      </c>
      <c r="F1572">
        <v>0</v>
      </c>
      <c r="G1572" t="str">
        <f t="shared" si="426"/>
        <v>Y</v>
      </c>
      <c r="H1572" t="str">
        <f t="shared" si="418"/>
        <v>EA</v>
      </c>
      <c r="I1572">
        <v>0</v>
      </c>
      <c r="J1572">
        <v>0</v>
      </c>
      <c r="K1572" t="str">
        <f t="shared" si="427"/>
        <v>Y</v>
      </c>
      <c r="L1572">
        <v>0</v>
      </c>
      <c r="M1572" t="str">
        <f t="shared" si="423"/>
        <v>NIS</v>
      </c>
      <c r="O1572">
        <v>11</v>
      </c>
      <c r="P1572" t="str">
        <f t="shared" si="430"/>
        <v>Active</v>
      </c>
      <c r="Q1572" t="str">
        <f>"LM7 Content, JM, Resistors &amp; Conductors"</f>
        <v>LM7 Content, JM, Resistors &amp; Conductors</v>
      </c>
      <c r="S1572" t="str">
        <f>"LM7 Content, JM, Resistors &amp; Conductors"</f>
        <v>LM7 Content, JM, Resistors &amp; Conductors</v>
      </c>
      <c r="T1572">
        <v>0</v>
      </c>
      <c r="U1572">
        <v>5</v>
      </c>
      <c r="V1572">
        <v>5</v>
      </c>
      <c r="W1572" t="str">
        <f t="shared" si="419"/>
        <v>zintel</v>
      </c>
    </row>
    <row r="1573" spans="1:23">
      <c r="A1573" t="str">
        <f t="shared" si="431"/>
        <v>JM-BASE-ELEC-2</v>
      </c>
      <c r="B1573" t="str">
        <f>"26-E042-0000"</f>
        <v>26-E042-0000</v>
      </c>
      <c r="C1573" t="str">
        <f>"Assembly, JM, E042, Resistance Panel"</f>
        <v>Assembly, JM, E042, Resistance Panel</v>
      </c>
      <c r="D1573">
        <v>2</v>
      </c>
      <c r="E1573" t="str">
        <f t="shared" si="432"/>
        <v>Basic Electrical Two-Sided Bench 220V</v>
      </c>
      <c r="F1573">
        <v>0</v>
      </c>
      <c r="G1573" t="str">
        <f t="shared" si="426"/>
        <v>Y</v>
      </c>
      <c r="H1573" t="str">
        <f t="shared" si="418"/>
        <v>EA</v>
      </c>
      <c r="I1573">
        <v>0</v>
      </c>
      <c r="J1573">
        <v>0</v>
      </c>
      <c r="K1573" t="str">
        <f t="shared" si="427"/>
        <v>Y</v>
      </c>
      <c r="L1573">
        <v>0</v>
      </c>
      <c r="M1573" t="str">
        <f t="shared" si="423"/>
        <v>NIS</v>
      </c>
      <c r="O1573">
        <v>12</v>
      </c>
      <c r="P1573" t="str">
        <f t="shared" si="430"/>
        <v>Active</v>
      </c>
      <c r="Q1573" t="str">
        <f>"Assembly, JM, E042, Resistance Panel"</f>
        <v>Assembly, JM, E042, Resistance Panel</v>
      </c>
      <c r="S1573" t="str">
        <f>"Assembly, JM, E042, Resistance Panel"</f>
        <v>Assembly, JM, E042, Resistance Panel</v>
      </c>
      <c r="T1573">
        <v>275.08</v>
      </c>
      <c r="U1573">
        <v>270</v>
      </c>
      <c r="V1573">
        <v>532.45000000000005</v>
      </c>
      <c r="W1573" t="str">
        <f t="shared" si="419"/>
        <v>zintel</v>
      </c>
    </row>
    <row r="1574" spans="1:23">
      <c r="A1574" t="str">
        <f t="shared" si="431"/>
        <v>JM-BASE-ELEC-2</v>
      </c>
      <c r="B1574" t="str">
        <f>"77-EA01C-0000"</f>
        <v>77-EA01C-0000</v>
      </c>
      <c r="C1574" t="str">
        <f>"LM7 Content, JM, LCR Circuits"</f>
        <v>LM7 Content, JM, LCR Circuits</v>
      </c>
      <c r="D1574">
        <v>1</v>
      </c>
      <c r="E1574" t="str">
        <f t="shared" si="432"/>
        <v>Basic Electrical Two-Sided Bench 220V</v>
      </c>
      <c r="F1574">
        <v>0</v>
      </c>
      <c r="G1574" t="str">
        <f t="shared" si="426"/>
        <v>Y</v>
      </c>
      <c r="H1574" t="str">
        <f t="shared" si="418"/>
        <v>EA</v>
      </c>
      <c r="I1574">
        <v>0</v>
      </c>
      <c r="J1574">
        <v>0</v>
      </c>
      <c r="K1574" t="str">
        <f t="shared" si="427"/>
        <v>Y</v>
      </c>
      <c r="L1574">
        <v>0</v>
      </c>
      <c r="M1574" t="str">
        <f t="shared" si="423"/>
        <v>NIS</v>
      </c>
      <c r="O1574">
        <v>14</v>
      </c>
      <c r="P1574" t="str">
        <f t="shared" si="430"/>
        <v>Active</v>
      </c>
      <c r="Q1574" t="str">
        <f>"LM7 Content, JM, LCR Circuits"</f>
        <v>LM7 Content, JM, LCR Circuits</v>
      </c>
      <c r="S1574" t="str">
        <f>"LM7 Content, JM, LCR Circuits"</f>
        <v>LM7 Content, JM, LCR Circuits</v>
      </c>
      <c r="T1574">
        <v>0</v>
      </c>
      <c r="U1574">
        <v>5</v>
      </c>
      <c r="V1574">
        <v>5</v>
      </c>
      <c r="W1574" t="str">
        <f t="shared" si="419"/>
        <v>zintel</v>
      </c>
    </row>
    <row r="1575" spans="1:23">
      <c r="A1575" t="str">
        <f t="shared" si="431"/>
        <v>JM-BASE-ELEC-2</v>
      </c>
      <c r="B1575" t="str">
        <f>"26-E029-0000"</f>
        <v>26-E029-0000</v>
      </c>
      <c r="C1575" t="str">
        <f>"Assembly, JM, E029, Inductance/Mag Test Panel"</f>
        <v>Assembly, JM, E029, Inductance/Mag Test Panel</v>
      </c>
      <c r="D1575">
        <v>2</v>
      </c>
      <c r="E1575" t="str">
        <f t="shared" si="432"/>
        <v>Basic Electrical Two-Sided Bench 220V</v>
      </c>
      <c r="F1575">
        <v>0</v>
      </c>
      <c r="G1575" t="str">
        <f t="shared" si="426"/>
        <v>Y</v>
      </c>
      <c r="H1575" t="str">
        <f t="shared" si="418"/>
        <v>EA</v>
      </c>
      <c r="I1575">
        <v>0</v>
      </c>
      <c r="J1575">
        <v>0</v>
      </c>
      <c r="K1575" t="str">
        <f t="shared" si="427"/>
        <v>Y</v>
      </c>
      <c r="L1575">
        <v>0</v>
      </c>
      <c r="M1575" t="str">
        <f t="shared" si="423"/>
        <v>NIS</v>
      </c>
      <c r="O1575">
        <v>15</v>
      </c>
      <c r="P1575" t="str">
        <f t="shared" si="430"/>
        <v>Active</v>
      </c>
      <c r="Q1575" t="str">
        <f>"Assembly, JM, E029, Inductance/Mag Test Panel"</f>
        <v>Assembly, JM, E029, Inductance/Mag Test Panel</v>
      </c>
      <c r="S1575" t="str">
        <f>"Assembly, JM, E029, Inductance/Mag Test Panel"</f>
        <v>Assembly, JM, E029, Inductance/Mag Test Panel</v>
      </c>
      <c r="T1575">
        <v>159.29</v>
      </c>
      <c r="U1575">
        <v>160</v>
      </c>
      <c r="V1575">
        <v>385.87</v>
      </c>
      <c r="W1575" t="str">
        <f t="shared" si="419"/>
        <v>zintel</v>
      </c>
    </row>
    <row r="1576" spans="1:23">
      <c r="A1576" t="str">
        <f t="shared" si="431"/>
        <v>JM-BASE-ELEC-2</v>
      </c>
      <c r="B1576" t="str">
        <f>"26-E043-0000"</f>
        <v>26-E043-0000</v>
      </c>
      <c r="C1576" t="str">
        <f>"Assembly, JM, E043, Capacitance Panel"</f>
        <v>Assembly, JM, E043, Capacitance Panel</v>
      </c>
      <c r="D1576">
        <v>2</v>
      </c>
      <c r="E1576" t="str">
        <f t="shared" si="432"/>
        <v>Basic Electrical Two-Sided Bench 220V</v>
      </c>
      <c r="F1576">
        <v>0</v>
      </c>
      <c r="G1576" t="str">
        <f t="shared" si="426"/>
        <v>Y</v>
      </c>
      <c r="H1576" t="str">
        <f t="shared" ref="H1576:H1639" si="433">"EA"</f>
        <v>EA</v>
      </c>
      <c r="I1576">
        <v>0</v>
      </c>
      <c r="J1576">
        <v>0</v>
      </c>
      <c r="K1576" t="str">
        <f t="shared" si="427"/>
        <v>Y</v>
      </c>
      <c r="L1576">
        <v>0</v>
      </c>
      <c r="M1576" t="str">
        <f t="shared" si="423"/>
        <v>NIS</v>
      </c>
      <c r="O1576">
        <v>16</v>
      </c>
      <c r="P1576" t="str">
        <f t="shared" si="430"/>
        <v>Active</v>
      </c>
      <c r="Q1576" t="str">
        <f>"Assembly, JM, E043, Capacitance Panel"</f>
        <v>Assembly, JM, E043, Capacitance Panel</v>
      </c>
      <c r="S1576" t="str">
        <f>"Assembly, JM, E043, Capacitance Panel"</f>
        <v>Assembly, JM, E043, Capacitance Panel</v>
      </c>
      <c r="T1576">
        <v>101.44</v>
      </c>
      <c r="U1576">
        <v>100</v>
      </c>
      <c r="V1576">
        <v>240.44</v>
      </c>
      <c r="W1576" t="str">
        <f t="shared" ref="W1576:W1639" si="434">"zintel"</f>
        <v>zintel</v>
      </c>
    </row>
    <row r="1577" spans="1:23">
      <c r="A1577" t="str">
        <f t="shared" si="431"/>
        <v>JM-BASE-ELEC-2</v>
      </c>
      <c r="B1577" t="str">
        <f>"26-E044-0000"</f>
        <v>26-E044-0000</v>
      </c>
      <c r="C1577" t="str">
        <f>"Assembly, JM, E044, Inductance/Magnetism Panel"</f>
        <v>Assembly, JM, E044, Inductance/Magnetism Panel</v>
      </c>
      <c r="D1577">
        <v>2</v>
      </c>
      <c r="E1577" t="str">
        <f t="shared" si="432"/>
        <v>Basic Electrical Two-Sided Bench 220V</v>
      </c>
      <c r="F1577">
        <v>0</v>
      </c>
      <c r="G1577" t="str">
        <f t="shared" si="426"/>
        <v>Y</v>
      </c>
      <c r="H1577" t="str">
        <f t="shared" si="433"/>
        <v>EA</v>
      </c>
      <c r="I1577">
        <v>0</v>
      </c>
      <c r="J1577">
        <v>0</v>
      </c>
      <c r="K1577" t="str">
        <f t="shared" si="427"/>
        <v>Y</v>
      </c>
      <c r="L1577">
        <v>0</v>
      </c>
      <c r="M1577" t="str">
        <f t="shared" si="423"/>
        <v>NIS</v>
      </c>
      <c r="O1577">
        <v>17</v>
      </c>
      <c r="P1577" t="str">
        <f t="shared" si="430"/>
        <v>Active</v>
      </c>
      <c r="Q1577" t="str">
        <f>"Assembly, JM, E044, Inductance/Magnetism Panel"</f>
        <v>Assembly, JM, E044, Inductance/Magnetism Panel</v>
      </c>
      <c r="S1577" t="str">
        <f>"Assembly, JM, E044, Inductance/Magnetism Panel"</f>
        <v>Assembly, JM, E044, Inductance/Magnetism Panel</v>
      </c>
      <c r="T1577">
        <v>113.21</v>
      </c>
      <c r="U1577">
        <v>112</v>
      </c>
      <c r="V1577">
        <v>261.3</v>
      </c>
      <c r="W1577" t="str">
        <f t="shared" si="434"/>
        <v>zintel</v>
      </c>
    </row>
    <row r="1578" spans="1:23">
      <c r="A1578" t="str">
        <f t="shared" si="431"/>
        <v>JM-BASE-ELEC-2</v>
      </c>
      <c r="B1578" t="str">
        <f>"26-E057-0000"</f>
        <v>26-E057-0000</v>
      </c>
      <c r="C1578" t="str">
        <f>"Assembly, JM, E057, Motor/Generator Demo Panel"</f>
        <v>Assembly, JM, E057, Motor/Generator Demo Panel</v>
      </c>
      <c r="D1578">
        <v>2</v>
      </c>
      <c r="E1578" t="str">
        <f t="shared" si="432"/>
        <v>Basic Electrical Two-Sided Bench 220V</v>
      </c>
      <c r="F1578">
        <v>0</v>
      </c>
      <c r="G1578" t="str">
        <f t="shared" si="426"/>
        <v>Y</v>
      </c>
      <c r="H1578" t="str">
        <f t="shared" si="433"/>
        <v>EA</v>
      </c>
      <c r="I1578">
        <v>0</v>
      </c>
      <c r="J1578">
        <v>0</v>
      </c>
      <c r="K1578" t="str">
        <f t="shared" si="427"/>
        <v>Y</v>
      </c>
      <c r="L1578">
        <v>0</v>
      </c>
      <c r="M1578" t="str">
        <f t="shared" si="423"/>
        <v>NIS</v>
      </c>
      <c r="O1578">
        <v>18</v>
      </c>
      <c r="P1578" t="str">
        <f t="shared" si="430"/>
        <v>Active</v>
      </c>
      <c r="Q1578" t="str">
        <f>"Assembly, JM, E057, Motor/Generator Demo Panel"</f>
        <v>Assembly, JM, E057, Motor/Generator Demo Panel</v>
      </c>
      <c r="S1578" t="str">
        <f>"Assembly, JM, E057, Motor/Generator Demo Panel"</f>
        <v>Assembly, JM, E057, Motor/Generator Demo Panel</v>
      </c>
      <c r="T1578">
        <v>182.56</v>
      </c>
      <c r="U1578">
        <v>180</v>
      </c>
      <c r="V1578">
        <v>376.01</v>
      </c>
      <c r="W1578" t="str">
        <f t="shared" si="434"/>
        <v>zintel</v>
      </c>
    </row>
    <row r="1579" spans="1:23">
      <c r="A1579" t="str">
        <f t="shared" si="431"/>
        <v>JM-BASE-ELEC-2</v>
      </c>
      <c r="B1579" t="str">
        <f>"26-E150-0000"</f>
        <v>26-E150-0000</v>
      </c>
      <c r="C1579" t="str">
        <f>"Assembly, JM, E150, Relay/Contactor Panel"</f>
        <v>Assembly, JM, E150, Relay/Contactor Panel</v>
      </c>
      <c r="D1579">
        <v>2</v>
      </c>
      <c r="E1579" t="str">
        <f t="shared" si="432"/>
        <v>Basic Electrical Two-Sided Bench 220V</v>
      </c>
      <c r="F1579">
        <v>0</v>
      </c>
      <c r="G1579" t="str">
        <f t="shared" si="426"/>
        <v>Y</v>
      </c>
      <c r="H1579" t="str">
        <f t="shared" si="433"/>
        <v>EA</v>
      </c>
      <c r="I1579">
        <v>0</v>
      </c>
      <c r="J1579">
        <v>0</v>
      </c>
      <c r="K1579" t="str">
        <f t="shared" si="427"/>
        <v>Y</v>
      </c>
      <c r="L1579">
        <v>0</v>
      </c>
      <c r="M1579" t="str">
        <f t="shared" si="423"/>
        <v>NIS</v>
      </c>
      <c r="O1579">
        <v>19</v>
      </c>
      <c r="P1579" t="str">
        <f t="shared" si="430"/>
        <v>Active</v>
      </c>
      <c r="Q1579" t="str">
        <f>"Assembly, JM, E150, Relay/Contactor Panel"</f>
        <v>Assembly, JM, E150, Relay/Contactor Panel</v>
      </c>
      <c r="S1579" t="str">
        <f>"Assembly, JM, E150, Relay/Contactor Panel"</f>
        <v>Assembly, JM, E150, Relay/Contactor Panel</v>
      </c>
      <c r="T1579">
        <v>213.33</v>
      </c>
      <c r="U1579">
        <v>210</v>
      </c>
      <c r="V1579">
        <v>274.38</v>
      </c>
      <c r="W1579" t="str">
        <f t="shared" si="434"/>
        <v>zintel</v>
      </c>
    </row>
    <row r="1580" spans="1:23">
      <c r="A1580" t="str">
        <f t="shared" si="431"/>
        <v>JM-BASE-ELEC-2</v>
      </c>
      <c r="B1580" t="str">
        <f>"77-EA01D-0000"</f>
        <v>77-EA01D-0000</v>
      </c>
      <c r="C1580" t="str">
        <f>"LM7 Content, JM, Motors &amp; Generators"</f>
        <v>LM7 Content, JM, Motors &amp; Generators</v>
      </c>
      <c r="D1580">
        <v>1</v>
      </c>
      <c r="E1580" t="str">
        <f t="shared" si="432"/>
        <v>Basic Electrical Two-Sided Bench 220V</v>
      </c>
      <c r="F1580">
        <v>0</v>
      </c>
      <c r="G1580" t="str">
        <f t="shared" si="426"/>
        <v>Y</v>
      </c>
      <c r="H1580" t="str">
        <f t="shared" si="433"/>
        <v>EA</v>
      </c>
      <c r="I1580">
        <v>0</v>
      </c>
      <c r="J1580">
        <v>0</v>
      </c>
      <c r="K1580" t="str">
        <f t="shared" si="427"/>
        <v>Y</v>
      </c>
      <c r="L1580">
        <v>0</v>
      </c>
      <c r="M1580" t="str">
        <f t="shared" si="423"/>
        <v>NIS</v>
      </c>
      <c r="O1580">
        <v>21</v>
      </c>
      <c r="P1580" t="str">
        <f t="shared" si="430"/>
        <v>Active</v>
      </c>
      <c r="Q1580" t="str">
        <f>"LM7 Content, JM, Motors &amp; Generators"</f>
        <v>LM7 Content, JM, Motors &amp; Generators</v>
      </c>
      <c r="S1580" t="str">
        <f>"LM7 Content, JM, Motors &amp; Generators"</f>
        <v>LM7 Content, JM, Motors &amp; Generators</v>
      </c>
      <c r="T1580">
        <v>0</v>
      </c>
      <c r="U1580">
        <v>5</v>
      </c>
      <c r="V1580">
        <v>5</v>
      </c>
      <c r="W1580" t="str">
        <f t="shared" si="434"/>
        <v>zintel</v>
      </c>
    </row>
    <row r="1581" spans="1:23">
      <c r="A1581" t="str">
        <f t="shared" si="431"/>
        <v>JM-BASE-ELEC-2</v>
      </c>
      <c r="B1581" t="str">
        <f>"10-PC09-0000"</f>
        <v>10-PC09-0000</v>
      </c>
      <c r="C1581" t="str">
        <f>"JM, PC09, Transformer,PRI D440V SEC:Y225V 3KVA"</f>
        <v>JM, PC09, Transformer,PRI D440V SEC:Y225V 3KVA</v>
      </c>
      <c r="D1581">
        <v>1</v>
      </c>
      <c r="E1581" t="str">
        <f t="shared" si="432"/>
        <v>Basic Electrical Two-Sided Bench 220V</v>
      </c>
      <c r="F1581">
        <v>0</v>
      </c>
      <c r="G1581" t="str">
        <f t="shared" si="426"/>
        <v>Y</v>
      </c>
      <c r="H1581" t="str">
        <f t="shared" si="433"/>
        <v>EA</v>
      </c>
      <c r="I1581">
        <v>0</v>
      </c>
      <c r="J1581">
        <v>0</v>
      </c>
      <c r="K1581" t="str">
        <f t="shared" si="427"/>
        <v>Y</v>
      </c>
      <c r="L1581">
        <v>0</v>
      </c>
      <c r="M1581" t="str">
        <f t="shared" si="423"/>
        <v>NIS</v>
      </c>
      <c r="O1581">
        <v>23</v>
      </c>
      <c r="P1581" t="str">
        <f t="shared" si="430"/>
        <v>Active</v>
      </c>
      <c r="Q1581" t="str">
        <f>"JM, PC09, Inter. Transformer Pack, LS200 Bench"</f>
        <v>JM, PC09, Inter. Transformer Pack, LS200 Bench</v>
      </c>
      <c r="S1581" t="str">
        <f>"JM, PC09, Transformer,PRI D440V SEC:Y225V 3KVA"</f>
        <v>JM, PC09, Transformer,PRI D440V SEC:Y225V 3KVA</v>
      </c>
      <c r="T1581">
        <v>0</v>
      </c>
      <c r="U1581">
        <v>0</v>
      </c>
      <c r="V1581">
        <v>0</v>
      </c>
      <c r="W1581" t="str">
        <f t="shared" si="434"/>
        <v>zintel</v>
      </c>
    </row>
    <row r="1582" spans="1:23">
      <c r="A1582" t="str">
        <f>"JM-CELL 1600"</f>
        <v>JM-CELL 1600</v>
      </c>
      <c r="B1582" t="str">
        <f>"10-1600-1000"</f>
        <v>10-1600-1000</v>
      </c>
      <c r="C1582" t="str">
        <f>"EMMC1600 Maintenance Cell, Hardware Package"</f>
        <v>EMMC1600 Maintenance Cell, Hardware Package</v>
      </c>
      <c r="D1582">
        <v>1</v>
      </c>
      <c r="E1582" t="str">
        <f>"Cell 1600 (240V)"</f>
        <v>Cell 1600 (240V)</v>
      </c>
      <c r="F1582">
        <v>700</v>
      </c>
      <c r="G1582" t="str">
        <f t="shared" si="426"/>
        <v>Y</v>
      </c>
      <c r="H1582" t="str">
        <f t="shared" si="433"/>
        <v>EA</v>
      </c>
      <c r="I1582">
        <v>0</v>
      </c>
      <c r="J1582">
        <v>0</v>
      </c>
      <c r="K1582" t="str">
        <f t="shared" si="427"/>
        <v>Y</v>
      </c>
      <c r="L1582">
        <v>0</v>
      </c>
      <c r="M1582" t="str">
        <f t="shared" si="423"/>
        <v>NIS</v>
      </c>
      <c r="O1582">
        <v>1</v>
      </c>
      <c r="P1582" t="str">
        <f t="shared" si="430"/>
        <v>Active</v>
      </c>
      <c r="Q1582" t="str">
        <f>"Electrical Mechanical Maintenance Cell 1600"</f>
        <v>Electrical Mechanical Maintenance Cell 1600</v>
      </c>
      <c r="R1582" t="str">
        <f>"1"</f>
        <v>1</v>
      </c>
      <c r="S1582" t="str">
        <f>"EMMC1600 Maintenance Cell, Hardware Package"</f>
        <v>EMMC1600 Maintenance Cell, Hardware Package</v>
      </c>
      <c r="T1582" s="44">
        <v>22592.31</v>
      </c>
      <c r="U1582" s="44">
        <v>21399</v>
      </c>
      <c r="V1582" s="44">
        <v>40950.160000000003</v>
      </c>
      <c r="W1582" t="str">
        <f t="shared" si="434"/>
        <v>zintel</v>
      </c>
    </row>
    <row r="1583" spans="1:23">
      <c r="A1583" t="str">
        <f t="shared" ref="A1583:A1614" si="435">"JM-CMPL-ELEC"</f>
        <v>JM-CMPL-ELEC</v>
      </c>
      <c r="B1583" t="str">
        <f>"10-LS00-0200"</f>
        <v>10-LS00-0200</v>
      </c>
      <c r="C1583" t="str">
        <f>"LS200:Jobmaster 2-Sided Mobile Learning Station"</f>
        <v>LS200:Jobmaster 2-Sided Mobile Learning Station</v>
      </c>
      <c r="D1583">
        <v>1</v>
      </c>
      <c r="E1583" t="str">
        <f t="shared" ref="E1583:E1614" si="436">"Complete Industrial Electronics Program"</f>
        <v>Complete Industrial Electronics Program</v>
      </c>
      <c r="F1583">
        <v>0</v>
      </c>
      <c r="G1583" t="str">
        <f t="shared" si="426"/>
        <v>Y</v>
      </c>
      <c r="H1583" t="str">
        <f t="shared" si="433"/>
        <v>EA</v>
      </c>
      <c r="I1583">
        <v>0</v>
      </c>
      <c r="J1583">
        <v>0</v>
      </c>
      <c r="K1583" t="str">
        <f t="shared" si="427"/>
        <v>Y</v>
      </c>
      <c r="L1583">
        <v>0</v>
      </c>
      <c r="M1583" t="str">
        <f t="shared" si="423"/>
        <v>NIS</v>
      </c>
      <c r="O1583">
        <v>1</v>
      </c>
      <c r="P1583" t="str">
        <f t="shared" si="430"/>
        <v>Active</v>
      </c>
      <c r="Q1583" t="str">
        <f>"LS200:Jobmaster 2-Sided Mobile Learning Station"</f>
        <v>LS200:Jobmaster 2-Sided Mobile Learning Station</v>
      </c>
      <c r="S1583" t="str">
        <f>"LS200:Jobmaster 2-Sided Mobile Learning Station"</f>
        <v>LS200:Jobmaster 2-Sided Mobile Learning Station</v>
      </c>
      <c r="T1583" s="44">
        <v>2283.3200000000002</v>
      </c>
      <c r="U1583" s="44">
        <v>2121</v>
      </c>
      <c r="V1583" s="44">
        <v>3030.14</v>
      </c>
      <c r="W1583" t="str">
        <f t="shared" si="434"/>
        <v>zintel</v>
      </c>
    </row>
    <row r="1584" spans="1:23">
      <c r="A1584" t="str">
        <f t="shared" si="435"/>
        <v>JM-CMPL-ELEC</v>
      </c>
      <c r="B1584" t="str">
        <f>"10-PC04-0000"</f>
        <v>10-PC04-0000</v>
      </c>
      <c r="C1584" t="str">
        <f>"JM, Panel PC04, 120VAC Power Control"</f>
        <v>JM, Panel PC04, 120VAC Power Control</v>
      </c>
      <c r="D1584">
        <v>2</v>
      </c>
      <c r="E1584" t="str">
        <f t="shared" si="436"/>
        <v>Complete Industrial Electronics Program</v>
      </c>
      <c r="F1584">
        <v>0</v>
      </c>
      <c r="G1584" t="str">
        <f t="shared" si="426"/>
        <v>Y</v>
      </c>
      <c r="H1584" t="str">
        <f t="shared" si="433"/>
        <v>EA</v>
      </c>
      <c r="I1584">
        <v>0</v>
      </c>
      <c r="J1584">
        <v>0</v>
      </c>
      <c r="K1584" t="str">
        <f t="shared" si="427"/>
        <v>Y</v>
      </c>
      <c r="L1584">
        <v>0</v>
      </c>
      <c r="M1584" t="str">
        <f t="shared" si="423"/>
        <v>NIS</v>
      </c>
      <c r="O1584">
        <v>2</v>
      </c>
      <c r="P1584" t="str">
        <f t="shared" ref="P1584:P1615" si="437">"Active"</f>
        <v>Active</v>
      </c>
      <c r="Q1584" t="str">
        <f>"JM, Panel PC04, 120VAC Power Control"</f>
        <v>JM, Panel PC04, 120VAC Power Control</v>
      </c>
      <c r="S1584" t="str">
        <f>"JM, Panel PC04, 120VAC Power Control"</f>
        <v>JM, Panel PC04, 120VAC Power Control</v>
      </c>
      <c r="T1584">
        <v>358.54</v>
      </c>
      <c r="U1584">
        <v>358</v>
      </c>
      <c r="V1584">
        <v>637.30999999999995</v>
      </c>
      <c r="W1584" t="str">
        <f t="shared" si="434"/>
        <v>zintel</v>
      </c>
    </row>
    <row r="1585" spans="1:23">
      <c r="A1585" t="str">
        <f t="shared" si="435"/>
        <v>JM-CMPL-ELEC</v>
      </c>
      <c r="B1585" t="str">
        <f>"10-PC06-0000"</f>
        <v>10-PC06-0000</v>
      </c>
      <c r="C1585" t="str">
        <f>"JM, Panel PC06, 220VAC Three Phase Power Control"</f>
        <v>JM, Panel PC06, 220VAC Three Phase Power Control</v>
      </c>
      <c r="D1585">
        <v>2</v>
      </c>
      <c r="E1585" t="str">
        <f t="shared" si="436"/>
        <v>Complete Industrial Electronics Program</v>
      </c>
      <c r="F1585">
        <v>0</v>
      </c>
      <c r="G1585" t="str">
        <f t="shared" si="426"/>
        <v>Y</v>
      </c>
      <c r="H1585" t="str">
        <f t="shared" si="433"/>
        <v>EA</v>
      </c>
      <c r="I1585">
        <v>0</v>
      </c>
      <c r="J1585">
        <v>0</v>
      </c>
      <c r="K1585" t="str">
        <f t="shared" si="427"/>
        <v>Y</v>
      </c>
      <c r="L1585">
        <v>0</v>
      </c>
      <c r="M1585" t="str">
        <f t="shared" ref="M1585:M1648" si="438">"NIS"</f>
        <v>NIS</v>
      </c>
      <c r="O1585">
        <v>23</v>
      </c>
      <c r="P1585" t="str">
        <f t="shared" si="437"/>
        <v>Active</v>
      </c>
      <c r="Q1585" t="str">
        <f>"JM, Panel PC06, 220VAC Three Phase Power Control"</f>
        <v>JM, Panel PC06, 220VAC Three Phase Power Control</v>
      </c>
      <c r="S1585" t="str">
        <f>"JM, Panel PC06, 220VAC Three Phase Power Control"</f>
        <v>JM, Panel PC06, 220VAC Three Phase Power Control</v>
      </c>
      <c r="T1585">
        <v>399.23</v>
      </c>
      <c r="U1585">
        <v>400</v>
      </c>
      <c r="V1585">
        <v>576.48</v>
      </c>
      <c r="W1585" t="str">
        <f t="shared" si="434"/>
        <v>zintel</v>
      </c>
    </row>
    <row r="1586" spans="1:23">
      <c r="A1586" t="str">
        <f t="shared" si="435"/>
        <v>JM-CMPL-ELEC</v>
      </c>
      <c r="B1586" t="str">
        <f>"77-EA01A-0000"</f>
        <v>77-EA01A-0000</v>
      </c>
      <c r="C1586" t="str">
        <f>"LM7 Content, JM, Electrical Circuits"</f>
        <v>LM7 Content, JM, Electrical Circuits</v>
      </c>
      <c r="D1586">
        <v>1</v>
      </c>
      <c r="E1586" t="str">
        <f t="shared" si="436"/>
        <v>Complete Industrial Electronics Program</v>
      </c>
      <c r="F1586">
        <v>0</v>
      </c>
      <c r="G1586" t="str">
        <f t="shared" si="426"/>
        <v>Y</v>
      </c>
      <c r="H1586" t="str">
        <f t="shared" si="433"/>
        <v>EA</v>
      </c>
      <c r="I1586">
        <v>0</v>
      </c>
      <c r="J1586">
        <v>0</v>
      </c>
      <c r="K1586" t="str">
        <f t="shared" si="427"/>
        <v>Y</v>
      </c>
      <c r="L1586">
        <v>0</v>
      </c>
      <c r="M1586" t="str">
        <f t="shared" si="438"/>
        <v>NIS</v>
      </c>
      <c r="O1586">
        <v>3</v>
      </c>
      <c r="P1586" t="str">
        <f t="shared" si="437"/>
        <v>Active</v>
      </c>
      <c r="Q1586" t="str">
        <f>"LM7 Content, JM, Electrical Circuits"</f>
        <v>LM7 Content, JM, Electrical Circuits</v>
      </c>
      <c r="S1586" t="str">
        <f>"LM7 Content, JM, Electrical Circuits"</f>
        <v>LM7 Content, JM, Electrical Circuits</v>
      </c>
      <c r="T1586">
        <v>0</v>
      </c>
      <c r="U1586">
        <v>5</v>
      </c>
      <c r="V1586">
        <v>5</v>
      </c>
      <c r="W1586" t="str">
        <f t="shared" si="434"/>
        <v>zintel</v>
      </c>
    </row>
    <row r="1587" spans="1:23">
      <c r="A1587" t="str">
        <f t="shared" si="435"/>
        <v>JM-CMPL-ELEC</v>
      </c>
      <c r="B1587" t="str">
        <f>"26-E045-0000"</f>
        <v>26-E045-0000</v>
      </c>
      <c r="C1587" t="str">
        <f>"Assembly, JM, E045, Sources of Electricity"</f>
        <v>Assembly, JM, E045, Sources of Electricity</v>
      </c>
      <c r="D1587">
        <v>2</v>
      </c>
      <c r="E1587" t="str">
        <f t="shared" si="436"/>
        <v>Complete Industrial Electronics Program</v>
      </c>
      <c r="F1587">
        <v>0</v>
      </c>
      <c r="G1587" t="str">
        <f t="shared" si="426"/>
        <v>Y</v>
      </c>
      <c r="H1587" t="str">
        <f t="shared" si="433"/>
        <v>EA</v>
      </c>
      <c r="I1587">
        <v>0</v>
      </c>
      <c r="J1587">
        <v>0</v>
      </c>
      <c r="K1587" t="str">
        <f t="shared" si="427"/>
        <v>Y</v>
      </c>
      <c r="L1587">
        <v>0</v>
      </c>
      <c r="M1587" t="str">
        <f t="shared" si="438"/>
        <v>NIS</v>
      </c>
      <c r="O1587">
        <v>5</v>
      </c>
      <c r="P1587" t="str">
        <f t="shared" si="437"/>
        <v>Active</v>
      </c>
      <c r="Q1587" t="str">
        <f>"Assembly, JM, E045, Sources of Electricity"</f>
        <v>Assembly, JM, E045, Sources of Electricity</v>
      </c>
      <c r="S1587" t="str">
        <f>"Assembly, JM, E045, Sources of Electricity"</f>
        <v>Assembly, JM, E045, Sources of Electricity</v>
      </c>
      <c r="T1587">
        <v>92.93</v>
      </c>
      <c r="U1587">
        <v>92</v>
      </c>
      <c r="V1587">
        <v>169.98</v>
      </c>
      <c r="W1587" t="str">
        <f t="shared" si="434"/>
        <v>zintel</v>
      </c>
    </row>
    <row r="1588" spans="1:23">
      <c r="A1588" t="str">
        <f t="shared" si="435"/>
        <v>JM-CMPL-ELEC</v>
      </c>
      <c r="B1588" t="str">
        <f>"26-E047-0000"</f>
        <v>26-E047-0000</v>
      </c>
      <c r="C1588" t="str">
        <f>"Assembly, JM, E047, Heat/Light Source"</f>
        <v>Assembly, JM, E047, Heat/Light Source</v>
      </c>
      <c r="D1588">
        <v>2</v>
      </c>
      <c r="E1588" t="str">
        <f t="shared" si="436"/>
        <v>Complete Industrial Electronics Program</v>
      </c>
      <c r="F1588">
        <v>0</v>
      </c>
      <c r="G1588" t="str">
        <f t="shared" si="426"/>
        <v>Y</v>
      </c>
      <c r="H1588" t="str">
        <f t="shared" si="433"/>
        <v>EA</v>
      </c>
      <c r="I1588">
        <v>0</v>
      </c>
      <c r="J1588">
        <v>0</v>
      </c>
      <c r="K1588" t="str">
        <f t="shared" si="427"/>
        <v>Y</v>
      </c>
      <c r="L1588">
        <v>0</v>
      </c>
      <c r="M1588" t="str">
        <f t="shared" si="438"/>
        <v>NIS</v>
      </c>
      <c r="O1588">
        <v>6</v>
      </c>
      <c r="P1588" t="str">
        <f t="shared" si="437"/>
        <v>Active</v>
      </c>
      <c r="Q1588" t="str">
        <f>"Assembly, JM, E047, Heat/Light Source"</f>
        <v>Assembly, JM, E047, Heat/Light Source</v>
      </c>
      <c r="S1588" t="str">
        <f>"Assembly, JM, E047, Heat/Light Source"</f>
        <v>Assembly, JM, E047, Heat/Light Source</v>
      </c>
      <c r="T1588">
        <v>71.62</v>
      </c>
      <c r="U1588">
        <v>72</v>
      </c>
      <c r="V1588">
        <v>121.41</v>
      </c>
      <c r="W1588" t="str">
        <f t="shared" si="434"/>
        <v>zintel</v>
      </c>
    </row>
    <row r="1589" spans="1:23">
      <c r="A1589" t="str">
        <f t="shared" si="435"/>
        <v>JM-CMPL-ELEC</v>
      </c>
      <c r="B1589" t="str">
        <f>"26-E151-0000"</f>
        <v>26-E151-0000</v>
      </c>
      <c r="C1589" t="str">
        <f>"Assembly, JM, E151,Series/Parallel Lamps Panel"</f>
        <v>Assembly, JM, E151,Series/Parallel Lamps Panel</v>
      </c>
      <c r="D1589">
        <v>2</v>
      </c>
      <c r="E1589" t="str">
        <f t="shared" si="436"/>
        <v>Complete Industrial Electronics Program</v>
      </c>
      <c r="F1589">
        <v>0</v>
      </c>
      <c r="G1589" t="str">
        <f t="shared" si="426"/>
        <v>Y</v>
      </c>
      <c r="H1589" t="str">
        <f t="shared" si="433"/>
        <v>EA</v>
      </c>
      <c r="I1589">
        <v>0</v>
      </c>
      <c r="J1589">
        <v>0</v>
      </c>
      <c r="K1589" t="str">
        <f t="shared" si="427"/>
        <v>Y</v>
      </c>
      <c r="L1589">
        <v>0</v>
      </c>
      <c r="M1589" t="str">
        <f t="shared" si="438"/>
        <v>NIS</v>
      </c>
      <c r="O1589">
        <v>7</v>
      </c>
      <c r="P1589" t="str">
        <f t="shared" si="437"/>
        <v>Active</v>
      </c>
      <c r="Q1589" t="str">
        <f>"Assembly, JM, E151,Series/Parallel Lamps Panel"</f>
        <v>Assembly, JM, E151,Series/Parallel Lamps Panel</v>
      </c>
      <c r="S1589" t="str">
        <f>"Assembly, JM, E151,Series/Parallel Lamps Panel"</f>
        <v>Assembly, JM, E151,Series/Parallel Lamps Panel</v>
      </c>
      <c r="T1589">
        <v>111.9</v>
      </c>
      <c r="U1589">
        <v>110</v>
      </c>
      <c r="V1589">
        <v>294.89999999999998</v>
      </c>
      <c r="W1589" t="str">
        <f t="shared" si="434"/>
        <v>zintel</v>
      </c>
    </row>
    <row r="1590" spans="1:23">
      <c r="A1590" t="str">
        <f t="shared" si="435"/>
        <v>JM-CMPL-ELEC</v>
      </c>
      <c r="B1590" t="str">
        <f>"26-E152-0000"</f>
        <v>26-E152-0000</v>
      </c>
      <c r="C1590" t="str">
        <f>"Assembly, JM, E152, Transformer/Adjustable Power"</f>
        <v>Assembly, JM, E152, Transformer/Adjustable Power</v>
      </c>
      <c r="D1590">
        <v>2</v>
      </c>
      <c r="E1590" t="str">
        <f t="shared" si="436"/>
        <v>Complete Industrial Electronics Program</v>
      </c>
      <c r="F1590">
        <v>0</v>
      </c>
      <c r="G1590" t="str">
        <f t="shared" si="426"/>
        <v>Y</v>
      </c>
      <c r="H1590" t="str">
        <f t="shared" si="433"/>
        <v>EA</v>
      </c>
      <c r="I1590">
        <v>0</v>
      </c>
      <c r="J1590">
        <v>0</v>
      </c>
      <c r="K1590" t="str">
        <f t="shared" si="427"/>
        <v>Y</v>
      </c>
      <c r="L1590">
        <v>0</v>
      </c>
      <c r="M1590" t="str">
        <f t="shared" si="438"/>
        <v>NIS</v>
      </c>
      <c r="O1590">
        <v>8</v>
      </c>
      <c r="P1590" t="str">
        <f t="shared" si="437"/>
        <v>Active</v>
      </c>
      <c r="Q1590" t="str">
        <f>"Assembly, JM, E152, Transformer/Adjustable Power"</f>
        <v>Assembly, JM, E152, Transformer/Adjustable Power</v>
      </c>
      <c r="S1590" t="str">
        <f>"Assembly, JM, E152, Transformer/Adjustable Power"</f>
        <v>Assembly, JM, E152, Transformer/Adjustable Power</v>
      </c>
      <c r="T1590">
        <v>196.61</v>
      </c>
      <c r="U1590">
        <v>195</v>
      </c>
      <c r="V1590">
        <v>414.83</v>
      </c>
      <c r="W1590" t="str">
        <f t="shared" si="434"/>
        <v>zintel</v>
      </c>
    </row>
    <row r="1591" spans="1:23">
      <c r="A1591" t="str">
        <f t="shared" si="435"/>
        <v>JM-CMPL-ELEC</v>
      </c>
      <c r="B1591" t="str">
        <f>"26-E040-0000"</f>
        <v>26-E040-0000</v>
      </c>
      <c r="C1591" t="str">
        <f>"Assembly, JM, E040, Switches, Lamp, and Buzzer"</f>
        <v>Assembly, JM, E040, Switches, Lamp, and Buzzer</v>
      </c>
      <c r="D1591">
        <v>2</v>
      </c>
      <c r="E1591" t="str">
        <f t="shared" si="436"/>
        <v>Complete Industrial Electronics Program</v>
      </c>
      <c r="F1591">
        <v>0</v>
      </c>
      <c r="G1591" t="str">
        <f t="shared" si="426"/>
        <v>Y</v>
      </c>
      <c r="H1591" t="str">
        <f t="shared" si="433"/>
        <v>EA</v>
      </c>
      <c r="I1591">
        <v>0</v>
      </c>
      <c r="J1591">
        <v>0</v>
      </c>
      <c r="K1591" t="str">
        <f t="shared" si="427"/>
        <v>Y</v>
      </c>
      <c r="L1591">
        <v>0</v>
      </c>
      <c r="M1591" t="str">
        <f t="shared" si="438"/>
        <v>NIS</v>
      </c>
      <c r="O1591">
        <v>4</v>
      </c>
      <c r="P1591" t="str">
        <f t="shared" si="437"/>
        <v>Active</v>
      </c>
      <c r="Q1591" t="str">
        <f>"Assembly, JM, E040, Switches, Lamp, and Buzzer"</f>
        <v>Assembly, JM, E040, Switches, Lamp, and Buzzer</v>
      </c>
      <c r="S1591" t="str">
        <f>"Assembly, JM, E040, Switches, Lamp, and Buzzer"</f>
        <v>Assembly, JM, E040, Switches, Lamp, and Buzzer</v>
      </c>
      <c r="T1591">
        <v>129.08000000000001</v>
      </c>
      <c r="U1591">
        <v>127</v>
      </c>
      <c r="V1591">
        <v>179.69</v>
      </c>
      <c r="W1591" t="str">
        <f t="shared" si="434"/>
        <v>zintel</v>
      </c>
    </row>
    <row r="1592" spans="1:23">
      <c r="A1592" t="str">
        <f t="shared" si="435"/>
        <v>JM-CMPL-ELEC</v>
      </c>
      <c r="B1592" t="str">
        <f>"36-8900-0007"</f>
        <v>36-8900-0007</v>
      </c>
      <c r="C1592" t="str">
        <f>"JM, Digital Multimeter, Fluke-115"</f>
        <v>JM, Digital Multimeter, Fluke-115</v>
      </c>
      <c r="D1592">
        <v>1</v>
      </c>
      <c r="E1592" t="str">
        <f t="shared" si="436"/>
        <v>Complete Industrial Electronics Program</v>
      </c>
      <c r="F1592">
        <v>0</v>
      </c>
      <c r="G1592" t="str">
        <f t="shared" si="426"/>
        <v>Y</v>
      </c>
      <c r="H1592" t="str">
        <f t="shared" si="433"/>
        <v>EA</v>
      </c>
      <c r="I1592">
        <v>0</v>
      </c>
      <c r="J1592">
        <v>0</v>
      </c>
      <c r="K1592" t="str">
        <f t="shared" si="427"/>
        <v>Y</v>
      </c>
      <c r="L1592">
        <v>0</v>
      </c>
      <c r="M1592" t="str">
        <f t="shared" si="438"/>
        <v>NIS</v>
      </c>
      <c r="N1592" t="str">
        <f>"Y"</f>
        <v>Y</v>
      </c>
      <c r="O1592">
        <v>9</v>
      </c>
      <c r="P1592" t="str">
        <f t="shared" si="437"/>
        <v>Active</v>
      </c>
      <c r="Q1592" t="str">
        <f>"JM, Digital Multimeter, Fluke-115"</f>
        <v>JM, Digital Multimeter, Fluke-115</v>
      </c>
      <c r="R1592" t="str">
        <f>"1"</f>
        <v>1</v>
      </c>
      <c r="S1592" t="str">
        <f>"JM, Digital Multimeter, Fluke-115"</f>
        <v>JM, Digital Multimeter, Fluke-115</v>
      </c>
      <c r="T1592">
        <v>158.5</v>
      </c>
      <c r="U1592">
        <v>145</v>
      </c>
      <c r="V1592">
        <v>218.54</v>
      </c>
      <c r="W1592" t="str">
        <f t="shared" si="434"/>
        <v>zintel</v>
      </c>
    </row>
    <row r="1593" spans="1:23">
      <c r="A1593" t="str">
        <f t="shared" si="435"/>
        <v>JM-CMPL-ELEC</v>
      </c>
      <c r="B1593" t="str">
        <f>"36-EA01A-IG01"</f>
        <v>36-EA01A-IG01</v>
      </c>
      <c r="C1593" t="str">
        <f>"JM, PDF on CD Electrical Circuits - EA01A"</f>
        <v>JM, PDF on CD Electrical Circuits - EA01A</v>
      </c>
      <c r="D1593">
        <v>1</v>
      </c>
      <c r="E1593" t="str">
        <f t="shared" si="436"/>
        <v>Complete Industrial Electronics Program</v>
      </c>
      <c r="F1593">
        <v>0</v>
      </c>
      <c r="G1593" t="str">
        <f t="shared" si="426"/>
        <v>Y</v>
      </c>
      <c r="H1593" t="str">
        <f t="shared" si="433"/>
        <v>EA</v>
      </c>
      <c r="I1593">
        <v>0</v>
      </c>
      <c r="J1593">
        <v>0</v>
      </c>
      <c r="K1593" t="str">
        <f t="shared" si="427"/>
        <v>Y</v>
      </c>
      <c r="L1593">
        <v>0</v>
      </c>
      <c r="M1593" t="str">
        <f t="shared" si="438"/>
        <v>NIS</v>
      </c>
      <c r="O1593">
        <v>10</v>
      </c>
      <c r="P1593" t="str">
        <f t="shared" si="437"/>
        <v>Active</v>
      </c>
      <c r="Q1593" t="str">
        <f>"JM, PDF on CD Electrical Circuits - EA01A"</f>
        <v>JM, PDF on CD Electrical Circuits - EA01A</v>
      </c>
      <c r="S1593" t="str">
        <f>"JM, PDF on CD Electrical Circuits - EA01A"</f>
        <v>JM, PDF on CD Electrical Circuits - EA01A</v>
      </c>
      <c r="T1593">
        <v>11.41</v>
      </c>
      <c r="U1593">
        <v>10.3</v>
      </c>
      <c r="V1593">
        <v>11.43</v>
      </c>
      <c r="W1593" t="str">
        <f t="shared" si="434"/>
        <v>zintel</v>
      </c>
    </row>
    <row r="1594" spans="1:23">
      <c r="A1594" t="str">
        <f t="shared" si="435"/>
        <v>JM-CMPL-ELEC</v>
      </c>
      <c r="B1594" t="str">
        <f>"77-EA01B-0000"</f>
        <v>77-EA01B-0000</v>
      </c>
      <c r="C1594" t="str">
        <f>"LM7 Content, JM, Resistors &amp; Conductors"</f>
        <v>LM7 Content, JM, Resistors &amp; Conductors</v>
      </c>
      <c r="D1594">
        <v>1</v>
      </c>
      <c r="E1594" t="str">
        <f t="shared" si="436"/>
        <v>Complete Industrial Electronics Program</v>
      </c>
      <c r="F1594">
        <v>0</v>
      </c>
      <c r="G1594" t="str">
        <f t="shared" si="426"/>
        <v>Y</v>
      </c>
      <c r="H1594" t="str">
        <f t="shared" si="433"/>
        <v>EA</v>
      </c>
      <c r="I1594">
        <v>0</v>
      </c>
      <c r="J1594">
        <v>0</v>
      </c>
      <c r="K1594" t="str">
        <f t="shared" si="427"/>
        <v>Y</v>
      </c>
      <c r="L1594">
        <v>0</v>
      </c>
      <c r="M1594" t="str">
        <f t="shared" si="438"/>
        <v>NIS</v>
      </c>
      <c r="O1594">
        <v>11</v>
      </c>
      <c r="P1594" t="str">
        <f t="shared" si="437"/>
        <v>Active</v>
      </c>
      <c r="Q1594" t="str">
        <f>"LM7 Content, JM, Resistors &amp; Conductors"</f>
        <v>LM7 Content, JM, Resistors &amp; Conductors</v>
      </c>
      <c r="S1594" t="str">
        <f>"LM7 Content, JM, Resistors &amp; Conductors"</f>
        <v>LM7 Content, JM, Resistors &amp; Conductors</v>
      </c>
      <c r="T1594">
        <v>0</v>
      </c>
      <c r="U1594">
        <v>5</v>
      </c>
      <c r="V1594">
        <v>5</v>
      </c>
      <c r="W1594" t="str">
        <f t="shared" si="434"/>
        <v>zintel</v>
      </c>
    </row>
    <row r="1595" spans="1:23">
      <c r="A1595" t="str">
        <f t="shared" si="435"/>
        <v>JM-CMPL-ELEC</v>
      </c>
      <c r="B1595" t="str">
        <f>"26-E042-0000"</f>
        <v>26-E042-0000</v>
      </c>
      <c r="C1595" t="str">
        <f>"Assembly, JM, E042, Resistance Panel"</f>
        <v>Assembly, JM, E042, Resistance Panel</v>
      </c>
      <c r="D1595">
        <v>2</v>
      </c>
      <c r="E1595" t="str">
        <f t="shared" si="436"/>
        <v>Complete Industrial Electronics Program</v>
      </c>
      <c r="F1595">
        <v>0</v>
      </c>
      <c r="G1595" t="str">
        <f t="shared" si="426"/>
        <v>Y</v>
      </c>
      <c r="H1595" t="str">
        <f t="shared" si="433"/>
        <v>EA</v>
      </c>
      <c r="I1595">
        <v>0</v>
      </c>
      <c r="J1595">
        <v>0</v>
      </c>
      <c r="K1595" t="str">
        <f t="shared" si="427"/>
        <v>Y</v>
      </c>
      <c r="L1595">
        <v>0</v>
      </c>
      <c r="M1595" t="str">
        <f t="shared" si="438"/>
        <v>NIS</v>
      </c>
      <c r="O1595">
        <v>12</v>
      </c>
      <c r="P1595" t="str">
        <f t="shared" si="437"/>
        <v>Active</v>
      </c>
      <c r="Q1595" t="str">
        <f>"Assembly, JM, E042, Resistance Panel"</f>
        <v>Assembly, JM, E042, Resistance Panel</v>
      </c>
      <c r="S1595" t="str">
        <f>"Assembly, JM, E042, Resistance Panel"</f>
        <v>Assembly, JM, E042, Resistance Panel</v>
      </c>
      <c r="T1595">
        <v>275.08</v>
      </c>
      <c r="U1595">
        <v>270</v>
      </c>
      <c r="V1595">
        <v>532.45000000000005</v>
      </c>
      <c r="W1595" t="str">
        <f t="shared" si="434"/>
        <v>zintel</v>
      </c>
    </row>
    <row r="1596" spans="1:23">
      <c r="A1596" t="str">
        <f t="shared" si="435"/>
        <v>JM-CMPL-ELEC</v>
      </c>
      <c r="B1596" t="str">
        <f>"36-EA01B-IG01"</f>
        <v>36-EA01B-IG01</v>
      </c>
      <c r="C1596" t="str">
        <f>"JM, PDF on CD Resistors &amp; Conductors - EA01B"</f>
        <v>JM, PDF on CD Resistors &amp; Conductors - EA01B</v>
      </c>
      <c r="D1596">
        <v>1</v>
      </c>
      <c r="E1596" t="str">
        <f t="shared" si="436"/>
        <v>Complete Industrial Electronics Program</v>
      </c>
      <c r="F1596">
        <v>0</v>
      </c>
      <c r="G1596" t="str">
        <f t="shared" si="426"/>
        <v>Y</v>
      </c>
      <c r="H1596" t="str">
        <f t="shared" si="433"/>
        <v>EA</v>
      </c>
      <c r="I1596">
        <v>0</v>
      </c>
      <c r="J1596">
        <v>0</v>
      </c>
      <c r="K1596" t="str">
        <f t="shared" si="427"/>
        <v>Y</v>
      </c>
      <c r="L1596">
        <v>0</v>
      </c>
      <c r="M1596" t="str">
        <f t="shared" si="438"/>
        <v>NIS</v>
      </c>
      <c r="O1596">
        <v>13</v>
      </c>
      <c r="P1596" t="str">
        <f t="shared" si="437"/>
        <v>Active</v>
      </c>
      <c r="Q1596" t="str">
        <f>"JM, PDF on CD Resistors &amp; Conductors - EA01B"</f>
        <v>JM, PDF on CD Resistors &amp; Conductors - EA01B</v>
      </c>
      <c r="S1596" t="str">
        <f>"JM, PDF on CD Resistors &amp; Conductors - EA01B"</f>
        <v>JM, PDF on CD Resistors &amp; Conductors - EA01B</v>
      </c>
      <c r="T1596">
        <v>11.41</v>
      </c>
      <c r="U1596">
        <v>10.3</v>
      </c>
      <c r="V1596">
        <v>11.43</v>
      </c>
      <c r="W1596" t="str">
        <f t="shared" si="434"/>
        <v>zintel</v>
      </c>
    </row>
    <row r="1597" spans="1:23">
      <c r="A1597" t="str">
        <f t="shared" si="435"/>
        <v>JM-CMPL-ELEC</v>
      </c>
      <c r="B1597" t="str">
        <f>"77-EA01C-0000"</f>
        <v>77-EA01C-0000</v>
      </c>
      <c r="C1597" t="str">
        <f>"LM7 Content, JM, LCR Circuits"</f>
        <v>LM7 Content, JM, LCR Circuits</v>
      </c>
      <c r="D1597">
        <v>1</v>
      </c>
      <c r="E1597" t="str">
        <f t="shared" si="436"/>
        <v>Complete Industrial Electronics Program</v>
      </c>
      <c r="F1597">
        <v>0</v>
      </c>
      <c r="G1597" t="str">
        <f t="shared" si="426"/>
        <v>Y</v>
      </c>
      <c r="H1597" t="str">
        <f t="shared" si="433"/>
        <v>EA</v>
      </c>
      <c r="I1597">
        <v>0</v>
      </c>
      <c r="J1597">
        <v>0</v>
      </c>
      <c r="K1597" t="str">
        <f t="shared" si="427"/>
        <v>Y</v>
      </c>
      <c r="L1597">
        <v>0</v>
      </c>
      <c r="M1597" t="str">
        <f t="shared" si="438"/>
        <v>NIS</v>
      </c>
      <c r="O1597">
        <v>14</v>
      </c>
      <c r="P1597" t="str">
        <f t="shared" si="437"/>
        <v>Active</v>
      </c>
      <c r="Q1597" t="str">
        <f>"LM7 Content, JM, LCR Circuits"</f>
        <v>LM7 Content, JM, LCR Circuits</v>
      </c>
      <c r="S1597" t="str">
        <f>"LM7 Content, JM, LCR Circuits"</f>
        <v>LM7 Content, JM, LCR Circuits</v>
      </c>
      <c r="T1597">
        <v>0</v>
      </c>
      <c r="U1597">
        <v>5</v>
      </c>
      <c r="V1597">
        <v>5</v>
      </c>
      <c r="W1597" t="str">
        <f t="shared" si="434"/>
        <v>zintel</v>
      </c>
    </row>
    <row r="1598" spans="1:23">
      <c r="A1598" t="str">
        <f t="shared" si="435"/>
        <v>JM-CMPL-ELEC</v>
      </c>
      <c r="B1598" t="str">
        <f>"26-E043-0000"</f>
        <v>26-E043-0000</v>
      </c>
      <c r="C1598" t="str">
        <f>"Assembly, JM, E043, Capacitance Panel"</f>
        <v>Assembly, JM, E043, Capacitance Panel</v>
      </c>
      <c r="D1598">
        <v>2</v>
      </c>
      <c r="E1598" t="str">
        <f t="shared" si="436"/>
        <v>Complete Industrial Electronics Program</v>
      </c>
      <c r="F1598">
        <v>0</v>
      </c>
      <c r="G1598" t="str">
        <f t="shared" si="426"/>
        <v>Y</v>
      </c>
      <c r="H1598" t="str">
        <f t="shared" si="433"/>
        <v>EA</v>
      </c>
      <c r="I1598">
        <v>0</v>
      </c>
      <c r="J1598">
        <v>0</v>
      </c>
      <c r="K1598" t="str">
        <f t="shared" si="427"/>
        <v>Y</v>
      </c>
      <c r="L1598">
        <v>0</v>
      </c>
      <c r="M1598" t="str">
        <f t="shared" si="438"/>
        <v>NIS</v>
      </c>
      <c r="O1598">
        <v>16</v>
      </c>
      <c r="P1598" t="str">
        <f t="shared" si="437"/>
        <v>Active</v>
      </c>
      <c r="Q1598" t="str">
        <f>"Assembly, JM, E043, Capacitance Panel"</f>
        <v>Assembly, JM, E043, Capacitance Panel</v>
      </c>
      <c r="S1598" t="str">
        <f>"Assembly, JM, E043, Capacitance Panel"</f>
        <v>Assembly, JM, E043, Capacitance Panel</v>
      </c>
      <c r="T1598">
        <v>101.44</v>
      </c>
      <c r="U1598">
        <v>100</v>
      </c>
      <c r="V1598">
        <v>240.44</v>
      </c>
      <c r="W1598" t="str">
        <f t="shared" si="434"/>
        <v>zintel</v>
      </c>
    </row>
    <row r="1599" spans="1:23">
      <c r="A1599" t="str">
        <f t="shared" si="435"/>
        <v>JM-CMPL-ELEC</v>
      </c>
      <c r="B1599" t="str">
        <f>"26-E044-0000"</f>
        <v>26-E044-0000</v>
      </c>
      <c r="C1599" t="str">
        <f>"Assembly, JM, E044, Inductance/Magnetism Panel"</f>
        <v>Assembly, JM, E044, Inductance/Magnetism Panel</v>
      </c>
      <c r="D1599">
        <v>2</v>
      </c>
      <c r="E1599" t="str">
        <f t="shared" si="436"/>
        <v>Complete Industrial Electronics Program</v>
      </c>
      <c r="F1599">
        <v>0</v>
      </c>
      <c r="G1599" t="str">
        <f t="shared" si="426"/>
        <v>Y</v>
      </c>
      <c r="H1599" t="str">
        <f t="shared" si="433"/>
        <v>EA</v>
      </c>
      <c r="I1599">
        <v>0</v>
      </c>
      <c r="J1599">
        <v>0</v>
      </c>
      <c r="K1599" t="str">
        <f t="shared" si="427"/>
        <v>Y</v>
      </c>
      <c r="L1599">
        <v>0</v>
      </c>
      <c r="M1599" t="str">
        <f t="shared" si="438"/>
        <v>NIS</v>
      </c>
      <c r="O1599">
        <v>17</v>
      </c>
      <c r="P1599" t="str">
        <f t="shared" si="437"/>
        <v>Active</v>
      </c>
      <c r="Q1599" t="str">
        <f>"Assembly, JM, E044, Inductance/Magnetism Panel"</f>
        <v>Assembly, JM, E044, Inductance/Magnetism Panel</v>
      </c>
      <c r="S1599" t="str">
        <f>"Assembly, JM, E044, Inductance/Magnetism Panel"</f>
        <v>Assembly, JM, E044, Inductance/Magnetism Panel</v>
      </c>
      <c r="T1599">
        <v>113.21</v>
      </c>
      <c r="U1599">
        <v>112</v>
      </c>
      <c r="V1599">
        <v>261.3</v>
      </c>
      <c r="W1599" t="str">
        <f t="shared" si="434"/>
        <v>zintel</v>
      </c>
    </row>
    <row r="1600" spans="1:23">
      <c r="A1600" t="str">
        <f t="shared" si="435"/>
        <v>JM-CMPL-ELEC</v>
      </c>
      <c r="B1600" t="str">
        <f>"26-E057-0000"</f>
        <v>26-E057-0000</v>
      </c>
      <c r="C1600" t="str">
        <f>"Assembly, JM, E057, Motor/Generator Demo Panel"</f>
        <v>Assembly, JM, E057, Motor/Generator Demo Panel</v>
      </c>
      <c r="D1600">
        <v>2</v>
      </c>
      <c r="E1600" t="str">
        <f t="shared" si="436"/>
        <v>Complete Industrial Electronics Program</v>
      </c>
      <c r="F1600">
        <v>0</v>
      </c>
      <c r="G1600" t="str">
        <f t="shared" si="426"/>
        <v>Y</v>
      </c>
      <c r="H1600" t="str">
        <f t="shared" si="433"/>
        <v>EA</v>
      </c>
      <c r="I1600">
        <v>0</v>
      </c>
      <c r="J1600">
        <v>0</v>
      </c>
      <c r="K1600" t="str">
        <f t="shared" si="427"/>
        <v>Y</v>
      </c>
      <c r="L1600">
        <v>0</v>
      </c>
      <c r="M1600" t="str">
        <f t="shared" si="438"/>
        <v>NIS</v>
      </c>
      <c r="O1600">
        <v>18</v>
      </c>
      <c r="P1600" t="str">
        <f t="shared" si="437"/>
        <v>Active</v>
      </c>
      <c r="Q1600" t="str">
        <f>"Assembly, JM, E057, Motor/Generator Demo Panel"</f>
        <v>Assembly, JM, E057, Motor/Generator Demo Panel</v>
      </c>
      <c r="S1600" t="str">
        <f>"Assembly, JM, E057, Motor/Generator Demo Panel"</f>
        <v>Assembly, JM, E057, Motor/Generator Demo Panel</v>
      </c>
      <c r="T1600">
        <v>182.56</v>
      </c>
      <c r="U1600">
        <v>180</v>
      </c>
      <c r="V1600">
        <v>376.01</v>
      </c>
      <c r="W1600" t="str">
        <f t="shared" si="434"/>
        <v>zintel</v>
      </c>
    </row>
    <row r="1601" spans="1:23">
      <c r="A1601" t="str">
        <f t="shared" si="435"/>
        <v>JM-CMPL-ELEC</v>
      </c>
      <c r="B1601" t="str">
        <f>"26-E150-0000"</f>
        <v>26-E150-0000</v>
      </c>
      <c r="C1601" t="str">
        <f>"Assembly, JM, E150, Relay/Contactor Panel"</f>
        <v>Assembly, JM, E150, Relay/Contactor Panel</v>
      </c>
      <c r="D1601">
        <v>2</v>
      </c>
      <c r="E1601" t="str">
        <f t="shared" si="436"/>
        <v>Complete Industrial Electronics Program</v>
      </c>
      <c r="F1601">
        <v>0</v>
      </c>
      <c r="G1601" t="str">
        <f t="shared" si="426"/>
        <v>Y</v>
      </c>
      <c r="H1601" t="str">
        <f t="shared" si="433"/>
        <v>EA</v>
      </c>
      <c r="I1601">
        <v>0</v>
      </c>
      <c r="J1601">
        <v>0</v>
      </c>
      <c r="K1601" t="str">
        <f t="shared" si="427"/>
        <v>Y</v>
      </c>
      <c r="L1601">
        <v>0</v>
      </c>
      <c r="M1601" t="str">
        <f t="shared" si="438"/>
        <v>NIS</v>
      </c>
      <c r="O1601">
        <v>19</v>
      </c>
      <c r="P1601" t="str">
        <f t="shared" si="437"/>
        <v>Active</v>
      </c>
      <c r="Q1601" t="str">
        <f>"Assembly, JM, E150, Relay/Contactor Panel"</f>
        <v>Assembly, JM, E150, Relay/Contactor Panel</v>
      </c>
      <c r="S1601" t="str">
        <f>"Assembly, JM, E150, Relay/Contactor Panel"</f>
        <v>Assembly, JM, E150, Relay/Contactor Panel</v>
      </c>
      <c r="T1601">
        <v>213.33</v>
      </c>
      <c r="U1601">
        <v>210</v>
      </c>
      <c r="V1601">
        <v>274.38</v>
      </c>
      <c r="W1601" t="str">
        <f t="shared" si="434"/>
        <v>zintel</v>
      </c>
    </row>
    <row r="1602" spans="1:23">
      <c r="A1602" t="str">
        <f t="shared" si="435"/>
        <v>JM-CMPL-ELEC</v>
      </c>
      <c r="B1602" t="str">
        <f>"26-E029-0000"</f>
        <v>26-E029-0000</v>
      </c>
      <c r="C1602" t="str">
        <f>"Assembly, JM, E029, Inductance/Mag Test Panel"</f>
        <v>Assembly, JM, E029, Inductance/Mag Test Panel</v>
      </c>
      <c r="D1602">
        <v>2</v>
      </c>
      <c r="E1602" t="str">
        <f t="shared" si="436"/>
        <v>Complete Industrial Electronics Program</v>
      </c>
      <c r="F1602">
        <v>0</v>
      </c>
      <c r="G1602" t="str">
        <f t="shared" ref="G1602:G1665" si="439">"Y"</f>
        <v>Y</v>
      </c>
      <c r="H1602" t="str">
        <f t="shared" si="433"/>
        <v>EA</v>
      </c>
      <c r="I1602">
        <v>0</v>
      </c>
      <c r="J1602">
        <v>0</v>
      </c>
      <c r="K1602" t="str">
        <f t="shared" ref="K1602:K1665" si="440">"Y"</f>
        <v>Y</v>
      </c>
      <c r="L1602">
        <v>0</v>
      </c>
      <c r="M1602" t="str">
        <f t="shared" si="438"/>
        <v>NIS</v>
      </c>
      <c r="O1602">
        <v>15</v>
      </c>
      <c r="P1602" t="str">
        <f t="shared" si="437"/>
        <v>Active</v>
      </c>
      <c r="Q1602" t="str">
        <f>"Assembly, JM, E029, Inductance/Mag Test Panel"</f>
        <v>Assembly, JM, E029, Inductance/Mag Test Panel</v>
      </c>
      <c r="S1602" t="str">
        <f>"Assembly, JM, E029, Inductance/Mag Test Panel"</f>
        <v>Assembly, JM, E029, Inductance/Mag Test Panel</v>
      </c>
      <c r="T1602">
        <v>159.29</v>
      </c>
      <c r="U1602">
        <v>160</v>
      </c>
      <c r="V1602">
        <v>385.87</v>
      </c>
      <c r="W1602" t="str">
        <f t="shared" si="434"/>
        <v>zintel</v>
      </c>
    </row>
    <row r="1603" spans="1:23">
      <c r="A1603" t="str">
        <f t="shared" si="435"/>
        <v>JM-CMPL-ELEC</v>
      </c>
      <c r="B1603" t="str">
        <f>"36-EA01C-IG01"</f>
        <v>36-EA01C-IG01</v>
      </c>
      <c r="C1603" t="str">
        <f>"JM, PDF on CD LCR Circuits - EA01C"</f>
        <v>JM, PDF on CD LCR Circuits - EA01C</v>
      </c>
      <c r="D1603">
        <v>1</v>
      </c>
      <c r="E1603" t="str">
        <f t="shared" si="436"/>
        <v>Complete Industrial Electronics Program</v>
      </c>
      <c r="F1603">
        <v>0</v>
      </c>
      <c r="G1603" t="str">
        <f t="shared" si="439"/>
        <v>Y</v>
      </c>
      <c r="H1603" t="str">
        <f t="shared" si="433"/>
        <v>EA</v>
      </c>
      <c r="I1603">
        <v>0</v>
      </c>
      <c r="J1603">
        <v>0</v>
      </c>
      <c r="K1603" t="str">
        <f t="shared" si="440"/>
        <v>Y</v>
      </c>
      <c r="L1603">
        <v>0</v>
      </c>
      <c r="M1603" t="str">
        <f t="shared" si="438"/>
        <v>NIS</v>
      </c>
      <c r="O1603">
        <v>20</v>
      </c>
      <c r="P1603" t="str">
        <f t="shared" si="437"/>
        <v>Active</v>
      </c>
      <c r="Q1603" t="str">
        <f>"JM, PDF on CD LCR Circuits - EA01C"</f>
        <v>JM, PDF on CD LCR Circuits - EA01C</v>
      </c>
      <c r="S1603" t="str">
        <f>"JM, PDF on CD LCR Circuits - EA01C"</f>
        <v>JM, PDF on CD LCR Circuits - EA01C</v>
      </c>
      <c r="T1603">
        <v>11.41</v>
      </c>
      <c r="U1603">
        <v>10.3</v>
      </c>
      <c r="V1603">
        <v>11.43</v>
      </c>
      <c r="W1603" t="str">
        <f t="shared" si="434"/>
        <v>zintel</v>
      </c>
    </row>
    <row r="1604" spans="1:23">
      <c r="A1604" t="str">
        <f t="shared" si="435"/>
        <v>JM-CMPL-ELEC</v>
      </c>
      <c r="B1604" t="str">
        <f>"77-EA01D-0000"</f>
        <v>77-EA01D-0000</v>
      </c>
      <c r="C1604" t="str">
        <f>"LM7 Content, JM, Motors &amp; Generators"</f>
        <v>LM7 Content, JM, Motors &amp; Generators</v>
      </c>
      <c r="D1604">
        <v>1</v>
      </c>
      <c r="E1604" t="str">
        <f t="shared" si="436"/>
        <v>Complete Industrial Electronics Program</v>
      </c>
      <c r="F1604">
        <v>0</v>
      </c>
      <c r="G1604" t="str">
        <f t="shared" si="439"/>
        <v>Y</v>
      </c>
      <c r="H1604" t="str">
        <f t="shared" si="433"/>
        <v>EA</v>
      </c>
      <c r="I1604">
        <v>0</v>
      </c>
      <c r="J1604">
        <v>0</v>
      </c>
      <c r="K1604" t="str">
        <f t="shared" si="440"/>
        <v>Y</v>
      </c>
      <c r="L1604">
        <v>0</v>
      </c>
      <c r="M1604" t="str">
        <f t="shared" si="438"/>
        <v>NIS</v>
      </c>
      <c r="O1604">
        <v>21</v>
      </c>
      <c r="P1604" t="str">
        <f t="shared" si="437"/>
        <v>Active</v>
      </c>
      <c r="Q1604" t="str">
        <f>"LM7 Content, JM, Motors &amp; Generators"</f>
        <v>LM7 Content, JM, Motors &amp; Generators</v>
      </c>
      <c r="S1604" t="str">
        <f>"LM7 Content, JM, Motors &amp; Generators"</f>
        <v>LM7 Content, JM, Motors &amp; Generators</v>
      </c>
      <c r="T1604">
        <v>0</v>
      </c>
      <c r="U1604">
        <v>5</v>
      </c>
      <c r="V1604">
        <v>5</v>
      </c>
      <c r="W1604" t="str">
        <f t="shared" si="434"/>
        <v>zintel</v>
      </c>
    </row>
    <row r="1605" spans="1:23">
      <c r="A1605" t="str">
        <f t="shared" si="435"/>
        <v>JM-CMPL-ELEC</v>
      </c>
      <c r="B1605" t="str">
        <f>"36-EA01D-IG01"</f>
        <v>36-EA01D-IG01</v>
      </c>
      <c r="C1605" t="str">
        <f>"JM, PDF on CD Motors and Generators - EA01D"</f>
        <v>JM, PDF on CD Motors and Generators - EA01D</v>
      </c>
      <c r="D1605">
        <v>1</v>
      </c>
      <c r="E1605" t="str">
        <f t="shared" si="436"/>
        <v>Complete Industrial Electronics Program</v>
      </c>
      <c r="F1605">
        <v>0</v>
      </c>
      <c r="G1605" t="str">
        <f t="shared" si="439"/>
        <v>Y</v>
      </c>
      <c r="H1605" t="str">
        <f t="shared" si="433"/>
        <v>EA</v>
      </c>
      <c r="I1605">
        <v>0</v>
      </c>
      <c r="J1605">
        <v>0</v>
      </c>
      <c r="K1605" t="str">
        <f t="shared" si="440"/>
        <v>Y</v>
      </c>
      <c r="L1605">
        <v>0</v>
      </c>
      <c r="M1605" t="str">
        <f t="shared" si="438"/>
        <v>NIS</v>
      </c>
      <c r="O1605">
        <v>22</v>
      </c>
      <c r="P1605" t="str">
        <f t="shared" si="437"/>
        <v>Active</v>
      </c>
      <c r="Q1605" t="str">
        <f>"JM, PDF on CD Motors and Generators - EA01D"</f>
        <v>JM, PDF on CD Motors and Generators - EA01D</v>
      </c>
      <c r="S1605" t="str">
        <f>"JM, PDF on CD Motors and Generators - EA01D"</f>
        <v>JM, PDF on CD Motors and Generators - EA01D</v>
      </c>
      <c r="T1605">
        <v>11.41</v>
      </c>
      <c r="U1605">
        <v>10.3</v>
      </c>
      <c r="V1605">
        <v>11.43</v>
      </c>
      <c r="W1605" t="str">
        <f t="shared" si="434"/>
        <v>zintel</v>
      </c>
    </row>
    <row r="1606" spans="1:23">
      <c r="A1606" t="str">
        <f t="shared" si="435"/>
        <v>JM-CMPL-ELEC</v>
      </c>
      <c r="B1606" t="str">
        <f>"77-EA02-0000"</f>
        <v>77-EA02-0000</v>
      </c>
      <c r="C1606" t="str">
        <f>"LM7 Content, JM, Electric Circuit Protection"</f>
        <v>LM7 Content, JM, Electric Circuit Protection</v>
      </c>
      <c r="D1606">
        <v>1</v>
      </c>
      <c r="E1606" t="str">
        <f t="shared" si="436"/>
        <v>Complete Industrial Electronics Program</v>
      </c>
      <c r="F1606">
        <v>0</v>
      </c>
      <c r="G1606" t="str">
        <f t="shared" si="439"/>
        <v>Y</v>
      </c>
      <c r="H1606" t="str">
        <f t="shared" si="433"/>
        <v>EA</v>
      </c>
      <c r="I1606">
        <v>0</v>
      </c>
      <c r="J1606">
        <v>0</v>
      </c>
      <c r="K1606" t="str">
        <f t="shared" si="440"/>
        <v>Y</v>
      </c>
      <c r="L1606">
        <v>0</v>
      </c>
      <c r="M1606" t="str">
        <f t="shared" si="438"/>
        <v>NIS</v>
      </c>
      <c r="O1606">
        <v>24</v>
      </c>
      <c r="P1606" t="str">
        <f t="shared" si="437"/>
        <v>Active</v>
      </c>
      <c r="Q1606" t="str">
        <f>"LM7 Content, JM, Electric Circuit Protection"</f>
        <v>LM7 Content, JM, Electric Circuit Protection</v>
      </c>
      <c r="S1606" t="str">
        <f>"LM7 Content, JM, Electric Circuit Protection"</f>
        <v>LM7 Content, JM, Electric Circuit Protection</v>
      </c>
      <c r="T1606">
        <v>0</v>
      </c>
      <c r="U1606">
        <v>5</v>
      </c>
      <c r="V1606">
        <v>5</v>
      </c>
      <c r="W1606" t="str">
        <f t="shared" si="434"/>
        <v>zintel</v>
      </c>
    </row>
    <row r="1607" spans="1:23">
      <c r="A1607" t="str">
        <f t="shared" si="435"/>
        <v>JM-CMPL-ELEC</v>
      </c>
      <c r="B1607" t="str">
        <f>"26-E022-0000"</f>
        <v>26-E022-0000</v>
      </c>
      <c r="C1607" t="str">
        <f>"Assembly, JM, E022, Manual Starter Panel"</f>
        <v>Assembly, JM, E022, Manual Starter Panel</v>
      </c>
      <c r="D1607">
        <v>2</v>
      </c>
      <c r="E1607" t="str">
        <f t="shared" si="436"/>
        <v>Complete Industrial Electronics Program</v>
      </c>
      <c r="F1607">
        <v>0</v>
      </c>
      <c r="G1607" t="str">
        <f t="shared" si="439"/>
        <v>Y</v>
      </c>
      <c r="H1607" t="str">
        <f t="shared" si="433"/>
        <v>EA</v>
      </c>
      <c r="I1607">
        <v>0</v>
      </c>
      <c r="J1607">
        <v>0</v>
      </c>
      <c r="K1607" t="str">
        <f t="shared" si="440"/>
        <v>Y</v>
      </c>
      <c r="L1607">
        <v>0</v>
      </c>
      <c r="M1607" t="str">
        <f t="shared" si="438"/>
        <v>NIS</v>
      </c>
      <c r="O1607">
        <v>25</v>
      </c>
      <c r="P1607" t="str">
        <f t="shared" si="437"/>
        <v>Active</v>
      </c>
      <c r="Q1607" t="str">
        <f>"Assembly, JM, E022, Manual Starter Panel"</f>
        <v>Assembly, JM, E022, Manual Starter Panel</v>
      </c>
      <c r="S1607" t="str">
        <f>"Assembly, JM, E022, Manual Starter Panel"</f>
        <v>Assembly, JM, E022, Manual Starter Panel</v>
      </c>
      <c r="T1607">
        <v>528.26</v>
      </c>
      <c r="U1607">
        <v>525</v>
      </c>
      <c r="V1607">
        <v>853.52</v>
      </c>
      <c r="W1607" t="str">
        <f t="shared" si="434"/>
        <v>zintel</v>
      </c>
    </row>
    <row r="1608" spans="1:23">
      <c r="A1608" t="str">
        <f t="shared" si="435"/>
        <v>JM-CMPL-ELEC</v>
      </c>
      <c r="B1608" t="str">
        <f>"26-E030-0000"</f>
        <v>26-E030-0000</v>
      </c>
      <c r="C1608" t="str">
        <f>"Assembly, JM, E030, Overload Protection Panel"</f>
        <v>Assembly, JM, E030, Overload Protection Panel</v>
      </c>
      <c r="D1608">
        <v>2</v>
      </c>
      <c r="E1608" t="str">
        <f t="shared" si="436"/>
        <v>Complete Industrial Electronics Program</v>
      </c>
      <c r="F1608">
        <v>0</v>
      </c>
      <c r="G1608" t="str">
        <f t="shared" si="439"/>
        <v>Y</v>
      </c>
      <c r="H1608" t="str">
        <f t="shared" si="433"/>
        <v>EA</v>
      </c>
      <c r="I1608">
        <v>0</v>
      </c>
      <c r="J1608">
        <v>0</v>
      </c>
      <c r="K1608" t="str">
        <f t="shared" si="440"/>
        <v>Y</v>
      </c>
      <c r="L1608">
        <v>0</v>
      </c>
      <c r="M1608" t="str">
        <f t="shared" si="438"/>
        <v>NIS</v>
      </c>
      <c r="O1608">
        <v>26</v>
      </c>
      <c r="P1608" t="str">
        <f t="shared" si="437"/>
        <v>Active</v>
      </c>
      <c r="Q1608" t="str">
        <f>"Assembly, JM, E030, Overload Protection Panel"</f>
        <v>Assembly, JM, E030, Overload Protection Panel</v>
      </c>
      <c r="S1608" t="str">
        <f>"Assembly, JM, E030, Overload Protection Panel"</f>
        <v>Assembly, JM, E030, Overload Protection Panel</v>
      </c>
      <c r="T1608">
        <v>268.64</v>
      </c>
      <c r="U1608">
        <v>265</v>
      </c>
      <c r="V1608">
        <v>861.16</v>
      </c>
      <c r="W1608" t="str">
        <f t="shared" si="434"/>
        <v>zintel</v>
      </c>
    </row>
    <row r="1609" spans="1:23">
      <c r="A1609" t="str">
        <f t="shared" si="435"/>
        <v>JM-CMPL-ELEC</v>
      </c>
      <c r="B1609" t="str">
        <f>"36-EA02-IG01"</f>
        <v>36-EA02-IG01</v>
      </c>
      <c r="C1609" t="str">
        <f>"JM, PDF on CD Electric Circuit Protection - EA02"</f>
        <v>JM, PDF on CD Electric Circuit Protection - EA02</v>
      </c>
      <c r="D1609">
        <v>1</v>
      </c>
      <c r="E1609" t="str">
        <f t="shared" si="436"/>
        <v>Complete Industrial Electronics Program</v>
      </c>
      <c r="F1609">
        <v>0</v>
      </c>
      <c r="G1609" t="str">
        <f t="shared" si="439"/>
        <v>Y</v>
      </c>
      <c r="H1609" t="str">
        <f t="shared" si="433"/>
        <v>EA</v>
      </c>
      <c r="I1609">
        <v>0</v>
      </c>
      <c r="J1609">
        <v>0</v>
      </c>
      <c r="K1609" t="str">
        <f t="shared" si="440"/>
        <v>Y</v>
      </c>
      <c r="L1609">
        <v>0</v>
      </c>
      <c r="M1609" t="str">
        <f t="shared" si="438"/>
        <v>NIS</v>
      </c>
      <c r="O1609">
        <v>27</v>
      </c>
      <c r="P1609" t="str">
        <f t="shared" si="437"/>
        <v>Active</v>
      </c>
      <c r="Q1609" t="str">
        <f>"JM, PDF on CD Electric Circuit Protection - EA02"</f>
        <v>JM, PDF on CD Electric Circuit Protection - EA02</v>
      </c>
      <c r="S1609" t="str">
        <f>"JM, PDF on CD Electric Circuit Protection - EA02"</f>
        <v>JM, PDF on CD Electric Circuit Protection - EA02</v>
      </c>
      <c r="T1609">
        <v>11.41</v>
      </c>
      <c r="U1609">
        <v>10.3</v>
      </c>
      <c r="V1609">
        <v>11.43</v>
      </c>
      <c r="W1609" t="str">
        <f t="shared" si="434"/>
        <v>zintel</v>
      </c>
    </row>
    <row r="1610" spans="1:23">
      <c r="A1610" t="str">
        <f t="shared" si="435"/>
        <v>JM-CMPL-ELEC</v>
      </c>
      <c r="B1610" t="str">
        <f>"77-EA03-0000"</f>
        <v>77-EA03-0000</v>
      </c>
      <c r="C1610" t="str">
        <f>"LM7 Content, JM, 3 Phase Transformers"</f>
        <v>LM7 Content, JM, 3 Phase Transformers</v>
      </c>
      <c r="D1610">
        <v>1</v>
      </c>
      <c r="E1610" t="str">
        <f t="shared" si="436"/>
        <v>Complete Industrial Electronics Program</v>
      </c>
      <c r="F1610">
        <v>0</v>
      </c>
      <c r="G1610" t="str">
        <f t="shared" si="439"/>
        <v>Y</v>
      </c>
      <c r="H1610" t="str">
        <f t="shared" si="433"/>
        <v>EA</v>
      </c>
      <c r="I1610">
        <v>0</v>
      </c>
      <c r="J1610">
        <v>0</v>
      </c>
      <c r="K1610" t="str">
        <f t="shared" si="440"/>
        <v>Y</v>
      </c>
      <c r="L1610">
        <v>0</v>
      </c>
      <c r="M1610" t="str">
        <f t="shared" si="438"/>
        <v>NIS</v>
      </c>
      <c r="O1610">
        <v>28</v>
      </c>
      <c r="P1610" t="str">
        <f t="shared" si="437"/>
        <v>Active</v>
      </c>
      <c r="Q1610" t="str">
        <f>"LM7 Content, JM, 3 Phase Transformers"</f>
        <v>LM7 Content, JM, 3 Phase Transformers</v>
      </c>
      <c r="S1610" t="str">
        <f>"LM7 Content, JM, 3 Phase Transformers"</f>
        <v>LM7 Content, JM, 3 Phase Transformers</v>
      </c>
      <c r="T1610">
        <v>0</v>
      </c>
      <c r="U1610">
        <v>5</v>
      </c>
      <c r="V1610">
        <v>5</v>
      </c>
      <c r="W1610" t="str">
        <f t="shared" si="434"/>
        <v>zintel</v>
      </c>
    </row>
    <row r="1611" spans="1:23">
      <c r="A1611" t="str">
        <f t="shared" si="435"/>
        <v>JM-CMPL-ELEC</v>
      </c>
      <c r="B1611" t="str">
        <f>"26-E003-0000"</f>
        <v>26-E003-0000</v>
      </c>
      <c r="C1611" t="str">
        <f>"Assembly, JM, E003, 3-Phase Transformer Panel"</f>
        <v>Assembly, JM, E003, 3-Phase Transformer Panel</v>
      </c>
      <c r="D1611">
        <v>2</v>
      </c>
      <c r="E1611" t="str">
        <f t="shared" si="436"/>
        <v>Complete Industrial Electronics Program</v>
      </c>
      <c r="F1611">
        <v>0</v>
      </c>
      <c r="G1611" t="str">
        <f t="shared" si="439"/>
        <v>Y</v>
      </c>
      <c r="H1611" t="str">
        <f t="shared" si="433"/>
        <v>EA</v>
      </c>
      <c r="I1611">
        <v>0</v>
      </c>
      <c r="J1611">
        <v>0</v>
      </c>
      <c r="K1611" t="str">
        <f t="shared" si="440"/>
        <v>Y</v>
      </c>
      <c r="L1611">
        <v>0</v>
      </c>
      <c r="M1611" t="str">
        <f t="shared" si="438"/>
        <v>NIS</v>
      </c>
      <c r="O1611">
        <v>29</v>
      </c>
      <c r="P1611" t="str">
        <f t="shared" si="437"/>
        <v>Active</v>
      </c>
      <c r="Q1611" t="str">
        <f>"Assembly, JM, E003, 3-Phase Transformer Panel"</f>
        <v>Assembly, JM, E003, 3-Phase Transformer Panel</v>
      </c>
      <c r="S1611" t="str">
        <f>"Assembly, JM, E003, 3-Phase Transformer Panel"</f>
        <v>Assembly, JM, E003, 3-Phase Transformer Panel</v>
      </c>
      <c r="T1611">
        <v>348.38</v>
      </c>
      <c r="U1611">
        <v>342</v>
      </c>
      <c r="V1611">
        <v>393.23</v>
      </c>
      <c r="W1611" t="str">
        <f t="shared" si="434"/>
        <v>zintel</v>
      </c>
    </row>
    <row r="1612" spans="1:23">
      <c r="A1612" t="str">
        <f t="shared" si="435"/>
        <v>JM-CMPL-ELEC</v>
      </c>
      <c r="B1612" t="str">
        <f>"36-EA03-IG01"</f>
        <v>36-EA03-IG01</v>
      </c>
      <c r="C1612" t="str">
        <f>"JM, PDF on CD 3 Phase Transformers- EA03"</f>
        <v>JM, PDF on CD 3 Phase Transformers- EA03</v>
      </c>
      <c r="D1612">
        <v>1</v>
      </c>
      <c r="E1612" t="str">
        <f t="shared" si="436"/>
        <v>Complete Industrial Electronics Program</v>
      </c>
      <c r="F1612">
        <v>0</v>
      </c>
      <c r="G1612" t="str">
        <f t="shared" si="439"/>
        <v>Y</v>
      </c>
      <c r="H1612" t="str">
        <f t="shared" si="433"/>
        <v>EA</v>
      </c>
      <c r="I1612">
        <v>0</v>
      </c>
      <c r="J1612">
        <v>0</v>
      </c>
      <c r="K1612" t="str">
        <f t="shared" si="440"/>
        <v>Y</v>
      </c>
      <c r="L1612">
        <v>0</v>
      </c>
      <c r="M1612" t="str">
        <f t="shared" si="438"/>
        <v>NIS</v>
      </c>
      <c r="O1612">
        <v>30</v>
      </c>
      <c r="P1612" t="str">
        <f t="shared" si="437"/>
        <v>Active</v>
      </c>
      <c r="Q1612" t="str">
        <f>"JM, PDF on CD 3 Phase Transformers- EA03"</f>
        <v>JM, PDF on CD 3 Phase Transformers- EA03</v>
      </c>
      <c r="S1612" t="str">
        <f>"JM, PDF on CD 3 Phase Transformers- EA03"</f>
        <v>JM, PDF on CD 3 Phase Transformers- EA03</v>
      </c>
      <c r="T1612">
        <v>11.41</v>
      </c>
      <c r="U1612">
        <v>10.3</v>
      </c>
      <c r="V1612">
        <v>11.43</v>
      </c>
      <c r="W1612" t="str">
        <f t="shared" si="434"/>
        <v>zintel</v>
      </c>
    </row>
    <row r="1613" spans="1:23">
      <c r="A1613" t="str">
        <f t="shared" si="435"/>
        <v>JM-CMPL-ELEC</v>
      </c>
      <c r="B1613" t="str">
        <f>"77-EA04-0000"</f>
        <v>77-EA04-0000</v>
      </c>
      <c r="C1613" t="str">
        <f>"LM7 Content, JM, Electric Motors"</f>
        <v>LM7 Content, JM, Electric Motors</v>
      </c>
      <c r="D1613">
        <v>1</v>
      </c>
      <c r="E1613" t="str">
        <f t="shared" si="436"/>
        <v>Complete Industrial Electronics Program</v>
      </c>
      <c r="F1613">
        <v>0</v>
      </c>
      <c r="G1613" t="str">
        <f t="shared" si="439"/>
        <v>Y</v>
      </c>
      <c r="H1613" t="str">
        <f t="shared" si="433"/>
        <v>EA</v>
      </c>
      <c r="I1613">
        <v>0</v>
      </c>
      <c r="J1613">
        <v>0</v>
      </c>
      <c r="K1613" t="str">
        <f t="shared" si="440"/>
        <v>Y</v>
      </c>
      <c r="L1613">
        <v>0</v>
      </c>
      <c r="M1613" t="str">
        <f t="shared" si="438"/>
        <v>NIS</v>
      </c>
      <c r="O1613">
        <v>31</v>
      </c>
      <c r="P1613" t="str">
        <f t="shared" si="437"/>
        <v>Active</v>
      </c>
      <c r="Q1613" t="str">
        <f>"LM7 Content, JM, Electric Motors"</f>
        <v>LM7 Content, JM, Electric Motors</v>
      </c>
      <c r="S1613" t="str">
        <f>"LM7 Content, JM, Electric Motors"</f>
        <v>LM7 Content, JM, Electric Motors</v>
      </c>
      <c r="T1613">
        <v>0</v>
      </c>
      <c r="U1613">
        <v>5</v>
      </c>
      <c r="V1613">
        <v>5</v>
      </c>
      <c r="W1613" t="str">
        <f t="shared" si="434"/>
        <v>zintel</v>
      </c>
    </row>
    <row r="1614" spans="1:23">
      <c r="A1614" t="str">
        <f t="shared" si="435"/>
        <v>JM-CMPL-ELEC</v>
      </c>
      <c r="B1614" t="str">
        <f>"26-E007-0000"</f>
        <v>26-E007-0000</v>
      </c>
      <c r="C1614" t="str">
        <f>"Assembly, JM, E007 - SCR Speed Control Panel"</f>
        <v>Assembly, JM, E007 - SCR Speed Control Panel</v>
      </c>
      <c r="D1614">
        <v>1</v>
      </c>
      <c r="E1614" t="str">
        <f t="shared" si="436"/>
        <v>Complete Industrial Electronics Program</v>
      </c>
      <c r="F1614">
        <v>0</v>
      </c>
      <c r="G1614" t="str">
        <f t="shared" si="439"/>
        <v>Y</v>
      </c>
      <c r="H1614" t="str">
        <f t="shared" si="433"/>
        <v>EA</v>
      </c>
      <c r="I1614">
        <v>0</v>
      </c>
      <c r="J1614">
        <v>0</v>
      </c>
      <c r="K1614" t="str">
        <f t="shared" si="440"/>
        <v>Y</v>
      </c>
      <c r="L1614">
        <v>0</v>
      </c>
      <c r="M1614" t="str">
        <f t="shared" si="438"/>
        <v>NIS</v>
      </c>
      <c r="N1614" t="str">
        <f>"Y"</f>
        <v>Y</v>
      </c>
      <c r="O1614">
        <v>32</v>
      </c>
      <c r="P1614" t="str">
        <f t="shared" si="437"/>
        <v>Active</v>
      </c>
      <c r="Q1614" t="str">
        <f>"Assembly, JM, E007 - SCR Speed Control Panel"</f>
        <v>Assembly, JM, E007 - SCR Speed Control Panel</v>
      </c>
      <c r="S1614" t="str">
        <f>"Assembly, JM, E007 - SCR Speed Control Panel"</f>
        <v>Assembly, JM, E007 - SCR Speed Control Panel</v>
      </c>
      <c r="T1614">
        <v>163.16999999999999</v>
      </c>
      <c r="U1614">
        <v>163</v>
      </c>
      <c r="V1614">
        <v>315.76</v>
      </c>
      <c r="W1614" t="str">
        <f t="shared" si="434"/>
        <v>zintel</v>
      </c>
    </row>
    <row r="1615" spans="1:23">
      <c r="A1615" t="str">
        <f t="shared" ref="A1615:A1646" si="441">"JM-CMPL-ELEC"</f>
        <v>JM-CMPL-ELEC</v>
      </c>
      <c r="B1615" t="str">
        <f>"26-E010-0000"</f>
        <v>26-E010-0000</v>
      </c>
      <c r="C1615" t="str">
        <f>"Assembly, JM, E010 - Three Phase Motor Panel"</f>
        <v>Assembly, JM, E010 - Three Phase Motor Panel</v>
      </c>
      <c r="D1615">
        <v>1</v>
      </c>
      <c r="E1615" t="str">
        <f t="shared" ref="E1615:E1646" si="442">"Complete Industrial Electronics Program"</f>
        <v>Complete Industrial Electronics Program</v>
      </c>
      <c r="F1615">
        <v>0</v>
      </c>
      <c r="G1615" t="str">
        <f t="shared" si="439"/>
        <v>Y</v>
      </c>
      <c r="H1615" t="str">
        <f t="shared" si="433"/>
        <v>EA</v>
      </c>
      <c r="I1615">
        <v>0</v>
      </c>
      <c r="J1615">
        <v>0</v>
      </c>
      <c r="K1615" t="str">
        <f t="shared" si="440"/>
        <v>Y</v>
      </c>
      <c r="L1615">
        <v>0</v>
      </c>
      <c r="M1615" t="str">
        <f t="shared" si="438"/>
        <v>NIS</v>
      </c>
      <c r="N1615" t="str">
        <f>"Y"</f>
        <v>Y</v>
      </c>
      <c r="O1615">
        <v>33</v>
      </c>
      <c r="P1615" t="str">
        <f t="shared" si="437"/>
        <v>Active</v>
      </c>
      <c r="Q1615" t="str">
        <f>"Assembly, JM, E010 - Three Phase Motor Panel"</f>
        <v>Assembly, JM, E010 - Three Phase Motor Panel</v>
      </c>
      <c r="S1615" t="str">
        <f>"Assembly, JM, E010 - Three Phase Motor Panel"</f>
        <v>Assembly, JM, E010 - Three Phase Motor Panel</v>
      </c>
      <c r="T1615">
        <v>361.68</v>
      </c>
      <c r="U1615">
        <v>360</v>
      </c>
      <c r="V1615">
        <v>515.65</v>
      </c>
      <c r="W1615" t="str">
        <f t="shared" si="434"/>
        <v>zintel</v>
      </c>
    </row>
    <row r="1616" spans="1:23">
      <c r="A1616" t="str">
        <f t="shared" si="441"/>
        <v>JM-CMPL-ELEC</v>
      </c>
      <c r="B1616" t="str">
        <f>"26-E012-0000"</f>
        <v>26-E012-0000</v>
      </c>
      <c r="C1616" t="str">
        <f>"Assembly, JM, E012, Transformer Panel"</f>
        <v>Assembly, JM, E012, Transformer Panel</v>
      </c>
      <c r="D1616">
        <v>2</v>
      </c>
      <c r="E1616" t="str">
        <f t="shared" si="442"/>
        <v>Complete Industrial Electronics Program</v>
      </c>
      <c r="F1616">
        <v>0</v>
      </c>
      <c r="G1616" t="str">
        <f t="shared" si="439"/>
        <v>Y</v>
      </c>
      <c r="H1616" t="str">
        <f t="shared" si="433"/>
        <v>EA</v>
      </c>
      <c r="I1616">
        <v>0</v>
      </c>
      <c r="J1616">
        <v>0</v>
      </c>
      <c r="K1616" t="str">
        <f t="shared" si="440"/>
        <v>Y</v>
      </c>
      <c r="L1616">
        <v>0</v>
      </c>
      <c r="M1616" t="str">
        <f t="shared" si="438"/>
        <v>NIS</v>
      </c>
      <c r="N1616" t="str">
        <f>"Y"</f>
        <v>Y</v>
      </c>
      <c r="O1616">
        <v>34</v>
      </c>
      <c r="P1616" t="str">
        <f t="shared" ref="P1616:P1640" si="443">"Active"</f>
        <v>Active</v>
      </c>
      <c r="Q1616" t="str">
        <f>"Assembly, JM, E012, Transformer Panel"</f>
        <v>Assembly, JM, E012, Transformer Panel</v>
      </c>
      <c r="S1616" t="str">
        <f>"Assembly, JM, E012, Transformer Panel"</f>
        <v>Assembly, JM, E012, Transformer Panel</v>
      </c>
      <c r="T1616">
        <v>158.58000000000001</v>
      </c>
      <c r="U1616">
        <v>157</v>
      </c>
      <c r="V1616">
        <v>297.81</v>
      </c>
      <c r="W1616" t="str">
        <f t="shared" si="434"/>
        <v>zintel</v>
      </c>
    </row>
    <row r="1617" spans="1:23">
      <c r="A1617" t="str">
        <f t="shared" si="441"/>
        <v>JM-CMPL-ELEC</v>
      </c>
      <c r="B1617" t="str">
        <f>"26-E019-0000"</f>
        <v>26-E019-0000</v>
      </c>
      <c r="C1617" t="str">
        <f>"Assembly, JM, E019, Capacitor Start Motor Panel"</f>
        <v>Assembly, JM, E019, Capacitor Start Motor Panel</v>
      </c>
      <c r="D1617">
        <v>2</v>
      </c>
      <c r="E1617" t="str">
        <f t="shared" si="442"/>
        <v>Complete Industrial Electronics Program</v>
      </c>
      <c r="F1617">
        <v>0</v>
      </c>
      <c r="G1617" t="str">
        <f t="shared" si="439"/>
        <v>Y</v>
      </c>
      <c r="H1617" t="str">
        <f t="shared" si="433"/>
        <v>EA</v>
      </c>
      <c r="I1617">
        <v>0</v>
      </c>
      <c r="J1617">
        <v>0</v>
      </c>
      <c r="K1617" t="str">
        <f t="shared" si="440"/>
        <v>Y</v>
      </c>
      <c r="L1617">
        <v>0</v>
      </c>
      <c r="M1617" t="str">
        <f t="shared" si="438"/>
        <v>NIS</v>
      </c>
      <c r="O1617">
        <v>35</v>
      </c>
      <c r="P1617" t="str">
        <f t="shared" si="443"/>
        <v>Active</v>
      </c>
      <c r="Q1617" t="str">
        <f>"Assembly, JM, E019, Capacitor Start Motor Panel"</f>
        <v>Assembly, JM, E019, Capacitor Start Motor Panel</v>
      </c>
      <c r="S1617" t="str">
        <f>"Assembly, JM, E019, Capacitor Start Motor Panel"</f>
        <v>Assembly, JM, E019, Capacitor Start Motor Panel</v>
      </c>
      <c r="T1617">
        <v>243.97</v>
      </c>
      <c r="U1617">
        <v>243</v>
      </c>
      <c r="V1617">
        <v>450.17</v>
      </c>
      <c r="W1617" t="str">
        <f t="shared" si="434"/>
        <v>zintel</v>
      </c>
    </row>
    <row r="1618" spans="1:23">
      <c r="A1618" t="str">
        <f t="shared" si="441"/>
        <v>JM-CMPL-ELEC</v>
      </c>
      <c r="B1618" t="str">
        <f>"26-E027-0000"</f>
        <v>26-E027-0000</v>
      </c>
      <c r="C1618" t="str">
        <f>"Assembly, JM, E027, Shaded Pole Motor Panel"</f>
        <v>Assembly, JM, E027, Shaded Pole Motor Panel</v>
      </c>
      <c r="D1618">
        <v>2</v>
      </c>
      <c r="E1618" t="str">
        <f t="shared" si="442"/>
        <v>Complete Industrial Electronics Program</v>
      </c>
      <c r="F1618">
        <v>0</v>
      </c>
      <c r="G1618" t="str">
        <f t="shared" si="439"/>
        <v>Y</v>
      </c>
      <c r="H1618" t="str">
        <f t="shared" si="433"/>
        <v>EA</v>
      </c>
      <c r="I1618">
        <v>0</v>
      </c>
      <c r="J1618">
        <v>0</v>
      </c>
      <c r="K1618" t="str">
        <f t="shared" si="440"/>
        <v>Y</v>
      </c>
      <c r="L1618">
        <v>0</v>
      </c>
      <c r="M1618" t="str">
        <f t="shared" si="438"/>
        <v>NIS</v>
      </c>
      <c r="O1618">
        <v>36</v>
      </c>
      <c r="P1618" t="str">
        <f t="shared" si="443"/>
        <v>Active</v>
      </c>
      <c r="Q1618" t="str">
        <f>"Assembly, JM, E027, Shaded Pole Motor Panel"</f>
        <v>Assembly, JM, E027, Shaded Pole Motor Panel</v>
      </c>
      <c r="S1618" t="str">
        <f>"Assembly, JM, E027, Shaded Pole Motor Panel"</f>
        <v>Assembly, JM, E027, Shaded Pole Motor Panel</v>
      </c>
      <c r="T1618">
        <v>160.1</v>
      </c>
      <c r="U1618">
        <v>160</v>
      </c>
      <c r="V1618">
        <v>435.69</v>
      </c>
      <c r="W1618" t="str">
        <f t="shared" si="434"/>
        <v>zintel</v>
      </c>
    </row>
    <row r="1619" spans="1:23">
      <c r="A1619" t="str">
        <f t="shared" si="441"/>
        <v>JM-CMPL-ELEC</v>
      </c>
      <c r="B1619" t="str">
        <f>"26-E034-0000"</f>
        <v>26-E034-0000</v>
      </c>
      <c r="C1619" t="str">
        <f>"Assembly, JM, E034, DC Motor Panel"</f>
        <v>Assembly, JM, E034, DC Motor Panel</v>
      </c>
      <c r="D1619">
        <v>2</v>
      </c>
      <c r="E1619" t="str">
        <f t="shared" si="442"/>
        <v>Complete Industrial Electronics Program</v>
      </c>
      <c r="F1619">
        <v>0</v>
      </c>
      <c r="G1619" t="str">
        <f t="shared" si="439"/>
        <v>Y</v>
      </c>
      <c r="H1619" t="str">
        <f t="shared" si="433"/>
        <v>EA</v>
      </c>
      <c r="I1619">
        <v>0</v>
      </c>
      <c r="J1619">
        <v>0</v>
      </c>
      <c r="K1619" t="str">
        <f t="shared" si="440"/>
        <v>Y</v>
      </c>
      <c r="L1619">
        <v>0</v>
      </c>
      <c r="M1619" t="str">
        <f t="shared" si="438"/>
        <v>NIS</v>
      </c>
      <c r="O1619">
        <v>37</v>
      </c>
      <c r="P1619" t="str">
        <f t="shared" si="443"/>
        <v>Active</v>
      </c>
      <c r="Q1619" t="str">
        <f>"Assembly, JM, E034, DC Motor Panel"</f>
        <v>Assembly, JM, E034, DC Motor Panel</v>
      </c>
      <c r="S1619" t="str">
        <f>"Assembly, JM, E034, DC Motor Panel"</f>
        <v>Assembly, JM, E034, DC Motor Panel</v>
      </c>
      <c r="T1619">
        <v>304.44</v>
      </c>
      <c r="U1619">
        <v>305</v>
      </c>
      <c r="V1619">
        <v>504.64</v>
      </c>
      <c r="W1619" t="str">
        <f t="shared" si="434"/>
        <v>zintel</v>
      </c>
    </row>
    <row r="1620" spans="1:23">
      <c r="A1620" t="str">
        <f t="shared" si="441"/>
        <v>JM-CMPL-ELEC</v>
      </c>
      <c r="B1620" t="str">
        <f>"26-E065-0000"</f>
        <v>26-E065-0000</v>
      </c>
      <c r="C1620" t="str">
        <f>"Assembly, JM, E065, Split Phase Motor Panel"</f>
        <v>Assembly, JM, E065, Split Phase Motor Panel</v>
      </c>
      <c r="D1620">
        <v>2</v>
      </c>
      <c r="E1620" t="str">
        <f t="shared" si="442"/>
        <v>Complete Industrial Electronics Program</v>
      </c>
      <c r="F1620">
        <v>0</v>
      </c>
      <c r="G1620" t="str">
        <f t="shared" si="439"/>
        <v>Y</v>
      </c>
      <c r="H1620" t="str">
        <f t="shared" si="433"/>
        <v>EA</v>
      </c>
      <c r="I1620">
        <v>0</v>
      </c>
      <c r="J1620">
        <v>0</v>
      </c>
      <c r="K1620" t="str">
        <f t="shared" si="440"/>
        <v>Y</v>
      </c>
      <c r="L1620">
        <v>0</v>
      </c>
      <c r="M1620" t="str">
        <f t="shared" si="438"/>
        <v>NIS</v>
      </c>
      <c r="O1620">
        <v>38</v>
      </c>
      <c r="P1620" t="str">
        <f t="shared" si="443"/>
        <v>Active</v>
      </c>
      <c r="Q1620" t="str">
        <f>"Assembly, JM, E065, Split Phase Motor Panel"</f>
        <v>Assembly, JM, E065, Split Phase Motor Panel</v>
      </c>
      <c r="S1620" t="str">
        <f>"Assembly, JM, E065, Split Phase Motor Panel"</f>
        <v>Assembly, JM, E065, Split Phase Motor Panel</v>
      </c>
      <c r="T1620">
        <v>178.33</v>
      </c>
      <c r="U1620">
        <v>178</v>
      </c>
      <c r="V1620">
        <v>398.61</v>
      </c>
      <c r="W1620" t="str">
        <f t="shared" si="434"/>
        <v>zintel</v>
      </c>
    </row>
    <row r="1621" spans="1:23">
      <c r="A1621" t="str">
        <f t="shared" si="441"/>
        <v>JM-CMPL-ELEC</v>
      </c>
      <c r="B1621" t="str">
        <f>"26-E066-0000"</f>
        <v>26-E066-0000</v>
      </c>
      <c r="C1621" t="str">
        <f>"Assembly, JM, E066, Adjustable Torque Motor Load"</f>
        <v>Assembly, JM, E066, Adjustable Torque Motor Load</v>
      </c>
      <c r="D1621">
        <v>2</v>
      </c>
      <c r="E1621" t="str">
        <f t="shared" si="442"/>
        <v>Complete Industrial Electronics Program</v>
      </c>
      <c r="F1621">
        <v>0</v>
      </c>
      <c r="G1621" t="str">
        <f t="shared" si="439"/>
        <v>Y</v>
      </c>
      <c r="H1621" t="str">
        <f t="shared" si="433"/>
        <v>EA</v>
      </c>
      <c r="I1621">
        <v>0</v>
      </c>
      <c r="J1621">
        <v>0</v>
      </c>
      <c r="K1621" t="str">
        <f t="shared" si="440"/>
        <v>Y</v>
      </c>
      <c r="L1621">
        <v>0</v>
      </c>
      <c r="M1621" t="str">
        <f t="shared" si="438"/>
        <v>NIS</v>
      </c>
      <c r="O1621">
        <v>39</v>
      </c>
      <c r="P1621" t="str">
        <f t="shared" si="443"/>
        <v>Active</v>
      </c>
      <c r="Q1621" t="str">
        <f>"Assembly, JM, E066, Adjustable Torque Motor Load"</f>
        <v>Assembly, JM, E066, Adjustable Torque Motor Load</v>
      </c>
      <c r="S1621" t="str">
        <f>"Assembly, JM, E066, Adjustable Torque Motor Load"</f>
        <v>Assembly, JM, E066, Adjustable Torque Motor Load</v>
      </c>
      <c r="T1621" s="44">
        <v>1055</v>
      </c>
      <c r="U1621" s="44">
        <v>1054</v>
      </c>
      <c r="V1621" s="44">
        <v>1760.72</v>
      </c>
      <c r="W1621" t="str">
        <f t="shared" si="434"/>
        <v>zintel</v>
      </c>
    </row>
    <row r="1622" spans="1:23">
      <c r="A1622" t="str">
        <f t="shared" si="441"/>
        <v>JM-CMPL-ELEC</v>
      </c>
      <c r="B1622" t="str">
        <f>"26-E154-0000"</f>
        <v>26-E154-0000</v>
      </c>
      <c r="C1622" t="str">
        <f>"Assembly, JM, E154, Switches and Lamps Panel"</f>
        <v>Assembly, JM, E154, Switches and Lamps Panel</v>
      </c>
      <c r="D1622">
        <v>2</v>
      </c>
      <c r="E1622" t="str">
        <f t="shared" si="442"/>
        <v>Complete Industrial Electronics Program</v>
      </c>
      <c r="F1622">
        <v>0</v>
      </c>
      <c r="G1622" t="str">
        <f t="shared" si="439"/>
        <v>Y</v>
      </c>
      <c r="H1622" t="str">
        <f t="shared" si="433"/>
        <v>EA</v>
      </c>
      <c r="I1622">
        <v>0</v>
      </c>
      <c r="J1622">
        <v>0</v>
      </c>
      <c r="K1622" t="str">
        <f t="shared" si="440"/>
        <v>Y</v>
      </c>
      <c r="L1622">
        <v>0</v>
      </c>
      <c r="M1622" t="str">
        <f t="shared" si="438"/>
        <v>NIS</v>
      </c>
      <c r="O1622">
        <v>40</v>
      </c>
      <c r="P1622" t="str">
        <f t="shared" si="443"/>
        <v>Active</v>
      </c>
      <c r="Q1622" t="str">
        <f>"Assembly, JM, E154, Switches and Lamps Panel"</f>
        <v>Assembly, JM, E154, Switches and Lamps Panel</v>
      </c>
      <c r="S1622" t="str">
        <f>"Assembly, JM, E154, Switches and Lamps Panel"</f>
        <v>Assembly, JM, E154, Switches and Lamps Panel</v>
      </c>
      <c r="T1622">
        <v>155.78</v>
      </c>
      <c r="U1622">
        <v>153</v>
      </c>
      <c r="V1622">
        <v>324.68</v>
      </c>
      <c r="W1622" t="str">
        <f t="shared" si="434"/>
        <v>zintel</v>
      </c>
    </row>
    <row r="1623" spans="1:23">
      <c r="A1623" t="str">
        <f t="shared" si="441"/>
        <v>JM-CMPL-ELEC</v>
      </c>
      <c r="B1623" t="str">
        <f>"26-E156-0000"</f>
        <v>26-E156-0000</v>
      </c>
      <c r="C1623" t="str">
        <f>"Assembly, JM, E156, Dissectible Electric Motor"</f>
        <v>Assembly, JM, E156, Dissectible Electric Motor</v>
      </c>
      <c r="D1623">
        <v>2</v>
      </c>
      <c r="E1623" t="str">
        <f t="shared" si="442"/>
        <v>Complete Industrial Electronics Program</v>
      </c>
      <c r="F1623">
        <v>0</v>
      </c>
      <c r="G1623" t="str">
        <f t="shared" si="439"/>
        <v>Y</v>
      </c>
      <c r="H1623" t="str">
        <f t="shared" si="433"/>
        <v>EA</v>
      </c>
      <c r="I1623">
        <v>0</v>
      </c>
      <c r="J1623">
        <v>0</v>
      </c>
      <c r="K1623" t="str">
        <f t="shared" si="440"/>
        <v>Y</v>
      </c>
      <c r="L1623">
        <v>0</v>
      </c>
      <c r="M1623" t="str">
        <f t="shared" si="438"/>
        <v>NIS</v>
      </c>
      <c r="O1623">
        <v>41</v>
      </c>
      <c r="P1623" t="str">
        <f t="shared" si="443"/>
        <v>Active</v>
      </c>
      <c r="Q1623" t="str">
        <f>"Assembly, JM, E156, Dissectible Electric Motor"</f>
        <v>Assembly, JM, E156, Dissectible Electric Motor</v>
      </c>
      <c r="S1623" t="str">
        <f>"Assembly, JM, E156, Dissectible Electric Motor"</f>
        <v>Assembly, JM, E156, Dissectible Electric Motor</v>
      </c>
      <c r="T1623">
        <v>229.82</v>
      </c>
      <c r="U1623">
        <v>230</v>
      </c>
      <c r="V1623">
        <v>408.97</v>
      </c>
      <c r="W1623" t="str">
        <f t="shared" si="434"/>
        <v>zintel</v>
      </c>
    </row>
    <row r="1624" spans="1:23">
      <c r="A1624" t="str">
        <f t="shared" si="441"/>
        <v>JM-CMPL-ELEC</v>
      </c>
      <c r="B1624" t="str">
        <f>"36-EA04-IG01"</f>
        <v>36-EA04-IG01</v>
      </c>
      <c r="C1624" t="str">
        <f>"JM, PDF on CD Electric Motors - EA04"</f>
        <v>JM, PDF on CD Electric Motors - EA04</v>
      </c>
      <c r="D1624">
        <v>1</v>
      </c>
      <c r="E1624" t="str">
        <f t="shared" si="442"/>
        <v>Complete Industrial Electronics Program</v>
      </c>
      <c r="F1624">
        <v>0</v>
      </c>
      <c r="G1624" t="str">
        <f t="shared" si="439"/>
        <v>Y</v>
      </c>
      <c r="H1624" t="str">
        <f t="shared" si="433"/>
        <v>EA</v>
      </c>
      <c r="I1624">
        <v>0</v>
      </c>
      <c r="J1624">
        <v>0</v>
      </c>
      <c r="K1624" t="str">
        <f t="shared" si="440"/>
        <v>Y</v>
      </c>
      <c r="L1624">
        <v>0</v>
      </c>
      <c r="M1624" t="str">
        <f t="shared" si="438"/>
        <v>NIS</v>
      </c>
      <c r="O1624">
        <v>42</v>
      </c>
      <c r="P1624" t="str">
        <f t="shared" si="443"/>
        <v>Active</v>
      </c>
      <c r="Q1624" t="str">
        <f>"JM, PDF on CD Electric Motors - EA04"</f>
        <v>JM, PDF on CD Electric Motors - EA04</v>
      </c>
      <c r="S1624" t="str">
        <f>"JM, PDF on CD Electric Motors - EA04"</f>
        <v>JM, PDF on CD Electric Motors - EA04</v>
      </c>
      <c r="T1624">
        <v>11.41</v>
      </c>
      <c r="U1624">
        <v>10.3</v>
      </c>
      <c r="V1624">
        <v>11.43</v>
      </c>
      <c r="W1624" t="str">
        <f t="shared" si="434"/>
        <v>zintel</v>
      </c>
    </row>
    <row r="1625" spans="1:23">
      <c r="A1625" t="str">
        <f t="shared" si="441"/>
        <v>JM-CMPL-ELEC</v>
      </c>
      <c r="B1625" t="str">
        <f>"77-EA07-0000"</f>
        <v>77-EA07-0000</v>
      </c>
      <c r="C1625" t="str">
        <f>"LM7 Content, JM, Electromagnetic Starters"</f>
        <v>LM7 Content, JM, Electromagnetic Starters</v>
      </c>
      <c r="D1625">
        <v>1</v>
      </c>
      <c r="E1625" t="str">
        <f t="shared" si="442"/>
        <v>Complete Industrial Electronics Program</v>
      </c>
      <c r="F1625">
        <v>0</v>
      </c>
      <c r="G1625" t="str">
        <f t="shared" si="439"/>
        <v>Y</v>
      </c>
      <c r="H1625" t="str">
        <f t="shared" si="433"/>
        <v>EA</v>
      </c>
      <c r="I1625">
        <v>0</v>
      </c>
      <c r="J1625">
        <v>0</v>
      </c>
      <c r="K1625" t="str">
        <f t="shared" si="440"/>
        <v>Y</v>
      </c>
      <c r="L1625">
        <v>0</v>
      </c>
      <c r="M1625" t="str">
        <f t="shared" si="438"/>
        <v>NIS</v>
      </c>
      <c r="O1625">
        <v>43</v>
      </c>
      <c r="P1625" t="str">
        <f t="shared" si="443"/>
        <v>Active</v>
      </c>
      <c r="Q1625" t="str">
        <f>"LM7 Content, JM, Electromagnetic Starters"</f>
        <v>LM7 Content, JM, Electromagnetic Starters</v>
      </c>
      <c r="S1625" t="str">
        <f>"LM7 Content, JM, Electromagnetic Starters"</f>
        <v>LM7 Content, JM, Electromagnetic Starters</v>
      </c>
      <c r="T1625">
        <v>0</v>
      </c>
      <c r="U1625">
        <v>5</v>
      </c>
      <c r="V1625">
        <v>5</v>
      </c>
      <c r="W1625" t="str">
        <f t="shared" si="434"/>
        <v>zintel</v>
      </c>
    </row>
    <row r="1626" spans="1:23">
      <c r="A1626" t="str">
        <f t="shared" si="441"/>
        <v>JM-CMPL-ELEC</v>
      </c>
      <c r="B1626" t="str">
        <f>"26-E002-0000"</f>
        <v>26-E002-0000</v>
      </c>
      <c r="C1626" t="str">
        <f>"Assembly, JM, E002, Start-Stop Control Panel"</f>
        <v>Assembly, JM, E002, Start-Stop Control Panel</v>
      </c>
      <c r="D1626">
        <v>2</v>
      </c>
      <c r="E1626" t="str">
        <f t="shared" si="442"/>
        <v>Complete Industrial Electronics Program</v>
      </c>
      <c r="F1626">
        <v>0</v>
      </c>
      <c r="G1626" t="str">
        <f t="shared" si="439"/>
        <v>Y</v>
      </c>
      <c r="H1626" t="str">
        <f t="shared" si="433"/>
        <v>EA</v>
      </c>
      <c r="I1626">
        <v>0</v>
      </c>
      <c r="J1626">
        <v>0</v>
      </c>
      <c r="K1626" t="str">
        <f t="shared" si="440"/>
        <v>Y</v>
      </c>
      <c r="L1626">
        <v>0</v>
      </c>
      <c r="M1626" t="str">
        <f t="shared" si="438"/>
        <v>NIS</v>
      </c>
      <c r="O1626">
        <v>44</v>
      </c>
      <c r="P1626" t="str">
        <f t="shared" si="443"/>
        <v>Active</v>
      </c>
      <c r="Q1626" t="str">
        <f>"Assembly, JM, E002, Start-Stop Control Panel"</f>
        <v>Assembly, JM, E002, Start-Stop Control Panel</v>
      </c>
      <c r="S1626" t="str">
        <f>"Assembly, JM, E002, Start-Stop Control Panel"</f>
        <v>Assembly, JM, E002, Start-Stop Control Panel</v>
      </c>
      <c r="T1626">
        <v>103.53</v>
      </c>
      <c r="U1626">
        <v>103</v>
      </c>
      <c r="V1626">
        <v>196.68</v>
      </c>
      <c r="W1626" t="str">
        <f t="shared" si="434"/>
        <v>zintel</v>
      </c>
    </row>
    <row r="1627" spans="1:23">
      <c r="A1627" t="str">
        <f t="shared" si="441"/>
        <v>JM-CMPL-ELEC</v>
      </c>
      <c r="B1627" t="str">
        <f>"26-E004-0000"</f>
        <v>26-E004-0000</v>
      </c>
      <c r="C1627" t="str">
        <f>"Assembly, JM , E004, Single Magnetic Start.Panel"</f>
        <v>Assembly, JM , E004, Single Magnetic Start.Panel</v>
      </c>
      <c r="D1627">
        <v>2</v>
      </c>
      <c r="E1627" t="str">
        <f t="shared" si="442"/>
        <v>Complete Industrial Electronics Program</v>
      </c>
      <c r="F1627">
        <v>0</v>
      </c>
      <c r="G1627" t="str">
        <f t="shared" si="439"/>
        <v>Y</v>
      </c>
      <c r="H1627" t="str">
        <f t="shared" si="433"/>
        <v>EA</v>
      </c>
      <c r="I1627">
        <v>0</v>
      </c>
      <c r="J1627">
        <v>0</v>
      </c>
      <c r="K1627" t="str">
        <f t="shared" si="440"/>
        <v>Y</v>
      </c>
      <c r="L1627">
        <v>0</v>
      </c>
      <c r="M1627" t="str">
        <f t="shared" si="438"/>
        <v>NIS</v>
      </c>
      <c r="O1627">
        <v>45</v>
      </c>
      <c r="P1627" t="str">
        <f t="shared" si="443"/>
        <v>Active</v>
      </c>
      <c r="Q1627" t="str">
        <f>"Assembly, JM , E004, Single Magnetic Start.Panel"</f>
        <v>Assembly, JM , E004, Single Magnetic Start.Panel</v>
      </c>
      <c r="S1627" t="str">
        <f>"Assembly, JM , E004, Single Magnetic Start.Panel"</f>
        <v>Assembly, JM , E004, Single Magnetic Start.Panel</v>
      </c>
      <c r="T1627">
        <v>168.68</v>
      </c>
      <c r="U1627">
        <v>168</v>
      </c>
      <c r="V1627">
        <v>280.98</v>
      </c>
      <c r="W1627" t="str">
        <f t="shared" si="434"/>
        <v>zintel</v>
      </c>
    </row>
    <row r="1628" spans="1:23">
      <c r="A1628" t="str">
        <f t="shared" si="441"/>
        <v>JM-CMPL-ELEC</v>
      </c>
      <c r="B1628" t="str">
        <f>"26-E005-0000"</f>
        <v>26-E005-0000</v>
      </c>
      <c r="C1628" t="str">
        <f>"Assembly, JM, E005 - F-R-S Switch Panel"</f>
        <v>Assembly, JM, E005 - F-R-S Switch Panel</v>
      </c>
      <c r="D1628">
        <v>2</v>
      </c>
      <c r="E1628" t="str">
        <f t="shared" si="442"/>
        <v>Complete Industrial Electronics Program</v>
      </c>
      <c r="F1628">
        <v>0</v>
      </c>
      <c r="G1628" t="str">
        <f t="shared" si="439"/>
        <v>Y</v>
      </c>
      <c r="H1628" t="str">
        <f t="shared" si="433"/>
        <v>EA</v>
      </c>
      <c r="I1628">
        <v>0</v>
      </c>
      <c r="J1628">
        <v>0</v>
      </c>
      <c r="K1628" t="str">
        <f t="shared" si="440"/>
        <v>Y</v>
      </c>
      <c r="L1628">
        <v>0</v>
      </c>
      <c r="M1628" t="str">
        <f t="shared" si="438"/>
        <v>NIS</v>
      </c>
      <c r="O1628">
        <v>46</v>
      </c>
      <c r="P1628" t="str">
        <f t="shared" si="443"/>
        <v>Active</v>
      </c>
      <c r="Q1628" t="str">
        <f>"Assembly, JM, E005 - F-R-S Switch Panel"</f>
        <v>Assembly, JM, E005 - F-R-S Switch Panel</v>
      </c>
      <c r="S1628" t="str">
        <f>"Assembly, JM, E005 - F-R-S Switch Panel"</f>
        <v>Assembly, JM, E005 - F-R-S Switch Panel</v>
      </c>
      <c r="T1628">
        <v>226.53</v>
      </c>
      <c r="U1628">
        <v>225</v>
      </c>
      <c r="V1628">
        <v>343.41</v>
      </c>
      <c r="W1628" t="str">
        <f t="shared" si="434"/>
        <v>zintel</v>
      </c>
    </row>
    <row r="1629" spans="1:23">
      <c r="A1629" t="str">
        <f t="shared" si="441"/>
        <v>JM-CMPL-ELEC</v>
      </c>
      <c r="B1629" t="str">
        <f>"26-E006-0000"</f>
        <v>26-E006-0000</v>
      </c>
      <c r="C1629" t="str">
        <f>"Assembly, JM, E006, Reversing Magnetic Starter"</f>
        <v>Assembly, JM, E006, Reversing Magnetic Starter</v>
      </c>
      <c r="D1629">
        <v>2</v>
      </c>
      <c r="E1629" t="str">
        <f t="shared" si="442"/>
        <v>Complete Industrial Electronics Program</v>
      </c>
      <c r="F1629">
        <v>0</v>
      </c>
      <c r="G1629" t="str">
        <f t="shared" si="439"/>
        <v>Y</v>
      </c>
      <c r="H1629" t="str">
        <f t="shared" si="433"/>
        <v>EA</v>
      </c>
      <c r="I1629">
        <v>0</v>
      </c>
      <c r="J1629">
        <v>0</v>
      </c>
      <c r="K1629" t="str">
        <f t="shared" si="440"/>
        <v>Y</v>
      </c>
      <c r="L1629">
        <v>0</v>
      </c>
      <c r="M1629" t="str">
        <f t="shared" si="438"/>
        <v>NIS</v>
      </c>
      <c r="O1629">
        <v>47</v>
      </c>
      <c r="P1629" t="str">
        <f t="shared" si="443"/>
        <v>Active</v>
      </c>
      <c r="Q1629" t="str">
        <f>"Assembly, JM, E006, Reversing Magnetic Starter"</f>
        <v>Assembly, JM, E006, Reversing Magnetic Starter</v>
      </c>
      <c r="S1629" t="str">
        <f>"Assembly, JM, E006, Reversing Magnetic Starter"</f>
        <v>Assembly, JM, E006, Reversing Magnetic Starter</v>
      </c>
      <c r="T1629">
        <v>232.93</v>
      </c>
      <c r="U1629">
        <v>231</v>
      </c>
      <c r="V1629">
        <v>424.58</v>
      </c>
      <c r="W1629" t="str">
        <f t="shared" si="434"/>
        <v>zintel</v>
      </c>
    </row>
    <row r="1630" spans="1:23">
      <c r="A1630" t="str">
        <f t="shared" si="441"/>
        <v>JM-CMPL-ELEC</v>
      </c>
      <c r="B1630" t="str">
        <f>"26-E010-0000"</f>
        <v>26-E010-0000</v>
      </c>
      <c r="C1630" t="str">
        <f>"Assembly, JM, E010 - Three Phase Motor Panel"</f>
        <v>Assembly, JM, E010 - Three Phase Motor Panel</v>
      </c>
      <c r="D1630">
        <v>2</v>
      </c>
      <c r="E1630" t="str">
        <f t="shared" si="442"/>
        <v>Complete Industrial Electronics Program</v>
      </c>
      <c r="F1630">
        <v>0</v>
      </c>
      <c r="G1630" t="str">
        <f t="shared" si="439"/>
        <v>Y</v>
      </c>
      <c r="H1630" t="str">
        <f t="shared" si="433"/>
        <v>EA</v>
      </c>
      <c r="I1630">
        <v>0</v>
      </c>
      <c r="J1630">
        <v>0</v>
      </c>
      <c r="K1630" t="str">
        <f t="shared" si="440"/>
        <v>Y</v>
      </c>
      <c r="L1630">
        <v>0</v>
      </c>
      <c r="M1630" t="str">
        <f t="shared" si="438"/>
        <v>NIS</v>
      </c>
      <c r="O1630">
        <v>48</v>
      </c>
      <c r="P1630" t="str">
        <f t="shared" si="443"/>
        <v>Active</v>
      </c>
      <c r="Q1630" t="str">
        <f>"Assembly, JM, E010 - Three Phase Motor Panel"</f>
        <v>Assembly, JM, E010 - Three Phase Motor Panel</v>
      </c>
      <c r="S1630" t="str">
        <f>"Assembly, JM, E010 - Three Phase Motor Panel"</f>
        <v>Assembly, JM, E010 - Three Phase Motor Panel</v>
      </c>
      <c r="T1630">
        <v>361.68</v>
      </c>
      <c r="U1630">
        <v>360</v>
      </c>
      <c r="V1630">
        <v>515.65</v>
      </c>
      <c r="W1630" t="str">
        <f t="shared" si="434"/>
        <v>zintel</v>
      </c>
    </row>
    <row r="1631" spans="1:23">
      <c r="A1631" t="str">
        <f t="shared" si="441"/>
        <v>JM-CMPL-ELEC</v>
      </c>
      <c r="B1631" t="str">
        <f>"26-E012-0000"</f>
        <v>26-E012-0000</v>
      </c>
      <c r="C1631" t="str">
        <f>"Assembly, JM, E012, Transformer Panel"</f>
        <v>Assembly, JM, E012, Transformer Panel</v>
      </c>
      <c r="D1631">
        <v>2</v>
      </c>
      <c r="E1631" t="str">
        <f t="shared" si="442"/>
        <v>Complete Industrial Electronics Program</v>
      </c>
      <c r="F1631">
        <v>0</v>
      </c>
      <c r="G1631" t="str">
        <f t="shared" si="439"/>
        <v>Y</v>
      </c>
      <c r="H1631" t="str">
        <f t="shared" si="433"/>
        <v>EA</v>
      </c>
      <c r="I1631">
        <v>0</v>
      </c>
      <c r="J1631">
        <v>0</v>
      </c>
      <c r="K1631" t="str">
        <f t="shared" si="440"/>
        <v>Y</v>
      </c>
      <c r="L1631">
        <v>0</v>
      </c>
      <c r="M1631" t="str">
        <f t="shared" si="438"/>
        <v>NIS</v>
      </c>
      <c r="O1631">
        <v>49</v>
      </c>
      <c r="P1631" t="str">
        <f t="shared" si="443"/>
        <v>Active</v>
      </c>
      <c r="Q1631" t="str">
        <f>"Assembly, JM, E012, Transformer Panel"</f>
        <v>Assembly, JM, E012, Transformer Panel</v>
      </c>
      <c r="S1631" t="str">
        <f>"Assembly, JM, E012, Transformer Panel"</f>
        <v>Assembly, JM, E012, Transformer Panel</v>
      </c>
      <c r="T1631">
        <v>158.58000000000001</v>
      </c>
      <c r="U1631">
        <v>157</v>
      </c>
      <c r="V1631">
        <v>297.81</v>
      </c>
      <c r="W1631" t="str">
        <f t="shared" si="434"/>
        <v>zintel</v>
      </c>
    </row>
    <row r="1632" spans="1:23">
      <c r="A1632" t="str">
        <f t="shared" si="441"/>
        <v>JM-CMPL-ELEC</v>
      </c>
      <c r="B1632" t="str">
        <f>"26-E016-0000"</f>
        <v>26-E016-0000</v>
      </c>
      <c r="C1632" t="str">
        <f>"Assembly, JM, E016, Analog Relay Panel"</f>
        <v>Assembly, JM, E016, Analog Relay Panel</v>
      </c>
      <c r="D1632">
        <v>2</v>
      </c>
      <c r="E1632" t="str">
        <f t="shared" si="442"/>
        <v>Complete Industrial Electronics Program</v>
      </c>
      <c r="F1632">
        <v>0</v>
      </c>
      <c r="G1632" t="str">
        <f t="shared" si="439"/>
        <v>Y</v>
      </c>
      <c r="H1632" t="str">
        <f t="shared" si="433"/>
        <v>EA</v>
      </c>
      <c r="I1632">
        <v>0</v>
      </c>
      <c r="J1632">
        <v>0</v>
      </c>
      <c r="K1632" t="str">
        <f t="shared" si="440"/>
        <v>Y</v>
      </c>
      <c r="L1632">
        <v>0</v>
      </c>
      <c r="M1632" t="str">
        <f t="shared" si="438"/>
        <v>NIS</v>
      </c>
      <c r="O1632">
        <v>50</v>
      </c>
      <c r="P1632" t="str">
        <f t="shared" si="443"/>
        <v>Active</v>
      </c>
      <c r="Q1632" t="str">
        <f>"Assembly, JM, E016, Analog Relay Panel"</f>
        <v>Assembly, JM, E016, Analog Relay Panel</v>
      </c>
      <c r="S1632" t="str">
        <f>"Assembly, JM, E016, Analog Relay Panel"</f>
        <v>Assembly, JM, E016, Analog Relay Panel</v>
      </c>
      <c r="T1632">
        <v>208.59</v>
      </c>
      <c r="U1632">
        <v>205</v>
      </c>
      <c r="V1632">
        <v>366.74</v>
      </c>
      <c r="W1632" t="str">
        <f t="shared" si="434"/>
        <v>zintel</v>
      </c>
    </row>
    <row r="1633" spans="1:23">
      <c r="A1633" t="str">
        <f t="shared" si="441"/>
        <v>JM-CMPL-ELEC</v>
      </c>
      <c r="B1633" t="str">
        <f>"26-E154-0000"</f>
        <v>26-E154-0000</v>
      </c>
      <c r="C1633" t="str">
        <f>"Assembly, JM, E154, Switches and Lamps Panel"</f>
        <v>Assembly, JM, E154, Switches and Lamps Panel</v>
      </c>
      <c r="D1633">
        <v>1</v>
      </c>
      <c r="E1633" t="str">
        <f t="shared" si="442"/>
        <v>Complete Industrial Electronics Program</v>
      </c>
      <c r="F1633">
        <v>0</v>
      </c>
      <c r="G1633" t="str">
        <f t="shared" si="439"/>
        <v>Y</v>
      </c>
      <c r="H1633" t="str">
        <f t="shared" si="433"/>
        <v>EA</v>
      </c>
      <c r="I1633">
        <v>0</v>
      </c>
      <c r="J1633">
        <v>0</v>
      </c>
      <c r="K1633" t="str">
        <f t="shared" si="440"/>
        <v>Y</v>
      </c>
      <c r="L1633">
        <v>0</v>
      </c>
      <c r="M1633" t="str">
        <f t="shared" si="438"/>
        <v>NIS</v>
      </c>
      <c r="N1633" t="str">
        <f>"Y"</f>
        <v>Y</v>
      </c>
      <c r="O1633">
        <v>51</v>
      </c>
      <c r="P1633" t="str">
        <f t="shared" si="443"/>
        <v>Active</v>
      </c>
      <c r="Q1633" t="str">
        <f>"Assembly, JM, E154, Switches and Lamps Panel"</f>
        <v>Assembly, JM, E154, Switches and Lamps Panel</v>
      </c>
      <c r="S1633" t="str">
        <f>"Assembly, JM, E154, Switches and Lamps Panel"</f>
        <v>Assembly, JM, E154, Switches and Lamps Panel</v>
      </c>
      <c r="T1633">
        <v>155.78</v>
      </c>
      <c r="U1633">
        <v>153</v>
      </c>
      <c r="V1633">
        <v>324.68</v>
      </c>
      <c r="W1633" t="str">
        <f t="shared" si="434"/>
        <v>zintel</v>
      </c>
    </row>
    <row r="1634" spans="1:23">
      <c r="A1634" t="str">
        <f t="shared" si="441"/>
        <v>JM-CMPL-ELEC</v>
      </c>
      <c r="B1634" t="str">
        <f>"26-E155-0000"</f>
        <v>26-E155-0000</v>
      </c>
      <c r="C1634" t="str">
        <f>"Assembly, JM, E155, H-O-A Switch Panel"</f>
        <v>Assembly, JM, E155, H-O-A Switch Panel</v>
      </c>
      <c r="D1634">
        <v>2</v>
      </c>
      <c r="E1634" t="str">
        <f t="shared" si="442"/>
        <v>Complete Industrial Electronics Program</v>
      </c>
      <c r="F1634">
        <v>0</v>
      </c>
      <c r="G1634" t="str">
        <f t="shared" si="439"/>
        <v>Y</v>
      </c>
      <c r="H1634" t="str">
        <f t="shared" si="433"/>
        <v>EA</v>
      </c>
      <c r="I1634">
        <v>0</v>
      </c>
      <c r="J1634">
        <v>0</v>
      </c>
      <c r="K1634" t="str">
        <f t="shared" si="440"/>
        <v>Y</v>
      </c>
      <c r="L1634">
        <v>0</v>
      </c>
      <c r="M1634" t="str">
        <f t="shared" si="438"/>
        <v>NIS</v>
      </c>
      <c r="O1634">
        <v>52</v>
      </c>
      <c r="P1634" t="str">
        <f t="shared" si="443"/>
        <v>Active</v>
      </c>
      <c r="Q1634" t="str">
        <f>"Assembly, JM, E155, H-O-A Switch Panel"</f>
        <v>Assembly, JM, E155, H-O-A Switch Panel</v>
      </c>
      <c r="S1634" t="str">
        <f>"Assembly, JM, E155, H-O-A Switch Panel"</f>
        <v>Assembly, JM, E155, H-O-A Switch Panel</v>
      </c>
      <c r="T1634">
        <v>102.54</v>
      </c>
      <c r="U1634">
        <v>102</v>
      </c>
      <c r="V1634">
        <v>227.9</v>
      </c>
      <c r="W1634" t="str">
        <f t="shared" si="434"/>
        <v>zintel</v>
      </c>
    </row>
    <row r="1635" spans="1:23">
      <c r="A1635" t="str">
        <f t="shared" si="441"/>
        <v>JM-CMPL-ELEC</v>
      </c>
      <c r="B1635" t="str">
        <f>"36-EA07-IG01"</f>
        <v>36-EA07-IG01</v>
      </c>
      <c r="C1635" t="str">
        <f>"JM, PDF on CD Electromagnetic Starters- EA04"</f>
        <v>JM, PDF on CD Electromagnetic Starters- EA04</v>
      </c>
      <c r="D1635">
        <v>1</v>
      </c>
      <c r="E1635" t="str">
        <f t="shared" si="442"/>
        <v>Complete Industrial Electronics Program</v>
      </c>
      <c r="F1635">
        <v>0</v>
      </c>
      <c r="G1635" t="str">
        <f t="shared" si="439"/>
        <v>Y</v>
      </c>
      <c r="H1635" t="str">
        <f t="shared" si="433"/>
        <v>EA</v>
      </c>
      <c r="I1635">
        <v>0</v>
      </c>
      <c r="J1635">
        <v>0</v>
      </c>
      <c r="K1635" t="str">
        <f t="shared" si="440"/>
        <v>Y</v>
      </c>
      <c r="L1635">
        <v>0</v>
      </c>
      <c r="M1635" t="str">
        <f t="shared" si="438"/>
        <v>NIS</v>
      </c>
      <c r="O1635">
        <v>53</v>
      </c>
      <c r="P1635" t="str">
        <f t="shared" si="443"/>
        <v>Active</v>
      </c>
      <c r="Q1635" t="str">
        <f>"JM, PDF on CD Electromagnetic Starters- EA04"</f>
        <v>JM, PDF on CD Electromagnetic Starters- EA04</v>
      </c>
      <c r="S1635" t="str">
        <f>"JM, PDF on CD Electromagnetic Starters- EA04"</f>
        <v>JM, PDF on CD Electromagnetic Starters- EA04</v>
      </c>
      <c r="T1635">
        <v>11.41</v>
      </c>
      <c r="U1635">
        <v>10.3</v>
      </c>
      <c r="V1635">
        <v>11.43</v>
      </c>
      <c r="W1635" t="str">
        <f t="shared" si="434"/>
        <v>zintel</v>
      </c>
    </row>
    <row r="1636" spans="1:23">
      <c r="A1636" t="str">
        <f t="shared" si="441"/>
        <v>JM-CMPL-ELEC</v>
      </c>
      <c r="B1636" t="str">
        <f>"77-EA08-0000"</f>
        <v>77-EA08-0000</v>
      </c>
      <c r="C1636" t="str">
        <f>"LM7 Content, JM, Relays and Timers"</f>
        <v>LM7 Content, JM, Relays and Timers</v>
      </c>
      <c r="D1636">
        <v>1</v>
      </c>
      <c r="E1636" t="str">
        <f t="shared" si="442"/>
        <v>Complete Industrial Electronics Program</v>
      </c>
      <c r="F1636">
        <v>0</v>
      </c>
      <c r="G1636" t="str">
        <f t="shared" si="439"/>
        <v>Y</v>
      </c>
      <c r="H1636" t="str">
        <f t="shared" si="433"/>
        <v>EA</v>
      </c>
      <c r="I1636">
        <v>0</v>
      </c>
      <c r="J1636">
        <v>0</v>
      </c>
      <c r="K1636" t="str">
        <f t="shared" si="440"/>
        <v>Y</v>
      </c>
      <c r="L1636">
        <v>0</v>
      </c>
      <c r="M1636" t="str">
        <f t="shared" si="438"/>
        <v>NIS</v>
      </c>
      <c r="O1636">
        <v>54</v>
      </c>
      <c r="P1636" t="str">
        <f t="shared" si="443"/>
        <v>Active</v>
      </c>
      <c r="Q1636" t="str">
        <f>"LM7 Content, JM, Relays and Timers"</f>
        <v>LM7 Content, JM, Relays and Timers</v>
      </c>
      <c r="S1636" t="str">
        <f>"LM7 Content, JM, Relays and Timers"</f>
        <v>LM7 Content, JM, Relays and Timers</v>
      </c>
      <c r="T1636">
        <v>0</v>
      </c>
      <c r="U1636">
        <v>5</v>
      </c>
      <c r="V1636">
        <v>5</v>
      </c>
      <c r="W1636" t="str">
        <f t="shared" si="434"/>
        <v>zintel</v>
      </c>
    </row>
    <row r="1637" spans="1:23">
      <c r="A1637" t="str">
        <f t="shared" si="441"/>
        <v>JM-CMPL-ELEC</v>
      </c>
      <c r="B1637" t="str">
        <f>"26-E017-0000"</f>
        <v>26-E017-0000</v>
      </c>
      <c r="C1637" t="str">
        <f>"Assembly, JM, E017, Digital Relay"</f>
        <v>Assembly, JM, E017, Digital Relay</v>
      </c>
      <c r="D1637">
        <v>2</v>
      </c>
      <c r="E1637" t="str">
        <f t="shared" si="442"/>
        <v>Complete Industrial Electronics Program</v>
      </c>
      <c r="F1637">
        <v>0</v>
      </c>
      <c r="G1637" t="str">
        <f t="shared" si="439"/>
        <v>Y</v>
      </c>
      <c r="H1637" t="str">
        <f t="shared" si="433"/>
        <v>EA</v>
      </c>
      <c r="I1637">
        <v>0</v>
      </c>
      <c r="J1637">
        <v>0</v>
      </c>
      <c r="K1637" t="str">
        <f t="shared" si="440"/>
        <v>Y</v>
      </c>
      <c r="L1637">
        <v>0</v>
      </c>
      <c r="M1637" t="str">
        <f t="shared" si="438"/>
        <v>NIS</v>
      </c>
      <c r="O1637">
        <v>55</v>
      </c>
      <c r="P1637" t="str">
        <f t="shared" si="443"/>
        <v>Active</v>
      </c>
      <c r="Q1637" t="str">
        <f>"Assembly, JM, E017, Digital Relay"</f>
        <v>Assembly, JM, E017, Digital Relay</v>
      </c>
      <c r="S1637" t="str">
        <f>"Assembly, JM, E017, Digital Relay"</f>
        <v>Assembly, JM, E017, Digital Relay</v>
      </c>
      <c r="T1637">
        <v>273.82</v>
      </c>
      <c r="U1637">
        <v>271</v>
      </c>
      <c r="V1637">
        <v>593.16</v>
      </c>
      <c r="W1637" t="str">
        <f t="shared" si="434"/>
        <v>zintel</v>
      </c>
    </row>
    <row r="1638" spans="1:23">
      <c r="A1638" t="str">
        <f t="shared" si="441"/>
        <v>JM-CMPL-ELEC</v>
      </c>
      <c r="B1638" t="str">
        <f>"26-E041-0000"</f>
        <v>26-E041-0000</v>
      </c>
      <c r="C1638" t="str">
        <f>"Assembly, JM, E041, Electronic Timer"</f>
        <v>Assembly, JM, E041, Electronic Timer</v>
      </c>
      <c r="D1638">
        <v>2</v>
      </c>
      <c r="E1638" t="str">
        <f t="shared" si="442"/>
        <v>Complete Industrial Electronics Program</v>
      </c>
      <c r="F1638">
        <v>0</v>
      </c>
      <c r="G1638" t="str">
        <f t="shared" si="439"/>
        <v>Y</v>
      </c>
      <c r="H1638" t="str">
        <f t="shared" si="433"/>
        <v>EA</v>
      </c>
      <c r="I1638">
        <v>0</v>
      </c>
      <c r="J1638">
        <v>0</v>
      </c>
      <c r="K1638" t="str">
        <f t="shared" si="440"/>
        <v>Y</v>
      </c>
      <c r="L1638">
        <v>0</v>
      </c>
      <c r="M1638" t="str">
        <f t="shared" si="438"/>
        <v>NIS</v>
      </c>
      <c r="O1638">
        <v>56</v>
      </c>
      <c r="P1638" t="str">
        <f t="shared" si="443"/>
        <v>Active</v>
      </c>
      <c r="Q1638" t="str">
        <f>"Assembly, JM, E041, Electronic Timer"</f>
        <v>Assembly, JM, E041, Electronic Timer</v>
      </c>
      <c r="S1638" t="str">
        <f>"Assembly, JM, E041, Electronic Timer"</f>
        <v>Assembly, JM, E041, Electronic Timer</v>
      </c>
      <c r="T1638">
        <v>224.51</v>
      </c>
      <c r="U1638">
        <v>225</v>
      </c>
      <c r="V1638">
        <v>309.97000000000003</v>
      </c>
      <c r="W1638" t="str">
        <f t="shared" si="434"/>
        <v>zintel</v>
      </c>
    </row>
    <row r="1639" spans="1:23">
      <c r="A1639" t="str">
        <f t="shared" si="441"/>
        <v>JM-CMPL-ELEC</v>
      </c>
      <c r="B1639" t="str">
        <f>"36-EA08-IG01"</f>
        <v>36-EA08-IG01</v>
      </c>
      <c r="C1639" t="str">
        <f>"JM, PDF on CD Relays and Timers - EA08"</f>
        <v>JM, PDF on CD Relays and Timers - EA08</v>
      </c>
      <c r="D1639">
        <v>1</v>
      </c>
      <c r="E1639" t="str">
        <f t="shared" si="442"/>
        <v>Complete Industrial Electronics Program</v>
      </c>
      <c r="F1639">
        <v>0</v>
      </c>
      <c r="G1639" t="str">
        <f t="shared" si="439"/>
        <v>Y</v>
      </c>
      <c r="H1639" t="str">
        <f t="shared" si="433"/>
        <v>EA</v>
      </c>
      <c r="I1639">
        <v>0</v>
      </c>
      <c r="J1639">
        <v>0</v>
      </c>
      <c r="K1639" t="str">
        <f t="shared" si="440"/>
        <v>Y</v>
      </c>
      <c r="L1639">
        <v>0</v>
      </c>
      <c r="M1639" t="str">
        <f t="shared" si="438"/>
        <v>NIS</v>
      </c>
      <c r="O1639">
        <v>57</v>
      </c>
      <c r="P1639" t="str">
        <f t="shared" si="443"/>
        <v>Active</v>
      </c>
      <c r="Q1639" t="str">
        <f>"JM, PDF on CD Relays and Timers - EA08"</f>
        <v>JM, PDF on CD Relays and Timers - EA08</v>
      </c>
      <c r="S1639" t="str">
        <f>"JM, PDF on CD Relays and Timers - EA08"</f>
        <v>JM, PDF on CD Relays and Timers - EA08</v>
      </c>
      <c r="T1639">
        <v>11.41</v>
      </c>
      <c r="U1639">
        <v>10.3</v>
      </c>
      <c r="V1639">
        <v>11.43</v>
      </c>
      <c r="W1639" t="str">
        <f t="shared" si="434"/>
        <v>zintel</v>
      </c>
    </row>
    <row r="1640" spans="1:23">
      <c r="A1640" t="str">
        <f t="shared" si="441"/>
        <v>JM-CMPL-ELEC</v>
      </c>
      <c r="B1640" t="str">
        <f>"77-EA11-0000"</f>
        <v>77-EA11-0000</v>
      </c>
      <c r="C1640" t="str">
        <f>"LM7 Content, JM, Solid State Voltage Starter"</f>
        <v>LM7 Content, JM, Solid State Voltage Starter</v>
      </c>
      <c r="D1640">
        <v>1</v>
      </c>
      <c r="E1640" t="str">
        <f t="shared" si="442"/>
        <v>Complete Industrial Electronics Program</v>
      </c>
      <c r="F1640">
        <v>0</v>
      </c>
      <c r="G1640" t="str">
        <f t="shared" si="439"/>
        <v>Y</v>
      </c>
      <c r="H1640" t="str">
        <f t="shared" ref="H1640:H1703" si="444">"EA"</f>
        <v>EA</v>
      </c>
      <c r="I1640">
        <v>0</v>
      </c>
      <c r="J1640">
        <v>0</v>
      </c>
      <c r="K1640" t="str">
        <f t="shared" si="440"/>
        <v>Y</v>
      </c>
      <c r="L1640">
        <v>0</v>
      </c>
      <c r="M1640" t="str">
        <f t="shared" si="438"/>
        <v>NIS</v>
      </c>
      <c r="O1640">
        <v>58</v>
      </c>
      <c r="P1640" t="str">
        <f t="shared" si="443"/>
        <v>Active</v>
      </c>
      <c r="Q1640" t="str">
        <f>"LM7 Content, JM, Solid State Voltage Starter"</f>
        <v>LM7 Content, JM, Solid State Voltage Starter</v>
      </c>
      <c r="S1640" t="str">
        <f>"LM7 Content, JM, Solid State Voltage Starter"</f>
        <v>LM7 Content, JM, Solid State Voltage Starter</v>
      </c>
      <c r="T1640">
        <v>0</v>
      </c>
      <c r="U1640">
        <v>5</v>
      </c>
      <c r="V1640">
        <v>5</v>
      </c>
      <c r="W1640" t="str">
        <f t="shared" ref="W1640:W1703" si="445">"zintel"</f>
        <v>zintel</v>
      </c>
    </row>
    <row r="1641" spans="1:23">
      <c r="A1641" t="str">
        <f t="shared" si="441"/>
        <v>JM-CMPL-ELEC</v>
      </c>
      <c r="B1641" t="str">
        <f>"26-E024-0000"</f>
        <v>26-E024-0000</v>
      </c>
      <c r="C1641" t="str">
        <f>"Assembly, JM, E024, Solid State Starter Panel"</f>
        <v>Assembly, JM, E024, Solid State Starter Panel</v>
      </c>
      <c r="D1641">
        <v>2</v>
      </c>
      <c r="E1641" t="str">
        <f t="shared" si="442"/>
        <v>Complete Industrial Electronics Program</v>
      </c>
      <c r="F1641">
        <v>0</v>
      </c>
      <c r="G1641" t="str">
        <f t="shared" si="439"/>
        <v>Y</v>
      </c>
      <c r="H1641" t="str">
        <f t="shared" si="444"/>
        <v>EA</v>
      </c>
      <c r="I1641">
        <v>0</v>
      </c>
      <c r="J1641">
        <v>0</v>
      </c>
      <c r="K1641" t="str">
        <f t="shared" si="440"/>
        <v>Y</v>
      </c>
      <c r="L1641">
        <v>0</v>
      </c>
      <c r="M1641" t="str">
        <f t="shared" si="438"/>
        <v>NIS</v>
      </c>
      <c r="O1641">
        <v>59</v>
      </c>
      <c r="P1641" t="str">
        <f>"ECO-N2Buy"</f>
        <v>ECO-N2Buy</v>
      </c>
      <c r="Q1641" t="str">
        <f>"Assembly, JM, E024, Solid State Starter Panel"</f>
        <v>Assembly, JM, E024, Solid State Starter Panel</v>
      </c>
      <c r="S1641" t="str">
        <f>"Assembly, JM, E024, Solid State Starter Panel"</f>
        <v>Assembly, JM, E024, Solid State Starter Panel</v>
      </c>
      <c r="T1641">
        <v>492.42</v>
      </c>
      <c r="U1641">
        <v>489</v>
      </c>
      <c r="V1641">
        <v>705.69</v>
      </c>
      <c r="W1641" t="str">
        <f t="shared" si="445"/>
        <v>zintel</v>
      </c>
    </row>
    <row r="1642" spans="1:23">
      <c r="A1642" t="str">
        <f t="shared" si="441"/>
        <v>JM-CMPL-ELEC</v>
      </c>
      <c r="B1642" t="str">
        <f>"36-EA11-IG01"</f>
        <v>36-EA11-IG01</v>
      </c>
      <c r="C1642" t="str">
        <f>"JM, PDF on CD Solid State Voltage Starter - EA11"</f>
        <v>JM, PDF on CD Solid State Voltage Starter - EA11</v>
      </c>
      <c r="D1642">
        <v>1</v>
      </c>
      <c r="E1642" t="str">
        <f t="shared" si="442"/>
        <v>Complete Industrial Electronics Program</v>
      </c>
      <c r="F1642">
        <v>0</v>
      </c>
      <c r="G1642" t="str">
        <f t="shared" si="439"/>
        <v>Y</v>
      </c>
      <c r="H1642" t="str">
        <f t="shared" si="444"/>
        <v>EA</v>
      </c>
      <c r="I1642">
        <v>0</v>
      </c>
      <c r="J1642">
        <v>0</v>
      </c>
      <c r="K1642" t="str">
        <f t="shared" si="440"/>
        <v>Y</v>
      </c>
      <c r="L1642">
        <v>0</v>
      </c>
      <c r="M1642" t="str">
        <f t="shared" si="438"/>
        <v>NIS</v>
      </c>
      <c r="O1642">
        <v>60</v>
      </c>
      <c r="P1642" t="str">
        <f t="shared" ref="P1642:P1673" si="446">"Active"</f>
        <v>Active</v>
      </c>
      <c r="Q1642" t="str">
        <f>"JM, PDF on CD Solid State Voltage Starter - EA11"</f>
        <v>JM, PDF on CD Solid State Voltage Starter - EA11</v>
      </c>
      <c r="S1642" t="str">
        <f>"JM, PDF on CD Solid State Voltage Starter - EA11"</f>
        <v>JM, PDF on CD Solid State Voltage Starter - EA11</v>
      </c>
      <c r="T1642">
        <v>10.3</v>
      </c>
      <c r="U1642">
        <v>10.3</v>
      </c>
      <c r="V1642">
        <v>11.43</v>
      </c>
      <c r="W1642" t="str">
        <f t="shared" si="445"/>
        <v>zintel</v>
      </c>
    </row>
    <row r="1643" spans="1:23">
      <c r="A1643" t="str">
        <f t="shared" si="441"/>
        <v>JM-CMPL-ELEC</v>
      </c>
      <c r="B1643" t="str">
        <f>"77-EA09-0000"</f>
        <v>77-EA09-0000</v>
      </c>
      <c r="C1643" t="str">
        <f>"LM7 Content, JM, Pilot Devices"</f>
        <v>LM7 Content, JM, Pilot Devices</v>
      </c>
      <c r="D1643">
        <v>1</v>
      </c>
      <c r="E1643" t="str">
        <f t="shared" si="442"/>
        <v>Complete Industrial Electronics Program</v>
      </c>
      <c r="F1643">
        <v>0</v>
      </c>
      <c r="G1643" t="str">
        <f t="shared" si="439"/>
        <v>Y</v>
      </c>
      <c r="H1643" t="str">
        <f t="shared" si="444"/>
        <v>EA</v>
      </c>
      <c r="I1643">
        <v>0</v>
      </c>
      <c r="J1643">
        <v>0</v>
      </c>
      <c r="K1643" t="str">
        <f t="shared" si="440"/>
        <v>Y</v>
      </c>
      <c r="L1643">
        <v>0</v>
      </c>
      <c r="M1643" t="str">
        <f t="shared" si="438"/>
        <v>NIS</v>
      </c>
      <c r="O1643">
        <v>61</v>
      </c>
      <c r="P1643" t="str">
        <f t="shared" si="446"/>
        <v>Active</v>
      </c>
      <c r="Q1643" t="str">
        <f>"LM7 Content, JM, Pilot Devices"</f>
        <v>LM7 Content, JM, Pilot Devices</v>
      </c>
      <c r="S1643" t="str">
        <f>"LM7 Content, JM, Pilot Devices"</f>
        <v>LM7 Content, JM, Pilot Devices</v>
      </c>
      <c r="T1643">
        <v>0</v>
      </c>
      <c r="U1643">
        <v>5</v>
      </c>
      <c r="V1643">
        <v>5</v>
      </c>
      <c r="W1643" t="str">
        <f t="shared" si="445"/>
        <v>zintel</v>
      </c>
    </row>
    <row r="1644" spans="1:23">
      <c r="A1644" t="str">
        <f t="shared" si="441"/>
        <v>JM-CMPL-ELEC</v>
      </c>
      <c r="B1644" t="str">
        <f>"26-E011-0000"</f>
        <v>26-E011-0000</v>
      </c>
      <c r="C1644" t="str">
        <f>"Assembly, JM, E011, Limit Switch Panel"</f>
        <v>Assembly, JM, E011, Limit Switch Panel</v>
      </c>
      <c r="D1644">
        <v>2</v>
      </c>
      <c r="E1644" t="str">
        <f t="shared" si="442"/>
        <v>Complete Industrial Electronics Program</v>
      </c>
      <c r="F1644">
        <v>0</v>
      </c>
      <c r="G1644" t="str">
        <f t="shared" si="439"/>
        <v>Y</v>
      </c>
      <c r="H1644" t="str">
        <f t="shared" si="444"/>
        <v>EA</v>
      </c>
      <c r="I1644">
        <v>0</v>
      </c>
      <c r="J1644">
        <v>0</v>
      </c>
      <c r="K1644" t="str">
        <f t="shared" si="440"/>
        <v>Y</v>
      </c>
      <c r="L1644">
        <v>0</v>
      </c>
      <c r="M1644" t="str">
        <f t="shared" si="438"/>
        <v>NIS</v>
      </c>
      <c r="O1644">
        <v>62</v>
      </c>
      <c r="P1644" t="str">
        <f t="shared" si="446"/>
        <v>Active</v>
      </c>
      <c r="Q1644" t="str">
        <f>"Assembly, JM, E011, Limit Switch Panel"</f>
        <v>Assembly, JM, E011, Limit Switch Panel</v>
      </c>
      <c r="S1644" t="str">
        <f>"Assembly, JM, E011, Limit Switch Panel"</f>
        <v>Assembly, JM, E011, Limit Switch Panel</v>
      </c>
      <c r="T1644">
        <v>188.08</v>
      </c>
      <c r="U1644">
        <v>188</v>
      </c>
      <c r="V1644">
        <v>269.41000000000003</v>
      </c>
      <c r="W1644" t="str">
        <f t="shared" si="445"/>
        <v>zintel</v>
      </c>
    </row>
    <row r="1645" spans="1:23">
      <c r="A1645" t="str">
        <f t="shared" si="441"/>
        <v>JM-CMPL-ELEC</v>
      </c>
      <c r="B1645" t="str">
        <f>"26-E018-0000"</f>
        <v>26-E018-0000</v>
      </c>
      <c r="C1645" t="str">
        <f>"Assembly, JM, E018, Liquid Level and Pressure"</f>
        <v>Assembly, JM, E018, Liquid Level and Pressure</v>
      </c>
      <c r="D1645">
        <v>2</v>
      </c>
      <c r="E1645" t="str">
        <f t="shared" si="442"/>
        <v>Complete Industrial Electronics Program</v>
      </c>
      <c r="F1645">
        <v>0</v>
      </c>
      <c r="G1645" t="str">
        <f t="shared" si="439"/>
        <v>Y</v>
      </c>
      <c r="H1645" t="str">
        <f t="shared" si="444"/>
        <v>EA</v>
      </c>
      <c r="I1645">
        <v>0</v>
      </c>
      <c r="J1645">
        <v>0</v>
      </c>
      <c r="K1645" t="str">
        <f t="shared" si="440"/>
        <v>Y</v>
      </c>
      <c r="L1645">
        <v>0</v>
      </c>
      <c r="M1645" t="str">
        <f t="shared" si="438"/>
        <v>NIS</v>
      </c>
      <c r="O1645">
        <v>63</v>
      </c>
      <c r="P1645" t="str">
        <f t="shared" si="446"/>
        <v>Active</v>
      </c>
      <c r="Q1645" t="str">
        <f>"Assembly, JM, E018, Liquid Level and Pressure"</f>
        <v>Assembly, JM, E018, Liquid Level and Pressure</v>
      </c>
      <c r="S1645" t="str">
        <f>"Assembly, JM, E018, Liquid Level and Pressure"</f>
        <v>Assembly, JM, E018, Liquid Level and Pressure</v>
      </c>
      <c r="T1645">
        <v>451.57</v>
      </c>
      <c r="U1645">
        <v>450</v>
      </c>
      <c r="V1645">
        <v>476.25</v>
      </c>
      <c r="W1645" t="str">
        <f t="shared" si="445"/>
        <v>zintel</v>
      </c>
    </row>
    <row r="1646" spans="1:23">
      <c r="A1646" t="str">
        <f t="shared" si="441"/>
        <v>JM-CMPL-ELEC</v>
      </c>
      <c r="B1646" t="str">
        <f>"26-E126-0000"</f>
        <v>26-E126-0000</v>
      </c>
      <c r="C1646" t="str">
        <f>"Assembly, JM, E126, Photo, Mag, &amp; Prox Panel"</f>
        <v>Assembly, JM, E126, Photo, Mag, &amp; Prox Panel</v>
      </c>
      <c r="D1646">
        <v>2</v>
      </c>
      <c r="E1646" t="str">
        <f t="shared" si="442"/>
        <v>Complete Industrial Electronics Program</v>
      </c>
      <c r="F1646">
        <v>0</v>
      </c>
      <c r="G1646" t="str">
        <f t="shared" si="439"/>
        <v>Y</v>
      </c>
      <c r="H1646" t="str">
        <f t="shared" si="444"/>
        <v>EA</v>
      </c>
      <c r="I1646">
        <v>0</v>
      </c>
      <c r="J1646">
        <v>0</v>
      </c>
      <c r="K1646" t="str">
        <f t="shared" si="440"/>
        <v>Y</v>
      </c>
      <c r="L1646">
        <v>0</v>
      </c>
      <c r="M1646" t="str">
        <f t="shared" si="438"/>
        <v>NIS</v>
      </c>
      <c r="O1646">
        <v>64</v>
      </c>
      <c r="P1646" t="str">
        <f t="shared" si="446"/>
        <v>Active</v>
      </c>
      <c r="Q1646" t="str">
        <f>"Assembly, JM, E126, Photo, Mag, &amp; Prox Panel"</f>
        <v>Assembly, JM, E126, Photo, Mag, &amp; Prox Panel</v>
      </c>
      <c r="S1646" t="str">
        <f>"Assembly, JM, E126, Photo, Mag, &amp; Prox Panel"</f>
        <v>Assembly, JM, E126, Photo, Mag, &amp; Prox Panel</v>
      </c>
      <c r="T1646">
        <v>798.95</v>
      </c>
      <c r="U1646">
        <v>760</v>
      </c>
      <c r="V1646" s="44">
        <v>1075.9000000000001</v>
      </c>
      <c r="W1646" t="str">
        <f t="shared" si="445"/>
        <v>zintel</v>
      </c>
    </row>
    <row r="1647" spans="1:23">
      <c r="A1647" t="str">
        <f t="shared" ref="A1647:A1678" si="447">"JM-CMPL-ELEC"</f>
        <v>JM-CMPL-ELEC</v>
      </c>
      <c r="B1647" t="str">
        <f>"26-E153-0000"</f>
        <v>26-E153-0000</v>
      </c>
      <c r="C1647" t="str">
        <f>"Assembly, JM, E153, AC/DC Circuits"</f>
        <v>Assembly, JM, E153, AC/DC Circuits</v>
      </c>
      <c r="D1647">
        <v>2</v>
      </c>
      <c r="E1647" t="str">
        <f t="shared" ref="E1647:E1678" si="448">"Complete Industrial Electronics Program"</f>
        <v>Complete Industrial Electronics Program</v>
      </c>
      <c r="F1647">
        <v>0</v>
      </c>
      <c r="G1647" t="str">
        <f t="shared" si="439"/>
        <v>Y</v>
      </c>
      <c r="H1647" t="str">
        <f t="shared" si="444"/>
        <v>EA</v>
      </c>
      <c r="I1647">
        <v>0</v>
      </c>
      <c r="J1647">
        <v>0</v>
      </c>
      <c r="K1647" t="str">
        <f t="shared" si="440"/>
        <v>Y</v>
      </c>
      <c r="L1647">
        <v>0</v>
      </c>
      <c r="M1647" t="str">
        <f t="shared" si="438"/>
        <v>NIS</v>
      </c>
      <c r="N1647" t="str">
        <f>"Y"</f>
        <v>Y</v>
      </c>
      <c r="O1647">
        <v>65</v>
      </c>
      <c r="P1647" t="str">
        <f t="shared" si="446"/>
        <v>Active</v>
      </c>
      <c r="Q1647" t="str">
        <f>"Assembly, JM, E153, AC/DC Circuits"</f>
        <v>Assembly, JM, E153, AC/DC Circuits</v>
      </c>
      <c r="S1647" t="str">
        <f>"Assembly, JM, E153, AC/DC Circuits"</f>
        <v>Assembly, JM, E153, AC/DC Circuits</v>
      </c>
      <c r="T1647">
        <v>133.96</v>
      </c>
      <c r="U1647">
        <v>130</v>
      </c>
      <c r="V1647">
        <v>293.45999999999998</v>
      </c>
      <c r="W1647" t="str">
        <f t="shared" si="445"/>
        <v>zintel</v>
      </c>
    </row>
    <row r="1648" spans="1:23">
      <c r="A1648" t="str">
        <f t="shared" si="447"/>
        <v>JM-CMPL-ELEC</v>
      </c>
      <c r="B1648" t="str">
        <f>"36-EA09-IG01"</f>
        <v>36-EA09-IG01</v>
      </c>
      <c r="C1648" t="str">
        <f>"JM, PDF on CD Sensors - EA09"</f>
        <v>JM, PDF on CD Sensors - EA09</v>
      </c>
      <c r="D1648">
        <v>1</v>
      </c>
      <c r="E1648" t="str">
        <f t="shared" si="448"/>
        <v>Complete Industrial Electronics Program</v>
      </c>
      <c r="F1648">
        <v>0</v>
      </c>
      <c r="G1648" t="str">
        <f t="shared" si="439"/>
        <v>Y</v>
      </c>
      <c r="H1648" t="str">
        <f t="shared" si="444"/>
        <v>EA</v>
      </c>
      <c r="I1648">
        <v>0</v>
      </c>
      <c r="J1648">
        <v>0</v>
      </c>
      <c r="K1648" t="str">
        <f t="shared" si="440"/>
        <v>Y</v>
      </c>
      <c r="L1648">
        <v>0</v>
      </c>
      <c r="M1648" t="str">
        <f t="shared" si="438"/>
        <v>NIS</v>
      </c>
      <c r="O1648">
        <v>66</v>
      </c>
      <c r="P1648" t="str">
        <f t="shared" si="446"/>
        <v>Active</v>
      </c>
      <c r="Q1648" t="str">
        <f>"JM, PDF on CD Sensors - EA09"</f>
        <v>JM, PDF on CD Sensors - EA09</v>
      </c>
      <c r="S1648" t="str">
        <f>"JM, PDF on CD Sensors - EA09"</f>
        <v>JM, PDF on CD Sensors - EA09</v>
      </c>
      <c r="T1648">
        <v>10.3</v>
      </c>
      <c r="U1648">
        <v>10.3</v>
      </c>
      <c r="V1648">
        <v>11.43</v>
      </c>
      <c r="W1648" t="str">
        <f t="shared" si="445"/>
        <v>zintel</v>
      </c>
    </row>
    <row r="1649" spans="1:23">
      <c r="A1649" t="str">
        <f t="shared" si="447"/>
        <v>JM-CMPL-ELEC</v>
      </c>
      <c r="B1649" t="str">
        <f>"77-EA12-0000"</f>
        <v>77-EA12-0000</v>
      </c>
      <c r="C1649" t="str">
        <f>"LM7 Content, JM, Electric Motor Drives"</f>
        <v>LM7 Content, JM, Electric Motor Drives</v>
      </c>
      <c r="D1649">
        <v>1</v>
      </c>
      <c r="E1649" t="str">
        <f t="shared" si="448"/>
        <v>Complete Industrial Electronics Program</v>
      </c>
      <c r="F1649">
        <v>0</v>
      </c>
      <c r="G1649" t="str">
        <f t="shared" si="439"/>
        <v>Y</v>
      </c>
      <c r="H1649" t="str">
        <f t="shared" si="444"/>
        <v>EA</v>
      </c>
      <c r="I1649">
        <v>0</v>
      </c>
      <c r="J1649">
        <v>0</v>
      </c>
      <c r="K1649" t="str">
        <f t="shared" si="440"/>
        <v>Y</v>
      </c>
      <c r="L1649">
        <v>0</v>
      </c>
      <c r="M1649" t="str">
        <f t="shared" ref="M1649:M1712" si="449">"NIS"</f>
        <v>NIS</v>
      </c>
      <c r="O1649">
        <v>67</v>
      </c>
      <c r="P1649" t="str">
        <f t="shared" si="446"/>
        <v>Active</v>
      </c>
      <c r="Q1649" t="str">
        <f>"LM7 Content, JM, Electric Motor Drives"</f>
        <v>LM7 Content, JM, Electric Motor Drives</v>
      </c>
      <c r="S1649" t="str">
        <f>"LM7 Content, JM, Electric Motor Drives"</f>
        <v>LM7 Content, JM, Electric Motor Drives</v>
      </c>
      <c r="T1649">
        <v>0</v>
      </c>
      <c r="U1649">
        <v>5</v>
      </c>
      <c r="V1649">
        <v>5</v>
      </c>
      <c r="W1649" t="str">
        <f t="shared" si="445"/>
        <v>zintel</v>
      </c>
    </row>
    <row r="1650" spans="1:23">
      <c r="A1650" t="str">
        <f t="shared" si="447"/>
        <v>JM-CMPL-ELEC</v>
      </c>
      <c r="B1650" t="str">
        <f>"26-E067-0000"</f>
        <v>26-E067-0000</v>
      </c>
      <c r="C1650" t="str">
        <f>"Assembly, JM, E067,Varible Frequency Drive Panel"</f>
        <v>Assembly, JM, E067,Varible Frequency Drive Panel</v>
      </c>
      <c r="D1650">
        <v>2</v>
      </c>
      <c r="E1650" t="str">
        <f t="shared" si="448"/>
        <v>Complete Industrial Electronics Program</v>
      </c>
      <c r="F1650">
        <v>0</v>
      </c>
      <c r="G1650" t="str">
        <f t="shared" si="439"/>
        <v>Y</v>
      </c>
      <c r="H1650" t="str">
        <f t="shared" si="444"/>
        <v>EA</v>
      </c>
      <c r="I1650">
        <v>0</v>
      </c>
      <c r="J1650">
        <v>0</v>
      </c>
      <c r="K1650" t="str">
        <f t="shared" si="440"/>
        <v>Y</v>
      </c>
      <c r="L1650">
        <v>0</v>
      </c>
      <c r="M1650" t="str">
        <f t="shared" si="449"/>
        <v>NIS</v>
      </c>
      <c r="O1650">
        <v>68</v>
      </c>
      <c r="P1650" t="str">
        <f t="shared" si="446"/>
        <v>Active</v>
      </c>
      <c r="Q1650" t="str">
        <f>"Assembly, JM, E067,Varible Frequency Drive Panel"</f>
        <v>Assembly, JM, E067,Varible Frequency Drive Panel</v>
      </c>
      <c r="S1650" t="str">
        <f>"Assembly, JM, E067,Varible Frequency Drive Panel"</f>
        <v>Assembly, JM, E067,Varible Frequency Drive Panel</v>
      </c>
      <c r="T1650">
        <v>321.17</v>
      </c>
      <c r="U1650">
        <v>317</v>
      </c>
      <c r="V1650">
        <v>588.07000000000005</v>
      </c>
      <c r="W1650" t="str">
        <f t="shared" si="445"/>
        <v>zintel</v>
      </c>
    </row>
    <row r="1651" spans="1:23">
      <c r="A1651" t="str">
        <f t="shared" si="447"/>
        <v>JM-CMPL-ELEC</v>
      </c>
      <c r="B1651" t="str">
        <f>"36-EA12-IG01"</f>
        <v>36-EA12-IG01</v>
      </c>
      <c r="C1651" t="str">
        <f>"JM, PDF on CD Variable Frequency Drive- EA12"</f>
        <v>JM, PDF on CD Variable Frequency Drive- EA12</v>
      </c>
      <c r="D1651">
        <v>1</v>
      </c>
      <c r="E1651" t="str">
        <f t="shared" si="448"/>
        <v>Complete Industrial Electronics Program</v>
      </c>
      <c r="F1651">
        <v>0</v>
      </c>
      <c r="G1651" t="str">
        <f t="shared" si="439"/>
        <v>Y</v>
      </c>
      <c r="H1651" t="str">
        <f t="shared" si="444"/>
        <v>EA</v>
      </c>
      <c r="I1651">
        <v>0</v>
      </c>
      <c r="J1651">
        <v>0</v>
      </c>
      <c r="K1651" t="str">
        <f t="shared" si="440"/>
        <v>Y</v>
      </c>
      <c r="L1651">
        <v>0</v>
      </c>
      <c r="M1651" t="str">
        <f t="shared" si="449"/>
        <v>NIS</v>
      </c>
      <c r="O1651">
        <v>69</v>
      </c>
      <c r="P1651" t="str">
        <f t="shared" si="446"/>
        <v>Active</v>
      </c>
      <c r="Q1651" t="str">
        <f>"JM, PDF on CD Variable Frequency Drive- EA12"</f>
        <v>JM, PDF on CD Variable Frequency Drive- EA12</v>
      </c>
      <c r="S1651" t="str">
        <f>"JM, PDF on CD Variable Frequency Drive- EA12"</f>
        <v>JM, PDF on CD Variable Frequency Drive- EA12</v>
      </c>
      <c r="T1651">
        <v>10.3</v>
      </c>
      <c r="U1651">
        <v>10.3</v>
      </c>
      <c r="V1651">
        <v>11.43</v>
      </c>
      <c r="W1651" t="str">
        <f t="shared" si="445"/>
        <v>zintel</v>
      </c>
    </row>
    <row r="1652" spans="1:23">
      <c r="A1652" t="str">
        <f t="shared" si="447"/>
        <v>JM-CMPL-ELEC</v>
      </c>
      <c r="B1652" t="str">
        <f>"77-EA16-0000"</f>
        <v>77-EA16-0000</v>
      </c>
      <c r="C1652" t="str">
        <f>"LM7 Content, JM, DC Motor Drives"</f>
        <v>LM7 Content, JM, DC Motor Drives</v>
      </c>
      <c r="D1652">
        <v>1</v>
      </c>
      <c r="E1652" t="str">
        <f t="shared" si="448"/>
        <v>Complete Industrial Electronics Program</v>
      </c>
      <c r="F1652">
        <v>0</v>
      </c>
      <c r="G1652" t="str">
        <f t="shared" si="439"/>
        <v>Y</v>
      </c>
      <c r="H1652" t="str">
        <f t="shared" si="444"/>
        <v>EA</v>
      </c>
      <c r="I1652">
        <v>0</v>
      </c>
      <c r="J1652">
        <v>0</v>
      </c>
      <c r="K1652" t="str">
        <f t="shared" si="440"/>
        <v>Y</v>
      </c>
      <c r="L1652">
        <v>0</v>
      </c>
      <c r="M1652" t="str">
        <f t="shared" si="449"/>
        <v>NIS</v>
      </c>
      <c r="O1652">
        <v>70</v>
      </c>
      <c r="P1652" t="str">
        <f t="shared" si="446"/>
        <v>Active</v>
      </c>
      <c r="Q1652" t="str">
        <f>"LM7 Content, JM, DC Motor Drives"</f>
        <v>LM7 Content, JM, DC Motor Drives</v>
      </c>
      <c r="S1652" t="str">
        <f>"LM7 Content, JM, DC Motor Drives"</f>
        <v>LM7 Content, JM, DC Motor Drives</v>
      </c>
      <c r="T1652">
        <v>0</v>
      </c>
      <c r="U1652">
        <v>5</v>
      </c>
      <c r="V1652">
        <v>5</v>
      </c>
      <c r="W1652" t="str">
        <f t="shared" si="445"/>
        <v>zintel</v>
      </c>
    </row>
    <row r="1653" spans="1:23">
      <c r="A1653" t="str">
        <f t="shared" si="447"/>
        <v>JM-CMPL-ELEC</v>
      </c>
      <c r="B1653" t="str">
        <f>"26-E007-0000"</f>
        <v>26-E007-0000</v>
      </c>
      <c r="C1653" t="str">
        <f>"Assembly, JM, E007 - SCR Speed Control Panel"</f>
        <v>Assembly, JM, E007 - SCR Speed Control Panel</v>
      </c>
      <c r="D1653">
        <v>2</v>
      </c>
      <c r="E1653" t="str">
        <f t="shared" si="448"/>
        <v>Complete Industrial Electronics Program</v>
      </c>
      <c r="F1653">
        <v>0</v>
      </c>
      <c r="G1653" t="str">
        <f t="shared" si="439"/>
        <v>Y</v>
      </c>
      <c r="H1653" t="str">
        <f t="shared" si="444"/>
        <v>EA</v>
      </c>
      <c r="I1653">
        <v>0</v>
      </c>
      <c r="J1653">
        <v>0</v>
      </c>
      <c r="K1653" t="str">
        <f t="shared" si="440"/>
        <v>Y</v>
      </c>
      <c r="L1653">
        <v>0</v>
      </c>
      <c r="M1653" t="str">
        <f t="shared" si="449"/>
        <v>NIS</v>
      </c>
      <c r="O1653">
        <v>71</v>
      </c>
      <c r="P1653" t="str">
        <f t="shared" si="446"/>
        <v>Active</v>
      </c>
      <c r="Q1653" t="str">
        <f>"Assembly, JM, E007 - SCR Speed Control Panel"</f>
        <v>Assembly, JM, E007 - SCR Speed Control Panel</v>
      </c>
      <c r="S1653" t="str">
        <f>"Assembly, JM, E007 - SCR Speed Control Panel"</f>
        <v>Assembly, JM, E007 - SCR Speed Control Panel</v>
      </c>
      <c r="T1653">
        <v>163.16999999999999</v>
      </c>
      <c r="U1653">
        <v>163</v>
      </c>
      <c r="V1653">
        <v>315.76</v>
      </c>
      <c r="W1653" t="str">
        <f t="shared" si="445"/>
        <v>zintel</v>
      </c>
    </row>
    <row r="1654" spans="1:23">
      <c r="A1654" t="str">
        <f t="shared" si="447"/>
        <v>JM-CMPL-ELEC</v>
      </c>
      <c r="B1654" t="str">
        <f>"26-E025-0000"</f>
        <v>26-E025-0000</v>
      </c>
      <c r="C1654" t="str">
        <f>"Assembly, JM, E025 F-O-R Switch Panel"</f>
        <v>Assembly, JM, E025 F-O-R Switch Panel</v>
      </c>
      <c r="D1654">
        <v>2</v>
      </c>
      <c r="E1654" t="str">
        <f t="shared" si="448"/>
        <v>Complete Industrial Electronics Program</v>
      </c>
      <c r="F1654">
        <v>0</v>
      </c>
      <c r="G1654" t="str">
        <f t="shared" si="439"/>
        <v>Y</v>
      </c>
      <c r="H1654" t="str">
        <f t="shared" si="444"/>
        <v>EA</v>
      </c>
      <c r="I1654">
        <v>0</v>
      </c>
      <c r="J1654">
        <v>0</v>
      </c>
      <c r="K1654" t="str">
        <f t="shared" si="440"/>
        <v>Y</v>
      </c>
      <c r="L1654">
        <v>0</v>
      </c>
      <c r="M1654" t="str">
        <f t="shared" si="449"/>
        <v>NIS</v>
      </c>
      <c r="O1654">
        <v>72</v>
      </c>
      <c r="P1654" t="str">
        <f t="shared" si="446"/>
        <v>Active</v>
      </c>
      <c r="Q1654" t="str">
        <f>"Assembly, JM, E025 F-O-R Switch Panel"</f>
        <v>Assembly, JM, E025 F-O-R Switch Panel</v>
      </c>
      <c r="S1654" t="str">
        <f>"Assembly, JM, E025 F-O-R Switch Panel"</f>
        <v>Assembly, JM, E025 F-O-R Switch Panel</v>
      </c>
      <c r="T1654">
        <v>108.83</v>
      </c>
      <c r="U1654">
        <v>108</v>
      </c>
      <c r="V1654">
        <v>390.23</v>
      </c>
      <c r="W1654" t="str">
        <f t="shared" si="445"/>
        <v>zintel</v>
      </c>
    </row>
    <row r="1655" spans="1:23">
      <c r="A1655" t="str">
        <f t="shared" si="447"/>
        <v>JM-CMPL-ELEC</v>
      </c>
      <c r="B1655" t="str">
        <f>"26-E034-0000"</f>
        <v>26-E034-0000</v>
      </c>
      <c r="C1655" t="str">
        <f>"Assembly, JM, E034, DC Motor Panel"</f>
        <v>Assembly, JM, E034, DC Motor Panel</v>
      </c>
      <c r="D1655">
        <v>1</v>
      </c>
      <c r="E1655" t="str">
        <f t="shared" si="448"/>
        <v>Complete Industrial Electronics Program</v>
      </c>
      <c r="F1655">
        <v>0</v>
      </c>
      <c r="G1655" t="str">
        <f t="shared" si="439"/>
        <v>Y</v>
      </c>
      <c r="H1655" t="str">
        <f t="shared" si="444"/>
        <v>EA</v>
      </c>
      <c r="I1655">
        <v>0</v>
      </c>
      <c r="J1655">
        <v>0</v>
      </c>
      <c r="K1655" t="str">
        <f t="shared" si="440"/>
        <v>Y</v>
      </c>
      <c r="L1655">
        <v>0</v>
      </c>
      <c r="M1655" t="str">
        <f t="shared" si="449"/>
        <v>NIS</v>
      </c>
      <c r="N1655" t="str">
        <f>"Y"</f>
        <v>Y</v>
      </c>
      <c r="O1655">
        <v>73</v>
      </c>
      <c r="P1655" t="str">
        <f t="shared" si="446"/>
        <v>Active</v>
      </c>
      <c r="Q1655" t="str">
        <f>"Assembly, JM, E034, DC Motor Panel"</f>
        <v>Assembly, JM, E034, DC Motor Panel</v>
      </c>
      <c r="S1655" t="str">
        <f>"Assembly, JM, E034, DC Motor Panel"</f>
        <v>Assembly, JM, E034, DC Motor Panel</v>
      </c>
      <c r="T1655">
        <v>304.44</v>
      </c>
      <c r="U1655">
        <v>305</v>
      </c>
      <c r="V1655">
        <v>504.64</v>
      </c>
      <c r="W1655" t="str">
        <f t="shared" si="445"/>
        <v>zintel</v>
      </c>
    </row>
    <row r="1656" spans="1:23">
      <c r="A1656" t="str">
        <f t="shared" si="447"/>
        <v>JM-CMPL-ELEC</v>
      </c>
      <c r="B1656" t="str">
        <f>"26-E038-0000"</f>
        <v>26-E038-0000</v>
      </c>
      <c r="C1656" t="str">
        <f>"Assembly, JM, E038, PWM Speed Control Panel"</f>
        <v>Assembly, JM, E038, PWM Speed Control Panel</v>
      </c>
      <c r="D1656">
        <v>2</v>
      </c>
      <c r="E1656" t="str">
        <f t="shared" si="448"/>
        <v>Complete Industrial Electronics Program</v>
      </c>
      <c r="F1656">
        <v>0</v>
      </c>
      <c r="G1656" t="str">
        <f t="shared" si="439"/>
        <v>Y</v>
      </c>
      <c r="H1656" t="str">
        <f t="shared" si="444"/>
        <v>EA</v>
      </c>
      <c r="I1656">
        <v>0</v>
      </c>
      <c r="J1656">
        <v>0</v>
      </c>
      <c r="K1656" t="str">
        <f t="shared" si="440"/>
        <v>Y</v>
      </c>
      <c r="L1656">
        <v>0</v>
      </c>
      <c r="M1656" t="str">
        <f t="shared" si="449"/>
        <v>NIS</v>
      </c>
      <c r="O1656">
        <v>74</v>
      </c>
      <c r="P1656" t="str">
        <f t="shared" si="446"/>
        <v>Active</v>
      </c>
      <c r="Q1656" t="str">
        <f>"Assembly, JM, E038, PWM Speed Control Panel"</f>
        <v>Assembly, JM, E038, PWM Speed Control Panel</v>
      </c>
      <c r="S1656" t="str">
        <f>"Assembly, JM, E038, PWM Speed Control Panel"</f>
        <v>Assembly, JM, E038, PWM Speed Control Panel</v>
      </c>
      <c r="T1656">
        <v>254.87</v>
      </c>
      <c r="U1656">
        <v>255</v>
      </c>
      <c r="V1656">
        <v>602.52</v>
      </c>
      <c r="W1656" t="str">
        <f t="shared" si="445"/>
        <v>zintel</v>
      </c>
    </row>
    <row r="1657" spans="1:23">
      <c r="A1657" t="str">
        <f t="shared" si="447"/>
        <v>JM-CMPL-ELEC</v>
      </c>
      <c r="B1657" t="str">
        <f>"26-E048-0000"</f>
        <v>26-E048-0000</v>
      </c>
      <c r="C1657" t="str">
        <f>"Assembly, JM, E048 Inertial Load Panel"</f>
        <v>Assembly, JM, E048 Inertial Load Panel</v>
      </c>
      <c r="D1657">
        <v>2</v>
      </c>
      <c r="E1657" t="str">
        <f t="shared" si="448"/>
        <v>Complete Industrial Electronics Program</v>
      </c>
      <c r="F1657">
        <v>0</v>
      </c>
      <c r="G1657" t="str">
        <f t="shared" si="439"/>
        <v>Y</v>
      </c>
      <c r="H1657" t="str">
        <f t="shared" si="444"/>
        <v>EA</v>
      </c>
      <c r="I1657">
        <v>0</v>
      </c>
      <c r="J1657">
        <v>0</v>
      </c>
      <c r="K1657" t="str">
        <f t="shared" si="440"/>
        <v>Y</v>
      </c>
      <c r="L1657">
        <v>0</v>
      </c>
      <c r="M1657" t="str">
        <f t="shared" si="449"/>
        <v>NIS</v>
      </c>
      <c r="O1657">
        <v>75</v>
      </c>
      <c r="P1657" t="str">
        <f t="shared" si="446"/>
        <v>Active</v>
      </c>
      <c r="Q1657" t="str">
        <f>"Assembly, JM, E048 Inertial Load Panel"</f>
        <v>Assembly, JM, E048 Inertial Load Panel</v>
      </c>
      <c r="S1657" t="str">
        <f>"Assembly, JM, E048 Inertial Load Panel"</f>
        <v>Assembly, JM, E048 Inertial Load Panel</v>
      </c>
      <c r="T1657">
        <v>179.91</v>
      </c>
      <c r="U1657">
        <v>207</v>
      </c>
      <c r="V1657">
        <v>293.45999999999998</v>
      </c>
      <c r="W1657" t="str">
        <f t="shared" si="445"/>
        <v>zintel</v>
      </c>
    </row>
    <row r="1658" spans="1:23">
      <c r="A1658" t="str">
        <f t="shared" si="447"/>
        <v>JM-CMPL-ELEC</v>
      </c>
      <c r="B1658" t="str">
        <f>"26-E071-0000"</f>
        <v>26-E071-0000</v>
      </c>
      <c r="C1658" t="str">
        <f>"Assembly, JM, E071 Regenerative SCR Drive Panel"</f>
        <v>Assembly, JM, E071 Regenerative SCR Drive Panel</v>
      </c>
      <c r="D1658">
        <v>2</v>
      </c>
      <c r="E1658" t="str">
        <f t="shared" si="448"/>
        <v>Complete Industrial Electronics Program</v>
      </c>
      <c r="F1658">
        <v>0</v>
      </c>
      <c r="G1658" t="str">
        <f t="shared" si="439"/>
        <v>Y</v>
      </c>
      <c r="H1658" t="str">
        <f t="shared" si="444"/>
        <v>EA</v>
      </c>
      <c r="I1658">
        <v>0</v>
      </c>
      <c r="J1658">
        <v>0</v>
      </c>
      <c r="K1658" t="str">
        <f t="shared" si="440"/>
        <v>Y</v>
      </c>
      <c r="L1658">
        <v>0</v>
      </c>
      <c r="M1658" t="str">
        <f t="shared" si="449"/>
        <v>NIS</v>
      </c>
      <c r="O1658">
        <v>76</v>
      </c>
      <c r="P1658" t="str">
        <f t="shared" si="446"/>
        <v>Active</v>
      </c>
      <c r="Q1658" t="str">
        <f>"Assembly, JM, E071 Regenerative SCR Drive Panel"</f>
        <v>Assembly, JM, E071 Regenerative SCR Drive Panel</v>
      </c>
      <c r="S1658" t="str">
        <f>"Assembly, JM, E071 Regenerative SCR Drive Panel"</f>
        <v>Assembly, JM, E071 Regenerative SCR Drive Panel</v>
      </c>
      <c r="T1658">
        <v>371.1</v>
      </c>
      <c r="U1658">
        <v>370</v>
      </c>
      <c r="V1658">
        <v>641.86</v>
      </c>
      <c r="W1658" t="str">
        <f t="shared" si="445"/>
        <v>zintel</v>
      </c>
    </row>
    <row r="1659" spans="1:23">
      <c r="A1659" t="str">
        <f t="shared" si="447"/>
        <v>JM-CMPL-ELEC</v>
      </c>
      <c r="B1659" t="str">
        <f>"36-EA16-IG01"</f>
        <v>36-EA16-IG01</v>
      </c>
      <c r="C1659" t="str">
        <f>"JM, PDF on CD DC Motor Drives - EA16"</f>
        <v>JM, PDF on CD DC Motor Drives - EA16</v>
      </c>
      <c r="D1659">
        <v>1</v>
      </c>
      <c r="E1659" t="str">
        <f t="shared" si="448"/>
        <v>Complete Industrial Electronics Program</v>
      </c>
      <c r="F1659">
        <v>0</v>
      </c>
      <c r="G1659" t="str">
        <f t="shared" si="439"/>
        <v>Y</v>
      </c>
      <c r="H1659" t="str">
        <f t="shared" si="444"/>
        <v>EA</v>
      </c>
      <c r="I1659">
        <v>0</v>
      </c>
      <c r="J1659">
        <v>0</v>
      </c>
      <c r="K1659" t="str">
        <f t="shared" si="440"/>
        <v>Y</v>
      </c>
      <c r="L1659">
        <v>0</v>
      </c>
      <c r="M1659" t="str">
        <f t="shared" si="449"/>
        <v>NIS</v>
      </c>
      <c r="O1659">
        <v>77</v>
      </c>
      <c r="P1659" t="str">
        <f t="shared" si="446"/>
        <v>Active</v>
      </c>
      <c r="Q1659" t="str">
        <f>"JM, PDF on CD DC Motor Drives - EA16"</f>
        <v>JM, PDF on CD DC Motor Drives - EA16</v>
      </c>
      <c r="S1659" t="str">
        <f>"JM, PDF on CD DC Motor Drives - EA16"</f>
        <v>JM, PDF on CD DC Motor Drives - EA16</v>
      </c>
      <c r="T1659">
        <v>10.3</v>
      </c>
      <c r="U1659">
        <v>10.3</v>
      </c>
      <c r="V1659">
        <v>11.43</v>
      </c>
      <c r="W1659" t="str">
        <f t="shared" si="445"/>
        <v>zintel</v>
      </c>
    </row>
    <row r="1660" spans="1:23">
      <c r="A1660" t="str">
        <f t="shared" si="447"/>
        <v>JM-CMPL-ELEC</v>
      </c>
      <c r="B1660" t="str">
        <f>"10-PPSU-0001"</f>
        <v>10-PPSU-0001</v>
      </c>
      <c r="C1660" t="str">
        <f>"JM, Portable Panel Storage Unit"</f>
        <v>JM, Portable Panel Storage Unit</v>
      </c>
      <c r="D1660">
        <v>2</v>
      </c>
      <c r="E1660" t="str">
        <f t="shared" si="448"/>
        <v>Complete Industrial Electronics Program</v>
      </c>
      <c r="F1660">
        <v>0</v>
      </c>
      <c r="G1660" t="str">
        <f t="shared" si="439"/>
        <v>Y</v>
      </c>
      <c r="H1660" t="str">
        <f t="shared" si="444"/>
        <v>EA</v>
      </c>
      <c r="I1660">
        <v>0</v>
      </c>
      <c r="J1660">
        <v>0</v>
      </c>
      <c r="K1660" t="str">
        <f t="shared" si="440"/>
        <v>Y</v>
      </c>
      <c r="L1660">
        <v>0</v>
      </c>
      <c r="M1660" t="str">
        <f t="shared" si="449"/>
        <v>NIS</v>
      </c>
      <c r="O1660">
        <v>78</v>
      </c>
      <c r="P1660" t="str">
        <f t="shared" si="446"/>
        <v>Active</v>
      </c>
      <c r="Q1660" t="str">
        <f>"JM, Portable Panel Storage Unit"</f>
        <v>JM, Portable Panel Storage Unit</v>
      </c>
      <c r="S1660" t="str">
        <f>"JM, Portable Panel Storage Unit"</f>
        <v>JM, Portable Panel Storage Unit</v>
      </c>
      <c r="T1660">
        <v>889.25</v>
      </c>
      <c r="U1660">
        <v>961.88</v>
      </c>
      <c r="V1660">
        <v>978.6</v>
      </c>
      <c r="W1660" t="str">
        <f t="shared" si="445"/>
        <v>zintel</v>
      </c>
    </row>
    <row r="1661" spans="1:23">
      <c r="A1661" t="str">
        <f t="shared" si="447"/>
        <v>JM-CMPL-ELEC</v>
      </c>
      <c r="B1661" t="str">
        <f>"77-EB01A-0000"</f>
        <v>77-EB01A-0000</v>
      </c>
      <c r="C1661" t="str">
        <f>"LM7 Content, JM, Oscilloscope"</f>
        <v>LM7 Content, JM, Oscilloscope</v>
      </c>
      <c r="D1661">
        <v>1</v>
      </c>
      <c r="E1661" t="str">
        <f t="shared" si="448"/>
        <v>Complete Industrial Electronics Program</v>
      </c>
      <c r="F1661">
        <v>0</v>
      </c>
      <c r="G1661" t="str">
        <f t="shared" si="439"/>
        <v>Y</v>
      </c>
      <c r="H1661" t="str">
        <f t="shared" si="444"/>
        <v>EA</v>
      </c>
      <c r="I1661">
        <v>0</v>
      </c>
      <c r="J1661">
        <v>0</v>
      </c>
      <c r="K1661" t="str">
        <f t="shared" si="440"/>
        <v>Y</v>
      </c>
      <c r="L1661">
        <v>0</v>
      </c>
      <c r="M1661" t="str">
        <f t="shared" si="449"/>
        <v>NIS</v>
      </c>
      <c r="O1661">
        <v>79</v>
      </c>
      <c r="P1661" t="str">
        <f t="shared" si="446"/>
        <v>Active</v>
      </c>
      <c r="Q1661" t="str">
        <f>"LM7 Content, JM, Oscilloscope"</f>
        <v>LM7 Content, JM, Oscilloscope</v>
      </c>
      <c r="S1661" t="str">
        <f>"LM7 Content, JM, Oscilloscope"</f>
        <v>LM7 Content, JM, Oscilloscope</v>
      </c>
      <c r="T1661">
        <v>0</v>
      </c>
      <c r="U1661">
        <v>5</v>
      </c>
      <c r="V1661">
        <v>5</v>
      </c>
      <c r="W1661" t="str">
        <f t="shared" si="445"/>
        <v>zintel</v>
      </c>
    </row>
    <row r="1662" spans="1:23">
      <c r="A1662" t="str">
        <f t="shared" si="447"/>
        <v>JM-CMPL-ELEC</v>
      </c>
      <c r="B1662" t="str">
        <f>"26-E087-0000"</f>
        <v>26-E087-0000</v>
      </c>
      <c r="C1662" t="str">
        <f>"Assembly, JM, E087, Adjustable Power Supply"</f>
        <v>Assembly, JM, E087, Adjustable Power Supply</v>
      </c>
      <c r="D1662">
        <v>1</v>
      </c>
      <c r="E1662" t="str">
        <f t="shared" si="448"/>
        <v>Complete Industrial Electronics Program</v>
      </c>
      <c r="F1662">
        <v>0</v>
      </c>
      <c r="G1662" t="str">
        <f t="shared" si="439"/>
        <v>Y</v>
      </c>
      <c r="H1662" t="str">
        <f t="shared" si="444"/>
        <v>EA</v>
      </c>
      <c r="I1662">
        <v>0</v>
      </c>
      <c r="J1662">
        <v>0</v>
      </c>
      <c r="K1662" t="str">
        <f t="shared" si="440"/>
        <v>Y</v>
      </c>
      <c r="L1662">
        <v>0</v>
      </c>
      <c r="M1662" t="str">
        <f t="shared" si="449"/>
        <v>NIS</v>
      </c>
      <c r="N1662" t="str">
        <f>"Y"</f>
        <v>Y</v>
      </c>
      <c r="O1662">
        <v>80</v>
      </c>
      <c r="P1662" t="str">
        <f t="shared" si="446"/>
        <v>Active</v>
      </c>
      <c r="Q1662" t="str">
        <f>"Assembly, JM, E087, Adjustable Power Supply"</f>
        <v>Assembly, JM, E087, Adjustable Power Supply</v>
      </c>
      <c r="S1662" t="str">
        <f>"Assembly, JM, E087, Adjustable Power Supply"</f>
        <v>Assembly, JM, E087, Adjustable Power Supply</v>
      </c>
      <c r="T1662">
        <v>73.88</v>
      </c>
      <c r="U1662">
        <v>75</v>
      </c>
      <c r="V1662">
        <v>174.83</v>
      </c>
      <c r="W1662" t="str">
        <f t="shared" si="445"/>
        <v>zintel</v>
      </c>
    </row>
    <row r="1663" spans="1:23">
      <c r="A1663" t="str">
        <f t="shared" si="447"/>
        <v>JM-CMPL-ELEC</v>
      </c>
      <c r="B1663" t="str">
        <f>"26-E153-0000"</f>
        <v>26-E153-0000</v>
      </c>
      <c r="C1663" t="str">
        <f>"Assembly, JM, E153, AC/DC Circuits"</f>
        <v>Assembly, JM, E153, AC/DC Circuits</v>
      </c>
      <c r="D1663">
        <v>2</v>
      </c>
      <c r="E1663" t="str">
        <f t="shared" si="448"/>
        <v>Complete Industrial Electronics Program</v>
      </c>
      <c r="F1663">
        <v>0</v>
      </c>
      <c r="G1663" t="str">
        <f t="shared" si="439"/>
        <v>Y</v>
      </c>
      <c r="H1663" t="str">
        <f t="shared" si="444"/>
        <v>EA</v>
      </c>
      <c r="I1663">
        <v>0</v>
      </c>
      <c r="J1663">
        <v>0</v>
      </c>
      <c r="K1663" t="str">
        <f t="shared" si="440"/>
        <v>Y</v>
      </c>
      <c r="L1663">
        <v>0</v>
      </c>
      <c r="M1663" t="str">
        <f t="shared" si="449"/>
        <v>NIS</v>
      </c>
      <c r="O1663">
        <v>81</v>
      </c>
      <c r="P1663" t="str">
        <f t="shared" si="446"/>
        <v>Active</v>
      </c>
      <c r="Q1663" t="str">
        <f>"Assembly, JM, E153, AC/DC Circuits"</f>
        <v>Assembly, JM, E153, AC/DC Circuits</v>
      </c>
      <c r="S1663" t="str">
        <f>"Assembly, JM, E153, AC/DC Circuits"</f>
        <v>Assembly, JM, E153, AC/DC Circuits</v>
      </c>
      <c r="T1663">
        <v>133.96</v>
      </c>
      <c r="U1663">
        <v>130</v>
      </c>
      <c r="V1663">
        <v>293.45999999999998</v>
      </c>
      <c r="W1663" t="str">
        <f t="shared" si="445"/>
        <v>zintel</v>
      </c>
    </row>
    <row r="1664" spans="1:23">
      <c r="A1664" t="str">
        <f t="shared" si="447"/>
        <v>JM-CMPL-ELEC</v>
      </c>
      <c r="B1664" t="str">
        <f>"36-8900-0003"</f>
        <v>36-8900-0003</v>
      </c>
      <c r="C1664" t="str">
        <f>"JM, Oscilloscope, 30MHz, Analog BK"</f>
        <v>JM, Oscilloscope, 30MHz, Analog BK</v>
      </c>
      <c r="D1664">
        <v>2</v>
      </c>
      <c r="E1664" t="str">
        <f t="shared" si="448"/>
        <v>Complete Industrial Electronics Program</v>
      </c>
      <c r="F1664">
        <v>0</v>
      </c>
      <c r="G1664" t="str">
        <f t="shared" si="439"/>
        <v>Y</v>
      </c>
      <c r="H1664" t="str">
        <f t="shared" si="444"/>
        <v>EA</v>
      </c>
      <c r="I1664">
        <v>0</v>
      </c>
      <c r="J1664">
        <v>0</v>
      </c>
      <c r="K1664" t="str">
        <f t="shared" si="440"/>
        <v>Y</v>
      </c>
      <c r="L1664">
        <v>0</v>
      </c>
      <c r="M1664" t="str">
        <f t="shared" si="449"/>
        <v>NIS</v>
      </c>
      <c r="O1664">
        <v>82</v>
      </c>
      <c r="P1664" t="str">
        <f t="shared" si="446"/>
        <v>Active</v>
      </c>
      <c r="Q1664" t="str">
        <f>"JM, Oscilloscope, 30MHz, Analog BK"</f>
        <v>JM, Oscilloscope, 30MHz, Analog BK</v>
      </c>
      <c r="R1664" t="str">
        <f>"1"</f>
        <v>1</v>
      </c>
      <c r="S1664" t="str">
        <f>"JM, Oscilloscope, 30MHz, Analog BK"</f>
        <v>JM, Oscilloscope, 30MHz, Analog BK</v>
      </c>
      <c r="T1664">
        <v>582.46</v>
      </c>
      <c r="U1664">
        <v>622.16</v>
      </c>
      <c r="V1664">
        <v>845.38</v>
      </c>
      <c r="W1664" t="str">
        <f t="shared" si="445"/>
        <v>zintel</v>
      </c>
    </row>
    <row r="1665" spans="1:23">
      <c r="A1665" t="str">
        <f t="shared" si="447"/>
        <v>JM-CMPL-ELEC</v>
      </c>
      <c r="B1665" t="str">
        <f>"36-EB01A-IG01"</f>
        <v>36-EB01A-IG01</v>
      </c>
      <c r="C1665" t="str">
        <f>"JM, PDF on CD Oscilloscope - EB01A"</f>
        <v>JM, PDF on CD Oscilloscope - EB01A</v>
      </c>
      <c r="D1665">
        <v>1</v>
      </c>
      <c r="E1665" t="str">
        <f t="shared" si="448"/>
        <v>Complete Industrial Electronics Program</v>
      </c>
      <c r="F1665">
        <v>0</v>
      </c>
      <c r="G1665" t="str">
        <f t="shared" si="439"/>
        <v>Y</v>
      </c>
      <c r="H1665" t="str">
        <f t="shared" si="444"/>
        <v>EA</v>
      </c>
      <c r="I1665">
        <v>0</v>
      </c>
      <c r="J1665">
        <v>0</v>
      </c>
      <c r="K1665" t="str">
        <f t="shared" si="440"/>
        <v>Y</v>
      </c>
      <c r="L1665">
        <v>0</v>
      </c>
      <c r="M1665" t="str">
        <f t="shared" si="449"/>
        <v>NIS</v>
      </c>
      <c r="O1665">
        <v>83</v>
      </c>
      <c r="P1665" t="str">
        <f t="shared" si="446"/>
        <v>Active</v>
      </c>
      <c r="Q1665" t="str">
        <f>"JM, PDF on CD Oscilloscope - EB01A"</f>
        <v>JM, PDF on CD Oscilloscope - EB01A</v>
      </c>
      <c r="S1665" t="str">
        <f>"JM, PDF on CD Oscilloscope - EB01A"</f>
        <v>JM, PDF on CD Oscilloscope - EB01A</v>
      </c>
      <c r="T1665">
        <v>10.3</v>
      </c>
      <c r="U1665">
        <v>10.3</v>
      </c>
      <c r="V1665">
        <v>11.43</v>
      </c>
      <c r="W1665" t="str">
        <f t="shared" si="445"/>
        <v>zintel</v>
      </c>
    </row>
    <row r="1666" spans="1:23">
      <c r="A1666" t="str">
        <f t="shared" si="447"/>
        <v>JM-CMPL-ELEC</v>
      </c>
      <c r="B1666" t="str">
        <f>"77-EB01B-0000"</f>
        <v>77-EB01B-0000</v>
      </c>
      <c r="C1666" t="str">
        <f>"LM7 Content, JM, Digital Multimeter"</f>
        <v>LM7 Content, JM, Digital Multimeter</v>
      </c>
      <c r="D1666">
        <v>1</v>
      </c>
      <c r="E1666" t="str">
        <f t="shared" si="448"/>
        <v>Complete Industrial Electronics Program</v>
      </c>
      <c r="F1666">
        <v>0</v>
      </c>
      <c r="G1666" t="str">
        <f t="shared" ref="G1666:G1729" si="450">"Y"</f>
        <v>Y</v>
      </c>
      <c r="H1666" t="str">
        <f t="shared" si="444"/>
        <v>EA</v>
      </c>
      <c r="I1666">
        <v>0</v>
      </c>
      <c r="J1666">
        <v>0</v>
      </c>
      <c r="K1666" t="str">
        <f t="shared" ref="K1666:K1729" si="451">"Y"</f>
        <v>Y</v>
      </c>
      <c r="L1666">
        <v>0</v>
      </c>
      <c r="M1666" t="str">
        <f t="shared" si="449"/>
        <v>NIS</v>
      </c>
      <c r="O1666">
        <v>84</v>
      </c>
      <c r="P1666" t="str">
        <f t="shared" si="446"/>
        <v>Active</v>
      </c>
      <c r="Q1666" t="str">
        <f>"LM7 Content, JM, Digital Multimeter"</f>
        <v>LM7 Content, JM, Digital Multimeter</v>
      </c>
      <c r="S1666" t="str">
        <f>"LM7 Content, JM, Digital Multimeter"</f>
        <v>LM7 Content, JM, Digital Multimeter</v>
      </c>
      <c r="T1666">
        <v>0</v>
      </c>
      <c r="U1666">
        <v>5</v>
      </c>
      <c r="V1666">
        <v>5</v>
      </c>
      <c r="W1666" t="str">
        <f t="shared" si="445"/>
        <v>zintel</v>
      </c>
    </row>
    <row r="1667" spans="1:23">
      <c r="A1667" t="str">
        <f t="shared" si="447"/>
        <v>JM-CMPL-ELEC</v>
      </c>
      <c r="B1667" t="str">
        <f>"26-E052-0000"</f>
        <v>26-E052-0000</v>
      </c>
      <c r="C1667" t="str">
        <f>"Assembly, JM, E052, Resistors Panel"</f>
        <v>Assembly, JM, E052, Resistors Panel</v>
      </c>
      <c r="D1667">
        <v>2</v>
      </c>
      <c r="E1667" t="str">
        <f t="shared" si="448"/>
        <v>Complete Industrial Electronics Program</v>
      </c>
      <c r="F1667">
        <v>0</v>
      </c>
      <c r="G1667" t="str">
        <f t="shared" si="450"/>
        <v>Y</v>
      </c>
      <c r="H1667" t="str">
        <f t="shared" si="444"/>
        <v>EA</v>
      </c>
      <c r="I1667">
        <v>0</v>
      </c>
      <c r="J1667">
        <v>0</v>
      </c>
      <c r="K1667" t="str">
        <f t="shared" si="451"/>
        <v>Y</v>
      </c>
      <c r="L1667">
        <v>0</v>
      </c>
      <c r="M1667" t="str">
        <f t="shared" si="449"/>
        <v>NIS</v>
      </c>
      <c r="O1667">
        <v>85</v>
      </c>
      <c r="P1667" t="str">
        <f t="shared" si="446"/>
        <v>Active</v>
      </c>
      <c r="Q1667" t="str">
        <f>"Assembly, JM, E052, Resistors Panel"</f>
        <v>Assembly, JM, E052, Resistors Panel</v>
      </c>
      <c r="S1667" t="str">
        <f>"Assembly, JM, E052, Resistors Panel"</f>
        <v>Assembly, JM, E052, Resistors Panel</v>
      </c>
      <c r="T1667">
        <v>116.66</v>
      </c>
      <c r="U1667">
        <v>112</v>
      </c>
      <c r="V1667">
        <v>216.4</v>
      </c>
      <c r="W1667" t="str">
        <f t="shared" si="445"/>
        <v>zintel</v>
      </c>
    </row>
    <row r="1668" spans="1:23">
      <c r="A1668" t="str">
        <f t="shared" si="447"/>
        <v>JM-CMPL-ELEC</v>
      </c>
      <c r="B1668" t="str">
        <f>"26-E055-0000"</f>
        <v>26-E055-0000</v>
      </c>
      <c r="C1668" t="str">
        <f>"Assembly, JM, E055, Filters/Capacitors Panel"</f>
        <v>Assembly, JM, E055, Filters/Capacitors Panel</v>
      </c>
      <c r="D1668">
        <v>2</v>
      </c>
      <c r="E1668" t="str">
        <f t="shared" si="448"/>
        <v>Complete Industrial Electronics Program</v>
      </c>
      <c r="F1668">
        <v>0</v>
      </c>
      <c r="G1668" t="str">
        <f t="shared" si="450"/>
        <v>Y</v>
      </c>
      <c r="H1668" t="str">
        <f t="shared" si="444"/>
        <v>EA</v>
      </c>
      <c r="I1668">
        <v>0</v>
      </c>
      <c r="J1668">
        <v>0</v>
      </c>
      <c r="K1668" t="str">
        <f t="shared" si="451"/>
        <v>Y</v>
      </c>
      <c r="L1668">
        <v>0</v>
      </c>
      <c r="M1668" t="str">
        <f t="shared" si="449"/>
        <v>NIS</v>
      </c>
      <c r="O1668">
        <v>86</v>
      </c>
      <c r="P1668" t="str">
        <f t="shared" si="446"/>
        <v>Active</v>
      </c>
      <c r="Q1668" t="str">
        <f>"Assembly, JM, E055, Filters/Capacitors Panel"</f>
        <v>Assembly, JM, E055, Filters/Capacitors Panel</v>
      </c>
      <c r="S1668" t="str">
        <f>"Assembly, JM, E055, Filters/Capacitors Panel"</f>
        <v>Assembly, JM, E055, Filters/Capacitors Panel</v>
      </c>
      <c r="T1668">
        <v>153.1</v>
      </c>
      <c r="U1668">
        <v>152.85</v>
      </c>
      <c r="V1668">
        <v>199.09</v>
      </c>
      <c r="W1668" t="str">
        <f t="shared" si="445"/>
        <v>zintel</v>
      </c>
    </row>
    <row r="1669" spans="1:23">
      <c r="A1669" t="str">
        <f t="shared" si="447"/>
        <v>JM-CMPL-ELEC</v>
      </c>
      <c r="B1669" t="str">
        <f>"36-8900-0007"</f>
        <v>36-8900-0007</v>
      </c>
      <c r="C1669" t="str">
        <f>"JM, Digital Multimeter, Fluke-115"</f>
        <v>JM, Digital Multimeter, Fluke-115</v>
      </c>
      <c r="D1669">
        <v>2</v>
      </c>
      <c r="E1669" t="str">
        <f t="shared" si="448"/>
        <v>Complete Industrial Electronics Program</v>
      </c>
      <c r="F1669">
        <v>0</v>
      </c>
      <c r="G1669" t="str">
        <f t="shared" si="450"/>
        <v>Y</v>
      </c>
      <c r="H1669" t="str">
        <f t="shared" si="444"/>
        <v>EA</v>
      </c>
      <c r="I1669">
        <v>0</v>
      </c>
      <c r="J1669">
        <v>0</v>
      </c>
      <c r="K1669" t="str">
        <f t="shared" si="451"/>
        <v>Y</v>
      </c>
      <c r="L1669">
        <v>0</v>
      </c>
      <c r="M1669" t="str">
        <f t="shared" si="449"/>
        <v>NIS</v>
      </c>
      <c r="O1669">
        <v>87</v>
      </c>
      <c r="P1669" t="str">
        <f t="shared" si="446"/>
        <v>Active</v>
      </c>
      <c r="Q1669" t="str">
        <f>"JM, Digital Multimeter, Fluke-115"</f>
        <v>JM, Digital Multimeter, Fluke-115</v>
      </c>
      <c r="R1669" t="str">
        <f>"1"</f>
        <v>1</v>
      </c>
      <c r="S1669" t="str">
        <f>"JM, Digital Multimeter, Fluke-115"</f>
        <v>JM, Digital Multimeter, Fluke-115</v>
      </c>
      <c r="T1669">
        <v>158.5</v>
      </c>
      <c r="U1669">
        <v>145</v>
      </c>
      <c r="V1669">
        <v>218.54</v>
      </c>
      <c r="W1669" t="str">
        <f t="shared" si="445"/>
        <v>zintel</v>
      </c>
    </row>
    <row r="1670" spans="1:23">
      <c r="A1670" t="str">
        <f t="shared" si="447"/>
        <v>JM-CMPL-ELEC</v>
      </c>
      <c r="B1670" t="str">
        <f>"36-EB01B-IG01"</f>
        <v>36-EB01B-IG01</v>
      </c>
      <c r="C1670" t="str">
        <f>"JM, PDF on CD Digital Multimeter - EB01B"</f>
        <v>JM, PDF on CD Digital Multimeter - EB01B</v>
      </c>
      <c r="D1670">
        <v>1</v>
      </c>
      <c r="E1670" t="str">
        <f t="shared" si="448"/>
        <v>Complete Industrial Electronics Program</v>
      </c>
      <c r="F1670">
        <v>0</v>
      </c>
      <c r="G1670" t="str">
        <f t="shared" si="450"/>
        <v>Y</v>
      </c>
      <c r="H1670" t="str">
        <f t="shared" si="444"/>
        <v>EA</v>
      </c>
      <c r="I1670">
        <v>0</v>
      </c>
      <c r="J1670">
        <v>0</v>
      </c>
      <c r="K1670" t="str">
        <f t="shared" si="451"/>
        <v>Y</v>
      </c>
      <c r="L1670">
        <v>0</v>
      </c>
      <c r="M1670" t="str">
        <f t="shared" si="449"/>
        <v>NIS</v>
      </c>
      <c r="O1670">
        <v>88</v>
      </c>
      <c r="P1670" t="str">
        <f t="shared" si="446"/>
        <v>Active</v>
      </c>
      <c r="Q1670" t="str">
        <f>"JM, PDF on CD Digital Multimeter - EB01B"</f>
        <v>JM, PDF on CD Digital Multimeter - EB01B</v>
      </c>
      <c r="S1670" t="str">
        <f>"JM, PDF on CD Digital Multimeter - EB01B"</f>
        <v>JM, PDF on CD Digital Multimeter - EB01B</v>
      </c>
      <c r="T1670">
        <v>10.3</v>
      </c>
      <c r="U1670">
        <v>10.3</v>
      </c>
      <c r="V1670">
        <v>11.43</v>
      </c>
      <c r="W1670" t="str">
        <f t="shared" si="445"/>
        <v>zintel</v>
      </c>
    </row>
    <row r="1671" spans="1:23">
      <c r="A1671" t="str">
        <f t="shared" si="447"/>
        <v>JM-CMPL-ELEC</v>
      </c>
      <c r="B1671" t="str">
        <f>"77-EB01C-0000"</f>
        <v>77-EB01C-0000</v>
      </c>
      <c r="C1671" t="str">
        <f>"LM7 Content, JM, Digital Oscilloscope"</f>
        <v>LM7 Content, JM, Digital Oscilloscope</v>
      </c>
      <c r="D1671">
        <v>1</v>
      </c>
      <c r="E1671" t="str">
        <f t="shared" si="448"/>
        <v>Complete Industrial Electronics Program</v>
      </c>
      <c r="F1671">
        <v>0</v>
      </c>
      <c r="G1671" t="str">
        <f t="shared" si="450"/>
        <v>Y</v>
      </c>
      <c r="H1671" t="str">
        <f t="shared" si="444"/>
        <v>EA</v>
      </c>
      <c r="I1671">
        <v>0</v>
      </c>
      <c r="J1671">
        <v>0</v>
      </c>
      <c r="K1671" t="str">
        <f t="shared" si="451"/>
        <v>Y</v>
      </c>
      <c r="L1671">
        <v>0</v>
      </c>
      <c r="M1671" t="str">
        <f t="shared" si="449"/>
        <v>NIS</v>
      </c>
      <c r="O1671">
        <v>89</v>
      </c>
      <c r="P1671" t="str">
        <f t="shared" si="446"/>
        <v>Active</v>
      </c>
      <c r="Q1671" t="str">
        <f>"LM7 Content, JM, Digital Oscilloscope"</f>
        <v>LM7 Content, JM, Digital Oscilloscope</v>
      </c>
      <c r="S1671" t="str">
        <f>"LM7 Content, JM, Digital Oscilloscope"</f>
        <v>LM7 Content, JM, Digital Oscilloscope</v>
      </c>
      <c r="T1671">
        <v>0</v>
      </c>
      <c r="U1671">
        <v>5</v>
      </c>
      <c r="V1671">
        <v>5</v>
      </c>
      <c r="W1671" t="str">
        <f t="shared" si="445"/>
        <v>zintel</v>
      </c>
    </row>
    <row r="1672" spans="1:23">
      <c r="A1672" t="str">
        <f t="shared" si="447"/>
        <v>JM-CMPL-ELEC</v>
      </c>
      <c r="B1672" t="str">
        <f>"26-E087-0000"</f>
        <v>26-E087-0000</v>
      </c>
      <c r="C1672" t="str">
        <f>"Assembly, JM, E087, Adjustable Power Supply"</f>
        <v>Assembly, JM, E087, Adjustable Power Supply</v>
      </c>
      <c r="D1672">
        <v>2</v>
      </c>
      <c r="E1672" t="str">
        <f t="shared" si="448"/>
        <v>Complete Industrial Electronics Program</v>
      </c>
      <c r="F1672">
        <v>0</v>
      </c>
      <c r="G1672" t="str">
        <f t="shared" si="450"/>
        <v>Y</v>
      </c>
      <c r="H1672" t="str">
        <f t="shared" si="444"/>
        <v>EA</v>
      </c>
      <c r="I1672">
        <v>0</v>
      </c>
      <c r="J1672">
        <v>0</v>
      </c>
      <c r="K1672" t="str">
        <f t="shared" si="451"/>
        <v>Y</v>
      </c>
      <c r="L1672">
        <v>0</v>
      </c>
      <c r="M1672" t="str">
        <f t="shared" si="449"/>
        <v>NIS</v>
      </c>
      <c r="O1672">
        <v>90</v>
      </c>
      <c r="P1672" t="str">
        <f t="shared" si="446"/>
        <v>Active</v>
      </c>
      <c r="Q1672" t="str">
        <f>"Assembly, JM, E087, Adjustable Power Supply"</f>
        <v>Assembly, JM, E087, Adjustable Power Supply</v>
      </c>
      <c r="S1672" t="str">
        <f>"Assembly, JM, E087, Adjustable Power Supply"</f>
        <v>Assembly, JM, E087, Adjustable Power Supply</v>
      </c>
      <c r="T1672">
        <v>73.88</v>
      </c>
      <c r="U1672">
        <v>75</v>
      </c>
      <c r="V1672">
        <v>174.83</v>
      </c>
      <c r="W1672" t="str">
        <f t="shared" si="445"/>
        <v>zintel</v>
      </c>
    </row>
    <row r="1673" spans="1:23">
      <c r="A1673" t="str">
        <f t="shared" si="447"/>
        <v>JM-CMPL-ELEC</v>
      </c>
      <c r="B1673" t="str">
        <f>"26-E153-0000"</f>
        <v>26-E153-0000</v>
      </c>
      <c r="C1673" t="str">
        <f>"Assembly, JM, E153, AC/DC Circuits"</f>
        <v>Assembly, JM, E153, AC/DC Circuits</v>
      </c>
      <c r="D1673">
        <v>1</v>
      </c>
      <c r="E1673" t="str">
        <f t="shared" si="448"/>
        <v>Complete Industrial Electronics Program</v>
      </c>
      <c r="F1673">
        <v>0</v>
      </c>
      <c r="G1673" t="str">
        <f t="shared" si="450"/>
        <v>Y</v>
      </c>
      <c r="H1673" t="str">
        <f t="shared" si="444"/>
        <v>EA</v>
      </c>
      <c r="I1673">
        <v>0</v>
      </c>
      <c r="J1673">
        <v>0</v>
      </c>
      <c r="K1673" t="str">
        <f t="shared" si="451"/>
        <v>Y</v>
      </c>
      <c r="L1673">
        <v>0</v>
      </c>
      <c r="M1673" t="str">
        <f t="shared" si="449"/>
        <v>NIS</v>
      </c>
      <c r="N1673" t="str">
        <f>"Y"</f>
        <v>Y</v>
      </c>
      <c r="O1673">
        <v>91</v>
      </c>
      <c r="P1673" t="str">
        <f t="shared" si="446"/>
        <v>Active</v>
      </c>
      <c r="Q1673" t="str">
        <f>"Assembly, JM, E153, AC/DC Circuits"</f>
        <v>Assembly, JM, E153, AC/DC Circuits</v>
      </c>
      <c r="S1673" t="str">
        <f>"Assembly, JM, E153, AC/DC Circuits"</f>
        <v>Assembly, JM, E153, AC/DC Circuits</v>
      </c>
      <c r="T1673">
        <v>133.96</v>
      </c>
      <c r="U1673">
        <v>130</v>
      </c>
      <c r="V1673">
        <v>293.45999999999998</v>
      </c>
      <c r="W1673" t="str">
        <f t="shared" si="445"/>
        <v>zintel</v>
      </c>
    </row>
    <row r="1674" spans="1:23">
      <c r="A1674" t="str">
        <f t="shared" si="447"/>
        <v>JM-CMPL-ELEC</v>
      </c>
      <c r="B1674" t="str">
        <f>"36-8900-0025"</f>
        <v>36-8900-0025</v>
      </c>
      <c r="C1674" t="str">
        <f>"JM, Oscilloscope, 5MHz, Hand Held"</f>
        <v>JM, Oscilloscope, 5MHz, Hand Held</v>
      </c>
      <c r="D1674">
        <v>2</v>
      </c>
      <c r="E1674" t="str">
        <f t="shared" si="448"/>
        <v>Complete Industrial Electronics Program</v>
      </c>
      <c r="F1674">
        <v>0</v>
      </c>
      <c r="G1674" t="str">
        <f t="shared" si="450"/>
        <v>Y</v>
      </c>
      <c r="H1674" t="str">
        <f t="shared" si="444"/>
        <v>EA</v>
      </c>
      <c r="I1674">
        <v>0</v>
      </c>
      <c r="J1674">
        <v>0</v>
      </c>
      <c r="K1674" t="str">
        <f t="shared" si="451"/>
        <v>Y</v>
      </c>
      <c r="L1674">
        <v>0</v>
      </c>
      <c r="M1674" t="str">
        <f t="shared" si="449"/>
        <v>NIS</v>
      </c>
      <c r="O1674">
        <v>92</v>
      </c>
      <c r="P1674" t="str">
        <f t="shared" ref="P1674:P1705" si="452">"Active"</f>
        <v>Active</v>
      </c>
      <c r="Q1674" t="str">
        <f>"JM, Oscilloscope, 5MHz, Hand Held"</f>
        <v>JM, Oscilloscope, 5MHz, Hand Held</v>
      </c>
      <c r="R1674" t="str">
        <f>"1"</f>
        <v>1</v>
      </c>
      <c r="S1674" t="str">
        <f>"JM, Oscilloscope, 5MHz, Hand Held"</f>
        <v>JM, Oscilloscope, 5MHz, Hand Held</v>
      </c>
      <c r="T1674">
        <v>807.3</v>
      </c>
      <c r="U1674">
        <v>564.49</v>
      </c>
      <c r="V1674">
        <v>827.3</v>
      </c>
      <c r="W1674" t="str">
        <f t="shared" si="445"/>
        <v>zintel</v>
      </c>
    </row>
    <row r="1675" spans="1:23">
      <c r="A1675" t="str">
        <f t="shared" si="447"/>
        <v>JM-CMPL-ELEC</v>
      </c>
      <c r="B1675" t="str">
        <f>"36-EB01C-IG01"</f>
        <v>36-EB01C-IG01</v>
      </c>
      <c r="C1675" t="str">
        <f>"JM, PDF on CD Hand Held Oscilloscope - EB01C"</f>
        <v>JM, PDF on CD Hand Held Oscilloscope - EB01C</v>
      </c>
      <c r="D1675">
        <v>1</v>
      </c>
      <c r="E1675" t="str">
        <f t="shared" si="448"/>
        <v>Complete Industrial Electronics Program</v>
      </c>
      <c r="F1675">
        <v>0</v>
      </c>
      <c r="G1675" t="str">
        <f t="shared" si="450"/>
        <v>Y</v>
      </c>
      <c r="H1675" t="str">
        <f t="shared" si="444"/>
        <v>EA</v>
      </c>
      <c r="I1675">
        <v>0</v>
      </c>
      <c r="J1675">
        <v>0</v>
      </c>
      <c r="K1675" t="str">
        <f t="shared" si="451"/>
        <v>Y</v>
      </c>
      <c r="L1675">
        <v>0</v>
      </c>
      <c r="M1675" t="str">
        <f t="shared" si="449"/>
        <v>NIS</v>
      </c>
      <c r="O1675">
        <v>93</v>
      </c>
      <c r="P1675" t="str">
        <f t="shared" si="452"/>
        <v>Active</v>
      </c>
      <c r="Q1675" t="str">
        <f>"JM, PDF on CD Hand Held Oscilloscope - EB01C"</f>
        <v>JM, PDF on CD Hand Held Oscilloscope - EB01C</v>
      </c>
      <c r="S1675" t="str">
        <f>"JM, PDF on CD Hand Held Oscilloscope - EB01C"</f>
        <v>JM, PDF on CD Hand Held Oscilloscope - EB01C</v>
      </c>
      <c r="T1675">
        <v>10.3</v>
      </c>
      <c r="U1675">
        <v>10.3</v>
      </c>
      <c r="V1675">
        <v>11.43</v>
      </c>
      <c r="W1675" t="str">
        <f t="shared" si="445"/>
        <v>zintel</v>
      </c>
    </row>
    <row r="1676" spans="1:23">
      <c r="A1676" t="str">
        <f t="shared" si="447"/>
        <v>JM-CMPL-ELEC</v>
      </c>
      <c r="B1676" t="str">
        <f>"77-EB02A-0000"</f>
        <v>77-EB02A-0000</v>
      </c>
      <c r="C1676" t="str">
        <f>"LM7 Content, JM, DC Power Supplies"</f>
        <v>LM7 Content, JM, DC Power Supplies</v>
      </c>
      <c r="D1676">
        <v>1</v>
      </c>
      <c r="E1676" t="str">
        <f t="shared" si="448"/>
        <v>Complete Industrial Electronics Program</v>
      </c>
      <c r="F1676">
        <v>0</v>
      </c>
      <c r="G1676" t="str">
        <f t="shared" si="450"/>
        <v>Y</v>
      </c>
      <c r="H1676" t="str">
        <f t="shared" si="444"/>
        <v>EA</v>
      </c>
      <c r="I1676">
        <v>0</v>
      </c>
      <c r="J1676">
        <v>0</v>
      </c>
      <c r="K1676" t="str">
        <f t="shared" si="451"/>
        <v>Y</v>
      </c>
      <c r="L1676">
        <v>0</v>
      </c>
      <c r="M1676" t="str">
        <f t="shared" si="449"/>
        <v>NIS</v>
      </c>
      <c r="O1676">
        <v>94</v>
      </c>
      <c r="P1676" t="str">
        <f t="shared" si="452"/>
        <v>Active</v>
      </c>
      <c r="Q1676" t="str">
        <f>"LM7 Content, JM, DC Power Supplies"</f>
        <v>LM7 Content, JM, DC Power Supplies</v>
      </c>
      <c r="S1676" t="str">
        <f>"LM7 Content, JM, DC Power Supplies"</f>
        <v>LM7 Content, JM, DC Power Supplies</v>
      </c>
      <c r="T1676">
        <v>0</v>
      </c>
      <c r="U1676">
        <v>5</v>
      </c>
      <c r="V1676">
        <v>5</v>
      </c>
      <c r="W1676" t="str">
        <f t="shared" si="445"/>
        <v>zintel</v>
      </c>
    </row>
    <row r="1677" spans="1:23">
      <c r="A1677" t="str">
        <f t="shared" si="447"/>
        <v>JM-CMPL-ELEC</v>
      </c>
      <c r="B1677" t="str">
        <f>"26-E039-0000"</f>
        <v>26-E039-0000</v>
      </c>
      <c r="C1677" t="str">
        <f>"Assembly, JM, E039,Single Phase Bridge Rectifier"</f>
        <v>Assembly, JM, E039,Single Phase Bridge Rectifier</v>
      </c>
      <c r="D1677">
        <v>2</v>
      </c>
      <c r="E1677" t="str">
        <f t="shared" si="448"/>
        <v>Complete Industrial Electronics Program</v>
      </c>
      <c r="F1677">
        <v>0</v>
      </c>
      <c r="G1677" t="str">
        <f t="shared" si="450"/>
        <v>Y</v>
      </c>
      <c r="H1677" t="str">
        <f t="shared" si="444"/>
        <v>EA</v>
      </c>
      <c r="I1677">
        <v>0</v>
      </c>
      <c r="J1677">
        <v>0</v>
      </c>
      <c r="K1677" t="str">
        <f t="shared" si="451"/>
        <v>Y</v>
      </c>
      <c r="L1677">
        <v>0</v>
      </c>
      <c r="M1677" t="str">
        <f t="shared" si="449"/>
        <v>NIS</v>
      </c>
      <c r="O1677">
        <v>95</v>
      </c>
      <c r="P1677" t="str">
        <f t="shared" si="452"/>
        <v>Active</v>
      </c>
      <c r="Q1677" t="str">
        <f>"Assembly, JM, E039,Single Phase Bridge Rectifier"</f>
        <v>Assembly, JM, E039,Single Phase Bridge Rectifier</v>
      </c>
      <c r="S1677" t="str">
        <f>"Assembly, JM, E039,Single Phase Bridge Rectifier"</f>
        <v>Assembly, JM, E039,Single Phase Bridge Rectifier</v>
      </c>
      <c r="T1677">
        <v>85.8</v>
      </c>
      <c r="U1677">
        <v>85</v>
      </c>
      <c r="V1677">
        <v>177.95</v>
      </c>
      <c r="W1677" t="str">
        <f t="shared" si="445"/>
        <v>zintel</v>
      </c>
    </row>
    <row r="1678" spans="1:23">
      <c r="A1678" t="str">
        <f t="shared" si="447"/>
        <v>JM-CMPL-ELEC</v>
      </c>
      <c r="B1678" t="str">
        <f>"26-E061-0000"</f>
        <v>26-E061-0000</v>
      </c>
      <c r="C1678" t="str">
        <f>"Assembly, JM, E061, Low Voltage Transformer"</f>
        <v>Assembly, JM, E061, Low Voltage Transformer</v>
      </c>
      <c r="D1678">
        <v>2</v>
      </c>
      <c r="E1678" t="str">
        <f t="shared" si="448"/>
        <v>Complete Industrial Electronics Program</v>
      </c>
      <c r="F1678">
        <v>0</v>
      </c>
      <c r="G1678" t="str">
        <f t="shared" si="450"/>
        <v>Y</v>
      </c>
      <c r="H1678" t="str">
        <f t="shared" si="444"/>
        <v>EA</v>
      </c>
      <c r="I1678">
        <v>0</v>
      </c>
      <c r="J1678">
        <v>0</v>
      </c>
      <c r="K1678" t="str">
        <f t="shared" si="451"/>
        <v>Y</v>
      </c>
      <c r="L1678">
        <v>0</v>
      </c>
      <c r="M1678" t="str">
        <f t="shared" si="449"/>
        <v>NIS</v>
      </c>
      <c r="O1678">
        <v>96</v>
      </c>
      <c r="P1678" t="str">
        <f t="shared" si="452"/>
        <v>Active</v>
      </c>
      <c r="Q1678" t="str">
        <f>"Assembly, JM, E061, Low Voltage Transformer"</f>
        <v>Assembly, JM, E061, Low Voltage Transformer</v>
      </c>
      <c r="S1678" t="str">
        <f>"Assembly, JM, E061, Low Voltage Transformer"</f>
        <v>Assembly, JM, E061, Low Voltage Transformer</v>
      </c>
      <c r="T1678">
        <v>158.13</v>
      </c>
      <c r="U1678">
        <v>157</v>
      </c>
      <c r="V1678">
        <v>281</v>
      </c>
      <c r="W1678" t="str">
        <f t="shared" si="445"/>
        <v>zintel</v>
      </c>
    </row>
    <row r="1679" spans="1:23">
      <c r="A1679" t="str">
        <f t="shared" ref="A1679:A1704" si="453">"JM-CMPL-ELEC"</f>
        <v>JM-CMPL-ELEC</v>
      </c>
      <c r="B1679" t="str">
        <f>"26-E062-0000"</f>
        <v>26-E062-0000</v>
      </c>
      <c r="C1679" t="str">
        <f>"Assembly, JM, E062, Diode Rectifier Panel"</f>
        <v>Assembly, JM, E062, Diode Rectifier Panel</v>
      </c>
      <c r="D1679">
        <v>2</v>
      </c>
      <c r="E1679" t="str">
        <f t="shared" ref="E1679:E1704" si="454">"Complete Industrial Electronics Program"</f>
        <v>Complete Industrial Electronics Program</v>
      </c>
      <c r="F1679">
        <v>0</v>
      </c>
      <c r="G1679" t="str">
        <f t="shared" si="450"/>
        <v>Y</v>
      </c>
      <c r="H1679" t="str">
        <f t="shared" si="444"/>
        <v>EA</v>
      </c>
      <c r="I1679">
        <v>0</v>
      </c>
      <c r="J1679">
        <v>0</v>
      </c>
      <c r="K1679" t="str">
        <f t="shared" si="451"/>
        <v>Y</v>
      </c>
      <c r="L1679">
        <v>0</v>
      </c>
      <c r="M1679" t="str">
        <f t="shared" si="449"/>
        <v>NIS</v>
      </c>
      <c r="O1679">
        <v>97</v>
      </c>
      <c r="P1679" t="str">
        <f t="shared" si="452"/>
        <v>Active</v>
      </c>
      <c r="Q1679" t="str">
        <f>"Assembly, JM, E062, Diode Rectifier Panel"</f>
        <v>Assembly, JM, E062, Diode Rectifier Panel</v>
      </c>
      <c r="S1679" t="str">
        <f>"Assembly, JM, E062, Diode Rectifier Panel"</f>
        <v>Assembly, JM, E062, Diode Rectifier Panel</v>
      </c>
      <c r="T1679">
        <v>100.53</v>
      </c>
      <c r="U1679">
        <v>100</v>
      </c>
      <c r="V1679">
        <v>215.41</v>
      </c>
      <c r="W1679" t="str">
        <f t="shared" si="445"/>
        <v>zintel</v>
      </c>
    </row>
    <row r="1680" spans="1:23">
      <c r="A1680" t="str">
        <f t="shared" si="453"/>
        <v>JM-CMPL-ELEC</v>
      </c>
      <c r="B1680" t="str">
        <f>"36-EB02A-IG01"</f>
        <v>36-EB02A-IG01</v>
      </c>
      <c r="C1680" t="str">
        <f>"JM, PDF on CD DC Power Supplies - EB02A"</f>
        <v>JM, PDF on CD DC Power Supplies - EB02A</v>
      </c>
      <c r="D1680">
        <v>1</v>
      </c>
      <c r="E1680" t="str">
        <f t="shared" si="454"/>
        <v>Complete Industrial Electronics Program</v>
      </c>
      <c r="F1680">
        <v>0</v>
      </c>
      <c r="G1680" t="str">
        <f t="shared" si="450"/>
        <v>Y</v>
      </c>
      <c r="H1680" t="str">
        <f t="shared" si="444"/>
        <v>EA</v>
      </c>
      <c r="I1680">
        <v>0</v>
      </c>
      <c r="J1680">
        <v>0</v>
      </c>
      <c r="K1680" t="str">
        <f t="shared" si="451"/>
        <v>Y</v>
      </c>
      <c r="L1680">
        <v>0</v>
      </c>
      <c r="M1680" t="str">
        <f t="shared" si="449"/>
        <v>NIS</v>
      </c>
      <c r="O1680">
        <v>98</v>
      </c>
      <c r="P1680" t="str">
        <f t="shared" si="452"/>
        <v>Active</v>
      </c>
      <c r="Q1680" t="str">
        <f>"JM, PDF on CD DC Power Supplies - EB02A"</f>
        <v>JM, PDF on CD DC Power Supplies - EB02A</v>
      </c>
      <c r="S1680" t="str">
        <f>"JM, PDF on CD DC Power Supplies - EB02A"</f>
        <v>JM, PDF on CD DC Power Supplies - EB02A</v>
      </c>
      <c r="T1680">
        <v>10.3</v>
      </c>
      <c r="U1680">
        <v>10.3</v>
      </c>
      <c r="V1680">
        <v>11.43</v>
      </c>
      <c r="W1680" t="str">
        <f t="shared" si="445"/>
        <v>zintel</v>
      </c>
    </row>
    <row r="1681" spans="1:23">
      <c r="A1681" t="str">
        <f t="shared" si="453"/>
        <v>JM-CMPL-ELEC</v>
      </c>
      <c r="B1681" t="str">
        <f>"77-EB02B-0000"</f>
        <v>77-EB02B-0000</v>
      </c>
      <c r="C1681" t="str">
        <f>"LM7 Content, JM, Single &amp; 3 Phase Power Supply"</f>
        <v>LM7 Content, JM, Single &amp; 3 Phase Power Supply</v>
      </c>
      <c r="D1681">
        <v>1</v>
      </c>
      <c r="E1681" t="str">
        <f t="shared" si="454"/>
        <v>Complete Industrial Electronics Program</v>
      </c>
      <c r="F1681">
        <v>0</v>
      </c>
      <c r="G1681" t="str">
        <f t="shared" si="450"/>
        <v>Y</v>
      </c>
      <c r="H1681" t="str">
        <f t="shared" si="444"/>
        <v>EA</v>
      </c>
      <c r="I1681">
        <v>0</v>
      </c>
      <c r="J1681">
        <v>0</v>
      </c>
      <c r="K1681" t="str">
        <f t="shared" si="451"/>
        <v>Y</v>
      </c>
      <c r="L1681">
        <v>0</v>
      </c>
      <c r="M1681" t="str">
        <f t="shared" si="449"/>
        <v>NIS</v>
      </c>
      <c r="O1681">
        <v>99</v>
      </c>
      <c r="P1681" t="str">
        <f t="shared" si="452"/>
        <v>Active</v>
      </c>
      <c r="Q1681" t="str">
        <f>"LM7 Content, JM, Single &amp; 3 Phase Power Supply"</f>
        <v>LM7 Content, JM, Single &amp; 3 Phase Power Supply</v>
      </c>
      <c r="S1681" t="str">
        <f>"LM7 Content, JM, Single &amp; 3 Phase Power Supply"</f>
        <v>LM7 Content, JM, Single &amp; 3 Phase Power Supply</v>
      </c>
      <c r="T1681">
        <v>0</v>
      </c>
      <c r="U1681">
        <v>5</v>
      </c>
      <c r="V1681">
        <v>5</v>
      </c>
      <c r="W1681" t="str">
        <f t="shared" si="445"/>
        <v>zintel</v>
      </c>
    </row>
    <row r="1682" spans="1:23">
      <c r="A1682" t="str">
        <f t="shared" si="453"/>
        <v>JM-CMPL-ELEC</v>
      </c>
      <c r="B1682" t="str">
        <f>"26-E049-0000"</f>
        <v>26-E049-0000</v>
      </c>
      <c r="C1682" t="str">
        <f>"Assembly, JM, E049, Zener Diode Panel"</f>
        <v>Assembly, JM, E049, Zener Diode Panel</v>
      </c>
      <c r="D1682">
        <v>2</v>
      </c>
      <c r="E1682" t="str">
        <f t="shared" si="454"/>
        <v>Complete Industrial Electronics Program</v>
      </c>
      <c r="F1682">
        <v>0</v>
      </c>
      <c r="G1682" t="str">
        <f t="shared" si="450"/>
        <v>Y</v>
      </c>
      <c r="H1682" t="str">
        <f t="shared" si="444"/>
        <v>EA</v>
      </c>
      <c r="I1682">
        <v>0</v>
      </c>
      <c r="J1682">
        <v>0</v>
      </c>
      <c r="K1682" t="str">
        <f t="shared" si="451"/>
        <v>Y</v>
      </c>
      <c r="L1682">
        <v>0</v>
      </c>
      <c r="M1682" t="str">
        <f t="shared" si="449"/>
        <v>NIS</v>
      </c>
      <c r="O1682">
        <v>100</v>
      </c>
      <c r="P1682" t="str">
        <f t="shared" si="452"/>
        <v>Active</v>
      </c>
      <c r="Q1682" t="str">
        <f>"Assembly, JM, E049, Zener Diode Panel"</f>
        <v>Assembly, JM, E049, Zener Diode Panel</v>
      </c>
      <c r="S1682" t="str">
        <f>"Assembly, JM, E049, Zener Diode Panel"</f>
        <v>Assembly, JM, E049, Zener Diode Panel</v>
      </c>
      <c r="T1682">
        <v>89.3</v>
      </c>
      <c r="U1682">
        <v>89</v>
      </c>
      <c r="V1682">
        <v>231.75</v>
      </c>
      <c r="W1682" t="str">
        <f t="shared" si="445"/>
        <v>zintel</v>
      </c>
    </row>
    <row r="1683" spans="1:23">
      <c r="A1683" t="str">
        <f t="shared" si="453"/>
        <v>JM-CMPL-ELEC</v>
      </c>
      <c r="B1683" t="str">
        <f>"26-E050-0000"</f>
        <v>26-E050-0000</v>
      </c>
      <c r="C1683" t="str">
        <f>"Assembly, JM, E050, Regulated Power Supply Panel"</f>
        <v>Assembly, JM, E050, Regulated Power Supply Panel</v>
      </c>
      <c r="D1683">
        <v>2</v>
      </c>
      <c r="E1683" t="str">
        <f t="shared" si="454"/>
        <v>Complete Industrial Electronics Program</v>
      </c>
      <c r="F1683">
        <v>0</v>
      </c>
      <c r="G1683" t="str">
        <f t="shared" si="450"/>
        <v>Y</v>
      </c>
      <c r="H1683" t="str">
        <f t="shared" si="444"/>
        <v>EA</v>
      </c>
      <c r="I1683">
        <v>0</v>
      </c>
      <c r="J1683">
        <v>0</v>
      </c>
      <c r="K1683" t="str">
        <f t="shared" si="451"/>
        <v>Y</v>
      </c>
      <c r="L1683">
        <v>0</v>
      </c>
      <c r="M1683" t="str">
        <f t="shared" si="449"/>
        <v>NIS</v>
      </c>
      <c r="O1683">
        <v>101</v>
      </c>
      <c r="P1683" t="str">
        <f t="shared" si="452"/>
        <v>Active</v>
      </c>
      <c r="Q1683" t="str">
        <f>"Assembly, JM, E050, Regulated Power Supply Panel"</f>
        <v>Assembly, JM, E050, Regulated Power Supply Panel</v>
      </c>
      <c r="S1683" t="str">
        <f>"Assembly, JM, E050, Regulated Power Supply Panel"</f>
        <v>Assembly, JM, E050, Regulated Power Supply Panel</v>
      </c>
      <c r="T1683">
        <v>118.22</v>
      </c>
      <c r="U1683">
        <v>120</v>
      </c>
      <c r="V1683">
        <v>327.35000000000002</v>
      </c>
      <c r="W1683" t="str">
        <f t="shared" si="445"/>
        <v>zintel</v>
      </c>
    </row>
    <row r="1684" spans="1:23">
      <c r="A1684" t="str">
        <f t="shared" si="453"/>
        <v>JM-CMPL-ELEC</v>
      </c>
      <c r="B1684" t="str">
        <f>"26-E053-0000"</f>
        <v>26-E053-0000</v>
      </c>
      <c r="C1684" t="str">
        <f>"Assembly, JM, E053, Three Phase Bridge Rectifier"</f>
        <v>Assembly, JM, E053, Three Phase Bridge Rectifier</v>
      </c>
      <c r="D1684">
        <v>2</v>
      </c>
      <c r="E1684" t="str">
        <f t="shared" si="454"/>
        <v>Complete Industrial Electronics Program</v>
      </c>
      <c r="F1684">
        <v>0</v>
      </c>
      <c r="G1684" t="str">
        <f t="shared" si="450"/>
        <v>Y</v>
      </c>
      <c r="H1684" t="str">
        <f t="shared" si="444"/>
        <v>EA</v>
      </c>
      <c r="I1684">
        <v>0</v>
      </c>
      <c r="J1684">
        <v>0</v>
      </c>
      <c r="K1684" t="str">
        <f t="shared" si="451"/>
        <v>Y</v>
      </c>
      <c r="L1684">
        <v>0</v>
      </c>
      <c r="M1684" t="str">
        <f t="shared" si="449"/>
        <v>NIS</v>
      </c>
      <c r="O1684">
        <v>102</v>
      </c>
      <c r="P1684" t="str">
        <f t="shared" si="452"/>
        <v>Active</v>
      </c>
      <c r="Q1684" t="str">
        <f>"Assembly, JM, E053, Three Phase Bridge Rectifier"</f>
        <v>Assembly, JM, E053, Three Phase Bridge Rectifier</v>
      </c>
      <c r="S1684" t="str">
        <f>"Assembly, JM, E053, Three Phase Bridge Rectifier"</f>
        <v>Assembly, JM, E053, Three Phase Bridge Rectifier</v>
      </c>
      <c r="T1684">
        <v>183.72</v>
      </c>
      <c r="U1684">
        <v>180</v>
      </c>
      <c r="V1684">
        <v>319.24</v>
      </c>
      <c r="W1684" t="str">
        <f t="shared" si="445"/>
        <v>zintel</v>
      </c>
    </row>
    <row r="1685" spans="1:23">
      <c r="A1685" t="str">
        <f t="shared" si="453"/>
        <v>JM-CMPL-ELEC</v>
      </c>
      <c r="B1685" t="str">
        <f>"36-EB02B-IG01"</f>
        <v>36-EB02B-IG01</v>
      </c>
      <c r="C1685" t="str">
        <f>"JM, PDF on CD Single&amp;3 Phase Power - EB02B"</f>
        <v>JM, PDF on CD Single&amp;3 Phase Power - EB02B</v>
      </c>
      <c r="D1685">
        <v>1</v>
      </c>
      <c r="E1685" t="str">
        <f t="shared" si="454"/>
        <v>Complete Industrial Electronics Program</v>
      </c>
      <c r="F1685">
        <v>0</v>
      </c>
      <c r="G1685" t="str">
        <f t="shared" si="450"/>
        <v>Y</v>
      </c>
      <c r="H1685" t="str">
        <f t="shared" si="444"/>
        <v>EA</v>
      </c>
      <c r="I1685">
        <v>0</v>
      </c>
      <c r="J1685">
        <v>0</v>
      </c>
      <c r="K1685" t="str">
        <f t="shared" si="451"/>
        <v>Y</v>
      </c>
      <c r="L1685">
        <v>0</v>
      </c>
      <c r="M1685" t="str">
        <f t="shared" si="449"/>
        <v>NIS</v>
      </c>
      <c r="O1685">
        <v>103</v>
      </c>
      <c r="P1685" t="str">
        <f t="shared" si="452"/>
        <v>Active</v>
      </c>
      <c r="Q1685" t="str">
        <f>"JM, PDF on CD Single&amp;3 Phase Power - EB02B"</f>
        <v>JM, PDF on CD Single&amp;3 Phase Power - EB02B</v>
      </c>
      <c r="S1685" t="str">
        <f>"JM, PDF on CD Single&amp;3 Phase Power - EB02B"</f>
        <v>JM, PDF on CD Single&amp;3 Phase Power - EB02B</v>
      </c>
      <c r="T1685">
        <v>10.3</v>
      </c>
      <c r="U1685">
        <v>10.3</v>
      </c>
      <c r="V1685">
        <v>11.43</v>
      </c>
      <c r="W1685" t="str">
        <f t="shared" si="445"/>
        <v>zintel</v>
      </c>
    </row>
    <row r="1686" spans="1:23">
      <c r="A1686" t="str">
        <f t="shared" si="453"/>
        <v>JM-CMPL-ELEC</v>
      </c>
      <c r="B1686" t="str">
        <f>"77-EB03-0000"</f>
        <v>77-EB03-0000</v>
      </c>
      <c r="C1686" t="str">
        <f>"LM7 Content, JM, Thyristor Motor Drives"</f>
        <v>LM7 Content, JM, Thyristor Motor Drives</v>
      </c>
      <c r="D1686">
        <v>1</v>
      </c>
      <c r="E1686" t="str">
        <f t="shared" si="454"/>
        <v>Complete Industrial Electronics Program</v>
      </c>
      <c r="F1686">
        <v>0</v>
      </c>
      <c r="G1686" t="str">
        <f t="shared" si="450"/>
        <v>Y</v>
      </c>
      <c r="H1686" t="str">
        <f t="shared" si="444"/>
        <v>EA</v>
      </c>
      <c r="I1686">
        <v>0</v>
      </c>
      <c r="J1686">
        <v>0</v>
      </c>
      <c r="K1686" t="str">
        <f t="shared" si="451"/>
        <v>Y</v>
      </c>
      <c r="L1686">
        <v>0</v>
      </c>
      <c r="M1686" t="str">
        <f t="shared" si="449"/>
        <v>NIS</v>
      </c>
      <c r="O1686">
        <v>104</v>
      </c>
      <c r="P1686" t="str">
        <f t="shared" si="452"/>
        <v>Active</v>
      </c>
      <c r="Q1686" t="str">
        <f>"LM7 Content, JM, Thyristor Motor Drives"</f>
        <v>LM7 Content, JM, Thyristor Motor Drives</v>
      </c>
      <c r="S1686" t="str">
        <f>"LM7 Content, JM, Thyristor Motor Drives"</f>
        <v>LM7 Content, JM, Thyristor Motor Drives</v>
      </c>
      <c r="T1686">
        <v>0</v>
      </c>
      <c r="U1686">
        <v>5</v>
      </c>
      <c r="V1686">
        <v>5</v>
      </c>
      <c r="W1686" t="str">
        <f t="shared" si="445"/>
        <v>zintel</v>
      </c>
    </row>
    <row r="1687" spans="1:23">
      <c r="A1687" t="str">
        <f t="shared" si="453"/>
        <v>JM-CMPL-ELEC</v>
      </c>
      <c r="B1687" t="str">
        <f>"26-E034-0000"</f>
        <v>26-E034-0000</v>
      </c>
      <c r="C1687" t="str">
        <f>"Assembly, JM, E034, DC Motor Panel"</f>
        <v>Assembly, JM, E034, DC Motor Panel</v>
      </c>
      <c r="D1687">
        <v>1</v>
      </c>
      <c r="E1687" t="str">
        <f t="shared" si="454"/>
        <v>Complete Industrial Electronics Program</v>
      </c>
      <c r="F1687">
        <v>0</v>
      </c>
      <c r="G1687" t="str">
        <f t="shared" si="450"/>
        <v>Y</v>
      </c>
      <c r="H1687" t="str">
        <f t="shared" si="444"/>
        <v>EA</v>
      </c>
      <c r="I1687">
        <v>0</v>
      </c>
      <c r="J1687">
        <v>0</v>
      </c>
      <c r="K1687" t="str">
        <f t="shared" si="451"/>
        <v>Y</v>
      </c>
      <c r="L1687">
        <v>0</v>
      </c>
      <c r="M1687" t="str">
        <f t="shared" si="449"/>
        <v>NIS</v>
      </c>
      <c r="N1687" t="str">
        <f>"Y"</f>
        <v>Y</v>
      </c>
      <c r="O1687">
        <v>105</v>
      </c>
      <c r="P1687" t="str">
        <f t="shared" si="452"/>
        <v>Active</v>
      </c>
      <c r="Q1687" t="str">
        <f>"Assembly, JM, E034, DC Motor Panel"</f>
        <v>Assembly, JM, E034, DC Motor Panel</v>
      </c>
      <c r="S1687" t="str">
        <f>"Assembly, JM, E034, DC Motor Panel"</f>
        <v>Assembly, JM, E034, DC Motor Panel</v>
      </c>
      <c r="T1687">
        <v>304.44</v>
      </c>
      <c r="U1687">
        <v>305</v>
      </c>
      <c r="V1687">
        <v>504.64</v>
      </c>
      <c r="W1687" t="str">
        <f t="shared" si="445"/>
        <v>zintel</v>
      </c>
    </row>
    <row r="1688" spans="1:23">
      <c r="A1688" t="str">
        <f t="shared" si="453"/>
        <v>JM-CMPL-ELEC</v>
      </c>
      <c r="B1688" t="str">
        <f>"26-E081-0000"</f>
        <v>26-E081-0000</v>
      </c>
      <c r="C1688" t="str">
        <f>"Assembly, JM, E081, SCR Panel"</f>
        <v>Assembly, JM, E081, SCR Panel</v>
      </c>
      <c r="D1688">
        <v>2</v>
      </c>
      <c r="E1688" t="str">
        <f t="shared" si="454"/>
        <v>Complete Industrial Electronics Program</v>
      </c>
      <c r="F1688">
        <v>0</v>
      </c>
      <c r="G1688" t="str">
        <f t="shared" si="450"/>
        <v>Y</v>
      </c>
      <c r="H1688" t="str">
        <f t="shared" si="444"/>
        <v>EA</v>
      </c>
      <c r="I1688">
        <v>0</v>
      </c>
      <c r="J1688">
        <v>0</v>
      </c>
      <c r="K1688" t="str">
        <f t="shared" si="451"/>
        <v>Y</v>
      </c>
      <c r="L1688">
        <v>0</v>
      </c>
      <c r="M1688" t="str">
        <f t="shared" si="449"/>
        <v>NIS</v>
      </c>
      <c r="O1688">
        <v>106</v>
      </c>
      <c r="P1688" t="str">
        <f t="shared" si="452"/>
        <v>Active</v>
      </c>
      <c r="Q1688" t="str">
        <f>"Assembly, JM, E081, SCR Panel"</f>
        <v>Assembly, JM, E081, SCR Panel</v>
      </c>
      <c r="S1688" t="str">
        <f>"Assembly, JM, E081, SCR Panel"</f>
        <v>Assembly, JM, E081, SCR Panel</v>
      </c>
      <c r="T1688">
        <v>137.26</v>
      </c>
      <c r="U1688">
        <v>136</v>
      </c>
      <c r="V1688">
        <v>187.31</v>
      </c>
      <c r="W1688" t="str">
        <f t="shared" si="445"/>
        <v>zintel</v>
      </c>
    </row>
    <row r="1689" spans="1:23">
      <c r="A1689" t="str">
        <f t="shared" si="453"/>
        <v>JM-CMPL-ELEC</v>
      </c>
      <c r="B1689" t="str">
        <f>"26-E083-0000"</f>
        <v>26-E083-0000</v>
      </c>
      <c r="C1689" t="str">
        <f>"Assembly, JM, E083, TRIAC Panel"</f>
        <v>Assembly, JM, E083, TRIAC Panel</v>
      </c>
      <c r="D1689">
        <v>2</v>
      </c>
      <c r="E1689" t="str">
        <f t="shared" si="454"/>
        <v>Complete Industrial Electronics Program</v>
      </c>
      <c r="F1689">
        <v>0</v>
      </c>
      <c r="G1689" t="str">
        <f t="shared" si="450"/>
        <v>Y</v>
      </c>
      <c r="H1689" t="str">
        <f t="shared" si="444"/>
        <v>EA</v>
      </c>
      <c r="I1689">
        <v>0</v>
      </c>
      <c r="J1689">
        <v>0</v>
      </c>
      <c r="K1689" t="str">
        <f t="shared" si="451"/>
        <v>Y</v>
      </c>
      <c r="L1689">
        <v>0</v>
      </c>
      <c r="M1689" t="str">
        <f t="shared" si="449"/>
        <v>NIS</v>
      </c>
      <c r="O1689">
        <v>107</v>
      </c>
      <c r="P1689" t="str">
        <f t="shared" si="452"/>
        <v>Active</v>
      </c>
      <c r="Q1689" t="str">
        <f>"Assembly, JM, E083, TRIAC Panel"</f>
        <v>Assembly, JM, E083, TRIAC Panel</v>
      </c>
      <c r="S1689" t="str">
        <f>"Assembly, JM, E083, TRIAC Panel"</f>
        <v>Assembly, JM, E083, TRIAC Panel</v>
      </c>
      <c r="T1689">
        <v>85.19</v>
      </c>
      <c r="U1689">
        <v>85</v>
      </c>
      <c r="V1689">
        <v>190.43</v>
      </c>
      <c r="W1689" t="str">
        <f t="shared" si="445"/>
        <v>zintel</v>
      </c>
    </row>
    <row r="1690" spans="1:23">
      <c r="A1690" t="str">
        <f t="shared" si="453"/>
        <v>JM-CMPL-ELEC</v>
      </c>
      <c r="B1690" t="str">
        <f>"26-E084-0000"</f>
        <v>26-E084-0000</v>
      </c>
      <c r="C1690" t="str">
        <f>"Assembly, JM, E084, DIAC Adjustable Resistors"</f>
        <v>Assembly, JM, E084, DIAC Adjustable Resistors</v>
      </c>
      <c r="D1690">
        <v>2</v>
      </c>
      <c r="E1690" t="str">
        <f t="shared" si="454"/>
        <v>Complete Industrial Electronics Program</v>
      </c>
      <c r="F1690">
        <v>0</v>
      </c>
      <c r="G1690" t="str">
        <f t="shared" si="450"/>
        <v>Y</v>
      </c>
      <c r="H1690" t="str">
        <f t="shared" si="444"/>
        <v>EA</v>
      </c>
      <c r="I1690">
        <v>0</v>
      </c>
      <c r="J1690">
        <v>0</v>
      </c>
      <c r="K1690" t="str">
        <f t="shared" si="451"/>
        <v>Y</v>
      </c>
      <c r="L1690">
        <v>0</v>
      </c>
      <c r="M1690" t="str">
        <f t="shared" si="449"/>
        <v>NIS</v>
      </c>
      <c r="O1690">
        <v>108</v>
      </c>
      <c r="P1690" t="str">
        <f t="shared" si="452"/>
        <v>Active</v>
      </c>
      <c r="Q1690" t="str">
        <f>"Assembly, JM, E084, DIAC Adjustable Resistors"</f>
        <v>Assembly, JM, E084, DIAC Adjustable Resistors</v>
      </c>
      <c r="S1690" t="str">
        <f>"Assembly, JM, E084, DIAC Adjustable Resistors"</f>
        <v>Assembly, JM, E084, DIAC Adjustable Resistors</v>
      </c>
      <c r="T1690">
        <v>114.38</v>
      </c>
      <c r="U1690">
        <v>112</v>
      </c>
      <c r="V1690">
        <v>228.86</v>
      </c>
      <c r="W1690" t="str">
        <f t="shared" si="445"/>
        <v>zintel</v>
      </c>
    </row>
    <row r="1691" spans="1:23">
      <c r="A1691" t="str">
        <f t="shared" si="453"/>
        <v>JM-CMPL-ELEC</v>
      </c>
      <c r="B1691" t="str">
        <f>"26-E085-0000"</f>
        <v>26-E085-0000</v>
      </c>
      <c r="C1691" t="str">
        <f>"Assembly, JM, E085, Triac w/ Schmitt Trigger"</f>
        <v>Assembly, JM, E085, Triac w/ Schmitt Trigger</v>
      </c>
      <c r="D1691">
        <v>2</v>
      </c>
      <c r="E1691" t="str">
        <f t="shared" si="454"/>
        <v>Complete Industrial Electronics Program</v>
      </c>
      <c r="F1691">
        <v>0</v>
      </c>
      <c r="G1691" t="str">
        <f t="shared" si="450"/>
        <v>Y</v>
      </c>
      <c r="H1691" t="str">
        <f t="shared" si="444"/>
        <v>EA</v>
      </c>
      <c r="I1691">
        <v>0</v>
      </c>
      <c r="J1691">
        <v>0</v>
      </c>
      <c r="K1691" t="str">
        <f t="shared" si="451"/>
        <v>Y</v>
      </c>
      <c r="L1691">
        <v>0</v>
      </c>
      <c r="M1691" t="str">
        <f t="shared" si="449"/>
        <v>NIS</v>
      </c>
      <c r="O1691">
        <v>109</v>
      </c>
      <c r="P1691" t="str">
        <f t="shared" si="452"/>
        <v>Active</v>
      </c>
      <c r="Q1691" t="str">
        <f>"Assembly, JM, E085, Triac w/ Schmitt Trigger"</f>
        <v>Assembly, JM, E085, Triac w/ Schmitt Trigger</v>
      </c>
      <c r="S1691" t="str">
        <f>"Assembly, JM, E085, Triac w/ Schmitt Trigger"</f>
        <v>Assembly, JM, E085, Triac w/ Schmitt Trigger</v>
      </c>
      <c r="T1691">
        <v>153.78</v>
      </c>
      <c r="U1691">
        <v>152</v>
      </c>
      <c r="V1691">
        <v>546.33000000000004</v>
      </c>
      <c r="W1691" t="str">
        <f t="shared" si="445"/>
        <v>zintel</v>
      </c>
    </row>
    <row r="1692" spans="1:23">
      <c r="A1692" t="str">
        <f t="shared" si="453"/>
        <v>JM-CMPL-ELEC</v>
      </c>
      <c r="B1692" t="str">
        <f>"26-E088-0000"</f>
        <v>26-E088-0000</v>
      </c>
      <c r="C1692" t="str">
        <f>"Assembly, JM, E088, PMW Motor Drive Panel"</f>
        <v>Assembly, JM, E088, PMW Motor Drive Panel</v>
      </c>
      <c r="D1692">
        <v>2</v>
      </c>
      <c r="E1692" t="str">
        <f t="shared" si="454"/>
        <v>Complete Industrial Electronics Program</v>
      </c>
      <c r="F1692">
        <v>0</v>
      </c>
      <c r="G1692" t="str">
        <f t="shared" si="450"/>
        <v>Y</v>
      </c>
      <c r="H1692" t="str">
        <f t="shared" si="444"/>
        <v>EA</v>
      </c>
      <c r="I1692">
        <v>0</v>
      </c>
      <c r="J1692">
        <v>0</v>
      </c>
      <c r="K1692" t="str">
        <f t="shared" si="451"/>
        <v>Y</v>
      </c>
      <c r="L1692">
        <v>0</v>
      </c>
      <c r="M1692" t="str">
        <f t="shared" si="449"/>
        <v>NIS</v>
      </c>
      <c r="O1692">
        <v>110</v>
      </c>
      <c r="P1692" t="str">
        <f t="shared" si="452"/>
        <v>Active</v>
      </c>
      <c r="Q1692" t="str">
        <f>"Assembly, JM, E088, PMW Motor Drive Panel"</f>
        <v>Assembly, JM, E088, PMW Motor Drive Panel</v>
      </c>
      <c r="S1692" t="str">
        <f>"Assembly, JM, E088, PMW Motor Drive Panel"</f>
        <v>Assembly, JM, E088, PMW Motor Drive Panel</v>
      </c>
      <c r="T1692">
        <v>173.3</v>
      </c>
      <c r="U1692">
        <v>170</v>
      </c>
      <c r="V1692">
        <v>390.23</v>
      </c>
      <c r="W1692" t="str">
        <f t="shared" si="445"/>
        <v>zintel</v>
      </c>
    </row>
    <row r="1693" spans="1:23">
      <c r="A1693" t="str">
        <f t="shared" si="453"/>
        <v>JM-CMPL-ELEC</v>
      </c>
      <c r="B1693" t="str">
        <f>"26-E157-0000"</f>
        <v>26-E157-0000</v>
      </c>
      <c r="C1693" t="str">
        <f>"Assembly, JM, E157, Electric AC/DC Motors"</f>
        <v>Assembly, JM, E157, Electric AC/DC Motors</v>
      </c>
      <c r="D1693">
        <v>2</v>
      </c>
      <c r="E1693" t="str">
        <f t="shared" si="454"/>
        <v>Complete Industrial Electronics Program</v>
      </c>
      <c r="F1693">
        <v>0</v>
      </c>
      <c r="G1693" t="str">
        <f t="shared" si="450"/>
        <v>Y</v>
      </c>
      <c r="H1693" t="str">
        <f t="shared" si="444"/>
        <v>EA</v>
      </c>
      <c r="I1693">
        <v>0</v>
      </c>
      <c r="J1693">
        <v>0</v>
      </c>
      <c r="K1693" t="str">
        <f t="shared" si="451"/>
        <v>Y</v>
      </c>
      <c r="L1693">
        <v>0</v>
      </c>
      <c r="M1693" t="str">
        <f t="shared" si="449"/>
        <v>NIS</v>
      </c>
      <c r="O1693">
        <v>111</v>
      </c>
      <c r="P1693" t="str">
        <f t="shared" si="452"/>
        <v>Active</v>
      </c>
      <c r="Q1693" t="str">
        <f>"Assembly, JM, E157, Electric AC/DC Motors"</f>
        <v>Assembly, JM, E157, Electric AC/DC Motors</v>
      </c>
      <c r="S1693" t="str">
        <f>"Assembly, JM, E157, Electric AC/DC Motors"</f>
        <v>Assembly, JM, E157, Electric AC/DC Motors</v>
      </c>
      <c r="T1693">
        <v>250.47</v>
      </c>
      <c r="U1693">
        <v>250</v>
      </c>
      <c r="V1693">
        <v>452.67</v>
      </c>
      <c r="W1693" t="str">
        <f t="shared" si="445"/>
        <v>zintel</v>
      </c>
    </row>
    <row r="1694" spans="1:23">
      <c r="A1694" t="str">
        <f t="shared" si="453"/>
        <v>JM-CMPL-ELEC</v>
      </c>
      <c r="B1694" t="str">
        <f>"36-EB03-IG01"</f>
        <v>36-EB03-IG01</v>
      </c>
      <c r="C1694" t="str">
        <f>"JM, PDF on CD Thyristor Motor Drives - EB03"</f>
        <v>JM, PDF on CD Thyristor Motor Drives - EB03</v>
      </c>
      <c r="D1694">
        <v>1</v>
      </c>
      <c r="E1694" t="str">
        <f t="shared" si="454"/>
        <v>Complete Industrial Electronics Program</v>
      </c>
      <c r="F1694">
        <v>0</v>
      </c>
      <c r="G1694" t="str">
        <f t="shared" si="450"/>
        <v>Y</v>
      </c>
      <c r="H1694" t="str">
        <f t="shared" si="444"/>
        <v>EA</v>
      </c>
      <c r="I1694">
        <v>0</v>
      </c>
      <c r="J1694">
        <v>0</v>
      </c>
      <c r="K1694" t="str">
        <f t="shared" si="451"/>
        <v>Y</v>
      </c>
      <c r="L1694">
        <v>0</v>
      </c>
      <c r="M1694" t="str">
        <f t="shared" si="449"/>
        <v>NIS</v>
      </c>
      <c r="O1694">
        <v>112</v>
      </c>
      <c r="P1694" t="str">
        <f t="shared" si="452"/>
        <v>Active</v>
      </c>
      <c r="Q1694" t="str">
        <f>"JM, PDF on CD Thyristor Motor Drives - EB03"</f>
        <v>JM, PDF on CD Thyristor Motor Drives - EB03</v>
      </c>
      <c r="S1694" t="str">
        <f>"JM, PDF on CD Thyristor Motor Drives - EB03"</f>
        <v>JM, PDF on CD Thyristor Motor Drives - EB03</v>
      </c>
      <c r="T1694">
        <v>10.3</v>
      </c>
      <c r="U1694">
        <v>10.3</v>
      </c>
      <c r="V1694">
        <v>11.43</v>
      </c>
      <c r="W1694" t="str">
        <f t="shared" si="445"/>
        <v>zintel</v>
      </c>
    </row>
    <row r="1695" spans="1:23">
      <c r="A1695" t="str">
        <f t="shared" si="453"/>
        <v>JM-CMPL-ELEC</v>
      </c>
      <c r="B1695" t="str">
        <f>"26-E082-0000"</f>
        <v>26-E082-0000</v>
      </c>
      <c r="C1695" t="str">
        <f>"Assembly, JM, E082, Full Wave SCR DC Drive Panel"</f>
        <v>Assembly, JM, E082, Full Wave SCR DC Drive Panel</v>
      </c>
      <c r="D1695">
        <v>2</v>
      </c>
      <c r="E1695" t="str">
        <f t="shared" si="454"/>
        <v>Complete Industrial Electronics Program</v>
      </c>
      <c r="F1695">
        <v>0</v>
      </c>
      <c r="G1695" t="str">
        <f t="shared" si="450"/>
        <v>Y</v>
      </c>
      <c r="H1695" t="str">
        <f t="shared" si="444"/>
        <v>EA</v>
      </c>
      <c r="I1695">
        <v>0</v>
      </c>
      <c r="J1695">
        <v>0</v>
      </c>
      <c r="K1695" t="str">
        <f t="shared" si="451"/>
        <v>Y</v>
      </c>
      <c r="L1695">
        <v>0</v>
      </c>
      <c r="M1695" t="str">
        <f t="shared" si="449"/>
        <v>NIS</v>
      </c>
      <c r="O1695">
        <v>113</v>
      </c>
      <c r="P1695" t="str">
        <f t="shared" si="452"/>
        <v>Active</v>
      </c>
      <c r="Q1695" t="str">
        <f>"Assembly, JM, E082, Full Wave SCR DC Drive Panel"</f>
        <v>Assembly, JM, E082, Full Wave SCR DC Drive Panel</v>
      </c>
      <c r="S1695" t="str">
        <f>"Assembly, JM, E082, Full Wave SCR DC Drive Panel"</f>
        <v>Assembly, JM, E082, Full Wave SCR DC Drive Panel</v>
      </c>
      <c r="T1695">
        <v>262.07</v>
      </c>
      <c r="U1695">
        <v>261</v>
      </c>
      <c r="V1695">
        <v>366.79</v>
      </c>
      <c r="W1695" t="str">
        <f t="shared" si="445"/>
        <v>zintel</v>
      </c>
    </row>
    <row r="1696" spans="1:23">
      <c r="A1696" t="str">
        <f t="shared" si="453"/>
        <v>JM-CMPL-ELEC</v>
      </c>
      <c r="B1696" t="str">
        <f>"77-EB04-0000"</f>
        <v>77-EB04-0000</v>
      </c>
      <c r="C1696" t="str">
        <f>"LM7 Content, JM, Electronic Timers &amp; Triggers"</f>
        <v>LM7 Content, JM, Electronic Timers &amp; Triggers</v>
      </c>
      <c r="D1696">
        <v>1</v>
      </c>
      <c r="E1696" t="str">
        <f t="shared" si="454"/>
        <v>Complete Industrial Electronics Program</v>
      </c>
      <c r="F1696">
        <v>0</v>
      </c>
      <c r="G1696" t="str">
        <f t="shared" si="450"/>
        <v>Y</v>
      </c>
      <c r="H1696" t="str">
        <f t="shared" si="444"/>
        <v>EA</v>
      </c>
      <c r="I1696">
        <v>0</v>
      </c>
      <c r="J1696">
        <v>0</v>
      </c>
      <c r="K1696" t="str">
        <f t="shared" si="451"/>
        <v>Y</v>
      </c>
      <c r="L1696">
        <v>0</v>
      </c>
      <c r="M1696" t="str">
        <f t="shared" si="449"/>
        <v>NIS</v>
      </c>
      <c r="O1696">
        <v>114</v>
      </c>
      <c r="P1696" t="str">
        <f t="shared" si="452"/>
        <v>Active</v>
      </c>
      <c r="Q1696" t="str">
        <f>"LM7 Content, JM, Electronic Timers &amp; Triggers"</f>
        <v>LM7 Content, JM, Electronic Timers &amp; Triggers</v>
      </c>
      <c r="S1696" t="str">
        <f>"LM7 Content, JM, Electronic Timers &amp; Triggers"</f>
        <v>LM7 Content, JM, Electronic Timers &amp; Triggers</v>
      </c>
      <c r="T1696">
        <v>0</v>
      </c>
      <c r="U1696">
        <v>5</v>
      </c>
      <c r="V1696">
        <v>5</v>
      </c>
      <c r="W1696" t="str">
        <f t="shared" si="445"/>
        <v>zintel</v>
      </c>
    </row>
    <row r="1697" spans="1:23">
      <c r="A1697" t="str">
        <f t="shared" si="453"/>
        <v>JM-CMPL-ELEC</v>
      </c>
      <c r="B1697" t="str">
        <f>"26-E089-0000"</f>
        <v>26-E089-0000</v>
      </c>
      <c r="C1697" t="str">
        <f>"Assembly, JM, E089, Timers and Triggers Panel"</f>
        <v>Assembly, JM, E089, Timers and Triggers Panel</v>
      </c>
      <c r="D1697">
        <v>2</v>
      </c>
      <c r="E1697" t="str">
        <f t="shared" si="454"/>
        <v>Complete Industrial Electronics Program</v>
      </c>
      <c r="F1697">
        <v>0</v>
      </c>
      <c r="G1697" t="str">
        <f t="shared" si="450"/>
        <v>Y</v>
      </c>
      <c r="H1697" t="str">
        <f t="shared" si="444"/>
        <v>EA</v>
      </c>
      <c r="I1697">
        <v>0</v>
      </c>
      <c r="J1697">
        <v>0</v>
      </c>
      <c r="K1697" t="str">
        <f t="shared" si="451"/>
        <v>Y</v>
      </c>
      <c r="L1697">
        <v>0</v>
      </c>
      <c r="M1697" t="str">
        <f t="shared" si="449"/>
        <v>NIS</v>
      </c>
      <c r="O1697">
        <v>115</v>
      </c>
      <c r="P1697" t="str">
        <f t="shared" si="452"/>
        <v>Active</v>
      </c>
      <c r="Q1697" t="str">
        <f>"Assembly, JM, E089, Timers and Triggers Panel"</f>
        <v>Assembly, JM, E089, Timers and Triggers Panel</v>
      </c>
      <c r="S1697" t="str">
        <f>"Assembly, JM, E089, Timers and Triggers Panel"</f>
        <v>Assembly, JM, E089, Timers and Triggers Panel</v>
      </c>
      <c r="T1697">
        <v>122.91</v>
      </c>
      <c r="U1697">
        <v>122</v>
      </c>
      <c r="V1697">
        <v>408.97</v>
      </c>
      <c r="W1697" t="str">
        <f t="shared" si="445"/>
        <v>zintel</v>
      </c>
    </row>
    <row r="1698" spans="1:23">
      <c r="A1698" t="str">
        <f t="shared" si="453"/>
        <v>JM-CMPL-ELEC</v>
      </c>
      <c r="B1698" t="str">
        <f>"36-EB04-IG01"</f>
        <v>36-EB04-IG01</v>
      </c>
      <c r="C1698" t="str">
        <f>"JM, PDF on CD Electronic Timers &amp; Triggers- EB04"</f>
        <v>JM, PDF on CD Electronic Timers &amp; Triggers- EB04</v>
      </c>
      <c r="D1698">
        <v>1</v>
      </c>
      <c r="E1698" t="str">
        <f t="shared" si="454"/>
        <v>Complete Industrial Electronics Program</v>
      </c>
      <c r="F1698">
        <v>0</v>
      </c>
      <c r="G1698" t="str">
        <f t="shared" si="450"/>
        <v>Y</v>
      </c>
      <c r="H1698" t="str">
        <f t="shared" si="444"/>
        <v>EA</v>
      </c>
      <c r="I1698">
        <v>0</v>
      </c>
      <c r="J1698">
        <v>0</v>
      </c>
      <c r="K1698" t="str">
        <f t="shared" si="451"/>
        <v>Y</v>
      </c>
      <c r="L1698">
        <v>0</v>
      </c>
      <c r="M1698" t="str">
        <f t="shared" si="449"/>
        <v>NIS</v>
      </c>
      <c r="O1698">
        <v>116</v>
      </c>
      <c r="P1698" t="str">
        <f t="shared" si="452"/>
        <v>Active</v>
      </c>
      <c r="Q1698" t="str">
        <f>"JM, PDF on CD Electronic Timers &amp; Triggers- EB04"</f>
        <v>JM, PDF on CD Electronic Timers &amp; Triggers- EB04</v>
      </c>
      <c r="S1698" t="str">
        <f>"JM, PDF on CD Electronic Timers &amp; Triggers- EB04"</f>
        <v>JM, PDF on CD Electronic Timers &amp; Triggers- EB04</v>
      </c>
      <c r="T1698">
        <v>0</v>
      </c>
      <c r="U1698">
        <v>9.5</v>
      </c>
      <c r="V1698">
        <v>10.55</v>
      </c>
      <c r="W1698" t="str">
        <f t="shared" si="445"/>
        <v>zintel</v>
      </c>
    </row>
    <row r="1699" spans="1:23">
      <c r="A1699" t="str">
        <f t="shared" si="453"/>
        <v>JM-CMPL-ELEC</v>
      </c>
      <c r="B1699" t="str">
        <f>"77-EB05-0000"</f>
        <v>77-EB05-0000</v>
      </c>
      <c r="C1699" t="str">
        <f>"LM7 Content, JM, Basic Stepper Motors &amp; Drives"</f>
        <v>LM7 Content, JM, Basic Stepper Motors &amp; Drives</v>
      </c>
      <c r="D1699">
        <v>1</v>
      </c>
      <c r="E1699" t="str">
        <f t="shared" si="454"/>
        <v>Complete Industrial Electronics Program</v>
      </c>
      <c r="F1699">
        <v>0</v>
      </c>
      <c r="G1699" t="str">
        <f t="shared" si="450"/>
        <v>Y</v>
      </c>
      <c r="H1699" t="str">
        <f t="shared" si="444"/>
        <v>EA</v>
      </c>
      <c r="I1699">
        <v>0</v>
      </c>
      <c r="J1699">
        <v>0</v>
      </c>
      <c r="K1699" t="str">
        <f t="shared" si="451"/>
        <v>Y</v>
      </c>
      <c r="L1699">
        <v>0</v>
      </c>
      <c r="M1699" t="str">
        <f t="shared" si="449"/>
        <v>NIS</v>
      </c>
      <c r="O1699">
        <v>117</v>
      </c>
      <c r="P1699" t="str">
        <f t="shared" si="452"/>
        <v>Active</v>
      </c>
      <c r="Q1699" t="str">
        <f>"LM7 Content, JM, Basic Stepper Motors &amp; Drives"</f>
        <v>LM7 Content, JM, Basic Stepper Motors &amp; Drives</v>
      </c>
      <c r="S1699" t="str">
        <f>"LM7 Content, JM, Basic Stepper Motors &amp; Drives"</f>
        <v>LM7 Content, JM, Basic Stepper Motors &amp; Drives</v>
      </c>
      <c r="T1699">
        <v>0</v>
      </c>
      <c r="U1699">
        <v>5</v>
      </c>
      <c r="V1699">
        <v>5</v>
      </c>
      <c r="W1699" t="str">
        <f t="shared" si="445"/>
        <v>zintel</v>
      </c>
    </row>
    <row r="1700" spans="1:23">
      <c r="A1700" t="str">
        <f t="shared" si="453"/>
        <v>JM-CMPL-ELEC</v>
      </c>
      <c r="B1700" t="str">
        <f>"26-E090-0000"</f>
        <v>26-E090-0000</v>
      </c>
      <c r="C1700" t="str">
        <f>"Assembly, JM, E090, Stepper Motor &amp; Drive Panel"</f>
        <v>Assembly, JM, E090, Stepper Motor &amp; Drive Panel</v>
      </c>
      <c r="D1700">
        <v>2</v>
      </c>
      <c r="E1700" t="str">
        <f t="shared" si="454"/>
        <v>Complete Industrial Electronics Program</v>
      </c>
      <c r="F1700">
        <v>0</v>
      </c>
      <c r="G1700" t="str">
        <f t="shared" si="450"/>
        <v>Y</v>
      </c>
      <c r="H1700" t="str">
        <f t="shared" si="444"/>
        <v>EA</v>
      </c>
      <c r="I1700">
        <v>0</v>
      </c>
      <c r="J1700">
        <v>0</v>
      </c>
      <c r="K1700" t="str">
        <f t="shared" si="451"/>
        <v>Y</v>
      </c>
      <c r="L1700">
        <v>0</v>
      </c>
      <c r="M1700" t="str">
        <f t="shared" si="449"/>
        <v>NIS</v>
      </c>
      <c r="O1700">
        <v>118</v>
      </c>
      <c r="P1700" t="str">
        <f t="shared" si="452"/>
        <v>Active</v>
      </c>
      <c r="Q1700" t="str">
        <f>"Assembly, JM, E090, Stepper Motor &amp; Drive Panel"</f>
        <v>Assembly, JM, E090, Stepper Motor &amp; Drive Panel</v>
      </c>
      <c r="S1700" t="str">
        <f>"Assembly, JM, E090, Stepper Motor &amp; Drive Panel"</f>
        <v>Assembly, JM, E090, Stepper Motor &amp; Drive Panel</v>
      </c>
      <c r="T1700">
        <v>296.8</v>
      </c>
      <c r="U1700">
        <v>300</v>
      </c>
      <c r="V1700">
        <v>506.96</v>
      </c>
      <c r="W1700" t="str">
        <f t="shared" si="445"/>
        <v>zintel</v>
      </c>
    </row>
    <row r="1701" spans="1:23">
      <c r="A1701" t="str">
        <f t="shared" si="453"/>
        <v>JM-CMPL-ELEC</v>
      </c>
      <c r="B1701" t="str">
        <f>"36-EB05-IG01"</f>
        <v>36-EB05-IG01</v>
      </c>
      <c r="C1701" t="str">
        <f>"JM, PDF on CD Basic Stepper Motor &amp; Drives- EB05"</f>
        <v>JM, PDF on CD Basic Stepper Motor &amp; Drives- EB05</v>
      </c>
      <c r="D1701">
        <v>1</v>
      </c>
      <c r="E1701" t="str">
        <f t="shared" si="454"/>
        <v>Complete Industrial Electronics Program</v>
      </c>
      <c r="F1701">
        <v>0</v>
      </c>
      <c r="G1701" t="str">
        <f t="shared" si="450"/>
        <v>Y</v>
      </c>
      <c r="H1701" t="str">
        <f t="shared" si="444"/>
        <v>EA</v>
      </c>
      <c r="I1701">
        <v>0</v>
      </c>
      <c r="J1701">
        <v>0</v>
      </c>
      <c r="K1701" t="str">
        <f t="shared" si="451"/>
        <v>Y</v>
      </c>
      <c r="L1701">
        <v>0</v>
      </c>
      <c r="M1701" t="str">
        <f t="shared" si="449"/>
        <v>NIS</v>
      </c>
      <c r="O1701">
        <v>119</v>
      </c>
      <c r="P1701" t="str">
        <f t="shared" si="452"/>
        <v>Active</v>
      </c>
      <c r="Q1701" t="str">
        <f>"JM, PDF on CD Basic Stepper Motor &amp; Drives- EB05"</f>
        <v>JM, PDF on CD Basic Stepper Motor &amp; Drives- EB05</v>
      </c>
      <c r="S1701" t="str">
        <f>"JM, PDF on CD Basic Stepper Motor &amp; Drives- EB05"</f>
        <v>JM, PDF on CD Basic Stepper Motor &amp; Drives- EB05</v>
      </c>
      <c r="T1701">
        <v>0</v>
      </c>
      <c r="U1701">
        <v>9.5</v>
      </c>
      <c r="V1701">
        <v>10.55</v>
      </c>
      <c r="W1701" t="str">
        <f t="shared" si="445"/>
        <v>zintel</v>
      </c>
    </row>
    <row r="1702" spans="1:23">
      <c r="A1702" t="str">
        <f t="shared" si="453"/>
        <v>JM-CMPL-ELEC</v>
      </c>
      <c r="B1702" t="str">
        <f>"77-EB06-0000"</f>
        <v>77-EB06-0000</v>
      </c>
      <c r="C1702" t="str">
        <f>"LM7 Content, JM, Basic Servo Motor Drives"</f>
        <v>LM7 Content, JM, Basic Servo Motor Drives</v>
      </c>
      <c r="D1702">
        <v>1</v>
      </c>
      <c r="E1702" t="str">
        <f t="shared" si="454"/>
        <v>Complete Industrial Electronics Program</v>
      </c>
      <c r="F1702">
        <v>0</v>
      </c>
      <c r="G1702" t="str">
        <f t="shared" si="450"/>
        <v>Y</v>
      </c>
      <c r="H1702" t="str">
        <f t="shared" si="444"/>
        <v>EA</v>
      </c>
      <c r="I1702">
        <v>0</v>
      </c>
      <c r="J1702">
        <v>0</v>
      </c>
      <c r="K1702" t="str">
        <f t="shared" si="451"/>
        <v>Y</v>
      </c>
      <c r="L1702">
        <v>0</v>
      </c>
      <c r="M1702" t="str">
        <f t="shared" si="449"/>
        <v>NIS</v>
      </c>
      <c r="O1702">
        <v>120</v>
      </c>
      <c r="P1702" t="str">
        <f t="shared" si="452"/>
        <v>Active</v>
      </c>
      <c r="Q1702" t="str">
        <f>"LM7 Content, JM, Basic Servo Motor Drives"</f>
        <v>LM7 Content, JM, Basic Servo Motor Drives</v>
      </c>
      <c r="S1702" t="str">
        <f>"LM7 Content, JM, Basic Servo Motor Drives"</f>
        <v>LM7 Content, JM, Basic Servo Motor Drives</v>
      </c>
      <c r="T1702">
        <v>0</v>
      </c>
      <c r="U1702">
        <v>5</v>
      </c>
      <c r="V1702">
        <v>5</v>
      </c>
      <c r="W1702" t="str">
        <f t="shared" si="445"/>
        <v>zintel</v>
      </c>
    </row>
    <row r="1703" spans="1:23">
      <c r="A1703" t="str">
        <f t="shared" si="453"/>
        <v>JM-CMPL-ELEC</v>
      </c>
      <c r="B1703" t="str">
        <f>"26-E091-0000"</f>
        <v>26-E091-0000</v>
      </c>
      <c r="C1703" t="str">
        <f>"Assembly, JM, E091, Servo Motor&amp; Drive Panel"</f>
        <v>Assembly, JM, E091, Servo Motor&amp; Drive Panel</v>
      </c>
      <c r="D1703">
        <v>2</v>
      </c>
      <c r="E1703" t="str">
        <f t="shared" si="454"/>
        <v>Complete Industrial Electronics Program</v>
      </c>
      <c r="F1703">
        <v>0</v>
      </c>
      <c r="G1703" t="str">
        <f t="shared" si="450"/>
        <v>Y</v>
      </c>
      <c r="H1703" t="str">
        <f t="shared" si="444"/>
        <v>EA</v>
      </c>
      <c r="I1703">
        <v>0</v>
      </c>
      <c r="J1703">
        <v>0</v>
      </c>
      <c r="K1703" t="str">
        <f t="shared" si="451"/>
        <v>Y</v>
      </c>
      <c r="L1703">
        <v>0</v>
      </c>
      <c r="M1703" t="str">
        <f t="shared" si="449"/>
        <v>NIS</v>
      </c>
      <c r="O1703">
        <v>121</v>
      </c>
      <c r="P1703" t="str">
        <f t="shared" si="452"/>
        <v>Active</v>
      </c>
      <c r="Q1703" t="str">
        <f>"Assembly, JM, E091, Servo Motor&amp; Drive Panel"</f>
        <v>Assembly, JM, E091, Servo Motor&amp; Drive Panel</v>
      </c>
      <c r="S1703" t="str">
        <f>"Assembly, JM, E091, Servo Motor&amp; Drive Panel"</f>
        <v>Assembly, JM, E091, Servo Motor&amp; Drive Panel</v>
      </c>
      <c r="T1703">
        <v>219.92</v>
      </c>
      <c r="U1703">
        <v>220</v>
      </c>
      <c r="V1703">
        <v>462.04</v>
      </c>
      <c r="W1703" t="str">
        <f t="shared" si="445"/>
        <v>zintel</v>
      </c>
    </row>
    <row r="1704" spans="1:23">
      <c r="A1704" t="str">
        <f t="shared" si="453"/>
        <v>JM-CMPL-ELEC</v>
      </c>
      <c r="B1704" t="str">
        <f>"36-EB06-IG01"</f>
        <v>36-EB06-IG01</v>
      </c>
      <c r="C1704" t="str">
        <f>"JM, PDF on CD Basic Servo Motor Drives - EB06"</f>
        <v>JM, PDF on CD Basic Servo Motor Drives - EB06</v>
      </c>
      <c r="D1704">
        <v>1</v>
      </c>
      <c r="E1704" t="str">
        <f t="shared" si="454"/>
        <v>Complete Industrial Electronics Program</v>
      </c>
      <c r="F1704">
        <v>0</v>
      </c>
      <c r="G1704" t="str">
        <f t="shared" si="450"/>
        <v>Y</v>
      </c>
      <c r="H1704" t="str">
        <f t="shared" ref="H1704:H1767" si="455">"EA"</f>
        <v>EA</v>
      </c>
      <c r="I1704">
        <v>0</v>
      </c>
      <c r="J1704">
        <v>0</v>
      </c>
      <c r="K1704" t="str">
        <f t="shared" si="451"/>
        <v>Y</v>
      </c>
      <c r="L1704">
        <v>0</v>
      </c>
      <c r="M1704" t="str">
        <f t="shared" si="449"/>
        <v>NIS</v>
      </c>
      <c r="O1704">
        <v>122</v>
      </c>
      <c r="P1704" t="str">
        <f t="shared" si="452"/>
        <v>Active</v>
      </c>
      <c r="Q1704" t="str">
        <f>"JM, PDF on CD Basic Servo Motor Drives - EB06"</f>
        <v>JM, PDF on CD Basic Servo Motor Drives - EB06</v>
      </c>
      <c r="S1704" t="str">
        <f>"JM, PDF on CD Basic Servo Motor Drives - EB06"</f>
        <v>JM, PDF on CD Basic Servo Motor Drives - EB06</v>
      </c>
      <c r="T1704">
        <v>0</v>
      </c>
      <c r="U1704">
        <v>9.5</v>
      </c>
      <c r="V1704">
        <v>10.55</v>
      </c>
      <c r="W1704" t="str">
        <f t="shared" ref="W1704:W1767" si="456">"zintel"</f>
        <v>zintel</v>
      </c>
    </row>
    <row r="1705" spans="1:23">
      <c r="A1705" t="str">
        <f t="shared" ref="A1705:A1736" si="457">"JM-CMPL-ELEC-2"</f>
        <v>JM-CMPL-ELEC-2</v>
      </c>
      <c r="B1705" t="str">
        <f>"10-LS00-0200"</f>
        <v>10-LS00-0200</v>
      </c>
      <c r="C1705" t="str">
        <f>"LS200:Jobmaster 2-Sided Mobile Learning Station"</f>
        <v>LS200:Jobmaster 2-Sided Mobile Learning Station</v>
      </c>
      <c r="D1705">
        <v>1</v>
      </c>
      <c r="E1705" t="str">
        <f t="shared" ref="E1705:E1736" si="458">"Complete Industrial Electronics Program 220V"</f>
        <v>Complete Industrial Electronics Program 220V</v>
      </c>
      <c r="F1705">
        <v>0</v>
      </c>
      <c r="G1705" t="str">
        <f t="shared" si="450"/>
        <v>Y</v>
      </c>
      <c r="H1705" t="str">
        <f t="shared" si="455"/>
        <v>EA</v>
      </c>
      <c r="I1705">
        <v>0</v>
      </c>
      <c r="J1705">
        <v>0</v>
      </c>
      <c r="K1705" t="str">
        <f t="shared" si="451"/>
        <v>Y</v>
      </c>
      <c r="L1705">
        <v>0</v>
      </c>
      <c r="M1705" t="str">
        <f t="shared" si="449"/>
        <v>NIS</v>
      </c>
      <c r="O1705">
        <v>1</v>
      </c>
      <c r="P1705" t="str">
        <f t="shared" si="452"/>
        <v>Active</v>
      </c>
      <c r="Q1705" t="str">
        <f>"LS200:Jobmaster 2-Sided Mobile Learning Station"</f>
        <v>LS200:Jobmaster 2-Sided Mobile Learning Station</v>
      </c>
      <c r="S1705" t="str">
        <f>"LS200:Jobmaster 2-Sided Mobile Learning Station"</f>
        <v>LS200:Jobmaster 2-Sided Mobile Learning Station</v>
      </c>
      <c r="T1705" s="44">
        <v>2283.3200000000002</v>
      </c>
      <c r="U1705" s="44">
        <v>2121</v>
      </c>
      <c r="V1705" s="44">
        <v>3030.14</v>
      </c>
      <c r="W1705" t="str">
        <f t="shared" si="456"/>
        <v>zintel</v>
      </c>
    </row>
    <row r="1706" spans="1:23">
      <c r="A1706" t="str">
        <f t="shared" si="457"/>
        <v>JM-CMPL-ELEC-2</v>
      </c>
      <c r="B1706" t="str">
        <f>"10-PC04-0000"</f>
        <v>10-PC04-0000</v>
      </c>
      <c r="C1706" t="str">
        <f>"JM, Panel PC04, 120VAC Power Control"</f>
        <v>JM, Panel PC04, 120VAC Power Control</v>
      </c>
      <c r="D1706">
        <v>2</v>
      </c>
      <c r="E1706" t="str">
        <f t="shared" si="458"/>
        <v>Complete Industrial Electronics Program 220V</v>
      </c>
      <c r="F1706">
        <v>0</v>
      </c>
      <c r="G1706" t="str">
        <f t="shared" si="450"/>
        <v>Y</v>
      </c>
      <c r="H1706" t="str">
        <f t="shared" si="455"/>
        <v>EA</v>
      </c>
      <c r="I1706">
        <v>0</v>
      </c>
      <c r="J1706">
        <v>0</v>
      </c>
      <c r="K1706" t="str">
        <f t="shared" si="451"/>
        <v>Y</v>
      </c>
      <c r="L1706">
        <v>0</v>
      </c>
      <c r="M1706" t="str">
        <f t="shared" si="449"/>
        <v>NIS</v>
      </c>
      <c r="O1706">
        <v>2</v>
      </c>
      <c r="P1706" t="str">
        <f t="shared" ref="P1706:P1737" si="459">"Active"</f>
        <v>Active</v>
      </c>
      <c r="Q1706" t="str">
        <f>"JM, Panel PC04, 120VAC Power Control"</f>
        <v>JM, Panel PC04, 120VAC Power Control</v>
      </c>
      <c r="S1706" t="str">
        <f>"JM, Panel PC04, 120VAC Power Control"</f>
        <v>JM, Panel PC04, 120VAC Power Control</v>
      </c>
      <c r="T1706">
        <v>358.54</v>
      </c>
      <c r="U1706">
        <v>358</v>
      </c>
      <c r="V1706">
        <v>637.30999999999995</v>
      </c>
      <c r="W1706" t="str">
        <f t="shared" si="456"/>
        <v>zintel</v>
      </c>
    </row>
    <row r="1707" spans="1:23">
      <c r="A1707" t="str">
        <f t="shared" si="457"/>
        <v>JM-CMPL-ELEC-2</v>
      </c>
      <c r="B1707" t="str">
        <f>"10-PC06-0000"</f>
        <v>10-PC06-0000</v>
      </c>
      <c r="C1707" t="str">
        <f>"JM, Panel PC06, 220VAC Three Phase Power Control"</f>
        <v>JM, Panel PC06, 220VAC Three Phase Power Control</v>
      </c>
      <c r="D1707">
        <v>2</v>
      </c>
      <c r="E1707" t="str">
        <f t="shared" si="458"/>
        <v>Complete Industrial Electronics Program 220V</v>
      </c>
      <c r="F1707">
        <v>0</v>
      </c>
      <c r="G1707" t="str">
        <f t="shared" si="450"/>
        <v>Y</v>
      </c>
      <c r="H1707" t="str">
        <f t="shared" si="455"/>
        <v>EA</v>
      </c>
      <c r="I1707">
        <v>0</v>
      </c>
      <c r="J1707">
        <v>0</v>
      </c>
      <c r="K1707" t="str">
        <f t="shared" si="451"/>
        <v>Y</v>
      </c>
      <c r="L1707">
        <v>0</v>
      </c>
      <c r="M1707" t="str">
        <f t="shared" si="449"/>
        <v>NIS</v>
      </c>
      <c r="O1707">
        <v>3</v>
      </c>
      <c r="P1707" t="str">
        <f t="shared" si="459"/>
        <v>Active</v>
      </c>
      <c r="Q1707" t="str">
        <f>"JM, Panel PC06, 220VAC Three Phase Power Control"</f>
        <v>JM, Panel PC06, 220VAC Three Phase Power Control</v>
      </c>
      <c r="S1707" t="str">
        <f>"JM, Panel PC06, 220VAC Three Phase Power Control"</f>
        <v>JM, Panel PC06, 220VAC Three Phase Power Control</v>
      </c>
      <c r="T1707">
        <v>399.23</v>
      </c>
      <c r="U1707">
        <v>400</v>
      </c>
      <c r="V1707">
        <v>576.48</v>
      </c>
      <c r="W1707" t="str">
        <f t="shared" si="456"/>
        <v>zintel</v>
      </c>
    </row>
    <row r="1708" spans="1:23">
      <c r="A1708" t="str">
        <f t="shared" si="457"/>
        <v>JM-CMPL-ELEC-2</v>
      </c>
      <c r="B1708" t="str">
        <f>"77-EA01A-0000"</f>
        <v>77-EA01A-0000</v>
      </c>
      <c r="C1708" t="str">
        <f>"LM7 Content, JM, Electrical Circuits"</f>
        <v>LM7 Content, JM, Electrical Circuits</v>
      </c>
      <c r="D1708">
        <v>1</v>
      </c>
      <c r="E1708" t="str">
        <f t="shared" si="458"/>
        <v>Complete Industrial Electronics Program 220V</v>
      </c>
      <c r="F1708">
        <v>0</v>
      </c>
      <c r="G1708" t="str">
        <f t="shared" si="450"/>
        <v>Y</v>
      </c>
      <c r="H1708" t="str">
        <f t="shared" si="455"/>
        <v>EA</v>
      </c>
      <c r="I1708">
        <v>0</v>
      </c>
      <c r="J1708">
        <v>0</v>
      </c>
      <c r="K1708" t="str">
        <f t="shared" si="451"/>
        <v>Y</v>
      </c>
      <c r="L1708">
        <v>0</v>
      </c>
      <c r="M1708" t="str">
        <f t="shared" si="449"/>
        <v>NIS</v>
      </c>
      <c r="O1708">
        <v>4</v>
      </c>
      <c r="P1708" t="str">
        <f t="shared" si="459"/>
        <v>Active</v>
      </c>
      <c r="Q1708" t="str">
        <f>"LM7 Content, JM, Electrical Circuits"</f>
        <v>LM7 Content, JM, Electrical Circuits</v>
      </c>
      <c r="S1708" t="str">
        <f>"LM7 Content, JM, Electrical Circuits"</f>
        <v>LM7 Content, JM, Electrical Circuits</v>
      </c>
      <c r="T1708">
        <v>0</v>
      </c>
      <c r="U1708">
        <v>5</v>
      </c>
      <c r="V1708">
        <v>5</v>
      </c>
      <c r="W1708" t="str">
        <f t="shared" si="456"/>
        <v>zintel</v>
      </c>
    </row>
    <row r="1709" spans="1:23">
      <c r="A1709" t="str">
        <f t="shared" si="457"/>
        <v>JM-CMPL-ELEC-2</v>
      </c>
      <c r="B1709" t="str">
        <f>"26-E045-0000"</f>
        <v>26-E045-0000</v>
      </c>
      <c r="C1709" t="str">
        <f>"Assembly, JM, E045, Sources of Electricity"</f>
        <v>Assembly, JM, E045, Sources of Electricity</v>
      </c>
      <c r="D1709">
        <v>2</v>
      </c>
      <c r="E1709" t="str">
        <f t="shared" si="458"/>
        <v>Complete Industrial Electronics Program 220V</v>
      </c>
      <c r="F1709">
        <v>0</v>
      </c>
      <c r="G1709" t="str">
        <f t="shared" si="450"/>
        <v>Y</v>
      </c>
      <c r="H1709" t="str">
        <f t="shared" si="455"/>
        <v>EA</v>
      </c>
      <c r="I1709">
        <v>0</v>
      </c>
      <c r="J1709">
        <v>0</v>
      </c>
      <c r="K1709" t="str">
        <f t="shared" si="451"/>
        <v>Y</v>
      </c>
      <c r="L1709">
        <v>0</v>
      </c>
      <c r="M1709" t="str">
        <f t="shared" si="449"/>
        <v>NIS</v>
      </c>
      <c r="O1709">
        <v>5</v>
      </c>
      <c r="P1709" t="str">
        <f t="shared" si="459"/>
        <v>Active</v>
      </c>
      <c r="Q1709" t="str">
        <f>"Assembly, JM, E045, Sources of Electricity"</f>
        <v>Assembly, JM, E045, Sources of Electricity</v>
      </c>
      <c r="S1709" t="str">
        <f>"Assembly, JM, E045, Sources of Electricity"</f>
        <v>Assembly, JM, E045, Sources of Electricity</v>
      </c>
      <c r="T1709">
        <v>92.93</v>
      </c>
      <c r="U1709">
        <v>92</v>
      </c>
      <c r="V1709">
        <v>169.98</v>
      </c>
      <c r="W1709" t="str">
        <f t="shared" si="456"/>
        <v>zintel</v>
      </c>
    </row>
    <row r="1710" spans="1:23">
      <c r="A1710" t="str">
        <f t="shared" si="457"/>
        <v>JM-CMPL-ELEC-2</v>
      </c>
      <c r="B1710" t="str">
        <f>"26-E047-0000"</f>
        <v>26-E047-0000</v>
      </c>
      <c r="C1710" t="str">
        <f>"Assembly, JM, E047, Heat/Light Source"</f>
        <v>Assembly, JM, E047, Heat/Light Source</v>
      </c>
      <c r="D1710">
        <v>2</v>
      </c>
      <c r="E1710" t="str">
        <f t="shared" si="458"/>
        <v>Complete Industrial Electronics Program 220V</v>
      </c>
      <c r="F1710">
        <v>0</v>
      </c>
      <c r="G1710" t="str">
        <f t="shared" si="450"/>
        <v>Y</v>
      </c>
      <c r="H1710" t="str">
        <f t="shared" si="455"/>
        <v>EA</v>
      </c>
      <c r="I1710">
        <v>0</v>
      </c>
      <c r="J1710">
        <v>0</v>
      </c>
      <c r="K1710" t="str">
        <f t="shared" si="451"/>
        <v>Y</v>
      </c>
      <c r="L1710">
        <v>0</v>
      </c>
      <c r="M1710" t="str">
        <f t="shared" si="449"/>
        <v>NIS</v>
      </c>
      <c r="O1710">
        <v>6</v>
      </c>
      <c r="P1710" t="str">
        <f t="shared" si="459"/>
        <v>Active</v>
      </c>
      <c r="Q1710" t="str">
        <f>"Assembly, JM, E047, Heat/Light Source"</f>
        <v>Assembly, JM, E047, Heat/Light Source</v>
      </c>
      <c r="S1710" t="str">
        <f>"Assembly, JM, E047, Heat/Light Source"</f>
        <v>Assembly, JM, E047, Heat/Light Source</v>
      </c>
      <c r="T1710">
        <v>71.62</v>
      </c>
      <c r="U1710">
        <v>72</v>
      </c>
      <c r="V1710">
        <v>121.41</v>
      </c>
      <c r="W1710" t="str">
        <f t="shared" si="456"/>
        <v>zintel</v>
      </c>
    </row>
    <row r="1711" spans="1:23">
      <c r="A1711" t="str">
        <f t="shared" si="457"/>
        <v>JM-CMPL-ELEC-2</v>
      </c>
      <c r="B1711" t="str">
        <f>"26-E151-0000"</f>
        <v>26-E151-0000</v>
      </c>
      <c r="C1711" t="str">
        <f>"Assembly, JM, E151,Series/Parallel Lamps Panel"</f>
        <v>Assembly, JM, E151,Series/Parallel Lamps Panel</v>
      </c>
      <c r="D1711">
        <v>2</v>
      </c>
      <c r="E1711" t="str">
        <f t="shared" si="458"/>
        <v>Complete Industrial Electronics Program 220V</v>
      </c>
      <c r="F1711">
        <v>0</v>
      </c>
      <c r="G1711" t="str">
        <f t="shared" si="450"/>
        <v>Y</v>
      </c>
      <c r="H1711" t="str">
        <f t="shared" si="455"/>
        <v>EA</v>
      </c>
      <c r="I1711">
        <v>0</v>
      </c>
      <c r="J1711">
        <v>0</v>
      </c>
      <c r="K1711" t="str">
        <f t="shared" si="451"/>
        <v>Y</v>
      </c>
      <c r="L1711">
        <v>0</v>
      </c>
      <c r="M1711" t="str">
        <f t="shared" si="449"/>
        <v>NIS</v>
      </c>
      <c r="O1711">
        <v>7</v>
      </c>
      <c r="P1711" t="str">
        <f t="shared" si="459"/>
        <v>Active</v>
      </c>
      <c r="Q1711" t="str">
        <f>"Assembly, JM, E151,Series/Parallel Lamps Panel"</f>
        <v>Assembly, JM, E151,Series/Parallel Lamps Panel</v>
      </c>
      <c r="S1711" t="str">
        <f>"Assembly, JM, E151,Series/Parallel Lamps Panel"</f>
        <v>Assembly, JM, E151,Series/Parallel Lamps Panel</v>
      </c>
      <c r="T1711">
        <v>111.9</v>
      </c>
      <c r="U1711">
        <v>110</v>
      </c>
      <c r="V1711">
        <v>294.89999999999998</v>
      </c>
      <c r="W1711" t="str">
        <f t="shared" si="456"/>
        <v>zintel</v>
      </c>
    </row>
    <row r="1712" spans="1:23">
      <c r="A1712" t="str">
        <f t="shared" si="457"/>
        <v>JM-CMPL-ELEC-2</v>
      </c>
      <c r="B1712" t="str">
        <f>"26-E152-0000"</f>
        <v>26-E152-0000</v>
      </c>
      <c r="C1712" t="str">
        <f>"Assembly, JM, E152, Transformer/Adjustable Power"</f>
        <v>Assembly, JM, E152, Transformer/Adjustable Power</v>
      </c>
      <c r="D1712">
        <v>2</v>
      </c>
      <c r="E1712" t="str">
        <f t="shared" si="458"/>
        <v>Complete Industrial Electronics Program 220V</v>
      </c>
      <c r="F1712">
        <v>0</v>
      </c>
      <c r="G1712" t="str">
        <f t="shared" si="450"/>
        <v>Y</v>
      </c>
      <c r="H1712" t="str">
        <f t="shared" si="455"/>
        <v>EA</v>
      </c>
      <c r="I1712">
        <v>0</v>
      </c>
      <c r="J1712">
        <v>0</v>
      </c>
      <c r="K1712" t="str">
        <f t="shared" si="451"/>
        <v>Y</v>
      </c>
      <c r="L1712">
        <v>0</v>
      </c>
      <c r="M1712" t="str">
        <f t="shared" si="449"/>
        <v>NIS</v>
      </c>
      <c r="O1712">
        <v>8</v>
      </c>
      <c r="P1712" t="str">
        <f t="shared" si="459"/>
        <v>Active</v>
      </c>
      <c r="Q1712" t="str">
        <f>"Assembly, JM, E152, Transformer/Adjustable Power"</f>
        <v>Assembly, JM, E152, Transformer/Adjustable Power</v>
      </c>
      <c r="S1712" t="str">
        <f>"Assembly, JM, E152, Transformer/Adjustable Power"</f>
        <v>Assembly, JM, E152, Transformer/Adjustable Power</v>
      </c>
      <c r="T1712">
        <v>196.61</v>
      </c>
      <c r="U1712">
        <v>195</v>
      </c>
      <c r="V1712">
        <v>414.83</v>
      </c>
      <c r="W1712" t="str">
        <f t="shared" si="456"/>
        <v>zintel</v>
      </c>
    </row>
    <row r="1713" spans="1:23">
      <c r="A1713" t="str">
        <f t="shared" si="457"/>
        <v>JM-CMPL-ELEC-2</v>
      </c>
      <c r="B1713" t="str">
        <f>"26-E040-0000"</f>
        <v>26-E040-0000</v>
      </c>
      <c r="C1713" t="str">
        <f>"Assembly, JM, E040, Switches, Lamp, and Buzzer"</f>
        <v>Assembly, JM, E040, Switches, Lamp, and Buzzer</v>
      </c>
      <c r="D1713">
        <v>2</v>
      </c>
      <c r="E1713" t="str">
        <f t="shared" si="458"/>
        <v>Complete Industrial Electronics Program 220V</v>
      </c>
      <c r="F1713">
        <v>0</v>
      </c>
      <c r="G1713" t="str">
        <f t="shared" si="450"/>
        <v>Y</v>
      </c>
      <c r="H1713" t="str">
        <f t="shared" si="455"/>
        <v>EA</v>
      </c>
      <c r="I1713">
        <v>0</v>
      </c>
      <c r="J1713">
        <v>0</v>
      </c>
      <c r="K1713" t="str">
        <f t="shared" si="451"/>
        <v>Y</v>
      </c>
      <c r="L1713">
        <v>0</v>
      </c>
      <c r="M1713" t="str">
        <f t="shared" ref="M1713:M1776" si="460">"NIS"</f>
        <v>NIS</v>
      </c>
      <c r="O1713">
        <v>9</v>
      </c>
      <c r="P1713" t="str">
        <f t="shared" si="459"/>
        <v>Active</v>
      </c>
      <c r="Q1713" t="str">
        <f>"Assembly, JM, E040, Switches, Lamp, and Buzzer"</f>
        <v>Assembly, JM, E040, Switches, Lamp, and Buzzer</v>
      </c>
      <c r="S1713" t="str">
        <f>"Assembly, JM, E040, Switches, Lamp, and Buzzer"</f>
        <v>Assembly, JM, E040, Switches, Lamp, and Buzzer</v>
      </c>
      <c r="T1713">
        <v>129.08000000000001</v>
      </c>
      <c r="U1713">
        <v>127</v>
      </c>
      <c r="V1713">
        <v>179.69</v>
      </c>
      <c r="W1713" t="str">
        <f t="shared" si="456"/>
        <v>zintel</v>
      </c>
    </row>
    <row r="1714" spans="1:23">
      <c r="A1714" t="str">
        <f t="shared" si="457"/>
        <v>JM-CMPL-ELEC-2</v>
      </c>
      <c r="B1714" t="str">
        <f>"36-8900-0007"</f>
        <v>36-8900-0007</v>
      </c>
      <c r="C1714" t="str">
        <f>"JM, Digital Multimeter, Fluke-115"</f>
        <v>JM, Digital Multimeter, Fluke-115</v>
      </c>
      <c r="D1714">
        <v>2</v>
      </c>
      <c r="E1714" t="str">
        <f t="shared" si="458"/>
        <v>Complete Industrial Electronics Program 220V</v>
      </c>
      <c r="F1714">
        <v>0</v>
      </c>
      <c r="G1714" t="str">
        <f t="shared" si="450"/>
        <v>Y</v>
      </c>
      <c r="H1714" t="str">
        <f t="shared" si="455"/>
        <v>EA</v>
      </c>
      <c r="I1714">
        <v>0</v>
      </c>
      <c r="J1714">
        <v>0</v>
      </c>
      <c r="K1714" t="str">
        <f t="shared" si="451"/>
        <v>Y</v>
      </c>
      <c r="L1714">
        <v>0</v>
      </c>
      <c r="M1714" t="str">
        <f t="shared" si="460"/>
        <v>NIS</v>
      </c>
      <c r="O1714">
        <v>10</v>
      </c>
      <c r="P1714" t="str">
        <f t="shared" si="459"/>
        <v>Active</v>
      </c>
      <c r="Q1714" t="str">
        <f>"JM, Digital Multimeter, Fluke-115"</f>
        <v>JM, Digital Multimeter, Fluke-115</v>
      </c>
      <c r="R1714" t="str">
        <f>"1"</f>
        <v>1</v>
      </c>
      <c r="S1714" t="str">
        <f>"JM, Digital Multimeter, Fluke-115"</f>
        <v>JM, Digital Multimeter, Fluke-115</v>
      </c>
      <c r="T1714">
        <v>158.5</v>
      </c>
      <c r="U1714">
        <v>145</v>
      </c>
      <c r="V1714">
        <v>218.54</v>
      </c>
      <c r="W1714" t="str">
        <f t="shared" si="456"/>
        <v>zintel</v>
      </c>
    </row>
    <row r="1715" spans="1:23">
      <c r="A1715" t="str">
        <f t="shared" si="457"/>
        <v>JM-CMPL-ELEC-2</v>
      </c>
      <c r="B1715" t="str">
        <f>"77-EA01B-0000"</f>
        <v>77-EA01B-0000</v>
      </c>
      <c r="C1715" t="str">
        <f>"LM7 Content, JM, Resistors &amp; Conductors"</f>
        <v>LM7 Content, JM, Resistors &amp; Conductors</v>
      </c>
      <c r="D1715">
        <v>1</v>
      </c>
      <c r="E1715" t="str">
        <f t="shared" si="458"/>
        <v>Complete Industrial Electronics Program 220V</v>
      </c>
      <c r="F1715">
        <v>0</v>
      </c>
      <c r="G1715" t="str">
        <f t="shared" si="450"/>
        <v>Y</v>
      </c>
      <c r="H1715" t="str">
        <f t="shared" si="455"/>
        <v>EA</v>
      </c>
      <c r="I1715">
        <v>0</v>
      </c>
      <c r="J1715">
        <v>0</v>
      </c>
      <c r="K1715" t="str">
        <f t="shared" si="451"/>
        <v>Y</v>
      </c>
      <c r="L1715">
        <v>0</v>
      </c>
      <c r="M1715" t="str">
        <f t="shared" si="460"/>
        <v>NIS</v>
      </c>
      <c r="O1715">
        <v>12</v>
      </c>
      <c r="P1715" t="str">
        <f t="shared" si="459"/>
        <v>Active</v>
      </c>
      <c r="Q1715" t="str">
        <f>"LM7 Content, JM, Resistors &amp; Conductors"</f>
        <v>LM7 Content, JM, Resistors &amp; Conductors</v>
      </c>
      <c r="S1715" t="str">
        <f>"LM7 Content, JM, Resistors &amp; Conductors"</f>
        <v>LM7 Content, JM, Resistors &amp; Conductors</v>
      </c>
      <c r="T1715">
        <v>0</v>
      </c>
      <c r="U1715">
        <v>5</v>
      </c>
      <c r="V1715">
        <v>5</v>
      </c>
      <c r="W1715" t="str">
        <f t="shared" si="456"/>
        <v>zintel</v>
      </c>
    </row>
    <row r="1716" spans="1:23">
      <c r="A1716" t="str">
        <f t="shared" si="457"/>
        <v>JM-CMPL-ELEC-2</v>
      </c>
      <c r="B1716" t="str">
        <f>"26-E042-0000"</f>
        <v>26-E042-0000</v>
      </c>
      <c r="C1716" t="str">
        <f>"Assembly, JM, E042, Resistance Panel"</f>
        <v>Assembly, JM, E042, Resistance Panel</v>
      </c>
      <c r="D1716">
        <v>2</v>
      </c>
      <c r="E1716" t="str">
        <f t="shared" si="458"/>
        <v>Complete Industrial Electronics Program 220V</v>
      </c>
      <c r="F1716">
        <v>0</v>
      </c>
      <c r="G1716" t="str">
        <f t="shared" si="450"/>
        <v>Y</v>
      </c>
      <c r="H1716" t="str">
        <f t="shared" si="455"/>
        <v>EA</v>
      </c>
      <c r="I1716">
        <v>0</v>
      </c>
      <c r="J1716">
        <v>0</v>
      </c>
      <c r="K1716" t="str">
        <f t="shared" si="451"/>
        <v>Y</v>
      </c>
      <c r="L1716">
        <v>0</v>
      </c>
      <c r="M1716" t="str">
        <f t="shared" si="460"/>
        <v>NIS</v>
      </c>
      <c r="O1716">
        <v>13</v>
      </c>
      <c r="P1716" t="str">
        <f t="shared" si="459"/>
        <v>Active</v>
      </c>
      <c r="Q1716" t="str">
        <f>"Assembly, JM, E042, Resistance Panel"</f>
        <v>Assembly, JM, E042, Resistance Panel</v>
      </c>
      <c r="S1716" t="str">
        <f>"Assembly, JM, E042, Resistance Panel"</f>
        <v>Assembly, JM, E042, Resistance Panel</v>
      </c>
      <c r="T1716">
        <v>275.08</v>
      </c>
      <c r="U1716">
        <v>270</v>
      </c>
      <c r="V1716">
        <v>532.45000000000005</v>
      </c>
      <c r="W1716" t="str">
        <f t="shared" si="456"/>
        <v>zintel</v>
      </c>
    </row>
    <row r="1717" spans="1:23">
      <c r="A1717" t="str">
        <f t="shared" si="457"/>
        <v>JM-CMPL-ELEC-2</v>
      </c>
      <c r="B1717" t="str">
        <f>"77-EA01C-0000"</f>
        <v>77-EA01C-0000</v>
      </c>
      <c r="C1717" t="str">
        <f>"LM7 Content, JM, LCR Circuits"</f>
        <v>LM7 Content, JM, LCR Circuits</v>
      </c>
      <c r="D1717">
        <v>1</v>
      </c>
      <c r="E1717" t="str">
        <f t="shared" si="458"/>
        <v>Complete Industrial Electronics Program 220V</v>
      </c>
      <c r="F1717">
        <v>0</v>
      </c>
      <c r="G1717" t="str">
        <f t="shared" si="450"/>
        <v>Y</v>
      </c>
      <c r="H1717" t="str">
        <f t="shared" si="455"/>
        <v>EA</v>
      </c>
      <c r="I1717">
        <v>0</v>
      </c>
      <c r="J1717">
        <v>0</v>
      </c>
      <c r="K1717" t="str">
        <f t="shared" si="451"/>
        <v>Y</v>
      </c>
      <c r="L1717">
        <v>0</v>
      </c>
      <c r="M1717" t="str">
        <f t="shared" si="460"/>
        <v>NIS</v>
      </c>
      <c r="O1717">
        <v>15</v>
      </c>
      <c r="P1717" t="str">
        <f t="shared" si="459"/>
        <v>Active</v>
      </c>
      <c r="Q1717" t="str">
        <f>"LM7 Content, JM, LCR Circuits"</f>
        <v>LM7 Content, JM, LCR Circuits</v>
      </c>
      <c r="S1717" t="str">
        <f>"LM7 Content, JM, LCR Circuits"</f>
        <v>LM7 Content, JM, LCR Circuits</v>
      </c>
      <c r="T1717">
        <v>0</v>
      </c>
      <c r="U1717">
        <v>5</v>
      </c>
      <c r="V1717">
        <v>5</v>
      </c>
      <c r="W1717" t="str">
        <f t="shared" si="456"/>
        <v>zintel</v>
      </c>
    </row>
    <row r="1718" spans="1:23">
      <c r="A1718" t="str">
        <f t="shared" si="457"/>
        <v>JM-CMPL-ELEC-2</v>
      </c>
      <c r="B1718" t="str">
        <f>"26-E043-0000"</f>
        <v>26-E043-0000</v>
      </c>
      <c r="C1718" t="str">
        <f>"Assembly, JM, E043, Capacitance Panel"</f>
        <v>Assembly, JM, E043, Capacitance Panel</v>
      </c>
      <c r="D1718">
        <v>2</v>
      </c>
      <c r="E1718" t="str">
        <f t="shared" si="458"/>
        <v>Complete Industrial Electronics Program 220V</v>
      </c>
      <c r="F1718">
        <v>0</v>
      </c>
      <c r="G1718" t="str">
        <f t="shared" si="450"/>
        <v>Y</v>
      </c>
      <c r="H1718" t="str">
        <f t="shared" si="455"/>
        <v>EA</v>
      </c>
      <c r="I1718">
        <v>0</v>
      </c>
      <c r="J1718">
        <v>0</v>
      </c>
      <c r="K1718" t="str">
        <f t="shared" si="451"/>
        <v>Y</v>
      </c>
      <c r="L1718">
        <v>0</v>
      </c>
      <c r="M1718" t="str">
        <f t="shared" si="460"/>
        <v>NIS</v>
      </c>
      <c r="O1718">
        <v>16</v>
      </c>
      <c r="P1718" t="str">
        <f t="shared" si="459"/>
        <v>Active</v>
      </c>
      <c r="Q1718" t="str">
        <f>"Assembly, JM, E043, Capacitance Panel"</f>
        <v>Assembly, JM, E043, Capacitance Panel</v>
      </c>
      <c r="S1718" t="str">
        <f>"Assembly, JM, E043, Capacitance Panel"</f>
        <v>Assembly, JM, E043, Capacitance Panel</v>
      </c>
      <c r="T1718">
        <v>101.44</v>
      </c>
      <c r="U1718">
        <v>100</v>
      </c>
      <c r="V1718">
        <v>240.44</v>
      </c>
      <c r="W1718" t="str">
        <f t="shared" si="456"/>
        <v>zintel</v>
      </c>
    </row>
    <row r="1719" spans="1:23">
      <c r="A1719" t="str">
        <f t="shared" si="457"/>
        <v>JM-CMPL-ELEC-2</v>
      </c>
      <c r="B1719" t="str">
        <f>"26-E044-0000"</f>
        <v>26-E044-0000</v>
      </c>
      <c r="C1719" t="str">
        <f>"Assembly, JM, E044, Inductance/Magnetism Panel"</f>
        <v>Assembly, JM, E044, Inductance/Magnetism Panel</v>
      </c>
      <c r="D1719">
        <v>2</v>
      </c>
      <c r="E1719" t="str">
        <f t="shared" si="458"/>
        <v>Complete Industrial Electronics Program 220V</v>
      </c>
      <c r="F1719">
        <v>0</v>
      </c>
      <c r="G1719" t="str">
        <f t="shared" si="450"/>
        <v>Y</v>
      </c>
      <c r="H1719" t="str">
        <f t="shared" si="455"/>
        <v>EA</v>
      </c>
      <c r="I1719">
        <v>0</v>
      </c>
      <c r="J1719">
        <v>0</v>
      </c>
      <c r="K1719" t="str">
        <f t="shared" si="451"/>
        <v>Y</v>
      </c>
      <c r="L1719">
        <v>0</v>
      </c>
      <c r="M1719" t="str">
        <f t="shared" si="460"/>
        <v>NIS</v>
      </c>
      <c r="O1719">
        <v>17</v>
      </c>
      <c r="P1719" t="str">
        <f t="shared" si="459"/>
        <v>Active</v>
      </c>
      <c r="Q1719" t="str">
        <f>"Assembly, JM, E044, Inductance/Magnetism Panel"</f>
        <v>Assembly, JM, E044, Inductance/Magnetism Panel</v>
      </c>
      <c r="S1719" t="str">
        <f>"Assembly, JM, E044, Inductance/Magnetism Panel"</f>
        <v>Assembly, JM, E044, Inductance/Magnetism Panel</v>
      </c>
      <c r="T1719">
        <v>113.21</v>
      </c>
      <c r="U1719">
        <v>112</v>
      </c>
      <c r="V1719">
        <v>261.3</v>
      </c>
      <c r="W1719" t="str">
        <f t="shared" si="456"/>
        <v>zintel</v>
      </c>
    </row>
    <row r="1720" spans="1:23">
      <c r="A1720" t="str">
        <f t="shared" si="457"/>
        <v>JM-CMPL-ELEC-2</v>
      </c>
      <c r="B1720" t="str">
        <f>"26-E057-0000"</f>
        <v>26-E057-0000</v>
      </c>
      <c r="C1720" t="str">
        <f>"Assembly, JM, E057, Motor/Generator Demo Panel"</f>
        <v>Assembly, JM, E057, Motor/Generator Demo Panel</v>
      </c>
      <c r="D1720">
        <v>2</v>
      </c>
      <c r="E1720" t="str">
        <f t="shared" si="458"/>
        <v>Complete Industrial Electronics Program 220V</v>
      </c>
      <c r="F1720">
        <v>0</v>
      </c>
      <c r="G1720" t="str">
        <f t="shared" si="450"/>
        <v>Y</v>
      </c>
      <c r="H1720" t="str">
        <f t="shared" si="455"/>
        <v>EA</v>
      </c>
      <c r="I1720">
        <v>0</v>
      </c>
      <c r="J1720">
        <v>0</v>
      </c>
      <c r="K1720" t="str">
        <f t="shared" si="451"/>
        <v>Y</v>
      </c>
      <c r="L1720">
        <v>0</v>
      </c>
      <c r="M1720" t="str">
        <f t="shared" si="460"/>
        <v>NIS</v>
      </c>
      <c r="O1720">
        <v>18</v>
      </c>
      <c r="P1720" t="str">
        <f t="shared" si="459"/>
        <v>Active</v>
      </c>
      <c r="Q1720" t="str">
        <f>"Assembly, JM, E057, Motor/Generator Demo Panel"</f>
        <v>Assembly, JM, E057, Motor/Generator Demo Panel</v>
      </c>
      <c r="S1720" t="str">
        <f>"Assembly, JM, E057, Motor/Generator Demo Panel"</f>
        <v>Assembly, JM, E057, Motor/Generator Demo Panel</v>
      </c>
      <c r="T1720">
        <v>182.56</v>
      </c>
      <c r="U1720">
        <v>180</v>
      </c>
      <c r="V1720">
        <v>376.01</v>
      </c>
      <c r="W1720" t="str">
        <f t="shared" si="456"/>
        <v>zintel</v>
      </c>
    </row>
    <row r="1721" spans="1:23">
      <c r="A1721" t="str">
        <f t="shared" si="457"/>
        <v>JM-CMPL-ELEC-2</v>
      </c>
      <c r="B1721" t="str">
        <f>"26-E150-0000"</f>
        <v>26-E150-0000</v>
      </c>
      <c r="C1721" t="str">
        <f>"Assembly, JM, E150, Relay/Contactor Panel"</f>
        <v>Assembly, JM, E150, Relay/Contactor Panel</v>
      </c>
      <c r="D1721">
        <v>2</v>
      </c>
      <c r="E1721" t="str">
        <f t="shared" si="458"/>
        <v>Complete Industrial Electronics Program 220V</v>
      </c>
      <c r="F1721">
        <v>0</v>
      </c>
      <c r="G1721" t="str">
        <f t="shared" si="450"/>
        <v>Y</v>
      </c>
      <c r="H1721" t="str">
        <f t="shared" si="455"/>
        <v>EA</v>
      </c>
      <c r="I1721">
        <v>0</v>
      </c>
      <c r="J1721">
        <v>0</v>
      </c>
      <c r="K1721" t="str">
        <f t="shared" si="451"/>
        <v>Y</v>
      </c>
      <c r="L1721">
        <v>0</v>
      </c>
      <c r="M1721" t="str">
        <f t="shared" si="460"/>
        <v>NIS</v>
      </c>
      <c r="O1721">
        <v>19</v>
      </c>
      <c r="P1721" t="str">
        <f t="shared" si="459"/>
        <v>Active</v>
      </c>
      <c r="Q1721" t="str">
        <f>"Assembly, JM, E150, Relay/Contactor Panel"</f>
        <v>Assembly, JM, E150, Relay/Contactor Panel</v>
      </c>
      <c r="S1721" t="str">
        <f>"Assembly, JM, E150, Relay/Contactor Panel"</f>
        <v>Assembly, JM, E150, Relay/Contactor Panel</v>
      </c>
      <c r="T1721">
        <v>213.33</v>
      </c>
      <c r="U1721">
        <v>210</v>
      </c>
      <c r="V1721">
        <v>274.38</v>
      </c>
      <c r="W1721" t="str">
        <f t="shared" si="456"/>
        <v>zintel</v>
      </c>
    </row>
    <row r="1722" spans="1:23">
      <c r="A1722" t="str">
        <f t="shared" si="457"/>
        <v>JM-CMPL-ELEC-2</v>
      </c>
      <c r="B1722" t="str">
        <f>"26-E029-0000"</f>
        <v>26-E029-0000</v>
      </c>
      <c r="C1722" t="str">
        <f>"Assembly, JM, E029, Inductance/Mag Test Panel"</f>
        <v>Assembly, JM, E029, Inductance/Mag Test Panel</v>
      </c>
      <c r="D1722">
        <v>2</v>
      </c>
      <c r="E1722" t="str">
        <f t="shared" si="458"/>
        <v>Complete Industrial Electronics Program 220V</v>
      </c>
      <c r="F1722">
        <v>0</v>
      </c>
      <c r="G1722" t="str">
        <f t="shared" si="450"/>
        <v>Y</v>
      </c>
      <c r="H1722" t="str">
        <f t="shared" si="455"/>
        <v>EA</v>
      </c>
      <c r="I1722">
        <v>0</v>
      </c>
      <c r="J1722">
        <v>0</v>
      </c>
      <c r="K1722" t="str">
        <f t="shared" si="451"/>
        <v>Y</v>
      </c>
      <c r="L1722">
        <v>0</v>
      </c>
      <c r="M1722" t="str">
        <f t="shared" si="460"/>
        <v>NIS</v>
      </c>
      <c r="O1722">
        <v>20</v>
      </c>
      <c r="P1722" t="str">
        <f t="shared" si="459"/>
        <v>Active</v>
      </c>
      <c r="Q1722" t="str">
        <f>"Assembly, JM, E029, Inductance/Mag Test Panel"</f>
        <v>Assembly, JM, E029, Inductance/Mag Test Panel</v>
      </c>
      <c r="S1722" t="str">
        <f>"Assembly, JM, E029, Inductance/Mag Test Panel"</f>
        <v>Assembly, JM, E029, Inductance/Mag Test Panel</v>
      </c>
      <c r="T1722">
        <v>159.29</v>
      </c>
      <c r="U1722">
        <v>160</v>
      </c>
      <c r="V1722">
        <v>385.87</v>
      </c>
      <c r="W1722" t="str">
        <f t="shared" si="456"/>
        <v>zintel</v>
      </c>
    </row>
    <row r="1723" spans="1:23">
      <c r="A1723" t="str">
        <f t="shared" si="457"/>
        <v>JM-CMPL-ELEC-2</v>
      </c>
      <c r="B1723" t="str">
        <f>"77-EA01D-0000"</f>
        <v>77-EA01D-0000</v>
      </c>
      <c r="C1723" t="str">
        <f>"LM7 Content, JM, Motors &amp; Generators"</f>
        <v>LM7 Content, JM, Motors &amp; Generators</v>
      </c>
      <c r="D1723">
        <v>1</v>
      </c>
      <c r="E1723" t="str">
        <f t="shared" si="458"/>
        <v>Complete Industrial Electronics Program 220V</v>
      </c>
      <c r="F1723">
        <v>0</v>
      </c>
      <c r="G1723" t="str">
        <f t="shared" si="450"/>
        <v>Y</v>
      </c>
      <c r="H1723" t="str">
        <f t="shared" si="455"/>
        <v>EA</v>
      </c>
      <c r="I1723">
        <v>0</v>
      </c>
      <c r="J1723">
        <v>0</v>
      </c>
      <c r="K1723" t="str">
        <f t="shared" si="451"/>
        <v>Y</v>
      </c>
      <c r="L1723">
        <v>0</v>
      </c>
      <c r="M1723" t="str">
        <f t="shared" si="460"/>
        <v>NIS</v>
      </c>
      <c r="O1723">
        <v>22</v>
      </c>
      <c r="P1723" t="str">
        <f t="shared" si="459"/>
        <v>Active</v>
      </c>
      <c r="Q1723" t="str">
        <f>"LM7 Content, JM, Motors &amp; Generators"</f>
        <v>LM7 Content, JM, Motors &amp; Generators</v>
      </c>
      <c r="S1723" t="str">
        <f>"LM7 Content, JM, Motors &amp; Generators"</f>
        <v>LM7 Content, JM, Motors &amp; Generators</v>
      </c>
      <c r="T1723">
        <v>0</v>
      </c>
      <c r="U1723">
        <v>5</v>
      </c>
      <c r="V1723">
        <v>5</v>
      </c>
      <c r="W1723" t="str">
        <f t="shared" si="456"/>
        <v>zintel</v>
      </c>
    </row>
    <row r="1724" spans="1:23">
      <c r="A1724" t="str">
        <f t="shared" si="457"/>
        <v>JM-CMPL-ELEC-2</v>
      </c>
      <c r="B1724" t="str">
        <f>"77-EA02-0000"</f>
        <v>77-EA02-0000</v>
      </c>
      <c r="C1724" t="str">
        <f>"LM7 Content, JM, Electric Circuit Protection"</f>
        <v>LM7 Content, JM, Electric Circuit Protection</v>
      </c>
      <c r="D1724">
        <v>1</v>
      </c>
      <c r="E1724" t="str">
        <f t="shared" si="458"/>
        <v>Complete Industrial Electronics Program 220V</v>
      </c>
      <c r="F1724">
        <v>0</v>
      </c>
      <c r="G1724" t="str">
        <f t="shared" si="450"/>
        <v>Y</v>
      </c>
      <c r="H1724" t="str">
        <f t="shared" si="455"/>
        <v>EA</v>
      </c>
      <c r="I1724">
        <v>0</v>
      </c>
      <c r="J1724">
        <v>0</v>
      </c>
      <c r="K1724" t="str">
        <f t="shared" si="451"/>
        <v>Y</v>
      </c>
      <c r="L1724">
        <v>0</v>
      </c>
      <c r="M1724" t="str">
        <f t="shared" si="460"/>
        <v>NIS</v>
      </c>
      <c r="O1724">
        <v>24</v>
      </c>
      <c r="P1724" t="str">
        <f t="shared" si="459"/>
        <v>Active</v>
      </c>
      <c r="Q1724" t="str">
        <f>"LM7 Content, JM, Electric Circuit Protection"</f>
        <v>LM7 Content, JM, Electric Circuit Protection</v>
      </c>
      <c r="S1724" t="str">
        <f>"LM7 Content, JM, Electric Circuit Protection"</f>
        <v>LM7 Content, JM, Electric Circuit Protection</v>
      </c>
      <c r="T1724">
        <v>0</v>
      </c>
      <c r="U1724">
        <v>5</v>
      </c>
      <c r="V1724">
        <v>5</v>
      </c>
      <c r="W1724" t="str">
        <f t="shared" si="456"/>
        <v>zintel</v>
      </c>
    </row>
    <row r="1725" spans="1:23">
      <c r="A1725" t="str">
        <f t="shared" si="457"/>
        <v>JM-CMPL-ELEC-2</v>
      </c>
      <c r="B1725" t="str">
        <f>"26-E022-0000"</f>
        <v>26-E022-0000</v>
      </c>
      <c r="C1725" t="str">
        <f>"Assembly, JM, E022, Manual Starter Panel"</f>
        <v>Assembly, JM, E022, Manual Starter Panel</v>
      </c>
      <c r="D1725">
        <v>2</v>
      </c>
      <c r="E1725" t="str">
        <f t="shared" si="458"/>
        <v>Complete Industrial Electronics Program 220V</v>
      </c>
      <c r="F1725">
        <v>0</v>
      </c>
      <c r="G1725" t="str">
        <f t="shared" si="450"/>
        <v>Y</v>
      </c>
      <c r="H1725" t="str">
        <f t="shared" si="455"/>
        <v>EA</v>
      </c>
      <c r="I1725">
        <v>0</v>
      </c>
      <c r="J1725">
        <v>0</v>
      </c>
      <c r="K1725" t="str">
        <f t="shared" si="451"/>
        <v>Y</v>
      </c>
      <c r="L1725">
        <v>0</v>
      </c>
      <c r="M1725" t="str">
        <f t="shared" si="460"/>
        <v>NIS</v>
      </c>
      <c r="O1725">
        <v>25</v>
      </c>
      <c r="P1725" t="str">
        <f t="shared" si="459"/>
        <v>Active</v>
      </c>
      <c r="Q1725" t="str">
        <f>"Assembly, JM, E022, Manual Starter Panel"</f>
        <v>Assembly, JM, E022, Manual Starter Panel</v>
      </c>
      <c r="S1725" t="str">
        <f>"Assembly, JM, E022, Manual Starter Panel"</f>
        <v>Assembly, JM, E022, Manual Starter Panel</v>
      </c>
      <c r="T1725">
        <v>528.26</v>
      </c>
      <c r="U1725">
        <v>525</v>
      </c>
      <c r="V1725">
        <v>853.52</v>
      </c>
      <c r="W1725" t="str">
        <f t="shared" si="456"/>
        <v>zintel</v>
      </c>
    </row>
    <row r="1726" spans="1:23">
      <c r="A1726" t="str">
        <f t="shared" si="457"/>
        <v>JM-CMPL-ELEC-2</v>
      </c>
      <c r="B1726" t="str">
        <f>"26-E030-0000"</f>
        <v>26-E030-0000</v>
      </c>
      <c r="C1726" t="str">
        <f>"Assembly, JM, E030, Overload Protection Panel"</f>
        <v>Assembly, JM, E030, Overload Protection Panel</v>
      </c>
      <c r="D1726">
        <v>2</v>
      </c>
      <c r="E1726" t="str">
        <f t="shared" si="458"/>
        <v>Complete Industrial Electronics Program 220V</v>
      </c>
      <c r="F1726">
        <v>0</v>
      </c>
      <c r="G1726" t="str">
        <f t="shared" si="450"/>
        <v>Y</v>
      </c>
      <c r="H1726" t="str">
        <f t="shared" si="455"/>
        <v>EA</v>
      </c>
      <c r="I1726">
        <v>0</v>
      </c>
      <c r="J1726">
        <v>0</v>
      </c>
      <c r="K1726" t="str">
        <f t="shared" si="451"/>
        <v>Y</v>
      </c>
      <c r="L1726">
        <v>0</v>
      </c>
      <c r="M1726" t="str">
        <f t="shared" si="460"/>
        <v>NIS</v>
      </c>
      <c r="O1726">
        <v>26</v>
      </c>
      <c r="P1726" t="str">
        <f t="shared" si="459"/>
        <v>Active</v>
      </c>
      <c r="Q1726" t="str">
        <f>"Assembly, JM, E030, Overload Protection Panel"</f>
        <v>Assembly, JM, E030, Overload Protection Panel</v>
      </c>
      <c r="S1726" t="str">
        <f>"Assembly, JM, E030, Overload Protection Panel"</f>
        <v>Assembly, JM, E030, Overload Protection Panel</v>
      </c>
      <c r="T1726">
        <v>268.64</v>
      </c>
      <c r="U1726">
        <v>265</v>
      </c>
      <c r="V1726">
        <v>861.16</v>
      </c>
      <c r="W1726" t="str">
        <f t="shared" si="456"/>
        <v>zintel</v>
      </c>
    </row>
    <row r="1727" spans="1:23">
      <c r="A1727" t="str">
        <f t="shared" si="457"/>
        <v>JM-CMPL-ELEC-2</v>
      </c>
      <c r="B1727" t="str">
        <f>"77-EA03-0000"</f>
        <v>77-EA03-0000</v>
      </c>
      <c r="C1727" t="str">
        <f>"LM7 Content, JM, 3 Phase Transformers"</f>
        <v>LM7 Content, JM, 3 Phase Transformers</v>
      </c>
      <c r="D1727">
        <v>1</v>
      </c>
      <c r="E1727" t="str">
        <f t="shared" si="458"/>
        <v>Complete Industrial Electronics Program 220V</v>
      </c>
      <c r="F1727">
        <v>0</v>
      </c>
      <c r="G1727" t="str">
        <f t="shared" si="450"/>
        <v>Y</v>
      </c>
      <c r="H1727" t="str">
        <f t="shared" si="455"/>
        <v>EA</v>
      </c>
      <c r="I1727">
        <v>0</v>
      </c>
      <c r="J1727">
        <v>0</v>
      </c>
      <c r="K1727" t="str">
        <f t="shared" si="451"/>
        <v>Y</v>
      </c>
      <c r="L1727">
        <v>0</v>
      </c>
      <c r="M1727" t="str">
        <f t="shared" si="460"/>
        <v>NIS</v>
      </c>
      <c r="O1727">
        <v>28</v>
      </c>
      <c r="P1727" t="str">
        <f t="shared" si="459"/>
        <v>Active</v>
      </c>
      <c r="Q1727" t="str">
        <f>"LM7 Content, JM, 3 Phase Transformers"</f>
        <v>LM7 Content, JM, 3 Phase Transformers</v>
      </c>
      <c r="S1727" t="str">
        <f>"LM7 Content, JM, 3 Phase Transformers"</f>
        <v>LM7 Content, JM, 3 Phase Transformers</v>
      </c>
      <c r="T1727">
        <v>0</v>
      </c>
      <c r="U1727">
        <v>5</v>
      </c>
      <c r="V1727">
        <v>5</v>
      </c>
      <c r="W1727" t="str">
        <f t="shared" si="456"/>
        <v>zintel</v>
      </c>
    </row>
    <row r="1728" spans="1:23">
      <c r="A1728" t="str">
        <f t="shared" si="457"/>
        <v>JM-CMPL-ELEC-2</v>
      </c>
      <c r="B1728" t="str">
        <f>"26-E003-0000"</f>
        <v>26-E003-0000</v>
      </c>
      <c r="C1728" t="str">
        <f>"Assembly, JM, E003, 3-Phase Transformer Panel"</f>
        <v>Assembly, JM, E003, 3-Phase Transformer Panel</v>
      </c>
      <c r="D1728">
        <v>2</v>
      </c>
      <c r="E1728" t="str">
        <f t="shared" si="458"/>
        <v>Complete Industrial Electronics Program 220V</v>
      </c>
      <c r="F1728">
        <v>0</v>
      </c>
      <c r="G1728" t="str">
        <f t="shared" si="450"/>
        <v>Y</v>
      </c>
      <c r="H1728" t="str">
        <f t="shared" si="455"/>
        <v>EA</v>
      </c>
      <c r="I1728">
        <v>0</v>
      </c>
      <c r="J1728">
        <v>0</v>
      </c>
      <c r="K1728" t="str">
        <f t="shared" si="451"/>
        <v>Y</v>
      </c>
      <c r="L1728">
        <v>0</v>
      </c>
      <c r="M1728" t="str">
        <f t="shared" si="460"/>
        <v>NIS</v>
      </c>
      <c r="O1728">
        <v>29</v>
      </c>
      <c r="P1728" t="str">
        <f t="shared" si="459"/>
        <v>Active</v>
      </c>
      <c r="Q1728" t="str">
        <f>"Assembly, JM, E003, 3-Phase Transformer Panel"</f>
        <v>Assembly, JM, E003, 3-Phase Transformer Panel</v>
      </c>
      <c r="S1728" t="str">
        <f>"Assembly, JM, E003, 3-Phase Transformer Panel"</f>
        <v>Assembly, JM, E003, 3-Phase Transformer Panel</v>
      </c>
      <c r="T1728">
        <v>348.38</v>
      </c>
      <c r="U1728">
        <v>342</v>
      </c>
      <c r="V1728">
        <v>393.23</v>
      </c>
      <c r="W1728" t="str">
        <f t="shared" si="456"/>
        <v>zintel</v>
      </c>
    </row>
    <row r="1729" spans="1:23">
      <c r="A1729" t="str">
        <f t="shared" si="457"/>
        <v>JM-CMPL-ELEC-2</v>
      </c>
      <c r="B1729" t="str">
        <f>"77-EA04-0000"</f>
        <v>77-EA04-0000</v>
      </c>
      <c r="C1729" t="str">
        <f>"LM7 Content, JM, Electric Motors"</f>
        <v>LM7 Content, JM, Electric Motors</v>
      </c>
      <c r="D1729">
        <v>1</v>
      </c>
      <c r="E1729" t="str">
        <f t="shared" si="458"/>
        <v>Complete Industrial Electronics Program 220V</v>
      </c>
      <c r="F1729">
        <v>0</v>
      </c>
      <c r="G1729" t="str">
        <f t="shared" si="450"/>
        <v>Y</v>
      </c>
      <c r="H1729" t="str">
        <f t="shared" si="455"/>
        <v>EA</v>
      </c>
      <c r="I1729">
        <v>0</v>
      </c>
      <c r="J1729">
        <v>0</v>
      </c>
      <c r="K1729" t="str">
        <f t="shared" si="451"/>
        <v>Y</v>
      </c>
      <c r="L1729">
        <v>0</v>
      </c>
      <c r="M1729" t="str">
        <f t="shared" si="460"/>
        <v>NIS</v>
      </c>
      <c r="O1729">
        <v>31</v>
      </c>
      <c r="P1729" t="str">
        <f t="shared" si="459"/>
        <v>Active</v>
      </c>
      <c r="Q1729" t="str">
        <f>"LM7 Content, JM, Electric Motors"</f>
        <v>LM7 Content, JM, Electric Motors</v>
      </c>
      <c r="S1729" t="str">
        <f>"LM7 Content, JM, Electric Motors"</f>
        <v>LM7 Content, JM, Electric Motors</v>
      </c>
      <c r="T1729">
        <v>0</v>
      </c>
      <c r="U1729">
        <v>5</v>
      </c>
      <c r="V1729">
        <v>5</v>
      </c>
      <c r="W1729" t="str">
        <f t="shared" si="456"/>
        <v>zintel</v>
      </c>
    </row>
    <row r="1730" spans="1:23">
      <c r="A1730" t="str">
        <f t="shared" si="457"/>
        <v>JM-CMPL-ELEC-2</v>
      </c>
      <c r="B1730" t="str">
        <f>"26-E007-0000"</f>
        <v>26-E007-0000</v>
      </c>
      <c r="C1730" t="str">
        <f>"Assembly, JM, E007 - SCR Speed Control Panel"</f>
        <v>Assembly, JM, E007 - SCR Speed Control Panel</v>
      </c>
      <c r="D1730">
        <v>2</v>
      </c>
      <c r="E1730" t="str">
        <f t="shared" si="458"/>
        <v>Complete Industrial Electronics Program 220V</v>
      </c>
      <c r="F1730">
        <v>0</v>
      </c>
      <c r="G1730" t="str">
        <f t="shared" ref="G1730:G1793" si="461">"Y"</f>
        <v>Y</v>
      </c>
      <c r="H1730" t="str">
        <f t="shared" si="455"/>
        <v>EA</v>
      </c>
      <c r="I1730">
        <v>0</v>
      </c>
      <c r="J1730">
        <v>0</v>
      </c>
      <c r="K1730" t="str">
        <f t="shared" ref="K1730:K1793" si="462">"Y"</f>
        <v>Y</v>
      </c>
      <c r="L1730">
        <v>0</v>
      </c>
      <c r="M1730" t="str">
        <f t="shared" si="460"/>
        <v>NIS</v>
      </c>
      <c r="O1730">
        <v>32</v>
      </c>
      <c r="P1730" t="str">
        <f t="shared" si="459"/>
        <v>Active</v>
      </c>
      <c r="Q1730" t="str">
        <f>"Assembly, JM, E007 - SCR Speed Control Panel"</f>
        <v>Assembly, JM, E007 - SCR Speed Control Panel</v>
      </c>
      <c r="S1730" t="str">
        <f>"Assembly, JM, E007 - SCR Speed Control Panel"</f>
        <v>Assembly, JM, E007 - SCR Speed Control Panel</v>
      </c>
      <c r="T1730">
        <v>163.16999999999999</v>
      </c>
      <c r="U1730">
        <v>163</v>
      </c>
      <c r="V1730">
        <v>315.76</v>
      </c>
      <c r="W1730" t="str">
        <f t="shared" si="456"/>
        <v>zintel</v>
      </c>
    </row>
    <row r="1731" spans="1:23">
      <c r="A1731" t="str">
        <f t="shared" si="457"/>
        <v>JM-CMPL-ELEC-2</v>
      </c>
      <c r="B1731" t="str">
        <f>"26-E010-0000"</f>
        <v>26-E010-0000</v>
      </c>
      <c r="C1731" t="str">
        <f>"Assembly, JM, E010 - Three Phase Motor Panel"</f>
        <v>Assembly, JM, E010 - Three Phase Motor Panel</v>
      </c>
      <c r="D1731">
        <v>2</v>
      </c>
      <c r="E1731" t="str">
        <f t="shared" si="458"/>
        <v>Complete Industrial Electronics Program 220V</v>
      </c>
      <c r="F1731">
        <v>0</v>
      </c>
      <c r="G1731" t="str">
        <f t="shared" si="461"/>
        <v>Y</v>
      </c>
      <c r="H1731" t="str">
        <f t="shared" si="455"/>
        <v>EA</v>
      </c>
      <c r="I1731">
        <v>0</v>
      </c>
      <c r="J1731">
        <v>0</v>
      </c>
      <c r="K1731" t="str">
        <f t="shared" si="462"/>
        <v>Y</v>
      </c>
      <c r="L1731">
        <v>0</v>
      </c>
      <c r="M1731" t="str">
        <f t="shared" si="460"/>
        <v>NIS</v>
      </c>
      <c r="O1731">
        <v>33</v>
      </c>
      <c r="P1731" t="str">
        <f t="shared" si="459"/>
        <v>Active</v>
      </c>
      <c r="Q1731" t="str">
        <f>"Assembly, JM, E010 - Three Phase Motor Panel"</f>
        <v>Assembly, JM, E010 - Three Phase Motor Panel</v>
      </c>
      <c r="S1731" t="str">
        <f>"Assembly, JM, E010 - Three Phase Motor Panel"</f>
        <v>Assembly, JM, E010 - Three Phase Motor Panel</v>
      </c>
      <c r="T1731">
        <v>361.68</v>
      </c>
      <c r="U1731">
        <v>360</v>
      </c>
      <c r="V1731">
        <v>515.65</v>
      </c>
      <c r="W1731" t="str">
        <f t="shared" si="456"/>
        <v>zintel</v>
      </c>
    </row>
    <row r="1732" spans="1:23">
      <c r="A1732" t="str">
        <f t="shared" si="457"/>
        <v>JM-CMPL-ELEC-2</v>
      </c>
      <c r="B1732" t="str">
        <f>"26-E012-0000"</f>
        <v>26-E012-0000</v>
      </c>
      <c r="C1732" t="str">
        <f>"Assembly, JM, E012, Transformer Panel"</f>
        <v>Assembly, JM, E012, Transformer Panel</v>
      </c>
      <c r="D1732">
        <v>2</v>
      </c>
      <c r="E1732" t="str">
        <f t="shared" si="458"/>
        <v>Complete Industrial Electronics Program 220V</v>
      </c>
      <c r="F1732">
        <v>0</v>
      </c>
      <c r="G1732" t="str">
        <f t="shared" si="461"/>
        <v>Y</v>
      </c>
      <c r="H1732" t="str">
        <f t="shared" si="455"/>
        <v>EA</v>
      </c>
      <c r="I1732">
        <v>0</v>
      </c>
      <c r="J1732">
        <v>0</v>
      </c>
      <c r="K1732" t="str">
        <f t="shared" si="462"/>
        <v>Y</v>
      </c>
      <c r="L1732">
        <v>0</v>
      </c>
      <c r="M1732" t="str">
        <f t="shared" si="460"/>
        <v>NIS</v>
      </c>
      <c r="O1732">
        <v>34</v>
      </c>
      <c r="P1732" t="str">
        <f t="shared" si="459"/>
        <v>Active</v>
      </c>
      <c r="Q1732" t="str">
        <f>"Assembly, JM, E012, Transformer Panel"</f>
        <v>Assembly, JM, E012, Transformer Panel</v>
      </c>
      <c r="S1732" t="str">
        <f>"Assembly, JM, E012, Transformer Panel"</f>
        <v>Assembly, JM, E012, Transformer Panel</v>
      </c>
      <c r="T1732">
        <v>158.58000000000001</v>
      </c>
      <c r="U1732">
        <v>157</v>
      </c>
      <c r="V1732">
        <v>297.81</v>
      </c>
      <c r="W1732" t="str">
        <f t="shared" si="456"/>
        <v>zintel</v>
      </c>
    </row>
    <row r="1733" spans="1:23">
      <c r="A1733" t="str">
        <f t="shared" si="457"/>
        <v>JM-CMPL-ELEC-2</v>
      </c>
      <c r="B1733" t="str">
        <f>"26-E019-0000"</f>
        <v>26-E019-0000</v>
      </c>
      <c r="C1733" t="str">
        <f>"Assembly, JM, E019, Capacitor Start Motor Panel"</f>
        <v>Assembly, JM, E019, Capacitor Start Motor Panel</v>
      </c>
      <c r="D1733">
        <v>2</v>
      </c>
      <c r="E1733" t="str">
        <f t="shared" si="458"/>
        <v>Complete Industrial Electronics Program 220V</v>
      </c>
      <c r="F1733">
        <v>0</v>
      </c>
      <c r="G1733" t="str">
        <f t="shared" si="461"/>
        <v>Y</v>
      </c>
      <c r="H1733" t="str">
        <f t="shared" si="455"/>
        <v>EA</v>
      </c>
      <c r="I1733">
        <v>0</v>
      </c>
      <c r="J1733">
        <v>0</v>
      </c>
      <c r="K1733" t="str">
        <f t="shared" si="462"/>
        <v>Y</v>
      </c>
      <c r="L1733">
        <v>0</v>
      </c>
      <c r="M1733" t="str">
        <f t="shared" si="460"/>
        <v>NIS</v>
      </c>
      <c r="O1733">
        <v>35</v>
      </c>
      <c r="P1733" t="str">
        <f t="shared" si="459"/>
        <v>Active</v>
      </c>
      <c r="Q1733" t="str">
        <f>"Assembly, JM, E019, Capacitor Start Motor Panel"</f>
        <v>Assembly, JM, E019, Capacitor Start Motor Panel</v>
      </c>
      <c r="S1733" t="str">
        <f>"Assembly, JM, E019, Capacitor Start Motor Panel"</f>
        <v>Assembly, JM, E019, Capacitor Start Motor Panel</v>
      </c>
      <c r="T1733">
        <v>243.97</v>
      </c>
      <c r="U1733">
        <v>243</v>
      </c>
      <c r="V1733">
        <v>450.17</v>
      </c>
      <c r="W1733" t="str">
        <f t="shared" si="456"/>
        <v>zintel</v>
      </c>
    </row>
    <row r="1734" spans="1:23">
      <c r="A1734" t="str">
        <f t="shared" si="457"/>
        <v>JM-CMPL-ELEC-2</v>
      </c>
      <c r="B1734" t="str">
        <f>"26-E027-0000"</f>
        <v>26-E027-0000</v>
      </c>
      <c r="C1734" t="str">
        <f>"Assembly, JM, E027, Shaded Pole Motor Panel"</f>
        <v>Assembly, JM, E027, Shaded Pole Motor Panel</v>
      </c>
      <c r="D1734">
        <v>2</v>
      </c>
      <c r="E1734" t="str">
        <f t="shared" si="458"/>
        <v>Complete Industrial Electronics Program 220V</v>
      </c>
      <c r="F1734">
        <v>0</v>
      </c>
      <c r="G1734" t="str">
        <f t="shared" si="461"/>
        <v>Y</v>
      </c>
      <c r="H1734" t="str">
        <f t="shared" si="455"/>
        <v>EA</v>
      </c>
      <c r="I1734">
        <v>0</v>
      </c>
      <c r="J1734">
        <v>0</v>
      </c>
      <c r="K1734" t="str">
        <f t="shared" si="462"/>
        <v>Y</v>
      </c>
      <c r="L1734">
        <v>0</v>
      </c>
      <c r="M1734" t="str">
        <f t="shared" si="460"/>
        <v>NIS</v>
      </c>
      <c r="O1734">
        <v>36</v>
      </c>
      <c r="P1734" t="str">
        <f t="shared" si="459"/>
        <v>Active</v>
      </c>
      <c r="Q1734" t="str">
        <f>"Assembly, JM, E027, Shaded Pole Motor Panel"</f>
        <v>Assembly, JM, E027, Shaded Pole Motor Panel</v>
      </c>
      <c r="S1734" t="str">
        <f>"Assembly, JM, E027, Shaded Pole Motor Panel"</f>
        <v>Assembly, JM, E027, Shaded Pole Motor Panel</v>
      </c>
      <c r="T1734">
        <v>160.1</v>
      </c>
      <c r="U1734">
        <v>160</v>
      </c>
      <c r="V1734">
        <v>435.69</v>
      </c>
      <c r="W1734" t="str">
        <f t="shared" si="456"/>
        <v>zintel</v>
      </c>
    </row>
    <row r="1735" spans="1:23">
      <c r="A1735" t="str">
        <f t="shared" si="457"/>
        <v>JM-CMPL-ELEC-2</v>
      </c>
      <c r="B1735" t="str">
        <f>"26-E034-0000"</f>
        <v>26-E034-0000</v>
      </c>
      <c r="C1735" t="str">
        <f>"Assembly, JM, E034, DC Motor Panel"</f>
        <v>Assembly, JM, E034, DC Motor Panel</v>
      </c>
      <c r="D1735">
        <v>2</v>
      </c>
      <c r="E1735" t="str">
        <f t="shared" si="458"/>
        <v>Complete Industrial Electronics Program 220V</v>
      </c>
      <c r="F1735">
        <v>0</v>
      </c>
      <c r="G1735" t="str">
        <f t="shared" si="461"/>
        <v>Y</v>
      </c>
      <c r="H1735" t="str">
        <f t="shared" si="455"/>
        <v>EA</v>
      </c>
      <c r="I1735">
        <v>0</v>
      </c>
      <c r="J1735">
        <v>0</v>
      </c>
      <c r="K1735" t="str">
        <f t="shared" si="462"/>
        <v>Y</v>
      </c>
      <c r="L1735">
        <v>0</v>
      </c>
      <c r="M1735" t="str">
        <f t="shared" si="460"/>
        <v>NIS</v>
      </c>
      <c r="O1735">
        <v>37</v>
      </c>
      <c r="P1735" t="str">
        <f t="shared" si="459"/>
        <v>Active</v>
      </c>
      <c r="Q1735" t="str">
        <f>"Assembly, JM, E034, DC Motor Panel"</f>
        <v>Assembly, JM, E034, DC Motor Panel</v>
      </c>
      <c r="S1735" t="str">
        <f>"Assembly, JM, E034, DC Motor Panel"</f>
        <v>Assembly, JM, E034, DC Motor Panel</v>
      </c>
      <c r="T1735">
        <v>304.44</v>
      </c>
      <c r="U1735">
        <v>305</v>
      </c>
      <c r="V1735">
        <v>504.64</v>
      </c>
      <c r="W1735" t="str">
        <f t="shared" si="456"/>
        <v>zintel</v>
      </c>
    </row>
    <row r="1736" spans="1:23">
      <c r="A1736" t="str">
        <f t="shared" si="457"/>
        <v>JM-CMPL-ELEC-2</v>
      </c>
      <c r="B1736" t="str">
        <f>"26-E065-0000"</f>
        <v>26-E065-0000</v>
      </c>
      <c r="C1736" t="str">
        <f>"Assembly, JM, E065, Split Phase Motor Panel"</f>
        <v>Assembly, JM, E065, Split Phase Motor Panel</v>
      </c>
      <c r="D1736">
        <v>2</v>
      </c>
      <c r="E1736" t="str">
        <f t="shared" si="458"/>
        <v>Complete Industrial Electronics Program 220V</v>
      </c>
      <c r="F1736">
        <v>0</v>
      </c>
      <c r="G1736" t="str">
        <f t="shared" si="461"/>
        <v>Y</v>
      </c>
      <c r="H1736" t="str">
        <f t="shared" si="455"/>
        <v>EA</v>
      </c>
      <c r="I1736">
        <v>0</v>
      </c>
      <c r="J1736">
        <v>0</v>
      </c>
      <c r="K1736" t="str">
        <f t="shared" si="462"/>
        <v>Y</v>
      </c>
      <c r="L1736">
        <v>0</v>
      </c>
      <c r="M1736" t="str">
        <f t="shared" si="460"/>
        <v>NIS</v>
      </c>
      <c r="O1736">
        <v>38</v>
      </c>
      <c r="P1736" t="str">
        <f t="shared" si="459"/>
        <v>Active</v>
      </c>
      <c r="Q1736" t="str">
        <f>"Assembly, JM, E065, Split Phase Motor Panel"</f>
        <v>Assembly, JM, E065, Split Phase Motor Panel</v>
      </c>
      <c r="S1736" t="str">
        <f>"Assembly, JM, E065, Split Phase Motor Panel"</f>
        <v>Assembly, JM, E065, Split Phase Motor Panel</v>
      </c>
      <c r="T1736">
        <v>178.33</v>
      </c>
      <c r="U1736">
        <v>178</v>
      </c>
      <c r="V1736">
        <v>398.61</v>
      </c>
      <c r="W1736" t="str">
        <f t="shared" si="456"/>
        <v>zintel</v>
      </c>
    </row>
    <row r="1737" spans="1:23">
      <c r="A1737" t="str">
        <f t="shared" ref="A1737:A1768" si="463">"JM-CMPL-ELEC-2"</f>
        <v>JM-CMPL-ELEC-2</v>
      </c>
      <c r="B1737" t="str">
        <f>"26-E066-0000"</f>
        <v>26-E066-0000</v>
      </c>
      <c r="C1737" t="str">
        <f>"Assembly, JM, E066, Adjustable Torque Motor Load"</f>
        <v>Assembly, JM, E066, Adjustable Torque Motor Load</v>
      </c>
      <c r="D1737">
        <v>2</v>
      </c>
      <c r="E1737" t="str">
        <f t="shared" ref="E1737:E1768" si="464">"Complete Industrial Electronics Program 220V"</f>
        <v>Complete Industrial Electronics Program 220V</v>
      </c>
      <c r="F1737">
        <v>0</v>
      </c>
      <c r="G1737" t="str">
        <f t="shared" si="461"/>
        <v>Y</v>
      </c>
      <c r="H1737" t="str">
        <f t="shared" si="455"/>
        <v>EA</v>
      </c>
      <c r="I1737">
        <v>0</v>
      </c>
      <c r="J1737">
        <v>0</v>
      </c>
      <c r="K1737" t="str">
        <f t="shared" si="462"/>
        <v>Y</v>
      </c>
      <c r="L1737">
        <v>0</v>
      </c>
      <c r="M1737" t="str">
        <f t="shared" si="460"/>
        <v>NIS</v>
      </c>
      <c r="O1737">
        <v>39</v>
      </c>
      <c r="P1737" t="str">
        <f t="shared" si="459"/>
        <v>Active</v>
      </c>
      <c r="Q1737" t="str">
        <f>"Assembly, JM, E066, Adjustable Torque Motor Load"</f>
        <v>Assembly, JM, E066, Adjustable Torque Motor Load</v>
      </c>
      <c r="S1737" t="str">
        <f>"Assembly, JM, E066, Adjustable Torque Motor Load"</f>
        <v>Assembly, JM, E066, Adjustable Torque Motor Load</v>
      </c>
      <c r="T1737" s="44">
        <v>1055</v>
      </c>
      <c r="U1737" s="44">
        <v>1054</v>
      </c>
      <c r="V1737" s="44">
        <v>1760.72</v>
      </c>
      <c r="W1737" t="str">
        <f t="shared" si="456"/>
        <v>zintel</v>
      </c>
    </row>
    <row r="1738" spans="1:23">
      <c r="A1738" t="str">
        <f t="shared" si="463"/>
        <v>JM-CMPL-ELEC-2</v>
      </c>
      <c r="B1738" t="str">
        <f>"26-E154-0000"</f>
        <v>26-E154-0000</v>
      </c>
      <c r="C1738" t="str">
        <f>"Assembly, JM, E154, Switches and Lamps Panel"</f>
        <v>Assembly, JM, E154, Switches and Lamps Panel</v>
      </c>
      <c r="D1738">
        <v>2</v>
      </c>
      <c r="E1738" t="str">
        <f t="shared" si="464"/>
        <v>Complete Industrial Electronics Program 220V</v>
      </c>
      <c r="F1738">
        <v>0</v>
      </c>
      <c r="G1738" t="str">
        <f t="shared" si="461"/>
        <v>Y</v>
      </c>
      <c r="H1738" t="str">
        <f t="shared" si="455"/>
        <v>EA</v>
      </c>
      <c r="I1738">
        <v>0</v>
      </c>
      <c r="J1738">
        <v>0</v>
      </c>
      <c r="K1738" t="str">
        <f t="shared" si="462"/>
        <v>Y</v>
      </c>
      <c r="L1738">
        <v>0</v>
      </c>
      <c r="M1738" t="str">
        <f t="shared" si="460"/>
        <v>NIS</v>
      </c>
      <c r="O1738">
        <v>40</v>
      </c>
      <c r="P1738" t="str">
        <f t="shared" ref="P1738:P1750" si="465">"Active"</f>
        <v>Active</v>
      </c>
      <c r="Q1738" t="str">
        <f>"Assembly, JM, E154, Switches and Lamps Panel"</f>
        <v>Assembly, JM, E154, Switches and Lamps Panel</v>
      </c>
      <c r="S1738" t="str">
        <f>"Assembly, JM, E154, Switches and Lamps Panel"</f>
        <v>Assembly, JM, E154, Switches and Lamps Panel</v>
      </c>
      <c r="T1738">
        <v>155.78</v>
      </c>
      <c r="U1738">
        <v>153</v>
      </c>
      <c r="V1738">
        <v>324.68</v>
      </c>
      <c r="W1738" t="str">
        <f t="shared" si="456"/>
        <v>zintel</v>
      </c>
    </row>
    <row r="1739" spans="1:23">
      <c r="A1739" t="str">
        <f t="shared" si="463"/>
        <v>JM-CMPL-ELEC-2</v>
      </c>
      <c r="B1739" t="str">
        <f>"26-E156-0000"</f>
        <v>26-E156-0000</v>
      </c>
      <c r="C1739" t="str">
        <f>"Assembly, JM, E156, Dissectible Electric Motor"</f>
        <v>Assembly, JM, E156, Dissectible Electric Motor</v>
      </c>
      <c r="D1739">
        <v>2</v>
      </c>
      <c r="E1739" t="str">
        <f t="shared" si="464"/>
        <v>Complete Industrial Electronics Program 220V</v>
      </c>
      <c r="F1739">
        <v>0</v>
      </c>
      <c r="G1739" t="str">
        <f t="shared" si="461"/>
        <v>Y</v>
      </c>
      <c r="H1739" t="str">
        <f t="shared" si="455"/>
        <v>EA</v>
      </c>
      <c r="I1739">
        <v>0</v>
      </c>
      <c r="J1739">
        <v>0</v>
      </c>
      <c r="K1739" t="str">
        <f t="shared" si="462"/>
        <v>Y</v>
      </c>
      <c r="L1739">
        <v>0</v>
      </c>
      <c r="M1739" t="str">
        <f t="shared" si="460"/>
        <v>NIS</v>
      </c>
      <c r="O1739">
        <v>41</v>
      </c>
      <c r="P1739" t="str">
        <f t="shared" si="465"/>
        <v>Active</v>
      </c>
      <c r="Q1739" t="str">
        <f>"Assembly, JM, E156, Dissectible Electric Motor"</f>
        <v>Assembly, JM, E156, Dissectible Electric Motor</v>
      </c>
      <c r="S1739" t="str">
        <f>"Assembly, JM, E156, Dissectible Electric Motor"</f>
        <v>Assembly, JM, E156, Dissectible Electric Motor</v>
      </c>
      <c r="T1739">
        <v>229.82</v>
      </c>
      <c r="U1739">
        <v>230</v>
      </c>
      <c r="V1739">
        <v>408.97</v>
      </c>
      <c r="W1739" t="str">
        <f t="shared" si="456"/>
        <v>zintel</v>
      </c>
    </row>
    <row r="1740" spans="1:23">
      <c r="A1740" t="str">
        <f t="shared" si="463"/>
        <v>JM-CMPL-ELEC-2</v>
      </c>
      <c r="B1740" t="str">
        <f>"77-EA07-0000"</f>
        <v>77-EA07-0000</v>
      </c>
      <c r="C1740" t="str">
        <f>"LM7 Content, JM, Electromagnetic Starters"</f>
        <v>LM7 Content, JM, Electromagnetic Starters</v>
      </c>
      <c r="D1740">
        <v>1</v>
      </c>
      <c r="E1740" t="str">
        <f t="shared" si="464"/>
        <v>Complete Industrial Electronics Program 220V</v>
      </c>
      <c r="F1740">
        <v>0</v>
      </c>
      <c r="G1740" t="str">
        <f t="shared" si="461"/>
        <v>Y</v>
      </c>
      <c r="H1740" t="str">
        <f t="shared" si="455"/>
        <v>EA</v>
      </c>
      <c r="I1740">
        <v>0</v>
      </c>
      <c r="J1740">
        <v>0</v>
      </c>
      <c r="K1740" t="str">
        <f t="shared" si="462"/>
        <v>Y</v>
      </c>
      <c r="L1740">
        <v>0</v>
      </c>
      <c r="M1740" t="str">
        <f t="shared" si="460"/>
        <v>NIS</v>
      </c>
      <c r="O1740">
        <v>43</v>
      </c>
      <c r="P1740" t="str">
        <f t="shared" si="465"/>
        <v>Active</v>
      </c>
      <c r="Q1740" t="str">
        <f>"LM7 Content, JM, Electromagnetic Starters"</f>
        <v>LM7 Content, JM, Electromagnetic Starters</v>
      </c>
      <c r="S1740" t="str">
        <f>"LM7 Content, JM, Electromagnetic Starters"</f>
        <v>LM7 Content, JM, Electromagnetic Starters</v>
      </c>
      <c r="T1740">
        <v>0</v>
      </c>
      <c r="U1740">
        <v>5</v>
      </c>
      <c r="V1740">
        <v>5</v>
      </c>
      <c r="W1740" t="str">
        <f t="shared" si="456"/>
        <v>zintel</v>
      </c>
    </row>
    <row r="1741" spans="1:23">
      <c r="A1741" t="str">
        <f t="shared" si="463"/>
        <v>JM-CMPL-ELEC-2</v>
      </c>
      <c r="B1741" t="str">
        <f>"26-E002-0000"</f>
        <v>26-E002-0000</v>
      </c>
      <c r="C1741" t="str">
        <f>"Assembly, JM, E002, Start-Stop Control Panel"</f>
        <v>Assembly, JM, E002, Start-Stop Control Panel</v>
      </c>
      <c r="D1741">
        <v>2</v>
      </c>
      <c r="E1741" t="str">
        <f t="shared" si="464"/>
        <v>Complete Industrial Electronics Program 220V</v>
      </c>
      <c r="F1741">
        <v>0</v>
      </c>
      <c r="G1741" t="str">
        <f t="shared" si="461"/>
        <v>Y</v>
      </c>
      <c r="H1741" t="str">
        <f t="shared" si="455"/>
        <v>EA</v>
      </c>
      <c r="I1741">
        <v>0</v>
      </c>
      <c r="J1741">
        <v>0</v>
      </c>
      <c r="K1741" t="str">
        <f t="shared" si="462"/>
        <v>Y</v>
      </c>
      <c r="L1741">
        <v>0</v>
      </c>
      <c r="M1741" t="str">
        <f t="shared" si="460"/>
        <v>NIS</v>
      </c>
      <c r="O1741">
        <v>44</v>
      </c>
      <c r="P1741" t="str">
        <f t="shared" si="465"/>
        <v>Active</v>
      </c>
      <c r="Q1741" t="str">
        <f>"Assembly, JM, E002, Start-Stop Control Panel"</f>
        <v>Assembly, JM, E002, Start-Stop Control Panel</v>
      </c>
      <c r="S1741" t="str">
        <f>"Assembly, JM, E002, Start-Stop Control Panel"</f>
        <v>Assembly, JM, E002, Start-Stop Control Panel</v>
      </c>
      <c r="T1741">
        <v>103.53</v>
      </c>
      <c r="U1741">
        <v>103</v>
      </c>
      <c r="V1741">
        <v>196.68</v>
      </c>
      <c r="W1741" t="str">
        <f t="shared" si="456"/>
        <v>zintel</v>
      </c>
    </row>
    <row r="1742" spans="1:23">
      <c r="A1742" t="str">
        <f t="shared" si="463"/>
        <v>JM-CMPL-ELEC-2</v>
      </c>
      <c r="B1742" t="str">
        <f>"26-E004-0000"</f>
        <v>26-E004-0000</v>
      </c>
      <c r="C1742" t="str">
        <f>"Assembly, JM , E004, Single Magnetic Start.Panel"</f>
        <v>Assembly, JM , E004, Single Magnetic Start.Panel</v>
      </c>
      <c r="D1742">
        <v>2</v>
      </c>
      <c r="E1742" t="str">
        <f t="shared" si="464"/>
        <v>Complete Industrial Electronics Program 220V</v>
      </c>
      <c r="F1742">
        <v>0</v>
      </c>
      <c r="G1742" t="str">
        <f t="shared" si="461"/>
        <v>Y</v>
      </c>
      <c r="H1742" t="str">
        <f t="shared" si="455"/>
        <v>EA</v>
      </c>
      <c r="I1742">
        <v>0</v>
      </c>
      <c r="J1742">
        <v>0</v>
      </c>
      <c r="K1742" t="str">
        <f t="shared" si="462"/>
        <v>Y</v>
      </c>
      <c r="L1742">
        <v>0</v>
      </c>
      <c r="M1742" t="str">
        <f t="shared" si="460"/>
        <v>NIS</v>
      </c>
      <c r="O1742">
        <v>45</v>
      </c>
      <c r="P1742" t="str">
        <f t="shared" si="465"/>
        <v>Active</v>
      </c>
      <c r="Q1742" t="str">
        <f>"Assembly, JM , E004, Single Magnetic Start.Panel"</f>
        <v>Assembly, JM , E004, Single Magnetic Start.Panel</v>
      </c>
      <c r="S1742" t="str">
        <f>"Assembly, JM , E004, Single Magnetic Start.Panel"</f>
        <v>Assembly, JM , E004, Single Magnetic Start.Panel</v>
      </c>
      <c r="T1742">
        <v>168.68</v>
      </c>
      <c r="U1742">
        <v>168</v>
      </c>
      <c r="V1742">
        <v>280.98</v>
      </c>
      <c r="W1742" t="str">
        <f t="shared" si="456"/>
        <v>zintel</v>
      </c>
    </row>
    <row r="1743" spans="1:23">
      <c r="A1743" t="str">
        <f t="shared" si="463"/>
        <v>JM-CMPL-ELEC-2</v>
      </c>
      <c r="B1743" t="str">
        <f>"26-E005-0000"</f>
        <v>26-E005-0000</v>
      </c>
      <c r="C1743" t="str">
        <f>"Assembly, JM, E005 - F-R-S Switch Panel"</f>
        <v>Assembly, JM, E005 - F-R-S Switch Panel</v>
      </c>
      <c r="D1743">
        <v>2</v>
      </c>
      <c r="E1743" t="str">
        <f t="shared" si="464"/>
        <v>Complete Industrial Electronics Program 220V</v>
      </c>
      <c r="F1743">
        <v>0</v>
      </c>
      <c r="G1743" t="str">
        <f t="shared" si="461"/>
        <v>Y</v>
      </c>
      <c r="H1743" t="str">
        <f t="shared" si="455"/>
        <v>EA</v>
      </c>
      <c r="I1743">
        <v>0</v>
      </c>
      <c r="J1743">
        <v>0</v>
      </c>
      <c r="K1743" t="str">
        <f t="shared" si="462"/>
        <v>Y</v>
      </c>
      <c r="L1743">
        <v>0</v>
      </c>
      <c r="M1743" t="str">
        <f t="shared" si="460"/>
        <v>NIS</v>
      </c>
      <c r="O1743">
        <v>46</v>
      </c>
      <c r="P1743" t="str">
        <f t="shared" si="465"/>
        <v>Active</v>
      </c>
      <c r="Q1743" t="str">
        <f>"Assembly, JM, E005 - F-R-S Switch Panel"</f>
        <v>Assembly, JM, E005 - F-R-S Switch Panel</v>
      </c>
      <c r="S1743" t="str">
        <f>"Assembly, JM, E005 - F-R-S Switch Panel"</f>
        <v>Assembly, JM, E005 - F-R-S Switch Panel</v>
      </c>
      <c r="T1743">
        <v>226.53</v>
      </c>
      <c r="U1743">
        <v>225</v>
      </c>
      <c r="V1743">
        <v>343.41</v>
      </c>
      <c r="W1743" t="str">
        <f t="shared" si="456"/>
        <v>zintel</v>
      </c>
    </row>
    <row r="1744" spans="1:23">
      <c r="A1744" t="str">
        <f t="shared" si="463"/>
        <v>JM-CMPL-ELEC-2</v>
      </c>
      <c r="B1744" t="str">
        <f>"26-E006-0000"</f>
        <v>26-E006-0000</v>
      </c>
      <c r="C1744" t="str">
        <f>"Assembly, JM, E006, Reversing Magnetic Starter"</f>
        <v>Assembly, JM, E006, Reversing Magnetic Starter</v>
      </c>
      <c r="D1744">
        <v>2</v>
      </c>
      <c r="E1744" t="str">
        <f t="shared" si="464"/>
        <v>Complete Industrial Electronics Program 220V</v>
      </c>
      <c r="F1744">
        <v>0</v>
      </c>
      <c r="G1744" t="str">
        <f t="shared" si="461"/>
        <v>Y</v>
      </c>
      <c r="H1744" t="str">
        <f t="shared" si="455"/>
        <v>EA</v>
      </c>
      <c r="I1744">
        <v>0</v>
      </c>
      <c r="J1744">
        <v>0</v>
      </c>
      <c r="K1744" t="str">
        <f t="shared" si="462"/>
        <v>Y</v>
      </c>
      <c r="L1744">
        <v>0</v>
      </c>
      <c r="M1744" t="str">
        <f t="shared" si="460"/>
        <v>NIS</v>
      </c>
      <c r="O1744">
        <v>47</v>
      </c>
      <c r="P1744" t="str">
        <f t="shared" si="465"/>
        <v>Active</v>
      </c>
      <c r="Q1744" t="str">
        <f>"Assembly, JM, E006, Reversing Magnetic Starter"</f>
        <v>Assembly, JM, E006, Reversing Magnetic Starter</v>
      </c>
      <c r="S1744" t="str">
        <f>"Assembly, JM, E006, Reversing Magnetic Starter"</f>
        <v>Assembly, JM, E006, Reversing Magnetic Starter</v>
      </c>
      <c r="T1744">
        <v>232.93</v>
      </c>
      <c r="U1744">
        <v>231</v>
      </c>
      <c r="V1744">
        <v>424.58</v>
      </c>
      <c r="W1744" t="str">
        <f t="shared" si="456"/>
        <v>zintel</v>
      </c>
    </row>
    <row r="1745" spans="1:23">
      <c r="A1745" t="str">
        <f t="shared" si="463"/>
        <v>JM-CMPL-ELEC-2</v>
      </c>
      <c r="B1745" t="str">
        <f>"26-E016-0000"</f>
        <v>26-E016-0000</v>
      </c>
      <c r="C1745" t="str">
        <f>"Assembly, JM, E016, Analog Relay Panel"</f>
        <v>Assembly, JM, E016, Analog Relay Panel</v>
      </c>
      <c r="D1745">
        <v>2</v>
      </c>
      <c r="E1745" t="str">
        <f t="shared" si="464"/>
        <v>Complete Industrial Electronics Program 220V</v>
      </c>
      <c r="F1745">
        <v>0</v>
      </c>
      <c r="G1745" t="str">
        <f t="shared" si="461"/>
        <v>Y</v>
      </c>
      <c r="H1745" t="str">
        <f t="shared" si="455"/>
        <v>EA</v>
      </c>
      <c r="I1745">
        <v>0</v>
      </c>
      <c r="J1745">
        <v>0</v>
      </c>
      <c r="K1745" t="str">
        <f t="shared" si="462"/>
        <v>Y</v>
      </c>
      <c r="L1745">
        <v>0</v>
      </c>
      <c r="M1745" t="str">
        <f t="shared" si="460"/>
        <v>NIS</v>
      </c>
      <c r="O1745">
        <v>48</v>
      </c>
      <c r="P1745" t="str">
        <f t="shared" si="465"/>
        <v>Active</v>
      </c>
      <c r="Q1745" t="str">
        <f>"Assembly, JM, E016, Analog Relay Panel"</f>
        <v>Assembly, JM, E016, Analog Relay Panel</v>
      </c>
      <c r="S1745" t="str">
        <f>"Assembly, JM, E016, Analog Relay Panel"</f>
        <v>Assembly, JM, E016, Analog Relay Panel</v>
      </c>
      <c r="T1745">
        <v>208.59</v>
      </c>
      <c r="U1745">
        <v>205</v>
      </c>
      <c r="V1745">
        <v>366.74</v>
      </c>
      <c r="W1745" t="str">
        <f t="shared" si="456"/>
        <v>zintel</v>
      </c>
    </row>
    <row r="1746" spans="1:23">
      <c r="A1746" t="str">
        <f t="shared" si="463"/>
        <v>JM-CMPL-ELEC-2</v>
      </c>
      <c r="B1746" t="str">
        <f>"26-E155-0000"</f>
        <v>26-E155-0000</v>
      </c>
      <c r="C1746" t="str">
        <f>"Assembly, JM, E155, H-O-A Switch Panel"</f>
        <v>Assembly, JM, E155, H-O-A Switch Panel</v>
      </c>
      <c r="D1746">
        <v>2</v>
      </c>
      <c r="E1746" t="str">
        <f t="shared" si="464"/>
        <v>Complete Industrial Electronics Program 220V</v>
      </c>
      <c r="F1746">
        <v>0</v>
      </c>
      <c r="G1746" t="str">
        <f t="shared" si="461"/>
        <v>Y</v>
      </c>
      <c r="H1746" t="str">
        <f t="shared" si="455"/>
        <v>EA</v>
      </c>
      <c r="I1746">
        <v>0</v>
      </c>
      <c r="J1746">
        <v>0</v>
      </c>
      <c r="K1746" t="str">
        <f t="shared" si="462"/>
        <v>Y</v>
      </c>
      <c r="L1746">
        <v>0</v>
      </c>
      <c r="M1746" t="str">
        <f t="shared" si="460"/>
        <v>NIS</v>
      </c>
      <c r="O1746">
        <v>49</v>
      </c>
      <c r="P1746" t="str">
        <f t="shared" si="465"/>
        <v>Active</v>
      </c>
      <c r="Q1746" t="str">
        <f>"Assembly, JM, E155, H-O-A Switch Panel"</f>
        <v>Assembly, JM, E155, H-O-A Switch Panel</v>
      </c>
      <c r="S1746" t="str">
        <f>"Assembly, JM, E155, H-O-A Switch Panel"</f>
        <v>Assembly, JM, E155, H-O-A Switch Panel</v>
      </c>
      <c r="T1746">
        <v>102.54</v>
      </c>
      <c r="U1746">
        <v>102</v>
      </c>
      <c r="V1746">
        <v>227.9</v>
      </c>
      <c r="W1746" t="str">
        <f t="shared" si="456"/>
        <v>zintel</v>
      </c>
    </row>
    <row r="1747" spans="1:23">
      <c r="A1747" t="str">
        <f t="shared" si="463"/>
        <v>JM-CMPL-ELEC-2</v>
      </c>
      <c r="B1747" t="str">
        <f>"77-EA08-0000"</f>
        <v>77-EA08-0000</v>
      </c>
      <c r="C1747" t="str">
        <f>"LM7 Content, JM, Relays and Timers"</f>
        <v>LM7 Content, JM, Relays and Timers</v>
      </c>
      <c r="D1747">
        <v>1</v>
      </c>
      <c r="E1747" t="str">
        <f t="shared" si="464"/>
        <v>Complete Industrial Electronics Program 220V</v>
      </c>
      <c r="F1747">
        <v>0</v>
      </c>
      <c r="G1747" t="str">
        <f t="shared" si="461"/>
        <v>Y</v>
      </c>
      <c r="H1747" t="str">
        <f t="shared" si="455"/>
        <v>EA</v>
      </c>
      <c r="I1747">
        <v>0</v>
      </c>
      <c r="J1747">
        <v>0</v>
      </c>
      <c r="K1747" t="str">
        <f t="shared" si="462"/>
        <v>Y</v>
      </c>
      <c r="L1747">
        <v>0</v>
      </c>
      <c r="M1747" t="str">
        <f t="shared" si="460"/>
        <v>NIS</v>
      </c>
      <c r="O1747">
        <v>51</v>
      </c>
      <c r="P1747" t="str">
        <f t="shared" si="465"/>
        <v>Active</v>
      </c>
      <c r="Q1747" t="str">
        <f>"LM7 Content, JM, Relays and Timers"</f>
        <v>LM7 Content, JM, Relays and Timers</v>
      </c>
      <c r="S1747" t="str">
        <f>"LM7 Content, JM, Relays and Timers"</f>
        <v>LM7 Content, JM, Relays and Timers</v>
      </c>
      <c r="T1747">
        <v>0</v>
      </c>
      <c r="U1747">
        <v>5</v>
      </c>
      <c r="V1747">
        <v>5</v>
      </c>
      <c r="W1747" t="str">
        <f t="shared" si="456"/>
        <v>zintel</v>
      </c>
    </row>
    <row r="1748" spans="1:23">
      <c r="A1748" t="str">
        <f t="shared" si="463"/>
        <v>JM-CMPL-ELEC-2</v>
      </c>
      <c r="B1748" t="str">
        <f>"26-E017-0000"</f>
        <v>26-E017-0000</v>
      </c>
      <c r="C1748" t="str">
        <f>"Assembly, JM, E017, Digital Relay"</f>
        <v>Assembly, JM, E017, Digital Relay</v>
      </c>
      <c r="D1748">
        <v>2</v>
      </c>
      <c r="E1748" t="str">
        <f t="shared" si="464"/>
        <v>Complete Industrial Electronics Program 220V</v>
      </c>
      <c r="F1748">
        <v>0</v>
      </c>
      <c r="G1748" t="str">
        <f t="shared" si="461"/>
        <v>Y</v>
      </c>
      <c r="H1748" t="str">
        <f t="shared" si="455"/>
        <v>EA</v>
      </c>
      <c r="I1748">
        <v>0</v>
      </c>
      <c r="J1748">
        <v>0</v>
      </c>
      <c r="K1748" t="str">
        <f t="shared" si="462"/>
        <v>Y</v>
      </c>
      <c r="L1748">
        <v>0</v>
      </c>
      <c r="M1748" t="str">
        <f t="shared" si="460"/>
        <v>NIS</v>
      </c>
      <c r="O1748">
        <v>52</v>
      </c>
      <c r="P1748" t="str">
        <f t="shared" si="465"/>
        <v>Active</v>
      </c>
      <c r="Q1748" t="str">
        <f>"Assembly, JM, E017, Digital Relay"</f>
        <v>Assembly, JM, E017, Digital Relay</v>
      </c>
      <c r="S1748" t="str">
        <f>"Assembly, JM, E017, Digital Relay"</f>
        <v>Assembly, JM, E017, Digital Relay</v>
      </c>
      <c r="T1748">
        <v>273.82</v>
      </c>
      <c r="U1748">
        <v>271</v>
      </c>
      <c r="V1748">
        <v>593.16</v>
      </c>
      <c r="W1748" t="str">
        <f t="shared" si="456"/>
        <v>zintel</v>
      </c>
    </row>
    <row r="1749" spans="1:23">
      <c r="A1749" t="str">
        <f t="shared" si="463"/>
        <v>JM-CMPL-ELEC-2</v>
      </c>
      <c r="B1749" t="str">
        <f>"26-E041-0000"</f>
        <v>26-E041-0000</v>
      </c>
      <c r="C1749" t="str">
        <f>"Assembly, JM, E041, Electronic Timer"</f>
        <v>Assembly, JM, E041, Electronic Timer</v>
      </c>
      <c r="D1749">
        <v>2</v>
      </c>
      <c r="E1749" t="str">
        <f t="shared" si="464"/>
        <v>Complete Industrial Electronics Program 220V</v>
      </c>
      <c r="F1749">
        <v>0</v>
      </c>
      <c r="G1749" t="str">
        <f t="shared" si="461"/>
        <v>Y</v>
      </c>
      <c r="H1749" t="str">
        <f t="shared" si="455"/>
        <v>EA</v>
      </c>
      <c r="I1749">
        <v>0</v>
      </c>
      <c r="J1749">
        <v>0</v>
      </c>
      <c r="K1749" t="str">
        <f t="shared" si="462"/>
        <v>Y</v>
      </c>
      <c r="L1749">
        <v>0</v>
      </c>
      <c r="M1749" t="str">
        <f t="shared" si="460"/>
        <v>NIS</v>
      </c>
      <c r="O1749">
        <v>53</v>
      </c>
      <c r="P1749" t="str">
        <f t="shared" si="465"/>
        <v>Active</v>
      </c>
      <c r="Q1749" t="str">
        <f>"Assembly, JM, E041, Electronic Timer"</f>
        <v>Assembly, JM, E041, Electronic Timer</v>
      </c>
      <c r="S1749" t="str">
        <f>"Assembly, JM, E041, Electronic Timer"</f>
        <v>Assembly, JM, E041, Electronic Timer</v>
      </c>
      <c r="T1749">
        <v>224.51</v>
      </c>
      <c r="U1749">
        <v>225</v>
      </c>
      <c r="V1749">
        <v>309.97000000000003</v>
      </c>
      <c r="W1749" t="str">
        <f t="shared" si="456"/>
        <v>zintel</v>
      </c>
    </row>
    <row r="1750" spans="1:23">
      <c r="A1750" t="str">
        <f t="shared" si="463"/>
        <v>JM-CMPL-ELEC-2</v>
      </c>
      <c r="B1750" t="str">
        <f>"77-EA11-0000"</f>
        <v>77-EA11-0000</v>
      </c>
      <c r="C1750" t="str">
        <f>"LM7 Content, JM, Solid State Voltage Starter"</f>
        <v>LM7 Content, JM, Solid State Voltage Starter</v>
      </c>
      <c r="D1750">
        <v>1</v>
      </c>
      <c r="E1750" t="str">
        <f t="shared" si="464"/>
        <v>Complete Industrial Electronics Program 220V</v>
      </c>
      <c r="F1750">
        <v>0</v>
      </c>
      <c r="G1750" t="str">
        <f t="shared" si="461"/>
        <v>Y</v>
      </c>
      <c r="H1750" t="str">
        <f t="shared" si="455"/>
        <v>EA</v>
      </c>
      <c r="I1750">
        <v>0</v>
      </c>
      <c r="J1750">
        <v>0</v>
      </c>
      <c r="K1750" t="str">
        <f t="shared" si="462"/>
        <v>Y</v>
      </c>
      <c r="L1750">
        <v>0</v>
      </c>
      <c r="M1750" t="str">
        <f t="shared" si="460"/>
        <v>NIS</v>
      </c>
      <c r="O1750">
        <v>55</v>
      </c>
      <c r="P1750" t="str">
        <f t="shared" si="465"/>
        <v>Active</v>
      </c>
      <c r="Q1750" t="str">
        <f>"LM7 Content, JM, Solid State Voltage Starter"</f>
        <v>LM7 Content, JM, Solid State Voltage Starter</v>
      </c>
      <c r="S1750" t="str">
        <f>"LM7 Content, JM, Solid State Voltage Starter"</f>
        <v>LM7 Content, JM, Solid State Voltage Starter</v>
      </c>
      <c r="T1750">
        <v>0</v>
      </c>
      <c r="U1750">
        <v>5</v>
      </c>
      <c r="V1750">
        <v>5</v>
      </c>
      <c r="W1750" t="str">
        <f t="shared" si="456"/>
        <v>zintel</v>
      </c>
    </row>
    <row r="1751" spans="1:23">
      <c r="A1751" t="str">
        <f t="shared" si="463"/>
        <v>JM-CMPL-ELEC-2</v>
      </c>
      <c r="B1751" t="str">
        <f>"26-E024-0000"</f>
        <v>26-E024-0000</v>
      </c>
      <c r="C1751" t="str">
        <f>"Assembly, JM, E024, Solid State Starter Panel"</f>
        <v>Assembly, JM, E024, Solid State Starter Panel</v>
      </c>
      <c r="D1751">
        <v>2</v>
      </c>
      <c r="E1751" t="str">
        <f t="shared" si="464"/>
        <v>Complete Industrial Electronics Program 220V</v>
      </c>
      <c r="F1751">
        <v>0</v>
      </c>
      <c r="G1751" t="str">
        <f t="shared" si="461"/>
        <v>Y</v>
      </c>
      <c r="H1751" t="str">
        <f t="shared" si="455"/>
        <v>EA</v>
      </c>
      <c r="I1751">
        <v>0</v>
      </c>
      <c r="J1751">
        <v>0</v>
      </c>
      <c r="K1751" t="str">
        <f t="shared" si="462"/>
        <v>Y</v>
      </c>
      <c r="L1751">
        <v>0</v>
      </c>
      <c r="M1751" t="str">
        <f t="shared" si="460"/>
        <v>NIS</v>
      </c>
      <c r="O1751">
        <v>56</v>
      </c>
      <c r="P1751" t="str">
        <f>"ECO-N2Buy"</f>
        <v>ECO-N2Buy</v>
      </c>
      <c r="Q1751" t="str">
        <f>"Assembly, JM, E024, Solid State Starter Panel"</f>
        <v>Assembly, JM, E024, Solid State Starter Panel</v>
      </c>
      <c r="S1751" t="str">
        <f>"Assembly, JM, E024, Solid State Starter Panel"</f>
        <v>Assembly, JM, E024, Solid State Starter Panel</v>
      </c>
      <c r="T1751">
        <v>492.42</v>
      </c>
      <c r="U1751">
        <v>489</v>
      </c>
      <c r="V1751">
        <v>705.69</v>
      </c>
      <c r="W1751" t="str">
        <f t="shared" si="456"/>
        <v>zintel</v>
      </c>
    </row>
    <row r="1752" spans="1:23">
      <c r="A1752" t="str">
        <f t="shared" si="463"/>
        <v>JM-CMPL-ELEC-2</v>
      </c>
      <c r="B1752" t="str">
        <f>"77-EA09-0000"</f>
        <v>77-EA09-0000</v>
      </c>
      <c r="C1752" t="str">
        <f>"LM7 Content, JM, Pilot Devices"</f>
        <v>LM7 Content, JM, Pilot Devices</v>
      </c>
      <c r="D1752">
        <v>1</v>
      </c>
      <c r="E1752" t="str">
        <f t="shared" si="464"/>
        <v>Complete Industrial Electronics Program 220V</v>
      </c>
      <c r="F1752">
        <v>0</v>
      </c>
      <c r="G1752" t="str">
        <f t="shared" si="461"/>
        <v>Y</v>
      </c>
      <c r="H1752" t="str">
        <f t="shared" si="455"/>
        <v>EA</v>
      </c>
      <c r="I1752">
        <v>0</v>
      </c>
      <c r="J1752">
        <v>0</v>
      </c>
      <c r="K1752" t="str">
        <f t="shared" si="462"/>
        <v>Y</v>
      </c>
      <c r="L1752">
        <v>0</v>
      </c>
      <c r="M1752" t="str">
        <f t="shared" si="460"/>
        <v>NIS</v>
      </c>
      <c r="O1752">
        <v>58</v>
      </c>
      <c r="P1752" t="str">
        <f t="shared" ref="P1752:P1783" si="466">"Active"</f>
        <v>Active</v>
      </c>
      <c r="Q1752" t="str">
        <f>"LM7 Content, JM, Pilot Devices"</f>
        <v>LM7 Content, JM, Pilot Devices</v>
      </c>
      <c r="S1752" t="str">
        <f>"LM7 Content, JM, Pilot Devices"</f>
        <v>LM7 Content, JM, Pilot Devices</v>
      </c>
      <c r="T1752">
        <v>0</v>
      </c>
      <c r="U1752">
        <v>5</v>
      </c>
      <c r="V1752">
        <v>5</v>
      </c>
      <c r="W1752" t="str">
        <f t="shared" si="456"/>
        <v>zintel</v>
      </c>
    </row>
    <row r="1753" spans="1:23">
      <c r="A1753" t="str">
        <f t="shared" si="463"/>
        <v>JM-CMPL-ELEC-2</v>
      </c>
      <c r="B1753" t="str">
        <f>"26-E011-0000"</f>
        <v>26-E011-0000</v>
      </c>
      <c r="C1753" t="str">
        <f>"Assembly, JM, E011, Limit Switch Panel"</f>
        <v>Assembly, JM, E011, Limit Switch Panel</v>
      </c>
      <c r="D1753">
        <v>2</v>
      </c>
      <c r="E1753" t="str">
        <f t="shared" si="464"/>
        <v>Complete Industrial Electronics Program 220V</v>
      </c>
      <c r="F1753">
        <v>0</v>
      </c>
      <c r="G1753" t="str">
        <f t="shared" si="461"/>
        <v>Y</v>
      </c>
      <c r="H1753" t="str">
        <f t="shared" si="455"/>
        <v>EA</v>
      </c>
      <c r="I1753">
        <v>0</v>
      </c>
      <c r="J1753">
        <v>0</v>
      </c>
      <c r="K1753" t="str">
        <f t="shared" si="462"/>
        <v>Y</v>
      </c>
      <c r="L1753">
        <v>0</v>
      </c>
      <c r="M1753" t="str">
        <f t="shared" si="460"/>
        <v>NIS</v>
      </c>
      <c r="O1753">
        <v>59</v>
      </c>
      <c r="P1753" t="str">
        <f t="shared" si="466"/>
        <v>Active</v>
      </c>
      <c r="Q1753" t="str">
        <f>"Assembly, JM, E011, Limit Switch Panel"</f>
        <v>Assembly, JM, E011, Limit Switch Panel</v>
      </c>
      <c r="S1753" t="str">
        <f>"Assembly, JM, E011, Limit Switch Panel"</f>
        <v>Assembly, JM, E011, Limit Switch Panel</v>
      </c>
      <c r="T1753">
        <v>188.08</v>
      </c>
      <c r="U1753">
        <v>188</v>
      </c>
      <c r="V1753">
        <v>269.41000000000003</v>
      </c>
      <c r="W1753" t="str">
        <f t="shared" si="456"/>
        <v>zintel</v>
      </c>
    </row>
    <row r="1754" spans="1:23">
      <c r="A1754" t="str">
        <f t="shared" si="463"/>
        <v>JM-CMPL-ELEC-2</v>
      </c>
      <c r="B1754" t="str">
        <f>"26-E018-0000"</f>
        <v>26-E018-0000</v>
      </c>
      <c r="C1754" t="str">
        <f>"Assembly, JM, E018, Liquid Level and Pressure"</f>
        <v>Assembly, JM, E018, Liquid Level and Pressure</v>
      </c>
      <c r="D1754">
        <v>2</v>
      </c>
      <c r="E1754" t="str">
        <f t="shared" si="464"/>
        <v>Complete Industrial Electronics Program 220V</v>
      </c>
      <c r="F1754">
        <v>0</v>
      </c>
      <c r="G1754" t="str">
        <f t="shared" si="461"/>
        <v>Y</v>
      </c>
      <c r="H1754" t="str">
        <f t="shared" si="455"/>
        <v>EA</v>
      </c>
      <c r="I1754">
        <v>0</v>
      </c>
      <c r="J1754">
        <v>0</v>
      </c>
      <c r="K1754" t="str">
        <f t="shared" si="462"/>
        <v>Y</v>
      </c>
      <c r="L1754">
        <v>0</v>
      </c>
      <c r="M1754" t="str">
        <f t="shared" si="460"/>
        <v>NIS</v>
      </c>
      <c r="O1754">
        <v>60</v>
      </c>
      <c r="P1754" t="str">
        <f t="shared" si="466"/>
        <v>Active</v>
      </c>
      <c r="Q1754" t="str">
        <f>"Assembly, JM, E018, Liquid Level and Pressure"</f>
        <v>Assembly, JM, E018, Liquid Level and Pressure</v>
      </c>
      <c r="S1754" t="str">
        <f>"Assembly, JM, E018, Liquid Level and Pressure"</f>
        <v>Assembly, JM, E018, Liquid Level and Pressure</v>
      </c>
      <c r="T1754">
        <v>451.57</v>
      </c>
      <c r="U1754">
        <v>450</v>
      </c>
      <c r="V1754">
        <v>476.25</v>
      </c>
      <c r="W1754" t="str">
        <f t="shared" si="456"/>
        <v>zintel</v>
      </c>
    </row>
    <row r="1755" spans="1:23">
      <c r="A1755" t="str">
        <f t="shared" si="463"/>
        <v>JM-CMPL-ELEC-2</v>
      </c>
      <c r="B1755" t="str">
        <f>"26-E126-0000"</f>
        <v>26-E126-0000</v>
      </c>
      <c r="C1755" t="str">
        <f>"Assembly, JM, E126, Photo, Mag, &amp; Prox Panel"</f>
        <v>Assembly, JM, E126, Photo, Mag, &amp; Prox Panel</v>
      </c>
      <c r="D1755">
        <v>2</v>
      </c>
      <c r="E1755" t="str">
        <f t="shared" si="464"/>
        <v>Complete Industrial Electronics Program 220V</v>
      </c>
      <c r="F1755">
        <v>0</v>
      </c>
      <c r="G1755" t="str">
        <f t="shared" si="461"/>
        <v>Y</v>
      </c>
      <c r="H1755" t="str">
        <f t="shared" si="455"/>
        <v>EA</v>
      </c>
      <c r="I1755">
        <v>0</v>
      </c>
      <c r="J1755">
        <v>0</v>
      </c>
      <c r="K1755" t="str">
        <f t="shared" si="462"/>
        <v>Y</v>
      </c>
      <c r="L1755">
        <v>0</v>
      </c>
      <c r="M1755" t="str">
        <f t="shared" si="460"/>
        <v>NIS</v>
      </c>
      <c r="O1755">
        <v>61</v>
      </c>
      <c r="P1755" t="str">
        <f t="shared" si="466"/>
        <v>Active</v>
      </c>
      <c r="Q1755" t="str">
        <f>"Assembly, JM, E126, Photo, Mag, &amp; Prox Panel"</f>
        <v>Assembly, JM, E126, Photo, Mag, &amp; Prox Panel</v>
      </c>
      <c r="S1755" t="str">
        <f>"Assembly, JM, E126, Photo, Mag, &amp; Prox Panel"</f>
        <v>Assembly, JM, E126, Photo, Mag, &amp; Prox Panel</v>
      </c>
      <c r="T1755">
        <v>798.95</v>
      </c>
      <c r="U1755">
        <v>760</v>
      </c>
      <c r="V1755" s="44">
        <v>1075.9000000000001</v>
      </c>
      <c r="W1755" t="str">
        <f t="shared" si="456"/>
        <v>zintel</v>
      </c>
    </row>
    <row r="1756" spans="1:23">
      <c r="A1756" t="str">
        <f t="shared" si="463"/>
        <v>JM-CMPL-ELEC-2</v>
      </c>
      <c r="B1756" t="str">
        <f>"26-E153-0000"</f>
        <v>26-E153-0000</v>
      </c>
      <c r="C1756" t="str">
        <f>"Assembly, JM, E153, AC/DC Circuits"</f>
        <v>Assembly, JM, E153, AC/DC Circuits</v>
      </c>
      <c r="D1756">
        <v>2</v>
      </c>
      <c r="E1756" t="str">
        <f t="shared" si="464"/>
        <v>Complete Industrial Electronics Program 220V</v>
      </c>
      <c r="F1756">
        <v>0</v>
      </c>
      <c r="G1756" t="str">
        <f t="shared" si="461"/>
        <v>Y</v>
      </c>
      <c r="H1756" t="str">
        <f t="shared" si="455"/>
        <v>EA</v>
      </c>
      <c r="I1756">
        <v>0</v>
      </c>
      <c r="J1756">
        <v>0</v>
      </c>
      <c r="K1756" t="str">
        <f t="shared" si="462"/>
        <v>Y</v>
      </c>
      <c r="L1756">
        <v>0</v>
      </c>
      <c r="M1756" t="str">
        <f t="shared" si="460"/>
        <v>NIS</v>
      </c>
      <c r="O1756">
        <v>62</v>
      </c>
      <c r="P1756" t="str">
        <f t="shared" si="466"/>
        <v>Active</v>
      </c>
      <c r="Q1756" t="str">
        <f>"Assembly, JM, E153, AC/DC Circuits"</f>
        <v>Assembly, JM, E153, AC/DC Circuits</v>
      </c>
      <c r="S1756" t="str">
        <f>"Assembly, JM, E153, AC/DC Circuits"</f>
        <v>Assembly, JM, E153, AC/DC Circuits</v>
      </c>
      <c r="T1756">
        <v>133.96</v>
      </c>
      <c r="U1756">
        <v>130</v>
      </c>
      <c r="V1756">
        <v>293.45999999999998</v>
      </c>
      <c r="W1756" t="str">
        <f t="shared" si="456"/>
        <v>zintel</v>
      </c>
    </row>
    <row r="1757" spans="1:23">
      <c r="A1757" t="str">
        <f t="shared" si="463"/>
        <v>JM-CMPL-ELEC-2</v>
      </c>
      <c r="B1757" t="str">
        <f>"77-EA12-0000"</f>
        <v>77-EA12-0000</v>
      </c>
      <c r="C1757" t="str">
        <f>"LM7 Content, JM, Electric Motor Drives"</f>
        <v>LM7 Content, JM, Electric Motor Drives</v>
      </c>
      <c r="D1757">
        <v>1</v>
      </c>
      <c r="E1757" t="str">
        <f t="shared" si="464"/>
        <v>Complete Industrial Electronics Program 220V</v>
      </c>
      <c r="F1757">
        <v>0</v>
      </c>
      <c r="G1757" t="str">
        <f t="shared" si="461"/>
        <v>Y</v>
      </c>
      <c r="H1757" t="str">
        <f t="shared" si="455"/>
        <v>EA</v>
      </c>
      <c r="I1757">
        <v>0</v>
      </c>
      <c r="J1757">
        <v>0</v>
      </c>
      <c r="K1757" t="str">
        <f t="shared" si="462"/>
        <v>Y</v>
      </c>
      <c r="L1757">
        <v>0</v>
      </c>
      <c r="M1757" t="str">
        <f t="shared" si="460"/>
        <v>NIS</v>
      </c>
      <c r="O1757">
        <v>64</v>
      </c>
      <c r="P1757" t="str">
        <f t="shared" si="466"/>
        <v>Active</v>
      </c>
      <c r="Q1757" t="str">
        <f>"LM7 Content, JM, Electric Motor Drives"</f>
        <v>LM7 Content, JM, Electric Motor Drives</v>
      </c>
      <c r="S1757" t="str">
        <f>"LM7 Content, JM, Electric Motor Drives"</f>
        <v>LM7 Content, JM, Electric Motor Drives</v>
      </c>
      <c r="T1757">
        <v>0</v>
      </c>
      <c r="U1757">
        <v>5</v>
      </c>
      <c r="V1757">
        <v>5</v>
      </c>
      <c r="W1757" t="str">
        <f t="shared" si="456"/>
        <v>zintel</v>
      </c>
    </row>
    <row r="1758" spans="1:23">
      <c r="A1758" t="str">
        <f t="shared" si="463"/>
        <v>JM-CMPL-ELEC-2</v>
      </c>
      <c r="B1758" t="str">
        <f>"26-E067-0000"</f>
        <v>26-E067-0000</v>
      </c>
      <c r="C1758" t="str">
        <f>"Assembly, JM, E067,Varible Frequency Drive Panel"</f>
        <v>Assembly, JM, E067,Varible Frequency Drive Panel</v>
      </c>
      <c r="D1758">
        <v>2</v>
      </c>
      <c r="E1758" t="str">
        <f t="shared" si="464"/>
        <v>Complete Industrial Electronics Program 220V</v>
      </c>
      <c r="F1758">
        <v>0</v>
      </c>
      <c r="G1758" t="str">
        <f t="shared" si="461"/>
        <v>Y</v>
      </c>
      <c r="H1758" t="str">
        <f t="shared" si="455"/>
        <v>EA</v>
      </c>
      <c r="I1758">
        <v>0</v>
      </c>
      <c r="J1758">
        <v>0</v>
      </c>
      <c r="K1758" t="str">
        <f t="shared" si="462"/>
        <v>Y</v>
      </c>
      <c r="L1758">
        <v>0</v>
      </c>
      <c r="M1758" t="str">
        <f t="shared" si="460"/>
        <v>NIS</v>
      </c>
      <c r="O1758">
        <v>65</v>
      </c>
      <c r="P1758" t="str">
        <f t="shared" si="466"/>
        <v>Active</v>
      </c>
      <c r="Q1758" t="str">
        <f>"Assembly, JM, E067,Varible Frequency Drive Panel"</f>
        <v>Assembly, JM, E067,Varible Frequency Drive Panel</v>
      </c>
      <c r="S1758" t="str">
        <f>"Assembly, JM, E067,Varible Frequency Drive Panel"</f>
        <v>Assembly, JM, E067,Varible Frequency Drive Panel</v>
      </c>
      <c r="T1758">
        <v>321.17</v>
      </c>
      <c r="U1758">
        <v>317</v>
      </c>
      <c r="V1758">
        <v>588.07000000000005</v>
      </c>
      <c r="W1758" t="str">
        <f t="shared" si="456"/>
        <v>zintel</v>
      </c>
    </row>
    <row r="1759" spans="1:23">
      <c r="A1759" t="str">
        <f t="shared" si="463"/>
        <v>JM-CMPL-ELEC-2</v>
      </c>
      <c r="B1759" t="str">
        <f>"77-EA16-0000"</f>
        <v>77-EA16-0000</v>
      </c>
      <c r="C1759" t="str">
        <f>"LM7 Content, JM, DC Motor Drives"</f>
        <v>LM7 Content, JM, DC Motor Drives</v>
      </c>
      <c r="D1759">
        <v>1</v>
      </c>
      <c r="E1759" t="str">
        <f t="shared" si="464"/>
        <v>Complete Industrial Electronics Program 220V</v>
      </c>
      <c r="F1759">
        <v>0</v>
      </c>
      <c r="G1759" t="str">
        <f t="shared" si="461"/>
        <v>Y</v>
      </c>
      <c r="H1759" t="str">
        <f t="shared" si="455"/>
        <v>EA</v>
      </c>
      <c r="I1759">
        <v>0</v>
      </c>
      <c r="J1759">
        <v>0</v>
      </c>
      <c r="K1759" t="str">
        <f t="shared" si="462"/>
        <v>Y</v>
      </c>
      <c r="L1759">
        <v>0</v>
      </c>
      <c r="M1759" t="str">
        <f t="shared" si="460"/>
        <v>NIS</v>
      </c>
      <c r="O1759">
        <v>67</v>
      </c>
      <c r="P1759" t="str">
        <f t="shared" si="466"/>
        <v>Active</v>
      </c>
      <c r="Q1759" t="str">
        <f>"LM7 Content, JM, DC Motor Drives"</f>
        <v>LM7 Content, JM, DC Motor Drives</v>
      </c>
      <c r="S1759" t="str">
        <f>"LM7 Content, JM, DC Motor Drives"</f>
        <v>LM7 Content, JM, DC Motor Drives</v>
      </c>
      <c r="T1759">
        <v>0</v>
      </c>
      <c r="U1759">
        <v>5</v>
      </c>
      <c r="V1759">
        <v>5</v>
      </c>
      <c r="W1759" t="str">
        <f t="shared" si="456"/>
        <v>zintel</v>
      </c>
    </row>
    <row r="1760" spans="1:23">
      <c r="A1760" t="str">
        <f t="shared" si="463"/>
        <v>JM-CMPL-ELEC-2</v>
      </c>
      <c r="B1760" t="str">
        <f>"26-E025-0000"</f>
        <v>26-E025-0000</v>
      </c>
      <c r="C1760" t="str">
        <f>"Assembly, JM, E025 F-O-R Switch Panel"</f>
        <v>Assembly, JM, E025 F-O-R Switch Panel</v>
      </c>
      <c r="D1760">
        <v>2</v>
      </c>
      <c r="E1760" t="str">
        <f t="shared" si="464"/>
        <v>Complete Industrial Electronics Program 220V</v>
      </c>
      <c r="F1760">
        <v>0</v>
      </c>
      <c r="G1760" t="str">
        <f t="shared" si="461"/>
        <v>Y</v>
      </c>
      <c r="H1760" t="str">
        <f t="shared" si="455"/>
        <v>EA</v>
      </c>
      <c r="I1760">
        <v>0</v>
      </c>
      <c r="J1760">
        <v>0</v>
      </c>
      <c r="K1760" t="str">
        <f t="shared" si="462"/>
        <v>Y</v>
      </c>
      <c r="L1760">
        <v>0</v>
      </c>
      <c r="M1760" t="str">
        <f t="shared" si="460"/>
        <v>NIS</v>
      </c>
      <c r="O1760">
        <v>68</v>
      </c>
      <c r="P1760" t="str">
        <f t="shared" si="466"/>
        <v>Active</v>
      </c>
      <c r="Q1760" t="str">
        <f>"Assembly, JM, E025 F-O-R Switch Panel"</f>
        <v>Assembly, JM, E025 F-O-R Switch Panel</v>
      </c>
      <c r="S1760" t="str">
        <f>"Assembly, JM, E025 F-O-R Switch Panel"</f>
        <v>Assembly, JM, E025 F-O-R Switch Panel</v>
      </c>
      <c r="T1760">
        <v>108.83</v>
      </c>
      <c r="U1760">
        <v>108</v>
      </c>
      <c r="V1760">
        <v>390.23</v>
      </c>
      <c r="W1760" t="str">
        <f t="shared" si="456"/>
        <v>zintel</v>
      </c>
    </row>
    <row r="1761" spans="1:23">
      <c r="A1761" t="str">
        <f t="shared" si="463"/>
        <v>JM-CMPL-ELEC-2</v>
      </c>
      <c r="B1761" t="str">
        <f>"26-E038-0000"</f>
        <v>26-E038-0000</v>
      </c>
      <c r="C1761" t="str">
        <f>"Assembly, JM, E038, PWM Speed Control Panel"</f>
        <v>Assembly, JM, E038, PWM Speed Control Panel</v>
      </c>
      <c r="D1761">
        <v>2</v>
      </c>
      <c r="E1761" t="str">
        <f t="shared" si="464"/>
        <v>Complete Industrial Electronics Program 220V</v>
      </c>
      <c r="F1761">
        <v>0</v>
      </c>
      <c r="G1761" t="str">
        <f t="shared" si="461"/>
        <v>Y</v>
      </c>
      <c r="H1761" t="str">
        <f t="shared" si="455"/>
        <v>EA</v>
      </c>
      <c r="I1761">
        <v>0</v>
      </c>
      <c r="J1761">
        <v>0</v>
      </c>
      <c r="K1761" t="str">
        <f t="shared" si="462"/>
        <v>Y</v>
      </c>
      <c r="L1761">
        <v>0</v>
      </c>
      <c r="M1761" t="str">
        <f t="shared" si="460"/>
        <v>NIS</v>
      </c>
      <c r="O1761">
        <v>69</v>
      </c>
      <c r="P1761" t="str">
        <f t="shared" si="466"/>
        <v>Active</v>
      </c>
      <c r="Q1761" t="str">
        <f>"Assembly, JM, E038, PWM Speed Control Panel"</f>
        <v>Assembly, JM, E038, PWM Speed Control Panel</v>
      </c>
      <c r="S1761" t="str">
        <f>"Assembly, JM, E038, PWM Speed Control Panel"</f>
        <v>Assembly, JM, E038, PWM Speed Control Panel</v>
      </c>
      <c r="T1761">
        <v>254.87</v>
      </c>
      <c r="U1761">
        <v>255</v>
      </c>
      <c r="V1761">
        <v>602.52</v>
      </c>
      <c r="W1761" t="str">
        <f t="shared" si="456"/>
        <v>zintel</v>
      </c>
    </row>
    <row r="1762" spans="1:23">
      <c r="A1762" t="str">
        <f t="shared" si="463"/>
        <v>JM-CMPL-ELEC-2</v>
      </c>
      <c r="B1762" t="str">
        <f>"26-E048-0000"</f>
        <v>26-E048-0000</v>
      </c>
      <c r="C1762" t="str">
        <f>"Assembly, JM, E048 Inertial Load Panel"</f>
        <v>Assembly, JM, E048 Inertial Load Panel</v>
      </c>
      <c r="D1762">
        <v>2</v>
      </c>
      <c r="E1762" t="str">
        <f t="shared" si="464"/>
        <v>Complete Industrial Electronics Program 220V</v>
      </c>
      <c r="F1762">
        <v>0</v>
      </c>
      <c r="G1762" t="str">
        <f t="shared" si="461"/>
        <v>Y</v>
      </c>
      <c r="H1762" t="str">
        <f t="shared" si="455"/>
        <v>EA</v>
      </c>
      <c r="I1762">
        <v>0</v>
      </c>
      <c r="J1762">
        <v>0</v>
      </c>
      <c r="K1762" t="str">
        <f t="shared" si="462"/>
        <v>Y</v>
      </c>
      <c r="L1762">
        <v>0</v>
      </c>
      <c r="M1762" t="str">
        <f t="shared" si="460"/>
        <v>NIS</v>
      </c>
      <c r="O1762">
        <v>70</v>
      </c>
      <c r="P1762" t="str">
        <f t="shared" si="466"/>
        <v>Active</v>
      </c>
      <c r="Q1762" t="str">
        <f>"Assembly, JM, E048 Inertial Load Panel"</f>
        <v>Assembly, JM, E048 Inertial Load Panel</v>
      </c>
      <c r="S1762" t="str">
        <f>"Assembly, JM, E048 Inertial Load Panel"</f>
        <v>Assembly, JM, E048 Inertial Load Panel</v>
      </c>
      <c r="T1762">
        <v>179.91</v>
      </c>
      <c r="U1762">
        <v>207</v>
      </c>
      <c r="V1762">
        <v>293.45999999999998</v>
      </c>
      <c r="W1762" t="str">
        <f t="shared" si="456"/>
        <v>zintel</v>
      </c>
    </row>
    <row r="1763" spans="1:23">
      <c r="A1763" t="str">
        <f t="shared" si="463"/>
        <v>JM-CMPL-ELEC-2</v>
      </c>
      <c r="B1763" t="str">
        <f>"26-E071-0000"</f>
        <v>26-E071-0000</v>
      </c>
      <c r="C1763" t="str">
        <f>"Assembly, JM, E071 Regenerative SCR Drive Panel"</f>
        <v>Assembly, JM, E071 Regenerative SCR Drive Panel</v>
      </c>
      <c r="D1763">
        <v>2</v>
      </c>
      <c r="E1763" t="str">
        <f t="shared" si="464"/>
        <v>Complete Industrial Electronics Program 220V</v>
      </c>
      <c r="F1763">
        <v>0</v>
      </c>
      <c r="G1763" t="str">
        <f t="shared" si="461"/>
        <v>Y</v>
      </c>
      <c r="H1763" t="str">
        <f t="shared" si="455"/>
        <v>EA</v>
      </c>
      <c r="I1763">
        <v>0</v>
      </c>
      <c r="J1763">
        <v>0</v>
      </c>
      <c r="K1763" t="str">
        <f t="shared" si="462"/>
        <v>Y</v>
      </c>
      <c r="L1763">
        <v>0</v>
      </c>
      <c r="M1763" t="str">
        <f t="shared" si="460"/>
        <v>NIS</v>
      </c>
      <c r="O1763">
        <v>71</v>
      </c>
      <c r="P1763" t="str">
        <f t="shared" si="466"/>
        <v>Active</v>
      </c>
      <c r="Q1763" t="str">
        <f>"Assembly, JM, E071 Regenerative SCR Drive Panel"</f>
        <v>Assembly, JM, E071 Regenerative SCR Drive Panel</v>
      </c>
      <c r="S1763" t="str">
        <f>"Assembly, JM, E071 Regenerative SCR Drive Panel"</f>
        <v>Assembly, JM, E071 Regenerative SCR Drive Panel</v>
      </c>
      <c r="T1763">
        <v>371.1</v>
      </c>
      <c r="U1763">
        <v>370</v>
      </c>
      <c r="V1763">
        <v>641.86</v>
      </c>
      <c r="W1763" t="str">
        <f t="shared" si="456"/>
        <v>zintel</v>
      </c>
    </row>
    <row r="1764" spans="1:23">
      <c r="A1764" t="str">
        <f t="shared" si="463"/>
        <v>JM-CMPL-ELEC-2</v>
      </c>
      <c r="B1764" t="str">
        <f>"10-PPSU-0001"</f>
        <v>10-PPSU-0001</v>
      </c>
      <c r="C1764" t="str">
        <f>"JM, Portable Panel Storage Unit"</f>
        <v>JM, Portable Panel Storage Unit</v>
      </c>
      <c r="D1764">
        <v>2</v>
      </c>
      <c r="E1764" t="str">
        <f t="shared" si="464"/>
        <v>Complete Industrial Electronics Program 220V</v>
      </c>
      <c r="F1764">
        <v>0</v>
      </c>
      <c r="G1764" t="str">
        <f t="shared" si="461"/>
        <v>Y</v>
      </c>
      <c r="H1764" t="str">
        <f t="shared" si="455"/>
        <v>EA</v>
      </c>
      <c r="I1764">
        <v>0</v>
      </c>
      <c r="J1764">
        <v>0</v>
      </c>
      <c r="K1764" t="str">
        <f t="shared" si="462"/>
        <v>Y</v>
      </c>
      <c r="L1764">
        <v>0</v>
      </c>
      <c r="M1764" t="str">
        <f t="shared" si="460"/>
        <v>NIS</v>
      </c>
      <c r="O1764">
        <v>73</v>
      </c>
      <c r="P1764" t="str">
        <f t="shared" si="466"/>
        <v>Active</v>
      </c>
      <c r="Q1764" t="str">
        <f>"JM, Portable Panel Storage Unit"</f>
        <v>JM, Portable Panel Storage Unit</v>
      </c>
      <c r="S1764" t="str">
        <f>"JM, Portable Panel Storage Unit"</f>
        <v>JM, Portable Panel Storage Unit</v>
      </c>
      <c r="T1764">
        <v>889.25</v>
      </c>
      <c r="U1764">
        <v>961.88</v>
      </c>
      <c r="V1764">
        <v>978.6</v>
      </c>
      <c r="W1764" t="str">
        <f t="shared" si="456"/>
        <v>zintel</v>
      </c>
    </row>
    <row r="1765" spans="1:23">
      <c r="A1765" t="str">
        <f t="shared" si="463"/>
        <v>JM-CMPL-ELEC-2</v>
      </c>
      <c r="B1765" t="str">
        <f>"77-EB01A-0000"</f>
        <v>77-EB01A-0000</v>
      </c>
      <c r="C1765" t="str">
        <f>"LM7 Content, JM, Oscilloscope"</f>
        <v>LM7 Content, JM, Oscilloscope</v>
      </c>
      <c r="D1765">
        <v>1</v>
      </c>
      <c r="E1765" t="str">
        <f t="shared" si="464"/>
        <v>Complete Industrial Electronics Program 220V</v>
      </c>
      <c r="F1765">
        <v>0</v>
      </c>
      <c r="G1765" t="str">
        <f t="shared" si="461"/>
        <v>Y</v>
      </c>
      <c r="H1765" t="str">
        <f t="shared" si="455"/>
        <v>EA</v>
      </c>
      <c r="I1765">
        <v>0</v>
      </c>
      <c r="J1765">
        <v>0</v>
      </c>
      <c r="K1765" t="str">
        <f t="shared" si="462"/>
        <v>Y</v>
      </c>
      <c r="L1765">
        <v>0</v>
      </c>
      <c r="M1765" t="str">
        <f t="shared" si="460"/>
        <v>NIS</v>
      </c>
      <c r="O1765">
        <v>74</v>
      </c>
      <c r="P1765" t="str">
        <f t="shared" si="466"/>
        <v>Active</v>
      </c>
      <c r="Q1765" t="str">
        <f>"LM7 Content, JM, Oscilloscope"</f>
        <v>LM7 Content, JM, Oscilloscope</v>
      </c>
      <c r="S1765" t="str">
        <f>"LM7 Content, JM, Oscilloscope"</f>
        <v>LM7 Content, JM, Oscilloscope</v>
      </c>
      <c r="T1765">
        <v>0</v>
      </c>
      <c r="U1765">
        <v>5</v>
      </c>
      <c r="V1765">
        <v>5</v>
      </c>
      <c r="W1765" t="str">
        <f t="shared" si="456"/>
        <v>zintel</v>
      </c>
    </row>
    <row r="1766" spans="1:23">
      <c r="A1766" t="str">
        <f t="shared" si="463"/>
        <v>JM-CMPL-ELEC-2</v>
      </c>
      <c r="B1766" t="str">
        <f>"26-E087-0000"</f>
        <v>26-E087-0000</v>
      </c>
      <c r="C1766" t="str">
        <f>"Assembly, JM, E087, Adjustable Power Supply"</f>
        <v>Assembly, JM, E087, Adjustable Power Supply</v>
      </c>
      <c r="D1766">
        <v>2</v>
      </c>
      <c r="E1766" t="str">
        <f t="shared" si="464"/>
        <v>Complete Industrial Electronics Program 220V</v>
      </c>
      <c r="F1766">
        <v>0</v>
      </c>
      <c r="G1766" t="str">
        <f t="shared" si="461"/>
        <v>Y</v>
      </c>
      <c r="H1766" t="str">
        <f t="shared" si="455"/>
        <v>EA</v>
      </c>
      <c r="I1766">
        <v>0</v>
      </c>
      <c r="J1766">
        <v>0</v>
      </c>
      <c r="K1766" t="str">
        <f t="shared" si="462"/>
        <v>Y</v>
      </c>
      <c r="L1766">
        <v>0</v>
      </c>
      <c r="M1766" t="str">
        <f t="shared" si="460"/>
        <v>NIS</v>
      </c>
      <c r="O1766">
        <v>75</v>
      </c>
      <c r="P1766" t="str">
        <f t="shared" si="466"/>
        <v>Active</v>
      </c>
      <c r="Q1766" t="str">
        <f>"Assembly, JM, E087, Adjustable Power Supply"</f>
        <v>Assembly, JM, E087, Adjustable Power Supply</v>
      </c>
      <c r="S1766" t="str">
        <f>"Assembly, JM, E087, Adjustable Power Supply"</f>
        <v>Assembly, JM, E087, Adjustable Power Supply</v>
      </c>
      <c r="T1766">
        <v>73.88</v>
      </c>
      <c r="U1766">
        <v>75</v>
      </c>
      <c r="V1766">
        <v>174.83</v>
      </c>
      <c r="W1766" t="str">
        <f t="shared" si="456"/>
        <v>zintel</v>
      </c>
    </row>
    <row r="1767" spans="1:23">
      <c r="A1767" t="str">
        <f t="shared" si="463"/>
        <v>JM-CMPL-ELEC-2</v>
      </c>
      <c r="B1767" t="str">
        <f>"36-8900-0003"</f>
        <v>36-8900-0003</v>
      </c>
      <c r="C1767" t="str">
        <f>"JM, Oscilloscope, 30MHz, Analog BK"</f>
        <v>JM, Oscilloscope, 30MHz, Analog BK</v>
      </c>
      <c r="D1767">
        <v>2</v>
      </c>
      <c r="E1767" t="str">
        <f t="shared" si="464"/>
        <v>Complete Industrial Electronics Program 220V</v>
      </c>
      <c r="F1767">
        <v>0</v>
      </c>
      <c r="G1767" t="str">
        <f t="shared" si="461"/>
        <v>Y</v>
      </c>
      <c r="H1767" t="str">
        <f t="shared" si="455"/>
        <v>EA</v>
      </c>
      <c r="I1767">
        <v>0</v>
      </c>
      <c r="J1767">
        <v>0</v>
      </c>
      <c r="K1767" t="str">
        <f t="shared" si="462"/>
        <v>Y</v>
      </c>
      <c r="L1767">
        <v>0</v>
      </c>
      <c r="M1767" t="str">
        <f t="shared" si="460"/>
        <v>NIS</v>
      </c>
      <c r="O1767">
        <v>76</v>
      </c>
      <c r="P1767" t="str">
        <f t="shared" si="466"/>
        <v>Active</v>
      </c>
      <c r="Q1767" t="str">
        <f>"JM, Oscilloscope, 30MHz, Analog BK"</f>
        <v>JM, Oscilloscope, 30MHz, Analog BK</v>
      </c>
      <c r="R1767" t="str">
        <f>"1"</f>
        <v>1</v>
      </c>
      <c r="S1767" t="str">
        <f>"JM, Oscilloscope, 30MHz, Analog BK"</f>
        <v>JM, Oscilloscope, 30MHz, Analog BK</v>
      </c>
      <c r="T1767">
        <v>582.46</v>
      </c>
      <c r="U1767">
        <v>622.16</v>
      </c>
      <c r="V1767">
        <v>845.38</v>
      </c>
      <c r="W1767" t="str">
        <f t="shared" si="456"/>
        <v>zintel</v>
      </c>
    </row>
    <row r="1768" spans="1:23">
      <c r="A1768" t="str">
        <f t="shared" si="463"/>
        <v>JM-CMPL-ELEC-2</v>
      </c>
      <c r="B1768" t="str">
        <f>"77-EB01B-0000"</f>
        <v>77-EB01B-0000</v>
      </c>
      <c r="C1768" t="str">
        <f>"LM7 Content, JM, Digital Multimeter"</f>
        <v>LM7 Content, JM, Digital Multimeter</v>
      </c>
      <c r="D1768">
        <v>1</v>
      </c>
      <c r="E1768" t="str">
        <f t="shared" si="464"/>
        <v>Complete Industrial Electronics Program 220V</v>
      </c>
      <c r="F1768">
        <v>0</v>
      </c>
      <c r="G1768" t="str">
        <f t="shared" si="461"/>
        <v>Y</v>
      </c>
      <c r="H1768" t="str">
        <f t="shared" ref="H1768:H1831" si="467">"EA"</f>
        <v>EA</v>
      </c>
      <c r="I1768">
        <v>0</v>
      </c>
      <c r="J1768">
        <v>0</v>
      </c>
      <c r="K1768" t="str">
        <f t="shared" si="462"/>
        <v>Y</v>
      </c>
      <c r="L1768">
        <v>0</v>
      </c>
      <c r="M1768" t="str">
        <f t="shared" si="460"/>
        <v>NIS</v>
      </c>
      <c r="O1768">
        <v>78</v>
      </c>
      <c r="P1768" t="str">
        <f t="shared" si="466"/>
        <v>Active</v>
      </c>
      <c r="Q1768" t="str">
        <f>"LM7 Content, JM, Digital Multimeter"</f>
        <v>LM7 Content, JM, Digital Multimeter</v>
      </c>
      <c r="S1768" t="str">
        <f>"LM7 Content, JM, Digital Multimeter"</f>
        <v>LM7 Content, JM, Digital Multimeter</v>
      </c>
      <c r="T1768">
        <v>0</v>
      </c>
      <c r="U1768">
        <v>5</v>
      </c>
      <c r="V1768">
        <v>5</v>
      </c>
      <c r="W1768" t="str">
        <f t="shared" ref="W1768:W1831" si="468">"zintel"</f>
        <v>zintel</v>
      </c>
    </row>
    <row r="1769" spans="1:23">
      <c r="A1769" t="str">
        <f t="shared" ref="A1769:A1795" si="469">"JM-CMPL-ELEC-2"</f>
        <v>JM-CMPL-ELEC-2</v>
      </c>
      <c r="B1769" t="str">
        <f>"26-E052-0000"</f>
        <v>26-E052-0000</v>
      </c>
      <c r="C1769" t="str">
        <f>"Assembly, JM, E052, Resistors Panel"</f>
        <v>Assembly, JM, E052, Resistors Panel</v>
      </c>
      <c r="D1769">
        <v>2</v>
      </c>
      <c r="E1769" t="str">
        <f t="shared" ref="E1769:E1795" si="470">"Complete Industrial Electronics Program 220V"</f>
        <v>Complete Industrial Electronics Program 220V</v>
      </c>
      <c r="F1769">
        <v>0</v>
      </c>
      <c r="G1769" t="str">
        <f t="shared" si="461"/>
        <v>Y</v>
      </c>
      <c r="H1769" t="str">
        <f t="shared" si="467"/>
        <v>EA</v>
      </c>
      <c r="I1769">
        <v>0</v>
      </c>
      <c r="J1769">
        <v>0</v>
      </c>
      <c r="K1769" t="str">
        <f t="shared" si="462"/>
        <v>Y</v>
      </c>
      <c r="L1769">
        <v>0</v>
      </c>
      <c r="M1769" t="str">
        <f t="shared" si="460"/>
        <v>NIS</v>
      </c>
      <c r="O1769">
        <v>79</v>
      </c>
      <c r="P1769" t="str">
        <f t="shared" si="466"/>
        <v>Active</v>
      </c>
      <c r="Q1769" t="str">
        <f>"Assembly, JM, E052, Resistors Panel"</f>
        <v>Assembly, JM, E052, Resistors Panel</v>
      </c>
      <c r="S1769" t="str">
        <f>"Assembly, JM, E052, Resistors Panel"</f>
        <v>Assembly, JM, E052, Resistors Panel</v>
      </c>
      <c r="T1769">
        <v>116.66</v>
      </c>
      <c r="U1769">
        <v>112</v>
      </c>
      <c r="V1769">
        <v>216.4</v>
      </c>
      <c r="W1769" t="str">
        <f t="shared" si="468"/>
        <v>zintel</v>
      </c>
    </row>
    <row r="1770" spans="1:23">
      <c r="A1770" t="str">
        <f t="shared" si="469"/>
        <v>JM-CMPL-ELEC-2</v>
      </c>
      <c r="B1770" t="str">
        <f>"26-E055-0000"</f>
        <v>26-E055-0000</v>
      </c>
      <c r="C1770" t="str">
        <f>"Assembly, JM, E055, Filters/Capacitors Panel"</f>
        <v>Assembly, JM, E055, Filters/Capacitors Panel</v>
      </c>
      <c r="D1770">
        <v>2</v>
      </c>
      <c r="E1770" t="str">
        <f t="shared" si="470"/>
        <v>Complete Industrial Electronics Program 220V</v>
      </c>
      <c r="F1770">
        <v>0</v>
      </c>
      <c r="G1770" t="str">
        <f t="shared" si="461"/>
        <v>Y</v>
      </c>
      <c r="H1770" t="str">
        <f t="shared" si="467"/>
        <v>EA</v>
      </c>
      <c r="I1770">
        <v>0</v>
      </c>
      <c r="J1770">
        <v>0</v>
      </c>
      <c r="K1770" t="str">
        <f t="shared" si="462"/>
        <v>Y</v>
      </c>
      <c r="L1770">
        <v>0</v>
      </c>
      <c r="M1770" t="str">
        <f t="shared" si="460"/>
        <v>NIS</v>
      </c>
      <c r="O1770">
        <v>80</v>
      </c>
      <c r="P1770" t="str">
        <f t="shared" si="466"/>
        <v>Active</v>
      </c>
      <c r="Q1770" t="str">
        <f>"Assembly, JM, E055, Filters/Capacitors Panel"</f>
        <v>Assembly, JM, E055, Filters/Capacitors Panel</v>
      </c>
      <c r="S1770" t="str">
        <f>"Assembly, JM, E055, Filters/Capacitors Panel"</f>
        <v>Assembly, JM, E055, Filters/Capacitors Panel</v>
      </c>
      <c r="T1770">
        <v>153.1</v>
      </c>
      <c r="U1770">
        <v>152.85</v>
      </c>
      <c r="V1770">
        <v>199.09</v>
      </c>
      <c r="W1770" t="str">
        <f t="shared" si="468"/>
        <v>zintel</v>
      </c>
    </row>
    <row r="1771" spans="1:23">
      <c r="A1771" t="str">
        <f t="shared" si="469"/>
        <v>JM-CMPL-ELEC-2</v>
      </c>
      <c r="B1771" t="str">
        <f>"77-EB01C-0000"</f>
        <v>77-EB01C-0000</v>
      </c>
      <c r="C1771" t="str">
        <f>"LM7 Content, JM, Digital Oscilloscope"</f>
        <v>LM7 Content, JM, Digital Oscilloscope</v>
      </c>
      <c r="D1771">
        <v>1</v>
      </c>
      <c r="E1771" t="str">
        <f t="shared" si="470"/>
        <v>Complete Industrial Electronics Program 220V</v>
      </c>
      <c r="F1771">
        <v>0</v>
      </c>
      <c r="G1771" t="str">
        <f t="shared" si="461"/>
        <v>Y</v>
      </c>
      <c r="H1771" t="str">
        <f t="shared" si="467"/>
        <v>EA</v>
      </c>
      <c r="I1771">
        <v>0</v>
      </c>
      <c r="J1771">
        <v>0</v>
      </c>
      <c r="K1771" t="str">
        <f t="shared" si="462"/>
        <v>Y</v>
      </c>
      <c r="L1771">
        <v>0</v>
      </c>
      <c r="M1771" t="str">
        <f t="shared" si="460"/>
        <v>NIS</v>
      </c>
      <c r="O1771">
        <v>82</v>
      </c>
      <c r="P1771" t="str">
        <f t="shared" si="466"/>
        <v>Active</v>
      </c>
      <c r="Q1771" t="str">
        <f>"LM7 Content, JM, Digital Oscilloscope"</f>
        <v>LM7 Content, JM, Digital Oscilloscope</v>
      </c>
      <c r="S1771" t="str">
        <f>"LM7 Content, JM, Digital Oscilloscope"</f>
        <v>LM7 Content, JM, Digital Oscilloscope</v>
      </c>
      <c r="T1771">
        <v>0</v>
      </c>
      <c r="U1771">
        <v>5</v>
      </c>
      <c r="V1771">
        <v>5</v>
      </c>
      <c r="W1771" t="str">
        <f t="shared" si="468"/>
        <v>zintel</v>
      </c>
    </row>
    <row r="1772" spans="1:23">
      <c r="A1772" t="str">
        <f t="shared" si="469"/>
        <v>JM-CMPL-ELEC-2</v>
      </c>
      <c r="B1772" t="str">
        <f>"36-8900-0025"</f>
        <v>36-8900-0025</v>
      </c>
      <c r="C1772" t="str">
        <f>"JM, Oscilloscope, 5MHz, Hand Held"</f>
        <v>JM, Oscilloscope, 5MHz, Hand Held</v>
      </c>
      <c r="D1772">
        <v>2</v>
      </c>
      <c r="E1772" t="str">
        <f t="shared" si="470"/>
        <v>Complete Industrial Electronics Program 220V</v>
      </c>
      <c r="F1772">
        <v>0</v>
      </c>
      <c r="G1772" t="str">
        <f t="shared" si="461"/>
        <v>Y</v>
      </c>
      <c r="H1772" t="str">
        <f t="shared" si="467"/>
        <v>EA</v>
      </c>
      <c r="I1772">
        <v>0</v>
      </c>
      <c r="J1772">
        <v>0</v>
      </c>
      <c r="K1772" t="str">
        <f t="shared" si="462"/>
        <v>Y</v>
      </c>
      <c r="L1772">
        <v>0</v>
      </c>
      <c r="M1772" t="str">
        <f t="shared" si="460"/>
        <v>NIS</v>
      </c>
      <c r="O1772">
        <v>83</v>
      </c>
      <c r="P1772" t="str">
        <f t="shared" si="466"/>
        <v>Active</v>
      </c>
      <c r="Q1772" t="str">
        <f>"JM, Oscilloscope, 5MHz, Hand Held"</f>
        <v>JM, Oscilloscope, 5MHz, Hand Held</v>
      </c>
      <c r="R1772" t="str">
        <f>"1"</f>
        <v>1</v>
      </c>
      <c r="S1772" t="str">
        <f>"JM, Oscilloscope, 5MHz, Hand Held"</f>
        <v>JM, Oscilloscope, 5MHz, Hand Held</v>
      </c>
      <c r="T1772">
        <v>807.3</v>
      </c>
      <c r="U1772">
        <v>564.49</v>
      </c>
      <c r="V1772">
        <v>827.3</v>
      </c>
      <c r="W1772" t="str">
        <f t="shared" si="468"/>
        <v>zintel</v>
      </c>
    </row>
    <row r="1773" spans="1:23">
      <c r="A1773" t="str">
        <f t="shared" si="469"/>
        <v>JM-CMPL-ELEC-2</v>
      </c>
      <c r="B1773" t="str">
        <f>"77-EB02A-0000"</f>
        <v>77-EB02A-0000</v>
      </c>
      <c r="C1773" t="str">
        <f>"LM7 Content, JM, DC Power Supplies"</f>
        <v>LM7 Content, JM, DC Power Supplies</v>
      </c>
      <c r="D1773">
        <v>1</v>
      </c>
      <c r="E1773" t="str">
        <f t="shared" si="470"/>
        <v>Complete Industrial Electronics Program 220V</v>
      </c>
      <c r="F1773">
        <v>0</v>
      </c>
      <c r="G1773" t="str">
        <f t="shared" si="461"/>
        <v>Y</v>
      </c>
      <c r="H1773" t="str">
        <f t="shared" si="467"/>
        <v>EA</v>
      </c>
      <c r="I1773">
        <v>0</v>
      </c>
      <c r="J1773">
        <v>0</v>
      </c>
      <c r="K1773" t="str">
        <f t="shared" si="462"/>
        <v>Y</v>
      </c>
      <c r="L1773">
        <v>0</v>
      </c>
      <c r="M1773" t="str">
        <f t="shared" si="460"/>
        <v>NIS</v>
      </c>
      <c r="O1773">
        <v>85</v>
      </c>
      <c r="P1773" t="str">
        <f t="shared" si="466"/>
        <v>Active</v>
      </c>
      <c r="Q1773" t="str">
        <f>"LM7 Content, JM, DC Power Supplies"</f>
        <v>LM7 Content, JM, DC Power Supplies</v>
      </c>
      <c r="S1773" t="str">
        <f>"LM7 Content, JM, DC Power Supplies"</f>
        <v>LM7 Content, JM, DC Power Supplies</v>
      </c>
      <c r="T1773">
        <v>0</v>
      </c>
      <c r="U1773">
        <v>5</v>
      </c>
      <c r="V1773">
        <v>5</v>
      </c>
      <c r="W1773" t="str">
        <f t="shared" si="468"/>
        <v>zintel</v>
      </c>
    </row>
    <row r="1774" spans="1:23">
      <c r="A1774" t="str">
        <f t="shared" si="469"/>
        <v>JM-CMPL-ELEC-2</v>
      </c>
      <c r="B1774" t="str">
        <f>"26-E039-0000"</f>
        <v>26-E039-0000</v>
      </c>
      <c r="C1774" t="str">
        <f>"Assembly, JM, E039,Single Phase Bridge Rectifier"</f>
        <v>Assembly, JM, E039,Single Phase Bridge Rectifier</v>
      </c>
      <c r="D1774">
        <v>2</v>
      </c>
      <c r="E1774" t="str">
        <f t="shared" si="470"/>
        <v>Complete Industrial Electronics Program 220V</v>
      </c>
      <c r="F1774">
        <v>0</v>
      </c>
      <c r="G1774" t="str">
        <f t="shared" si="461"/>
        <v>Y</v>
      </c>
      <c r="H1774" t="str">
        <f t="shared" si="467"/>
        <v>EA</v>
      </c>
      <c r="I1774">
        <v>0</v>
      </c>
      <c r="J1774">
        <v>0</v>
      </c>
      <c r="K1774" t="str">
        <f t="shared" si="462"/>
        <v>Y</v>
      </c>
      <c r="L1774">
        <v>0</v>
      </c>
      <c r="M1774" t="str">
        <f t="shared" si="460"/>
        <v>NIS</v>
      </c>
      <c r="O1774">
        <v>86</v>
      </c>
      <c r="P1774" t="str">
        <f t="shared" si="466"/>
        <v>Active</v>
      </c>
      <c r="Q1774" t="str">
        <f>"Assembly, JM, E039,Single Phase Bridge Rectifier"</f>
        <v>Assembly, JM, E039,Single Phase Bridge Rectifier</v>
      </c>
      <c r="S1774" t="str">
        <f>"Assembly, JM, E039,Single Phase Bridge Rectifier"</f>
        <v>Assembly, JM, E039,Single Phase Bridge Rectifier</v>
      </c>
      <c r="T1774">
        <v>85.8</v>
      </c>
      <c r="U1774">
        <v>85</v>
      </c>
      <c r="V1774">
        <v>177.95</v>
      </c>
      <c r="W1774" t="str">
        <f t="shared" si="468"/>
        <v>zintel</v>
      </c>
    </row>
    <row r="1775" spans="1:23">
      <c r="A1775" t="str">
        <f t="shared" si="469"/>
        <v>JM-CMPL-ELEC-2</v>
      </c>
      <c r="B1775" t="str">
        <f>"26-E061-0000"</f>
        <v>26-E061-0000</v>
      </c>
      <c r="C1775" t="str">
        <f>"Assembly, JM, E061, Low Voltage Transformer"</f>
        <v>Assembly, JM, E061, Low Voltage Transformer</v>
      </c>
      <c r="D1775">
        <v>2</v>
      </c>
      <c r="E1775" t="str">
        <f t="shared" si="470"/>
        <v>Complete Industrial Electronics Program 220V</v>
      </c>
      <c r="F1775">
        <v>0</v>
      </c>
      <c r="G1775" t="str">
        <f t="shared" si="461"/>
        <v>Y</v>
      </c>
      <c r="H1775" t="str">
        <f t="shared" si="467"/>
        <v>EA</v>
      </c>
      <c r="I1775">
        <v>0</v>
      </c>
      <c r="J1775">
        <v>0</v>
      </c>
      <c r="K1775" t="str">
        <f t="shared" si="462"/>
        <v>Y</v>
      </c>
      <c r="L1775">
        <v>0</v>
      </c>
      <c r="M1775" t="str">
        <f t="shared" si="460"/>
        <v>NIS</v>
      </c>
      <c r="O1775">
        <v>87</v>
      </c>
      <c r="P1775" t="str">
        <f t="shared" si="466"/>
        <v>Active</v>
      </c>
      <c r="Q1775" t="str">
        <f>"Assembly, JM, E061, Low Voltage Transformer"</f>
        <v>Assembly, JM, E061, Low Voltage Transformer</v>
      </c>
      <c r="S1775" t="str">
        <f>"Assembly, JM, E061, Low Voltage Transformer"</f>
        <v>Assembly, JM, E061, Low Voltage Transformer</v>
      </c>
      <c r="T1775">
        <v>158.13</v>
      </c>
      <c r="U1775">
        <v>157</v>
      </c>
      <c r="V1775">
        <v>281</v>
      </c>
      <c r="W1775" t="str">
        <f t="shared" si="468"/>
        <v>zintel</v>
      </c>
    </row>
    <row r="1776" spans="1:23">
      <c r="A1776" t="str">
        <f t="shared" si="469"/>
        <v>JM-CMPL-ELEC-2</v>
      </c>
      <c r="B1776" t="str">
        <f>"26-E062-0000"</f>
        <v>26-E062-0000</v>
      </c>
      <c r="C1776" t="str">
        <f>"Assembly, JM, E062, Diode Rectifier Panel"</f>
        <v>Assembly, JM, E062, Diode Rectifier Panel</v>
      </c>
      <c r="D1776">
        <v>2</v>
      </c>
      <c r="E1776" t="str">
        <f t="shared" si="470"/>
        <v>Complete Industrial Electronics Program 220V</v>
      </c>
      <c r="F1776">
        <v>0</v>
      </c>
      <c r="G1776" t="str">
        <f t="shared" si="461"/>
        <v>Y</v>
      </c>
      <c r="H1776" t="str">
        <f t="shared" si="467"/>
        <v>EA</v>
      </c>
      <c r="I1776">
        <v>0</v>
      </c>
      <c r="J1776">
        <v>0</v>
      </c>
      <c r="K1776" t="str">
        <f t="shared" si="462"/>
        <v>Y</v>
      </c>
      <c r="L1776">
        <v>0</v>
      </c>
      <c r="M1776" t="str">
        <f t="shared" si="460"/>
        <v>NIS</v>
      </c>
      <c r="O1776">
        <v>88</v>
      </c>
      <c r="P1776" t="str">
        <f t="shared" si="466"/>
        <v>Active</v>
      </c>
      <c r="Q1776" t="str">
        <f>"Assembly, JM, E062, Diode Rectifier Panel"</f>
        <v>Assembly, JM, E062, Diode Rectifier Panel</v>
      </c>
      <c r="S1776" t="str">
        <f>"Assembly, JM, E062, Diode Rectifier Panel"</f>
        <v>Assembly, JM, E062, Diode Rectifier Panel</v>
      </c>
      <c r="T1776">
        <v>100.53</v>
      </c>
      <c r="U1776">
        <v>100</v>
      </c>
      <c r="V1776">
        <v>215.41</v>
      </c>
      <c r="W1776" t="str">
        <f t="shared" si="468"/>
        <v>zintel</v>
      </c>
    </row>
    <row r="1777" spans="1:23">
      <c r="A1777" t="str">
        <f t="shared" si="469"/>
        <v>JM-CMPL-ELEC-2</v>
      </c>
      <c r="B1777" t="str">
        <f>"77-EB02B-0000"</f>
        <v>77-EB02B-0000</v>
      </c>
      <c r="C1777" t="str">
        <f>"LM7 Content, JM, Single &amp; 3 Phase Power Supply"</f>
        <v>LM7 Content, JM, Single &amp; 3 Phase Power Supply</v>
      </c>
      <c r="D1777">
        <v>1</v>
      </c>
      <c r="E1777" t="str">
        <f t="shared" si="470"/>
        <v>Complete Industrial Electronics Program 220V</v>
      </c>
      <c r="F1777">
        <v>0</v>
      </c>
      <c r="G1777" t="str">
        <f t="shared" si="461"/>
        <v>Y</v>
      </c>
      <c r="H1777" t="str">
        <f t="shared" si="467"/>
        <v>EA</v>
      </c>
      <c r="I1777">
        <v>0</v>
      </c>
      <c r="J1777">
        <v>0</v>
      </c>
      <c r="K1777" t="str">
        <f t="shared" si="462"/>
        <v>Y</v>
      </c>
      <c r="L1777">
        <v>0</v>
      </c>
      <c r="M1777" t="str">
        <f t="shared" ref="M1777:M1840" si="471">"NIS"</f>
        <v>NIS</v>
      </c>
      <c r="O1777">
        <v>90</v>
      </c>
      <c r="P1777" t="str">
        <f t="shared" si="466"/>
        <v>Active</v>
      </c>
      <c r="Q1777" t="str">
        <f>"LM7 Content, JM, Single &amp; 3 Phase Power Supply"</f>
        <v>LM7 Content, JM, Single &amp; 3 Phase Power Supply</v>
      </c>
      <c r="S1777" t="str">
        <f>"LM7 Content, JM, Single &amp; 3 Phase Power Supply"</f>
        <v>LM7 Content, JM, Single &amp; 3 Phase Power Supply</v>
      </c>
      <c r="T1777">
        <v>0</v>
      </c>
      <c r="U1777">
        <v>5</v>
      </c>
      <c r="V1777">
        <v>5</v>
      </c>
      <c r="W1777" t="str">
        <f t="shared" si="468"/>
        <v>zintel</v>
      </c>
    </row>
    <row r="1778" spans="1:23">
      <c r="A1778" t="str">
        <f t="shared" si="469"/>
        <v>JM-CMPL-ELEC-2</v>
      </c>
      <c r="B1778" t="str">
        <f>"26-E049-0000"</f>
        <v>26-E049-0000</v>
      </c>
      <c r="C1778" t="str">
        <f>"Assembly, JM, E049, Zener Diode Panel"</f>
        <v>Assembly, JM, E049, Zener Diode Panel</v>
      </c>
      <c r="D1778">
        <v>2</v>
      </c>
      <c r="E1778" t="str">
        <f t="shared" si="470"/>
        <v>Complete Industrial Electronics Program 220V</v>
      </c>
      <c r="F1778">
        <v>0</v>
      </c>
      <c r="G1778" t="str">
        <f t="shared" si="461"/>
        <v>Y</v>
      </c>
      <c r="H1778" t="str">
        <f t="shared" si="467"/>
        <v>EA</v>
      </c>
      <c r="I1778">
        <v>0</v>
      </c>
      <c r="J1778">
        <v>0</v>
      </c>
      <c r="K1778" t="str">
        <f t="shared" si="462"/>
        <v>Y</v>
      </c>
      <c r="L1778">
        <v>0</v>
      </c>
      <c r="M1778" t="str">
        <f t="shared" si="471"/>
        <v>NIS</v>
      </c>
      <c r="O1778">
        <v>91</v>
      </c>
      <c r="P1778" t="str">
        <f t="shared" si="466"/>
        <v>Active</v>
      </c>
      <c r="Q1778" t="str">
        <f>"Assembly, JM, E049, Zener Diode Panel"</f>
        <v>Assembly, JM, E049, Zener Diode Panel</v>
      </c>
      <c r="S1778" t="str">
        <f>"Assembly, JM, E049, Zener Diode Panel"</f>
        <v>Assembly, JM, E049, Zener Diode Panel</v>
      </c>
      <c r="T1778">
        <v>89.3</v>
      </c>
      <c r="U1778">
        <v>89</v>
      </c>
      <c r="V1778">
        <v>231.75</v>
      </c>
      <c r="W1778" t="str">
        <f t="shared" si="468"/>
        <v>zintel</v>
      </c>
    </row>
    <row r="1779" spans="1:23">
      <c r="A1779" t="str">
        <f t="shared" si="469"/>
        <v>JM-CMPL-ELEC-2</v>
      </c>
      <c r="B1779" t="str">
        <f>"26-E050-0000"</f>
        <v>26-E050-0000</v>
      </c>
      <c r="C1779" t="str">
        <f>"Assembly, JM, E050, Regulated Power Supply Panel"</f>
        <v>Assembly, JM, E050, Regulated Power Supply Panel</v>
      </c>
      <c r="D1779">
        <v>2</v>
      </c>
      <c r="E1779" t="str">
        <f t="shared" si="470"/>
        <v>Complete Industrial Electronics Program 220V</v>
      </c>
      <c r="F1779">
        <v>0</v>
      </c>
      <c r="G1779" t="str">
        <f t="shared" si="461"/>
        <v>Y</v>
      </c>
      <c r="H1779" t="str">
        <f t="shared" si="467"/>
        <v>EA</v>
      </c>
      <c r="I1779">
        <v>0</v>
      </c>
      <c r="J1779">
        <v>0</v>
      </c>
      <c r="K1779" t="str">
        <f t="shared" si="462"/>
        <v>Y</v>
      </c>
      <c r="L1779">
        <v>0</v>
      </c>
      <c r="M1779" t="str">
        <f t="shared" si="471"/>
        <v>NIS</v>
      </c>
      <c r="O1779">
        <v>92</v>
      </c>
      <c r="P1779" t="str">
        <f t="shared" si="466"/>
        <v>Active</v>
      </c>
      <c r="Q1779" t="str">
        <f>"Assembly, JM, E050, Regulated Power Supply Panel"</f>
        <v>Assembly, JM, E050, Regulated Power Supply Panel</v>
      </c>
      <c r="S1779" t="str">
        <f>"Assembly, JM, E050, Regulated Power Supply Panel"</f>
        <v>Assembly, JM, E050, Regulated Power Supply Panel</v>
      </c>
      <c r="T1779">
        <v>118.22</v>
      </c>
      <c r="U1779">
        <v>120</v>
      </c>
      <c r="V1779">
        <v>327.35000000000002</v>
      </c>
      <c r="W1779" t="str">
        <f t="shared" si="468"/>
        <v>zintel</v>
      </c>
    </row>
    <row r="1780" spans="1:23">
      <c r="A1780" t="str">
        <f t="shared" si="469"/>
        <v>JM-CMPL-ELEC-2</v>
      </c>
      <c r="B1780" t="str">
        <f>"26-E053-0000"</f>
        <v>26-E053-0000</v>
      </c>
      <c r="C1780" t="str">
        <f>"Assembly, JM, E053, Three Phase Bridge Rectifier"</f>
        <v>Assembly, JM, E053, Three Phase Bridge Rectifier</v>
      </c>
      <c r="D1780">
        <v>2</v>
      </c>
      <c r="E1780" t="str">
        <f t="shared" si="470"/>
        <v>Complete Industrial Electronics Program 220V</v>
      </c>
      <c r="F1780">
        <v>0</v>
      </c>
      <c r="G1780" t="str">
        <f t="shared" si="461"/>
        <v>Y</v>
      </c>
      <c r="H1780" t="str">
        <f t="shared" si="467"/>
        <v>EA</v>
      </c>
      <c r="I1780">
        <v>0</v>
      </c>
      <c r="J1780">
        <v>0</v>
      </c>
      <c r="K1780" t="str">
        <f t="shared" si="462"/>
        <v>Y</v>
      </c>
      <c r="L1780">
        <v>0</v>
      </c>
      <c r="M1780" t="str">
        <f t="shared" si="471"/>
        <v>NIS</v>
      </c>
      <c r="O1780">
        <v>93</v>
      </c>
      <c r="P1780" t="str">
        <f t="shared" si="466"/>
        <v>Active</v>
      </c>
      <c r="Q1780" t="str">
        <f>"Assembly, JM, E053, Three Phase Bridge Rectifier"</f>
        <v>Assembly, JM, E053, Three Phase Bridge Rectifier</v>
      </c>
      <c r="S1780" t="str">
        <f>"Assembly, JM, E053, Three Phase Bridge Rectifier"</f>
        <v>Assembly, JM, E053, Three Phase Bridge Rectifier</v>
      </c>
      <c r="T1780">
        <v>183.72</v>
      </c>
      <c r="U1780">
        <v>180</v>
      </c>
      <c r="V1780">
        <v>319.24</v>
      </c>
      <c r="W1780" t="str">
        <f t="shared" si="468"/>
        <v>zintel</v>
      </c>
    </row>
    <row r="1781" spans="1:23">
      <c r="A1781" t="str">
        <f t="shared" si="469"/>
        <v>JM-CMPL-ELEC-2</v>
      </c>
      <c r="B1781" t="str">
        <f>"77-EB03-0000"</f>
        <v>77-EB03-0000</v>
      </c>
      <c r="C1781" t="str">
        <f>"LM7 Content, JM, Thyristor Motor Drives"</f>
        <v>LM7 Content, JM, Thyristor Motor Drives</v>
      </c>
      <c r="D1781">
        <v>1</v>
      </c>
      <c r="E1781" t="str">
        <f t="shared" si="470"/>
        <v>Complete Industrial Electronics Program 220V</v>
      </c>
      <c r="F1781">
        <v>0</v>
      </c>
      <c r="G1781" t="str">
        <f t="shared" si="461"/>
        <v>Y</v>
      </c>
      <c r="H1781" t="str">
        <f t="shared" si="467"/>
        <v>EA</v>
      </c>
      <c r="I1781">
        <v>0</v>
      </c>
      <c r="J1781">
        <v>0</v>
      </c>
      <c r="K1781" t="str">
        <f t="shared" si="462"/>
        <v>Y</v>
      </c>
      <c r="L1781">
        <v>0</v>
      </c>
      <c r="M1781" t="str">
        <f t="shared" si="471"/>
        <v>NIS</v>
      </c>
      <c r="O1781">
        <v>95</v>
      </c>
      <c r="P1781" t="str">
        <f t="shared" si="466"/>
        <v>Active</v>
      </c>
      <c r="Q1781" t="str">
        <f>"LM7 Content, JM, Thyristor Motor Drives"</f>
        <v>LM7 Content, JM, Thyristor Motor Drives</v>
      </c>
      <c r="S1781" t="str">
        <f>"LM7 Content, JM, Thyristor Motor Drives"</f>
        <v>LM7 Content, JM, Thyristor Motor Drives</v>
      </c>
      <c r="T1781">
        <v>0</v>
      </c>
      <c r="U1781">
        <v>5</v>
      </c>
      <c r="V1781">
        <v>5</v>
      </c>
      <c r="W1781" t="str">
        <f t="shared" si="468"/>
        <v>zintel</v>
      </c>
    </row>
    <row r="1782" spans="1:23">
      <c r="A1782" t="str">
        <f t="shared" si="469"/>
        <v>JM-CMPL-ELEC-2</v>
      </c>
      <c r="B1782" t="str">
        <f>"26-E081-0000"</f>
        <v>26-E081-0000</v>
      </c>
      <c r="C1782" t="str">
        <f>"Assembly, JM, E081, SCR Panel"</f>
        <v>Assembly, JM, E081, SCR Panel</v>
      </c>
      <c r="D1782">
        <v>2</v>
      </c>
      <c r="E1782" t="str">
        <f t="shared" si="470"/>
        <v>Complete Industrial Electronics Program 220V</v>
      </c>
      <c r="F1782">
        <v>0</v>
      </c>
      <c r="G1782" t="str">
        <f t="shared" si="461"/>
        <v>Y</v>
      </c>
      <c r="H1782" t="str">
        <f t="shared" si="467"/>
        <v>EA</v>
      </c>
      <c r="I1782">
        <v>0</v>
      </c>
      <c r="J1782">
        <v>0</v>
      </c>
      <c r="K1782" t="str">
        <f t="shared" si="462"/>
        <v>Y</v>
      </c>
      <c r="L1782">
        <v>0</v>
      </c>
      <c r="M1782" t="str">
        <f t="shared" si="471"/>
        <v>NIS</v>
      </c>
      <c r="O1782">
        <v>96</v>
      </c>
      <c r="P1782" t="str">
        <f t="shared" si="466"/>
        <v>Active</v>
      </c>
      <c r="Q1782" t="str">
        <f>"Assembly, JM, E081, SCR Panel"</f>
        <v>Assembly, JM, E081, SCR Panel</v>
      </c>
      <c r="S1782" t="str">
        <f>"Assembly, JM, E081, SCR Panel"</f>
        <v>Assembly, JM, E081, SCR Panel</v>
      </c>
      <c r="T1782">
        <v>137.26</v>
      </c>
      <c r="U1782">
        <v>136</v>
      </c>
      <c r="V1782">
        <v>187.31</v>
      </c>
      <c r="W1782" t="str">
        <f t="shared" si="468"/>
        <v>zintel</v>
      </c>
    </row>
    <row r="1783" spans="1:23">
      <c r="A1783" t="str">
        <f t="shared" si="469"/>
        <v>JM-CMPL-ELEC-2</v>
      </c>
      <c r="B1783" t="str">
        <f>"26-E083-0000"</f>
        <v>26-E083-0000</v>
      </c>
      <c r="C1783" t="str">
        <f>"Assembly, JM, E083, TRIAC Panel"</f>
        <v>Assembly, JM, E083, TRIAC Panel</v>
      </c>
      <c r="D1783">
        <v>2</v>
      </c>
      <c r="E1783" t="str">
        <f t="shared" si="470"/>
        <v>Complete Industrial Electronics Program 220V</v>
      </c>
      <c r="F1783">
        <v>0</v>
      </c>
      <c r="G1783" t="str">
        <f t="shared" si="461"/>
        <v>Y</v>
      </c>
      <c r="H1783" t="str">
        <f t="shared" si="467"/>
        <v>EA</v>
      </c>
      <c r="I1783">
        <v>0</v>
      </c>
      <c r="J1783">
        <v>0</v>
      </c>
      <c r="K1783" t="str">
        <f t="shared" si="462"/>
        <v>Y</v>
      </c>
      <c r="L1783">
        <v>0</v>
      </c>
      <c r="M1783" t="str">
        <f t="shared" si="471"/>
        <v>NIS</v>
      </c>
      <c r="O1783">
        <v>97</v>
      </c>
      <c r="P1783" t="str">
        <f t="shared" si="466"/>
        <v>Active</v>
      </c>
      <c r="Q1783" t="str">
        <f>"Assembly, JM, E083, TRIAC Panel"</f>
        <v>Assembly, JM, E083, TRIAC Panel</v>
      </c>
      <c r="S1783" t="str">
        <f>"Assembly, JM, E083, TRIAC Panel"</f>
        <v>Assembly, JM, E083, TRIAC Panel</v>
      </c>
      <c r="T1783">
        <v>85.19</v>
      </c>
      <c r="U1783">
        <v>85</v>
      </c>
      <c r="V1783">
        <v>190.43</v>
      </c>
      <c r="W1783" t="str">
        <f t="shared" si="468"/>
        <v>zintel</v>
      </c>
    </row>
    <row r="1784" spans="1:23">
      <c r="A1784" t="str">
        <f t="shared" si="469"/>
        <v>JM-CMPL-ELEC-2</v>
      </c>
      <c r="B1784" t="str">
        <f>"26-E084-0000"</f>
        <v>26-E084-0000</v>
      </c>
      <c r="C1784" t="str">
        <f>"Assembly, JM, E084, DIAC Adjustable Resistors"</f>
        <v>Assembly, JM, E084, DIAC Adjustable Resistors</v>
      </c>
      <c r="D1784">
        <v>2</v>
      </c>
      <c r="E1784" t="str">
        <f t="shared" si="470"/>
        <v>Complete Industrial Electronics Program 220V</v>
      </c>
      <c r="F1784">
        <v>0</v>
      </c>
      <c r="G1784" t="str">
        <f t="shared" si="461"/>
        <v>Y</v>
      </c>
      <c r="H1784" t="str">
        <f t="shared" si="467"/>
        <v>EA</v>
      </c>
      <c r="I1784">
        <v>0</v>
      </c>
      <c r="J1784">
        <v>0</v>
      </c>
      <c r="K1784" t="str">
        <f t="shared" si="462"/>
        <v>Y</v>
      </c>
      <c r="L1784">
        <v>0</v>
      </c>
      <c r="M1784" t="str">
        <f t="shared" si="471"/>
        <v>NIS</v>
      </c>
      <c r="O1784">
        <v>98</v>
      </c>
      <c r="P1784" t="str">
        <f t="shared" ref="P1784:P1815" si="472">"Active"</f>
        <v>Active</v>
      </c>
      <c r="Q1784" t="str">
        <f>"Assembly, JM, E084, DIAC Adjustable Resistors"</f>
        <v>Assembly, JM, E084, DIAC Adjustable Resistors</v>
      </c>
      <c r="S1784" t="str">
        <f>"Assembly, JM, E084, DIAC Adjustable Resistors"</f>
        <v>Assembly, JM, E084, DIAC Adjustable Resistors</v>
      </c>
      <c r="T1784">
        <v>114.38</v>
      </c>
      <c r="U1784">
        <v>112</v>
      </c>
      <c r="V1784">
        <v>228.86</v>
      </c>
      <c r="W1784" t="str">
        <f t="shared" si="468"/>
        <v>zintel</v>
      </c>
    </row>
    <row r="1785" spans="1:23">
      <c r="A1785" t="str">
        <f t="shared" si="469"/>
        <v>JM-CMPL-ELEC-2</v>
      </c>
      <c r="B1785" t="str">
        <f>"26-E085-0000"</f>
        <v>26-E085-0000</v>
      </c>
      <c r="C1785" t="str">
        <f>"Assembly, JM, E085, Triac w/ Schmitt Trigger"</f>
        <v>Assembly, JM, E085, Triac w/ Schmitt Trigger</v>
      </c>
      <c r="D1785">
        <v>2</v>
      </c>
      <c r="E1785" t="str">
        <f t="shared" si="470"/>
        <v>Complete Industrial Electronics Program 220V</v>
      </c>
      <c r="F1785">
        <v>0</v>
      </c>
      <c r="G1785" t="str">
        <f t="shared" si="461"/>
        <v>Y</v>
      </c>
      <c r="H1785" t="str">
        <f t="shared" si="467"/>
        <v>EA</v>
      </c>
      <c r="I1785">
        <v>0</v>
      </c>
      <c r="J1785">
        <v>0</v>
      </c>
      <c r="K1785" t="str">
        <f t="shared" si="462"/>
        <v>Y</v>
      </c>
      <c r="L1785">
        <v>0</v>
      </c>
      <c r="M1785" t="str">
        <f t="shared" si="471"/>
        <v>NIS</v>
      </c>
      <c r="O1785">
        <v>99</v>
      </c>
      <c r="P1785" t="str">
        <f t="shared" si="472"/>
        <v>Active</v>
      </c>
      <c r="Q1785" t="str">
        <f>"Assembly, JM, E085, Triac w/ Schmitt Trigger"</f>
        <v>Assembly, JM, E085, Triac w/ Schmitt Trigger</v>
      </c>
      <c r="S1785" t="str">
        <f>"Assembly, JM, E085, Triac w/ Schmitt Trigger"</f>
        <v>Assembly, JM, E085, Triac w/ Schmitt Trigger</v>
      </c>
      <c r="T1785">
        <v>153.78</v>
      </c>
      <c r="U1785">
        <v>152</v>
      </c>
      <c r="V1785">
        <v>546.33000000000004</v>
      </c>
      <c r="W1785" t="str">
        <f t="shared" si="468"/>
        <v>zintel</v>
      </c>
    </row>
    <row r="1786" spans="1:23">
      <c r="A1786" t="str">
        <f t="shared" si="469"/>
        <v>JM-CMPL-ELEC-2</v>
      </c>
      <c r="B1786" t="str">
        <f>"26-E088-0000"</f>
        <v>26-E088-0000</v>
      </c>
      <c r="C1786" t="str">
        <f>"Assembly, JM, E088, PMW Motor Drive Panel"</f>
        <v>Assembly, JM, E088, PMW Motor Drive Panel</v>
      </c>
      <c r="D1786">
        <v>2</v>
      </c>
      <c r="E1786" t="str">
        <f t="shared" si="470"/>
        <v>Complete Industrial Electronics Program 220V</v>
      </c>
      <c r="F1786">
        <v>0</v>
      </c>
      <c r="G1786" t="str">
        <f t="shared" si="461"/>
        <v>Y</v>
      </c>
      <c r="H1786" t="str">
        <f t="shared" si="467"/>
        <v>EA</v>
      </c>
      <c r="I1786">
        <v>0</v>
      </c>
      <c r="J1786">
        <v>0</v>
      </c>
      <c r="K1786" t="str">
        <f t="shared" si="462"/>
        <v>Y</v>
      </c>
      <c r="L1786">
        <v>0</v>
      </c>
      <c r="M1786" t="str">
        <f t="shared" si="471"/>
        <v>NIS</v>
      </c>
      <c r="O1786">
        <v>100</v>
      </c>
      <c r="P1786" t="str">
        <f t="shared" si="472"/>
        <v>Active</v>
      </c>
      <c r="Q1786" t="str">
        <f>"Assembly, JM, E088, PMW Motor Drive Panel"</f>
        <v>Assembly, JM, E088, PMW Motor Drive Panel</v>
      </c>
      <c r="S1786" t="str">
        <f>"Assembly, JM, E088, PMW Motor Drive Panel"</f>
        <v>Assembly, JM, E088, PMW Motor Drive Panel</v>
      </c>
      <c r="T1786">
        <v>173.3</v>
      </c>
      <c r="U1786">
        <v>170</v>
      </c>
      <c r="V1786">
        <v>390.23</v>
      </c>
      <c r="W1786" t="str">
        <f t="shared" si="468"/>
        <v>zintel</v>
      </c>
    </row>
    <row r="1787" spans="1:23">
      <c r="A1787" t="str">
        <f t="shared" si="469"/>
        <v>JM-CMPL-ELEC-2</v>
      </c>
      <c r="B1787" t="str">
        <f>"26-E157-0000"</f>
        <v>26-E157-0000</v>
      </c>
      <c r="C1787" t="str">
        <f>"Assembly, JM, E157, Electric AC/DC Motors"</f>
        <v>Assembly, JM, E157, Electric AC/DC Motors</v>
      </c>
      <c r="D1787">
        <v>2</v>
      </c>
      <c r="E1787" t="str">
        <f t="shared" si="470"/>
        <v>Complete Industrial Electronics Program 220V</v>
      </c>
      <c r="F1787">
        <v>0</v>
      </c>
      <c r="G1787" t="str">
        <f t="shared" si="461"/>
        <v>Y</v>
      </c>
      <c r="H1787" t="str">
        <f t="shared" si="467"/>
        <v>EA</v>
      </c>
      <c r="I1787">
        <v>0</v>
      </c>
      <c r="J1787">
        <v>0</v>
      </c>
      <c r="K1787" t="str">
        <f t="shared" si="462"/>
        <v>Y</v>
      </c>
      <c r="L1787">
        <v>0</v>
      </c>
      <c r="M1787" t="str">
        <f t="shared" si="471"/>
        <v>NIS</v>
      </c>
      <c r="O1787">
        <v>101</v>
      </c>
      <c r="P1787" t="str">
        <f t="shared" si="472"/>
        <v>Active</v>
      </c>
      <c r="Q1787" t="str">
        <f>"Assembly, JM, E157, Electric AC/DC Motors"</f>
        <v>Assembly, JM, E157, Electric AC/DC Motors</v>
      </c>
      <c r="S1787" t="str">
        <f>"Assembly, JM, E157, Electric AC/DC Motors"</f>
        <v>Assembly, JM, E157, Electric AC/DC Motors</v>
      </c>
      <c r="T1787">
        <v>250.47</v>
      </c>
      <c r="U1787">
        <v>250</v>
      </c>
      <c r="V1787">
        <v>452.67</v>
      </c>
      <c r="W1787" t="str">
        <f t="shared" si="468"/>
        <v>zintel</v>
      </c>
    </row>
    <row r="1788" spans="1:23">
      <c r="A1788" t="str">
        <f t="shared" si="469"/>
        <v>JM-CMPL-ELEC-2</v>
      </c>
      <c r="B1788" t="str">
        <f>"26-E082-0000"</f>
        <v>26-E082-0000</v>
      </c>
      <c r="C1788" t="str">
        <f>"Assembly, JM, E082, Full Wave SCR DC Drive Panel"</f>
        <v>Assembly, JM, E082, Full Wave SCR DC Drive Panel</v>
      </c>
      <c r="D1788">
        <v>2</v>
      </c>
      <c r="E1788" t="str">
        <f t="shared" si="470"/>
        <v>Complete Industrial Electronics Program 220V</v>
      </c>
      <c r="F1788">
        <v>0</v>
      </c>
      <c r="G1788" t="str">
        <f t="shared" si="461"/>
        <v>Y</v>
      </c>
      <c r="H1788" t="str">
        <f t="shared" si="467"/>
        <v>EA</v>
      </c>
      <c r="I1788">
        <v>0</v>
      </c>
      <c r="J1788">
        <v>0</v>
      </c>
      <c r="K1788" t="str">
        <f t="shared" si="462"/>
        <v>Y</v>
      </c>
      <c r="L1788">
        <v>0</v>
      </c>
      <c r="M1788" t="str">
        <f t="shared" si="471"/>
        <v>NIS</v>
      </c>
      <c r="O1788">
        <v>103</v>
      </c>
      <c r="P1788" t="str">
        <f t="shared" si="472"/>
        <v>Active</v>
      </c>
      <c r="Q1788" t="str">
        <f>"Assembly, JM, E082, Full Wave SCR DC Drive Panel"</f>
        <v>Assembly, JM, E082, Full Wave SCR DC Drive Panel</v>
      </c>
      <c r="S1788" t="str">
        <f>"Assembly, JM, E082, Full Wave SCR DC Drive Panel"</f>
        <v>Assembly, JM, E082, Full Wave SCR DC Drive Panel</v>
      </c>
      <c r="T1788">
        <v>262.07</v>
      </c>
      <c r="U1788">
        <v>261</v>
      </c>
      <c r="V1788">
        <v>366.79</v>
      </c>
      <c r="W1788" t="str">
        <f t="shared" si="468"/>
        <v>zintel</v>
      </c>
    </row>
    <row r="1789" spans="1:23">
      <c r="A1789" t="str">
        <f t="shared" si="469"/>
        <v>JM-CMPL-ELEC-2</v>
      </c>
      <c r="B1789" t="str">
        <f>"77-EB04-0000"</f>
        <v>77-EB04-0000</v>
      </c>
      <c r="C1789" t="str">
        <f>"LM7 Content, JM, Electronic Timers &amp; Triggers"</f>
        <v>LM7 Content, JM, Electronic Timers &amp; Triggers</v>
      </c>
      <c r="D1789">
        <v>1</v>
      </c>
      <c r="E1789" t="str">
        <f t="shared" si="470"/>
        <v>Complete Industrial Electronics Program 220V</v>
      </c>
      <c r="F1789">
        <v>0</v>
      </c>
      <c r="G1789" t="str">
        <f t="shared" si="461"/>
        <v>Y</v>
      </c>
      <c r="H1789" t="str">
        <f t="shared" si="467"/>
        <v>EA</v>
      </c>
      <c r="I1789">
        <v>0</v>
      </c>
      <c r="J1789">
        <v>0</v>
      </c>
      <c r="K1789" t="str">
        <f t="shared" si="462"/>
        <v>Y</v>
      </c>
      <c r="L1789">
        <v>0</v>
      </c>
      <c r="M1789" t="str">
        <f t="shared" si="471"/>
        <v>NIS</v>
      </c>
      <c r="O1789">
        <v>104</v>
      </c>
      <c r="P1789" t="str">
        <f t="shared" si="472"/>
        <v>Active</v>
      </c>
      <c r="Q1789" t="str">
        <f>"LM7 Content, JM, Electronic Timers &amp; Triggers"</f>
        <v>LM7 Content, JM, Electronic Timers &amp; Triggers</v>
      </c>
      <c r="S1789" t="str">
        <f>"LM7 Content, JM, Electronic Timers &amp; Triggers"</f>
        <v>LM7 Content, JM, Electronic Timers &amp; Triggers</v>
      </c>
      <c r="T1789">
        <v>0</v>
      </c>
      <c r="U1789">
        <v>5</v>
      </c>
      <c r="V1789">
        <v>5</v>
      </c>
      <c r="W1789" t="str">
        <f t="shared" si="468"/>
        <v>zintel</v>
      </c>
    </row>
    <row r="1790" spans="1:23">
      <c r="A1790" t="str">
        <f t="shared" si="469"/>
        <v>JM-CMPL-ELEC-2</v>
      </c>
      <c r="B1790" t="str">
        <f>"26-E089-0000"</f>
        <v>26-E089-0000</v>
      </c>
      <c r="C1790" t="str">
        <f>"Assembly, JM, E089, Timers and Triggers Panel"</f>
        <v>Assembly, JM, E089, Timers and Triggers Panel</v>
      </c>
      <c r="D1790">
        <v>2</v>
      </c>
      <c r="E1790" t="str">
        <f t="shared" si="470"/>
        <v>Complete Industrial Electronics Program 220V</v>
      </c>
      <c r="F1790">
        <v>0</v>
      </c>
      <c r="G1790" t="str">
        <f t="shared" si="461"/>
        <v>Y</v>
      </c>
      <c r="H1790" t="str">
        <f t="shared" si="467"/>
        <v>EA</v>
      </c>
      <c r="I1790">
        <v>0</v>
      </c>
      <c r="J1790">
        <v>0</v>
      </c>
      <c r="K1790" t="str">
        <f t="shared" si="462"/>
        <v>Y</v>
      </c>
      <c r="L1790">
        <v>0</v>
      </c>
      <c r="M1790" t="str">
        <f t="shared" si="471"/>
        <v>NIS</v>
      </c>
      <c r="O1790">
        <v>105</v>
      </c>
      <c r="P1790" t="str">
        <f t="shared" si="472"/>
        <v>Active</v>
      </c>
      <c r="Q1790" t="str">
        <f>"Assembly, JM, E089, Timers and Triggers Panel"</f>
        <v>Assembly, JM, E089, Timers and Triggers Panel</v>
      </c>
      <c r="S1790" t="str">
        <f>"Assembly, JM, E089, Timers and Triggers Panel"</f>
        <v>Assembly, JM, E089, Timers and Triggers Panel</v>
      </c>
      <c r="T1790">
        <v>122.91</v>
      </c>
      <c r="U1790">
        <v>122</v>
      </c>
      <c r="V1790">
        <v>408.97</v>
      </c>
      <c r="W1790" t="str">
        <f t="shared" si="468"/>
        <v>zintel</v>
      </c>
    </row>
    <row r="1791" spans="1:23">
      <c r="A1791" t="str">
        <f t="shared" si="469"/>
        <v>JM-CMPL-ELEC-2</v>
      </c>
      <c r="B1791" t="str">
        <f>"77-EB05-0000"</f>
        <v>77-EB05-0000</v>
      </c>
      <c r="C1791" t="str">
        <f>"LM7 Content, JM, Basic Stepper Motors &amp; Drives"</f>
        <v>LM7 Content, JM, Basic Stepper Motors &amp; Drives</v>
      </c>
      <c r="D1791">
        <v>1</v>
      </c>
      <c r="E1791" t="str">
        <f t="shared" si="470"/>
        <v>Complete Industrial Electronics Program 220V</v>
      </c>
      <c r="F1791">
        <v>0</v>
      </c>
      <c r="G1791" t="str">
        <f t="shared" si="461"/>
        <v>Y</v>
      </c>
      <c r="H1791" t="str">
        <f t="shared" si="467"/>
        <v>EA</v>
      </c>
      <c r="I1791">
        <v>0</v>
      </c>
      <c r="J1791">
        <v>0</v>
      </c>
      <c r="K1791" t="str">
        <f t="shared" si="462"/>
        <v>Y</v>
      </c>
      <c r="L1791">
        <v>0</v>
      </c>
      <c r="M1791" t="str">
        <f t="shared" si="471"/>
        <v>NIS</v>
      </c>
      <c r="O1791">
        <v>107</v>
      </c>
      <c r="P1791" t="str">
        <f t="shared" si="472"/>
        <v>Active</v>
      </c>
      <c r="Q1791" t="str">
        <f>"LM7 Content, JM, Basic Stepper Motors &amp; Drives"</f>
        <v>LM7 Content, JM, Basic Stepper Motors &amp; Drives</v>
      </c>
      <c r="S1791" t="str">
        <f>"LM7 Content, JM, Basic Stepper Motors &amp; Drives"</f>
        <v>LM7 Content, JM, Basic Stepper Motors &amp; Drives</v>
      </c>
      <c r="T1791">
        <v>0</v>
      </c>
      <c r="U1791">
        <v>5</v>
      </c>
      <c r="V1791">
        <v>5</v>
      </c>
      <c r="W1791" t="str">
        <f t="shared" si="468"/>
        <v>zintel</v>
      </c>
    </row>
    <row r="1792" spans="1:23">
      <c r="A1792" t="str">
        <f t="shared" si="469"/>
        <v>JM-CMPL-ELEC-2</v>
      </c>
      <c r="B1792" t="str">
        <f>"26-E090-0000"</f>
        <v>26-E090-0000</v>
      </c>
      <c r="C1792" t="str">
        <f>"Assembly, JM, E090, Stepper Motor &amp; Drive Panel"</f>
        <v>Assembly, JM, E090, Stepper Motor &amp; Drive Panel</v>
      </c>
      <c r="D1792">
        <v>2</v>
      </c>
      <c r="E1792" t="str">
        <f t="shared" si="470"/>
        <v>Complete Industrial Electronics Program 220V</v>
      </c>
      <c r="F1792">
        <v>0</v>
      </c>
      <c r="G1792" t="str">
        <f t="shared" si="461"/>
        <v>Y</v>
      </c>
      <c r="H1792" t="str">
        <f t="shared" si="467"/>
        <v>EA</v>
      </c>
      <c r="I1792">
        <v>0</v>
      </c>
      <c r="J1792">
        <v>0</v>
      </c>
      <c r="K1792" t="str">
        <f t="shared" si="462"/>
        <v>Y</v>
      </c>
      <c r="L1792">
        <v>0</v>
      </c>
      <c r="M1792" t="str">
        <f t="shared" si="471"/>
        <v>NIS</v>
      </c>
      <c r="O1792">
        <v>108</v>
      </c>
      <c r="P1792" t="str">
        <f t="shared" si="472"/>
        <v>Active</v>
      </c>
      <c r="Q1792" t="str">
        <f>"Assembly, JM, E090, Stepper Motor &amp; Drive Panel"</f>
        <v>Assembly, JM, E090, Stepper Motor &amp; Drive Panel</v>
      </c>
      <c r="S1792" t="str">
        <f>"Assembly, JM, E090, Stepper Motor &amp; Drive Panel"</f>
        <v>Assembly, JM, E090, Stepper Motor &amp; Drive Panel</v>
      </c>
      <c r="T1792">
        <v>296.8</v>
      </c>
      <c r="U1792">
        <v>300</v>
      </c>
      <c r="V1792">
        <v>506.96</v>
      </c>
      <c r="W1792" t="str">
        <f t="shared" si="468"/>
        <v>zintel</v>
      </c>
    </row>
    <row r="1793" spans="1:23">
      <c r="A1793" t="str">
        <f t="shared" si="469"/>
        <v>JM-CMPL-ELEC-2</v>
      </c>
      <c r="B1793" t="str">
        <f>"77-EB06-0000"</f>
        <v>77-EB06-0000</v>
      </c>
      <c r="C1793" t="str">
        <f>"LM7 Content, JM, Basic Servo Motor Drives"</f>
        <v>LM7 Content, JM, Basic Servo Motor Drives</v>
      </c>
      <c r="D1793">
        <v>1</v>
      </c>
      <c r="E1793" t="str">
        <f t="shared" si="470"/>
        <v>Complete Industrial Electronics Program 220V</v>
      </c>
      <c r="F1793">
        <v>0</v>
      </c>
      <c r="G1793" t="str">
        <f t="shared" si="461"/>
        <v>Y</v>
      </c>
      <c r="H1793" t="str">
        <f t="shared" si="467"/>
        <v>EA</v>
      </c>
      <c r="I1793">
        <v>0</v>
      </c>
      <c r="J1793">
        <v>0</v>
      </c>
      <c r="K1793" t="str">
        <f t="shared" si="462"/>
        <v>Y</v>
      </c>
      <c r="L1793">
        <v>0</v>
      </c>
      <c r="M1793" t="str">
        <f t="shared" si="471"/>
        <v>NIS</v>
      </c>
      <c r="O1793">
        <v>110</v>
      </c>
      <c r="P1793" t="str">
        <f t="shared" si="472"/>
        <v>Active</v>
      </c>
      <c r="Q1793" t="str">
        <f>"LM7 Content, JM, Basic Servo Motor Drives"</f>
        <v>LM7 Content, JM, Basic Servo Motor Drives</v>
      </c>
      <c r="S1793" t="str">
        <f>"LM7 Content, JM, Basic Servo Motor Drives"</f>
        <v>LM7 Content, JM, Basic Servo Motor Drives</v>
      </c>
      <c r="T1793">
        <v>0</v>
      </c>
      <c r="U1793">
        <v>5</v>
      </c>
      <c r="V1793">
        <v>5</v>
      </c>
      <c r="W1793" t="str">
        <f t="shared" si="468"/>
        <v>zintel</v>
      </c>
    </row>
    <row r="1794" spans="1:23">
      <c r="A1794" t="str">
        <f t="shared" si="469"/>
        <v>JM-CMPL-ELEC-2</v>
      </c>
      <c r="B1794" t="str">
        <f>"26-E091-0000"</f>
        <v>26-E091-0000</v>
      </c>
      <c r="C1794" t="str">
        <f>"Assembly, JM, E091, Servo Motor&amp; Drive Panel"</f>
        <v>Assembly, JM, E091, Servo Motor&amp; Drive Panel</v>
      </c>
      <c r="D1794">
        <v>2</v>
      </c>
      <c r="E1794" t="str">
        <f t="shared" si="470"/>
        <v>Complete Industrial Electronics Program 220V</v>
      </c>
      <c r="F1794">
        <v>0</v>
      </c>
      <c r="G1794" t="str">
        <f t="shared" ref="G1794:G1857" si="473">"Y"</f>
        <v>Y</v>
      </c>
      <c r="H1794" t="str">
        <f t="shared" si="467"/>
        <v>EA</v>
      </c>
      <c r="I1794">
        <v>0</v>
      </c>
      <c r="J1794">
        <v>0</v>
      </c>
      <c r="K1794" t="str">
        <f t="shared" ref="K1794:K1857" si="474">"Y"</f>
        <v>Y</v>
      </c>
      <c r="L1794">
        <v>0</v>
      </c>
      <c r="M1794" t="str">
        <f t="shared" si="471"/>
        <v>NIS</v>
      </c>
      <c r="O1794">
        <v>111</v>
      </c>
      <c r="P1794" t="str">
        <f t="shared" si="472"/>
        <v>Active</v>
      </c>
      <c r="Q1794" t="str">
        <f>"Assembly, JM, E091, Servo Motor&amp; Drive Panel"</f>
        <v>Assembly, JM, E091, Servo Motor&amp; Drive Panel</v>
      </c>
      <c r="S1794" t="str">
        <f>"Assembly, JM, E091, Servo Motor&amp; Drive Panel"</f>
        <v>Assembly, JM, E091, Servo Motor&amp; Drive Panel</v>
      </c>
      <c r="T1794">
        <v>219.92</v>
      </c>
      <c r="U1794">
        <v>220</v>
      </c>
      <c r="V1794">
        <v>462.04</v>
      </c>
      <c r="W1794" t="str">
        <f t="shared" si="468"/>
        <v>zintel</v>
      </c>
    </row>
    <row r="1795" spans="1:23">
      <c r="A1795" t="str">
        <f t="shared" si="469"/>
        <v>JM-CMPL-ELEC-2</v>
      </c>
      <c r="B1795" t="str">
        <f>"10-PC09-0000"</f>
        <v>10-PC09-0000</v>
      </c>
      <c r="C1795" t="str">
        <f>"JM, PC09, Transformer,PRI D440V SEC:Y225V 3KVA"</f>
        <v>JM, PC09, Transformer,PRI D440V SEC:Y225V 3KVA</v>
      </c>
      <c r="D1795">
        <v>1</v>
      </c>
      <c r="E1795" t="str">
        <f t="shared" si="470"/>
        <v>Complete Industrial Electronics Program 220V</v>
      </c>
      <c r="F1795">
        <v>0</v>
      </c>
      <c r="G1795" t="str">
        <f t="shared" si="473"/>
        <v>Y</v>
      </c>
      <c r="H1795" t="str">
        <f t="shared" si="467"/>
        <v>EA</v>
      </c>
      <c r="I1795">
        <v>0</v>
      </c>
      <c r="J1795">
        <v>0</v>
      </c>
      <c r="K1795" t="str">
        <f t="shared" si="474"/>
        <v>Y</v>
      </c>
      <c r="L1795">
        <v>0</v>
      </c>
      <c r="M1795" t="str">
        <f t="shared" si="471"/>
        <v>NIS</v>
      </c>
      <c r="O1795">
        <v>113</v>
      </c>
      <c r="P1795" t="str">
        <f t="shared" si="472"/>
        <v>Active</v>
      </c>
      <c r="Q1795" t="str">
        <f>"JM, PC09, Inter. Transformer Pack, LS200 Bench"</f>
        <v>JM, PC09, Inter. Transformer Pack, LS200 Bench</v>
      </c>
      <c r="S1795" t="str">
        <f>"JM, PC09, Transformer,PRI D440V SEC:Y225V 3KVA"</f>
        <v>JM, PC09, Transformer,PRI D440V SEC:Y225V 3KVA</v>
      </c>
      <c r="T1795">
        <v>0</v>
      </c>
      <c r="U1795">
        <v>0</v>
      </c>
      <c r="V1795">
        <v>0</v>
      </c>
      <c r="W1795" t="str">
        <f t="shared" si="468"/>
        <v>zintel</v>
      </c>
    </row>
    <row r="1796" spans="1:23">
      <c r="A1796" t="str">
        <f>"JM-CTRL-EA02"</f>
        <v>JM-CTRL-EA02</v>
      </c>
      <c r="B1796" t="str">
        <f>"77-EA02-0000"</f>
        <v>77-EA02-0000</v>
      </c>
      <c r="C1796" t="str">
        <f>"LM7 Content, JM, Electric Circuit Protection"</f>
        <v>LM7 Content, JM, Electric Circuit Protection</v>
      </c>
      <c r="D1796">
        <v>1</v>
      </c>
      <c r="E1796" t="str">
        <f>"JM Electric Circuit Protection &amp; Monitoring, EA02, LMS Lab"</f>
        <v>JM Electric Circuit Protection &amp; Monitoring, EA02, LMS Lab</v>
      </c>
      <c r="F1796">
        <v>0</v>
      </c>
      <c r="G1796" t="str">
        <f t="shared" si="473"/>
        <v>Y</v>
      </c>
      <c r="H1796" t="str">
        <f t="shared" si="467"/>
        <v>EA</v>
      </c>
      <c r="I1796">
        <v>0</v>
      </c>
      <c r="J1796">
        <v>0</v>
      </c>
      <c r="K1796" t="str">
        <f t="shared" si="474"/>
        <v>Y</v>
      </c>
      <c r="L1796">
        <v>0</v>
      </c>
      <c r="M1796" t="str">
        <f t="shared" si="471"/>
        <v>NIS</v>
      </c>
      <c r="O1796">
        <v>1</v>
      </c>
      <c r="P1796" t="str">
        <f t="shared" si="472"/>
        <v>Active</v>
      </c>
      <c r="Q1796" t="str">
        <f>"LM7 Content, JM, Electric Circuit Protection"</f>
        <v>LM7 Content, JM, Electric Circuit Protection</v>
      </c>
      <c r="S1796" t="str">
        <f>"LM7 Content, JM, Electric Circuit Protection"</f>
        <v>LM7 Content, JM, Electric Circuit Protection</v>
      </c>
      <c r="T1796">
        <v>0</v>
      </c>
      <c r="U1796">
        <v>5</v>
      </c>
      <c r="V1796">
        <v>5</v>
      </c>
      <c r="W1796" t="str">
        <f t="shared" si="468"/>
        <v>zintel</v>
      </c>
    </row>
    <row r="1797" spans="1:23">
      <c r="A1797" t="str">
        <f>"JM-CTRL-EA02"</f>
        <v>JM-CTRL-EA02</v>
      </c>
      <c r="B1797" t="str">
        <f>"26-E022-0000"</f>
        <v>26-E022-0000</v>
      </c>
      <c r="C1797" t="str">
        <f>"Assembly, JM, E022, Manual Starter Panel"</f>
        <v>Assembly, JM, E022, Manual Starter Panel</v>
      </c>
      <c r="D1797">
        <v>1</v>
      </c>
      <c r="E1797" t="str">
        <f>"JM Electric Circuit Protection &amp; Monitoring, EA02, LMS Lab"</f>
        <v>JM Electric Circuit Protection &amp; Monitoring, EA02, LMS Lab</v>
      </c>
      <c r="F1797">
        <v>0</v>
      </c>
      <c r="G1797" t="str">
        <f t="shared" si="473"/>
        <v>Y</v>
      </c>
      <c r="H1797" t="str">
        <f t="shared" si="467"/>
        <v>EA</v>
      </c>
      <c r="I1797">
        <v>0</v>
      </c>
      <c r="J1797">
        <v>0</v>
      </c>
      <c r="K1797" t="str">
        <f t="shared" si="474"/>
        <v>Y</v>
      </c>
      <c r="L1797">
        <v>0</v>
      </c>
      <c r="M1797" t="str">
        <f t="shared" si="471"/>
        <v>NIS</v>
      </c>
      <c r="O1797">
        <v>2</v>
      </c>
      <c r="P1797" t="str">
        <f t="shared" si="472"/>
        <v>Active</v>
      </c>
      <c r="Q1797" t="str">
        <f>"Assembly, JM, E022, Manual Starter Panel"</f>
        <v>Assembly, JM, E022, Manual Starter Panel</v>
      </c>
      <c r="S1797" t="str">
        <f>"Assembly, JM, E022, Manual Starter Panel"</f>
        <v>Assembly, JM, E022, Manual Starter Panel</v>
      </c>
      <c r="T1797">
        <v>528.26</v>
      </c>
      <c r="U1797">
        <v>525</v>
      </c>
      <c r="V1797">
        <v>853.52</v>
      </c>
      <c r="W1797" t="str">
        <f t="shared" si="468"/>
        <v>zintel</v>
      </c>
    </row>
    <row r="1798" spans="1:23">
      <c r="A1798" t="str">
        <f>"JM-CTRL-EA02"</f>
        <v>JM-CTRL-EA02</v>
      </c>
      <c r="B1798" t="str">
        <f>"26-E030-0000"</f>
        <v>26-E030-0000</v>
      </c>
      <c r="C1798" t="str">
        <f>"Assembly, JM, E030, Overload Protection Panel"</f>
        <v>Assembly, JM, E030, Overload Protection Panel</v>
      </c>
      <c r="D1798">
        <v>1</v>
      </c>
      <c r="E1798" t="str">
        <f>"JM Electric Circuit Protection &amp; Monitoring, EA02, LMS Lab"</f>
        <v>JM Electric Circuit Protection &amp; Monitoring, EA02, LMS Lab</v>
      </c>
      <c r="F1798">
        <v>0</v>
      </c>
      <c r="G1798" t="str">
        <f t="shared" si="473"/>
        <v>Y</v>
      </c>
      <c r="H1798" t="str">
        <f t="shared" si="467"/>
        <v>EA</v>
      </c>
      <c r="I1798">
        <v>0</v>
      </c>
      <c r="J1798">
        <v>0</v>
      </c>
      <c r="K1798" t="str">
        <f t="shared" si="474"/>
        <v>Y</v>
      </c>
      <c r="L1798">
        <v>0</v>
      </c>
      <c r="M1798" t="str">
        <f t="shared" si="471"/>
        <v>NIS</v>
      </c>
      <c r="O1798">
        <v>3</v>
      </c>
      <c r="P1798" t="str">
        <f t="shared" si="472"/>
        <v>Active</v>
      </c>
      <c r="Q1798" t="str">
        <f>"Assembly, JM, E030, Overload Protection Panel"</f>
        <v>Assembly, JM, E030, Overload Protection Panel</v>
      </c>
      <c r="S1798" t="str">
        <f>"Assembly, JM, E030, Overload Protection Panel"</f>
        <v>Assembly, JM, E030, Overload Protection Panel</v>
      </c>
      <c r="T1798">
        <v>268.64</v>
      </c>
      <c r="U1798">
        <v>265</v>
      </c>
      <c r="V1798">
        <v>861.16</v>
      </c>
      <c r="W1798" t="str">
        <f t="shared" si="468"/>
        <v>zintel</v>
      </c>
    </row>
    <row r="1799" spans="1:23">
      <c r="A1799" t="str">
        <f>"JM-CTRL-EA02"</f>
        <v>JM-CTRL-EA02</v>
      </c>
      <c r="B1799" t="str">
        <f>"36-EA02-IG01"</f>
        <v>36-EA02-IG01</v>
      </c>
      <c r="C1799" t="str">
        <f>"JM, PDF on CD Electric Circuit Protection - EA02"</f>
        <v>JM, PDF on CD Electric Circuit Protection - EA02</v>
      </c>
      <c r="D1799">
        <v>1</v>
      </c>
      <c r="E1799" t="str">
        <f>"JM Electric Circuit Protection &amp; Monitoring, EA02, LMS Lab"</f>
        <v>JM Electric Circuit Protection &amp; Monitoring, EA02, LMS Lab</v>
      </c>
      <c r="F1799">
        <v>0</v>
      </c>
      <c r="G1799" t="str">
        <f t="shared" si="473"/>
        <v>Y</v>
      </c>
      <c r="H1799" t="str">
        <f t="shared" si="467"/>
        <v>EA</v>
      </c>
      <c r="I1799">
        <v>0</v>
      </c>
      <c r="J1799">
        <v>0</v>
      </c>
      <c r="K1799" t="str">
        <f t="shared" si="474"/>
        <v>Y</v>
      </c>
      <c r="L1799">
        <v>0</v>
      </c>
      <c r="M1799" t="str">
        <f t="shared" si="471"/>
        <v>NIS</v>
      </c>
      <c r="N1799" t="str">
        <f>"Y"</f>
        <v>Y</v>
      </c>
      <c r="O1799">
        <v>4</v>
      </c>
      <c r="P1799" t="str">
        <f t="shared" si="472"/>
        <v>Active</v>
      </c>
      <c r="Q1799" t="str">
        <f>"JM, PDF on CD Electric Circuit Protection - EA02"</f>
        <v>JM, PDF on CD Electric Circuit Protection - EA02</v>
      </c>
      <c r="S1799" t="str">
        <f>"JM, PDF on CD Electric Circuit Protection - EA02"</f>
        <v>JM, PDF on CD Electric Circuit Protection - EA02</v>
      </c>
      <c r="T1799">
        <v>11.41</v>
      </c>
      <c r="U1799">
        <v>10.3</v>
      </c>
      <c r="V1799">
        <v>11.43</v>
      </c>
      <c r="W1799" t="str">
        <f t="shared" si="468"/>
        <v>zintel</v>
      </c>
    </row>
    <row r="1800" spans="1:23">
      <c r="A1800" t="str">
        <f>"JM-CTRL-EA03"</f>
        <v>JM-CTRL-EA03</v>
      </c>
      <c r="B1800" t="str">
        <f>"77-EA03-0000"</f>
        <v>77-EA03-0000</v>
      </c>
      <c r="C1800" t="str">
        <f>"LM7 Content, JM, 3 Phase Transformers"</f>
        <v>LM7 Content, JM, 3 Phase Transformers</v>
      </c>
      <c r="D1800">
        <v>1</v>
      </c>
      <c r="E1800" t="str">
        <f>"JM, Three Phase Transformers, EA03, LMS Lab"</f>
        <v>JM, Three Phase Transformers, EA03, LMS Lab</v>
      </c>
      <c r="F1800">
        <v>0</v>
      </c>
      <c r="G1800" t="str">
        <f t="shared" si="473"/>
        <v>Y</v>
      </c>
      <c r="H1800" t="str">
        <f t="shared" si="467"/>
        <v>EA</v>
      </c>
      <c r="I1800">
        <v>0</v>
      </c>
      <c r="J1800">
        <v>0</v>
      </c>
      <c r="K1800" t="str">
        <f t="shared" si="474"/>
        <v>Y</v>
      </c>
      <c r="L1800">
        <v>0</v>
      </c>
      <c r="M1800" t="str">
        <f t="shared" si="471"/>
        <v>NIS</v>
      </c>
      <c r="O1800">
        <v>1</v>
      </c>
      <c r="P1800" t="str">
        <f t="shared" si="472"/>
        <v>Active</v>
      </c>
      <c r="Q1800" t="str">
        <f>"LM7 Content, JM, 3 Phase Transformers"</f>
        <v>LM7 Content, JM, 3 Phase Transformers</v>
      </c>
      <c r="S1800" t="str">
        <f>"LM7 Content, JM, 3 Phase Transformers"</f>
        <v>LM7 Content, JM, 3 Phase Transformers</v>
      </c>
      <c r="T1800">
        <v>0</v>
      </c>
      <c r="U1800">
        <v>5</v>
      </c>
      <c r="V1800">
        <v>5</v>
      </c>
      <c r="W1800" t="str">
        <f t="shared" si="468"/>
        <v>zintel</v>
      </c>
    </row>
    <row r="1801" spans="1:23">
      <c r="A1801" t="str">
        <f>"JM-CTRL-EA03"</f>
        <v>JM-CTRL-EA03</v>
      </c>
      <c r="B1801" t="str">
        <f>"26-E003-0000"</f>
        <v>26-E003-0000</v>
      </c>
      <c r="C1801" t="str">
        <f>"Assembly, JM, E003, 3-Phase Transformer Panel"</f>
        <v>Assembly, JM, E003, 3-Phase Transformer Panel</v>
      </c>
      <c r="D1801">
        <v>1</v>
      </c>
      <c r="E1801" t="str">
        <f>"JM, Three Phase Transformers, EA03, LMS Lab"</f>
        <v>JM, Three Phase Transformers, EA03, LMS Lab</v>
      </c>
      <c r="F1801">
        <v>0</v>
      </c>
      <c r="G1801" t="str">
        <f t="shared" si="473"/>
        <v>Y</v>
      </c>
      <c r="H1801" t="str">
        <f t="shared" si="467"/>
        <v>EA</v>
      </c>
      <c r="I1801">
        <v>0</v>
      </c>
      <c r="J1801">
        <v>0</v>
      </c>
      <c r="K1801" t="str">
        <f t="shared" si="474"/>
        <v>Y</v>
      </c>
      <c r="L1801">
        <v>0</v>
      </c>
      <c r="M1801" t="str">
        <f t="shared" si="471"/>
        <v>NIS</v>
      </c>
      <c r="O1801">
        <v>2</v>
      </c>
      <c r="P1801" t="str">
        <f t="shared" si="472"/>
        <v>Active</v>
      </c>
      <c r="Q1801" t="str">
        <f>"Assembly, JM, E003, 3-Phase Transformer Panel"</f>
        <v>Assembly, JM, E003, 3-Phase Transformer Panel</v>
      </c>
      <c r="S1801" t="str">
        <f>"Assembly, JM, E003, 3-Phase Transformer Panel"</f>
        <v>Assembly, JM, E003, 3-Phase Transformer Panel</v>
      </c>
      <c r="T1801">
        <v>348.38</v>
      </c>
      <c r="U1801">
        <v>342</v>
      </c>
      <c r="V1801">
        <v>393.23</v>
      </c>
      <c r="W1801" t="str">
        <f t="shared" si="468"/>
        <v>zintel</v>
      </c>
    </row>
    <row r="1802" spans="1:23">
      <c r="A1802" t="str">
        <f>"JM-CTRL-EA03"</f>
        <v>JM-CTRL-EA03</v>
      </c>
      <c r="B1802" t="str">
        <f>"36-EA03-IG01"</f>
        <v>36-EA03-IG01</v>
      </c>
      <c r="C1802" t="str">
        <f>"JM, PDF on CD 3 Phase Transformers- EA03"</f>
        <v>JM, PDF on CD 3 Phase Transformers- EA03</v>
      </c>
      <c r="D1802">
        <v>1</v>
      </c>
      <c r="E1802" t="str">
        <f>"JM, Three Phase Transformers, EA03, LMS Lab"</f>
        <v>JM, Three Phase Transformers, EA03, LMS Lab</v>
      </c>
      <c r="F1802">
        <v>0</v>
      </c>
      <c r="G1802" t="str">
        <f t="shared" si="473"/>
        <v>Y</v>
      </c>
      <c r="H1802" t="str">
        <f t="shared" si="467"/>
        <v>EA</v>
      </c>
      <c r="I1802">
        <v>0</v>
      </c>
      <c r="J1802">
        <v>0</v>
      </c>
      <c r="K1802" t="str">
        <f t="shared" si="474"/>
        <v>Y</v>
      </c>
      <c r="L1802">
        <v>0</v>
      </c>
      <c r="M1802" t="str">
        <f t="shared" si="471"/>
        <v>NIS</v>
      </c>
      <c r="N1802" t="str">
        <f>"Y"</f>
        <v>Y</v>
      </c>
      <c r="O1802">
        <v>3</v>
      </c>
      <c r="P1802" t="str">
        <f t="shared" si="472"/>
        <v>Active</v>
      </c>
      <c r="Q1802" t="str">
        <f>"JM, PDF on CD 3 Phase Transformers- EA03"</f>
        <v>JM, PDF on CD 3 Phase Transformers- EA03</v>
      </c>
      <c r="S1802" t="str">
        <f>"JM, PDF on CD 3 Phase Transformers- EA03"</f>
        <v>JM, PDF on CD 3 Phase Transformers- EA03</v>
      </c>
      <c r="T1802">
        <v>11.41</v>
      </c>
      <c r="U1802">
        <v>10.3</v>
      </c>
      <c r="V1802">
        <v>11.43</v>
      </c>
      <c r="W1802" t="str">
        <f t="shared" si="468"/>
        <v>zintel</v>
      </c>
    </row>
    <row r="1803" spans="1:23">
      <c r="A1803" t="str">
        <f t="shared" ref="A1803:A1814" si="475">"JM-CTRL-EA04"</f>
        <v>JM-CTRL-EA04</v>
      </c>
      <c r="B1803" t="str">
        <f>"77-EA04-0000"</f>
        <v>77-EA04-0000</v>
      </c>
      <c r="C1803" t="str">
        <f>"LM7 Content, JM, Electric Motors"</f>
        <v>LM7 Content, JM, Electric Motors</v>
      </c>
      <c r="D1803">
        <v>1</v>
      </c>
      <c r="E1803" t="str">
        <f t="shared" ref="E1803:E1814" si="476">"JM Electric Motors, EA04, LMS Lab"</f>
        <v>JM Electric Motors, EA04, LMS Lab</v>
      </c>
      <c r="F1803">
        <v>0</v>
      </c>
      <c r="G1803" t="str">
        <f t="shared" si="473"/>
        <v>Y</v>
      </c>
      <c r="H1803" t="str">
        <f t="shared" si="467"/>
        <v>EA</v>
      </c>
      <c r="I1803">
        <v>0</v>
      </c>
      <c r="J1803">
        <v>0</v>
      </c>
      <c r="K1803" t="str">
        <f t="shared" si="474"/>
        <v>Y</v>
      </c>
      <c r="L1803">
        <v>0</v>
      </c>
      <c r="M1803" t="str">
        <f t="shared" si="471"/>
        <v>NIS</v>
      </c>
      <c r="O1803">
        <v>1</v>
      </c>
      <c r="P1803" t="str">
        <f t="shared" si="472"/>
        <v>Active</v>
      </c>
      <c r="Q1803" t="str">
        <f>"LM7 Content, JM, Electric Motors"</f>
        <v>LM7 Content, JM, Electric Motors</v>
      </c>
      <c r="S1803" t="str">
        <f>"LM7 Content, JM, Electric Motors"</f>
        <v>LM7 Content, JM, Electric Motors</v>
      </c>
      <c r="T1803">
        <v>0</v>
      </c>
      <c r="U1803">
        <v>5</v>
      </c>
      <c r="V1803">
        <v>5</v>
      </c>
      <c r="W1803" t="str">
        <f t="shared" si="468"/>
        <v>zintel</v>
      </c>
    </row>
    <row r="1804" spans="1:23">
      <c r="A1804" t="str">
        <f t="shared" si="475"/>
        <v>JM-CTRL-EA04</v>
      </c>
      <c r="B1804" t="str">
        <f>"26-E007-0000"</f>
        <v>26-E007-0000</v>
      </c>
      <c r="C1804" t="str">
        <f>"Assembly, JM, E007 - SCR Speed Control Panel"</f>
        <v>Assembly, JM, E007 - SCR Speed Control Panel</v>
      </c>
      <c r="D1804">
        <v>1</v>
      </c>
      <c r="E1804" t="str">
        <f t="shared" si="476"/>
        <v>JM Electric Motors, EA04, LMS Lab</v>
      </c>
      <c r="F1804">
        <v>0</v>
      </c>
      <c r="G1804" t="str">
        <f t="shared" si="473"/>
        <v>Y</v>
      </c>
      <c r="H1804" t="str">
        <f t="shared" si="467"/>
        <v>EA</v>
      </c>
      <c r="I1804">
        <v>0</v>
      </c>
      <c r="J1804">
        <v>0</v>
      </c>
      <c r="K1804" t="str">
        <f t="shared" si="474"/>
        <v>Y</v>
      </c>
      <c r="L1804">
        <v>0</v>
      </c>
      <c r="M1804" t="str">
        <f t="shared" si="471"/>
        <v>NIS</v>
      </c>
      <c r="O1804">
        <v>2</v>
      </c>
      <c r="P1804" t="str">
        <f t="shared" si="472"/>
        <v>Active</v>
      </c>
      <c r="Q1804" t="str">
        <f>"Assembly, JM, E007 - SCR Speed Control Panel"</f>
        <v>Assembly, JM, E007 - SCR Speed Control Panel</v>
      </c>
      <c r="S1804" t="str">
        <f>"Assembly, JM, E007 - SCR Speed Control Panel"</f>
        <v>Assembly, JM, E007 - SCR Speed Control Panel</v>
      </c>
      <c r="T1804">
        <v>163.16999999999999</v>
      </c>
      <c r="U1804">
        <v>163</v>
      </c>
      <c r="V1804">
        <v>315.76</v>
      </c>
      <c r="W1804" t="str">
        <f t="shared" si="468"/>
        <v>zintel</v>
      </c>
    </row>
    <row r="1805" spans="1:23">
      <c r="A1805" t="str">
        <f t="shared" si="475"/>
        <v>JM-CTRL-EA04</v>
      </c>
      <c r="B1805" t="str">
        <f>"26-E010-0000"</f>
        <v>26-E010-0000</v>
      </c>
      <c r="C1805" t="str">
        <f>"Assembly, JM, E010 - Three Phase Motor Panel"</f>
        <v>Assembly, JM, E010 - Three Phase Motor Panel</v>
      </c>
      <c r="D1805">
        <v>1</v>
      </c>
      <c r="E1805" t="str">
        <f t="shared" si="476"/>
        <v>JM Electric Motors, EA04, LMS Lab</v>
      </c>
      <c r="F1805">
        <v>0</v>
      </c>
      <c r="G1805" t="str">
        <f t="shared" si="473"/>
        <v>Y</v>
      </c>
      <c r="H1805" t="str">
        <f t="shared" si="467"/>
        <v>EA</v>
      </c>
      <c r="I1805">
        <v>0</v>
      </c>
      <c r="J1805">
        <v>0</v>
      </c>
      <c r="K1805" t="str">
        <f t="shared" si="474"/>
        <v>Y</v>
      </c>
      <c r="L1805">
        <v>0</v>
      </c>
      <c r="M1805" t="str">
        <f t="shared" si="471"/>
        <v>NIS</v>
      </c>
      <c r="O1805">
        <v>3</v>
      </c>
      <c r="P1805" t="str">
        <f t="shared" si="472"/>
        <v>Active</v>
      </c>
      <c r="Q1805" t="str">
        <f>"Assembly, JM, E010 - Three Phase Motor Panel"</f>
        <v>Assembly, JM, E010 - Three Phase Motor Panel</v>
      </c>
      <c r="S1805" t="str">
        <f>"Assembly, JM, E010 - Three Phase Motor Panel"</f>
        <v>Assembly, JM, E010 - Three Phase Motor Panel</v>
      </c>
      <c r="T1805">
        <v>361.68</v>
      </c>
      <c r="U1805">
        <v>360</v>
      </c>
      <c r="V1805">
        <v>515.65</v>
      </c>
      <c r="W1805" t="str">
        <f t="shared" si="468"/>
        <v>zintel</v>
      </c>
    </row>
    <row r="1806" spans="1:23">
      <c r="A1806" t="str">
        <f t="shared" si="475"/>
        <v>JM-CTRL-EA04</v>
      </c>
      <c r="B1806" t="str">
        <f>"26-E012-0000"</f>
        <v>26-E012-0000</v>
      </c>
      <c r="C1806" t="str">
        <f>"Assembly, JM, E012, Transformer Panel"</f>
        <v>Assembly, JM, E012, Transformer Panel</v>
      </c>
      <c r="D1806">
        <v>1</v>
      </c>
      <c r="E1806" t="str">
        <f t="shared" si="476"/>
        <v>JM Electric Motors, EA04, LMS Lab</v>
      </c>
      <c r="F1806">
        <v>0</v>
      </c>
      <c r="G1806" t="str">
        <f t="shared" si="473"/>
        <v>Y</v>
      </c>
      <c r="H1806" t="str">
        <f t="shared" si="467"/>
        <v>EA</v>
      </c>
      <c r="I1806">
        <v>0</v>
      </c>
      <c r="J1806">
        <v>0</v>
      </c>
      <c r="K1806" t="str">
        <f t="shared" si="474"/>
        <v>Y</v>
      </c>
      <c r="L1806">
        <v>0</v>
      </c>
      <c r="M1806" t="str">
        <f t="shared" si="471"/>
        <v>NIS</v>
      </c>
      <c r="O1806">
        <v>4</v>
      </c>
      <c r="P1806" t="str">
        <f t="shared" si="472"/>
        <v>Active</v>
      </c>
      <c r="Q1806" t="str">
        <f>"Assembly, JM, E012, Transformer Panel"</f>
        <v>Assembly, JM, E012, Transformer Panel</v>
      </c>
      <c r="S1806" t="str">
        <f>"Assembly, JM, E012, Transformer Panel"</f>
        <v>Assembly, JM, E012, Transformer Panel</v>
      </c>
      <c r="T1806">
        <v>158.58000000000001</v>
      </c>
      <c r="U1806">
        <v>157</v>
      </c>
      <c r="V1806">
        <v>297.81</v>
      </c>
      <c r="W1806" t="str">
        <f t="shared" si="468"/>
        <v>zintel</v>
      </c>
    </row>
    <row r="1807" spans="1:23">
      <c r="A1807" t="str">
        <f t="shared" si="475"/>
        <v>JM-CTRL-EA04</v>
      </c>
      <c r="B1807" t="str">
        <f>"26-E019-0000"</f>
        <v>26-E019-0000</v>
      </c>
      <c r="C1807" t="str">
        <f>"Assembly, JM, E019, Capacitor Start Motor Panel"</f>
        <v>Assembly, JM, E019, Capacitor Start Motor Panel</v>
      </c>
      <c r="D1807">
        <v>1</v>
      </c>
      <c r="E1807" t="str">
        <f t="shared" si="476"/>
        <v>JM Electric Motors, EA04, LMS Lab</v>
      </c>
      <c r="F1807">
        <v>0</v>
      </c>
      <c r="G1807" t="str">
        <f t="shared" si="473"/>
        <v>Y</v>
      </c>
      <c r="H1807" t="str">
        <f t="shared" si="467"/>
        <v>EA</v>
      </c>
      <c r="I1807">
        <v>0</v>
      </c>
      <c r="J1807">
        <v>0</v>
      </c>
      <c r="K1807" t="str">
        <f t="shared" si="474"/>
        <v>Y</v>
      </c>
      <c r="L1807">
        <v>0</v>
      </c>
      <c r="M1807" t="str">
        <f t="shared" si="471"/>
        <v>NIS</v>
      </c>
      <c r="O1807">
        <v>5</v>
      </c>
      <c r="P1807" t="str">
        <f t="shared" si="472"/>
        <v>Active</v>
      </c>
      <c r="Q1807" t="str">
        <f>"Assembly, JM, E019, Capacitor Start Motor Panel"</f>
        <v>Assembly, JM, E019, Capacitor Start Motor Panel</v>
      </c>
      <c r="S1807" t="str">
        <f>"Assembly, JM, E019, Capacitor Start Motor Panel"</f>
        <v>Assembly, JM, E019, Capacitor Start Motor Panel</v>
      </c>
      <c r="T1807">
        <v>243.97</v>
      </c>
      <c r="U1807">
        <v>243</v>
      </c>
      <c r="V1807">
        <v>450.17</v>
      </c>
      <c r="W1807" t="str">
        <f t="shared" si="468"/>
        <v>zintel</v>
      </c>
    </row>
    <row r="1808" spans="1:23">
      <c r="A1808" t="str">
        <f t="shared" si="475"/>
        <v>JM-CTRL-EA04</v>
      </c>
      <c r="B1808" t="str">
        <f>"26-E027-0000"</f>
        <v>26-E027-0000</v>
      </c>
      <c r="C1808" t="str">
        <f>"Assembly, JM, E027, Shaded Pole Motor Panel"</f>
        <v>Assembly, JM, E027, Shaded Pole Motor Panel</v>
      </c>
      <c r="D1808">
        <v>1</v>
      </c>
      <c r="E1808" t="str">
        <f t="shared" si="476"/>
        <v>JM Electric Motors, EA04, LMS Lab</v>
      </c>
      <c r="F1808">
        <v>0</v>
      </c>
      <c r="G1808" t="str">
        <f t="shared" si="473"/>
        <v>Y</v>
      </c>
      <c r="H1808" t="str">
        <f t="shared" si="467"/>
        <v>EA</v>
      </c>
      <c r="I1808">
        <v>0</v>
      </c>
      <c r="J1808">
        <v>0</v>
      </c>
      <c r="K1808" t="str">
        <f t="shared" si="474"/>
        <v>Y</v>
      </c>
      <c r="L1808">
        <v>0</v>
      </c>
      <c r="M1808" t="str">
        <f t="shared" si="471"/>
        <v>NIS</v>
      </c>
      <c r="O1808">
        <v>6</v>
      </c>
      <c r="P1808" t="str">
        <f t="shared" si="472"/>
        <v>Active</v>
      </c>
      <c r="Q1808" t="str">
        <f>"Assembly, JM, E027, Shaded Pole Motor Panel"</f>
        <v>Assembly, JM, E027, Shaded Pole Motor Panel</v>
      </c>
      <c r="S1808" t="str">
        <f>"Assembly, JM, E027, Shaded Pole Motor Panel"</f>
        <v>Assembly, JM, E027, Shaded Pole Motor Panel</v>
      </c>
      <c r="T1808">
        <v>160.1</v>
      </c>
      <c r="U1808">
        <v>160</v>
      </c>
      <c r="V1808">
        <v>435.69</v>
      </c>
      <c r="W1808" t="str">
        <f t="shared" si="468"/>
        <v>zintel</v>
      </c>
    </row>
    <row r="1809" spans="1:23">
      <c r="A1809" t="str">
        <f t="shared" si="475"/>
        <v>JM-CTRL-EA04</v>
      </c>
      <c r="B1809" t="str">
        <f>"26-E034-0000"</f>
        <v>26-E034-0000</v>
      </c>
      <c r="C1809" t="str">
        <f>"Assembly, JM, E034, DC Motor Panel"</f>
        <v>Assembly, JM, E034, DC Motor Panel</v>
      </c>
      <c r="D1809">
        <v>1</v>
      </c>
      <c r="E1809" t="str">
        <f t="shared" si="476"/>
        <v>JM Electric Motors, EA04, LMS Lab</v>
      </c>
      <c r="F1809">
        <v>0</v>
      </c>
      <c r="G1809" t="str">
        <f t="shared" si="473"/>
        <v>Y</v>
      </c>
      <c r="H1809" t="str">
        <f t="shared" si="467"/>
        <v>EA</v>
      </c>
      <c r="I1809">
        <v>0</v>
      </c>
      <c r="J1809">
        <v>0</v>
      </c>
      <c r="K1809" t="str">
        <f t="shared" si="474"/>
        <v>Y</v>
      </c>
      <c r="L1809">
        <v>0</v>
      </c>
      <c r="M1809" t="str">
        <f t="shared" si="471"/>
        <v>NIS</v>
      </c>
      <c r="O1809">
        <v>7</v>
      </c>
      <c r="P1809" t="str">
        <f t="shared" si="472"/>
        <v>Active</v>
      </c>
      <c r="Q1809" t="str">
        <f>"Assembly, JM, E034, DC Motor Panel"</f>
        <v>Assembly, JM, E034, DC Motor Panel</v>
      </c>
      <c r="S1809" t="str">
        <f>"Assembly, JM, E034, DC Motor Panel"</f>
        <v>Assembly, JM, E034, DC Motor Panel</v>
      </c>
      <c r="T1809">
        <v>304.44</v>
      </c>
      <c r="U1809">
        <v>305</v>
      </c>
      <c r="V1809">
        <v>504.64</v>
      </c>
      <c r="W1809" t="str">
        <f t="shared" si="468"/>
        <v>zintel</v>
      </c>
    </row>
    <row r="1810" spans="1:23">
      <c r="A1810" t="str">
        <f t="shared" si="475"/>
        <v>JM-CTRL-EA04</v>
      </c>
      <c r="B1810" t="str">
        <f>"26-E065-0000"</f>
        <v>26-E065-0000</v>
      </c>
      <c r="C1810" t="str">
        <f>"Assembly, JM, E065, Split Phase Motor Panel"</f>
        <v>Assembly, JM, E065, Split Phase Motor Panel</v>
      </c>
      <c r="D1810">
        <v>1</v>
      </c>
      <c r="E1810" t="str">
        <f t="shared" si="476"/>
        <v>JM Electric Motors, EA04, LMS Lab</v>
      </c>
      <c r="F1810">
        <v>0</v>
      </c>
      <c r="G1810" t="str">
        <f t="shared" si="473"/>
        <v>Y</v>
      </c>
      <c r="H1810" t="str">
        <f t="shared" si="467"/>
        <v>EA</v>
      </c>
      <c r="I1810">
        <v>0</v>
      </c>
      <c r="J1810">
        <v>0</v>
      </c>
      <c r="K1810" t="str">
        <f t="shared" si="474"/>
        <v>Y</v>
      </c>
      <c r="L1810">
        <v>0</v>
      </c>
      <c r="M1810" t="str">
        <f t="shared" si="471"/>
        <v>NIS</v>
      </c>
      <c r="O1810">
        <v>8</v>
      </c>
      <c r="P1810" t="str">
        <f t="shared" si="472"/>
        <v>Active</v>
      </c>
      <c r="Q1810" t="str">
        <f>"Assembly, JM, E065, Split Phase Motor Panel"</f>
        <v>Assembly, JM, E065, Split Phase Motor Panel</v>
      </c>
      <c r="S1810" t="str">
        <f>"Assembly, JM, E065, Split Phase Motor Panel"</f>
        <v>Assembly, JM, E065, Split Phase Motor Panel</v>
      </c>
      <c r="T1810">
        <v>178.33</v>
      </c>
      <c r="U1810">
        <v>178</v>
      </c>
      <c r="V1810">
        <v>398.61</v>
      </c>
      <c r="W1810" t="str">
        <f t="shared" si="468"/>
        <v>zintel</v>
      </c>
    </row>
    <row r="1811" spans="1:23">
      <c r="A1811" t="str">
        <f t="shared" si="475"/>
        <v>JM-CTRL-EA04</v>
      </c>
      <c r="B1811" t="str">
        <f>"26-E066-0000"</f>
        <v>26-E066-0000</v>
      </c>
      <c r="C1811" t="str">
        <f>"Assembly, JM, E066, Adjustable Torque Motor Load"</f>
        <v>Assembly, JM, E066, Adjustable Torque Motor Load</v>
      </c>
      <c r="D1811">
        <v>1</v>
      </c>
      <c r="E1811" t="str">
        <f t="shared" si="476"/>
        <v>JM Electric Motors, EA04, LMS Lab</v>
      </c>
      <c r="F1811">
        <v>0</v>
      </c>
      <c r="G1811" t="str">
        <f t="shared" si="473"/>
        <v>Y</v>
      </c>
      <c r="H1811" t="str">
        <f t="shared" si="467"/>
        <v>EA</v>
      </c>
      <c r="I1811">
        <v>0</v>
      </c>
      <c r="J1811">
        <v>0</v>
      </c>
      <c r="K1811" t="str">
        <f t="shared" si="474"/>
        <v>Y</v>
      </c>
      <c r="L1811">
        <v>0</v>
      </c>
      <c r="M1811" t="str">
        <f t="shared" si="471"/>
        <v>NIS</v>
      </c>
      <c r="O1811">
        <v>9</v>
      </c>
      <c r="P1811" t="str">
        <f t="shared" si="472"/>
        <v>Active</v>
      </c>
      <c r="Q1811" t="str">
        <f>"Assembly, JM, E066, Adjustable Torque Motor Load"</f>
        <v>Assembly, JM, E066, Adjustable Torque Motor Load</v>
      </c>
      <c r="S1811" t="str">
        <f>"Assembly, JM, E066, Adjustable Torque Motor Load"</f>
        <v>Assembly, JM, E066, Adjustable Torque Motor Load</v>
      </c>
      <c r="T1811" s="44">
        <v>1055</v>
      </c>
      <c r="U1811" s="44">
        <v>1054</v>
      </c>
      <c r="V1811" s="44">
        <v>1760.72</v>
      </c>
      <c r="W1811" t="str">
        <f t="shared" si="468"/>
        <v>zintel</v>
      </c>
    </row>
    <row r="1812" spans="1:23">
      <c r="A1812" t="str">
        <f t="shared" si="475"/>
        <v>JM-CTRL-EA04</v>
      </c>
      <c r="B1812" t="str">
        <f>"26-E154-0000"</f>
        <v>26-E154-0000</v>
      </c>
      <c r="C1812" t="str">
        <f>"Assembly, JM, E154, Switches and Lamps Panel"</f>
        <v>Assembly, JM, E154, Switches and Lamps Panel</v>
      </c>
      <c r="D1812">
        <v>1</v>
      </c>
      <c r="E1812" t="str">
        <f t="shared" si="476"/>
        <v>JM Electric Motors, EA04, LMS Lab</v>
      </c>
      <c r="F1812">
        <v>0</v>
      </c>
      <c r="G1812" t="str">
        <f t="shared" si="473"/>
        <v>Y</v>
      </c>
      <c r="H1812" t="str">
        <f t="shared" si="467"/>
        <v>EA</v>
      </c>
      <c r="I1812">
        <v>0</v>
      </c>
      <c r="J1812">
        <v>0</v>
      </c>
      <c r="K1812" t="str">
        <f t="shared" si="474"/>
        <v>Y</v>
      </c>
      <c r="L1812">
        <v>0</v>
      </c>
      <c r="M1812" t="str">
        <f t="shared" si="471"/>
        <v>NIS</v>
      </c>
      <c r="O1812">
        <v>10</v>
      </c>
      <c r="P1812" t="str">
        <f t="shared" si="472"/>
        <v>Active</v>
      </c>
      <c r="Q1812" t="str">
        <f>"Assembly, JM, E154, Switches and Lamps Panel"</f>
        <v>Assembly, JM, E154, Switches and Lamps Panel</v>
      </c>
      <c r="S1812" t="str">
        <f>"Assembly, JM, E154, Switches and Lamps Panel"</f>
        <v>Assembly, JM, E154, Switches and Lamps Panel</v>
      </c>
      <c r="T1812">
        <v>155.78</v>
      </c>
      <c r="U1812">
        <v>153</v>
      </c>
      <c r="V1812">
        <v>324.68</v>
      </c>
      <c r="W1812" t="str">
        <f t="shared" si="468"/>
        <v>zintel</v>
      </c>
    </row>
    <row r="1813" spans="1:23">
      <c r="A1813" t="str">
        <f t="shared" si="475"/>
        <v>JM-CTRL-EA04</v>
      </c>
      <c r="B1813" t="str">
        <f>"26-E156-0000"</f>
        <v>26-E156-0000</v>
      </c>
      <c r="C1813" t="str">
        <f>"Assembly, JM, E156, Dissectible Electric Motor"</f>
        <v>Assembly, JM, E156, Dissectible Electric Motor</v>
      </c>
      <c r="D1813">
        <v>1</v>
      </c>
      <c r="E1813" t="str">
        <f t="shared" si="476"/>
        <v>JM Electric Motors, EA04, LMS Lab</v>
      </c>
      <c r="F1813">
        <v>0</v>
      </c>
      <c r="G1813" t="str">
        <f t="shared" si="473"/>
        <v>Y</v>
      </c>
      <c r="H1813" t="str">
        <f t="shared" si="467"/>
        <v>EA</v>
      </c>
      <c r="I1813">
        <v>0</v>
      </c>
      <c r="J1813">
        <v>0</v>
      </c>
      <c r="K1813" t="str">
        <f t="shared" si="474"/>
        <v>Y</v>
      </c>
      <c r="L1813">
        <v>0</v>
      </c>
      <c r="M1813" t="str">
        <f t="shared" si="471"/>
        <v>NIS</v>
      </c>
      <c r="O1813">
        <v>11</v>
      </c>
      <c r="P1813" t="str">
        <f t="shared" si="472"/>
        <v>Active</v>
      </c>
      <c r="Q1813" t="str">
        <f>"Assembly, JM, E156, Dissectible Electric Motor"</f>
        <v>Assembly, JM, E156, Dissectible Electric Motor</v>
      </c>
      <c r="S1813" t="str">
        <f>"Assembly, JM, E156, Dissectible Electric Motor"</f>
        <v>Assembly, JM, E156, Dissectible Electric Motor</v>
      </c>
      <c r="T1813">
        <v>229.82</v>
      </c>
      <c r="U1813">
        <v>230</v>
      </c>
      <c r="V1813">
        <v>408.97</v>
      </c>
      <c r="W1813" t="str">
        <f t="shared" si="468"/>
        <v>zintel</v>
      </c>
    </row>
    <row r="1814" spans="1:23">
      <c r="A1814" t="str">
        <f t="shared" si="475"/>
        <v>JM-CTRL-EA04</v>
      </c>
      <c r="B1814" t="str">
        <f>"36-EA04-IG01"</f>
        <v>36-EA04-IG01</v>
      </c>
      <c r="C1814" t="str">
        <f>"JM, PDF on CD Electric Motors - EA04"</f>
        <v>JM, PDF on CD Electric Motors - EA04</v>
      </c>
      <c r="D1814">
        <v>1</v>
      </c>
      <c r="E1814" t="str">
        <f t="shared" si="476"/>
        <v>JM Electric Motors, EA04, LMS Lab</v>
      </c>
      <c r="F1814">
        <v>0</v>
      </c>
      <c r="G1814" t="str">
        <f t="shared" si="473"/>
        <v>Y</v>
      </c>
      <c r="H1814" t="str">
        <f t="shared" si="467"/>
        <v>EA</v>
      </c>
      <c r="I1814">
        <v>0</v>
      </c>
      <c r="J1814">
        <v>0</v>
      </c>
      <c r="K1814" t="str">
        <f t="shared" si="474"/>
        <v>Y</v>
      </c>
      <c r="L1814">
        <v>0</v>
      </c>
      <c r="M1814" t="str">
        <f t="shared" si="471"/>
        <v>NIS</v>
      </c>
      <c r="N1814" t="str">
        <f>"Y"</f>
        <v>Y</v>
      </c>
      <c r="O1814">
        <v>12</v>
      </c>
      <c r="P1814" t="str">
        <f t="shared" si="472"/>
        <v>Active</v>
      </c>
      <c r="Q1814" t="str">
        <f>"JM, PDF on CD Electric Motors - EA04"</f>
        <v>JM, PDF on CD Electric Motors - EA04</v>
      </c>
      <c r="S1814" t="str">
        <f>"JM, PDF on CD Electric Motors - EA04"</f>
        <v>JM, PDF on CD Electric Motors - EA04</v>
      </c>
      <c r="T1814">
        <v>11.41</v>
      </c>
      <c r="U1814">
        <v>10.3</v>
      </c>
      <c r="V1814">
        <v>11.43</v>
      </c>
      <c r="W1814" t="str">
        <f t="shared" si="468"/>
        <v>zintel</v>
      </c>
    </row>
    <row r="1815" spans="1:23">
      <c r="A1815" t="str">
        <f t="shared" ref="A1815:A1825" si="477">"JM-CTRL-EA07"</f>
        <v>JM-CTRL-EA07</v>
      </c>
      <c r="B1815" t="str">
        <f>"77-EA07-0000"</f>
        <v>77-EA07-0000</v>
      </c>
      <c r="C1815" t="str">
        <f>"LM7 Content, JM, Electromagnetic Starters"</f>
        <v>LM7 Content, JM, Electromagnetic Starters</v>
      </c>
      <c r="D1815">
        <v>1</v>
      </c>
      <c r="E1815" t="str">
        <f t="shared" ref="E1815:E1825" si="478">"JM Electromagnetic Starters"</f>
        <v>JM Electromagnetic Starters</v>
      </c>
      <c r="F1815">
        <v>0</v>
      </c>
      <c r="G1815" t="str">
        <f t="shared" si="473"/>
        <v>Y</v>
      </c>
      <c r="H1815" t="str">
        <f t="shared" si="467"/>
        <v>EA</v>
      </c>
      <c r="I1815">
        <v>0</v>
      </c>
      <c r="J1815">
        <v>0</v>
      </c>
      <c r="K1815" t="str">
        <f t="shared" si="474"/>
        <v>Y</v>
      </c>
      <c r="L1815">
        <v>0</v>
      </c>
      <c r="M1815" t="str">
        <f t="shared" si="471"/>
        <v>NIS</v>
      </c>
      <c r="O1815">
        <v>1</v>
      </c>
      <c r="P1815" t="str">
        <f t="shared" si="472"/>
        <v>Active</v>
      </c>
      <c r="Q1815" t="str">
        <f>"LM7 Content, JM, Electromagnetic Starters"</f>
        <v>LM7 Content, JM, Electromagnetic Starters</v>
      </c>
      <c r="S1815" t="str">
        <f>"LM7 Content, JM, Electromagnetic Starters"</f>
        <v>LM7 Content, JM, Electromagnetic Starters</v>
      </c>
      <c r="T1815">
        <v>0</v>
      </c>
      <c r="U1815">
        <v>5</v>
      </c>
      <c r="V1815">
        <v>5</v>
      </c>
      <c r="W1815" t="str">
        <f t="shared" si="468"/>
        <v>zintel</v>
      </c>
    </row>
    <row r="1816" spans="1:23">
      <c r="A1816" t="str">
        <f t="shared" si="477"/>
        <v>JM-CTRL-EA07</v>
      </c>
      <c r="B1816" t="str">
        <f>"26-E002-0000"</f>
        <v>26-E002-0000</v>
      </c>
      <c r="C1816" t="str">
        <f>"Assembly, JM, E002, Start-Stop Control Panel"</f>
        <v>Assembly, JM, E002, Start-Stop Control Panel</v>
      </c>
      <c r="D1816">
        <v>1</v>
      </c>
      <c r="E1816" t="str">
        <f t="shared" si="478"/>
        <v>JM Electromagnetic Starters</v>
      </c>
      <c r="F1816">
        <v>0</v>
      </c>
      <c r="G1816" t="str">
        <f t="shared" si="473"/>
        <v>Y</v>
      </c>
      <c r="H1816" t="str">
        <f t="shared" si="467"/>
        <v>EA</v>
      </c>
      <c r="I1816">
        <v>0</v>
      </c>
      <c r="J1816">
        <v>0</v>
      </c>
      <c r="K1816" t="str">
        <f t="shared" si="474"/>
        <v>Y</v>
      </c>
      <c r="L1816">
        <v>0</v>
      </c>
      <c r="M1816" t="str">
        <f t="shared" si="471"/>
        <v>NIS</v>
      </c>
      <c r="O1816">
        <v>2</v>
      </c>
      <c r="P1816" t="str">
        <f t="shared" ref="P1816:P1836" si="479">"Active"</f>
        <v>Active</v>
      </c>
      <c r="Q1816" t="str">
        <f>"Assembly, JM, E002, Start-Stop Control Panel"</f>
        <v>Assembly, JM, E002, Start-Stop Control Panel</v>
      </c>
      <c r="S1816" t="str">
        <f>"Assembly, JM, E002, Start-Stop Control Panel"</f>
        <v>Assembly, JM, E002, Start-Stop Control Panel</v>
      </c>
      <c r="T1816">
        <v>103.53</v>
      </c>
      <c r="U1816">
        <v>103</v>
      </c>
      <c r="V1816">
        <v>196.68</v>
      </c>
      <c r="W1816" t="str">
        <f t="shared" si="468"/>
        <v>zintel</v>
      </c>
    </row>
    <row r="1817" spans="1:23">
      <c r="A1817" t="str">
        <f t="shared" si="477"/>
        <v>JM-CTRL-EA07</v>
      </c>
      <c r="B1817" t="str">
        <f>"26-E004-0000"</f>
        <v>26-E004-0000</v>
      </c>
      <c r="C1817" t="str">
        <f>"Assembly, JM , E004, Single Magnetic Start.Panel"</f>
        <v>Assembly, JM , E004, Single Magnetic Start.Panel</v>
      </c>
      <c r="D1817">
        <v>1</v>
      </c>
      <c r="E1817" t="str">
        <f t="shared" si="478"/>
        <v>JM Electromagnetic Starters</v>
      </c>
      <c r="F1817">
        <v>0</v>
      </c>
      <c r="G1817" t="str">
        <f t="shared" si="473"/>
        <v>Y</v>
      </c>
      <c r="H1817" t="str">
        <f t="shared" si="467"/>
        <v>EA</v>
      </c>
      <c r="I1817">
        <v>0</v>
      </c>
      <c r="J1817">
        <v>0</v>
      </c>
      <c r="K1817" t="str">
        <f t="shared" si="474"/>
        <v>Y</v>
      </c>
      <c r="L1817">
        <v>0</v>
      </c>
      <c r="M1817" t="str">
        <f t="shared" si="471"/>
        <v>NIS</v>
      </c>
      <c r="O1817">
        <v>3</v>
      </c>
      <c r="P1817" t="str">
        <f t="shared" si="479"/>
        <v>Active</v>
      </c>
      <c r="Q1817" t="str">
        <f>"Assembly, JM , E004, Single Magnetic Start.Panel"</f>
        <v>Assembly, JM , E004, Single Magnetic Start.Panel</v>
      </c>
      <c r="S1817" t="str">
        <f>"Assembly, JM , E004, Single Magnetic Start.Panel"</f>
        <v>Assembly, JM , E004, Single Magnetic Start.Panel</v>
      </c>
      <c r="T1817">
        <v>168.68</v>
      </c>
      <c r="U1817">
        <v>168</v>
      </c>
      <c r="V1817">
        <v>280.98</v>
      </c>
      <c r="W1817" t="str">
        <f t="shared" si="468"/>
        <v>zintel</v>
      </c>
    </row>
    <row r="1818" spans="1:23">
      <c r="A1818" t="str">
        <f t="shared" si="477"/>
        <v>JM-CTRL-EA07</v>
      </c>
      <c r="B1818" t="str">
        <f>"26-E005-0000"</f>
        <v>26-E005-0000</v>
      </c>
      <c r="C1818" t="str">
        <f>"Assembly, JM, E005 - F-R-S Switch Panel"</f>
        <v>Assembly, JM, E005 - F-R-S Switch Panel</v>
      </c>
      <c r="D1818">
        <v>1</v>
      </c>
      <c r="E1818" t="str">
        <f t="shared" si="478"/>
        <v>JM Electromagnetic Starters</v>
      </c>
      <c r="F1818">
        <v>0</v>
      </c>
      <c r="G1818" t="str">
        <f t="shared" si="473"/>
        <v>Y</v>
      </c>
      <c r="H1818" t="str">
        <f t="shared" si="467"/>
        <v>EA</v>
      </c>
      <c r="I1818">
        <v>0</v>
      </c>
      <c r="J1818">
        <v>0</v>
      </c>
      <c r="K1818" t="str">
        <f t="shared" si="474"/>
        <v>Y</v>
      </c>
      <c r="L1818">
        <v>0</v>
      </c>
      <c r="M1818" t="str">
        <f t="shared" si="471"/>
        <v>NIS</v>
      </c>
      <c r="O1818">
        <v>4</v>
      </c>
      <c r="P1818" t="str">
        <f t="shared" si="479"/>
        <v>Active</v>
      </c>
      <c r="Q1818" t="str">
        <f>"Assembly, JM, E005 - F-R-S Switch Panel"</f>
        <v>Assembly, JM, E005 - F-R-S Switch Panel</v>
      </c>
      <c r="S1818" t="str">
        <f>"Assembly, JM, E005 - F-R-S Switch Panel"</f>
        <v>Assembly, JM, E005 - F-R-S Switch Panel</v>
      </c>
      <c r="T1818">
        <v>226.53</v>
      </c>
      <c r="U1818">
        <v>225</v>
      </c>
      <c r="V1818">
        <v>343.41</v>
      </c>
      <c r="W1818" t="str">
        <f t="shared" si="468"/>
        <v>zintel</v>
      </c>
    </row>
    <row r="1819" spans="1:23">
      <c r="A1819" t="str">
        <f t="shared" si="477"/>
        <v>JM-CTRL-EA07</v>
      </c>
      <c r="B1819" t="str">
        <f>"26-E006-0000"</f>
        <v>26-E006-0000</v>
      </c>
      <c r="C1819" t="str">
        <f>"Assembly, JM, E006, Reversing Magnetic Starter"</f>
        <v>Assembly, JM, E006, Reversing Magnetic Starter</v>
      </c>
      <c r="D1819">
        <v>1</v>
      </c>
      <c r="E1819" t="str">
        <f t="shared" si="478"/>
        <v>JM Electromagnetic Starters</v>
      </c>
      <c r="F1819">
        <v>0</v>
      </c>
      <c r="G1819" t="str">
        <f t="shared" si="473"/>
        <v>Y</v>
      </c>
      <c r="H1819" t="str">
        <f t="shared" si="467"/>
        <v>EA</v>
      </c>
      <c r="I1819">
        <v>0</v>
      </c>
      <c r="J1819">
        <v>0</v>
      </c>
      <c r="K1819" t="str">
        <f t="shared" si="474"/>
        <v>Y</v>
      </c>
      <c r="L1819">
        <v>0</v>
      </c>
      <c r="M1819" t="str">
        <f t="shared" si="471"/>
        <v>NIS</v>
      </c>
      <c r="O1819">
        <v>5</v>
      </c>
      <c r="P1819" t="str">
        <f t="shared" si="479"/>
        <v>Active</v>
      </c>
      <c r="Q1819" t="str">
        <f>"Assembly, JM, E006, Reversing Magnetic Starter"</f>
        <v>Assembly, JM, E006, Reversing Magnetic Starter</v>
      </c>
      <c r="S1819" t="str">
        <f>"Assembly, JM, E006, Reversing Magnetic Starter"</f>
        <v>Assembly, JM, E006, Reversing Magnetic Starter</v>
      </c>
      <c r="T1819">
        <v>232.93</v>
      </c>
      <c r="U1819">
        <v>231</v>
      </c>
      <c r="V1819">
        <v>424.58</v>
      </c>
      <c r="W1819" t="str">
        <f t="shared" si="468"/>
        <v>zintel</v>
      </c>
    </row>
    <row r="1820" spans="1:23">
      <c r="A1820" t="str">
        <f t="shared" si="477"/>
        <v>JM-CTRL-EA07</v>
      </c>
      <c r="B1820" t="str">
        <f>"26-E010-0000"</f>
        <v>26-E010-0000</v>
      </c>
      <c r="C1820" t="str">
        <f>"Assembly, JM, E010 - Three Phase Motor Panel"</f>
        <v>Assembly, JM, E010 - Three Phase Motor Panel</v>
      </c>
      <c r="D1820">
        <v>1</v>
      </c>
      <c r="E1820" t="str">
        <f t="shared" si="478"/>
        <v>JM Electromagnetic Starters</v>
      </c>
      <c r="F1820">
        <v>0</v>
      </c>
      <c r="G1820" t="str">
        <f t="shared" si="473"/>
        <v>Y</v>
      </c>
      <c r="H1820" t="str">
        <f t="shared" si="467"/>
        <v>EA</v>
      </c>
      <c r="I1820">
        <v>0</v>
      </c>
      <c r="J1820">
        <v>0</v>
      </c>
      <c r="K1820" t="str">
        <f t="shared" si="474"/>
        <v>Y</v>
      </c>
      <c r="L1820">
        <v>0</v>
      </c>
      <c r="M1820" t="str">
        <f t="shared" si="471"/>
        <v>NIS</v>
      </c>
      <c r="O1820">
        <v>6</v>
      </c>
      <c r="P1820" t="str">
        <f t="shared" si="479"/>
        <v>Active</v>
      </c>
      <c r="Q1820" t="str">
        <f>"Assembly, JM, E010 - Three Phase Motor Panel"</f>
        <v>Assembly, JM, E010 - Three Phase Motor Panel</v>
      </c>
      <c r="S1820" t="str">
        <f>"Assembly, JM, E010 - Three Phase Motor Panel"</f>
        <v>Assembly, JM, E010 - Three Phase Motor Panel</v>
      </c>
      <c r="T1820">
        <v>361.68</v>
      </c>
      <c r="U1820">
        <v>360</v>
      </c>
      <c r="V1820">
        <v>515.65</v>
      </c>
      <c r="W1820" t="str">
        <f t="shared" si="468"/>
        <v>zintel</v>
      </c>
    </row>
    <row r="1821" spans="1:23">
      <c r="A1821" t="str">
        <f t="shared" si="477"/>
        <v>JM-CTRL-EA07</v>
      </c>
      <c r="B1821" t="str">
        <f>"26-E012-0000"</f>
        <v>26-E012-0000</v>
      </c>
      <c r="C1821" t="str">
        <f>"Assembly, JM, E012, Transformer Panel"</f>
        <v>Assembly, JM, E012, Transformer Panel</v>
      </c>
      <c r="D1821">
        <v>1</v>
      </c>
      <c r="E1821" t="str">
        <f t="shared" si="478"/>
        <v>JM Electromagnetic Starters</v>
      </c>
      <c r="F1821">
        <v>0</v>
      </c>
      <c r="G1821" t="str">
        <f t="shared" si="473"/>
        <v>Y</v>
      </c>
      <c r="H1821" t="str">
        <f t="shared" si="467"/>
        <v>EA</v>
      </c>
      <c r="I1821">
        <v>0</v>
      </c>
      <c r="J1821">
        <v>0</v>
      </c>
      <c r="K1821" t="str">
        <f t="shared" si="474"/>
        <v>Y</v>
      </c>
      <c r="L1821">
        <v>0</v>
      </c>
      <c r="M1821" t="str">
        <f t="shared" si="471"/>
        <v>NIS</v>
      </c>
      <c r="O1821">
        <v>7</v>
      </c>
      <c r="P1821" t="str">
        <f t="shared" si="479"/>
        <v>Active</v>
      </c>
      <c r="Q1821" t="str">
        <f>"Assembly, JM, E012, Transformer Panel"</f>
        <v>Assembly, JM, E012, Transformer Panel</v>
      </c>
      <c r="S1821" t="str">
        <f>"Assembly, JM, E012, Transformer Panel"</f>
        <v>Assembly, JM, E012, Transformer Panel</v>
      </c>
      <c r="T1821">
        <v>158.58000000000001</v>
      </c>
      <c r="U1821">
        <v>157</v>
      </c>
      <c r="V1821">
        <v>297.81</v>
      </c>
      <c r="W1821" t="str">
        <f t="shared" si="468"/>
        <v>zintel</v>
      </c>
    </row>
    <row r="1822" spans="1:23">
      <c r="A1822" t="str">
        <f t="shared" si="477"/>
        <v>JM-CTRL-EA07</v>
      </c>
      <c r="B1822" t="str">
        <f>"26-E016-0000"</f>
        <v>26-E016-0000</v>
      </c>
      <c r="C1822" t="str">
        <f>"Assembly, JM, E016, Analog Relay Panel"</f>
        <v>Assembly, JM, E016, Analog Relay Panel</v>
      </c>
      <c r="D1822">
        <v>1</v>
      </c>
      <c r="E1822" t="str">
        <f t="shared" si="478"/>
        <v>JM Electromagnetic Starters</v>
      </c>
      <c r="F1822">
        <v>0</v>
      </c>
      <c r="G1822" t="str">
        <f t="shared" si="473"/>
        <v>Y</v>
      </c>
      <c r="H1822" t="str">
        <f t="shared" si="467"/>
        <v>EA</v>
      </c>
      <c r="I1822">
        <v>0</v>
      </c>
      <c r="J1822">
        <v>0</v>
      </c>
      <c r="K1822" t="str">
        <f t="shared" si="474"/>
        <v>Y</v>
      </c>
      <c r="L1822">
        <v>0</v>
      </c>
      <c r="M1822" t="str">
        <f t="shared" si="471"/>
        <v>NIS</v>
      </c>
      <c r="O1822">
        <v>8</v>
      </c>
      <c r="P1822" t="str">
        <f t="shared" si="479"/>
        <v>Active</v>
      </c>
      <c r="Q1822" t="str">
        <f>"Assembly, JM, E016, Analog Relay Panel"</f>
        <v>Assembly, JM, E016, Analog Relay Panel</v>
      </c>
      <c r="S1822" t="str">
        <f>"Assembly, JM, E016, Analog Relay Panel"</f>
        <v>Assembly, JM, E016, Analog Relay Panel</v>
      </c>
      <c r="T1822">
        <v>208.59</v>
      </c>
      <c r="U1822">
        <v>205</v>
      </c>
      <c r="V1822">
        <v>366.74</v>
      </c>
      <c r="W1822" t="str">
        <f t="shared" si="468"/>
        <v>zintel</v>
      </c>
    </row>
    <row r="1823" spans="1:23">
      <c r="A1823" t="str">
        <f t="shared" si="477"/>
        <v>JM-CTRL-EA07</v>
      </c>
      <c r="B1823" t="str">
        <f>"26-E154-0000"</f>
        <v>26-E154-0000</v>
      </c>
      <c r="C1823" t="str">
        <f>"Assembly, JM, E154, Switches and Lamps Panel"</f>
        <v>Assembly, JM, E154, Switches and Lamps Panel</v>
      </c>
      <c r="D1823">
        <v>1</v>
      </c>
      <c r="E1823" t="str">
        <f t="shared" si="478"/>
        <v>JM Electromagnetic Starters</v>
      </c>
      <c r="F1823">
        <v>0</v>
      </c>
      <c r="G1823" t="str">
        <f t="shared" si="473"/>
        <v>Y</v>
      </c>
      <c r="H1823" t="str">
        <f t="shared" si="467"/>
        <v>EA</v>
      </c>
      <c r="I1823">
        <v>0</v>
      </c>
      <c r="J1823">
        <v>0</v>
      </c>
      <c r="K1823" t="str">
        <f t="shared" si="474"/>
        <v>Y</v>
      </c>
      <c r="L1823">
        <v>0</v>
      </c>
      <c r="M1823" t="str">
        <f t="shared" si="471"/>
        <v>NIS</v>
      </c>
      <c r="O1823">
        <v>9</v>
      </c>
      <c r="P1823" t="str">
        <f t="shared" si="479"/>
        <v>Active</v>
      </c>
      <c r="Q1823" t="str">
        <f>"Assembly, JM, E154, Switches and Lamps Panel"</f>
        <v>Assembly, JM, E154, Switches and Lamps Panel</v>
      </c>
      <c r="S1823" t="str">
        <f>"Assembly, JM, E154, Switches and Lamps Panel"</f>
        <v>Assembly, JM, E154, Switches and Lamps Panel</v>
      </c>
      <c r="T1823">
        <v>155.78</v>
      </c>
      <c r="U1823">
        <v>153</v>
      </c>
      <c r="V1823">
        <v>324.68</v>
      </c>
      <c r="W1823" t="str">
        <f t="shared" si="468"/>
        <v>zintel</v>
      </c>
    </row>
    <row r="1824" spans="1:23">
      <c r="A1824" t="str">
        <f t="shared" si="477"/>
        <v>JM-CTRL-EA07</v>
      </c>
      <c r="B1824" t="str">
        <f>"26-E155-0000"</f>
        <v>26-E155-0000</v>
      </c>
      <c r="C1824" t="str">
        <f>"Assembly, JM, E155, H-O-A Switch Panel"</f>
        <v>Assembly, JM, E155, H-O-A Switch Panel</v>
      </c>
      <c r="D1824">
        <v>1</v>
      </c>
      <c r="E1824" t="str">
        <f t="shared" si="478"/>
        <v>JM Electromagnetic Starters</v>
      </c>
      <c r="F1824">
        <v>0</v>
      </c>
      <c r="G1824" t="str">
        <f t="shared" si="473"/>
        <v>Y</v>
      </c>
      <c r="H1824" t="str">
        <f t="shared" si="467"/>
        <v>EA</v>
      </c>
      <c r="I1824">
        <v>0</v>
      </c>
      <c r="J1824">
        <v>0</v>
      </c>
      <c r="K1824" t="str">
        <f t="shared" si="474"/>
        <v>Y</v>
      </c>
      <c r="L1824">
        <v>0</v>
      </c>
      <c r="M1824" t="str">
        <f t="shared" si="471"/>
        <v>NIS</v>
      </c>
      <c r="O1824">
        <v>10</v>
      </c>
      <c r="P1824" t="str">
        <f t="shared" si="479"/>
        <v>Active</v>
      </c>
      <c r="Q1824" t="str">
        <f>"Assembly, JM, E155, H-O-A Switch Panel"</f>
        <v>Assembly, JM, E155, H-O-A Switch Panel</v>
      </c>
      <c r="S1824" t="str">
        <f>"Assembly, JM, E155, H-O-A Switch Panel"</f>
        <v>Assembly, JM, E155, H-O-A Switch Panel</v>
      </c>
      <c r="T1824">
        <v>102.54</v>
      </c>
      <c r="U1824">
        <v>102</v>
      </c>
      <c r="V1824">
        <v>227.9</v>
      </c>
      <c r="W1824" t="str">
        <f t="shared" si="468"/>
        <v>zintel</v>
      </c>
    </row>
    <row r="1825" spans="1:23">
      <c r="A1825" t="str">
        <f t="shared" si="477"/>
        <v>JM-CTRL-EA07</v>
      </c>
      <c r="B1825" t="str">
        <f>"36-EA07-IG01"</f>
        <v>36-EA07-IG01</v>
      </c>
      <c r="C1825" t="str">
        <f>"JM, PDF on CD Electromagnetic Starters- EA04"</f>
        <v>JM, PDF on CD Electromagnetic Starters- EA04</v>
      </c>
      <c r="D1825">
        <v>1</v>
      </c>
      <c r="E1825" t="str">
        <f t="shared" si="478"/>
        <v>JM Electromagnetic Starters</v>
      </c>
      <c r="F1825">
        <v>0</v>
      </c>
      <c r="G1825" t="str">
        <f t="shared" si="473"/>
        <v>Y</v>
      </c>
      <c r="H1825" t="str">
        <f t="shared" si="467"/>
        <v>EA</v>
      </c>
      <c r="I1825">
        <v>0</v>
      </c>
      <c r="J1825">
        <v>0</v>
      </c>
      <c r="K1825" t="str">
        <f t="shared" si="474"/>
        <v>Y</v>
      </c>
      <c r="L1825">
        <v>0</v>
      </c>
      <c r="M1825" t="str">
        <f t="shared" si="471"/>
        <v>NIS</v>
      </c>
      <c r="N1825" t="str">
        <f>"Y"</f>
        <v>Y</v>
      </c>
      <c r="O1825">
        <v>11</v>
      </c>
      <c r="P1825" t="str">
        <f t="shared" si="479"/>
        <v>Active</v>
      </c>
      <c r="Q1825" t="str">
        <f>"JM, PDF on CD Electromagnetic Starters- EA04"</f>
        <v>JM, PDF on CD Electromagnetic Starters- EA04</v>
      </c>
      <c r="S1825" t="str">
        <f>"JM, PDF on CD Electromagnetic Starters- EA04"</f>
        <v>JM, PDF on CD Electromagnetic Starters- EA04</v>
      </c>
      <c r="T1825">
        <v>11.41</v>
      </c>
      <c r="U1825">
        <v>10.3</v>
      </c>
      <c r="V1825">
        <v>11.43</v>
      </c>
      <c r="W1825" t="str">
        <f t="shared" si="468"/>
        <v>zintel</v>
      </c>
    </row>
    <row r="1826" spans="1:23">
      <c r="A1826" t="str">
        <f>"JM-CTRL-EA08"</f>
        <v>JM-CTRL-EA08</v>
      </c>
      <c r="B1826" t="str">
        <f>"77-EA08-0000"</f>
        <v>77-EA08-0000</v>
      </c>
      <c r="C1826" t="str">
        <f>"LM7 Content, JM, Relays and Timers"</f>
        <v>LM7 Content, JM, Relays and Timers</v>
      </c>
      <c r="D1826">
        <v>1</v>
      </c>
      <c r="E1826" t="str">
        <f>"JM, Relays &amp; Timers, EA08, LMS Lab"</f>
        <v>JM, Relays &amp; Timers, EA08, LMS Lab</v>
      </c>
      <c r="F1826">
        <v>0</v>
      </c>
      <c r="G1826" t="str">
        <f t="shared" si="473"/>
        <v>Y</v>
      </c>
      <c r="H1826" t="str">
        <f t="shared" si="467"/>
        <v>EA</v>
      </c>
      <c r="I1826">
        <v>0</v>
      </c>
      <c r="J1826">
        <v>0</v>
      </c>
      <c r="K1826" t="str">
        <f t="shared" si="474"/>
        <v>Y</v>
      </c>
      <c r="L1826">
        <v>0</v>
      </c>
      <c r="M1826" t="str">
        <f t="shared" si="471"/>
        <v>NIS</v>
      </c>
      <c r="O1826">
        <v>1</v>
      </c>
      <c r="P1826" t="str">
        <f t="shared" si="479"/>
        <v>Active</v>
      </c>
      <c r="Q1826" t="str">
        <f>"LM7 Content, JM, Relays and Timers"</f>
        <v>LM7 Content, JM, Relays and Timers</v>
      </c>
      <c r="S1826" t="str">
        <f>"LM7 Content, JM, Relays and Timers"</f>
        <v>LM7 Content, JM, Relays and Timers</v>
      </c>
      <c r="T1826">
        <v>0</v>
      </c>
      <c r="U1826">
        <v>5</v>
      </c>
      <c r="V1826">
        <v>5</v>
      </c>
      <c r="W1826" t="str">
        <f t="shared" si="468"/>
        <v>zintel</v>
      </c>
    </row>
    <row r="1827" spans="1:23">
      <c r="A1827" t="str">
        <f>"JM-CTRL-EA08"</f>
        <v>JM-CTRL-EA08</v>
      </c>
      <c r="B1827" t="str">
        <f>"26-E017-0000"</f>
        <v>26-E017-0000</v>
      </c>
      <c r="C1827" t="str">
        <f>"Assembly, JM, E017, Digital Relay"</f>
        <v>Assembly, JM, E017, Digital Relay</v>
      </c>
      <c r="D1827">
        <v>1</v>
      </c>
      <c r="E1827" t="str">
        <f>"JM, Relays &amp; Timers, EA08, LMS Lab"</f>
        <v>JM, Relays &amp; Timers, EA08, LMS Lab</v>
      </c>
      <c r="F1827">
        <v>0</v>
      </c>
      <c r="G1827" t="str">
        <f t="shared" si="473"/>
        <v>Y</v>
      </c>
      <c r="H1827" t="str">
        <f t="shared" si="467"/>
        <v>EA</v>
      </c>
      <c r="I1827">
        <v>0</v>
      </c>
      <c r="J1827">
        <v>0</v>
      </c>
      <c r="K1827" t="str">
        <f t="shared" si="474"/>
        <v>Y</v>
      </c>
      <c r="L1827">
        <v>0</v>
      </c>
      <c r="M1827" t="str">
        <f t="shared" si="471"/>
        <v>NIS</v>
      </c>
      <c r="O1827">
        <v>2</v>
      </c>
      <c r="P1827" t="str">
        <f t="shared" si="479"/>
        <v>Active</v>
      </c>
      <c r="Q1827" t="str">
        <f>"Assembly, JM, E017, Digital Relay"</f>
        <v>Assembly, JM, E017, Digital Relay</v>
      </c>
      <c r="S1827" t="str">
        <f>"Assembly, JM, E017, Digital Relay"</f>
        <v>Assembly, JM, E017, Digital Relay</v>
      </c>
      <c r="T1827">
        <v>273.82</v>
      </c>
      <c r="U1827">
        <v>271</v>
      </c>
      <c r="V1827">
        <v>593.16</v>
      </c>
      <c r="W1827" t="str">
        <f t="shared" si="468"/>
        <v>zintel</v>
      </c>
    </row>
    <row r="1828" spans="1:23">
      <c r="A1828" t="str">
        <f>"JM-CTRL-EA08"</f>
        <v>JM-CTRL-EA08</v>
      </c>
      <c r="B1828" t="str">
        <f>"26-E041-0000"</f>
        <v>26-E041-0000</v>
      </c>
      <c r="C1828" t="str">
        <f>"Assembly, JM, E041, Electronic Timer"</f>
        <v>Assembly, JM, E041, Electronic Timer</v>
      </c>
      <c r="D1828">
        <v>1</v>
      </c>
      <c r="E1828" t="str">
        <f>"JM, Relays &amp; Timers, EA08, LMS Lab"</f>
        <v>JM, Relays &amp; Timers, EA08, LMS Lab</v>
      </c>
      <c r="F1828">
        <v>0</v>
      </c>
      <c r="G1828" t="str">
        <f t="shared" si="473"/>
        <v>Y</v>
      </c>
      <c r="H1828" t="str">
        <f t="shared" si="467"/>
        <v>EA</v>
      </c>
      <c r="I1828">
        <v>0</v>
      </c>
      <c r="J1828">
        <v>0</v>
      </c>
      <c r="K1828" t="str">
        <f t="shared" si="474"/>
        <v>Y</v>
      </c>
      <c r="L1828">
        <v>0</v>
      </c>
      <c r="M1828" t="str">
        <f t="shared" si="471"/>
        <v>NIS</v>
      </c>
      <c r="O1828">
        <v>3</v>
      </c>
      <c r="P1828" t="str">
        <f t="shared" si="479"/>
        <v>Active</v>
      </c>
      <c r="Q1828" t="str">
        <f>"Assembly, JM, E041, Electronic Timer"</f>
        <v>Assembly, JM, E041, Electronic Timer</v>
      </c>
      <c r="S1828" t="str">
        <f>"Assembly, JM, E041, Electronic Timer"</f>
        <v>Assembly, JM, E041, Electronic Timer</v>
      </c>
      <c r="T1828">
        <v>224.51</v>
      </c>
      <c r="U1828">
        <v>225</v>
      </c>
      <c r="V1828">
        <v>309.97000000000003</v>
      </c>
      <c r="W1828" t="str">
        <f t="shared" si="468"/>
        <v>zintel</v>
      </c>
    </row>
    <row r="1829" spans="1:23">
      <c r="A1829" t="str">
        <f>"JM-CTRL-EA08"</f>
        <v>JM-CTRL-EA08</v>
      </c>
      <c r="B1829" t="str">
        <f>"36-EA08-IG01"</f>
        <v>36-EA08-IG01</v>
      </c>
      <c r="C1829" t="str">
        <f>"JM, PDF on CD Relays and Timers - EA08"</f>
        <v>JM, PDF on CD Relays and Timers - EA08</v>
      </c>
      <c r="D1829">
        <v>1</v>
      </c>
      <c r="E1829" t="str">
        <f>"JM, Relays &amp; Timers, EA08, LMS Lab"</f>
        <v>JM, Relays &amp; Timers, EA08, LMS Lab</v>
      </c>
      <c r="F1829">
        <v>0</v>
      </c>
      <c r="G1829" t="str">
        <f t="shared" si="473"/>
        <v>Y</v>
      </c>
      <c r="H1829" t="str">
        <f t="shared" si="467"/>
        <v>EA</v>
      </c>
      <c r="I1829">
        <v>0</v>
      </c>
      <c r="J1829">
        <v>0</v>
      </c>
      <c r="K1829" t="str">
        <f t="shared" si="474"/>
        <v>Y</v>
      </c>
      <c r="L1829">
        <v>0</v>
      </c>
      <c r="M1829" t="str">
        <f t="shared" si="471"/>
        <v>NIS</v>
      </c>
      <c r="N1829" t="str">
        <f>"Y"</f>
        <v>Y</v>
      </c>
      <c r="O1829">
        <v>4</v>
      </c>
      <c r="P1829" t="str">
        <f t="shared" si="479"/>
        <v>Active</v>
      </c>
      <c r="Q1829" t="str">
        <f>"JM, PDF on CD Relays and Timers - EA08"</f>
        <v>JM, PDF on CD Relays and Timers - EA08</v>
      </c>
      <c r="S1829" t="str">
        <f>"JM, PDF on CD Relays and Timers - EA08"</f>
        <v>JM, PDF on CD Relays and Timers - EA08</v>
      </c>
      <c r="T1829">
        <v>11.41</v>
      </c>
      <c r="U1829">
        <v>10.3</v>
      </c>
      <c r="V1829">
        <v>11.43</v>
      </c>
      <c r="W1829" t="str">
        <f t="shared" si="468"/>
        <v>zintel</v>
      </c>
    </row>
    <row r="1830" spans="1:23">
      <c r="A1830" t="str">
        <f t="shared" ref="A1830:A1835" si="480">"JM-CTRL-EA09"</f>
        <v>JM-CTRL-EA09</v>
      </c>
      <c r="B1830" t="str">
        <f>"77-EA09-0000"</f>
        <v>77-EA09-0000</v>
      </c>
      <c r="C1830" t="str">
        <f>"LM7 Content, JM, Pilot Devices"</f>
        <v>LM7 Content, JM, Pilot Devices</v>
      </c>
      <c r="D1830">
        <v>1</v>
      </c>
      <c r="E1830" t="str">
        <f t="shared" ref="E1830:E1835" si="481">"JM Electronic Sensors, EA09, LMS Lab"</f>
        <v>JM Electronic Sensors, EA09, LMS Lab</v>
      </c>
      <c r="F1830">
        <v>0</v>
      </c>
      <c r="G1830" t="str">
        <f t="shared" si="473"/>
        <v>Y</v>
      </c>
      <c r="H1830" t="str">
        <f t="shared" si="467"/>
        <v>EA</v>
      </c>
      <c r="I1830">
        <v>0</v>
      </c>
      <c r="J1830">
        <v>0</v>
      </c>
      <c r="K1830" t="str">
        <f t="shared" si="474"/>
        <v>Y</v>
      </c>
      <c r="L1830">
        <v>0</v>
      </c>
      <c r="M1830" t="str">
        <f t="shared" si="471"/>
        <v>NIS</v>
      </c>
      <c r="O1830">
        <v>1</v>
      </c>
      <c r="P1830" t="str">
        <f t="shared" si="479"/>
        <v>Active</v>
      </c>
      <c r="Q1830" t="str">
        <f>"LM7 Content, JM, Pilot Devices"</f>
        <v>LM7 Content, JM, Pilot Devices</v>
      </c>
      <c r="S1830" t="str">
        <f>"LM7 Content, JM, Pilot Devices"</f>
        <v>LM7 Content, JM, Pilot Devices</v>
      </c>
      <c r="T1830">
        <v>0</v>
      </c>
      <c r="U1830">
        <v>5</v>
      </c>
      <c r="V1830">
        <v>5</v>
      </c>
      <c r="W1830" t="str">
        <f t="shared" si="468"/>
        <v>zintel</v>
      </c>
    </row>
    <row r="1831" spans="1:23">
      <c r="A1831" t="str">
        <f t="shared" si="480"/>
        <v>JM-CTRL-EA09</v>
      </c>
      <c r="B1831" t="str">
        <f>"26-E011-0000"</f>
        <v>26-E011-0000</v>
      </c>
      <c r="C1831" t="str">
        <f>"Assembly, JM, E011, Limit Switch Panel"</f>
        <v>Assembly, JM, E011, Limit Switch Panel</v>
      </c>
      <c r="D1831">
        <v>1</v>
      </c>
      <c r="E1831" t="str">
        <f t="shared" si="481"/>
        <v>JM Electronic Sensors, EA09, LMS Lab</v>
      </c>
      <c r="F1831">
        <v>0</v>
      </c>
      <c r="G1831" t="str">
        <f t="shared" si="473"/>
        <v>Y</v>
      </c>
      <c r="H1831" t="str">
        <f t="shared" si="467"/>
        <v>EA</v>
      </c>
      <c r="I1831">
        <v>0</v>
      </c>
      <c r="J1831">
        <v>0</v>
      </c>
      <c r="K1831" t="str">
        <f t="shared" si="474"/>
        <v>Y</v>
      </c>
      <c r="L1831">
        <v>0</v>
      </c>
      <c r="M1831" t="str">
        <f t="shared" si="471"/>
        <v>NIS</v>
      </c>
      <c r="O1831">
        <v>2</v>
      </c>
      <c r="P1831" t="str">
        <f t="shared" si="479"/>
        <v>Active</v>
      </c>
      <c r="Q1831" t="str">
        <f>"Assembly, JM, E011, Limit Switch Panel"</f>
        <v>Assembly, JM, E011, Limit Switch Panel</v>
      </c>
      <c r="S1831" t="str">
        <f>"Assembly, JM, E011, Limit Switch Panel"</f>
        <v>Assembly, JM, E011, Limit Switch Panel</v>
      </c>
      <c r="T1831">
        <v>188.08</v>
      </c>
      <c r="U1831">
        <v>188</v>
      </c>
      <c r="V1831">
        <v>269.41000000000003</v>
      </c>
      <c r="W1831" t="str">
        <f t="shared" si="468"/>
        <v>zintel</v>
      </c>
    </row>
    <row r="1832" spans="1:23">
      <c r="A1832" t="str">
        <f t="shared" si="480"/>
        <v>JM-CTRL-EA09</v>
      </c>
      <c r="B1832" t="str">
        <f>"26-E018-0000"</f>
        <v>26-E018-0000</v>
      </c>
      <c r="C1832" t="str">
        <f>"Assembly, JM, E018, Liquid Level and Pressure"</f>
        <v>Assembly, JM, E018, Liquid Level and Pressure</v>
      </c>
      <c r="D1832">
        <v>1</v>
      </c>
      <c r="E1832" t="str">
        <f t="shared" si="481"/>
        <v>JM Electronic Sensors, EA09, LMS Lab</v>
      </c>
      <c r="F1832">
        <v>0</v>
      </c>
      <c r="G1832" t="str">
        <f t="shared" si="473"/>
        <v>Y</v>
      </c>
      <c r="H1832" t="str">
        <f t="shared" ref="H1832:H1895" si="482">"EA"</f>
        <v>EA</v>
      </c>
      <c r="I1832">
        <v>0</v>
      </c>
      <c r="J1832">
        <v>0</v>
      </c>
      <c r="K1832" t="str">
        <f t="shared" si="474"/>
        <v>Y</v>
      </c>
      <c r="L1832">
        <v>0</v>
      </c>
      <c r="M1832" t="str">
        <f t="shared" si="471"/>
        <v>NIS</v>
      </c>
      <c r="O1832">
        <v>3</v>
      </c>
      <c r="P1832" t="str">
        <f t="shared" si="479"/>
        <v>Active</v>
      </c>
      <c r="Q1832" t="str">
        <f>"Assembly, JM, E018, Liquid Level and Pressure"</f>
        <v>Assembly, JM, E018, Liquid Level and Pressure</v>
      </c>
      <c r="S1832" t="str">
        <f>"Assembly, JM, E018, Liquid Level and Pressure"</f>
        <v>Assembly, JM, E018, Liquid Level and Pressure</v>
      </c>
      <c r="T1832">
        <v>451.57</v>
      </c>
      <c r="U1832">
        <v>450</v>
      </c>
      <c r="V1832">
        <v>476.25</v>
      </c>
      <c r="W1832" t="str">
        <f t="shared" ref="W1832:W1895" si="483">"zintel"</f>
        <v>zintel</v>
      </c>
    </row>
    <row r="1833" spans="1:23">
      <c r="A1833" t="str">
        <f t="shared" si="480"/>
        <v>JM-CTRL-EA09</v>
      </c>
      <c r="B1833" t="str">
        <f>"26-E126-0000"</f>
        <v>26-E126-0000</v>
      </c>
      <c r="C1833" t="str">
        <f>"Assembly, JM, E126, Photo, Mag, &amp; Prox Panel"</f>
        <v>Assembly, JM, E126, Photo, Mag, &amp; Prox Panel</v>
      </c>
      <c r="D1833">
        <v>1</v>
      </c>
      <c r="E1833" t="str">
        <f t="shared" si="481"/>
        <v>JM Electronic Sensors, EA09, LMS Lab</v>
      </c>
      <c r="F1833">
        <v>0</v>
      </c>
      <c r="G1833" t="str">
        <f t="shared" si="473"/>
        <v>Y</v>
      </c>
      <c r="H1833" t="str">
        <f t="shared" si="482"/>
        <v>EA</v>
      </c>
      <c r="I1833">
        <v>0</v>
      </c>
      <c r="J1833">
        <v>0</v>
      </c>
      <c r="K1833" t="str">
        <f t="shared" si="474"/>
        <v>Y</v>
      </c>
      <c r="L1833">
        <v>0</v>
      </c>
      <c r="M1833" t="str">
        <f t="shared" si="471"/>
        <v>NIS</v>
      </c>
      <c r="O1833">
        <v>4</v>
      </c>
      <c r="P1833" t="str">
        <f t="shared" si="479"/>
        <v>Active</v>
      </c>
      <c r="Q1833" t="str">
        <f>"Assembly, JM, E126, Photo, Mag, &amp; Prox Panel"</f>
        <v>Assembly, JM, E126, Photo, Mag, &amp; Prox Panel</v>
      </c>
      <c r="S1833" t="str">
        <f>"Assembly, JM, E126, Photo, Mag, &amp; Prox Panel"</f>
        <v>Assembly, JM, E126, Photo, Mag, &amp; Prox Panel</v>
      </c>
      <c r="T1833">
        <v>798.95</v>
      </c>
      <c r="U1833">
        <v>760</v>
      </c>
      <c r="V1833" s="44">
        <v>1075.9000000000001</v>
      </c>
      <c r="W1833" t="str">
        <f t="shared" si="483"/>
        <v>zintel</v>
      </c>
    </row>
    <row r="1834" spans="1:23">
      <c r="A1834" t="str">
        <f t="shared" si="480"/>
        <v>JM-CTRL-EA09</v>
      </c>
      <c r="B1834" t="str">
        <f>"26-E153-0000"</f>
        <v>26-E153-0000</v>
      </c>
      <c r="C1834" t="str">
        <f>"Assembly, JM, E153, AC/DC Circuits"</f>
        <v>Assembly, JM, E153, AC/DC Circuits</v>
      </c>
      <c r="D1834">
        <v>1</v>
      </c>
      <c r="E1834" t="str">
        <f t="shared" si="481"/>
        <v>JM Electronic Sensors, EA09, LMS Lab</v>
      </c>
      <c r="F1834">
        <v>0</v>
      </c>
      <c r="G1834" t="str">
        <f t="shared" si="473"/>
        <v>Y</v>
      </c>
      <c r="H1834" t="str">
        <f t="shared" si="482"/>
        <v>EA</v>
      </c>
      <c r="I1834">
        <v>0</v>
      </c>
      <c r="J1834">
        <v>0</v>
      </c>
      <c r="K1834" t="str">
        <f t="shared" si="474"/>
        <v>Y</v>
      </c>
      <c r="L1834">
        <v>0</v>
      </c>
      <c r="M1834" t="str">
        <f t="shared" si="471"/>
        <v>NIS</v>
      </c>
      <c r="O1834">
        <v>5</v>
      </c>
      <c r="P1834" t="str">
        <f t="shared" si="479"/>
        <v>Active</v>
      </c>
      <c r="Q1834" t="str">
        <f>"Assembly, JM, E153, AC/DC Circuits"</f>
        <v>Assembly, JM, E153, AC/DC Circuits</v>
      </c>
      <c r="S1834" t="str">
        <f>"Assembly, JM, E153, AC/DC Circuits"</f>
        <v>Assembly, JM, E153, AC/DC Circuits</v>
      </c>
      <c r="T1834">
        <v>133.96</v>
      </c>
      <c r="U1834">
        <v>130</v>
      </c>
      <c r="V1834">
        <v>293.45999999999998</v>
      </c>
      <c r="W1834" t="str">
        <f t="shared" si="483"/>
        <v>zintel</v>
      </c>
    </row>
    <row r="1835" spans="1:23">
      <c r="A1835" t="str">
        <f t="shared" si="480"/>
        <v>JM-CTRL-EA09</v>
      </c>
      <c r="B1835" t="str">
        <f>"36-EA09-IG01"</f>
        <v>36-EA09-IG01</v>
      </c>
      <c r="C1835" t="str">
        <f>"JM, PDF on CD Sensors - EA09"</f>
        <v>JM, PDF on CD Sensors - EA09</v>
      </c>
      <c r="D1835">
        <v>1</v>
      </c>
      <c r="E1835" t="str">
        <f t="shared" si="481"/>
        <v>JM Electronic Sensors, EA09, LMS Lab</v>
      </c>
      <c r="F1835">
        <v>0</v>
      </c>
      <c r="G1835" t="str">
        <f t="shared" si="473"/>
        <v>Y</v>
      </c>
      <c r="H1835" t="str">
        <f t="shared" si="482"/>
        <v>EA</v>
      </c>
      <c r="I1835">
        <v>0</v>
      </c>
      <c r="J1835">
        <v>0</v>
      </c>
      <c r="K1835" t="str">
        <f t="shared" si="474"/>
        <v>Y</v>
      </c>
      <c r="L1835">
        <v>0</v>
      </c>
      <c r="M1835" t="str">
        <f t="shared" si="471"/>
        <v>NIS</v>
      </c>
      <c r="N1835" t="str">
        <f>"Y"</f>
        <v>Y</v>
      </c>
      <c r="O1835">
        <v>6</v>
      </c>
      <c r="P1835" t="str">
        <f t="shared" si="479"/>
        <v>Active</v>
      </c>
      <c r="Q1835" t="str">
        <f>"JM, PDF on CD Sensors - EA09"</f>
        <v>JM, PDF on CD Sensors - EA09</v>
      </c>
      <c r="S1835" t="str">
        <f>"JM, PDF on CD Sensors - EA09"</f>
        <v>JM, PDF on CD Sensors - EA09</v>
      </c>
      <c r="T1835">
        <v>10.3</v>
      </c>
      <c r="U1835">
        <v>10.3</v>
      </c>
      <c r="V1835">
        <v>11.43</v>
      </c>
      <c r="W1835" t="str">
        <f t="shared" si="483"/>
        <v>zintel</v>
      </c>
    </row>
    <row r="1836" spans="1:23">
      <c r="A1836" t="str">
        <f>"JM-CTRL-EA11"</f>
        <v>JM-CTRL-EA11</v>
      </c>
      <c r="B1836" t="str">
        <f>"77-EA11-0000"</f>
        <v>77-EA11-0000</v>
      </c>
      <c r="C1836" t="str">
        <f>"LM7 Content, JM, Solid State Voltage Starter"</f>
        <v>LM7 Content, JM, Solid State Voltage Starter</v>
      </c>
      <c r="D1836">
        <v>1</v>
      </c>
      <c r="E1836" t="str">
        <f>"JM Solid State Voltage Starter, EA11, LMS Lab"</f>
        <v>JM Solid State Voltage Starter, EA11, LMS Lab</v>
      </c>
      <c r="F1836">
        <v>0</v>
      </c>
      <c r="G1836" t="str">
        <f t="shared" si="473"/>
        <v>Y</v>
      </c>
      <c r="H1836" t="str">
        <f t="shared" si="482"/>
        <v>EA</v>
      </c>
      <c r="I1836">
        <v>0</v>
      </c>
      <c r="J1836">
        <v>0</v>
      </c>
      <c r="K1836" t="str">
        <f t="shared" si="474"/>
        <v>Y</v>
      </c>
      <c r="L1836">
        <v>0</v>
      </c>
      <c r="M1836" t="str">
        <f t="shared" si="471"/>
        <v>NIS</v>
      </c>
      <c r="O1836">
        <v>1</v>
      </c>
      <c r="P1836" t="str">
        <f t="shared" si="479"/>
        <v>Active</v>
      </c>
      <c r="Q1836" t="str">
        <f>"LM7 Content, JM, Solid State Voltage Starter"</f>
        <v>LM7 Content, JM, Solid State Voltage Starter</v>
      </c>
      <c r="S1836" t="str">
        <f>"LM7 Content, JM, Solid State Voltage Starter"</f>
        <v>LM7 Content, JM, Solid State Voltage Starter</v>
      </c>
      <c r="T1836">
        <v>0</v>
      </c>
      <c r="U1836">
        <v>5</v>
      </c>
      <c r="V1836">
        <v>5</v>
      </c>
      <c r="W1836" t="str">
        <f t="shared" si="483"/>
        <v>zintel</v>
      </c>
    </row>
    <row r="1837" spans="1:23">
      <c r="A1837" t="str">
        <f>"JM-CTRL-EA11"</f>
        <v>JM-CTRL-EA11</v>
      </c>
      <c r="B1837" t="str">
        <f>"26-E024-0000"</f>
        <v>26-E024-0000</v>
      </c>
      <c r="C1837" t="str">
        <f>"Assembly, JM, E024, Solid State Starter Panel"</f>
        <v>Assembly, JM, E024, Solid State Starter Panel</v>
      </c>
      <c r="D1837">
        <v>1</v>
      </c>
      <c r="E1837" t="str">
        <f>"JM Solid State Voltage Starter, EA11, LMS Lab"</f>
        <v>JM Solid State Voltage Starter, EA11, LMS Lab</v>
      </c>
      <c r="F1837">
        <v>0</v>
      </c>
      <c r="G1837" t="str">
        <f t="shared" si="473"/>
        <v>Y</v>
      </c>
      <c r="H1837" t="str">
        <f t="shared" si="482"/>
        <v>EA</v>
      </c>
      <c r="I1837">
        <v>0</v>
      </c>
      <c r="J1837">
        <v>0</v>
      </c>
      <c r="K1837" t="str">
        <f t="shared" si="474"/>
        <v>Y</v>
      </c>
      <c r="L1837">
        <v>0</v>
      </c>
      <c r="M1837" t="str">
        <f t="shared" si="471"/>
        <v>NIS</v>
      </c>
      <c r="O1837">
        <v>2</v>
      </c>
      <c r="P1837" t="str">
        <f>"ECO-N2Buy"</f>
        <v>ECO-N2Buy</v>
      </c>
      <c r="Q1837" t="str">
        <f>"Assembly, JM, E024, Solid State Starter Panel"</f>
        <v>Assembly, JM, E024, Solid State Starter Panel</v>
      </c>
      <c r="S1837" t="str">
        <f>"Assembly, JM, E024, Solid State Starter Panel"</f>
        <v>Assembly, JM, E024, Solid State Starter Panel</v>
      </c>
      <c r="T1837">
        <v>492.42</v>
      </c>
      <c r="U1837">
        <v>489</v>
      </c>
      <c r="V1837">
        <v>705.69</v>
      </c>
      <c r="W1837" t="str">
        <f t="shared" si="483"/>
        <v>zintel</v>
      </c>
    </row>
    <row r="1838" spans="1:23">
      <c r="A1838" t="str">
        <f>"JM-CTRL-EA11"</f>
        <v>JM-CTRL-EA11</v>
      </c>
      <c r="B1838" t="str">
        <f>"36-EA11-IG01"</f>
        <v>36-EA11-IG01</v>
      </c>
      <c r="C1838" t="str">
        <f>"JM, PDF on CD Solid State Voltage Starter - EA11"</f>
        <v>JM, PDF on CD Solid State Voltage Starter - EA11</v>
      </c>
      <c r="D1838">
        <v>1</v>
      </c>
      <c r="E1838" t="str">
        <f>"JM Solid State Voltage Starter, EA11, LMS Lab"</f>
        <v>JM Solid State Voltage Starter, EA11, LMS Lab</v>
      </c>
      <c r="F1838">
        <v>0</v>
      </c>
      <c r="G1838" t="str">
        <f t="shared" si="473"/>
        <v>Y</v>
      </c>
      <c r="H1838" t="str">
        <f t="shared" si="482"/>
        <v>EA</v>
      </c>
      <c r="I1838">
        <v>0</v>
      </c>
      <c r="J1838">
        <v>0</v>
      </c>
      <c r="K1838" t="str">
        <f t="shared" si="474"/>
        <v>Y</v>
      </c>
      <c r="L1838">
        <v>0</v>
      </c>
      <c r="M1838" t="str">
        <f t="shared" si="471"/>
        <v>NIS</v>
      </c>
      <c r="N1838" t="str">
        <f>"Y"</f>
        <v>Y</v>
      </c>
      <c r="O1838">
        <v>3</v>
      </c>
      <c r="P1838" t="str">
        <f t="shared" ref="P1838:P1869" si="484">"Active"</f>
        <v>Active</v>
      </c>
      <c r="Q1838" t="str">
        <f>"JM, PDF on CD Solid State Voltage Starter - EA11"</f>
        <v>JM, PDF on CD Solid State Voltage Starter - EA11</v>
      </c>
      <c r="S1838" t="str">
        <f>"JM, PDF on CD Solid State Voltage Starter - EA11"</f>
        <v>JM, PDF on CD Solid State Voltage Starter - EA11</v>
      </c>
      <c r="T1838">
        <v>10.3</v>
      </c>
      <c r="U1838">
        <v>10.3</v>
      </c>
      <c r="V1838">
        <v>11.43</v>
      </c>
      <c r="W1838" t="str">
        <f t="shared" si="483"/>
        <v>zintel</v>
      </c>
    </row>
    <row r="1839" spans="1:23">
      <c r="A1839" t="str">
        <f>"JM-CTRL-EA12"</f>
        <v>JM-CTRL-EA12</v>
      </c>
      <c r="B1839" t="str">
        <f>"77-EA12-0000"</f>
        <v>77-EA12-0000</v>
      </c>
      <c r="C1839" t="str">
        <f>"LM7 Content, JM, Electric Motor Drives"</f>
        <v>LM7 Content, JM, Electric Motor Drives</v>
      </c>
      <c r="D1839">
        <v>1</v>
      </c>
      <c r="E1839" t="str">
        <f>"JM Variable Frequency Crive, EA12, LMS Lab"</f>
        <v>JM Variable Frequency Crive, EA12, LMS Lab</v>
      </c>
      <c r="F1839">
        <v>0</v>
      </c>
      <c r="G1839" t="str">
        <f t="shared" si="473"/>
        <v>Y</v>
      </c>
      <c r="H1839" t="str">
        <f t="shared" si="482"/>
        <v>EA</v>
      </c>
      <c r="I1839">
        <v>0</v>
      </c>
      <c r="J1839">
        <v>0</v>
      </c>
      <c r="K1839" t="str">
        <f t="shared" si="474"/>
        <v>Y</v>
      </c>
      <c r="L1839">
        <v>0</v>
      </c>
      <c r="M1839" t="str">
        <f t="shared" si="471"/>
        <v>NIS</v>
      </c>
      <c r="O1839">
        <v>1</v>
      </c>
      <c r="P1839" t="str">
        <f t="shared" si="484"/>
        <v>Active</v>
      </c>
      <c r="Q1839" t="str">
        <f>"LM7 Content, JM, Electric Motor Drives"</f>
        <v>LM7 Content, JM, Electric Motor Drives</v>
      </c>
      <c r="S1839" t="str">
        <f>"LM7 Content, JM, Electric Motor Drives"</f>
        <v>LM7 Content, JM, Electric Motor Drives</v>
      </c>
      <c r="T1839">
        <v>0</v>
      </c>
      <c r="U1839">
        <v>5</v>
      </c>
      <c r="V1839">
        <v>5</v>
      </c>
      <c r="W1839" t="str">
        <f t="shared" si="483"/>
        <v>zintel</v>
      </c>
    </row>
    <row r="1840" spans="1:23">
      <c r="A1840" t="str">
        <f>"JM-CTRL-EA12"</f>
        <v>JM-CTRL-EA12</v>
      </c>
      <c r="B1840" t="str">
        <f>"26-E067-0000"</f>
        <v>26-E067-0000</v>
      </c>
      <c r="C1840" t="str">
        <f>"Assembly, JM, E067,Varible Frequency Drive Panel"</f>
        <v>Assembly, JM, E067,Varible Frequency Drive Panel</v>
      </c>
      <c r="D1840">
        <v>1</v>
      </c>
      <c r="E1840" t="str">
        <f>"JM Variable Frequency Crive, EA12, LMS Lab"</f>
        <v>JM Variable Frequency Crive, EA12, LMS Lab</v>
      </c>
      <c r="F1840">
        <v>0</v>
      </c>
      <c r="G1840" t="str">
        <f t="shared" si="473"/>
        <v>Y</v>
      </c>
      <c r="H1840" t="str">
        <f t="shared" si="482"/>
        <v>EA</v>
      </c>
      <c r="I1840">
        <v>0</v>
      </c>
      <c r="J1840">
        <v>0</v>
      </c>
      <c r="K1840" t="str">
        <f t="shared" si="474"/>
        <v>Y</v>
      </c>
      <c r="L1840">
        <v>0</v>
      </c>
      <c r="M1840" t="str">
        <f t="shared" si="471"/>
        <v>NIS</v>
      </c>
      <c r="O1840">
        <v>2</v>
      </c>
      <c r="P1840" t="str">
        <f t="shared" si="484"/>
        <v>Active</v>
      </c>
      <c r="Q1840" t="str">
        <f>"Assembly, JM, E067,Varible Frequency Drive Panel"</f>
        <v>Assembly, JM, E067,Varible Frequency Drive Panel</v>
      </c>
      <c r="S1840" t="str">
        <f>"Assembly, JM, E067,Varible Frequency Drive Panel"</f>
        <v>Assembly, JM, E067,Varible Frequency Drive Panel</v>
      </c>
      <c r="T1840">
        <v>321.17</v>
      </c>
      <c r="U1840">
        <v>317</v>
      </c>
      <c r="V1840">
        <v>588.07000000000005</v>
      </c>
      <c r="W1840" t="str">
        <f t="shared" si="483"/>
        <v>zintel</v>
      </c>
    </row>
    <row r="1841" spans="1:23">
      <c r="A1841" t="str">
        <f>"JM-CTRL-EA12"</f>
        <v>JM-CTRL-EA12</v>
      </c>
      <c r="B1841" t="str">
        <f>"36-EA12-IG01"</f>
        <v>36-EA12-IG01</v>
      </c>
      <c r="C1841" t="str">
        <f>"JM, PDF on CD Variable Frequency Drive- EA12"</f>
        <v>JM, PDF on CD Variable Frequency Drive- EA12</v>
      </c>
      <c r="D1841">
        <v>1</v>
      </c>
      <c r="E1841" t="str">
        <f>"JM Variable Frequency Crive, EA12, LMS Lab"</f>
        <v>JM Variable Frequency Crive, EA12, LMS Lab</v>
      </c>
      <c r="F1841">
        <v>0</v>
      </c>
      <c r="G1841" t="str">
        <f t="shared" si="473"/>
        <v>Y</v>
      </c>
      <c r="H1841" t="str">
        <f t="shared" si="482"/>
        <v>EA</v>
      </c>
      <c r="I1841">
        <v>0</v>
      </c>
      <c r="J1841">
        <v>0</v>
      </c>
      <c r="K1841" t="str">
        <f t="shared" si="474"/>
        <v>Y</v>
      </c>
      <c r="L1841">
        <v>0</v>
      </c>
      <c r="M1841" t="str">
        <f t="shared" ref="M1841:M1904" si="485">"NIS"</f>
        <v>NIS</v>
      </c>
      <c r="N1841" t="str">
        <f>"Y"</f>
        <v>Y</v>
      </c>
      <c r="O1841">
        <v>3</v>
      </c>
      <c r="P1841" t="str">
        <f t="shared" si="484"/>
        <v>Active</v>
      </c>
      <c r="Q1841" t="str">
        <f>"JM, PDF on CD Variable Frequency Drive- EA12"</f>
        <v>JM, PDF on CD Variable Frequency Drive- EA12</v>
      </c>
      <c r="S1841" t="str">
        <f>"JM, PDF on CD Variable Frequency Drive- EA12"</f>
        <v>JM, PDF on CD Variable Frequency Drive- EA12</v>
      </c>
      <c r="T1841">
        <v>10.3</v>
      </c>
      <c r="U1841">
        <v>10.3</v>
      </c>
      <c r="V1841">
        <v>11.43</v>
      </c>
      <c r="W1841" t="str">
        <f t="shared" si="483"/>
        <v>zintel</v>
      </c>
    </row>
    <row r="1842" spans="1:23">
      <c r="A1842" t="str">
        <f>"JM-CTRL-EA12"</f>
        <v>JM-CTRL-EA12</v>
      </c>
      <c r="B1842" t="str">
        <f>"26-E002-0000"</f>
        <v>26-E002-0000</v>
      </c>
      <c r="C1842" t="str">
        <f>"Assembly, JM, E002, Start-Stop Control Panel"</f>
        <v>Assembly, JM, E002, Start-Stop Control Panel</v>
      </c>
      <c r="D1842">
        <v>1</v>
      </c>
      <c r="E1842" t="str">
        <f>"JM Variable Frequency Crive, EA12, LMS Lab"</f>
        <v>JM Variable Frequency Crive, EA12, LMS Lab</v>
      </c>
      <c r="F1842">
        <v>0</v>
      </c>
      <c r="G1842" t="str">
        <f t="shared" si="473"/>
        <v>Y</v>
      </c>
      <c r="H1842" t="str">
        <f t="shared" si="482"/>
        <v>EA</v>
      </c>
      <c r="I1842">
        <v>0</v>
      </c>
      <c r="J1842">
        <v>0</v>
      </c>
      <c r="K1842" t="str">
        <f t="shared" si="474"/>
        <v>Y</v>
      </c>
      <c r="L1842">
        <v>0</v>
      </c>
      <c r="M1842" t="str">
        <f t="shared" si="485"/>
        <v>NIS</v>
      </c>
      <c r="O1842">
        <v>4</v>
      </c>
      <c r="P1842" t="str">
        <f t="shared" si="484"/>
        <v>Active</v>
      </c>
      <c r="Q1842" t="str">
        <f>"Assembly, JM, E002, Start-Stop Control Panel"</f>
        <v>Assembly, JM, E002, Start-Stop Control Panel</v>
      </c>
      <c r="S1842" t="str">
        <f>"Assembly, JM, E002, Start-Stop Control Panel"</f>
        <v>Assembly, JM, E002, Start-Stop Control Panel</v>
      </c>
      <c r="T1842">
        <v>103.53</v>
      </c>
      <c r="U1842">
        <v>103</v>
      </c>
      <c r="V1842">
        <v>196.68</v>
      </c>
      <c r="W1842" t="str">
        <f t="shared" si="483"/>
        <v>zintel</v>
      </c>
    </row>
    <row r="1843" spans="1:23">
      <c r="A1843" t="str">
        <f t="shared" ref="A1843:A1851" si="486">"JM-CTRL-EA16"</f>
        <v>JM-CTRL-EA16</v>
      </c>
      <c r="B1843" t="str">
        <f>"77-EA16-0000"</f>
        <v>77-EA16-0000</v>
      </c>
      <c r="C1843" t="str">
        <f>"LM7 Content, JM, DC Motor Drives"</f>
        <v>LM7 Content, JM, DC Motor Drives</v>
      </c>
      <c r="D1843">
        <v>1</v>
      </c>
      <c r="E1843" t="str">
        <f t="shared" ref="E1843:E1851" si="487">"JM DC Motor Drives, EA16, LMS Lab"</f>
        <v>JM DC Motor Drives, EA16, LMS Lab</v>
      </c>
      <c r="F1843">
        <v>0</v>
      </c>
      <c r="G1843" t="str">
        <f t="shared" si="473"/>
        <v>Y</v>
      </c>
      <c r="H1843" t="str">
        <f t="shared" si="482"/>
        <v>EA</v>
      </c>
      <c r="I1843">
        <v>0</v>
      </c>
      <c r="J1843">
        <v>0</v>
      </c>
      <c r="K1843" t="str">
        <f t="shared" si="474"/>
        <v>Y</v>
      </c>
      <c r="L1843">
        <v>0</v>
      </c>
      <c r="M1843" t="str">
        <f t="shared" si="485"/>
        <v>NIS</v>
      </c>
      <c r="O1843">
        <v>1</v>
      </c>
      <c r="P1843" t="str">
        <f t="shared" si="484"/>
        <v>Active</v>
      </c>
      <c r="Q1843" t="str">
        <f>"LM7 Content, JM, DC Motor Drives"</f>
        <v>LM7 Content, JM, DC Motor Drives</v>
      </c>
      <c r="S1843" t="str">
        <f>"LM7 Content, JM, DC Motor Drives"</f>
        <v>LM7 Content, JM, DC Motor Drives</v>
      </c>
      <c r="T1843">
        <v>0</v>
      </c>
      <c r="U1843">
        <v>5</v>
      </c>
      <c r="V1843">
        <v>5</v>
      </c>
      <c r="W1843" t="str">
        <f t="shared" si="483"/>
        <v>zintel</v>
      </c>
    </row>
    <row r="1844" spans="1:23">
      <c r="A1844" t="str">
        <f t="shared" si="486"/>
        <v>JM-CTRL-EA16</v>
      </c>
      <c r="B1844" t="str">
        <f>"26-E007-0000"</f>
        <v>26-E007-0000</v>
      </c>
      <c r="C1844" t="str">
        <f>"Assembly, JM, E007 - SCR Speed Control Panel"</f>
        <v>Assembly, JM, E007 - SCR Speed Control Panel</v>
      </c>
      <c r="D1844">
        <v>1</v>
      </c>
      <c r="E1844" t="str">
        <f t="shared" si="487"/>
        <v>JM DC Motor Drives, EA16, LMS Lab</v>
      </c>
      <c r="F1844">
        <v>0</v>
      </c>
      <c r="G1844" t="str">
        <f t="shared" si="473"/>
        <v>Y</v>
      </c>
      <c r="H1844" t="str">
        <f t="shared" si="482"/>
        <v>EA</v>
      </c>
      <c r="I1844">
        <v>0</v>
      </c>
      <c r="J1844">
        <v>0</v>
      </c>
      <c r="K1844" t="str">
        <f t="shared" si="474"/>
        <v>Y</v>
      </c>
      <c r="L1844">
        <v>0</v>
      </c>
      <c r="M1844" t="str">
        <f t="shared" si="485"/>
        <v>NIS</v>
      </c>
      <c r="O1844">
        <v>2</v>
      </c>
      <c r="P1844" t="str">
        <f t="shared" si="484"/>
        <v>Active</v>
      </c>
      <c r="Q1844" t="str">
        <f>"Assembly, JM, E007 - SCR Speed Control Panel"</f>
        <v>Assembly, JM, E007 - SCR Speed Control Panel</v>
      </c>
      <c r="S1844" t="str">
        <f>"Assembly, JM, E007 - SCR Speed Control Panel"</f>
        <v>Assembly, JM, E007 - SCR Speed Control Panel</v>
      </c>
      <c r="T1844">
        <v>163.16999999999999</v>
      </c>
      <c r="U1844">
        <v>163</v>
      </c>
      <c r="V1844">
        <v>315.76</v>
      </c>
      <c r="W1844" t="str">
        <f t="shared" si="483"/>
        <v>zintel</v>
      </c>
    </row>
    <row r="1845" spans="1:23">
      <c r="A1845" t="str">
        <f t="shared" si="486"/>
        <v>JM-CTRL-EA16</v>
      </c>
      <c r="B1845" t="str">
        <f>"26-E025-0000"</f>
        <v>26-E025-0000</v>
      </c>
      <c r="C1845" t="str">
        <f>"Assembly, JM, E025 F-O-R Switch Panel"</f>
        <v>Assembly, JM, E025 F-O-R Switch Panel</v>
      </c>
      <c r="D1845">
        <v>1</v>
      </c>
      <c r="E1845" t="str">
        <f t="shared" si="487"/>
        <v>JM DC Motor Drives, EA16, LMS Lab</v>
      </c>
      <c r="F1845">
        <v>0</v>
      </c>
      <c r="G1845" t="str">
        <f t="shared" si="473"/>
        <v>Y</v>
      </c>
      <c r="H1845" t="str">
        <f t="shared" si="482"/>
        <v>EA</v>
      </c>
      <c r="I1845">
        <v>0</v>
      </c>
      <c r="J1845">
        <v>0</v>
      </c>
      <c r="K1845" t="str">
        <f t="shared" si="474"/>
        <v>Y</v>
      </c>
      <c r="L1845">
        <v>0</v>
      </c>
      <c r="M1845" t="str">
        <f t="shared" si="485"/>
        <v>NIS</v>
      </c>
      <c r="O1845">
        <v>3</v>
      </c>
      <c r="P1845" t="str">
        <f t="shared" si="484"/>
        <v>Active</v>
      </c>
      <c r="Q1845" t="str">
        <f>"Assembly, JM, E025 F-O-R Switch Panel"</f>
        <v>Assembly, JM, E025 F-O-R Switch Panel</v>
      </c>
      <c r="S1845" t="str">
        <f>"Assembly, JM, E025 F-O-R Switch Panel"</f>
        <v>Assembly, JM, E025 F-O-R Switch Panel</v>
      </c>
      <c r="T1845">
        <v>108.83</v>
      </c>
      <c r="U1845">
        <v>108</v>
      </c>
      <c r="V1845">
        <v>390.23</v>
      </c>
      <c r="W1845" t="str">
        <f t="shared" si="483"/>
        <v>zintel</v>
      </c>
    </row>
    <row r="1846" spans="1:23">
      <c r="A1846" t="str">
        <f t="shared" si="486"/>
        <v>JM-CTRL-EA16</v>
      </c>
      <c r="B1846" t="str">
        <f>"26-E034-0000"</f>
        <v>26-E034-0000</v>
      </c>
      <c r="C1846" t="str">
        <f>"Assembly, JM, E034, DC Motor Panel"</f>
        <v>Assembly, JM, E034, DC Motor Panel</v>
      </c>
      <c r="D1846">
        <v>1</v>
      </c>
      <c r="E1846" t="str">
        <f t="shared" si="487"/>
        <v>JM DC Motor Drives, EA16, LMS Lab</v>
      </c>
      <c r="F1846">
        <v>0</v>
      </c>
      <c r="G1846" t="str">
        <f t="shared" si="473"/>
        <v>Y</v>
      </c>
      <c r="H1846" t="str">
        <f t="shared" si="482"/>
        <v>EA</v>
      </c>
      <c r="I1846">
        <v>0</v>
      </c>
      <c r="J1846">
        <v>0</v>
      </c>
      <c r="K1846" t="str">
        <f t="shared" si="474"/>
        <v>Y</v>
      </c>
      <c r="L1846">
        <v>0</v>
      </c>
      <c r="M1846" t="str">
        <f t="shared" si="485"/>
        <v>NIS</v>
      </c>
      <c r="O1846">
        <v>4</v>
      </c>
      <c r="P1846" t="str">
        <f t="shared" si="484"/>
        <v>Active</v>
      </c>
      <c r="Q1846" t="str">
        <f>"Assembly, JM, E034, DC Motor Panel"</f>
        <v>Assembly, JM, E034, DC Motor Panel</v>
      </c>
      <c r="S1846" t="str">
        <f>"Assembly, JM, E034, DC Motor Panel"</f>
        <v>Assembly, JM, E034, DC Motor Panel</v>
      </c>
      <c r="T1846">
        <v>304.44</v>
      </c>
      <c r="U1846">
        <v>305</v>
      </c>
      <c r="V1846">
        <v>504.64</v>
      </c>
      <c r="W1846" t="str">
        <f t="shared" si="483"/>
        <v>zintel</v>
      </c>
    </row>
    <row r="1847" spans="1:23">
      <c r="A1847" t="str">
        <f t="shared" si="486"/>
        <v>JM-CTRL-EA16</v>
      </c>
      <c r="B1847" t="str">
        <f>"26-E038-0000"</f>
        <v>26-E038-0000</v>
      </c>
      <c r="C1847" t="str">
        <f>"Assembly, JM, E038, PWM Speed Control Panel"</f>
        <v>Assembly, JM, E038, PWM Speed Control Panel</v>
      </c>
      <c r="D1847">
        <v>1</v>
      </c>
      <c r="E1847" t="str">
        <f t="shared" si="487"/>
        <v>JM DC Motor Drives, EA16, LMS Lab</v>
      </c>
      <c r="F1847">
        <v>0</v>
      </c>
      <c r="G1847" t="str">
        <f t="shared" si="473"/>
        <v>Y</v>
      </c>
      <c r="H1847" t="str">
        <f t="shared" si="482"/>
        <v>EA</v>
      </c>
      <c r="I1847">
        <v>0</v>
      </c>
      <c r="J1847">
        <v>0</v>
      </c>
      <c r="K1847" t="str">
        <f t="shared" si="474"/>
        <v>Y</v>
      </c>
      <c r="L1847">
        <v>0</v>
      </c>
      <c r="M1847" t="str">
        <f t="shared" si="485"/>
        <v>NIS</v>
      </c>
      <c r="O1847">
        <v>5</v>
      </c>
      <c r="P1847" t="str">
        <f t="shared" si="484"/>
        <v>Active</v>
      </c>
      <c r="Q1847" t="str">
        <f>"Assembly, JM, E038, PWM Speed Control Panel"</f>
        <v>Assembly, JM, E038, PWM Speed Control Panel</v>
      </c>
      <c r="S1847" t="str">
        <f>"Assembly, JM, E038, PWM Speed Control Panel"</f>
        <v>Assembly, JM, E038, PWM Speed Control Panel</v>
      </c>
      <c r="T1847">
        <v>254.87</v>
      </c>
      <c r="U1847">
        <v>255</v>
      </c>
      <c r="V1847">
        <v>602.52</v>
      </c>
      <c r="W1847" t="str">
        <f t="shared" si="483"/>
        <v>zintel</v>
      </c>
    </row>
    <row r="1848" spans="1:23">
      <c r="A1848" t="str">
        <f t="shared" si="486"/>
        <v>JM-CTRL-EA16</v>
      </c>
      <c r="B1848" t="str">
        <f>"26-E048-0000"</f>
        <v>26-E048-0000</v>
      </c>
      <c r="C1848" t="str">
        <f>"Assembly, JM, E048 Inertial Load Panel"</f>
        <v>Assembly, JM, E048 Inertial Load Panel</v>
      </c>
      <c r="D1848">
        <v>1</v>
      </c>
      <c r="E1848" t="str">
        <f t="shared" si="487"/>
        <v>JM DC Motor Drives, EA16, LMS Lab</v>
      </c>
      <c r="F1848">
        <v>0</v>
      </c>
      <c r="G1848" t="str">
        <f t="shared" si="473"/>
        <v>Y</v>
      </c>
      <c r="H1848" t="str">
        <f t="shared" si="482"/>
        <v>EA</v>
      </c>
      <c r="I1848">
        <v>0</v>
      </c>
      <c r="J1848">
        <v>0</v>
      </c>
      <c r="K1848" t="str">
        <f t="shared" si="474"/>
        <v>Y</v>
      </c>
      <c r="L1848">
        <v>0</v>
      </c>
      <c r="M1848" t="str">
        <f t="shared" si="485"/>
        <v>NIS</v>
      </c>
      <c r="O1848">
        <v>6</v>
      </c>
      <c r="P1848" t="str">
        <f t="shared" si="484"/>
        <v>Active</v>
      </c>
      <c r="Q1848" t="str">
        <f>"Assembly, JM, E048 Inertial Load Panel"</f>
        <v>Assembly, JM, E048 Inertial Load Panel</v>
      </c>
      <c r="S1848" t="str">
        <f>"Assembly, JM, E048 Inertial Load Panel"</f>
        <v>Assembly, JM, E048 Inertial Load Panel</v>
      </c>
      <c r="T1848">
        <v>179.91</v>
      </c>
      <c r="U1848">
        <v>207</v>
      </c>
      <c r="V1848">
        <v>293.45999999999998</v>
      </c>
      <c r="W1848" t="str">
        <f t="shared" si="483"/>
        <v>zintel</v>
      </c>
    </row>
    <row r="1849" spans="1:23">
      <c r="A1849" t="str">
        <f t="shared" si="486"/>
        <v>JM-CTRL-EA16</v>
      </c>
      <c r="B1849" t="str">
        <f>"26-E071-0000"</f>
        <v>26-E071-0000</v>
      </c>
      <c r="C1849" t="str">
        <f>"Assembly, JM, E071 Regenerative SCR Drive Panel"</f>
        <v>Assembly, JM, E071 Regenerative SCR Drive Panel</v>
      </c>
      <c r="D1849">
        <v>1</v>
      </c>
      <c r="E1849" t="str">
        <f t="shared" si="487"/>
        <v>JM DC Motor Drives, EA16, LMS Lab</v>
      </c>
      <c r="F1849">
        <v>0</v>
      </c>
      <c r="G1849" t="str">
        <f t="shared" si="473"/>
        <v>Y</v>
      </c>
      <c r="H1849" t="str">
        <f t="shared" si="482"/>
        <v>EA</v>
      </c>
      <c r="I1849">
        <v>0</v>
      </c>
      <c r="J1849">
        <v>0</v>
      </c>
      <c r="K1849" t="str">
        <f t="shared" si="474"/>
        <v>Y</v>
      </c>
      <c r="L1849">
        <v>0</v>
      </c>
      <c r="M1849" t="str">
        <f t="shared" si="485"/>
        <v>NIS</v>
      </c>
      <c r="O1849">
        <v>7</v>
      </c>
      <c r="P1849" t="str">
        <f t="shared" si="484"/>
        <v>Active</v>
      </c>
      <c r="Q1849" t="str">
        <f>"Assembly, JM, E071 Regenerative SCR Drive Panel"</f>
        <v>Assembly, JM, E071 Regenerative SCR Drive Panel</v>
      </c>
      <c r="S1849" t="str">
        <f>"Assembly, JM, E071 Regenerative SCR Drive Panel"</f>
        <v>Assembly, JM, E071 Regenerative SCR Drive Panel</v>
      </c>
      <c r="T1849">
        <v>371.1</v>
      </c>
      <c r="U1849">
        <v>370</v>
      </c>
      <c r="V1849">
        <v>641.86</v>
      </c>
      <c r="W1849" t="str">
        <f t="shared" si="483"/>
        <v>zintel</v>
      </c>
    </row>
    <row r="1850" spans="1:23">
      <c r="A1850" t="str">
        <f t="shared" si="486"/>
        <v>JM-CTRL-EA16</v>
      </c>
      <c r="B1850" t="str">
        <f>"36-EA16-IG01"</f>
        <v>36-EA16-IG01</v>
      </c>
      <c r="C1850" t="str">
        <f>"JM, PDF on CD DC Motor Drives - EA16"</f>
        <v>JM, PDF on CD DC Motor Drives - EA16</v>
      </c>
      <c r="D1850">
        <v>1</v>
      </c>
      <c r="E1850" t="str">
        <f t="shared" si="487"/>
        <v>JM DC Motor Drives, EA16, LMS Lab</v>
      </c>
      <c r="F1850">
        <v>0</v>
      </c>
      <c r="G1850" t="str">
        <f t="shared" si="473"/>
        <v>Y</v>
      </c>
      <c r="H1850" t="str">
        <f t="shared" si="482"/>
        <v>EA</v>
      </c>
      <c r="I1850">
        <v>0</v>
      </c>
      <c r="J1850">
        <v>0</v>
      </c>
      <c r="K1850" t="str">
        <f t="shared" si="474"/>
        <v>Y</v>
      </c>
      <c r="L1850">
        <v>0</v>
      </c>
      <c r="M1850" t="str">
        <f t="shared" si="485"/>
        <v>NIS</v>
      </c>
      <c r="O1850">
        <v>8</v>
      </c>
      <c r="P1850" t="str">
        <f t="shared" si="484"/>
        <v>Active</v>
      </c>
      <c r="Q1850" t="str">
        <f>"JM, PDF on CD DC Motor Drives - EA16"</f>
        <v>JM, PDF on CD DC Motor Drives - EA16</v>
      </c>
      <c r="S1850" t="str">
        <f>"JM, PDF on CD DC Motor Drives - EA16"</f>
        <v>JM, PDF on CD DC Motor Drives - EA16</v>
      </c>
      <c r="T1850">
        <v>10.3</v>
      </c>
      <c r="U1850">
        <v>10.3</v>
      </c>
      <c r="V1850">
        <v>11.43</v>
      </c>
      <c r="W1850" t="str">
        <f t="shared" si="483"/>
        <v>zintel</v>
      </c>
    </row>
    <row r="1851" spans="1:23">
      <c r="A1851" t="str">
        <f t="shared" si="486"/>
        <v>JM-CTRL-EA16</v>
      </c>
      <c r="B1851" t="str">
        <f>"26-E017-0000"</f>
        <v>26-E017-0000</v>
      </c>
      <c r="C1851" t="str">
        <f>"Assembly, JM, E017, Digital Relay"</f>
        <v>Assembly, JM, E017, Digital Relay</v>
      </c>
      <c r="D1851">
        <v>1</v>
      </c>
      <c r="E1851" t="str">
        <f t="shared" si="487"/>
        <v>JM DC Motor Drives, EA16, LMS Lab</v>
      </c>
      <c r="F1851">
        <v>0</v>
      </c>
      <c r="G1851" t="str">
        <f t="shared" si="473"/>
        <v>Y</v>
      </c>
      <c r="H1851" t="str">
        <f t="shared" si="482"/>
        <v>EA</v>
      </c>
      <c r="I1851">
        <v>0</v>
      </c>
      <c r="J1851">
        <v>0</v>
      </c>
      <c r="K1851" t="str">
        <f t="shared" si="474"/>
        <v>Y</v>
      </c>
      <c r="L1851">
        <v>0</v>
      </c>
      <c r="M1851" t="str">
        <f t="shared" si="485"/>
        <v>NIS</v>
      </c>
      <c r="O1851">
        <v>9</v>
      </c>
      <c r="P1851" t="str">
        <f t="shared" si="484"/>
        <v>Active</v>
      </c>
      <c r="Q1851" t="str">
        <f>"Assembly, JM, E017, Digital Relay"</f>
        <v>Assembly, JM, E017, Digital Relay</v>
      </c>
      <c r="S1851" t="str">
        <f>"Assembly, JM, E017, Digital Relay"</f>
        <v>Assembly, JM, E017, Digital Relay</v>
      </c>
      <c r="T1851">
        <v>273.82</v>
      </c>
      <c r="U1851">
        <v>271</v>
      </c>
      <c r="V1851">
        <v>593.16</v>
      </c>
      <c r="W1851" t="str">
        <f t="shared" si="483"/>
        <v>zintel</v>
      </c>
    </row>
    <row r="1852" spans="1:23">
      <c r="A1852" t="str">
        <f t="shared" ref="A1852:A1883" si="488">"JM-CTRL-SYSM"</f>
        <v>JM-CTRL-SYSM</v>
      </c>
      <c r="B1852" t="str">
        <f>"10-LS00-0200"</f>
        <v>10-LS00-0200</v>
      </c>
      <c r="C1852" t="str">
        <f>"LS200:Jobmaster 2-Sided Mobile Learning Station"</f>
        <v>LS200:Jobmaster 2-Sided Mobile Learning Station</v>
      </c>
      <c r="D1852">
        <v>1</v>
      </c>
      <c r="E1852" t="str">
        <f t="shared" ref="E1852:E1883" si="489">"Electrical Control Systems Two Sided Bench"</f>
        <v>Electrical Control Systems Two Sided Bench</v>
      </c>
      <c r="F1852">
        <v>0</v>
      </c>
      <c r="G1852" t="str">
        <f t="shared" si="473"/>
        <v>Y</v>
      </c>
      <c r="H1852" t="str">
        <f t="shared" si="482"/>
        <v>EA</v>
      </c>
      <c r="I1852">
        <v>0</v>
      </c>
      <c r="J1852">
        <v>0</v>
      </c>
      <c r="K1852" t="str">
        <f t="shared" si="474"/>
        <v>Y</v>
      </c>
      <c r="L1852">
        <v>0</v>
      </c>
      <c r="M1852" t="str">
        <f t="shared" si="485"/>
        <v>NIS</v>
      </c>
      <c r="O1852">
        <v>1</v>
      </c>
      <c r="P1852" t="str">
        <f t="shared" si="484"/>
        <v>Active</v>
      </c>
      <c r="Q1852" t="str">
        <f>"LS200:Jobmaster 2-Sided Mobile Learning Station"</f>
        <v>LS200:Jobmaster 2-Sided Mobile Learning Station</v>
      </c>
      <c r="S1852" t="str">
        <f>"LS200:Jobmaster 2-Sided Mobile Learning Station"</f>
        <v>LS200:Jobmaster 2-Sided Mobile Learning Station</v>
      </c>
      <c r="T1852" s="44">
        <v>2283.3200000000002</v>
      </c>
      <c r="U1852" s="44">
        <v>2121</v>
      </c>
      <c r="V1852" s="44">
        <v>3030.14</v>
      </c>
      <c r="W1852" t="str">
        <f t="shared" si="483"/>
        <v>zintel</v>
      </c>
    </row>
    <row r="1853" spans="1:23">
      <c r="A1853" t="str">
        <f t="shared" si="488"/>
        <v>JM-CTRL-SYSM</v>
      </c>
      <c r="B1853" t="str">
        <f>"10-PC04-0000"</f>
        <v>10-PC04-0000</v>
      </c>
      <c r="C1853" t="str">
        <f>"JM, Panel PC04, 120VAC Power Control"</f>
        <v>JM, Panel PC04, 120VAC Power Control</v>
      </c>
      <c r="D1853">
        <v>2</v>
      </c>
      <c r="E1853" t="str">
        <f t="shared" si="489"/>
        <v>Electrical Control Systems Two Sided Bench</v>
      </c>
      <c r="F1853">
        <v>0</v>
      </c>
      <c r="G1853" t="str">
        <f t="shared" si="473"/>
        <v>Y</v>
      </c>
      <c r="H1853" t="str">
        <f t="shared" si="482"/>
        <v>EA</v>
      </c>
      <c r="I1853">
        <v>0</v>
      </c>
      <c r="J1853">
        <v>0</v>
      </c>
      <c r="K1853" t="str">
        <f t="shared" si="474"/>
        <v>Y</v>
      </c>
      <c r="L1853">
        <v>0</v>
      </c>
      <c r="M1853" t="str">
        <f t="shared" si="485"/>
        <v>NIS</v>
      </c>
      <c r="O1853">
        <v>2</v>
      </c>
      <c r="P1853" t="str">
        <f t="shared" si="484"/>
        <v>Active</v>
      </c>
      <c r="Q1853" t="str">
        <f>"JM, Panel PC04, 120VAC Power Control"</f>
        <v>JM, Panel PC04, 120VAC Power Control</v>
      </c>
      <c r="S1853" t="str">
        <f>"JM, Panel PC04, 120VAC Power Control"</f>
        <v>JM, Panel PC04, 120VAC Power Control</v>
      </c>
      <c r="T1853">
        <v>358.54</v>
      </c>
      <c r="U1853">
        <v>358</v>
      </c>
      <c r="V1853">
        <v>637.30999999999995</v>
      </c>
      <c r="W1853" t="str">
        <f t="shared" si="483"/>
        <v>zintel</v>
      </c>
    </row>
    <row r="1854" spans="1:23">
      <c r="A1854" t="str">
        <f t="shared" si="488"/>
        <v>JM-CTRL-SYSM</v>
      </c>
      <c r="B1854" t="str">
        <f>"10-PC06-0000"</f>
        <v>10-PC06-0000</v>
      </c>
      <c r="C1854" t="str">
        <f>"JM, Panel PC06, 220VAC Three Phase Power Control"</f>
        <v>JM, Panel PC06, 220VAC Three Phase Power Control</v>
      </c>
      <c r="D1854">
        <v>2</v>
      </c>
      <c r="E1854" t="str">
        <f t="shared" si="489"/>
        <v>Electrical Control Systems Two Sided Bench</v>
      </c>
      <c r="F1854">
        <v>0</v>
      </c>
      <c r="G1854" t="str">
        <f t="shared" si="473"/>
        <v>Y</v>
      </c>
      <c r="H1854" t="str">
        <f t="shared" si="482"/>
        <v>EA</v>
      </c>
      <c r="I1854">
        <v>0</v>
      </c>
      <c r="J1854">
        <v>0</v>
      </c>
      <c r="K1854" t="str">
        <f t="shared" si="474"/>
        <v>Y</v>
      </c>
      <c r="L1854">
        <v>0</v>
      </c>
      <c r="M1854" t="str">
        <f t="shared" si="485"/>
        <v>NIS</v>
      </c>
      <c r="O1854">
        <v>3</v>
      </c>
      <c r="P1854" t="str">
        <f t="shared" si="484"/>
        <v>Active</v>
      </c>
      <c r="Q1854" t="str">
        <f>"JM, Panel PC06, 220VAC Three Phase Power Control"</f>
        <v>JM, Panel PC06, 220VAC Three Phase Power Control</v>
      </c>
      <c r="S1854" t="str">
        <f>"JM, Panel PC06, 220VAC Three Phase Power Control"</f>
        <v>JM, Panel PC06, 220VAC Three Phase Power Control</v>
      </c>
      <c r="T1854">
        <v>399.23</v>
      </c>
      <c r="U1854">
        <v>400</v>
      </c>
      <c r="V1854">
        <v>576.48</v>
      </c>
      <c r="W1854" t="str">
        <f t="shared" si="483"/>
        <v>zintel</v>
      </c>
    </row>
    <row r="1855" spans="1:23">
      <c r="A1855" t="str">
        <f t="shared" si="488"/>
        <v>JM-CTRL-SYSM</v>
      </c>
      <c r="B1855" t="str">
        <f>"77-EA02-0000"</f>
        <v>77-EA02-0000</v>
      </c>
      <c r="C1855" t="str">
        <f>"LM7 Content, JM, Electric Circuit Protection"</f>
        <v>LM7 Content, JM, Electric Circuit Protection</v>
      </c>
      <c r="D1855">
        <v>1</v>
      </c>
      <c r="E1855" t="str">
        <f t="shared" si="489"/>
        <v>Electrical Control Systems Two Sided Bench</v>
      </c>
      <c r="F1855">
        <v>0</v>
      </c>
      <c r="G1855" t="str">
        <f t="shared" si="473"/>
        <v>Y</v>
      </c>
      <c r="H1855" t="str">
        <f t="shared" si="482"/>
        <v>EA</v>
      </c>
      <c r="I1855">
        <v>0</v>
      </c>
      <c r="J1855">
        <v>0</v>
      </c>
      <c r="K1855" t="str">
        <f t="shared" si="474"/>
        <v>Y</v>
      </c>
      <c r="L1855">
        <v>0</v>
      </c>
      <c r="M1855" t="str">
        <f t="shared" si="485"/>
        <v>NIS</v>
      </c>
      <c r="O1855">
        <v>4</v>
      </c>
      <c r="P1855" t="str">
        <f t="shared" si="484"/>
        <v>Active</v>
      </c>
      <c r="Q1855" t="str">
        <f>"LM7 Content, JM, Electric Circuit Protection"</f>
        <v>LM7 Content, JM, Electric Circuit Protection</v>
      </c>
      <c r="S1855" t="str">
        <f>"LM7 Content, JM, Electric Circuit Protection"</f>
        <v>LM7 Content, JM, Electric Circuit Protection</v>
      </c>
      <c r="T1855">
        <v>0</v>
      </c>
      <c r="U1855">
        <v>5</v>
      </c>
      <c r="V1855">
        <v>5</v>
      </c>
      <c r="W1855" t="str">
        <f t="shared" si="483"/>
        <v>zintel</v>
      </c>
    </row>
    <row r="1856" spans="1:23">
      <c r="A1856" t="str">
        <f t="shared" si="488"/>
        <v>JM-CTRL-SYSM</v>
      </c>
      <c r="B1856" t="str">
        <f>"26-E022-0000"</f>
        <v>26-E022-0000</v>
      </c>
      <c r="C1856" t="str">
        <f>"Assembly, JM, E022, Manual Starter Panel"</f>
        <v>Assembly, JM, E022, Manual Starter Panel</v>
      </c>
      <c r="D1856">
        <v>2</v>
      </c>
      <c r="E1856" t="str">
        <f t="shared" si="489"/>
        <v>Electrical Control Systems Two Sided Bench</v>
      </c>
      <c r="F1856">
        <v>0</v>
      </c>
      <c r="G1856" t="str">
        <f t="shared" si="473"/>
        <v>Y</v>
      </c>
      <c r="H1856" t="str">
        <f t="shared" si="482"/>
        <v>EA</v>
      </c>
      <c r="I1856">
        <v>0</v>
      </c>
      <c r="J1856">
        <v>0</v>
      </c>
      <c r="K1856" t="str">
        <f t="shared" si="474"/>
        <v>Y</v>
      </c>
      <c r="L1856">
        <v>0</v>
      </c>
      <c r="M1856" t="str">
        <f t="shared" si="485"/>
        <v>NIS</v>
      </c>
      <c r="O1856">
        <v>5</v>
      </c>
      <c r="P1856" t="str">
        <f t="shared" si="484"/>
        <v>Active</v>
      </c>
      <c r="Q1856" t="str">
        <f>"Assembly, JM, E022, Manual Starter Panel"</f>
        <v>Assembly, JM, E022, Manual Starter Panel</v>
      </c>
      <c r="S1856" t="str">
        <f>"Assembly, JM, E022, Manual Starter Panel"</f>
        <v>Assembly, JM, E022, Manual Starter Panel</v>
      </c>
      <c r="T1856">
        <v>528.26</v>
      </c>
      <c r="U1856">
        <v>525</v>
      </c>
      <c r="V1856">
        <v>853.52</v>
      </c>
      <c r="W1856" t="str">
        <f t="shared" si="483"/>
        <v>zintel</v>
      </c>
    </row>
    <row r="1857" spans="1:23">
      <c r="A1857" t="str">
        <f t="shared" si="488"/>
        <v>JM-CTRL-SYSM</v>
      </c>
      <c r="B1857" t="str">
        <f>"26-E030-0000"</f>
        <v>26-E030-0000</v>
      </c>
      <c r="C1857" t="str">
        <f>"Assembly, JM, E030, Overload Protection Panel"</f>
        <v>Assembly, JM, E030, Overload Protection Panel</v>
      </c>
      <c r="D1857">
        <v>2</v>
      </c>
      <c r="E1857" t="str">
        <f t="shared" si="489"/>
        <v>Electrical Control Systems Two Sided Bench</v>
      </c>
      <c r="F1857">
        <v>0</v>
      </c>
      <c r="G1857" t="str">
        <f t="shared" si="473"/>
        <v>Y</v>
      </c>
      <c r="H1857" t="str">
        <f t="shared" si="482"/>
        <v>EA</v>
      </c>
      <c r="I1857">
        <v>0</v>
      </c>
      <c r="J1857">
        <v>0</v>
      </c>
      <c r="K1857" t="str">
        <f t="shared" si="474"/>
        <v>Y</v>
      </c>
      <c r="L1857">
        <v>0</v>
      </c>
      <c r="M1857" t="str">
        <f t="shared" si="485"/>
        <v>NIS</v>
      </c>
      <c r="O1857">
        <v>6</v>
      </c>
      <c r="P1857" t="str">
        <f t="shared" si="484"/>
        <v>Active</v>
      </c>
      <c r="Q1857" t="str">
        <f>"Assembly, JM, E030, Overload Protection Panel"</f>
        <v>Assembly, JM, E030, Overload Protection Panel</v>
      </c>
      <c r="S1857" t="str">
        <f>"Assembly, JM, E030, Overload Protection Panel"</f>
        <v>Assembly, JM, E030, Overload Protection Panel</v>
      </c>
      <c r="T1857">
        <v>268.64</v>
      </c>
      <c r="U1857">
        <v>265</v>
      </c>
      <c r="V1857">
        <v>861.16</v>
      </c>
      <c r="W1857" t="str">
        <f t="shared" si="483"/>
        <v>zintel</v>
      </c>
    </row>
    <row r="1858" spans="1:23">
      <c r="A1858" t="str">
        <f t="shared" si="488"/>
        <v>JM-CTRL-SYSM</v>
      </c>
      <c r="B1858" t="str">
        <f>"36-EA02-IG01"</f>
        <v>36-EA02-IG01</v>
      </c>
      <c r="C1858" t="str">
        <f>"JM, PDF on CD Electric Circuit Protection - EA02"</f>
        <v>JM, PDF on CD Electric Circuit Protection - EA02</v>
      </c>
      <c r="D1858">
        <v>1</v>
      </c>
      <c r="E1858" t="str">
        <f t="shared" si="489"/>
        <v>Electrical Control Systems Two Sided Bench</v>
      </c>
      <c r="F1858">
        <v>0</v>
      </c>
      <c r="G1858" t="str">
        <f t="shared" ref="G1858:G1921" si="490">"Y"</f>
        <v>Y</v>
      </c>
      <c r="H1858" t="str">
        <f t="shared" si="482"/>
        <v>EA</v>
      </c>
      <c r="I1858">
        <v>0</v>
      </c>
      <c r="J1858">
        <v>0</v>
      </c>
      <c r="K1858" t="str">
        <f t="shared" ref="K1858:K1921" si="491">"Y"</f>
        <v>Y</v>
      </c>
      <c r="L1858">
        <v>0</v>
      </c>
      <c r="M1858" t="str">
        <f t="shared" si="485"/>
        <v>NIS</v>
      </c>
      <c r="N1858" t="str">
        <f>"Y"</f>
        <v>Y</v>
      </c>
      <c r="O1858">
        <v>7</v>
      </c>
      <c r="P1858" t="str">
        <f t="shared" si="484"/>
        <v>Active</v>
      </c>
      <c r="Q1858" t="str">
        <f>"JM, PDF on CD Electric Circuit Protection - EA02"</f>
        <v>JM, PDF on CD Electric Circuit Protection - EA02</v>
      </c>
      <c r="S1858" t="str">
        <f>"JM, PDF on CD Electric Circuit Protection - EA02"</f>
        <v>JM, PDF on CD Electric Circuit Protection - EA02</v>
      </c>
      <c r="T1858">
        <v>11.41</v>
      </c>
      <c r="U1858">
        <v>10.3</v>
      </c>
      <c r="V1858">
        <v>11.43</v>
      </c>
      <c r="W1858" t="str">
        <f t="shared" si="483"/>
        <v>zintel</v>
      </c>
    </row>
    <row r="1859" spans="1:23">
      <c r="A1859" t="str">
        <f t="shared" si="488"/>
        <v>JM-CTRL-SYSM</v>
      </c>
      <c r="B1859" t="str">
        <f>"77-EA03-0000"</f>
        <v>77-EA03-0000</v>
      </c>
      <c r="C1859" t="str">
        <f>"LM7 Content, JM, 3 Phase Transformers"</f>
        <v>LM7 Content, JM, 3 Phase Transformers</v>
      </c>
      <c r="D1859">
        <v>1</v>
      </c>
      <c r="E1859" t="str">
        <f t="shared" si="489"/>
        <v>Electrical Control Systems Two Sided Bench</v>
      </c>
      <c r="F1859">
        <v>0</v>
      </c>
      <c r="G1859" t="str">
        <f t="shared" si="490"/>
        <v>Y</v>
      </c>
      <c r="H1859" t="str">
        <f t="shared" si="482"/>
        <v>EA</v>
      </c>
      <c r="I1859">
        <v>0</v>
      </c>
      <c r="J1859">
        <v>0</v>
      </c>
      <c r="K1859" t="str">
        <f t="shared" si="491"/>
        <v>Y</v>
      </c>
      <c r="L1859">
        <v>0</v>
      </c>
      <c r="M1859" t="str">
        <f t="shared" si="485"/>
        <v>NIS</v>
      </c>
      <c r="O1859">
        <v>8</v>
      </c>
      <c r="P1859" t="str">
        <f t="shared" si="484"/>
        <v>Active</v>
      </c>
      <c r="Q1859" t="str">
        <f>"LM7 Content, JM, 3 Phase Transformers"</f>
        <v>LM7 Content, JM, 3 Phase Transformers</v>
      </c>
      <c r="S1859" t="str">
        <f>"LM7 Content, JM, 3 Phase Transformers"</f>
        <v>LM7 Content, JM, 3 Phase Transformers</v>
      </c>
      <c r="T1859">
        <v>0</v>
      </c>
      <c r="U1859">
        <v>5</v>
      </c>
      <c r="V1859">
        <v>5</v>
      </c>
      <c r="W1859" t="str">
        <f t="shared" si="483"/>
        <v>zintel</v>
      </c>
    </row>
    <row r="1860" spans="1:23">
      <c r="A1860" t="str">
        <f t="shared" si="488"/>
        <v>JM-CTRL-SYSM</v>
      </c>
      <c r="B1860" t="str">
        <f>"26-E003-0000"</f>
        <v>26-E003-0000</v>
      </c>
      <c r="C1860" t="str">
        <f>"Assembly, JM, E003, 3-Phase Transformer Panel"</f>
        <v>Assembly, JM, E003, 3-Phase Transformer Panel</v>
      </c>
      <c r="D1860">
        <v>2</v>
      </c>
      <c r="E1860" t="str">
        <f t="shared" si="489"/>
        <v>Electrical Control Systems Two Sided Bench</v>
      </c>
      <c r="F1860">
        <v>0</v>
      </c>
      <c r="G1860" t="str">
        <f t="shared" si="490"/>
        <v>Y</v>
      </c>
      <c r="H1860" t="str">
        <f t="shared" si="482"/>
        <v>EA</v>
      </c>
      <c r="I1860">
        <v>0</v>
      </c>
      <c r="J1860">
        <v>0</v>
      </c>
      <c r="K1860" t="str">
        <f t="shared" si="491"/>
        <v>Y</v>
      </c>
      <c r="L1860">
        <v>0</v>
      </c>
      <c r="M1860" t="str">
        <f t="shared" si="485"/>
        <v>NIS</v>
      </c>
      <c r="O1860">
        <v>9</v>
      </c>
      <c r="P1860" t="str">
        <f t="shared" si="484"/>
        <v>Active</v>
      </c>
      <c r="Q1860" t="str">
        <f>"Assembly, JM, E003, 3-Phase Transformer Panel"</f>
        <v>Assembly, JM, E003, 3-Phase Transformer Panel</v>
      </c>
      <c r="S1860" t="str">
        <f>"Assembly, JM, E003, 3-Phase Transformer Panel"</f>
        <v>Assembly, JM, E003, 3-Phase Transformer Panel</v>
      </c>
      <c r="T1860">
        <v>348.38</v>
      </c>
      <c r="U1860">
        <v>342</v>
      </c>
      <c r="V1860">
        <v>393.23</v>
      </c>
      <c r="W1860" t="str">
        <f t="shared" si="483"/>
        <v>zintel</v>
      </c>
    </row>
    <row r="1861" spans="1:23">
      <c r="A1861" t="str">
        <f t="shared" si="488"/>
        <v>JM-CTRL-SYSM</v>
      </c>
      <c r="B1861" t="str">
        <f>"36-EA03-IG01"</f>
        <v>36-EA03-IG01</v>
      </c>
      <c r="C1861" t="str">
        <f>"JM, PDF on CD 3 Phase Transformers- EA03"</f>
        <v>JM, PDF on CD 3 Phase Transformers- EA03</v>
      </c>
      <c r="D1861">
        <v>1</v>
      </c>
      <c r="E1861" t="str">
        <f t="shared" si="489"/>
        <v>Electrical Control Systems Two Sided Bench</v>
      </c>
      <c r="F1861">
        <v>0</v>
      </c>
      <c r="G1861" t="str">
        <f t="shared" si="490"/>
        <v>Y</v>
      </c>
      <c r="H1861" t="str">
        <f t="shared" si="482"/>
        <v>EA</v>
      </c>
      <c r="I1861">
        <v>0</v>
      </c>
      <c r="J1861">
        <v>0</v>
      </c>
      <c r="K1861" t="str">
        <f t="shared" si="491"/>
        <v>Y</v>
      </c>
      <c r="L1861">
        <v>0</v>
      </c>
      <c r="M1861" t="str">
        <f t="shared" si="485"/>
        <v>NIS</v>
      </c>
      <c r="N1861" t="str">
        <f>"Y"</f>
        <v>Y</v>
      </c>
      <c r="O1861">
        <v>10</v>
      </c>
      <c r="P1861" t="str">
        <f t="shared" si="484"/>
        <v>Active</v>
      </c>
      <c r="Q1861" t="str">
        <f>"JM, PDF on CD 3 Phase Transformers- EA03"</f>
        <v>JM, PDF on CD 3 Phase Transformers- EA03</v>
      </c>
      <c r="S1861" t="str">
        <f>"JM, PDF on CD 3 Phase Transformers- EA03"</f>
        <v>JM, PDF on CD 3 Phase Transformers- EA03</v>
      </c>
      <c r="T1861">
        <v>11.41</v>
      </c>
      <c r="U1861">
        <v>10.3</v>
      </c>
      <c r="V1861">
        <v>11.43</v>
      </c>
      <c r="W1861" t="str">
        <f t="shared" si="483"/>
        <v>zintel</v>
      </c>
    </row>
    <row r="1862" spans="1:23">
      <c r="A1862" t="str">
        <f t="shared" si="488"/>
        <v>JM-CTRL-SYSM</v>
      </c>
      <c r="B1862" t="str">
        <f>"77-EA04-0000"</f>
        <v>77-EA04-0000</v>
      </c>
      <c r="C1862" t="str">
        <f>"LM7 Content, JM, Electric Motors"</f>
        <v>LM7 Content, JM, Electric Motors</v>
      </c>
      <c r="D1862">
        <v>1</v>
      </c>
      <c r="E1862" t="str">
        <f t="shared" si="489"/>
        <v>Electrical Control Systems Two Sided Bench</v>
      </c>
      <c r="F1862">
        <v>0</v>
      </c>
      <c r="G1862" t="str">
        <f t="shared" si="490"/>
        <v>Y</v>
      </c>
      <c r="H1862" t="str">
        <f t="shared" si="482"/>
        <v>EA</v>
      </c>
      <c r="I1862">
        <v>0</v>
      </c>
      <c r="J1862">
        <v>0</v>
      </c>
      <c r="K1862" t="str">
        <f t="shared" si="491"/>
        <v>Y</v>
      </c>
      <c r="L1862">
        <v>0</v>
      </c>
      <c r="M1862" t="str">
        <f t="shared" si="485"/>
        <v>NIS</v>
      </c>
      <c r="O1862">
        <v>11</v>
      </c>
      <c r="P1862" t="str">
        <f t="shared" si="484"/>
        <v>Active</v>
      </c>
      <c r="Q1862" t="str">
        <f>"LM7 Content, JM, Electric Motors"</f>
        <v>LM7 Content, JM, Electric Motors</v>
      </c>
      <c r="S1862" t="str">
        <f>"LM7 Content, JM, Electric Motors"</f>
        <v>LM7 Content, JM, Electric Motors</v>
      </c>
      <c r="T1862">
        <v>0</v>
      </c>
      <c r="U1862">
        <v>5</v>
      </c>
      <c r="V1862">
        <v>5</v>
      </c>
      <c r="W1862" t="str">
        <f t="shared" si="483"/>
        <v>zintel</v>
      </c>
    </row>
    <row r="1863" spans="1:23">
      <c r="A1863" t="str">
        <f t="shared" si="488"/>
        <v>JM-CTRL-SYSM</v>
      </c>
      <c r="B1863" t="str">
        <f>"26-E007-0000"</f>
        <v>26-E007-0000</v>
      </c>
      <c r="C1863" t="str">
        <f>"Assembly, JM, E007 - SCR Speed Control Panel"</f>
        <v>Assembly, JM, E007 - SCR Speed Control Panel</v>
      </c>
      <c r="D1863">
        <v>4</v>
      </c>
      <c r="E1863" t="str">
        <f t="shared" si="489"/>
        <v>Electrical Control Systems Two Sided Bench</v>
      </c>
      <c r="F1863">
        <v>0</v>
      </c>
      <c r="G1863" t="str">
        <f t="shared" si="490"/>
        <v>Y</v>
      </c>
      <c r="H1863" t="str">
        <f t="shared" si="482"/>
        <v>EA</v>
      </c>
      <c r="I1863">
        <v>0</v>
      </c>
      <c r="J1863">
        <v>0</v>
      </c>
      <c r="K1863" t="str">
        <f t="shared" si="491"/>
        <v>Y</v>
      </c>
      <c r="L1863">
        <v>0</v>
      </c>
      <c r="M1863" t="str">
        <f t="shared" si="485"/>
        <v>NIS</v>
      </c>
      <c r="O1863">
        <v>12</v>
      </c>
      <c r="P1863" t="str">
        <f t="shared" si="484"/>
        <v>Active</v>
      </c>
      <c r="Q1863" t="str">
        <f>"Assembly, JM, E007 - SCR Speed Control Panel"</f>
        <v>Assembly, JM, E007 - SCR Speed Control Panel</v>
      </c>
      <c r="S1863" t="str">
        <f>"Assembly, JM, E007 - SCR Speed Control Panel"</f>
        <v>Assembly, JM, E007 - SCR Speed Control Panel</v>
      </c>
      <c r="T1863">
        <v>163.16999999999999</v>
      </c>
      <c r="U1863">
        <v>163</v>
      </c>
      <c r="V1863">
        <v>315.76</v>
      </c>
      <c r="W1863" t="str">
        <f t="shared" si="483"/>
        <v>zintel</v>
      </c>
    </row>
    <row r="1864" spans="1:23">
      <c r="A1864" t="str">
        <f t="shared" si="488"/>
        <v>JM-CTRL-SYSM</v>
      </c>
      <c r="B1864" t="str">
        <f>"26-E010-0000"</f>
        <v>26-E010-0000</v>
      </c>
      <c r="C1864" t="str">
        <f>"Assembly, JM, E010 - Three Phase Motor Panel"</f>
        <v>Assembly, JM, E010 - Three Phase Motor Panel</v>
      </c>
      <c r="D1864">
        <v>4</v>
      </c>
      <c r="E1864" t="str">
        <f t="shared" si="489"/>
        <v>Electrical Control Systems Two Sided Bench</v>
      </c>
      <c r="F1864">
        <v>0</v>
      </c>
      <c r="G1864" t="str">
        <f t="shared" si="490"/>
        <v>Y</v>
      </c>
      <c r="H1864" t="str">
        <f t="shared" si="482"/>
        <v>EA</v>
      </c>
      <c r="I1864">
        <v>0</v>
      </c>
      <c r="J1864">
        <v>0</v>
      </c>
      <c r="K1864" t="str">
        <f t="shared" si="491"/>
        <v>Y</v>
      </c>
      <c r="L1864">
        <v>0</v>
      </c>
      <c r="M1864" t="str">
        <f t="shared" si="485"/>
        <v>NIS</v>
      </c>
      <c r="O1864">
        <v>13</v>
      </c>
      <c r="P1864" t="str">
        <f t="shared" si="484"/>
        <v>Active</v>
      </c>
      <c r="Q1864" t="str">
        <f>"Assembly, JM, E010 - Three Phase Motor Panel"</f>
        <v>Assembly, JM, E010 - Three Phase Motor Panel</v>
      </c>
      <c r="S1864" t="str">
        <f>"Assembly, JM, E010 - Three Phase Motor Panel"</f>
        <v>Assembly, JM, E010 - Three Phase Motor Panel</v>
      </c>
      <c r="T1864">
        <v>361.68</v>
      </c>
      <c r="U1864">
        <v>360</v>
      </c>
      <c r="V1864">
        <v>515.65</v>
      </c>
      <c r="W1864" t="str">
        <f t="shared" si="483"/>
        <v>zintel</v>
      </c>
    </row>
    <row r="1865" spans="1:23">
      <c r="A1865" t="str">
        <f t="shared" si="488"/>
        <v>JM-CTRL-SYSM</v>
      </c>
      <c r="B1865" t="str">
        <f>"26-E012-0000"</f>
        <v>26-E012-0000</v>
      </c>
      <c r="C1865" t="str">
        <f>"Assembly, JM, E012, Transformer Panel"</f>
        <v>Assembly, JM, E012, Transformer Panel</v>
      </c>
      <c r="D1865">
        <v>4</v>
      </c>
      <c r="E1865" t="str">
        <f t="shared" si="489"/>
        <v>Electrical Control Systems Two Sided Bench</v>
      </c>
      <c r="F1865">
        <v>0</v>
      </c>
      <c r="G1865" t="str">
        <f t="shared" si="490"/>
        <v>Y</v>
      </c>
      <c r="H1865" t="str">
        <f t="shared" si="482"/>
        <v>EA</v>
      </c>
      <c r="I1865">
        <v>0</v>
      </c>
      <c r="J1865">
        <v>0</v>
      </c>
      <c r="K1865" t="str">
        <f t="shared" si="491"/>
        <v>Y</v>
      </c>
      <c r="L1865">
        <v>0</v>
      </c>
      <c r="M1865" t="str">
        <f t="shared" si="485"/>
        <v>NIS</v>
      </c>
      <c r="O1865">
        <v>14</v>
      </c>
      <c r="P1865" t="str">
        <f t="shared" si="484"/>
        <v>Active</v>
      </c>
      <c r="Q1865" t="str">
        <f>"Assembly, JM, E012, Transformer Panel"</f>
        <v>Assembly, JM, E012, Transformer Panel</v>
      </c>
      <c r="S1865" t="str">
        <f>"Assembly, JM, E012, Transformer Panel"</f>
        <v>Assembly, JM, E012, Transformer Panel</v>
      </c>
      <c r="T1865">
        <v>158.58000000000001</v>
      </c>
      <c r="U1865">
        <v>157</v>
      </c>
      <c r="V1865">
        <v>297.81</v>
      </c>
      <c r="W1865" t="str">
        <f t="shared" si="483"/>
        <v>zintel</v>
      </c>
    </row>
    <row r="1866" spans="1:23">
      <c r="A1866" t="str">
        <f t="shared" si="488"/>
        <v>JM-CTRL-SYSM</v>
      </c>
      <c r="B1866" t="str">
        <f>"26-E019-0000"</f>
        <v>26-E019-0000</v>
      </c>
      <c r="C1866" t="str">
        <f>"Assembly, JM, E019, Capacitor Start Motor Panel"</f>
        <v>Assembly, JM, E019, Capacitor Start Motor Panel</v>
      </c>
      <c r="D1866">
        <v>2</v>
      </c>
      <c r="E1866" t="str">
        <f t="shared" si="489"/>
        <v>Electrical Control Systems Two Sided Bench</v>
      </c>
      <c r="F1866">
        <v>0</v>
      </c>
      <c r="G1866" t="str">
        <f t="shared" si="490"/>
        <v>Y</v>
      </c>
      <c r="H1866" t="str">
        <f t="shared" si="482"/>
        <v>EA</v>
      </c>
      <c r="I1866">
        <v>0</v>
      </c>
      <c r="J1866">
        <v>0</v>
      </c>
      <c r="K1866" t="str">
        <f t="shared" si="491"/>
        <v>Y</v>
      </c>
      <c r="L1866">
        <v>0</v>
      </c>
      <c r="M1866" t="str">
        <f t="shared" si="485"/>
        <v>NIS</v>
      </c>
      <c r="O1866">
        <v>15</v>
      </c>
      <c r="P1866" t="str">
        <f t="shared" si="484"/>
        <v>Active</v>
      </c>
      <c r="Q1866" t="str">
        <f>"Assembly, JM, E019, Capacitor Start Motor Panel"</f>
        <v>Assembly, JM, E019, Capacitor Start Motor Panel</v>
      </c>
      <c r="S1866" t="str">
        <f>"Assembly, JM, E019, Capacitor Start Motor Panel"</f>
        <v>Assembly, JM, E019, Capacitor Start Motor Panel</v>
      </c>
      <c r="T1866">
        <v>243.97</v>
      </c>
      <c r="U1866">
        <v>243</v>
      </c>
      <c r="V1866">
        <v>450.17</v>
      </c>
      <c r="W1866" t="str">
        <f t="shared" si="483"/>
        <v>zintel</v>
      </c>
    </row>
    <row r="1867" spans="1:23">
      <c r="A1867" t="str">
        <f t="shared" si="488"/>
        <v>JM-CTRL-SYSM</v>
      </c>
      <c r="B1867" t="str">
        <f>"26-E027-0000"</f>
        <v>26-E027-0000</v>
      </c>
      <c r="C1867" t="str">
        <f>"Assembly, JM, E027, Shaded Pole Motor Panel"</f>
        <v>Assembly, JM, E027, Shaded Pole Motor Panel</v>
      </c>
      <c r="D1867">
        <v>2</v>
      </c>
      <c r="E1867" t="str">
        <f t="shared" si="489"/>
        <v>Electrical Control Systems Two Sided Bench</v>
      </c>
      <c r="F1867">
        <v>0</v>
      </c>
      <c r="G1867" t="str">
        <f t="shared" si="490"/>
        <v>Y</v>
      </c>
      <c r="H1867" t="str">
        <f t="shared" si="482"/>
        <v>EA</v>
      </c>
      <c r="I1867">
        <v>0</v>
      </c>
      <c r="J1867">
        <v>0</v>
      </c>
      <c r="K1867" t="str">
        <f t="shared" si="491"/>
        <v>Y</v>
      </c>
      <c r="L1867">
        <v>0</v>
      </c>
      <c r="M1867" t="str">
        <f t="shared" si="485"/>
        <v>NIS</v>
      </c>
      <c r="O1867">
        <v>16</v>
      </c>
      <c r="P1867" t="str">
        <f t="shared" si="484"/>
        <v>Active</v>
      </c>
      <c r="Q1867" t="str">
        <f>"Assembly, JM, E027, Shaded Pole Motor Panel"</f>
        <v>Assembly, JM, E027, Shaded Pole Motor Panel</v>
      </c>
      <c r="S1867" t="str">
        <f>"Assembly, JM, E027, Shaded Pole Motor Panel"</f>
        <v>Assembly, JM, E027, Shaded Pole Motor Panel</v>
      </c>
      <c r="T1867">
        <v>160.1</v>
      </c>
      <c r="U1867">
        <v>160</v>
      </c>
      <c r="V1867">
        <v>435.69</v>
      </c>
      <c r="W1867" t="str">
        <f t="shared" si="483"/>
        <v>zintel</v>
      </c>
    </row>
    <row r="1868" spans="1:23">
      <c r="A1868" t="str">
        <f t="shared" si="488"/>
        <v>JM-CTRL-SYSM</v>
      </c>
      <c r="B1868" t="str">
        <f>"26-E034-0000"</f>
        <v>26-E034-0000</v>
      </c>
      <c r="C1868" t="str">
        <f>"Assembly, JM, E034, DC Motor Panel"</f>
        <v>Assembly, JM, E034, DC Motor Panel</v>
      </c>
      <c r="D1868">
        <v>4</v>
      </c>
      <c r="E1868" t="str">
        <f t="shared" si="489"/>
        <v>Electrical Control Systems Two Sided Bench</v>
      </c>
      <c r="F1868">
        <v>0</v>
      </c>
      <c r="G1868" t="str">
        <f t="shared" si="490"/>
        <v>Y</v>
      </c>
      <c r="H1868" t="str">
        <f t="shared" si="482"/>
        <v>EA</v>
      </c>
      <c r="I1868">
        <v>0</v>
      </c>
      <c r="J1868">
        <v>0</v>
      </c>
      <c r="K1868" t="str">
        <f t="shared" si="491"/>
        <v>Y</v>
      </c>
      <c r="L1868">
        <v>0</v>
      </c>
      <c r="M1868" t="str">
        <f t="shared" si="485"/>
        <v>NIS</v>
      </c>
      <c r="O1868">
        <v>17</v>
      </c>
      <c r="P1868" t="str">
        <f t="shared" si="484"/>
        <v>Active</v>
      </c>
      <c r="Q1868" t="str">
        <f>"Assembly, JM, E034, DC Motor Panel"</f>
        <v>Assembly, JM, E034, DC Motor Panel</v>
      </c>
      <c r="S1868" t="str">
        <f>"Assembly, JM, E034, DC Motor Panel"</f>
        <v>Assembly, JM, E034, DC Motor Panel</v>
      </c>
      <c r="T1868">
        <v>304.44</v>
      </c>
      <c r="U1868">
        <v>305</v>
      </c>
      <c r="V1868">
        <v>504.64</v>
      </c>
      <c r="W1868" t="str">
        <f t="shared" si="483"/>
        <v>zintel</v>
      </c>
    </row>
    <row r="1869" spans="1:23">
      <c r="A1869" t="str">
        <f t="shared" si="488"/>
        <v>JM-CTRL-SYSM</v>
      </c>
      <c r="B1869" t="str">
        <f>"26-E065-0000"</f>
        <v>26-E065-0000</v>
      </c>
      <c r="C1869" t="str">
        <f>"Assembly, JM, E065, Split Phase Motor Panel"</f>
        <v>Assembly, JM, E065, Split Phase Motor Panel</v>
      </c>
      <c r="D1869">
        <v>2</v>
      </c>
      <c r="E1869" t="str">
        <f t="shared" si="489"/>
        <v>Electrical Control Systems Two Sided Bench</v>
      </c>
      <c r="F1869">
        <v>0</v>
      </c>
      <c r="G1869" t="str">
        <f t="shared" si="490"/>
        <v>Y</v>
      </c>
      <c r="H1869" t="str">
        <f t="shared" si="482"/>
        <v>EA</v>
      </c>
      <c r="I1869">
        <v>0</v>
      </c>
      <c r="J1869">
        <v>0</v>
      </c>
      <c r="K1869" t="str">
        <f t="shared" si="491"/>
        <v>Y</v>
      </c>
      <c r="L1869">
        <v>0</v>
      </c>
      <c r="M1869" t="str">
        <f t="shared" si="485"/>
        <v>NIS</v>
      </c>
      <c r="O1869">
        <v>18</v>
      </c>
      <c r="P1869" t="str">
        <f t="shared" si="484"/>
        <v>Active</v>
      </c>
      <c r="Q1869" t="str">
        <f>"Assembly, JM, E065, Split Phase Motor Panel"</f>
        <v>Assembly, JM, E065, Split Phase Motor Panel</v>
      </c>
      <c r="S1869" t="str">
        <f>"Assembly, JM, E065, Split Phase Motor Panel"</f>
        <v>Assembly, JM, E065, Split Phase Motor Panel</v>
      </c>
      <c r="T1869">
        <v>178.33</v>
      </c>
      <c r="U1869">
        <v>178</v>
      </c>
      <c r="V1869">
        <v>398.61</v>
      </c>
      <c r="W1869" t="str">
        <f t="shared" si="483"/>
        <v>zintel</v>
      </c>
    </row>
    <row r="1870" spans="1:23">
      <c r="A1870" t="str">
        <f t="shared" si="488"/>
        <v>JM-CTRL-SYSM</v>
      </c>
      <c r="B1870" t="str">
        <f>"26-E066-0000"</f>
        <v>26-E066-0000</v>
      </c>
      <c r="C1870" t="str">
        <f>"Assembly, JM, E066, Adjustable Torque Motor Load"</f>
        <v>Assembly, JM, E066, Adjustable Torque Motor Load</v>
      </c>
      <c r="D1870">
        <v>2</v>
      </c>
      <c r="E1870" t="str">
        <f t="shared" si="489"/>
        <v>Electrical Control Systems Two Sided Bench</v>
      </c>
      <c r="F1870">
        <v>0</v>
      </c>
      <c r="G1870" t="str">
        <f t="shared" si="490"/>
        <v>Y</v>
      </c>
      <c r="H1870" t="str">
        <f t="shared" si="482"/>
        <v>EA</v>
      </c>
      <c r="I1870">
        <v>0</v>
      </c>
      <c r="J1870">
        <v>0</v>
      </c>
      <c r="K1870" t="str">
        <f t="shared" si="491"/>
        <v>Y</v>
      </c>
      <c r="L1870">
        <v>0</v>
      </c>
      <c r="M1870" t="str">
        <f t="shared" si="485"/>
        <v>NIS</v>
      </c>
      <c r="O1870">
        <v>19</v>
      </c>
      <c r="P1870" t="str">
        <f t="shared" ref="P1870:P1889" si="492">"Active"</f>
        <v>Active</v>
      </c>
      <c r="Q1870" t="str">
        <f>"Assembly, JM, E066, Adjustable Torque Motor Load"</f>
        <v>Assembly, JM, E066, Adjustable Torque Motor Load</v>
      </c>
      <c r="S1870" t="str">
        <f>"Assembly, JM, E066, Adjustable Torque Motor Load"</f>
        <v>Assembly, JM, E066, Adjustable Torque Motor Load</v>
      </c>
      <c r="T1870" s="44">
        <v>1055</v>
      </c>
      <c r="U1870" s="44">
        <v>1054</v>
      </c>
      <c r="V1870" s="44">
        <v>1760.72</v>
      </c>
      <c r="W1870" t="str">
        <f t="shared" si="483"/>
        <v>zintel</v>
      </c>
    </row>
    <row r="1871" spans="1:23">
      <c r="A1871" t="str">
        <f t="shared" si="488"/>
        <v>JM-CTRL-SYSM</v>
      </c>
      <c r="B1871" t="str">
        <f>"26-E154-0000"</f>
        <v>26-E154-0000</v>
      </c>
      <c r="C1871" t="str">
        <f>"Assembly, JM, E154, Switches and Lamps Panel"</f>
        <v>Assembly, JM, E154, Switches and Lamps Panel</v>
      </c>
      <c r="D1871">
        <v>2</v>
      </c>
      <c r="E1871" t="str">
        <f t="shared" si="489"/>
        <v>Electrical Control Systems Two Sided Bench</v>
      </c>
      <c r="F1871">
        <v>0</v>
      </c>
      <c r="G1871" t="str">
        <f t="shared" si="490"/>
        <v>Y</v>
      </c>
      <c r="H1871" t="str">
        <f t="shared" si="482"/>
        <v>EA</v>
      </c>
      <c r="I1871">
        <v>0</v>
      </c>
      <c r="J1871">
        <v>0</v>
      </c>
      <c r="K1871" t="str">
        <f t="shared" si="491"/>
        <v>Y</v>
      </c>
      <c r="L1871">
        <v>0</v>
      </c>
      <c r="M1871" t="str">
        <f t="shared" si="485"/>
        <v>NIS</v>
      </c>
      <c r="N1871" t="str">
        <f>"Y"</f>
        <v>Y</v>
      </c>
      <c r="O1871">
        <v>20</v>
      </c>
      <c r="P1871" t="str">
        <f t="shared" si="492"/>
        <v>Active</v>
      </c>
      <c r="Q1871" t="str">
        <f>"Assembly, JM, E154, Switches and Lamps Panel"</f>
        <v>Assembly, JM, E154, Switches and Lamps Panel</v>
      </c>
      <c r="S1871" t="str">
        <f>"Assembly, JM, E154, Switches and Lamps Panel"</f>
        <v>Assembly, JM, E154, Switches and Lamps Panel</v>
      </c>
      <c r="T1871">
        <v>155.78</v>
      </c>
      <c r="U1871">
        <v>153</v>
      </c>
      <c r="V1871">
        <v>324.68</v>
      </c>
      <c r="W1871" t="str">
        <f t="shared" si="483"/>
        <v>zintel</v>
      </c>
    </row>
    <row r="1872" spans="1:23">
      <c r="A1872" t="str">
        <f t="shared" si="488"/>
        <v>JM-CTRL-SYSM</v>
      </c>
      <c r="B1872" t="str">
        <f>"26-E156-0000"</f>
        <v>26-E156-0000</v>
      </c>
      <c r="C1872" t="str">
        <f>"Assembly, JM, E156, Dissectible Electric Motor"</f>
        <v>Assembly, JM, E156, Dissectible Electric Motor</v>
      </c>
      <c r="D1872">
        <v>2</v>
      </c>
      <c r="E1872" t="str">
        <f t="shared" si="489"/>
        <v>Electrical Control Systems Two Sided Bench</v>
      </c>
      <c r="F1872">
        <v>0</v>
      </c>
      <c r="G1872" t="str">
        <f t="shared" si="490"/>
        <v>Y</v>
      </c>
      <c r="H1872" t="str">
        <f t="shared" si="482"/>
        <v>EA</v>
      </c>
      <c r="I1872">
        <v>0</v>
      </c>
      <c r="J1872">
        <v>0</v>
      </c>
      <c r="K1872" t="str">
        <f t="shared" si="491"/>
        <v>Y</v>
      </c>
      <c r="L1872">
        <v>0</v>
      </c>
      <c r="M1872" t="str">
        <f t="shared" si="485"/>
        <v>NIS</v>
      </c>
      <c r="O1872">
        <v>21</v>
      </c>
      <c r="P1872" t="str">
        <f t="shared" si="492"/>
        <v>Active</v>
      </c>
      <c r="Q1872" t="str">
        <f>"Assembly, JM, E156, Dissectible Electric Motor"</f>
        <v>Assembly, JM, E156, Dissectible Electric Motor</v>
      </c>
      <c r="S1872" t="str">
        <f>"Assembly, JM, E156, Dissectible Electric Motor"</f>
        <v>Assembly, JM, E156, Dissectible Electric Motor</v>
      </c>
      <c r="T1872">
        <v>229.82</v>
      </c>
      <c r="U1872">
        <v>230</v>
      </c>
      <c r="V1872">
        <v>408.97</v>
      </c>
      <c r="W1872" t="str">
        <f t="shared" si="483"/>
        <v>zintel</v>
      </c>
    </row>
    <row r="1873" spans="1:23">
      <c r="A1873" t="str">
        <f t="shared" si="488"/>
        <v>JM-CTRL-SYSM</v>
      </c>
      <c r="B1873" t="str">
        <f>"36-EA04-IG01"</f>
        <v>36-EA04-IG01</v>
      </c>
      <c r="C1873" t="str">
        <f>"JM, PDF on CD Electric Motors - EA04"</f>
        <v>JM, PDF on CD Electric Motors - EA04</v>
      </c>
      <c r="D1873">
        <v>1</v>
      </c>
      <c r="E1873" t="str">
        <f t="shared" si="489"/>
        <v>Electrical Control Systems Two Sided Bench</v>
      </c>
      <c r="F1873">
        <v>0</v>
      </c>
      <c r="G1873" t="str">
        <f t="shared" si="490"/>
        <v>Y</v>
      </c>
      <c r="H1873" t="str">
        <f t="shared" si="482"/>
        <v>EA</v>
      </c>
      <c r="I1873">
        <v>0</v>
      </c>
      <c r="J1873">
        <v>0</v>
      </c>
      <c r="K1873" t="str">
        <f t="shared" si="491"/>
        <v>Y</v>
      </c>
      <c r="L1873">
        <v>0</v>
      </c>
      <c r="M1873" t="str">
        <f t="shared" si="485"/>
        <v>NIS</v>
      </c>
      <c r="N1873" t="str">
        <f>"Y"</f>
        <v>Y</v>
      </c>
      <c r="O1873">
        <v>22</v>
      </c>
      <c r="P1873" t="str">
        <f t="shared" si="492"/>
        <v>Active</v>
      </c>
      <c r="Q1873" t="str">
        <f>"JM, PDF on CD Electric Motors - EA04"</f>
        <v>JM, PDF on CD Electric Motors - EA04</v>
      </c>
      <c r="S1873" t="str">
        <f>"JM, PDF on CD Electric Motors - EA04"</f>
        <v>JM, PDF on CD Electric Motors - EA04</v>
      </c>
      <c r="T1873">
        <v>11.41</v>
      </c>
      <c r="U1873">
        <v>10.3</v>
      </c>
      <c r="V1873">
        <v>11.43</v>
      </c>
      <c r="W1873" t="str">
        <f t="shared" si="483"/>
        <v>zintel</v>
      </c>
    </row>
    <row r="1874" spans="1:23">
      <c r="A1874" t="str">
        <f t="shared" si="488"/>
        <v>JM-CTRL-SYSM</v>
      </c>
      <c r="B1874" t="str">
        <f>"77-EA07-0000"</f>
        <v>77-EA07-0000</v>
      </c>
      <c r="C1874" t="str">
        <f>"LM7 Content, JM, Electromagnetic Starters"</f>
        <v>LM7 Content, JM, Electromagnetic Starters</v>
      </c>
      <c r="D1874">
        <v>1</v>
      </c>
      <c r="E1874" t="str">
        <f t="shared" si="489"/>
        <v>Electrical Control Systems Two Sided Bench</v>
      </c>
      <c r="F1874">
        <v>0</v>
      </c>
      <c r="G1874" t="str">
        <f t="shared" si="490"/>
        <v>Y</v>
      </c>
      <c r="H1874" t="str">
        <f t="shared" si="482"/>
        <v>EA</v>
      </c>
      <c r="I1874">
        <v>0</v>
      </c>
      <c r="J1874">
        <v>0</v>
      </c>
      <c r="K1874" t="str">
        <f t="shared" si="491"/>
        <v>Y</v>
      </c>
      <c r="L1874">
        <v>0</v>
      </c>
      <c r="M1874" t="str">
        <f t="shared" si="485"/>
        <v>NIS</v>
      </c>
      <c r="O1874">
        <v>23</v>
      </c>
      <c r="P1874" t="str">
        <f t="shared" si="492"/>
        <v>Active</v>
      </c>
      <c r="Q1874" t="str">
        <f>"LM7 Content, JM, Electromagnetic Starters"</f>
        <v>LM7 Content, JM, Electromagnetic Starters</v>
      </c>
      <c r="S1874" t="str">
        <f>"LM7 Content, JM, Electromagnetic Starters"</f>
        <v>LM7 Content, JM, Electromagnetic Starters</v>
      </c>
      <c r="T1874">
        <v>0</v>
      </c>
      <c r="U1874">
        <v>5</v>
      </c>
      <c r="V1874">
        <v>5</v>
      </c>
      <c r="W1874" t="str">
        <f t="shared" si="483"/>
        <v>zintel</v>
      </c>
    </row>
    <row r="1875" spans="1:23">
      <c r="A1875" t="str">
        <f t="shared" si="488"/>
        <v>JM-CTRL-SYSM</v>
      </c>
      <c r="B1875" t="str">
        <f>"26-E002-0000"</f>
        <v>26-E002-0000</v>
      </c>
      <c r="C1875" t="str">
        <f>"Assembly, JM, E002, Start-Stop Control Panel"</f>
        <v>Assembly, JM, E002, Start-Stop Control Panel</v>
      </c>
      <c r="D1875">
        <v>2</v>
      </c>
      <c r="E1875" t="str">
        <f t="shared" si="489"/>
        <v>Electrical Control Systems Two Sided Bench</v>
      </c>
      <c r="F1875">
        <v>0</v>
      </c>
      <c r="G1875" t="str">
        <f t="shared" si="490"/>
        <v>Y</v>
      </c>
      <c r="H1875" t="str">
        <f t="shared" si="482"/>
        <v>EA</v>
      </c>
      <c r="I1875">
        <v>0</v>
      </c>
      <c r="J1875">
        <v>0</v>
      </c>
      <c r="K1875" t="str">
        <f t="shared" si="491"/>
        <v>Y</v>
      </c>
      <c r="L1875">
        <v>0</v>
      </c>
      <c r="M1875" t="str">
        <f t="shared" si="485"/>
        <v>NIS</v>
      </c>
      <c r="O1875">
        <v>24</v>
      </c>
      <c r="P1875" t="str">
        <f t="shared" si="492"/>
        <v>Active</v>
      </c>
      <c r="Q1875" t="str">
        <f>"Assembly, JM, E002, Start-Stop Control Panel"</f>
        <v>Assembly, JM, E002, Start-Stop Control Panel</v>
      </c>
      <c r="S1875" t="str">
        <f>"Assembly, JM, E002, Start-Stop Control Panel"</f>
        <v>Assembly, JM, E002, Start-Stop Control Panel</v>
      </c>
      <c r="T1875">
        <v>103.53</v>
      </c>
      <c r="U1875">
        <v>103</v>
      </c>
      <c r="V1875">
        <v>196.68</v>
      </c>
      <c r="W1875" t="str">
        <f t="shared" si="483"/>
        <v>zintel</v>
      </c>
    </row>
    <row r="1876" spans="1:23">
      <c r="A1876" t="str">
        <f t="shared" si="488"/>
        <v>JM-CTRL-SYSM</v>
      </c>
      <c r="B1876" t="str">
        <f>"26-E004-0000"</f>
        <v>26-E004-0000</v>
      </c>
      <c r="C1876" t="str">
        <f>"Assembly, JM , E004, Single Magnetic Start.Panel"</f>
        <v>Assembly, JM , E004, Single Magnetic Start.Panel</v>
      </c>
      <c r="D1876">
        <v>2</v>
      </c>
      <c r="E1876" t="str">
        <f t="shared" si="489"/>
        <v>Electrical Control Systems Two Sided Bench</v>
      </c>
      <c r="F1876">
        <v>0</v>
      </c>
      <c r="G1876" t="str">
        <f t="shared" si="490"/>
        <v>Y</v>
      </c>
      <c r="H1876" t="str">
        <f t="shared" si="482"/>
        <v>EA</v>
      </c>
      <c r="I1876">
        <v>0</v>
      </c>
      <c r="J1876">
        <v>0</v>
      </c>
      <c r="K1876" t="str">
        <f t="shared" si="491"/>
        <v>Y</v>
      </c>
      <c r="L1876">
        <v>0</v>
      </c>
      <c r="M1876" t="str">
        <f t="shared" si="485"/>
        <v>NIS</v>
      </c>
      <c r="O1876">
        <v>25</v>
      </c>
      <c r="P1876" t="str">
        <f t="shared" si="492"/>
        <v>Active</v>
      </c>
      <c r="Q1876" t="str">
        <f>"Assembly, JM , E004, Single Magnetic Start.Panel"</f>
        <v>Assembly, JM , E004, Single Magnetic Start.Panel</v>
      </c>
      <c r="S1876" t="str">
        <f>"Assembly, JM , E004, Single Magnetic Start.Panel"</f>
        <v>Assembly, JM , E004, Single Magnetic Start.Panel</v>
      </c>
      <c r="T1876">
        <v>168.68</v>
      </c>
      <c r="U1876">
        <v>168</v>
      </c>
      <c r="V1876">
        <v>280.98</v>
      </c>
      <c r="W1876" t="str">
        <f t="shared" si="483"/>
        <v>zintel</v>
      </c>
    </row>
    <row r="1877" spans="1:23">
      <c r="A1877" t="str">
        <f t="shared" si="488"/>
        <v>JM-CTRL-SYSM</v>
      </c>
      <c r="B1877" t="str">
        <f>"26-E005-0000"</f>
        <v>26-E005-0000</v>
      </c>
      <c r="C1877" t="str">
        <f>"Assembly, JM, E005 - F-R-S Switch Panel"</f>
        <v>Assembly, JM, E005 - F-R-S Switch Panel</v>
      </c>
      <c r="D1877">
        <v>2</v>
      </c>
      <c r="E1877" t="str">
        <f t="shared" si="489"/>
        <v>Electrical Control Systems Two Sided Bench</v>
      </c>
      <c r="F1877">
        <v>0</v>
      </c>
      <c r="G1877" t="str">
        <f t="shared" si="490"/>
        <v>Y</v>
      </c>
      <c r="H1877" t="str">
        <f t="shared" si="482"/>
        <v>EA</v>
      </c>
      <c r="I1877">
        <v>0</v>
      </c>
      <c r="J1877">
        <v>0</v>
      </c>
      <c r="K1877" t="str">
        <f t="shared" si="491"/>
        <v>Y</v>
      </c>
      <c r="L1877">
        <v>0</v>
      </c>
      <c r="M1877" t="str">
        <f t="shared" si="485"/>
        <v>NIS</v>
      </c>
      <c r="O1877">
        <v>26</v>
      </c>
      <c r="P1877" t="str">
        <f t="shared" si="492"/>
        <v>Active</v>
      </c>
      <c r="Q1877" t="str">
        <f>"Assembly, JM, E005 - F-R-S Switch Panel"</f>
        <v>Assembly, JM, E005 - F-R-S Switch Panel</v>
      </c>
      <c r="S1877" t="str">
        <f>"Assembly, JM, E005 - F-R-S Switch Panel"</f>
        <v>Assembly, JM, E005 - F-R-S Switch Panel</v>
      </c>
      <c r="T1877">
        <v>226.53</v>
      </c>
      <c r="U1877">
        <v>225</v>
      </c>
      <c r="V1877">
        <v>343.41</v>
      </c>
      <c r="W1877" t="str">
        <f t="shared" si="483"/>
        <v>zintel</v>
      </c>
    </row>
    <row r="1878" spans="1:23">
      <c r="A1878" t="str">
        <f t="shared" si="488"/>
        <v>JM-CTRL-SYSM</v>
      </c>
      <c r="B1878" t="str">
        <f>"26-E006-0000"</f>
        <v>26-E006-0000</v>
      </c>
      <c r="C1878" t="str">
        <f>"Assembly, JM, E006, Reversing Magnetic Starter"</f>
        <v>Assembly, JM, E006, Reversing Magnetic Starter</v>
      </c>
      <c r="D1878">
        <v>2</v>
      </c>
      <c r="E1878" t="str">
        <f t="shared" si="489"/>
        <v>Electrical Control Systems Two Sided Bench</v>
      </c>
      <c r="F1878">
        <v>0</v>
      </c>
      <c r="G1878" t="str">
        <f t="shared" si="490"/>
        <v>Y</v>
      </c>
      <c r="H1878" t="str">
        <f t="shared" si="482"/>
        <v>EA</v>
      </c>
      <c r="I1878">
        <v>0</v>
      </c>
      <c r="J1878">
        <v>0</v>
      </c>
      <c r="K1878" t="str">
        <f t="shared" si="491"/>
        <v>Y</v>
      </c>
      <c r="L1878">
        <v>0</v>
      </c>
      <c r="M1878" t="str">
        <f t="shared" si="485"/>
        <v>NIS</v>
      </c>
      <c r="O1878">
        <v>27</v>
      </c>
      <c r="P1878" t="str">
        <f t="shared" si="492"/>
        <v>Active</v>
      </c>
      <c r="Q1878" t="str">
        <f>"Assembly, JM, E006, Reversing Magnetic Starter"</f>
        <v>Assembly, JM, E006, Reversing Magnetic Starter</v>
      </c>
      <c r="S1878" t="str">
        <f>"Assembly, JM, E006, Reversing Magnetic Starter"</f>
        <v>Assembly, JM, E006, Reversing Magnetic Starter</v>
      </c>
      <c r="T1878">
        <v>232.93</v>
      </c>
      <c r="U1878">
        <v>231</v>
      </c>
      <c r="V1878">
        <v>424.58</v>
      </c>
      <c r="W1878" t="str">
        <f t="shared" si="483"/>
        <v>zintel</v>
      </c>
    </row>
    <row r="1879" spans="1:23">
      <c r="A1879" t="str">
        <f t="shared" si="488"/>
        <v>JM-CTRL-SYSM</v>
      </c>
      <c r="B1879" t="str">
        <f>"26-E010-0000"</f>
        <v>26-E010-0000</v>
      </c>
      <c r="C1879" t="str">
        <f>"Assembly, JM, E010 - Three Phase Motor Panel"</f>
        <v>Assembly, JM, E010 - Three Phase Motor Panel</v>
      </c>
      <c r="D1879">
        <v>2</v>
      </c>
      <c r="E1879" t="str">
        <f t="shared" si="489"/>
        <v>Electrical Control Systems Two Sided Bench</v>
      </c>
      <c r="F1879">
        <v>0</v>
      </c>
      <c r="G1879" t="str">
        <f t="shared" si="490"/>
        <v>Y</v>
      </c>
      <c r="H1879" t="str">
        <f t="shared" si="482"/>
        <v>EA</v>
      </c>
      <c r="I1879">
        <v>0</v>
      </c>
      <c r="J1879">
        <v>0</v>
      </c>
      <c r="K1879" t="str">
        <f t="shared" si="491"/>
        <v>Y</v>
      </c>
      <c r="L1879">
        <v>0</v>
      </c>
      <c r="M1879" t="str">
        <f t="shared" si="485"/>
        <v>NIS</v>
      </c>
      <c r="N1879" t="str">
        <f>"Y"</f>
        <v>Y</v>
      </c>
      <c r="O1879">
        <v>28</v>
      </c>
      <c r="P1879" t="str">
        <f t="shared" si="492"/>
        <v>Active</v>
      </c>
      <c r="Q1879" t="str">
        <f>"Assembly, JM, E010 - Three Phase Motor Panel"</f>
        <v>Assembly, JM, E010 - Three Phase Motor Panel</v>
      </c>
      <c r="S1879" t="str">
        <f>"Assembly, JM, E010 - Three Phase Motor Panel"</f>
        <v>Assembly, JM, E010 - Three Phase Motor Panel</v>
      </c>
      <c r="T1879">
        <v>361.68</v>
      </c>
      <c r="U1879">
        <v>360</v>
      </c>
      <c r="V1879">
        <v>515.65</v>
      </c>
      <c r="W1879" t="str">
        <f t="shared" si="483"/>
        <v>zintel</v>
      </c>
    </row>
    <row r="1880" spans="1:23">
      <c r="A1880" t="str">
        <f t="shared" si="488"/>
        <v>JM-CTRL-SYSM</v>
      </c>
      <c r="B1880" t="str">
        <f>"26-E012-0000"</f>
        <v>26-E012-0000</v>
      </c>
      <c r="C1880" t="str">
        <f>"Assembly, JM, E012, Transformer Panel"</f>
        <v>Assembly, JM, E012, Transformer Panel</v>
      </c>
      <c r="D1880">
        <v>2</v>
      </c>
      <c r="E1880" t="str">
        <f t="shared" si="489"/>
        <v>Electrical Control Systems Two Sided Bench</v>
      </c>
      <c r="F1880">
        <v>0</v>
      </c>
      <c r="G1880" t="str">
        <f t="shared" si="490"/>
        <v>Y</v>
      </c>
      <c r="H1880" t="str">
        <f t="shared" si="482"/>
        <v>EA</v>
      </c>
      <c r="I1880">
        <v>0</v>
      </c>
      <c r="J1880">
        <v>0</v>
      </c>
      <c r="K1880" t="str">
        <f t="shared" si="491"/>
        <v>Y</v>
      </c>
      <c r="L1880">
        <v>0</v>
      </c>
      <c r="M1880" t="str">
        <f t="shared" si="485"/>
        <v>NIS</v>
      </c>
      <c r="N1880" t="str">
        <f>"Y"</f>
        <v>Y</v>
      </c>
      <c r="O1880">
        <v>29</v>
      </c>
      <c r="P1880" t="str">
        <f t="shared" si="492"/>
        <v>Active</v>
      </c>
      <c r="Q1880" t="str">
        <f>"Assembly, JM, E012, Transformer Panel"</f>
        <v>Assembly, JM, E012, Transformer Panel</v>
      </c>
      <c r="S1880" t="str">
        <f>"Assembly, JM, E012, Transformer Panel"</f>
        <v>Assembly, JM, E012, Transformer Panel</v>
      </c>
      <c r="T1880">
        <v>158.58000000000001</v>
      </c>
      <c r="U1880">
        <v>157</v>
      </c>
      <c r="V1880">
        <v>297.81</v>
      </c>
      <c r="W1880" t="str">
        <f t="shared" si="483"/>
        <v>zintel</v>
      </c>
    </row>
    <row r="1881" spans="1:23">
      <c r="A1881" t="str">
        <f t="shared" si="488"/>
        <v>JM-CTRL-SYSM</v>
      </c>
      <c r="B1881" t="str">
        <f>"26-E016-0000"</f>
        <v>26-E016-0000</v>
      </c>
      <c r="C1881" t="str">
        <f>"Assembly, JM, E016, Analog Relay Panel"</f>
        <v>Assembly, JM, E016, Analog Relay Panel</v>
      </c>
      <c r="D1881">
        <v>2</v>
      </c>
      <c r="E1881" t="str">
        <f t="shared" si="489"/>
        <v>Electrical Control Systems Two Sided Bench</v>
      </c>
      <c r="F1881">
        <v>0</v>
      </c>
      <c r="G1881" t="str">
        <f t="shared" si="490"/>
        <v>Y</v>
      </c>
      <c r="H1881" t="str">
        <f t="shared" si="482"/>
        <v>EA</v>
      </c>
      <c r="I1881">
        <v>0</v>
      </c>
      <c r="J1881">
        <v>0</v>
      </c>
      <c r="K1881" t="str">
        <f t="shared" si="491"/>
        <v>Y</v>
      </c>
      <c r="L1881">
        <v>0</v>
      </c>
      <c r="M1881" t="str">
        <f t="shared" si="485"/>
        <v>NIS</v>
      </c>
      <c r="O1881">
        <v>30</v>
      </c>
      <c r="P1881" t="str">
        <f t="shared" si="492"/>
        <v>Active</v>
      </c>
      <c r="Q1881" t="str">
        <f>"Assembly, JM, E016, Analog Relay Panel"</f>
        <v>Assembly, JM, E016, Analog Relay Panel</v>
      </c>
      <c r="S1881" t="str">
        <f>"Assembly, JM, E016, Analog Relay Panel"</f>
        <v>Assembly, JM, E016, Analog Relay Panel</v>
      </c>
      <c r="T1881">
        <v>208.59</v>
      </c>
      <c r="U1881">
        <v>205</v>
      </c>
      <c r="V1881">
        <v>366.74</v>
      </c>
      <c r="W1881" t="str">
        <f t="shared" si="483"/>
        <v>zintel</v>
      </c>
    </row>
    <row r="1882" spans="1:23">
      <c r="A1882" t="str">
        <f t="shared" si="488"/>
        <v>JM-CTRL-SYSM</v>
      </c>
      <c r="B1882" t="str">
        <f>"26-E154-0000"</f>
        <v>26-E154-0000</v>
      </c>
      <c r="C1882" t="str">
        <f>"Assembly, JM, E154, Switches and Lamps Panel"</f>
        <v>Assembly, JM, E154, Switches and Lamps Panel</v>
      </c>
      <c r="D1882">
        <v>4</v>
      </c>
      <c r="E1882" t="str">
        <f t="shared" si="489"/>
        <v>Electrical Control Systems Two Sided Bench</v>
      </c>
      <c r="F1882">
        <v>0</v>
      </c>
      <c r="G1882" t="str">
        <f t="shared" si="490"/>
        <v>Y</v>
      </c>
      <c r="H1882" t="str">
        <f t="shared" si="482"/>
        <v>EA</v>
      </c>
      <c r="I1882">
        <v>0</v>
      </c>
      <c r="J1882">
        <v>0</v>
      </c>
      <c r="K1882" t="str">
        <f t="shared" si="491"/>
        <v>Y</v>
      </c>
      <c r="L1882">
        <v>0</v>
      </c>
      <c r="M1882" t="str">
        <f t="shared" si="485"/>
        <v>NIS</v>
      </c>
      <c r="O1882">
        <v>31</v>
      </c>
      <c r="P1882" t="str">
        <f t="shared" si="492"/>
        <v>Active</v>
      </c>
      <c r="Q1882" t="str">
        <f>"Assembly, JM, E154, Switches and Lamps Panel"</f>
        <v>Assembly, JM, E154, Switches and Lamps Panel</v>
      </c>
      <c r="S1882" t="str">
        <f>"Assembly, JM, E154, Switches and Lamps Panel"</f>
        <v>Assembly, JM, E154, Switches and Lamps Panel</v>
      </c>
      <c r="T1882">
        <v>155.78</v>
      </c>
      <c r="U1882">
        <v>153</v>
      </c>
      <c r="V1882">
        <v>324.68</v>
      </c>
      <c r="W1882" t="str">
        <f t="shared" si="483"/>
        <v>zintel</v>
      </c>
    </row>
    <row r="1883" spans="1:23">
      <c r="A1883" t="str">
        <f t="shared" si="488"/>
        <v>JM-CTRL-SYSM</v>
      </c>
      <c r="B1883" t="str">
        <f>"26-E155-0000"</f>
        <v>26-E155-0000</v>
      </c>
      <c r="C1883" t="str">
        <f>"Assembly, JM, E155, H-O-A Switch Panel"</f>
        <v>Assembly, JM, E155, H-O-A Switch Panel</v>
      </c>
      <c r="D1883">
        <v>2</v>
      </c>
      <c r="E1883" t="str">
        <f t="shared" si="489"/>
        <v>Electrical Control Systems Two Sided Bench</v>
      </c>
      <c r="F1883">
        <v>0</v>
      </c>
      <c r="G1883" t="str">
        <f t="shared" si="490"/>
        <v>Y</v>
      </c>
      <c r="H1883" t="str">
        <f t="shared" si="482"/>
        <v>EA</v>
      </c>
      <c r="I1883">
        <v>0</v>
      </c>
      <c r="J1883">
        <v>0</v>
      </c>
      <c r="K1883" t="str">
        <f t="shared" si="491"/>
        <v>Y</v>
      </c>
      <c r="L1883">
        <v>0</v>
      </c>
      <c r="M1883" t="str">
        <f t="shared" si="485"/>
        <v>NIS</v>
      </c>
      <c r="O1883">
        <v>32</v>
      </c>
      <c r="P1883" t="str">
        <f t="shared" si="492"/>
        <v>Active</v>
      </c>
      <c r="Q1883" t="str">
        <f>"Assembly, JM, E155, H-O-A Switch Panel"</f>
        <v>Assembly, JM, E155, H-O-A Switch Panel</v>
      </c>
      <c r="S1883" t="str">
        <f>"Assembly, JM, E155, H-O-A Switch Panel"</f>
        <v>Assembly, JM, E155, H-O-A Switch Panel</v>
      </c>
      <c r="T1883">
        <v>102.54</v>
      </c>
      <c r="U1883">
        <v>102</v>
      </c>
      <c r="V1883">
        <v>227.9</v>
      </c>
      <c r="W1883" t="str">
        <f t="shared" si="483"/>
        <v>zintel</v>
      </c>
    </row>
    <row r="1884" spans="1:23">
      <c r="A1884" t="str">
        <f t="shared" ref="A1884:A1909" si="493">"JM-CTRL-SYSM"</f>
        <v>JM-CTRL-SYSM</v>
      </c>
      <c r="B1884" t="str">
        <f>"36-EA07-IG01"</f>
        <v>36-EA07-IG01</v>
      </c>
      <c r="C1884" t="str">
        <f>"JM, PDF on CD Electromagnetic Starters- EA04"</f>
        <v>JM, PDF on CD Electromagnetic Starters- EA04</v>
      </c>
      <c r="D1884">
        <v>1</v>
      </c>
      <c r="E1884" t="str">
        <f t="shared" ref="E1884:E1909" si="494">"Electrical Control Systems Two Sided Bench"</f>
        <v>Electrical Control Systems Two Sided Bench</v>
      </c>
      <c r="F1884">
        <v>0</v>
      </c>
      <c r="G1884" t="str">
        <f t="shared" si="490"/>
        <v>Y</v>
      </c>
      <c r="H1884" t="str">
        <f t="shared" si="482"/>
        <v>EA</v>
      </c>
      <c r="I1884">
        <v>0</v>
      </c>
      <c r="J1884">
        <v>0</v>
      </c>
      <c r="K1884" t="str">
        <f t="shared" si="491"/>
        <v>Y</v>
      </c>
      <c r="L1884">
        <v>0</v>
      </c>
      <c r="M1884" t="str">
        <f t="shared" si="485"/>
        <v>NIS</v>
      </c>
      <c r="N1884" t="str">
        <f>"Y"</f>
        <v>Y</v>
      </c>
      <c r="O1884">
        <v>33</v>
      </c>
      <c r="P1884" t="str">
        <f t="shared" si="492"/>
        <v>Active</v>
      </c>
      <c r="Q1884" t="str">
        <f>"JM, PDF on CD Electromagnetic Starters- EA04"</f>
        <v>JM, PDF on CD Electromagnetic Starters- EA04</v>
      </c>
      <c r="S1884" t="str">
        <f>"JM, PDF on CD Electromagnetic Starters- EA04"</f>
        <v>JM, PDF on CD Electromagnetic Starters- EA04</v>
      </c>
      <c r="T1884">
        <v>11.41</v>
      </c>
      <c r="U1884">
        <v>10.3</v>
      </c>
      <c r="V1884">
        <v>11.43</v>
      </c>
      <c r="W1884" t="str">
        <f t="shared" si="483"/>
        <v>zintel</v>
      </c>
    </row>
    <row r="1885" spans="1:23">
      <c r="A1885" t="str">
        <f t="shared" si="493"/>
        <v>JM-CTRL-SYSM</v>
      </c>
      <c r="B1885" t="str">
        <f>"77-EA08-0000"</f>
        <v>77-EA08-0000</v>
      </c>
      <c r="C1885" t="str">
        <f>"LM7 Content, JM, Relays and Timers"</f>
        <v>LM7 Content, JM, Relays and Timers</v>
      </c>
      <c r="D1885">
        <v>1</v>
      </c>
      <c r="E1885" t="str">
        <f t="shared" si="494"/>
        <v>Electrical Control Systems Two Sided Bench</v>
      </c>
      <c r="F1885">
        <v>0</v>
      </c>
      <c r="G1885" t="str">
        <f t="shared" si="490"/>
        <v>Y</v>
      </c>
      <c r="H1885" t="str">
        <f t="shared" si="482"/>
        <v>EA</v>
      </c>
      <c r="I1885">
        <v>0</v>
      </c>
      <c r="J1885">
        <v>0</v>
      </c>
      <c r="K1885" t="str">
        <f t="shared" si="491"/>
        <v>Y</v>
      </c>
      <c r="L1885">
        <v>0</v>
      </c>
      <c r="M1885" t="str">
        <f t="shared" si="485"/>
        <v>NIS</v>
      </c>
      <c r="O1885">
        <v>34</v>
      </c>
      <c r="P1885" t="str">
        <f t="shared" si="492"/>
        <v>Active</v>
      </c>
      <c r="Q1885" t="str">
        <f>"LM7 Content, JM, Relays and Timers"</f>
        <v>LM7 Content, JM, Relays and Timers</v>
      </c>
      <c r="S1885" t="str">
        <f>"LM7 Content, JM, Relays and Timers"</f>
        <v>LM7 Content, JM, Relays and Timers</v>
      </c>
      <c r="T1885">
        <v>0</v>
      </c>
      <c r="U1885">
        <v>5</v>
      </c>
      <c r="V1885">
        <v>5</v>
      </c>
      <c r="W1885" t="str">
        <f t="shared" si="483"/>
        <v>zintel</v>
      </c>
    </row>
    <row r="1886" spans="1:23">
      <c r="A1886" t="str">
        <f t="shared" si="493"/>
        <v>JM-CTRL-SYSM</v>
      </c>
      <c r="B1886" t="str">
        <f>"26-E017-0000"</f>
        <v>26-E017-0000</v>
      </c>
      <c r="C1886" t="str">
        <f>"Assembly, JM, E017, Digital Relay"</f>
        <v>Assembly, JM, E017, Digital Relay</v>
      </c>
      <c r="D1886">
        <v>2</v>
      </c>
      <c r="E1886" t="str">
        <f t="shared" si="494"/>
        <v>Electrical Control Systems Two Sided Bench</v>
      </c>
      <c r="F1886">
        <v>0</v>
      </c>
      <c r="G1886" t="str">
        <f t="shared" si="490"/>
        <v>Y</v>
      </c>
      <c r="H1886" t="str">
        <f t="shared" si="482"/>
        <v>EA</v>
      </c>
      <c r="I1886">
        <v>0</v>
      </c>
      <c r="J1886">
        <v>0</v>
      </c>
      <c r="K1886" t="str">
        <f t="shared" si="491"/>
        <v>Y</v>
      </c>
      <c r="L1886">
        <v>0</v>
      </c>
      <c r="M1886" t="str">
        <f t="shared" si="485"/>
        <v>NIS</v>
      </c>
      <c r="O1886">
        <v>35</v>
      </c>
      <c r="P1886" t="str">
        <f t="shared" si="492"/>
        <v>Active</v>
      </c>
      <c r="Q1886" t="str">
        <f>"Assembly, JM, E017, Digital Relay"</f>
        <v>Assembly, JM, E017, Digital Relay</v>
      </c>
      <c r="S1886" t="str">
        <f>"Assembly, JM, E017, Digital Relay"</f>
        <v>Assembly, JM, E017, Digital Relay</v>
      </c>
      <c r="T1886">
        <v>273.82</v>
      </c>
      <c r="U1886">
        <v>271</v>
      </c>
      <c r="V1886">
        <v>593.16</v>
      </c>
      <c r="W1886" t="str">
        <f t="shared" si="483"/>
        <v>zintel</v>
      </c>
    </row>
    <row r="1887" spans="1:23">
      <c r="A1887" t="str">
        <f t="shared" si="493"/>
        <v>JM-CTRL-SYSM</v>
      </c>
      <c r="B1887" t="str">
        <f>"26-E041-0000"</f>
        <v>26-E041-0000</v>
      </c>
      <c r="C1887" t="str">
        <f>"Assembly, JM, E041, Electronic Timer"</f>
        <v>Assembly, JM, E041, Electronic Timer</v>
      </c>
      <c r="D1887">
        <v>2</v>
      </c>
      <c r="E1887" t="str">
        <f t="shared" si="494"/>
        <v>Electrical Control Systems Two Sided Bench</v>
      </c>
      <c r="F1887">
        <v>0</v>
      </c>
      <c r="G1887" t="str">
        <f t="shared" si="490"/>
        <v>Y</v>
      </c>
      <c r="H1887" t="str">
        <f t="shared" si="482"/>
        <v>EA</v>
      </c>
      <c r="I1887">
        <v>0</v>
      </c>
      <c r="J1887">
        <v>0</v>
      </c>
      <c r="K1887" t="str">
        <f t="shared" si="491"/>
        <v>Y</v>
      </c>
      <c r="L1887">
        <v>0</v>
      </c>
      <c r="M1887" t="str">
        <f t="shared" si="485"/>
        <v>NIS</v>
      </c>
      <c r="O1887">
        <v>36</v>
      </c>
      <c r="P1887" t="str">
        <f t="shared" si="492"/>
        <v>Active</v>
      </c>
      <c r="Q1887" t="str">
        <f>"Assembly, JM, E041, Electronic Timer"</f>
        <v>Assembly, JM, E041, Electronic Timer</v>
      </c>
      <c r="S1887" t="str">
        <f>"Assembly, JM, E041, Electronic Timer"</f>
        <v>Assembly, JM, E041, Electronic Timer</v>
      </c>
      <c r="T1887">
        <v>224.51</v>
      </c>
      <c r="U1887">
        <v>225</v>
      </c>
      <c r="V1887">
        <v>309.97000000000003</v>
      </c>
      <c r="W1887" t="str">
        <f t="shared" si="483"/>
        <v>zintel</v>
      </c>
    </row>
    <row r="1888" spans="1:23">
      <c r="A1888" t="str">
        <f t="shared" si="493"/>
        <v>JM-CTRL-SYSM</v>
      </c>
      <c r="B1888" t="str">
        <f>"36-EA08-IG01"</f>
        <v>36-EA08-IG01</v>
      </c>
      <c r="C1888" t="str">
        <f>"JM, PDF on CD Relays and Timers - EA08"</f>
        <v>JM, PDF on CD Relays and Timers - EA08</v>
      </c>
      <c r="D1888">
        <v>1</v>
      </c>
      <c r="E1888" t="str">
        <f t="shared" si="494"/>
        <v>Electrical Control Systems Two Sided Bench</v>
      </c>
      <c r="F1888">
        <v>0</v>
      </c>
      <c r="G1888" t="str">
        <f t="shared" si="490"/>
        <v>Y</v>
      </c>
      <c r="H1888" t="str">
        <f t="shared" si="482"/>
        <v>EA</v>
      </c>
      <c r="I1888">
        <v>0</v>
      </c>
      <c r="J1888">
        <v>0</v>
      </c>
      <c r="K1888" t="str">
        <f t="shared" si="491"/>
        <v>Y</v>
      </c>
      <c r="L1888">
        <v>0</v>
      </c>
      <c r="M1888" t="str">
        <f t="shared" si="485"/>
        <v>NIS</v>
      </c>
      <c r="N1888" t="str">
        <f>"Y"</f>
        <v>Y</v>
      </c>
      <c r="O1888">
        <v>37</v>
      </c>
      <c r="P1888" t="str">
        <f t="shared" si="492"/>
        <v>Active</v>
      </c>
      <c r="Q1888" t="str">
        <f>"JM, PDF on CD Relays and Timers - EA08"</f>
        <v>JM, PDF on CD Relays and Timers - EA08</v>
      </c>
      <c r="S1888" t="str">
        <f>"JM, PDF on CD Relays and Timers - EA08"</f>
        <v>JM, PDF on CD Relays and Timers - EA08</v>
      </c>
      <c r="T1888">
        <v>11.41</v>
      </c>
      <c r="U1888">
        <v>10.3</v>
      </c>
      <c r="V1888">
        <v>11.43</v>
      </c>
      <c r="W1888" t="str">
        <f t="shared" si="483"/>
        <v>zintel</v>
      </c>
    </row>
    <row r="1889" spans="1:23">
      <c r="A1889" t="str">
        <f t="shared" si="493"/>
        <v>JM-CTRL-SYSM</v>
      </c>
      <c r="B1889" t="str">
        <f>"77-EA11-0000"</f>
        <v>77-EA11-0000</v>
      </c>
      <c r="C1889" t="str">
        <f>"LM7 Content, JM, Solid State Voltage Starter"</f>
        <v>LM7 Content, JM, Solid State Voltage Starter</v>
      </c>
      <c r="D1889">
        <v>1</v>
      </c>
      <c r="E1889" t="str">
        <f t="shared" si="494"/>
        <v>Electrical Control Systems Two Sided Bench</v>
      </c>
      <c r="F1889">
        <v>0</v>
      </c>
      <c r="G1889" t="str">
        <f t="shared" si="490"/>
        <v>Y</v>
      </c>
      <c r="H1889" t="str">
        <f t="shared" si="482"/>
        <v>EA</v>
      </c>
      <c r="I1889">
        <v>0</v>
      </c>
      <c r="J1889">
        <v>0</v>
      </c>
      <c r="K1889" t="str">
        <f t="shared" si="491"/>
        <v>Y</v>
      </c>
      <c r="L1889">
        <v>0</v>
      </c>
      <c r="M1889" t="str">
        <f t="shared" si="485"/>
        <v>NIS</v>
      </c>
      <c r="O1889">
        <v>38</v>
      </c>
      <c r="P1889" t="str">
        <f t="shared" si="492"/>
        <v>Active</v>
      </c>
      <c r="Q1889" t="str">
        <f>"LM7 Content, JM, Solid State Voltage Starter"</f>
        <v>LM7 Content, JM, Solid State Voltage Starter</v>
      </c>
      <c r="S1889" t="str">
        <f>"LM7 Content, JM, Solid State Voltage Starter"</f>
        <v>LM7 Content, JM, Solid State Voltage Starter</v>
      </c>
      <c r="T1889">
        <v>0</v>
      </c>
      <c r="U1889">
        <v>5</v>
      </c>
      <c r="V1889">
        <v>5</v>
      </c>
      <c r="W1889" t="str">
        <f t="shared" si="483"/>
        <v>zintel</v>
      </c>
    </row>
    <row r="1890" spans="1:23">
      <c r="A1890" t="str">
        <f t="shared" si="493"/>
        <v>JM-CTRL-SYSM</v>
      </c>
      <c r="B1890" t="str">
        <f>"26-E024-0000"</f>
        <v>26-E024-0000</v>
      </c>
      <c r="C1890" t="str">
        <f>"Assembly, JM, E024, Solid State Starter Panel"</f>
        <v>Assembly, JM, E024, Solid State Starter Panel</v>
      </c>
      <c r="D1890">
        <v>2</v>
      </c>
      <c r="E1890" t="str">
        <f t="shared" si="494"/>
        <v>Electrical Control Systems Two Sided Bench</v>
      </c>
      <c r="F1890">
        <v>0</v>
      </c>
      <c r="G1890" t="str">
        <f t="shared" si="490"/>
        <v>Y</v>
      </c>
      <c r="H1890" t="str">
        <f t="shared" si="482"/>
        <v>EA</v>
      </c>
      <c r="I1890">
        <v>0</v>
      </c>
      <c r="J1890">
        <v>0</v>
      </c>
      <c r="K1890" t="str">
        <f t="shared" si="491"/>
        <v>Y</v>
      </c>
      <c r="L1890">
        <v>0</v>
      </c>
      <c r="M1890" t="str">
        <f t="shared" si="485"/>
        <v>NIS</v>
      </c>
      <c r="O1890">
        <v>39</v>
      </c>
      <c r="P1890" t="str">
        <f>"ECO-N2Buy"</f>
        <v>ECO-N2Buy</v>
      </c>
      <c r="Q1890" t="str">
        <f>"Assembly, JM, E024, Solid State Starter Panel"</f>
        <v>Assembly, JM, E024, Solid State Starter Panel</v>
      </c>
      <c r="S1890" t="str">
        <f>"Assembly, JM, E024, Solid State Starter Panel"</f>
        <v>Assembly, JM, E024, Solid State Starter Panel</v>
      </c>
      <c r="T1890">
        <v>492.42</v>
      </c>
      <c r="U1890">
        <v>489</v>
      </c>
      <c r="V1890">
        <v>705.69</v>
      </c>
      <c r="W1890" t="str">
        <f t="shared" si="483"/>
        <v>zintel</v>
      </c>
    </row>
    <row r="1891" spans="1:23">
      <c r="A1891" t="str">
        <f t="shared" si="493"/>
        <v>JM-CTRL-SYSM</v>
      </c>
      <c r="B1891" t="str">
        <f>"36-EA11-IG01"</f>
        <v>36-EA11-IG01</v>
      </c>
      <c r="C1891" t="str">
        <f>"JM, PDF on CD Solid State Voltage Starter - EA11"</f>
        <v>JM, PDF on CD Solid State Voltage Starter - EA11</v>
      </c>
      <c r="D1891">
        <v>1</v>
      </c>
      <c r="E1891" t="str">
        <f t="shared" si="494"/>
        <v>Electrical Control Systems Two Sided Bench</v>
      </c>
      <c r="F1891">
        <v>0</v>
      </c>
      <c r="G1891" t="str">
        <f t="shared" si="490"/>
        <v>Y</v>
      </c>
      <c r="H1891" t="str">
        <f t="shared" si="482"/>
        <v>EA</v>
      </c>
      <c r="I1891">
        <v>0</v>
      </c>
      <c r="J1891">
        <v>0</v>
      </c>
      <c r="K1891" t="str">
        <f t="shared" si="491"/>
        <v>Y</v>
      </c>
      <c r="L1891">
        <v>0</v>
      </c>
      <c r="M1891" t="str">
        <f t="shared" si="485"/>
        <v>NIS</v>
      </c>
      <c r="N1891" t="str">
        <f>"Y"</f>
        <v>Y</v>
      </c>
      <c r="O1891">
        <v>40</v>
      </c>
      <c r="P1891" t="str">
        <f t="shared" ref="P1891:P1922" si="495">"Active"</f>
        <v>Active</v>
      </c>
      <c r="Q1891" t="str">
        <f>"JM, PDF on CD Solid State Voltage Starter - EA11"</f>
        <v>JM, PDF on CD Solid State Voltage Starter - EA11</v>
      </c>
      <c r="S1891" t="str">
        <f>"JM, PDF on CD Solid State Voltage Starter - EA11"</f>
        <v>JM, PDF on CD Solid State Voltage Starter - EA11</v>
      </c>
      <c r="T1891">
        <v>10.3</v>
      </c>
      <c r="U1891">
        <v>10.3</v>
      </c>
      <c r="V1891">
        <v>11.43</v>
      </c>
      <c r="W1891" t="str">
        <f t="shared" si="483"/>
        <v>zintel</v>
      </c>
    </row>
    <row r="1892" spans="1:23">
      <c r="A1892" t="str">
        <f t="shared" si="493"/>
        <v>JM-CTRL-SYSM</v>
      </c>
      <c r="B1892" t="str">
        <f>"77-EA09-0000"</f>
        <v>77-EA09-0000</v>
      </c>
      <c r="C1892" t="str">
        <f>"LM7 Content, JM, Pilot Devices"</f>
        <v>LM7 Content, JM, Pilot Devices</v>
      </c>
      <c r="D1892">
        <v>1</v>
      </c>
      <c r="E1892" t="str">
        <f t="shared" si="494"/>
        <v>Electrical Control Systems Two Sided Bench</v>
      </c>
      <c r="F1892">
        <v>0</v>
      </c>
      <c r="G1892" t="str">
        <f t="shared" si="490"/>
        <v>Y</v>
      </c>
      <c r="H1892" t="str">
        <f t="shared" si="482"/>
        <v>EA</v>
      </c>
      <c r="I1892">
        <v>0</v>
      </c>
      <c r="J1892">
        <v>0</v>
      </c>
      <c r="K1892" t="str">
        <f t="shared" si="491"/>
        <v>Y</v>
      </c>
      <c r="L1892">
        <v>0</v>
      </c>
      <c r="M1892" t="str">
        <f t="shared" si="485"/>
        <v>NIS</v>
      </c>
      <c r="O1892">
        <v>41</v>
      </c>
      <c r="P1892" t="str">
        <f t="shared" si="495"/>
        <v>Active</v>
      </c>
      <c r="Q1892" t="str">
        <f>"LM7 Content, JM, Pilot Devices"</f>
        <v>LM7 Content, JM, Pilot Devices</v>
      </c>
      <c r="S1892" t="str">
        <f>"LM7 Content, JM, Pilot Devices"</f>
        <v>LM7 Content, JM, Pilot Devices</v>
      </c>
      <c r="T1892">
        <v>0</v>
      </c>
      <c r="U1892">
        <v>5</v>
      </c>
      <c r="V1892">
        <v>5</v>
      </c>
      <c r="W1892" t="str">
        <f t="shared" si="483"/>
        <v>zintel</v>
      </c>
    </row>
    <row r="1893" spans="1:23">
      <c r="A1893" t="str">
        <f t="shared" si="493"/>
        <v>JM-CTRL-SYSM</v>
      </c>
      <c r="B1893" t="str">
        <f>"26-E011-0000"</f>
        <v>26-E011-0000</v>
      </c>
      <c r="C1893" t="str">
        <f>"Assembly, JM, E011, Limit Switch Panel"</f>
        <v>Assembly, JM, E011, Limit Switch Panel</v>
      </c>
      <c r="D1893">
        <v>2</v>
      </c>
      <c r="E1893" t="str">
        <f t="shared" si="494"/>
        <v>Electrical Control Systems Two Sided Bench</v>
      </c>
      <c r="F1893">
        <v>0</v>
      </c>
      <c r="G1893" t="str">
        <f t="shared" si="490"/>
        <v>Y</v>
      </c>
      <c r="H1893" t="str">
        <f t="shared" si="482"/>
        <v>EA</v>
      </c>
      <c r="I1893">
        <v>0</v>
      </c>
      <c r="J1893">
        <v>0</v>
      </c>
      <c r="K1893" t="str">
        <f t="shared" si="491"/>
        <v>Y</v>
      </c>
      <c r="L1893">
        <v>0</v>
      </c>
      <c r="M1893" t="str">
        <f t="shared" si="485"/>
        <v>NIS</v>
      </c>
      <c r="O1893">
        <v>42</v>
      </c>
      <c r="P1893" t="str">
        <f t="shared" si="495"/>
        <v>Active</v>
      </c>
      <c r="Q1893" t="str">
        <f>"Assembly, JM, E011, Limit Switch Panel"</f>
        <v>Assembly, JM, E011, Limit Switch Panel</v>
      </c>
      <c r="S1893" t="str">
        <f>"Assembly, JM, E011, Limit Switch Panel"</f>
        <v>Assembly, JM, E011, Limit Switch Panel</v>
      </c>
      <c r="T1893">
        <v>188.08</v>
      </c>
      <c r="U1893">
        <v>188</v>
      </c>
      <c r="V1893">
        <v>269.41000000000003</v>
      </c>
      <c r="W1893" t="str">
        <f t="shared" si="483"/>
        <v>zintel</v>
      </c>
    </row>
    <row r="1894" spans="1:23">
      <c r="A1894" t="str">
        <f t="shared" si="493"/>
        <v>JM-CTRL-SYSM</v>
      </c>
      <c r="B1894" t="str">
        <f>"26-E018-0000"</f>
        <v>26-E018-0000</v>
      </c>
      <c r="C1894" t="str">
        <f>"Assembly, JM, E018, Liquid Level and Pressure"</f>
        <v>Assembly, JM, E018, Liquid Level and Pressure</v>
      </c>
      <c r="D1894">
        <v>2</v>
      </c>
      <c r="E1894" t="str">
        <f t="shared" si="494"/>
        <v>Electrical Control Systems Two Sided Bench</v>
      </c>
      <c r="F1894">
        <v>0</v>
      </c>
      <c r="G1894" t="str">
        <f t="shared" si="490"/>
        <v>Y</v>
      </c>
      <c r="H1894" t="str">
        <f t="shared" si="482"/>
        <v>EA</v>
      </c>
      <c r="I1894">
        <v>0</v>
      </c>
      <c r="J1894">
        <v>0</v>
      </c>
      <c r="K1894" t="str">
        <f t="shared" si="491"/>
        <v>Y</v>
      </c>
      <c r="L1894">
        <v>0</v>
      </c>
      <c r="M1894" t="str">
        <f t="shared" si="485"/>
        <v>NIS</v>
      </c>
      <c r="O1894">
        <v>43</v>
      </c>
      <c r="P1894" t="str">
        <f t="shared" si="495"/>
        <v>Active</v>
      </c>
      <c r="Q1894" t="str">
        <f>"Assembly, JM, E018, Liquid Level and Pressure"</f>
        <v>Assembly, JM, E018, Liquid Level and Pressure</v>
      </c>
      <c r="S1894" t="str">
        <f>"Assembly, JM, E018, Liquid Level and Pressure"</f>
        <v>Assembly, JM, E018, Liquid Level and Pressure</v>
      </c>
      <c r="T1894">
        <v>451.57</v>
      </c>
      <c r="U1894">
        <v>450</v>
      </c>
      <c r="V1894">
        <v>476.25</v>
      </c>
      <c r="W1894" t="str">
        <f t="shared" si="483"/>
        <v>zintel</v>
      </c>
    </row>
    <row r="1895" spans="1:23">
      <c r="A1895" t="str">
        <f t="shared" si="493"/>
        <v>JM-CTRL-SYSM</v>
      </c>
      <c r="B1895" t="str">
        <f>"26-E126-0000"</f>
        <v>26-E126-0000</v>
      </c>
      <c r="C1895" t="str">
        <f>"Assembly, JM, E126, Photo, Mag, &amp; Prox Panel"</f>
        <v>Assembly, JM, E126, Photo, Mag, &amp; Prox Panel</v>
      </c>
      <c r="D1895">
        <v>2</v>
      </c>
      <c r="E1895" t="str">
        <f t="shared" si="494"/>
        <v>Electrical Control Systems Two Sided Bench</v>
      </c>
      <c r="F1895">
        <v>0</v>
      </c>
      <c r="G1895" t="str">
        <f t="shared" si="490"/>
        <v>Y</v>
      </c>
      <c r="H1895" t="str">
        <f t="shared" si="482"/>
        <v>EA</v>
      </c>
      <c r="I1895">
        <v>0</v>
      </c>
      <c r="J1895">
        <v>0</v>
      </c>
      <c r="K1895" t="str">
        <f t="shared" si="491"/>
        <v>Y</v>
      </c>
      <c r="L1895">
        <v>0</v>
      </c>
      <c r="M1895" t="str">
        <f t="shared" si="485"/>
        <v>NIS</v>
      </c>
      <c r="O1895">
        <v>44</v>
      </c>
      <c r="P1895" t="str">
        <f t="shared" si="495"/>
        <v>Active</v>
      </c>
      <c r="Q1895" t="str">
        <f>"Assembly, JM, E126, Photo, Mag, &amp; Prox Panel"</f>
        <v>Assembly, JM, E126, Photo, Mag, &amp; Prox Panel</v>
      </c>
      <c r="S1895" t="str">
        <f>"Assembly, JM, E126, Photo, Mag, &amp; Prox Panel"</f>
        <v>Assembly, JM, E126, Photo, Mag, &amp; Prox Panel</v>
      </c>
      <c r="T1895">
        <v>798.95</v>
      </c>
      <c r="U1895">
        <v>760</v>
      </c>
      <c r="V1895" s="44">
        <v>1075.9000000000001</v>
      </c>
      <c r="W1895" t="str">
        <f t="shared" si="483"/>
        <v>zintel</v>
      </c>
    </row>
    <row r="1896" spans="1:23">
      <c r="A1896" t="str">
        <f t="shared" si="493"/>
        <v>JM-CTRL-SYSM</v>
      </c>
      <c r="B1896" t="str">
        <f>"26-E153-0000"</f>
        <v>26-E153-0000</v>
      </c>
      <c r="C1896" t="str">
        <f>"Assembly, JM, E153, AC/DC Circuits"</f>
        <v>Assembly, JM, E153, AC/DC Circuits</v>
      </c>
      <c r="D1896">
        <v>2</v>
      </c>
      <c r="E1896" t="str">
        <f t="shared" si="494"/>
        <v>Electrical Control Systems Two Sided Bench</v>
      </c>
      <c r="F1896">
        <v>0</v>
      </c>
      <c r="G1896" t="str">
        <f t="shared" si="490"/>
        <v>Y</v>
      </c>
      <c r="H1896" t="str">
        <f t="shared" ref="H1896:H1959" si="496">"EA"</f>
        <v>EA</v>
      </c>
      <c r="I1896">
        <v>0</v>
      </c>
      <c r="J1896">
        <v>0</v>
      </c>
      <c r="K1896" t="str">
        <f t="shared" si="491"/>
        <v>Y</v>
      </c>
      <c r="L1896">
        <v>0</v>
      </c>
      <c r="M1896" t="str">
        <f t="shared" si="485"/>
        <v>NIS</v>
      </c>
      <c r="O1896">
        <v>45</v>
      </c>
      <c r="P1896" t="str">
        <f t="shared" si="495"/>
        <v>Active</v>
      </c>
      <c r="Q1896" t="str">
        <f>"Assembly, JM, E153, AC/DC Circuits"</f>
        <v>Assembly, JM, E153, AC/DC Circuits</v>
      </c>
      <c r="S1896" t="str">
        <f>"Assembly, JM, E153, AC/DC Circuits"</f>
        <v>Assembly, JM, E153, AC/DC Circuits</v>
      </c>
      <c r="T1896">
        <v>133.96</v>
      </c>
      <c r="U1896">
        <v>130</v>
      </c>
      <c r="V1896">
        <v>293.45999999999998</v>
      </c>
      <c r="W1896" t="str">
        <f t="shared" ref="W1896:W1959" si="497">"zintel"</f>
        <v>zintel</v>
      </c>
    </row>
    <row r="1897" spans="1:23">
      <c r="A1897" t="str">
        <f t="shared" si="493"/>
        <v>JM-CTRL-SYSM</v>
      </c>
      <c r="B1897" t="str">
        <f>"36-EA09-IG01"</f>
        <v>36-EA09-IG01</v>
      </c>
      <c r="C1897" t="str">
        <f>"JM, PDF on CD Sensors - EA09"</f>
        <v>JM, PDF on CD Sensors - EA09</v>
      </c>
      <c r="D1897">
        <v>1</v>
      </c>
      <c r="E1897" t="str">
        <f t="shared" si="494"/>
        <v>Electrical Control Systems Two Sided Bench</v>
      </c>
      <c r="F1897">
        <v>0</v>
      </c>
      <c r="G1897" t="str">
        <f t="shared" si="490"/>
        <v>Y</v>
      </c>
      <c r="H1897" t="str">
        <f t="shared" si="496"/>
        <v>EA</v>
      </c>
      <c r="I1897">
        <v>0</v>
      </c>
      <c r="J1897">
        <v>0</v>
      </c>
      <c r="K1897" t="str">
        <f t="shared" si="491"/>
        <v>Y</v>
      </c>
      <c r="L1897">
        <v>0</v>
      </c>
      <c r="M1897" t="str">
        <f t="shared" si="485"/>
        <v>NIS</v>
      </c>
      <c r="N1897" t="str">
        <f>"Y"</f>
        <v>Y</v>
      </c>
      <c r="O1897">
        <v>46</v>
      </c>
      <c r="P1897" t="str">
        <f t="shared" si="495"/>
        <v>Active</v>
      </c>
      <c r="Q1897" t="str">
        <f>"JM, PDF on CD Sensors - EA09"</f>
        <v>JM, PDF on CD Sensors - EA09</v>
      </c>
      <c r="S1897" t="str">
        <f>"JM, PDF on CD Sensors - EA09"</f>
        <v>JM, PDF on CD Sensors - EA09</v>
      </c>
      <c r="T1897">
        <v>10.3</v>
      </c>
      <c r="U1897">
        <v>10.3</v>
      </c>
      <c r="V1897">
        <v>11.43</v>
      </c>
      <c r="W1897" t="str">
        <f t="shared" si="497"/>
        <v>zintel</v>
      </c>
    </row>
    <row r="1898" spans="1:23">
      <c r="A1898" t="str">
        <f t="shared" si="493"/>
        <v>JM-CTRL-SYSM</v>
      </c>
      <c r="B1898" t="str">
        <f>"77-EA12-0000"</f>
        <v>77-EA12-0000</v>
      </c>
      <c r="C1898" t="str">
        <f>"LM7 Content, JM, Electric Motor Drives"</f>
        <v>LM7 Content, JM, Electric Motor Drives</v>
      </c>
      <c r="D1898">
        <v>1</v>
      </c>
      <c r="E1898" t="str">
        <f t="shared" si="494"/>
        <v>Electrical Control Systems Two Sided Bench</v>
      </c>
      <c r="F1898">
        <v>0</v>
      </c>
      <c r="G1898" t="str">
        <f t="shared" si="490"/>
        <v>Y</v>
      </c>
      <c r="H1898" t="str">
        <f t="shared" si="496"/>
        <v>EA</v>
      </c>
      <c r="I1898">
        <v>0</v>
      </c>
      <c r="J1898">
        <v>0</v>
      </c>
      <c r="K1898" t="str">
        <f t="shared" si="491"/>
        <v>Y</v>
      </c>
      <c r="L1898">
        <v>0</v>
      </c>
      <c r="M1898" t="str">
        <f t="shared" si="485"/>
        <v>NIS</v>
      </c>
      <c r="O1898">
        <v>47</v>
      </c>
      <c r="P1898" t="str">
        <f t="shared" si="495"/>
        <v>Active</v>
      </c>
      <c r="Q1898" t="str">
        <f>"LM7 Content, JM, Electric Motor Drives"</f>
        <v>LM7 Content, JM, Electric Motor Drives</v>
      </c>
      <c r="S1898" t="str">
        <f>"LM7 Content, JM, Electric Motor Drives"</f>
        <v>LM7 Content, JM, Electric Motor Drives</v>
      </c>
      <c r="T1898">
        <v>0</v>
      </c>
      <c r="U1898">
        <v>5</v>
      </c>
      <c r="V1898">
        <v>5</v>
      </c>
      <c r="W1898" t="str">
        <f t="shared" si="497"/>
        <v>zintel</v>
      </c>
    </row>
    <row r="1899" spans="1:23">
      <c r="A1899" t="str">
        <f t="shared" si="493"/>
        <v>JM-CTRL-SYSM</v>
      </c>
      <c r="B1899" t="str">
        <f>"26-E067-0000"</f>
        <v>26-E067-0000</v>
      </c>
      <c r="C1899" t="str">
        <f>"Assembly, JM, E067,Varible Frequency Drive Panel"</f>
        <v>Assembly, JM, E067,Varible Frequency Drive Panel</v>
      </c>
      <c r="D1899">
        <v>2</v>
      </c>
      <c r="E1899" t="str">
        <f t="shared" si="494"/>
        <v>Electrical Control Systems Two Sided Bench</v>
      </c>
      <c r="F1899">
        <v>0</v>
      </c>
      <c r="G1899" t="str">
        <f t="shared" si="490"/>
        <v>Y</v>
      </c>
      <c r="H1899" t="str">
        <f t="shared" si="496"/>
        <v>EA</v>
      </c>
      <c r="I1899">
        <v>0</v>
      </c>
      <c r="J1899">
        <v>0</v>
      </c>
      <c r="K1899" t="str">
        <f t="shared" si="491"/>
        <v>Y</v>
      </c>
      <c r="L1899">
        <v>0</v>
      </c>
      <c r="M1899" t="str">
        <f t="shared" si="485"/>
        <v>NIS</v>
      </c>
      <c r="O1899">
        <v>48</v>
      </c>
      <c r="P1899" t="str">
        <f t="shared" si="495"/>
        <v>Active</v>
      </c>
      <c r="Q1899" t="str">
        <f>"Assembly, JM, E067,Varible Frequency Drive Panel"</f>
        <v>Assembly, JM, E067,Varible Frequency Drive Panel</v>
      </c>
      <c r="S1899" t="str">
        <f>"Assembly, JM, E067,Varible Frequency Drive Panel"</f>
        <v>Assembly, JM, E067,Varible Frequency Drive Panel</v>
      </c>
      <c r="T1899">
        <v>321.17</v>
      </c>
      <c r="U1899">
        <v>317</v>
      </c>
      <c r="V1899">
        <v>588.07000000000005</v>
      </c>
      <c r="W1899" t="str">
        <f t="shared" si="497"/>
        <v>zintel</v>
      </c>
    </row>
    <row r="1900" spans="1:23">
      <c r="A1900" t="str">
        <f t="shared" si="493"/>
        <v>JM-CTRL-SYSM</v>
      </c>
      <c r="B1900" t="str">
        <f>"36-EA12-IG01"</f>
        <v>36-EA12-IG01</v>
      </c>
      <c r="C1900" t="str">
        <f>"JM, PDF on CD Variable Frequency Drive- EA12"</f>
        <v>JM, PDF on CD Variable Frequency Drive- EA12</v>
      </c>
      <c r="D1900">
        <v>1</v>
      </c>
      <c r="E1900" t="str">
        <f t="shared" si="494"/>
        <v>Electrical Control Systems Two Sided Bench</v>
      </c>
      <c r="F1900">
        <v>0</v>
      </c>
      <c r="G1900" t="str">
        <f t="shared" si="490"/>
        <v>Y</v>
      </c>
      <c r="H1900" t="str">
        <f t="shared" si="496"/>
        <v>EA</v>
      </c>
      <c r="I1900">
        <v>0</v>
      </c>
      <c r="J1900">
        <v>0</v>
      </c>
      <c r="K1900" t="str">
        <f t="shared" si="491"/>
        <v>Y</v>
      </c>
      <c r="L1900">
        <v>0</v>
      </c>
      <c r="M1900" t="str">
        <f t="shared" si="485"/>
        <v>NIS</v>
      </c>
      <c r="N1900" t="str">
        <f>"Y"</f>
        <v>Y</v>
      </c>
      <c r="O1900">
        <v>49</v>
      </c>
      <c r="P1900" t="str">
        <f t="shared" si="495"/>
        <v>Active</v>
      </c>
      <c r="Q1900" t="str">
        <f>"JM, PDF on CD Variable Frequency Drive- EA12"</f>
        <v>JM, PDF on CD Variable Frequency Drive- EA12</v>
      </c>
      <c r="S1900" t="str">
        <f>"JM, PDF on CD Variable Frequency Drive- EA12"</f>
        <v>JM, PDF on CD Variable Frequency Drive- EA12</v>
      </c>
      <c r="T1900">
        <v>10.3</v>
      </c>
      <c r="U1900">
        <v>10.3</v>
      </c>
      <c r="V1900">
        <v>11.43</v>
      </c>
      <c r="W1900" t="str">
        <f t="shared" si="497"/>
        <v>zintel</v>
      </c>
    </row>
    <row r="1901" spans="1:23">
      <c r="A1901" t="str">
        <f t="shared" si="493"/>
        <v>JM-CTRL-SYSM</v>
      </c>
      <c r="B1901" t="str">
        <f>"77-EA16-0000"</f>
        <v>77-EA16-0000</v>
      </c>
      <c r="C1901" t="str">
        <f>"LM7 Content, JM, DC Motor Drives"</f>
        <v>LM7 Content, JM, DC Motor Drives</v>
      </c>
      <c r="D1901">
        <v>1</v>
      </c>
      <c r="E1901" t="str">
        <f t="shared" si="494"/>
        <v>Electrical Control Systems Two Sided Bench</v>
      </c>
      <c r="F1901">
        <v>0</v>
      </c>
      <c r="G1901" t="str">
        <f t="shared" si="490"/>
        <v>Y</v>
      </c>
      <c r="H1901" t="str">
        <f t="shared" si="496"/>
        <v>EA</v>
      </c>
      <c r="I1901">
        <v>0</v>
      </c>
      <c r="J1901">
        <v>0</v>
      </c>
      <c r="K1901" t="str">
        <f t="shared" si="491"/>
        <v>Y</v>
      </c>
      <c r="L1901">
        <v>0</v>
      </c>
      <c r="M1901" t="str">
        <f t="shared" si="485"/>
        <v>NIS</v>
      </c>
      <c r="O1901">
        <v>50</v>
      </c>
      <c r="P1901" t="str">
        <f t="shared" si="495"/>
        <v>Active</v>
      </c>
      <c r="Q1901" t="str">
        <f>"LM7 Content, JM, DC Motor Drives"</f>
        <v>LM7 Content, JM, DC Motor Drives</v>
      </c>
      <c r="S1901" t="str">
        <f>"LM7 Content, JM, DC Motor Drives"</f>
        <v>LM7 Content, JM, DC Motor Drives</v>
      </c>
      <c r="T1901">
        <v>0</v>
      </c>
      <c r="U1901">
        <v>5</v>
      </c>
      <c r="V1901">
        <v>5</v>
      </c>
      <c r="W1901" t="str">
        <f t="shared" si="497"/>
        <v>zintel</v>
      </c>
    </row>
    <row r="1902" spans="1:23">
      <c r="A1902" t="str">
        <f t="shared" si="493"/>
        <v>JM-CTRL-SYSM</v>
      </c>
      <c r="B1902" t="str">
        <f>"26-E007-0000"</f>
        <v>26-E007-0000</v>
      </c>
      <c r="C1902" t="str">
        <f>"Assembly, JM, E007 - SCR Speed Control Panel"</f>
        <v>Assembly, JM, E007 - SCR Speed Control Panel</v>
      </c>
      <c r="D1902">
        <v>2</v>
      </c>
      <c r="E1902" t="str">
        <f t="shared" si="494"/>
        <v>Electrical Control Systems Two Sided Bench</v>
      </c>
      <c r="F1902">
        <v>0</v>
      </c>
      <c r="G1902" t="str">
        <f t="shared" si="490"/>
        <v>Y</v>
      </c>
      <c r="H1902" t="str">
        <f t="shared" si="496"/>
        <v>EA</v>
      </c>
      <c r="I1902">
        <v>0</v>
      </c>
      <c r="J1902">
        <v>0</v>
      </c>
      <c r="K1902" t="str">
        <f t="shared" si="491"/>
        <v>Y</v>
      </c>
      <c r="L1902">
        <v>0</v>
      </c>
      <c r="M1902" t="str">
        <f t="shared" si="485"/>
        <v>NIS</v>
      </c>
      <c r="N1902" t="str">
        <f>"Y"</f>
        <v>Y</v>
      </c>
      <c r="O1902">
        <v>51</v>
      </c>
      <c r="P1902" t="str">
        <f t="shared" si="495"/>
        <v>Active</v>
      </c>
      <c r="Q1902" t="str">
        <f>"Assembly, JM, E007 - SCR Speed Control Panel"</f>
        <v>Assembly, JM, E007 - SCR Speed Control Panel</v>
      </c>
      <c r="S1902" t="str">
        <f>"Assembly, JM, E007 - SCR Speed Control Panel"</f>
        <v>Assembly, JM, E007 - SCR Speed Control Panel</v>
      </c>
      <c r="T1902">
        <v>163.16999999999999</v>
      </c>
      <c r="U1902">
        <v>163</v>
      </c>
      <c r="V1902">
        <v>315.76</v>
      </c>
      <c r="W1902" t="str">
        <f t="shared" si="497"/>
        <v>zintel</v>
      </c>
    </row>
    <row r="1903" spans="1:23">
      <c r="A1903" t="str">
        <f t="shared" si="493"/>
        <v>JM-CTRL-SYSM</v>
      </c>
      <c r="B1903" t="str">
        <f>"26-E025-0000"</f>
        <v>26-E025-0000</v>
      </c>
      <c r="C1903" t="str">
        <f>"Assembly, JM, E025 F-O-R Switch Panel"</f>
        <v>Assembly, JM, E025 F-O-R Switch Panel</v>
      </c>
      <c r="D1903">
        <v>2</v>
      </c>
      <c r="E1903" t="str">
        <f t="shared" si="494"/>
        <v>Electrical Control Systems Two Sided Bench</v>
      </c>
      <c r="F1903">
        <v>0</v>
      </c>
      <c r="G1903" t="str">
        <f t="shared" si="490"/>
        <v>Y</v>
      </c>
      <c r="H1903" t="str">
        <f t="shared" si="496"/>
        <v>EA</v>
      </c>
      <c r="I1903">
        <v>0</v>
      </c>
      <c r="J1903">
        <v>0</v>
      </c>
      <c r="K1903" t="str">
        <f t="shared" si="491"/>
        <v>Y</v>
      </c>
      <c r="L1903">
        <v>0</v>
      </c>
      <c r="M1903" t="str">
        <f t="shared" si="485"/>
        <v>NIS</v>
      </c>
      <c r="O1903">
        <v>52</v>
      </c>
      <c r="P1903" t="str">
        <f t="shared" si="495"/>
        <v>Active</v>
      </c>
      <c r="Q1903" t="str">
        <f>"Assembly, JM, E025 F-O-R Switch Panel"</f>
        <v>Assembly, JM, E025 F-O-R Switch Panel</v>
      </c>
      <c r="S1903" t="str">
        <f>"Assembly, JM, E025 F-O-R Switch Panel"</f>
        <v>Assembly, JM, E025 F-O-R Switch Panel</v>
      </c>
      <c r="T1903">
        <v>108.83</v>
      </c>
      <c r="U1903">
        <v>108</v>
      </c>
      <c r="V1903">
        <v>390.23</v>
      </c>
      <c r="W1903" t="str">
        <f t="shared" si="497"/>
        <v>zintel</v>
      </c>
    </row>
    <row r="1904" spans="1:23">
      <c r="A1904" t="str">
        <f t="shared" si="493"/>
        <v>JM-CTRL-SYSM</v>
      </c>
      <c r="B1904" t="str">
        <f>"26-E034-0000"</f>
        <v>26-E034-0000</v>
      </c>
      <c r="C1904" t="str">
        <f>"Assembly, JM, E034, DC Motor Panel"</f>
        <v>Assembly, JM, E034, DC Motor Panel</v>
      </c>
      <c r="D1904">
        <v>2</v>
      </c>
      <c r="E1904" t="str">
        <f t="shared" si="494"/>
        <v>Electrical Control Systems Two Sided Bench</v>
      </c>
      <c r="F1904">
        <v>0</v>
      </c>
      <c r="G1904" t="str">
        <f t="shared" si="490"/>
        <v>Y</v>
      </c>
      <c r="H1904" t="str">
        <f t="shared" si="496"/>
        <v>EA</v>
      </c>
      <c r="I1904">
        <v>0</v>
      </c>
      <c r="J1904">
        <v>0</v>
      </c>
      <c r="K1904" t="str">
        <f t="shared" si="491"/>
        <v>Y</v>
      </c>
      <c r="L1904">
        <v>0</v>
      </c>
      <c r="M1904" t="str">
        <f t="shared" si="485"/>
        <v>NIS</v>
      </c>
      <c r="N1904" t="str">
        <f>"Y"</f>
        <v>Y</v>
      </c>
      <c r="O1904">
        <v>53</v>
      </c>
      <c r="P1904" t="str">
        <f t="shared" si="495"/>
        <v>Active</v>
      </c>
      <c r="Q1904" t="str">
        <f>"Assembly, JM, E034, DC Motor Panel"</f>
        <v>Assembly, JM, E034, DC Motor Panel</v>
      </c>
      <c r="S1904" t="str">
        <f>"Assembly, JM, E034, DC Motor Panel"</f>
        <v>Assembly, JM, E034, DC Motor Panel</v>
      </c>
      <c r="T1904">
        <v>304.44</v>
      </c>
      <c r="U1904">
        <v>305</v>
      </c>
      <c r="V1904">
        <v>504.64</v>
      </c>
      <c r="W1904" t="str">
        <f t="shared" si="497"/>
        <v>zintel</v>
      </c>
    </row>
    <row r="1905" spans="1:23">
      <c r="A1905" t="str">
        <f t="shared" si="493"/>
        <v>JM-CTRL-SYSM</v>
      </c>
      <c r="B1905" t="str">
        <f>"26-E038-0000"</f>
        <v>26-E038-0000</v>
      </c>
      <c r="C1905" t="str">
        <f>"Assembly, JM, E038, PWM Speed Control Panel"</f>
        <v>Assembly, JM, E038, PWM Speed Control Panel</v>
      </c>
      <c r="D1905">
        <v>2</v>
      </c>
      <c r="E1905" t="str">
        <f t="shared" si="494"/>
        <v>Electrical Control Systems Two Sided Bench</v>
      </c>
      <c r="F1905">
        <v>0</v>
      </c>
      <c r="G1905" t="str">
        <f t="shared" si="490"/>
        <v>Y</v>
      </c>
      <c r="H1905" t="str">
        <f t="shared" si="496"/>
        <v>EA</v>
      </c>
      <c r="I1905">
        <v>0</v>
      </c>
      <c r="J1905">
        <v>0</v>
      </c>
      <c r="K1905" t="str">
        <f t="shared" si="491"/>
        <v>Y</v>
      </c>
      <c r="L1905">
        <v>0</v>
      </c>
      <c r="M1905" t="str">
        <f t="shared" ref="M1905:M1968" si="498">"NIS"</f>
        <v>NIS</v>
      </c>
      <c r="O1905">
        <v>54</v>
      </c>
      <c r="P1905" t="str">
        <f t="shared" si="495"/>
        <v>Active</v>
      </c>
      <c r="Q1905" t="str">
        <f>"Assembly, JM, E038, PWM Speed Control Panel"</f>
        <v>Assembly, JM, E038, PWM Speed Control Panel</v>
      </c>
      <c r="S1905" t="str">
        <f>"Assembly, JM, E038, PWM Speed Control Panel"</f>
        <v>Assembly, JM, E038, PWM Speed Control Panel</v>
      </c>
      <c r="T1905">
        <v>254.87</v>
      </c>
      <c r="U1905">
        <v>255</v>
      </c>
      <c r="V1905">
        <v>602.52</v>
      </c>
      <c r="W1905" t="str">
        <f t="shared" si="497"/>
        <v>zintel</v>
      </c>
    </row>
    <row r="1906" spans="1:23">
      <c r="A1906" t="str">
        <f t="shared" si="493"/>
        <v>JM-CTRL-SYSM</v>
      </c>
      <c r="B1906" t="str">
        <f>"26-E048-0000"</f>
        <v>26-E048-0000</v>
      </c>
      <c r="C1906" t="str">
        <f>"Assembly, JM, E048 Inertial Load Panel"</f>
        <v>Assembly, JM, E048 Inertial Load Panel</v>
      </c>
      <c r="D1906">
        <v>2</v>
      </c>
      <c r="E1906" t="str">
        <f t="shared" si="494"/>
        <v>Electrical Control Systems Two Sided Bench</v>
      </c>
      <c r="F1906">
        <v>0</v>
      </c>
      <c r="G1906" t="str">
        <f t="shared" si="490"/>
        <v>Y</v>
      </c>
      <c r="H1906" t="str">
        <f t="shared" si="496"/>
        <v>EA</v>
      </c>
      <c r="I1906">
        <v>0</v>
      </c>
      <c r="J1906">
        <v>0</v>
      </c>
      <c r="K1906" t="str">
        <f t="shared" si="491"/>
        <v>Y</v>
      </c>
      <c r="L1906">
        <v>0</v>
      </c>
      <c r="M1906" t="str">
        <f t="shared" si="498"/>
        <v>NIS</v>
      </c>
      <c r="O1906">
        <v>55</v>
      </c>
      <c r="P1906" t="str">
        <f t="shared" si="495"/>
        <v>Active</v>
      </c>
      <c r="Q1906" t="str">
        <f>"Assembly, JM, E048 Inertial Load Panel"</f>
        <v>Assembly, JM, E048 Inertial Load Panel</v>
      </c>
      <c r="S1906" t="str">
        <f>"Assembly, JM, E048 Inertial Load Panel"</f>
        <v>Assembly, JM, E048 Inertial Load Panel</v>
      </c>
      <c r="T1906">
        <v>179.91</v>
      </c>
      <c r="U1906">
        <v>207</v>
      </c>
      <c r="V1906">
        <v>293.45999999999998</v>
      </c>
      <c r="W1906" t="str">
        <f t="shared" si="497"/>
        <v>zintel</v>
      </c>
    </row>
    <row r="1907" spans="1:23">
      <c r="A1907" t="str">
        <f t="shared" si="493"/>
        <v>JM-CTRL-SYSM</v>
      </c>
      <c r="B1907" t="str">
        <f>"26-E071-0000"</f>
        <v>26-E071-0000</v>
      </c>
      <c r="C1907" t="str">
        <f>"Assembly, JM, E071 Regenerative SCR Drive Panel"</f>
        <v>Assembly, JM, E071 Regenerative SCR Drive Panel</v>
      </c>
      <c r="D1907">
        <v>2</v>
      </c>
      <c r="E1907" t="str">
        <f t="shared" si="494"/>
        <v>Electrical Control Systems Two Sided Bench</v>
      </c>
      <c r="F1907">
        <v>0</v>
      </c>
      <c r="G1907" t="str">
        <f t="shared" si="490"/>
        <v>Y</v>
      </c>
      <c r="H1907" t="str">
        <f t="shared" si="496"/>
        <v>EA</v>
      </c>
      <c r="I1907">
        <v>0</v>
      </c>
      <c r="J1907">
        <v>0</v>
      </c>
      <c r="K1907" t="str">
        <f t="shared" si="491"/>
        <v>Y</v>
      </c>
      <c r="L1907">
        <v>0</v>
      </c>
      <c r="M1907" t="str">
        <f t="shared" si="498"/>
        <v>NIS</v>
      </c>
      <c r="O1907">
        <v>56</v>
      </c>
      <c r="P1907" t="str">
        <f t="shared" si="495"/>
        <v>Active</v>
      </c>
      <c r="Q1907" t="str">
        <f>"Assembly, JM, E071 Regenerative SCR Drive Panel"</f>
        <v>Assembly, JM, E071 Regenerative SCR Drive Panel</v>
      </c>
      <c r="S1907" t="str">
        <f>"Assembly, JM, E071 Regenerative SCR Drive Panel"</f>
        <v>Assembly, JM, E071 Regenerative SCR Drive Panel</v>
      </c>
      <c r="T1907">
        <v>371.1</v>
      </c>
      <c r="U1907">
        <v>370</v>
      </c>
      <c r="V1907">
        <v>641.86</v>
      </c>
      <c r="W1907" t="str">
        <f t="shared" si="497"/>
        <v>zintel</v>
      </c>
    </row>
    <row r="1908" spans="1:23">
      <c r="A1908" t="str">
        <f t="shared" si="493"/>
        <v>JM-CTRL-SYSM</v>
      </c>
      <c r="B1908" t="str">
        <f>"36-EA16-IG01"</f>
        <v>36-EA16-IG01</v>
      </c>
      <c r="C1908" t="str">
        <f>"JM, PDF on CD DC Motor Drives - EA16"</f>
        <v>JM, PDF on CD DC Motor Drives - EA16</v>
      </c>
      <c r="D1908">
        <v>1</v>
      </c>
      <c r="E1908" t="str">
        <f t="shared" si="494"/>
        <v>Electrical Control Systems Two Sided Bench</v>
      </c>
      <c r="F1908">
        <v>0</v>
      </c>
      <c r="G1908" t="str">
        <f t="shared" si="490"/>
        <v>Y</v>
      </c>
      <c r="H1908" t="str">
        <f t="shared" si="496"/>
        <v>EA</v>
      </c>
      <c r="I1908">
        <v>0</v>
      </c>
      <c r="J1908">
        <v>0</v>
      </c>
      <c r="K1908" t="str">
        <f t="shared" si="491"/>
        <v>Y</v>
      </c>
      <c r="L1908">
        <v>0</v>
      </c>
      <c r="M1908" t="str">
        <f t="shared" si="498"/>
        <v>NIS</v>
      </c>
      <c r="N1908" t="str">
        <f>"Y"</f>
        <v>Y</v>
      </c>
      <c r="O1908">
        <v>57</v>
      </c>
      <c r="P1908" t="str">
        <f t="shared" si="495"/>
        <v>Active</v>
      </c>
      <c r="Q1908" t="str">
        <f>"JM, PDF on CD DC Motor Drives - EA16"</f>
        <v>JM, PDF on CD DC Motor Drives - EA16</v>
      </c>
      <c r="S1908" t="str">
        <f>"JM, PDF on CD DC Motor Drives - EA16"</f>
        <v>JM, PDF on CD DC Motor Drives - EA16</v>
      </c>
      <c r="T1908">
        <v>10.3</v>
      </c>
      <c r="U1908">
        <v>10.3</v>
      </c>
      <c r="V1908">
        <v>11.43</v>
      </c>
      <c r="W1908" t="str">
        <f t="shared" si="497"/>
        <v>zintel</v>
      </c>
    </row>
    <row r="1909" spans="1:23">
      <c r="A1909" t="str">
        <f t="shared" si="493"/>
        <v>JM-CTRL-SYSM</v>
      </c>
      <c r="B1909" t="str">
        <f>"10-PPSU-0001"</f>
        <v>10-PPSU-0001</v>
      </c>
      <c r="C1909" t="str">
        <f>"JM, Portable Panel Storage Unit"</f>
        <v>JM, Portable Panel Storage Unit</v>
      </c>
      <c r="D1909">
        <v>1</v>
      </c>
      <c r="E1909" t="str">
        <f t="shared" si="494"/>
        <v>Electrical Control Systems Two Sided Bench</v>
      </c>
      <c r="F1909">
        <v>0</v>
      </c>
      <c r="G1909" t="str">
        <f t="shared" si="490"/>
        <v>Y</v>
      </c>
      <c r="H1909" t="str">
        <f t="shared" si="496"/>
        <v>EA</v>
      </c>
      <c r="I1909">
        <v>0</v>
      </c>
      <c r="J1909">
        <v>0</v>
      </c>
      <c r="K1909" t="str">
        <f t="shared" si="491"/>
        <v>Y</v>
      </c>
      <c r="L1909">
        <v>0</v>
      </c>
      <c r="M1909" t="str">
        <f t="shared" si="498"/>
        <v>NIS</v>
      </c>
      <c r="O1909">
        <v>58</v>
      </c>
      <c r="P1909" t="str">
        <f t="shared" si="495"/>
        <v>Active</v>
      </c>
      <c r="Q1909" t="str">
        <f>"JM, Portable Panel Storage Unit"</f>
        <v>JM, Portable Panel Storage Unit</v>
      </c>
      <c r="S1909" t="str">
        <f>"JM, Portable Panel Storage Unit"</f>
        <v>JM, Portable Panel Storage Unit</v>
      </c>
      <c r="T1909">
        <v>889.25</v>
      </c>
      <c r="U1909">
        <v>961.88</v>
      </c>
      <c r="V1909">
        <v>978.6</v>
      </c>
      <c r="W1909" t="str">
        <f t="shared" si="497"/>
        <v>zintel</v>
      </c>
    </row>
    <row r="1910" spans="1:23">
      <c r="A1910" t="str">
        <f t="shared" ref="A1910:A1954" si="499">"JM-CTRL-SYSM-2"</f>
        <v>JM-CTRL-SYSM-2</v>
      </c>
      <c r="B1910" t="str">
        <f>"10-LS00-0200"</f>
        <v>10-LS00-0200</v>
      </c>
      <c r="C1910" t="str">
        <f>"LS200:Jobmaster 2-Sided Mobile Learning Station"</f>
        <v>LS200:Jobmaster 2-Sided Mobile Learning Station</v>
      </c>
      <c r="D1910">
        <v>1</v>
      </c>
      <c r="E1910" t="str">
        <f t="shared" ref="E1910:E1954" si="500">"Electrical Control Systems Two Sided Bench 220V"</f>
        <v>Electrical Control Systems Two Sided Bench 220V</v>
      </c>
      <c r="F1910">
        <v>0</v>
      </c>
      <c r="G1910" t="str">
        <f t="shared" si="490"/>
        <v>Y</v>
      </c>
      <c r="H1910" t="str">
        <f t="shared" si="496"/>
        <v>EA</v>
      </c>
      <c r="I1910">
        <v>0</v>
      </c>
      <c r="J1910">
        <v>0</v>
      </c>
      <c r="K1910" t="str">
        <f t="shared" si="491"/>
        <v>Y</v>
      </c>
      <c r="L1910">
        <v>0</v>
      </c>
      <c r="M1910" t="str">
        <f t="shared" si="498"/>
        <v>NIS</v>
      </c>
      <c r="O1910">
        <v>1</v>
      </c>
      <c r="P1910" t="str">
        <f t="shared" si="495"/>
        <v>Active</v>
      </c>
      <c r="Q1910" t="str">
        <f>"LS200:Jobmaster 2-Sided Mobile Learning Station"</f>
        <v>LS200:Jobmaster 2-Sided Mobile Learning Station</v>
      </c>
      <c r="S1910" t="str">
        <f>"LS200:Jobmaster 2-Sided Mobile Learning Station"</f>
        <v>LS200:Jobmaster 2-Sided Mobile Learning Station</v>
      </c>
      <c r="T1910" s="44">
        <v>2283.3200000000002</v>
      </c>
      <c r="U1910" s="44">
        <v>2121</v>
      </c>
      <c r="V1910" s="44">
        <v>3030.14</v>
      </c>
      <c r="W1910" t="str">
        <f t="shared" si="497"/>
        <v>zintel</v>
      </c>
    </row>
    <row r="1911" spans="1:23">
      <c r="A1911" t="str">
        <f t="shared" si="499"/>
        <v>JM-CTRL-SYSM-2</v>
      </c>
      <c r="B1911" t="str">
        <f>"10-PC04-0000"</f>
        <v>10-PC04-0000</v>
      </c>
      <c r="C1911" t="str">
        <f>"JM, Panel PC04, 120VAC Power Control"</f>
        <v>JM, Panel PC04, 120VAC Power Control</v>
      </c>
      <c r="D1911">
        <v>2</v>
      </c>
      <c r="E1911" t="str">
        <f t="shared" si="500"/>
        <v>Electrical Control Systems Two Sided Bench 220V</v>
      </c>
      <c r="F1911">
        <v>0</v>
      </c>
      <c r="G1911" t="str">
        <f t="shared" si="490"/>
        <v>Y</v>
      </c>
      <c r="H1911" t="str">
        <f t="shared" si="496"/>
        <v>EA</v>
      </c>
      <c r="I1911">
        <v>0</v>
      </c>
      <c r="J1911">
        <v>0</v>
      </c>
      <c r="K1911" t="str">
        <f t="shared" si="491"/>
        <v>Y</v>
      </c>
      <c r="L1911">
        <v>0</v>
      </c>
      <c r="M1911" t="str">
        <f t="shared" si="498"/>
        <v>NIS</v>
      </c>
      <c r="O1911">
        <v>2</v>
      </c>
      <c r="P1911" t="str">
        <f t="shared" si="495"/>
        <v>Active</v>
      </c>
      <c r="Q1911" t="str">
        <f>"JM, Panel PC04, 120VAC Power Control"</f>
        <v>JM, Panel PC04, 120VAC Power Control</v>
      </c>
      <c r="S1911" t="str">
        <f>"JM, Panel PC04, 120VAC Power Control"</f>
        <v>JM, Panel PC04, 120VAC Power Control</v>
      </c>
      <c r="T1911">
        <v>358.54</v>
      </c>
      <c r="U1911">
        <v>358</v>
      </c>
      <c r="V1911">
        <v>637.30999999999995</v>
      </c>
      <c r="W1911" t="str">
        <f t="shared" si="497"/>
        <v>zintel</v>
      </c>
    </row>
    <row r="1912" spans="1:23">
      <c r="A1912" t="str">
        <f t="shared" si="499"/>
        <v>JM-CTRL-SYSM-2</v>
      </c>
      <c r="B1912" t="str">
        <f>"10-PC06-0000"</f>
        <v>10-PC06-0000</v>
      </c>
      <c r="C1912" t="str">
        <f>"JM, Panel PC06, 220VAC Three Phase Power Control"</f>
        <v>JM, Panel PC06, 220VAC Three Phase Power Control</v>
      </c>
      <c r="D1912">
        <v>2</v>
      </c>
      <c r="E1912" t="str">
        <f t="shared" si="500"/>
        <v>Electrical Control Systems Two Sided Bench 220V</v>
      </c>
      <c r="F1912">
        <v>0</v>
      </c>
      <c r="G1912" t="str">
        <f t="shared" si="490"/>
        <v>Y</v>
      </c>
      <c r="H1912" t="str">
        <f t="shared" si="496"/>
        <v>EA</v>
      </c>
      <c r="I1912">
        <v>0</v>
      </c>
      <c r="J1912">
        <v>0</v>
      </c>
      <c r="K1912" t="str">
        <f t="shared" si="491"/>
        <v>Y</v>
      </c>
      <c r="L1912">
        <v>0</v>
      </c>
      <c r="M1912" t="str">
        <f t="shared" si="498"/>
        <v>NIS</v>
      </c>
      <c r="O1912">
        <v>3</v>
      </c>
      <c r="P1912" t="str">
        <f t="shared" si="495"/>
        <v>Active</v>
      </c>
      <c r="Q1912" t="str">
        <f>"JM, Panel PC06, 220VAC Three Phase Power Control"</f>
        <v>JM, Panel PC06, 220VAC Three Phase Power Control</v>
      </c>
      <c r="S1912" t="str">
        <f>"JM, Panel PC06, 220VAC Three Phase Power Control"</f>
        <v>JM, Panel PC06, 220VAC Three Phase Power Control</v>
      </c>
      <c r="T1912">
        <v>399.23</v>
      </c>
      <c r="U1912">
        <v>400</v>
      </c>
      <c r="V1912">
        <v>576.48</v>
      </c>
      <c r="W1912" t="str">
        <f t="shared" si="497"/>
        <v>zintel</v>
      </c>
    </row>
    <row r="1913" spans="1:23">
      <c r="A1913" t="str">
        <f t="shared" si="499"/>
        <v>JM-CTRL-SYSM-2</v>
      </c>
      <c r="B1913" t="str">
        <f>"77-EA02-0000"</f>
        <v>77-EA02-0000</v>
      </c>
      <c r="C1913" t="str">
        <f>"LM7 Content, JM, Electric Circuit Protection"</f>
        <v>LM7 Content, JM, Electric Circuit Protection</v>
      </c>
      <c r="D1913">
        <v>1</v>
      </c>
      <c r="E1913" t="str">
        <f t="shared" si="500"/>
        <v>Electrical Control Systems Two Sided Bench 220V</v>
      </c>
      <c r="F1913">
        <v>0</v>
      </c>
      <c r="G1913" t="str">
        <f t="shared" si="490"/>
        <v>Y</v>
      </c>
      <c r="H1913" t="str">
        <f t="shared" si="496"/>
        <v>EA</v>
      </c>
      <c r="I1913">
        <v>0</v>
      </c>
      <c r="J1913">
        <v>0</v>
      </c>
      <c r="K1913" t="str">
        <f t="shared" si="491"/>
        <v>Y</v>
      </c>
      <c r="L1913">
        <v>0</v>
      </c>
      <c r="M1913" t="str">
        <f t="shared" si="498"/>
        <v>NIS</v>
      </c>
      <c r="O1913">
        <v>4</v>
      </c>
      <c r="P1913" t="str">
        <f t="shared" si="495"/>
        <v>Active</v>
      </c>
      <c r="Q1913" t="str">
        <f>"LM7 Content, JM, Electric Circuit Protection"</f>
        <v>LM7 Content, JM, Electric Circuit Protection</v>
      </c>
      <c r="S1913" t="str">
        <f>"LM7 Content, JM, Electric Circuit Protection"</f>
        <v>LM7 Content, JM, Electric Circuit Protection</v>
      </c>
      <c r="T1913">
        <v>0</v>
      </c>
      <c r="U1913">
        <v>5</v>
      </c>
      <c r="V1913">
        <v>5</v>
      </c>
      <c r="W1913" t="str">
        <f t="shared" si="497"/>
        <v>zintel</v>
      </c>
    </row>
    <row r="1914" spans="1:23">
      <c r="A1914" t="str">
        <f t="shared" si="499"/>
        <v>JM-CTRL-SYSM-2</v>
      </c>
      <c r="B1914" t="str">
        <f>"26-E022-0000"</f>
        <v>26-E022-0000</v>
      </c>
      <c r="C1914" t="str">
        <f>"Assembly, JM, E022, Manual Starter Panel"</f>
        <v>Assembly, JM, E022, Manual Starter Panel</v>
      </c>
      <c r="D1914">
        <v>2</v>
      </c>
      <c r="E1914" t="str">
        <f t="shared" si="500"/>
        <v>Electrical Control Systems Two Sided Bench 220V</v>
      </c>
      <c r="F1914">
        <v>0</v>
      </c>
      <c r="G1914" t="str">
        <f t="shared" si="490"/>
        <v>Y</v>
      </c>
      <c r="H1914" t="str">
        <f t="shared" si="496"/>
        <v>EA</v>
      </c>
      <c r="I1914">
        <v>0</v>
      </c>
      <c r="J1914">
        <v>0</v>
      </c>
      <c r="K1914" t="str">
        <f t="shared" si="491"/>
        <v>Y</v>
      </c>
      <c r="L1914">
        <v>0</v>
      </c>
      <c r="M1914" t="str">
        <f t="shared" si="498"/>
        <v>NIS</v>
      </c>
      <c r="O1914">
        <v>5</v>
      </c>
      <c r="P1914" t="str">
        <f t="shared" si="495"/>
        <v>Active</v>
      </c>
      <c r="Q1914" t="str">
        <f>"Assembly, JM, E022, Manual Starter Panel"</f>
        <v>Assembly, JM, E022, Manual Starter Panel</v>
      </c>
      <c r="S1914" t="str">
        <f>"Assembly, JM, E022, Manual Starter Panel"</f>
        <v>Assembly, JM, E022, Manual Starter Panel</v>
      </c>
      <c r="T1914">
        <v>528.26</v>
      </c>
      <c r="U1914">
        <v>525</v>
      </c>
      <c r="V1914">
        <v>853.52</v>
      </c>
      <c r="W1914" t="str">
        <f t="shared" si="497"/>
        <v>zintel</v>
      </c>
    </row>
    <row r="1915" spans="1:23">
      <c r="A1915" t="str">
        <f t="shared" si="499"/>
        <v>JM-CTRL-SYSM-2</v>
      </c>
      <c r="B1915" t="str">
        <f>"26-E030-0000"</f>
        <v>26-E030-0000</v>
      </c>
      <c r="C1915" t="str">
        <f>"Assembly, JM, E030, Overload Protection Panel"</f>
        <v>Assembly, JM, E030, Overload Protection Panel</v>
      </c>
      <c r="D1915">
        <v>2</v>
      </c>
      <c r="E1915" t="str">
        <f t="shared" si="500"/>
        <v>Electrical Control Systems Two Sided Bench 220V</v>
      </c>
      <c r="F1915">
        <v>0</v>
      </c>
      <c r="G1915" t="str">
        <f t="shared" si="490"/>
        <v>Y</v>
      </c>
      <c r="H1915" t="str">
        <f t="shared" si="496"/>
        <v>EA</v>
      </c>
      <c r="I1915">
        <v>0</v>
      </c>
      <c r="J1915">
        <v>0</v>
      </c>
      <c r="K1915" t="str">
        <f t="shared" si="491"/>
        <v>Y</v>
      </c>
      <c r="L1915">
        <v>0</v>
      </c>
      <c r="M1915" t="str">
        <f t="shared" si="498"/>
        <v>NIS</v>
      </c>
      <c r="O1915">
        <v>6</v>
      </c>
      <c r="P1915" t="str">
        <f t="shared" si="495"/>
        <v>Active</v>
      </c>
      <c r="Q1915" t="str">
        <f>"Assembly, JM, E030, Overload Protection Panel"</f>
        <v>Assembly, JM, E030, Overload Protection Panel</v>
      </c>
      <c r="S1915" t="str">
        <f>"Assembly, JM, E030, Overload Protection Panel"</f>
        <v>Assembly, JM, E030, Overload Protection Panel</v>
      </c>
      <c r="T1915">
        <v>268.64</v>
      </c>
      <c r="U1915">
        <v>265</v>
      </c>
      <c r="V1915">
        <v>861.16</v>
      </c>
      <c r="W1915" t="str">
        <f t="shared" si="497"/>
        <v>zintel</v>
      </c>
    </row>
    <row r="1916" spans="1:23">
      <c r="A1916" t="str">
        <f t="shared" si="499"/>
        <v>JM-CTRL-SYSM-2</v>
      </c>
      <c r="B1916" t="str">
        <f>"77-EA03-0000"</f>
        <v>77-EA03-0000</v>
      </c>
      <c r="C1916" t="str">
        <f>"LM7 Content, JM, 3 Phase Transformers"</f>
        <v>LM7 Content, JM, 3 Phase Transformers</v>
      </c>
      <c r="D1916">
        <v>1</v>
      </c>
      <c r="E1916" t="str">
        <f t="shared" si="500"/>
        <v>Electrical Control Systems Two Sided Bench 220V</v>
      </c>
      <c r="F1916">
        <v>0</v>
      </c>
      <c r="G1916" t="str">
        <f t="shared" si="490"/>
        <v>Y</v>
      </c>
      <c r="H1916" t="str">
        <f t="shared" si="496"/>
        <v>EA</v>
      </c>
      <c r="I1916">
        <v>0</v>
      </c>
      <c r="J1916">
        <v>0</v>
      </c>
      <c r="K1916" t="str">
        <f t="shared" si="491"/>
        <v>Y</v>
      </c>
      <c r="L1916">
        <v>0</v>
      </c>
      <c r="M1916" t="str">
        <f t="shared" si="498"/>
        <v>NIS</v>
      </c>
      <c r="O1916">
        <v>8</v>
      </c>
      <c r="P1916" t="str">
        <f t="shared" si="495"/>
        <v>Active</v>
      </c>
      <c r="Q1916" t="str">
        <f>"LM7 Content, JM, 3 Phase Transformers"</f>
        <v>LM7 Content, JM, 3 Phase Transformers</v>
      </c>
      <c r="S1916" t="str">
        <f>"LM7 Content, JM, 3 Phase Transformers"</f>
        <v>LM7 Content, JM, 3 Phase Transformers</v>
      </c>
      <c r="T1916">
        <v>0</v>
      </c>
      <c r="U1916">
        <v>5</v>
      </c>
      <c r="V1916">
        <v>5</v>
      </c>
      <c r="W1916" t="str">
        <f t="shared" si="497"/>
        <v>zintel</v>
      </c>
    </row>
    <row r="1917" spans="1:23">
      <c r="A1917" t="str">
        <f t="shared" si="499"/>
        <v>JM-CTRL-SYSM-2</v>
      </c>
      <c r="B1917" t="str">
        <f>"26-E003-0000"</f>
        <v>26-E003-0000</v>
      </c>
      <c r="C1917" t="str">
        <f>"Assembly, JM, E003, 3-Phase Transformer Panel"</f>
        <v>Assembly, JM, E003, 3-Phase Transformer Panel</v>
      </c>
      <c r="D1917">
        <v>2</v>
      </c>
      <c r="E1917" t="str">
        <f t="shared" si="500"/>
        <v>Electrical Control Systems Two Sided Bench 220V</v>
      </c>
      <c r="F1917">
        <v>0</v>
      </c>
      <c r="G1917" t="str">
        <f t="shared" si="490"/>
        <v>Y</v>
      </c>
      <c r="H1917" t="str">
        <f t="shared" si="496"/>
        <v>EA</v>
      </c>
      <c r="I1917">
        <v>0</v>
      </c>
      <c r="J1917">
        <v>0</v>
      </c>
      <c r="K1917" t="str">
        <f t="shared" si="491"/>
        <v>Y</v>
      </c>
      <c r="L1917">
        <v>0</v>
      </c>
      <c r="M1917" t="str">
        <f t="shared" si="498"/>
        <v>NIS</v>
      </c>
      <c r="O1917">
        <v>9</v>
      </c>
      <c r="P1917" t="str">
        <f t="shared" si="495"/>
        <v>Active</v>
      </c>
      <c r="Q1917" t="str">
        <f>"Assembly, JM, E003, 3-Phase Transformer Panel"</f>
        <v>Assembly, JM, E003, 3-Phase Transformer Panel</v>
      </c>
      <c r="S1917" t="str">
        <f>"Assembly, JM, E003, 3-Phase Transformer Panel"</f>
        <v>Assembly, JM, E003, 3-Phase Transformer Panel</v>
      </c>
      <c r="T1917">
        <v>348.38</v>
      </c>
      <c r="U1917">
        <v>342</v>
      </c>
      <c r="V1917">
        <v>393.23</v>
      </c>
      <c r="W1917" t="str">
        <f t="shared" si="497"/>
        <v>zintel</v>
      </c>
    </row>
    <row r="1918" spans="1:23">
      <c r="A1918" t="str">
        <f t="shared" si="499"/>
        <v>JM-CTRL-SYSM-2</v>
      </c>
      <c r="B1918" t="str">
        <f>"77-EA04-0000"</f>
        <v>77-EA04-0000</v>
      </c>
      <c r="C1918" t="str">
        <f>"LM7 Content, JM, Electric Motors"</f>
        <v>LM7 Content, JM, Electric Motors</v>
      </c>
      <c r="D1918">
        <v>1</v>
      </c>
      <c r="E1918" t="str">
        <f t="shared" si="500"/>
        <v>Electrical Control Systems Two Sided Bench 220V</v>
      </c>
      <c r="F1918">
        <v>0</v>
      </c>
      <c r="G1918" t="str">
        <f t="shared" si="490"/>
        <v>Y</v>
      </c>
      <c r="H1918" t="str">
        <f t="shared" si="496"/>
        <v>EA</v>
      </c>
      <c r="I1918">
        <v>0</v>
      </c>
      <c r="J1918">
        <v>0</v>
      </c>
      <c r="K1918" t="str">
        <f t="shared" si="491"/>
        <v>Y</v>
      </c>
      <c r="L1918">
        <v>0</v>
      </c>
      <c r="M1918" t="str">
        <f t="shared" si="498"/>
        <v>NIS</v>
      </c>
      <c r="O1918">
        <v>11</v>
      </c>
      <c r="P1918" t="str">
        <f t="shared" si="495"/>
        <v>Active</v>
      </c>
      <c r="Q1918" t="str">
        <f>"LM7 Content, JM, Electric Motors"</f>
        <v>LM7 Content, JM, Electric Motors</v>
      </c>
      <c r="S1918" t="str">
        <f>"LM7 Content, JM, Electric Motors"</f>
        <v>LM7 Content, JM, Electric Motors</v>
      </c>
      <c r="T1918">
        <v>0</v>
      </c>
      <c r="U1918">
        <v>5</v>
      </c>
      <c r="V1918">
        <v>5</v>
      </c>
      <c r="W1918" t="str">
        <f t="shared" si="497"/>
        <v>zintel</v>
      </c>
    </row>
    <row r="1919" spans="1:23">
      <c r="A1919" t="str">
        <f t="shared" si="499"/>
        <v>JM-CTRL-SYSM-2</v>
      </c>
      <c r="B1919" t="str">
        <f>"26-E007-0000"</f>
        <v>26-E007-0000</v>
      </c>
      <c r="C1919" t="str">
        <f>"Assembly, JM, E007 - SCR Speed Control Panel"</f>
        <v>Assembly, JM, E007 - SCR Speed Control Panel</v>
      </c>
      <c r="D1919">
        <v>4</v>
      </c>
      <c r="E1919" t="str">
        <f t="shared" si="500"/>
        <v>Electrical Control Systems Two Sided Bench 220V</v>
      </c>
      <c r="F1919">
        <v>0</v>
      </c>
      <c r="G1919" t="str">
        <f t="shared" si="490"/>
        <v>Y</v>
      </c>
      <c r="H1919" t="str">
        <f t="shared" si="496"/>
        <v>EA</v>
      </c>
      <c r="I1919">
        <v>0</v>
      </c>
      <c r="J1919">
        <v>0</v>
      </c>
      <c r="K1919" t="str">
        <f t="shared" si="491"/>
        <v>Y</v>
      </c>
      <c r="L1919">
        <v>0</v>
      </c>
      <c r="M1919" t="str">
        <f t="shared" si="498"/>
        <v>NIS</v>
      </c>
      <c r="O1919">
        <v>12</v>
      </c>
      <c r="P1919" t="str">
        <f t="shared" si="495"/>
        <v>Active</v>
      </c>
      <c r="Q1919" t="str">
        <f>"Assembly, JM, E007 - SCR Speed Control Panel"</f>
        <v>Assembly, JM, E007 - SCR Speed Control Panel</v>
      </c>
      <c r="S1919" t="str">
        <f>"Assembly, JM, E007 - SCR Speed Control Panel"</f>
        <v>Assembly, JM, E007 - SCR Speed Control Panel</v>
      </c>
      <c r="T1919">
        <v>163.16999999999999</v>
      </c>
      <c r="U1919">
        <v>163</v>
      </c>
      <c r="V1919">
        <v>315.76</v>
      </c>
      <c r="W1919" t="str">
        <f t="shared" si="497"/>
        <v>zintel</v>
      </c>
    </row>
    <row r="1920" spans="1:23">
      <c r="A1920" t="str">
        <f t="shared" si="499"/>
        <v>JM-CTRL-SYSM-2</v>
      </c>
      <c r="B1920" t="str">
        <f>"26-E010-0000"</f>
        <v>26-E010-0000</v>
      </c>
      <c r="C1920" t="str">
        <f>"Assembly, JM, E010 - Three Phase Motor Panel"</f>
        <v>Assembly, JM, E010 - Three Phase Motor Panel</v>
      </c>
      <c r="D1920">
        <v>4</v>
      </c>
      <c r="E1920" t="str">
        <f t="shared" si="500"/>
        <v>Electrical Control Systems Two Sided Bench 220V</v>
      </c>
      <c r="F1920">
        <v>0</v>
      </c>
      <c r="G1920" t="str">
        <f t="shared" si="490"/>
        <v>Y</v>
      </c>
      <c r="H1920" t="str">
        <f t="shared" si="496"/>
        <v>EA</v>
      </c>
      <c r="I1920">
        <v>0</v>
      </c>
      <c r="J1920">
        <v>0</v>
      </c>
      <c r="K1920" t="str">
        <f t="shared" si="491"/>
        <v>Y</v>
      </c>
      <c r="L1920">
        <v>0</v>
      </c>
      <c r="M1920" t="str">
        <f t="shared" si="498"/>
        <v>NIS</v>
      </c>
      <c r="O1920">
        <v>13</v>
      </c>
      <c r="P1920" t="str">
        <f t="shared" si="495"/>
        <v>Active</v>
      </c>
      <c r="Q1920" t="str">
        <f>"Assembly, JM, E010 - Three Phase Motor Panel"</f>
        <v>Assembly, JM, E010 - Three Phase Motor Panel</v>
      </c>
      <c r="S1920" t="str">
        <f>"Assembly, JM, E010 - Three Phase Motor Panel"</f>
        <v>Assembly, JM, E010 - Three Phase Motor Panel</v>
      </c>
      <c r="T1920">
        <v>361.68</v>
      </c>
      <c r="U1920">
        <v>360</v>
      </c>
      <c r="V1920">
        <v>515.65</v>
      </c>
      <c r="W1920" t="str">
        <f t="shared" si="497"/>
        <v>zintel</v>
      </c>
    </row>
    <row r="1921" spans="1:23">
      <c r="A1921" t="str">
        <f t="shared" si="499"/>
        <v>JM-CTRL-SYSM-2</v>
      </c>
      <c r="B1921" t="str">
        <f>"26-E012-0000"</f>
        <v>26-E012-0000</v>
      </c>
      <c r="C1921" t="str">
        <f>"Assembly, JM, E012, Transformer Panel"</f>
        <v>Assembly, JM, E012, Transformer Panel</v>
      </c>
      <c r="D1921">
        <v>4</v>
      </c>
      <c r="E1921" t="str">
        <f t="shared" si="500"/>
        <v>Electrical Control Systems Two Sided Bench 220V</v>
      </c>
      <c r="F1921">
        <v>0</v>
      </c>
      <c r="G1921" t="str">
        <f t="shared" si="490"/>
        <v>Y</v>
      </c>
      <c r="H1921" t="str">
        <f t="shared" si="496"/>
        <v>EA</v>
      </c>
      <c r="I1921">
        <v>0</v>
      </c>
      <c r="J1921">
        <v>0</v>
      </c>
      <c r="K1921" t="str">
        <f t="shared" si="491"/>
        <v>Y</v>
      </c>
      <c r="L1921">
        <v>0</v>
      </c>
      <c r="M1921" t="str">
        <f t="shared" si="498"/>
        <v>NIS</v>
      </c>
      <c r="O1921">
        <v>14</v>
      </c>
      <c r="P1921" t="str">
        <f t="shared" si="495"/>
        <v>Active</v>
      </c>
      <c r="Q1921" t="str">
        <f>"Assembly, JM, E012, Transformer Panel"</f>
        <v>Assembly, JM, E012, Transformer Panel</v>
      </c>
      <c r="S1921" t="str">
        <f>"Assembly, JM, E012, Transformer Panel"</f>
        <v>Assembly, JM, E012, Transformer Panel</v>
      </c>
      <c r="T1921">
        <v>158.58000000000001</v>
      </c>
      <c r="U1921">
        <v>157</v>
      </c>
      <c r="V1921">
        <v>297.81</v>
      </c>
      <c r="W1921" t="str">
        <f t="shared" si="497"/>
        <v>zintel</v>
      </c>
    </row>
    <row r="1922" spans="1:23">
      <c r="A1922" t="str">
        <f t="shared" si="499"/>
        <v>JM-CTRL-SYSM-2</v>
      </c>
      <c r="B1922" t="str">
        <f>"26-E019-0000"</f>
        <v>26-E019-0000</v>
      </c>
      <c r="C1922" t="str">
        <f>"Assembly, JM, E019, Capacitor Start Motor Panel"</f>
        <v>Assembly, JM, E019, Capacitor Start Motor Panel</v>
      </c>
      <c r="D1922">
        <v>2</v>
      </c>
      <c r="E1922" t="str">
        <f t="shared" si="500"/>
        <v>Electrical Control Systems Two Sided Bench 220V</v>
      </c>
      <c r="F1922">
        <v>0</v>
      </c>
      <c r="G1922" t="str">
        <f t="shared" ref="G1922:G1985" si="501">"Y"</f>
        <v>Y</v>
      </c>
      <c r="H1922" t="str">
        <f t="shared" si="496"/>
        <v>EA</v>
      </c>
      <c r="I1922">
        <v>0</v>
      </c>
      <c r="J1922">
        <v>0</v>
      </c>
      <c r="K1922" t="str">
        <f t="shared" ref="K1922:K1985" si="502">"Y"</f>
        <v>Y</v>
      </c>
      <c r="L1922">
        <v>0</v>
      </c>
      <c r="M1922" t="str">
        <f t="shared" si="498"/>
        <v>NIS</v>
      </c>
      <c r="O1922">
        <v>15</v>
      </c>
      <c r="P1922" t="str">
        <f t="shared" si="495"/>
        <v>Active</v>
      </c>
      <c r="Q1922" t="str">
        <f>"Assembly, JM, E019, Capacitor Start Motor Panel"</f>
        <v>Assembly, JM, E019, Capacitor Start Motor Panel</v>
      </c>
      <c r="S1922" t="str">
        <f>"Assembly, JM, E019, Capacitor Start Motor Panel"</f>
        <v>Assembly, JM, E019, Capacitor Start Motor Panel</v>
      </c>
      <c r="T1922">
        <v>243.97</v>
      </c>
      <c r="U1922">
        <v>243</v>
      </c>
      <c r="V1922">
        <v>450.17</v>
      </c>
      <c r="W1922" t="str">
        <f t="shared" si="497"/>
        <v>zintel</v>
      </c>
    </row>
    <row r="1923" spans="1:23">
      <c r="A1923" t="str">
        <f t="shared" si="499"/>
        <v>JM-CTRL-SYSM-2</v>
      </c>
      <c r="B1923" t="str">
        <f>"26-E027-0000"</f>
        <v>26-E027-0000</v>
      </c>
      <c r="C1923" t="str">
        <f>"Assembly, JM, E027, Shaded Pole Motor Panel"</f>
        <v>Assembly, JM, E027, Shaded Pole Motor Panel</v>
      </c>
      <c r="D1923">
        <v>2</v>
      </c>
      <c r="E1923" t="str">
        <f t="shared" si="500"/>
        <v>Electrical Control Systems Two Sided Bench 220V</v>
      </c>
      <c r="F1923">
        <v>0</v>
      </c>
      <c r="G1923" t="str">
        <f t="shared" si="501"/>
        <v>Y</v>
      </c>
      <c r="H1923" t="str">
        <f t="shared" si="496"/>
        <v>EA</v>
      </c>
      <c r="I1923">
        <v>0</v>
      </c>
      <c r="J1923">
        <v>0</v>
      </c>
      <c r="K1923" t="str">
        <f t="shared" si="502"/>
        <v>Y</v>
      </c>
      <c r="L1923">
        <v>0</v>
      </c>
      <c r="M1923" t="str">
        <f t="shared" si="498"/>
        <v>NIS</v>
      </c>
      <c r="O1923">
        <v>16</v>
      </c>
      <c r="P1923" t="str">
        <f t="shared" ref="P1923:P1939" si="503">"Active"</f>
        <v>Active</v>
      </c>
      <c r="Q1923" t="str">
        <f>"Assembly, JM, E027, Shaded Pole Motor Panel"</f>
        <v>Assembly, JM, E027, Shaded Pole Motor Panel</v>
      </c>
      <c r="S1923" t="str">
        <f>"Assembly, JM, E027, Shaded Pole Motor Panel"</f>
        <v>Assembly, JM, E027, Shaded Pole Motor Panel</v>
      </c>
      <c r="T1923">
        <v>160.1</v>
      </c>
      <c r="U1923">
        <v>160</v>
      </c>
      <c r="V1923">
        <v>435.69</v>
      </c>
      <c r="W1923" t="str">
        <f t="shared" si="497"/>
        <v>zintel</v>
      </c>
    </row>
    <row r="1924" spans="1:23">
      <c r="A1924" t="str">
        <f t="shared" si="499"/>
        <v>JM-CTRL-SYSM-2</v>
      </c>
      <c r="B1924" t="str">
        <f>"26-E034-0000"</f>
        <v>26-E034-0000</v>
      </c>
      <c r="C1924" t="str">
        <f>"Assembly, JM, E034, DC Motor Panel"</f>
        <v>Assembly, JM, E034, DC Motor Panel</v>
      </c>
      <c r="D1924">
        <v>4</v>
      </c>
      <c r="E1924" t="str">
        <f t="shared" si="500"/>
        <v>Electrical Control Systems Two Sided Bench 220V</v>
      </c>
      <c r="F1924">
        <v>0</v>
      </c>
      <c r="G1924" t="str">
        <f t="shared" si="501"/>
        <v>Y</v>
      </c>
      <c r="H1924" t="str">
        <f t="shared" si="496"/>
        <v>EA</v>
      </c>
      <c r="I1924">
        <v>0</v>
      </c>
      <c r="J1924">
        <v>0</v>
      </c>
      <c r="K1924" t="str">
        <f t="shared" si="502"/>
        <v>Y</v>
      </c>
      <c r="L1924">
        <v>0</v>
      </c>
      <c r="M1924" t="str">
        <f t="shared" si="498"/>
        <v>NIS</v>
      </c>
      <c r="O1924">
        <v>17</v>
      </c>
      <c r="P1924" t="str">
        <f t="shared" si="503"/>
        <v>Active</v>
      </c>
      <c r="Q1924" t="str">
        <f>"Assembly, JM, E034, DC Motor Panel"</f>
        <v>Assembly, JM, E034, DC Motor Panel</v>
      </c>
      <c r="S1924" t="str">
        <f>"Assembly, JM, E034, DC Motor Panel"</f>
        <v>Assembly, JM, E034, DC Motor Panel</v>
      </c>
      <c r="T1924">
        <v>304.44</v>
      </c>
      <c r="U1924">
        <v>305</v>
      </c>
      <c r="V1924">
        <v>504.64</v>
      </c>
      <c r="W1924" t="str">
        <f t="shared" si="497"/>
        <v>zintel</v>
      </c>
    </row>
    <row r="1925" spans="1:23">
      <c r="A1925" t="str">
        <f t="shared" si="499"/>
        <v>JM-CTRL-SYSM-2</v>
      </c>
      <c r="B1925" t="str">
        <f>"26-E065-0000"</f>
        <v>26-E065-0000</v>
      </c>
      <c r="C1925" t="str">
        <f>"Assembly, JM, E065, Split Phase Motor Panel"</f>
        <v>Assembly, JM, E065, Split Phase Motor Panel</v>
      </c>
      <c r="D1925">
        <v>2</v>
      </c>
      <c r="E1925" t="str">
        <f t="shared" si="500"/>
        <v>Electrical Control Systems Two Sided Bench 220V</v>
      </c>
      <c r="F1925">
        <v>0</v>
      </c>
      <c r="G1925" t="str">
        <f t="shared" si="501"/>
        <v>Y</v>
      </c>
      <c r="H1925" t="str">
        <f t="shared" si="496"/>
        <v>EA</v>
      </c>
      <c r="I1925">
        <v>0</v>
      </c>
      <c r="J1925">
        <v>0</v>
      </c>
      <c r="K1925" t="str">
        <f t="shared" si="502"/>
        <v>Y</v>
      </c>
      <c r="L1925">
        <v>0</v>
      </c>
      <c r="M1925" t="str">
        <f t="shared" si="498"/>
        <v>NIS</v>
      </c>
      <c r="O1925">
        <v>18</v>
      </c>
      <c r="P1925" t="str">
        <f t="shared" si="503"/>
        <v>Active</v>
      </c>
      <c r="Q1925" t="str">
        <f>"Assembly, JM, E065, Split Phase Motor Panel"</f>
        <v>Assembly, JM, E065, Split Phase Motor Panel</v>
      </c>
      <c r="S1925" t="str">
        <f>"Assembly, JM, E065, Split Phase Motor Panel"</f>
        <v>Assembly, JM, E065, Split Phase Motor Panel</v>
      </c>
      <c r="T1925">
        <v>178.33</v>
      </c>
      <c r="U1925">
        <v>178</v>
      </c>
      <c r="V1925">
        <v>398.61</v>
      </c>
      <c r="W1925" t="str">
        <f t="shared" si="497"/>
        <v>zintel</v>
      </c>
    </row>
    <row r="1926" spans="1:23">
      <c r="A1926" t="str">
        <f t="shared" si="499"/>
        <v>JM-CTRL-SYSM-2</v>
      </c>
      <c r="B1926" t="str">
        <f>"26-E066-0000"</f>
        <v>26-E066-0000</v>
      </c>
      <c r="C1926" t="str">
        <f>"Assembly, JM, E066, Adjustable Torque Motor Load"</f>
        <v>Assembly, JM, E066, Adjustable Torque Motor Load</v>
      </c>
      <c r="D1926">
        <v>2</v>
      </c>
      <c r="E1926" t="str">
        <f t="shared" si="500"/>
        <v>Electrical Control Systems Two Sided Bench 220V</v>
      </c>
      <c r="F1926">
        <v>0</v>
      </c>
      <c r="G1926" t="str">
        <f t="shared" si="501"/>
        <v>Y</v>
      </c>
      <c r="H1926" t="str">
        <f t="shared" si="496"/>
        <v>EA</v>
      </c>
      <c r="I1926">
        <v>0</v>
      </c>
      <c r="J1926">
        <v>0</v>
      </c>
      <c r="K1926" t="str">
        <f t="shared" si="502"/>
        <v>Y</v>
      </c>
      <c r="L1926">
        <v>0</v>
      </c>
      <c r="M1926" t="str">
        <f t="shared" si="498"/>
        <v>NIS</v>
      </c>
      <c r="O1926">
        <v>19</v>
      </c>
      <c r="P1926" t="str">
        <f t="shared" si="503"/>
        <v>Active</v>
      </c>
      <c r="Q1926" t="str">
        <f>"Assembly, JM, E066, Adjustable Torque Motor Load"</f>
        <v>Assembly, JM, E066, Adjustable Torque Motor Load</v>
      </c>
      <c r="S1926" t="str">
        <f>"Assembly, JM, E066, Adjustable Torque Motor Load"</f>
        <v>Assembly, JM, E066, Adjustable Torque Motor Load</v>
      </c>
      <c r="T1926" s="44">
        <v>1055</v>
      </c>
      <c r="U1926" s="44">
        <v>1054</v>
      </c>
      <c r="V1926" s="44">
        <v>1760.72</v>
      </c>
      <c r="W1926" t="str">
        <f t="shared" si="497"/>
        <v>zintel</v>
      </c>
    </row>
    <row r="1927" spans="1:23">
      <c r="A1927" t="str">
        <f t="shared" si="499"/>
        <v>JM-CTRL-SYSM-2</v>
      </c>
      <c r="B1927" t="str">
        <f>"26-E154-0000"</f>
        <v>26-E154-0000</v>
      </c>
      <c r="C1927" t="str">
        <f>"Assembly, JM, E154, Switches and Lamps Panel"</f>
        <v>Assembly, JM, E154, Switches and Lamps Panel</v>
      </c>
      <c r="D1927">
        <v>4</v>
      </c>
      <c r="E1927" t="str">
        <f t="shared" si="500"/>
        <v>Electrical Control Systems Two Sided Bench 220V</v>
      </c>
      <c r="F1927">
        <v>0</v>
      </c>
      <c r="G1927" t="str">
        <f t="shared" si="501"/>
        <v>Y</v>
      </c>
      <c r="H1927" t="str">
        <f t="shared" si="496"/>
        <v>EA</v>
      </c>
      <c r="I1927">
        <v>0</v>
      </c>
      <c r="J1927">
        <v>0</v>
      </c>
      <c r="K1927" t="str">
        <f t="shared" si="502"/>
        <v>Y</v>
      </c>
      <c r="L1927">
        <v>0</v>
      </c>
      <c r="M1927" t="str">
        <f t="shared" si="498"/>
        <v>NIS</v>
      </c>
      <c r="O1927">
        <v>20</v>
      </c>
      <c r="P1927" t="str">
        <f t="shared" si="503"/>
        <v>Active</v>
      </c>
      <c r="Q1927" t="str">
        <f>"Assembly, JM, E154, Switches and Lamps Panel"</f>
        <v>Assembly, JM, E154, Switches and Lamps Panel</v>
      </c>
      <c r="S1927" t="str">
        <f>"Assembly, JM, E154, Switches and Lamps Panel"</f>
        <v>Assembly, JM, E154, Switches and Lamps Panel</v>
      </c>
      <c r="T1927">
        <v>155.78</v>
      </c>
      <c r="U1927">
        <v>153</v>
      </c>
      <c r="V1927">
        <v>324.68</v>
      </c>
      <c r="W1927" t="str">
        <f t="shared" si="497"/>
        <v>zintel</v>
      </c>
    </row>
    <row r="1928" spans="1:23">
      <c r="A1928" t="str">
        <f t="shared" si="499"/>
        <v>JM-CTRL-SYSM-2</v>
      </c>
      <c r="B1928" t="str">
        <f>"26-E156-0000"</f>
        <v>26-E156-0000</v>
      </c>
      <c r="C1928" t="str">
        <f>"Assembly, JM, E156, Dissectible Electric Motor"</f>
        <v>Assembly, JM, E156, Dissectible Electric Motor</v>
      </c>
      <c r="D1928">
        <v>2</v>
      </c>
      <c r="E1928" t="str">
        <f t="shared" si="500"/>
        <v>Electrical Control Systems Two Sided Bench 220V</v>
      </c>
      <c r="F1928">
        <v>0</v>
      </c>
      <c r="G1928" t="str">
        <f t="shared" si="501"/>
        <v>Y</v>
      </c>
      <c r="H1928" t="str">
        <f t="shared" si="496"/>
        <v>EA</v>
      </c>
      <c r="I1928">
        <v>0</v>
      </c>
      <c r="J1928">
        <v>0</v>
      </c>
      <c r="K1928" t="str">
        <f t="shared" si="502"/>
        <v>Y</v>
      </c>
      <c r="L1928">
        <v>0</v>
      </c>
      <c r="M1928" t="str">
        <f t="shared" si="498"/>
        <v>NIS</v>
      </c>
      <c r="O1928">
        <v>21</v>
      </c>
      <c r="P1928" t="str">
        <f t="shared" si="503"/>
        <v>Active</v>
      </c>
      <c r="Q1928" t="str">
        <f>"Assembly, JM, E156, Dissectible Electric Motor"</f>
        <v>Assembly, JM, E156, Dissectible Electric Motor</v>
      </c>
      <c r="S1928" t="str">
        <f>"Assembly, JM, E156, Dissectible Electric Motor"</f>
        <v>Assembly, JM, E156, Dissectible Electric Motor</v>
      </c>
      <c r="T1928">
        <v>229.82</v>
      </c>
      <c r="U1928">
        <v>230</v>
      </c>
      <c r="V1928">
        <v>408.97</v>
      </c>
      <c r="W1928" t="str">
        <f t="shared" si="497"/>
        <v>zintel</v>
      </c>
    </row>
    <row r="1929" spans="1:23">
      <c r="A1929" t="str">
        <f t="shared" si="499"/>
        <v>JM-CTRL-SYSM-2</v>
      </c>
      <c r="B1929" t="str">
        <f>"77-EA07-0000"</f>
        <v>77-EA07-0000</v>
      </c>
      <c r="C1929" t="str">
        <f>"LM7 Content, JM, Electromagnetic Starters"</f>
        <v>LM7 Content, JM, Electromagnetic Starters</v>
      </c>
      <c r="D1929">
        <v>1</v>
      </c>
      <c r="E1929" t="str">
        <f t="shared" si="500"/>
        <v>Electrical Control Systems Two Sided Bench 220V</v>
      </c>
      <c r="F1929">
        <v>0</v>
      </c>
      <c r="G1929" t="str">
        <f t="shared" si="501"/>
        <v>Y</v>
      </c>
      <c r="H1929" t="str">
        <f t="shared" si="496"/>
        <v>EA</v>
      </c>
      <c r="I1929">
        <v>0</v>
      </c>
      <c r="J1929">
        <v>0</v>
      </c>
      <c r="K1929" t="str">
        <f t="shared" si="502"/>
        <v>Y</v>
      </c>
      <c r="L1929">
        <v>0</v>
      </c>
      <c r="M1929" t="str">
        <f t="shared" si="498"/>
        <v>NIS</v>
      </c>
      <c r="O1929">
        <v>23</v>
      </c>
      <c r="P1929" t="str">
        <f t="shared" si="503"/>
        <v>Active</v>
      </c>
      <c r="Q1929" t="str">
        <f>"LM7 Content, JM, Electromagnetic Starters"</f>
        <v>LM7 Content, JM, Electromagnetic Starters</v>
      </c>
      <c r="S1929" t="str">
        <f>"LM7 Content, JM, Electromagnetic Starters"</f>
        <v>LM7 Content, JM, Electromagnetic Starters</v>
      </c>
      <c r="T1929">
        <v>0</v>
      </c>
      <c r="U1929">
        <v>5</v>
      </c>
      <c r="V1929">
        <v>5</v>
      </c>
      <c r="W1929" t="str">
        <f t="shared" si="497"/>
        <v>zintel</v>
      </c>
    </row>
    <row r="1930" spans="1:23">
      <c r="A1930" t="str">
        <f t="shared" si="499"/>
        <v>JM-CTRL-SYSM-2</v>
      </c>
      <c r="B1930" t="str">
        <f>"26-E002-0000"</f>
        <v>26-E002-0000</v>
      </c>
      <c r="C1930" t="str">
        <f>"Assembly, JM, E002, Start-Stop Control Panel"</f>
        <v>Assembly, JM, E002, Start-Stop Control Panel</v>
      </c>
      <c r="D1930">
        <v>2</v>
      </c>
      <c r="E1930" t="str">
        <f t="shared" si="500"/>
        <v>Electrical Control Systems Two Sided Bench 220V</v>
      </c>
      <c r="F1930">
        <v>0</v>
      </c>
      <c r="G1930" t="str">
        <f t="shared" si="501"/>
        <v>Y</v>
      </c>
      <c r="H1930" t="str">
        <f t="shared" si="496"/>
        <v>EA</v>
      </c>
      <c r="I1930">
        <v>0</v>
      </c>
      <c r="J1930">
        <v>0</v>
      </c>
      <c r="K1930" t="str">
        <f t="shared" si="502"/>
        <v>Y</v>
      </c>
      <c r="L1930">
        <v>0</v>
      </c>
      <c r="M1930" t="str">
        <f t="shared" si="498"/>
        <v>NIS</v>
      </c>
      <c r="O1930">
        <v>24</v>
      </c>
      <c r="P1930" t="str">
        <f t="shared" si="503"/>
        <v>Active</v>
      </c>
      <c r="Q1930" t="str">
        <f>"Assembly, JM, E002, Start-Stop Control Panel"</f>
        <v>Assembly, JM, E002, Start-Stop Control Panel</v>
      </c>
      <c r="S1930" t="str">
        <f>"Assembly, JM, E002, Start-Stop Control Panel"</f>
        <v>Assembly, JM, E002, Start-Stop Control Panel</v>
      </c>
      <c r="T1930">
        <v>103.53</v>
      </c>
      <c r="U1930">
        <v>103</v>
      </c>
      <c r="V1930">
        <v>196.68</v>
      </c>
      <c r="W1930" t="str">
        <f t="shared" si="497"/>
        <v>zintel</v>
      </c>
    </row>
    <row r="1931" spans="1:23">
      <c r="A1931" t="str">
        <f t="shared" si="499"/>
        <v>JM-CTRL-SYSM-2</v>
      </c>
      <c r="B1931" t="str">
        <f>"26-E004-0000"</f>
        <v>26-E004-0000</v>
      </c>
      <c r="C1931" t="str">
        <f>"Assembly, JM , E004, Single Magnetic Start.Panel"</f>
        <v>Assembly, JM , E004, Single Magnetic Start.Panel</v>
      </c>
      <c r="D1931">
        <v>2</v>
      </c>
      <c r="E1931" t="str">
        <f t="shared" si="500"/>
        <v>Electrical Control Systems Two Sided Bench 220V</v>
      </c>
      <c r="F1931">
        <v>0</v>
      </c>
      <c r="G1931" t="str">
        <f t="shared" si="501"/>
        <v>Y</v>
      </c>
      <c r="H1931" t="str">
        <f t="shared" si="496"/>
        <v>EA</v>
      </c>
      <c r="I1931">
        <v>0</v>
      </c>
      <c r="J1931">
        <v>0</v>
      </c>
      <c r="K1931" t="str">
        <f t="shared" si="502"/>
        <v>Y</v>
      </c>
      <c r="L1931">
        <v>0</v>
      </c>
      <c r="M1931" t="str">
        <f t="shared" si="498"/>
        <v>NIS</v>
      </c>
      <c r="O1931">
        <v>25</v>
      </c>
      <c r="P1931" t="str">
        <f t="shared" si="503"/>
        <v>Active</v>
      </c>
      <c r="Q1931" t="str">
        <f>"Assembly, JM , E004, Single Magnetic Start.Panel"</f>
        <v>Assembly, JM , E004, Single Magnetic Start.Panel</v>
      </c>
      <c r="S1931" t="str">
        <f>"Assembly, JM , E004, Single Magnetic Start.Panel"</f>
        <v>Assembly, JM , E004, Single Magnetic Start.Panel</v>
      </c>
      <c r="T1931">
        <v>168.68</v>
      </c>
      <c r="U1931">
        <v>168</v>
      </c>
      <c r="V1931">
        <v>280.98</v>
      </c>
      <c r="W1931" t="str">
        <f t="shared" si="497"/>
        <v>zintel</v>
      </c>
    </row>
    <row r="1932" spans="1:23">
      <c r="A1932" t="str">
        <f t="shared" si="499"/>
        <v>JM-CTRL-SYSM-2</v>
      </c>
      <c r="B1932" t="str">
        <f>"26-E005-0000"</f>
        <v>26-E005-0000</v>
      </c>
      <c r="C1932" t="str">
        <f>"Assembly, JM, E005 - F-R-S Switch Panel"</f>
        <v>Assembly, JM, E005 - F-R-S Switch Panel</v>
      </c>
      <c r="D1932">
        <v>2</v>
      </c>
      <c r="E1932" t="str">
        <f t="shared" si="500"/>
        <v>Electrical Control Systems Two Sided Bench 220V</v>
      </c>
      <c r="F1932">
        <v>0</v>
      </c>
      <c r="G1932" t="str">
        <f t="shared" si="501"/>
        <v>Y</v>
      </c>
      <c r="H1932" t="str">
        <f t="shared" si="496"/>
        <v>EA</v>
      </c>
      <c r="I1932">
        <v>0</v>
      </c>
      <c r="J1932">
        <v>0</v>
      </c>
      <c r="K1932" t="str">
        <f t="shared" si="502"/>
        <v>Y</v>
      </c>
      <c r="L1932">
        <v>0</v>
      </c>
      <c r="M1932" t="str">
        <f t="shared" si="498"/>
        <v>NIS</v>
      </c>
      <c r="O1932">
        <v>26</v>
      </c>
      <c r="P1932" t="str">
        <f t="shared" si="503"/>
        <v>Active</v>
      </c>
      <c r="Q1932" t="str">
        <f>"Assembly, JM, E005 - F-R-S Switch Panel"</f>
        <v>Assembly, JM, E005 - F-R-S Switch Panel</v>
      </c>
      <c r="S1932" t="str">
        <f>"Assembly, JM, E005 - F-R-S Switch Panel"</f>
        <v>Assembly, JM, E005 - F-R-S Switch Panel</v>
      </c>
      <c r="T1932">
        <v>226.53</v>
      </c>
      <c r="U1932">
        <v>225</v>
      </c>
      <c r="V1932">
        <v>343.41</v>
      </c>
      <c r="W1932" t="str">
        <f t="shared" si="497"/>
        <v>zintel</v>
      </c>
    </row>
    <row r="1933" spans="1:23">
      <c r="A1933" t="str">
        <f t="shared" si="499"/>
        <v>JM-CTRL-SYSM-2</v>
      </c>
      <c r="B1933" t="str">
        <f>"26-E006-0000"</f>
        <v>26-E006-0000</v>
      </c>
      <c r="C1933" t="str">
        <f>"Assembly, JM, E006, Reversing Magnetic Starter"</f>
        <v>Assembly, JM, E006, Reversing Magnetic Starter</v>
      </c>
      <c r="D1933">
        <v>2</v>
      </c>
      <c r="E1933" t="str">
        <f t="shared" si="500"/>
        <v>Electrical Control Systems Two Sided Bench 220V</v>
      </c>
      <c r="F1933">
        <v>0</v>
      </c>
      <c r="G1933" t="str">
        <f t="shared" si="501"/>
        <v>Y</v>
      </c>
      <c r="H1933" t="str">
        <f t="shared" si="496"/>
        <v>EA</v>
      </c>
      <c r="I1933">
        <v>0</v>
      </c>
      <c r="J1933">
        <v>0</v>
      </c>
      <c r="K1933" t="str">
        <f t="shared" si="502"/>
        <v>Y</v>
      </c>
      <c r="L1933">
        <v>0</v>
      </c>
      <c r="M1933" t="str">
        <f t="shared" si="498"/>
        <v>NIS</v>
      </c>
      <c r="O1933">
        <v>27</v>
      </c>
      <c r="P1933" t="str">
        <f t="shared" si="503"/>
        <v>Active</v>
      </c>
      <c r="Q1933" t="str">
        <f>"Assembly, JM, E006, Reversing Magnetic Starter"</f>
        <v>Assembly, JM, E006, Reversing Magnetic Starter</v>
      </c>
      <c r="S1933" t="str">
        <f>"Assembly, JM, E006, Reversing Magnetic Starter"</f>
        <v>Assembly, JM, E006, Reversing Magnetic Starter</v>
      </c>
      <c r="T1933">
        <v>232.93</v>
      </c>
      <c r="U1933">
        <v>231</v>
      </c>
      <c r="V1933">
        <v>424.58</v>
      </c>
      <c r="W1933" t="str">
        <f t="shared" si="497"/>
        <v>zintel</v>
      </c>
    </row>
    <row r="1934" spans="1:23">
      <c r="A1934" t="str">
        <f t="shared" si="499"/>
        <v>JM-CTRL-SYSM-2</v>
      </c>
      <c r="B1934" t="str">
        <f>"26-E016-0000"</f>
        <v>26-E016-0000</v>
      </c>
      <c r="C1934" t="str">
        <f>"Assembly, JM, E016, Analog Relay Panel"</f>
        <v>Assembly, JM, E016, Analog Relay Panel</v>
      </c>
      <c r="D1934">
        <v>2</v>
      </c>
      <c r="E1934" t="str">
        <f t="shared" si="500"/>
        <v>Electrical Control Systems Two Sided Bench 220V</v>
      </c>
      <c r="F1934">
        <v>0</v>
      </c>
      <c r="G1934" t="str">
        <f t="shared" si="501"/>
        <v>Y</v>
      </c>
      <c r="H1934" t="str">
        <f t="shared" si="496"/>
        <v>EA</v>
      </c>
      <c r="I1934">
        <v>0</v>
      </c>
      <c r="J1934">
        <v>0</v>
      </c>
      <c r="K1934" t="str">
        <f t="shared" si="502"/>
        <v>Y</v>
      </c>
      <c r="L1934">
        <v>0</v>
      </c>
      <c r="M1934" t="str">
        <f t="shared" si="498"/>
        <v>NIS</v>
      </c>
      <c r="O1934">
        <v>28</v>
      </c>
      <c r="P1934" t="str">
        <f t="shared" si="503"/>
        <v>Active</v>
      </c>
      <c r="Q1934" t="str">
        <f>"Assembly, JM, E016, Analog Relay Panel"</f>
        <v>Assembly, JM, E016, Analog Relay Panel</v>
      </c>
      <c r="S1934" t="str">
        <f>"Assembly, JM, E016, Analog Relay Panel"</f>
        <v>Assembly, JM, E016, Analog Relay Panel</v>
      </c>
      <c r="T1934">
        <v>208.59</v>
      </c>
      <c r="U1934">
        <v>205</v>
      </c>
      <c r="V1934">
        <v>366.74</v>
      </c>
      <c r="W1934" t="str">
        <f t="shared" si="497"/>
        <v>zintel</v>
      </c>
    </row>
    <row r="1935" spans="1:23">
      <c r="A1935" t="str">
        <f t="shared" si="499"/>
        <v>JM-CTRL-SYSM-2</v>
      </c>
      <c r="B1935" t="str">
        <f>"26-E155-0000"</f>
        <v>26-E155-0000</v>
      </c>
      <c r="C1935" t="str">
        <f>"Assembly, JM, E155, H-O-A Switch Panel"</f>
        <v>Assembly, JM, E155, H-O-A Switch Panel</v>
      </c>
      <c r="D1935">
        <v>2</v>
      </c>
      <c r="E1935" t="str">
        <f t="shared" si="500"/>
        <v>Electrical Control Systems Two Sided Bench 220V</v>
      </c>
      <c r="F1935">
        <v>0</v>
      </c>
      <c r="G1935" t="str">
        <f t="shared" si="501"/>
        <v>Y</v>
      </c>
      <c r="H1935" t="str">
        <f t="shared" si="496"/>
        <v>EA</v>
      </c>
      <c r="I1935">
        <v>0</v>
      </c>
      <c r="J1935">
        <v>0</v>
      </c>
      <c r="K1935" t="str">
        <f t="shared" si="502"/>
        <v>Y</v>
      </c>
      <c r="L1935">
        <v>0</v>
      </c>
      <c r="M1935" t="str">
        <f t="shared" si="498"/>
        <v>NIS</v>
      </c>
      <c r="O1935">
        <v>29</v>
      </c>
      <c r="P1935" t="str">
        <f t="shared" si="503"/>
        <v>Active</v>
      </c>
      <c r="Q1935" t="str">
        <f>"Assembly, JM, E155, H-O-A Switch Panel"</f>
        <v>Assembly, JM, E155, H-O-A Switch Panel</v>
      </c>
      <c r="S1935" t="str">
        <f>"Assembly, JM, E155, H-O-A Switch Panel"</f>
        <v>Assembly, JM, E155, H-O-A Switch Panel</v>
      </c>
      <c r="T1935">
        <v>102.54</v>
      </c>
      <c r="U1935">
        <v>102</v>
      </c>
      <c r="V1935">
        <v>227.9</v>
      </c>
      <c r="W1935" t="str">
        <f t="shared" si="497"/>
        <v>zintel</v>
      </c>
    </row>
    <row r="1936" spans="1:23">
      <c r="A1936" t="str">
        <f t="shared" si="499"/>
        <v>JM-CTRL-SYSM-2</v>
      </c>
      <c r="B1936" t="str">
        <f>"77-EA08-0000"</f>
        <v>77-EA08-0000</v>
      </c>
      <c r="C1936" t="str">
        <f>"LM7 Content, JM, Relays and Timers"</f>
        <v>LM7 Content, JM, Relays and Timers</v>
      </c>
      <c r="D1936">
        <v>1</v>
      </c>
      <c r="E1936" t="str">
        <f t="shared" si="500"/>
        <v>Electrical Control Systems Two Sided Bench 220V</v>
      </c>
      <c r="F1936">
        <v>0</v>
      </c>
      <c r="G1936" t="str">
        <f t="shared" si="501"/>
        <v>Y</v>
      </c>
      <c r="H1936" t="str">
        <f t="shared" si="496"/>
        <v>EA</v>
      </c>
      <c r="I1936">
        <v>0</v>
      </c>
      <c r="J1936">
        <v>0</v>
      </c>
      <c r="K1936" t="str">
        <f t="shared" si="502"/>
        <v>Y</v>
      </c>
      <c r="L1936">
        <v>0</v>
      </c>
      <c r="M1936" t="str">
        <f t="shared" si="498"/>
        <v>NIS</v>
      </c>
      <c r="O1936">
        <v>31</v>
      </c>
      <c r="P1936" t="str">
        <f t="shared" si="503"/>
        <v>Active</v>
      </c>
      <c r="Q1936" t="str">
        <f>"LM7 Content, JM, Relays and Timers"</f>
        <v>LM7 Content, JM, Relays and Timers</v>
      </c>
      <c r="S1936" t="str">
        <f>"LM7 Content, JM, Relays and Timers"</f>
        <v>LM7 Content, JM, Relays and Timers</v>
      </c>
      <c r="T1936">
        <v>0</v>
      </c>
      <c r="U1936">
        <v>5</v>
      </c>
      <c r="V1936">
        <v>5</v>
      </c>
      <c r="W1936" t="str">
        <f t="shared" si="497"/>
        <v>zintel</v>
      </c>
    </row>
    <row r="1937" spans="1:23">
      <c r="A1937" t="str">
        <f t="shared" si="499"/>
        <v>JM-CTRL-SYSM-2</v>
      </c>
      <c r="B1937" t="str">
        <f>"26-E017-0000"</f>
        <v>26-E017-0000</v>
      </c>
      <c r="C1937" t="str">
        <f>"Assembly, JM, E017, Digital Relay"</f>
        <v>Assembly, JM, E017, Digital Relay</v>
      </c>
      <c r="D1937">
        <v>2</v>
      </c>
      <c r="E1937" t="str">
        <f t="shared" si="500"/>
        <v>Electrical Control Systems Two Sided Bench 220V</v>
      </c>
      <c r="F1937">
        <v>0</v>
      </c>
      <c r="G1937" t="str">
        <f t="shared" si="501"/>
        <v>Y</v>
      </c>
      <c r="H1937" t="str">
        <f t="shared" si="496"/>
        <v>EA</v>
      </c>
      <c r="I1937">
        <v>0</v>
      </c>
      <c r="J1937">
        <v>0</v>
      </c>
      <c r="K1937" t="str">
        <f t="shared" si="502"/>
        <v>Y</v>
      </c>
      <c r="L1937">
        <v>0</v>
      </c>
      <c r="M1937" t="str">
        <f t="shared" si="498"/>
        <v>NIS</v>
      </c>
      <c r="O1937">
        <v>32</v>
      </c>
      <c r="P1937" t="str">
        <f t="shared" si="503"/>
        <v>Active</v>
      </c>
      <c r="Q1937" t="str">
        <f>"Assembly, JM, E017, Digital Relay"</f>
        <v>Assembly, JM, E017, Digital Relay</v>
      </c>
      <c r="S1937" t="str">
        <f>"Assembly, JM, E017, Digital Relay"</f>
        <v>Assembly, JM, E017, Digital Relay</v>
      </c>
      <c r="T1937">
        <v>273.82</v>
      </c>
      <c r="U1937">
        <v>271</v>
      </c>
      <c r="V1937">
        <v>593.16</v>
      </c>
      <c r="W1937" t="str">
        <f t="shared" si="497"/>
        <v>zintel</v>
      </c>
    </row>
    <row r="1938" spans="1:23">
      <c r="A1938" t="str">
        <f t="shared" si="499"/>
        <v>JM-CTRL-SYSM-2</v>
      </c>
      <c r="B1938" t="str">
        <f>"26-E041-0000"</f>
        <v>26-E041-0000</v>
      </c>
      <c r="C1938" t="str">
        <f>"Assembly, JM, E041, Electronic Timer"</f>
        <v>Assembly, JM, E041, Electronic Timer</v>
      </c>
      <c r="D1938">
        <v>2</v>
      </c>
      <c r="E1938" t="str">
        <f t="shared" si="500"/>
        <v>Electrical Control Systems Two Sided Bench 220V</v>
      </c>
      <c r="F1938">
        <v>0</v>
      </c>
      <c r="G1938" t="str">
        <f t="shared" si="501"/>
        <v>Y</v>
      </c>
      <c r="H1938" t="str">
        <f t="shared" si="496"/>
        <v>EA</v>
      </c>
      <c r="I1938">
        <v>0</v>
      </c>
      <c r="J1938">
        <v>0</v>
      </c>
      <c r="K1938" t="str">
        <f t="shared" si="502"/>
        <v>Y</v>
      </c>
      <c r="L1938">
        <v>0</v>
      </c>
      <c r="M1938" t="str">
        <f t="shared" si="498"/>
        <v>NIS</v>
      </c>
      <c r="O1938">
        <v>33</v>
      </c>
      <c r="P1938" t="str">
        <f t="shared" si="503"/>
        <v>Active</v>
      </c>
      <c r="Q1938" t="str">
        <f>"Assembly, JM, E041, Electronic Timer"</f>
        <v>Assembly, JM, E041, Electronic Timer</v>
      </c>
      <c r="S1938" t="str">
        <f>"Assembly, JM, E041, Electronic Timer"</f>
        <v>Assembly, JM, E041, Electronic Timer</v>
      </c>
      <c r="T1938">
        <v>224.51</v>
      </c>
      <c r="U1938">
        <v>225</v>
      </c>
      <c r="V1938">
        <v>309.97000000000003</v>
      </c>
      <c r="W1938" t="str">
        <f t="shared" si="497"/>
        <v>zintel</v>
      </c>
    </row>
    <row r="1939" spans="1:23">
      <c r="A1939" t="str">
        <f t="shared" si="499"/>
        <v>JM-CTRL-SYSM-2</v>
      </c>
      <c r="B1939" t="str">
        <f>"77-EA11-0000"</f>
        <v>77-EA11-0000</v>
      </c>
      <c r="C1939" t="str">
        <f>"LM7 Content, JM, Solid State Voltage Starter"</f>
        <v>LM7 Content, JM, Solid State Voltage Starter</v>
      </c>
      <c r="D1939">
        <v>1</v>
      </c>
      <c r="E1939" t="str">
        <f t="shared" si="500"/>
        <v>Electrical Control Systems Two Sided Bench 220V</v>
      </c>
      <c r="F1939">
        <v>0</v>
      </c>
      <c r="G1939" t="str">
        <f t="shared" si="501"/>
        <v>Y</v>
      </c>
      <c r="H1939" t="str">
        <f t="shared" si="496"/>
        <v>EA</v>
      </c>
      <c r="I1939">
        <v>0</v>
      </c>
      <c r="J1939">
        <v>0</v>
      </c>
      <c r="K1939" t="str">
        <f t="shared" si="502"/>
        <v>Y</v>
      </c>
      <c r="L1939">
        <v>0</v>
      </c>
      <c r="M1939" t="str">
        <f t="shared" si="498"/>
        <v>NIS</v>
      </c>
      <c r="O1939">
        <v>35</v>
      </c>
      <c r="P1939" t="str">
        <f t="shared" si="503"/>
        <v>Active</v>
      </c>
      <c r="Q1939" t="str">
        <f>"LM7 Content, JM, Solid State Voltage Starter"</f>
        <v>LM7 Content, JM, Solid State Voltage Starter</v>
      </c>
      <c r="S1939" t="str">
        <f>"LM7 Content, JM, Solid State Voltage Starter"</f>
        <v>LM7 Content, JM, Solid State Voltage Starter</v>
      </c>
      <c r="T1939">
        <v>0</v>
      </c>
      <c r="U1939">
        <v>5</v>
      </c>
      <c r="V1939">
        <v>5</v>
      </c>
      <c r="W1939" t="str">
        <f t="shared" si="497"/>
        <v>zintel</v>
      </c>
    </row>
    <row r="1940" spans="1:23">
      <c r="A1940" t="str">
        <f t="shared" si="499"/>
        <v>JM-CTRL-SYSM-2</v>
      </c>
      <c r="B1940" t="str">
        <f>"26-E024-0000"</f>
        <v>26-E024-0000</v>
      </c>
      <c r="C1940" t="str">
        <f>"Assembly, JM, E024, Solid State Starter Panel"</f>
        <v>Assembly, JM, E024, Solid State Starter Panel</v>
      </c>
      <c r="D1940">
        <v>2</v>
      </c>
      <c r="E1940" t="str">
        <f t="shared" si="500"/>
        <v>Electrical Control Systems Two Sided Bench 220V</v>
      </c>
      <c r="F1940">
        <v>0</v>
      </c>
      <c r="G1940" t="str">
        <f t="shared" si="501"/>
        <v>Y</v>
      </c>
      <c r="H1940" t="str">
        <f t="shared" si="496"/>
        <v>EA</v>
      </c>
      <c r="I1940">
        <v>0</v>
      </c>
      <c r="J1940">
        <v>0</v>
      </c>
      <c r="K1940" t="str">
        <f t="shared" si="502"/>
        <v>Y</v>
      </c>
      <c r="L1940">
        <v>0</v>
      </c>
      <c r="M1940" t="str">
        <f t="shared" si="498"/>
        <v>NIS</v>
      </c>
      <c r="O1940">
        <v>36</v>
      </c>
      <c r="P1940" t="str">
        <f>"ECO-N2Buy"</f>
        <v>ECO-N2Buy</v>
      </c>
      <c r="Q1940" t="str">
        <f>"Assembly, JM, E024, Solid State Starter Panel"</f>
        <v>Assembly, JM, E024, Solid State Starter Panel</v>
      </c>
      <c r="S1940" t="str">
        <f>"Assembly, JM, E024, Solid State Starter Panel"</f>
        <v>Assembly, JM, E024, Solid State Starter Panel</v>
      </c>
      <c r="T1940">
        <v>492.42</v>
      </c>
      <c r="U1940">
        <v>489</v>
      </c>
      <c r="V1940">
        <v>705.69</v>
      </c>
      <c r="W1940" t="str">
        <f t="shared" si="497"/>
        <v>zintel</v>
      </c>
    </row>
    <row r="1941" spans="1:23">
      <c r="A1941" t="str">
        <f t="shared" si="499"/>
        <v>JM-CTRL-SYSM-2</v>
      </c>
      <c r="B1941" t="str">
        <f>"77-EA09-0000"</f>
        <v>77-EA09-0000</v>
      </c>
      <c r="C1941" t="str">
        <f>"LM7 Content, JM, Pilot Devices"</f>
        <v>LM7 Content, JM, Pilot Devices</v>
      </c>
      <c r="D1941">
        <v>1</v>
      </c>
      <c r="E1941" t="str">
        <f t="shared" si="500"/>
        <v>Electrical Control Systems Two Sided Bench 220V</v>
      </c>
      <c r="F1941">
        <v>0</v>
      </c>
      <c r="G1941" t="str">
        <f t="shared" si="501"/>
        <v>Y</v>
      </c>
      <c r="H1941" t="str">
        <f t="shared" si="496"/>
        <v>EA</v>
      </c>
      <c r="I1941">
        <v>0</v>
      </c>
      <c r="J1941">
        <v>0</v>
      </c>
      <c r="K1941" t="str">
        <f t="shared" si="502"/>
        <v>Y</v>
      </c>
      <c r="L1941">
        <v>0</v>
      </c>
      <c r="M1941" t="str">
        <f t="shared" si="498"/>
        <v>NIS</v>
      </c>
      <c r="O1941">
        <v>38</v>
      </c>
      <c r="P1941" t="str">
        <f t="shared" ref="P1941:P1971" si="504">"Active"</f>
        <v>Active</v>
      </c>
      <c r="Q1941" t="str">
        <f>"LM7 Content, JM, Pilot Devices"</f>
        <v>LM7 Content, JM, Pilot Devices</v>
      </c>
      <c r="S1941" t="str">
        <f>"LM7 Content, JM, Pilot Devices"</f>
        <v>LM7 Content, JM, Pilot Devices</v>
      </c>
      <c r="T1941">
        <v>0</v>
      </c>
      <c r="U1941">
        <v>5</v>
      </c>
      <c r="V1941">
        <v>5</v>
      </c>
      <c r="W1941" t="str">
        <f t="shared" si="497"/>
        <v>zintel</v>
      </c>
    </row>
    <row r="1942" spans="1:23">
      <c r="A1942" t="str">
        <f t="shared" si="499"/>
        <v>JM-CTRL-SYSM-2</v>
      </c>
      <c r="B1942" t="str">
        <f>"26-E011-0000"</f>
        <v>26-E011-0000</v>
      </c>
      <c r="C1942" t="str">
        <f>"Assembly, JM, E011, Limit Switch Panel"</f>
        <v>Assembly, JM, E011, Limit Switch Panel</v>
      </c>
      <c r="D1942">
        <v>2</v>
      </c>
      <c r="E1942" t="str">
        <f t="shared" si="500"/>
        <v>Electrical Control Systems Two Sided Bench 220V</v>
      </c>
      <c r="F1942">
        <v>0</v>
      </c>
      <c r="G1942" t="str">
        <f t="shared" si="501"/>
        <v>Y</v>
      </c>
      <c r="H1942" t="str">
        <f t="shared" si="496"/>
        <v>EA</v>
      </c>
      <c r="I1942">
        <v>0</v>
      </c>
      <c r="J1942">
        <v>0</v>
      </c>
      <c r="K1942" t="str">
        <f t="shared" si="502"/>
        <v>Y</v>
      </c>
      <c r="L1942">
        <v>0</v>
      </c>
      <c r="M1942" t="str">
        <f t="shared" si="498"/>
        <v>NIS</v>
      </c>
      <c r="O1942">
        <v>39</v>
      </c>
      <c r="P1942" t="str">
        <f t="shared" si="504"/>
        <v>Active</v>
      </c>
      <c r="Q1942" t="str">
        <f>"Assembly, JM, E011, Limit Switch Panel"</f>
        <v>Assembly, JM, E011, Limit Switch Panel</v>
      </c>
      <c r="S1942" t="str">
        <f>"Assembly, JM, E011, Limit Switch Panel"</f>
        <v>Assembly, JM, E011, Limit Switch Panel</v>
      </c>
      <c r="T1942">
        <v>188.08</v>
      </c>
      <c r="U1942">
        <v>188</v>
      </c>
      <c r="V1942">
        <v>269.41000000000003</v>
      </c>
      <c r="W1942" t="str">
        <f t="shared" si="497"/>
        <v>zintel</v>
      </c>
    </row>
    <row r="1943" spans="1:23">
      <c r="A1943" t="str">
        <f t="shared" si="499"/>
        <v>JM-CTRL-SYSM-2</v>
      </c>
      <c r="B1943" t="str">
        <f>"26-E018-0000"</f>
        <v>26-E018-0000</v>
      </c>
      <c r="C1943" t="str">
        <f>"Assembly, JM, E018, Liquid Level and Pressure"</f>
        <v>Assembly, JM, E018, Liquid Level and Pressure</v>
      </c>
      <c r="D1943">
        <v>2</v>
      </c>
      <c r="E1943" t="str">
        <f t="shared" si="500"/>
        <v>Electrical Control Systems Two Sided Bench 220V</v>
      </c>
      <c r="F1943">
        <v>0</v>
      </c>
      <c r="G1943" t="str">
        <f t="shared" si="501"/>
        <v>Y</v>
      </c>
      <c r="H1943" t="str">
        <f t="shared" si="496"/>
        <v>EA</v>
      </c>
      <c r="I1943">
        <v>0</v>
      </c>
      <c r="J1943">
        <v>0</v>
      </c>
      <c r="K1943" t="str">
        <f t="shared" si="502"/>
        <v>Y</v>
      </c>
      <c r="L1943">
        <v>0</v>
      </c>
      <c r="M1943" t="str">
        <f t="shared" si="498"/>
        <v>NIS</v>
      </c>
      <c r="O1943">
        <v>40</v>
      </c>
      <c r="P1943" t="str">
        <f t="shared" si="504"/>
        <v>Active</v>
      </c>
      <c r="Q1943" t="str">
        <f>"Assembly, JM, E018, Liquid Level and Pressure"</f>
        <v>Assembly, JM, E018, Liquid Level and Pressure</v>
      </c>
      <c r="S1943" t="str">
        <f>"Assembly, JM, E018, Liquid Level and Pressure"</f>
        <v>Assembly, JM, E018, Liquid Level and Pressure</v>
      </c>
      <c r="T1943">
        <v>451.57</v>
      </c>
      <c r="U1943">
        <v>450</v>
      </c>
      <c r="V1943">
        <v>476.25</v>
      </c>
      <c r="W1943" t="str">
        <f t="shared" si="497"/>
        <v>zintel</v>
      </c>
    </row>
    <row r="1944" spans="1:23">
      <c r="A1944" t="str">
        <f t="shared" si="499"/>
        <v>JM-CTRL-SYSM-2</v>
      </c>
      <c r="B1944" t="str">
        <f>"26-E126-0000"</f>
        <v>26-E126-0000</v>
      </c>
      <c r="C1944" t="str">
        <f>"Assembly, JM, E126, Photo, Mag, &amp; Prox Panel"</f>
        <v>Assembly, JM, E126, Photo, Mag, &amp; Prox Panel</v>
      </c>
      <c r="D1944">
        <v>2</v>
      </c>
      <c r="E1944" t="str">
        <f t="shared" si="500"/>
        <v>Electrical Control Systems Two Sided Bench 220V</v>
      </c>
      <c r="F1944">
        <v>0</v>
      </c>
      <c r="G1944" t="str">
        <f t="shared" si="501"/>
        <v>Y</v>
      </c>
      <c r="H1944" t="str">
        <f t="shared" si="496"/>
        <v>EA</v>
      </c>
      <c r="I1944">
        <v>0</v>
      </c>
      <c r="J1944">
        <v>0</v>
      </c>
      <c r="K1944" t="str">
        <f t="shared" si="502"/>
        <v>Y</v>
      </c>
      <c r="L1944">
        <v>0</v>
      </c>
      <c r="M1944" t="str">
        <f t="shared" si="498"/>
        <v>NIS</v>
      </c>
      <c r="O1944">
        <v>41</v>
      </c>
      <c r="P1944" t="str">
        <f t="shared" si="504"/>
        <v>Active</v>
      </c>
      <c r="Q1944" t="str">
        <f>"Assembly, JM, E126, Photo, Mag, &amp; Prox Panel"</f>
        <v>Assembly, JM, E126, Photo, Mag, &amp; Prox Panel</v>
      </c>
      <c r="S1944" t="str">
        <f>"Assembly, JM, E126, Photo, Mag, &amp; Prox Panel"</f>
        <v>Assembly, JM, E126, Photo, Mag, &amp; Prox Panel</v>
      </c>
      <c r="T1944">
        <v>798.95</v>
      </c>
      <c r="U1944">
        <v>760</v>
      </c>
      <c r="V1944" s="44">
        <v>1075.9000000000001</v>
      </c>
      <c r="W1944" t="str">
        <f t="shared" si="497"/>
        <v>zintel</v>
      </c>
    </row>
    <row r="1945" spans="1:23">
      <c r="A1945" t="str">
        <f t="shared" si="499"/>
        <v>JM-CTRL-SYSM-2</v>
      </c>
      <c r="B1945" t="str">
        <f>"26-E153-0000"</f>
        <v>26-E153-0000</v>
      </c>
      <c r="C1945" t="str">
        <f>"Assembly, JM, E153, AC/DC Circuits"</f>
        <v>Assembly, JM, E153, AC/DC Circuits</v>
      </c>
      <c r="D1945">
        <v>2</v>
      </c>
      <c r="E1945" t="str">
        <f t="shared" si="500"/>
        <v>Electrical Control Systems Two Sided Bench 220V</v>
      </c>
      <c r="F1945">
        <v>0</v>
      </c>
      <c r="G1945" t="str">
        <f t="shared" si="501"/>
        <v>Y</v>
      </c>
      <c r="H1945" t="str">
        <f t="shared" si="496"/>
        <v>EA</v>
      </c>
      <c r="I1945">
        <v>0</v>
      </c>
      <c r="J1945">
        <v>0</v>
      </c>
      <c r="K1945" t="str">
        <f t="shared" si="502"/>
        <v>Y</v>
      </c>
      <c r="L1945">
        <v>0</v>
      </c>
      <c r="M1945" t="str">
        <f t="shared" si="498"/>
        <v>NIS</v>
      </c>
      <c r="O1945">
        <v>42</v>
      </c>
      <c r="P1945" t="str">
        <f t="shared" si="504"/>
        <v>Active</v>
      </c>
      <c r="Q1945" t="str">
        <f>"Assembly, JM, E153, AC/DC Circuits"</f>
        <v>Assembly, JM, E153, AC/DC Circuits</v>
      </c>
      <c r="S1945" t="str">
        <f>"Assembly, JM, E153, AC/DC Circuits"</f>
        <v>Assembly, JM, E153, AC/DC Circuits</v>
      </c>
      <c r="T1945">
        <v>133.96</v>
      </c>
      <c r="U1945">
        <v>130</v>
      </c>
      <c r="V1945">
        <v>293.45999999999998</v>
      </c>
      <c r="W1945" t="str">
        <f t="shared" si="497"/>
        <v>zintel</v>
      </c>
    </row>
    <row r="1946" spans="1:23">
      <c r="A1946" t="str">
        <f t="shared" si="499"/>
        <v>JM-CTRL-SYSM-2</v>
      </c>
      <c r="B1946" t="str">
        <f>"77-EA12-0000"</f>
        <v>77-EA12-0000</v>
      </c>
      <c r="C1946" t="str">
        <f>"LM7 Content, JM, Electric Motor Drives"</f>
        <v>LM7 Content, JM, Electric Motor Drives</v>
      </c>
      <c r="D1946">
        <v>1</v>
      </c>
      <c r="E1946" t="str">
        <f t="shared" si="500"/>
        <v>Electrical Control Systems Two Sided Bench 220V</v>
      </c>
      <c r="F1946">
        <v>0</v>
      </c>
      <c r="G1946" t="str">
        <f t="shared" si="501"/>
        <v>Y</v>
      </c>
      <c r="H1946" t="str">
        <f t="shared" si="496"/>
        <v>EA</v>
      </c>
      <c r="I1946">
        <v>0</v>
      </c>
      <c r="J1946">
        <v>0</v>
      </c>
      <c r="K1946" t="str">
        <f t="shared" si="502"/>
        <v>Y</v>
      </c>
      <c r="L1946">
        <v>0</v>
      </c>
      <c r="M1946" t="str">
        <f t="shared" si="498"/>
        <v>NIS</v>
      </c>
      <c r="O1946">
        <v>44</v>
      </c>
      <c r="P1946" t="str">
        <f t="shared" si="504"/>
        <v>Active</v>
      </c>
      <c r="Q1946" t="str">
        <f>"LM7 Content, JM, Electric Motor Drives"</f>
        <v>LM7 Content, JM, Electric Motor Drives</v>
      </c>
      <c r="S1946" t="str">
        <f>"LM7 Content, JM, Electric Motor Drives"</f>
        <v>LM7 Content, JM, Electric Motor Drives</v>
      </c>
      <c r="T1946">
        <v>0</v>
      </c>
      <c r="U1946">
        <v>5</v>
      </c>
      <c r="V1946">
        <v>5</v>
      </c>
      <c r="W1946" t="str">
        <f t="shared" si="497"/>
        <v>zintel</v>
      </c>
    </row>
    <row r="1947" spans="1:23">
      <c r="A1947" t="str">
        <f t="shared" si="499"/>
        <v>JM-CTRL-SYSM-2</v>
      </c>
      <c r="B1947" t="str">
        <f>"26-E067-0000"</f>
        <v>26-E067-0000</v>
      </c>
      <c r="C1947" t="str">
        <f>"Assembly, JM, E067,Varible Frequency Drive Panel"</f>
        <v>Assembly, JM, E067,Varible Frequency Drive Panel</v>
      </c>
      <c r="D1947">
        <v>2</v>
      </c>
      <c r="E1947" t="str">
        <f t="shared" si="500"/>
        <v>Electrical Control Systems Two Sided Bench 220V</v>
      </c>
      <c r="F1947">
        <v>0</v>
      </c>
      <c r="G1947" t="str">
        <f t="shared" si="501"/>
        <v>Y</v>
      </c>
      <c r="H1947" t="str">
        <f t="shared" si="496"/>
        <v>EA</v>
      </c>
      <c r="I1947">
        <v>0</v>
      </c>
      <c r="J1947">
        <v>0</v>
      </c>
      <c r="K1947" t="str">
        <f t="shared" si="502"/>
        <v>Y</v>
      </c>
      <c r="L1947">
        <v>0</v>
      </c>
      <c r="M1947" t="str">
        <f t="shared" si="498"/>
        <v>NIS</v>
      </c>
      <c r="O1947">
        <v>45</v>
      </c>
      <c r="P1947" t="str">
        <f t="shared" si="504"/>
        <v>Active</v>
      </c>
      <c r="Q1947" t="str">
        <f>"Assembly, JM, E067,Varible Frequency Drive Panel"</f>
        <v>Assembly, JM, E067,Varible Frequency Drive Panel</v>
      </c>
      <c r="S1947" t="str">
        <f>"Assembly, JM, E067,Varible Frequency Drive Panel"</f>
        <v>Assembly, JM, E067,Varible Frequency Drive Panel</v>
      </c>
      <c r="T1947">
        <v>321.17</v>
      </c>
      <c r="U1947">
        <v>317</v>
      </c>
      <c r="V1947">
        <v>588.07000000000005</v>
      </c>
      <c r="W1947" t="str">
        <f t="shared" si="497"/>
        <v>zintel</v>
      </c>
    </row>
    <row r="1948" spans="1:23">
      <c r="A1948" t="str">
        <f t="shared" si="499"/>
        <v>JM-CTRL-SYSM-2</v>
      </c>
      <c r="B1948" t="str">
        <f>"77-EA16-0000"</f>
        <v>77-EA16-0000</v>
      </c>
      <c r="C1948" t="str">
        <f>"LM7 Content, JM, DC Motor Drives"</f>
        <v>LM7 Content, JM, DC Motor Drives</v>
      </c>
      <c r="D1948">
        <v>1</v>
      </c>
      <c r="E1948" t="str">
        <f t="shared" si="500"/>
        <v>Electrical Control Systems Two Sided Bench 220V</v>
      </c>
      <c r="F1948">
        <v>0</v>
      </c>
      <c r="G1948" t="str">
        <f t="shared" si="501"/>
        <v>Y</v>
      </c>
      <c r="H1948" t="str">
        <f t="shared" si="496"/>
        <v>EA</v>
      </c>
      <c r="I1948">
        <v>0</v>
      </c>
      <c r="J1948">
        <v>0</v>
      </c>
      <c r="K1948" t="str">
        <f t="shared" si="502"/>
        <v>Y</v>
      </c>
      <c r="L1948">
        <v>0</v>
      </c>
      <c r="M1948" t="str">
        <f t="shared" si="498"/>
        <v>NIS</v>
      </c>
      <c r="O1948">
        <v>47</v>
      </c>
      <c r="P1948" t="str">
        <f t="shared" si="504"/>
        <v>Active</v>
      </c>
      <c r="Q1948" t="str">
        <f>"LM7 Content, JM, DC Motor Drives"</f>
        <v>LM7 Content, JM, DC Motor Drives</v>
      </c>
      <c r="S1948" t="str">
        <f>"LM7 Content, JM, DC Motor Drives"</f>
        <v>LM7 Content, JM, DC Motor Drives</v>
      </c>
      <c r="T1948">
        <v>0</v>
      </c>
      <c r="U1948">
        <v>5</v>
      </c>
      <c r="V1948">
        <v>5</v>
      </c>
      <c r="W1948" t="str">
        <f t="shared" si="497"/>
        <v>zintel</v>
      </c>
    </row>
    <row r="1949" spans="1:23">
      <c r="A1949" t="str">
        <f t="shared" si="499"/>
        <v>JM-CTRL-SYSM-2</v>
      </c>
      <c r="B1949" t="str">
        <f>"26-E025-0000"</f>
        <v>26-E025-0000</v>
      </c>
      <c r="C1949" t="str">
        <f>"Assembly, JM, E025 F-O-R Switch Panel"</f>
        <v>Assembly, JM, E025 F-O-R Switch Panel</v>
      </c>
      <c r="D1949">
        <v>2</v>
      </c>
      <c r="E1949" t="str">
        <f t="shared" si="500"/>
        <v>Electrical Control Systems Two Sided Bench 220V</v>
      </c>
      <c r="F1949">
        <v>0</v>
      </c>
      <c r="G1949" t="str">
        <f t="shared" si="501"/>
        <v>Y</v>
      </c>
      <c r="H1949" t="str">
        <f t="shared" si="496"/>
        <v>EA</v>
      </c>
      <c r="I1949">
        <v>0</v>
      </c>
      <c r="J1949">
        <v>0</v>
      </c>
      <c r="K1949" t="str">
        <f t="shared" si="502"/>
        <v>Y</v>
      </c>
      <c r="L1949">
        <v>0</v>
      </c>
      <c r="M1949" t="str">
        <f t="shared" si="498"/>
        <v>NIS</v>
      </c>
      <c r="O1949">
        <v>48</v>
      </c>
      <c r="P1949" t="str">
        <f t="shared" si="504"/>
        <v>Active</v>
      </c>
      <c r="Q1949" t="str">
        <f>"Assembly, JM, E025 F-O-R Switch Panel"</f>
        <v>Assembly, JM, E025 F-O-R Switch Panel</v>
      </c>
      <c r="S1949" t="str">
        <f>"Assembly, JM, E025 F-O-R Switch Panel"</f>
        <v>Assembly, JM, E025 F-O-R Switch Panel</v>
      </c>
      <c r="T1949">
        <v>108.83</v>
      </c>
      <c r="U1949">
        <v>108</v>
      </c>
      <c r="V1949">
        <v>390.23</v>
      </c>
      <c r="W1949" t="str">
        <f t="shared" si="497"/>
        <v>zintel</v>
      </c>
    </row>
    <row r="1950" spans="1:23">
      <c r="A1950" t="str">
        <f t="shared" si="499"/>
        <v>JM-CTRL-SYSM-2</v>
      </c>
      <c r="B1950" t="str">
        <f>"26-E038-0000"</f>
        <v>26-E038-0000</v>
      </c>
      <c r="C1950" t="str">
        <f>"Assembly, JM, E038, PWM Speed Control Panel"</f>
        <v>Assembly, JM, E038, PWM Speed Control Panel</v>
      </c>
      <c r="D1950">
        <v>2</v>
      </c>
      <c r="E1950" t="str">
        <f t="shared" si="500"/>
        <v>Electrical Control Systems Two Sided Bench 220V</v>
      </c>
      <c r="F1950">
        <v>0</v>
      </c>
      <c r="G1950" t="str">
        <f t="shared" si="501"/>
        <v>Y</v>
      </c>
      <c r="H1950" t="str">
        <f t="shared" si="496"/>
        <v>EA</v>
      </c>
      <c r="I1950">
        <v>0</v>
      </c>
      <c r="J1950">
        <v>0</v>
      </c>
      <c r="K1950" t="str">
        <f t="shared" si="502"/>
        <v>Y</v>
      </c>
      <c r="L1950">
        <v>0</v>
      </c>
      <c r="M1950" t="str">
        <f t="shared" si="498"/>
        <v>NIS</v>
      </c>
      <c r="O1950">
        <v>49</v>
      </c>
      <c r="P1950" t="str">
        <f t="shared" si="504"/>
        <v>Active</v>
      </c>
      <c r="Q1950" t="str">
        <f>"Assembly, JM, E038, PWM Speed Control Panel"</f>
        <v>Assembly, JM, E038, PWM Speed Control Panel</v>
      </c>
      <c r="S1950" t="str">
        <f>"Assembly, JM, E038, PWM Speed Control Panel"</f>
        <v>Assembly, JM, E038, PWM Speed Control Panel</v>
      </c>
      <c r="T1950">
        <v>254.87</v>
      </c>
      <c r="U1950">
        <v>255</v>
      </c>
      <c r="V1950">
        <v>602.52</v>
      </c>
      <c r="W1950" t="str">
        <f t="shared" si="497"/>
        <v>zintel</v>
      </c>
    </row>
    <row r="1951" spans="1:23">
      <c r="A1951" t="str">
        <f t="shared" si="499"/>
        <v>JM-CTRL-SYSM-2</v>
      </c>
      <c r="B1951" t="str">
        <f>"26-E048-0000"</f>
        <v>26-E048-0000</v>
      </c>
      <c r="C1951" t="str">
        <f>"Assembly, JM, E048 Inertial Load Panel"</f>
        <v>Assembly, JM, E048 Inertial Load Panel</v>
      </c>
      <c r="D1951">
        <v>2</v>
      </c>
      <c r="E1951" t="str">
        <f t="shared" si="500"/>
        <v>Electrical Control Systems Two Sided Bench 220V</v>
      </c>
      <c r="F1951">
        <v>0</v>
      </c>
      <c r="G1951" t="str">
        <f t="shared" si="501"/>
        <v>Y</v>
      </c>
      <c r="H1951" t="str">
        <f t="shared" si="496"/>
        <v>EA</v>
      </c>
      <c r="I1951">
        <v>0</v>
      </c>
      <c r="J1951">
        <v>0</v>
      </c>
      <c r="K1951" t="str">
        <f t="shared" si="502"/>
        <v>Y</v>
      </c>
      <c r="L1951">
        <v>0</v>
      </c>
      <c r="M1951" t="str">
        <f t="shared" si="498"/>
        <v>NIS</v>
      </c>
      <c r="O1951">
        <v>50</v>
      </c>
      <c r="P1951" t="str">
        <f t="shared" si="504"/>
        <v>Active</v>
      </c>
      <c r="Q1951" t="str">
        <f>"Assembly, JM, E048 Inertial Load Panel"</f>
        <v>Assembly, JM, E048 Inertial Load Panel</v>
      </c>
      <c r="S1951" t="str">
        <f>"Assembly, JM, E048 Inertial Load Panel"</f>
        <v>Assembly, JM, E048 Inertial Load Panel</v>
      </c>
      <c r="T1951">
        <v>179.91</v>
      </c>
      <c r="U1951">
        <v>207</v>
      </c>
      <c r="V1951">
        <v>293.45999999999998</v>
      </c>
      <c r="W1951" t="str">
        <f t="shared" si="497"/>
        <v>zintel</v>
      </c>
    </row>
    <row r="1952" spans="1:23">
      <c r="A1952" t="str">
        <f t="shared" si="499"/>
        <v>JM-CTRL-SYSM-2</v>
      </c>
      <c r="B1952" t="str">
        <f>"26-E071-0000"</f>
        <v>26-E071-0000</v>
      </c>
      <c r="C1952" t="str">
        <f>"Assembly, JM, E071 Regenerative SCR Drive Panel"</f>
        <v>Assembly, JM, E071 Regenerative SCR Drive Panel</v>
      </c>
      <c r="D1952">
        <v>2</v>
      </c>
      <c r="E1952" t="str">
        <f t="shared" si="500"/>
        <v>Electrical Control Systems Two Sided Bench 220V</v>
      </c>
      <c r="F1952">
        <v>0</v>
      </c>
      <c r="G1952" t="str">
        <f t="shared" si="501"/>
        <v>Y</v>
      </c>
      <c r="H1952" t="str">
        <f t="shared" si="496"/>
        <v>EA</v>
      </c>
      <c r="I1952">
        <v>0</v>
      </c>
      <c r="J1952">
        <v>0</v>
      </c>
      <c r="K1952" t="str">
        <f t="shared" si="502"/>
        <v>Y</v>
      </c>
      <c r="L1952">
        <v>0</v>
      </c>
      <c r="M1952" t="str">
        <f t="shared" si="498"/>
        <v>NIS</v>
      </c>
      <c r="O1952">
        <v>51</v>
      </c>
      <c r="P1952" t="str">
        <f t="shared" si="504"/>
        <v>Active</v>
      </c>
      <c r="Q1952" t="str">
        <f>"Assembly, JM, E071 Regenerative SCR Drive Panel"</f>
        <v>Assembly, JM, E071 Regenerative SCR Drive Panel</v>
      </c>
      <c r="S1952" t="str">
        <f>"Assembly, JM, E071 Regenerative SCR Drive Panel"</f>
        <v>Assembly, JM, E071 Regenerative SCR Drive Panel</v>
      </c>
      <c r="T1952">
        <v>371.1</v>
      </c>
      <c r="U1952">
        <v>370</v>
      </c>
      <c r="V1952">
        <v>641.86</v>
      </c>
      <c r="W1952" t="str">
        <f t="shared" si="497"/>
        <v>zintel</v>
      </c>
    </row>
    <row r="1953" spans="1:23">
      <c r="A1953" t="str">
        <f t="shared" si="499"/>
        <v>JM-CTRL-SYSM-2</v>
      </c>
      <c r="B1953" t="str">
        <f>"10-PPSU-0001"</f>
        <v>10-PPSU-0001</v>
      </c>
      <c r="C1953" t="str">
        <f>"JM, Portable Panel Storage Unit"</f>
        <v>JM, Portable Panel Storage Unit</v>
      </c>
      <c r="D1953">
        <v>1</v>
      </c>
      <c r="E1953" t="str">
        <f t="shared" si="500"/>
        <v>Electrical Control Systems Two Sided Bench 220V</v>
      </c>
      <c r="F1953">
        <v>0</v>
      </c>
      <c r="G1953" t="str">
        <f t="shared" si="501"/>
        <v>Y</v>
      </c>
      <c r="H1953" t="str">
        <f t="shared" si="496"/>
        <v>EA</v>
      </c>
      <c r="I1953">
        <v>0</v>
      </c>
      <c r="J1953">
        <v>0</v>
      </c>
      <c r="K1953" t="str">
        <f t="shared" si="502"/>
        <v>Y</v>
      </c>
      <c r="L1953">
        <v>0</v>
      </c>
      <c r="M1953" t="str">
        <f t="shared" si="498"/>
        <v>NIS</v>
      </c>
      <c r="O1953">
        <v>53</v>
      </c>
      <c r="P1953" t="str">
        <f t="shared" si="504"/>
        <v>Active</v>
      </c>
      <c r="Q1953" t="str">
        <f>"JM, Portable Panel Storage Unit"</f>
        <v>JM, Portable Panel Storage Unit</v>
      </c>
      <c r="S1953" t="str">
        <f>"JM, Portable Panel Storage Unit"</f>
        <v>JM, Portable Panel Storage Unit</v>
      </c>
      <c r="T1953">
        <v>889.25</v>
      </c>
      <c r="U1953">
        <v>961.88</v>
      </c>
      <c r="V1953">
        <v>978.6</v>
      </c>
      <c r="W1953" t="str">
        <f t="shared" si="497"/>
        <v>zintel</v>
      </c>
    </row>
    <row r="1954" spans="1:23">
      <c r="A1954" t="str">
        <f t="shared" si="499"/>
        <v>JM-CTRL-SYSM-2</v>
      </c>
      <c r="B1954" t="str">
        <f>"10-PC09-0000"</f>
        <v>10-PC09-0000</v>
      </c>
      <c r="C1954" t="str">
        <f>"JM, PC09, Transformer,PRI D440V SEC:Y225V 3KVA"</f>
        <v>JM, PC09, Transformer,PRI D440V SEC:Y225V 3KVA</v>
      </c>
      <c r="D1954">
        <v>1</v>
      </c>
      <c r="E1954" t="str">
        <f t="shared" si="500"/>
        <v>Electrical Control Systems Two Sided Bench 220V</v>
      </c>
      <c r="F1954">
        <v>0</v>
      </c>
      <c r="G1954" t="str">
        <f t="shared" si="501"/>
        <v>Y</v>
      </c>
      <c r="H1954" t="str">
        <f t="shared" si="496"/>
        <v>EA</v>
      </c>
      <c r="I1954">
        <v>0</v>
      </c>
      <c r="J1954">
        <v>0</v>
      </c>
      <c r="K1954" t="str">
        <f t="shared" si="502"/>
        <v>Y</v>
      </c>
      <c r="L1954">
        <v>0</v>
      </c>
      <c r="M1954" t="str">
        <f t="shared" si="498"/>
        <v>NIS</v>
      </c>
      <c r="O1954">
        <v>54</v>
      </c>
      <c r="P1954" t="str">
        <f t="shared" si="504"/>
        <v>Active</v>
      </c>
      <c r="Q1954" t="str">
        <f>"JM, PC09, Inter. Transformer Pack, LS200 Bench"</f>
        <v>JM, PC09, Inter. Transformer Pack, LS200 Bench</v>
      </c>
      <c r="S1954" t="str">
        <f>"JM, PC09, Transformer,PRI D440V SEC:Y225V 3KVA"</f>
        <v>JM, PC09, Transformer,PRI D440V SEC:Y225V 3KVA</v>
      </c>
      <c r="T1954">
        <v>0</v>
      </c>
      <c r="U1954">
        <v>0</v>
      </c>
      <c r="V1954">
        <v>0</v>
      </c>
      <c r="W1954" t="str">
        <f t="shared" si="497"/>
        <v>zintel</v>
      </c>
    </row>
    <row r="1955" spans="1:23">
      <c r="A1955" t="str">
        <f>"JM-EMMC-1600"</f>
        <v>JM-EMMC-1600</v>
      </c>
      <c r="B1955" t="str">
        <f>"10-1600-1000"</f>
        <v>10-1600-1000</v>
      </c>
      <c r="C1955" t="str">
        <f>"EMMC1600 Maintenance Cell, Hardware Package"</f>
        <v>EMMC1600 Maintenance Cell, Hardware Package</v>
      </c>
      <c r="D1955">
        <v>1</v>
      </c>
      <c r="E1955" t="str">
        <f>"JM 1600 Maintenance Cell, LMS Lab"</f>
        <v>JM 1600 Maintenance Cell, LMS Lab</v>
      </c>
      <c r="F1955">
        <v>0</v>
      </c>
      <c r="G1955" t="str">
        <f t="shared" si="501"/>
        <v>Y</v>
      </c>
      <c r="H1955" t="str">
        <f t="shared" si="496"/>
        <v>EA</v>
      </c>
      <c r="I1955">
        <v>0</v>
      </c>
      <c r="J1955">
        <v>0</v>
      </c>
      <c r="K1955" t="str">
        <f t="shared" si="502"/>
        <v>Y</v>
      </c>
      <c r="L1955">
        <v>0</v>
      </c>
      <c r="M1955" t="str">
        <f t="shared" si="498"/>
        <v>NIS</v>
      </c>
      <c r="O1955">
        <v>1</v>
      </c>
      <c r="P1955" t="str">
        <f t="shared" si="504"/>
        <v>Active</v>
      </c>
      <c r="Q1955" t="str">
        <f>"EMMC1600 Maintenance Cell, Hardware Package"</f>
        <v>EMMC1600 Maintenance Cell, Hardware Package</v>
      </c>
      <c r="R1955" t="str">
        <f>"1"</f>
        <v>1</v>
      </c>
      <c r="S1955" t="str">
        <f>"EMMC1600 Maintenance Cell, Hardware Package"</f>
        <v>EMMC1600 Maintenance Cell, Hardware Package</v>
      </c>
      <c r="T1955" s="44">
        <v>22592.31</v>
      </c>
      <c r="U1955" s="44">
        <v>21399</v>
      </c>
      <c r="V1955" s="44">
        <v>40950.160000000003</v>
      </c>
      <c r="W1955" t="str">
        <f t="shared" si="497"/>
        <v>zintel</v>
      </c>
    </row>
    <row r="1956" spans="1:23">
      <c r="A1956" t="str">
        <f>"JM-EMMC-1600"</f>
        <v>JM-EMMC-1600</v>
      </c>
      <c r="B1956" t="str">
        <f>"77-ZA00-1600"</f>
        <v>77-ZA00-1600</v>
      </c>
      <c r="C1956" t="str">
        <f>"LM7 Content, JM,  Maintenance Cell"</f>
        <v>LM7 Content, JM,  Maintenance Cell</v>
      </c>
      <c r="D1956">
        <v>1</v>
      </c>
      <c r="E1956" t="str">
        <f>"JM 1600 Maintenance Cell, LMS Lab"</f>
        <v>JM 1600 Maintenance Cell, LMS Lab</v>
      </c>
      <c r="F1956">
        <v>0</v>
      </c>
      <c r="G1956" t="str">
        <f t="shared" si="501"/>
        <v>Y</v>
      </c>
      <c r="H1956" t="str">
        <f t="shared" si="496"/>
        <v>EA</v>
      </c>
      <c r="I1956">
        <v>0</v>
      </c>
      <c r="J1956">
        <v>0</v>
      </c>
      <c r="K1956" t="str">
        <f t="shared" si="502"/>
        <v>Y</v>
      </c>
      <c r="L1956">
        <v>0</v>
      </c>
      <c r="M1956" t="str">
        <f t="shared" si="498"/>
        <v>NIS</v>
      </c>
      <c r="O1956">
        <v>2</v>
      </c>
      <c r="P1956" t="str">
        <f t="shared" si="504"/>
        <v>Active</v>
      </c>
      <c r="Q1956" t="str">
        <f>"LM7 Content, JM,  Maintenance Cell"</f>
        <v>LM7 Content, JM,  Maintenance Cell</v>
      </c>
      <c r="S1956" t="str">
        <f>"LM7 Content, JM,  Maintenance Cell"</f>
        <v>LM7 Content, JM,  Maintenance Cell</v>
      </c>
      <c r="T1956">
        <v>0</v>
      </c>
      <c r="U1956">
        <v>5</v>
      </c>
      <c r="V1956">
        <v>5</v>
      </c>
      <c r="W1956" t="str">
        <f t="shared" si="497"/>
        <v>zintel</v>
      </c>
    </row>
    <row r="1957" spans="1:23">
      <c r="A1957" t="str">
        <f>"JM-EMMC-1600-2"</f>
        <v>JM-EMMC-1600-2</v>
      </c>
      <c r="B1957" t="str">
        <f>"10-1600-1000"</f>
        <v>10-1600-1000</v>
      </c>
      <c r="C1957" t="str">
        <f>"EMMC1600 Maintenance Cell, Hardware Package"</f>
        <v>EMMC1600 Maintenance Cell, Hardware Package</v>
      </c>
      <c r="D1957">
        <v>1</v>
      </c>
      <c r="E1957" t="str">
        <f>"JM 1600 Maintenance Cell, LMS Lab 220V"</f>
        <v>JM 1600 Maintenance Cell, LMS Lab 220V</v>
      </c>
      <c r="F1957">
        <v>0</v>
      </c>
      <c r="G1957" t="str">
        <f t="shared" si="501"/>
        <v>Y</v>
      </c>
      <c r="H1957" t="str">
        <f t="shared" si="496"/>
        <v>EA</v>
      </c>
      <c r="I1957">
        <v>0</v>
      </c>
      <c r="J1957">
        <v>0</v>
      </c>
      <c r="K1957" t="str">
        <f t="shared" si="502"/>
        <v>Y</v>
      </c>
      <c r="L1957">
        <v>0</v>
      </c>
      <c r="M1957" t="str">
        <f t="shared" si="498"/>
        <v>NIS</v>
      </c>
      <c r="O1957">
        <v>1</v>
      </c>
      <c r="P1957" t="str">
        <f t="shared" si="504"/>
        <v>Active</v>
      </c>
      <c r="Q1957" t="str">
        <f>"EMMC1600 Maintenance Cell, Hardware Package"</f>
        <v>EMMC1600 Maintenance Cell, Hardware Package</v>
      </c>
      <c r="R1957" t="str">
        <f>"1"</f>
        <v>1</v>
      </c>
      <c r="S1957" t="str">
        <f>"EMMC1600 Maintenance Cell, Hardware Package"</f>
        <v>EMMC1600 Maintenance Cell, Hardware Package</v>
      </c>
      <c r="T1957" s="44">
        <v>22592.31</v>
      </c>
      <c r="U1957" s="44">
        <v>21399</v>
      </c>
      <c r="V1957" s="44">
        <v>40950.160000000003</v>
      </c>
      <c r="W1957" t="str">
        <f t="shared" si="497"/>
        <v>zintel</v>
      </c>
    </row>
    <row r="1958" spans="1:23">
      <c r="A1958" t="str">
        <f>"JM-EMMC-1600-2"</f>
        <v>JM-EMMC-1600-2</v>
      </c>
      <c r="B1958" t="str">
        <f>"77-ZA00-1600"</f>
        <v>77-ZA00-1600</v>
      </c>
      <c r="C1958" t="str">
        <f>"LM7 Content, JM,  Maintenance Cell"</f>
        <v>LM7 Content, JM,  Maintenance Cell</v>
      </c>
      <c r="D1958">
        <v>1</v>
      </c>
      <c r="E1958" t="str">
        <f>"JM 1600 Maintenance Cell, LMS Lab 220V"</f>
        <v>JM 1600 Maintenance Cell, LMS Lab 220V</v>
      </c>
      <c r="F1958">
        <v>0</v>
      </c>
      <c r="G1958" t="str">
        <f t="shared" si="501"/>
        <v>Y</v>
      </c>
      <c r="H1958" t="str">
        <f t="shared" si="496"/>
        <v>EA</v>
      </c>
      <c r="I1958">
        <v>0</v>
      </c>
      <c r="J1958">
        <v>0</v>
      </c>
      <c r="K1958" t="str">
        <f t="shared" si="502"/>
        <v>Y</v>
      </c>
      <c r="L1958">
        <v>0</v>
      </c>
      <c r="M1958" t="str">
        <f t="shared" si="498"/>
        <v>NIS</v>
      </c>
      <c r="O1958">
        <v>2</v>
      </c>
      <c r="P1958" t="str">
        <f t="shared" si="504"/>
        <v>Active</v>
      </c>
      <c r="Q1958" t="str">
        <f>"LM7 Content, JM,  Maintenance Cell"</f>
        <v>LM7 Content, JM,  Maintenance Cell</v>
      </c>
      <c r="S1958" t="str">
        <f>"LM7 Content, JM,  Maintenance Cell"</f>
        <v>LM7 Content, JM,  Maintenance Cell</v>
      </c>
      <c r="T1958">
        <v>0</v>
      </c>
      <c r="U1958">
        <v>5</v>
      </c>
      <c r="V1958">
        <v>5</v>
      </c>
      <c r="W1958" t="str">
        <f t="shared" si="497"/>
        <v>zintel</v>
      </c>
    </row>
    <row r="1959" spans="1:23">
      <c r="A1959" t="str">
        <f>"JM-EMMC-1600-2"</f>
        <v>JM-EMMC-1600-2</v>
      </c>
      <c r="B1959" t="str">
        <f>"10-PC09-0000"</f>
        <v>10-PC09-0000</v>
      </c>
      <c r="C1959" t="str">
        <f>"JM, PC09, Transformer,PRI D440V SEC:Y225V 3KVA"</f>
        <v>JM, PC09, Transformer,PRI D440V SEC:Y225V 3KVA</v>
      </c>
      <c r="D1959">
        <v>1</v>
      </c>
      <c r="E1959" t="str">
        <f>"JM 1600 Maintenance Cell, LMS Lab 220V"</f>
        <v>JM 1600 Maintenance Cell, LMS Lab 220V</v>
      </c>
      <c r="F1959">
        <v>0</v>
      </c>
      <c r="G1959" t="str">
        <f t="shared" si="501"/>
        <v>Y</v>
      </c>
      <c r="H1959" t="str">
        <f t="shared" si="496"/>
        <v>EA</v>
      </c>
      <c r="I1959">
        <v>0</v>
      </c>
      <c r="J1959">
        <v>0</v>
      </c>
      <c r="K1959" t="str">
        <f t="shared" si="502"/>
        <v>Y</v>
      </c>
      <c r="L1959">
        <v>0</v>
      </c>
      <c r="M1959" t="str">
        <f t="shared" si="498"/>
        <v>NIS</v>
      </c>
      <c r="O1959">
        <v>3</v>
      </c>
      <c r="P1959" t="str">
        <f t="shared" si="504"/>
        <v>Active</v>
      </c>
      <c r="Q1959" t="str">
        <f>"JM, PC09, Inter. Transformer Pack, LS200 Bench"</f>
        <v>JM, PC09, Inter. Transformer Pack, LS200 Bench</v>
      </c>
      <c r="S1959" t="str">
        <f>"JM, PC09, Transformer,PRI D440V SEC:Y225V 3KVA"</f>
        <v>JM, PC09, Transformer,PRI D440V SEC:Y225V 3KVA</v>
      </c>
      <c r="T1959">
        <v>0</v>
      </c>
      <c r="U1959">
        <v>0</v>
      </c>
      <c r="V1959">
        <v>0</v>
      </c>
      <c r="W1959" t="str">
        <f t="shared" si="497"/>
        <v>zintel</v>
      </c>
    </row>
    <row r="1960" spans="1:23">
      <c r="A1960" t="str">
        <f t="shared" ref="A1960:A1972" si="505">"JM-FOUN-SKILS"</f>
        <v>JM-FOUN-SKILS</v>
      </c>
      <c r="B1960" t="str">
        <f>"77-3096-0000"</f>
        <v>77-3096-0000</v>
      </c>
      <c r="C1960" t="str">
        <f>"LM7 Content, Vir, Intro to Advanced Mfg"</f>
        <v>LM7 Content, Vir, Intro to Advanced Mfg</v>
      </c>
      <c r="D1960">
        <v>1</v>
      </c>
      <c r="E1960" t="str">
        <f t="shared" ref="E1960:E1972" si="506">"Foundation Skills Virtual Content, Complete Set"</f>
        <v>Foundation Skills Virtual Content, Complete Set</v>
      </c>
      <c r="F1960">
        <v>0</v>
      </c>
      <c r="G1960" t="str">
        <f t="shared" si="501"/>
        <v>Y</v>
      </c>
      <c r="H1960" t="str">
        <f t="shared" ref="H1960:H2023" si="507">"EA"</f>
        <v>EA</v>
      </c>
      <c r="I1960">
        <v>0</v>
      </c>
      <c r="J1960">
        <v>0</v>
      </c>
      <c r="K1960" t="str">
        <f t="shared" si="502"/>
        <v>Y</v>
      </c>
      <c r="L1960">
        <v>0</v>
      </c>
      <c r="M1960" t="str">
        <f t="shared" si="498"/>
        <v>NIS</v>
      </c>
      <c r="O1960">
        <v>1</v>
      </c>
      <c r="P1960" t="str">
        <f t="shared" si="504"/>
        <v>Active</v>
      </c>
      <c r="Q1960" t="str">
        <f>"LM7 Content, Vir, Intro to Advanced Mfg"</f>
        <v>LM7 Content, Vir, Intro to Advanced Mfg</v>
      </c>
      <c r="S1960" t="str">
        <f>"LM7 Content, Vir, Intro to Advanced Mfg"</f>
        <v>LM7 Content, Vir, Intro to Advanced Mfg</v>
      </c>
      <c r="T1960">
        <v>0</v>
      </c>
      <c r="U1960">
        <v>5</v>
      </c>
      <c r="V1960">
        <v>5.2</v>
      </c>
      <c r="W1960" t="str">
        <f t="shared" ref="W1960:W2023" si="508">"zintel"</f>
        <v>zintel</v>
      </c>
    </row>
    <row r="1961" spans="1:23">
      <c r="A1961" t="str">
        <f t="shared" si="505"/>
        <v>JM-FOUN-SKILS</v>
      </c>
      <c r="B1961" t="str">
        <f>"77-3097-0000"</f>
        <v>77-3097-0000</v>
      </c>
      <c r="C1961" t="str">
        <f>"LM7 Content, Vir, Employability"</f>
        <v>LM7 Content, Vir, Employability</v>
      </c>
      <c r="D1961">
        <v>1</v>
      </c>
      <c r="E1961" t="str">
        <f t="shared" si="506"/>
        <v>Foundation Skills Virtual Content, Complete Set</v>
      </c>
      <c r="F1961">
        <v>0</v>
      </c>
      <c r="G1961" t="str">
        <f t="shared" si="501"/>
        <v>Y</v>
      </c>
      <c r="H1961" t="str">
        <f t="shared" si="507"/>
        <v>EA</v>
      </c>
      <c r="I1961">
        <v>0</v>
      </c>
      <c r="J1961">
        <v>0</v>
      </c>
      <c r="K1961" t="str">
        <f t="shared" si="502"/>
        <v>Y</v>
      </c>
      <c r="L1961">
        <v>0</v>
      </c>
      <c r="M1961" t="str">
        <f t="shared" si="498"/>
        <v>NIS</v>
      </c>
      <c r="O1961">
        <v>2</v>
      </c>
      <c r="P1961" t="str">
        <f t="shared" si="504"/>
        <v>Active</v>
      </c>
      <c r="Q1961" t="str">
        <f>"LM7 Content, Vir, Employability"</f>
        <v>LM7 Content, Vir, Employability</v>
      </c>
      <c r="S1961" t="str">
        <f>"LM7 Content, Vir, Employability"</f>
        <v>LM7 Content, Vir, Employability</v>
      </c>
      <c r="T1961">
        <v>0</v>
      </c>
      <c r="U1961">
        <v>5</v>
      </c>
      <c r="V1961">
        <v>5</v>
      </c>
      <c r="W1961" t="str">
        <f t="shared" si="508"/>
        <v>zintel</v>
      </c>
    </row>
    <row r="1962" spans="1:23">
      <c r="A1962" t="str">
        <f t="shared" si="505"/>
        <v>JM-FOUN-SKILS</v>
      </c>
      <c r="B1962" t="str">
        <f>"77-3109-0000"</f>
        <v>77-3109-0000</v>
      </c>
      <c r="C1962" t="str">
        <f>"LM7 Content, Vir, Lean Manufacturing"</f>
        <v>LM7 Content, Vir, Lean Manufacturing</v>
      </c>
      <c r="D1962">
        <v>1</v>
      </c>
      <c r="E1962" t="str">
        <f t="shared" si="506"/>
        <v>Foundation Skills Virtual Content, Complete Set</v>
      </c>
      <c r="F1962">
        <v>0</v>
      </c>
      <c r="G1962" t="str">
        <f t="shared" si="501"/>
        <v>Y</v>
      </c>
      <c r="H1962" t="str">
        <f t="shared" si="507"/>
        <v>EA</v>
      </c>
      <c r="I1962">
        <v>0</v>
      </c>
      <c r="J1962">
        <v>0</v>
      </c>
      <c r="K1962" t="str">
        <f t="shared" si="502"/>
        <v>Y</v>
      </c>
      <c r="L1962">
        <v>0</v>
      </c>
      <c r="M1962" t="str">
        <f t="shared" si="498"/>
        <v>NIS</v>
      </c>
      <c r="O1962">
        <v>3</v>
      </c>
      <c r="P1962" t="str">
        <f t="shared" si="504"/>
        <v>Active</v>
      </c>
      <c r="Q1962" t="str">
        <f>"LM7 Content, Vir, Lean Manufacturing"</f>
        <v>LM7 Content, Vir, Lean Manufacturing</v>
      </c>
      <c r="S1962" t="str">
        <f>"LM7 Content, Vir, Lean Manufacturing"</f>
        <v>LM7 Content, Vir, Lean Manufacturing</v>
      </c>
      <c r="T1962">
        <v>0</v>
      </c>
      <c r="U1962">
        <v>5</v>
      </c>
      <c r="V1962">
        <v>5</v>
      </c>
      <c r="W1962" t="str">
        <f t="shared" si="508"/>
        <v>zintel</v>
      </c>
    </row>
    <row r="1963" spans="1:23">
      <c r="A1963" t="str">
        <f t="shared" si="505"/>
        <v>JM-FOUN-SKILS</v>
      </c>
      <c r="B1963" t="str">
        <f>"77-LOTO-0000"</f>
        <v>77-LOTO-0000</v>
      </c>
      <c r="C1963" t="str">
        <f>"LM7 Content, JM, Safety, Lock Out/Tag Out"</f>
        <v>LM7 Content, JM, Safety, Lock Out/Tag Out</v>
      </c>
      <c r="D1963">
        <v>1</v>
      </c>
      <c r="E1963" t="str">
        <f t="shared" si="506"/>
        <v>Foundation Skills Virtual Content, Complete Set</v>
      </c>
      <c r="F1963">
        <v>0</v>
      </c>
      <c r="G1963" t="str">
        <f t="shared" si="501"/>
        <v>Y</v>
      </c>
      <c r="H1963" t="str">
        <f t="shared" si="507"/>
        <v>EA</v>
      </c>
      <c r="I1963">
        <v>0</v>
      </c>
      <c r="J1963">
        <v>0</v>
      </c>
      <c r="K1963" t="str">
        <f t="shared" si="502"/>
        <v>Y</v>
      </c>
      <c r="L1963">
        <v>0</v>
      </c>
      <c r="M1963" t="str">
        <f t="shared" si="498"/>
        <v>NIS</v>
      </c>
      <c r="O1963">
        <v>4</v>
      </c>
      <c r="P1963" t="str">
        <f t="shared" si="504"/>
        <v>Active</v>
      </c>
      <c r="Q1963" t="str">
        <f>"LM7 Content, JM, Safety, Lock Out/Tag Out"</f>
        <v>LM7 Content, JM, Safety, Lock Out/Tag Out</v>
      </c>
      <c r="S1963" t="str">
        <f>"LM7 Content, JM, Safety, Lock Out/Tag Out"</f>
        <v>LM7 Content, JM, Safety, Lock Out/Tag Out</v>
      </c>
      <c r="T1963">
        <v>0</v>
      </c>
      <c r="U1963">
        <v>5</v>
      </c>
      <c r="V1963">
        <v>5</v>
      </c>
      <c r="W1963" t="str">
        <f t="shared" si="508"/>
        <v>zintel</v>
      </c>
    </row>
    <row r="1964" spans="1:23">
      <c r="A1964" t="str">
        <f t="shared" si="505"/>
        <v>JM-FOUN-SKILS</v>
      </c>
      <c r="B1964" t="str">
        <f>"77-BA01A-0001"</f>
        <v>77-BA01A-0001</v>
      </c>
      <c r="C1964" t="str">
        <f>"LM7 Content, JM, Math for Technicians I"</f>
        <v>LM7 Content, JM, Math for Technicians I</v>
      </c>
      <c r="D1964">
        <v>1</v>
      </c>
      <c r="E1964" t="str">
        <f t="shared" si="506"/>
        <v>Foundation Skills Virtual Content, Complete Set</v>
      </c>
      <c r="F1964">
        <v>0</v>
      </c>
      <c r="G1964" t="str">
        <f t="shared" si="501"/>
        <v>Y</v>
      </c>
      <c r="H1964" t="str">
        <f t="shared" si="507"/>
        <v>EA</v>
      </c>
      <c r="I1964">
        <v>0</v>
      </c>
      <c r="J1964">
        <v>0</v>
      </c>
      <c r="K1964" t="str">
        <f t="shared" si="502"/>
        <v>Y</v>
      </c>
      <c r="L1964">
        <v>0</v>
      </c>
      <c r="M1964" t="str">
        <f t="shared" si="498"/>
        <v>NIS</v>
      </c>
      <c r="O1964">
        <v>5</v>
      </c>
      <c r="P1964" t="str">
        <f t="shared" si="504"/>
        <v>Active</v>
      </c>
      <c r="Q1964" t="str">
        <f>"LM7 Content, JM, Math for Technicians I"</f>
        <v>LM7 Content, JM, Math for Technicians I</v>
      </c>
      <c r="S1964" t="str">
        <f>"LM7 Content, JM, Math for Technicians I"</f>
        <v>LM7 Content, JM, Math for Technicians I</v>
      </c>
      <c r="T1964">
        <v>0</v>
      </c>
      <c r="U1964">
        <v>5</v>
      </c>
      <c r="V1964">
        <v>5</v>
      </c>
      <c r="W1964" t="str">
        <f t="shared" si="508"/>
        <v>zintel</v>
      </c>
    </row>
    <row r="1965" spans="1:23">
      <c r="A1965" t="str">
        <f t="shared" si="505"/>
        <v>JM-FOUN-SKILS</v>
      </c>
      <c r="B1965" t="str">
        <f>"77-BA01B-0001"</f>
        <v>77-BA01B-0001</v>
      </c>
      <c r="C1965" t="str">
        <f>"LM7 Content, JM, Math For Technicians II"</f>
        <v>LM7 Content, JM, Math For Technicians II</v>
      </c>
      <c r="D1965">
        <v>1</v>
      </c>
      <c r="E1965" t="str">
        <f t="shared" si="506"/>
        <v>Foundation Skills Virtual Content, Complete Set</v>
      </c>
      <c r="F1965">
        <v>0</v>
      </c>
      <c r="G1965" t="str">
        <f t="shared" si="501"/>
        <v>Y</v>
      </c>
      <c r="H1965" t="str">
        <f t="shared" si="507"/>
        <v>EA</v>
      </c>
      <c r="I1965">
        <v>0</v>
      </c>
      <c r="J1965">
        <v>0</v>
      </c>
      <c r="K1965" t="str">
        <f t="shared" si="502"/>
        <v>Y</v>
      </c>
      <c r="L1965">
        <v>0</v>
      </c>
      <c r="M1965" t="str">
        <f t="shared" si="498"/>
        <v>NIS</v>
      </c>
      <c r="O1965">
        <v>6</v>
      </c>
      <c r="P1965" t="str">
        <f t="shared" si="504"/>
        <v>Active</v>
      </c>
      <c r="Q1965" t="str">
        <f>"LM7 Content, JM, Math For Technicians II"</f>
        <v>LM7 Content, JM, Math For Technicians II</v>
      </c>
      <c r="S1965" t="str">
        <f>"LM7 Content, JM, Math For Technicians II"</f>
        <v>LM7 Content, JM, Math For Technicians II</v>
      </c>
      <c r="T1965">
        <v>0</v>
      </c>
      <c r="U1965">
        <v>5</v>
      </c>
      <c r="V1965">
        <v>5</v>
      </c>
      <c r="W1965" t="str">
        <f t="shared" si="508"/>
        <v>zintel</v>
      </c>
    </row>
    <row r="1966" spans="1:23">
      <c r="A1966" t="str">
        <f t="shared" si="505"/>
        <v>JM-FOUN-SKILS</v>
      </c>
      <c r="B1966" t="str">
        <f>"77-BA02-0001"</f>
        <v>77-BA02-0001</v>
      </c>
      <c r="C1966" t="str">
        <f>"LM7 Content, JM, Blue Print Reading"</f>
        <v>LM7 Content, JM, Blue Print Reading</v>
      </c>
      <c r="D1966">
        <v>1</v>
      </c>
      <c r="E1966" t="str">
        <f t="shared" si="506"/>
        <v>Foundation Skills Virtual Content, Complete Set</v>
      </c>
      <c r="F1966">
        <v>0</v>
      </c>
      <c r="G1966" t="str">
        <f t="shared" si="501"/>
        <v>Y</v>
      </c>
      <c r="H1966" t="str">
        <f t="shared" si="507"/>
        <v>EA</v>
      </c>
      <c r="I1966">
        <v>0</v>
      </c>
      <c r="J1966">
        <v>0</v>
      </c>
      <c r="K1966" t="str">
        <f t="shared" si="502"/>
        <v>Y</v>
      </c>
      <c r="L1966">
        <v>0</v>
      </c>
      <c r="M1966" t="str">
        <f t="shared" si="498"/>
        <v>NIS</v>
      </c>
      <c r="O1966">
        <v>7</v>
      </c>
      <c r="P1966" t="str">
        <f t="shared" si="504"/>
        <v>Active</v>
      </c>
      <c r="Q1966" t="str">
        <f>"LM7 Content, JM, Blue Print Reading"</f>
        <v>LM7 Content, JM, Blue Print Reading</v>
      </c>
      <c r="S1966" t="str">
        <f>"LM7 Content, JM, Blue Print Reading"</f>
        <v>LM7 Content, JM, Blue Print Reading</v>
      </c>
      <c r="T1966">
        <v>0</v>
      </c>
      <c r="U1966">
        <v>5</v>
      </c>
      <c r="V1966">
        <v>5</v>
      </c>
      <c r="W1966" t="str">
        <f t="shared" si="508"/>
        <v>zintel</v>
      </c>
    </row>
    <row r="1967" spans="1:23">
      <c r="A1967" t="str">
        <f t="shared" si="505"/>
        <v>JM-FOUN-SKILS</v>
      </c>
      <c r="B1967" t="str">
        <f>"77-BA03-0001"</f>
        <v>77-BA03-0001</v>
      </c>
      <c r="C1967" t="str">
        <f>"LM7 Content, JM, Lubrication for Technicians"</f>
        <v>LM7 Content, JM, Lubrication for Technicians</v>
      </c>
      <c r="D1967">
        <v>1</v>
      </c>
      <c r="E1967" t="str">
        <f t="shared" si="506"/>
        <v>Foundation Skills Virtual Content, Complete Set</v>
      </c>
      <c r="F1967">
        <v>0</v>
      </c>
      <c r="G1967" t="str">
        <f t="shared" si="501"/>
        <v>Y</v>
      </c>
      <c r="H1967" t="str">
        <f t="shared" si="507"/>
        <v>EA</v>
      </c>
      <c r="I1967">
        <v>0</v>
      </c>
      <c r="J1967">
        <v>0</v>
      </c>
      <c r="K1967" t="str">
        <f t="shared" si="502"/>
        <v>Y</v>
      </c>
      <c r="L1967">
        <v>0</v>
      </c>
      <c r="M1967" t="str">
        <f t="shared" si="498"/>
        <v>NIS</v>
      </c>
      <c r="O1967">
        <v>8</v>
      </c>
      <c r="P1967" t="str">
        <f t="shared" si="504"/>
        <v>Active</v>
      </c>
      <c r="Q1967" t="str">
        <f>"LM7 Content, JM, Lubrication for Technicians"</f>
        <v>LM7 Content, JM, Lubrication for Technicians</v>
      </c>
      <c r="S1967" t="str">
        <f>"LM7 Content, JM, Lubrication for Technicians"</f>
        <v>LM7 Content, JM, Lubrication for Technicians</v>
      </c>
      <c r="T1967">
        <v>0</v>
      </c>
      <c r="U1967">
        <v>5</v>
      </c>
      <c r="V1967">
        <v>5</v>
      </c>
      <c r="W1967" t="str">
        <f t="shared" si="508"/>
        <v>zintel</v>
      </c>
    </row>
    <row r="1968" spans="1:23">
      <c r="A1968" t="str">
        <f t="shared" si="505"/>
        <v>JM-FOUN-SKILS</v>
      </c>
      <c r="B1968" t="str">
        <f>"77-BA04-0001"</f>
        <v>77-BA04-0001</v>
      </c>
      <c r="C1968" t="str">
        <f>"LM7 Content, JM, Fasteners"</f>
        <v>LM7 Content, JM, Fasteners</v>
      </c>
      <c r="D1968">
        <v>1</v>
      </c>
      <c r="E1968" t="str">
        <f t="shared" si="506"/>
        <v>Foundation Skills Virtual Content, Complete Set</v>
      </c>
      <c r="F1968">
        <v>0</v>
      </c>
      <c r="G1968" t="str">
        <f t="shared" si="501"/>
        <v>Y</v>
      </c>
      <c r="H1968" t="str">
        <f t="shared" si="507"/>
        <v>EA</v>
      </c>
      <c r="I1968">
        <v>0</v>
      </c>
      <c r="J1968">
        <v>0</v>
      </c>
      <c r="K1968" t="str">
        <f t="shared" si="502"/>
        <v>Y</v>
      </c>
      <c r="L1968">
        <v>0</v>
      </c>
      <c r="M1968" t="str">
        <f t="shared" si="498"/>
        <v>NIS</v>
      </c>
      <c r="O1968">
        <v>9</v>
      </c>
      <c r="P1968" t="str">
        <f t="shared" si="504"/>
        <v>Active</v>
      </c>
      <c r="Q1968" t="str">
        <f>"LM7 Content, JM, Fasteners"</f>
        <v>LM7 Content, JM, Fasteners</v>
      </c>
      <c r="S1968" t="str">
        <f>"LM7 Content, JM, Fasteners"</f>
        <v>LM7 Content, JM, Fasteners</v>
      </c>
      <c r="T1968">
        <v>0</v>
      </c>
      <c r="U1968">
        <v>5</v>
      </c>
      <c r="V1968">
        <v>5</v>
      </c>
      <c r="W1968" t="str">
        <f t="shared" si="508"/>
        <v>zintel</v>
      </c>
    </row>
    <row r="1969" spans="1:23">
      <c r="A1969" t="str">
        <f t="shared" si="505"/>
        <v>JM-FOUN-SKILS</v>
      </c>
      <c r="B1969" t="str">
        <f>"77-BA05-0001"</f>
        <v>77-BA05-0001</v>
      </c>
      <c r="C1969" t="str">
        <f>"LM7 Content, JM, Hand Tools"</f>
        <v>LM7 Content, JM, Hand Tools</v>
      </c>
      <c r="D1969">
        <v>1</v>
      </c>
      <c r="E1969" t="str">
        <f t="shared" si="506"/>
        <v>Foundation Skills Virtual Content, Complete Set</v>
      </c>
      <c r="F1969">
        <v>0</v>
      </c>
      <c r="G1969" t="str">
        <f t="shared" si="501"/>
        <v>Y</v>
      </c>
      <c r="H1969" t="str">
        <f t="shared" si="507"/>
        <v>EA</v>
      </c>
      <c r="I1969">
        <v>0</v>
      </c>
      <c r="J1969">
        <v>0</v>
      </c>
      <c r="K1969" t="str">
        <f t="shared" si="502"/>
        <v>Y</v>
      </c>
      <c r="L1969">
        <v>0</v>
      </c>
      <c r="M1969" t="str">
        <f t="shared" ref="M1969:M2032" si="509">"NIS"</f>
        <v>NIS</v>
      </c>
      <c r="O1969">
        <v>10</v>
      </c>
      <c r="P1969" t="str">
        <f t="shared" si="504"/>
        <v>Active</v>
      </c>
      <c r="Q1969" t="str">
        <f>"LM7 Content, JM, Hand Tools"</f>
        <v>LM7 Content, JM, Hand Tools</v>
      </c>
      <c r="S1969" t="str">
        <f>"LM7 Content, JM, Hand Tools"</f>
        <v>LM7 Content, JM, Hand Tools</v>
      </c>
      <c r="T1969">
        <v>0</v>
      </c>
      <c r="U1969">
        <v>5</v>
      </c>
      <c r="V1969">
        <v>5</v>
      </c>
      <c r="W1969" t="str">
        <f t="shared" si="508"/>
        <v>zintel</v>
      </c>
    </row>
    <row r="1970" spans="1:23">
      <c r="A1970" t="str">
        <f t="shared" si="505"/>
        <v>JM-FOUN-SKILS</v>
      </c>
      <c r="B1970" t="str">
        <f>"77-BA06-0001"</f>
        <v>77-BA06-0001</v>
      </c>
      <c r="C1970" t="str">
        <f>"LM7 Content, JM, Power Tools"</f>
        <v>LM7 Content, JM, Power Tools</v>
      </c>
      <c r="D1970">
        <v>1</v>
      </c>
      <c r="E1970" t="str">
        <f t="shared" si="506"/>
        <v>Foundation Skills Virtual Content, Complete Set</v>
      </c>
      <c r="F1970">
        <v>0</v>
      </c>
      <c r="G1970" t="str">
        <f t="shared" si="501"/>
        <v>Y</v>
      </c>
      <c r="H1970" t="str">
        <f t="shared" si="507"/>
        <v>EA</v>
      </c>
      <c r="I1970">
        <v>0</v>
      </c>
      <c r="J1970">
        <v>0</v>
      </c>
      <c r="K1970" t="str">
        <f t="shared" si="502"/>
        <v>Y</v>
      </c>
      <c r="L1970">
        <v>0</v>
      </c>
      <c r="M1970" t="str">
        <f t="shared" si="509"/>
        <v>NIS</v>
      </c>
      <c r="O1970">
        <v>11</v>
      </c>
      <c r="P1970" t="str">
        <f t="shared" si="504"/>
        <v>Active</v>
      </c>
      <c r="Q1970" t="str">
        <f>"LM7 Content, JM, Power Tools"</f>
        <v>LM7 Content, JM, Power Tools</v>
      </c>
      <c r="S1970" t="str">
        <f>"LM7 Content, JM, Power Tools"</f>
        <v>LM7 Content, JM, Power Tools</v>
      </c>
      <c r="T1970">
        <v>0</v>
      </c>
      <c r="U1970">
        <v>5</v>
      </c>
      <c r="V1970">
        <v>5</v>
      </c>
      <c r="W1970" t="str">
        <f t="shared" si="508"/>
        <v>zintel</v>
      </c>
    </row>
    <row r="1971" spans="1:23">
      <c r="A1971" t="str">
        <f t="shared" si="505"/>
        <v>JM-FOUN-SKILS</v>
      </c>
      <c r="B1971" t="str">
        <f>"77-8014-0001"</f>
        <v>77-8014-0001</v>
      </c>
      <c r="C1971" t="str">
        <f>"LM7 Content, Lab/Vir, MMQC"</f>
        <v>LM7 Content, Lab/Vir, MMQC</v>
      </c>
      <c r="D1971">
        <v>1</v>
      </c>
      <c r="E1971" t="str">
        <f t="shared" si="506"/>
        <v>Foundation Skills Virtual Content, Complete Set</v>
      </c>
      <c r="F1971">
        <v>0</v>
      </c>
      <c r="G1971" t="str">
        <f t="shared" si="501"/>
        <v>Y</v>
      </c>
      <c r="H1971" t="str">
        <f t="shared" si="507"/>
        <v>EA</v>
      </c>
      <c r="I1971">
        <v>0</v>
      </c>
      <c r="J1971">
        <v>0</v>
      </c>
      <c r="K1971" t="str">
        <f t="shared" si="502"/>
        <v>Y</v>
      </c>
      <c r="L1971">
        <v>0</v>
      </c>
      <c r="M1971" t="str">
        <f t="shared" si="509"/>
        <v>NIS</v>
      </c>
      <c r="O1971">
        <v>12</v>
      </c>
      <c r="P1971" t="str">
        <f t="shared" si="504"/>
        <v>Active</v>
      </c>
      <c r="Q1971" t="str">
        <f>"LM7 Content, Lab/Vir, MMQC"</f>
        <v>LM7 Content, Lab/Vir, MMQC</v>
      </c>
      <c r="S1971" t="str">
        <f>"LM7 Content, Lab/Vir, MMQC"</f>
        <v>LM7 Content, Lab/Vir, MMQC</v>
      </c>
      <c r="T1971">
        <v>0</v>
      </c>
      <c r="U1971">
        <v>5</v>
      </c>
      <c r="V1971">
        <v>5</v>
      </c>
      <c r="W1971" t="str">
        <f t="shared" si="508"/>
        <v>zintel</v>
      </c>
    </row>
    <row r="1972" spans="1:23">
      <c r="A1972" t="str">
        <f t="shared" si="505"/>
        <v>JM-FOUN-SKILS</v>
      </c>
      <c r="B1972" t="str">
        <f>"25-0000-0001"</f>
        <v>25-0000-0001</v>
      </c>
      <c r="C1972" t="str">
        <f>"Package, intelitek banner &amp; posters"</f>
        <v>Package, intelitek banner &amp; posters</v>
      </c>
      <c r="D1972">
        <v>1</v>
      </c>
      <c r="E1972" t="str">
        <f t="shared" si="506"/>
        <v>Foundation Skills Virtual Content, Complete Set</v>
      </c>
      <c r="F1972">
        <v>0</v>
      </c>
      <c r="G1972" t="str">
        <f t="shared" si="501"/>
        <v>Y</v>
      </c>
      <c r="H1972" t="str">
        <f t="shared" si="507"/>
        <v>EA</v>
      </c>
      <c r="I1972">
        <v>0</v>
      </c>
      <c r="J1972">
        <v>0</v>
      </c>
      <c r="K1972" t="str">
        <f t="shared" si="502"/>
        <v>Y</v>
      </c>
      <c r="L1972">
        <v>0</v>
      </c>
      <c r="M1972" t="str">
        <f t="shared" si="509"/>
        <v>NIS</v>
      </c>
      <c r="O1972">
        <v>13</v>
      </c>
      <c r="P1972" t="str">
        <f>"Inactive"</f>
        <v>Inactive</v>
      </c>
      <c r="Q1972" t="str">
        <f>"Package, intelitek banner &amp; posters"</f>
        <v>Package, intelitek banner &amp; posters</v>
      </c>
      <c r="S1972" t="str">
        <f>"Package, intelitek banner &amp; posters"</f>
        <v>Package, intelitek banner &amp; posters</v>
      </c>
      <c r="T1972">
        <v>0.94</v>
      </c>
      <c r="U1972">
        <v>0.94</v>
      </c>
      <c r="V1972">
        <v>0</v>
      </c>
      <c r="W1972" t="str">
        <f t="shared" si="508"/>
        <v>zintel</v>
      </c>
    </row>
    <row r="1973" spans="1:23">
      <c r="A1973" t="str">
        <f t="shared" ref="A1973:A1984" si="510">"JM-FOUN-SKILS-HS"</f>
        <v>JM-FOUN-SKILS-HS</v>
      </c>
      <c r="B1973" t="str">
        <f>"77-3096-0000"</f>
        <v>77-3096-0000</v>
      </c>
      <c r="C1973" t="str">
        <f>"LM7 Content, Vir, Intro to Advanced Mfg"</f>
        <v>LM7 Content, Vir, Intro to Advanced Mfg</v>
      </c>
      <c r="D1973">
        <v>1</v>
      </c>
      <c r="E1973" t="str">
        <f t="shared" ref="E1973:E1984" si="511">"JM Complete Foundations Program, Virtual, High School Only License"</f>
        <v>JM Complete Foundations Program, Virtual, High School Only License</v>
      </c>
      <c r="F1973">
        <v>0</v>
      </c>
      <c r="G1973" t="str">
        <f t="shared" si="501"/>
        <v>Y</v>
      </c>
      <c r="H1973" t="str">
        <f t="shared" si="507"/>
        <v>EA</v>
      </c>
      <c r="I1973">
        <v>0</v>
      </c>
      <c r="J1973">
        <v>0</v>
      </c>
      <c r="K1973" t="str">
        <f t="shared" si="502"/>
        <v>Y</v>
      </c>
      <c r="L1973">
        <v>0</v>
      </c>
      <c r="M1973" t="str">
        <f t="shared" si="509"/>
        <v>NIS</v>
      </c>
      <c r="O1973">
        <v>1</v>
      </c>
      <c r="P1973" t="str">
        <f t="shared" ref="P1973:P1997" si="512">"Active"</f>
        <v>Active</v>
      </c>
      <c r="Q1973" t="str">
        <f>"LM7 Content, Vir, Intro to Advanced Mfg"</f>
        <v>LM7 Content, Vir, Intro to Advanced Mfg</v>
      </c>
      <c r="S1973" t="str">
        <f>"LM7 Content, Vir, Intro to Advanced Mfg"</f>
        <v>LM7 Content, Vir, Intro to Advanced Mfg</v>
      </c>
      <c r="T1973">
        <v>0</v>
      </c>
      <c r="U1973">
        <v>5</v>
      </c>
      <c r="V1973">
        <v>5.2</v>
      </c>
      <c r="W1973" t="str">
        <f t="shared" si="508"/>
        <v>zintel</v>
      </c>
    </row>
    <row r="1974" spans="1:23">
      <c r="A1974" t="str">
        <f t="shared" si="510"/>
        <v>JM-FOUN-SKILS-HS</v>
      </c>
      <c r="B1974" t="str">
        <f>"77-3097-0000"</f>
        <v>77-3097-0000</v>
      </c>
      <c r="C1974" t="str">
        <f>"LM7 Content, Vir, Employability"</f>
        <v>LM7 Content, Vir, Employability</v>
      </c>
      <c r="D1974">
        <v>1</v>
      </c>
      <c r="E1974" t="str">
        <f t="shared" si="511"/>
        <v>JM Complete Foundations Program, Virtual, High School Only License</v>
      </c>
      <c r="F1974">
        <v>0</v>
      </c>
      <c r="G1974" t="str">
        <f t="shared" si="501"/>
        <v>Y</v>
      </c>
      <c r="H1974" t="str">
        <f t="shared" si="507"/>
        <v>EA</v>
      </c>
      <c r="I1974">
        <v>0</v>
      </c>
      <c r="J1974">
        <v>0</v>
      </c>
      <c r="K1974" t="str">
        <f t="shared" si="502"/>
        <v>Y</v>
      </c>
      <c r="L1974">
        <v>0</v>
      </c>
      <c r="M1974" t="str">
        <f t="shared" si="509"/>
        <v>NIS</v>
      </c>
      <c r="O1974">
        <v>2</v>
      </c>
      <c r="P1974" t="str">
        <f t="shared" si="512"/>
        <v>Active</v>
      </c>
      <c r="Q1974" t="str">
        <f>"LM7 Content, Vir, Employability"</f>
        <v>LM7 Content, Vir, Employability</v>
      </c>
      <c r="S1974" t="str">
        <f>"LM7 Content, Vir, Employability"</f>
        <v>LM7 Content, Vir, Employability</v>
      </c>
      <c r="T1974">
        <v>0</v>
      </c>
      <c r="U1974">
        <v>5</v>
      </c>
      <c r="V1974">
        <v>5</v>
      </c>
      <c r="W1974" t="str">
        <f t="shared" si="508"/>
        <v>zintel</v>
      </c>
    </row>
    <row r="1975" spans="1:23">
      <c r="A1975" t="str">
        <f t="shared" si="510"/>
        <v>JM-FOUN-SKILS-HS</v>
      </c>
      <c r="B1975" t="str">
        <f>"77-3109-0000"</f>
        <v>77-3109-0000</v>
      </c>
      <c r="C1975" t="str">
        <f>"LM7 Content, Vir, Lean Manufacturing"</f>
        <v>LM7 Content, Vir, Lean Manufacturing</v>
      </c>
      <c r="D1975">
        <v>1</v>
      </c>
      <c r="E1975" t="str">
        <f t="shared" si="511"/>
        <v>JM Complete Foundations Program, Virtual, High School Only License</v>
      </c>
      <c r="F1975">
        <v>0</v>
      </c>
      <c r="G1975" t="str">
        <f t="shared" si="501"/>
        <v>Y</v>
      </c>
      <c r="H1975" t="str">
        <f t="shared" si="507"/>
        <v>EA</v>
      </c>
      <c r="I1975">
        <v>0</v>
      </c>
      <c r="J1975">
        <v>0</v>
      </c>
      <c r="K1975" t="str">
        <f t="shared" si="502"/>
        <v>Y</v>
      </c>
      <c r="L1975">
        <v>0</v>
      </c>
      <c r="M1975" t="str">
        <f t="shared" si="509"/>
        <v>NIS</v>
      </c>
      <c r="O1975">
        <v>3</v>
      </c>
      <c r="P1975" t="str">
        <f t="shared" si="512"/>
        <v>Active</v>
      </c>
      <c r="Q1975" t="str">
        <f>"LM7 Content, Vir, Lean Manufacturing"</f>
        <v>LM7 Content, Vir, Lean Manufacturing</v>
      </c>
      <c r="S1975" t="str">
        <f>"LM7 Content, Vir, Lean Manufacturing"</f>
        <v>LM7 Content, Vir, Lean Manufacturing</v>
      </c>
      <c r="T1975">
        <v>0</v>
      </c>
      <c r="U1975">
        <v>5</v>
      </c>
      <c r="V1975">
        <v>5</v>
      </c>
      <c r="W1975" t="str">
        <f t="shared" si="508"/>
        <v>zintel</v>
      </c>
    </row>
    <row r="1976" spans="1:23">
      <c r="A1976" t="str">
        <f t="shared" si="510"/>
        <v>JM-FOUN-SKILS-HS</v>
      </c>
      <c r="B1976" t="str">
        <f>"77-LOTO-0000"</f>
        <v>77-LOTO-0000</v>
      </c>
      <c r="C1976" t="str">
        <f>"LM7 Content, JM, Safety, Lock Out/Tag Out"</f>
        <v>LM7 Content, JM, Safety, Lock Out/Tag Out</v>
      </c>
      <c r="D1976">
        <v>1</v>
      </c>
      <c r="E1976" t="str">
        <f t="shared" si="511"/>
        <v>JM Complete Foundations Program, Virtual, High School Only License</v>
      </c>
      <c r="F1976">
        <v>0</v>
      </c>
      <c r="G1976" t="str">
        <f t="shared" si="501"/>
        <v>Y</v>
      </c>
      <c r="H1976" t="str">
        <f t="shared" si="507"/>
        <v>EA</v>
      </c>
      <c r="I1976">
        <v>0</v>
      </c>
      <c r="J1976">
        <v>0</v>
      </c>
      <c r="K1976" t="str">
        <f t="shared" si="502"/>
        <v>Y</v>
      </c>
      <c r="L1976">
        <v>0</v>
      </c>
      <c r="M1976" t="str">
        <f t="shared" si="509"/>
        <v>NIS</v>
      </c>
      <c r="O1976">
        <v>4</v>
      </c>
      <c r="P1976" t="str">
        <f t="shared" si="512"/>
        <v>Active</v>
      </c>
      <c r="Q1976" t="str">
        <f>"LM7 Content, JM, Safety, Lock Out/Tag Out"</f>
        <v>LM7 Content, JM, Safety, Lock Out/Tag Out</v>
      </c>
      <c r="S1976" t="str">
        <f>"LM7 Content, JM, Safety, Lock Out/Tag Out"</f>
        <v>LM7 Content, JM, Safety, Lock Out/Tag Out</v>
      </c>
      <c r="T1976">
        <v>0</v>
      </c>
      <c r="U1976">
        <v>5</v>
      </c>
      <c r="V1976">
        <v>5</v>
      </c>
      <c r="W1976" t="str">
        <f t="shared" si="508"/>
        <v>zintel</v>
      </c>
    </row>
    <row r="1977" spans="1:23">
      <c r="A1977" t="str">
        <f t="shared" si="510"/>
        <v>JM-FOUN-SKILS-HS</v>
      </c>
      <c r="B1977" t="str">
        <f>"77-BA01A-0001"</f>
        <v>77-BA01A-0001</v>
      </c>
      <c r="C1977" t="str">
        <f>"LM7 Content, JM, Math for Technicians I"</f>
        <v>LM7 Content, JM, Math for Technicians I</v>
      </c>
      <c r="D1977">
        <v>1</v>
      </c>
      <c r="E1977" t="str">
        <f t="shared" si="511"/>
        <v>JM Complete Foundations Program, Virtual, High School Only License</v>
      </c>
      <c r="F1977">
        <v>0</v>
      </c>
      <c r="G1977" t="str">
        <f t="shared" si="501"/>
        <v>Y</v>
      </c>
      <c r="H1977" t="str">
        <f t="shared" si="507"/>
        <v>EA</v>
      </c>
      <c r="I1977">
        <v>0</v>
      </c>
      <c r="J1977">
        <v>0</v>
      </c>
      <c r="K1977" t="str">
        <f t="shared" si="502"/>
        <v>Y</v>
      </c>
      <c r="L1977">
        <v>0</v>
      </c>
      <c r="M1977" t="str">
        <f t="shared" si="509"/>
        <v>NIS</v>
      </c>
      <c r="O1977">
        <v>5</v>
      </c>
      <c r="P1977" t="str">
        <f t="shared" si="512"/>
        <v>Active</v>
      </c>
      <c r="Q1977" t="str">
        <f>"LM7 Content, JM, Math for Technicians I"</f>
        <v>LM7 Content, JM, Math for Technicians I</v>
      </c>
      <c r="S1977" t="str">
        <f>"LM7 Content, JM, Math for Technicians I"</f>
        <v>LM7 Content, JM, Math for Technicians I</v>
      </c>
      <c r="T1977">
        <v>0</v>
      </c>
      <c r="U1977">
        <v>5</v>
      </c>
      <c r="V1977">
        <v>5</v>
      </c>
      <c r="W1977" t="str">
        <f t="shared" si="508"/>
        <v>zintel</v>
      </c>
    </row>
    <row r="1978" spans="1:23">
      <c r="A1978" t="str">
        <f t="shared" si="510"/>
        <v>JM-FOUN-SKILS-HS</v>
      </c>
      <c r="B1978" t="str">
        <f>"77-BA01B-0001"</f>
        <v>77-BA01B-0001</v>
      </c>
      <c r="C1978" t="str">
        <f>"LM7 Content, JM, Math For Technicians II"</f>
        <v>LM7 Content, JM, Math For Technicians II</v>
      </c>
      <c r="D1978">
        <v>1</v>
      </c>
      <c r="E1978" t="str">
        <f t="shared" si="511"/>
        <v>JM Complete Foundations Program, Virtual, High School Only License</v>
      </c>
      <c r="F1978">
        <v>0</v>
      </c>
      <c r="G1978" t="str">
        <f t="shared" si="501"/>
        <v>Y</v>
      </c>
      <c r="H1978" t="str">
        <f t="shared" si="507"/>
        <v>EA</v>
      </c>
      <c r="I1978">
        <v>0</v>
      </c>
      <c r="J1978">
        <v>0</v>
      </c>
      <c r="K1978" t="str">
        <f t="shared" si="502"/>
        <v>Y</v>
      </c>
      <c r="L1978">
        <v>0</v>
      </c>
      <c r="M1978" t="str">
        <f t="shared" si="509"/>
        <v>NIS</v>
      </c>
      <c r="O1978">
        <v>6</v>
      </c>
      <c r="P1978" t="str">
        <f t="shared" si="512"/>
        <v>Active</v>
      </c>
      <c r="Q1978" t="str">
        <f>"LM7 Content, JM, Math For Technicians II"</f>
        <v>LM7 Content, JM, Math For Technicians II</v>
      </c>
      <c r="S1978" t="str">
        <f>"LM7 Content, JM, Math For Technicians II"</f>
        <v>LM7 Content, JM, Math For Technicians II</v>
      </c>
      <c r="T1978">
        <v>0</v>
      </c>
      <c r="U1978">
        <v>5</v>
      </c>
      <c r="V1978">
        <v>5</v>
      </c>
      <c r="W1978" t="str">
        <f t="shared" si="508"/>
        <v>zintel</v>
      </c>
    </row>
    <row r="1979" spans="1:23">
      <c r="A1979" t="str">
        <f t="shared" si="510"/>
        <v>JM-FOUN-SKILS-HS</v>
      </c>
      <c r="B1979" t="str">
        <f>"77-BA02-0001"</f>
        <v>77-BA02-0001</v>
      </c>
      <c r="C1979" t="str">
        <f>"LM7 Content, JM, Blue Print Reading"</f>
        <v>LM7 Content, JM, Blue Print Reading</v>
      </c>
      <c r="D1979">
        <v>1</v>
      </c>
      <c r="E1979" t="str">
        <f t="shared" si="511"/>
        <v>JM Complete Foundations Program, Virtual, High School Only License</v>
      </c>
      <c r="F1979">
        <v>0</v>
      </c>
      <c r="G1979" t="str">
        <f t="shared" si="501"/>
        <v>Y</v>
      </c>
      <c r="H1979" t="str">
        <f t="shared" si="507"/>
        <v>EA</v>
      </c>
      <c r="I1979">
        <v>0</v>
      </c>
      <c r="J1979">
        <v>0</v>
      </c>
      <c r="K1979" t="str">
        <f t="shared" si="502"/>
        <v>Y</v>
      </c>
      <c r="L1979">
        <v>0</v>
      </c>
      <c r="M1979" t="str">
        <f t="shared" si="509"/>
        <v>NIS</v>
      </c>
      <c r="O1979">
        <v>7</v>
      </c>
      <c r="P1979" t="str">
        <f t="shared" si="512"/>
        <v>Active</v>
      </c>
      <c r="Q1979" t="str">
        <f>"LM7 Content, JM, Blue Print Reading"</f>
        <v>LM7 Content, JM, Blue Print Reading</v>
      </c>
      <c r="S1979" t="str">
        <f>"LM7 Content, JM, Blue Print Reading"</f>
        <v>LM7 Content, JM, Blue Print Reading</v>
      </c>
      <c r="T1979">
        <v>0</v>
      </c>
      <c r="U1979">
        <v>5</v>
      </c>
      <c r="V1979">
        <v>5</v>
      </c>
      <c r="W1979" t="str">
        <f t="shared" si="508"/>
        <v>zintel</v>
      </c>
    </row>
    <row r="1980" spans="1:23">
      <c r="A1980" t="str">
        <f t="shared" si="510"/>
        <v>JM-FOUN-SKILS-HS</v>
      </c>
      <c r="B1980" t="str">
        <f>"77-BA03-0001"</f>
        <v>77-BA03-0001</v>
      </c>
      <c r="C1980" t="str">
        <f>"LM7 Content, JM, Lubrication for Technicians"</f>
        <v>LM7 Content, JM, Lubrication for Technicians</v>
      </c>
      <c r="D1980">
        <v>1</v>
      </c>
      <c r="E1980" t="str">
        <f t="shared" si="511"/>
        <v>JM Complete Foundations Program, Virtual, High School Only License</v>
      </c>
      <c r="F1980">
        <v>0</v>
      </c>
      <c r="G1980" t="str">
        <f t="shared" si="501"/>
        <v>Y</v>
      </c>
      <c r="H1980" t="str">
        <f t="shared" si="507"/>
        <v>EA</v>
      </c>
      <c r="I1980">
        <v>0</v>
      </c>
      <c r="J1980">
        <v>0</v>
      </c>
      <c r="K1980" t="str">
        <f t="shared" si="502"/>
        <v>Y</v>
      </c>
      <c r="L1980">
        <v>0</v>
      </c>
      <c r="M1980" t="str">
        <f t="shared" si="509"/>
        <v>NIS</v>
      </c>
      <c r="O1980">
        <v>8</v>
      </c>
      <c r="P1980" t="str">
        <f t="shared" si="512"/>
        <v>Active</v>
      </c>
      <c r="Q1980" t="str">
        <f>"LM7 Content, JM, Lubrication for Technicians"</f>
        <v>LM7 Content, JM, Lubrication for Technicians</v>
      </c>
      <c r="S1980" t="str">
        <f>"LM7 Content, JM, Lubrication for Technicians"</f>
        <v>LM7 Content, JM, Lubrication for Technicians</v>
      </c>
      <c r="T1980">
        <v>0</v>
      </c>
      <c r="U1980">
        <v>5</v>
      </c>
      <c r="V1980">
        <v>5</v>
      </c>
      <c r="W1980" t="str">
        <f t="shared" si="508"/>
        <v>zintel</v>
      </c>
    </row>
    <row r="1981" spans="1:23">
      <c r="A1981" t="str">
        <f t="shared" si="510"/>
        <v>JM-FOUN-SKILS-HS</v>
      </c>
      <c r="B1981" t="str">
        <f>"77-BA04-0001"</f>
        <v>77-BA04-0001</v>
      </c>
      <c r="C1981" t="str">
        <f>"LM7 Content, JM, Fasteners"</f>
        <v>LM7 Content, JM, Fasteners</v>
      </c>
      <c r="D1981">
        <v>1</v>
      </c>
      <c r="E1981" t="str">
        <f t="shared" si="511"/>
        <v>JM Complete Foundations Program, Virtual, High School Only License</v>
      </c>
      <c r="F1981">
        <v>0</v>
      </c>
      <c r="G1981" t="str">
        <f t="shared" si="501"/>
        <v>Y</v>
      </c>
      <c r="H1981" t="str">
        <f t="shared" si="507"/>
        <v>EA</v>
      </c>
      <c r="I1981">
        <v>0</v>
      </c>
      <c r="J1981">
        <v>0</v>
      </c>
      <c r="K1981" t="str">
        <f t="shared" si="502"/>
        <v>Y</v>
      </c>
      <c r="L1981">
        <v>0</v>
      </c>
      <c r="M1981" t="str">
        <f t="shared" si="509"/>
        <v>NIS</v>
      </c>
      <c r="O1981">
        <v>9</v>
      </c>
      <c r="P1981" t="str">
        <f t="shared" si="512"/>
        <v>Active</v>
      </c>
      <c r="Q1981" t="str">
        <f>"LM7 Content, JM, Fasteners"</f>
        <v>LM7 Content, JM, Fasteners</v>
      </c>
      <c r="S1981" t="str">
        <f>"LM7 Content, JM, Fasteners"</f>
        <v>LM7 Content, JM, Fasteners</v>
      </c>
      <c r="T1981">
        <v>0</v>
      </c>
      <c r="U1981">
        <v>5</v>
      </c>
      <c r="V1981">
        <v>5</v>
      </c>
      <c r="W1981" t="str">
        <f t="shared" si="508"/>
        <v>zintel</v>
      </c>
    </row>
    <row r="1982" spans="1:23">
      <c r="A1982" t="str">
        <f t="shared" si="510"/>
        <v>JM-FOUN-SKILS-HS</v>
      </c>
      <c r="B1982" t="str">
        <f>"77-BA05-0001"</f>
        <v>77-BA05-0001</v>
      </c>
      <c r="C1982" t="str">
        <f>"LM7 Content, JM, Hand Tools"</f>
        <v>LM7 Content, JM, Hand Tools</v>
      </c>
      <c r="D1982">
        <v>1</v>
      </c>
      <c r="E1982" t="str">
        <f t="shared" si="511"/>
        <v>JM Complete Foundations Program, Virtual, High School Only License</v>
      </c>
      <c r="F1982">
        <v>0</v>
      </c>
      <c r="G1982" t="str">
        <f t="shared" si="501"/>
        <v>Y</v>
      </c>
      <c r="H1982" t="str">
        <f t="shared" si="507"/>
        <v>EA</v>
      </c>
      <c r="I1982">
        <v>0</v>
      </c>
      <c r="J1982">
        <v>0</v>
      </c>
      <c r="K1982" t="str">
        <f t="shared" si="502"/>
        <v>Y</v>
      </c>
      <c r="L1982">
        <v>0</v>
      </c>
      <c r="M1982" t="str">
        <f t="shared" si="509"/>
        <v>NIS</v>
      </c>
      <c r="O1982">
        <v>10</v>
      </c>
      <c r="P1982" t="str">
        <f t="shared" si="512"/>
        <v>Active</v>
      </c>
      <c r="Q1982" t="str">
        <f>"LM7 Content, JM, Hand Tools"</f>
        <v>LM7 Content, JM, Hand Tools</v>
      </c>
      <c r="S1982" t="str">
        <f>"LM7 Content, JM, Hand Tools"</f>
        <v>LM7 Content, JM, Hand Tools</v>
      </c>
      <c r="T1982">
        <v>0</v>
      </c>
      <c r="U1982">
        <v>5</v>
      </c>
      <c r="V1982">
        <v>5</v>
      </c>
      <c r="W1982" t="str">
        <f t="shared" si="508"/>
        <v>zintel</v>
      </c>
    </row>
    <row r="1983" spans="1:23">
      <c r="A1983" t="str">
        <f t="shared" si="510"/>
        <v>JM-FOUN-SKILS-HS</v>
      </c>
      <c r="B1983" t="str">
        <f>"77-BA06-0001"</f>
        <v>77-BA06-0001</v>
      </c>
      <c r="C1983" t="str">
        <f>"LM7 Content, JM, Power Tools"</f>
        <v>LM7 Content, JM, Power Tools</v>
      </c>
      <c r="D1983">
        <v>1</v>
      </c>
      <c r="E1983" t="str">
        <f t="shared" si="511"/>
        <v>JM Complete Foundations Program, Virtual, High School Only License</v>
      </c>
      <c r="F1983">
        <v>0</v>
      </c>
      <c r="G1983" t="str">
        <f t="shared" si="501"/>
        <v>Y</v>
      </c>
      <c r="H1983" t="str">
        <f t="shared" si="507"/>
        <v>EA</v>
      </c>
      <c r="I1983">
        <v>0</v>
      </c>
      <c r="J1983">
        <v>0</v>
      </c>
      <c r="K1983" t="str">
        <f t="shared" si="502"/>
        <v>Y</v>
      </c>
      <c r="L1983">
        <v>0</v>
      </c>
      <c r="M1983" t="str">
        <f t="shared" si="509"/>
        <v>NIS</v>
      </c>
      <c r="O1983">
        <v>11</v>
      </c>
      <c r="P1983" t="str">
        <f t="shared" si="512"/>
        <v>Active</v>
      </c>
      <c r="Q1983" t="str">
        <f>"LM7 Content, JM, Power Tools"</f>
        <v>LM7 Content, JM, Power Tools</v>
      </c>
      <c r="S1983" t="str">
        <f>"LM7 Content, JM, Power Tools"</f>
        <v>LM7 Content, JM, Power Tools</v>
      </c>
      <c r="T1983">
        <v>0</v>
      </c>
      <c r="U1983">
        <v>5</v>
      </c>
      <c r="V1983">
        <v>5</v>
      </c>
      <c r="W1983" t="str">
        <f t="shared" si="508"/>
        <v>zintel</v>
      </c>
    </row>
    <row r="1984" spans="1:23">
      <c r="A1984" t="str">
        <f t="shared" si="510"/>
        <v>JM-FOUN-SKILS-HS</v>
      </c>
      <c r="B1984" t="str">
        <f>"77-8014-0001"</f>
        <v>77-8014-0001</v>
      </c>
      <c r="C1984" t="str">
        <f>"LM7 Content, Lab/Vir, MMQC"</f>
        <v>LM7 Content, Lab/Vir, MMQC</v>
      </c>
      <c r="D1984">
        <v>1</v>
      </c>
      <c r="E1984" t="str">
        <f t="shared" si="511"/>
        <v>JM Complete Foundations Program, Virtual, High School Only License</v>
      </c>
      <c r="F1984">
        <v>0</v>
      </c>
      <c r="G1984" t="str">
        <f t="shared" si="501"/>
        <v>Y</v>
      </c>
      <c r="H1984" t="str">
        <f t="shared" si="507"/>
        <v>EA</v>
      </c>
      <c r="I1984">
        <v>0</v>
      </c>
      <c r="J1984">
        <v>0</v>
      </c>
      <c r="K1984" t="str">
        <f t="shared" si="502"/>
        <v>Y</v>
      </c>
      <c r="L1984">
        <v>0</v>
      </c>
      <c r="M1984" t="str">
        <f t="shared" si="509"/>
        <v>NIS</v>
      </c>
      <c r="O1984">
        <v>12</v>
      </c>
      <c r="P1984" t="str">
        <f t="shared" si="512"/>
        <v>Active</v>
      </c>
      <c r="Q1984" t="str">
        <f>"LM7 Content, Lab/Vir, MMQC"</f>
        <v>LM7 Content, Lab/Vir, MMQC</v>
      </c>
      <c r="S1984" t="str">
        <f>"LM7 Content, Lab/Vir, MMQC"</f>
        <v>LM7 Content, Lab/Vir, MMQC</v>
      </c>
      <c r="T1984">
        <v>0</v>
      </c>
      <c r="U1984">
        <v>5</v>
      </c>
      <c r="V1984">
        <v>5</v>
      </c>
      <c r="W1984" t="str">
        <f t="shared" si="508"/>
        <v>zintel</v>
      </c>
    </row>
    <row r="1985" spans="1:23">
      <c r="A1985" t="str">
        <f>"JM-HYDR-000I"</f>
        <v>JM-HYDR-000I</v>
      </c>
      <c r="B1985" t="str">
        <f>"00-2105-0000"</f>
        <v>00-2105-0000</v>
      </c>
      <c r="C1985" t="str">
        <f>"HydraFlex H1 Basic Hydraulics incl. panel"</f>
        <v>HydraFlex H1 Basic Hydraulics incl. panel</v>
      </c>
      <c r="D1985">
        <v>1</v>
      </c>
      <c r="E1985" t="str">
        <f>"Fundamentals of Hydraulics I:  LMS Lab, Hydraulics 1 w/HydraFlex"</f>
        <v>Fundamentals of Hydraulics I:  LMS Lab, Hydraulics 1 w/HydraFlex</v>
      </c>
      <c r="F1985">
        <v>0</v>
      </c>
      <c r="G1985" t="str">
        <f t="shared" si="501"/>
        <v>Y</v>
      </c>
      <c r="H1985" t="str">
        <f t="shared" si="507"/>
        <v>EA</v>
      </c>
      <c r="I1985">
        <v>0</v>
      </c>
      <c r="J1985">
        <v>0</v>
      </c>
      <c r="K1985" t="str">
        <f t="shared" si="502"/>
        <v>Y</v>
      </c>
      <c r="L1985">
        <v>0</v>
      </c>
      <c r="M1985" t="str">
        <f t="shared" si="509"/>
        <v>NIS</v>
      </c>
      <c r="O1985">
        <v>1</v>
      </c>
      <c r="P1985" t="str">
        <f t="shared" si="512"/>
        <v>Active</v>
      </c>
      <c r="Q1985" t="str">
        <f>"HydraFlex H1 Basic Hydraulic Package incl. panel"</f>
        <v>HydraFlex H1 Basic Hydraulic Package incl. panel</v>
      </c>
      <c r="S1985" t="str">
        <f>"HydraFlex H1 Basic Hydraulic Package incl. panel"</f>
        <v>HydraFlex H1 Basic Hydraulic Package incl. panel</v>
      </c>
      <c r="T1985">
        <v>0</v>
      </c>
      <c r="U1985" s="44">
        <v>2100</v>
      </c>
      <c r="V1985" s="44">
        <v>2144.7399999999998</v>
      </c>
      <c r="W1985" t="str">
        <f t="shared" si="508"/>
        <v>zintel</v>
      </c>
    </row>
    <row r="1986" spans="1:23">
      <c r="A1986" t="str">
        <f>"JM-HYDR-000I"</f>
        <v>JM-HYDR-000I</v>
      </c>
      <c r="B1986" t="str">
        <f>"10-2542-7000"</f>
        <v>10-2542-7000</v>
      </c>
      <c r="C1986" t="str">
        <f>"Oil collector tray for HydraFlex T-slot panel"</f>
        <v>Oil collector tray for HydraFlex T-slot panel</v>
      </c>
      <c r="D1986">
        <v>1</v>
      </c>
      <c r="E1986" t="str">
        <f>"Fundamentals of Hydraulics I:  LMS Lab, Hydraulics 1 w/HydraFlex"</f>
        <v>Fundamentals of Hydraulics I:  LMS Lab, Hydraulics 1 w/HydraFlex</v>
      </c>
      <c r="F1986">
        <v>0</v>
      </c>
      <c r="G1986" t="str">
        <f t="shared" ref="G1986:G2049" si="513">"Y"</f>
        <v>Y</v>
      </c>
      <c r="H1986" t="str">
        <f t="shared" si="507"/>
        <v>EA</v>
      </c>
      <c r="I1986">
        <v>0</v>
      </c>
      <c r="J1986">
        <v>0</v>
      </c>
      <c r="K1986" t="str">
        <f t="shared" ref="K1986:K2049" si="514">"Y"</f>
        <v>Y</v>
      </c>
      <c r="L1986">
        <v>0</v>
      </c>
      <c r="M1986" t="str">
        <f t="shared" si="509"/>
        <v>NIS</v>
      </c>
      <c r="N1986" t="str">
        <f>"Y"</f>
        <v>Y</v>
      </c>
      <c r="O1986">
        <v>2</v>
      </c>
      <c r="P1986" t="str">
        <f t="shared" si="512"/>
        <v>Active</v>
      </c>
      <c r="Q1986" t="str">
        <f>"Oil collector tray for HydraFlex T-slot panel"</f>
        <v>Oil collector tray for HydraFlex T-slot panel</v>
      </c>
      <c r="S1986" t="str">
        <f>"Oil collector tray for HydraFlex T-slot panel"</f>
        <v>Oil collector tray for HydraFlex T-slot panel</v>
      </c>
      <c r="T1986">
        <v>0</v>
      </c>
      <c r="U1986">
        <v>190</v>
      </c>
      <c r="V1986">
        <v>102.94</v>
      </c>
      <c r="W1986" t="str">
        <f t="shared" si="508"/>
        <v>zintel</v>
      </c>
    </row>
    <row r="1987" spans="1:23">
      <c r="A1987" t="str">
        <f>"JM-HYDR-000I"</f>
        <v>JM-HYDR-000I</v>
      </c>
      <c r="B1987" t="str">
        <f>"77-8008-0000"</f>
        <v>77-8008-0000</v>
      </c>
      <c r="C1987" t="str">
        <f>"LM7 Content, Lab/Vir, Hydraulics 1 w/HydraFlex"</f>
        <v>LM7 Content, Lab/Vir, Hydraulics 1 w/HydraFlex</v>
      </c>
      <c r="D1987">
        <v>1</v>
      </c>
      <c r="E1987" t="str">
        <f>"Fundamentals of Hydraulics I:  LMS Lab, Hydraulics 1 w/HydraFlex"</f>
        <v>Fundamentals of Hydraulics I:  LMS Lab, Hydraulics 1 w/HydraFlex</v>
      </c>
      <c r="F1987">
        <v>0</v>
      </c>
      <c r="G1987" t="str">
        <f t="shared" si="513"/>
        <v>Y</v>
      </c>
      <c r="H1987" t="str">
        <f t="shared" si="507"/>
        <v>EA</v>
      </c>
      <c r="I1987">
        <v>0</v>
      </c>
      <c r="J1987">
        <v>0</v>
      </c>
      <c r="K1987" t="str">
        <f t="shared" si="514"/>
        <v>Y</v>
      </c>
      <c r="L1987">
        <v>0</v>
      </c>
      <c r="M1987" t="str">
        <f t="shared" si="509"/>
        <v>NIS</v>
      </c>
      <c r="O1987">
        <v>3</v>
      </c>
      <c r="P1987" t="str">
        <f t="shared" si="512"/>
        <v>Active</v>
      </c>
      <c r="Q1987" t="str">
        <f>"LM7 Content, Lab/Vir, Hydraulics 1 w/HydraFlex"</f>
        <v>LM7 Content, Lab/Vir, Hydraulics 1 w/HydraFlex</v>
      </c>
      <c r="S1987" t="str">
        <f>"LM7 Content, Lab/Vir, Hydraulics 1 w/HydraFlex"</f>
        <v>LM7 Content, Lab/Vir, Hydraulics 1 w/HydraFlex</v>
      </c>
      <c r="T1987">
        <v>0</v>
      </c>
      <c r="U1987">
        <v>5</v>
      </c>
      <c r="V1987">
        <v>5</v>
      </c>
      <c r="W1987" t="str">
        <f t="shared" si="508"/>
        <v>zintel</v>
      </c>
    </row>
    <row r="1988" spans="1:23">
      <c r="A1988" t="str">
        <f>"JM-HYDR-000I"</f>
        <v>JM-HYDR-000I</v>
      </c>
      <c r="B1988" t="str">
        <f>"22-0004-0001"</f>
        <v>22-0004-0001</v>
      </c>
      <c r="C1988" t="str">
        <f>"Assembly, Hydraulic Pump w/Control Switch, 110V"</f>
        <v>Assembly, Hydraulic Pump w/Control Switch, 110V</v>
      </c>
      <c r="D1988">
        <v>1</v>
      </c>
      <c r="E1988" t="str">
        <f>"Fundamentals of Hydraulics I:  LMS Lab, Hydraulics 1 w/HydraFlex"</f>
        <v>Fundamentals of Hydraulics I:  LMS Lab, Hydraulics 1 w/HydraFlex</v>
      </c>
      <c r="F1988">
        <v>0</v>
      </c>
      <c r="G1988" t="str">
        <f t="shared" si="513"/>
        <v>Y</v>
      </c>
      <c r="H1988" t="str">
        <f t="shared" si="507"/>
        <v>EA</v>
      </c>
      <c r="I1988">
        <v>0</v>
      </c>
      <c r="J1988">
        <v>0</v>
      </c>
      <c r="K1988" t="str">
        <f t="shared" si="514"/>
        <v>Y</v>
      </c>
      <c r="L1988">
        <v>0</v>
      </c>
      <c r="M1988" t="str">
        <f t="shared" si="509"/>
        <v>NIS</v>
      </c>
      <c r="O1988">
        <v>4</v>
      </c>
      <c r="P1988" t="str">
        <f t="shared" si="512"/>
        <v>Active</v>
      </c>
      <c r="Q1988" t="str">
        <f>"Assembly, Hydraulic Power Unit w/Switch, 110V"</f>
        <v>Assembly, Hydraulic Power Unit w/Switch, 110V</v>
      </c>
      <c r="S1988" t="str">
        <f>"Assembly, Hydraulic Pump w/Control Switch, 110V"</f>
        <v>Assembly, Hydraulic Pump w/Control Switch, 110V</v>
      </c>
      <c r="T1988">
        <v>894.68</v>
      </c>
      <c r="U1988">
        <v>892</v>
      </c>
      <c r="V1988" s="44">
        <v>1836.87</v>
      </c>
      <c r="W1988" t="str">
        <f t="shared" si="508"/>
        <v>zintel</v>
      </c>
    </row>
    <row r="1989" spans="1:23">
      <c r="A1989" t="str">
        <f t="shared" ref="A1989:A1995" si="515">"JM-HYDR-000I-2"</f>
        <v>JM-HYDR-000I-2</v>
      </c>
      <c r="B1989" t="str">
        <f>"00-2105-0000"</f>
        <v>00-2105-0000</v>
      </c>
      <c r="C1989" t="str">
        <f>"HydraFlex H1 Basic Hydraulics incl. panel"</f>
        <v>HydraFlex H1 Basic Hydraulics incl. panel</v>
      </c>
      <c r="D1989">
        <v>1</v>
      </c>
      <c r="E1989" t="str">
        <f t="shared" ref="E1989:E1995" si="516">"Fundamentals of Hydraulics I:  LMS Lab, Hydraulics 1 w/HydraFlex 220V"</f>
        <v>Fundamentals of Hydraulics I:  LMS Lab, Hydraulics 1 w/HydraFlex 220V</v>
      </c>
      <c r="F1989">
        <v>0</v>
      </c>
      <c r="G1989" t="str">
        <f t="shared" si="513"/>
        <v>Y</v>
      </c>
      <c r="H1989" t="str">
        <f t="shared" si="507"/>
        <v>EA</v>
      </c>
      <c r="I1989">
        <v>0</v>
      </c>
      <c r="J1989">
        <v>0</v>
      </c>
      <c r="K1989" t="str">
        <f t="shared" si="514"/>
        <v>Y</v>
      </c>
      <c r="L1989">
        <v>0</v>
      </c>
      <c r="M1989" t="str">
        <f t="shared" si="509"/>
        <v>NIS</v>
      </c>
      <c r="O1989">
        <v>1</v>
      </c>
      <c r="P1989" t="str">
        <f t="shared" si="512"/>
        <v>Active</v>
      </c>
      <c r="Q1989" t="str">
        <f>"HydraFlex H1 Basic Hydraulic Package incl. panel"</f>
        <v>HydraFlex H1 Basic Hydraulic Package incl. panel</v>
      </c>
      <c r="S1989" t="str">
        <f>"HydraFlex H1 Basic Hydraulic Package incl. panel"</f>
        <v>HydraFlex H1 Basic Hydraulic Package incl. panel</v>
      </c>
      <c r="T1989">
        <v>0</v>
      </c>
      <c r="U1989" s="44">
        <v>2100</v>
      </c>
      <c r="V1989" s="44">
        <v>2144.7399999999998</v>
      </c>
      <c r="W1989" t="str">
        <f t="shared" si="508"/>
        <v>zintel</v>
      </c>
    </row>
    <row r="1990" spans="1:23">
      <c r="A1990" t="str">
        <f t="shared" si="515"/>
        <v>JM-HYDR-000I-2</v>
      </c>
      <c r="B1990" t="str">
        <f>"10-2542-7000"</f>
        <v>10-2542-7000</v>
      </c>
      <c r="C1990" t="str">
        <f>"Oil collector tray for HydraFlex T-slot panel"</f>
        <v>Oil collector tray for HydraFlex T-slot panel</v>
      </c>
      <c r="D1990">
        <v>1</v>
      </c>
      <c r="E1990" t="str">
        <f t="shared" si="516"/>
        <v>Fundamentals of Hydraulics I:  LMS Lab, Hydraulics 1 w/HydraFlex 220V</v>
      </c>
      <c r="F1990">
        <v>0</v>
      </c>
      <c r="G1990" t="str">
        <f t="shared" si="513"/>
        <v>Y</v>
      </c>
      <c r="H1990" t="str">
        <f t="shared" si="507"/>
        <v>EA</v>
      </c>
      <c r="I1990">
        <v>0</v>
      </c>
      <c r="J1990">
        <v>0</v>
      </c>
      <c r="K1990" t="str">
        <f t="shared" si="514"/>
        <v>Y</v>
      </c>
      <c r="L1990">
        <v>0</v>
      </c>
      <c r="M1990" t="str">
        <f t="shared" si="509"/>
        <v>NIS</v>
      </c>
      <c r="O1990">
        <v>2</v>
      </c>
      <c r="P1990" t="str">
        <f t="shared" si="512"/>
        <v>Active</v>
      </c>
      <c r="Q1990" t="str">
        <f>"Oil collector tray for HydraFlex T-slot panel"</f>
        <v>Oil collector tray for HydraFlex T-slot panel</v>
      </c>
      <c r="S1990" t="str">
        <f>"Oil collector tray for HydraFlex T-slot panel"</f>
        <v>Oil collector tray for HydraFlex T-slot panel</v>
      </c>
      <c r="T1990">
        <v>0</v>
      </c>
      <c r="U1990">
        <v>190</v>
      </c>
      <c r="V1990">
        <v>102.94</v>
      </c>
      <c r="W1990" t="str">
        <f t="shared" si="508"/>
        <v>zintel</v>
      </c>
    </row>
    <row r="1991" spans="1:23">
      <c r="A1991" t="str">
        <f t="shared" si="515"/>
        <v>JM-HYDR-000I-2</v>
      </c>
      <c r="B1991" t="str">
        <f>"77-8008-0000"</f>
        <v>77-8008-0000</v>
      </c>
      <c r="C1991" t="str">
        <f>"LM7 Content, Lab/Vir, Hydraulics 1 w/HydraFlex"</f>
        <v>LM7 Content, Lab/Vir, Hydraulics 1 w/HydraFlex</v>
      </c>
      <c r="D1991">
        <v>1</v>
      </c>
      <c r="E1991" t="str">
        <f t="shared" si="516"/>
        <v>Fundamentals of Hydraulics I:  LMS Lab, Hydraulics 1 w/HydraFlex 220V</v>
      </c>
      <c r="F1991">
        <v>0</v>
      </c>
      <c r="G1991" t="str">
        <f t="shared" si="513"/>
        <v>Y</v>
      </c>
      <c r="H1991" t="str">
        <f t="shared" si="507"/>
        <v>EA</v>
      </c>
      <c r="I1991">
        <v>0</v>
      </c>
      <c r="J1991">
        <v>0</v>
      </c>
      <c r="K1991" t="str">
        <f t="shared" si="514"/>
        <v>Y</v>
      </c>
      <c r="L1991">
        <v>0</v>
      </c>
      <c r="M1991" t="str">
        <f t="shared" si="509"/>
        <v>NIS</v>
      </c>
      <c r="O1991">
        <v>3</v>
      </c>
      <c r="P1991" t="str">
        <f t="shared" si="512"/>
        <v>Active</v>
      </c>
      <c r="Q1991" t="str">
        <f>"LM7 Content, Lab/Vir, Hydraulics 1 w/HydraFlex"</f>
        <v>LM7 Content, Lab/Vir, Hydraulics 1 w/HydraFlex</v>
      </c>
      <c r="S1991" t="str">
        <f>"LM7 Content, Lab/Vir, Hydraulics 1 w/HydraFlex"</f>
        <v>LM7 Content, Lab/Vir, Hydraulics 1 w/HydraFlex</v>
      </c>
      <c r="T1991">
        <v>0</v>
      </c>
      <c r="U1991">
        <v>5</v>
      </c>
      <c r="V1991">
        <v>5</v>
      </c>
      <c r="W1991" t="str">
        <f t="shared" si="508"/>
        <v>zintel</v>
      </c>
    </row>
    <row r="1992" spans="1:23">
      <c r="A1992" t="str">
        <f t="shared" si="515"/>
        <v>JM-HYDR-000I-2</v>
      </c>
      <c r="B1992" t="str">
        <f>"10-2540-1000"</f>
        <v>10-2540-1000</v>
      </c>
      <c r="C1992" t="str">
        <f>"Hydraulic Pump with Oil Tank"</f>
        <v>Hydraulic Pump with Oil Tank</v>
      </c>
      <c r="D1992">
        <v>1</v>
      </c>
      <c r="E1992" t="str">
        <f t="shared" si="516"/>
        <v>Fundamentals of Hydraulics I:  LMS Lab, Hydraulics 1 w/HydraFlex 220V</v>
      </c>
      <c r="F1992">
        <v>0</v>
      </c>
      <c r="G1992" t="str">
        <f t="shared" si="513"/>
        <v>Y</v>
      </c>
      <c r="H1992" t="str">
        <f t="shared" si="507"/>
        <v>EA</v>
      </c>
      <c r="I1992">
        <v>0</v>
      </c>
      <c r="J1992">
        <v>0</v>
      </c>
      <c r="K1992" t="str">
        <f t="shared" si="514"/>
        <v>Y</v>
      </c>
      <c r="L1992">
        <v>0</v>
      </c>
      <c r="M1992" t="str">
        <f t="shared" si="509"/>
        <v>NIS</v>
      </c>
      <c r="O1992">
        <v>4</v>
      </c>
      <c r="P1992" t="str">
        <f t="shared" si="512"/>
        <v>Active</v>
      </c>
      <c r="Q1992" t="str">
        <f>"Hyd.Power Pack,Tank 10L,0.75kW,3.5L,220V"</f>
        <v>Hyd.Power Pack,Tank 10L,0.75kW,3.5L,220V</v>
      </c>
      <c r="S1992" t="str">
        <f>"Hyd.Power Pack,Tank 10L,0.75kW,3.5L,220V"</f>
        <v>Hyd.Power Pack,Tank 10L,0.75kW,3.5L,220V</v>
      </c>
      <c r="T1992">
        <v>0</v>
      </c>
      <c r="U1992" s="44">
        <v>1450</v>
      </c>
      <c r="V1992" s="44">
        <v>1400.02</v>
      </c>
      <c r="W1992" t="str">
        <f t="shared" si="508"/>
        <v>zintel</v>
      </c>
    </row>
    <row r="1993" spans="1:23">
      <c r="A1993" t="str">
        <f t="shared" si="515"/>
        <v>JM-HYDR-000I-2</v>
      </c>
      <c r="B1993" t="str">
        <f>"34-8008-9000"</f>
        <v>34-8008-9000</v>
      </c>
      <c r="C1993" t="str">
        <f>"Install Guide, Hydraulics 1 w/ HydaFlex, LM Lab"</f>
        <v>Install Guide, Hydraulics 1 w/ HydaFlex, LM Lab</v>
      </c>
      <c r="D1993">
        <v>1</v>
      </c>
      <c r="E1993" t="str">
        <f t="shared" si="516"/>
        <v>Fundamentals of Hydraulics I:  LMS Lab, Hydraulics 1 w/HydraFlex 220V</v>
      </c>
      <c r="F1993">
        <v>0</v>
      </c>
      <c r="G1993" t="str">
        <f t="shared" si="513"/>
        <v>Y</v>
      </c>
      <c r="H1993" t="str">
        <f t="shared" si="507"/>
        <v>EA</v>
      </c>
      <c r="I1993">
        <v>0</v>
      </c>
      <c r="J1993">
        <v>0</v>
      </c>
      <c r="K1993" t="str">
        <f t="shared" si="514"/>
        <v>Y</v>
      </c>
      <c r="L1993">
        <v>0</v>
      </c>
      <c r="M1993" t="str">
        <f t="shared" si="509"/>
        <v>NIS</v>
      </c>
      <c r="O1993">
        <v>5</v>
      </c>
      <c r="P1993" t="str">
        <f t="shared" si="512"/>
        <v>Active</v>
      </c>
      <c r="Q1993" t="str">
        <f>"Install Guide, Hydraulics 1 w/ HydaFlex, LM Lab"</f>
        <v>Install Guide, Hydraulics 1 w/ HydaFlex, LM Lab</v>
      </c>
      <c r="S1993" t="str">
        <f>"Install Guide, Hydraulics 1 w/ HydaFlex, LM Lab"</f>
        <v>Install Guide, Hydraulics 1 w/ HydaFlex, LM Lab</v>
      </c>
      <c r="T1993">
        <v>6.65</v>
      </c>
      <c r="U1993">
        <v>6</v>
      </c>
      <c r="V1993">
        <v>0</v>
      </c>
      <c r="W1993" t="str">
        <f t="shared" si="508"/>
        <v>zintel</v>
      </c>
    </row>
    <row r="1994" spans="1:23">
      <c r="A1994" t="str">
        <f t="shared" si="515"/>
        <v>JM-HYDR-000I-2</v>
      </c>
      <c r="B1994" t="str">
        <f>"63-9240-0000"</f>
        <v>63-9240-0000</v>
      </c>
      <c r="C1994" t="str">
        <f>"HydraMotion - Hydraulics Simulation Software"</f>
        <v>HydraMotion - Hydraulics Simulation Software</v>
      </c>
      <c r="D1994">
        <v>1</v>
      </c>
      <c r="E1994" t="str">
        <f t="shared" si="516"/>
        <v>Fundamentals of Hydraulics I:  LMS Lab, Hydraulics 1 w/HydraFlex 220V</v>
      </c>
      <c r="F1994">
        <v>0</v>
      </c>
      <c r="G1994" t="str">
        <f t="shared" si="513"/>
        <v>Y</v>
      </c>
      <c r="H1994" t="str">
        <f t="shared" si="507"/>
        <v>EA</v>
      </c>
      <c r="I1994">
        <v>0</v>
      </c>
      <c r="J1994">
        <v>0</v>
      </c>
      <c r="K1994" t="str">
        <f t="shared" si="514"/>
        <v>Y</v>
      </c>
      <c r="L1994">
        <v>0</v>
      </c>
      <c r="M1994" t="str">
        <f t="shared" si="509"/>
        <v>NIS</v>
      </c>
      <c r="O1994">
        <v>6</v>
      </c>
      <c r="P1994" t="str">
        <f t="shared" si="512"/>
        <v>Active</v>
      </c>
      <c r="Q1994" t="str">
        <f>"HydraMotion Hydraulic Simulation Softw. Package"</f>
        <v>HydraMotion Hydraulic Simulation Softw. Package</v>
      </c>
      <c r="S1994" t="str">
        <f>"HydraMotion Hydraulic Simulation Softw. Package"</f>
        <v>HydraMotion Hydraulic Simulation Softw. Package</v>
      </c>
      <c r="T1994">
        <v>0</v>
      </c>
      <c r="U1994">
        <v>31.77</v>
      </c>
      <c r="V1994">
        <v>32.130000000000003</v>
      </c>
      <c r="W1994" t="str">
        <f t="shared" si="508"/>
        <v>zintel</v>
      </c>
    </row>
    <row r="1995" spans="1:23">
      <c r="A1995" t="str">
        <f t="shared" si="515"/>
        <v>JM-HYDR-000I-2</v>
      </c>
      <c r="B1995" t="str">
        <f>"63-7000-0900"</f>
        <v>63-7000-0900</v>
      </c>
      <c r="C1995" t="str">
        <f>"License Key For HydraMotion Software"</f>
        <v>License Key For HydraMotion Software</v>
      </c>
      <c r="D1995">
        <v>1</v>
      </c>
      <c r="E1995" t="str">
        <f t="shared" si="516"/>
        <v>Fundamentals of Hydraulics I:  LMS Lab, Hydraulics 1 w/HydraFlex 220V</v>
      </c>
      <c r="F1995">
        <v>0</v>
      </c>
      <c r="G1995" t="str">
        <f t="shared" si="513"/>
        <v>Y</v>
      </c>
      <c r="H1995" t="str">
        <f t="shared" si="507"/>
        <v>EA</v>
      </c>
      <c r="I1995">
        <v>0</v>
      </c>
      <c r="J1995">
        <v>0</v>
      </c>
      <c r="K1995" t="str">
        <f t="shared" si="514"/>
        <v>Y</v>
      </c>
      <c r="L1995">
        <v>0</v>
      </c>
      <c r="M1995" t="str">
        <f t="shared" si="509"/>
        <v>NIS</v>
      </c>
      <c r="O1995">
        <v>7</v>
      </c>
      <c r="P1995" t="str">
        <f t="shared" si="512"/>
        <v>Active</v>
      </c>
      <c r="Q1995" t="str">
        <f>"License Key For HydraMotion Software"</f>
        <v>License Key For HydraMotion Software</v>
      </c>
      <c r="R1995" t="str">
        <f>"1"</f>
        <v>1</v>
      </c>
      <c r="S1995" t="str">
        <f>"License Key For HydraMotion Software"</f>
        <v>License Key For HydraMotion Software</v>
      </c>
      <c r="T1995">
        <v>0</v>
      </c>
      <c r="U1995">
        <v>6</v>
      </c>
      <c r="V1995">
        <v>6.66</v>
      </c>
      <c r="W1995" t="str">
        <f t="shared" si="508"/>
        <v>zintel</v>
      </c>
    </row>
    <row r="1996" spans="1:23">
      <c r="A1996" t="str">
        <f>"JM-HYDR-00II"</f>
        <v>JM-HYDR-00II</v>
      </c>
      <c r="B1996" t="str">
        <f>"00-2106-0000"</f>
        <v>00-2106-0000</v>
      </c>
      <c r="C1996" t="str">
        <f>"HydraFlex H2 - Advanced Hydraulic add-on kit"</f>
        <v>HydraFlex H2 - Advanced Hydraulic add-on kit</v>
      </c>
      <c r="D1996">
        <v>1</v>
      </c>
      <c r="E1996" t="str">
        <f>"Advanced Hydraulics II"</f>
        <v>Advanced Hydraulics II</v>
      </c>
      <c r="F1996">
        <v>0</v>
      </c>
      <c r="G1996" t="str">
        <f t="shared" si="513"/>
        <v>Y</v>
      </c>
      <c r="H1996" t="str">
        <f t="shared" si="507"/>
        <v>EA</v>
      </c>
      <c r="I1996">
        <v>0</v>
      </c>
      <c r="J1996">
        <v>0</v>
      </c>
      <c r="K1996" t="str">
        <f t="shared" si="514"/>
        <v>Y</v>
      </c>
      <c r="L1996">
        <v>0</v>
      </c>
      <c r="M1996" t="str">
        <f t="shared" si="509"/>
        <v>NIS</v>
      </c>
      <c r="O1996">
        <v>1</v>
      </c>
      <c r="P1996" t="str">
        <f t="shared" si="512"/>
        <v>Active</v>
      </c>
      <c r="Q1996" t="str">
        <f>"HydraFlex H2 - Advanced Hydraulic Package"</f>
        <v>HydraFlex H2 - Advanced Hydraulic Package</v>
      </c>
      <c r="S1996" t="str">
        <f>"HydraFlex H2 - Advanced Hydraulic Package"</f>
        <v>HydraFlex H2 - Advanced Hydraulic Package</v>
      </c>
      <c r="T1996">
        <v>0</v>
      </c>
      <c r="U1996" s="44">
        <v>1313.32</v>
      </c>
      <c r="V1996" s="44">
        <v>1199.46</v>
      </c>
      <c r="W1996" t="str">
        <f t="shared" si="508"/>
        <v>zintel</v>
      </c>
    </row>
    <row r="1997" spans="1:23">
      <c r="A1997" t="str">
        <f>"JM-HYDR-00II"</f>
        <v>JM-HYDR-00II</v>
      </c>
      <c r="B1997" t="str">
        <f>"77-3025-0000"</f>
        <v>77-3025-0000</v>
      </c>
      <c r="C1997" t="str">
        <f>"LM7 Content, Vir, Hydraulics 2"</f>
        <v>LM7 Content, Vir, Hydraulics 2</v>
      </c>
      <c r="D1997">
        <v>1</v>
      </c>
      <c r="E1997" t="str">
        <f>"Advanced Hydraulics II"</f>
        <v>Advanced Hydraulics II</v>
      </c>
      <c r="F1997">
        <v>0</v>
      </c>
      <c r="G1997" t="str">
        <f t="shared" si="513"/>
        <v>Y</v>
      </c>
      <c r="H1997" t="str">
        <f t="shared" si="507"/>
        <v>EA</v>
      </c>
      <c r="I1997">
        <v>0</v>
      </c>
      <c r="J1997">
        <v>0</v>
      </c>
      <c r="K1997" t="str">
        <f t="shared" si="514"/>
        <v>Y</v>
      </c>
      <c r="L1997">
        <v>0</v>
      </c>
      <c r="M1997" t="str">
        <f t="shared" si="509"/>
        <v>NIS</v>
      </c>
      <c r="O1997">
        <v>2</v>
      </c>
      <c r="P1997" t="str">
        <f t="shared" si="512"/>
        <v>Active</v>
      </c>
      <c r="Q1997" t="str">
        <f>"LM7 Content, Vir, Hydraulics 2"</f>
        <v>LM7 Content, Vir, Hydraulics 2</v>
      </c>
      <c r="S1997" t="str">
        <f>"LM7 Content, Vir, Hydraulics 2"</f>
        <v>LM7 Content, Vir, Hydraulics 2</v>
      </c>
      <c r="T1997">
        <v>0</v>
      </c>
      <c r="U1997">
        <v>5</v>
      </c>
      <c r="V1997">
        <v>5</v>
      </c>
      <c r="W1997" t="str">
        <f t="shared" si="508"/>
        <v>zintel</v>
      </c>
    </row>
    <row r="1998" spans="1:23">
      <c r="A1998" t="str">
        <f t="shared" ref="A1998:A2016" si="517">"JM-MBLM-0000"</f>
        <v>JM-MBLM-0000</v>
      </c>
      <c r="B1998" t="str">
        <f>"00-ME10-1000"</f>
        <v>00-ME10-1000</v>
      </c>
      <c r="C1998" t="str">
        <f>"Assembly, JM, Mechanical Training Bench, 120V"</f>
        <v>Assembly, JM, Mechanical Training Bench, 120V</v>
      </c>
      <c r="D1998">
        <v>1</v>
      </c>
      <c r="E1998" t="str">
        <f t="shared" ref="E1998:E2016" si="518">"Complete Mechanical System Two Sided Bench: 110V/220V"</f>
        <v>Complete Mechanical System Two Sided Bench: 110V/220V</v>
      </c>
      <c r="F1998">
        <v>0</v>
      </c>
      <c r="G1998" t="str">
        <f t="shared" si="513"/>
        <v>Y</v>
      </c>
      <c r="H1998" t="str">
        <f t="shared" si="507"/>
        <v>EA</v>
      </c>
      <c r="I1998">
        <v>0</v>
      </c>
      <c r="J1998">
        <v>0</v>
      </c>
      <c r="K1998" t="str">
        <f t="shared" si="514"/>
        <v>Y</v>
      </c>
      <c r="L1998">
        <v>0</v>
      </c>
      <c r="M1998" t="str">
        <f t="shared" si="509"/>
        <v>NIS</v>
      </c>
      <c r="O1998">
        <v>1</v>
      </c>
      <c r="P1998" t="str">
        <f>"ECO-N2Buy"</f>
        <v>ECO-N2Buy</v>
      </c>
      <c r="Q1998" t="str">
        <f>"Assembly, JM, Mechanical Training Bench, 120V"</f>
        <v>Assembly, JM, Mechanical Training Bench, 120V</v>
      </c>
      <c r="S1998" t="str">
        <f>"Assembly, JM, Mechanical Training Bench, 120V"</f>
        <v>Assembly, JM, Mechanical Training Bench, 120V</v>
      </c>
      <c r="T1998" s="44">
        <v>8968.2900000000009</v>
      </c>
      <c r="U1998" s="44">
        <v>9771.77</v>
      </c>
      <c r="V1998" s="44">
        <v>10846.66</v>
      </c>
      <c r="W1998" t="str">
        <f t="shared" si="508"/>
        <v>zintel</v>
      </c>
    </row>
    <row r="1999" spans="1:23">
      <c r="A1999" t="str">
        <f t="shared" si="517"/>
        <v>JM-MBLM-0000</v>
      </c>
      <c r="B1999" t="str">
        <f>"00-ME10-0000"</f>
        <v>00-ME10-0000</v>
      </c>
      <c r="C1999" t="str">
        <f>"Assembly, JM, Mechanical Two-Student Add-on,120V"</f>
        <v>Assembly, JM, Mechanical Two-Student Add-on,120V</v>
      </c>
      <c r="D1999">
        <v>1</v>
      </c>
      <c r="E1999" t="str">
        <f t="shared" si="518"/>
        <v>Complete Mechanical System Two Sided Bench: 110V/220V</v>
      </c>
      <c r="F1999">
        <v>0</v>
      </c>
      <c r="G1999" t="str">
        <f t="shared" si="513"/>
        <v>Y</v>
      </c>
      <c r="H1999" t="str">
        <f t="shared" si="507"/>
        <v>EA</v>
      </c>
      <c r="I1999">
        <v>0</v>
      </c>
      <c r="J1999">
        <v>0</v>
      </c>
      <c r="K1999" t="str">
        <f t="shared" si="514"/>
        <v>Y</v>
      </c>
      <c r="L1999">
        <v>0</v>
      </c>
      <c r="M1999" t="str">
        <f t="shared" si="509"/>
        <v>NIS</v>
      </c>
      <c r="O1999">
        <v>19</v>
      </c>
      <c r="P1999" t="str">
        <f t="shared" ref="P1999:P2016" si="519">"Active"</f>
        <v>Active</v>
      </c>
      <c r="Q1999" t="str">
        <f>"Assembly, JM, Mechanical Two-Student Add-on,120V"</f>
        <v>Assembly, JM, Mechanical Two-Student Add-on,120V</v>
      </c>
      <c r="S1999" t="str">
        <f>"Assembly, JM, Mechanical Two-Student Add-on,120V"</f>
        <v>Assembly, JM, Mechanical Two-Student Add-on,120V</v>
      </c>
      <c r="T1999" s="44">
        <v>6272.72</v>
      </c>
      <c r="U1999" s="44">
        <v>9120.6299999999992</v>
      </c>
      <c r="V1999" s="44">
        <v>10123.9</v>
      </c>
      <c r="W1999" t="str">
        <f t="shared" si="508"/>
        <v>zintel</v>
      </c>
    </row>
    <row r="2000" spans="1:23">
      <c r="A2000" t="str">
        <f t="shared" si="517"/>
        <v>JM-MBLM-0000</v>
      </c>
      <c r="B2000" t="str">
        <f>"00-ME13-1000"</f>
        <v>00-ME13-1000</v>
      </c>
      <c r="C2000" t="str">
        <f>"Assembly, JM, Bearing Service Cart, 120V"</f>
        <v>Assembly, JM, Bearing Service Cart, 120V</v>
      </c>
      <c r="D2000">
        <v>1</v>
      </c>
      <c r="E2000" t="str">
        <f t="shared" si="518"/>
        <v>Complete Mechanical System Two Sided Bench: 110V/220V</v>
      </c>
      <c r="F2000">
        <v>0</v>
      </c>
      <c r="G2000" t="str">
        <f t="shared" si="513"/>
        <v>Y</v>
      </c>
      <c r="H2000" t="str">
        <f t="shared" si="507"/>
        <v>EA</v>
      </c>
      <c r="I2000">
        <v>0</v>
      </c>
      <c r="J2000">
        <v>0</v>
      </c>
      <c r="K2000" t="str">
        <f t="shared" si="514"/>
        <v>Y</v>
      </c>
      <c r="L2000">
        <v>0</v>
      </c>
      <c r="M2000" t="str">
        <f t="shared" si="509"/>
        <v>NIS</v>
      </c>
      <c r="O2000">
        <v>2</v>
      </c>
      <c r="P2000" t="str">
        <f t="shared" si="519"/>
        <v>Active</v>
      </c>
      <c r="Q2000" t="str">
        <f>"Assembly, JM, Bearing Service Cart, 120V"</f>
        <v>Assembly, JM, Bearing Service Cart, 120V</v>
      </c>
      <c r="S2000" t="str">
        <f>"Assembly, JM, Bearing Service Cart, 120V"</f>
        <v>Assembly, JM, Bearing Service Cart, 120V</v>
      </c>
      <c r="T2000" s="44">
        <v>3072.29</v>
      </c>
      <c r="U2000" s="44">
        <v>2703.14</v>
      </c>
      <c r="V2000" s="44">
        <v>3000.49</v>
      </c>
      <c r="W2000" t="str">
        <f t="shared" si="508"/>
        <v>zintel</v>
      </c>
    </row>
    <row r="2001" spans="1:23">
      <c r="A2001" t="str">
        <f t="shared" si="517"/>
        <v>JM-MBLM-0000</v>
      </c>
      <c r="B2001" t="str">
        <f>"00-ME13-0000"</f>
        <v>00-ME13-0000</v>
      </c>
      <c r="C2001" t="str">
        <f>"Assembly, JM, Bearing Two-Student Add-on, 120V"</f>
        <v>Assembly, JM, Bearing Two-Student Add-on, 120V</v>
      </c>
      <c r="D2001">
        <v>1</v>
      </c>
      <c r="E2001" t="str">
        <f t="shared" si="518"/>
        <v>Complete Mechanical System Two Sided Bench: 110V/220V</v>
      </c>
      <c r="F2001">
        <v>0</v>
      </c>
      <c r="G2001" t="str">
        <f t="shared" si="513"/>
        <v>Y</v>
      </c>
      <c r="H2001" t="str">
        <f t="shared" si="507"/>
        <v>EA</v>
      </c>
      <c r="I2001">
        <v>0</v>
      </c>
      <c r="J2001">
        <v>0</v>
      </c>
      <c r="K2001" t="str">
        <f t="shared" si="514"/>
        <v>Y</v>
      </c>
      <c r="L2001">
        <v>0</v>
      </c>
      <c r="M2001" t="str">
        <f t="shared" si="509"/>
        <v>NIS</v>
      </c>
      <c r="O2001">
        <v>18</v>
      </c>
      <c r="P2001" t="str">
        <f t="shared" si="519"/>
        <v>Active</v>
      </c>
      <c r="Q2001" t="str">
        <f>"Assembly, JM, Bearing Two-Student Add-on, 120V"</f>
        <v>Assembly, JM, Bearing Two-Student Add-on, 120V</v>
      </c>
      <c r="S2001" t="str">
        <f>"Assembly, JM, Bearing Two-Student Add-on, 120V"</f>
        <v>Assembly, JM, Bearing Two-Student Add-on, 120V</v>
      </c>
      <c r="T2001" s="44">
        <v>2092.9499999999998</v>
      </c>
      <c r="U2001" s="44">
        <v>1644.23</v>
      </c>
      <c r="V2001" s="44">
        <v>1825.1</v>
      </c>
      <c r="W2001" t="str">
        <f t="shared" si="508"/>
        <v>zintel</v>
      </c>
    </row>
    <row r="2002" spans="1:23">
      <c r="A2002" t="str">
        <f t="shared" si="517"/>
        <v>JM-MBLM-0000</v>
      </c>
      <c r="B2002" t="str">
        <f>"00-ME11-1000"</f>
        <v>00-ME11-1000</v>
      </c>
      <c r="C2002" t="str">
        <f>"Assembly, JM, Add-on, Laser Alignment Tools"</f>
        <v>Assembly, JM, Add-on, Laser Alignment Tools</v>
      </c>
      <c r="D2002">
        <v>1</v>
      </c>
      <c r="E2002" t="str">
        <f t="shared" si="518"/>
        <v>Complete Mechanical System Two Sided Bench: 110V/220V</v>
      </c>
      <c r="F2002">
        <v>0</v>
      </c>
      <c r="G2002" t="str">
        <f t="shared" si="513"/>
        <v>Y</v>
      </c>
      <c r="H2002" t="str">
        <f t="shared" si="507"/>
        <v>EA</v>
      </c>
      <c r="I2002">
        <v>0</v>
      </c>
      <c r="J2002">
        <v>0</v>
      </c>
      <c r="K2002" t="str">
        <f t="shared" si="514"/>
        <v>Y</v>
      </c>
      <c r="L2002">
        <v>0</v>
      </c>
      <c r="M2002" t="str">
        <f t="shared" si="509"/>
        <v>NIS</v>
      </c>
      <c r="O2002">
        <v>3</v>
      </c>
      <c r="P2002" t="str">
        <f t="shared" si="519"/>
        <v>Active</v>
      </c>
      <c r="Q2002" t="str">
        <f>"Assembly, JM, Add-on, Laser Alignment Tools"</f>
        <v>Assembly, JM, Add-on, Laser Alignment Tools</v>
      </c>
      <c r="S2002" t="str">
        <f>"Assembly, JM, Add-on, Laser Alignment Tools"</f>
        <v>Assembly, JM, Add-on, Laser Alignment Tools</v>
      </c>
      <c r="T2002" s="44">
        <v>4995.32</v>
      </c>
      <c r="U2002" s="44">
        <v>5632.84</v>
      </c>
      <c r="V2002" s="44">
        <v>9990.0400000000009</v>
      </c>
      <c r="W2002" t="str">
        <f t="shared" si="508"/>
        <v>zintel</v>
      </c>
    </row>
    <row r="2003" spans="1:23">
      <c r="A2003" t="str">
        <f t="shared" si="517"/>
        <v>JM-MBLM-0000</v>
      </c>
      <c r="B2003" t="str">
        <f>"00-ME12-1000"</f>
        <v>00-ME12-1000</v>
      </c>
      <c r="C2003" t="str">
        <f>"Assembly, JM, Add-on, Vibration Analysis Tools"</f>
        <v>Assembly, JM, Add-on, Vibration Analysis Tools</v>
      </c>
      <c r="D2003">
        <v>1</v>
      </c>
      <c r="E2003" t="str">
        <f t="shared" si="518"/>
        <v>Complete Mechanical System Two Sided Bench: 110V/220V</v>
      </c>
      <c r="F2003">
        <v>0</v>
      </c>
      <c r="G2003" t="str">
        <f t="shared" si="513"/>
        <v>Y</v>
      </c>
      <c r="H2003" t="str">
        <f t="shared" si="507"/>
        <v>EA</v>
      </c>
      <c r="I2003">
        <v>0</v>
      </c>
      <c r="J2003">
        <v>0</v>
      </c>
      <c r="K2003" t="str">
        <f t="shared" si="514"/>
        <v>Y</v>
      </c>
      <c r="L2003">
        <v>0</v>
      </c>
      <c r="M2003" t="str">
        <f t="shared" si="509"/>
        <v>NIS</v>
      </c>
      <c r="O2003">
        <v>4</v>
      </c>
      <c r="P2003" t="str">
        <f t="shared" si="519"/>
        <v>Active</v>
      </c>
      <c r="Q2003" t="str">
        <f>"Assembly, JM, Add-on, Vibration Analysis Tools"</f>
        <v>Assembly, JM, Add-on, Vibration Analysis Tools</v>
      </c>
      <c r="S2003" t="str">
        <f>"Assembly, JM, Add-on, Vibration Analysis Tools"</f>
        <v>Assembly, JM, Add-on, Vibration Analysis Tools</v>
      </c>
      <c r="T2003" s="44">
        <v>1481.26</v>
      </c>
      <c r="U2003" s="44">
        <v>1481</v>
      </c>
      <c r="V2003" s="44">
        <v>3861.01</v>
      </c>
      <c r="W2003" t="str">
        <f t="shared" si="508"/>
        <v>zintel</v>
      </c>
    </row>
    <row r="2004" spans="1:23">
      <c r="A2004" t="str">
        <f t="shared" si="517"/>
        <v>JM-MBLM-0000</v>
      </c>
      <c r="B2004" t="str">
        <f>"77-ME01-0001"</f>
        <v>77-ME01-0001</v>
      </c>
      <c r="C2004" t="str">
        <f>"LM7 Content, JM, Basic Machines"</f>
        <v>LM7 Content, JM, Basic Machines</v>
      </c>
      <c r="D2004">
        <v>1</v>
      </c>
      <c r="E2004" t="str">
        <f t="shared" si="518"/>
        <v>Complete Mechanical System Two Sided Bench: 110V/220V</v>
      </c>
      <c r="F2004">
        <v>0</v>
      </c>
      <c r="G2004" t="str">
        <f t="shared" si="513"/>
        <v>Y</v>
      </c>
      <c r="H2004" t="str">
        <f t="shared" si="507"/>
        <v>EA</v>
      </c>
      <c r="I2004">
        <v>0</v>
      </c>
      <c r="J2004">
        <v>0</v>
      </c>
      <c r="K2004" t="str">
        <f t="shared" si="514"/>
        <v>Y</v>
      </c>
      <c r="L2004">
        <v>0</v>
      </c>
      <c r="M2004" t="str">
        <f t="shared" si="509"/>
        <v>NIS</v>
      </c>
      <c r="O2004">
        <v>5</v>
      </c>
      <c r="P2004" t="str">
        <f t="shared" si="519"/>
        <v>Active</v>
      </c>
      <c r="Q2004" t="str">
        <f>"LM7 Content, JM, Basic Machines"</f>
        <v>LM7 Content, JM, Basic Machines</v>
      </c>
      <c r="S2004" t="str">
        <f>"LM7 Content, JM, Basic Machines"</f>
        <v>LM7 Content, JM, Basic Machines</v>
      </c>
      <c r="T2004">
        <v>0</v>
      </c>
      <c r="U2004">
        <v>5</v>
      </c>
      <c r="V2004">
        <v>5</v>
      </c>
      <c r="W2004" t="str">
        <f t="shared" si="508"/>
        <v>zintel</v>
      </c>
    </row>
    <row r="2005" spans="1:23">
      <c r="A2005" t="str">
        <f t="shared" si="517"/>
        <v>JM-MBLM-0000</v>
      </c>
      <c r="B2005" t="str">
        <f>"77-ME02-0001"</f>
        <v>77-ME02-0001</v>
      </c>
      <c r="C2005" t="str">
        <f>"LM7 Content, JM, Machine Statics and Dynamics"</f>
        <v>LM7 Content, JM, Machine Statics and Dynamics</v>
      </c>
      <c r="D2005">
        <v>1</v>
      </c>
      <c r="E2005" t="str">
        <f t="shared" si="518"/>
        <v>Complete Mechanical System Two Sided Bench: 110V/220V</v>
      </c>
      <c r="F2005">
        <v>0</v>
      </c>
      <c r="G2005" t="str">
        <f t="shared" si="513"/>
        <v>Y</v>
      </c>
      <c r="H2005" t="str">
        <f t="shared" si="507"/>
        <v>EA</v>
      </c>
      <c r="I2005">
        <v>0</v>
      </c>
      <c r="J2005">
        <v>0</v>
      </c>
      <c r="K2005" t="str">
        <f t="shared" si="514"/>
        <v>Y</v>
      </c>
      <c r="L2005">
        <v>0</v>
      </c>
      <c r="M2005" t="str">
        <f t="shared" si="509"/>
        <v>NIS</v>
      </c>
      <c r="O2005">
        <v>6</v>
      </c>
      <c r="P2005" t="str">
        <f t="shared" si="519"/>
        <v>Active</v>
      </c>
      <c r="Q2005" t="str">
        <f>"LM7 Content, JM, Machine Statics and Dynamics"</f>
        <v>LM7 Content, JM, Machine Statics and Dynamics</v>
      </c>
      <c r="S2005" t="str">
        <f>"LM7 Content, JM, Machine Statics and Dynamics"</f>
        <v>LM7 Content, JM, Machine Statics and Dynamics</v>
      </c>
      <c r="T2005">
        <v>0</v>
      </c>
      <c r="U2005">
        <v>5</v>
      </c>
      <c r="V2005">
        <v>5</v>
      </c>
      <c r="W2005" t="str">
        <f t="shared" si="508"/>
        <v>zintel</v>
      </c>
    </row>
    <row r="2006" spans="1:23">
      <c r="A2006" t="str">
        <f t="shared" si="517"/>
        <v>JM-MBLM-0000</v>
      </c>
      <c r="B2006" t="str">
        <f>"77-ME03-0001"</f>
        <v>77-ME03-0001</v>
      </c>
      <c r="C2006" t="str">
        <f>"LM7 Content, JM, Machine Shafts and Keys"</f>
        <v>LM7 Content, JM, Machine Shafts and Keys</v>
      </c>
      <c r="D2006">
        <v>1</v>
      </c>
      <c r="E2006" t="str">
        <f t="shared" si="518"/>
        <v>Complete Mechanical System Two Sided Bench: 110V/220V</v>
      </c>
      <c r="F2006">
        <v>0</v>
      </c>
      <c r="G2006" t="str">
        <f t="shared" si="513"/>
        <v>Y</v>
      </c>
      <c r="H2006" t="str">
        <f t="shared" si="507"/>
        <v>EA</v>
      </c>
      <c r="I2006">
        <v>0</v>
      </c>
      <c r="J2006">
        <v>0</v>
      </c>
      <c r="K2006" t="str">
        <f t="shared" si="514"/>
        <v>Y</v>
      </c>
      <c r="L2006">
        <v>0</v>
      </c>
      <c r="M2006" t="str">
        <f t="shared" si="509"/>
        <v>NIS</v>
      </c>
      <c r="O2006">
        <v>7</v>
      </c>
      <c r="P2006" t="str">
        <f t="shared" si="519"/>
        <v>Active</v>
      </c>
      <c r="Q2006" t="str">
        <f>"LM7 Content, JM, Machine Shafts and Keys"</f>
        <v>LM7 Content, JM, Machine Shafts and Keys</v>
      </c>
      <c r="S2006" t="str">
        <f>"LM7 Content, JM, Machine Shafts and Keys"</f>
        <v>LM7 Content, JM, Machine Shafts and Keys</v>
      </c>
      <c r="T2006">
        <v>0</v>
      </c>
      <c r="U2006">
        <v>5</v>
      </c>
      <c r="V2006">
        <v>5</v>
      </c>
      <c r="W2006" t="str">
        <f t="shared" si="508"/>
        <v>zintel</v>
      </c>
    </row>
    <row r="2007" spans="1:23">
      <c r="A2007" t="str">
        <f t="shared" si="517"/>
        <v>JM-MBLM-0000</v>
      </c>
      <c r="B2007" t="str">
        <f>"77-ME04-0001"</f>
        <v>77-ME04-0001</v>
      </c>
      <c r="C2007" t="str">
        <f>"LM7 Content, JM, Bearings"</f>
        <v>LM7 Content, JM, Bearings</v>
      </c>
      <c r="D2007">
        <v>1</v>
      </c>
      <c r="E2007" t="str">
        <f t="shared" si="518"/>
        <v>Complete Mechanical System Two Sided Bench: 110V/220V</v>
      </c>
      <c r="F2007">
        <v>0</v>
      </c>
      <c r="G2007" t="str">
        <f t="shared" si="513"/>
        <v>Y</v>
      </c>
      <c r="H2007" t="str">
        <f t="shared" si="507"/>
        <v>EA</v>
      </c>
      <c r="I2007">
        <v>0</v>
      </c>
      <c r="J2007">
        <v>0</v>
      </c>
      <c r="K2007" t="str">
        <f t="shared" si="514"/>
        <v>Y</v>
      </c>
      <c r="L2007">
        <v>0</v>
      </c>
      <c r="M2007" t="str">
        <f t="shared" si="509"/>
        <v>NIS</v>
      </c>
      <c r="O2007">
        <v>8</v>
      </c>
      <c r="P2007" t="str">
        <f t="shared" si="519"/>
        <v>Active</v>
      </c>
      <c r="Q2007" t="str">
        <f>"LM7 Content, JM, Bearings"</f>
        <v>LM7 Content, JM, Bearings</v>
      </c>
      <c r="S2007" t="str">
        <f>"LM7 Content, JM, Bearings"</f>
        <v>LM7 Content, JM, Bearings</v>
      </c>
      <c r="T2007">
        <v>0</v>
      </c>
      <c r="U2007">
        <v>5</v>
      </c>
      <c r="V2007">
        <v>5</v>
      </c>
      <c r="W2007" t="str">
        <f t="shared" si="508"/>
        <v>zintel</v>
      </c>
    </row>
    <row r="2008" spans="1:23">
      <c r="A2008" t="str">
        <f t="shared" si="517"/>
        <v>JM-MBLM-0000</v>
      </c>
      <c r="B2008" t="str">
        <f>"77-ME05-0001"</f>
        <v>77-ME05-0001</v>
      </c>
      <c r="C2008" t="str">
        <f>"LM7 Content, JM, Belt Drives"</f>
        <v>LM7 Content, JM, Belt Drives</v>
      </c>
      <c r="D2008">
        <v>1</v>
      </c>
      <c r="E2008" t="str">
        <f t="shared" si="518"/>
        <v>Complete Mechanical System Two Sided Bench: 110V/220V</v>
      </c>
      <c r="F2008">
        <v>0</v>
      </c>
      <c r="G2008" t="str">
        <f t="shared" si="513"/>
        <v>Y</v>
      </c>
      <c r="H2008" t="str">
        <f t="shared" si="507"/>
        <v>EA</v>
      </c>
      <c r="I2008">
        <v>0</v>
      </c>
      <c r="J2008">
        <v>0</v>
      </c>
      <c r="K2008" t="str">
        <f t="shared" si="514"/>
        <v>Y</v>
      </c>
      <c r="L2008">
        <v>0</v>
      </c>
      <c r="M2008" t="str">
        <f t="shared" si="509"/>
        <v>NIS</v>
      </c>
      <c r="O2008">
        <v>9</v>
      </c>
      <c r="P2008" t="str">
        <f t="shared" si="519"/>
        <v>Active</v>
      </c>
      <c r="Q2008" t="str">
        <f>"LM7 Content, JM, Belt Drives"</f>
        <v>LM7 Content, JM, Belt Drives</v>
      </c>
      <c r="S2008" t="str">
        <f>"LM7 Content, JM, Belt Drives"</f>
        <v>LM7 Content, JM, Belt Drives</v>
      </c>
      <c r="T2008">
        <v>0</v>
      </c>
      <c r="U2008">
        <v>5</v>
      </c>
      <c r="V2008">
        <v>5</v>
      </c>
      <c r="W2008" t="str">
        <f t="shared" si="508"/>
        <v>zintel</v>
      </c>
    </row>
    <row r="2009" spans="1:23">
      <c r="A2009" t="str">
        <f t="shared" si="517"/>
        <v>JM-MBLM-0000</v>
      </c>
      <c r="B2009" t="str">
        <f>"77-ME06-0001"</f>
        <v>77-ME06-0001</v>
      </c>
      <c r="C2009" t="str">
        <f>"LM7 Content, JM, Chain Drives"</f>
        <v>LM7 Content, JM, Chain Drives</v>
      </c>
      <c r="D2009">
        <v>1</v>
      </c>
      <c r="E2009" t="str">
        <f t="shared" si="518"/>
        <v>Complete Mechanical System Two Sided Bench: 110V/220V</v>
      </c>
      <c r="F2009">
        <v>0</v>
      </c>
      <c r="G2009" t="str">
        <f t="shared" si="513"/>
        <v>Y</v>
      </c>
      <c r="H2009" t="str">
        <f t="shared" si="507"/>
        <v>EA</v>
      </c>
      <c r="I2009">
        <v>0</v>
      </c>
      <c r="J2009">
        <v>0</v>
      </c>
      <c r="K2009" t="str">
        <f t="shared" si="514"/>
        <v>Y</v>
      </c>
      <c r="L2009">
        <v>0</v>
      </c>
      <c r="M2009" t="str">
        <f t="shared" si="509"/>
        <v>NIS</v>
      </c>
      <c r="O2009">
        <v>10</v>
      </c>
      <c r="P2009" t="str">
        <f t="shared" si="519"/>
        <v>Active</v>
      </c>
      <c r="Q2009" t="str">
        <f>"LM7 Content, JM, Chain Drives"</f>
        <v>LM7 Content, JM, Chain Drives</v>
      </c>
      <c r="S2009" t="str">
        <f>"LM7 Content, JM, Chain Drives"</f>
        <v>LM7 Content, JM, Chain Drives</v>
      </c>
      <c r="T2009">
        <v>0</v>
      </c>
      <c r="U2009">
        <v>5</v>
      </c>
      <c r="V2009">
        <v>5</v>
      </c>
      <c r="W2009" t="str">
        <f t="shared" si="508"/>
        <v>zintel</v>
      </c>
    </row>
    <row r="2010" spans="1:23">
      <c r="A2010" t="str">
        <f t="shared" si="517"/>
        <v>JM-MBLM-0000</v>
      </c>
      <c r="B2010" t="str">
        <f>"77-ME07-0001"</f>
        <v>77-ME07-0001</v>
      </c>
      <c r="C2010" t="str">
        <f>"LM7 Content, JM, Machine Shaft Couplings"</f>
        <v>LM7 Content, JM, Machine Shaft Couplings</v>
      </c>
      <c r="D2010">
        <v>1</v>
      </c>
      <c r="E2010" t="str">
        <f t="shared" si="518"/>
        <v>Complete Mechanical System Two Sided Bench: 110V/220V</v>
      </c>
      <c r="F2010">
        <v>0</v>
      </c>
      <c r="G2010" t="str">
        <f t="shared" si="513"/>
        <v>Y</v>
      </c>
      <c r="H2010" t="str">
        <f t="shared" si="507"/>
        <v>EA</v>
      </c>
      <c r="I2010">
        <v>0</v>
      </c>
      <c r="J2010">
        <v>0</v>
      </c>
      <c r="K2010" t="str">
        <f t="shared" si="514"/>
        <v>Y</v>
      </c>
      <c r="L2010">
        <v>0</v>
      </c>
      <c r="M2010" t="str">
        <f t="shared" si="509"/>
        <v>NIS</v>
      </c>
      <c r="O2010">
        <v>11</v>
      </c>
      <c r="P2010" t="str">
        <f t="shared" si="519"/>
        <v>Active</v>
      </c>
      <c r="Q2010" t="str">
        <f>"LM7 Content, JM, Machine Shaft Couplings"</f>
        <v>LM7 Content, JM, Machine Shaft Couplings</v>
      </c>
      <c r="S2010" t="str">
        <f>"LM7 Content, JM, Machine Shaft Couplings"</f>
        <v>LM7 Content, JM, Machine Shaft Couplings</v>
      </c>
      <c r="T2010">
        <v>0</v>
      </c>
      <c r="U2010">
        <v>5</v>
      </c>
      <c r="V2010">
        <v>5</v>
      </c>
      <c r="W2010" t="str">
        <f t="shared" si="508"/>
        <v>zintel</v>
      </c>
    </row>
    <row r="2011" spans="1:23">
      <c r="A2011" t="str">
        <f t="shared" si="517"/>
        <v>JM-MBLM-0000</v>
      </c>
      <c r="B2011" t="str">
        <f>"77-ME08-0001"</f>
        <v>77-ME08-0001</v>
      </c>
      <c r="C2011" t="str">
        <f>"LM7 Content, JM, Gear Drives"</f>
        <v>LM7 Content, JM, Gear Drives</v>
      </c>
      <c r="D2011">
        <v>1</v>
      </c>
      <c r="E2011" t="str">
        <f t="shared" si="518"/>
        <v>Complete Mechanical System Two Sided Bench: 110V/220V</v>
      </c>
      <c r="F2011">
        <v>0</v>
      </c>
      <c r="G2011" t="str">
        <f t="shared" si="513"/>
        <v>Y</v>
      </c>
      <c r="H2011" t="str">
        <f t="shared" si="507"/>
        <v>EA</v>
      </c>
      <c r="I2011">
        <v>0</v>
      </c>
      <c r="J2011">
        <v>0</v>
      </c>
      <c r="K2011" t="str">
        <f t="shared" si="514"/>
        <v>Y</v>
      </c>
      <c r="L2011">
        <v>0</v>
      </c>
      <c r="M2011" t="str">
        <f t="shared" si="509"/>
        <v>NIS</v>
      </c>
      <c r="O2011">
        <v>12</v>
      </c>
      <c r="P2011" t="str">
        <f t="shared" si="519"/>
        <v>Active</v>
      </c>
      <c r="Q2011" t="str">
        <f>"LM7 Content, JM, Gear Drives"</f>
        <v>LM7 Content, JM, Gear Drives</v>
      </c>
      <c r="S2011" t="str">
        <f>"LM7 Content, JM, Gear Drives"</f>
        <v>LM7 Content, JM, Gear Drives</v>
      </c>
      <c r="T2011">
        <v>0</v>
      </c>
      <c r="U2011">
        <v>5</v>
      </c>
      <c r="V2011">
        <v>5</v>
      </c>
      <c r="W2011" t="str">
        <f t="shared" si="508"/>
        <v>zintel</v>
      </c>
    </row>
    <row r="2012" spans="1:23">
      <c r="A2012" t="str">
        <f t="shared" si="517"/>
        <v>JM-MBLM-0000</v>
      </c>
      <c r="B2012" t="str">
        <f>"77-ME09-0001"</f>
        <v>77-ME09-0001</v>
      </c>
      <c r="C2012" t="str">
        <f>"LM7 Content, JM, Machine Speed Reducers"</f>
        <v>LM7 Content, JM, Machine Speed Reducers</v>
      </c>
      <c r="D2012">
        <v>1</v>
      </c>
      <c r="E2012" t="str">
        <f t="shared" si="518"/>
        <v>Complete Mechanical System Two Sided Bench: 110V/220V</v>
      </c>
      <c r="F2012">
        <v>0</v>
      </c>
      <c r="G2012" t="str">
        <f t="shared" si="513"/>
        <v>Y</v>
      </c>
      <c r="H2012" t="str">
        <f t="shared" si="507"/>
        <v>EA</v>
      </c>
      <c r="I2012">
        <v>0</v>
      </c>
      <c r="J2012">
        <v>0</v>
      </c>
      <c r="K2012" t="str">
        <f t="shared" si="514"/>
        <v>Y</v>
      </c>
      <c r="L2012">
        <v>0</v>
      </c>
      <c r="M2012" t="str">
        <f t="shared" si="509"/>
        <v>NIS</v>
      </c>
      <c r="O2012">
        <v>13</v>
      </c>
      <c r="P2012" t="str">
        <f t="shared" si="519"/>
        <v>Active</v>
      </c>
      <c r="Q2012" t="str">
        <f>"LM7 Content, JM, Machine Speed Reducers"</f>
        <v>LM7 Content, JM, Machine Speed Reducers</v>
      </c>
      <c r="S2012" t="str">
        <f>"LM7 Content, JM, Machine Speed Reducers"</f>
        <v>LM7 Content, JM, Machine Speed Reducers</v>
      </c>
      <c r="T2012">
        <v>0</v>
      </c>
      <c r="U2012">
        <v>5</v>
      </c>
      <c r="V2012">
        <v>5</v>
      </c>
      <c r="W2012" t="str">
        <f t="shared" si="508"/>
        <v>zintel</v>
      </c>
    </row>
    <row r="2013" spans="1:23">
      <c r="A2013" t="str">
        <f t="shared" si="517"/>
        <v>JM-MBLM-0000</v>
      </c>
      <c r="B2013" t="str">
        <f>"77-ME10-0001"</f>
        <v>77-ME10-0001</v>
      </c>
      <c r="C2013" t="str">
        <f>"LM7 Content, JM, Electric Brakes"</f>
        <v>LM7 Content, JM, Electric Brakes</v>
      </c>
      <c r="D2013">
        <v>1</v>
      </c>
      <c r="E2013" t="str">
        <f t="shared" si="518"/>
        <v>Complete Mechanical System Two Sided Bench: 110V/220V</v>
      </c>
      <c r="F2013">
        <v>0</v>
      </c>
      <c r="G2013" t="str">
        <f t="shared" si="513"/>
        <v>Y</v>
      </c>
      <c r="H2013" t="str">
        <f t="shared" si="507"/>
        <v>EA</v>
      </c>
      <c r="I2013">
        <v>0</v>
      </c>
      <c r="J2013">
        <v>0</v>
      </c>
      <c r="K2013" t="str">
        <f t="shared" si="514"/>
        <v>Y</v>
      </c>
      <c r="L2013">
        <v>0</v>
      </c>
      <c r="M2013" t="str">
        <f t="shared" si="509"/>
        <v>NIS</v>
      </c>
      <c r="O2013">
        <v>14</v>
      </c>
      <c r="P2013" t="str">
        <f t="shared" si="519"/>
        <v>Active</v>
      </c>
      <c r="Q2013" t="str">
        <f>"LM7 Content, JM, Electric Brakes"</f>
        <v>LM7 Content, JM, Electric Brakes</v>
      </c>
      <c r="S2013" t="str">
        <f>"LM7 Content, JM, Electric Brakes"</f>
        <v>LM7 Content, JM, Electric Brakes</v>
      </c>
      <c r="T2013">
        <v>0</v>
      </c>
      <c r="U2013">
        <v>5</v>
      </c>
      <c r="V2013">
        <v>5</v>
      </c>
      <c r="W2013" t="str">
        <f t="shared" si="508"/>
        <v>zintel</v>
      </c>
    </row>
    <row r="2014" spans="1:23">
      <c r="A2014" t="str">
        <f t="shared" si="517"/>
        <v>JM-MBLM-0000</v>
      </c>
      <c r="B2014" t="str">
        <f>"77-ME11-0001"</f>
        <v>77-ME11-0001</v>
      </c>
      <c r="C2014" t="str">
        <f>"LM7 Content, JM, Laser Alignment"</f>
        <v>LM7 Content, JM, Laser Alignment</v>
      </c>
      <c r="D2014">
        <v>1</v>
      </c>
      <c r="E2014" t="str">
        <f t="shared" si="518"/>
        <v>Complete Mechanical System Two Sided Bench: 110V/220V</v>
      </c>
      <c r="F2014">
        <v>0</v>
      </c>
      <c r="G2014" t="str">
        <f t="shared" si="513"/>
        <v>Y</v>
      </c>
      <c r="H2014" t="str">
        <f t="shared" si="507"/>
        <v>EA</v>
      </c>
      <c r="I2014">
        <v>0</v>
      </c>
      <c r="J2014">
        <v>0</v>
      </c>
      <c r="K2014" t="str">
        <f t="shared" si="514"/>
        <v>Y</v>
      </c>
      <c r="L2014">
        <v>0</v>
      </c>
      <c r="M2014" t="str">
        <f t="shared" si="509"/>
        <v>NIS</v>
      </c>
      <c r="O2014">
        <v>15</v>
      </c>
      <c r="P2014" t="str">
        <f t="shared" si="519"/>
        <v>Active</v>
      </c>
      <c r="Q2014" t="str">
        <f>"LM7 Content, JM, Laser Alignment"</f>
        <v>LM7 Content, JM, Laser Alignment</v>
      </c>
      <c r="S2014" t="str">
        <f>"LM7 Content, JM, Laser Alignment"</f>
        <v>LM7 Content, JM, Laser Alignment</v>
      </c>
      <c r="T2014">
        <v>0</v>
      </c>
      <c r="U2014">
        <v>5</v>
      </c>
      <c r="V2014">
        <v>5</v>
      </c>
      <c r="W2014" t="str">
        <f t="shared" si="508"/>
        <v>zintel</v>
      </c>
    </row>
    <row r="2015" spans="1:23">
      <c r="A2015" t="str">
        <f t="shared" si="517"/>
        <v>JM-MBLM-0000</v>
      </c>
      <c r="B2015" t="str">
        <f>"77-ME12-0001"</f>
        <v>77-ME12-0001</v>
      </c>
      <c r="C2015" t="str">
        <f>"LM7 Content, JM, Vibration Analysis"</f>
        <v>LM7 Content, JM, Vibration Analysis</v>
      </c>
      <c r="D2015">
        <v>1</v>
      </c>
      <c r="E2015" t="str">
        <f t="shared" si="518"/>
        <v>Complete Mechanical System Two Sided Bench: 110V/220V</v>
      </c>
      <c r="F2015">
        <v>0</v>
      </c>
      <c r="G2015" t="str">
        <f t="shared" si="513"/>
        <v>Y</v>
      </c>
      <c r="H2015" t="str">
        <f t="shared" si="507"/>
        <v>EA</v>
      </c>
      <c r="I2015">
        <v>0</v>
      </c>
      <c r="J2015">
        <v>0</v>
      </c>
      <c r="K2015" t="str">
        <f t="shared" si="514"/>
        <v>Y</v>
      </c>
      <c r="L2015">
        <v>0</v>
      </c>
      <c r="M2015" t="str">
        <f t="shared" si="509"/>
        <v>NIS</v>
      </c>
      <c r="O2015">
        <v>16</v>
      </c>
      <c r="P2015" t="str">
        <f t="shared" si="519"/>
        <v>Active</v>
      </c>
      <c r="Q2015" t="str">
        <f>"LM7 Content, JM, Vibration Analysis"</f>
        <v>LM7 Content, JM, Vibration Analysis</v>
      </c>
      <c r="S2015" t="str">
        <f>"LM7 Content, JM, Vibration Analysis"</f>
        <v>LM7 Content, JM, Vibration Analysis</v>
      </c>
      <c r="T2015">
        <v>0</v>
      </c>
      <c r="U2015">
        <v>5</v>
      </c>
      <c r="V2015">
        <v>5</v>
      </c>
      <c r="W2015" t="str">
        <f t="shared" si="508"/>
        <v>zintel</v>
      </c>
    </row>
    <row r="2016" spans="1:23">
      <c r="A2016" t="str">
        <f t="shared" si="517"/>
        <v>JM-MBLM-0000</v>
      </c>
      <c r="B2016" t="str">
        <f>"77-ME13-0001"</f>
        <v>77-ME13-0001</v>
      </c>
      <c r="C2016" t="str">
        <f>"LM7 Content, JM, Bearing Service Cart"</f>
        <v>LM7 Content, JM, Bearing Service Cart</v>
      </c>
      <c r="D2016">
        <v>1</v>
      </c>
      <c r="E2016" t="str">
        <f t="shared" si="518"/>
        <v>Complete Mechanical System Two Sided Bench: 110V/220V</v>
      </c>
      <c r="F2016">
        <v>0</v>
      </c>
      <c r="G2016" t="str">
        <f t="shared" si="513"/>
        <v>Y</v>
      </c>
      <c r="H2016" t="str">
        <f t="shared" si="507"/>
        <v>EA</v>
      </c>
      <c r="I2016">
        <v>0</v>
      </c>
      <c r="J2016">
        <v>0</v>
      </c>
      <c r="K2016" t="str">
        <f t="shared" si="514"/>
        <v>Y</v>
      </c>
      <c r="L2016">
        <v>0</v>
      </c>
      <c r="M2016" t="str">
        <f t="shared" si="509"/>
        <v>NIS</v>
      </c>
      <c r="O2016">
        <v>17</v>
      </c>
      <c r="P2016" t="str">
        <f t="shared" si="519"/>
        <v>Active</v>
      </c>
      <c r="Q2016" t="str">
        <f>"LM7 Content, JM, Bearing Service Cart"</f>
        <v>LM7 Content, JM, Bearing Service Cart</v>
      </c>
      <c r="S2016" t="str">
        <f>"LM7 Content, JM, Bearing Service Cart"</f>
        <v>LM7 Content, JM, Bearing Service Cart</v>
      </c>
      <c r="T2016">
        <v>0</v>
      </c>
      <c r="U2016">
        <v>5</v>
      </c>
      <c r="V2016">
        <v>5</v>
      </c>
      <c r="W2016" t="str">
        <f t="shared" si="508"/>
        <v>zintel</v>
      </c>
    </row>
    <row r="2017" spans="1:23">
      <c r="A2017" t="str">
        <f t="shared" ref="A2017:A2028" si="520">"JM-MBLM-00X2"</f>
        <v>JM-MBLM-00X2</v>
      </c>
      <c r="B2017" t="str">
        <f>"00-ME10-1000"</f>
        <v>00-ME10-1000</v>
      </c>
      <c r="C2017" t="str">
        <f>"Assembly, JM, Mechanical Training Bench, 120V"</f>
        <v>Assembly, JM, Mechanical Training Bench, 120V</v>
      </c>
      <c r="D2017">
        <v>1</v>
      </c>
      <c r="E2017" t="str">
        <f t="shared" ref="E2017:E2028" si="521">"Mechanical System Two Sided Bench: 110V/220V"</f>
        <v>Mechanical System Two Sided Bench: 110V/220V</v>
      </c>
      <c r="F2017">
        <v>0</v>
      </c>
      <c r="G2017" t="str">
        <f t="shared" si="513"/>
        <v>Y</v>
      </c>
      <c r="H2017" t="str">
        <f t="shared" si="507"/>
        <v>EA</v>
      </c>
      <c r="I2017">
        <v>0</v>
      </c>
      <c r="J2017">
        <v>0</v>
      </c>
      <c r="K2017" t="str">
        <f t="shared" si="514"/>
        <v>Y</v>
      </c>
      <c r="L2017">
        <v>0</v>
      </c>
      <c r="M2017" t="str">
        <f t="shared" si="509"/>
        <v>NIS</v>
      </c>
      <c r="O2017">
        <v>1</v>
      </c>
      <c r="P2017" t="str">
        <f>"ECO-N2Buy"</f>
        <v>ECO-N2Buy</v>
      </c>
      <c r="Q2017" t="str">
        <f>"Assembly, JM, Mechanical Training Bench, 120V"</f>
        <v>Assembly, JM, Mechanical Training Bench, 120V</v>
      </c>
      <c r="S2017" t="str">
        <f>"Assembly, JM, Mechanical Training Bench, 120V"</f>
        <v>Assembly, JM, Mechanical Training Bench, 120V</v>
      </c>
      <c r="T2017" s="44">
        <v>8968.2900000000009</v>
      </c>
      <c r="U2017" s="44">
        <v>9771.77</v>
      </c>
      <c r="V2017" s="44">
        <v>10846.66</v>
      </c>
      <c r="W2017" t="str">
        <f t="shared" si="508"/>
        <v>zintel</v>
      </c>
    </row>
    <row r="2018" spans="1:23">
      <c r="A2018" t="str">
        <f t="shared" si="520"/>
        <v>JM-MBLM-00X2</v>
      </c>
      <c r="B2018" t="str">
        <f>"00-ME10-0000"</f>
        <v>00-ME10-0000</v>
      </c>
      <c r="C2018" t="str">
        <f>"Assembly, JM, Mechanical Two-Student Add-on,120V"</f>
        <v>Assembly, JM, Mechanical Two-Student Add-on,120V</v>
      </c>
      <c r="D2018">
        <v>1</v>
      </c>
      <c r="E2018" t="str">
        <f t="shared" si="521"/>
        <v>Mechanical System Two Sided Bench: 110V/220V</v>
      </c>
      <c r="F2018">
        <v>0</v>
      </c>
      <c r="G2018" t="str">
        <f t="shared" si="513"/>
        <v>Y</v>
      </c>
      <c r="H2018" t="str">
        <f t="shared" si="507"/>
        <v>EA</v>
      </c>
      <c r="I2018">
        <v>0</v>
      </c>
      <c r="J2018">
        <v>0</v>
      </c>
      <c r="K2018" t="str">
        <f t="shared" si="514"/>
        <v>Y</v>
      </c>
      <c r="L2018">
        <v>0</v>
      </c>
      <c r="M2018" t="str">
        <f t="shared" si="509"/>
        <v>NIS</v>
      </c>
      <c r="O2018">
        <v>2</v>
      </c>
      <c r="P2018" t="str">
        <f t="shared" ref="P2018:P2028" si="522">"Active"</f>
        <v>Active</v>
      </c>
      <c r="Q2018" t="str">
        <f>"Assembly, JM, Mechanical Two-Student Add-on,120V"</f>
        <v>Assembly, JM, Mechanical Two-Student Add-on,120V</v>
      </c>
      <c r="S2018" t="str">
        <f>"Assembly, JM, Mechanical Two-Student Add-on,120V"</f>
        <v>Assembly, JM, Mechanical Two-Student Add-on,120V</v>
      </c>
      <c r="T2018" s="44">
        <v>6272.72</v>
      </c>
      <c r="U2018" s="44">
        <v>9120.6299999999992</v>
      </c>
      <c r="V2018" s="44">
        <v>10123.9</v>
      </c>
      <c r="W2018" t="str">
        <f t="shared" si="508"/>
        <v>zintel</v>
      </c>
    </row>
    <row r="2019" spans="1:23">
      <c r="A2019" t="str">
        <f t="shared" si="520"/>
        <v>JM-MBLM-00X2</v>
      </c>
      <c r="B2019" t="str">
        <f>"77-ME01-0001"</f>
        <v>77-ME01-0001</v>
      </c>
      <c r="C2019" t="str">
        <f>"LM7 Content, JM, Basic Machines"</f>
        <v>LM7 Content, JM, Basic Machines</v>
      </c>
      <c r="D2019">
        <v>1</v>
      </c>
      <c r="E2019" t="str">
        <f t="shared" si="521"/>
        <v>Mechanical System Two Sided Bench: 110V/220V</v>
      </c>
      <c r="F2019">
        <v>0</v>
      </c>
      <c r="G2019" t="str">
        <f t="shared" si="513"/>
        <v>Y</v>
      </c>
      <c r="H2019" t="str">
        <f t="shared" si="507"/>
        <v>EA</v>
      </c>
      <c r="I2019">
        <v>0</v>
      </c>
      <c r="J2019">
        <v>0</v>
      </c>
      <c r="K2019" t="str">
        <f t="shared" si="514"/>
        <v>Y</v>
      </c>
      <c r="L2019">
        <v>0</v>
      </c>
      <c r="M2019" t="str">
        <f t="shared" si="509"/>
        <v>NIS</v>
      </c>
      <c r="O2019">
        <v>3</v>
      </c>
      <c r="P2019" t="str">
        <f t="shared" si="522"/>
        <v>Active</v>
      </c>
      <c r="Q2019" t="str">
        <f>"LM7 Content, JM, Basic Machines"</f>
        <v>LM7 Content, JM, Basic Machines</v>
      </c>
      <c r="S2019" t="str">
        <f>"LM7 Content, JM, Basic Machines"</f>
        <v>LM7 Content, JM, Basic Machines</v>
      </c>
      <c r="T2019">
        <v>0</v>
      </c>
      <c r="U2019">
        <v>5</v>
      </c>
      <c r="V2019">
        <v>5</v>
      </c>
      <c r="W2019" t="str">
        <f t="shared" si="508"/>
        <v>zintel</v>
      </c>
    </row>
    <row r="2020" spans="1:23">
      <c r="A2020" t="str">
        <f t="shared" si="520"/>
        <v>JM-MBLM-00X2</v>
      </c>
      <c r="B2020" t="str">
        <f>"77-ME02-0001"</f>
        <v>77-ME02-0001</v>
      </c>
      <c r="C2020" t="str">
        <f>"LM7 Content, JM, Machine Statics and Dynamics"</f>
        <v>LM7 Content, JM, Machine Statics and Dynamics</v>
      </c>
      <c r="D2020">
        <v>1</v>
      </c>
      <c r="E2020" t="str">
        <f t="shared" si="521"/>
        <v>Mechanical System Two Sided Bench: 110V/220V</v>
      </c>
      <c r="F2020">
        <v>0</v>
      </c>
      <c r="G2020" t="str">
        <f t="shared" si="513"/>
        <v>Y</v>
      </c>
      <c r="H2020" t="str">
        <f t="shared" si="507"/>
        <v>EA</v>
      </c>
      <c r="I2020">
        <v>0</v>
      </c>
      <c r="J2020">
        <v>0</v>
      </c>
      <c r="K2020" t="str">
        <f t="shared" si="514"/>
        <v>Y</v>
      </c>
      <c r="L2020">
        <v>0</v>
      </c>
      <c r="M2020" t="str">
        <f t="shared" si="509"/>
        <v>NIS</v>
      </c>
      <c r="O2020">
        <v>4</v>
      </c>
      <c r="P2020" t="str">
        <f t="shared" si="522"/>
        <v>Active</v>
      </c>
      <c r="Q2020" t="str">
        <f>"LM7 Content, JM, Machine Statics and Dynamics"</f>
        <v>LM7 Content, JM, Machine Statics and Dynamics</v>
      </c>
      <c r="S2020" t="str">
        <f>"LM7 Content, JM, Machine Statics and Dynamics"</f>
        <v>LM7 Content, JM, Machine Statics and Dynamics</v>
      </c>
      <c r="T2020">
        <v>0</v>
      </c>
      <c r="U2020">
        <v>5</v>
      </c>
      <c r="V2020">
        <v>5</v>
      </c>
      <c r="W2020" t="str">
        <f t="shared" si="508"/>
        <v>zintel</v>
      </c>
    </row>
    <row r="2021" spans="1:23">
      <c r="A2021" t="str">
        <f t="shared" si="520"/>
        <v>JM-MBLM-00X2</v>
      </c>
      <c r="B2021" t="str">
        <f>"77-ME03-0001"</f>
        <v>77-ME03-0001</v>
      </c>
      <c r="C2021" t="str">
        <f>"LM7 Content, JM, Machine Shafts and Keys"</f>
        <v>LM7 Content, JM, Machine Shafts and Keys</v>
      </c>
      <c r="D2021">
        <v>1</v>
      </c>
      <c r="E2021" t="str">
        <f t="shared" si="521"/>
        <v>Mechanical System Two Sided Bench: 110V/220V</v>
      </c>
      <c r="F2021">
        <v>0</v>
      </c>
      <c r="G2021" t="str">
        <f t="shared" si="513"/>
        <v>Y</v>
      </c>
      <c r="H2021" t="str">
        <f t="shared" si="507"/>
        <v>EA</v>
      </c>
      <c r="I2021">
        <v>0</v>
      </c>
      <c r="J2021">
        <v>0</v>
      </c>
      <c r="K2021" t="str">
        <f t="shared" si="514"/>
        <v>Y</v>
      </c>
      <c r="L2021">
        <v>0</v>
      </c>
      <c r="M2021" t="str">
        <f t="shared" si="509"/>
        <v>NIS</v>
      </c>
      <c r="O2021">
        <v>5</v>
      </c>
      <c r="P2021" t="str">
        <f t="shared" si="522"/>
        <v>Active</v>
      </c>
      <c r="Q2021" t="str">
        <f>"LM7 Content, JM, Machine Shafts and Keys"</f>
        <v>LM7 Content, JM, Machine Shafts and Keys</v>
      </c>
      <c r="S2021" t="str">
        <f>"LM7 Content, JM, Machine Shafts and Keys"</f>
        <v>LM7 Content, JM, Machine Shafts and Keys</v>
      </c>
      <c r="T2021">
        <v>0</v>
      </c>
      <c r="U2021">
        <v>5</v>
      </c>
      <c r="V2021">
        <v>5</v>
      </c>
      <c r="W2021" t="str">
        <f t="shared" si="508"/>
        <v>zintel</v>
      </c>
    </row>
    <row r="2022" spans="1:23">
      <c r="A2022" t="str">
        <f t="shared" si="520"/>
        <v>JM-MBLM-00X2</v>
      </c>
      <c r="B2022" t="str">
        <f>"77-ME04-0001"</f>
        <v>77-ME04-0001</v>
      </c>
      <c r="C2022" t="str">
        <f>"LM7 Content, JM, Bearings"</f>
        <v>LM7 Content, JM, Bearings</v>
      </c>
      <c r="D2022">
        <v>1</v>
      </c>
      <c r="E2022" t="str">
        <f t="shared" si="521"/>
        <v>Mechanical System Two Sided Bench: 110V/220V</v>
      </c>
      <c r="F2022">
        <v>0</v>
      </c>
      <c r="G2022" t="str">
        <f t="shared" si="513"/>
        <v>Y</v>
      </c>
      <c r="H2022" t="str">
        <f t="shared" si="507"/>
        <v>EA</v>
      </c>
      <c r="I2022">
        <v>0</v>
      </c>
      <c r="J2022">
        <v>0</v>
      </c>
      <c r="K2022" t="str">
        <f t="shared" si="514"/>
        <v>Y</v>
      </c>
      <c r="L2022">
        <v>0</v>
      </c>
      <c r="M2022" t="str">
        <f t="shared" si="509"/>
        <v>NIS</v>
      </c>
      <c r="O2022">
        <v>6</v>
      </c>
      <c r="P2022" t="str">
        <f t="shared" si="522"/>
        <v>Active</v>
      </c>
      <c r="Q2022" t="str">
        <f>"LM7 Content, JM, Bearings"</f>
        <v>LM7 Content, JM, Bearings</v>
      </c>
      <c r="S2022" t="str">
        <f>"LM7 Content, JM, Bearings"</f>
        <v>LM7 Content, JM, Bearings</v>
      </c>
      <c r="T2022">
        <v>0</v>
      </c>
      <c r="U2022">
        <v>5</v>
      </c>
      <c r="V2022">
        <v>5</v>
      </c>
      <c r="W2022" t="str">
        <f t="shared" si="508"/>
        <v>zintel</v>
      </c>
    </row>
    <row r="2023" spans="1:23">
      <c r="A2023" t="str">
        <f t="shared" si="520"/>
        <v>JM-MBLM-00X2</v>
      </c>
      <c r="B2023" t="str">
        <f>"77-ME05-0001"</f>
        <v>77-ME05-0001</v>
      </c>
      <c r="C2023" t="str">
        <f>"LM7 Content, JM, Belt Drives"</f>
        <v>LM7 Content, JM, Belt Drives</v>
      </c>
      <c r="D2023">
        <v>1</v>
      </c>
      <c r="E2023" t="str">
        <f t="shared" si="521"/>
        <v>Mechanical System Two Sided Bench: 110V/220V</v>
      </c>
      <c r="F2023">
        <v>0</v>
      </c>
      <c r="G2023" t="str">
        <f t="shared" si="513"/>
        <v>Y</v>
      </c>
      <c r="H2023" t="str">
        <f t="shared" si="507"/>
        <v>EA</v>
      </c>
      <c r="I2023">
        <v>0</v>
      </c>
      <c r="J2023">
        <v>0</v>
      </c>
      <c r="K2023" t="str">
        <f t="shared" si="514"/>
        <v>Y</v>
      </c>
      <c r="L2023">
        <v>0</v>
      </c>
      <c r="M2023" t="str">
        <f t="shared" si="509"/>
        <v>NIS</v>
      </c>
      <c r="O2023">
        <v>7</v>
      </c>
      <c r="P2023" t="str">
        <f t="shared" si="522"/>
        <v>Active</v>
      </c>
      <c r="Q2023" t="str">
        <f>"LM7 Content, JM, Belt Drives"</f>
        <v>LM7 Content, JM, Belt Drives</v>
      </c>
      <c r="S2023" t="str">
        <f>"LM7 Content, JM, Belt Drives"</f>
        <v>LM7 Content, JM, Belt Drives</v>
      </c>
      <c r="T2023">
        <v>0</v>
      </c>
      <c r="U2023">
        <v>5</v>
      </c>
      <c r="V2023">
        <v>5</v>
      </c>
      <c r="W2023" t="str">
        <f t="shared" si="508"/>
        <v>zintel</v>
      </c>
    </row>
    <row r="2024" spans="1:23">
      <c r="A2024" t="str">
        <f t="shared" si="520"/>
        <v>JM-MBLM-00X2</v>
      </c>
      <c r="B2024" t="str">
        <f>"77-ME06-0001"</f>
        <v>77-ME06-0001</v>
      </c>
      <c r="C2024" t="str">
        <f>"LM7 Content, JM, Chain Drives"</f>
        <v>LM7 Content, JM, Chain Drives</v>
      </c>
      <c r="D2024">
        <v>1</v>
      </c>
      <c r="E2024" t="str">
        <f t="shared" si="521"/>
        <v>Mechanical System Two Sided Bench: 110V/220V</v>
      </c>
      <c r="F2024">
        <v>0</v>
      </c>
      <c r="G2024" t="str">
        <f t="shared" si="513"/>
        <v>Y</v>
      </c>
      <c r="H2024" t="str">
        <f t="shared" ref="H2024:H2087" si="523">"EA"</f>
        <v>EA</v>
      </c>
      <c r="I2024">
        <v>0</v>
      </c>
      <c r="J2024">
        <v>0</v>
      </c>
      <c r="K2024" t="str">
        <f t="shared" si="514"/>
        <v>Y</v>
      </c>
      <c r="L2024">
        <v>0</v>
      </c>
      <c r="M2024" t="str">
        <f t="shared" si="509"/>
        <v>NIS</v>
      </c>
      <c r="O2024">
        <v>8</v>
      </c>
      <c r="P2024" t="str">
        <f t="shared" si="522"/>
        <v>Active</v>
      </c>
      <c r="Q2024" t="str">
        <f>"LM7 Content, JM, Chain Drives"</f>
        <v>LM7 Content, JM, Chain Drives</v>
      </c>
      <c r="S2024" t="str">
        <f>"LM7 Content, JM, Chain Drives"</f>
        <v>LM7 Content, JM, Chain Drives</v>
      </c>
      <c r="T2024">
        <v>0</v>
      </c>
      <c r="U2024">
        <v>5</v>
      </c>
      <c r="V2024">
        <v>5</v>
      </c>
      <c r="W2024" t="str">
        <f t="shared" ref="W2024:W2087" si="524">"zintel"</f>
        <v>zintel</v>
      </c>
    </row>
    <row r="2025" spans="1:23">
      <c r="A2025" t="str">
        <f t="shared" si="520"/>
        <v>JM-MBLM-00X2</v>
      </c>
      <c r="B2025" t="str">
        <f>"77-ME07-0001"</f>
        <v>77-ME07-0001</v>
      </c>
      <c r="C2025" t="str">
        <f>"LM7 Content, JM, Machine Shaft Couplings"</f>
        <v>LM7 Content, JM, Machine Shaft Couplings</v>
      </c>
      <c r="D2025">
        <v>1</v>
      </c>
      <c r="E2025" t="str">
        <f t="shared" si="521"/>
        <v>Mechanical System Two Sided Bench: 110V/220V</v>
      </c>
      <c r="F2025">
        <v>0</v>
      </c>
      <c r="G2025" t="str">
        <f t="shared" si="513"/>
        <v>Y</v>
      </c>
      <c r="H2025" t="str">
        <f t="shared" si="523"/>
        <v>EA</v>
      </c>
      <c r="I2025">
        <v>0</v>
      </c>
      <c r="J2025">
        <v>0</v>
      </c>
      <c r="K2025" t="str">
        <f t="shared" si="514"/>
        <v>Y</v>
      </c>
      <c r="L2025">
        <v>0</v>
      </c>
      <c r="M2025" t="str">
        <f t="shared" si="509"/>
        <v>NIS</v>
      </c>
      <c r="O2025">
        <v>9</v>
      </c>
      <c r="P2025" t="str">
        <f t="shared" si="522"/>
        <v>Active</v>
      </c>
      <c r="Q2025" t="str">
        <f>"LM7 Content, JM, Machine Shaft Couplings"</f>
        <v>LM7 Content, JM, Machine Shaft Couplings</v>
      </c>
      <c r="S2025" t="str">
        <f>"LM7 Content, JM, Machine Shaft Couplings"</f>
        <v>LM7 Content, JM, Machine Shaft Couplings</v>
      </c>
      <c r="T2025">
        <v>0</v>
      </c>
      <c r="U2025">
        <v>5</v>
      </c>
      <c r="V2025">
        <v>5</v>
      </c>
      <c r="W2025" t="str">
        <f t="shared" si="524"/>
        <v>zintel</v>
      </c>
    </row>
    <row r="2026" spans="1:23">
      <c r="A2026" t="str">
        <f t="shared" si="520"/>
        <v>JM-MBLM-00X2</v>
      </c>
      <c r="B2026" t="str">
        <f>"77-ME08-0001"</f>
        <v>77-ME08-0001</v>
      </c>
      <c r="C2026" t="str">
        <f>"LM7 Content, JM, Gear Drives"</f>
        <v>LM7 Content, JM, Gear Drives</v>
      </c>
      <c r="D2026">
        <v>1</v>
      </c>
      <c r="E2026" t="str">
        <f t="shared" si="521"/>
        <v>Mechanical System Two Sided Bench: 110V/220V</v>
      </c>
      <c r="F2026">
        <v>0</v>
      </c>
      <c r="G2026" t="str">
        <f t="shared" si="513"/>
        <v>Y</v>
      </c>
      <c r="H2026" t="str">
        <f t="shared" si="523"/>
        <v>EA</v>
      </c>
      <c r="I2026">
        <v>0</v>
      </c>
      <c r="J2026">
        <v>0</v>
      </c>
      <c r="K2026" t="str">
        <f t="shared" si="514"/>
        <v>Y</v>
      </c>
      <c r="L2026">
        <v>0</v>
      </c>
      <c r="M2026" t="str">
        <f t="shared" si="509"/>
        <v>NIS</v>
      </c>
      <c r="O2026">
        <v>10</v>
      </c>
      <c r="P2026" t="str">
        <f t="shared" si="522"/>
        <v>Active</v>
      </c>
      <c r="Q2026" t="str">
        <f>"LM7 Content, JM, Gear Drives"</f>
        <v>LM7 Content, JM, Gear Drives</v>
      </c>
      <c r="S2026" t="str">
        <f>"LM7 Content, JM, Gear Drives"</f>
        <v>LM7 Content, JM, Gear Drives</v>
      </c>
      <c r="T2026">
        <v>0</v>
      </c>
      <c r="U2026">
        <v>5</v>
      </c>
      <c r="V2026">
        <v>5</v>
      </c>
      <c r="W2026" t="str">
        <f t="shared" si="524"/>
        <v>zintel</v>
      </c>
    </row>
    <row r="2027" spans="1:23">
      <c r="A2027" t="str">
        <f t="shared" si="520"/>
        <v>JM-MBLM-00X2</v>
      </c>
      <c r="B2027" t="str">
        <f>"77-ME09-0001"</f>
        <v>77-ME09-0001</v>
      </c>
      <c r="C2027" t="str">
        <f>"LM7 Content, JM, Machine Speed Reducers"</f>
        <v>LM7 Content, JM, Machine Speed Reducers</v>
      </c>
      <c r="D2027">
        <v>1</v>
      </c>
      <c r="E2027" t="str">
        <f t="shared" si="521"/>
        <v>Mechanical System Two Sided Bench: 110V/220V</v>
      </c>
      <c r="F2027">
        <v>0</v>
      </c>
      <c r="G2027" t="str">
        <f t="shared" si="513"/>
        <v>Y</v>
      </c>
      <c r="H2027" t="str">
        <f t="shared" si="523"/>
        <v>EA</v>
      </c>
      <c r="I2027">
        <v>0</v>
      </c>
      <c r="J2027">
        <v>0</v>
      </c>
      <c r="K2027" t="str">
        <f t="shared" si="514"/>
        <v>Y</v>
      </c>
      <c r="L2027">
        <v>0</v>
      </c>
      <c r="M2027" t="str">
        <f t="shared" si="509"/>
        <v>NIS</v>
      </c>
      <c r="O2027">
        <v>11</v>
      </c>
      <c r="P2027" t="str">
        <f t="shared" si="522"/>
        <v>Active</v>
      </c>
      <c r="Q2027" t="str">
        <f>"LM7 Content, JM, Machine Speed Reducers"</f>
        <v>LM7 Content, JM, Machine Speed Reducers</v>
      </c>
      <c r="S2027" t="str">
        <f>"LM7 Content, JM, Machine Speed Reducers"</f>
        <v>LM7 Content, JM, Machine Speed Reducers</v>
      </c>
      <c r="T2027">
        <v>0</v>
      </c>
      <c r="U2027">
        <v>5</v>
      </c>
      <c r="V2027">
        <v>5</v>
      </c>
      <c r="W2027" t="str">
        <f t="shared" si="524"/>
        <v>zintel</v>
      </c>
    </row>
    <row r="2028" spans="1:23">
      <c r="A2028" t="str">
        <f t="shared" si="520"/>
        <v>JM-MBLM-00X2</v>
      </c>
      <c r="B2028" t="str">
        <f>"77-ME10-0001"</f>
        <v>77-ME10-0001</v>
      </c>
      <c r="C2028" t="str">
        <f>"LM7 Content, JM, Electric Brakes"</f>
        <v>LM7 Content, JM, Electric Brakes</v>
      </c>
      <c r="D2028">
        <v>1</v>
      </c>
      <c r="E2028" t="str">
        <f t="shared" si="521"/>
        <v>Mechanical System Two Sided Bench: 110V/220V</v>
      </c>
      <c r="F2028">
        <v>0</v>
      </c>
      <c r="G2028" t="str">
        <f t="shared" si="513"/>
        <v>Y</v>
      </c>
      <c r="H2028" t="str">
        <f t="shared" si="523"/>
        <v>EA</v>
      </c>
      <c r="I2028">
        <v>0</v>
      </c>
      <c r="J2028">
        <v>0</v>
      </c>
      <c r="K2028" t="str">
        <f t="shared" si="514"/>
        <v>Y</v>
      </c>
      <c r="L2028">
        <v>0</v>
      </c>
      <c r="M2028" t="str">
        <f t="shared" si="509"/>
        <v>NIS</v>
      </c>
      <c r="O2028">
        <v>12</v>
      </c>
      <c r="P2028" t="str">
        <f t="shared" si="522"/>
        <v>Active</v>
      </c>
      <c r="Q2028" t="str">
        <f>"LM7 Content, JM, Electric Brakes"</f>
        <v>LM7 Content, JM, Electric Brakes</v>
      </c>
      <c r="S2028" t="str">
        <f>"LM7 Content, JM, Electric Brakes"</f>
        <v>LM7 Content, JM, Electric Brakes</v>
      </c>
      <c r="T2028">
        <v>0</v>
      </c>
      <c r="U2028">
        <v>5</v>
      </c>
      <c r="V2028">
        <v>5</v>
      </c>
      <c r="W2028" t="str">
        <f t="shared" si="524"/>
        <v>zintel</v>
      </c>
    </row>
    <row r="2029" spans="1:23">
      <c r="A2029" t="str">
        <f t="shared" ref="A2029:A2039" si="525">"JM-MBLM-ME10"</f>
        <v>JM-MBLM-ME10</v>
      </c>
      <c r="B2029" t="str">
        <f>"00-ME10-1000"</f>
        <v>00-ME10-1000</v>
      </c>
      <c r="C2029" t="str">
        <f>"Assembly, JM, Mechanical Training Bench, 120V"</f>
        <v>Assembly, JM, Mechanical Training Bench, 120V</v>
      </c>
      <c r="D2029">
        <v>1</v>
      </c>
      <c r="E2029" t="str">
        <f t="shared" ref="E2029:E2039" si="526">"Mechanical Bench Single Sided; 110V/220V"</f>
        <v>Mechanical Bench Single Sided; 110V/220V</v>
      </c>
      <c r="F2029">
        <v>0</v>
      </c>
      <c r="G2029" t="str">
        <f t="shared" si="513"/>
        <v>Y</v>
      </c>
      <c r="H2029" t="str">
        <f t="shared" si="523"/>
        <v>EA</v>
      </c>
      <c r="I2029">
        <v>0</v>
      </c>
      <c r="J2029">
        <v>0</v>
      </c>
      <c r="K2029" t="str">
        <f t="shared" si="514"/>
        <v>Y</v>
      </c>
      <c r="L2029">
        <v>0</v>
      </c>
      <c r="M2029" t="str">
        <f t="shared" si="509"/>
        <v>NIS</v>
      </c>
      <c r="O2029">
        <v>1</v>
      </c>
      <c r="P2029" t="str">
        <f>"ECO-N2Buy"</f>
        <v>ECO-N2Buy</v>
      </c>
      <c r="Q2029" t="str">
        <f>"Assembly, JM, Mechanical Training Bench, 120V"</f>
        <v>Assembly, JM, Mechanical Training Bench, 120V</v>
      </c>
      <c r="S2029" t="str">
        <f>"Assembly, JM, Mechanical Training Bench, 120V"</f>
        <v>Assembly, JM, Mechanical Training Bench, 120V</v>
      </c>
      <c r="T2029" s="44">
        <v>8968.2900000000009</v>
      </c>
      <c r="U2029" s="44">
        <v>9771.77</v>
      </c>
      <c r="V2029" s="44">
        <v>10846.66</v>
      </c>
      <c r="W2029" t="str">
        <f t="shared" si="524"/>
        <v>zintel</v>
      </c>
    </row>
    <row r="2030" spans="1:23">
      <c r="A2030" t="str">
        <f t="shared" si="525"/>
        <v>JM-MBLM-ME10</v>
      </c>
      <c r="B2030" t="str">
        <f>"77-ME01-0001"</f>
        <v>77-ME01-0001</v>
      </c>
      <c r="C2030" t="str">
        <f>"LM7 Content, JM, Basic Machines"</f>
        <v>LM7 Content, JM, Basic Machines</v>
      </c>
      <c r="D2030">
        <v>1</v>
      </c>
      <c r="E2030" t="str">
        <f t="shared" si="526"/>
        <v>Mechanical Bench Single Sided; 110V/220V</v>
      </c>
      <c r="F2030">
        <v>0</v>
      </c>
      <c r="G2030" t="str">
        <f t="shared" si="513"/>
        <v>Y</v>
      </c>
      <c r="H2030" t="str">
        <f t="shared" si="523"/>
        <v>EA</v>
      </c>
      <c r="I2030">
        <v>0</v>
      </c>
      <c r="J2030">
        <v>0</v>
      </c>
      <c r="K2030" t="str">
        <f t="shared" si="514"/>
        <v>Y</v>
      </c>
      <c r="L2030">
        <v>0</v>
      </c>
      <c r="M2030" t="str">
        <f t="shared" si="509"/>
        <v>NIS</v>
      </c>
      <c r="O2030">
        <v>2</v>
      </c>
      <c r="P2030" t="str">
        <f t="shared" ref="P2030:P2061" si="527">"Active"</f>
        <v>Active</v>
      </c>
      <c r="Q2030" t="str">
        <f>"LM7 Content, JM, Basic Machines"</f>
        <v>LM7 Content, JM, Basic Machines</v>
      </c>
      <c r="S2030" t="str">
        <f>"LM7 Content, JM, Basic Machines"</f>
        <v>LM7 Content, JM, Basic Machines</v>
      </c>
      <c r="T2030">
        <v>0</v>
      </c>
      <c r="U2030">
        <v>5</v>
      </c>
      <c r="V2030">
        <v>5</v>
      </c>
      <c r="W2030" t="str">
        <f t="shared" si="524"/>
        <v>zintel</v>
      </c>
    </row>
    <row r="2031" spans="1:23">
      <c r="A2031" t="str">
        <f t="shared" si="525"/>
        <v>JM-MBLM-ME10</v>
      </c>
      <c r="B2031" t="str">
        <f>"77-ME02-0001"</f>
        <v>77-ME02-0001</v>
      </c>
      <c r="C2031" t="str">
        <f>"LM7 Content, JM, Machine Statics and Dynamics"</f>
        <v>LM7 Content, JM, Machine Statics and Dynamics</v>
      </c>
      <c r="D2031">
        <v>1</v>
      </c>
      <c r="E2031" t="str">
        <f t="shared" si="526"/>
        <v>Mechanical Bench Single Sided; 110V/220V</v>
      </c>
      <c r="F2031">
        <v>0</v>
      </c>
      <c r="G2031" t="str">
        <f t="shared" si="513"/>
        <v>Y</v>
      </c>
      <c r="H2031" t="str">
        <f t="shared" si="523"/>
        <v>EA</v>
      </c>
      <c r="I2031">
        <v>0</v>
      </c>
      <c r="J2031">
        <v>0</v>
      </c>
      <c r="K2031" t="str">
        <f t="shared" si="514"/>
        <v>Y</v>
      </c>
      <c r="L2031">
        <v>0</v>
      </c>
      <c r="M2031" t="str">
        <f t="shared" si="509"/>
        <v>NIS</v>
      </c>
      <c r="O2031">
        <v>3</v>
      </c>
      <c r="P2031" t="str">
        <f t="shared" si="527"/>
        <v>Active</v>
      </c>
      <c r="Q2031" t="str">
        <f>"LM7 Content, JM, Machine Statics and Dynamics"</f>
        <v>LM7 Content, JM, Machine Statics and Dynamics</v>
      </c>
      <c r="S2031" t="str">
        <f>"LM7 Content, JM, Machine Statics and Dynamics"</f>
        <v>LM7 Content, JM, Machine Statics and Dynamics</v>
      </c>
      <c r="T2031">
        <v>0</v>
      </c>
      <c r="U2031">
        <v>5</v>
      </c>
      <c r="V2031">
        <v>5</v>
      </c>
      <c r="W2031" t="str">
        <f t="shared" si="524"/>
        <v>zintel</v>
      </c>
    </row>
    <row r="2032" spans="1:23">
      <c r="A2032" t="str">
        <f t="shared" si="525"/>
        <v>JM-MBLM-ME10</v>
      </c>
      <c r="B2032" t="str">
        <f>"77-ME03-0001"</f>
        <v>77-ME03-0001</v>
      </c>
      <c r="C2032" t="str">
        <f>"LM7 Content, JM, Machine Shafts and Keys"</f>
        <v>LM7 Content, JM, Machine Shafts and Keys</v>
      </c>
      <c r="D2032">
        <v>1</v>
      </c>
      <c r="E2032" t="str">
        <f t="shared" si="526"/>
        <v>Mechanical Bench Single Sided; 110V/220V</v>
      </c>
      <c r="F2032">
        <v>0</v>
      </c>
      <c r="G2032" t="str">
        <f t="shared" si="513"/>
        <v>Y</v>
      </c>
      <c r="H2032" t="str">
        <f t="shared" si="523"/>
        <v>EA</v>
      </c>
      <c r="I2032">
        <v>0</v>
      </c>
      <c r="J2032">
        <v>0</v>
      </c>
      <c r="K2032" t="str">
        <f t="shared" si="514"/>
        <v>Y</v>
      </c>
      <c r="L2032">
        <v>0</v>
      </c>
      <c r="M2032" t="str">
        <f t="shared" si="509"/>
        <v>NIS</v>
      </c>
      <c r="O2032">
        <v>4</v>
      </c>
      <c r="P2032" t="str">
        <f t="shared" si="527"/>
        <v>Active</v>
      </c>
      <c r="Q2032" t="str">
        <f>"LM7 Content, JM, Machine Shafts and Keys"</f>
        <v>LM7 Content, JM, Machine Shafts and Keys</v>
      </c>
      <c r="S2032" t="str">
        <f>"LM7 Content, JM, Machine Shafts and Keys"</f>
        <v>LM7 Content, JM, Machine Shafts and Keys</v>
      </c>
      <c r="T2032">
        <v>0</v>
      </c>
      <c r="U2032">
        <v>5</v>
      </c>
      <c r="V2032">
        <v>5</v>
      </c>
      <c r="W2032" t="str">
        <f t="shared" si="524"/>
        <v>zintel</v>
      </c>
    </row>
    <row r="2033" spans="1:23">
      <c r="A2033" t="str">
        <f t="shared" si="525"/>
        <v>JM-MBLM-ME10</v>
      </c>
      <c r="B2033" t="str">
        <f>"77-ME04-0001"</f>
        <v>77-ME04-0001</v>
      </c>
      <c r="C2033" t="str">
        <f>"LM7 Content, JM, Bearings"</f>
        <v>LM7 Content, JM, Bearings</v>
      </c>
      <c r="D2033">
        <v>1</v>
      </c>
      <c r="E2033" t="str">
        <f t="shared" si="526"/>
        <v>Mechanical Bench Single Sided; 110V/220V</v>
      </c>
      <c r="F2033">
        <v>0</v>
      </c>
      <c r="G2033" t="str">
        <f t="shared" si="513"/>
        <v>Y</v>
      </c>
      <c r="H2033" t="str">
        <f t="shared" si="523"/>
        <v>EA</v>
      </c>
      <c r="I2033">
        <v>0</v>
      </c>
      <c r="J2033">
        <v>0</v>
      </c>
      <c r="K2033" t="str">
        <f t="shared" si="514"/>
        <v>Y</v>
      </c>
      <c r="L2033">
        <v>0</v>
      </c>
      <c r="M2033" t="str">
        <f t="shared" ref="M2033:M2096" si="528">"NIS"</f>
        <v>NIS</v>
      </c>
      <c r="O2033">
        <v>5</v>
      </c>
      <c r="P2033" t="str">
        <f t="shared" si="527"/>
        <v>Active</v>
      </c>
      <c r="Q2033" t="str">
        <f>"LM7 Content, JM, Bearings"</f>
        <v>LM7 Content, JM, Bearings</v>
      </c>
      <c r="S2033" t="str">
        <f>"LM7 Content, JM, Bearings"</f>
        <v>LM7 Content, JM, Bearings</v>
      </c>
      <c r="T2033">
        <v>0</v>
      </c>
      <c r="U2033">
        <v>5</v>
      </c>
      <c r="V2033">
        <v>5</v>
      </c>
      <c r="W2033" t="str">
        <f t="shared" si="524"/>
        <v>zintel</v>
      </c>
    </row>
    <row r="2034" spans="1:23">
      <c r="A2034" t="str">
        <f t="shared" si="525"/>
        <v>JM-MBLM-ME10</v>
      </c>
      <c r="B2034" t="str">
        <f>"77-ME05-0001"</f>
        <v>77-ME05-0001</v>
      </c>
      <c r="C2034" t="str">
        <f>"LM7 Content, JM, Belt Drives"</f>
        <v>LM7 Content, JM, Belt Drives</v>
      </c>
      <c r="D2034">
        <v>1</v>
      </c>
      <c r="E2034" t="str">
        <f t="shared" si="526"/>
        <v>Mechanical Bench Single Sided; 110V/220V</v>
      </c>
      <c r="F2034">
        <v>0</v>
      </c>
      <c r="G2034" t="str">
        <f t="shared" si="513"/>
        <v>Y</v>
      </c>
      <c r="H2034" t="str">
        <f t="shared" si="523"/>
        <v>EA</v>
      </c>
      <c r="I2034">
        <v>0</v>
      </c>
      <c r="J2034">
        <v>0</v>
      </c>
      <c r="K2034" t="str">
        <f t="shared" si="514"/>
        <v>Y</v>
      </c>
      <c r="L2034">
        <v>0</v>
      </c>
      <c r="M2034" t="str">
        <f t="shared" si="528"/>
        <v>NIS</v>
      </c>
      <c r="O2034">
        <v>6</v>
      </c>
      <c r="P2034" t="str">
        <f t="shared" si="527"/>
        <v>Active</v>
      </c>
      <c r="Q2034" t="str">
        <f>"LM7 Content, JM, Belt Drives"</f>
        <v>LM7 Content, JM, Belt Drives</v>
      </c>
      <c r="S2034" t="str">
        <f>"LM7 Content, JM, Belt Drives"</f>
        <v>LM7 Content, JM, Belt Drives</v>
      </c>
      <c r="T2034">
        <v>0</v>
      </c>
      <c r="U2034">
        <v>5</v>
      </c>
      <c r="V2034">
        <v>5</v>
      </c>
      <c r="W2034" t="str">
        <f t="shared" si="524"/>
        <v>zintel</v>
      </c>
    </row>
    <row r="2035" spans="1:23">
      <c r="A2035" t="str">
        <f t="shared" si="525"/>
        <v>JM-MBLM-ME10</v>
      </c>
      <c r="B2035" t="str">
        <f>"77-ME06-0001"</f>
        <v>77-ME06-0001</v>
      </c>
      <c r="C2035" t="str">
        <f>"LM7 Content, JM, Chain Drives"</f>
        <v>LM7 Content, JM, Chain Drives</v>
      </c>
      <c r="D2035">
        <v>1</v>
      </c>
      <c r="E2035" t="str">
        <f t="shared" si="526"/>
        <v>Mechanical Bench Single Sided; 110V/220V</v>
      </c>
      <c r="F2035">
        <v>0</v>
      </c>
      <c r="G2035" t="str">
        <f t="shared" si="513"/>
        <v>Y</v>
      </c>
      <c r="H2035" t="str">
        <f t="shared" si="523"/>
        <v>EA</v>
      </c>
      <c r="I2035">
        <v>0</v>
      </c>
      <c r="J2035">
        <v>0</v>
      </c>
      <c r="K2035" t="str">
        <f t="shared" si="514"/>
        <v>Y</v>
      </c>
      <c r="L2035">
        <v>0</v>
      </c>
      <c r="M2035" t="str">
        <f t="shared" si="528"/>
        <v>NIS</v>
      </c>
      <c r="O2035">
        <v>7</v>
      </c>
      <c r="P2035" t="str">
        <f t="shared" si="527"/>
        <v>Active</v>
      </c>
      <c r="Q2035" t="str">
        <f>"LM7 Content, JM, Chain Drives"</f>
        <v>LM7 Content, JM, Chain Drives</v>
      </c>
      <c r="S2035" t="str">
        <f>"LM7 Content, JM, Chain Drives"</f>
        <v>LM7 Content, JM, Chain Drives</v>
      </c>
      <c r="T2035">
        <v>0</v>
      </c>
      <c r="U2035">
        <v>5</v>
      </c>
      <c r="V2035">
        <v>5</v>
      </c>
      <c r="W2035" t="str">
        <f t="shared" si="524"/>
        <v>zintel</v>
      </c>
    </row>
    <row r="2036" spans="1:23">
      <c r="A2036" t="str">
        <f t="shared" si="525"/>
        <v>JM-MBLM-ME10</v>
      </c>
      <c r="B2036" t="str">
        <f>"77-ME07-0001"</f>
        <v>77-ME07-0001</v>
      </c>
      <c r="C2036" t="str">
        <f>"LM7 Content, JM, Machine Shaft Couplings"</f>
        <v>LM7 Content, JM, Machine Shaft Couplings</v>
      </c>
      <c r="D2036">
        <v>1</v>
      </c>
      <c r="E2036" t="str">
        <f t="shared" si="526"/>
        <v>Mechanical Bench Single Sided; 110V/220V</v>
      </c>
      <c r="F2036">
        <v>0</v>
      </c>
      <c r="G2036" t="str">
        <f t="shared" si="513"/>
        <v>Y</v>
      </c>
      <c r="H2036" t="str">
        <f t="shared" si="523"/>
        <v>EA</v>
      </c>
      <c r="I2036">
        <v>0</v>
      </c>
      <c r="J2036">
        <v>0</v>
      </c>
      <c r="K2036" t="str">
        <f t="shared" si="514"/>
        <v>Y</v>
      </c>
      <c r="L2036">
        <v>0</v>
      </c>
      <c r="M2036" t="str">
        <f t="shared" si="528"/>
        <v>NIS</v>
      </c>
      <c r="O2036">
        <v>8</v>
      </c>
      <c r="P2036" t="str">
        <f t="shared" si="527"/>
        <v>Active</v>
      </c>
      <c r="Q2036" t="str">
        <f>"LM7 Content, JM, Machine Shaft Couplings"</f>
        <v>LM7 Content, JM, Machine Shaft Couplings</v>
      </c>
      <c r="S2036" t="str">
        <f>"LM7 Content, JM, Machine Shaft Couplings"</f>
        <v>LM7 Content, JM, Machine Shaft Couplings</v>
      </c>
      <c r="T2036">
        <v>0</v>
      </c>
      <c r="U2036">
        <v>5</v>
      </c>
      <c r="V2036">
        <v>5</v>
      </c>
      <c r="W2036" t="str">
        <f t="shared" si="524"/>
        <v>zintel</v>
      </c>
    </row>
    <row r="2037" spans="1:23">
      <c r="A2037" t="str">
        <f t="shared" si="525"/>
        <v>JM-MBLM-ME10</v>
      </c>
      <c r="B2037" t="str">
        <f>"77-ME08-0001"</f>
        <v>77-ME08-0001</v>
      </c>
      <c r="C2037" t="str">
        <f>"LM7 Content, JM, Gear Drives"</f>
        <v>LM7 Content, JM, Gear Drives</v>
      </c>
      <c r="D2037">
        <v>1</v>
      </c>
      <c r="E2037" t="str">
        <f t="shared" si="526"/>
        <v>Mechanical Bench Single Sided; 110V/220V</v>
      </c>
      <c r="F2037">
        <v>0</v>
      </c>
      <c r="G2037" t="str">
        <f t="shared" si="513"/>
        <v>Y</v>
      </c>
      <c r="H2037" t="str">
        <f t="shared" si="523"/>
        <v>EA</v>
      </c>
      <c r="I2037">
        <v>0</v>
      </c>
      <c r="J2037">
        <v>0</v>
      </c>
      <c r="K2037" t="str">
        <f t="shared" si="514"/>
        <v>Y</v>
      </c>
      <c r="L2037">
        <v>0</v>
      </c>
      <c r="M2037" t="str">
        <f t="shared" si="528"/>
        <v>NIS</v>
      </c>
      <c r="O2037">
        <v>9</v>
      </c>
      <c r="P2037" t="str">
        <f t="shared" si="527"/>
        <v>Active</v>
      </c>
      <c r="Q2037" t="str">
        <f>"LM7 Content, JM, Gear Drives"</f>
        <v>LM7 Content, JM, Gear Drives</v>
      </c>
      <c r="S2037" t="str">
        <f>"LM7 Content, JM, Gear Drives"</f>
        <v>LM7 Content, JM, Gear Drives</v>
      </c>
      <c r="T2037">
        <v>0</v>
      </c>
      <c r="U2037">
        <v>5</v>
      </c>
      <c r="V2037">
        <v>5</v>
      </c>
      <c r="W2037" t="str">
        <f t="shared" si="524"/>
        <v>zintel</v>
      </c>
    </row>
    <row r="2038" spans="1:23">
      <c r="A2038" t="str">
        <f t="shared" si="525"/>
        <v>JM-MBLM-ME10</v>
      </c>
      <c r="B2038" t="str">
        <f>"77-ME09-0001"</f>
        <v>77-ME09-0001</v>
      </c>
      <c r="C2038" t="str">
        <f>"LM7 Content, JM, Machine Speed Reducers"</f>
        <v>LM7 Content, JM, Machine Speed Reducers</v>
      </c>
      <c r="D2038">
        <v>1</v>
      </c>
      <c r="E2038" t="str">
        <f t="shared" si="526"/>
        <v>Mechanical Bench Single Sided; 110V/220V</v>
      </c>
      <c r="F2038">
        <v>0</v>
      </c>
      <c r="G2038" t="str">
        <f t="shared" si="513"/>
        <v>Y</v>
      </c>
      <c r="H2038" t="str">
        <f t="shared" si="523"/>
        <v>EA</v>
      </c>
      <c r="I2038">
        <v>0</v>
      </c>
      <c r="J2038">
        <v>0</v>
      </c>
      <c r="K2038" t="str">
        <f t="shared" si="514"/>
        <v>Y</v>
      </c>
      <c r="L2038">
        <v>0</v>
      </c>
      <c r="M2038" t="str">
        <f t="shared" si="528"/>
        <v>NIS</v>
      </c>
      <c r="O2038">
        <v>10</v>
      </c>
      <c r="P2038" t="str">
        <f t="shared" si="527"/>
        <v>Active</v>
      </c>
      <c r="Q2038" t="str">
        <f>"LM7 Content, JM, Machine Speed Reducers"</f>
        <v>LM7 Content, JM, Machine Speed Reducers</v>
      </c>
      <c r="S2038" t="str">
        <f>"LM7 Content, JM, Machine Speed Reducers"</f>
        <v>LM7 Content, JM, Machine Speed Reducers</v>
      </c>
      <c r="T2038">
        <v>0</v>
      </c>
      <c r="U2038">
        <v>5</v>
      </c>
      <c r="V2038">
        <v>5</v>
      </c>
      <c r="W2038" t="str">
        <f t="shared" si="524"/>
        <v>zintel</v>
      </c>
    </row>
    <row r="2039" spans="1:23">
      <c r="A2039" t="str">
        <f t="shared" si="525"/>
        <v>JM-MBLM-ME10</v>
      </c>
      <c r="B2039" t="str">
        <f>"77-ME10-0001"</f>
        <v>77-ME10-0001</v>
      </c>
      <c r="C2039" t="str">
        <f>"LM7 Content, JM, Electric Brakes"</f>
        <v>LM7 Content, JM, Electric Brakes</v>
      </c>
      <c r="D2039">
        <v>1</v>
      </c>
      <c r="E2039" t="str">
        <f t="shared" si="526"/>
        <v>Mechanical Bench Single Sided; 110V/220V</v>
      </c>
      <c r="F2039">
        <v>0</v>
      </c>
      <c r="G2039" t="str">
        <f t="shared" si="513"/>
        <v>Y</v>
      </c>
      <c r="H2039" t="str">
        <f t="shared" si="523"/>
        <v>EA</v>
      </c>
      <c r="I2039">
        <v>0</v>
      </c>
      <c r="J2039">
        <v>0</v>
      </c>
      <c r="K2039" t="str">
        <f t="shared" si="514"/>
        <v>Y</v>
      </c>
      <c r="L2039">
        <v>0</v>
      </c>
      <c r="M2039" t="str">
        <f t="shared" si="528"/>
        <v>NIS</v>
      </c>
      <c r="O2039">
        <v>11</v>
      </c>
      <c r="P2039" t="str">
        <f t="shared" si="527"/>
        <v>Active</v>
      </c>
      <c r="Q2039" t="str">
        <f>"LM7 Content, JM, Electric Brakes"</f>
        <v>LM7 Content, JM, Electric Brakes</v>
      </c>
      <c r="S2039" t="str">
        <f>"LM7 Content, JM, Electric Brakes"</f>
        <v>LM7 Content, JM, Electric Brakes</v>
      </c>
      <c r="T2039">
        <v>0</v>
      </c>
      <c r="U2039">
        <v>5</v>
      </c>
      <c r="V2039">
        <v>5</v>
      </c>
      <c r="W2039" t="str">
        <f t="shared" si="524"/>
        <v>zintel</v>
      </c>
    </row>
    <row r="2040" spans="1:23">
      <c r="A2040" t="str">
        <f t="shared" ref="A2040:A2050" si="529">"JM-MBLM-ME10-2"</f>
        <v>JM-MBLM-ME10-2</v>
      </c>
      <c r="B2040" t="str">
        <f>"00-ME10-1002"</f>
        <v>00-ME10-1002</v>
      </c>
      <c r="C2040" t="str">
        <f>"Assembly, JM, Mechanical Training Bench, 220V"</f>
        <v>Assembly, JM, Mechanical Training Bench, 220V</v>
      </c>
      <c r="D2040">
        <v>1</v>
      </c>
      <c r="E2040" t="str">
        <f t="shared" ref="E2040:E2050" si="530">"Mechanical Bench Single Sided; 220V"</f>
        <v>Mechanical Bench Single Sided; 220V</v>
      </c>
      <c r="F2040">
        <v>0</v>
      </c>
      <c r="G2040" t="str">
        <f t="shared" si="513"/>
        <v>Y</v>
      </c>
      <c r="H2040" t="str">
        <f t="shared" si="523"/>
        <v>EA</v>
      </c>
      <c r="I2040">
        <v>0</v>
      </c>
      <c r="J2040">
        <v>0</v>
      </c>
      <c r="K2040" t="str">
        <f t="shared" si="514"/>
        <v>Y</v>
      </c>
      <c r="L2040">
        <v>0</v>
      </c>
      <c r="M2040" t="str">
        <f t="shared" si="528"/>
        <v>NIS</v>
      </c>
      <c r="O2040">
        <v>1</v>
      </c>
      <c r="P2040" t="str">
        <f t="shared" si="527"/>
        <v>Active</v>
      </c>
      <c r="Q2040" t="str">
        <f>"Assembly, JM, Mechanical Training Bench, 220V"</f>
        <v>Assembly, JM, Mechanical Training Bench, 220V</v>
      </c>
      <c r="S2040" t="str">
        <f>"Assembly, JM, Mechanical Training Bench, 220V"</f>
        <v>Assembly, JM, Mechanical Training Bench, 220V</v>
      </c>
      <c r="T2040" s="44">
        <v>8967.02</v>
      </c>
      <c r="U2040" s="44">
        <v>9130.3700000000008</v>
      </c>
      <c r="V2040" s="44">
        <v>15288.46</v>
      </c>
      <c r="W2040" t="str">
        <f t="shared" si="524"/>
        <v>zintel</v>
      </c>
    </row>
    <row r="2041" spans="1:23">
      <c r="A2041" t="str">
        <f t="shared" si="529"/>
        <v>JM-MBLM-ME10-2</v>
      </c>
      <c r="B2041" t="str">
        <f>"17-ME01-0001"</f>
        <v>17-ME01-0001</v>
      </c>
      <c r="C2041" t="str">
        <f>"LM5.X Content, JM, Basic Machines"</f>
        <v>LM5.X Content, JM, Basic Machines</v>
      </c>
      <c r="D2041">
        <v>1</v>
      </c>
      <c r="E2041" t="str">
        <f t="shared" si="530"/>
        <v>Mechanical Bench Single Sided; 220V</v>
      </c>
      <c r="F2041">
        <v>0</v>
      </c>
      <c r="G2041" t="str">
        <f t="shared" si="513"/>
        <v>Y</v>
      </c>
      <c r="H2041" t="str">
        <f t="shared" si="523"/>
        <v>EA</v>
      </c>
      <c r="I2041">
        <v>0</v>
      </c>
      <c r="J2041">
        <v>0</v>
      </c>
      <c r="K2041" t="str">
        <f t="shared" si="514"/>
        <v>Y</v>
      </c>
      <c r="L2041">
        <v>0</v>
      </c>
      <c r="M2041" t="str">
        <f t="shared" si="528"/>
        <v>NIS</v>
      </c>
      <c r="O2041">
        <v>2</v>
      </c>
      <c r="P2041" t="str">
        <f t="shared" si="527"/>
        <v>Active</v>
      </c>
      <c r="Q2041" t="str">
        <f>"LM5.X Content, JM, Basic Machines"</f>
        <v>LM5.X Content, JM, Basic Machines</v>
      </c>
      <c r="S2041" t="str">
        <f>"LM5.X Content, JM, Basic Machines"</f>
        <v>LM5.X Content, JM, Basic Machines</v>
      </c>
      <c r="T2041">
        <v>0</v>
      </c>
      <c r="U2041">
        <v>5</v>
      </c>
      <c r="V2041">
        <v>5</v>
      </c>
      <c r="W2041" t="str">
        <f t="shared" si="524"/>
        <v>zintel</v>
      </c>
    </row>
    <row r="2042" spans="1:23">
      <c r="A2042" t="str">
        <f t="shared" si="529"/>
        <v>JM-MBLM-ME10-2</v>
      </c>
      <c r="B2042" t="str">
        <f>"17-ME02-0001"</f>
        <v>17-ME02-0001</v>
      </c>
      <c r="C2042" t="str">
        <f>"LM5.X Content, JM, Machine Statics and Dynamics"</f>
        <v>LM5.X Content, JM, Machine Statics and Dynamics</v>
      </c>
      <c r="D2042">
        <v>1</v>
      </c>
      <c r="E2042" t="str">
        <f t="shared" si="530"/>
        <v>Mechanical Bench Single Sided; 220V</v>
      </c>
      <c r="F2042">
        <v>0</v>
      </c>
      <c r="G2042" t="str">
        <f t="shared" si="513"/>
        <v>Y</v>
      </c>
      <c r="H2042" t="str">
        <f t="shared" si="523"/>
        <v>EA</v>
      </c>
      <c r="I2042">
        <v>0</v>
      </c>
      <c r="J2042">
        <v>0</v>
      </c>
      <c r="K2042" t="str">
        <f t="shared" si="514"/>
        <v>Y</v>
      </c>
      <c r="L2042">
        <v>0</v>
      </c>
      <c r="M2042" t="str">
        <f t="shared" si="528"/>
        <v>NIS</v>
      </c>
      <c r="O2042">
        <v>3</v>
      </c>
      <c r="P2042" t="str">
        <f t="shared" si="527"/>
        <v>Active</v>
      </c>
      <c r="Q2042" t="str">
        <f>"LM5.X Content, JM, Machine Statics and Dynamics"</f>
        <v>LM5.X Content, JM, Machine Statics and Dynamics</v>
      </c>
      <c r="S2042" t="str">
        <f>"LM5.X Content, JM, Machine Statics and Dynamics"</f>
        <v>LM5.X Content, JM, Machine Statics and Dynamics</v>
      </c>
      <c r="T2042">
        <v>0</v>
      </c>
      <c r="U2042">
        <v>5</v>
      </c>
      <c r="V2042">
        <v>5</v>
      </c>
      <c r="W2042" t="str">
        <f t="shared" si="524"/>
        <v>zintel</v>
      </c>
    </row>
    <row r="2043" spans="1:23">
      <c r="A2043" t="str">
        <f t="shared" si="529"/>
        <v>JM-MBLM-ME10-2</v>
      </c>
      <c r="B2043" t="str">
        <f>"17-ME03-0001"</f>
        <v>17-ME03-0001</v>
      </c>
      <c r="C2043" t="str">
        <f>"LM5.X Content, JM, Machine Shafts and Keys"</f>
        <v>LM5.X Content, JM, Machine Shafts and Keys</v>
      </c>
      <c r="D2043">
        <v>1</v>
      </c>
      <c r="E2043" t="str">
        <f t="shared" si="530"/>
        <v>Mechanical Bench Single Sided; 220V</v>
      </c>
      <c r="F2043">
        <v>0</v>
      </c>
      <c r="G2043" t="str">
        <f t="shared" si="513"/>
        <v>Y</v>
      </c>
      <c r="H2043" t="str">
        <f t="shared" si="523"/>
        <v>EA</v>
      </c>
      <c r="I2043">
        <v>0</v>
      </c>
      <c r="J2043">
        <v>0</v>
      </c>
      <c r="K2043" t="str">
        <f t="shared" si="514"/>
        <v>Y</v>
      </c>
      <c r="L2043">
        <v>0</v>
      </c>
      <c r="M2043" t="str">
        <f t="shared" si="528"/>
        <v>NIS</v>
      </c>
      <c r="O2043">
        <v>4</v>
      </c>
      <c r="P2043" t="str">
        <f t="shared" si="527"/>
        <v>Active</v>
      </c>
      <c r="Q2043" t="str">
        <f>"LM5.X Content, JM, Machine Shafts and Keys"</f>
        <v>LM5.X Content, JM, Machine Shafts and Keys</v>
      </c>
      <c r="S2043" t="str">
        <f>"LM5.X Content, JM, Machine Shafts and Keys"</f>
        <v>LM5.X Content, JM, Machine Shafts and Keys</v>
      </c>
      <c r="T2043">
        <v>0</v>
      </c>
      <c r="U2043">
        <v>5</v>
      </c>
      <c r="V2043">
        <v>5</v>
      </c>
      <c r="W2043" t="str">
        <f t="shared" si="524"/>
        <v>zintel</v>
      </c>
    </row>
    <row r="2044" spans="1:23">
      <c r="A2044" t="str">
        <f t="shared" si="529"/>
        <v>JM-MBLM-ME10-2</v>
      </c>
      <c r="B2044" t="str">
        <f>"17-ME04-0001"</f>
        <v>17-ME04-0001</v>
      </c>
      <c r="C2044" t="str">
        <f>"LM5.X Content, JM, Bearings"</f>
        <v>LM5.X Content, JM, Bearings</v>
      </c>
      <c r="D2044">
        <v>1</v>
      </c>
      <c r="E2044" t="str">
        <f t="shared" si="530"/>
        <v>Mechanical Bench Single Sided; 220V</v>
      </c>
      <c r="F2044">
        <v>0</v>
      </c>
      <c r="G2044" t="str">
        <f t="shared" si="513"/>
        <v>Y</v>
      </c>
      <c r="H2044" t="str">
        <f t="shared" si="523"/>
        <v>EA</v>
      </c>
      <c r="I2044">
        <v>0</v>
      </c>
      <c r="J2044">
        <v>0</v>
      </c>
      <c r="K2044" t="str">
        <f t="shared" si="514"/>
        <v>Y</v>
      </c>
      <c r="L2044">
        <v>0</v>
      </c>
      <c r="M2044" t="str">
        <f t="shared" si="528"/>
        <v>NIS</v>
      </c>
      <c r="O2044">
        <v>5</v>
      </c>
      <c r="P2044" t="str">
        <f t="shared" si="527"/>
        <v>Active</v>
      </c>
      <c r="Q2044" t="str">
        <f>"LM5.X Content, JM, Bearings"</f>
        <v>LM5.X Content, JM, Bearings</v>
      </c>
      <c r="S2044" t="str">
        <f>"LM5.X Content, JM, Bearings"</f>
        <v>LM5.X Content, JM, Bearings</v>
      </c>
      <c r="T2044">
        <v>0</v>
      </c>
      <c r="U2044">
        <v>5</v>
      </c>
      <c r="V2044">
        <v>5</v>
      </c>
      <c r="W2044" t="str">
        <f t="shared" si="524"/>
        <v>zintel</v>
      </c>
    </row>
    <row r="2045" spans="1:23">
      <c r="A2045" t="str">
        <f t="shared" si="529"/>
        <v>JM-MBLM-ME10-2</v>
      </c>
      <c r="B2045" t="str">
        <f>"17-ME05-0001"</f>
        <v>17-ME05-0001</v>
      </c>
      <c r="C2045" t="str">
        <f>"LM5.X Content, JM, Belt Drives"</f>
        <v>LM5.X Content, JM, Belt Drives</v>
      </c>
      <c r="D2045">
        <v>1</v>
      </c>
      <c r="E2045" t="str">
        <f t="shared" si="530"/>
        <v>Mechanical Bench Single Sided; 220V</v>
      </c>
      <c r="F2045">
        <v>0</v>
      </c>
      <c r="G2045" t="str">
        <f t="shared" si="513"/>
        <v>Y</v>
      </c>
      <c r="H2045" t="str">
        <f t="shared" si="523"/>
        <v>EA</v>
      </c>
      <c r="I2045">
        <v>0</v>
      </c>
      <c r="J2045">
        <v>0</v>
      </c>
      <c r="K2045" t="str">
        <f t="shared" si="514"/>
        <v>Y</v>
      </c>
      <c r="L2045">
        <v>0</v>
      </c>
      <c r="M2045" t="str">
        <f t="shared" si="528"/>
        <v>NIS</v>
      </c>
      <c r="O2045">
        <v>6</v>
      </c>
      <c r="P2045" t="str">
        <f t="shared" si="527"/>
        <v>Active</v>
      </c>
      <c r="Q2045" t="str">
        <f>"LM5.X Content, JM, Belt Drives"</f>
        <v>LM5.X Content, JM, Belt Drives</v>
      </c>
      <c r="S2045" t="str">
        <f>"LM5.X Content, JM, Belt Drives"</f>
        <v>LM5.X Content, JM, Belt Drives</v>
      </c>
      <c r="T2045">
        <v>0</v>
      </c>
      <c r="U2045">
        <v>5</v>
      </c>
      <c r="V2045">
        <v>5</v>
      </c>
      <c r="W2045" t="str">
        <f t="shared" si="524"/>
        <v>zintel</v>
      </c>
    </row>
    <row r="2046" spans="1:23">
      <c r="A2046" t="str">
        <f t="shared" si="529"/>
        <v>JM-MBLM-ME10-2</v>
      </c>
      <c r="B2046" t="str">
        <f>"17-ME06-0001"</f>
        <v>17-ME06-0001</v>
      </c>
      <c r="C2046" t="str">
        <f>"LM5.X Content, JM, Chain Drives"</f>
        <v>LM5.X Content, JM, Chain Drives</v>
      </c>
      <c r="D2046">
        <v>1</v>
      </c>
      <c r="E2046" t="str">
        <f t="shared" si="530"/>
        <v>Mechanical Bench Single Sided; 220V</v>
      </c>
      <c r="F2046">
        <v>0</v>
      </c>
      <c r="G2046" t="str">
        <f t="shared" si="513"/>
        <v>Y</v>
      </c>
      <c r="H2046" t="str">
        <f t="shared" si="523"/>
        <v>EA</v>
      </c>
      <c r="I2046">
        <v>0</v>
      </c>
      <c r="J2046">
        <v>0</v>
      </c>
      <c r="K2046" t="str">
        <f t="shared" si="514"/>
        <v>Y</v>
      </c>
      <c r="L2046">
        <v>0</v>
      </c>
      <c r="M2046" t="str">
        <f t="shared" si="528"/>
        <v>NIS</v>
      </c>
      <c r="O2046">
        <v>7</v>
      </c>
      <c r="P2046" t="str">
        <f t="shared" si="527"/>
        <v>Active</v>
      </c>
      <c r="Q2046" t="str">
        <f>"LM5.X Content, JM, Chain Drives"</f>
        <v>LM5.X Content, JM, Chain Drives</v>
      </c>
      <c r="S2046" t="str">
        <f>"LM5.X Content, JM, Chain Drives"</f>
        <v>LM5.X Content, JM, Chain Drives</v>
      </c>
      <c r="T2046">
        <v>0</v>
      </c>
      <c r="U2046">
        <v>5</v>
      </c>
      <c r="V2046">
        <v>5</v>
      </c>
      <c r="W2046" t="str">
        <f t="shared" si="524"/>
        <v>zintel</v>
      </c>
    </row>
    <row r="2047" spans="1:23">
      <c r="A2047" t="str">
        <f t="shared" si="529"/>
        <v>JM-MBLM-ME10-2</v>
      </c>
      <c r="B2047" t="str">
        <f>"17-ME07-0001"</f>
        <v>17-ME07-0001</v>
      </c>
      <c r="C2047" t="str">
        <f>"LM5.X Content, JM, Machine Shaft Couplings"</f>
        <v>LM5.X Content, JM, Machine Shaft Couplings</v>
      </c>
      <c r="D2047">
        <v>1</v>
      </c>
      <c r="E2047" t="str">
        <f t="shared" si="530"/>
        <v>Mechanical Bench Single Sided; 220V</v>
      </c>
      <c r="F2047">
        <v>0</v>
      </c>
      <c r="G2047" t="str">
        <f t="shared" si="513"/>
        <v>Y</v>
      </c>
      <c r="H2047" t="str">
        <f t="shared" si="523"/>
        <v>EA</v>
      </c>
      <c r="I2047">
        <v>0</v>
      </c>
      <c r="J2047">
        <v>0</v>
      </c>
      <c r="K2047" t="str">
        <f t="shared" si="514"/>
        <v>Y</v>
      </c>
      <c r="L2047">
        <v>0</v>
      </c>
      <c r="M2047" t="str">
        <f t="shared" si="528"/>
        <v>NIS</v>
      </c>
      <c r="O2047">
        <v>8</v>
      </c>
      <c r="P2047" t="str">
        <f t="shared" si="527"/>
        <v>Active</v>
      </c>
      <c r="Q2047" t="str">
        <f>"LM5.X Content, JM, Machine Shaft Couplings"</f>
        <v>LM5.X Content, JM, Machine Shaft Couplings</v>
      </c>
      <c r="S2047" t="str">
        <f>"LM5.X Content, JM, Machine Shaft Couplings"</f>
        <v>LM5.X Content, JM, Machine Shaft Couplings</v>
      </c>
      <c r="T2047">
        <v>0</v>
      </c>
      <c r="U2047">
        <v>5</v>
      </c>
      <c r="V2047">
        <v>5</v>
      </c>
      <c r="W2047" t="str">
        <f t="shared" si="524"/>
        <v>zintel</v>
      </c>
    </row>
    <row r="2048" spans="1:23">
      <c r="A2048" t="str">
        <f t="shared" si="529"/>
        <v>JM-MBLM-ME10-2</v>
      </c>
      <c r="B2048" t="str">
        <f>"17-ME08-0001"</f>
        <v>17-ME08-0001</v>
      </c>
      <c r="C2048" t="str">
        <f>"LM5.X Content, JM, Gear Drives"</f>
        <v>LM5.X Content, JM, Gear Drives</v>
      </c>
      <c r="D2048">
        <v>1</v>
      </c>
      <c r="E2048" t="str">
        <f t="shared" si="530"/>
        <v>Mechanical Bench Single Sided; 220V</v>
      </c>
      <c r="F2048">
        <v>0</v>
      </c>
      <c r="G2048" t="str">
        <f t="shared" si="513"/>
        <v>Y</v>
      </c>
      <c r="H2048" t="str">
        <f t="shared" si="523"/>
        <v>EA</v>
      </c>
      <c r="I2048">
        <v>0</v>
      </c>
      <c r="J2048">
        <v>0</v>
      </c>
      <c r="K2048" t="str">
        <f t="shared" si="514"/>
        <v>Y</v>
      </c>
      <c r="L2048">
        <v>0</v>
      </c>
      <c r="M2048" t="str">
        <f t="shared" si="528"/>
        <v>NIS</v>
      </c>
      <c r="O2048">
        <v>9</v>
      </c>
      <c r="P2048" t="str">
        <f t="shared" si="527"/>
        <v>Active</v>
      </c>
      <c r="Q2048" t="str">
        <f>"LM5.X Content, JM, Gear Drives"</f>
        <v>LM5.X Content, JM, Gear Drives</v>
      </c>
      <c r="S2048" t="str">
        <f>"LM5.X Content, JM, Gear Drives"</f>
        <v>LM5.X Content, JM, Gear Drives</v>
      </c>
      <c r="T2048">
        <v>0</v>
      </c>
      <c r="U2048">
        <v>5</v>
      </c>
      <c r="V2048">
        <v>5</v>
      </c>
      <c r="W2048" t="str">
        <f t="shared" si="524"/>
        <v>zintel</v>
      </c>
    </row>
    <row r="2049" spans="1:23">
      <c r="A2049" t="str">
        <f t="shared" si="529"/>
        <v>JM-MBLM-ME10-2</v>
      </c>
      <c r="B2049" t="str">
        <f>"17-ME09-0001"</f>
        <v>17-ME09-0001</v>
      </c>
      <c r="C2049" t="str">
        <f>"LM5.X Content, JM, Machine Speed Reducers"</f>
        <v>LM5.X Content, JM, Machine Speed Reducers</v>
      </c>
      <c r="D2049">
        <v>1</v>
      </c>
      <c r="E2049" t="str">
        <f t="shared" si="530"/>
        <v>Mechanical Bench Single Sided; 220V</v>
      </c>
      <c r="F2049">
        <v>0</v>
      </c>
      <c r="G2049" t="str">
        <f t="shared" si="513"/>
        <v>Y</v>
      </c>
      <c r="H2049" t="str">
        <f t="shared" si="523"/>
        <v>EA</v>
      </c>
      <c r="I2049">
        <v>0</v>
      </c>
      <c r="J2049">
        <v>0</v>
      </c>
      <c r="K2049" t="str">
        <f t="shared" si="514"/>
        <v>Y</v>
      </c>
      <c r="L2049">
        <v>0</v>
      </c>
      <c r="M2049" t="str">
        <f t="shared" si="528"/>
        <v>NIS</v>
      </c>
      <c r="O2049">
        <v>10</v>
      </c>
      <c r="P2049" t="str">
        <f t="shared" si="527"/>
        <v>Active</v>
      </c>
      <c r="Q2049" t="str">
        <f>"LM5.X Content, JM, Machine Speed Reducers"</f>
        <v>LM5.X Content, JM, Machine Speed Reducers</v>
      </c>
      <c r="S2049" t="str">
        <f>"LM5.X Content, JM, Machine Speed Reducers"</f>
        <v>LM5.X Content, JM, Machine Speed Reducers</v>
      </c>
      <c r="T2049">
        <v>0</v>
      </c>
      <c r="U2049">
        <v>5</v>
      </c>
      <c r="V2049">
        <v>5</v>
      </c>
      <c r="W2049" t="str">
        <f t="shared" si="524"/>
        <v>zintel</v>
      </c>
    </row>
    <row r="2050" spans="1:23">
      <c r="A2050" t="str">
        <f t="shared" si="529"/>
        <v>JM-MBLM-ME10-2</v>
      </c>
      <c r="B2050" t="str">
        <f>"17-ME10-0001"</f>
        <v>17-ME10-0001</v>
      </c>
      <c r="C2050" t="str">
        <f>"LM5.X Content, JM, Electric Brakes"</f>
        <v>LM5.X Content, JM, Electric Brakes</v>
      </c>
      <c r="D2050">
        <v>1</v>
      </c>
      <c r="E2050" t="str">
        <f t="shared" si="530"/>
        <v>Mechanical Bench Single Sided; 220V</v>
      </c>
      <c r="F2050">
        <v>0</v>
      </c>
      <c r="G2050" t="str">
        <f t="shared" ref="G2050:G2113" si="531">"Y"</f>
        <v>Y</v>
      </c>
      <c r="H2050" t="str">
        <f t="shared" si="523"/>
        <v>EA</v>
      </c>
      <c r="I2050">
        <v>0</v>
      </c>
      <c r="J2050">
        <v>0</v>
      </c>
      <c r="K2050" t="str">
        <f t="shared" ref="K2050:K2113" si="532">"Y"</f>
        <v>Y</v>
      </c>
      <c r="L2050">
        <v>0</v>
      </c>
      <c r="M2050" t="str">
        <f t="shared" si="528"/>
        <v>NIS</v>
      </c>
      <c r="O2050">
        <v>11</v>
      </c>
      <c r="P2050" t="str">
        <f t="shared" si="527"/>
        <v>Active</v>
      </c>
      <c r="Q2050" t="str">
        <f>"LM5.X Content, JM, Electric Brakes"</f>
        <v>LM5.X Content, JM, Electric Brakes</v>
      </c>
      <c r="S2050" t="str">
        <f>"LM5.X Content, JM, Electric Brakes"</f>
        <v>LM5.X Content, JM, Electric Brakes</v>
      </c>
      <c r="T2050">
        <v>0</v>
      </c>
      <c r="U2050">
        <v>5</v>
      </c>
      <c r="V2050">
        <v>5</v>
      </c>
      <c r="W2050" t="str">
        <f t="shared" si="524"/>
        <v>zintel</v>
      </c>
    </row>
    <row r="2051" spans="1:23">
      <c r="A2051" t="str">
        <f>"JM-PLC-MLOGIX"</f>
        <v>JM-PLC-MLOGIX</v>
      </c>
      <c r="B2051" t="str">
        <f>"00-3075-0000"</f>
        <v>00-3075-0000</v>
      </c>
      <c r="C2051" t="str">
        <f>"PLCLine Panel with A/B MicroLogix PLC"</f>
        <v>PLCLine Panel with A/B MicroLogix PLC</v>
      </c>
      <c r="D2051">
        <v>1</v>
      </c>
      <c r="E2051" t="str">
        <f>"MicroLogix PLC Trainer &amp; Curriculum, LMS Lab"</f>
        <v>MicroLogix PLC Trainer &amp; Curriculum, LMS Lab</v>
      </c>
      <c r="F2051">
        <v>0</v>
      </c>
      <c r="G2051" t="str">
        <f t="shared" si="531"/>
        <v>Y</v>
      </c>
      <c r="H2051" t="str">
        <f t="shared" si="523"/>
        <v>EA</v>
      </c>
      <c r="I2051">
        <v>0</v>
      </c>
      <c r="J2051">
        <v>0</v>
      </c>
      <c r="K2051" t="str">
        <f t="shared" si="532"/>
        <v>Y</v>
      </c>
      <c r="L2051">
        <v>0</v>
      </c>
      <c r="M2051" t="str">
        <f t="shared" si="528"/>
        <v>NIS</v>
      </c>
      <c r="O2051">
        <v>1</v>
      </c>
      <c r="P2051" t="str">
        <f t="shared" si="527"/>
        <v>Active</v>
      </c>
      <c r="Q2051" t="str">
        <f>"PLCLine Panel with PLC A/B MicroLogix"</f>
        <v>PLCLine Panel with PLC A/B MicroLogix</v>
      </c>
      <c r="S2051" t="str">
        <f>"PLCLine Panel with PLC A/B MicroLogix"</f>
        <v>PLCLine Panel with PLC A/B MicroLogix</v>
      </c>
      <c r="T2051">
        <v>0</v>
      </c>
      <c r="U2051" s="44">
        <v>1817</v>
      </c>
      <c r="V2051" s="44">
        <v>1844.43</v>
      </c>
      <c r="W2051" t="str">
        <f t="shared" si="524"/>
        <v>zintel</v>
      </c>
    </row>
    <row r="2052" spans="1:23">
      <c r="A2052" t="str">
        <f>"JM-PLC-SLC500"</f>
        <v>JM-PLC-SLC500</v>
      </c>
      <c r="B2052" t="str">
        <f>"00-3053-0000"</f>
        <v>00-3053-0000</v>
      </c>
      <c r="C2052" t="str">
        <f>"PLC Line Panel A/B SLC 500, 115V"</f>
        <v>PLC Line Panel A/B SLC 500, 115V</v>
      </c>
      <c r="D2052">
        <v>1</v>
      </c>
      <c r="E2052" t="str">
        <f>"SLC 500 PLC Trainer &amp; Curriculum"</f>
        <v>SLC 500 PLC Trainer &amp; Curriculum</v>
      </c>
      <c r="F2052">
        <v>0</v>
      </c>
      <c r="G2052" t="str">
        <f t="shared" si="531"/>
        <v>Y</v>
      </c>
      <c r="H2052" t="str">
        <f t="shared" si="523"/>
        <v>EA</v>
      </c>
      <c r="I2052">
        <v>0</v>
      </c>
      <c r="J2052">
        <v>0</v>
      </c>
      <c r="K2052" t="str">
        <f t="shared" si="532"/>
        <v>Y</v>
      </c>
      <c r="L2052">
        <v>0</v>
      </c>
      <c r="M2052" t="str">
        <f t="shared" si="528"/>
        <v>NIS</v>
      </c>
      <c r="O2052">
        <v>1</v>
      </c>
      <c r="P2052" t="str">
        <f t="shared" si="527"/>
        <v>Active</v>
      </c>
      <c r="Q2052" t="str">
        <f>"PLC Line Panel A/B SLC 500, 115V"</f>
        <v>PLC Line Panel A/B SLC 500, 115V</v>
      </c>
      <c r="S2052" t="str">
        <f>"PLC Line Panel A/B SLC 500, 115V"</f>
        <v>PLC Line Panel A/B SLC 500, 115V</v>
      </c>
      <c r="T2052">
        <v>0</v>
      </c>
      <c r="U2052" s="44">
        <v>4823.47</v>
      </c>
      <c r="V2052" s="44">
        <v>4286.54</v>
      </c>
      <c r="W2052" t="str">
        <f t="shared" si="524"/>
        <v>zintel</v>
      </c>
    </row>
    <row r="2053" spans="1:23">
      <c r="A2053" t="str">
        <f>"JM-PNEU-000I"</f>
        <v>JM-PNEU-000I</v>
      </c>
      <c r="B2053" t="str">
        <f>"00-1904-0000"</f>
        <v>00-1904-0000</v>
      </c>
      <c r="C2053" t="str">
        <f>"PneuFlex 1 - Pneumatic Trainer w T-slot panel"</f>
        <v>PneuFlex 1 - Pneumatic Trainer w T-slot panel</v>
      </c>
      <c r="D2053">
        <v>1</v>
      </c>
      <c r="E2053" t="str">
        <f>"Fundamentals of Pneumatics I: Trainer &amp; LMS Lab"</f>
        <v>Fundamentals of Pneumatics I: Trainer &amp; LMS Lab</v>
      </c>
      <c r="F2053">
        <v>0</v>
      </c>
      <c r="G2053" t="str">
        <f t="shared" si="531"/>
        <v>Y</v>
      </c>
      <c r="H2053" t="str">
        <f t="shared" si="523"/>
        <v>EA</v>
      </c>
      <c r="I2053">
        <v>0</v>
      </c>
      <c r="J2053">
        <v>0</v>
      </c>
      <c r="K2053" t="str">
        <f t="shared" si="532"/>
        <v>Y</v>
      </c>
      <c r="L2053">
        <v>0</v>
      </c>
      <c r="M2053" t="str">
        <f t="shared" si="528"/>
        <v>NIS</v>
      </c>
      <c r="O2053">
        <v>1</v>
      </c>
      <c r="P2053" t="str">
        <f t="shared" si="527"/>
        <v>Active</v>
      </c>
      <c r="Q2053" t="str">
        <f>"PneuFlex P1 -Pneumatic package w T-slot panel"</f>
        <v>PneuFlex P1 -Pneumatic package w T-slot panel</v>
      </c>
      <c r="S2053" t="str">
        <f>"PneuFlex P1 -Pneumatic package w T-slot panel"</f>
        <v>PneuFlex P1 -Pneumatic package w T-slot panel</v>
      </c>
      <c r="T2053">
        <v>0</v>
      </c>
      <c r="U2053" s="44">
        <v>1524</v>
      </c>
      <c r="V2053" s="44">
        <v>1526.76</v>
      </c>
      <c r="W2053" t="str">
        <f t="shared" si="524"/>
        <v>zintel</v>
      </c>
    </row>
    <row r="2054" spans="1:23">
      <c r="A2054" t="str">
        <f>"JM-PNEU-000I"</f>
        <v>JM-PNEU-000I</v>
      </c>
      <c r="B2054" t="str">
        <f>"34-8068-9000"</f>
        <v>34-8068-9000</v>
      </c>
      <c r="C2054" t="str">
        <f>"Install Guide, Pneumatics 1 w/ PneuFlex, LM Lab"</f>
        <v>Install Guide, Pneumatics 1 w/ PneuFlex, LM Lab</v>
      </c>
      <c r="D2054">
        <v>1</v>
      </c>
      <c r="E2054" t="str">
        <f>"Fundamentals of Pneumatics I: Trainer &amp; LMS Lab"</f>
        <v>Fundamentals of Pneumatics I: Trainer &amp; LMS Lab</v>
      </c>
      <c r="F2054">
        <v>0</v>
      </c>
      <c r="G2054" t="str">
        <f t="shared" si="531"/>
        <v>Y</v>
      </c>
      <c r="H2054" t="str">
        <f t="shared" si="523"/>
        <v>EA</v>
      </c>
      <c r="I2054">
        <v>0</v>
      </c>
      <c r="J2054">
        <v>0</v>
      </c>
      <c r="K2054" t="str">
        <f t="shared" si="532"/>
        <v>Y</v>
      </c>
      <c r="L2054">
        <v>0</v>
      </c>
      <c r="M2054" t="str">
        <f t="shared" si="528"/>
        <v>NIS</v>
      </c>
      <c r="O2054">
        <v>5</v>
      </c>
      <c r="P2054" t="str">
        <f t="shared" si="527"/>
        <v>Active</v>
      </c>
      <c r="Q2054" t="str">
        <f>"Install Guide, Pneumatics 1 w/ PneuFlex, LM Lab"</f>
        <v>Install Guide, Pneumatics 1 w/ PneuFlex, LM Lab</v>
      </c>
      <c r="S2054" t="str">
        <f>"Install Guide, Pneumatics 1 w/ PneuFlex, LM Lab"</f>
        <v>Install Guide, Pneumatics 1 w/ PneuFlex, LM Lab</v>
      </c>
      <c r="T2054">
        <v>6.24</v>
      </c>
      <c r="U2054">
        <v>6</v>
      </c>
      <c r="V2054">
        <v>0</v>
      </c>
      <c r="W2054" t="str">
        <f t="shared" si="524"/>
        <v>zintel</v>
      </c>
    </row>
    <row r="2055" spans="1:23">
      <c r="A2055" t="str">
        <f>"JM-PNEU-000I"</f>
        <v>JM-PNEU-000I</v>
      </c>
      <c r="B2055" t="str">
        <f>"77-8068-0000"</f>
        <v>77-8068-0000</v>
      </c>
      <c r="C2055" t="str">
        <f>"LM7 Content, Lab/Vir, Pneumatics 1 w/PneuFlex"</f>
        <v>LM7 Content, Lab/Vir, Pneumatics 1 w/PneuFlex</v>
      </c>
      <c r="D2055">
        <v>1</v>
      </c>
      <c r="E2055" t="str">
        <f>"Fundamentals of Pneumatics I: Trainer &amp; LMS Lab"</f>
        <v>Fundamentals of Pneumatics I: Trainer &amp; LMS Lab</v>
      </c>
      <c r="F2055">
        <v>0</v>
      </c>
      <c r="G2055" t="str">
        <f t="shared" si="531"/>
        <v>Y</v>
      </c>
      <c r="H2055" t="str">
        <f t="shared" si="523"/>
        <v>EA</v>
      </c>
      <c r="I2055">
        <v>0</v>
      </c>
      <c r="J2055">
        <v>0</v>
      </c>
      <c r="K2055" t="str">
        <f t="shared" si="532"/>
        <v>Y</v>
      </c>
      <c r="L2055">
        <v>0</v>
      </c>
      <c r="M2055" t="str">
        <f t="shared" si="528"/>
        <v>NIS</v>
      </c>
      <c r="O2055">
        <v>2</v>
      </c>
      <c r="P2055" t="str">
        <f t="shared" si="527"/>
        <v>Active</v>
      </c>
      <c r="Q2055" t="str">
        <f>"LM7 Content, Lab/Vir, Pneumatics 1 w/PneuFlex"</f>
        <v>LM7 Content, Lab/Vir, Pneumatics 1 w/PneuFlex</v>
      </c>
      <c r="S2055" t="str">
        <f>"LM7 Content, Lab/Vir, Pneumatics 1 w/PneuFlex"</f>
        <v>LM7 Content, Lab/Vir, Pneumatics 1 w/PneuFlex</v>
      </c>
      <c r="T2055">
        <v>0</v>
      </c>
      <c r="U2055">
        <v>5</v>
      </c>
      <c r="V2055">
        <v>5</v>
      </c>
      <c r="W2055" t="str">
        <f t="shared" si="524"/>
        <v>zintel</v>
      </c>
    </row>
    <row r="2056" spans="1:23">
      <c r="A2056" t="str">
        <f>"JM-PNEU-000I"</f>
        <v>JM-PNEU-000I</v>
      </c>
      <c r="B2056" t="str">
        <f>"63-9239-0000"</f>
        <v>63-9239-0000</v>
      </c>
      <c r="C2056" t="str">
        <f>"PneuMotion Pneumatic Simulation Software"</f>
        <v>PneuMotion Pneumatic Simulation Software</v>
      </c>
      <c r="D2056">
        <v>1</v>
      </c>
      <c r="E2056" t="str">
        <f>"Fundamentals of Pneumatics I: Trainer &amp; LMS Lab"</f>
        <v>Fundamentals of Pneumatics I: Trainer &amp; LMS Lab</v>
      </c>
      <c r="F2056">
        <v>0</v>
      </c>
      <c r="G2056" t="str">
        <f t="shared" si="531"/>
        <v>Y</v>
      </c>
      <c r="H2056" t="str">
        <f t="shared" si="523"/>
        <v>EA</v>
      </c>
      <c r="I2056">
        <v>0</v>
      </c>
      <c r="J2056">
        <v>0</v>
      </c>
      <c r="K2056" t="str">
        <f t="shared" si="532"/>
        <v>Y</v>
      </c>
      <c r="L2056">
        <v>0</v>
      </c>
      <c r="M2056" t="str">
        <f t="shared" si="528"/>
        <v>NIS</v>
      </c>
      <c r="O2056">
        <v>3</v>
      </c>
      <c r="P2056" t="str">
        <f t="shared" si="527"/>
        <v>Active</v>
      </c>
      <c r="Q2056" t="str">
        <f>"PneuMotion Pneumatic Simulation Software Package"</f>
        <v>PneuMotion Pneumatic Simulation Software Package</v>
      </c>
      <c r="R2056" t="str">
        <f>"1"</f>
        <v>1</v>
      </c>
      <c r="S2056" t="str">
        <f>"PneuMotion Pneumatic Simulation Software Package"</f>
        <v>PneuMotion Pneumatic Simulation Software Package</v>
      </c>
      <c r="T2056">
        <v>0</v>
      </c>
      <c r="U2056">
        <v>31.47</v>
      </c>
      <c r="V2056">
        <v>31.93</v>
      </c>
      <c r="W2056" t="str">
        <f t="shared" si="524"/>
        <v>zintel</v>
      </c>
    </row>
    <row r="2057" spans="1:23">
      <c r="A2057" t="str">
        <f>"JM-PNEU-000I"</f>
        <v>JM-PNEU-000I</v>
      </c>
      <c r="B2057" t="str">
        <f>"63-7000-0800"</f>
        <v>63-7000-0800</v>
      </c>
      <c r="C2057" t="str">
        <f>"License Key For PneuMotion"</f>
        <v>License Key For PneuMotion</v>
      </c>
      <c r="D2057">
        <v>1</v>
      </c>
      <c r="E2057" t="str">
        <f>"Fundamentals of Pneumatics I: Trainer &amp; LMS Lab"</f>
        <v>Fundamentals of Pneumatics I: Trainer &amp; LMS Lab</v>
      </c>
      <c r="F2057">
        <v>0</v>
      </c>
      <c r="G2057" t="str">
        <f t="shared" si="531"/>
        <v>Y</v>
      </c>
      <c r="H2057" t="str">
        <f t="shared" si="523"/>
        <v>EA</v>
      </c>
      <c r="I2057">
        <v>0</v>
      </c>
      <c r="J2057">
        <v>0</v>
      </c>
      <c r="K2057" t="str">
        <f t="shared" si="532"/>
        <v>Y</v>
      </c>
      <c r="L2057">
        <v>0</v>
      </c>
      <c r="M2057" t="str">
        <f t="shared" si="528"/>
        <v>NIS</v>
      </c>
      <c r="O2057">
        <v>4</v>
      </c>
      <c r="P2057" t="str">
        <f t="shared" si="527"/>
        <v>Active</v>
      </c>
      <c r="Q2057" t="str">
        <f>"License Key For Pneu Motion Software"</f>
        <v>License Key For Pneu Motion Software</v>
      </c>
      <c r="R2057" t="str">
        <f>"1"</f>
        <v>1</v>
      </c>
      <c r="S2057" t="str">
        <f>"License Key For Pneu Motion Software"</f>
        <v>License Key For Pneu Motion Software</v>
      </c>
      <c r="T2057">
        <v>0</v>
      </c>
      <c r="U2057">
        <v>6</v>
      </c>
      <c r="V2057">
        <v>6.66</v>
      </c>
      <c r="W2057" t="str">
        <f t="shared" si="524"/>
        <v>zintel</v>
      </c>
    </row>
    <row r="2058" spans="1:23">
      <c r="A2058" t="str">
        <f>"JM-PNEU-00II"</f>
        <v>JM-PNEU-00II</v>
      </c>
      <c r="B2058" t="str">
        <f>"00-1905-0000"</f>
        <v>00-1905-0000</v>
      </c>
      <c r="C2058" t="str">
        <f>"PneuFlex 2 - Advanced Pneumatics Component set"</f>
        <v>PneuFlex 2 - Advanced Pneumatics Component set</v>
      </c>
      <c r="D2058">
        <v>1</v>
      </c>
      <c r="E2058" t="str">
        <f>"Advanced Pneumatics II: Trainer, PneuFlex and LMS Lab"</f>
        <v>Advanced Pneumatics II: Trainer, PneuFlex and LMS Lab</v>
      </c>
      <c r="F2058">
        <v>0</v>
      </c>
      <c r="G2058" t="str">
        <f t="shared" si="531"/>
        <v>Y</v>
      </c>
      <c r="H2058" t="str">
        <f t="shared" si="523"/>
        <v>EA</v>
      </c>
      <c r="I2058">
        <v>0</v>
      </c>
      <c r="J2058">
        <v>0</v>
      </c>
      <c r="K2058" t="str">
        <f t="shared" si="532"/>
        <v>Y</v>
      </c>
      <c r="L2058">
        <v>0</v>
      </c>
      <c r="M2058" t="str">
        <f t="shared" si="528"/>
        <v>NIS</v>
      </c>
      <c r="O2058">
        <v>1</v>
      </c>
      <c r="P2058" t="str">
        <f t="shared" si="527"/>
        <v>Active</v>
      </c>
      <c r="Q2058" t="str">
        <f>"PneuFlex P2 - Advanced Pneumatic package"</f>
        <v>PneuFlex P2 - Advanced Pneumatic package</v>
      </c>
      <c r="S2058" t="str">
        <f>"PneuFlex P2 - Advanced Pneumatic package"</f>
        <v>PneuFlex P2 - Advanced Pneumatic package</v>
      </c>
      <c r="T2058">
        <v>0</v>
      </c>
      <c r="U2058">
        <v>791</v>
      </c>
      <c r="V2058">
        <v>791.7</v>
      </c>
      <c r="W2058" t="str">
        <f t="shared" si="524"/>
        <v>zintel</v>
      </c>
    </row>
    <row r="2059" spans="1:23">
      <c r="A2059" t="str">
        <f>"JM-POWR-EA01C"</f>
        <v>JM-POWR-EA01C</v>
      </c>
      <c r="B2059" t="str">
        <f>"77-EB01C-0000"</f>
        <v>77-EB01C-0000</v>
      </c>
      <c r="C2059" t="str">
        <f>"LM7 Content, JM, Digital Oscilloscope"</f>
        <v>LM7 Content, JM, Digital Oscilloscope</v>
      </c>
      <c r="D2059">
        <v>1</v>
      </c>
      <c r="E2059" t="str">
        <f>"JM Digital Oscilloscope"</f>
        <v>JM Digital Oscilloscope</v>
      </c>
      <c r="F2059">
        <v>0</v>
      </c>
      <c r="G2059" t="str">
        <f t="shared" si="531"/>
        <v>Y</v>
      </c>
      <c r="H2059" t="str">
        <f t="shared" si="523"/>
        <v>EA</v>
      </c>
      <c r="I2059">
        <v>0</v>
      </c>
      <c r="J2059">
        <v>0</v>
      </c>
      <c r="K2059" t="str">
        <f t="shared" si="532"/>
        <v>Y</v>
      </c>
      <c r="L2059">
        <v>0</v>
      </c>
      <c r="M2059" t="str">
        <f t="shared" si="528"/>
        <v>NIS</v>
      </c>
      <c r="O2059">
        <v>1</v>
      </c>
      <c r="P2059" t="str">
        <f t="shared" si="527"/>
        <v>Active</v>
      </c>
      <c r="Q2059" t="str">
        <f>"LM7 Content, JM, Digital Oscilloscope"</f>
        <v>LM7 Content, JM, Digital Oscilloscope</v>
      </c>
      <c r="S2059" t="str">
        <f>"LM7 Content, JM, Digital Oscilloscope"</f>
        <v>LM7 Content, JM, Digital Oscilloscope</v>
      </c>
      <c r="T2059">
        <v>0</v>
      </c>
      <c r="U2059">
        <v>5</v>
      </c>
      <c r="V2059">
        <v>5</v>
      </c>
      <c r="W2059" t="str">
        <f t="shared" si="524"/>
        <v>zintel</v>
      </c>
    </row>
    <row r="2060" spans="1:23">
      <c r="A2060" t="str">
        <f>"JM-POWR-EA01C"</f>
        <v>JM-POWR-EA01C</v>
      </c>
      <c r="B2060" t="str">
        <f>"26-E087-0000"</f>
        <v>26-E087-0000</v>
      </c>
      <c r="C2060" t="str">
        <f>"Assembly, JM, E087, Adjustable Power Supply"</f>
        <v>Assembly, JM, E087, Adjustable Power Supply</v>
      </c>
      <c r="D2060">
        <v>1</v>
      </c>
      <c r="E2060" t="str">
        <f>"JM Digital Oscilloscope"</f>
        <v>JM Digital Oscilloscope</v>
      </c>
      <c r="F2060">
        <v>0</v>
      </c>
      <c r="G2060" t="str">
        <f t="shared" si="531"/>
        <v>Y</v>
      </c>
      <c r="H2060" t="str">
        <f t="shared" si="523"/>
        <v>EA</v>
      </c>
      <c r="I2060">
        <v>0</v>
      </c>
      <c r="J2060">
        <v>0</v>
      </c>
      <c r="K2060" t="str">
        <f t="shared" si="532"/>
        <v>Y</v>
      </c>
      <c r="L2060">
        <v>0</v>
      </c>
      <c r="M2060" t="str">
        <f t="shared" si="528"/>
        <v>NIS</v>
      </c>
      <c r="O2060">
        <v>2</v>
      </c>
      <c r="P2060" t="str">
        <f t="shared" si="527"/>
        <v>Active</v>
      </c>
      <c r="Q2060" t="str">
        <f>"Assembly, JM, E087, Adjustable Power Supply"</f>
        <v>Assembly, JM, E087, Adjustable Power Supply</v>
      </c>
      <c r="S2060" t="str">
        <f>"Assembly, JM, E087, Adjustable Power Supply"</f>
        <v>Assembly, JM, E087, Adjustable Power Supply</v>
      </c>
      <c r="T2060">
        <v>73.88</v>
      </c>
      <c r="U2060">
        <v>75</v>
      </c>
      <c r="V2060">
        <v>174.83</v>
      </c>
      <c r="W2060" t="str">
        <f t="shared" si="524"/>
        <v>zintel</v>
      </c>
    </row>
    <row r="2061" spans="1:23">
      <c r="A2061" t="str">
        <f>"JM-POWR-EA01C"</f>
        <v>JM-POWR-EA01C</v>
      </c>
      <c r="B2061" t="str">
        <f>"26-E153-0000"</f>
        <v>26-E153-0000</v>
      </c>
      <c r="C2061" t="str">
        <f>"Assembly, JM, E153, AC/DC Circuits"</f>
        <v>Assembly, JM, E153, AC/DC Circuits</v>
      </c>
      <c r="D2061">
        <v>1</v>
      </c>
      <c r="E2061" t="str">
        <f>"JM Digital Oscilloscope"</f>
        <v>JM Digital Oscilloscope</v>
      </c>
      <c r="F2061">
        <v>0</v>
      </c>
      <c r="G2061" t="str">
        <f t="shared" si="531"/>
        <v>Y</v>
      </c>
      <c r="H2061" t="str">
        <f t="shared" si="523"/>
        <v>EA</v>
      </c>
      <c r="I2061">
        <v>0</v>
      </c>
      <c r="J2061">
        <v>0</v>
      </c>
      <c r="K2061" t="str">
        <f t="shared" si="532"/>
        <v>Y</v>
      </c>
      <c r="L2061">
        <v>0</v>
      </c>
      <c r="M2061" t="str">
        <f t="shared" si="528"/>
        <v>NIS</v>
      </c>
      <c r="O2061">
        <v>3</v>
      </c>
      <c r="P2061" t="str">
        <f t="shared" si="527"/>
        <v>Active</v>
      </c>
      <c r="Q2061" t="str">
        <f>"Assembly, JM, E153, AC/DC Circuits"</f>
        <v>Assembly, JM, E153, AC/DC Circuits</v>
      </c>
      <c r="S2061" t="str">
        <f>"Assembly, JM, E153, AC/DC Circuits"</f>
        <v>Assembly, JM, E153, AC/DC Circuits</v>
      </c>
      <c r="T2061">
        <v>133.96</v>
      </c>
      <c r="U2061">
        <v>130</v>
      </c>
      <c r="V2061">
        <v>293.45999999999998</v>
      </c>
      <c r="W2061" t="str">
        <f t="shared" si="524"/>
        <v>zintel</v>
      </c>
    </row>
    <row r="2062" spans="1:23">
      <c r="A2062" t="str">
        <f>"JM-POWR-EA01C"</f>
        <v>JM-POWR-EA01C</v>
      </c>
      <c r="B2062" t="str">
        <f>"36-8900-0025"</f>
        <v>36-8900-0025</v>
      </c>
      <c r="C2062" t="str">
        <f>"JM, Oscilloscope, 5MHz, Hand Held"</f>
        <v>JM, Oscilloscope, 5MHz, Hand Held</v>
      </c>
      <c r="D2062">
        <v>1</v>
      </c>
      <c r="E2062" t="str">
        <f>"JM Digital Oscilloscope"</f>
        <v>JM Digital Oscilloscope</v>
      </c>
      <c r="F2062">
        <v>0</v>
      </c>
      <c r="G2062" t="str">
        <f t="shared" si="531"/>
        <v>Y</v>
      </c>
      <c r="H2062" t="str">
        <f t="shared" si="523"/>
        <v>EA</v>
      </c>
      <c r="I2062">
        <v>0</v>
      </c>
      <c r="J2062">
        <v>0</v>
      </c>
      <c r="K2062" t="str">
        <f t="shared" si="532"/>
        <v>Y</v>
      </c>
      <c r="L2062">
        <v>0</v>
      </c>
      <c r="M2062" t="str">
        <f t="shared" si="528"/>
        <v>NIS</v>
      </c>
      <c r="O2062">
        <v>4</v>
      </c>
      <c r="P2062" t="str">
        <f t="shared" ref="P2062:P2093" si="533">"Active"</f>
        <v>Active</v>
      </c>
      <c r="Q2062" t="str">
        <f>"JM, Oscilloscope, 5MHz, Hand Held"</f>
        <v>JM, Oscilloscope, 5MHz, Hand Held</v>
      </c>
      <c r="R2062" t="str">
        <f>"1"</f>
        <v>1</v>
      </c>
      <c r="S2062" t="str">
        <f>"JM, Oscilloscope, 5MHz, Hand Held"</f>
        <v>JM, Oscilloscope, 5MHz, Hand Held</v>
      </c>
      <c r="T2062">
        <v>807.3</v>
      </c>
      <c r="U2062">
        <v>564.49</v>
      </c>
      <c r="V2062">
        <v>827.3</v>
      </c>
      <c r="W2062" t="str">
        <f t="shared" si="524"/>
        <v>zintel</v>
      </c>
    </row>
    <row r="2063" spans="1:23">
      <c r="A2063" t="str">
        <f>"JM-POWR-EA01C"</f>
        <v>JM-POWR-EA01C</v>
      </c>
      <c r="B2063" t="str">
        <f>"36-EB01C-IG01"</f>
        <v>36-EB01C-IG01</v>
      </c>
      <c r="C2063" t="str">
        <f>"JM, PDF on CD Hand Held Oscilloscope - EB01C"</f>
        <v>JM, PDF on CD Hand Held Oscilloscope - EB01C</v>
      </c>
      <c r="D2063">
        <v>1</v>
      </c>
      <c r="E2063" t="str">
        <f>"JM Digital Oscilloscope"</f>
        <v>JM Digital Oscilloscope</v>
      </c>
      <c r="F2063">
        <v>0</v>
      </c>
      <c r="G2063" t="str">
        <f t="shared" si="531"/>
        <v>Y</v>
      </c>
      <c r="H2063" t="str">
        <f t="shared" si="523"/>
        <v>EA</v>
      </c>
      <c r="I2063">
        <v>0</v>
      </c>
      <c r="J2063">
        <v>0</v>
      </c>
      <c r="K2063" t="str">
        <f t="shared" si="532"/>
        <v>Y</v>
      </c>
      <c r="L2063">
        <v>0</v>
      </c>
      <c r="M2063" t="str">
        <f t="shared" si="528"/>
        <v>NIS</v>
      </c>
      <c r="N2063" t="str">
        <f>"Y"</f>
        <v>Y</v>
      </c>
      <c r="O2063">
        <v>5</v>
      </c>
      <c r="P2063" t="str">
        <f t="shared" si="533"/>
        <v>Active</v>
      </c>
      <c r="Q2063" t="str">
        <f>"JM, PDF on CD Hand Held Oscilloscope - EB01C"</f>
        <v>JM, PDF on CD Hand Held Oscilloscope - EB01C</v>
      </c>
      <c r="S2063" t="str">
        <f>"JM, PDF on CD Hand Held Oscilloscope - EB01C"</f>
        <v>JM, PDF on CD Hand Held Oscilloscope - EB01C</v>
      </c>
      <c r="T2063">
        <v>10.3</v>
      </c>
      <c r="U2063">
        <v>10.3</v>
      </c>
      <c r="V2063">
        <v>11.43</v>
      </c>
      <c r="W2063" t="str">
        <f t="shared" si="524"/>
        <v>zintel</v>
      </c>
    </row>
    <row r="2064" spans="1:23">
      <c r="A2064" t="str">
        <f>"JM-POWR-EB01A"</f>
        <v>JM-POWR-EB01A</v>
      </c>
      <c r="B2064" t="str">
        <f>"77-EB01A-0000"</f>
        <v>77-EB01A-0000</v>
      </c>
      <c r="C2064" t="str">
        <f>"LM7 Content, JM, Oscilloscope"</f>
        <v>LM7 Content, JM, Oscilloscope</v>
      </c>
      <c r="D2064">
        <v>1</v>
      </c>
      <c r="E2064" t="str">
        <f>"JM, Oscilloscope, EB01A, LMS Lab"</f>
        <v>JM, Oscilloscope, EB01A, LMS Lab</v>
      </c>
      <c r="F2064">
        <v>0</v>
      </c>
      <c r="G2064" t="str">
        <f t="shared" si="531"/>
        <v>Y</v>
      </c>
      <c r="H2064" t="str">
        <f t="shared" si="523"/>
        <v>EA</v>
      </c>
      <c r="I2064">
        <v>0</v>
      </c>
      <c r="J2064">
        <v>0</v>
      </c>
      <c r="K2064" t="str">
        <f t="shared" si="532"/>
        <v>Y</v>
      </c>
      <c r="L2064">
        <v>0</v>
      </c>
      <c r="M2064" t="str">
        <f t="shared" si="528"/>
        <v>NIS</v>
      </c>
      <c r="O2064">
        <v>1</v>
      </c>
      <c r="P2064" t="str">
        <f t="shared" si="533"/>
        <v>Active</v>
      </c>
      <c r="Q2064" t="str">
        <f>"LM7 Content, JM, Oscilloscope"</f>
        <v>LM7 Content, JM, Oscilloscope</v>
      </c>
      <c r="S2064" t="str">
        <f>"LM7 Content, JM, Oscilloscope"</f>
        <v>LM7 Content, JM, Oscilloscope</v>
      </c>
      <c r="T2064">
        <v>0</v>
      </c>
      <c r="U2064">
        <v>5</v>
      </c>
      <c r="V2064">
        <v>5</v>
      </c>
      <c r="W2064" t="str">
        <f t="shared" si="524"/>
        <v>zintel</v>
      </c>
    </row>
    <row r="2065" spans="1:23">
      <c r="A2065" t="str">
        <f>"JM-POWR-EB01A"</f>
        <v>JM-POWR-EB01A</v>
      </c>
      <c r="B2065" t="str">
        <f>"26-E087-0000"</f>
        <v>26-E087-0000</v>
      </c>
      <c r="C2065" t="str">
        <f>"Assembly, JM, E087, Adjustable Power Supply"</f>
        <v>Assembly, JM, E087, Adjustable Power Supply</v>
      </c>
      <c r="D2065">
        <v>1</v>
      </c>
      <c r="E2065" t="str">
        <f>"JM, Oscilloscope, EB01A, LMS Lab"</f>
        <v>JM, Oscilloscope, EB01A, LMS Lab</v>
      </c>
      <c r="F2065">
        <v>0</v>
      </c>
      <c r="G2065" t="str">
        <f t="shared" si="531"/>
        <v>Y</v>
      </c>
      <c r="H2065" t="str">
        <f t="shared" si="523"/>
        <v>EA</v>
      </c>
      <c r="I2065">
        <v>0</v>
      </c>
      <c r="J2065">
        <v>0</v>
      </c>
      <c r="K2065" t="str">
        <f t="shared" si="532"/>
        <v>Y</v>
      </c>
      <c r="L2065">
        <v>0</v>
      </c>
      <c r="M2065" t="str">
        <f t="shared" si="528"/>
        <v>NIS</v>
      </c>
      <c r="O2065">
        <v>2</v>
      </c>
      <c r="P2065" t="str">
        <f t="shared" si="533"/>
        <v>Active</v>
      </c>
      <c r="Q2065" t="str">
        <f>"Assembly, JM, E087, Adjustable Power Supply"</f>
        <v>Assembly, JM, E087, Adjustable Power Supply</v>
      </c>
      <c r="S2065" t="str">
        <f>"Assembly, JM, E087, Adjustable Power Supply"</f>
        <v>Assembly, JM, E087, Adjustable Power Supply</v>
      </c>
      <c r="T2065">
        <v>73.88</v>
      </c>
      <c r="U2065">
        <v>75</v>
      </c>
      <c r="V2065">
        <v>174.83</v>
      </c>
      <c r="W2065" t="str">
        <f t="shared" si="524"/>
        <v>zintel</v>
      </c>
    </row>
    <row r="2066" spans="1:23">
      <c r="A2066" t="str">
        <f>"JM-POWR-EB01A"</f>
        <v>JM-POWR-EB01A</v>
      </c>
      <c r="B2066" t="str">
        <f>"26-E153-0000"</f>
        <v>26-E153-0000</v>
      </c>
      <c r="C2066" t="str">
        <f>"Assembly, JM, E153, AC/DC Circuits"</f>
        <v>Assembly, JM, E153, AC/DC Circuits</v>
      </c>
      <c r="D2066">
        <v>1</v>
      </c>
      <c r="E2066" t="str">
        <f>"JM, Oscilloscope, EB01A, LMS Lab"</f>
        <v>JM, Oscilloscope, EB01A, LMS Lab</v>
      </c>
      <c r="F2066">
        <v>0</v>
      </c>
      <c r="G2066" t="str">
        <f t="shared" si="531"/>
        <v>Y</v>
      </c>
      <c r="H2066" t="str">
        <f t="shared" si="523"/>
        <v>EA</v>
      </c>
      <c r="I2066">
        <v>0</v>
      </c>
      <c r="J2066">
        <v>0</v>
      </c>
      <c r="K2066" t="str">
        <f t="shared" si="532"/>
        <v>Y</v>
      </c>
      <c r="L2066">
        <v>0</v>
      </c>
      <c r="M2066" t="str">
        <f t="shared" si="528"/>
        <v>NIS</v>
      </c>
      <c r="O2066">
        <v>3</v>
      </c>
      <c r="P2066" t="str">
        <f t="shared" si="533"/>
        <v>Active</v>
      </c>
      <c r="Q2066" t="str">
        <f>"Assembly, JM, E153, AC/DC Circuits"</f>
        <v>Assembly, JM, E153, AC/DC Circuits</v>
      </c>
      <c r="S2066" t="str">
        <f>"Assembly, JM, E153, AC/DC Circuits"</f>
        <v>Assembly, JM, E153, AC/DC Circuits</v>
      </c>
      <c r="T2066">
        <v>133.96</v>
      </c>
      <c r="U2066">
        <v>130</v>
      </c>
      <c r="V2066">
        <v>293.45999999999998</v>
      </c>
      <c r="W2066" t="str">
        <f t="shared" si="524"/>
        <v>zintel</v>
      </c>
    </row>
    <row r="2067" spans="1:23">
      <c r="A2067" t="str">
        <f>"JM-POWR-EB01A"</f>
        <v>JM-POWR-EB01A</v>
      </c>
      <c r="B2067" t="str">
        <f>"36-8900-0003"</f>
        <v>36-8900-0003</v>
      </c>
      <c r="C2067" t="str">
        <f>"JM, Oscilloscope, 30MHz, Analog BK"</f>
        <v>JM, Oscilloscope, 30MHz, Analog BK</v>
      </c>
      <c r="D2067">
        <v>1</v>
      </c>
      <c r="E2067" t="str">
        <f>"JM, Oscilloscope, EB01A, LMS Lab"</f>
        <v>JM, Oscilloscope, EB01A, LMS Lab</v>
      </c>
      <c r="F2067">
        <v>0</v>
      </c>
      <c r="G2067" t="str">
        <f t="shared" si="531"/>
        <v>Y</v>
      </c>
      <c r="H2067" t="str">
        <f t="shared" si="523"/>
        <v>EA</v>
      </c>
      <c r="I2067">
        <v>0</v>
      </c>
      <c r="J2067">
        <v>0</v>
      </c>
      <c r="K2067" t="str">
        <f t="shared" si="532"/>
        <v>Y</v>
      </c>
      <c r="L2067">
        <v>0</v>
      </c>
      <c r="M2067" t="str">
        <f t="shared" si="528"/>
        <v>NIS</v>
      </c>
      <c r="O2067">
        <v>4</v>
      </c>
      <c r="P2067" t="str">
        <f t="shared" si="533"/>
        <v>Active</v>
      </c>
      <c r="Q2067" t="str">
        <f>"JM, Oscilloscope, 30MHz, Analog BK"</f>
        <v>JM, Oscilloscope, 30MHz, Analog BK</v>
      </c>
      <c r="R2067" t="str">
        <f>"1"</f>
        <v>1</v>
      </c>
      <c r="S2067" t="str">
        <f>"JM, Oscilloscope, 30MHz, Analog BK"</f>
        <v>JM, Oscilloscope, 30MHz, Analog BK</v>
      </c>
      <c r="T2067">
        <v>582.46</v>
      </c>
      <c r="U2067">
        <v>622.16</v>
      </c>
      <c r="V2067">
        <v>845.38</v>
      </c>
      <c r="W2067" t="str">
        <f t="shared" si="524"/>
        <v>zintel</v>
      </c>
    </row>
    <row r="2068" spans="1:23">
      <c r="A2068" t="str">
        <f>"JM-POWR-EB01A"</f>
        <v>JM-POWR-EB01A</v>
      </c>
      <c r="B2068" t="str">
        <f>"36-EB01A-IG01"</f>
        <v>36-EB01A-IG01</v>
      </c>
      <c r="C2068" t="str">
        <f>"JM, PDF on CD Oscilloscope - EB01A"</f>
        <v>JM, PDF on CD Oscilloscope - EB01A</v>
      </c>
      <c r="D2068">
        <v>1</v>
      </c>
      <c r="E2068" t="str">
        <f>"JM, Oscilloscope, EB01A, LMS Lab"</f>
        <v>JM, Oscilloscope, EB01A, LMS Lab</v>
      </c>
      <c r="F2068">
        <v>0</v>
      </c>
      <c r="G2068" t="str">
        <f t="shared" si="531"/>
        <v>Y</v>
      </c>
      <c r="H2068" t="str">
        <f t="shared" si="523"/>
        <v>EA</v>
      </c>
      <c r="I2068">
        <v>0</v>
      </c>
      <c r="J2068">
        <v>0</v>
      </c>
      <c r="K2068" t="str">
        <f t="shared" si="532"/>
        <v>Y</v>
      </c>
      <c r="L2068">
        <v>0</v>
      </c>
      <c r="M2068" t="str">
        <f t="shared" si="528"/>
        <v>NIS</v>
      </c>
      <c r="N2068" t="str">
        <f>"Y"</f>
        <v>Y</v>
      </c>
      <c r="O2068">
        <v>5</v>
      </c>
      <c r="P2068" t="str">
        <f t="shared" si="533"/>
        <v>Active</v>
      </c>
      <c r="Q2068" t="str">
        <f>"JM, PDF on CD Oscilloscope - EB01A"</f>
        <v>JM, PDF on CD Oscilloscope - EB01A</v>
      </c>
      <c r="S2068" t="str">
        <f>"JM, PDF on CD Oscilloscope - EB01A"</f>
        <v>JM, PDF on CD Oscilloscope - EB01A</v>
      </c>
      <c r="T2068">
        <v>10.3</v>
      </c>
      <c r="U2068">
        <v>10.3</v>
      </c>
      <c r="V2068">
        <v>11.43</v>
      </c>
      <c r="W2068" t="str">
        <f t="shared" si="524"/>
        <v>zintel</v>
      </c>
    </row>
    <row r="2069" spans="1:23">
      <c r="A2069" t="str">
        <f>"JM-POWR-EB01B"</f>
        <v>JM-POWR-EB01B</v>
      </c>
      <c r="B2069" t="str">
        <f>"77-EB01B-0000"</f>
        <v>77-EB01B-0000</v>
      </c>
      <c r="C2069" t="str">
        <f>"LM7 Content, JM, Digital Multimeter"</f>
        <v>LM7 Content, JM, Digital Multimeter</v>
      </c>
      <c r="D2069">
        <v>1</v>
      </c>
      <c r="E2069" t="str">
        <f>"JM, Digital Multimeter, EB01B, LMS Lab"</f>
        <v>JM, Digital Multimeter, EB01B, LMS Lab</v>
      </c>
      <c r="F2069">
        <v>0</v>
      </c>
      <c r="G2069" t="str">
        <f t="shared" si="531"/>
        <v>Y</v>
      </c>
      <c r="H2069" t="str">
        <f t="shared" si="523"/>
        <v>EA</v>
      </c>
      <c r="I2069">
        <v>0</v>
      </c>
      <c r="J2069">
        <v>0</v>
      </c>
      <c r="K2069" t="str">
        <f t="shared" si="532"/>
        <v>Y</v>
      </c>
      <c r="L2069">
        <v>0</v>
      </c>
      <c r="M2069" t="str">
        <f t="shared" si="528"/>
        <v>NIS</v>
      </c>
      <c r="O2069">
        <v>1</v>
      </c>
      <c r="P2069" t="str">
        <f t="shared" si="533"/>
        <v>Active</v>
      </c>
      <c r="Q2069" t="str">
        <f>"LM7 Content, JM, Digital Multimeter"</f>
        <v>LM7 Content, JM, Digital Multimeter</v>
      </c>
      <c r="S2069" t="str">
        <f>"LM7 Content, JM, Digital Multimeter"</f>
        <v>LM7 Content, JM, Digital Multimeter</v>
      </c>
      <c r="T2069">
        <v>0</v>
      </c>
      <c r="U2069">
        <v>5</v>
      </c>
      <c r="V2069">
        <v>5</v>
      </c>
      <c r="W2069" t="str">
        <f t="shared" si="524"/>
        <v>zintel</v>
      </c>
    </row>
    <row r="2070" spans="1:23">
      <c r="A2070" t="str">
        <f>"JM-POWR-EB01B"</f>
        <v>JM-POWR-EB01B</v>
      </c>
      <c r="B2070" t="str">
        <f>"26-E052-0000"</f>
        <v>26-E052-0000</v>
      </c>
      <c r="C2070" t="str">
        <f>"Assembly, JM, E052, Resistors Panel"</f>
        <v>Assembly, JM, E052, Resistors Panel</v>
      </c>
      <c r="D2070">
        <v>1</v>
      </c>
      <c r="E2070" t="str">
        <f>"JM, Digital Multimeter, EB01B, LMS Lab"</f>
        <v>JM, Digital Multimeter, EB01B, LMS Lab</v>
      </c>
      <c r="F2070">
        <v>0</v>
      </c>
      <c r="G2070" t="str">
        <f t="shared" si="531"/>
        <v>Y</v>
      </c>
      <c r="H2070" t="str">
        <f t="shared" si="523"/>
        <v>EA</v>
      </c>
      <c r="I2070">
        <v>0</v>
      </c>
      <c r="J2070">
        <v>0</v>
      </c>
      <c r="K2070" t="str">
        <f t="shared" si="532"/>
        <v>Y</v>
      </c>
      <c r="L2070">
        <v>0</v>
      </c>
      <c r="M2070" t="str">
        <f t="shared" si="528"/>
        <v>NIS</v>
      </c>
      <c r="O2070">
        <v>2</v>
      </c>
      <c r="P2070" t="str">
        <f t="shared" si="533"/>
        <v>Active</v>
      </c>
      <c r="Q2070" t="str">
        <f>"Assembly, JM, E052, Resistors Panel"</f>
        <v>Assembly, JM, E052, Resistors Panel</v>
      </c>
      <c r="S2070" t="str">
        <f>"Assembly, JM, E052, Resistors Panel"</f>
        <v>Assembly, JM, E052, Resistors Panel</v>
      </c>
      <c r="T2070">
        <v>116.66</v>
      </c>
      <c r="U2070">
        <v>112</v>
      </c>
      <c r="V2070">
        <v>216.4</v>
      </c>
      <c r="W2070" t="str">
        <f t="shared" si="524"/>
        <v>zintel</v>
      </c>
    </row>
    <row r="2071" spans="1:23">
      <c r="A2071" t="str">
        <f>"JM-POWR-EB01B"</f>
        <v>JM-POWR-EB01B</v>
      </c>
      <c r="B2071" t="str">
        <f>"26-E055-0000"</f>
        <v>26-E055-0000</v>
      </c>
      <c r="C2071" t="str">
        <f>"Assembly, JM, E055, Filters/Capacitors Panel"</f>
        <v>Assembly, JM, E055, Filters/Capacitors Panel</v>
      </c>
      <c r="D2071">
        <v>1</v>
      </c>
      <c r="E2071" t="str">
        <f>"JM, Digital Multimeter, EB01B, LMS Lab"</f>
        <v>JM, Digital Multimeter, EB01B, LMS Lab</v>
      </c>
      <c r="F2071">
        <v>0</v>
      </c>
      <c r="G2071" t="str">
        <f t="shared" si="531"/>
        <v>Y</v>
      </c>
      <c r="H2071" t="str">
        <f t="shared" si="523"/>
        <v>EA</v>
      </c>
      <c r="I2071">
        <v>0</v>
      </c>
      <c r="J2071">
        <v>0</v>
      </c>
      <c r="K2071" t="str">
        <f t="shared" si="532"/>
        <v>Y</v>
      </c>
      <c r="L2071">
        <v>0</v>
      </c>
      <c r="M2071" t="str">
        <f t="shared" si="528"/>
        <v>NIS</v>
      </c>
      <c r="O2071">
        <v>3</v>
      </c>
      <c r="P2071" t="str">
        <f t="shared" si="533"/>
        <v>Active</v>
      </c>
      <c r="Q2071" t="str">
        <f>"Assembly, JM, E055, Filters/Capacitors Panel"</f>
        <v>Assembly, JM, E055, Filters/Capacitors Panel</v>
      </c>
      <c r="S2071" t="str">
        <f>"Assembly, JM, E055, Filters/Capacitors Panel"</f>
        <v>Assembly, JM, E055, Filters/Capacitors Panel</v>
      </c>
      <c r="T2071">
        <v>153.1</v>
      </c>
      <c r="U2071">
        <v>152.85</v>
      </c>
      <c r="V2071">
        <v>199.09</v>
      </c>
      <c r="W2071" t="str">
        <f t="shared" si="524"/>
        <v>zintel</v>
      </c>
    </row>
    <row r="2072" spans="1:23">
      <c r="A2072" t="str">
        <f>"JM-POWR-EB01B"</f>
        <v>JM-POWR-EB01B</v>
      </c>
      <c r="B2072" t="str">
        <f>"36-8900-0007"</f>
        <v>36-8900-0007</v>
      </c>
      <c r="C2072" t="str">
        <f>"JM, Digital Multimeter, Fluke-115"</f>
        <v>JM, Digital Multimeter, Fluke-115</v>
      </c>
      <c r="D2072">
        <v>1</v>
      </c>
      <c r="E2072" t="str">
        <f>"JM, Digital Multimeter, EB01B, LMS Lab"</f>
        <v>JM, Digital Multimeter, EB01B, LMS Lab</v>
      </c>
      <c r="F2072">
        <v>0</v>
      </c>
      <c r="G2072" t="str">
        <f t="shared" si="531"/>
        <v>Y</v>
      </c>
      <c r="H2072" t="str">
        <f t="shared" si="523"/>
        <v>EA</v>
      </c>
      <c r="I2072">
        <v>0</v>
      </c>
      <c r="J2072">
        <v>0</v>
      </c>
      <c r="K2072" t="str">
        <f t="shared" si="532"/>
        <v>Y</v>
      </c>
      <c r="L2072">
        <v>0</v>
      </c>
      <c r="M2072" t="str">
        <f t="shared" si="528"/>
        <v>NIS</v>
      </c>
      <c r="O2072">
        <v>4</v>
      </c>
      <c r="P2072" t="str">
        <f t="shared" si="533"/>
        <v>Active</v>
      </c>
      <c r="Q2072" t="str">
        <f>"JM, Digital Multimeter, Fluke-115"</f>
        <v>JM, Digital Multimeter, Fluke-115</v>
      </c>
      <c r="R2072" t="str">
        <f>"1"</f>
        <v>1</v>
      </c>
      <c r="S2072" t="str">
        <f>"JM, Digital Multimeter, Fluke-115"</f>
        <v>JM, Digital Multimeter, Fluke-115</v>
      </c>
      <c r="T2072">
        <v>158.5</v>
      </c>
      <c r="U2072">
        <v>145</v>
      </c>
      <c r="V2072">
        <v>218.54</v>
      </c>
      <c r="W2072" t="str">
        <f t="shared" si="524"/>
        <v>zintel</v>
      </c>
    </row>
    <row r="2073" spans="1:23">
      <c r="A2073" t="str">
        <f>"JM-POWR-EB01B"</f>
        <v>JM-POWR-EB01B</v>
      </c>
      <c r="B2073" t="str">
        <f>"36-EB01B-IG01"</f>
        <v>36-EB01B-IG01</v>
      </c>
      <c r="C2073" t="str">
        <f>"JM, PDF on CD Digital Multimeter - EB01B"</f>
        <v>JM, PDF on CD Digital Multimeter - EB01B</v>
      </c>
      <c r="D2073">
        <v>1</v>
      </c>
      <c r="E2073" t="str">
        <f>"JM, Digital Multimeter, EB01B, LMS Lab"</f>
        <v>JM, Digital Multimeter, EB01B, LMS Lab</v>
      </c>
      <c r="F2073">
        <v>0</v>
      </c>
      <c r="G2073" t="str">
        <f t="shared" si="531"/>
        <v>Y</v>
      </c>
      <c r="H2073" t="str">
        <f t="shared" si="523"/>
        <v>EA</v>
      </c>
      <c r="I2073">
        <v>0</v>
      </c>
      <c r="J2073">
        <v>0</v>
      </c>
      <c r="K2073" t="str">
        <f t="shared" si="532"/>
        <v>Y</v>
      </c>
      <c r="L2073">
        <v>0</v>
      </c>
      <c r="M2073" t="str">
        <f t="shared" si="528"/>
        <v>NIS</v>
      </c>
      <c r="N2073" t="str">
        <f>"Y"</f>
        <v>Y</v>
      </c>
      <c r="O2073">
        <v>5</v>
      </c>
      <c r="P2073" t="str">
        <f t="shared" si="533"/>
        <v>Active</v>
      </c>
      <c r="Q2073" t="str">
        <f>"JM, PDF on CD Digital Multimeter - EB01B"</f>
        <v>JM, PDF on CD Digital Multimeter - EB01B</v>
      </c>
      <c r="S2073" t="str">
        <f>"JM, PDF on CD Digital Multimeter - EB01B"</f>
        <v>JM, PDF on CD Digital Multimeter - EB01B</v>
      </c>
      <c r="T2073">
        <v>10.3</v>
      </c>
      <c r="U2073">
        <v>10.3</v>
      </c>
      <c r="V2073">
        <v>11.43</v>
      </c>
      <c r="W2073" t="str">
        <f t="shared" si="524"/>
        <v>zintel</v>
      </c>
    </row>
    <row r="2074" spans="1:23">
      <c r="A2074" t="str">
        <f>"JM-POWR-EB01C"</f>
        <v>JM-POWR-EB01C</v>
      </c>
      <c r="B2074" t="str">
        <f>"77-EB01C-0000"</f>
        <v>77-EB01C-0000</v>
      </c>
      <c r="C2074" t="str">
        <f>"LM7 Content, JM, Digital Oscilloscope"</f>
        <v>LM7 Content, JM, Digital Oscilloscope</v>
      </c>
      <c r="D2074">
        <v>1</v>
      </c>
      <c r="E2074" t="str">
        <f>"JM Hand Held Digital Oscilloscope, EB01C, LMS Lab"</f>
        <v>JM Hand Held Digital Oscilloscope, EB01C, LMS Lab</v>
      </c>
      <c r="F2074">
        <v>0</v>
      </c>
      <c r="G2074" t="str">
        <f t="shared" si="531"/>
        <v>Y</v>
      </c>
      <c r="H2074" t="str">
        <f t="shared" si="523"/>
        <v>EA</v>
      </c>
      <c r="I2074">
        <v>0</v>
      </c>
      <c r="J2074">
        <v>0</v>
      </c>
      <c r="K2074" t="str">
        <f t="shared" si="532"/>
        <v>Y</v>
      </c>
      <c r="L2074">
        <v>0</v>
      </c>
      <c r="M2074" t="str">
        <f t="shared" si="528"/>
        <v>NIS</v>
      </c>
      <c r="O2074">
        <v>1</v>
      </c>
      <c r="P2074" t="str">
        <f t="shared" si="533"/>
        <v>Active</v>
      </c>
      <c r="Q2074" t="str">
        <f>"LM7 Content, JM, Digital Oscilloscope"</f>
        <v>LM7 Content, JM, Digital Oscilloscope</v>
      </c>
      <c r="S2074" t="str">
        <f>"LM7 Content, JM, Digital Oscilloscope"</f>
        <v>LM7 Content, JM, Digital Oscilloscope</v>
      </c>
      <c r="T2074">
        <v>0</v>
      </c>
      <c r="U2074">
        <v>5</v>
      </c>
      <c r="V2074">
        <v>5</v>
      </c>
      <c r="W2074" t="str">
        <f t="shared" si="524"/>
        <v>zintel</v>
      </c>
    </row>
    <row r="2075" spans="1:23">
      <c r="A2075" t="str">
        <f>"JM-POWR-EB01C"</f>
        <v>JM-POWR-EB01C</v>
      </c>
      <c r="B2075" t="str">
        <f>"26-E087-0000"</f>
        <v>26-E087-0000</v>
      </c>
      <c r="C2075" t="str">
        <f>"Assembly, JM, E087, Adjustable Power Supply"</f>
        <v>Assembly, JM, E087, Adjustable Power Supply</v>
      </c>
      <c r="D2075">
        <v>1</v>
      </c>
      <c r="E2075" t="str">
        <f>"JM Hand Held Digital Oscilloscope, EB01C, LMS Lab"</f>
        <v>JM Hand Held Digital Oscilloscope, EB01C, LMS Lab</v>
      </c>
      <c r="F2075">
        <v>0</v>
      </c>
      <c r="G2075" t="str">
        <f t="shared" si="531"/>
        <v>Y</v>
      </c>
      <c r="H2075" t="str">
        <f t="shared" si="523"/>
        <v>EA</v>
      </c>
      <c r="I2075">
        <v>0</v>
      </c>
      <c r="J2075">
        <v>0</v>
      </c>
      <c r="K2075" t="str">
        <f t="shared" si="532"/>
        <v>Y</v>
      </c>
      <c r="L2075">
        <v>0</v>
      </c>
      <c r="M2075" t="str">
        <f t="shared" si="528"/>
        <v>NIS</v>
      </c>
      <c r="O2075">
        <v>2</v>
      </c>
      <c r="P2075" t="str">
        <f t="shared" si="533"/>
        <v>Active</v>
      </c>
      <c r="Q2075" t="str">
        <f>"Assembly, JM, E087, Adjustable Power Supply"</f>
        <v>Assembly, JM, E087, Adjustable Power Supply</v>
      </c>
      <c r="S2075" t="str">
        <f>"Assembly, JM, E087, Adjustable Power Supply"</f>
        <v>Assembly, JM, E087, Adjustable Power Supply</v>
      </c>
      <c r="T2075">
        <v>73.88</v>
      </c>
      <c r="U2075">
        <v>75</v>
      </c>
      <c r="V2075">
        <v>174.83</v>
      </c>
      <c r="W2075" t="str">
        <f t="shared" si="524"/>
        <v>zintel</v>
      </c>
    </row>
    <row r="2076" spans="1:23">
      <c r="A2076" t="str">
        <f>"JM-POWR-EB01C"</f>
        <v>JM-POWR-EB01C</v>
      </c>
      <c r="B2076" t="str">
        <f>"26-E153-0000"</f>
        <v>26-E153-0000</v>
      </c>
      <c r="C2076" t="str">
        <f>"Assembly, JM, E153, AC/DC Circuits"</f>
        <v>Assembly, JM, E153, AC/DC Circuits</v>
      </c>
      <c r="D2076">
        <v>1</v>
      </c>
      <c r="E2076" t="str">
        <f>"JM Hand Held Digital Oscilloscope, EB01C, LMS Lab"</f>
        <v>JM Hand Held Digital Oscilloscope, EB01C, LMS Lab</v>
      </c>
      <c r="F2076">
        <v>0</v>
      </c>
      <c r="G2076" t="str">
        <f t="shared" si="531"/>
        <v>Y</v>
      </c>
      <c r="H2076" t="str">
        <f t="shared" si="523"/>
        <v>EA</v>
      </c>
      <c r="I2076">
        <v>0</v>
      </c>
      <c r="J2076">
        <v>0</v>
      </c>
      <c r="K2076" t="str">
        <f t="shared" si="532"/>
        <v>Y</v>
      </c>
      <c r="L2076">
        <v>0</v>
      </c>
      <c r="M2076" t="str">
        <f t="shared" si="528"/>
        <v>NIS</v>
      </c>
      <c r="O2076">
        <v>3</v>
      </c>
      <c r="P2076" t="str">
        <f t="shared" si="533"/>
        <v>Active</v>
      </c>
      <c r="Q2076" t="str">
        <f>"Assembly, JM, E153, AC/DC Circuits"</f>
        <v>Assembly, JM, E153, AC/DC Circuits</v>
      </c>
      <c r="S2076" t="str">
        <f>"Assembly, JM, E153, AC/DC Circuits"</f>
        <v>Assembly, JM, E153, AC/DC Circuits</v>
      </c>
      <c r="T2076">
        <v>133.96</v>
      </c>
      <c r="U2076">
        <v>130</v>
      </c>
      <c r="V2076">
        <v>293.45999999999998</v>
      </c>
      <c r="W2076" t="str">
        <f t="shared" si="524"/>
        <v>zintel</v>
      </c>
    </row>
    <row r="2077" spans="1:23">
      <c r="A2077" t="str">
        <f>"JM-POWR-EB01C"</f>
        <v>JM-POWR-EB01C</v>
      </c>
      <c r="B2077" t="str">
        <f>"36-8900-0025"</f>
        <v>36-8900-0025</v>
      </c>
      <c r="C2077" t="str">
        <f>"JM, Oscilloscope, 5MHz, Hand Held"</f>
        <v>JM, Oscilloscope, 5MHz, Hand Held</v>
      </c>
      <c r="D2077">
        <v>1</v>
      </c>
      <c r="E2077" t="str">
        <f>"JM Hand Held Digital Oscilloscope, EB01C, LMS Lab"</f>
        <v>JM Hand Held Digital Oscilloscope, EB01C, LMS Lab</v>
      </c>
      <c r="F2077">
        <v>0</v>
      </c>
      <c r="G2077" t="str">
        <f t="shared" si="531"/>
        <v>Y</v>
      </c>
      <c r="H2077" t="str">
        <f t="shared" si="523"/>
        <v>EA</v>
      </c>
      <c r="I2077">
        <v>0</v>
      </c>
      <c r="J2077">
        <v>0</v>
      </c>
      <c r="K2077" t="str">
        <f t="shared" si="532"/>
        <v>Y</v>
      </c>
      <c r="L2077">
        <v>0</v>
      </c>
      <c r="M2077" t="str">
        <f t="shared" si="528"/>
        <v>NIS</v>
      </c>
      <c r="O2077">
        <v>4</v>
      </c>
      <c r="P2077" t="str">
        <f t="shared" si="533"/>
        <v>Active</v>
      </c>
      <c r="Q2077" t="str">
        <f>"JM, Oscilloscope, 5MHz, Hand Held"</f>
        <v>JM, Oscilloscope, 5MHz, Hand Held</v>
      </c>
      <c r="R2077" t="str">
        <f>"1"</f>
        <v>1</v>
      </c>
      <c r="S2077" t="str">
        <f>"JM, Oscilloscope, 5MHz, Hand Held"</f>
        <v>JM, Oscilloscope, 5MHz, Hand Held</v>
      </c>
      <c r="T2077">
        <v>807.3</v>
      </c>
      <c r="U2077">
        <v>564.49</v>
      </c>
      <c r="V2077">
        <v>827.3</v>
      </c>
      <c r="W2077" t="str">
        <f t="shared" si="524"/>
        <v>zintel</v>
      </c>
    </row>
    <row r="2078" spans="1:23">
      <c r="A2078" t="str">
        <f>"JM-POWR-EB01C"</f>
        <v>JM-POWR-EB01C</v>
      </c>
      <c r="B2078" t="str">
        <f>"36-EB01C-IG01"</f>
        <v>36-EB01C-IG01</v>
      </c>
      <c r="C2078" t="str">
        <f>"JM, PDF on CD Hand Held Oscilloscope - EB01C"</f>
        <v>JM, PDF on CD Hand Held Oscilloscope - EB01C</v>
      </c>
      <c r="D2078">
        <v>1</v>
      </c>
      <c r="E2078" t="str">
        <f>"JM Hand Held Digital Oscilloscope, EB01C, LMS Lab"</f>
        <v>JM Hand Held Digital Oscilloscope, EB01C, LMS Lab</v>
      </c>
      <c r="F2078">
        <v>0</v>
      </c>
      <c r="G2078" t="str">
        <f t="shared" si="531"/>
        <v>Y</v>
      </c>
      <c r="H2078" t="str">
        <f t="shared" si="523"/>
        <v>EA</v>
      </c>
      <c r="I2078">
        <v>0</v>
      </c>
      <c r="J2078">
        <v>0</v>
      </c>
      <c r="K2078" t="str">
        <f t="shared" si="532"/>
        <v>Y</v>
      </c>
      <c r="L2078">
        <v>0</v>
      </c>
      <c r="M2078" t="str">
        <f t="shared" si="528"/>
        <v>NIS</v>
      </c>
      <c r="O2078">
        <v>5</v>
      </c>
      <c r="P2078" t="str">
        <f t="shared" si="533"/>
        <v>Active</v>
      </c>
      <c r="Q2078" t="str">
        <f>"JM, PDF on CD Hand Held Oscilloscope - EB01C"</f>
        <v>JM, PDF on CD Hand Held Oscilloscope - EB01C</v>
      </c>
      <c r="S2078" t="str">
        <f>"JM, PDF on CD Hand Held Oscilloscope - EB01C"</f>
        <v>JM, PDF on CD Hand Held Oscilloscope - EB01C</v>
      </c>
      <c r="T2078">
        <v>10.3</v>
      </c>
      <c r="U2078">
        <v>10.3</v>
      </c>
      <c r="V2078">
        <v>11.43</v>
      </c>
      <c r="W2078" t="str">
        <f t="shared" si="524"/>
        <v>zintel</v>
      </c>
    </row>
    <row r="2079" spans="1:23">
      <c r="A2079" t="str">
        <f>"JM-POWR-EB02A"</f>
        <v>JM-POWR-EB02A</v>
      </c>
      <c r="B2079" t="str">
        <f>"77-EB02A-0000"</f>
        <v>77-EB02A-0000</v>
      </c>
      <c r="C2079" t="str">
        <f>"LM7 Content, JM, DC Power Supplies"</f>
        <v>LM7 Content, JM, DC Power Supplies</v>
      </c>
      <c r="D2079">
        <v>1</v>
      </c>
      <c r="E2079" t="str">
        <f>"JM DC Power Supplies, EB02A, LMS Lab"</f>
        <v>JM DC Power Supplies, EB02A, LMS Lab</v>
      </c>
      <c r="F2079">
        <v>0</v>
      </c>
      <c r="G2079" t="str">
        <f t="shared" si="531"/>
        <v>Y</v>
      </c>
      <c r="H2079" t="str">
        <f t="shared" si="523"/>
        <v>EA</v>
      </c>
      <c r="I2079">
        <v>0</v>
      </c>
      <c r="J2079">
        <v>0</v>
      </c>
      <c r="K2079" t="str">
        <f t="shared" si="532"/>
        <v>Y</v>
      </c>
      <c r="L2079">
        <v>0</v>
      </c>
      <c r="M2079" t="str">
        <f t="shared" si="528"/>
        <v>NIS</v>
      </c>
      <c r="O2079">
        <v>1</v>
      </c>
      <c r="P2079" t="str">
        <f t="shared" si="533"/>
        <v>Active</v>
      </c>
      <c r="Q2079" t="str">
        <f>"LM7 Content, JM, DC Power Supplies"</f>
        <v>LM7 Content, JM, DC Power Supplies</v>
      </c>
      <c r="S2079" t="str">
        <f>"LM7 Content, JM, DC Power Supplies"</f>
        <v>LM7 Content, JM, DC Power Supplies</v>
      </c>
      <c r="T2079">
        <v>0</v>
      </c>
      <c r="U2079">
        <v>5</v>
      </c>
      <c r="V2079">
        <v>5</v>
      </c>
      <c r="W2079" t="str">
        <f t="shared" si="524"/>
        <v>zintel</v>
      </c>
    </row>
    <row r="2080" spans="1:23">
      <c r="A2080" t="str">
        <f>"JM-POWR-EB02A"</f>
        <v>JM-POWR-EB02A</v>
      </c>
      <c r="B2080" t="str">
        <f>"26-E039-0000"</f>
        <v>26-E039-0000</v>
      </c>
      <c r="C2080" t="str">
        <f>"Assembly, JM, E039,Single Phase Bridge Rectifier"</f>
        <v>Assembly, JM, E039,Single Phase Bridge Rectifier</v>
      </c>
      <c r="D2080">
        <v>1</v>
      </c>
      <c r="E2080" t="str">
        <f>"JM DC Power Supplies, EB02A, LMS Lab"</f>
        <v>JM DC Power Supplies, EB02A, LMS Lab</v>
      </c>
      <c r="F2080">
        <v>0</v>
      </c>
      <c r="G2080" t="str">
        <f t="shared" si="531"/>
        <v>Y</v>
      </c>
      <c r="H2080" t="str">
        <f t="shared" si="523"/>
        <v>EA</v>
      </c>
      <c r="I2080">
        <v>0</v>
      </c>
      <c r="J2080">
        <v>0</v>
      </c>
      <c r="K2080" t="str">
        <f t="shared" si="532"/>
        <v>Y</v>
      </c>
      <c r="L2080">
        <v>0</v>
      </c>
      <c r="M2080" t="str">
        <f t="shared" si="528"/>
        <v>NIS</v>
      </c>
      <c r="O2080">
        <v>2</v>
      </c>
      <c r="P2080" t="str">
        <f t="shared" si="533"/>
        <v>Active</v>
      </c>
      <c r="Q2080" t="str">
        <f>"Assembly, JM, E039,Single Phase Bridge Rectifier"</f>
        <v>Assembly, JM, E039,Single Phase Bridge Rectifier</v>
      </c>
      <c r="S2080" t="str">
        <f>"Assembly, JM, E039,Single Phase Bridge Rectifier"</f>
        <v>Assembly, JM, E039,Single Phase Bridge Rectifier</v>
      </c>
      <c r="T2080">
        <v>85.8</v>
      </c>
      <c r="U2080">
        <v>85</v>
      </c>
      <c r="V2080">
        <v>177.95</v>
      </c>
      <c r="W2080" t="str">
        <f t="shared" si="524"/>
        <v>zintel</v>
      </c>
    </row>
    <row r="2081" spans="1:23">
      <c r="A2081" t="str">
        <f>"JM-POWR-EB02A"</f>
        <v>JM-POWR-EB02A</v>
      </c>
      <c r="B2081" t="str">
        <f>"26-E061-0000"</f>
        <v>26-E061-0000</v>
      </c>
      <c r="C2081" t="str">
        <f>"Assembly, JM, E061, Low Voltage Transformer"</f>
        <v>Assembly, JM, E061, Low Voltage Transformer</v>
      </c>
      <c r="D2081">
        <v>1</v>
      </c>
      <c r="E2081" t="str">
        <f>"JM DC Power Supplies, EB02A, LMS Lab"</f>
        <v>JM DC Power Supplies, EB02A, LMS Lab</v>
      </c>
      <c r="F2081">
        <v>0</v>
      </c>
      <c r="G2081" t="str">
        <f t="shared" si="531"/>
        <v>Y</v>
      </c>
      <c r="H2081" t="str">
        <f t="shared" si="523"/>
        <v>EA</v>
      </c>
      <c r="I2081">
        <v>0</v>
      </c>
      <c r="J2081">
        <v>0</v>
      </c>
      <c r="K2081" t="str">
        <f t="shared" si="532"/>
        <v>Y</v>
      </c>
      <c r="L2081">
        <v>0</v>
      </c>
      <c r="M2081" t="str">
        <f t="shared" si="528"/>
        <v>NIS</v>
      </c>
      <c r="O2081">
        <v>3</v>
      </c>
      <c r="P2081" t="str">
        <f t="shared" si="533"/>
        <v>Active</v>
      </c>
      <c r="Q2081" t="str">
        <f>"Assembly, JM, E061, Low Voltage Transformer"</f>
        <v>Assembly, JM, E061, Low Voltage Transformer</v>
      </c>
      <c r="S2081" t="str">
        <f>"Assembly, JM, E061, Low Voltage Transformer"</f>
        <v>Assembly, JM, E061, Low Voltage Transformer</v>
      </c>
      <c r="T2081">
        <v>158.13</v>
      </c>
      <c r="U2081">
        <v>157</v>
      </c>
      <c r="V2081">
        <v>281</v>
      </c>
      <c r="W2081" t="str">
        <f t="shared" si="524"/>
        <v>zintel</v>
      </c>
    </row>
    <row r="2082" spans="1:23">
      <c r="A2082" t="str">
        <f>"JM-POWR-EB02A"</f>
        <v>JM-POWR-EB02A</v>
      </c>
      <c r="B2082" t="str">
        <f>"26-E062-0000"</f>
        <v>26-E062-0000</v>
      </c>
      <c r="C2082" t="str">
        <f>"Assembly, JM, E062, Diode Rectifier Panel"</f>
        <v>Assembly, JM, E062, Diode Rectifier Panel</v>
      </c>
      <c r="D2082">
        <v>1</v>
      </c>
      <c r="E2082" t="str">
        <f>"JM DC Power Supplies, EB02A, LMS Lab"</f>
        <v>JM DC Power Supplies, EB02A, LMS Lab</v>
      </c>
      <c r="F2082">
        <v>0</v>
      </c>
      <c r="G2082" t="str">
        <f t="shared" si="531"/>
        <v>Y</v>
      </c>
      <c r="H2082" t="str">
        <f t="shared" si="523"/>
        <v>EA</v>
      </c>
      <c r="I2082">
        <v>0</v>
      </c>
      <c r="J2082">
        <v>0</v>
      </c>
      <c r="K2082" t="str">
        <f t="shared" si="532"/>
        <v>Y</v>
      </c>
      <c r="L2082">
        <v>0</v>
      </c>
      <c r="M2082" t="str">
        <f t="shared" si="528"/>
        <v>NIS</v>
      </c>
      <c r="O2082">
        <v>4</v>
      </c>
      <c r="P2082" t="str">
        <f t="shared" si="533"/>
        <v>Active</v>
      </c>
      <c r="Q2082" t="str">
        <f>"Assembly, JM, E062, Diode Rectifier Panel"</f>
        <v>Assembly, JM, E062, Diode Rectifier Panel</v>
      </c>
      <c r="S2082" t="str">
        <f>"Assembly, JM, E062, Diode Rectifier Panel"</f>
        <v>Assembly, JM, E062, Diode Rectifier Panel</v>
      </c>
      <c r="T2082">
        <v>100.53</v>
      </c>
      <c r="U2082">
        <v>100</v>
      </c>
      <c r="V2082">
        <v>215.41</v>
      </c>
      <c r="W2082" t="str">
        <f t="shared" si="524"/>
        <v>zintel</v>
      </c>
    </row>
    <row r="2083" spans="1:23">
      <c r="A2083" t="str">
        <f>"JM-POWR-EB02A"</f>
        <v>JM-POWR-EB02A</v>
      </c>
      <c r="B2083" t="str">
        <f>"36-EB02A-IG01"</f>
        <v>36-EB02A-IG01</v>
      </c>
      <c r="C2083" t="str">
        <f>"JM, PDF on CD DC Power Supplies - EB02A"</f>
        <v>JM, PDF on CD DC Power Supplies - EB02A</v>
      </c>
      <c r="D2083">
        <v>1</v>
      </c>
      <c r="E2083" t="str">
        <f>"JM DC Power Supplies, EB02A, LMS Lab"</f>
        <v>JM DC Power Supplies, EB02A, LMS Lab</v>
      </c>
      <c r="F2083">
        <v>0</v>
      </c>
      <c r="G2083" t="str">
        <f t="shared" si="531"/>
        <v>Y</v>
      </c>
      <c r="H2083" t="str">
        <f t="shared" si="523"/>
        <v>EA</v>
      </c>
      <c r="I2083">
        <v>0</v>
      </c>
      <c r="J2083">
        <v>0</v>
      </c>
      <c r="K2083" t="str">
        <f t="shared" si="532"/>
        <v>Y</v>
      </c>
      <c r="L2083">
        <v>0</v>
      </c>
      <c r="M2083" t="str">
        <f t="shared" si="528"/>
        <v>NIS</v>
      </c>
      <c r="N2083" t="str">
        <f>"Y"</f>
        <v>Y</v>
      </c>
      <c r="O2083">
        <v>5</v>
      </c>
      <c r="P2083" t="str">
        <f t="shared" si="533"/>
        <v>Active</v>
      </c>
      <c r="Q2083" t="str">
        <f>"JM, PDF on CD DC Power Supplies - EB02A"</f>
        <v>JM, PDF on CD DC Power Supplies - EB02A</v>
      </c>
      <c r="S2083" t="str">
        <f>"JM, PDF on CD DC Power Supplies - EB02A"</f>
        <v>JM, PDF on CD DC Power Supplies - EB02A</v>
      </c>
      <c r="T2083">
        <v>10.3</v>
      </c>
      <c r="U2083">
        <v>10.3</v>
      </c>
      <c r="V2083">
        <v>11.43</v>
      </c>
      <c r="W2083" t="str">
        <f t="shared" si="524"/>
        <v>zintel</v>
      </c>
    </row>
    <row r="2084" spans="1:23">
      <c r="A2084" t="str">
        <f>"JM-POWR-EB02B"</f>
        <v>JM-POWR-EB02B</v>
      </c>
      <c r="B2084" t="str">
        <f>"77-EB02B-0000"</f>
        <v>77-EB02B-0000</v>
      </c>
      <c r="C2084" t="str">
        <f>"LM7 Content, JM, Single &amp; 3 Phase Power Supply"</f>
        <v>LM7 Content, JM, Single &amp; 3 Phase Power Supply</v>
      </c>
      <c r="D2084">
        <v>1</v>
      </c>
      <c r="E2084" t="str">
        <f>"JM AC Power Supplies, EB02B, LMS Lab"</f>
        <v>JM AC Power Supplies, EB02B, LMS Lab</v>
      </c>
      <c r="F2084">
        <v>0</v>
      </c>
      <c r="G2084" t="str">
        <f t="shared" si="531"/>
        <v>Y</v>
      </c>
      <c r="H2084" t="str">
        <f t="shared" si="523"/>
        <v>EA</v>
      </c>
      <c r="I2084">
        <v>0</v>
      </c>
      <c r="J2084">
        <v>0</v>
      </c>
      <c r="K2084" t="str">
        <f t="shared" si="532"/>
        <v>Y</v>
      </c>
      <c r="L2084">
        <v>0</v>
      </c>
      <c r="M2084" t="str">
        <f t="shared" si="528"/>
        <v>NIS</v>
      </c>
      <c r="O2084">
        <v>1</v>
      </c>
      <c r="P2084" t="str">
        <f t="shared" si="533"/>
        <v>Active</v>
      </c>
      <c r="Q2084" t="str">
        <f>"LM7 Content, JM, Single &amp; 3 Phase Power Supply"</f>
        <v>LM7 Content, JM, Single &amp; 3 Phase Power Supply</v>
      </c>
      <c r="S2084" t="str">
        <f>"LM7 Content, JM, Single &amp; 3 Phase Power Supply"</f>
        <v>LM7 Content, JM, Single &amp; 3 Phase Power Supply</v>
      </c>
      <c r="T2084">
        <v>0</v>
      </c>
      <c r="U2084">
        <v>5</v>
      </c>
      <c r="V2084">
        <v>5</v>
      </c>
      <c r="W2084" t="str">
        <f t="shared" si="524"/>
        <v>zintel</v>
      </c>
    </row>
    <row r="2085" spans="1:23">
      <c r="A2085" t="str">
        <f>"JM-POWR-EB02B"</f>
        <v>JM-POWR-EB02B</v>
      </c>
      <c r="B2085" t="str">
        <f>"26-E049-0000"</f>
        <v>26-E049-0000</v>
      </c>
      <c r="C2085" t="str">
        <f>"Assembly, JM, E049, Zener Diode Panel"</f>
        <v>Assembly, JM, E049, Zener Diode Panel</v>
      </c>
      <c r="D2085">
        <v>1</v>
      </c>
      <c r="E2085" t="str">
        <f>"JM AC Power Supplies, EB02B, LMS Lab"</f>
        <v>JM AC Power Supplies, EB02B, LMS Lab</v>
      </c>
      <c r="F2085">
        <v>0</v>
      </c>
      <c r="G2085" t="str">
        <f t="shared" si="531"/>
        <v>Y</v>
      </c>
      <c r="H2085" t="str">
        <f t="shared" si="523"/>
        <v>EA</v>
      </c>
      <c r="I2085">
        <v>0</v>
      </c>
      <c r="J2085">
        <v>0</v>
      </c>
      <c r="K2085" t="str">
        <f t="shared" si="532"/>
        <v>Y</v>
      </c>
      <c r="L2085">
        <v>0</v>
      </c>
      <c r="M2085" t="str">
        <f t="shared" si="528"/>
        <v>NIS</v>
      </c>
      <c r="O2085">
        <v>2</v>
      </c>
      <c r="P2085" t="str">
        <f t="shared" si="533"/>
        <v>Active</v>
      </c>
      <c r="Q2085" t="str">
        <f>"Assembly, JM, E049, Zener Diode Panel"</f>
        <v>Assembly, JM, E049, Zener Diode Panel</v>
      </c>
      <c r="S2085" t="str">
        <f>"Assembly, JM, E049, Zener Diode Panel"</f>
        <v>Assembly, JM, E049, Zener Diode Panel</v>
      </c>
      <c r="T2085">
        <v>89.3</v>
      </c>
      <c r="U2085">
        <v>89</v>
      </c>
      <c r="V2085">
        <v>231.75</v>
      </c>
      <c r="W2085" t="str">
        <f t="shared" si="524"/>
        <v>zintel</v>
      </c>
    </row>
    <row r="2086" spans="1:23">
      <c r="A2086" t="str">
        <f>"JM-POWR-EB02B"</f>
        <v>JM-POWR-EB02B</v>
      </c>
      <c r="B2086" t="str">
        <f>"26-E050-0000"</f>
        <v>26-E050-0000</v>
      </c>
      <c r="C2086" t="str">
        <f>"Assembly, JM, E050, Regulated Power Supply Panel"</f>
        <v>Assembly, JM, E050, Regulated Power Supply Panel</v>
      </c>
      <c r="D2086">
        <v>1</v>
      </c>
      <c r="E2086" t="str">
        <f>"JM AC Power Supplies, EB02B, LMS Lab"</f>
        <v>JM AC Power Supplies, EB02B, LMS Lab</v>
      </c>
      <c r="F2086">
        <v>0</v>
      </c>
      <c r="G2086" t="str">
        <f t="shared" si="531"/>
        <v>Y</v>
      </c>
      <c r="H2086" t="str">
        <f t="shared" si="523"/>
        <v>EA</v>
      </c>
      <c r="I2086">
        <v>0</v>
      </c>
      <c r="J2086">
        <v>0</v>
      </c>
      <c r="K2086" t="str">
        <f t="shared" si="532"/>
        <v>Y</v>
      </c>
      <c r="L2086">
        <v>0</v>
      </c>
      <c r="M2086" t="str">
        <f t="shared" si="528"/>
        <v>NIS</v>
      </c>
      <c r="O2086">
        <v>3</v>
      </c>
      <c r="P2086" t="str">
        <f t="shared" si="533"/>
        <v>Active</v>
      </c>
      <c r="Q2086" t="str">
        <f>"Assembly, JM, E050, Regulated Power Supply Panel"</f>
        <v>Assembly, JM, E050, Regulated Power Supply Panel</v>
      </c>
      <c r="S2086" t="str">
        <f>"Assembly, JM, E050, Regulated Power Supply Panel"</f>
        <v>Assembly, JM, E050, Regulated Power Supply Panel</v>
      </c>
      <c r="T2086">
        <v>118.22</v>
      </c>
      <c r="U2086">
        <v>120</v>
      </c>
      <c r="V2086">
        <v>327.35000000000002</v>
      </c>
      <c r="W2086" t="str">
        <f t="shared" si="524"/>
        <v>zintel</v>
      </c>
    </row>
    <row r="2087" spans="1:23">
      <c r="A2087" t="str">
        <f>"JM-POWR-EB02B"</f>
        <v>JM-POWR-EB02B</v>
      </c>
      <c r="B2087" t="str">
        <f>"26-E053-0000"</f>
        <v>26-E053-0000</v>
      </c>
      <c r="C2087" t="str">
        <f>"Assembly, JM, E053, Three Phase Bridge Rectifier"</f>
        <v>Assembly, JM, E053, Three Phase Bridge Rectifier</v>
      </c>
      <c r="D2087">
        <v>1</v>
      </c>
      <c r="E2087" t="str">
        <f>"JM AC Power Supplies, EB02B, LMS Lab"</f>
        <v>JM AC Power Supplies, EB02B, LMS Lab</v>
      </c>
      <c r="F2087">
        <v>0</v>
      </c>
      <c r="G2087" t="str">
        <f t="shared" si="531"/>
        <v>Y</v>
      </c>
      <c r="H2087" t="str">
        <f t="shared" si="523"/>
        <v>EA</v>
      </c>
      <c r="I2087">
        <v>0</v>
      </c>
      <c r="J2087">
        <v>0</v>
      </c>
      <c r="K2087" t="str">
        <f t="shared" si="532"/>
        <v>Y</v>
      </c>
      <c r="L2087">
        <v>0</v>
      </c>
      <c r="M2087" t="str">
        <f t="shared" si="528"/>
        <v>NIS</v>
      </c>
      <c r="O2087">
        <v>4</v>
      </c>
      <c r="P2087" t="str">
        <f t="shared" si="533"/>
        <v>Active</v>
      </c>
      <c r="Q2087" t="str">
        <f>"Assembly, JM, E053, Three Phase Bridge Rectifier"</f>
        <v>Assembly, JM, E053, Three Phase Bridge Rectifier</v>
      </c>
      <c r="S2087" t="str">
        <f>"Assembly, JM, E053, Three Phase Bridge Rectifier"</f>
        <v>Assembly, JM, E053, Three Phase Bridge Rectifier</v>
      </c>
      <c r="T2087">
        <v>183.72</v>
      </c>
      <c r="U2087">
        <v>180</v>
      </c>
      <c r="V2087">
        <v>319.24</v>
      </c>
      <c r="W2087" t="str">
        <f t="shared" si="524"/>
        <v>zintel</v>
      </c>
    </row>
    <row r="2088" spans="1:23">
      <c r="A2088" t="str">
        <f>"JM-POWR-EB02B"</f>
        <v>JM-POWR-EB02B</v>
      </c>
      <c r="B2088" t="str">
        <f>"36-EB02B-IG01"</f>
        <v>36-EB02B-IG01</v>
      </c>
      <c r="C2088" t="str">
        <f>"JM, PDF on CD Single&amp;3 Phase Power - EB02B"</f>
        <v>JM, PDF on CD Single&amp;3 Phase Power - EB02B</v>
      </c>
      <c r="D2088">
        <v>1</v>
      </c>
      <c r="E2088" t="str">
        <f>"JM AC Power Supplies, EB02B, LMS Lab"</f>
        <v>JM AC Power Supplies, EB02B, LMS Lab</v>
      </c>
      <c r="F2088">
        <v>0</v>
      </c>
      <c r="G2088" t="str">
        <f t="shared" si="531"/>
        <v>Y</v>
      </c>
      <c r="H2088" t="str">
        <f t="shared" ref="H2088:H2151" si="534">"EA"</f>
        <v>EA</v>
      </c>
      <c r="I2088">
        <v>0</v>
      </c>
      <c r="J2088">
        <v>0</v>
      </c>
      <c r="K2088" t="str">
        <f t="shared" si="532"/>
        <v>Y</v>
      </c>
      <c r="L2088">
        <v>0</v>
      </c>
      <c r="M2088" t="str">
        <f t="shared" si="528"/>
        <v>NIS</v>
      </c>
      <c r="N2088" t="str">
        <f>"Y"</f>
        <v>Y</v>
      </c>
      <c r="O2088">
        <v>5</v>
      </c>
      <c r="P2088" t="str">
        <f t="shared" si="533"/>
        <v>Active</v>
      </c>
      <c r="Q2088" t="str">
        <f>"JM, PDF on CD Single&amp;3 Phase Power - EB02B"</f>
        <v>JM, PDF on CD Single&amp;3 Phase Power - EB02B</v>
      </c>
      <c r="S2088" t="str">
        <f>"JM, PDF on CD Single&amp;3 Phase Power - EB02B"</f>
        <v>JM, PDF on CD Single&amp;3 Phase Power - EB02B</v>
      </c>
      <c r="T2088">
        <v>10.3</v>
      </c>
      <c r="U2088">
        <v>10.3</v>
      </c>
      <c r="V2088">
        <v>11.43</v>
      </c>
      <c r="W2088" t="str">
        <f t="shared" ref="W2088:W2151" si="535">"zintel"</f>
        <v>zintel</v>
      </c>
    </row>
    <row r="2089" spans="1:23">
      <c r="A2089" t="str">
        <f t="shared" ref="A2089:A2098" si="536">"JM-POWR-EB03"</f>
        <v>JM-POWR-EB03</v>
      </c>
      <c r="B2089" t="str">
        <f>"77-EB03-0000"</f>
        <v>77-EB03-0000</v>
      </c>
      <c r="C2089" t="str">
        <f>"LM7 Content, JM, Thyristor Motor Drives"</f>
        <v>LM7 Content, JM, Thyristor Motor Drives</v>
      </c>
      <c r="D2089">
        <v>1</v>
      </c>
      <c r="E2089" t="str">
        <f t="shared" ref="E2089:E2098" si="537">"JM Thyristor Motor Drives, EB03, LMS Lab"</f>
        <v>JM Thyristor Motor Drives, EB03, LMS Lab</v>
      </c>
      <c r="F2089">
        <v>0</v>
      </c>
      <c r="G2089" t="str">
        <f t="shared" si="531"/>
        <v>Y</v>
      </c>
      <c r="H2089" t="str">
        <f t="shared" si="534"/>
        <v>EA</v>
      </c>
      <c r="I2089">
        <v>0</v>
      </c>
      <c r="J2089">
        <v>0</v>
      </c>
      <c r="K2089" t="str">
        <f t="shared" si="532"/>
        <v>Y</v>
      </c>
      <c r="L2089">
        <v>0</v>
      </c>
      <c r="M2089" t="str">
        <f t="shared" si="528"/>
        <v>NIS</v>
      </c>
      <c r="O2089">
        <v>1</v>
      </c>
      <c r="P2089" t="str">
        <f t="shared" si="533"/>
        <v>Active</v>
      </c>
      <c r="Q2089" t="str">
        <f>"LM7 Content, JM, Thyristor Motor Drives"</f>
        <v>LM7 Content, JM, Thyristor Motor Drives</v>
      </c>
      <c r="S2089" t="str">
        <f>"LM7 Content, JM, Thyristor Motor Drives"</f>
        <v>LM7 Content, JM, Thyristor Motor Drives</v>
      </c>
      <c r="T2089">
        <v>0</v>
      </c>
      <c r="U2089">
        <v>5</v>
      </c>
      <c r="V2089">
        <v>5</v>
      </c>
      <c r="W2089" t="str">
        <f t="shared" si="535"/>
        <v>zintel</v>
      </c>
    </row>
    <row r="2090" spans="1:23">
      <c r="A2090" t="str">
        <f t="shared" si="536"/>
        <v>JM-POWR-EB03</v>
      </c>
      <c r="B2090" t="str">
        <f>"26-E034-0000"</f>
        <v>26-E034-0000</v>
      </c>
      <c r="C2090" t="str">
        <f>"Assembly, JM, E034, DC Motor Panel"</f>
        <v>Assembly, JM, E034, DC Motor Panel</v>
      </c>
      <c r="D2090">
        <v>1</v>
      </c>
      <c r="E2090" t="str">
        <f t="shared" si="537"/>
        <v>JM Thyristor Motor Drives, EB03, LMS Lab</v>
      </c>
      <c r="F2090">
        <v>0</v>
      </c>
      <c r="G2090" t="str">
        <f t="shared" si="531"/>
        <v>Y</v>
      </c>
      <c r="H2090" t="str">
        <f t="shared" si="534"/>
        <v>EA</v>
      </c>
      <c r="I2090">
        <v>0</v>
      </c>
      <c r="J2090">
        <v>0</v>
      </c>
      <c r="K2090" t="str">
        <f t="shared" si="532"/>
        <v>Y</v>
      </c>
      <c r="L2090">
        <v>0</v>
      </c>
      <c r="M2090" t="str">
        <f t="shared" si="528"/>
        <v>NIS</v>
      </c>
      <c r="O2090">
        <v>2</v>
      </c>
      <c r="P2090" t="str">
        <f t="shared" si="533"/>
        <v>Active</v>
      </c>
      <c r="Q2090" t="str">
        <f>"Assembly, JM, E034, DC Motor Panel"</f>
        <v>Assembly, JM, E034, DC Motor Panel</v>
      </c>
      <c r="S2090" t="str">
        <f>"Assembly, JM, E034, DC Motor Panel"</f>
        <v>Assembly, JM, E034, DC Motor Panel</v>
      </c>
      <c r="T2090">
        <v>304.44</v>
      </c>
      <c r="U2090">
        <v>305</v>
      </c>
      <c r="V2090">
        <v>504.64</v>
      </c>
      <c r="W2090" t="str">
        <f t="shared" si="535"/>
        <v>zintel</v>
      </c>
    </row>
    <row r="2091" spans="1:23">
      <c r="A2091" t="str">
        <f t="shared" si="536"/>
        <v>JM-POWR-EB03</v>
      </c>
      <c r="B2091" t="str">
        <f>"26-E081-0000"</f>
        <v>26-E081-0000</v>
      </c>
      <c r="C2091" t="str">
        <f>"Assembly, JM, E081, SCR Panel"</f>
        <v>Assembly, JM, E081, SCR Panel</v>
      </c>
      <c r="D2091">
        <v>1</v>
      </c>
      <c r="E2091" t="str">
        <f t="shared" si="537"/>
        <v>JM Thyristor Motor Drives, EB03, LMS Lab</v>
      </c>
      <c r="F2091">
        <v>0</v>
      </c>
      <c r="G2091" t="str">
        <f t="shared" si="531"/>
        <v>Y</v>
      </c>
      <c r="H2091" t="str">
        <f t="shared" si="534"/>
        <v>EA</v>
      </c>
      <c r="I2091">
        <v>0</v>
      </c>
      <c r="J2091">
        <v>0</v>
      </c>
      <c r="K2091" t="str">
        <f t="shared" si="532"/>
        <v>Y</v>
      </c>
      <c r="L2091">
        <v>0</v>
      </c>
      <c r="M2091" t="str">
        <f t="shared" si="528"/>
        <v>NIS</v>
      </c>
      <c r="O2091">
        <v>3</v>
      </c>
      <c r="P2091" t="str">
        <f t="shared" si="533"/>
        <v>Active</v>
      </c>
      <c r="Q2091" t="str">
        <f>"Assembly, JM, E081, SCR Panel"</f>
        <v>Assembly, JM, E081, SCR Panel</v>
      </c>
      <c r="S2091" t="str">
        <f>"Assembly, JM, E081, SCR Panel"</f>
        <v>Assembly, JM, E081, SCR Panel</v>
      </c>
      <c r="T2091">
        <v>137.26</v>
      </c>
      <c r="U2091">
        <v>136</v>
      </c>
      <c r="V2091">
        <v>187.31</v>
      </c>
      <c r="W2091" t="str">
        <f t="shared" si="535"/>
        <v>zintel</v>
      </c>
    </row>
    <row r="2092" spans="1:23">
      <c r="A2092" t="str">
        <f t="shared" si="536"/>
        <v>JM-POWR-EB03</v>
      </c>
      <c r="B2092" t="str">
        <f>"26-E083-0000"</f>
        <v>26-E083-0000</v>
      </c>
      <c r="C2092" t="str">
        <f>"Assembly, JM, E083, TRIAC Panel"</f>
        <v>Assembly, JM, E083, TRIAC Panel</v>
      </c>
      <c r="D2092">
        <v>1</v>
      </c>
      <c r="E2092" t="str">
        <f t="shared" si="537"/>
        <v>JM Thyristor Motor Drives, EB03, LMS Lab</v>
      </c>
      <c r="F2092">
        <v>0</v>
      </c>
      <c r="G2092" t="str">
        <f t="shared" si="531"/>
        <v>Y</v>
      </c>
      <c r="H2092" t="str">
        <f t="shared" si="534"/>
        <v>EA</v>
      </c>
      <c r="I2092">
        <v>0</v>
      </c>
      <c r="J2092">
        <v>0</v>
      </c>
      <c r="K2092" t="str">
        <f t="shared" si="532"/>
        <v>Y</v>
      </c>
      <c r="L2092">
        <v>0</v>
      </c>
      <c r="M2092" t="str">
        <f t="shared" si="528"/>
        <v>NIS</v>
      </c>
      <c r="O2092">
        <v>4</v>
      </c>
      <c r="P2092" t="str">
        <f t="shared" si="533"/>
        <v>Active</v>
      </c>
      <c r="Q2092" t="str">
        <f>"Assembly, JM, E083, TRIAC Panel"</f>
        <v>Assembly, JM, E083, TRIAC Panel</v>
      </c>
      <c r="S2092" t="str">
        <f>"Assembly, JM, E083, TRIAC Panel"</f>
        <v>Assembly, JM, E083, TRIAC Panel</v>
      </c>
      <c r="T2092">
        <v>85.19</v>
      </c>
      <c r="U2092">
        <v>85</v>
      </c>
      <c r="V2092">
        <v>190.43</v>
      </c>
      <c r="W2092" t="str">
        <f t="shared" si="535"/>
        <v>zintel</v>
      </c>
    </row>
    <row r="2093" spans="1:23">
      <c r="A2093" t="str">
        <f t="shared" si="536"/>
        <v>JM-POWR-EB03</v>
      </c>
      <c r="B2093" t="str">
        <f>"26-E084-0000"</f>
        <v>26-E084-0000</v>
      </c>
      <c r="C2093" t="str">
        <f>"Assembly, JM, E084, DIAC Adjustable Resistors"</f>
        <v>Assembly, JM, E084, DIAC Adjustable Resistors</v>
      </c>
      <c r="D2093">
        <v>1</v>
      </c>
      <c r="E2093" t="str">
        <f t="shared" si="537"/>
        <v>JM Thyristor Motor Drives, EB03, LMS Lab</v>
      </c>
      <c r="F2093">
        <v>0</v>
      </c>
      <c r="G2093" t="str">
        <f t="shared" si="531"/>
        <v>Y</v>
      </c>
      <c r="H2093" t="str">
        <f t="shared" si="534"/>
        <v>EA</v>
      </c>
      <c r="I2093">
        <v>0</v>
      </c>
      <c r="J2093">
        <v>0</v>
      </c>
      <c r="K2093" t="str">
        <f t="shared" si="532"/>
        <v>Y</v>
      </c>
      <c r="L2093">
        <v>0</v>
      </c>
      <c r="M2093" t="str">
        <f t="shared" si="528"/>
        <v>NIS</v>
      </c>
      <c r="O2093">
        <v>5</v>
      </c>
      <c r="P2093" t="str">
        <f t="shared" si="533"/>
        <v>Active</v>
      </c>
      <c r="Q2093" t="str">
        <f>"Assembly, JM, E084, DIAC Adjustable Resistors"</f>
        <v>Assembly, JM, E084, DIAC Adjustable Resistors</v>
      </c>
      <c r="S2093" t="str">
        <f>"Assembly, JM, E084, DIAC Adjustable Resistors"</f>
        <v>Assembly, JM, E084, DIAC Adjustable Resistors</v>
      </c>
      <c r="T2093">
        <v>114.38</v>
      </c>
      <c r="U2093">
        <v>112</v>
      </c>
      <c r="V2093">
        <v>228.86</v>
      </c>
      <c r="W2093" t="str">
        <f t="shared" si="535"/>
        <v>zintel</v>
      </c>
    </row>
    <row r="2094" spans="1:23">
      <c r="A2094" t="str">
        <f t="shared" si="536"/>
        <v>JM-POWR-EB03</v>
      </c>
      <c r="B2094" t="str">
        <f>"26-E085-0000"</f>
        <v>26-E085-0000</v>
      </c>
      <c r="C2094" t="str">
        <f>"Assembly, JM, E085, Triac w/ Schmitt Trigger"</f>
        <v>Assembly, JM, E085, Triac w/ Schmitt Trigger</v>
      </c>
      <c r="D2094">
        <v>1</v>
      </c>
      <c r="E2094" t="str">
        <f t="shared" si="537"/>
        <v>JM Thyristor Motor Drives, EB03, LMS Lab</v>
      </c>
      <c r="F2094">
        <v>0</v>
      </c>
      <c r="G2094" t="str">
        <f t="shared" si="531"/>
        <v>Y</v>
      </c>
      <c r="H2094" t="str">
        <f t="shared" si="534"/>
        <v>EA</v>
      </c>
      <c r="I2094">
        <v>0</v>
      </c>
      <c r="J2094">
        <v>0</v>
      </c>
      <c r="K2094" t="str">
        <f t="shared" si="532"/>
        <v>Y</v>
      </c>
      <c r="L2094">
        <v>0</v>
      </c>
      <c r="M2094" t="str">
        <f t="shared" si="528"/>
        <v>NIS</v>
      </c>
      <c r="O2094">
        <v>6</v>
      </c>
      <c r="P2094" t="str">
        <f t="shared" ref="P2094:P2125" si="538">"Active"</f>
        <v>Active</v>
      </c>
      <c r="Q2094" t="str">
        <f>"Assembly, JM, E085, Triac w/ Schmitt Trigger"</f>
        <v>Assembly, JM, E085, Triac w/ Schmitt Trigger</v>
      </c>
      <c r="S2094" t="str">
        <f>"Assembly, JM, E085, Triac w/ Schmitt Trigger"</f>
        <v>Assembly, JM, E085, Triac w/ Schmitt Trigger</v>
      </c>
      <c r="T2094">
        <v>153.78</v>
      </c>
      <c r="U2094">
        <v>152</v>
      </c>
      <c r="V2094">
        <v>546.33000000000004</v>
      </c>
      <c r="W2094" t="str">
        <f t="shared" si="535"/>
        <v>zintel</v>
      </c>
    </row>
    <row r="2095" spans="1:23">
      <c r="A2095" t="str">
        <f t="shared" si="536"/>
        <v>JM-POWR-EB03</v>
      </c>
      <c r="B2095" t="str">
        <f>"26-E088-0000"</f>
        <v>26-E088-0000</v>
      </c>
      <c r="C2095" t="str">
        <f>"Assembly, JM, E088, PMW Motor Drive Panel"</f>
        <v>Assembly, JM, E088, PMW Motor Drive Panel</v>
      </c>
      <c r="D2095">
        <v>1</v>
      </c>
      <c r="E2095" t="str">
        <f t="shared" si="537"/>
        <v>JM Thyristor Motor Drives, EB03, LMS Lab</v>
      </c>
      <c r="F2095">
        <v>0</v>
      </c>
      <c r="G2095" t="str">
        <f t="shared" si="531"/>
        <v>Y</v>
      </c>
      <c r="H2095" t="str">
        <f t="shared" si="534"/>
        <v>EA</v>
      </c>
      <c r="I2095">
        <v>0</v>
      </c>
      <c r="J2095">
        <v>0</v>
      </c>
      <c r="K2095" t="str">
        <f t="shared" si="532"/>
        <v>Y</v>
      </c>
      <c r="L2095">
        <v>0</v>
      </c>
      <c r="M2095" t="str">
        <f t="shared" si="528"/>
        <v>NIS</v>
      </c>
      <c r="O2095">
        <v>7</v>
      </c>
      <c r="P2095" t="str">
        <f t="shared" si="538"/>
        <v>Active</v>
      </c>
      <c r="Q2095" t="str">
        <f>"Assembly, JM, E088, PMW Motor Drive Panel"</f>
        <v>Assembly, JM, E088, PMW Motor Drive Panel</v>
      </c>
      <c r="S2095" t="str">
        <f>"Assembly, JM, E088, PMW Motor Drive Panel"</f>
        <v>Assembly, JM, E088, PMW Motor Drive Panel</v>
      </c>
      <c r="T2095">
        <v>173.3</v>
      </c>
      <c r="U2095">
        <v>170</v>
      </c>
      <c r="V2095">
        <v>390.23</v>
      </c>
      <c r="W2095" t="str">
        <f t="shared" si="535"/>
        <v>zintel</v>
      </c>
    </row>
    <row r="2096" spans="1:23">
      <c r="A2096" t="str">
        <f t="shared" si="536"/>
        <v>JM-POWR-EB03</v>
      </c>
      <c r="B2096" t="str">
        <f>"26-E157-0000"</f>
        <v>26-E157-0000</v>
      </c>
      <c r="C2096" t="str">
        <f>"Assembly, JM, E157, Electric AC/DC Motors"</f>
        <v>Assembly, JM, E157, Electric AC/DC Motors</v>
      </c>
      <c r="D2096">
        <v>1</v>
      </c>
      <c r="E2096" t="str">
        <f t="shared" si="537"/>
        <v>JM Thyristor Motor Drives, EB03, LMS Lab</v>
      </c>
      <c r="F2096">
        <v>0</v>
      </c>
      <c r="G2096" t="str">
        <f t="shared" si="531"/>
        <v>Y</v>
      </c>
      <c r="H2096" t="str">
        <f t="shared" si="534"/>
        <v>EA</v>
      </c>
      <c r="I2096">
        <v>0</v>
      </c>
      <c r="J2096">
        <v>0</v>
      </c>
      <c r="K2096" t="str">
        <f t="shared" si="532"/>
        <v>Y</v>
      </c>
      <c r="L2096">
        <v>0</v>
      </c>
      <c r="M2096" t="str">
        <f t="shared" si="528"/>
        <v>NIS</v>
      </c>
      <c r="O2096">
        <v>8</v>
      </c>
      <c r="P2096" t="str">
        <f t="shared" si="538"/>
        <v>Active</v>
      </c>
      <c r="Q2096" t="str">
        <f>"Assembly, JM, E157, Electric AC/DC Motors"</f>
        <v>Assembly, JM, E157, Electric AC/DC Motors</v>
      </c>
      <c r="S2096" t="str">
        <f>"Assembly, JM, E157, Electric AC/DC Motors"</f>
        <v>Assembly, JM, E157, Electric AC/DC Motors</v>
      </c>
      <c r="T2096">
        <v>250.47</v>
      </c>
      <c r="U2096">
        <v>250</v>
      </c>
      <c r="V2096">
        <v>452.67</v>
      </c>
      <c r="W2096" t="str">
        <f t="shared" si="535"/>
        <v>zintel</v>
      </c>
    </row>
    <row r="2097" spans="1:23">
      <c r="A2097" t="str">
        <f t="shared" si="536"/>
        <v>JM-POWR-EB03</v>
      </c>
      <c r="B2097" t="str">
        <f>"36-EB03-IG01"</f>
        <v>36-EB03-IG01</v>
      </c>
      <c r="C2097" t="str">
        <f>"JM, PDF on CD Thyristor Motor Drives - EB03"</f>
        <v>JM, PDF on CD Thyristor Motor Drives - EB03</v>
      </c>
      <c r="D2097">
        <v>1</v>
      </c>
      <c r="E2097" t="str">
        <f t="shared" si="537"/>
        <v>JM Thyristor Motor Drives, EB03, LMS Lab</v>
      </c>
      <c r="F2097">
        <v>0</v>
      </c>
      <c r="G2097" t="str">
        <f t="shared" si="531"/>
        <v>Y</v>
      </c>
      <c r="H2097" t="str">
        <f t="shared" si="534"/>
        <v>EA</v>
      </c>
      <c r="I2097">
        <v>0</v>
      </c>
      <c r="J2097">
        <v>0</v>
      </c>
      <c r="K2097" t="str">
        <f t="shared" si="532"/>
        <v>Y</v>
      </c>
      <c r="L2097">
        <v>0</v>
      </c>
      <c r="M2097" t="str">
        <f t="shared" ref="M2097:M2160" si="539">"NIS"</f>
        <v>NIS</v>
      </c>
      <c r="N2097" t="str">
        <f>"Y"</f>
        <v>Y</v>
      </c>
      <c r="O2097">
        <v>9</v>
      </c>
      <c r="P2097" t="str">
        <f t="shared" si="538"/>
        <v>Active</v>
      </c>
      <c r="Q2097" t="str">
        <f>"JM, PDF on CD Thyristor Motor Drives - EB03"</f>
        <v>JM, PDF on CD Thyristor Motor Drives - EB03</v>
      </c>
      <c r="S2097" t="str">
        <f>"JM, PDF on CD Thyristor Motor Drives - EB03"</f>
        <v>JM, PDF on CD Thyristor Motor Drives - EB03</v>
      </c>
      <c r="T2097">
        <v>10.3</v>
      </c>
      <c r="U2097">
        <v>10.3</v>
      </c>
      <c r="V2097">
        <v>11.43</v>
      </c>
      <c r="W2097" t="str">
        <f t="shared" si="535"/>
        <v>zintel</v>
      </c>
    </row>
    <row r="2098" spans="1:23">
      <c r="A2098" t="str">
        <f t="shared" si="536"/>
        <v>JM-POWR-EB03</v>
      </c>
      <c r="B2098" t="str">
        <f>"26-E082-0000"</f>
        <v>26-E082-0000</v>
      </c>
      <c r="C2098" t="str">
        <f>"Assembly, JM, E082, Full Wave SCR DC Drive Panel"</f>
        <v>Assembly, JM, E082, Full Wave SCR DC Drive Panel</v>
      </c>
      <c r="D2098">
        <v>1</v>
      </c>
      <c r="E2098" t="str">
        <f t="shared" si="537"/>
        <v>JM Thyristor Motor Drives, EB03, LMS Lab</v>
      </c>
      <c r="F2098">
        <v>0</v>
      </c>
      <c r="G2098" t="str">
        <f t="shared" si="531"/>
        <v>Y</v>
      </c>
      <c r="H2098" t="str">
        <f t="shared" si="534"/>
        <v>EA</v>
      </c>
      <c r="I2098">
        <v>0</v>
      </c>
      <c r="J2098">
        <v>0</v>
      </c>
      <c r="K2098" t="str">
        <f t="shared" si="532"/>
        <v>Y</v>
      </c>
      <c r="L2098">
        <v>0</v>
      </c>
      <c r="M2098" t="str">
        <f t="shared" si="539"/>
        <v>NIS</v>
      </c>
      <c r="O2098">
        <v>10</v>
      </c>
      <c r="P2098" t="str">
        <f t="shared" si="538"/>
        <v>Active</v>
      </c>
      <c r="Q2098" t="str">
        <f>"Assembly, JM, E082, Full Wave SCR DC Drive Panel"</f>
        <v>Assembly, JM, E082, Full Wave SCR DC Drive Panel</v>
      </c>
      <c r="S2098" t="str">
        <f>"Assembly, JM, E082, Full Wave SCR DC Drive Panel"</f>
        <v>Assembly, JM, E082, Full Wave SCR DC Drive Panel</v>
      </c>
      <c r="T2098">
        <v>262.07</v>
      </c>
      <c r="U2098">
        <v>261</v>
      </c>
      <c r="V2098">
        <v>366.79</v>
      </c>
      <c r="W2098" t="str">
        <f t="shared" si="535"/>
        <v>zintel</v>
      </c>
    </row>
    <row r="2099" spans="1:23">
      <c r="A2099" t="str">
        <f>"JM-POWR-EB04"</f>
        <v>JM-POWR-EB04</v>
      </c>
      <c r="B2099" t="str">
        <f>"77-EB04-0000"</f>
        <v>77-EB04-0000</v>
      </c>
      <c r="C2099" t="str">
        <f>"LM7 Content, JM, Electronic Timers &amp; Triggers"</f>
        <v>LM7 Content, JM, Electronic Timers &amp; Triggers</v>
      </c>
      <c r="D2099">
        <v>1</v>
      </c>
      <c r="E2099" t="str">
        <f>"JM Electronic Timers &amp; Triggers, EB04, LMS Lab"</f>
        <v>JM Electronic Timers &amp; Triggers, EB04, LMS Lab</v>
      </c>
      <c r="F2099">
        <v>0</v>
      </c>
      <c r="G2099" t="str">
        <f t="shared" si="531"/>
        <v>Y</v>
      </c>
      <c r="H2099" t="str">
        <f t="shared" si="534"/>
        <v>EA</v>
      </c>
      <c r="I2099">
        <v>0</v>
      </c>
      <c r="J2099">
        <v>0</v>
      </c>
      <c r="K2099" t="str">
        <f t="shared" si="532"/>
        <v>Y</v>
      </c>
      <c r="L2099">
        <v>0</v>
      </c>
      <c r="M2099" t="str">
        <f t="shared" si="539"/>
        <v>NIS</v>
      </c>
      <c r="O2099">
        <v>1</v>
      </c>
      <c r="P2099" t="str">
        <f t="shared" si="538"/>
        <v>Active</v>
      </c>
      <c r="Q2099" t="str">
        <f>"LM7 Content, JM, Electronic Timers &amp; Triggers"</f>
        <v>LM7 Content, JM, Electronic Timers &amp; Triggers</v>
      </c>
      <c r="S2099" t="str">
        <f>"LM7 Content, JM, Electronic Timers &amp; Triggers"</f>
        <v>LM7 Content, JM, Electronic Timers &amp; Triggers</v>
      </c>
      <c r="T2099">
        <v>0</v>
      </c>
      <c r="U2099">
        <v>5</v>
      </c>
      <c r="V2099">
        <v>5</v>
      </c>
      <c r="W2099" t="str">
        <f t="shared" si="535"/>
        <v>zintel</v>
      </c>
    </row>
    <row r="2100" spans="1:23">
      <c r="A2100" t="str">
        <f>"JM-POWR-EB04"</f>
        <v>JM-POWR-EB04</v>
      </c>
      <c r="B2100" t="str">
        <f>"26-E089-0000"</f>
        <v>26-E089-0000</v>
      </c>
      <c r="C2100" t="str">
        <f>"Assembly, JM, E089, Timers and Triggers Panel"</f>
        <v>Assembly, JM, E089, Timers and Triggers Panel</v>
      </c>
      <c r="D2100">
        <v>1</v>
      </c>
      <c r="E2100" t="str">
        <f>"JM Electronic Timers &amp; Triggers, EB04, LMS Lab"</f>
        <v>JM Electronic Timers &amp; Triggers, EB04, LMS Lab</v>
      </c>
      <c r="F2100">
        <v>0</v>
      </c>
      <c r="G2100" t="str">
        <f t="shared" si="531"/>
        <v>Y</v>
      </c>
      <c r="H2100" t="str">
        <f t="shared" si="534"/>
        <v>EA</v>
      </c>
      <c r="I2100">
        <v>0</v>
      </c>
      <c r="J2100">
        <v>0</v>
      </c>
      <c r="K2100" t="str">
        <f t="shared" si="532"/>
        <v>Y</v>
      </c>
      <c r="L2100">
        <v>0</v>
      </c>
      <c r="M2100" t="str">
        <f t="shared" si="539"/>
        <v>NIS</v>
      </c>
      <c r="O2100">
        <v>2</v>
      </c>
      <c r="P2100" t="str">
        <f t="shared" si="538"/>
        <v>Active</v>
      </c>
      <c r="Q2100" t="str">
        <f>"Assembly, JM, E089, Timers and Triggers Panel"</f>
        <v>Assembly, JM, E089, Timers and Triggers Panel</v>
      </c>
      <c r="S2100" t="str">
        <f>"Assembly, JM, E089, Timers and Triggers Panel"</f>
        <v>Assembly, JM, E089, Timers and Triggers Panel</v>
      </c>
      <c r="T2100">
        <v>122.91</v>
      </c>
      <c r="U2100">
        <v>122</v>
      </c>
      <c r="V2100">
        <v>408.97</v>
      </c>
      <c r="W2100" t="str">
        <f t="shared" si="535"/>
        <v>zintel</v>
      </c>
    </row>
    <row r="2101" spans="1:23">
      <c r="A2101" t="str">
        <f>"JM-POWR-EB04"</f>
        <v>JM-POWR-EB04</v>
      </c>
      <c r="B2101" t="str">
        <f>"36-EB04-IG01"</f>
        <v>36-EB04-IG01</v>
      </c>
      <c r="C2101" t="str">
        <f>"JM, PDF on CD Electronic Timers &amp; Triggers- EB04"</f>
        <v>JM, PDF on CD Electronic Timers &amp; Triggers- EB04</v>
      </c>
      <c r="D2101">
        <v>1</v>
      </c>
      <c r="E2101" t="str">
        <f>"JM Electronic Timers &amp; Triggers, EB04, LMS Lab"</f>
        <v>JM Electronic Timers &amp; Triggers, EB04, LMS Lab</v>
      </c>
      <c r="F2101">
        <v>0</v>
      </c>
      <c r="G2101" t="str">
        <f t="shared" si="531"/>
        <v>Y</v>
      </c>
      <c r="H2101" t="str">
        <f t="shared" si="534"/>
        <v>EA</v>
      </c>
      <c r="I2101">
        <v>0</v>
      </c>
      <c r="J2101">
        <v>0</v>
      </c>
      <c r="K2101" t="str">
        <f t="shared" si="532"/>
        <v>Y</v>
      </c>
      <c r="L2101">
        <v>0</v>
      </c>
      <c r="M2101" t="str">
        <f t="shared" si="539"/>
        <v>NIS</v>
      </c>
      <c r="N2101" t="str">
        <f>"Y"</f>
        <v>Y</v>
      </c>
      <c r="O2101">
        <v>3</v>
      </c>
      <c r="P2101" t="str">
        <f t="shared" si="538"/>
        <v>Active</v>
      </c>
      <c r="Q2101" t="str">
        <f>"JM, PDF on CD Electronic Timers &amp; Triggers- EB04"</f>
        <v>JM, PDF on CD Electronic Timers &amp; Triggers- EB04</v>
      </c>
      <c r="S2101" t="str">
        <f>"JM, PDF on CD Electronic Timers &amp; Triggers- EB04"</f>
        <v>JM, PDF on CD Electronic Timers &amp; Triggers- EB04</v>
      </c>
      <c r="T2101">
        <v>0</v>
      </c>
      <c r="U2101">
        <v>9.5</v>
      </c>
      <c r="V2101">
        <v>10.55</v>
      </c>
      <c r="W2101" t="str">
        <f t="shared" si="535"/>
        <v>zintel</v>
      </c>
    </row>
    <row r="2102" spans="1:23">
      <c r="A2102" t="str">
        <f>"JM-POWR-EB05"</f>
        <v>JM-POWR-EB05</v>
      </c>
      <c r="B2102" t="str">
        <f>"77-EB05-0000"</f>
        <v>77-EB05-0000</v>
      </c>
      <c r="C2102" t="str">
        <f>"LM7 Content, JM, Basic Stepper Motors &amp; Drives"</f>
        <v>LM7 Content, JM, Basic Stepper Motors &amp; Drives</v>
      </c>
      <c r="D2102">
        <v>1</v>
      </c>
      <c r="E2102" t="str">
        <f>"JM Basic Stepper Motors &amp; Drives, EB05, LMS Lab"</f>
        <v>JM Basic Stepper Motors &amp; Drives, EB05, LMS Lab</v>
      </c>
      <c r="F2102">
        <v>0</v>
      </c>
      <c r="G2102" t="str">
        <f t="shared" si="531"/>
        <v>Y</v>
      </c>
      <c r="H2102" t="str">
        <f t="shared" si="534"/>
        <v>EA</v>
      </c>
      <c r="I2102">
        <v>0</v>
      </c>
      <c r="J2102">
        <v>0</v>
      </c>
      <c r="K2102" t="str">
        <f t="shared" si="532"/>
        <v>Y</v>
      </c>
      <c r="L2102">
        <v>0</v>
      </c>
      <c r="M2102" t="str">
        <f t="shared" si="539"/>
        <v>NIS</v>
      </c>
      <c r="O2102">
        <v>1</v>
      </c>
      <c r="P2102" t="str">
        <f t="shared" si="538"/>
        <v>Active</v>
      </c>
      <c r="Q2102" t="str">
        <f>"LM7 Content, JM, Basic Stepper Motors &amp; Drives"</f>
        <v>LM7 Content, JM, Basic Stepper Motors &amp; Drives</v>
      </c>
      <c r="S2102" t="str">
        <f>"LM7 Content, JM, Basic Stepper Motors &amp; Drives"</f>
        <v>LM7 Content, JM, Basic Stepper Motors &amp; Drives</v>
      </c>
      <c r="T2102">
        <v>0</v>
      </c>
      <c r="U2102">
        <v>5</v>
      </c>
      <c r="V2102">
        <v>5</v>
      </c>
      <c r="W2102" t="str">
        <f t="shared" si="535"/>
        <v>zintel</v>
      </c>
    </row>
    <row r="2103" spans="1:23">
      <c r="A2103" t="str">
        <f>"JM-POWR-EB05"</f>
        <v>JM-POWR-EB05</v>
      </c>
      <c r="B2103" t="str">
        <f>"26-E090-0000"</f>
        <v>26-E090-0000</v>
      </c>
      <c r="C2103" t="str">
        <f>"Assembly, JM, E090, Stepper Motor &amp; Drive Panel"</f>
        <v>Assembly, JM, E090, Stepper Motor &amp; Drive Panel</v>
      </c>
      <c r="D2103">
        <v>1</v>
      </c>
      <c r="E2103" t="str">
        <f>"JM Basic Stepper Motors &amp; Drives, EB05, LMS Lab"</f>
        <v>JM Basic Stepper Motors &amp; Drives, EB05, LMS Lab</v>
      </c>
      <c r="F2103">
        <v>0</v>
      </c>
      <c r="G2103" t="str">
        <f t="shared" si="531"/>
        <v>Y</v>
      </c>
      <c r="H2103" t="str">
        <f t="shared" si="534"/>
        <v>EA</v>
      </c>
      <c r="I2103">
        <v>0</v>
      </c>
      <c r="J2103">
        <v>0</v>
      </c>
      <c r="K2103" t="str">
        <f t="shared" si="532"/>
        <v>Y</v>
      </c>
      <c r="L2103">
        <v>0</v>
      </c>
      <c r="M2103" t="str">
        <f t="shared" si="539"/>
        <v>NIS</v>
      </c>
      <c r="O2103">
        <v>2</v>
      </c>
      <c r="P2103" t="str">
        <f t="shared" si="538"/>
        <v>Active</v>
      </c>
      <c r="Q2103" t="str">
        <f>"Assembly, JM, E090, Stepper Motor &amp; Drive Panel"</f>
        <v>Assembly, JM, E090, Stepper Motor &amp; Drive Panel</v>
      </c>
      <c r="S2103" t="str">
        <f>"Assembly, JM, E090, Stepper Motor &amp; Drive Panel"</f>
        <v>Assembly, JM, E090, Stepper Motor &amp; Drive Panel</v>
      </c>
      <c r="T2103">
        <v>296.8</v>
      </c>
      <c r="U2103">
        <v>300</v>
      </c>
      <c r="V2103">
        <v>506.96</v>
      </c>
      <c r="W2103" t="str">
        <f t="shared" si="535"/>
        <v>zintel</v>
      </c>
    </row>
    <row r="2104" spans="1:23">
      <c r="A2104" t="str">
        <f>"JM-POWR-EB05"</f>
        <v>JM-POWR-EB05</v>
      </c>
      <c r="B2104" t="str">
        <f>"36-EB05-IG01"</f>
        <v>36-EB05-IG01</v>
      </c>
      <c r="C2104" t="str">
        <f>"JM, PDF on CD Basic Stepper Motor &amp; Drives- EB05"</f>
        <v>JM, PDF on CD Basic Stepper Motor &amp; Drives- EB05</v>
      </c>
      <c r="D2104">
        <v>1</v>
      </c>
      <c r="E2104" t="str">
        <f>"JM Basic Stepper Motors &amp; Drives, EB05, LMS Lab"</f>
        <v>JM Basic Stepper Motors &amp; Drives, EB05, LMS Lab</v>
      </c>
      <c r="F2104">
        <v>0</v>
      </c>
      <c r="G2104" t="str">
        <f t="shared" si="531"/>
        <v>Y</v>
      </c>
      <c r="H2104" t="str">
        <f t="shared" si="534"/>
        <v>EA</v>
      </c>
      <c r="I2104">
        <v>0</v>
      </c>
      <c r="J2104">
        <v>0</v>
      </c>
      <c r="K2104" t="str">
        <f t="shared" si="532"/>
        <v>Y</v>
      </c>
      <c r="L2104">
        <v>0</v>
      </c>
      <c r="M2104" t="str">
        <f t="shared" si="539"/>
        <v>NIS</v>
      </c>
      <c r="N2104" t="str">
        <f>"Y"</f>
        <v>Y</v>
      </c>
      <c r="O2104">
        <v>3</v>
      </c>
      <c r="P2104" t="str">
        <f t="shared" si="538"/>
        <v>Active</v>
      </c>
      <c r="Q2104" t="str">
        <f>"JM, PDF on CD Basic Stepper Motor &amp; Drives- EB05"</f>
        <v>JM, PDF on CD Basic Stepper Motor &amp; Drives- EB05</v>
      </c>
      <c r="S2104" t="str">
        <f>"JM, PDF on CD Basic Stepper Motor &amp; Drives- EB05"</f>
        <v>JM, PDF on CD Basic Stepper Motor &amp; Drives- EB05</v>
      </c>
      <c r="T2104">
        <v>0</v>
      </c>
      <c r="U2104">
        <v>9.5</v>
      </c>
      <c r="V2104">
        <v>10.55</v>
      </c>
      <c r="W2104" t="str">
        <f t="shared" si="535"/>
        <v>zintel</v>
      </c>
    </row>
    <row r="2105" spans="1:23">
      <c r="A2105" t="str">
        <f>"JM-POWR-EB06"</f>
        <v>JM-POWR-EB06</v>
      </c>
      <c r="B2105" t="str">
        <f>"77-EB06-0000"</f>
        <v>77-EB06-0000</v>
      </c>
      <c r="C2105" t="str">
        <f>"LM7 Content, JM, Basic Servo Motor Drives"</f>
        <v>LM7 Content, JM, Basic Servo Motor Drives</v>
      </c>
      <c r="D2105">
        <v>1</v>
      </c>
      <c r="E2105" t="str">
        <f>"JM Basic Servo Motor Drives"</f>
        <v>JM Basic Servo Motor Drives</v>
      </c>
      <c r="F2105">
        <v>0</v>
      </c>
      <c r="G2105" t="str">
        <f t="shared" si="531"/>
        <v>Y</v>
      </c>
      <c r="H2105" t="str">
        <f t="shared" si="534"/>
        <v>EA</v>
      </c>
      <c r="I2105">
        <v>0</v>
      </c>
      <c r="J2105">
        <v>0</v>
      </c>
      <c r="K2105" t="str">
        <f t="shared" si="532"/>
        <v>Y</v>
      </c>
      <c r="L2105">
        <v>0</v>
      </c>
      <c r="M2105" t="str">
        <f t="shared" si="539"/>
        <v>NIS</v>
      </c>
      <c r="O2105">
        <v>1</v>
      </c>
      <c r="P2105" t="str">
        <f t="shared" si="538"/>
        <v>Active</v>
      </c>
      <c r="Q2105" t="str">
        <f>"LM7 Content, JM, Basic Servo Motor Drives"</f>
        <v>LM7 Content, JM, Basic Servo Motor Drives</v>
      </c>
      <c r="S2105" t="str">
        <f>"LM7 Content, JM, Basic Servo Motor Drives"</f>
        <v>LM7 Content, JM, Basic Servo Motor Drives</v>
      </c>
      <c r="T2105">
        <v>0</v>
      </c>
      <c r="U2105">
        <v>5</v>
      </c>
      <c r="V2105">
        <v>5</v>
      </c>
      <c r="W2105" t="str">
        <f t="shared" si="535"/>
        <v>zintel</v>
      </c>
    </row>
    <row r="2106" spans="1:23">
      <c r="A2106" t="str">
        <f>"JM-POWR-EB06"</f>
        <v>JM-POWR-EB06</v>
      </c>
      <c r="B2106" t="str">
        <f>"26-E091-0000"</f>
        <v>26-E091-0000</v>
      </c>
      <c r="C2106" t="str">
        <f>"Assembly, JM, E091, Servo Motor&amp; Drive Panel"</f>
        <v>Assembly, JM, E091, Servo Motor&amp; Drive Panel</v>
      </c>
      <c r="D2106">
        <v>1</v>
      </c>
      <c r="E2106" t="str">
        <f>"JM Basic Servo Motor Drives"</f>
        <v>JM Basic Servo Motor Drives</v>
      </c>
      <c r="F2106">
        <v>0</v>
      </c>
      <c r="G2106" t="str">
        <f t="shared" si="531"/>
        <v>Y</v>
      </c>
      <c r="H2106" t="str">
        <f t="shared" si="534"/>
        <v>EA</v>
      </c>
      <c r="I2106">
        <v>0</v>
      </c>
      <c r="J2106">
        <v>0</v>
      </c>
      <c r="K2106" t="str">
        <f t="shared" si="532"/>
        <v>Y</v>
      </c>
      <c r="L2106">
        <v>0</v>
      </c>
      <c r="M2106" t="str">
        <f t="shared" si="539"/>
        <v>NIS</v>
      </c>
      <c r="O2106">
        <v>2</v>
      </c>
      <c r="P2106" t="str">
        <f t="shared" si="538"/>
        <v>Active</v>
      </c>
      <c r="Q2106" t="str">
        <f>"Assembly, JM, E091, Servo Motor&amp; Drive Panel"</f>
        <v>Assembly, JM, E091, Servo Motor&amp; Drive Panel</v>
      </c>
      <c r="S2106" t="str">
        <f>"Assembly, JM, E091, Servo Motor&amp; Drive Panel"</f>
        <v>Assembly, JM, E091, Servo Motor&amp; Drive Panel</v>
      </c>
      <c r="T2106">
        <v>219.92</v>
      </c>
      <c r="U2106">
        <v>220</v>
      </c>
      <c r="V2106">
        <v>462.04</v>
      </c>
      <c r="W2106" t="str">
        <f t="shared" si="535"/>
        <v>zintel</v>
      </c>
    </row>
    <row r="2107" spans="1:23">
      <c r="A2107" t="str">
        <f>"JM-POWR-EB06"</f>
        <v>JM-POWR-EB06</v>
      </c>
      <c r="B2107" t="str">
        <f>"36-EB06-IG01"</f>
        <v>36-EB06-IG01</v>
      </c>
      <c r="C2107" t="str">
        <f>"JM, PDF on CD Basic Servo Motor Drives - EB06"</f>
        <v>JM, PDF on CD Basic Servo Motor Drives - EB06</v>
      </c>
      <c r="D2107">
        <v>1</v>
      </c>
      <c r="E2107" t="str">
        <f>"JM Basic Servo Motor Drives"</f>
        <v>JM Basic Servo Motor Drives</v>
      </c>
      <c r="F2107">
        <v>0</v>
      </c>
      <c r="G2107" t="str">
        <f t="shared" si="531"/>
        <v>Y</v>
      </c>
      <c r="H2107" t="str">
        <f t="shared" si="534"/>
        <v>EA</v>
      </c>
      <c r="I2107">
        <v>0</v>
      </c>
      <c r="J2107">
        <v>0</v>
      </c>
      <c r="K2107" t="str">
        <f t="shared" si="532"/>
        <v>Y</v>
      </c>
      <c r="L2107">
        <v>0</v>
      </c>
      <c r="M2107" t="str">
        <f t="shared" si="539"/>
        <v>NIS</v>
      </c>
      <c r="N2107" t="str">
        <f>"Y"</f>
        <v>Y</v>
      </c>
      <c r="O2107">
        <v>3</v>
      </c>
      <c r="P2107" t="str">
        <f t="shared" si="538"/>
        <v>Active</v>
      </c>
      <c r="Q2107" t="str">
        <f>"JM, PDF on CD Basic Servo Motor Drives - EB06"</f>
        <v>JM, PDF on CD Basic Servo Motor Drives - EB06</v>
      </c>
      <c r="S2107" t="str">
        <f>"JM, PDF on CD Basic Servo Motor Drives - EB06"</f>
        <v>JM, PDF on CD Basic Servo Motor Drives - EB06</v>
      </c>
      <c r="T2107">
        <v>0</v>
      </c>
      <c r="U2107">
        <v>9.5</v>
      </c>
      <c r="V2107">
        <v>10.55</v>
      </c>
      <c r="W2107" t="str">
        <f t="shared" si="535"/>
        <v>zintel</v>
      </c>
    </row>
    <row r="2108" spans="1:23">
      <c r="A2108" t="str">
        <f t="shared" ref="A2108:A2155" si="540">"JM-POWR-ELEC"</f>
        <v>JM-POWR-ELEC</v>
      </c>
      <c r="B2108" t="str">
        <f>"10-LS00-0200"</f>
        <v>10-LS00-0200</v>
      </c>
      <c r="C2108" t="str">
        <f>"LS200:Jobmaster 2-Sided Mobile Learning Station"</f>
        <v>LS200:Jobmaster 2-Sided Mobile Learning Station</v>
      </c>
      <c r="D2108">
        <v>1</v>
      </c>
      <c r="E2108" t="str">
        <f t="shared" ref="E2108:E2155" si="541">"Industrial Power Electronics Two Sided Bench"</f>
        <v>Industrial Power Electronics Two Sided Bench</v>
      </c>
      <c r="F2108">
        <v>0</v>
      </c>
      <c r="G2108" t="str">
        <f t="shared" si="531"/>
        <v>Y</v>
      </c>
      <c r="H2108" t="str">
        <f t="shared" si="534"/>
        <v>EA</v>
      </c>
      <c r="I2108">
        <v>0</v>
      </c>
      <c r="J2108">
        <v>0</v>
      </c>
      <c r="K2108" t="str">
        <f t="shared" si="532"/>
        <v>Y</v>
      </c>
      <c r="L2108">
        <v>0</v>
      </c>
      <c r="M2108" t="str">
        <f t="shared" si="539"/>
        <v>NIS</v>
      </c>
      <c r="O2108">
        <v>1</v>
      </c>
      <c r="P2108" t="str">
        <f t="shared" si="538"/>
        <v>Active</v>
      </c>
      <c r="Q2108" t="str">
        <f>"LS200:Jobmaster 2-Sided Mobile Learning Station"</f>
        <v>LS200:Jobmaster 2-Sided Mobile Learning Station</v>
      </c>
      <c r="S2108" t="str">
        <f>"LS200:Jobmaster 2-Sided Mobile Learning Station"</f>
        <v>LS200:Jobmaster 2-Sided Mobile Learning Station</v>
      </c>
      <c r="T2108" s="44">
        <v>2283.3200000000002</v>
      </c>
      <c r="U2108" s="44">
        <v>2121</v>
      </c>
      <c r="V2108" s="44">
        <v>3030.14</v>
      </c>
      <c r="W2108" t="str">
        <f t="shared" si="535"/>
        <v>zintel</v>
      </c>
    </row>
    <row r="2109" spans="1:23">
      <c r="A2109" t="str">
        <f t="shared" si="540"/>
        <v>JM-POWR-ELEC</v>
      </c>
      <c r="B2109" t="str">
        <f>"10-PC04-0000"</f>
        <v>10-PC04-0000</v>
      </c>
      <c r="C2109" t="str">
        <f>"JM, Panel PC04, 120VAC Power Control"</f>
        <v>JM, Panel PC04, 120VAC Power Control</v>
      </c>
      <c r="D2109">
        <v>2</v>
      </c>
      <c r="E2109" t="str">
        <f t="shared" si="541"/>
        <v>Industrial Power Electronics Two Sided Bench</v>
      </c>
      <c r="F2109">
        <v>0</v>
      </c>
      <c r="G2109" t="str">
        <f t="shared" si="531"/>
        <v>Y</v>
      </c>
      <c r="H2109" t="str">
        <f t="shared" si="534"/>
        <v>EA</v>
      </c>
      <c r="I2109">
        <v>0</v>
      </c>
      <c r="J2109">
        <v>0</v>
      </c>
      <c r="K2109" t="str">
        <f t="shared" si="532"/>
        <v>Y</v>
      </c>
      <c r="L2109">
        <v>0</v>
      </c>
      <c r="M2109" t="str">
        <f t="shared" si="539"/>
        <v>NIS</v>
      </c>
      <c r="O2109">
        <v>2</v>
      </c>
      <c r="P2109" t="str">
        <f t="shared" si="538"/>
        <v>Active</v>
      </c>
      <c r="Q2109" t="str">
        <f>"JM, Panel PC04, 120VAC Power Control"</f>
        <v>JM, Panel PC04, 120VAC Power Control</v>
      </c>
      <c r="S2109" t="str">
        <f>"JM, Panel PC04, 120VAC Power Control"</f>
        <v>JM, Panel PC04, 120VAC Power Control</v>
      </c>
      <c r="T2109">
        <v>358.54</v>
      </c>
      <c r="U2109">
        <v>358</v>
      </c>
      <c r="V2109">
        <v>637.30999999999995</v>
      </c>
      <c r="W2109" t="str">
        <f t="shared" si="535"/>
        <v>zintel</v>
      </c>
    </row>
    <row r="2110" spans="1:23">
      <c r="A2110" t="str">
        <f t="shared" si="540"/>
        <v>JM-POWR-ELEC</v>
      </c>
      <c r="B2110" t="str">
        <f>"10-PC06-0000"</f>
        <v>10-PC06-0000</v>
      </c>
      <c r="C2110" t="str">
        <f>"JM, Panel PC06, 220VAC Three Phase Power Control"</f>
        <v>JM, Panel PC06, 220VAC Three Phase Power Control</v>
      </c>
      <c r="D2110">
        <v>2</v>
      </c>
      <c r="E2110" t="str">
        <f t="shared" si="541"/>
        <v>Industrial Power Electronics Two Sided Bench</v>
      </c>
      <c r="F2110">
        <v>0</v>
      </c>
      <c r="G2110" t="str">
        <f t="shared" si="531"/>
        <v>Y</v>
      </c>
      <c r="H2110" t="str">
        <f t="shared" si="534"/>
        <v>EA</v>
      </c>
      <c r="I2110">
        <v>0</v>
      </c>
      <c r="J2110">
        <v>0</v>
      </c>
      <c r="K2110" t="str">
        <f t="shared" si="532"/>
        <v>Y</v>
      </c>
      <c r="L2110">
        <v>0</v>
      </c>
      <c r="M2110" t="str">
        <f t="shared" si="539"/>
        <v>NIS</v>
      </c>
      <c r="O2110">
        <v>3</v>
      </c>
      <c r="P2110" t="str">
        <f t="shared" si="538"/>
        <v>Active</v>
      </c>
      <c r="Q2110" t="str">
        <f>"JM, Panel PC06, 220VAC Three Phase Power Control"</f>
        <v>JM, Panel PC06, 220VAC Three Phase Power Control</v>
      </c>
      <c r="S2110" t="str">
        <f>"JM, Panel PC06, 220VAC Three Phase Power Control"</f>
        <v>JM, Panel PC06, 220VAC Three Phase Power Control</v>
      </c>
      <c r="T2110">
        <v>399.23</v>
      </c>
      <c r="U2110">
        <v>400</v>
      </c>
      <c r="V2110">
        <v>576.48</v>
      </c>
      <c r="W2110" t="str">
        <f t="shared" si="535"/>
        <v>zintel</v>
      </c>
    </row>
    <row r="2111" spans="1:23">
      <c r="A2111" t="str">
        <f t="shared" si="540"/>
        <v>JM-POWR-ELEC</v>
      </c>
      <c r="B2111" t="str">
        <f>"77-EB01A-0000"</f>
        <v>77-EB01A-0000</v>
      </c>
      <c r="C2111" t="str">
        <f>"LM7 Content, JM, Oscilloscope"</f>
        <v>LM7 Content, JM, Oscilloscope</v>
      </c>
      <c r="D2111">
        <v>1</v>
      </c>
      <c r="E2111" t="str">
        <f t="shared" si="541"/>
        <v>Industrial Power Electronics Two Sided Bench</v>
      </c>
      <c r="F2111">
        <v>0</v>
      </c>
      <c r="G2111" t="str">
        <f t="shared" si="531"/>
        <v>Y</v>
      </c>
      <c r="H2111" t="str">
        <f t="shared" si="534"/>
        <v>EA</v>
      </c>
      <c r="I2111">
        <v>0</v>
      </c>
      <c r="J2111">
        <v>0</v>
      </c>
      <c r="K2111" t="str">
        <f t="shared" si="532"/>
        <v>Y</v>
      </c>
      <c r="L2111">
        <v>0</v>
      </c>
      <c r="M2111" t="str">
        <f t="shared" si="539"/>
        <v>NIS</v>
      </c>
      <c r="O2111">
        <v>4</v>
      </c>
      <c r="P2111" t="str">
        <f t="shared" si="538"/>
        <v>Active</v>
      </c>
      <c r="Q2111" t="str">
        <f>"LM7 Content, JM, Oscilloscope"</f>
        <v>LM7 Content, JM, Oscilloscope</v>
      </c>
      <c r="S2111" t="str">
        <f>"LM7 Content, JM, Oscilloscope"</f>
        <v>LM7 Content, JM, Oscilloscope</v>
      </c>
      <c r="T2111">
        <v>0</v>
      </c>
      <c r="U2111">
        <v>5</v>
      </c>
      <c r="V2111">
        <v>5</v>
      </c>
      <c r="W2111" t="str">
        <f t="shared" si="535"/>
        <v>zintel</v>
      </c>
    </row>
    <row r="2112" spans="1:23">
      <c r="A2112" t="str">
        <f t="shared" si="540"/>
        <v>JM-POWR-ELEC</v>
      </c>
      <c r="B2112" t="str">
        <f>"26-E087-0000"</f>
        <v>26-E087-0000</v>
      </c>
      <c r="C2112" t="str">
        <f>"Assembly, JM, E087, Adjustable Power Supply"</f>
        <v>Assembly, JM, E087, Adjustable Power Supply</v>
      </c>
      <c r="D2112">
        <v>4</v>
      </c>
      <c r="E2112" t="str">
        <f t="shared" si="541"/>
        <v>Industrial Power Electronics Two Sided Bench</v>
      </c>
      <c r="F2112">
        <v>0</v>
      </c>
      <c r="G2112" t="str">
        <f t="shared" si="531"/>
        <v>Y</v>
      </c>
      <c r="H2112" t="str">
        <f t="shared" si="534"/>
        <v>EA</v>
      </c>
      <c r="I2112">
        <v>0</v>
      </c>
      <c r="J2112">
        <v>0</v>
      </c>
      <c r="K2112" t="str">
        <f t="shared" si="532"/>
        <v>Y</v>
      </c>
      <c r="L2112">
        <v>0</v>
      </c>
      <c r="M2112" t="str">
        <f t="shared" si="539"/>
        <v>NIS</v>
      </c>
      <c r="O2112">
        <v>5</v>
      </c>
      <c r="P2112" t="str">
        <f t="shared" si="538"/>
        <v>Active</v>
      </c>
      <c r="Q2112" t="str">
        <f>"Assembly, JM, E087, Adjustable Power Supply"</f>
        <v>Assembly, JM, E087, Adjustable Power Supply</v>
      </c>
      <c r="S2112" t="str">
        <f>"Assembly, JM, E087, Adjustable Power Supply"</f>
        <v>Assembly, JM, E087, Adjustable Power Supply</v>
      </c>
      <c r="T2112">
        <v>73.88</v>
      </c>
      <c r="U2112">
        <v>75</v>
      </c>
      <c r="V2112">
        <v>174.83</v>
      </c>
      <c r="W2112" t="str">
        <f t="shared" si="535"/>
        <v>zintel</v>
      </c>
    </row>
    <row r="2113" spans="1:23">
      <c r="A2113" t="str">
        <f t="shared" si="540"/>
        <v>JM-POWR-ELEC</v>
      </c>
      <c r="B2113" t="str">
        <f>"26-E153-0000"</f>
        <v>26-E153-0000</v>
      </c>
      <c r="C2113" t="str">
        <f>"Assembly, JM, E153, AC/DC Circuits"</f>
        <v>Assembly, JM, E153, AC/DC Circuits</v>
      </c>
      <c r="D2113">
        <v>2</v>
      </c>
      <c r="E2113" t="str">
        <f t="shared" si="541"/>
        <v>Industrial Power Electronics Two Sided Bench</v>
      </c>
      <c r="F2113">
        <v>0</v>
      </c>
      <c r="G2113" t="str">
        <f t="shared" si="531"/>
        <v>Y</v>
      </c>
      <c r="H2113" t="str">
        <f t="shared" si="534"/>
        <v>EA</v>
      </c>
      <c r="I2113">
        <v>0</v>
      </c>
      <c r="J2113">
        <v>0</v>
      </c>
      <c r="K2113" t="str">
        <f t="shared" si="532"/>
        <v>Y</v>
      </c>
      <c r="L2113">
        <v>0</v>
      </c>
      <c r="M2113" t="str">
        <f t="shared" si="539"/>
        <v>NIS</v>
      </c>
      <c r="N2113" t="str">
        <f>"Y"</f>
        <v>Y</v>
      </c>
      <c r="O2113">
        <v>6</v>
      </c>
      <c r="P2113" t="str">
        <f t="shared" si="538"/>
        <v>Active</v>
      </c>
      <c r="Q2113" t="str">
        <f>"Assembly, JM, E153, AC/DC Circuits"</f>
        <v>Assembly, JM, E153, AC/DC Circuits</v>
      </c>
      <c r="S2113" t="str">
        <f>"Assembly, JM, E153, AC/DC Circuits"</f>
        <v>Assembly, JM, E153, AC/DC Circuits</v>
      </c>
      <c r="T2113">
        <v>133.96</v>
      </c>
      <c r="U2113">
        <v>130</v>
      </c>
      <c r="V2113">
        <v>293.45999999999998</v>
      </c>
      <c r="W2113" t="str">
        <f t="shared" si="535"/>
        <v>zintel</v>
      </c>
    </row>
    <row r="2114" spans="1:23">
      <c r="A2114" t="str">
        <f t="shared" si="540"/>
        <v>JM-POWR-ELEC</v>
      </c>
      <c r="B2114" t="str">
        <f>"36-8900-0003"</f>
        <v>36-8900-0003</v>
      </c>
      <c r="C2114" t="str">
        <f>"JM, Oscilloscope, 30MHz, Analog BK"</f>
        <v>JM, Oscilloscope, 30MHz, Analog BK</v>
      </c>
      <c r="D2114">
        <v>2</v>
      </c>
      <c r="E2114" t="str">
        <f t="shared" si="541"/>
        <v>Industrial Power Electronics Two Sided Bench</v>
      </c>
      <c r="F2114">
        <v>0</v>
      </c>
      <c r="G2114" t="str">
        <f t="shared" ref="G2114:G2177" si="542">"Y"</f>
        <v>Y</v>
      </c>
      <c r="H2114" t="str">
        <f t="shared" si="534"/>
        <v>EA</v>
      </c>
      <c r="I2114">
        <v>0</v>
      </c>
      <c r="J2114">
        <v>0</v>
      </c>
      <c r="K2114" t="str">
        <f t="shared" ref="K2114:K2177" si="543">"Y"</f>
        <v>Y</v>
      </c>
      <c r="L2114">
        <v>0</v>
      </c>
      <c r="M2114" t="str">
        <f t="shared" si="539"/>
        <v>NIS</v>
      </c>
      <c r="O2114">
        <v>7</v>
      </c>
      <c r="P2114" t="str">
        <f t="shared" si="538"/>
        <v>Active</v>
      </c>
      <c r="Q2114" t="str">
        <f>"JM, Oscilloscope, 30MHz, Analog BK"</f>
        <v>JM, Oscilloscope, 30MHz, Analog BK</v>
      </c>
      <c r="R2114" t="str">
        <f>"1"</f>
        <v>1</v>
      </c>
      <c r="S2114" t="str">
        <f>"JM, Oscilloscope, 30MHz, Analog BK"</f>
        <v>JM, Oscilloscope, 30MHz, Analog BK</v>
      </c>
      <c r="T2114">
        <v>582.46</v>
      </c>
      <c r="U2114">
        <v>622.16</v>
      </c>
      <c r="V2114">
        <v>845.38</v>
      </c>
      <c r="W2114" t="str">
        <f t="shared" si="535"/>
        <v>zintel</v>
      </c>
    </row>
    <row r="2115" spans="1:23">
      <c r="A2115" t="str">
        <f t="shared" si="540"/>
        <v>JM-POWR-ELEC</v>
      </c>
      <c r="B2115" t="str">
        <f>"36-EB01A-IG01"</f>
        <v>36-EB01A-IG01</v>
      </c>
      <c r="C2115" t="str">
        <f>"JM, PDF on CD Oscilloscope - EB01A"</f>
        <v>JM, PDF on CD Oscilloscope - EB01A</v>
      </c>
      <c r="D2115">
        <v>1</v>
      </c>
      <c r="E2115" t="str">
        <f t="shared" si="541"/>
        <v>Industrial Power Electronics Two Sided Bench</v>
      </c>
      <c r="F2115">
        <v>0</v>
      </c>
      <c r="G2115" t="str">
        <f t="shared" si="542"/>
        <v>Y</v>
      </c>
      <c r="H2115" t="str">
        <f t="shared" si="534"/>
        <v>EA</v>
      </c>
      <c r="I2115">
        <v>0</v>
      </c>
      <c r="J2115">
        <v>0</v>
      </c>
      <c r="K2115" t="str">
        <f t="shared" si="543"/>
        <v>Y</v>
      </c>
      <c r="L2115">
        <v>0</v>
      </c>
      <c r="M2115" t="str">
        <f t="shared" si="539"/>
        <v>NIS</v>
      </c>
      <c r="N2115" t="str">
        <f>"Y"</f>
        <v>Y</v>
      </c>
      <c r="O2115">
        <v>8</v>
      </c>
      <c r="P2115" t="str">
        <f t="shared" si="538"/>
        <v>Active</v>
      </c>
      <c r="Q2115" t="str">
        <f>"JM, PDF on CD Oscilloscope - EB01A"</f>
        <v>JM, PDF on CD Oscilloscope - EB01A</v>
      </c>
      <c r="S2115" t="str">
        <f>"JM, PDF on CD Oscilloscope - EB01A"</f>
        <v>JM, PDF on CD Oscilloscope - EB01A</v>
      </c>
      <c r="T2115">
        <v>10.3</v>
      </c>
      <c r="U2115">
        <v>10.3</v>
      </c>
      <c r="V2115">
        <v>11.43</v>
      </c>
      <c r="W2115" t="str">
        <f t="shared" si="535"/>
        <v>zintel</v>
      </c>
    </row>
    <row r="2116" spans="1:23">
      <c r="A2116" t="str">
        <f t="shared" si="540"/>
        <v>JM-POWR-ELEC</v>
      </c>
      <c r="B2116" t="str">
        <f>"77-EB01B-0000"</f>
        <v>77-EB01B-0000</v>
      </c>
      <c r="C2116" t="str">
        <f>"LM7 Content, JM, Digital Multimeter"</f>
        <v>LM7 Content, JM, Digital Multimeter</v>
      </c>
      <c r="D2116">
        <v>1</v>
      </c>
      <c r="E2116" t="str">
        <f t="shared" si="541"/>
        <v>Industrial Power Electronics Two Sided Bench</v>
      </c>
      <c r="F2116">
        <v>0</v>
      </c>
      <c r="G2116" t="str">
        <f t="shared" si="542"/>
        <v>Y</v>
      </c>
      <c r="H2116" t="str">
        <f t="shared" si="534"/>
        <v>EA</v>
      </c>
      <c r="I2116">
        <v>0</v>
      </c>
      <c r="J2116">
        <v>0</v>
      </c>
      <c r="K2116" t="str">
        <f t="shared" si="543"/>
        <v>Y</v>
      </c>
      <c r="L2116">
        <v>0</v>
      </c>
      <c r="M2116" t="str">
        <f t="shared" si="539"/>
        <v>NIS</v>
      </c>
      <c r="O2116">
        <v>9</v>
      </c>
      <c r="P2116" t="str">
        <f t="shared" si="538"/>
        <v>Active</v>
      </c>
      <c r="Q2116" t="str">
        <f>"LM7 Content, JM, Digital Multimeter"</f>
        <v>LM7 Content, JM, Digital Multimeter</v>
      </c>
      <c r="S2116" t="str">
        <f>"LM7 Content, JM, Digital Multimeter"</f>
        <v>LM7 Content, JM, Digital Multimeter</v>
      </c>
      <c r="T2116">
        <v>0</v>
      </c>
      <c r="U2116">
        <v>5</v>
      </c>
      <c r="V2116">
        <v>5</v>
      </c>
      <c r="W2116" t="str">
        <f t="shared" si="535"/>
        <v>zintel</v>
      </c>
    </row>
    <row r="2117" spans="1:23">
      <c r="A2117" t="str">
        <f t="shared" si="540"/>
        <v>JM-POWR-ELEC</v>
      </c>
      <c r="B2117" t="str">
        <f>"26-E052-0000"</f>
        <v>26-E052-0000</v>
      </c>
      <c r="C2117" t="str">
        <f>"Assembly, JM, E052, Resistors Panel"</f>
        <v>Assembly, JM, E052, Resistors Panel</v>
      </c>
      <c r="D2117">
        <v>2</v>
      </c>
      <c r="E2117" t="str">
        <f t="shared" si="541"/>
        <v>Industrial Power Electronics Two Sided Bench</v>
      </c>
      <c r="F2117">
        <v>0</v>
      </c>
      <c r="G2117" t="str">
        <f t="shared" si="542"/>
        <v>Y</v>
      </c>
      <c r="H2117" t="str">
        <f t="shared" si="534"/>
        <v>EA</v>
      </c>
      <c r="I2117">
        <v>0</v>
      </c>
      <c r="J2117">
        <v>0</v>
      </c>
      <c r="K2117" t="str">
        <f t="shared" si="543"/>
        <v>Y</v>
      </c>
      <c r="L2117">
        <v>0</v>
      </c>
      <c r="M2117" t="str">
        <f t="shared" si="539"/>
        <v>NIS</v>
      </c>
      <c r="O2117">
        <v>10</v>
      </c>
      <c r="P2117" t="str">
        <f t="shared" si="538"/>
        <v>Active</v>
      </c>
      <c r="Q2117" t="str">
        <f>"Assembly, JM, E052, Resistors Panel"</f>
        <v>Assembly, JM, E052, Resistors Panel</v>
      </c>
      <c r="S2117" t="str">
        <f>"Assembly, JM, E052, Resistors Panel"</f>
        <v>Assembly, JM, E052, Resistors Panel</v>
      </c>
      <c r="T2117">
        <v>116.66</v>
      </c>
      <c r="U2117">
        <v>112</v>
      </c>
      <c r="V2117">
        <v>216.4</v>
      </c>
      <c r="W2117" t="str">
        <f t="shared" si="535"/>
        <v>zintel</v>
      </c>
    </row>
    <row r="2118" spans="1:23">
      <c r="A2118" t="str">
        <f t="shared" si="540"/>
        <v>JM-POWR-ELEC</v>
      </c>
      <c r="B2118" t="str">
        <f>"26-E055-0000"</f>
        <v>26-E055-0000</v>
      </c>
      <c r="C2118" t="str">
        <f>"Assembly, JM, E055, Filters/Capacitors Panel"</f>
        <v>Assembly, JM, E055, Filters/Capacitors Panel</v>
      </c>
      <c r="D2118">
        <v>2</v>
      </c>
      <c r="E2118" t="str">
        <f t="shared" si="541"/>
        <v>Industrial Power Electronics Two Sided Bench</v>
      </c>
      <c r="F2118">
        <v>0</v>
      </c>
      <c r="G2118" t="str">
        <f t="shared" si="542"/>
        <v>Y</v>
      </c>
      <c r="H2118" t="str">
        <f t="shared" si="534"/>
        <v>EA</v>
      </c>
      <c r="I2118">
        <v>0</v>
      </c>
      <c r="J2118">
        <v>0</v>
      </c>
      <c r="K2118" t="str">
        <f t="shared" si="543"/>
        <v>Y</v>
      </c>
      <c r="L2118">
        <v>0</v>
      </c>
      <c r="M2118" t="str">
        <f t="shared" si="539"/>
        <v>NIS</v>
      </c>
      <c r="O2118">
        <v>11</v>
      </c>
      <c r="P2118" t="str">
        <f t="shared" si="538"/>
        <v>Active</v>
      </c>
      <c r="Q2118" t="str">
        <f>"Assembly, JM, E055, Filters/Capacitors Panel"</f>
        <v>Assembly, JM, E055, Filters/Capacitors Panel</v>
      </c>
      <c r="S2118" t="str">
        <f>"Assembly, JM, E055, Filters/Capacitors Panel"</f>
        <v>Assembly, JM, E055, Filters/Capacitors Panel</v>
      </c>
      <c r="T2118">
        <v>153.1</v>
      </c>
      <c r="U2118">
        <v>152.85</v>
      </c>
      <c r="V2118">
        <v>199.09</v>
      </c>
      <c r="W2118" t="str">
        <f t="shared" si="535"/>
        <v>zintel</v>
      </c>
    </row>
    <row r="2119" spans="1:23">
      <c r="A2119" t="str">
        <f t="shared" si="540"/>
        <v>JM-POWR-ELEC</v>
      </c>
      <c r="B2119" t="str">
        <f>"36-8900-0007"</f>
        <v>36-8900-0007</v>
      </c>
      <c r="C2119" t="str">
        <f>"JM, Digital Multimeter, Fluke-115"</f>
        <v>JM, Digital Multimeter, Fluke-115</v>
      </c>
      <c r="D2119">
        <v>2</v>
      </c>
      <c r="E2119" t="str">
        <f t="shared" si="541"/>
        <v>Industrial Power Electronics Two Sided Bench</v>
      </c>
      <c r="F2119">
        <v>0</v>
      </c>
      <c r="G2119" t="str">
        <f t="shared" si="542"/>
        <v>Y</v>
      </c>
      <c r="H2119" t="str">
        <f t="shared" si="534"/>
        <v>EA</v>
      </c>
      <c r="I2119">
        <v>0</v>
      </c>
      <c r="J2119">
        <v>0</v>
      </c>
      <c r="K2119" t="str">
        <f t="shared" si="543"/>
        <v>Y</v>
      </c>
      <c r="L2119">
        <v>0</v>
      </c>
      <c r="M2119" t="str">
        <f t="shared" si="539"/>
        <v>NIS</v>
      </c>
      <c r="O2119">
        <v>12</v>
      </c>
      <c r="P2119" t="str">
        <f t="shared" si="538"/>
        <v>Active</v>
      </c>
      <c r="Q2119" t="str">
        <f>"JM, Digital Multimeter, Fluke-115"</f>
        <v>JM, Digital Multimeter, Fluke-115</v>
      </c>
      <c r="R2119" t="str">
        <f>"1"</f>
        <v>1</v>
      </c>
      <c r="S2119" t="str">
        <f>"JM, Digital Multimeter, Fluke-115"</f>
        <v>JM, Digital Multimeter, Fluke-115</v>
      </c>
      <c r="T2119">
        <v>158.5</v>
      </c>
      <c r="U2119">
        <v>145</v>
      </c>
      <c r="V2119">
        <v>218.54</v>
      </c>
      <c r="W2119" t="str">
        <f t="shared" si="535"/>
        <v>zintel</v>
      </c>
    </row>
    <row r="2120" spans="1:23">
      <c r="A2120" t="str">
        <f t="shared" si="540"/>
        <v>JM-POWR-ELEC</v>
      </c>
      <c r="B2120" t="str">
        <f>"36-EB01B-IG01"</f>
        <v>36-EB01B-IG01</v>
      </c>
      <c r="C2120" t="str">
        <f>"JM, PDF on CD Digital Multimeter - EB01B"</f>
        <v>JM, PDF on CD Digital Multimeter - EB01B</v>
      </c>
      <c r="D2120">
        <v>1</v>
      </c>
      <c r="E2120" t="str">
        <f t="shared" si="541"/>
        <v>Industrial Power Electronics Two Sided Bench</v>
      </c>
      <c r="F2120">
        <v>0</v>
      </c>
      <c r="G2120" t="str">
        <f t="shared" si="542"/>
        <v>Y</v>
      </c>
      <c r="H2120" t="str">
        <f t="shared" si="534"/>
        <v>EA</v>
      </c>
      <c r="I2120">
        <v>0</v>
      </c>
      <c r="J2120">
        <v>0</v>
      </c>
      <c r="K2120" t="str">
        <f t="shared" si="543"/>
        <v>Y</v>
      </c>
      <c r="L2120">
        <v>0</v>
      </c>
      <c r="M2120" t="str">
        <f t="shared" si="539"/>
        <v>NIS</v>
      </c>
      <c r="N2120" t="str">
        <f>"Y"</f>
        <v>Y</v>
      </c>
      <c r="O2120">
        <v>13</v>
      </c>
      <c r="P2120" t="str">
        <f t="shared" si="538"/>
        <v>Active</v>
      </c>
      <c r="Q2120" t="str">
        <f>"JM, PDF on CD Digital Multimeter - EB01B"</f>
        <v>JM, PDF on CD Digital Multimeter - EB01B</v>
      </c>
      <c r="S2120" t="str">
        <f>"JM, PDF on CD Digital Multimeter - EB01B"</f>
        <v>JM, PDF on CD Digital Multimeter - EB01B</v>
      </c>
      <c r="T2120">
        <v>10.3</v>
      </c>
      <c r="U2120">
        <v>10.3</v>
      </c>
      <c r="V2120">
        <v>11.43</v>
      </c>
      <c r="W2120" t="str">
        <f t="shared" si="535"/>
        <v>zintel</v>
      </c>
    </row>
    <row r="2121" spans="1:23">
      <c r="A2121" t="str">
        <f t="shared" si="540"/>
        <v>JM-POWR-ELEC</v>
      </c>
      <c r="B2121" t="str">
        <f>"77-EB01C-0000"</f>
        <v>77-EB01C-0000</v>
      </c>
      <c r="C2121" t="str">
        <f>"LM7 Content, JM, Digital Oscilloscope"</f>
        <v>LM7 Content, JM, Digital Oscilloscope</v>
      </c>
      <c r="D2121">
        <v>1</v>
      </c>
      <c r="E2121" t="str">
        <f t="shared" si="541"/>
        <v>Industrial Power Electronics Two Sided Bench</v>
      </c>
      <c r="F2121">
        <v>0</v>
      </c>
      <c r="G2121" t="str">
        <f t="shared" si="542"/>
        <v>Y</v>
      </c>
      <c r="H2121" t="str">
        <f t="shared" si="534"/>
        <v>EA</v>
      </c>
      <c r="I2121">
        <v>0</v>
      </c>
      <c r="J2121">
        <v>0</v>
      </c>
      <c r="K2121" t="str">
        <f t="shared" si="543"/>
        <v>Y</v>
      </c>
      <c r="L2121">
        <v>0</v>
      </c>
      <c r="M2121" t="str">
        <f t="shared" si="539"/>
        <v>NIS</v>
      </c>
      <c r="O2121">
        <v>14</v>
      </c>
      <c r="P2121" t="str">
        <f t="shared" si="538"/>
        <v>Active</v>
      </c>
      <c r="Q2121" t="str">
        <f>"LM7 Content, JM, Digital Oscilloscope"</f>
        <v>LM7 Content, JM, Digital Oscilloscope</v>
      </c>
      <c r="S2121" t="str">
        <f>"LM7 Content, JM, Digital Oscilloscope"</f>
        <v>LM7 Content, JM, Digital Oscilloscope</v>
      </c>
      <c r="T2121">
        <v>0</v>
      </c>
      <c r="U2121">
        <v>5</v>
      </c>
      <c r="V2121">
        <v>5</v>
      </c>
      <c r="W2121" t="str">
        <f t="shared" si="535"/>
        <v>zintel</v>
      </c>
    </row>
    <row r="2122" spans="1:23">
      <c r="A2122" t="str">
        <f t="shared" si="540"/>
        <v>JM-POWR-ELEC</v>
      </c>
      <c r="B2122" t="str">
        <f>"26-E087-0000"</f>
        <v>26-E087-0000</v>
      </c>
      <c r="C2122" t="str">
        <f>"Assembly, JM, E087, Adjustable Power Supply"</f>
        <v>Assembly, JM, E087, Adjustable Power Supply</v>
      </c>
      <c r="D2122">
        <v>2</v>
      </c>
      <c r="E2122" t="str">
        <f t="shared" si="541"/>
        <v>Industrial Power Electronics Two Sided Bench</v>
      </c>
      <c r="F2122">
        <v>0</v>
      </c>
      <c r="G2122" t="str">
        <f t="shared" si="542"/>
        <v>Y</v>
      </c>
      <c r="H2122" t="str">
        <f t="shared" si="534"/>
        <v>EA</v>
      </c>
      <c r="I2122">
        <v>0</v>
      </c>
      <c r="J2122">
        <v>0</v>
      </c>
      <c r="K2122" t="str">
        <f t="shared" si="543"/>
        <v>Y</v>
      </c>
      <c r="L2122">
        <v>0</v>
      </c>
      <c r="M2122" t="str">
        <f t="shared" si="539"/>
        <v>NIS</v>
      </c>
      <c r="N2122" t="str">
        <f>"Y"</f>
        <v>Y</v>
      </c>
      <c r="O2122">
        <v>15</v>
      </c>
      <c r="P2122" t="str">
        <f t="shared" si="538"/>
        <v>Active</v>
      </c>
      <c r="Q2122" t="str">
        <f>"Assembly, JM, E087, Adjustable Power Supply"</f>
        <v>Assembly, JM, E087, Adjustable Power Supply</v>
      </c>
      <c r="S2122" t="str">
        <f>"Assembly, JM, E087, Adjustable Power Supply"</f>
        <v>Assembly, JM, E087, Adjustable Power Supply</v>
      </c>
      <c r="T2122">
        <v>73.88</v>
      </c>
      <c r="U2122">
        <v>75</v>
      </c>
      <c r="V2122">
        <v>174.83</v>
      </c>
      <c r="W2122" t="str">
        <f t="shared" si="535"/>
        <v>zintel</v>
      </c>
    </row>
    <row r="2123" spans="1:23">
      <c r="A2123" t="str">
        <f t="shared" si="540"/>
        <v>JM-POWR-ELEC</v>
      </c>
      <c r="B2123" t="str">
        <f>"26-E153-0000"</f>
        <v>26-E153-0000</v>
      </c>
      <c r="C2123" t="str">
        <f>"Assembly, JM, E153, AC/DC Circuits"</f>
        <v>Assembly, JM, E153, AC/DC Circuits</v>
      </c>
      <c r="D2123">
        <v>4</v>
      </c>
      <c r="E2123" t="str">
        <f t="shared" si="541"/>
        <v>Industrial Power Electronics Two Sided Bench</v>
      </c>
      <c r="F2123">
        <v>0</v>
      </c>
      <c r="G2123" t="str">
        <f t="shared" si="542"/>
        <v>Y</v>
      </c>
      <c r="H2123" t="str">
        <f t="shared" si="534"/>
        <v>EA</v>
      </c>
      <c r="I2123">
        <v>0</v>
      </c>
      <c r="J2123">
        <v>0</v>
      </c>
      <c r="K2123" t="str">
        <f t="shared" si="543"/>
        <v>Y</v>
      </c>
      <c r="L2123">
        <v>0</v>
      </c>
      <c r="M2123" t="str">
        <f t="shared" si="539"/>
        <v>NIS</v>
      </c>
      <c r="O2123">
        <v>16</v>
      </c>
      <c r="P2123" t="str">
        <f t="shared" si="538"/>
        <v>Active</v>
      </c>
      <c r="Q2123" t="str">
        <f>"Assembly, JM, E153, AC/DC Circuits"</f>
        <v>Assembly, JM, E153, AC/DC Circuits</v>
      </c>
      <c r="S2123" t="str">
        <f>"Assembly, JM, E153, AC/DC Circuits"</f>
        <v>Assembly, JM, E153, AC/DC Circuits</v>
      </c>
      <c r="T2123">
        <v>133.96</v>
      </c>
      <c r="U2123">
        <v>130</v>
      </c>
      <c r="V2123">
        <v>293.45999999999998</v>
      </c>
      <c r="W2123" t="str">
        <f t="shared" si="535"/>
        <v>zintel</v>
      </c>
    </row>
    <row r="2124" spans="1:23">
      <c r="A2124" t="str">
        <f t="shared" si="540"/>
        <v>JM-POWR-ELEC</v>
      </c>
      <c r="B2124" t="str">
        <f>"36-8900-0025"</f>
        <v>36-8900-0025</v>
      </c>
      <c r="C2124" t="str">
        <f>"JM, Oscilloscope, 5MHz, Hand Held"</f>
        <v>JM, Oscilloscope, 5MHz, Hand Held</v>
      </c>
      <c r="D2124">
        <v>2</v>
      </c>
      <c r="E2124" t="str">
        <f t="shared" si="541"/>
        <v>Industrial Power Electronics Two Sided Bench</v>
      </c>
      <c r="F2124">
        <v>0</v>
      </c>
      <c r="G2124" t="str">
        <f t="shared" si="542"/>
        <v>Y</v>
      </c>
      <c r="H2124" t="str">
        <f t="shared" si="534"/>
        <v>EA</v>
      </c>
      <c r="I2124">
        <v>0</v>
      </c>
      <c r="J2124">
        <v>0</v>
      </c>
      <c r="K2124" t="str">
        <f t="shared" si="543"/>
        <v>Y</v>
      </c>
      <c r="L2124">
        <v>0</v>
      </c>
      <c r="M2124" t="str">
        <f t="shared" si="539"/>
        <v>NIS</v>
      </c>
      <c r="O2124">
        <v>17</v>
      </c>
      <c r="P2124" t="str">
        <f t="shared" si="538"/>
        <v>Active</v>
      </c>
      <c r="Q2124" t="str">
        <f>"JM, Oscilloscope, 5MHz, Hand Held"</f>
        <v>JM, Oscilloscope, 5MHz, Hand Held</v>
      </c>
      <c r="R2124" t="str">
        <f>"1"</f>
        <v>1</v>
      </c>
      <c r="S2124" t="str">
        <f>"JM, Oscilloscope, 5MHz, Hand Held"</f>
        <v>JM, Oscilloscope, 5MHz, Hand Held</v>
      </c>
      <c r="T2124">
        <v>807.3</v>
      </c>
      <c r="U2124">
        <v>564.49</v>
      </c>
      <c r="V2124">
        <v>827.3</v>
      </c>
      <c r="W2124" t="str">
        <f t="shared" si="535"/>
        <v>zintel</v>
      </c>
    </row>
    <row r="2125" spans="1:23">
      <c r="A2125" t="str">
        <f t="shared" si="540"/>
        <v>JM-POWR-ELEC</v>
      </c>
      <c r="B2125" t="str">
        <f>"36-EB01C-IG01"</f>
        <v>36-EB01C-IG01</v>
      </c>
      <c r="C2125" t="str">
        <f>"JM, PDF on CD Hand Held Oscilloscope - EB01C"</f>
        <v>JM, PDF on CD Hand Held Oscilloscope - EB01C</v>
      </c>
      <c r="D2125">
        <v>1</v>
      </c>
      <c r="E2125" t="str">
        <f t="shared" si="541"/>
        <v>Industrial Power Electronics Two Sided Bench</v>
      </c>
      <c r="F2125">
        <v>0</v>
      </c>
      <c r="G2125" t="str">
        <f t="shared" si="542"/>
        <v>Y</v>
      </c>
      <c r="H2125" t="str">
        <f t="shared" si="534"/>
        <v>EA</v>
      </c>
      <c r="I2125">
        <v>0</v>
      </c>
      <c r="J2125">
        <v>0</v>
      </c>
      <c r="K2125" t="str">
        <f t="shared" si="543"/>
        <v>Y</v>
      </c>
      <c r="L2125">
        <v>0</v>
      </c>
      <c r="M2125" t="str">
        <f t="shared" si="539"/>
        <v>NIS</v>
      </c>
      <c r="N2125" t="str">
        <f>"Y"</f>
        <v>Y</v>
      </c>
      <c r="O2125">
        <v>18</v>
      </c>
      <c r="P2125" t="str">
        <f t="shared" si="538"/>
        <v>Active</v>
      </c>
      <c r="Q2125" t="str">
        <f>"JM, PDF on CD Hand Held Oscilloscope - EB01C"</f>
        <v>JM, PDF on CD Hand Held Oscilloscope - EB01C</v>
      </c>
      <c r="S2125" t="str">
        <f>"JM, PDF on CD Hand Held Oscilloscope - EB01C"</f>
        <v>JM, PDF on CD Hand Held Oscilloscope - EB01C</v>
      </c>
      <c r="T2125">
        <v>10.3</v>
      </c>
      <c r="U2125">
        <v>10.3</v>
      </c>
      <c r="V2125">
        <v>11.43</v>
      </c>
      <c r="W2125" t="str">
        <f t="shared" si="535"/>
        <v>zintel</v>
      </c>
    </row>
    <row r="2126" spans="1:23">
      <c r="A2126" t="str">
        <f t="shared" si="540"/>
        <v>JM-POWR-ELEC</v>
      </c>
      <c r="B2126" t="str">
        <f>"77-EB02A-0000"</f>
        <v>77-EB02A-0000</v>
      </c>
      <c r="C2126" t="str">
        <f>"LM7 Content, JM, DC Power Supplies"</f>
        <v>LM7 Content, JM, DC Power Supplies</v>
      </c>
      <c r="D2126">
        <v>1</v>
      </c>
      <c r="E2126" t="str">
        <f t="shared" si="541"/>
        <v>Industrial Power Electronics Two Sided Bench</v>
      </c>
      <c r="F2126">
        <v>0</v>
      </c>
      <c r="G2126" t="str">
        <f t="shared" si="542"/>
        <v>Y</v>
      </c>
      <c r="H2126" t="str">
        <f t="shared" si="534"/>
        <v>EA</v>
      </c>
      <c r="I2126">
        <v>0</v>
      </c>
      <c r="J2126">
        <v>0</v>
      </c>
      <c r="K2126" t="str">
        <f t="shared" si="543"/>
        <v>Y</v>
      </c>
      <c r="L2126">
        <v>0</v>
      </c>
      <c r="M2126" t="str">
        <f t="shared" si="539"/>
        <v>NIS</v>
      </c>
      <c r="O2126">
        <v>19</v>
      </c>
      <c r="P2126" t="str">
        <f t="shared" ref="P2126:P2157" si="544">"Active"</f>
        <v>Active</v>
      </c>
      <c r="Q2126" t="str">
        <f>"LM7 Content, JM, DC Power Supplies"</f>
        <v>LM7 Content, JM, DC Power Supplies</v>
      </c>
      <c r="S2126" t="str">
        <f>"LM7 Content, JM, DC Power Supplies"</f>
        <v>LM7 Content, JM, DC Power Supplies</v>
      </c>
      <c r="T2126">
        <v>0</v>
      </c>
      <c r="U2126">
        <v>5</v>
      </c>
      <c r="V2126">
        <v>5</v>
      </c>
      <c r="W2126" t="str">
        <f t="shared" si="535"/>
        <v>zintel</v>
      </c>
    </row>
    <row r="2127" spans="1:23">
      <c r="A2127" t="str">
        <f t="shared" si="540"/>
        <v>JM-POWR-ELEC</v>
      </c>
      <c r="B2127" t="str">
        <f>"26-E039-0000"</f>
        <v>26-E039-0000</v>
      </c>
      <c r="C2127" t="str">
        <f>"Assembly, JM, E039,Single Phase Bridge Rectifier"</f>
        <v>Assembly, JM, E039,Single Phase Bridge Rectifier</v>
      </c>
      <c r="D2127">
        <v>2</v>
      </c>
      <c r="E2127" t="str">
        <f t="shared" si="541"/>
        <v>Industrial Power Electronics Two Sided Bench</v>
      </c>
      <c r="F2127">
        <v>0</v>
      </c>
      <c r="G2127" t="str">
        <f t="shared" si="542"/>
        <v>Y</v>
      </c>
      <c r="H2127" t="str">
        <f t="shared" si="534"/>
        <v>EA</v>
      </c>
      <c r="I2127">
        <v>0</v>
      </c>
      <c r="J2127">
        <v>0</v>
      </c>
      <c r="K2127" t="str">
        <f t="shared" si="543"/>
        <v>Y</v>
      </c>
      <c r="L2127">
        <v>0</v>
      </c>
      <c r="M2127" t="str">
        <f t="shared" si="539"/>
        <v>NIS</v>
      </c>
      <c r="O2127">
        <v>20</v>
      </c>
      <c r="P2127" t="str">
        <f t="shared" si="544"/>
        <v>Active</v>
      </c>
      <c r="Q2127" t="str">
        <f>"Assembly, JM, E039,Single Phase Bridge Rectifier"</f>
        <v>Assembly, JM, E039,Single Phase Bridge Rectifier</v>
      </c>
      <c r="S2127" t="str">
        <f>"Assembly, JM, E039,Single Phase Bridge Rectifier"</f>
        <v>Assembly, JM, E039,Single Phase Bridge Rectifier</v>
      </c>
      <c r="T2127">
        <v>85.8</v>
      </c>
      <c r="U2127">
        <v>85</v>
      </c>
      <c r="V2127">
        <v>177.95</v>
      </c>
      <c r="W2127" t="str">
        <f t="shared" si="535"/>
        <v>zintel</v>
      </c>
    </row>
    <row r="2128" spans="1:23">
      <c r="A2128" t="str">
        <f t="shared" si="540"/>
        <v>JM-POWR-ELEC</v>
      </c>
      <c r="B2128" t="str">
        <f>"26-E061-0000"</f>
        <v>26-E061-0000</v>
      </c>
      <c r="C2128" t="str">
        <f>"Assembly, JM, E061, Low Voltage Transformer"</f>
        <v>Assembly, JM, E061, Low Voltage Transformer</v>
      </c>
      <c r="D2128">
        <v>2</v>
      </c>
      <c r="E2128" t="str">
        <f t="shared" si="541"/>
        <v>Industrial Power Electronics Two Sided Bench</v>
      </c>
      <c r="F2128">
        <v>0</v>
      </c>
      <c r="G2128" t="str">
        <f t="shared" si="542"/>
        <v>Y</v>
      </c>
      <c r="H2128" t="str">
        <f t="shared" si="534"/>
        <v>EA</v>
      </c>
      <c r="I2128">
        <v>0</v>
      </c>
      <c r="J2128">
        <v>0</v>
      </c>
      <c r="K2128" t="str">
        <f t="shared" si="543"/>
        <v>Y</v>
      </c>
      <c r="L2128">
        <v>0</v>
      </c>
      <c r="M2128" t="str">
        <f t="shared" si="539"/>
        <v>NIS</v>
      </c>
      <c r="O2128">
        <v>21</v>
      </c>
      <c r="P2128" t="str">
        <f t="shared" si="544"/>
        <v>Active</v>
      </c>
      <c r="Q2128" t="str">
        <f>"Assembly, JM, E061, Low Voltage Transformer"</f>
        <v>Assembly, JM, E061, Low Voltage Transformer</v>
      </c>
      <c r="S2128" t="str">
        <f>"Assembly, JM, E061, Low Voltage Transformer"</f>
        <v>Assembly, JM, E061, Low Voltage Transformer</v>
      </c>
      <c r="T2128">
        <v>158.13</v>
      </c>
      <c r="U2128">
        <v>157</v>
      </c>
      <c r="V2128">
        <v>281</v>
      </c>
      <c r="W2128" t="str">
        <f t="shared" si="535"/>
        <v>zintel</v>
      </c>
    </row>
    <row r="2129" spans="1:23">
      <c r="A2129" t="str">
        <f t="shared" si="540"/>
        <v>JM-POWR-ELEC</v>
      </c>
      <c r="B2129" t="str">
        <f>"26-E062-0000"</f>
        <v>26-E062-0000</v>
      </c>
      <c r="C2129" t="str">
        <f>"Assembly, JM, E062, Diode Rectifier Panel"</f>
        <v>Assembly, JM, E062, Diode Rectifier Panel</v>
      </c>
      <c r="D2129">
        <v>2</v>
      </c>
      <c r="E2129" t="str">
        <f t="shared" si="541"/>
        <v>Industrial Power Electronics Two Sided Bench</v>
      </c>
      <c r="F2129">
        <v>0</v>
      </c>
      <c r="G2129" t="str">
        <f t="shared" si="542"/>
        <v>Y</v>
      </c>
      <c r="H2129" t="str">
        <f t="shared" si="534"/>
        <v>EA</v>
      </c>
      <c r="I2129">
        <v>0</v>
      </c>
      <c r="J2129">
        <v>0</v>
      </c>
      <c r="K2129" t="str">
        <f t="shared" si="543"/>
        <v>Y</v>
      </c>
      <c r="L2129">
        <v>0</v>
      </c>
      <c r="M2129" t="str">
        <f t="shared" si="539"/>
        <v>NIS</v>
      </c>
      <c r="O2129">
        <v>22</v>
      </c>
      <c r="P2129" t="str">
        <f t="shared" si="544"/>
        <v>Active</v>
      </c>
      <c r="Q2129" t="str">
        <f>"Assembly, JM, E062, Diode Rectifier Panel"</f>
        <v>Assembly, JM, E062, Diode Rectifier Panel</v>
      </c>
      <c r="S2129" t="str">
        <f>"Assembly, JM, E062, Diode Rectifier Panel"</f>
        <v>Assembly, JM, E062, Diode Rectifier Panel</v>
      </c>
      <c r="T2129">
        <v>100.53</v>
      </c>
      <c r="U2129">
        <v>100</v>
      </c>
      <c r="V2129">
        <v>215.41</v>
      </c>
      <c r="W2129" t="str">
        <f t="shared" si="535"/>
        <v>zintel</v>
      </c>
    </row>
    <row r="2130" spans="1:23">
      <c r="A2130" t="str">
        <f t="shared" si="540"/>
        <v>JM-POWR-ELEC</v>
      </c>
      <c r="B2130" t="str">
        <f>"36-EB02A-IG01"</f>
        <v>36-EB02A-IG01</v>
      </c>
      <c r="C2130" t="str">
        <f>"JM, PDF on CD DC Power Supplies - EB02A"</f>
        <v>JM, PDF on CD DC Power Supplies - EB02A</v>
      </c>
      <c r="D2130">
        <v>1</v>
      </c>
      <c r="E2130" t="str">
        <f t="shared" si="541"/>
        <v>Industrial Power Electronics Two Sided Bench</v>
      </c>
      <c r="F2130">
        <v>0</v>
      </c>
      <c r="G2130" t="str">
        <f t="shared" si="542"/>
        <v>Y</v>
      </c>
      <c r="H2130" t="str">
        <f t="shared" si="534"/>
        <v>EA</v>
      </c>
      <c r="I2130">
        <v>0</v>
      </c>
      <c r="J2130">
        <v>0</v>
      </c>
      <c r="K2130" t="str">
        <f t="shared" si="543"/>
        <v>Y</v>
      </c>
      <c r="L2130">
        <v>0</v>
      </c>
      <c r="M2130" t="str">
        <f t="shared" si="539"/>
        <v>NIS</v>
      </c>
      <c r="N2130" t="str">
        <f>"Y"</f>
        <v>Y</v>
      </c>
      <c r="O2130">
        <v>23</v>
      </c>
      <c r="P2130" t="str">
        <f t="shared" si="544"/>
        <v>Active</v>
      </c>
      <c r="Q2130" t="str">
        <f>"JM, PDF on CD DC Power Supplies - EB02A"</f>
        <v>JM, PDF on CD DC Power Supplies - EB02A</v>
      </c>
      <c r="S2130" t="str">
        <f>"JM, PDF on CD DC Power Supplies - EB02A"</f>
        <v>JM, PDF on CD DC Power Supplies - EB02A</v>
      </c>
      <c r="T2130">
        <v>10.3</v>
      </c>
      <c r="U2130">
        <v>10.3</v>
      </c>
      <c r="V2130">
        <v>11.43</v>
      </c>
      <c r="W2130" t="str">
        <f t="shared" si="535"/>
        <v>zintel</v>
      </c>
    </row>
    <row r="2131" spans="1:23">
      <c r="A2131" t="str">
        <f t="shared" si="540"/>
        <v>JM-POWR-ELEC</v>
      </c>
      <c r="B2131" t="str">
        <f>"77-EB02B-0000"</f>
        <v>77-EB02B-0000</v>
      </c>
      <c r="C2131" t="str">
        <f>"LM7 Content, JM, Single &amp; 3 Phase Power Supply"</f>
        <v>LM7 Content, JM, Single &amp; 3 Phase Power Supply</v>
      </c>
      <c r="D2131">
        <v>1</v>
      </c>
      <c r="E2131" t="str">
        <f t="shared" si="541"/>
        <v>Industrial Power Electronics Two Sided Bench</v>
      </c>
      <c r="F2131">
        <v>0</v>
      </c>
      <c r="G2131" t="str">
        <f t="shared" si="542"/>
        <v>Y</v>
      </c>
      <c r="H2131" t="str">
        <f t="shared" si="534"/>
        <v>EA</v>
      </c>
      <c r="I2131">
        <v>0</v>
      </c>
      <c r="J2131">
        <v>0</v>
      </c>
      <c r="K2131" t="str">
        <f t="shared" si="543"/>
        <v>Y</v>
      </c>
      <c r="L2131">
        <v>0</v>
      </c>
      <c r="M2131" t="str">
        <f t="shared" si="539"/>
        <v>NIS</v>
      </c>
      <c r="O2131">
        <v>24</v>
      </c>
      <c r="P2131" t="str">
        <f t="shared" si="544"/>
        <v>Active</v>
      </c>
      <c r="Q2131" t="str">
        <f>"LM7 Content, JM, Single &amp; 3 Phase Power Supply"</f>
        <v>LM7 Content, JM, Single &amp; 3 Phase Power Supply</v>
      </c>
      <c r="S2131" t="str">
        <f>"LM7 Content, JM, Single &amp; 3 Phase Power Supply"</f>
        <v>LM7 Content, JM, Single &amp; 3 Phase Power Supply</v>
      </c>
      <c r="T2131">
        <v>0</v>
      </c>
      <c r="U2131">
        <v>5</v>
      </c>
      <c r="V2131">
        <v>5</v>
      </c>
      <c r="W2131" t="str">
        <f t="shared" si="535"/>
        <v>zintel</v>
      </c>
    </row>
    <row r="2132" spans="1:23">
      <c r="A2132" t="str">
        <f t="shared" si="540"/>
        <v>JM-POWR-ELEC</v>
      </c>
      <c r="B2132" t="str">
        <f>"26-E049-0000"</f>
        <v>26-E049-0000</v>
      </c>
      <c r="C2132" t="str">
        <f>"Assembly, JM, E049, Zener Diode Panel"</f>
        <v>Assembly, JM, E049, Zener Diode Panel</v>
      </c>
      <c r="D2132">
        <v>2</v>
      </c>
      <c r="E2132" t="str">
        <f t="shared" si="541"/>
        <v>Industrial Power Electronics Two Sided Bench</v>
      </c>
      <c r="F2132">
        <v>0</v>
      </c>
      <c r="G2132" t="str">
        <f t="shared" si="542"/>
        <v>Y</v>
      </c>
      <c r="H2132" t="str">
        <f t="shared" si="534"/>
        <v>EA</v>
      </c>
      <c r="I2132">
        <v>0</v>
      </c>
      <c r="J2132">
        <v>0</v>
      </c>
      <c r="K2132" t="str">
        <f t="shared" si="543"/>
        <v>Y</v>
      </c>
      <c r="L2132">
        <v>0</v>
      </c>
      <c r="M2132" t="str">
        <f t="shared" si="539"/>
        <v>NIS</v>
      </c>
      <c r="O2132">
        <v>25</v>
      </c>
      <c r="P2132" t="str">
        <f t="shared" si="544"/>
        <v>Active</v>
      </c>
      <c r="Q2132" t="str">
        <f>"Assembly, JM, E049, Zener Diode Panel"</f>
        <v>Assembly, JM, E049, Zener Diode Panel</v>
      </c>
      <c r="S2132" t="str">
        <f>"Assembly, JM, E049, Zener Diode Panel"</f>
        <v>Assembly, JM, E049, Zener Diode Panel</v>
      </c>
      <c r="T2132">
        <v>89.3</v>
      </c>
      <c r="U2132">
        <v>89</v>
      </c>
      <c r="V2132">
        <v>231.75</v>
      </c>
      <c r="W2132" t="str">
        <f t="shared" si="535"/>
        <v>zintel</v>
      </c>
    </row>
    <row r="2133" spans="1:23">
      <c r="A2133" t="str">
        <f t="shared" si="540"/>
        <v>JM-POWR-ELEC</v>
      </c>
      <c r="B2133" t="str">
        <f>"26-E050-0000"</f>
        <v>26-E050-0000</v>
      </c>
      <c r="C2133" t="str">
        <f>"Assembly, JM, E050, Regulated Power Supply Panel"</f>
        <v>Assembly, JM, E050, Regulated Power Supply Panel</v>
      </c>
      <c r="D2133">
        <v>2</v>
      </c>
      <c r="E2133" t="str">
        <f t="shared" si="541"/>
        <v>Industrial Power Electronics Two Sided Bench</v>
      </c>
      <c r="F2133">
        <v>0</v>
      </c>
      <c r="G2133" t="str">
        <f t="shared" si="542"/>
        <v>Y</v>
      </c>
      <c r="H2133" t="str">
        <f t="shared" si="534"/>
        <v>EA</v>
      </c>
      <c r="I2133">
        <v>0</v>
      </c>
      <c r="J2133">
        <v>0</v>
      </c>
      <c r="K2133" t="str">
        <f t="shared" si="543"/>
        <v>Y</v>
      </c>
      <c r="L2133">
        <v>0</v>
      </c>
      <c r="M2133" t="str">
        <f t="shared" si="539"/>
        <v>NIS</v>
      </c>
      <c r="O2133">
        <v>26</v>
      </c>
      <c r="P2133" t="str">
        <f t="shared" si="544"/>
        <v>Active</v>
      </c>
      <c r="Q2133" t="str">
        <f>"Assembly, JM, E050, Regulated Power Supply Panel"</f>
        <v>Assembly, JM, E050, Regulated Power Supply Panel</v>
      </c>
      <c r="S2133" t="str">
        <f>"Assembly, JM, E050, Regulated Power Supply Panel"</f>
        <v>Assembly, JM, E050, Regulated Power Supply Panel</v>
      </c>
      <c r="T2133">
        <v>118.22</v>
      </c>
      <c r="U2133">
        <v>120</v>
      </c>
      <c r="V2133">
        <v>327.35000000000002</v>
      </c>
      <c r="W2133" t="str">
        <f t="shared" si="535"/>
        <v>zintel</v>
      </c>
    </row>
    <row r="2134" spans="1:23">
      <c r="A2134" t="str">
        <f t="shared" si="540"/>
        <v>JM-POWR-ELEC</v>
      </c>
      <c r="B2134" t="str">
        <f>"26-E053-0000"</f>
        <v>26-E053-0000</v>
      </c>
      <c r="C2134" t="str">
        <f>"Assembly, JM, E053, Three Phase Bridge Rectifier"</f>
        <v>Assembly, JM, E053, Three Phase Bridge Rectifier</v>
      </c>
      <c r="D2134">
        <v>2</v>
      </c>
      <c r="E2134" t="str">
        <f t="shared" si="541"/>
        <v>Industrial Power Electronics Two Sided Bench</v>
      </c>
      <c r="F2134">
        <v>0</v>
      </c>
      <c r="G2134" t="str">
        <f t="shared" si="542"/>
        <v>Y</v>
      </c>
      <c r="H2134" t="str">
        <f t="shared" si="534"/>
        <v>EA</v>
      </c>
      <c r="I2134">
        <v>0</v>
      </c>
      <c r="J2134">
        <v>0</v>
      </c>
      <c r="K2134" t="str">
        <f t="shared" si="543"/>
        <v>Y</v>
      </c>
      <c r="L2134">
        <v>0</v>
      </c>
      <c r="M2134" t="str">
        <f t="shared" si="539"/>
        <v>NIS</v>
      </c>
      <c r="O2134">
        <v>27</v>
      </c>
      <c r="P2134" t="str">
        <f t="shared" si="544"/>
        <v>Active</v>
      </c>
      <c r="Q2134" t="str">
        <f>"Assembly, JM, E053, Three Phase Bridge Rectifier"</f>
        <v>Assembly, JM, E053, Three Phase Bridge Rectifier</v>
      </c>
      <c r="S2134" t="str">
        <f>"Assembly, JM, E053, Three Phase Bridge Rectifier"</f>
        <v>Assembly, JM, E053, Three Phase Bridge Rectifier</v>
      </c>
      <c r="T2134">
        <v>183.72</v>
      </c>
      <c r="U2134">
        <v>180</v>
      </c>
      <c r="V2134">
        <v>319.24</v>
      </c>
      <c r="W2134" t="str">
        <f t="shared" si="535"/>
        <v>zintel</v>
      </c>
    </row>
    <row r="2135" spans="1:23">
      <c r="A2135" t="str">
        <f t="shared" si="540"/>
        <v>JM-POWR-ELEC</v>
      </c>
      <c r="B2135" t="str">
        <f>"36-EB02B-IG01"</f>
        <v>36-EB02B-IG01</v>
      </c>
      <c r="C2135" t="str">
        <f>"JM, PDF on CD Single&amp;3 Phase Power - EB02B"</f>
        <v>JM, PDF on CD Single&amp;3 Phase Power - EB02B</v>
      </c>
      <c r="D2135">
        <v>1</v>
      </c>
      <c r="E2135" t="str">
        <f t="shared" si="541"/>
        <v>Industrial Power Electronics Two Sided Bench</v>
      </c>
      <c r="F2135">
        <v>0</v>
      </c>
      <c r="G2135" t="str">
        <f t="shared" si="542"/>
        <v>Y</v>
      </c>
      <c r="H2135" t="str">
        <f t="shared" si="534"/>
        <v>EA</v>
      </c>
      <c r="I2135">
        <v>0</v>
      </c>
      <c r="J2135">
        <v>0</v>
      </c>
      <c r="K2135" t="str">
        <f t="shared" si="543"/>
        <v>Y</v>
      </c>
      <c r="L2135">
        <v>0</v>
      </c>
      <c r="M2135" t="str">
        <f t="shared" si="539"/>
        <v>NIS</v>
      </c>
      <c r="N2135" t="str">
        <f>"Y"</f>
        <v>Y</v>
      </c>
      <c r="O2135">
        <v>28</v>
      </c>
      <c r="P2135" t="str">
        <f t="shared" si="544"/>
        <v>Active</v>
      </c>
      <c r="Q2135" t="str">
        <f>"JM, PDF on CD Single&amp;3 Phase Power - EB02B"</f>
        <v>JM, PDF on CD Single&amp;3 Phase Power - EB02B</v>
      </c>
      <c r="S2135" t="str">
        <f>"JM, PDF on CD Single&amp;3 Phase Power - EB02B"</f>
        <v>JM, PDF on CD Single&amp;3 Phase Power - EB02B</v>
      </c>
      <c r="T2135">
        <v>10.3</v>
      </c>
      <c r="U2135">
        <v>10.3</v>
      </c>
      <c r="V2135">
        <v>11.43</v>
      </c>
      <c r="W2135" t="str">
        <f t="shared" si="535"/>
        <v>zintel</v>
      </c>
    </row>
    <row r="2136" spans="1:23">
      <c r="A2136" t="str">
        <f t="shared" si="540"/>
        <v>JM-POWR-ELEC</v>
      </c>
      <c r="B2136" t="str">
        <f>"77-EB03-0000"</f>
        <v>77-EB03-0000</v>
      </c>
      <c r="C2136" t="str">
        <f>"LM7 Content, JM, Thyristor Motor Drives"</f>
        <v>LM7 Content, JM, Thyristor Motor Drives</v>
      </c>
      <c r="D2136">
        <v>1</v>
      </c>
      <c r="E2136" t="str">
        <f t="shared" si="541"/>
        <v>Industrial Power Electronics Two Sided Bench</v>
      </c>
      <c r="F2136">
        <v>0</v>
      </c>
      <c r="G2136" t="str">
        <f t="shared" si="542"/>
        <v>Y</v>
      </c>
      <c r="H2136" t="str">
        <f t="shared" si="534"/>
        <v>EA</v>
      </c>
      <c r="I2136">
        <v>0</v>
      </c>
      <c r="J2136">
        <v>0</v>
      </c>
      <c r="K2136" t="str">
        <f t="shared" si="543"/>
        <v>Y</v>
      </c>
      <c r="L2136">
        <v>0</v>
      </c>
      <c r="M2136" t="str">
        <f t="shared" si="539"/>
        <v>NIS</v>
      </c>
      <c r="O2136">
        <v>29</v>
      </c>
      <c r="P2136" t="str">
        <f t="shared" si="544"/>
        <v>Active</v>
      </c>
      <c r="Q2136" t="str">
        <f>"LM7 Content, JM, Thyristor Motor Drives"</f>
        <v>LM7 Content, JM, Thyristor Motor Drives</v>
      </c>
      <c r="S2136" t="str">
        <f>"LM7 Content, JM, Thyristor Motor Drives"</f>
        <v>LM7 Content, JM, Thyristor Motor Drives</v>
      </c>
      <c r="T2136">
        <v>0</v>
      </c>
      <c r="U2136">
        <v>5</v>
      </c>
      <c r="V2136">
        <v>5</v>
      </c>
      <c r="W2136" t="str">
        <f t="shared" si="535"/>
        <v>zintel</v>
      </c>
    </row>
    <row r="2137" spans="1:23">
      <c r="A2137" t="str">
        <f t="shared" si="540"/>
        <v>JM-POWR-ELEC</v>
      </c>
      <c r="B2137" t="str">
        <f>"26-E034-0000"</f>
        <v>26-E034-0000</v>
      </c>
      <c r="C2137" t="str">
        <f>"Assembly, JM, E034, DC Motor Panel"</f>
        <v>Assembly, JM, E034, DC Motor Panel</v>
      </c>
      <c r="D2137">
        <v>2</v>
      </c>
      <c r="E2137" t="str">
        <f t="shared" si="541"/>
        <v>Industrial Power Electronics Two Sided Bench</v>
      </c>
      <c r="F2137">
        <v>0</v>
      </c>
      <c r="G2137" t="str">
        <f t="shared" si="542"/>
        <v>Y</v>
      </c>
      <c r="H2137" t="str">
        <f t="shared" si="534"/>
        <v>EA</v>
      </c>
      <c r="I2137">
        <v>0</v>
      </c>
      <c r="J2137">
        <v>0</v>
      </c>
      <c r="K2137" t="str">
        <f t="shared" si="543"/>
        <v>Y</v>
      </c>
      <c r="L2137">
        <v>0</v>
      </c>
      <c r="M2137" t="str">
        <f t="shared" si="539"/>
        <v>NIS</v>
      </c>
      <c r="O2137">
        <v>30</v>
      </c>
      <c r="P2137" t="str">
        <f t="shared" si="544"/>
        <v>Active</v>
      </c>
      <c r="Q2137" t="str">
        <f>"Assembly, JM, E034, DC Motor Panel"</f>
        <v>Assembly, JM, E034, DC Motor Panel</v>
      </c>
      <c r="S2137" t="str">
        <f>"Assembly, JM, E034, DC Motor Panel"</f>
        <v>Assembly, JM, E034, DC Motor Panel</v>
      </c>
      <c r="T2137">
        <v>304.44</v>
      </c>
      <c r="U2137">
        <v>305</v>
      </c>
      <c r="V2137">
        <v>504.64</v>
      </c>
      <c r="W2137" t="str">
        <f t="shared" si="535"/>
        <v>zintel</v>
      </c>
    </row>
    <row r="2138" spans="1:23">
      <c r="A2138" t="str">
        <f t="shared" si="540"/>
        <v>JM-POWR-ELEC</v>
      </c>
      <c r="B2138" t="str">
        <f>"26-E081-0000"</f>
        <v>26-E081-0000</v>
      </c>
      <c r="C2138" t="str">
        <f>"Assembly, JM, E081, SCR Panel"</f>
        <v>Assembly, JM, E081, SCR Panel</v>
      </c>
      <c r="D2138">
        <v>2</v>
      </c>
      <c r="E2138" t="str">
        <f t="shared" si="541"/>
        <v>Industrial Power Electronics Two Sided Bench</v>
      </c>
      <c r="F2138">
        <v>0</v>
      </c>
      <c r="G2138" t="str">
        <f t="shared" si="542"/>
        <v>Y</v>
      </c>
      <c r="H2138" t="str">
        <f t="shared" si="534"/>
        <v>EA</v>
      </c>
      <c r="I2138">
        <v>0</v>
      </c>
      <c r="J2138">
        <v>0</v>
      </c>
      <c r="K2138" t="str">
        <f t="shared" si="543"/>
        <v>Y</v>
      </c>
      <c r="L2138">
        <v>0</v>
      </c>
      <c r="M2138" t="str">
        <f t="shared" si="539"/>
        <v>NIS</v>
      </c>
      <c r="O2138">
        <v>31</v>
      </c>
      <c r="P2138" t="str">
        <f t="shared" si="544"/>
        <v>Active</v>
      </c>
      <c r="Q2138" t="str">
        <f>"Assembly, JM, E081, SCR Panel"</f>
        <v>Assembly, JM, E081, SCR Panel</v>
      </c>
      <c r="S2138" t="str">
        <f>"Assembly, JM, E081, SCR Panel"</f>
        <v>Assembly, JM, E081, SCR Panel</v>
      </c>
      <c r="T2138">
        <v>137.26</v>
      </c>
      <c r="U2138">
        <v>136</v>
      </c>
      <c r="V2138">
        <v>187.31</v>
      </c>
      <c r="W2138" t="str">
        <f t="shared" si="535"/>
        <v>zintel</v>
      </c>
    </row>
    <row r="2139" spans="1:23">
      <c r="A2139" t="str">
        <f t="shared" si="540"/>
        <v>JM-POWR-ELEC</v>
      </c>
      <c r="B2139" t="str">
        <f>"26-E083-0000"</f>
        <v>26-E083-0000</v>
      </c>
      <c r="C2139" t="str">
        <f>"Assembly, JM, E083, TRIAC Panel"</f>
        <v>Assembly, JM, E083, TRIAC Panel</v>
      </c>
      <c r="D2139">
        <v>2</v>
      </c>
      <c r="E2139" t="str">
        <f t="shared" si="541"/>
        <v>Industrial Power Electronics Two Sided Bench</v>
      </c>
      <c r="F2139">
        <v>0</v>
      </c>
      <c r="G2139" t="str">
        <f t="shared" si="542"/>
        <v>Y</v>
      </c>
      <c r="H2139" t="str">
        <f t="shared" si="534"/>
        <v>EA</v>
      </c>
      <c r="I2139">
        <v>0</v>
      </c>
      <c r="J2139">
        <v>0</v>
      </c>
      <c r="K2139" t="str">
        <f t="shared" si="543"/>
        <v>Y</v>
      </c>
      <c r="L2139">
        <v>0</v>
      </c>
      <c r="M2139" t="str">
        <f t="shared" si="539"/>
        <v>NIS</v>
      </c>
      <c r="O2139">
        <v>32</v>
      </c>
      <c r="P2139" t="str">
        <f t="shared" si="544"/>
        <v>Active</v>
      </c>
      <c r="Q2139" t="str">
        <f>"Assembly, JM, E083, TRIAC Panel"</f>
        <v>Assembly, JM, E083, TRIAC Panel</v>
      </c>
      <c r="S2139" t="str">
        <f>"Assembly, JM, E083, TRIAC Panel"</f>
        <v>Assembly, JM, E083, TRIAC Panel</v>
      </c>
      <c r="T2139">
        <v>85.19</v>
      </c>
      <c r="U2139">
        <v>85</v>
      </c>
      <c r="V2139">
        <v>190.43</v>
      </c>
      <c r="W2139" t="str">
        <f t="shared" si="535"/>
        <v>zintel</v>
      </c>
    </row>
    <row r="2140" spans="1:23">
      <c r="A2140" t="str">
        <f t="shared" si="540"/>
        <v>JM-POWR-ELEC</v>
      </c>
      <c r="B2140" t="str">
        <f>"26-E084-0000"</f>
        <v>26-E084-0000</v>
      </c>
      <c r="C2140" t="str">
        <f>"Assembly, JM, E084, DIAC Adjustable Resistors"</f>
        <v>Assembly, JM, E084, DIAC Adjustable Resistors</v>
      </c>
      <c r="D2140">
        <v>2</v>
      </c>
      <c r="E2140" t="str">
        <f t="shared" si="541"/>
        <v>Industrial Power Electronics Two Sided Bench</v>
      </c>
      <c r="F2140">
        <v>0</v>
      </c>
      <c r="G2140" t="str">
        <f t="shared" si="542"/>
        <v>Y</v>
      </c>
      <c r="H2140" t="str">
        <f t="shared" si="534"/>
        <v>EA</v>
      </c>
      <c r="I2140">
        <v>0</v>
      </c>
      <c r="J2140">
        <v>0</v>
      </c>
      <c r="K2140" t="str">
        <f t="shared" si="543"/>
        <v>Y</v>
      </c>
      <c r="L2140">
        <v>0</v>
      </c>
      <c r="M2140" t="str">
        <f t="shared" si="539"/>
        <v>NIS</v>
      </c>
      <c r="O2140">
        <v>33</v>
      </c>
      <c r="P2140" t="str">
        <f t="shared" si="544"/>
        <v>Active</v>
      </c>
      <c r="Q2140" t="str">
        <f>"Assembly, JM, E084, DIAC Adjustable Resistors"</f>
        <v>Assembly, JM, E084, DIAC Adjustable Resistors</v>
      </c>
      <c r="S2140" t="str">
        <f>"Assembly, JM, E084, DIAC Adjustable Resistors"</f>
        <v>Assembly, JM, E084, DIAC Adjustable Resistors</v>
      </c>
      <c r="T2140">
        <v>114.38</v>
      </c>
      <c r="U2140">
        <v>112</v>
      </c>
      <c r="V2140">
        <v>228.86</v>
      </c>
      <c r="W2140" t="str">
        <f t="shared" si="535"/>
        <v>zintel</v>
      </c>
    </row>
    <row r="2141" spans="1:23">
      <c r="A2141" t="str">
        <f t="shared" si="540"/>
        <v>JM-POWR-ELEC</v>
      </c>
      <c r="B2141" t="str">
        <f>"26-E085-0000"</f>
        <v>26-E085-0000</v>
      </c>
      <c r="C2141" t="str">
        <f>"Assembly, JM, E085, Triac w/ Schmitt Trigger"</f>
        <v>Assembly, JM, E085, Triac w/ Schmitt Trigger</v>
      </c>
      <c r="D2141">
        <v>2</v>
      </c>
      <c r="E2141" t="str">
        <f t="shared" si="541"/>
        <v>Industrial Power Electronics Two Sided Bench</v>
      </c>
      <c r="F2141">
        <v>0</v>
      </c>
      <c r="G2141" t="str">
        <f t="shared" si="542"/>
        <v>Y</v>
      </c>
      <c r="H2141" t="str">
        <f t="shared" si="534"/>
        <v>EA</v>
      </c>
      <c r="I2141">
        <v>0</v>
      </c>
      <c r="J2141">
        <v>0</v>
      </c>
      <c r="K2141" t="str">
        <f t="shared" si="543"/>
        <v>Y</v>
      </c>
      <c r="L2141">
        <v>0</v>
      </c>
      <c r="M2141" t="str">
        <f t="shared" si="539"/>
        <v>NIS</v>
      </c>
      <c r="O2141">
        <v>34</v>
      </c>
      <c r="P2141" t="str">
        <f t="shared" si="544"/>
        <v>Active</v>
      </c>
      <c r="Q2141" t="str">
        <f>"Assembly, JM, E085, Triac w/ Schmitt Trigger"</f>
        <v>Assembly, JM, E085, Triac w/ Schmitt Trigger</v>
      </c>
      <c r="S2141" t="str">
        <f>"Assembly, JM, E085, Triac w/ Schmitt Trigger"</f>
        <v>Assembly, JM, E085, Triac w/ Schmitt Trigger</v>
      </c>
      <c r="T2141">
        <v>153.78</v>
      </c>
      <c r="U2141">
        <v>152</v>
      </c>
      <c r="V2141">
        <v>546.33000000000004</v>
      </c>
      <c r="W2141" t="str">
        <f t="shared" si="535"/>
        <v>zintel</v>
      </c>
    </row>
    <row r="2142" spans="1:23">
      <c r="A2142" t="str">
        <f t="shared" si="540"/>
        <v>JM-POWR-ELEC</v>
      </c>
      <c r="B2142" t="str">
        <f>"26-E088-0000"</f>
        <v>26-E088-0000</v>
      </c>
      <c r="C2142" t="str">
        <f>"Assembly, JM, E088, PMW Motor Drive Panel"</f>
        <v>Assembly, JM, E088, PMW Motor Drive Panel</v>
      </c>
      <c r="D2142">
        <v>2</v>
      </c>
      <c r="E2142" t="str">
        <f t="shared" si="541"/>
        <v>Industrial Power Electronics Two Sided Bench</v>
      </c>
      <c r="F2142">
        <v>0</v>
      </c>
      <c r="G2142" t="str">
        <f t="shared" si="542"/>
        <v>Y</v>
      </c>
      <c r="H2142" t="str">
        <f t="shared" si="534"/>
        <v>EA</v>
      </c>
      <c r="I2142">
        <v>0</v>
      </c>
      <c r="J2142">
        <v>0</v>
      </c>
      <c r="K2142" t="str">
        <f t="shared" si="543"/>
        <v>Y</v>
      </c>
      <c r="L2142">
        <v>0</v>
      </c>
      <c r="M2142" t="str">
        <f t="shared" si="539"/>
        <v>NIS</v>
      </c>
      <c r="O2142">
        <v>35</v>
      </c>
      <c r="P2142" t="str">
        <f t="shared" si="544"/>
        <v>Active</v>
      </c>
      <c r="Q2142" t="str">
        <f>"Assembly, JM, E088, PMW Motor Drive Panel"</f>
        <v>Assembly, JM, E088, PMW Motor Drive Panel</v>
      </c>
      <c r="S2142" t="str">
        <f>"Assembly, JM, E088, PMW Motor Drive Panel"</f>
        <v>Assembly, JM, E088, PMW Motor Drive Panel</v>
      </c>
      <c r="T2142">
        <v>173.3</v>
      </c>
      <c r="U2142">
        <v>170</v>
      </c>
      <c r="V2142">
        <v>390.23</v>
      </c>
      <c r="W2142" t="str">
        <f t="shared" si="535"/>
        <v>zintel</v>
      </c>
    </row>
    <row r="2143" spans="1:23">
      <c r="A2143" t="str">
        <f t="shared" si="540"/>
        <v>JM-POWR-ELEC</v>
      </c>
      <c r="B2143" t="str">
        <f>"26-E157-0000"</f>
        <v>26-E157-0000</v>
      </c>
      <c r="C2143" t="str">
        <f>"Assembly, JM, E157, Electric AC/DC Motors"</f>
        <v>Assembly, JM, E157, Electric AC/DC Motors</v>
      </c>
      <c r="D2143">
        <v>2</v>
      </c>
      <c r="E2143" t="str">
        <f t="shared" si="541"/>
        <v>Industrial Power Electronics Two Sided Bench</v>
      </c>
      <c r="F2143">
        <v>0</v>
      </c>
      <c r="G2143" t="str">
        <f t="shared" si="542"/>
        <v>Y</v>
      </c>
      <c r="H2143" t="str">
        <f t="shared" si="534"/>
        <v>EA</v>
      </c>
      <c r="I2143">
        <v>0</v>
      </c>
      <c r="J2143">
        <v>0</v>
      </c>
      <c r="K2143" t="str">
        <f t="shared" si="543"/>
        <v>Y</v>
      </c>
      <c r="L2143">
        <v>0</v>
      </c>
      <c r="M2143" t="str">
        <f t="shared" si="539"/>
        <v>NIS</v>
      </c>
      <c r="O2143">
        <v>36</v>
      </c>
      <c r="P2143" t="str">
        <f t="shared" si="544"/>
        <v>Active</v>
      </c>
      <c r="Q2143" t="str">
        <f>"Assembly, JM, E157, Electric AC/DC Motors"</f>
        <v>Assembly, JM, E157, Electric AC/DC Motors</v>
      </c>
      <c r="S2143" t="str">
        <f>"Assembly, JM, E157, Electric AC/DC Motors"</f>
        <v>Assembly, JM, E157, Electric AC/DC Motors</v>
      </c>
      <c r="T2143">
        <v>250.47</v>
      </c>
      <c r="U2143">
        <v>250</v>
      </c>
      <c r="V2143">
        <v>452.67</v>
      </c>
      <c r="W2143" t="str">
        <f t="shared" si="535"/>
        <v>zintel</v>
      </c>
    </row>
    <row r="2144" spans="1:23">
      <c r="A2144" t="str">
        <f t="shared" si="540"/>
        <v>JM-POWR-ELEC</v>
      </c>
      <c r="B2144" t="str">
        <f>"36-EB03-IG01"</f>
        <v>36-EB03-IG01</v>
      </c>
      <c r="C2144" t="str">
        <f>"JM, PDF on CD Thyristor Motor Drives - EB03"</f>
        <v>JM, PDF on CD Thyristor Motor Drives - EB03</v>
      </c>
      <c r="D2144">
        <v>1</v>
      </c>
      <c r="E2144" t="str">
        <f t="shared" si="541"/>
        <v>Industrial Power Electronics Two Sided Bench</v>
      </c>
      <c r="F2144">
        <v>0</v>
      </c>
      <c r="G2144" t="str">
        <f t="shared" si="542"/>
        <v>Y</v>
      </c>
      <c r="H2144" t="str">
        <f t="shared" si="534"/>
        <v>EA</v>
      </c>
      <c r="I2144">
        <v>0</v>
      </c>
      <c r="J2144">
        <v>0</v>
      </c>
      <c r="K2144" t="str">
        <f t="shared" si="543"/>
        <v>Y</v>
      </c>
      <c r="L2144">
        <v>0</v>
      </c>
      <c r="M2144" t="str">
        <f t="shared" si="539"/>
        <v>NIS</v>
      </c>
      <c r="N2144" t="str">
        <f>"Y"</f>
        <v>Y</v>
      </c>
      <c r="O2144">
        <v>37</v>
      </c>
      <c r="P2144" t="str">
        <f t="shared" si="544"/>
        <v>Active</v>
      </c>
      <c r="Q2144" t="str">
        <f>"JM, PDF on CD Thyristor Motor Drives - EB03"</f>
        <v>JM, PDF on CD Thyristor Motor Drives - EB03</v>
      </c>
      <c r="S2144" t="str">
        <f>"JM, PDF on CD Thyristor Motor Drives - EB03"</f>
        <v>JM, PDF on CD Thyristor Motor Drives - EB03</v>
      </c>
      <c r="T2144">
        <v>10.3</v>
      </c>
      <c r="U2144">
        <v>10.3</v>
      </c>
      <c r="V2144">
        <v>11.43</v>
      </c>
      <c r="W2144" t="str">
        <f t="shared" si="535"/>
        <v>zintel</v>
      </c>
    </row>
    <row r="2145" spans="1:23">
      <c r="A2145" t="str">
        <f t="shared" si="540"/>
        <v>JM-POWR-ELEC</v>
      </c>
      <c r="B2145" t="str">
        <f>"26-E082-0000"</f>
        <v>26-E082-0000</v>
      </c>
      <c r="C2145" t="str">
        <f>"Assembly, JM, E082, Full Wave SCR DC Drive Panel"</f>
        <v>Assembly, JM, E082, Full Wave SCR DC Drive Panel</v>
      </c>
      <c r="D2145">
        <v>2</v>
      </c>
      <c r="E2145" t="str">
        <f t="shared" si="541"/>
        <v>Industrial Power Electronics Two Sided Bench</v>
      </c>
      <c r="F2145">
        <v>0</v>
      </c>
      <c r="G2145" t="str">
        <f t="shared" si="542"/>
        <v>Y</v>
      </c>
      <c r="H2145" t="str">
        <f t="shared" si="534"/>
        <v>EA</v>
      </c>
      <c r="I2145">
        <v>0</v>
      </c>
      <c r="J2145">
        <v>0</v>
      </c>
      <c r="K2145" t="str">
        <f t="shared" si="543"/>
        <v>Y</v>
      </c>
      <c r="L2145">
        <v>0</v>
      </c>
      <c r="M2145" t="str">
        <f t="shared" si="539"/>
        <v>NIS</v>
      </c>
      <c r="O2145">
        <v>38</v>
      </c>
      <c r="P2145" t="str">
        <f t="shared" si="544"/>
        <v>Active</v>
      </c>
      <c r="Q2145" t="str">
        <f>"Assembly, JM, E082, Full Wave SCR DC Drive Panel"</f>
        <v>Assembly, JM, E082, Full Wave SCR DC Drive Panel</v>
      </c>
      <c r="S2145" t="str">
        <f>"Assembly, JM, E082, Full Wave SCR DC Drive Panel"</f>
        <v>Assembly, JM, E082, Full Wave SCR DC Drive Panel</v>
      </c>
      <c r="T2145">
        <v>262.07</v>
      </c>
      <c r="U2145">
        <v>261</v>
      </c>
      <c r="V2145">
        <v>366.79</v>
      </c>
      <c r="W2145" t="str">
        <f t="shared" si="535"/>
        <v>zintel</v>
      </c>
    </row>
    <row r="2146" spans="1:23">
      <c r="A2146" t="str">
        <f t="shared" si="540"/>
        <v>JM-POWR-ELEC</v>
      </c>
      <c r="B2146" t="str">
        <f>"77-EB04-0000"</f>
        <v>77-EB04-0000</v>
      </c>
      <c r="C2146" t="str">
        <f>"LM7 Content, JM, Electronic Timers &amp; Triggers"</f>
        <v>LM7 Content, JM, Electronic Timers &amp; Triggers</v>
      </c>
      <c r="D2146">
        <v>1</v>
      </c>
      <c r="E2146" t="str">
        <f t="shared" si="541"/>
        <v>Industrial Power Electronics Two Sided Bench</v>
      </c>
      <c r="F2146">
        <v>0</v>
      </c>
      <c r="G2146" t="str">
        <f t="shared" si="542"/>
        <v>Y</v>
      </c>
      <c r="H2146" t="str">
        <f t="shared" si="534"/>
        <v>EA</v>
      </c>
      <c r="I2146">
        <v>0</v>
      </c>
      <c r="J2146">
        <v>0</v>
      </c>
      <c r="K2146" t="str">
        <f t="shared" si="543"/>
        <v>Y</v>
      </c>
      <c r="L2146">
        <v>0</v>
      </c>
      <c r="M2146" t="str">
        <f t="shared" si="539"/>
        <v>NIS</v>
      </c>
      <c r="O2146">
        <v>39</v>
      </c>
      <c r="P2146" t="str">
        <f t="shared" si="544"/>
        <v>Active</v>
      </c>
      <c r="Q2146" t="str">
        <f>"LM7 Content, JM, Electronic Timers &amp; Triggers"</f>
        <v>LM7 Content, JM, Electronic Timers &amp; Triggers</v>
      </c>
      <c r="S2146" t="str">
        <f>"LM7 Content, JM, Electronic Timers &amp; Triggers"</f>
        <v>LM7 Content, JM, Electronic Timers &amp; Triggers</v>
      </c>
      <c r="T2146">
        <v>0</v>
      </c>
      <c r="U2146">
        <v>5</v>
      </c>
      <c r="V2146">
        <v>5</v>
      </c>
      <c r="W2146" t="str">
        <f t="shared" si="535"/>
        <v>zintel</v>
      </c>
    </row>
    <row r="2147" spans="1:23">
      <c r="A2147" t="str">
        <f t="shared" si="540"/>
        <v>JM-POWR-ELEC</v>
      </c>
      <c r="B2147" t="str">
        <f>"26-E089-0000"</f>
        <v>26-E089-0000</v>
      </c>
      <c r="C2147" t="str">
        <f>"Assembly, JM, E089, Timers and Triggers Panel"</f>
        <v>Assembly, JM, E089, Timers and Triggers Panel</v>
      </c>
      <c r="D2147">
        <v>2</v>
      </c>
      <c r="E2147" t="str">
        <f t="shared" si="541"/>
        <v>Industrial Power Electronics Two Sided Bench</v>
      </c>
      <c r="F2147">
        <v>0</v>
      </c>
      <c r="G2147" t="str">
        <f t="shared" si="542"/>
        <v>Y</v>
      </c>
      <c r="H2147" t="str">
        <f t="shared" si="534"/>
        <v>EA</v>
      </c>
      <c r="I2147">
        <v>0</v>
      </c>
      <c r="J2147">
        <v>0</v>
      </c>
      <c r="K2147" t="str">
        <f t="shared" si="543"/>
        <v>Y</v>
      </c>
      <c r="L2147">
        <v>0</v>
      </c>
      <c r="M2147" t="str">
        <f t="shared" si="539"/>
        <v>NIS</v>
      </c>
      <c r="O2147">
        <v>40</v>
      </c>
      <c r="P2147" t="str">
        <f t="shared" si="544"/>
        <v>Active</v>
      </c>
      <c r="Q2147" t="str">
        <f>"Assembly, JM, E089, Timers and Triggers Panel"</f>
        <v>Assembly, JM, E089, Timers and Triggers Panel</v>
      </c>
      <c r="S2147" t="str">
        <f>"Assembly, JM, E089, Timers and Triggers Panel"</f>
        <v>Assembly, JM, E089, Timers and Triggers Panel</v>
      </c>
      <c r="T2147">
        <v>122.91</v>
      </c>
      <c r="U2147">
        <v>122</v>
      </c>
      <c r="V2147">
        <v>408.97</v>
      </c>
      <c r="W2147" t="str">
        <f t="shared" si="535"/>
        <v>zintel</v>
      </c>
    </row>
    <row r="2148" spans="1:23">
      <c r="A2148" t="str">
        <f t="shared" si="540"/>
        <v>JM-POWR-ELEC</v>
      </c>
      <c r="B2148" t="str">
        <f>"36-EB04-IG01"</f>
        <v>36-EB04-IG01</v>
      </c>
      <c r="C2148" t="str">
        <f>"JM, PDF on CD Electronic Timers &amp; Triggers- EB04"</f>
        <v>JM, PDF on CD Electronic Timers &amp; Triggers- EB04</v>
      </c>
      <c r="D2148">
        <v>1</v>
      </c>
      <c r="E2148" t="str">
        <f t="shared" si="541"/>
        <v>Industrial Power Electronics Two Sided Bench</v>
      </c>
      <c r="F2148">
        <v>0</v>
      </c>
      <c r="G2148" t="str">
        <f t="shared" si="542"/>
        <v>Y</v>
      </c>
      <c r="H2148" t="str">
        <f t="shared" si="534"/>
        <v>EA</v>
      </c>
      <c r="I2148">
        <v>0</v>
      </c>
      <c r="J2148">
        <v>0</v>
      </c>
      <c r="K2148" t="str">
        <f t="shared" si="543"/>
        <v>Y</v>
      </c>
      <c r="L2148">
        <v>0</v>
      </c>
      <c r="M2148" t="str">
        <f t="shared" si="539"/>
        <v>NIS</v>
      </c>
      <c r="N2148" t="str">
        <f>"Y"</f>
        <v>Y</v>
      </c>
      <c r="O2148">
        <v>41</v>
      </c>
      <c r="P2148" t="str">
        <f t="shared" si="544"/>
        <v>Active</v>
      </c>
      <c r="Q2148" t="str">
        <f>"JM, PDF on CD Electronic Timers &amp; Triggers- EB04"</f>
        <v>JM, PDF on CD Electronic Timers &amp; Triggers- EB04</v>
      </c>
      <c r="S2148" t="str">
        <f>"JM, PDF on CD Electronic Timers &amp; Triggers- EB04"</f>
        <v>JM, PDF on CD Electronic Timers &amp; Triggers- EB04</v>
      </c>
      <c r="T2148">
        <v>0</v>
      </c>
      <c r="U2148">
        <v>9.5</v>
      </c>
      <c r="V2148">
        <v>10.55</v>
      </c>
      <c r="W2148" t="str">
        <f t="shared" si="535"/>
        <v>zintel</v>
      </c>
    </row>
    <row r="2149" spans="1:23">
      <c r="A2149" t="str">
        <f t="shared" si="540"/>
        <v>JM-POWR-ELEC</v>
      </c>
      <c r="B2149" t="str">
        <f>"77-EB05-0000"</f>
        <v>77-EB05-0000</v>
      </c>
      <c r="C2149" t="str">
        <f>"LM7 Content, JM, Basic Stepper Motors &amp; Drives"</f>
        <v>LM7 Content, JM, Basic Stepper Motors &amp; Drives</v>
      </c>
      <c r="D2149">
        <v>1</v>
      </c>
      <c r="E2149" t="str">
        <f t="shared" si="541"/>
        <v>Industrial Power Electronics Two Sided Bench</v>
      </c>
      <c r="F2149">
        <v>0</v>
      </c>
      <c r="G2149" t="str">
        <f t="shared" si="542"/>
        <v>Y</v>
      </c>
      <c r="H2149" t="str">
        <f t="shared" si="534"/>
        <v>EA</v>
      </c>
      <c r="I2149">
        <v>0</v>
      </c>
      <c r="J2149">
        <v>0</v>
      </c>
      <c r="K2149" t="str">
        <f t="shared" si="543"/>
        <v>Y</v>
      </c>
      <c r="L2149">
        <v>0</v>
      </c>
      <c r="M2149" t="str">
        <f t="shared" si="539"/>
        <v>NIS</v>
      </c>
      <c r="O2149">
        <v>42</v>
      </c>
      <c r="P2149" t="str">
        <f t="shared" si="544"/>
        <v>Active</v>
      </c>
      <c r="Q2149" t="str">
        <f>"LM7 Content, JM, Basic Stepper Motors &amp; Drives"</f>
        <v>LM7 Content, JM, Basic Stepper Motors &amp; Drives</v>
      </c>
      <c r="S2149" t="str">
        <f>"LM7 Content, JM, Basic Stepper Motors &amp; Drives"</f>
        <v>LM7 Content, JM, Basic Stepper Motors &amp; Drives</v>
      </c>
      <c r="T2149">
        <v>0</v>
      </c>
      <c r="U2149">
        <v>5</v>
      </c>
      <c r="V2149">
        <v>5</v>
      </c>
      <c r="W2149" t="str">
        <f t="shared" si="535"/>
        <v>zintel</v>
      </c>
    </row>
    <row r="2150" spans="1:23">
      <c r="A2150" t="str">
        <f t="shared" si="540"/>
        <v>JM-POWR-ELEC</v>
      </c>
      <c r="B2150" t="str">
        <f>"26-E090-0000"</f>
        <v>26-E090-0000</v>
      </c>
      <c r="C2150" t="str">
        <f>"Assembly, JM, E090, Stepper Motor &amp; Drive Panel"</f>
        <v>Assembly, JM, E090, Stepper Motor &amp; Drive Panel</v>
      </c>
      <c r="D2150">
        <v>2</v>
      </c>
      <c r="E2150" t="str">
        <f t="shared" si="541"/>
        <v>Industrial Power Electronics Two Sided Bench</v>
      </c>
      <c r="F2150">
        <v>0</v>
      </c>
      <c r="G2150" t="str">
        <f t="shared" si="542"/>
        <v>Y</v>
      </c>
      <c r="H2150" t="str">
        <f t="shared" si="534"/>
        <v>EA</v>
      </c>
      <c r="I2150">
        <v>0</v>
      </c>
      <c r="J2150">
        <v>0</v>
      </c>
      <c r="K2150" t="str">
        <f t="shared" si="543"/>
        <v>Y</v>
      </c>
      <c r="L2150">
        <v>0</v>
      </c>
      <c r="M2150" t="str">
        <f t="shared" si="539"/>
        <v>NIS</v>
      </c>
      <c r="O2150">
        <v>43</v>
      </c>
      <c r="P2150" t="str">
        <f t="shared" si="544"/>
        <v>Active</v>
      </c>
      <c r="Q2150" t="str">
        <f>"Assembly, JM, E090, Stepper Motor &amp; Drive Panel"</f>
        <v>Assembly, JM, E090, Stepper Motor &amp; Drive Panel</v>
      </c>
      <c r="S2150" t="str">
        <f>"Assembly, JM, E090, Stepper Motor &amp; Drive Panel"</f>
        <v>Assembly, JM, E090, Stepper Motor &amp; Drive Panel</v>
      </c>
      <c r="T2150">
        <v>296.8</v>
      </c>
      <c r="U2150">
        <v>300</v>
      </c>
      <c r="V2150">
        <v>506.96</v>
      </c>
      <c r="W2150" t="str">
        <f t="shared" si="535"/>
        <v>zintel</v>
      </c>
    </row>
    <row r="2151" spans="1:23">
      <c r="A2151" t="str">
        <f t="shared" si="540"/>
        <v>JM-POWR-ELEC</v>
      </c>
      <c r="B2151" t="str">
        <f>"36-EB05-IG01"</f>
        <v>36-EB05-IG01</v>
      </c>
      <c r="C2151" t="str">
        <f>"JM, PDF on CD Basic Stepper Motor &amp; Drives- EB05"</f>
        <v>JM, PDF on CD Basic Stepper Motor &amp; Drives- EB05</v>
      </c>
      <c r="D2151">
        <v>1</v>
      </c>
      <c r="E2151" t="str">
        <f t="shared" si="541"/>
        <v>Industrial Power Electronics Two Sided Bench</v>
      </c>
      <c r="F2151">
        <v>0</v>
      </c>
      <c r="G2151" t="str">
        <f t="shared" si="542"/>
        <v>Y</v>
      </c>
      <c r="H2151" t="str">
        <f t="shared" si="534"/>
        <v>EA</v>
      </c>
      <c r="I2151">
        <v>0</v>
      </c>
      <c r="J2151">
        <v>0</v>
      </c>
      <c r="K2151" t="str">
        <f t="shared" si="543"/>
        <v>Y</v>
      </c>
      <c r="L2151">
        <v>0</v>
      </c>
      <c r="M2151" t="str">
        <f t="shared" si="539"/>
        <v>NIS</v>
      </c>
      <c r="N2151" t="str">
        <f>"Y"</f>
        <v>Y</v>
      </c>
      <c r="O2151">
        <v>44</v>
      </c>
      <c r="P2151" t="str">
        <f t="shared" si="544"/>
        <v>Active</v>
      </c>
      <c r="Q2151" t="str">
        <f>"JM, PDF on CD Basic Stepper Motor &amp; Drives- EB05"</f>
        <v>JM, PDF on CD Basic Stepper Motor &amp; Drives- EB05</v>
      </c>
      <c r="S2151" t="str">
        <f>"JM, PDF on CD Basic Stepper Motor &amp; Drives- EB05"</f>
        <v>JM, PDF on CD Basic Stepper Motor &amp; Drives- EB05</v>
      </c>
      <c r="T2151">
        <v>0</v>
      </c>
      <c r="U2151">
        <v>9.5</v>
      </c>
      <c r="V2151">
        <v>10.55</v>
      </c>
      <c r="W2151" t="str">
        <f t="shared" si="535"/>
        <v>zintel</v>
      </c>
    </row>
    <row r="2152" spans="1:23">
      <c r="A2152" t="str">
        <f t="shared" si="540"/>
        <v>JM-POWR-ELEC</v>
      </c>
      <c r="B2152" t="str">
        <f>"77-EB06-0000"</f>
        <v>77-EB06-0000</v>
      </c>
      <c r="C2152" t="str">
        <f>"LM7 Content, JM, Basic Servo Motor Drives"</f>
        <v>LM7 Content, JM, Basic Servo Motor Drives</v>
      </c>
      <c r="D2152">
        <v>1</v>
      </c>
      <c r="E2152" t="str">
        <f t="shared" si="541"/>
        <v>Industrial Power Electronics Two Sided Bench</v>
      </c>
      <c r="F2152">
        <v>0</v>
      </c>
      <c r="G2152" t="str">
        <f t="shared" si="542"/>
        <v>Y</v>
      </c>
      <c r="H2152" t="str">
        <f t="shared" ref="H2152:H2215" si="545">"EA"</f>
        <v>EA</v>
      </c>
      <c r="I2152">
        <v>0</v>
      </c>
      <c r="J2152">
        <v>0</v>
      </c>
      <c r="K2152" t="str">
        <f t="shared" si="543"/>
        <v>Y</v>
      </c>
      <c r="L2152">
        <v>0</v>
      </c>
      <c r="M2152" t="str">
        <f t="shared" si="539"/>
        <v>NIS</v>
      </c>
      <c r="O2152">
        <v>45</v>
      </c>
      <c r="P2152" t="str">
        <f t="shared" si="544"/>
        <v>Active</v>
      </c>
      <c r="Q2152" t="str">
        <f>"LM7 Content, JM, Basic Servo Motor Drives"</f>
        <v>LM7 Content, JM, Basic Servo Motor Drives</v>
      </c>
      <c r="S2152" t="str">
        <f>"LM7 Content, JM, Basic Servo Motor Drives"</f>
        <v>LM7 Content, JM, Basic Servo Motor Drives</v>
      </c>
      <c r="T2152">
        <v>0</v>
      </c>
      <c r="U2152">
        <v>5</v>
      </c>
      <c r="V2152">
        <v>5</v>
      </c>
      <c r="W2152" t="str">
        <f t="shared" ref="W2152:W2194" si="546">"zintel"</f>
        <v>zintel</v>
      </c>
    </row>
    <row r="2153" spans="1:23">
      <c r="A2153" t="str">
        <f t="shared" si="540"/>
        <v>JM-POWR-ELEC</v>
      </c>
      <c r="B2153" t="str">
        <f>"26-E091-0000"</f>
        <v>26-E091-0000</v>
      </c>
      <c r="C2153" t="str">
        <f>"Assembly, JM, E091, Servo Motor&amp; Drive Panel"</f>
        <v>Assembly, JM, E091, Servo Motor&amp; Drive Panel</v>
      </c>
      <c r="D2153">
        <v>2</v>
      </c>
      <c r="E2153" t="str">
        <f t="shared" si="541"/>
        <v>Industrial Power Electronics Two Sided Bench</v>
      </c>
      <c r="F2153">
        <v>0</v>
      </c>
      <c r="G2153" t="str">
        <f t="shared" si="542"/>
        <v>Y</v>
      </c>
      <c r="H2153" t="str">
        <f t="shared" si="545"/>
        <v>EA</v>
      </c>
      <c r="I2153">
        <v>0</v>
      </c>
      <c r="J2153">
        <v>0</v>
      </c>
      <c r="K2153" t="str">
        <f t="shared" si="543"/>
        <v>Y</v>
      </c>
      <c r="L2153">
        <v>0</v>
      </c>
      <c r="M2153" t="str">
        <f t="shared" si="539"/>
        <v>NIS</v>
      </c>
      <c r="O2153">
        <v>46</v>
      </c>
      <c r="P2153" t="str">
        <f t="shared" si="544"/>
        <v>Active</v>
      </c>
      <c r="Q2153" t="str">
        <f>"Assembly, JM, E091, Servo Motor&amp; Drive Panel"</f>
        <v>Assembly, JM, E091, Servo Motor&amp; Drive Panel</v>
      </c>
      <c r="S2153" t="str">
        <f>"Assembly, JM, E091, Servo Motor&amp; Drive Panel"</f>
        <v>Assembly, JM, E091, Servo Motor&amp; Drive Panel</v>
      </c>
      <c r="T2153">
        <v>219.92</v>
      </c>
      <c r="U2153">
        <v>220</v>
      </c>
      <c r="V2153">
        <v>462.04</v>
      </c>
      <c r="W2153" t="str">
        <f t="shared" si="546"/>
        <v>zintel</v>
      </c>
    </row>
    <row r="2154" spans="1:23">
      <c r="A2154" t="str">
        <f t="shared" si="540"/>
        <v>JM-POWR-ELEC</v>
      </c>
      <c r="B2154" t="str">
        <f>"36-EB06-IG01"</f>
        <v>36-EB06-IG01</v>
      </c>
      <c r="C2154" t="str">
        <f>"JM, PDF on CD Basic Servo Motor Drives - EB06"</f>
        <v>JM, PDF on CD Basic Servo Motor Drives - EB06</v>
      </c>
      <c r="D2154">
        <v>1</v>
      </c>
      <c r="E2154" t="str">
        <f t="shared" si="541"/>
        <v>Industrial Power Electronics Two Sided Bench</v>
      </c>
      <c r="F2154">
        <v>0</v>
      </c>
      <c r="G2154" t="str">
        <f t="shared" si="542"/>
        <v>Y</v>
      </c>
      <c r="H2154" t="str">
        <f t="shared" si="545"/>
        <v>EA</v>
      </c>
      <c r="I2154">
        <v>0</v>
      </c>
      <c r="J2154">
        <v>0</v>
      </c>
      <c r="K2154" t="str">
        <f t="shared" si="543"/>
        <v>Y</v>
      </c>
      <c r="L2154">
        <v>0</v>
      </c>
      <c r="M2154" t="str">
        <f t="shared" si="539"/>
        <v>NIS</v>
      </c>
      <c r="N2154" t="str">
        <f>"Y"</f>
        <v>Y</v>
      </c>
      <c r="O2154">
        <v>47</v>
      </c>
      <c r="P2154" t="str">
        <f t="shared" si="544"/>
        <v>Active</v>
      </c>
      <c r="Q2154" t="str">
        <f>"JM, PDF on CD Basic Servo Motor Drives - EB06"</f>
        <v>JM, PDF on CD Basic Servo Motor Drives - EB06</v>
      </c>
      <c r="S2154" t="str">
        <f>"JM, PDF on CD Basic Servo Motor Drives - EB06"</f>
        <v>JM, PDF on CD Basic Servo Motor Drives - EB06</v>
      </c>
      <c r="T2154">
        <v>0</v>
      </c>
      <c r="U2154">
        <v>9.5</v>
      </c>
      <c r="V2154">
        <v>10.55</v>
      </c>
      <c r="W2154" t="str">
        <f t="shared" si="546"/>
        <v>zintel</v>
      </c>
    </row>
    <row r="2155" spans="1:23">
      <c r="A2155" t="str">
        <f t="shared" si="540"/>
        <v>JM-POWR-ELEC</v>
      </c>
      <c r="B2155" t="str">
        <f>"10-PPSU-0001"</f>
        <v>10-PPSU-0001</v>
      </c>
      <c r="C2155" t="str">
        <f>"JM, Portable Panel Storage Unit"</f>
        <v>JM, Portable Panel Storage Unit</v>
      </c>
      <c r="D2155">
        <v>1</v>
      </c>
      <c r="E2155" t="str">
        <f t="shared" si="541"/>
        <v>Industrial Power Electronics Two Sided Bench</v>
      </c>
      <c r="F2155">
        <v>0</v>
      </c>
      <c r="G2155" t="str">
        <f t="shared" si="542"/>
        <v>Y</v>
      </c>
      <c r="H2155" t="str">
        <f t="shared" si="545"/>
        <v>EA</v>
      </c>
      <c r="I2155">
        <v>0</v>
      </c>
      <c r="J2155">
        <v>0</v>
      </c>
      <c r="K2155" t="str">
        <f t="shared" si="543"/>
        <v>Y</v>
      </c>
      <c r="L2155">
        <v>0</v>
      </c>
      <c r="M2155" t="str">
        <f t="shared" si="539"/>
        <v>NIS</v>
      </c>
      <c r="O2155">
        <v>48</v>
      </c>
      <c r="P2155" t="str">
        <f t="shared" si="544"/>
        <v>Active</v>
      </c>
      <c r="Q2155" t="str">
        <f>"JM, Portable Panel Storage Unit"</f>
        <v>JM, Portable Panel Storage Unit</v>
      </c>
      <c r="S2155" t="str">
        <f>"JM, Portable Panel Storage Unit"</f>
        <v>JM, Portable Panel Storage Unit</v>
      </c>
      <c r="T2155">
        <v>889.25</v>
      </c>
      <c r="U2155">
        <v>961.88</v>
      </c>
      <c r="V2155">
        <v>978.6</v>
      </c>
      <c r="W2155" t="str">
        <f t="shared" si="546"/>
        <v>zintel</v>
      </c>
    </row>
    <row r="2156" spans="1:23">
      <c r="A2156" t="str">
        <f t="shared" ref="A2156:A2193" si="547">"JM-POWR-ELEC-2"</f>
        <v>JM-POWR-ELEC-2</v>
      </c>
      <c r="B2156" t="str">
        <f>"10-LS00-0200"</f>
        <v>10-LS00-0200</v>
      </c>
      <c r="C2156" t="str">
        <f>"LS200:Jobmaster 2-Sided Mobile Learning Station"</f>
        <v>LS200:Jobmaster 2-Sided Mobile Learning Station</v>
      </c>
      <c r="D2156">
        <v>1</v>
      </c>
      <c r="E2156" t="str">
        <f t="shared" ref="E2156:E2193" si="548">"Industrial Power Electronics Two Sided Bench 220V"</f>
        <v>Industrial Power Electronics Two Sided Bench 220V</v>
      </c>
      <c r="F2156">
        <v>0</v>
      </c>
      <c r="G2156" t="str">
        <f t="shared" si="542"/>
        <v>Y</v>
      </c>
      <c r="H2156" t="str">
        <f t="shared" si="545"/>
        <v>EA</v>
      </c>
      <c r="I2156">
        <v>0</v>
      </c>
      <c r="J2156">
        <v>0</v>
      </c>
      <c r="K2156" t="str">
        <f t="shared" si="543"/>
        <v>Y</v>
      </c>
      <c r="L2156">
        <v>0</v>
      </c>
      <c r="M2156" t="str">
        <f t="shared" si="539"/>
        <v>NIS</v>
      </c>
      <c r="O2156">
        <v>1</v>
      </c>
      <c r="P2156" t="str">
        <f t="shared" si="544"/>
        <v>Active</v>
      </c>
      <c r="Q2156" t="str">
        <f>"LS200:Jobmaster 2-Sided Mobile Learning Station"</f>
        <v>LS200:Jobmaster 2-Sided Mobile Learning Station</v>
      </c>
      <c r="S2156" t="str">
        <f>"LS200:Jobmaster 2-Sided Mobile Learning Station"</f>
        <v>LS200:Jobmaster 2-Sided Mobile Learning Station</v>
      </c>
      <c r="T2156" s="44">
        <v>2283.3200000000002</v>
      </c>
      <c r="U2156" s="44">
        <v>2121</v>
      </c>
      <c r="V2156" s="44">
        <v>3030.14</v>
      </c>
      <c r="W2156" t="str">
        <f t="shared" si="546"/>
        <v>zintel</v>
      </c>
    </row>
    <row r="2157" spans="1:23">
      <c r="A2157" t="str">
        <f t="shared" si="547"/>
        <v>JM-POWR-ELEC-2</v>
      </c>
      <c r="B2157" t="str">
        <f>"10-PC04-0000"</f>
        <v>10-PC04-0000</v>
      </c>
      <c r="C2157" t="str">
        <f>"JM, Panel PC04, 120VAC Power Control"</f>
        <v>JM, Panel PC04, 120VAC Power Control</v>
      </c>
      <c r="D2157">
        <v>2</v>
      </c>
      <c r="E2157" t="str">
        <f t="shared" si="548"/>
        <v>Industrial Power Electronics Two Sided Bench 220V</v>
      </c>
      <c r="F2157">
        <v>0</v>
      </c>
      <c r="G2157" t="str">
        <f t="shared" si="542"/>
        <v>Y</v>
      </c>
      <c r="H2157" t="str">
        <f t="shared" si="545"/>
        <v>EA</v>
      </c>
      <c r="I2157">
        <v>0</v>
      </c>
      <c r="J2157">
        <v>0</v>
      </c>
      <c r="K2157" t="str">
        <f t="shared" si="543"/>
        <v>Y</v>
      </c>
      <c r="L2157">
        <v>0</v>
      </c>
      <c r="M2157" t="str">
        <f t="shared" si="539"/>
        <v>NIS</v>
      </c>
      <c r="O2157">
        <v>2</v>
      </c>
      <c r="P2157" t="str">
        <f t="shared" si="544"/>
        <v>Active</v>
      </c>
      <c r="Q2157" t="str">
        <f>"JM, Panel PC04, 120VAC Power Control"</f>
        <v>JM, Panel PC04, 120VAC Power Control</v>
      </c>
      <c r="S2157" t="str">
        <f>"JM, Panel PC04, 120VAC Power Control"</f>
        <v>JM, Panel PC04, 120VAC Power Control</v>
      </c>
      <c r="T2157">
        <v>358.54</v>
      </c>
      <c r="U2157">
        <v>358</v>
      </c>
      <c r="V2157">
        <v>637.30999999999995</v>
      </c>
      <c r="W2157" t="str">
        <f t="shared" si="546"/>
        <v>zintel</v>
      </c>
    </row>
    <row r="2158" spans="1:23">
      <c r="A2158" t="str">
        <f t="shared" si="547"/>
        <v>JM-POWR-ELEC-2</v>
      </c>
      <c r="B2158" t="str">
        <f>"10-PC06-0000"</f>
        <v>10-PC06-0000</v>
      </c>
      <c r="C2158" t="str">
        <f>"JM, Panel PC06, 220VAC Three Phase Power Control"</f>
        <v>JM, Panel PC06, 220VAC Three Phase Power Control</v>
      </c>
      <c r="D2158">
        <v>2</v>
      </c>
      <c r="E2158" t="str">
        <f t="shared" si="548"/>
        <v>Industrial Power Electronics Two Sided Bench 220V</v>
      </c>
      <c r="F2158">
        <v>0</v>
      </c>
      <c r="G2158" t="str">
        <f t="shared" si="542"/>
        <v>Y</v>
      </c>
      <c r="H2158" t="str">
        <f t="shared" si="545"/>
        <v>EA</v>
      </c>
      <c r="I2158">
        <v>0</v>
      </c>
      <c r="J2158">
        <v>0</v>
      </c>
      <c r="K2158" t="str">
        <f t="shared" si="543"/>
        <v>Y</v>
      </c>
      <c r="L2158">
        <v>0</v>
      </c>
      <c r="M2158" t="str">
        <f t="shared" si="539"/>
        <v>NIS</v>
      </c>
      <c r="O2158">
        <v>3</v>
      </c>
      <c r="P2158" t="str">
        <f t="shared" ref="P2158:P2189" si="549">"Active"</f>
        <v>Active</v>
      </c>
      <c r="Q2158" t="str">
        <f>"JM, Panel PC06, 220VAC Three Phase Power Control"</f>
        <v>JM, Panel PC06, 220VAC Three Phase Power Control</v>
      </c>
      <c r="S2158" t="str">
        <f>"JM, Panel PC06, 220VAC Three Phase Power Control"</f>
        <v>JM, Panel PC06, 220VAC Three Phase Power Control</v>
      </c>
      <c r="T2158">
        <v>399.23</v>
      </c>
      <c r="U2158">
        <v>400</v>
      </c>
      <c r="V2158">
        <v>576.48</v>
      </c>
      <c r="W2158" t="str">
        <f t="shared" si="546"/>
        <v>zintel</v>
      </c>
    </row>
    <row r="2159" spans="1:23">
      <c r="A2159" t="str">
        <f t="shared" si="547"/>
        <v>JM-POWR-ELEC-2</v>
      </c>
      <c r="B2159" t="str">
        <f>"77-EB01A-0000"</f>
        <v>77-EB01A-0000</v>
      </c>
      <c r="C2159" t="str">
        <f>"LM7 Content, JM, Oscilloscope"</f>
        <v>LM7 Content, JM, Oscilloscope</v>
      </c>
      <c r="D2159">
        <v>1</v>
      </c>
      <c r="E2159" t="str">
        <f t="shared" si="548"/>
        <v>Industrial Power Electronics Two Sided Bench 220V</v>
      </c>
      <c r="F2159">
        <v>0</v>
      </c>
      <c r="G2159" t="str">
        <f t="shared" si="542"/>
        <v>Y</v>
      </c>
      <c r="H2159" t="str">
        <f t="shared" si="545"/>
        <v>EA</v>
      </c>
      <c r="I2159">
        <v>0</v>
      </c>
      <c r="J2159">
        <v>0</v>
      </c>
      <c r="K2159" t="str">
        <f t="shared" si="543"/>
        <v>Y</v>
      </c>
      <c r="L2159">
        <v>0</v>
      </c>
      <c r="M2159" t="str">
        <f t="shared" si="539"/>
        <v>NIS</v>
      </c>
      <c r="O2159">
        <v>4</v>
      </c>
      <c r="P2159" t="str">
        <f t="shared" si="549"/>
        <v>Active</v>
      </c>
      <c r="Q2159" t="str">
        <f>"LM7 Content, JM, Oscilloscope"</f>
        <v>LM7 Content, JM, Oscilloscope</v>
      </c>
      <c r="S2159" t="str">
        <f>"LM7 Content, JM, Oscilloscope"</f>
        <v>LM7 Content, JM, Oscilloscope</v>
      </c>
      <c r="T2159">
        <v>0</v>
      </c>
      <c r="U2159">
        <v>5</v>
      </c>
      <c r="V2159">
        <v>5</v>
      </c>
      <c r="W2159" t="str">
        <f t="shared" si="546"/>
        <v>zintel</v>
      </c>
    </row>
    <row r="2160" spans="1:23">
      <c r="A2160" t="str">
        <f t="shared" si="547"/>
        <v>JM-POWR-ELEC-2</v>
      </c>
      <c r="B2160" t="str">
        <f>"26-E087-0000"</f>
        <v>26-E087-0000</v>
      </c>
      <c r="C2160" t="str">
        <f>"Assembly, JM, E087, Adjustable Power Supply"</f>
        <v>Assembly, JM, E087, Adjustable Power Supply</v>
      </c>
      <c r="D2160">
        <v>4</v>
      </c>
      <c r="E2160" t="str">
        <f t="shared" si="548"/>
        <v>Industrial Power Electronics Two Sided Bench 220V</v>
      </c>
      <c r="F2160">
        <v>0</v>
      </c>
      <c r="G2160" t="str">
        <f t="shared" si="542"/>
        <v>Y</v>
      </c>
      <c r="H2160" t="str">
        <f t="shared" si="545"/>
        <v>EA</v>
      </c>
      <c r="I2160">
        <v>0</v>
      </c>
      <c r="J2160">
        <v>0</v>
      </c>
      <c r="K2160" t="str">
        <f t="shared" si="543"/>
        <v>Y</v>
      </c>
      <c r="L2160">
        <v>0</v>
      </c>
      <c r="M2160" t="str">
        <f t="shared" si="539"/>
        <v>NIS</v>
      </c>
      <c r="O2160">
        <v>5</v>
      </c>
      <c r="P2160" t="str">
        <f t="shared" si="549"/>
        <v>Active</v>
      </c>
      <c r="Q2160" t="str">
        <f>"Assembly, JM, E087, Adjustable Power Supply"</f>
        <v>Assembly, JM, E087, Adjustable Power Supply</v>
      </c>
      <c r="S2160" t="str">
        <f>"Assembly, JM, E087, Adjustable Power Supply"</f>
        <v>Assembly, JM, E087, Adjustable Power Supply</v>
      </c>
      <c r="T2160">
        <v>73.88</v>
      </c>
      <c r="U2160">
        <v>75</v>
      </c>
      <c r="V2160">
        <v>174.83</v>
      </c>
      <c r="W2160" t="str">
        <f t="shared" si="546"/>
        <v>zintel</v>
      </c>
    </row>
    <row r="2161" spans="1:23">
      <c r="A2161" t="str">
        <f t="shared" si="547"/>
        <v>JM-POWR-ELEC-2</v>
      </c>
      <c r="B2161" t="str">
        <f>"26-E153-0000"</f>
        <v>26-E153-0000</v>
      </c>
      <c r="C2161" t="str">
        <f>"Assembly, JM, E153, AC/DC Circuits"</f>
        <v>Assembly, JM, E153, AC/DC Circuits</v>
      </c>
      <c r="D2161">
        <v>4</v>
      </c>
      <c r="E2161" t="str">
        <f t="shared" si="548"/>
        <v>Industrial Power Electronics Two Sided Bench 220V</v>
      </c>
      <c r="F2161">
        <v>0</v>
      </c>
      <c r="G2161" t="str">
        <f t="shared" si="542"/>
        <v>Y</v>
      </c>
      <c r="H2161" t="str">
        <f t="shared" si="545"/>
        <v>EA</v>
      </c>
      <c r="I2161">
        <v>0</v>
      </c>
      <c r="J2161">
        <v>0</v>
      </c>
      <c r="K2161" t="str">
        <f t="shared" si="543"/>
        <v>Y</v>
      </c>
      <c r="L2161">
        <v>0</v>
      </c>
      <c r="M2161" t="str">
        <f t="shared" ref="M2161:M2224" si="550">"NIS"</f>
        <v>NIS</v>
      </c>
      <c r="O2161">
        <v>6</v>
      </c>
      <c r="P2161" t="str">
        <f t="shared" si="549"/>
        <v>Active</v>
      </c>
      <c r="Q2161" t="str">
        <f>"Assembly, JM, E153, AC/DC Circuits"</f>
        <v>Assembly, JM, E153, AC/DC Circuits</v>
      </c>
      <c r="S2161" t="str">
        <f>"Assembly, JM, E153, AC/DC Circuits"</f>
        <v>Assembly, JM, E153, AC/DC Circuits</v>
      </c>
      <c r="T2161">
        <v>133.96</v>
      </c>
      <c r="U2161">
        <v>130</v>
      </c>
      <c r="V2161">
        <v>293.45999999999998</v>
      </c>
      <c r="W2161" t="str">
        <f t="shared" si="546"/>
        <v>zintel</v>
      </c>
    </row>
    <row r="2162" spans="1:23">
      <c r="A2162" t="str">
        <f t="shared" si="547"/>
        <v>JM-POWR-ELEC-2</v>
      </c>
      <c r="B2162" t="str">
        <f>"36-8900-0003"</f>
        <v>36-8900-0003</v>
      </c>
      <c r="C2162" t="str">
        <f>"JM, Oscilloscope, 30MHz, Analog BK"</f>
        <v>JM, Oscilloscope, 30MHz, Analog BK</v>
      </c>
      <c r="D2162">
        <v>2</v>
      </c>
      <c r="E2162" t="str">
        <f t="shared" si="548"/>
        <v>Industrial Power Electronics Two Sided Bench 220V</v>
      </c>
      <c r="F2162">
        <v>0</v>
      </c>
      <c r="G2162" t="str">
        <f t="shared" si="542"/>
        <v>Y</v>
      </c>
      <c r="H2162" t="str">
        <f t="shared" si="545"/>
        <v>EA</v>
      </c>
      <c r="I2162">
        <v>0</v>
      </c>
      <c r="J2162">
        <v>0</v>
      </c>
      <c r="K2162" t="str">
        <f t="shared" si="543"/>
        <v>Y</v>
      </c>
      <c r="L2162">
        <v>0</v>
      </c>
      <c r="M2162" t="str">
        <f t="shared" si="550"/>
        <v>NIS</v>
      </c>
      <c r="O2162">
        <v>7</v>
      </c>
      <c r="P2162" t="str">
        <f t="shared" si="549"/>
        <v>Active</v>
      </c>
      <c r="Q2162" t="str">
        <f>"JM, Oscilloscope, 30MHz, Analog BK"</f>
        <v>JM, Oscilloscope, 30MHz, Analog BK</v>
      </c>
      <c r="R2162" t="str">
        <f>"1"</f>
        <v>1</v>
      </c>
      <c r="S2162" t="str">
        <f>"JM, Oscilloscope, 30MHz, Analog BK"</f>
        <v>JM, Oscilloscope, 30MHz, Analog BK</v>
      </c>
      <c r="T2162">
        <v>582.46</v>
      </c>
      <c r="U2162">
        <v>622.16</v>
      </c>
      <c r="V2162">
        <v>845.38</v>
      </c>
      <c r="W2162" t="str">
        <f t="shared" si="546"/>
        <v>zintel</v>
      </c>
    </row>
    <row r="2163" spans="1:23">
      <c r="A2163" t="str">
        <f t="shared" si="547"/>
        <v>JM-POWR-ELEC-2</v>
      </c>
      <c r="B2163" t="str">
        <f>"77-EB01B-0000"</f>
        <v>77-EB01B-0000</v>
      </c>
      <c r="C2163" t="str">
        <f>"LM7 Content, JM, Digital Multimeter"</f>
        <v>LM7 Content, JM, Digital Multimeter</v>
      </c>
      <c r="D2163">
        <v>1</v>
      </c>
      <c r="E2163" t="str">
        <f t="shared" si="548"/>
        <v>Industrial Power Electronics Two Sided Bench 220V</v>
      </c>
      <c r="F2163">
        <v>0</v>
      </c>
      <c r="G2163" t="str">
        <f t="shared" si="542"/>
        <v>Y</v>
      </c>
      <c r="H2163" t="str">
        <f t="shared" si="545"/>
        <v>EA</v>
      </c>
      <c r="I2163">
        <v>0</v>
      </c>
      <c r="J2163">
        <v>0</v>
      </c>
      <c r="K2163" t="str">
        <f t="shared" si="543"/>
        <v>Y</v>
      </c>
      <c r="L2163">
        <v>0</v>
      </c>
      <c r="M2163" t="str">
        <f t="shared" si="550"/>
        <v>NIS</v>
      </c>
      <c r="O2163">
        <v>9</v>
      </c>
      <c r="P2163" t="str">
        <f t="shared" si="549"/>
        <v>Active</v>
      </c>
      <c r="Q2163" t="str">
        <f>"LM7 Content, JM, Digital Multimeter"</f>
        <v>LM7 Content, JM, Digital Multimeter</v>
      </c>
      <c r="S2163" t="str">
        <f>"LM7 Content, JM, Digital Multimeter"</f>
        <v>LM7 Content, JM, Digital Multimeter</v>
      </c>
      <c r="T2163">
        <v>0</v>
      </c>
      <c r="U2163">
        <v>5</v>
      </c>
      <c r="V2163">
        <v>5</v>
      </c>
      <c r="W2163" t="str">
        <f t="shared" si="546"/>
        <v>zintel</v>
      </c>
    </row>
    <row r="2164" spans="1:23">
      <c r="A2164" t="str">
        <f t="shared" si="547"/>
        <v>JM-POWR-ELEC-2</v>
      </c>
      <c r="B2164" t="str">
        <f>"26-E052-0000"</f>
        <v>26-E052-0000</v>
      </c>
      <c r="C2164" t="str">
        <f>"Assembly, JM, E052, Resistors Panel"</f>
        <v>Assembly, JM, E052, Resistors Panel</v>
      </c>
      <c r="D2164">
        <v>2</v>
      </c>
      <c r="E2164" t="str">
        <f t="shared" si="548"/>
        <v>Industrial Power Electronics Two Sided Bench 220V</v>
      </c>
      <c r="F2164">
        <v>0</v>
      </c>
      <c r="G2164" t="str">
        <f t="shared" si="542"/>
        <v>Y</v>
      </c>
      <c r="H2164" t="str">
        <f t="shared" si="545"/>
        <v>EA</v>
      </c>
      <c r="I2164">
        <v>0</v>
      </c>
      <c r="J2164">
        <v>0</v>
      </c>
      <c r="K2164" t="str">
        <f t="shared" si="543"/>
        <v>Y</v>
      </c>
      <c r="L2164">
        <v>0</v>
      </c>
      <c r="M2164" t="str">
        <f t="shared" si="550"/>
        <v>NIS</v>
      </c>
      <c r="O2164">
        <v>10</v>
      </c>
      <c r="P2164" t="str">
        <f t="shared" si="549"/>
        <v>Active</v>
      </c>
      <c r="Q2164" t="str">
        <f>"Assembly, JM, E052, Resistors Panel"</f>
        <v>Assembly, JM, E052, Resistors Panel</v>
      </c>
      <c r="S2164" t="str">
        <f>"Assembly, JM, E052, Resistors Panel"</f>
        <v>Assembly, JM, E052, Resistors Panel</v>
      </c>
      <c r="T2164">
        <v>116.66</v>
      </c>
      <c r="U2164">
        <v>112</v>
      </c>
      <c r="V2164">
        <v>216.4</v>
      </c>
      <c r="W2164" t="str">
        <f t="shared" si="546"/>
        <v>zintel</v>
      </c>
    </row>
    <row r="2165" spans="1:23">
      <c r="A2165" t="str">
        <f t="shared" si="547"/>
        <v>JM-POWR-ELEC-2</v>
      </c>
      <c r="B2165" t="str">
        <f>"26-E055-0000"</f>
        <v>26-E055-0000</v>
      </c>
      <c r="C2165" t="str">
        <f>"Assembly, JM, E055, Filters/Capacitors Panel"</f>
        <v>Assembly, JM, E055, Filters/Capacitors Panel</v>
      </c>
      <c r="D2165">
        <v>2</v>
      </c>
      <c r="E2165" t="str">
        <f t="shared" si="548"/>
        <v>Industrial Power Electronics Two Sided Bench 220V</v>
      </c>
      <c r="F2165">
        <v>0</v>
      </c>
      <c r="G2165" t="str">
        <f t="shared" si="542"/>
        <v>Y</v>
      </c>
      <c r="H2165" t="str">
        <f t="shared" si="545"/>
        <v>EA</v>
      </c>
      <c r="I2165">
        <v>0</v>
      </c>
      <c r="J2165">
        <v>0</v>
      </c>
      <c r="K2165" t="str">
        <f t="shared" si="543"/>
        <v>Y</v>
      </c>
      <c r="L2165">
        <v>0</v>
      </c>
      <c r="M2165" t="str">
        <f t="shared" si="550"/>
        <v>NIS</v>
      </c>
      <c r="O2165">
        <v>11</v>
      </c>
      <c r="P2165" t="str">
        <f t="shared" si="549"/>
        <v>Active</v>
      </c>
      <c r="Q2165" t="str">
        <f>"Assembly, JM, E055, Filters/Capacitors Panel"</f>
        <v>Assembly, JM, E055, Filters/Capacitors Panel</v>
      </c>
      <c r="S2165" t="str">
        <f>"Assembly, JM, E055, Filters/Capacitors Panel"</f>
        <v>Assembly, JM, E055, Filters/Capacitors Panel</v>
      </c>
      <c r="T2165">
        <v>153.1</v>
      </c>
      <c r="U2165">
        <v>152.85</v>
      </c>
      <c r="V2165">
        <v>199.09</v>
      </c>
      <c r="W2165" t="str">
        <f t="shared" si="546"/>
        <v>zintel</v>
      </c>
    </row>
    <row r="2166" spans="1:23">
      <c r="A2166" t="str">
        <f t="shared" si="547"/>
        <v>JM-POWR-ELEC-2</v>
      </c>
      <c r="B2166" t="str">
        <f>"36-8900-0007"</f>
        <v>36-8900-0007</v>
      </c>
      <c r="C2166" t="str">
        <f>"JM, Digital Multimeter, Fluke-115"</f>
        <v>JM, Digital Multimeter, Fluke-115</v>
      </c>
      <c r="D2166">
        <v>2</v>
      </c>
      <c r="E2166" t="str">
        <f t="shared" si="548"/>
        <v>Industrial Power Electronics Two Sided Bench 220V</v>
      </c>
      <c r="F2166">
        <v>0</v>
      </c>
      <c r="G2166" t="str">
        <f t="shared" si="542"/>
        <v>Y</v>
      </c>
      <c r="H2166" t="str">
        <f t="shared" si="545"/>
        <v>EA</v>
      </c>
      <c r="I2166">
        <v>0</v>
      </c>
      <c r="J2166">
        <v>0</v>
      </c>
      <c r="K2166" t="str">
        <f t="shared" si="543"/>
        <v>Y</v>
      </c>
      <c r="L2166">
        <v>0</v>
      </c>
      <c r="M2166" t="str">
        <f t="shared" si="550"/>
        <v>NIS</v>
      </c>
      <c r="O2166">
        <v>12</v>
      </c>
      <c r="P2166" t="str">
        <f t="shared" si="549"/>
        <v>Active</v>
      </c>
      <c r="Q2166" t="str">
        <f>"JM, Digital Multimeter, Fluke-115"</f>
        <v>JM, Digital Multimeter, Fluke-115</v>
      </c>
      <c r="R2166" t="str">
        <f>"1"</f>
        <v>1</v>
      </c>
      <c r="S2166" t="str">
        <f>"JM, Digital Multimeter, Fluke-115"</f>
        <v>JM, Digital Multimeter, Fluke-115</v>
      </c>
      <c r="T2166">
        <v>158.5</v>
      </c>
      <c r="U2166">
        <v>145</v>
      </c>
      <c r="V2166">
        <v>218.54</v>
      </c>
      <c r="W2166" t="str">
        <f t="shared" si="546"/>
        <v>zintel</v>
      </c>
    </row>
    <row r="2167" spans="1:23">
      <c r="A2167" t="str">
        <f t="shared" si="547"/>
        <v>JM-POWR-ELEC-2</v>
      </c>
      <c r="B2167" t="str">
        <f>"77-EB01C-0000"</f>
        <v>77-EB01C-0000</v>
      </c>
      <c r="C2167" t="str">
        <f>"LM7 Content, JM, Digital Oscilloscope"</f>
        <v>LM7 Content, JM, Digital Oscilloscope</v>
      </c>
      <c r="D2167">
        <v>1</v>
      </c>
      <c r="E2167" t="str">
        <f t="shared" si="548"/>
        <v>Industrial Power Electronics Two Sided Bench 220V</v>
      </c>
      <c r="F2167">
        <v>0</v>
      </c>
      <c r="G2167" t="str">
        <f t="shared" si="542"/>
        <v>Y</v>
      </c>
      <c r="H2167" t="str">
        <f t="shared" si="545"/>
        <v>EA</v>
      </c>
      <c r="I2167">
        <v>0</v>
      </c>
      <c r="J2167">
        <v>0</v>
      </c>
      <c r="K2167" t="str">
        <f t="shared" si="543"/>
        <v>Y</v>
      </c>
      <c r="L2167">
        <v>0</v>
      </c>
      <c r="M2167" t="str">
        <f t="shared" si="550"/>
        <v>NIS</v>
      </c>
      <c r="O2167">
        <v>14</v>
      </c>
      <c r="P2167" t="str">
        <f t="shared" si="549"/>
        <v>Active</v>
      </c>
      <c r="Q2167" t="str">
        <f>"LM7 Content, JM, Digital Oscilloscope"</f>
        <v>LM7 Content, JM, Digital Oscilloscope</v>
      </c>
      <c r="S2167" t="str">
        <f>"LM7 Content, JM, Digital Oscilloscope"</f>
        <v>LM7 Content, JM, Digital Oscilloscope</v>
      </c>
      <c r="T2167">
        <v>0</v>
      </c>
      <c r="U2167">
        <v>5</v>
      </c>
      <c r="V2167">
        <v>5</v>
      </c>
      <c r="W2167" t="str">
        <f t="shared" si="546"/>
        <v>zintel</v>
      </c>
    </row>
    <row r="2168" spans="1:23">
      <c r="A2168" t="str">
        <f t="shared" si="547"/>
        <v>JM-POWR-ELEC-2</v>
      </c>
      <c r="B2168" t="str">
        <f>"36-8900-0025"</f>
        <v>36-8900-0025</v>
      </c>
      <c r="C2168" t="str">
        <f>"JM, Oscilloscope, 5MHz, Hand Held"</f>
        <v>JM, Oscilloscope, 5MHz, Hand Held</v>
      </c>
      <c r="D2168">
        <v>2</v>
      </c>
      <c r="E2168" t="str">
        <f t="shared" si="548"/>
        <v>Industrial Power Electronics Two Sided Bench 220V</v>
      </c>
      <c r="F2168">
        <v>0</v>
      </c>
      <c r="G2168" t="str">
        <f t="shared" si="542"/>
        <v>Y</v>
      </c>
      <c r="H2168" t="str">
        <f t="shared" si="545"/>
        <v>EA</v>
      </c>
      <c r="I2168">
        <v>0</v>
      </c>
      <c r="J2168">
        <v>0</v>
      </c>
      <c r="K2168" t="str">
        <f t="shared" si="543"/>
        <v>Y</v>
      </c>
      <c r="L2168">
        <v>0</v>
      </c>
      <c r="M2168" t="str">
        <f t="shared" si="550"/>
        <v>NIS</v>
      </c>
      <c r="O2168">
        <v>15</v>
      </c>
      <c r="P2168" t="str">
        <f t="shared" si="549"/>
        <v>Active</v>
      </c>
      <c r="Q2168" t="str">
        <f>"JM, Oscilloscope, 5MHz, Hand Held"</f>
        <v>JM, Oscilloscope, 5MHz, Hand Held</v>
      </c>
      <c r="R2168" t="str">
        <f>"1"</f>
        <v>1</v>
      </c>
      <c r="S2168" t="str">
        <f>"JM, Oscilloscope, 5MHz, Hand Held"</f>
        <v>JM, Oscilloscope, 5MHz, Hand Held</v>
      </c>
      <c r="T2168">
        <v>807.3</v>
      </c>
      <c r="U2168">
        <v>564.49</v>
      </c>
      <c r="V2168">
        <v>827.3</v>
      </c>
      <c r="W2168" t="str">
        <f t="shared" si="546"/>
        <v>zintel</v>
      </c>
    </row>
    <row r="2169" spans="1:23">
      <c r="A2169" t="str">
        <f t="shared" si="547"/>
        <v>JM-POWR-ELEC-2</v>
      </c>
      <c r="B2169" t="str">
        <f>"77-EB02A-0000"</f>
        <v>77-EB02A-0000</v>
      </c>
      <c r="C2169" t="str">
        <f>"LM7 Content, JM, DC Power Supplies"</f>
        <v>LM7 Content, JM, DC Power Supplies</v>
      </c>
      <c r="D2169">
        <v>1</v>
      </c>
      <c r="E2169" t="str">
        <f t="shared" si="548"/>
        <v>Industrial Power Electronics Two Sided Bench 220V</v>
      </c>
      <c r="F2169">
        <v>0</v>
      </c>
      <c r="G2169" t="str">
        <f t="shared" si="542"/>
        <v>Y</v>
      </c>
      <c r="H2169" t="str">
        <f t="shared" si="545"/>
        <v>EA</v>
      </c>
      <c r="I2169">
        <v>0</v>
      </c>
      <c r="J2169">
        <v>0</v>
      </c>
      <c r="K2169" t="str">
        <f t="shared" si="543"/>
        <v>Y</v>
      </c>
      <c r="L2169">
        <v>0</v>
      </c>
      <c r="M2169" t="str">
        <f t="shared" si="550"/>
        <v>NIS</v>
      </c>
      <c r="O2169">
        <v>17</v>
      </c>
      <c r="P2169" t="str">
        <f t="shared" si="549"/>
        <v>Active</v>
      </c>
      <c r="Q2169" t="str">
        <f>"LM7 Content, JM, DC Power Supplies"</f>
        <v>LM7 Content, JM, DC Power Supplies</v>
      </c>
      <c r="S2169" t="str">
        <f>"LM7 Content, JM, DC Power Supplies"</f>
        <v>LM7 Content, JM, DC Power Supplies</v>
      </c>
      <c r="T2169">
        <v>0</v>
      </c>
      <c r="U2169">
        <v>5</v>
      </c>
      <c r="V2169">
        <v>5</v>
      </c>
      <c r="W2169" t="str">
        <f t="shared" si="546"/>
        <v>zintel</v>
      </c>
    </row>
    <row r="2170" spans="1:23">
      <c r="A2170" t="str">
        <f t="shared" si="547"/>
        <v>JM-POWR-ELEC-2</v>
      </c>
      <c r="B2170" t="str">
        <f>"26-E039-0000"</f>
        <v>26-E039-0000</v>
      </c>
      <c r="C2170" t="str">
        <f>"Assembly, JM, E039,Single Phase Bridge Rectifier"</f>
        <v>Assembly, JM, E039,Single Phase Bridge Rectifier</v>
      </c>
      <c r="D2170">
        <v>2</v>
      </c>
      <c r="E2170" t="str">
        <f t="shared" si="548"/>
        <v>Industrial Power Electronics Two Sided Bench 220V</v>
      </c>
      <c r="F2170">
        <v>0</v>
      </c>
      <c r="G2170" t="str">
        <f t="shared" si="542"/>
        <v>Y</v>
      </c>
      <c r="H2170" t="str">
        <f t="shared" si="545"/>
        <v>EA</v>
      </c>
      <c r="I2170">
        <v>0</v>
      </c>
      <c r="J2170">
        <v>0</v>
      </c>
      <c r="K2170" t="str">
        <f t="shared" si="543"/>
        <v>Y</v>
      </c>
      <c r="L2170">
        <v>0</v>
      </c>
      <c r="M2170" t="str">
        <f t="shared" si="550"/>
        <v>NIS</v>
      </c>
      <c r="O2170">
        <v>18</v>
      </c>
      <c r="P2170" t="str">
        <f t="shared" si="549"/>
        <v>Active</v>
      </c>
      <c r="Q2170" t="str">
        <f>"Assembly, JM, E039,Single Phase Bridge Rectifier"</f>
        <v>Assembly, JM, E039,Single Phase Bridge Rectifier</v>
      </c>
      <c r="S2170" t="str">
        <f>"Assembly, JM, E039,Single Phase Bridge Rectifier"</f>
        <v>Assembly, JM, E039,Single Phase Bridge Rectifier</v>
      </c>
      <c r="T2170">
        <v>85.8</v>
      </c>
      <c r="U2170">
        <v>85</v>
      </c>
      <c r="V2170">
        <v>177.95</v>
      </c>
      <c r="W2170" t="str">
        <f t="shared" si="546"/>
        <v>zintel</v>
      </c>
    </row>
    <row r="2171" spans="1:23">
      <c r="A2171" t="str">
        <f t="shared" si="547"/>
        <v>JM-POWR-ELEC-2</v>
      </c>
      <c r="B2171" t="str">
        <f>"26-E061-0000"</f>
        <v>26-E061-0000</v>
      </c>
      <c r="C2171" t="str">
        <f>"Assembly, JM, E061, Low Voltage Transformer"</f>
        <v>Assembly, JM, E061, Low Voltage Transformer</v>
      </c>
      <c r="D2171">
        <v>2</v>
      </c>
      <c r="E2171" t="str">
        <f t="shared" si="548"/>
        <v>Industrial Power Electronics Two Sided Bench 220V</v>
      </c>
      <c r="F2171">
        <v>0</v>
      </c>
      <c r="G2171" t="str">
        <f t="shared" si="542"/>
        <v>Y</v>
      </c>
      <c r="H2171" t="str">
        <f t="shared" si="545"/>
        <v>EA</v>
      </c>
      <c r="I2171">
        <v>0</v>
      </c>
      <c r="J2171">
        <v>0</v>
      </c>
      <c r="K2171" t="str">
        <f t="shared" si="543"/>
        <v>Y</v>
      </c>
      <c r="L2171">
        <v>0</v>
      </c>
      <c r="M2171" t="str">
        <f t="shared" si="550"/>
        <v>NIS</v>
      </c>
      <c r="O2171">
        <v>19</v>
      </c>
      <c r="P2171" t="str">
        <f t="shared" si="549"/>
        <v>Active</v>
      </c>
      <c r="Q2171" t="str">
        <f>"Assembly, JM, E061, Low Voltage Transformer"</f>
        <v>Assembly, JM, E061, Low Voltage Transformer</v>
      </c>
      <c r="S2171" t="str">
        <f>"Assembly, JM, E061, Low Voltage Transformer"</f>
        <v>Assembly, JM, E061, Low Voltage Transformer</v>
      </c>
      <c r="T2171">
        <v>158.13</v>
      </c>
      <c r="U2171">
        <v>157</v>
      </c>
      <c r="V2171">
        <v>281</v>
      </c>
      <c r="W2171" t="str">
        <f t="shared" si="546"/>
        <v>zintel</v>
      </c>
    </row>
    <row r="2172" spans="1:23">
      <c r="A2172" t="str">
        <f t="shared" si="547"/>
        <v>JM-POWR-ELEC-2</v>
      </c>
      <c r="B2172" t="str">
        <f>"26-E062-0000"</f>
        <v>26-E062-0000</v>
      </c>
      <c r="C2172" t="str">
        <f>"Assembly, JM, E062, Diode Rectifier Panel"</f>
        <v>Assembly, JM, E062, Diode Rectifier Panel</v>
      </c>
      <c r="D2172">
        <v>2</v>
      </c>
      <c r="E2172" t="str">
        <f t="shared" si="548"/>
        <v>Industrial Power Electronics Two Sided Bench 220V</v>
      </c>
      <c r="F2172">
        <v>0</v>
      </c>
      <c r="G2172" t="str">
        <f t="shared" si="542"/>
        <v>Y</v>
      </c>
      <c r="H2172" t="str">
        <f t="shared" si="545"/>
        <v>EA</v>
      </c>
      <c r="I2172">
        <v>0</v>
      </c>
      <c r="J2172">
        <v>0</v>
      </c>
      <c r="K2172" t="str">
        <f t="shared" si="543"/>
        <v>Y</v>
      </c>
      <c r="L2172">
        <v>0</v>
      </c>
      <c r="M2172" t="str">
        <f t="shared" si="550"/>
        <v>NIS</v>
      </c>
      <c r="O2172">
        <v>20</v>
      </c>
      <c r="P2172" t="str">
        <f t="shared" si="549"/>
        <v>Active</v>
      </c>
      <c r="Q2172" t="str">
        <f>"Assembly, JM, E062, Diode Rectifier Panel"</f>
        <v>Assembly, JM, E062, Diode Rectifier Panel</v>
      </c>
      <c r="S2172" t="str">
        <f>"Assembly, JM, E062, Diode Rectifier Panel"</f>
        <v>Assembly, JM, E062, Diode Rectifier Panel</v>
      </c>
      <c r="T2172">
        <v>100.53</v>
      </c>
      <c r="U2172">
        <v>100</v>
      </c>
      <c r="V2172">
        <v>215.41</v>
      </c>
      <c r="W2172" t="str">
        <f t="shared" si="546"/>
        <v>zintel</v>
      </c>
    </row>
    <row r="2173" spans="1:23">
      <c r="A2173" t="str">
        <f t="shared" si="547"/>
        <v>JM-POWR-ELEC-2</v>
      </c>
      <c r="B2173" t="str">
        <f>"77-EB02B-0000"</f>
        <v>77-EB02B-0000</v>
      </c>
      <c r="C2173" t="str">
        <f>"LM7 Content, JM, Single &amp; 3 Phase Power Supply"</f>
        <v>LM7 Content, JM, Single &amp; 3 Phase Power Supply</v>
      </c>
      <c r="D2173">
        <v>1</v>
      </c>
      <c r="E2173" t="str">
        <f t="shared" si="548"/>
        <v>Industrial Power Electronics Two Sided Bench 220V</v>
      </c>
      <c r="F2173">
        <v>0</v>
      </c>
      <c r="G2173" t="str">
        <f t="shared" si="542"/>
        <v>Y</v>
      </c>
      <c r="H2173" t="str">
        <f t="shared" si="545"/>
        <v>EA</v>
      </c>
      <c r="I2173">
        <v>0</v>
      </c>
      <c r="J2173">
        <v>0</v>
      </c>
      <c r="K2173" t="str">
        <f t="shared" si="543"/>
        <v>Y</v>
      </c>
      <c r="L2173">
        <v>0</v>
      </c>
      <c r="M2173" t="str">
        <f t="shared" si="550"/>
        <v>NIS</v>
      </c>
      <c r="O2173">
        <v>22</v>
      </c>
      <c r="P2173" t="str">
        <f t="shared" si="549"/>
        <v>Active</v>
      </c>
      <c r="Q2173" t="str">
        <f>"LM7 Content, JM, Single &amp; 3 Phase Power Supply"</f>
        <v>LM7 Content, JM, Single &amp; 3 Phase Power Supply</v>
      </c>
      <c r="S2173" t="str">
        <f>"LM7 Content, JM, Single &amp; 3 Phase Power Supply"</f>
        <v>LM7 Content, JM, Single &amp; 3 Phase Power Supply</v>
      </c>
      <c r="T2173">
        <v>0</v>
      </c>
      <c r="U2173">
        <v>5</v>
      </c>
      <c r="V2173">
        <v>5</v>
      </c>
      <c r="W2173" t="str">
        <f t="shared" si="546"/>
        <v>zintel</v>
      </c>
    </row>
    <row r="2174" spans="1:23">
      <c r="A2174" t="str">
        <f t="shared" si="547"/>
        <v>JM-POWR-ELEC-2</v>
      </c>
      <c r="B2174" t="str">
        <f>"26-E049-0000"</f>
        <v>26-E049-0000</v>
      </c>
      <c r="C2174" t="str">
        <f>"Assembly, JM, E049, Zener Diode Panel"</f>
        <v>Assembly, JM, E049, Zener Diode Panel</v>
      </c>
      <c r="D2174">
        <v>2</v>
      </c>
      <c r="E2174" t="str">
        <f t="shared" si="548"/>
        <v>Industrial Power Electronics Two Sided Bench 220V</v>
      </c>
      <c r="F2174">
        <v>0</v>
      </c>
      <c r="G2174" t="str">
        <f t="shared" si="542"/>
        <v>Y</v>
      </c>
      <c r="H2174" t="str">
        <f t="shared" si="545"/>
        <v>EA</v>
      </c>
      <c r="I2174">
        <v>0</v>
      </c>
      <c r="J2174">
        <v>0</v>
      </c>
      <c r="K2174" t="str">
        <f t="shared" si="543"/>
        <v>Y</v>
      </c>
      <c r="L2174">
        <v>0</v>
      </c>
      <c r="M2174" t="str">
        <f t="shared" si="550"/>
        <v>NIS</v>
      </c>
      <c r="O2174">
        <v>23</v>
      </c>
      <c r="P2174" t="str">
        <f t="shared" si="549"/>
        <v>Active</v>
      </c>
      <c r="Q2174" t="str">
        <f>"Assembly, JM, E049, Zener Diode Panel"</f>
        <v>Assembly, JM, E049, Zener Diode Panel</v>
      </c>
      <c r="S2174" t="str">
        <f>"Assembly, JM, E049, Zener Diode Panel"</f>
        <v>Assembly, JM, E049, Zener Diode Panel</v>
      </c>
      <c r="T2174">
        <v>89.3</v>
      </c>
      <c r="U2174">
        <v>89</v>
      </c>
      <c r="V2174">
        <v>231.75</v>
      </c>
      <c r="W2174" t="str">
        <f t="shared" si="546"/>
        <v>zintel</v>
      </c>
    </row>
    <row r="2175" spans="1:23">
      <c r="A2175" t="str">
        <f t="shared" si="547"/>
        <v>JM-POWR-ELEC-2</v>
      </c>
      <c r="B2175" t="str">
        <f>"26-E050-0000"</f>
        <v>26-E050-0000</v>
      </c>
      <c r="C2175" t="str">
        <f>"Assembly, JM, E050, Regulated Power Supply Panel"</f>
        <v>Assembly, JM, E050, Regulated Power Supply Panel</v>
      </c>
      <c r="D2175">
        <v>2</v>
      </c>
      <c r="E2175" t="str">
        <f t="shared" si="548"/>
        <v>Industrial Power Electronics Two Sided Bench 220V</v>
      </c>
      <c r="F2175">
        <v>0</v>
      </c>
      <c r="G2175" t="str">
        <f t="shared" si="542"/>
        <v>Y</v>
      </c>
      <c r="H2175" t="str">
        <f t="shared" si="545"/>
        <v>EA</v>
      </c>
      <c r="I2175">
        <v>0</v>
      </c>
      <c r="J2175">
        <v>0</v>
      </c>
      <c r="K2175" t="str">
        <f t="shared" si="543"/>
        <v>Y</v>
      </c>
      <c r="L2175">
        <v>0</v>
      </c>
      <c r="M2175" t="str">
        <f t="shared" si="550"/>
        <v>NIS</v>
      </c>
      <c r="O2175">
        <v>24</v>
      </c>
      <c r="P2175" t="str">
        <f t="shared" si="549"/>
        <v>Active</v>
      </c>
      <c r="Q2175" t="str">
        <f>"Assembly, JM, E050, Regulated Power Supply Panel"</f>
        <v>Assembly, JM, E050, Regulated Power Supply Panel</v>
      </c>
      <c r="S2175" t="str">
        <f>"Assembly, JM, E050, Regulated Power Supply Panel"</f>
        <v>Assembly, JM, E050, Regulated Power Supply Panel</v>
      </c>
      <c r="T2175">
        <v>118.22</v>
      </c>
      <c r="U2175">
        <v>120</v>
      </c>
      <c r="V2175">
        <v>327.35000000000002</v>
      </c>
      <c r="W2175" t="str">
        <f t="shared" si="546"/>
        <v>zintel</v>
      </c>
    </row>
    <row r="2176" spans="1:23">
      <c r="A2176" t="str">
        <f t="shared" si="547"/>
        <v>JM-POWR-ELEC-2</v>
      </c>
      <c r="B2176" t="str">
        <f>"26-E053-0000"</f>
        <v>26-E053-0000</v>
      </c>
      <c r="C2176" t="str">
        <f>"Assembly, JM, E053, Three Phase Bridge Rectifier"</f>
        <v>Assembly, JM, E053, Three Phase Bridge Rectifier</v>
      </c>
      <c r="D2176">
        <v>2</v>
      </c>
      <c r="E2176" t="str">
        <f t="shared" si="548"/>
        <v>Industrial Power Electronics Two Sided Bench 220V</v>
      </c>
      <c r="F2176">
        <v>0</v>
      </c>
      <c r="G2176" t="str">
        <f t="shared" si="542"/>
        <v>Y</v>
      </c>
      <c r="H2176" t="str">
        <f t="shared" si="545"/>
        <v>EA</v>
      </c>
      <c r="I2176">
        <v>0</v>
      </c>
      <c r="J2176">
        <v>0</v>
      </c>
      <c r="K2176" t="str">
        <f t="shared" si="543"/>
        <v>Y</v>
      </c>
      <c r="L2176">
        <v>0</v>
      </c>
      <c r="M2176" t="str">
        <f t="shared" si="550"/>
        <v>NIS</v>
      </c>
      <c r="O2176">
        <v>25</v>
      </c>
      <c r="P2176" t="str">
        <f t="shared" si="549"/>
        <v>Active</v>
      </c>
      <c r="Q2176" t="str">
        <f>"Assembly, JM, E053, Three Phase Bridge Rectifier"</f>
        <v>Assembly, JM, E053, Three Phase Bridge Rectifier</v>
      </c>
      <c r="S2176" t="str">
        <f>"Assembly, JM, E053, Three Phase Bridge Rectifier"</f>
        <v>Assembly, JM, E053, Three Phase Bridge Rectifier</v>
      </c>
      <c r="T2176">
        <v>183.72</v>
      </c>
      <c r="U2176">
        <v>180</v>
      </c>
      <c r="V2176">
        <v>319.24</v>
      </c>
      <c r="W2176" t="str">
        <f t="shared" si="546"/>
        <v>zintel</v>
      </c>
    </row>
    <row r="2177" spans="1:23">
      <c r="A2177" t="str">
        <f t="shared" si="547"/>
        <v>JM-POWR-ELEC-2</v>
      </c>
      <c r="B2177" t="str">
        <f>"77-EB03-0000"</f>
        <v>77-EB03-0000</v>
      </c>
      <c r="C2177" t="str">
        <f>"LM7 Content, JM, Thyristor Motor Drives"</f>
        <v>LM7 Content, JM, Thyristor Motor Drives</v>
      </c>
      <c r="D2177">
        <v>1</v>
      </c>
      <c r="E2177" t="str">
        <f t="shared" si="548"/>
        <v>Industrial Power Electronics Two Sided Bench 220V</v>
      </c>
      <c r="F2177">
        <v>0</v>
      </c>
      <c r="G2177" t="str">
        <f t="shared" si="542"/>
        <v>Y</v>
      </c>
      <c r="H2177" t="str">
        <f t="shared" si="545"/>
        <v>EA</v>
      </c>
      <c r="I2177">
        <v>0</v>
      </c>
      <c r="J2177">
        <v>0</v>
      </c>
      <c r="K2177" t="str">
        <f t="shared" si="543"/>
        <v>Y</v>
      </c>
      <c r="L2177">
        <v>0</v>
      </c>
      <c r="M2177" t="str">
        <f t="shared" si="550"/>
        <v>NIS</v>
      </c>
      <c r="O2177">
        <v>27</v>
      </c>
      <c r="P2177" t="str">
        <f t="shared" si="549"/>
        <v>Active</v>
      </c>
      <c r="Q2177" t="str">
        <f>"LM7 Content, JM, Thyristor Motor Drives"</f>
        <v>LM7 Content, JM, Thyristor Motor Drives</v>
      </c>
      <c r="S2177" t="str">
        <f>"LM7 Content, JM, Thyristor Motor Drives"</f>
        <v>LM7 Content, JM, Thyristor Motor Drives</v>
      </c>
      <c r="T2177">
        <v>0</v>
      </c>
      <c r="U2177">
        <v>5</v>
      </c>
      <c r="V2177">
        <v>5</v>
      </c>
      <c r="W2177" t="str">
        <f t="shared" si="546"/>
        <v>zintel</v>
      </c>
    </row>
    <row r="2178" spans="1:23">
      <c r="A2178" t="str">
        <f t="shared" si="547"/>
        <v>JM-POWR-ELEC-2</v>
      </c>
      <c r="B2178" t="str">
        <f>"26-E034-0000"</f>
        <v>26-E034-0000</v>
      </c>
      <c r="C2178" t="str">
        <f>"Assembly, JM, E034, DC Motor Panel"</f>
        <v>Assembly, JM, E034, DC Motor Panel</v>
      </c>
      <c r="D2178">
        <v>2</v>
      </c>
      <c r="E2178" t="str">
        <f t="shared" si="548"/>
        <v>Industrial Power Electronics Two Sided Bench 220V</v>
      </c>
      <c r="F2178">
        <v>0</v>
      </c>
      <c r="G2178" t="str">
        <f t="shared" ref="G2178:G2241" si="551">"Y"</f>
        <v>Y</v>
      </c>
      <c r="H2178" t="str">
        <f t="shared" si="545"/>
        <v>EA</v>
      </c>
      <c r="I2178">
        <v>0</v>
      </c>
      <c r="J2178">
        <v>0</v>
      </c>
      <c r="K2178" t="str">
        <f t="shared" ref="K2178:K2241" si="552">"Y"</f>
        <v>Y</v>
      </c>
      <c r="L2178">
        <v>0</v>
      </c>
      <c r="M2178" t="str">
        <f t="shared" si="550"/>
        <v>NIS</v>
      </c>
      <c r="O2178">
        <v>28</v>
      </c>
      <c r="P2178" t="str">
        <f t="shared" si="549"/>
        <v>Active</v>
      </c>
      <c r="Q2178" t="str">
        <f>"Assembly, JM, E034, DC Motor Panel"</f>
        <v>Assembly, JM, E034, DC Motor Panel</v>
      </c>
      <c r="S2178" t="str">
        <f>"Assembly, JM, E034, DC Motor Panel"</f>
        <v>Assembly, JM, E034, DC Motor Panel</v>
      </c>
      <c r="T2178">
        <v>304.44</v>
      </c>
      <c r="U2178">
        <v>305</v>
      </c>
      <c r="V2178">
        <v>504.64</v>
      </c>
      <c r="W2178" t="str">
        <f t="shared" si="546"/>
        <v>zintel</v>
      </c>
    </row>
    <row r="2179" spans="1:23">
      <c r="A2179" t="str">
        <f t="shared" si="547"/>
        <v>JM-POWR-ELEC-2</v>
      </c>
      <c r="B2179" t="str">
        <f>"26-E081-0000"</f>
        <v>26-E081-0000</v>
      </c>
      <c r="C2179" t="str">
        <f>"Assembly, JM, E081, SCR Panel"</f>
        <v>Assembly, JM, E081, SCR Panel</v>
      </c>
      <c r="D2179">
        <v>2</v>
      </c>
      <c r="E2179" t="str">
        <f t="shared" si="548"/>
        <v>Industrial Power Electronics Two Sided Bench 220V</v>
      </c>
      <c r="F2179">
        <v>0</v>
      </c>
      <c r="G2179" t="str">
        <f t="shared" si="551"/>
        <v>Y</v>
      </c>
      <c r="H2179" t="str">
        <f t="shared" si="545"/>
        <v>EA</v>
      </c>
      <c r="I2179">
        <v>0</v>
      </c>
      <c r="J2179">
        <v>0</v>
      </c>
      <c r="K2179" t="str">
        <f t="shared" si="552"/>
        <v>Y</v>
      </c>
      <c r="L2179">
        <v>0</v>
      </c>
      <c r="M2179" t="str">
        <f t="shared" si="550"/>
        <v>NIS</v>
      </c>
      <c r="O2179">
        <v>29</v>
      </c>
      <c r="P2179" t="str">
        <f t="shared" si="549"/>
        <v>Active</v>
      </c>
      <c r="Q2179" t="str">
        <f>"Assembly, JM, E081, SCR Panel"</f>
        <v>Assembly, JM, E081, SCR Panel</v>
      </c>
      <c r="S2179" t="str">
        <f>"Assembly, JM, E081, SCR Panel"</f>
        <v>Assembly, JM, E081, SCR Panel</v>
      </c>
      <c r="T2179">
        <v>137.26</v>
      </c>
      <c r="U2179">
        <v>136</v>
      </c>
      <c r="V2179">
        <v>187.31</v>
      </c>
      <c r="W2179" t="str">
        <f t="shared" si="546"/>
        <v>zintel</v>
      </c>
    </row>
    <row r="2180" spans="1:23">
      <c r="A2180" t="str">
        <f t="shared" si="547"/>
        <v>JM-POWR-ELEC-2</v>
      </c>
      <c r="B2180" t="str">
        <f>"26-E083-0000"</f>
        <v>26-E083-0000</v>
      </c>
      <c r="C2180" t="str">
        <f>"Assembly, JM, E083, TRIAC Panel"</f>
        <v>Assembly, JM, E083, TRIAC Panel</v>
      </c>
      <c r="D2180">
        <v>2</v>
      </c>
      <c r="E2180" t="str">
        <f t="shared" si="548"/>
        <v>Industrial Power Electronics Two Sided Bench 220V</v>
      </c>
      <c r="F2180">
        <v>0</v>
      </c>
      <c r="G2180" t="str">
        <f t="shared" si="551"/>
        <v>Y</v>
      </c>
      <c r="H2180" t="str">
        <f t="shared" si="545"/>
        <v>EA</v>
      </c>
      <c r="I2180">
        <v>0</v>
      </c>
      <c r="J2180">
        <v>0</v>
      </c>
      <c r="K2180" t="str">
        <f t="shared" si="552"/>
        <v>Y</v>
      </c>
      <c r="L2180">
        <v>0</v>
      </c>
      <c r="M2180" t="str">
        <f t="shared" si="550"/>
        <v>NIS</v>
      </c>
      <c r="O2180">
        <v>30</v>
      </c>
      <c r="P2180" t="str">
        <f t="shared" si="549"/>
        <v>Active</v>
      </c>
      <c r="Q2180" t="str">
        <f>"Assembly, JM, E083, TRIAC Panel"</f>
        <v>Assembly, JM, E083, TRIAC Panel</v>
      </c>
      <c r="S2180" t="str">
        <f>"Assembly, JM, E083, TRIAC Panel"</f>
        <v>Assembly, JM, E083, TRIAC Panel</v>
      </c>
      <c r="T2180">
        <v>85.19</v>
      </c>
      <c r="U2180">
        <v>85</v>
      </c>
      <c r="V2180">
        <v>190.43</v>
      </c>
      <c r="W2180" t="str">
        <f t="shared" si="546"/>
        <v>zintel</v>
      </c>
    </row>
    <row r="2181" spans="1:23">
      <c r="A2181" t="str">
        <f t="shared" si="547"/>
        <v>JM-POWR-ELEC-2</v>
      </c>
      <c r="B2181" t="str">
        <f>"26-E084-0000"</f>
        <v>26-E084-0000</v>
      </c>
      <c r="C2181" t="str">
        <f>"Assembly, JM, E084, DIAC Adjustable Resistors"</f>
        <v>Assembly, JM, E084, DIAC Adjustable Resistors</v>
      </c>
      <c r="D2181">
        <v>2</v>
      </c>
      <c r="E2181" t="str">
        <f t="shared" si="548"/>
        <v>Industrial Power Electronics Two Sided Bench 220V</v>
      </c>
      <c r="F2181">
        <v>0</v>
      </c>
      <c r="G2181" t="str">
        <f t="shared" si="551"/>
        <v>Y</v>
      </c>
      <c r="H2181" t="str">
        <f t="shared" si="545"/>
        <v>EA</v>
      </c>
      <c r="I2181">
        <v>0</v>
      </c>
      <c r="J2181">
        <v>0</v>
      </c>
      <c r="K2181" t="str">
        <f t="shared" si="552"/>
        <v>Y</v>
      </c>
      <c r="L2181">
        <v>0</v>
      </c>
      <c r="M2181" t="str">
        <f t="shared" si="550"/>
        <v>NIS</v>
      </c>
      <c r="O2181">
        <v>31</v>
      </c>
      <c r="P2181" t="str">
        <f t="shared" si="549"/>
        <v>Active</v>
      </c>
      <c r="Q2181" t="str">
        <f>"Assembly, JM, E084, DIAC Adjustable Resistors"</f>
        <v>Assembly, JM, E084, DIAC Adjustable Resistors</v>
      </c>
      <c r="S2181" t="str">
        <f>"Assembly, JM, E084, DIAC Adjustable Resistors"</f>
        <v>Assembly, JM, E084, DIAC Adjustable Resistors</v>
      </c>
      <c r="T2181">
        <v>114.38</v>
      </c>
      <c r="U2181">
        <v>112</v>
      </c>
      <c r="V2181">
        <v>228.86</v>
      </c>
      <c r="W2181" t="str">
        <f t="shared" si="546"/>
        <v>zintel</v>
      </c>
    </row>
    <row r="2182" spans="1:23">
      <c r="A2182" t="str">
        <f t="shared" si="547"/>
        <v>JM-POWR-ELEC-2</v>
      </c>
      <c r="B2182" t="str">
        <f>"26-E085-0000"</f>
        <v>26-E085-0000</v>
      </c>
      <c r="C2182" t="str">
        <f>"Assembly, JM, E085, Triac w/ Schmitt Trigger"</f>
        <v>Assembly, JM, E085, Triac w/ Schmitt Trigger</v>
      </c>
      <c r="D2182">
        <v>2</v>
      </c>
      <c r="E2182" t="str">
        <f t="shared" si="548"/>
        <v>Industrial Power Electronics Two Sided Bench 220V</v>
      </c>
      <c r="F2182">
        <v>0</v>
      </c>
      <c r="G2182" t="str">
        <f t="shared" si="551"/>
        <v>Y</v>
      </c>
      <c r="H2182" t="str">
        <f t="shared" si="545"/>
        <v>EA</v>
      </c>
      <c r="I2182">
        <v>0</v>
      </c>
      <c r="J2182">
        <v>0</v>
      </c>
      <c r="K2182" t="str">
        <f t="shared" si="552"/>
        <v>Y</v>
      </c>
      <c r="L2182">
        <v>0</v>
      </c>
      <c r="M2182" t="str">
        <f t="shared" si="550"/>
        <v>NIS</v>
      </c>
      <c r="O2182">
        <v>32</v>
      </c>
      <c r="P2182" t="str">
        <f t="shared" si="549"/>
        <v>Active</v>
      </c>
      <c r="Q2182" t="str">
        <f>"Assembly, JM, E085, Triac w/ Schmitt Trigger"</f>
        <v>Assembly, JM, E085, Triac w/ Schmitt Trigger</v>
      </c>
      <c r="S2182" t="str">
        <f>"Assembly, JM, E085, Triac w/ Schmitt Trigger"</f>
        <v>Assembly, JM, E085, Triac w/ Schmitt Trigger</v>
      </c>
      <c r="T2182">
        <v>153.78</v>
      </c>
      <c r="U2182">
        <v>152</v>
      </c>
      <c r="V2182">
        <v>546.33000000000004</v>
      </c>
      <c r="W2182" t="str">
        <f t="shared" si="546"/>
        <v>zintel</v>
      </c>
    </row>
    <row r="2183" spans="1:23">
      <c r="A2183" t="str">
        <f t="shared" si="547"/>
        <v>JM-POWR-ELEC-2</v>
      </c>
      <c r="B2183" t="str">
        <f>"26-E088-0000"</f>
        <v>26-E088-0000</v>
      </c>
      <c r="C2183" t="str">
        <f>"Assembly, JM, E088, PMW Motor Drive Panel"</f>
        <v>Assembly, JM, E088, PMW Motor Drive Panel</v>
      </c>
      <c r="D2183">
        <v>2</v>
      </c>
      <c r="E2183" t="str">
        <f t="shared" si="548"/>
        <v>Industrial Power Electronics Two Sided Bench 220V</v>
      </c>
      <c r="F2183">
        <v>0</v>
      </c>
      <c r="G2183" t="str">
        <f t="shared" si="551"/>
        <v>Y</v>
      </c>
      <c r="H2183" t="str">
        <f t="shared" si="545"/>
        <v>EA</v>
      </c>
      <c r="I2183">
        <v>0</v>
      </c>
      <c r="J2183">
        <v>0</v>
      </c>
      <c r="K2183" t="str">
        <f t="shared" si="552"/>
        <v>Y</v>
      </c>
      <c r="L2183">
        <v>0</v>
      </c>
      <c r="M2183" t="str">
        <f t="shared" si="550"/>
        <v>NIS</v>
      </c>
      <c r="O2183">
        <v>33</v>
      </c>
      <c r="P2183" t="str">
        <f t="shared" si="549"/>
        <v>Active</v>
      </c>
      <c r="Q2183" t="str">
        <f>"Assembly, JM, E088, PMW Motor Drive Panel"</f>
        <v>Assembly, JM, E088, PMW Motor Drive Panel</v>
      </c>
      <c r="S2183" t="str">
        <f>"Assembly, JM, E088, PMW Motor Drive Panel"</f>
        <v>Assembly, JM, E088, PMW Motor Drive Panel</v>
      </c>
      <c r="T2183">
        <v>173.3</v>
      </c>
      <c r="U2183">
        <v>170</v>
      </c>
      <c r="V2183">
        <v>390.23</v>
      </c>
      <c r="W2183" t="str">
        <f t="shared" si="546"/>
        <v>zintel</v>
      </c>
    </row>
    <row r="2184" spans="1:23">
      <c r="A2184" t="str">
        <f t="shared" si="547"/>
        <v>JM-POWR-ELEC-2</v>
      </c>
      <c r="B2184" t="str">
        <f>"26-E157-0000"</f>
        <v>26-E157-0000</v>
      </c>
      <c r="C2184" t="str">
        <f>"Assembly, JM, E157, Electric AC/DC Motors"</f>
        <v>Assembly, JM, E157, Electric AC/DC Motors</v>
      </c>
      <c r="D2184">
        <v>2</v>
      </c>
      <c r="E2184" t="str">
        <f t="shared" si="548"/>
        <v>Industrial Power Electronics Two Sided Bench 220V</v>
      </c>
      <c r="F2184">
        <v>0</v>
      </c>
      <c r="G2184" t="str">
        <f t="shared" si="551"/>
        <v>Y</v>
      </c>
      <c r="H2184" t="str">
        <f t="shared" si="545"/>
        <v>EA</v>
      </c>
      <c r="I2184">
        <v>0</v>
      </c>
      <c r="J2184">
        <v>0</v>
      </c>
      <c r="K2184" t="str">
        <f t="shared" si="552"/>
        <v>Y</v>
      </c>
      <c r="L2184">
        <v>0</v>
      </c>
      <c r="M2184" t="str">
        <f t="shared" si="550"/>
        <v>NIS</v>
      </c>
      <c r="O2184">
        <v>34</v>
      </c>
      <c r="P2184" t="str">
        <f t="shared" si="549"/>
        <v>Active</v>
      </c>
      <c r="Q2184" t="str">
        <f>"Assembly, JM, E157, Electric AC/DC Motors"</f>
        <v>Assembly, JM, E157, Electric AC/DC Motors</v>
      </c>
      <c r="S2184" t="str">
        <f>"Assembly, JM, E157, Electric AC/DC Motors"</f>
        <v>Assembly, JM, E157, Electric AC/DC Motors</v>
      </c>
      <c r="T2184">
        <v>250.47</v>
      </c>
      <c r="U2184">
        <v>250</v>
      </c>
      <c r="V2184">
        <v>452.67</v>
      </c>
      <c r="W2184" t="str">
        <f t="shared" si="546"/>
        <v>zintel</v>
      </c>
    </row>
    <row r="2185" spans="1:23">
      <c r="A2185" t="str">
        <f t="shared" si="547"/>
        <v>JM-POWR-ELEC-2</v>
      </c>
      <c r="B2185" t="str">
        <f>"26-E082-0000"</f>
        <v>26-E082-0000</v>
      </c>
      <c r="C2185" t="str">
        <f>"Assembly, JM, E082, Full Wave SCR DC Drive Panel"</f>
        <v>Assembly, JM, E082, Full Wave SCR DC Drive Panel</v>
      </c>
      <c r="D2185">
        <v>2</v>
      </c>
      <c r="E2185" t="str">
        <f t="shared" si="548"/>
        <v>Industrial Power Electronics Two Sided Bench 220V</v>
      </c>
      <c r="F2185">
        <v>0</v>
      </c>
      <c r="G2185" t="str">
        <f t="shared" si="551"/>
        <v>Y</v>
      </c>
      <c r="H2185" t="str">
        <f t="shared" si="545"/>
        <v>EA</v>
      </c>
      <c r="I2185">
        <v>0</v>
      </c>
      <c r="J2185">
        <v>0</v>
      </c>
      <c r="K2185" t="str">
        <f t="shared" si="552"/>
        <v>Y</v>
      </c>
      <c r="L2185">
        <v>0</v>
      </c>
      <c r="M2185" t="str">
        <f t="shared" si="550"/>
        <v>NIS</v>
      </c>
      <c r="O2185">
        <v>36</v>
      </c>
      <c r="P2185" t="str">
        <f t="shared" si="549"/>
        <v>Active</v>
      </c>
      <c r="Q2185" t="str">
        <f>"Assembly, JM, E082, Full Wave SCR DC Drive Panel"</f>
        <v>Assembly, JM, E082, Full Wave SCR DC Drive Panel</v>
      </c>
      <c r="S2185" t="str">
        <f>"Assembly, JM, E082, Full Wave SCR DC Drive Panel"</f>
        <v>Assembly, JM, E082, Full Wave SCR DC Drive Panel</v>
      </c>
      <c r="T2185">
        <v>262.07</v>
      </c>
      <c r="U2185">
        <v>261</v>
      </c>
      <c r="V2185">
        <v>366.79</v>
      </c>
      <c r="W2185" t="str">
        <f t="shared" si="546"/>
        <v>zintel</v>
      </c>
    </row>
    <row r="2186" spans="1:23">
      <c r="A2186" t="str">
        <f t="shared" si="547"/>
        <v>JM-POWR-ELEC-2</v>
      </c>
      <c r="B2186" t="str">
        <f>"77-EB04-0000"</f>
        <v>77-EB04-0000</v>
      </c>
      <c r="C2186" t="str">
        <f>"LM7 Content, JM, Electronic Timers &amp; Triggers"</f>
        <v>LM7 Content, JM, Electronic Timers &amp; Triggers</v>
      </c>
      <c r="D2186">
        <v>1</v>
      </c>
      <c r="E2186" t="str">
        <f t="shared" si="548"/>
        <v>Industrial Power Electronics Two Sided Bench 220V</v>
      </c>
      <c r="F2186">
        <v>0</v>
      </c>
      <c r="G2186" t="str">
        <f t="shared" si="551"/>
        <v>Y</v>
      </c>
      <c r="H2186" t="str">
        <f t="shared" si="545"/>
        <v>EA</v>
      </c>
      <c r="I2186">
        <v>0</v>
      </c>
      <c r="J2186">
        <v>0</v>
      </c>
      <c r="K2186" t="str">
        <f t="shared" si="552"/>
        <v>Y</v>
      </c>
      <c r="L2186">
        <v>0</v>
      </c>
      <c r="M2186" t="str">
        <f t="shared" si="550"/>
        <v>NIS</v>
      </c>
      <c r="O2186">
        <v>37</v>
      </c>
      <c r="P2186" t="str">
        <f t="shared" si="549"/>
        <v>Active</v>
      </c>
      <c r="Q2186" t="str">
        <f>"LM7 Content, JM, Electronic Timers &amp; Triggers"</f>
        <v>LM7 Content, JM, Electronic Timers &amp; Triggers</v>
      </c>
      <c r="S2186" t="str">
        <f>"LM7 Content, JM, Electronic Timers &amp; Triggers"</f>
        <v>LM7 Content, JM, Electronic Timers &amp; Triggers</v>
      </c>
      <c r="T2186">
        <v>0</v>
      </c>
      <c r="U2186">
        <v>5</v>
      </c>
      <c r="V2186">
        <v>5</v>
      </c>
      <c r="W2186" t="str">
        <f t="shared" si="546"/>
        <v>zintel</v>
      </c>
    </row>
    <row r="2187" spans="1:23">
      <c r="A2187" t="str">
        <f t="shared" si="547"/>
        <v>JM-POWR-ELEC-2</v>
      </c>
      <c r="B2187" t="str">
        <f>"26-E089-0000"</f>
        <v>26-E089-0000</v>
      </c>
      <c r="C2187" t="str">
        <f>"Assembly, JM, E089, Timers and Triggers Panel"</f>
        <v>Assembly, JM, E089, Timers and Triggers Panel</v>
      </c>
      <c r="D2187">
        <v>2</v>
      </c>
      <c r="E2187" t="str">
        <f t="shared" si="548"/>
        <v>Industrial Power Electronics Two Sided Bench 220V</v>
      </c>
      <c r="F2187">
        <v>0</v>
      </c>
      <c r="G2187" t="str">
        <f t="shared" si="551"/>
        <v>Y</v>
      </c>
      <c r="H2187" t="str">
        <f t="shared" si="545"/>
        <v>EA</v>
      </c>
      <c r="I2187">
        <v>0</v>
      </c>
      <c r="J2187">
        <v>0</v>
      </c>
      <c r="K2187" t="str">
        <f t="shared" si="552"/>
        <v>Y</v>
      </c>
      <c r="L2187">
        <v>0</v>
      </c>
      <c r="M2187" t="str">
        <f t="shared" si="550"/>
        <v>NIS</v>
      </c>
      <c r="O2187">
        <v>38</v>
      </c>
      <c r="P2187" t="str">
        <f t="shared" si="549"/>
        <v>Active</v>
      </c>
      <c r="Q2187" t="str">
        <f>"Assembly, JM, E089, Timers and Triggers Panel"</f>
        <v>Assembly, JM, E089, Timers and Triggers Panel</v>
      </c>
      <c r="S2187" t="str">
        <f>"Assembly, JM, E089, Timers and Triggers Panel"</f>
        <v>Assembly, JM, E089, Timers and Triggers Panel</v>
      </c>
      <c r="T2187">
        <v>122.91</v>
      </c>
      <c r="U2187">
        <v>122</v>
      </c>
      <c r="V2187">
        <v>408.97</v>
      </c>
      <c r="W2187" t="str">
        <f t="shared" si="546"/>
        <v>zintel</v>
      </c>
    </row>
    <row r="2188" spans="1:23">
      <c r="A2188" t="str">
        <f t="shared" si="547"/>
        <v>JM-POWR-ELEC-2</v>
      </c>
      <c r="B2188" t="str">
        <f>"77-EB05-0000"</f>
        <v>77-EB05-0000</v>
      </c>
      <c r="C2188" t="str">
        <f>"LM7 Content, JM, Basic Stepper Motors &amp; Drives"</f>
        <v>LM7 Content, JM, Basic Stepper Motors &amp; Drives</v>
      </c>
      <c r="D2188">
        <v>1</v>
      </c>
      <c r="E2188" t="str">
        <f t="shared" si="548"/>
        <v>Industrial Power Electronics Two Sided Bench 220V</v>
      </c>
      <c r="F2188">
        <v>0</v>
      </c>
      <c r="G2188" t="str">
        <f t="shared" si="551"/>
        <v>Y</v>
      </c>
      <c r="H2188" t="str">
        <f t="shared" si="545"/>
        <v>EA</v>
      </c>
      <c r="I2188">
        <v>0</v>
      </c>
      <c r="J2188">
        <v>0</v>
      </c>
      <c r="K2188" t="str">
        <f t="shared" si="552"/>
        <v>Y</v>
      </c>
      <c r="L2188">
        <v>0</v>
      </c>
      <c r="M2188" t="str">
        <f t="shared" si="550"/>
        <v>NIS</v>
      </c>
      <c r="O2188">
        <v>40</v>
      </c>
      <c r="P2188" t="str">
        <f t="shared" si="549"/>
        <v>Active</v>
      </c>
      <c r="Q2188" t="str">
        <f>"LM7 Content, JM, Basic Stepper Motors &amp; Drives"</f>
        <v>LM7 Content, JM, Basic Stepper Motors &amp; Drives</v>
      </c>
      <c r="S2188" t="str">
        <f>"LM7 Content, JM, Basic Stepper Motors &amp; Drives"</f>
        <v>LM7 Content, JM, Basic Stepper Motors &amp; Drives</v>
      </c>
      <c r="T2188">
        <v>0</v>
      </c>
      <c r="U2188">
        <v>5</v>
      </c>
      <c r="V2188">
        <v>5</v>
      </c>
      <c r="W2188" t="str">
        <f t="shared" si="546"/>
        <v>zintel</v>
      </c>
    </row>
    <row r="2189" spans="1:23">
      <c r="A2189" t="str">
        <f t="shared" si="547"/>
        <v>JM-POWR-ELEC-2</v>
      </c>
      <c r="B2189" t="str">
        <f>"26-E090-0000"</f>
        <v>26-E090-0000</v>
      </c>
      <c r="C2189" t="str">
        <f>"Assembly, JM, E090, Stepper Motor &amp; Drive Panel"</f>
        <v>Assembly, JM, E090, Stepper Motor &amp; Drive Panel</v>
      </c>
      <c r="D2189">
        <v>2</v>
      </c>
      <c r="E2189" t="str">
        <f t="shared" si="548"/>
        <v>Industrial Power Electronics Two Sided Bench 220V</v>
      </c>
      <c r="F2189">
        <v>0</v>
      </c>
      <c r="G2189" t="str">
        <f t="shared" si="551"/>
        <v>Y</v>
      </c>
      <c r="H2189" t="str">
        <f t="shared" si="545"/>
        <v>EA</v>
      </c>
      <c r="I2189">
        <v>0</v>
      </c>
      <c r="J2189">
        <v>0</v>
      </c>
      <c r="K2189" t="str">
        <f t="shared" si="552"/>
        <v>Y</v>
      </c>
      <c r="L2189">
        <v>0</v>
      </c>
      <c r="M2189" t="str">
        <f t="shared" si="550"/>
        <v>NIS</v>
      </c>
      <c r="O2189">
        <v>41</v>
      </c>
      <c r="P2189" t="str">
        <f t="shared" si="549"/>
        <v>Active</v>
      </c>
      <c r="Q2189" t="str">
        <f>"Assembly, JM, E090, Stepper Motor &amp; Drive Panel"</f>
        <v>Assembly, JM, E090, Stepper Motor &amp; Drive Panel</v>
      </c>
      <c r="S2189" t="str">
        <f>"Assembly, JM, E090, Stepper Motor &amp; Drive Panel"</f>
        <v>Assembly, JM, E090, Stepper Motor &amp; Drive Panel</v>
      </c>
      <c r="T2189">
        <v>296.8</v>
      </c>
      <c r="U2189">
        <v>300</v>
      </c>
      <c r="V2189">
        <v>506.96</v>
      </c>
      <c r="W2189" t="str">
        <f t="shared" si="546"/>
        <v>zintel</v>
      </c>
    </row>
    <row r="2190" spans="1:23">
      <c r="A2190" t="str">
        <f t="shared" si="547"/>
        <v>JM-POWR-ELEC-2</v>
      </c>
      <c r="B2190" t="str">
        <f>"77-EB06-0000"</f>
        <v>77-EB06-0000</v>
      </c>
      <c r="C2190" t="str">
        <f>"LM7 Content, JM, Basic Servo Motor Drives"</f>
        <v>LM7 Content, JM, Basic Servo Motor Drives</v>
      </c>
      <c r="D2190">
        <v>1</v>
      </c>
      <c r="E2190" t="str">
        <f t="shared" si="548"/>
        <v>Industrial Power Electronics Two Sided Bench 220V</v>
      </c>
      <c r="F2190">
        <v>0</v>
      </c>
      <c r="G2190" t="str">
        <f t="shared" si="551"/>
        <v>Y</v>
      </c>
      <c r="H2190" t="str">
        <f t="shared" si="545"/>
        <v>EA</v>
      </c>
      <c r="I2190">
        <v>0</v>
      </c>
      <c r="J2190">
        <v>0</v>
      </c>
      <c r="K2190" t="str">
        <f t="shared" si="552"/>
        <v>Y</v>
      </c>
      <c r="L2190">
        <v>0</v>
      </c>
      <c r="M2190" t="str">
        <f t="shared" si="550"/>
        <v>NIS</v>
      </c>
      <c r="O2190">
        <v>43</v>
      </c>
      <c r="P2190" t="str">
        <f t="shared" ref="P2190:P2195" si="553">"Active"</f>
        <v>Active</v>
      </c>
      <c r="Q2190" t="str">
        <f>"LM7 Content, JM, Basic Servo Motor Drives"</f>
        <v>LM7 Content, JM, Basic Servo Motor Drives</v>
      </c>
      <c r="S2190" t="str">
        <f>"LM7 Content, JM, Basic Servo Motor Drives"</f>
        <v>LM7 Content, JM, Basic Servo Motor Drives</v>
      </c>
      <c r="T2190">
        <v>0</v>
      </c>
      <c r="U2190">
        <v>5</v>
      </c>
      <c r="V2190">
        <v>5</v>
      </c>
      <c r="W2190" t="str">
        <f t="shared" si="546"/>
        <v>zintel</v>
      </c>
    </row>
    <row r="2191" spans="1:23">
      <c r="A2191" t="str">
        <f t="shared" si="547"/>
        <v>JM-POWR-ELEC-2</v>
      </c>
      <c r="B2191" t="str">
        <f>"26-E091-0000"</f>
        <v>26-E091-0000</v>
      </c>
      <c r="C2191" t="str">
        <f>"Assembly, JM, E091, Servo Motor&amp; Drive Panel"</f>
        <v>Assembly, JM, E091, Servo Motor&amp; Drive Panel</v>
      </c>
      <c r="D2191">
        <v>2</v>
      </c>
      <c r="E2191" t="str">
        <f t="shared" si="548"/>
        <v>Industrial Power Electronics Two Sided Bench 220V</v>
      </c>
      <c r="F2191">
        <v>0</v>
      </c>
      <c r="G2191" t="str">
        <f t="shared" si="551"/>
        <v>Y</v>
      </c>
      <c r="H2191" t="str">
        <f t="shared" si="545"/>
        <v>EA</v>
      </c>
      <c r="I2191">
        <v>0</v>
      </c>
      <c r="J2191">
        <v>0</v>
      </c>
      <c r="K2191" t="str">
        <f t="shared" si="552"/>
        <v>Y</v>
      </c>
      <c r="L2191">
        <v>0</v>
      </c>
      <c r="M2191" t="str">
        <f t="shared" si="550"/>
        <v>NIS</v>
      </c>
      <c r="O2191">
        <v>44</v>
      </c>
      <c r="P2191" t="str">
        <f t="shared" si="553"/>
        <v>Active</v>
      </c>
      <c r="Q2191" t="str">
        <f>"Assembly, JM, E091, Servo Motor&amp; Drive Panel"</f>
        <v>Assembly, JM, E091, Servo Motor&amp; Drive Panel</v>
      </c>
      <c r="S2191" t="str">
        <f>"Assembly, JM, E091, Servo Motor&amp; Drive Panel"</f>
        <v>Assembly, JM, E091, Servo Motor&amp; Drive Panel</v>
      </c>
      <c r="T2191">
        <v>219.92</v>
      </c>
      <c r="U2191">
        <v>220</v>
      </c>
      <c r="V2191">
        <v>462.04</v>
      </c>
      <c r="W2191" t="str">
        <f t="shared" si="546"/>
        <v>zintel</v>
      </c>
    </row>
    <row r="2192" spans="1:23">
      <c r="A2192" t="str">
        <f t="shared" si="547"/>
        <v>JM-POWR-ELEC-2</v>
      </c>
      <c r="B2192" t="str">
        <f>"10-PPSU-0001"</f>
        <v>10-PPSU-0001</v>
      </c>
      <c r="C2192" t="str">
        <f>"JM, Portable Panel Storage Unit"</f>
        <v>JM, Portable Panel Storage Unit</v>
      </c>
      <c r="D2192">
        <v>1</v>
      </c>
      <c r="E2192" t="str">
        <f t="shared" si="548"/>
        <v>Industrial Power Electronics Two Sided Bench 220V</v>
      </c>
      <c r="F2192">
        <v>0</v>
      </c>
      <c r="G2192" t="str">
        <f t="shared" si="551"/>
        <v>Y</v>
      </c>
      <c r="H2192" t="str">
        <f t="shared" si="545"/>
        <v>EA</v>
      </c>
      <c r="I2192">
        <v>0</v>
      </c>
      <c r="J2192">
        <v>0</v>
      </c>
      <c r="K2192" t="str">
        <f t="shared" si="552"/>
        <v>Y</v>
      </c>
      <c r="L2192">
        <v>0</v>
      </c>
      <c r="M2192" t="str">
        <f t="shared" si="550"/>
        <v>NIS</v>
      </c>
      <c r="O2192">
        <v>46</v>
      </c>
      <c r="P2192" t="str">
        <f t="shared" si="553"/>
        <v>Active</v>
      </c>
      <c r="Q2192" t="str">
        <f>"JM, Portable Panel Storage Unit"</f>
        <v>JM, Portable Panel Storage Unit</v>
      </c>
      <c r="S2192" t="str">
        <f>"JM, Portable Panel Storage Unit"</f>
        <v>JM, Portable Panel Storage Unit</v>
      </c>
      <c r="T2192">
        <v>889.25</v>
      </c>
      <c r="U2192">
        <v>961.88</v>
      </c>
      <c r="V2192">
        <v>978.6</v>
      </c>
      <c r="W2192" t="str">
        <f t="shared" si="546"/>
        <v>zintel</v>
      </c>
    </row>
    <row r="2193" spans="1:23">
      <c r="A2193" t="str">
        <f t="shared" si="547"/>
        <v>JM-POWR-ELEC-2</v>
      </c>
      <c r="B2193" t="str">
        <f>"10-PC09-0000"</f>
        <v>10-PC09-0000</v>
      </c>
      <c r="C2193" t="str">
        <f>"JM, PC09, Transformer,PRI D440V SEC:Y225V 3KVA"</f>
        <v>JM, PC09, Transformer,PRI D440V SEC:Y225V 3KVA</v>
      </c>
      <c r="D2193">
        <v>1</v>
      </c>
      <c r="E2193" t="str">
        <f t="shared" si="548"/>
        <v>Industrial Power Electronics Two Sided Bench 220V</v>
      </c>
      <c r="F2193">
        <v>0</v>
      </c>
      <c r="G2193" t="str">
        <f t="shared" si="551"/>
        <v>Y</v>
      </c>
      <c r="H2193" t="str">
        <f t="shared" si="545"/>
        <v>EA</v>
      </c>
      <c r="I2193">
        <v>0</v>
      </c>
      <c r="J2193">
        <v>0</v>
      </c>
      <c r="K2193" t="str">
        <f t="shared" si="552"/>
        <v>Y</v>
      </c>
      <c r="L2193">
        <v>0</v>
      </c>
      <c r="M2193" t="str">
        <f t="shared" si="550"/>
        <v>NIS</v>
      </c>
      <c r="O2193">
        <v>47</v>
      </c>
      <c r="P2193" t="str">
        <f t="shared" si="553"/>
        <v>Active</v>
      </c>
      <c r="Q2193" t="str">
        <f>"JM, PC09, Inter. Transformer Pack, LS200 Bench"</f>
        <v>JM, PC09, Inter. Transformer Pack, LS200 Bench</v>
      </c>
      <c r="S2193" t="str">
        <f>"JM, PC09, Transformer,PRI D440V SEC:Y225V 3KVA"</f>
        <v>JM, PC09, Transformer,PRI D440V SEC:Y225V 3KVA</v>
      </c>
      <c r="T2193">
        <v>0</v>
      </c>
      <c r="U2193">
        <v>0</v>
      </c>
      <c r="V2193">
        <v>0</v>
      </c>
      <c r="W2193" t="str">
        <f t="shared" si="546"/>
        <v>zintel</v>
      </c>
    </row>
    <row r="2194" spans="1:23">
      <c r="A2194" t="str">
        <f>"JM-SNSR-PANEL"</f>
        <v>JM-SNSR-PANEL</v>
      </c>
      <c r="B2194" t="str">
        <f>"00-3014-0000"</f>
        <v>00-3014-0000</v>
      </c>
      <c r="C2194" t="str">
        <f>"SensorLine - Sensor Technology Training Panel"</f>
        <v>SensorLine - Sensor Technology Training Panel</v>
      </c>
      <c r="D2194">
        <v>1</v>
      </c>
      <c r="E2194" t="str">
        <f>"Sensor Line Training Panel, LMS Lab"</f>
        <v>Sensor Line Training Panel, LMS Lab</v>
      </c>
      <c r="F2194">
        <v>0</v>
      </c>
      <c r="G2194" t="str">
        <f t="shared" si="551"/>
        <v>Y</v>
      </c>
      <c r="H2194" t="str">
        <f t="shared" si="545"/>
        <v>EA</v>
      </c>
      <c r="I2194">
        <v>0</v>
      </c>
      <c r="J2194">
        <v>0</v>
      </c>
      <c r="K2194" t="str">
        <f t="shared" si="552"/>
        <v>Y</v>
      </c>
      <c r="L2194">
        <v>0</v>
      </c>
      <c r="M2194" t="str">
        <f t="shared" si="550"/>
        <v>NIS</v>
      </c>
      <c r="O2194">
        <v>1</v>
      </c>
      <c r="P2194" t="str">
        <f t="shared" si="553"/>
        <v>Active</v>
      </c>
      <c r="Q2194" t="str">
        <f>"SensorLine Panel package"</f>
        <v>SensorLine Panel package</v>
      </c>
      <c r="S2194" t="str">
        <f>"SensorLine Panel package"</f>
        <v>SensorLine Panel package</v>
      </c>
      <c r="T2194">
        <v>0</v>
      </c>
      <c r="U2194" s="44">
        <v>1290.24</v>
      </c>
      <c r="V2194" s="44">
        <v>1319.79</v>
      </c>
      <c r="W2194" t="str">
        <f t="shared" si="546"/>
        <v>zintel</v>
      </c>
    </row>
    <row r="2195" spans="1:23">
      <c r="A2195" t="str">
        <f t="shared" ref="A2195:A2216" si="554">"KUKA-EMCO-ASM&amp;QC"</f>
        <v>KUKA-EMCO-ASM&amp;QC</v>
      </c>
      <c r="B2195" t="str">
        <f>"10-2119-9000"</f>
        <v>10-2119-9000</v>
      </c>
      <c r="C2195" t="str">
        <f>"Interface with industrial robot"</f>
        <v>Interface with industrial robot</v>
      </c>
      <c r="D2195">
        <v>1</v>
      </c>
      <c r="E2195" t="str">
        <f t="shared" ref="E2195:E2216" si="555">"FMS Machine Tending for Robot KUKA &amp; for EMCO 250 M&amp;T ASM &amp; QC"</f>
        <v>FMS Machine Tending for Robot KUKA &amp; for EMCO 250 M&amp;T ASM &amp; QC</v>
      </c>
      <c r="F2195">
        <v>702</v>
      </c>
      <c r="G2195" t="str">
        <f t="shared" si="551"/>
        <v>Y</v>
      </c>
      <c r="H2195" t="str">
        <f t="shared" si="545"/>
        <v>EA</v>
      </c>
      <c r="I2195">
        <v>0</v>
      </c>
      <c r="J2195">
        <v>0</v>
      </c>
      <c r="K2195" t="str">
        <f t="shared" si="552"/>
        <v>Y</v>
      </c>
      <c r="L2195">
        <v>0</v>
      </c>
      <c r="M2195" t="str">
        <f t="shared" si="550"/>
        <v>NIS</v>
      </c>
      <c r="O2195">
        <v>1</v>
      </c>
      <c r="P2195" t="str">
        <f t="shared" si="553"/>
        <v>Active</v>
      </c>
      <c r="Q2195" t="str">
        <f>"Interface with industrial robot"</f>
        <v>Interface with industrial robot</v>
      </c>
      <c r="S2195" t="str">
        <f>"Interface with industrial robot"</f>
        <v>Interface with industrial robot</v>
      </c>
      <c r="T2195">
        <v>0</v>
      </c>
      <c r="U2195" s="44">
        <v>2000</v>
      </c>
      <c r="V2195" s="44">
        <v>2220</v>
      </c>
      <c r="W2195" t="str">
        <f t="shared" ref="W2195:W2258" si="556">"rob"</f>
        <v>rob</v>
      </c>
    </row>
    <row r="2196" spans="1:23">
      <c r="A2196" t="str">
        <f t="shared" si="554"/>
        <v>KUKA-EMCO-ASM&amp;QC</v>
      </c>
      <c r="B2196" t="str">
        <f>"00-1030-0000"</f>
        <v>00-1030-0000</v>
      </c>
      <c r="C2196" t="str">
        <f>"LSB 3.0m, Belt, UG, XD, for ind. robot &lt; 50kg"</f>
        <v>LSB 3.0m, Belt, UG, XD, for ind. robot &lt; 50kg</v>
      </c>
      <c r="D2196">
        <v>1</v>
      </c>
      <c r="E2196" t="str">
        <f t="shared" si="555"/>
        <v>FMS Machine Tending for Robot KUKA &amp; for EMCO 250 M&amp;T ASM &amp; QC</v>
      </c>
      <c r="F2196">
        <v>702</v>
      </c>
      <c r="G2196" t="str">
        <f t="shared" si="551"/>
        <v>Y</v>
      </c>
      <c r="H2196" t="str">
        <f t="shared" si="545"/>
        <v>EA</v>
      </c>
      <c r="I2196">
        <v>0</v>
      </c>
      <c r="J2196">
        <v>0</v>
      </c>
      <c r="K2196" t="str">
        <f t="shared" si="552"/>
        <v>Y</v>
      </c>
      <c r="L2196">
        <v>0</v>
      </c>
      <c r="M2196" t="str">
        <f t="shared" si="550"/>
        <v>NIS</v>
      </c>
      <c r="O2196">
        <v>2</v>
      </c>
      <c r="P2196" t="str">
        <f>"ECO-N2Buy"</f>
        <v>ECO-N2Buy</v>
      </c>
      <c r="Q2196" t="str">
        <f>"LSB 3.0m, Belt, Under ground &amp; XDrive04 for HP3"</f>
        <v>LSB 3.0m, Belt, Under ground &amp; XDrive04 for HP3</v>
      </c>
      <c r="S2196" t="str">
        <f>"LSB 3.0m, Belt, UnderGr, XD, for ind. robot&lt;50kg"</f>
        <v>LSB 3.0m, Belt, UnderGr, XD, for ind. robot&lt;50kg</v>
      </c>
      <c r="T2196">
        <v>0</v>
      </c>
      <c r="U2196" s="44">
        <v>15145.88</v>
      </c>
      <c r="V2196" s="44">
        <v>14096.1</v>
      </c>
      <c r="W2196" t="str">
        <f t="shared" si="556"/>
        <v>rob</v>
      </c>
    </row>
    <row r="2197" spans="1:23">
      <c r="A2197" t="str">
        <f t="shared" si="554"/>
        <v>KUKA-EMCO-ASM&amp;QC</v>
      </c>
      <c r="B2197" t="str">
        <f>"00-0647-0000"</f>
        <v>00-0647-0000</v>
      </c>
      <c r="C2197" t="str">
        <f>"Pneumatic Gripper for 3rd party robots"</f>
        <v>Pneumatic Gripper for 3rd party robots</v>
      </c>
      <c r="D2197">
        <v>1</v>
      </c>
      <c r="E2197" t="str">
        <f t="shared" si="555"/>
        <v>FMS Machine Tending for Robot KUKA &amp; for EMCO 250 M&amp;T ASM &amp; QC</v>
      </c>
      <c r="F2197">
        <v>702</v>
      </c>
      <c r="G2197" t="str">
        <f t="shared" si="551"/>
        <v>Y</v>
      </c>
      <c r="H2197" t="str">
        <f t="shared" si="545"/>
        <v>EA</v>
      </c>
      <c r="I2197">
        <v>0</v>
      </c>
      <c r="J2197">
        <v>0</v>
      </c>
      <c r="K2197" t="str">
        <f t="shared" si="552"/>
        <v>Y</v>
      </c>
      <c r="L2197">
        <v>0</v>
      </c>
      <c r="M2197" t="str">
        <f t="shared" si="550"/>
        <v>NIS</v>
      </c>
      <c r="O2197">
        <v>3</v>
      </c>
      <c r="P2197" t="str">
        <f>"ECO-N2Buy"</f>
        <v>ECO-N2Buy</v>
      </c>
      <c r="Q2197" t="str">
        <f>"Pneumatic Gripper for small industrial robots"</f>
        <v>Pneumatic Gripper for small industrial robots</v>
      </c>
      <c r="S2197" t="str">
        <f>"Pneumatic Gripper for small industrial robots"</f>
        <v>Pneumatic Gripper for small industrial robots</v>
      </c>
      <c r="T2197">
        <v>0</v>
      </c>
      <c r="U2197" s="44">
        <v>1000</v>
      </c>
      <c r="V2197">
        <v>646.62</v>
      </c>
      <c r="W2197" t="str">
        <f t="shared" si="556"/>
        <v>rob</v>
      </c>
    </row>
    <row r="2198" spans="1:23">
      <c r="A2198" t="str">
        <f t="shared" si="554"/>
        <v>KUKA-EMCO-ASM&amp;QC</v>
      </c>
      <c r="B2198" t="str">
        <f>"10-2118-6000"</f>
        <v>10-2118-6000</v>
      </c>
      <c r="C2198" t="str">
        <f>"CNC Interface with EMCO MILL"</f>
        <v>CNC Interface with EMCO MILL</v>
      </c>
      <c r="D2198">
        <v>1</v>
      </c>
      <c r="E2198" t="str">
        <f t="shared" si="555"/>
        <v>FMS Machine Tending for Robot KUKA &amp; for EMCO 250 M&amp;T ASM &amp; QC</v>
      </c>
      <c r="F2198">
        <v>702</v>
      </c>
      <c r="G2198" t="str">
        <f t="shared" si="551"/>
        <v>Y</v>
      </c>
      <c r="H2198" t="str">
        <f t="shared" si="545"/>
        <v>EA</v>
      </c>
      <c r="I2198">
        <v>0</v>
      </c>
      <c r="J2198">
        <v>0</v>
      </c>
      <c r="K2198" t="str">
        <f t="shared" si="552"/>
        <v>Y</v>
      </c>
      <c r="L2198">
        <v>0</v>
      </c>
      <c r="M2198" t="str">
        <f t="shared" si="550"/>
        <v>NIS</v>
      </c>
      <c r="O2198">
        <v>4</v>
      </c>
      <c r="P2198" t="str">
        <f t="shared" ref="P2198:P2211" si="557">"Active"</f>
        <v>Active</v>
      </c>
      <c r="Q2198" t="str">
        <f>"CNC Interface with EMCO MILL"</f>
        <v>CNC Interface with EMCO MILL</v>
      </c>
      <c r="S2198" t="str">
        <f>"CNC Interface with EMCO MILL"</f>
        <v>CNC Interface with EMCO MILL</v>
      </c>
      <c r="T2198">
        <v>0</v>
      </c>
      <c r="U2198">
        <v>20.28</v>
      </c>
      <c r="V2198">
        <v>13.85</v>
      </c>
      <c r="W2198" t="str">
        <f t="shared" si="556"/>
        <v>rob</v>
      </c>
    </row>
    <row r="2199" spans="1:23">
      <c r="A2199" t="str">
        <f t="shared" si="554"/>
        <v>KUKA-EMCO-ASM&amp;QC</v>
      </c>
      <c r="B2199" t="str">
        <f>"10-2118-7000"</f>
        <v>10-2118-7000</v>
      </c>
      <c r="C2199" t="str">
        <f>"CNC Interface with EMCO TURN"</f>
        <v>CNC Interface with EMCO TURN</v>
      </c>
      <c r="D2199">
        <v>1</v>
      </c>
      <c r="E2199" t="str">
        <f t="shared" si="555"/>
        <v>FMS Machine Tending for Robot KUKA &amp; for EMCO 250 M&amp;T ASM &amp; QC</v>
      </c>
      <c r="F2199">
        <v>702</v>
      </c>
      <c r="G2199" t="str">
        <f t="shared" si="551"/>
        <v>Y</v>
      </c>
      <c r="H2199" t="str">
        <f t="shared" si="545"/>
        <v>EA</v>
      </c>
      <c r="I2199">
        <v>0</v>
      </c>
      <c r="J2199">
        <v>0</v>
      </c>
      <c r="K2199" t="str">
        <f t="shared" si="552"/>
        <v>Y</v>
      </c>
      <c r="L2199">
        <v>0</v>
      </c>
      <c r="M2199" t="str">
        <f t="shared" si="550"/>
        <v>NIS</v>
      </c>
      <c r="O2199">
        <v>5</v>
      </c>
      <c r="P2199" t="str">
        <f t="shared" si="557"/>
        <v>Active</v>
      </c>
      <c r="Q2199" t="str">
        <f>"CNC Interface with EMCO TURN"</f>
        <v>CNC Interface with EMCO TURN</v>
      </c>
      <c r="S2199" t="str">
        <f>"CNC Interface with EMCO TURN"</f>
        <v>CNC Interface with EMCO TURN</v>
      </c>
      <c r="T2199">
        <v>0</v>
      </c>
      <c r="U2199">
        <v>20.28</v>
      </c>
      <c r="V2199">
        <v>13.85</v>
      </c>
      <c r="W2199" t="str">
        <f t="shared" si="556"/>
        <v>rob</v>
      </c>
    </row>
    <row r="2200" spans="1:23">
      <c r="A2200" t="str">
        <f t="shared" si="554"/>
        <v>KUKA-EMCO-ASM&amp;QC</v>
      </c>
      <c r="B2200" t="str">
        <f>"10-2116-2000"</f>
        <v>10-2116-2000</v>
      </c>
      <c r="C2200" t="str">
        <f>"Pneumatic Flip Device for 3rd Party CNC Mill"</f>
        <v>Pneumatic Flip Device for 3rd Party CNC Mill</v>
      </c>
      <c r="D2200">
        <v>1</v>
      </c>
      <c r="E2200" t="str">
        <f t="shared" si="555"/>
        <v>FMS Machine Tending for Robot KUKA &amp; for EMCO 250 M&amp;T ASM &amp; QC</v>
      </c>
      <c r="F2200">
        <v>702</v>
      </c>
      <c r="G2200" t="str">
        <f t="shared" si="551"/>
        <v>Y</v>
      </c>
      <c r="H2200" t="str">
        <f t="shared" si="545"/>
        <v>EA</v>
      </c>
      <c r="I2200">
        <v>0</v>
      </c>
      <c r="J2200">
        <v>0</v>
      </c>
      <c r="K2200" t="str">
        <f t="shared" si="552"/>
        <v>Y</v>
      </c>
      <c r="L2200">
        <v>0</v>
      </c>
      <c r="M2200" t="str">
        <f t="shared" si="550"/>
        <v>NIS</v>
      </c>
      <c r="O2200">
        <v>6</v>
      </c>
      <c r="P2200" t="str">
        <f t="shared" si="557"/>
        <v>Active</v>
      </c>
      <c r="Q2200" t="str">
        <f>"Pneumatic Flip Device"</f>
        <v>Pneumatic Flip Device</v>
      </c>
      <c r="S2200" t="str">
        <f>"Pneumatic Flip Device"</f>
        <v>Pneumatic Flip Device</v>
      </c>
      <c r="T2200">
        <v>0</v>
      </c>
      <c r="U2200">
        <v>503.58</v>
      </c>
      <c r="V2200">
        <v>467.47</v>
      </c>
      <c r="W2200" t="str">
        <f t="shared" si="556"/>
        <v>rob</v>
      </c>
    </row>
    <row r="2201" spans="1:23">
      <c r="A2201" t="str">
        <f t="shared" si="554"/>
        <v>KUKA-EMCO-ASM&amp;QC</v>
      </c>
      <c r="B2201" t="str">
        <f>"113034"</f>
        <v>113034</v>
      </c>
      <c r="C2201" t="str">
        <f>"Raw Material - Perspex Block"</f>
        <v>Raw Material - Perspex Block</v>
      </c>
      <c r="D2201">
        <v>50</v>
      </c>
      <c r="E2201" t="str">
        <f t="shared" si="555"/>
        <v>FMS Machine Tending for Robot KUKA &amp; for EMCO 250 M&amp;T ASM &amp; QC</v>
      </c>
      <c r="F2201">
        <v>702</v>
      </c>
      <c r="G2201" t="str">
        <f t="shared" si="551"/>
        <v>Y</v>
      </c>
      <c r="H2201" t="str">
        <f t="shared" si="545"/>
        <v>EA</v>
      </c>
      <c r="I2201">
        <v>0</v>
      </c>
      <c r="J2201">
        <v>0</v>
      </c>
      <c r="K2201" t="str">
        <f t="shared" si="552"/>
        <v>Y</v>
      </c>
      <c r="L2201">
        <v>0</v>
      </c>
      <c r="M2201" t="str">
        <f t="shared" si="550"/>
        <v>NIS</v>
      </c>
      <c r="O2201">
        <v>7</v>
      </c>
      <c r="P2201" t="str">
        <f t="shared" si="557"/>
        <v>Active</v>
      </c>
      <c r="Q2201" t="str">
        <f>"Raw Material Stock - Perspex Block"</f>
        <v>Raw Material Stock - Perspex Block</v>
      </c>
      <c r="S2201" t="str">
        <f>"Raw Material Stock - Perspex Block"</f>
        <v>Raw Material Stock - Perspex Block</v>
      </c>
      <c r="T2201">
        <v>0</v>
      </c>
      <c r="U2201">
        <v>1.1000000000000001</v>
      </c>
      <c r="V2201">
        <v>1.0900000000000001</v>
      </c>
      <c r="W2201" t="str">
        <f t="shared" si="556"/>
        <v>rob</v>
      </c>
    </row>
    <row r="2202" spans="1:23">
      <c r="A2202" t="str">
        <f t="shared" si="554"/>
        <v>KUKA-EMCO-ASM&amp;QC</v>
      </c>
      <c r="B2202" t="str">
        <f>"112496"</f>
        <v>112496</v>
      </c>
      <c r="C2202" t="str">
        <f>"Raw Material - Brass  Rod"</f>
        <v>Raw Material - Brass  Rod</v>
      </c>
      <c r="D2202">
        <v>50</v>
      </c>
      <c r="E2202" t="str">
        <f t="shared" si="555"/>
        <v>FMS Machine Tending for Robot KUKA &amp; for EMCO 250 M&amp;T ASM &amp; QC</v>
      </c>
      <c r="F2202">
        <v>702</v>
      </c>
      <c r="G2202" t="str">
        <f t="shared" si="551"/>
        <v>Y</v>
      </c>
      <c r="H2202" t="str">
        <f t="shared" si="545"/>
        <v>EA</v>
      </c>
      <c r="I2202">
        <v>0</v>
      </c>
      <c r="J2202">
        <v>0</v>
      </c>
      <c r="K2202" t="str">
        <f t="shared" si="552"/>
        <v>Y</v>
      </c>
      <c r="L2202">
        <v>0</v>
      </c>
      <c r="M2202" t="str">
        <f t="shared" si="550"/>
        <v>NIS</v>
      </c>
      <c r="O2202">
        <v>8</v>
      </c>
      <c r="P2202" t="str">
        <f t="shared" si="557"/>
        <v>Active</v>
      </c>
      <c r="Q2202" t="str">
        <f>"Raw Material Stock - Brass  Rod"</f>
        <v>Raw Material Stock - Brass  Rod</v>
      </c>
      <c r="S2202" t="str">
        <f>"Raw Material Stock - Brass  Rod"</f>
        <v>Raw Material Stock - Brass  Rod</v>
      </c>
      <c r="T2202">
        <v>0</v>
      </c>
      <c r="U2202">
        <v>3.67</v>
      </c>
      <c r="V2202">
        <v>2.69</v>
      </c>
      <c r="W2202" t="str">
        <f t="shared" si="556"/>
        <v>rob</v>
      </c>
    </row>
    <row r="2203" spans="1:23">
      <c r="A2203" t="str">
        <f t="shared" si="554"/>
        <v>KUKA-EMCO-ASM&amp;QC</v>
      </c>
      <c r="B2203" t="str">
        <f>"00-1249-0000"</f>
        <v>00-1249-0000</v>
      </c>
      <c r="C2203" t="str">
        <f>"Workbench 1500x800mm (slotted aluminum top)"</f>
        <v>Workbench 1500x800mm (slotted aluminum top)</v>
      </c>
      <c r="D2203">
        <v>1</v>
      </c>
      <c r="E2203" t="str">
        <f t="shared" si="555"/>
        <v>FMS Machine Tending for Robot KUKA &amp; for EMCO 250 M&amp;T ASM &amp; QC</v>
      </c>
      <c r="F2203">
        <v>702</v>
      </c>
      <c r="G2203" t="str">
        <f t="shared" si="551"/>
        <v>Y</v>
      </c>
      <c r="H2203" t="str">
        <f t="shared" si="545"/>
        <v>EA</v>
      </c>
      <c r="I2203">
        <v>0</v>
      </c>
      <c r="J2203">
        <v>0</v>
      </c>
      <c r="K2203" t="str">
        <f t="shared" si="552"/>
        <v>Y</v>
      </c>
      <c r="L2203">
        <v>0</v>
      </c>
      <c r="M2203" t="str">
        <f t="shared" si="550"/>
        <v>NIS</v>
      </c>
      <c r="O2203">
        <v>9</v>
      </c>
      <c r="P2203" t="str">
        <f t="shared" si="557"/>
        <v>Active</v>
      </c>
      <c r="Q2203" t="str">
        <f>"Workbench 1500x800mm (slotted aluminum top)"</f>
        <v>Workbench 1500x800mm (slotted aluminum top)</v>
      </c>
      <c r="S2203" t="str">
        <f>"Workbench 1500x800mm (slotted aluminum top)"</f>
        <v>Workbench 1500x800mm (slotted aluminum top)</v>
      </c>
      <c r="T2203">
        <v>0</v>
      </c>
      <c r="U2203" s="44">
        <v>1100</v>
      </c>
      <c r="V2203" s="44">
        <v>1083.57</v>
      </c>
      <c r="W2203" t="str">
        <f t="shared" si="556"/>
        <v>rob</v>
      </c>
    </row>
    <row r="2204" spans="1:23">
      <c r="A2204" t="str">
        <f t="shared" si="554"/>
        <v>KUKA-EMCO-ASM&amp;QC</v>
      </c>
      <c r="B2204" t="str">
        <f>"00-1110-0000"</f>
        <v>00-1110-0000</v>
      </c>
      <c r="C2204" t="str">
        <f>"Palletizing Rack"</f>
        <v>Palletizing Rack</v>
      </c>
      <c r="D2204">
        <v>1</v>
      </c>
      <c r="E2204" t="str">
        <f t="shared" si="555"/>
        <v>FMS Machine Tending for Robot KUKA &amp; for EMCO 250 M&amp;T ASM &amp; QC</v>
      </c>
      <c r="F2204">
        <v>702</v>
      </c>
      <c r="G2204" t="str">
        <f t="shared" si="551"/>
        <v>Y</v>
      </c>
      <c r="H2204" t="str">
        <f t="shared" si="545"/>
        <v>EA</v>
      </c>
      <c r="I2204">
        <v>0</v>
      </c>
      <c r="J2204">
        <v>0</v>
      </c>
      <c r="K2204" t="str">
        <f t="shared" si="552"/>
        <v>Y</v>
      </c>
      <c r="L2204">
        <v>0</v>
      </c>
      <c r="M2204" t="str">
        <f t="shared" si="550"/>
        <v>NIS</v>
      </c>
      <c r="O2204">
        <v>10</v>
      </c>
      <c r="P2204" t="str">
        <f t="shared" si="557"/>
        <v>Active</v>
      </c>
      <c r="Q2204" t="str">
        <f>"Palletizing Rack (incl. Pins for creating Jigs)"</f>
        <v>Palletizing Rack (incl. Pins for creating Jigs)</v>
      </c>
      <c r="S2204" t="str">
        <f>"Palletizing Rack (incl. Pins for creating Jigs)"</f>
        <v>Palletizing Rack (incl. Pins for creating Jigs)</v>
      </c>
      <c r="T2204">
        <v>0</v>
      </c>
      <c r="U2204">
        <v>63</v>
      </c>
      <c r="V2204">
        <v>58.59</v>
      </c>
      <c r="W2204" t="str">
        <f t="shared" si="556"/>
        <v>rob</v>
      </c>
    </row>
    <row r="2205" spans="1:23">
      <c r="A2205" t="str">
        <f t="shared" si="554"/>
        <v>KUKA-EMCO-ASM&amp;QC</v>
      </c>
      <c r="B2205" t="str">
        <f>"10-2521-7000"</f>
        <v>10-2521-7000</v>
      </c>
      <c r="C2205" t="str">
        <f>"Pneumatic Feeder for Rectangular products"</f>
        <v>Pneumatic Feeder for Rectangular products</v>
      </c>
      <c r="D2205">
        <v>1</v>
      </c>
      <c r="E2205" t="str">
        <f t="shared" si="555"/>
        <v>FMS Machine Tending for Robot KUKA &amp; for EMCO 250 M&amp;T ASM &amp; QC</v>
      </c>
      <c r="F2205">
        <v>702</v>
      </c>
      <c r="G2205" t="str">
        <f t="shared" si="551"/>
        <v>Y</v>
      </c>
      <c r="H2205" t="str">
        <f t="shared" si="545"/>
        <v>EA</v>
      </c>
      <c r="I2205">
        <v>0</v>
      </c>
      <c r="J2205">
        <v>0</v>
      </c>
      <c r="K2205" t="str">
        <f t="shared" si="552"/>
        <v>Y</v>
      </c>
      <c r="L2205">
        <v>0</v>
      </c>
      <c r="M2205" t="str">
        <f t="shared" si="550"/>
        <v>NIS</v>
      </c>
      <c r="O2205">
        <v>11</v>
      </c>
      <c r="P2205" t="str">
        <f t="shared" si="557"/>
        <v>Active</v>
      </c>
      <c r="Q2205" t="str">
        <f>"Pneumatic Feeder for Rectangular Parts"</f>
        <v>Pneumatic Feeder for Rectangular Parts</v>
      </c>
      <c r="S2205" t="str">
        <f>"Pneumatic Feeder for Rectangular Parts"</f>
        <v>Pneumatic Feeder for Rectangular Parts</v>
      </c>
      <c r="T2205">
        <v>0</v>
      </c>
      <c r="U2205">
        <v>595</v>
      </c>
      <c r="V2205">
        <v>555.15</v>
      </c>
      <c r="W2205" t="str">
        <f t="shared" si="556"/>
        <v>rob</v>
      </c>
    </row>
    <row r="2206" spans="1:23">
      <c r="A2206" t="str">
        <f t="shared" si="554"/>
        <v>KUKA-EMCO-ASM&amp;QC</v>
      </c>
      <c r="B2206" t="str">
        <f>"10-1007-4000"</f>
        <v>10-1007-4000</v>
      </c>
      <c r="C2206" t="str">
        <f>"Gravity Parts Feeder (with microswitch sensor)"</f>
        <v>Gravity Parts Feeder (with microswitch sensor)</v>
      </c>
      <c r="D2206">
        <v>1</v>
      </c>
      <c r="E2206" t="str">
        <f t="shared" si="555"/>
        <v>FMS Machine Tending for Robot KUKA &amp; for EMCO 250 M&amp;T ASM &amp; QC</v>
      </c>
      <c r="F2206">
        <v>702</v>
      </c>
      <c r="G2206" t="str">
        <f t="shared" si="551"/>
        <v>Y</v>
      </c>
      <c r="H2206" t="str">
        <f t="shared" si="545"/>
        <v>EA</v>
      </c>
      <c r="I2206">
        <v>0</v>
      </c>
      <c r="J2206">
        <v>0</v>
      </c>
      <c r="K2206" t="str">
        <f t="shared" si="552"/>
        <v>Y</v>
      </c>
      <c r="L2206">
        <v>0</v>
      </c>
      <c r="M2206" t="str">
        <f t="shared" si="550"/>
        <v>NIS</v>
      </c>
      <c r="O2206">
        <v>12</v>
      </c>
      <c r="P2206" t="str">
        <f t="shared" si="557"/>
        <v>Active</v>
      </c>
      <c r="Q2206" t="str">
        <f>"Gravity Parts Feeder (incl.microswitch sensor)"</f>
        <v>Gravity Parts Feeder (incl.microswitch sensor)</v>
      </c>
      <c r="S2206" t="str">
        <f>"Gravity Parts Feeder (incl.microswitch sensor)"</f>
        <v>Gravity Parts Feeder (incl.microswitch sensor)</v>
      </c>
      <c r="T2206">
        <v>0</v>
      </c>
      <c r="U2206">
        <v>148</v>
      </c>
      <c r="V2206">
        <v>148.26</v>
      </c>
      <c r="W2206" t="str">
        <f t="shared" si="556"/>
        <v>rob</v>
      </c>
    </row>
    <row r="2207" spans="1:23">
      <c r="A2207" t="str">
        <f t="shared" si="554"/>
        <v>KUKA-EMCO-ASM&amp;QC</v>
      </c>
      <c r="B2207" t="str">
        <f>"00-1422-0000"</f>
        <v>00-1422-0000</v>
      </c>
      <c r="C2207" t="str">
        <f>"Viewflex for QC (Stand 400mm)"</f>
        <v>Viewflex for QC (Stand 400mm)</v>
      </c>
      <c r="D2207">
        <v>1</v>
      </c>
      <c r="E2207" t="str">
        <f t="shared" si="555"/>
        <v>FMS Machine Tending for Robot KUKA &amp; for EMCO 250 M&amp;T ASM &amp; QC</v>
      </c>
      <c r="F2207">
        <v>702</v>
      </c>
      <c r="G2207" t="str">
        <f t="shared" si="551"/>
        <v>Y</v>
      </c>
      <c r="H2207" t="str">
        <f t="shared" si="545"/>
        <v>EA</v>
      </c>
      <c r="I2207">
        <v>0</v>
      </c>
      <c r="J2207">
        <v>0</v>
      </c>
      <c r="K2207" t="str">
        <f t="shared" si="552"/>
        <v>Y</v>
      </c>
      <c r="L2207">
        <v>0</v>
      </c>
      <c r="M2207" t="str">
        <f t="shared" si="550"/>
        <v>NIS</v>
      </c>
      <c r="O2207">
        <v>13</v>
      </c>
      <c r="P2207" t="str">
        <f t="shared" si="557"/>
        <v>Active</v>
      </c>
      <c r="Q2207" t="str">
        <f>"Viewflex for QC (Stand 400mm)"</f>
        <v>Viewflex for QC (Stand 400mm)</v>
      </c>
      <c r="S2207" t="str">
        <f>"Viewflex for QC (Stand 400mm)"</f>
        <v>Viewflex for QC (Stand 400mm)</v>
      </c>
      <c r="T2207">
        <v>0</v>
      </c>
      <c r="U2207">
        <v>560</v>
      </c>
      <c r="V2207">
        <v>511.35</v>
      </c>
      <c r="W2207" t="str">
        <f t="shared" si="556"/>
        <v>rob</v>
      </c>
    </row>
    <row r="2208" spans="1:23">
      <c r="A2208" t="str">
        <f t="shared" si="554"/>
        <v>KUKA-EMCO-ASM&amp;QC</v>
      </c>
      <c r="B2208" t="str">
        <f>"113096"</f>
        <v>113096</v>
      </c>
      <c r="C2208" t="str">
        <f>"Plexiglass Cylinders Base"</f>
        <v>Plexiglass Cylinders Base</v>
      </c>
      <c r="D2208">
        <v>1</v>
      </c>
      <c r="E2208" t="str">
        <f t="shared" si="555"/>
        <v>FMS Machine Tending for Robot KUKA &amp; for EMCO 250 M&amp;T ASM &amp; QC</v>
      </c>
      <c r="F2208">
        <v>702</v>
      </c>
      <c r="G2208" t="str">
        <f t="shared" si="551"/>
        <v>Y</v>
      </c>
      <c r="H2208" t="str">
        <f t="shared" si="545"/>
        <v>EA</v>
      </c>
      <c r="I2208">
        <v>0</v>
      </c>
      <c r="J2208">
        <v>0</v>
      </c>
      <c r="K2208" t="str">
        <f t="shared" si="552"/>
        <v>Y</v>
      </c>
      <c r="L2208">
        <v>0</v>
      </c>
      <c r="M2208" t="str">
        <f t="shared" si="550"/>
        <v>NIS</v>
      </c>
      <c r="O2208">
        <v>14</v>
      </c>
      <c r="P2208" t="str">
        <f t="shared" si="557"/>
        <v>Active</v>
      </c>
      <c r="Q2208" t="str">
        <f>"Plexiglass Cylinders Base MicroCIM"</f>
        <v>Plexiglass Cylinders Base MicroCIM</v>
      </c>
      <c r="S2208" t="str">
        <f>"Plexiglass Cylinders Base"</f>
        <v>Plexiglass Cylinders Base</v>
      </c>
      <c r="T2208">
        <v>0</v>
      </c>
      <c r="U2208">
        <v>7</v>
      </c>
      <c r="V2208">
        <v>6.83</v>
      </c>
      <c r="W2208" t="str">
        <f t="shared" si="556"/>
        <v>rob</v>
      </c>
    </row>
    <row r="2209" spans="1:23">
      <c r="A2209" t="str">
        <f t="shared" si="554"/>
        <v>KUKA-EMCO-ASM&amp;QC</v>
      </c>
      <c r="B2209" t="str">
        <f>"112713"</f>
        <v>112713</v>
      </c>
      <c r="C2209" t="str">
        <f>"Marked Aluminum Cylinder"</f>
        <v>Marked Aluminum Cylinder</v>
      </c>
      <c r="D2209">
        <v>1</v>
      </c>
      <c r="E2209" t="str">
        <f t="shared" si="555"/>
        <v>FMS Machine Tending for Robot KUKA &amp; for EMCO 250 M&amp;T ASM &amp; QC</v>
      </c>
      <c r="F2209">
        <v>702</v>
      </c>
      <c r="G2209" t="str">
        <f t="shared" si="551"/>
        <v>Y</v>
      </c>
      <c r="H2209" t="str">
        <f t="shared" si="545"/>
        <v>EA</v>
      </c>
      <c r="I2209">
        <v>0</v>
      </c>
      <c r="J2209">
        <v>0</v>
      </c>
      <c r="K2209" t="str">
        <f t="shared" si="552"/>
        <v>Y</v>
      </c>
      <c r="L2209">
        <v>0</v>
      </c>
      <c r="M2209" t="str">
        <f t="shared" si="550"/>
        <v>NIS</v>
      </c>
      <c r="O2209">
        <v>15</v>
      </c>
      <c r="P2209" t="str">
        <f t="shared" si="557"/>
        <v>Active</v>
      </c>
      <c r="Q2209" t="str">
        <f>"Mark Al. Cylinder Diam. 35x28 MicroCIM"</f>
        <v>Mark Al. Cylinder Diam. 35x28 MicroCIM</v>
      </c>
      <c r="S2209" t="str">
        <f>"Mark Al. Cylinder Diam. 35x28"</f>
        <v>Mark Al. Cylinder Diam. 35x28</v>
      </c>
      <c r="T2209">
        <v>0</v>
      </c>
      <c r="U2209">
        <v>6</v>
      </c>
      <c r="V2209">
        <v>5.97</v>
      </c>
      <c r="W2209" t="str">
        <f t="shared" si="556"/>
        <v>rob</v>
      </c>
    </row>
    <row r="2210" spans="1:23">
      <c r="A2210" t="str">
        <f t="shared" si="554"/>
        <v>KUKA-EMCO-ASM&amp;QC</v>
      </c>
      <c r="B2210" t="str">
        <f>"113316"</f>
        <v>113316</v>
      </c>
      <c r="C2210" t="str">
        <f>"Parts Bin"</f>
        <v>Parts Bin</v>
      </c>
      <c r="D2210">
        <v>1</v>
      </c>
      <c r="E2210" t="str">
        <f t="shared" si="555"/>
        <v>FMS Machine Tending for Robot KUKA &amp; for EMCO 250 M&amp;T ASM &amp; QC</v>
      </c>
      <c r="F2210">
        <v>702</v>
      </c>
      <c r="G2210" t="str">
        <f t="shared" si="551"/>
        <v>Y</v>
      </c>
      <c r="H2210" t="str">
        <f t="shared" si="545"/>
        <v>EA</v>
      </c>
      <c r="I2210">
        <v>0</v>
      </c>
      <c r="J2210">
        <v>0</v>
      </c>
      <c r="K2210" t="str">
        <f t="shared" si="552"/>
        <v>Y</v>
      </c>
      <c r="L2210">
        <v>0</v>
      </c>
      <c r="M2210" t="str">
        <f t="shared" si="550"/>
        <v>NIS</v>
      </c>
      <c r="O2210">
        <v>16</v>
      </c>
      <c r="P2210" t="str">
        <f t="shared" si="557"/>
        <v>Active</v>
      </c>
      <c r="Q2210" t="str">
        <f>"Parts Bin; Plastic Box"</f>
        <v>Parts Bin; Plastic Box</v>
      </c>
      <c r="R2210" t="str">
        <f>"1"</f>
        <v>1</v>
      </c>
      <c r="S2210" t="str">
        <f>"Parts Bin; Plastic Box"</f>
        <v>Parts Bin; Plastic Box</v>
      </c>
      <c r="T2210">
        <v>0</v>
      </c>
      <c r="U2210">
        <v>8.0399999999999991</v>
      </c>
      <c r="V2210">
        <v>6.39</v>
      </c>
      <c r="W2210" t="str">
        <f t="shared" si="556"/>
        <v>rob</v>
      </c>
    </row>
    <row r="2211" spans="1:23">
      <c r="A2211" t="str">
        <f t="shared" si="554"/>
        <v>KUKA-EMCO-ASM&amp;QC</v>
      </c>
      <c r="B2211" t="str">
        <f>"00-1254-0000"</f>
        <v>00-1254-0000</v>
      </c>
      <c r="C2211" t="str">
        <f>"Automated Stationary Caliper Unit"</f>
        <v>Automated Stationary Caliper Unit</v>
      </c>
      <c r="D2211">
        <v>1</v>
      </c>
      <c r="E2211" t="str">
        <f t="shared" si="555"/>
        <v>FMS Machine Tending for Robot KUKA &amp; for EMCO 250 M&amp;T ASM &amp; QC</v>
      </c>
      <c r="F2211">
        <v>702</v>
      </c>
      <c r="G2211" t="str">
        <f t="shared" si="551"/>
        <v>Y</v>
      </c>
      <c r="H2211" t="str">
        <f t="shared" si="545"/>
        <v>EA</v>
      </c>
      <c r="I2211">
        <v>0</v>
      </c>
      <c r="J2211">
        <v>0</v>
      </c>
      <c r="K2211" t="str">
        <f t="shared" si="552"/>
        <v>Y</v>
      </c>
      <c r="L2211">
        <v>0</v>
      </c>
      <c r="M2211" t="str">
        <f t="shared" si="550"/>
        <v>NIS</v>
      </c>
      <c r="O2211">
        <v>17</v>
      </c>
      <c r="P2211" t="str">
        <f t="shared" si="557"/>
        <v>Active</v>
      </c>
      <c r="Q2211" t="str">
        <f>"Automat Stationary Caliper  Unit"</f>
        <v>Automat Stationary Caliper  Unit</v>
      </c>
      <c r="S2211" t="str">
        <f>"Automat Stationary Caliper  Unit"</f>
        <v>Automat Stationary Caliper  Unit</v>
      </c>
      <c r="T2211">
        <v>0</v>
      </c>
      <c r="U2211" s="44">
        <v>1165.92</v>
      </c>
      <c r="V2211" s="44">
        <v>1246.44</v>
      </c>
      <c r="W2211" t="str">
        <f t="shared" si="556"/>
        <v>rob</v>
      </c>
    </row>
    <row r="2212" spans="1:23">
      <c r="A2212" t="str">
        <f t="shared" si="554"/>
        <v>KUKA-EMCO-ASM&amp;QC</v>
      </c>
      <c r="B2212" t="str">
        <f>"21-0004-0000"</f>
        <v>21-0004-0000</v>
      </c>
      <c r="C2212" t="str">
        <f>"Assembly, Dual Axis Air Vise Mechanicals"</f>
        <v>Assembly, Dual Axis Air Vise Mechanicals</v>
      </c>
      <c r="D2212">
        <v>1</v>
      </c>
      <c r="E2212" t="str">
        <f t="shared" si="555"/>
        <v>FMS Machine Tending for Robot KUKA &amp; for EMCO 250 M&amp;T ASM &amp; QC</v>
      </c>
      <c r="F2212">
        <v>702</v>
      </c>
      <c r="G2212" t="str">
        <f t="shared" si="551"/>
        <v>Y</v>
      </c>
      <c r="H2212" t="str">
        <f t="shared" si="545"/>
        <v>EA</v>
      </c>
      <c r="I2212">
        <v>0</v>
      </c>
      <c r="J2212">
        <v>0</v>
      </c>
      <c r="K2212" t="str">
        <f t="shared" si="552"/>
        <v>Y</v>
      </c>
      <c r="L2212">
        <v>0</v>
      </c>
      <c r="M2212" t="str">
        <f t="shared" si="550"/>
        <v>NIS</v>
      </c>
      <c r="O2212">
        <v>18</v>
      </c>
      <c r="P2212" t="str">
        <f>"Phase Out"</f>
        <v>Phase Out</v>
      </c>
      <c r="Q2212" t="str">
        <f>"Assembly, Dual Axis Air Vise Mechanicals"</f>
        <v>Assembly, Dual Axis Air Vise Mechanicals</v>
      </c>
      <c r="S2212" t="str">
        <f>"Assembly, Dual Axis Air Vise Mechanicals"</f>
        <v>Assembly, Dual Axis Air Vise Mechanicals</v>
      </c>
      <c r="T2212">
        <v>422.16</v>
      </c>
      <c r="U2212">
        <v>422</v>
      </c>
      <c r="V2212">
        <v>980.27</v>
      </c>
      <c r="W2212" t="str">
        <f t="shared" si="556"/>
        <v>rob</v>
      </c>
    </row>
    <row r="2213" spans="1:23">
      <c r="A2213" t="str">
        <f t="shared" si="554"/>
        <v>KUKA-EMCO-ASM&amp;QC</v>
      </c>
      <c r="B2213" t="str">
        <f>"10-2523-4000"</f>
        <v>10-2523-4000</v>
      </c>
      <c r="C2213" t="str">
        <f>"Solenoid Valve (24V) for Pipe 3 mm"</f>
        <v>Solenoid Valve (24V) for Pipe 3 mm</v>
      </c>
      <c r="D2213">
        <v>1</v>
      </c>
      <c r="E2213" t="str">
        <f t="shared" si="555"/>
        <v>FMS Machine Tending for Robot KUKA &amp; for EMCO 250 M&amp;T ASM &amp; QC</v>
      </c>
      <c r="F2213">
        <v>702</v>
      </c>
      <c r="G2213" t="str">
        <f t="shared" si="551"/>
        <v>Y</v>
      </c>
      <c r="H2213" t="str">
        <f t="shared" si="545"/>
        <v>EA</v>
      </c>
      <c r="I2213">
        <v>0</v>
      </c>
      <c r="J2213">
        <v>0</v>
      </c>
      <c r="K2213" t="str">
        <f t="shared" si="552"/>
        <v>Y</v>
      </c>
      <c r="L2213">
        <v>0</v>
      </c>
      <c r="M2213" t="str">
        <f t="shared" si="550"/>
        <v>NIS</v>
      </c>
      <c r="O2213">
        <v>19</v>
      </c>
      <c r="P2213" t="str">
        <f>"Active"</f>
        <v>Active</v>
      </c>
      <c r="Q2213" t="str">
        <f>"Solenoid Valve (24V) for Pipe 3 mm"</f>
        <v>Solenoid Valve (24V) for Pipe 3 mm</v>
      </c>
      <c r="S2213" t="str">
        <f>"Solenoid Valve (24V) for Pipe 3 mm"</f>
        <v>Solenoid Valve (24V) for Pipe 3 mm</v>
      </c>
      <c r="T2213">
        <v>0</v>
      </c>
      <c r="U2213">
        <v>137</v>
      </c>
      <c r="V2213">
        <v>133.35</v>
      </c>
      <c r="W2213" t="str">
        <f t="shared" si="556"/>
        <v>rob</v>
      </c>
    </row>
    <row r="2214" spans="1:23">
      <c r="A2214" t="str">
        <f t="shared" si="554"/>
        <v>KUKA-EMCO-ASM&amp;QC</v>
      </c>
      <c r="B2214" t="str">
        <f>"63-9072-0000"</f>
        <v>63-9072-0000</v>
      </c>
      <c r="C2214" t="str">
        <f>"OpenCIM/FMS Software"</f>
        <v>OpenCIM/FMS Software</v>
      </c>
      <c r="D2214">
        <v>1</v>
      </c>
      <c r="E2214" t="str">
        <f t="shared" si="555"/>
        <v>FMS Machine Tending for Robot KUKA &amp; for EMCO 250 M&amp;T ASM &amp; QC</v>
      </c>
      <c r="F2214">
        <v>702</v>
      </c>
      <c r="G2214" t="str">
        <f t="shared" si="551"/>
        <v>Y</v>
      </c>
      <c r="H2214" t="str">
        <f t="shared" si="545"/>
        <v>EA</v>
      </c>
      <c r="I2214">
        <v>0</v>
      </c>
      <c r="J2214">
        <v>0</v>
      </c>
      <c r="K2214" t="str">
        <f t="shared" si="552"/>
        <v>Y</v>
      </c>
      <c r="L2214">
        <v>0</v>
      </c>
      <c r="M2214" t="str">
        <f t="shared" si="550"/>
        <v>NIS</v>
      </c>
      <c r="O2214">
        <v>20</v>
      </c>
      <c r="P2214" t="str">
        <f>"Active"</f>
        <v>Active</v>
      </c>
      <c r="Q2214" t="str">
        <f>"OpenCIM/FMS Software Package"</f>
        <v>OpenCIM/FMS Software Package</v>
      </c>
      <c r="S2214" t="str">
        <f>"OpenCIM/FMS Software Package"</f>
        <v>OpenCIM/FMS Software Package</v>
      </c>
      <c r="T2214">
        <v>0</v>
      </c>
      <c r="U2214">
        <v>35.44</v>
      </c>
      <c r="V2214">
        <v>33.99</v>
      </c>
      <c r="W2214" t="str">
        <f t="shared" si="556"/>
        <v>rob</v>
      </c>
    </row>
    <row r="2215" spans="1:23">
      <c r="A2215" t="str">
        <f t="shared" si="554"/>
        <v>KUKA-EMCO-ASM&amp;QC</v>
      </c>
      <c r="B2215" t="str">
        <f>"63-7000-1400"</f>
        <v>63-7000-1400</v>
      </c>
      <c r="C2215" t="str">
        <f>"License Key For OpenFMS Software"</f>
        <v>License Key For OpenFMS Software</v>
      </c>
      <c r="D2215">
        <v>1</v>
      </c>
      <c r="E2215" t="str">
        <f t="shared" si="555"/>
        <v>FMS Machine Tending for Robot KUKA &amp; for EMCO 250 M&amp;T ASM &amp; QC</v>
      </c>
      <c r="F2215">
        <v>702</v>
      </c>
      <c r="G2215" t="str">
        <f t="shared" si="551"/>
        <v>Y</v>
      </c>
      <c r="H2215" t="str">
        <f t="shared" si="545"/>
        <v>EA</v>
      </c>
      <c r="I2215">
        <v>0</v>
      </c>
      <c r="J2215">
        <v>0</v>
      </c>
      <c r="K2215" t="str">
        <f t="shared" si="552"/>
        <v>Y</v>
      </c>
      <c r="L2215">
        <v>0</v>
      </c>
      <c r="M2215" t="str">
        <f t="shared" si="550"/>
        <v>NIS</v>
      </c>
      <c r="O2215">
        <v>21</v>
      </c>
      <c r="P2215" t="str">
        <f>"Active"</f>
        <v>Active</v>
      </c>
      <c r="Q2215" t="str">
        <f>"License Key For OpenFMS Software"</f>
        <v>License Key For OpenFMS Software</v>
      </c>
      <c r="R2215" t="str">
        <f>"1"</f>
        <v>1</v>
      </c>
      <c r="S2215" t="str">
        <f>"License Key For OpenFMS Software"</f>
        <v>License Key For OpenFMS Software</v>
      </c>
      <c r="T2215">
        <v>0</v>
      </c>
      <c r="U2215">
        <v>1.2</v>
      </c>
      <c r="V2215">
        <v>1.33</v>
      </c>
      <c r="W2215" t="str">
        <f t="shared" si="556"/>
        <v>rob</v>
      </c>
    </row>
    <row r="2216" spans="1:23">
      <c r="A2216" t="str">
        <f t="shared" si="554"/>
        <v>KUKA-EMCO-ASM&amp;QC</v>
      </c>
      <c r="B2216" t="str">
        <f>"50-0094-0000"</f>
        <v>50-0094-0000</v>
      </c>
      <c r="C2216" t="str">
        <f>"Pre-Engineering, Design and Testing"</f>
        <v>Pre-Engineering, Design and Testing</v>
      </c>
      <c r="D2216">
        <v>1</v>
      </c>
      <c r="E2216" t="str">
        <f t="shared" si="555"/>
        <v>FMS Machine Tending for Robot KUKA &amp; for EMCO 250 M&amp;T ASM &amp; QC</v>
      </c>
      <c r="F2216">
        <v>702</v>
      </c>
      <c r="G2216" t="str">
        <f t="shared" si="551"/>
        <v>Y</v>
      </c>
      <c r="H2216" t="str">
        <f>"DA"</f>
        <v>DA</v>
      </c>
      <c r="I2216">
        <v>0</v>
      </c>
      <c r="J2216">
        <v>0</v>
      </c>
      <c r="K2216" t="str">
        <f t="shared" si="552"/>
        <v>Y</v>
      </c>
      <c r="L2216">
        <v>0</v>
      </c>
      <c r="M2216" t="str">
        <f t="shared" si="550"/>
        <v>NIS</v>
      </c>
      <c r="O2216">
        <v>22</v>
      </c>
      <c r="P2216" t="str">
        <f>"Active"</f>
        <v>Active</v>
      </c>
      <c r="Q2216" t="str">
        <f>"Pre-Engineering, Design and Testing"</f>
        <v>Pre-Engineering, Design and Testing</v>
      </c>
      <c r="S2216" t="str">
        <f>"Pre-Engineering, Design and Testing"</f>
        <v>Pre-Engineering, Design and Testing</v>
      </c>
      <c r="T2216">
        <v>0</v>
      </c>
      <c r="U2216">
        <v>405</v>
      </c>
      <c r="V2216">
        <v>421.2</v>
      </c>
      <c r="W2216" t="str">
        <f t="shared" si="556"/>
        <v>rob</v>
      </c>
    </row>
    <row r="2217" spans="1:23">
      <c r="A2217" t="str">
        <f t="shared" ref="A2217:A2230" si="558">"KUKA-EMCO-M&amp;T"</f>
        <v>KUKA-EMCO-M&amp;T</v>
      </c>
      <c r="B2217" t="str">
        <f>"10-2119-9000"</f>
        <v>10-2119-9000</v>
      </c>
      <c r="C2217" t="str">
        <f>"Interface with industrial robot"</f>
        <v>Interface with industrial robot</v>
      </c>
      <c r="D2217">
        <v>1</v>
      </c>
      <c r="E2217" t="str">
        <f t="shared" ref="E2217:E2230" si="559">"FMS Machine Tending: KUKA Robot &amp; EMCO CNC Milling and Turning Centers"</f>
        <v>FMS Machine Tending: KUKA Robot &amp; EMCO CNC Milling and Turning Centers</v>
      </c>
      <c r="F2217">
        <v>702</v>
      </c>
      <c r="G2217" t="str">
        <f t="shared" si="551"/>
        <v>Y</v>
      </c>
      <c r="H2217" t="str">
        <f t="shared" ref="H2217:H2227" si="560">"EA"</f>
        <v>EA</v>
      </c>
      <c r="I2217">
        <v>0</v>
      </c>
      <c r="J2217">
        <v>0</v>
      </c>
      <c r="K2217" t="str">
        <f t="shared" si="552"/>
        <v>Y</v>
      </c>
      <c r="L2217">
        <v>0</v>
      </c>
      <c r="M2217" t="str">
        <f t="shared" si="550"/>
        <v>NIS</v>
      </c>
      <c r="O2217">
        <v>1</v>
      </c>
      <c r="P2217" t="str">
        <f>"Active"</f>
        <v>Active</v>
      </c>
      <c r="Q2217" t="str">
        <f>"Interface with industrial robot"</f>
        <v>Interface with industrial robot</v>
      </c>
      <c r="S2217" t="str">
        <f>"Interface with industrial robot"</f>
        <v>Interface with industrial robot</v>
      </c>
      <c r="T2217">
        <v>0</v>
      </c>
      <c r="U2217" s="44">
        <v>2000</v>
      </c>
      <c r="V2217" s="44">
        <v>2220</v>
      </c>
      <c r="W2217" t="str">
        <f t="shared" si="556"/>
        <v>rob</v>
      </c>
    </row>
    <row r="2218" spans="1:23">
      <c r="A2218" t="str">
        <f t="shared" si="558"/>
        <v>KUKA-EMCO-M&amp;T</v>
      </c>
      <c r="B2218" t="str">
        <f>"00-0647-0000"</f>
        <v>00-0647-0000</v>
      </c>
      <c r="C2218" t="str">
        <f>"Pneumatic Gripper for 3rd party robots"</f>
        <v>Pneumatic Gripper for 3rd party robots</v>
      </c>
      <c r="D2218">
        <v>1</v>
      </c>
      <c r="E2218" t="str">
        <f t="shared" si="559"/>
        <v>FMS Machine Tending: KUKA Robot &amp; EMCO CNC Milling and Turning Centers</v>
      </c>
      <c r="F2218">
        <v>702</v>
      </c>
      <c r="G2218" t="str">
        <f t="shared" si="551"/>
        <v>Y</v>
      </c>
      <c r="H2218" t="str">
        <f t="shared" si="560"/>
        <v>EA</v>
      </c>
      <c r="I2218">
        <v>0</v>
      </c>
      <c r="J2218">
        <v>0</v>
      </c>
      <c r="K2218" t="str">
        <f t="shared" si="552"/>
        <v>Y</v>
      </c>
      <c r="L2218">
        <v>0</v>
      </c>
      <c r="M2218" t="str">
        <f t="shared" si="550"/>
        <v>NIS</v>
      </c>
      <c r="O2218">
        <v>2</v>
      </c>
      <c r="P2218" t="str">
        <f>"ECO-N2Buy"</f>
        <v>ECO-N2Buy</v>
      </c>
      <c r="Q2218" t="str">
        <f>"Pneumatic Gripper for small industrial robots"</f>
        <v>Pneumatic Gripper for small industrial robots</v>
      </c>
      <c r="S2218" t="str">
        <f>"Pneumatic Gripper for small industrial robots"</f>
        <v>Pneumatic Gripper for small industrial robots</v>
      </c>
      <c r="T2218">
        <v>0</v>
      </c>
      <c r="U2218" s="44">
        <v>1000</v>
      </c>
      <c r="V2218">
        <v>646.62</v>
      </c>
      <c r="W2218" t="str">
        <f t="shared" si="556"/>
        <v>rob</v>
      </c>
    </row>
    <row r="2219" spans="1:23">
      <c r="A2219" t="str">
        <f t="shared" si="558"/>
        <v>KUKA-EMCO-M&amp;T</v>
      </c>
      <c r="B2219" t="str">
        <f>"00-1110-0000"</f>
        <v>00-1110-0000</v>
      </c>
      <c r="C2219" t="str">
        <f>"Palletizing Rack"</f>
        <v>Palletizing Rack</v>
      </c>
      <c r="D2219">
        <v>2</v>
      </c>
      <c r="E2219" t="str">
        <f t="shared" si="559"/>
        <v>FMS Machine Tending: KUKA Robot &amp; EMCO CNC Milling and Turning Centers</v>
      </c>
      <c r="F2219">
        <v>702</v>
      </c>
      <c r="G2219" t="str">
        <f t="shared" si="551"/>
        <v>Y</v>
      </c>
      <c r="H2219" t="str">
        <f t="shared" si="560"/>
        <v>EA</v>
      </c>
      <c r="I2219">
        <v>0</v>
      </c>
      <c r="J2219">
        <v>0</v>
      </c>
      <c r="K2219" t="str">
        <f t="shared" si="552"/>
        <v>Y</v>
      </c>
      <c r="L2219">
        <v>0</v>
      </c>
      <c r="M2219" t="str">
        <f t="shared" si="550"/>
        <v>NIS</v>
      </c>
      <c r="O2219">
        <v>3</v>
      </c>
      <c r="P2219" t="str">
        <f t="shared" ref="P2219:P2231" si="561">"Active"</f>
        <v>Active</v>
      </c>
      <c r="Q2219" t="str">
        <f>"Palletizing Rack (incl. Pins for creating Jigs)"</f>
        <v>Palletizing Rack (incl. Pins for creating Jigs)</v>
      </c>
      <c r="S2219" t="str">
        <f>"Palletizing Rack (incl. Pins for creating Jigs)"</f>
        <v>Palletizing Rack (incl. Pins for creating Jigs)</v>
      </c>
      <c r="T2219">
        <v>0</v>
      </c>
      <c r="U2219">
        <v>63</v>
      </c>
      <c r="V2219">
        <v>58.59</v>
      </c>
      <c r="W2219" t="str">
        <f t="shared" si="556"/>
        <v>rob</v>
      </c>
    </row>
    <row r="2220" spans="1:23">
      <c r="A2220" t="str">
        <f t="shared" si="558"/>
        <v>KUKA-EMCO-M&amp;T</v>
      </c>
      <c r="B2220" t="str">
        <f>"10-2521-7000"</f>
        <v>10-2521-7000</v>
      </c>
      <c r="C2220" t="str">
        <f>"Pneumatic Feeder for Rectangular products"</f>
        <v>Pneumatic Feeder for Rectangular products</v>
      </c>
      <c r="D2220">
        <v>1</v>
      </c>
      <c r="E2220" t="str">
        <f t="shared" si="559"/>
        <v>FMS Machine Tending: KUKA Robot &amp; EMCO CNC Milling and Turning Centers</v>
      </c>
      <c r="F2220">
        <v>702</v>
      </c>
      <c r="G2220" t="str">
        <f t="shared" si="551"/>
        <v>Y</v>
      </c>
      <c r="H2220" t="str">
        <f t="shared" si="560"/>
        <v>EA</v>
      </c>
      <c r="I2220">
        <v>0</v>
      </c>
      <c r="J2220">
        <v>0</v>
      </c>
      <c r="K2220" t="str">
        <f t="shared" si="552"/>
        <v>Y</v>
      </c>
      <c r="L2220">
        <v>0</v>
      </c>
      <c r="M2220" t="str">
        <f t="shared" si="550"/>
        <v>NIS</v>
      </c>
      <c r="O2220">
        <v>4</v>
      </c>
      <c r="P2220" t="str">
        <f t="shared" si="561"/>
        <v>Active</v>
      </c>
      <c r="Q2220" t="str">
        <f>"Pneumatic Feeder for Rectangular Parts"</f>
        <v>Pneumatic Feeder for Rectangular Parts</v>
      </c>
      <c r="S2220" t="str">
        <f>"Pneumatic Feeder for Rectangular Parts"</f>
        <v>Pneumatic Feeder for Rectangular Parts</v>
      </c>
      <c r="T2220">
        <v>0</v>
      </c>
      <c r="U2220">
        <v>595</v>
      </c>
      <c r="V2220">
        <v>555.15</v>
      </c>
      <c r="W2220" t="str">
        <f t="shared" si="556"/>
        <v>rob</v>
      </c>
    </row>
    <row r="2221" spans="1:23">
      <c r="A2221" t="str">
        <f t="shared" si="558"/>
        <v>KUKA-EMCO-M&amp;T</v>
      </c>
      <c r="B2221" t="str">
        <f>"10-1007-4000"</f>
        <v>10-1007-4000</v>
      </c>
      <c r="C2221" t="str">
        <f>"Gravity Parts Feeder (with microswitch sensor)"</f>
        <v>Gravity Parts Feeder (with microswitch sensor)</v>
      </c>
      <c r="D2221">
        <v>1</v>
      </c>
      <c r="E2221" t="str">
        <f t="shared" si="559"/>
        <v>FMS Machine Tending: KUKA Robot &amp; EMCO CNC Milling and Turning Centers</v>
      </c>
      <c r="F2221">
        <v>702</v>
      </c>
      <c r="G2221" t="str">
        <f t="shared" si="551"/>
        <v>Y</v>
      </c>
      <c r="H2221" t="str">
        <f t="shared" si="560"/>
        <v>EA</v>
      </c>
      <c r="I2221">
        <v>0</v>
      </c>
      <c r="J2221">
        <v>0</v>
      </c>
      <c r="K2221" t="str">
        <f t="shared" si="552"/>
        <v>Y</v>
      </c>
      <c r="L2221">
        <v>0</v>
      </c>
      <c r="M2221" t="str">
        <f t="shared" si="550"/>
        <v>NIS</v>
      </c>
      <c r="O2221">
        <v>5</v>
      </c>
      <c r="P2221" t="str">
        <f t="shared" si="561"/>
        <v>Active</v>
      </c>
      <c r="Q2221" t="str">
        <f>"Gravity Parts Feeder (incl.microswitch sensor)"</f>
        <v>Gravity Parts Feeder (incl.microswitch sensor)</v>
      </c>
      <c r="S2221" t="str">
        <f>"Gravity Parts Feeder (incl.microswitch sensor)"</f>
        <v>Gravity Parts Feeder (incl.microswitch sensor)</v>
      </c>
      <c r="T2221">
        <v>0</v>
      </c>
      <c r="U2221">
        <v>148</v>
      </c>
      <c r="V2221">
        <v>148.26</v>
      </c>
      <c r="W2221" t="str">
        <f t="shared" si="556"/>
        <v>rob</v>
      </c>
    </row>
    <row r="2222" spans="1:23">
      <c r="A2222" t="str">
        <f t="shared" si="558"/>
        <v>KUKA-EMCO-M&amp;T</v>
      </c>
      <c r="B2222" t="str">
        <f>"10-2118-6000"</f>
        <v>10-2118-6000</v>
      </c>
      <c r="C2222" t="str">
        <f>"CNC Interface with EMCO MILL"</f>
        <v>CNC Interface with EMCO MILL</v>
      </c>
      <c r="D2222">
        <v>1</v>
      </c>
      <c r="E2222" t="str">
        <f t="shared" si="559"/>
        <v>FMS Machine Tending: KUKA Robot &amp; EMCO CNC Milling and Turning Centers</v>
      </c>
      <c r="F2222">
        <v>702</v>
      </c>
      <c r="G2222" t="str">
        <f t="shared" si="551"/>
        <v>Y</v>
      </c>
      <c r="H2222" t="str">
        <f t="shared" si="560"/>
        <v>EA</v>
      </c>
      <c r="I2222">
        <v>0</v>
      </c>
      <c r="J2222">
        <v>0</v>
      </c>
      <c r="K2222" t="str">
        <f t="shared" si="552"/>
        <v>Y</v>
      </c>
      <c r="L2222">
        <v>0</v>
      </c>
      <c r="M2222" t="str">
        <f t="shared" si="550"/>
        <v>NIS</v>
      </c>
      <c r="O2222">
        <v>6</v>
      </c>
      <c r="P2222" t="str">
        <f t="shared" si="561"/>
        <v>Active</v>
      </c>
      <c r="Q2222" t="str">
        <f>"CNC Interface with EMCO MILL"</f>
        <v>CNC Interface with EMCO MILL</v>
      </c>
      <c r="S2222" t="str">
        <f>"CNC Interface with EMCO MILL"</f>
        <v>CNC Interface with EMCO MILL</v>
      </c>
      <c r="T2222">
        <v>0</v>
      </c>
      <c r="U2222">
        <v>20.28</v>
      </c>
      <c r="V2222">
        <v>13.85</v>
      </c>
      <c r="W2222" t="str">
        <f t="shared" si="556"/>
        <v>rob</v>
      </c>
    </row>
    <row r="2223" spans="1:23">
      <c r="A2223" t="str">
        <f t="shared" si="558"/>
        <v>KUKA-EMCO-M&amp;T</v>
      </c>
      <c r="B2223" t="str">
        <f>"10-2118-7000"</f>
        <v>10-2118-7000</v>
      </c>
      <c r="C2223" t="str">
        <f>"CNC Interface with EMCO TURN"</f>
        <v>CNC Interface with EMCO TURN</v>
      </c>
      <c r="D2223">
        <v>1</v>
      </c>
      <c r="E2223" t="str">
        <f t="shared" si="559"/>
        <v>FMS Machine Tending: KUKA Robot &amp; EMCO CNC Milling and Turning Centers</v>
      </c>
      <c r="F2223">
        <v>702</v>
      </c>
      <c r="G2223" t="str">
        <f t="shared" si="551"/>
        <v>Y</v>
      </c>
      <c r="H2223" t="str">
        <f t="shared" si="560"/>
        <v>EA</v>
      </c>
      <c r="I2223">
        <v>0</v>
      </c>
      <c r="J2223">
        <v>0</v>
      </c>
      <c r="K2223" t="str">
        <f t="shared" si="552"/>
        <v>Y</v>
      </c>
      <c r="L2223">
        <v>0</v>
      </c>
      <c r="M2223" t="str">
        <f t="shared" si="550"/>
        <v>NIS</v>
      </c>
      <c r="O2223">
        <v>7</v>
      </c>
      <c r="P2223" t="str">
        <f t="shared" si="561"/>
        <v>Active</v>
      </c>
      <c r="Q2223" t="str">
        <f>"CNC Interface with EMCO TURN"</f>
        <v>CNC Interface with EMCO TURN</v>
      </c>
      <c r="S2223" t="str">
        <f>"CNC Interface with EMCO TURN"</f>
        <v>CNC Interface with EMCO TURN</v>
      </c>
      <c r="T2223">
        <v>0</v>
      </c>
      <c r="U2223">
        <v>20.28</v>
      </c>
      <c r="V2223">
        <v>13.85</v>
      </c>
      <c r="W2223" t="str">
        <f t="shared" si="556"/>
        <v>rob</v>
      </c>
    </row>
    <row r="2224" spans="1:23">
      <c r="A2224" t="str">
        <f t="shared" si="558"/>
        <v>KUKA-EMCO-M&amp;T</v>
      </c>
      <c r="B2224" t="str">
        <f>"10-2116-2000"</f>
        <v>10-2116-2000</v>
      </c>
      <c r="C2224" t="str">
        <f>"Pneumatic Flip Device for 3rd Party CNC Mill"</f>
        <v>Pneumatic Flip Device for 3rd Party CNC Mill</v>
      </c>
      <c r="D2224">
        <v>1</v>
      </c>
      <c r="E2224" t="str">
        <f t="shared" si="559"/>
        <v>FMS Machine Tending: KUKA Robot &amp; EMCO CNC Milling and Turning Centers</v>
      </c>
      <c r="F2224">
        <v>702</v>
      </c>
      <c r="G2224" t="str">
        <f t="shared" si="551"/>
        <v>Y</v>
      </c>
      <c r="H2224" t="str">
        <f t="shared" si="560"/>
        <v>EA</v>
      </c>
      <c r="I2224">
        <v>0</v>
      </c>
      <c r="J2224">
        <v>0</v>
      </c>
      <c r="K2224" t="str">
        <f t="shared" si="552"/>
        <v>Y</v>
      </c>
      <c r="L2224">
        <v>0</v>
      </c>
      <c r="M2224" t="str">
        <f t="shared" si="550"/>
        <v>NIS</v>
      </c>
      <c r="O2224">
        <v>8</v>
      </c>
      <c r="P2224" t="str">
        <f t="shared" si="561"/>
        <v>Active</v>
      </c>
      <c r="Q2224" t="str">
        <f>"Pneumatic Flip Device"</f>
        <v>Pneumatic Flip Device</v>
      </c>
      <c r="S2224" t="str">
        <f>"Pneumatic Flip Device"</f>
        <v>Pneumatic Flip Device</v>
      </c>
      <c r="T2224">
        <v>0</v>
      </c>
      <c r="U2224">
        <v>503.58</v>
      </c>
      <c r="V2224">
        <v>467.47</v>
      </c>
      <c r="W2224" t="str">
        <f t="shared" si="556"/>
        <v>rob</v>
      </c>
    </row>
    <row r="2225" spans="1:23">
      <c r="A2225" t="str">
        <f t="shared" si="558"/>
        <v>KUKA-EMCO-M&amp;T</v>
      </c>
      <c r="B2225" t="str">
        <f>"113034"</f>
        <v>113034</v>
      </c>
      <c r="C2225" t="str">
        <f>"Raw Material - Perspex Block"</f>
        <v>Raw Material - Perspex Block</v>
      </c>
      <c r="D2225">
        <v>25</v>
      </c>
      <c r="E2225" t="str">
        <f t="shared" si="559"/>
        <v>FMS Machine Tending: KUKA Robot &amp; EMCO CNC Milling and Turning Centers</v>
      </c>
      <c r="F2225">
        <v>702</v>
      </c>
      <c r="G2225" t="str">
        <f t="shared" si="551"/>
        <v>Y</v>
      </c>
      <c r="H2225" t="str">
        <f t="shared" si="560"/>
        <v>EA</v>
      </c>
      <c r="I2225">
        <v>0</v>
      </c>
      <c r="J2225">
        <v>0</v>
      </c>
      <c r="K2225" t="str">
        <f t="shared" si="552"/>
        <v>Y</v>
      </c>
      <c r="L2225">
        <v>0</v>
      </c>
      <c r="M2225" t="str">
        <f t="shared" ref="M2225:M2288" si="562">"NIS"</f>
        <v>NIS</v>
      </c>
      <c r="O2225">
        <v>9</v>
      </c>
      <c r="P2225" t="str">
        <f t="shared" si="561"/>
        <v>Active</v>
      </c>
      <c r="Q2225" t="str">
        <f>"Raw Material Stock - Perspex Block"</f>
        <v>Raw Material Stock - Perspex Block</v>
      </c>
      <c r="S2225" t="str">
        <f>"Raw Material Stock - Perspex Block"</f>
        <v>Raw Material Stock - Perspex Block</v>
      </c>
      <c r="T2225">
        <v>0</v>
      </c>
      <c r="U2225">
        <v>1.1000000000000001</v>
      </c>
      <c r="V2225">
        <v>1.0900000000000001</v>
      </c>
      <c r="W2225" t="str">
        <f t="shared" si="556"/>
        <v>rob</v>
      </c>
    </row>
    <row r="2226" spans="1:23">
      <c r="A2226" t="str">
        <f t="shared" si="558"/>
        <v>KUKA-EMCO-M&amp;T</v>
      </c>
      <c r="B2226" t="str">
        <f>"112496"</f>
        <v>112496</v>
      </c>
      <c r="C2226" t="str">
        <f>"Raw Material - Brass  Rod"</f>
        <v>Raw Material - Brass  Rod</v>
      </c>
      <c r="D2226">
        <v>25</v>
      </c>
      <c r="E2226" t="str">
        <f t="shared" si="559"/>
        <v>FMS Machine Tending: KUKA Robot &amp; EMCO CNC Milling and Turning Centers</v>
      </c>
      <c r="F2226">
        <v>702</v>
      </c>
      <c r="G2226" t="str">
        <f t="shared" si="551"/>
        <v>Y</v>
      </c>
      <c r="H2226" t="str">
        <f t="shared" si="560"/>
        <v>EA</v>
      </c>
      <c r="I2226">
        <v>0</v>
      </c>
      <c r="J2226">
        <v>0</v>
      </c>
      <c r="K2226" t="str">
        <f t="shared" si="552"/>
        <v>Y</v>
      </c>
      <c r="L2226">
        <v>0</v>
      </c>
      <c r="M2226" t="str">
        <f t="shared" si="562"/>
        <v>NIS</v>
      </c>
      <c r="O2226">
        <v>10</v>
      </c>
      <c r="P2226" t="str">
        <f t="shared" si="561"/>
        <v>Active</v>
      </c>
      <c r="Q2226" t="str">
        <f>"Raw Material Stock - Brass  Rod"</f>
        <v>Raw Material Stock - Brass  Rod</v>
      </c>
      <c r="S2226" t="str">
        <f>"Raw Material Stock - Brass  Rod"</f>
        <v>Raw Material Stock - Brass  Rod</v>
      </c>
      <c r="T2226">
        <v>0</v>
      </c>
      <c r="U2226">
        <v>3.67</v>
      </c>
      <c r="V2226">
        <v>2.69</v>
      </c>
      <c r="W2226" t="str">
        <f t="shared" si="556"/>
        <v>rob</v>
      </c>
    </row>
    <row r="2227" spans="1:23">
      <c r="A2227" t="str">
        <f t="shared" si="558"/>
        <v>KUKA-EMCO-M&amp;T</v>
      </c>
      <c r="B2227" t="str">
        <f>"00-1251-0000"</f>
        <v>00-1251-0000</v>
      </c>
      <c r="C2227" t="str">
        <f>"Workbench 1500x800mm (Formica Top)"</f>
        <v>Workbench 1500x800mm (Formica Top)</v>
      </c>
      <c r="D2227">
        <v>1</v>
      </c>
      <c r="E2227" t="str">
        <f t="shared" si="559"/>
        <v>FMS Machine Tending: KUKA Robot &amp; EMCO CNC Milling and Turning Centers</v>
      </c>
      <c r="F2227">
        <v>702</v>
      </c>
      <c r="G2227" t="str">
        <f t="shared" si="551"/>
        <v>Y</v>
      </c>
      <c r="H2227" t="str">
        <f t="shared" si="560"/>
        <v>EA</v>
      </c>
      <c r="I2227">
        <v>0</v>
      </c>
      <c r="J2227">
        <v>0</v>
      </c>
      <c r="K2227" t="str">
        <f t="shared" si="552"/>
        <v>Y</v>
      </c>
      <c r="L2227">
        <v>0</v>
      </c>
      <c r="M2227" t="str">
        <f t="shared" si="562"/>
        <v>NIS</v>
      </c>
      <c r="O2227">
        <v>11</v>
      </c>
      <c r="P2227" t="str">
        <f t="shared" si="561"/>
        <v>Active</v>
      </c>
      <c r="Q2227" t="str">
        <f>"Workbench 1500x800mm (Formica Top)"</f>
        <v>Workbench 1500x800mm (Formica Top)</v>
      </c>
      <c r="S2227" t="str">
        <f>"Workbench 1500x800mm (Formica Top)"</f>
        <v>Workbench 1500x800mm (Formica Top)</v>
      </c>
      <c r="T2227">
        <v>0</v>
      </c>
      <c r="U2227">
        <v>582</v>
      </c>
      <c r="V2227">
        <v>588.6</v>
      </c>
      <c r="W2227" t="str">
        <f t="shared" si="556"/>
        <v>rob</v>
      </c>
    </row>
    <row r="2228" spans="1:23">
      <c r="A2228" t="str">
        <f t="shared" si="558"/>
        <v>KUKA-EMCO-M&amp;T</v>
      </c>
      <c r="B2228" t="str">
        <f>"50-0094-0000"</f>
        <v>50-0094-0000</v>
      </c>
      <c r="C2228" t="str">
        <f>"Pre-Engineering, Design and Testing"</f>
        <v>Pre-Engineering, Design and Testing</v>
      </c>
      <c r="D2228">
        <v>1</v>
      </c>
      <c r="E2228" t="str">
        <f t="shared" si="559"/>
        <v>FMS Machine Tending: KUKA Robot &amp; EMCO CNC Milling and Turning Centers</v>
      </c>
      <c r="F2228">
        <v>702</v>
      </c>
      <c r="G2228" t="str">
        <f t="shared" si="551"/>
        <v>Y</v>
      </c>
      <c r="H2228" t="str">
        <f>"DA"</f>
        <v>DA</v>
      </c>
      <c r="I2228">
        <v>0</v>
      </c>
      <c r="J2228">
        <v>0</v>
      </c>
      <c r="K2228" t="str">
        <f t="shared" si="552"/>
        <v>Y</v>
      </c>
      <c r="L2228">
        <v>0</v>
      </c>
      <c r="M2228" t="str">
        <f t="shared" si="562"/>
        <v>NIS</v>
      </c>
      <c r="O2228">
        <v>12</v>
      </c>
      <c r="P2228" t="str">
        <f t="shared" si="561"/>
        <v>Active</v>
      </c>
      <c r="Q2228" t="str">
        <f>"Pre-Engineering, Design and Testing"</f>
        <v>Pre-Engineering, Design and Testing</v>
      </c>
      <c r="S2228" t="str">
        <f>"Pre-Engineering, Design and Testing"</f>
        <v>Pre-Engineering, Design and Testing</v>
      </c>
      <c r="T2228">
        <v>0</v>
      </c>
      <c r="U2228">
        <v>405</v>
      </c>
      <c r="V2228">
        <v>421.2</v>
      </c>
      <c r="W2228" t="str">
        <f t="shared" si="556"/>
        <v>rob</v>
      </c>
    </row>
    <row r="2229" spans="1:23">
      <c r="A2229" t="str">
        <f t="shared" si="558"/>
        <v>KUKA-EMCO-M&amp;T</v>
      </c>
      <c r="B2229" t="str">
        <f>"63-9072-0000"</f>
        <v>63-9072-0000</v>
      </c>
      <c r="C2229" t="str">
        <f>"OpenCIM/FMS Software"</f>
        <v>OpenCIM/FMS Software</v>
      </c>
      <c r="D2229">
        <v>1</v>
      </c>
      <c r="E2229" t="str">
        <f t="shared" si="559"/>
        <v>FMS Machine Tending: KUKA Robot &amp; EMCO CNC Milling and Turning Centers</v>
      </c>
      <c r="F2229">
        <v>702</v>
      </c>
      <c r="G2229" t="str">
        <f t="shared" si="551"/>
        <v>Y</v>
      </c>
      <c r="H2229" t="str">
        <f t="shared" ref="H2229:H2238" si="563">"EA"</f>
        <v>EA</v>
      </c>
      <c r="I2229">
        <v>0</v>
      </c>
      <c r="J2229">
        <v>0</v>
      </c>
      <c r="K2229" t="str">
        <f t="shared" si="552"/>
        <v>Y</v>
      </c>
      <c r="L2229">
        <v>0</v>
      </c>
      <c r="M2229" t="str">
        <f t="shared" si="562"/>
        <v>NIS</v>
      </c>
      <c r="O2229">
        <v>13</v>
      </c>
      <c r="P2229" t="str">
        <f t="shared" si="561"/>
        <v>Active</v>
      </c>
      <c r="Q2229" t="str">
        <f>"OpenCIM/FMS Software Package"</f>
        <v>OpenCIM/FMS Software Package</v>
      </c>
      <c r="S2229" t="str">
        <f>"OpenCIM/FMS Software Package"</f>
        <v>OpenCIM/FMS Software Package</v>
      </c>
      <c r="T2229">
        <v>0</v>
      </c>
      <c r="U2229">
        <v>35.44</v>
      </c>
      <c r="V2229">
        <v>33.99</v>
      </c>
      <c r="W2229" t="str">
        <f t="shared" si="556"/>
        <v>rob</v>
      </c>
    </row>
    <row r="2230" spans="1:23">
      <c r="A2230" t="str">
        <f t="shared" si="558"/>
        <v>KUKA-EMCO-M&amp;T</v>
      </c>
      <c r="B2230" t="str">
        <f>"63-7000-1400"</f>
        <v>63-7000-1400</v>
      </c>
      <c r="C2230" t="str">
        <f>"License Key For OpenFMS Software"</f>
        <v>License Key For OpenFMS Software</v>
      </c>
      <c r="D2230">
        <v>1</v>
      </c>
      <c r="E2230" t="str">
        <f t="shared" si="559"/>
        <v>FMS Machine Tending: KUKA Robot &amp; EMCO CNC Milling and Turning Centers</v>
      </c>
      <c r="F2230">
        <v>702</v>
      </c>
      <c r="G2230" t="str">
        <f t="shared" si="551"/>
        <v>Y</v>
      </c>
      <c r="H2230" t="str">
        <f t="shared" si="563"/>
        <v>EA</v>
      </c>
      <c r="I2230">
        <v>0</v>
      </c>
      <c r="J2230">
        <v>0</v>
      </c>
      <c r="K2230" t="str">
        <f t="shared" si="552"/>
        <v>Y</v>
      </c>
      <c r="L2230">
        <v>0</v>
      </c>
      <c r="M2230" t="str">
        <f t="shared" si="562"/>
        <v>NIS</v>
      </c>
      <c r="O2230">
        <v>14</v>
      </c>
      <c r="P2230" t="str">
        <f t="shared" si="561"/>
        <v>Active</v>
      </c>
      <c r="Q2230" t="str">
        <f>"License Key For OpenFMS Software"</f>
        <v>License Key For OpenFMS Software</v>
      </c>
      <c r="R2230" t="str">
        <f>"1"</f>
        <v>1</v>
      </c>
      <c r="S2230" t="str">
        <f>"License Key For OpenFMS Software"</f>
        <v>License Key For OpenFMS Software</v>
      </c>
      <c r="T2230">
        <v>0</v>
      </c>
      <c r="U2230">
        <v>1.2</v>
      </c>
      <c r="V2230">
        <v>1.33</v>
      </c>
      <c r="W2230" t="str">
        <f t="shared" si="556"/>
        <v>rob</v>
      </c>
    </row>
    <row r="2231" spans="1:23">
      <c r="A2231" t="str">
        <f t="shared" ref="A2231:A2241" si="564">"KUKA-EMCO-MILL"</f>
        <v>KUKA-EMCO-MILL</v>
      </c>
      <c r="B2231" t="str">
        <f>"10-2119-9000"</f>
        <v>10-2119-9000</v>
      </c>
      <c r="C2231" t="str">
        <f>"Interface with industrial robot"</f>
        <v>Interface with industrial robot</v>
      </c>
      <c r="D2231">
        <v>1</v>
      </c>
      <c r="E2231" t="str">
        <f t="shared" ref="E2231:E2241" si="565">"FMS Machine Tending: KUKA Robot &amp; EMCO CNC Milling Center"</f>
        <v>FMS Machine Tending: KUKA Robot &amp; EMCO CNC Milling Center</v>
      </c>
      <c r="F2231">
        <v>702</v>
      </c>
      <c r="G2231" t="str">
        <f t="shared" si="551"/>
        <v>Y</v>
      </c>
      <c r="H2231" t="str">
        <f t="shared" si="563"/>
        <v>EA</v>
      </c>
      <c r="I2231">
        <v>0</v>
      </c>
      <c r="J2231">
        <v>0</v>
      </c>
      <c r="K2231" t="str">
        <f t="shared" si="552"/>
        <v>Y</v>
      </c>
      <c r="L2231">
        <v>0</v>
      </c>
      <c r="M2231" t="str">
        <f t="shared" si="562"/>
        <v>NIS</v>
      </c>
      <c r="O2231">
        <v>1</v>
      </c>
      <c r="P2231" t="str">
        <f t="shared" si="561"/>
        <v>Active</v>
      </c>
      <c r="Q2231" t="str">
        <f>"Interface with industrial robot"</f>
        <v>Interface with industrial robot</v>
      </c>
      <c r="S2231" t="str">
        <f>"Interface with industrial robot"</f>
        <v>Interface with industrial robot</v>
      </c>
      <c r="T2231">
        <v>0</v>
      </c>
      <c r="U2231" s="44">
        <v>2000</v>
      </c>
      <c r="V2231" s="44">
        <v>2220</v>
      </c>
      <c r="W2231" t="str">
        <f t="shared" si="556"/>
        <v>rob</v>
      </c>
    </row>
    <row r="2232" spans="1:23">
      <c r="A2232" t="str">
        <f t="shared" si="564"/>
        <v>KUKA-EMCO-MILL</v>
      </c>
      <c r="B2232" t="str">
        <f>"00-0647-0000"</f>
        <v>00-0647-0000</v>
      </c>
      <c r="C2232" t="str">
        <f>"Pneumatic Gripper for 3rd party robots"</f>
        <v>Pneumatic Gripper for 3rd party robots</v>
      </c>
      <c r="D2232">
        <v>1</v>
      </c>
      <c r="E2232" t="str">
        <f t="shared" si="565"/>
        <v>FMS Machine Tending: KUKA Robot &amp; EMCO CNC Milling Center</v>
      </c>
      <c r="F2232">
        <v>702</v>
      </c>
      <c r="G2232" t="str">
        <f t="shared" si="551"/>
        <v>Y</v>
      </c>
      <c r="H2232" t="str">
        <f t="shared" si="563"/>
        <v>EA</v>
      </c>
      <c r="I2232">
        <v>0</v>
      </c>
      <c r="J2232">
        <v>0</v>
      </c>
      <c r="K2232" t="str">
        <f t="shared" si="552"/>
        <v>Y</v>
      </c>
      <c r="L2232">
        <v>0</v>
      </c>
      <c r="M2232" t="str">
        <f t="shared" si="562"/>
        <v>NIS</v>
      </c>
      <c r="O2232">
        <v>2</v>
      </c>
      <c r="P2232" t="str">
        <f>"ECO-N2Buy"</f>
        <v>ECO-N2Buy</v>
      </c>
      <c r="Q2232" t="str">
        <f>"Pneumatic Gripper for small industrial robots"</f>
        <v>Pneumatic Gripper for small industrial robots</v>
      </c>
      <c r="S2232" t="str">
        <f>"Pneumatic Gripper for small industrial robots"</f>
        <v>Pneumatic Gripper for small industrial robots</v>
      </c>
      <c r="T2232">
        <v>0</v>
      </c>
      <c r="U2232" s="44">
        <v>1000</v>
      </c>
      <c r="V2232">
        <v>646.62</v>
      </c>
      <c r="W2232" t="str">
        <f t="shared" si="556"/>
        <v>rob</v>
      </c>
    </row>
    <row r="2233" spans="1:23">
      <c r="A2233" t="str">
        <f t="shared" si="564"/>
        <v>KUKA-EMCO-MILL</v>
      </c>
      <c r="B2233" t="str">
        <f>"00-1110-0000"</f>
        <v>00-1110-0000</v>
      </c>
      <c r="C2233" t="str">
        <f>"Palletizing Rack"</f>
        <v>Palletizing Rack</v>
      </c>
      <c r="D2233">
        <v>1</v>
      </c>
      <c r="E2233" t="str">
        <f t="shared" si="565"/>
        <v>FMS Machine Tending: KUKA Robot &amp; EMCO CNC Milling Center</v>
      </c>
      <c r="F2233">
        <v>702</v>
      </c>
      <c r="G2233" t="str">
        <f t="shared" si="551"/>
        <v>Y</v>
      </c>
      <c r="H2233" t="str">
        <f t="shared" si="563"/>
        <v>EA</v>
      </c>
      <c r="I2233">
        <v>0</v>
      </c>
      <c r="J2233">
        <v>0</v>
      </c>
      <c r="K2233" t="str">
        <f t="shared" si="552"/>
        <v>Y</v>
      </c>
      <c r="L2233">
        <v>0</v>
      </c>
      <c r="M2233" t="str">
        <f t="shared" si="562"/>
        <v>NIS</v>
      </c>
      <c r="O2233">
        <v>3</v>
      </c>
      <c r="P2233" t="str">
        <f t="shared" ref="P2233:P2242" si="566">"Active"</f>
        <v>Active</v>
      </c>
      <c r="Q2233" t="str">
        <f>"Palletizing Rack (incl. Pins for creating Jigs)"</f>
        <v>Palletizing Rack (incl. Pins for creating Jigs)</v>
      </c>
      <c r="S2233" t="str">
        <f>"Palletizing Rack (incl. Pins for creating Jigs)"</f>
        <v>Palletizing Rack (incl. Pins for creating Jigs)</v>
      </c>
      <c r="T2233">
        <v>0</v>
      </c>
      <c r="U2233">
        <v>63</v>
      </c>
      <c r="V2233">
        <v>58.59</v>
      </c>
      <c r="W2233" t="str">
        <f t="shared" si="556"/>
        <v>rob</v>
      </c>
    </row>
    <row r="2234" spans="1:23">
      <c r="A2234" t="str">
        <f t="shared" si="564"/>
        <v>KUKA-EMCO-MILL</v>
      </c>
      <c r="B2234" t="str">
        <f>"10-2521-7000"</f>
        <v>10-2521-7000</v>
      </c>
      <c r="C2234" t="str">
        <f>"Pneumatic Feeder for Rectangular products"</f>
        <v>Pneumatic Feeder for Rectangular products</v>
      </c>
      <c r="D2234">
        <v>1</v>
      </c>
      <c r="E2234" t="str">
        <f t="shared" si="565"/>
        <v>FMS Machine Tending: KUKA Robot &amp; EMCO CNC Milling Center</v>
      </c>
      <c r="F2234">
        <v>702</v>
      </c>
      <c r="G2234" t="str">
        <f t="shared" si="551"/>
        <v>Y</v>
      </c>
      <c r="H2234" t="str">
        <f t="shared" si="563"/>
        <v>EA</v>
      </c>
      <c r="I2234">
        <v>0</v>
      </c>
      <c r="J2234">
        <v>0</v>
      </c>
      <c r="K2234" t="str">
        <f t="shared" si="552"/>
        <v>Y</v>
      </c>
      <c r="L2234">
        <v>0</v>
      </c>
      <c r="M2234" t="str">
        <f t="shared" si="562"/>
        <v>NIS</v>
      </c>
      <c r="O2234">
        <v>4</v>
      </c>
      <c r="P2234" t="str">
        <f t="shared" si="566"/>
        <v>Active</v>
      </c>
      <c r="Q2234" t="str">
        <f>"Pneumatic Feeder for Rectangular Parts"</f>
        <v>Pneumatic Feeder for Rectangular Parts</v>
      </c>
      <c r="S2234" t="str">
        <f>"Pneumatic Feeder for Rectangular Parts"</f>
        <v>Pneumatic Feeder for Rectangular Parts</v>
      </c>
      <c r="T2234">
        <v>0</v>
      </c>
      <c r="U2234">
        <v>595</v>
      </c>
      <c r="V2234">
        <v>555.15</v>
      </c>
      <c r="W2234" t="str">
        <f t="shared" si="556"/>
        <v>rob</v>
      </c>
    </row>
    <row r="2235" spans="1:23">
      <c r="A2235" t="str">
        <f t="shared" si="564"/>
        <v>KUKA-EMCO-MILL</v>
      </c>
      <c r="B2235" t="str">
        <f>"10-2118-6000"</f>
        <v>10-2118-6000</v>
      </c>
      <c r="C2235" t="str">
        <f>"CNC Interface with EMCO MILL"</f>
        <v>CNC Interface with EMCO MILL</v>
      </c>
      <c r="D2235">
        <v>1</v>
      </c>
      <c r="E2235" t="str">
        <f t="shared" si="565"/>
        <v>FMS Machine Tending: KUKA Robot &amp; EMCO CNC Milling Center</v>
      </c>
      <c r="F2235">
        <v>702</v>
      </c>
      <c r="G2235" t="str">
        <f t="shared" si="551"/>
        <v>Y</v>
      </c>
      <c r="H2235" t="str">
        <f t="shared" si="563"/>
        <v>EA</v>
      </c>
      <c r="I2235">
        <v>0</v>
      </c>
      <c r="J2235">
        <v>0</v>
      </c>
      <c r="K2235" t="str">
        <f t="shared" si="552"/>
        <v>Y</v>
      </c>
      <c r="L2235">
        <v>0</v>
      </c>
      <c r="M2235" t="str">
        <f t="shared" si="562"/>
        <v>NIS</v>
      </c>
      <c r="O2235">
        <v>5</v>
      </c>
      <c r="P2235" t="str">
        <f t="shared" si="566"/>
        <v>Active</v>
      </c>
      <c r="Q2235" t="str">
        <f>"CNC Interface with EMCO MILL"</f>
        <v>CNC Interface with EMCO MILL</v>
      </c>
      <c r="S2235" t="str">
        <f>"CNC Interface with EMCO MILL"</f>
        <v>CNC Interface with EMCO MILL</v>
      </c>
      <c r="T2235">
        <v>0</v>
      </c>
      <c r="U2235">
        <v>20.28</v>
      </c>
      <c r="V2235">
        <v>13.85</v>
      </c>
      <c r="W2235" t="str">
        <f t="shared" si="556"/>
        <v>rob</v>
      </c>
    </row>
    <row r="2236" spans="1:23">
      <c r="A2236" t="str">
        <f t="shared" si="564"/>
        <v>KUKA-EMCO-MILL</v>
      </c>
      <c r="B2236" t="str">
        <f>"10-2116-2000"</f>
        <v>10-2116-2000</v>
      </c>
      <c r="C2236" t="str">
        <f>"Pneumatic Flip Device for 3rd Party CNC Mill"</f>
        <v>Pneumatic Flip Device for 3rd Party CNC Mill</v>
      </c>
      <c r="D2236">
        <v>1</v>
      </c>
      <c r="E2236" t="str">
        <f t="shared" si="565"/>
        <v>FMS Machine Tending: KUKA Robot &amp; EMCO CNC Milling Center</v>
      </c>
      <c r="F2236">
        <v>702</v>
      </c>
      <c r="G2236" t="str">
        <f t="shared" si="551"/>
        <v>Y</v>
      </c>
      <c r="H2236" t="str">
        <f t="shared" si="563"/>
        <v>EA</v>
      </c>
      <c r="I2236">
        <v>0</v>
      </c>
      <c r="J2236">
        <v>0</v>
      </c>
      <c r="K2236" t="str">
        <f t="shared" si="552"/>
        <v>Y</v>
      </c>
      <c r="L2236">
        <v>0</v>
      </c>
      <c r="M2236" t="str">
        <f t="shared" si="562"/>
        <v>NIS</v>
      </c>
      <c r="O2236">
        <v>6</v>
      </c>
      <c r="P2236" t="str">
        <f t="shared" si="566"/>
        <v>Active</v>
      </c>
      <c r="Q2236" t="str">
        <f>"Pneumatic Flip Device"</f>
        <v>Pneumatic Flip Device</v>
      </c>
      <c r="S2236" t="str">
        <f>"Pneumatic Flip Device"</f>
        <v>Pneumatic Flip Device</v>
      </c>
      <c r="T2236">
        <v>0</v>
      </c>
      <c r="U2236">
        <v>503.58</v>
      </c>
      <c r="V2236">
        <v>467.47</v>
      </c>
      <c r="W2236" t="str">
        <f t="shared" si="556"/>
        <v>rob</v>
      </c>
    </row>
    <row r="2237" spans="1:23">
      <c r="A2237" t="str">
        <f t="shared" si="564"/>
        <v>KUKA-EMCO-MILL</v>
      </c>
      <c r="B2237" t="str">
        <f>"113034"</f>
        <v>113034</v>
      </c>
      <c r="C2237" t="str">
        <f>"Raw Material - Perspex Block"</f>
        <v>Raw Material - Perspex Block</v>
      </c>
      <c r="D2237">
        <v>25</v>
      </c>
      <c r="E2237" t="str">
        <f t="shared" si="565"/>
        <v>FMS Machine Tending: KUKA Robot &amp; EMCO CNC Milling Center</v>
      </c>
      <c r="F2237">
        <v>702</v>
      </c>
      <c r="G2237" t="str">
        <f t="shared" si="551"/>
        <v>Y</v>
      </c>
      <c r="H2237" t="str">
        <f t="shared" si="563"/>
        <v>EA</v>
      </c>
      <c r="I2237">
        <v>0</v>
      </c>
      <c r="J2237">
        <v>0</v>
      </c>
      <c r="K2237" t="str">
        <f t="shared" si="552"/>
        <v>Y</v>
      </c>
      <c r="L2237">
        <v>0</v>
      </c>
      <c r="M2237" t="str">
        <f t="shared" si="562"/>
        <v>NIS</v>
      </c>
      <c r="O2237">
        <v>7</v>
      </c>
      <c r="P2237" t="str">
        <f t="shared" si="566"/>
        <v>Active</v>
      </c>
      <c r="Q2237" t="str">
        <f>"Raw Material Stock - Perspex Block"</f>
        <v>Raw Material Stock - Perspex Block</v>
      </c>
      <c r="S2237" t="str">
        <f>"Raw Material Stock - Perspex Block"</f>
        <v>Raw Material Stock - Perspex Block</v>
      </c>
      <c r="T2237">
        <v>0</v>
      </c>
      <c r="U2237">
        <v>1.1000000000000001</v>
      </c>
      <c r="V2237">
        <v>1.0900000000000001</v>
      </c>
      <c r="W2237" t="str">
        <f t="shared" si="556"/>
        <v>rob</v>
      </c>
    </row>
    <row r="2238" spans="1:23">
      <c r="A2238" t="str">
        <f t="shared" si="564"/>
        <v>KUKA-EMCO-MILL</v>
      </c>
      <c r="B2238" t="str">
        <f>"00-1251-0000"</f>
        <v>00-1251-0000</v>
      </c>
      <c r="C2238" t="str">
        <f>"Workbench 1500x800mm (Formica Top)"</f>
        <v>Workbench 1500x800mm (Formica Top)</v>
      </c>
      <c r="D2238">
        <v>1</v>
      </c>
      <c r="E2238" t="str">
        <f t="shared" si="565"/>
        <v>FMS Machine Tending: KUKA Robot &amp; EMCO CNC Milling Center</v>
      </c>
      <c r="F2238">
        <v>702</v>
      </c>
      <c r="G2238" t="str">
        <f t="shared" si="551"/>
        <v>Y</v>
      </c>
      <c r="H2238" t="str">
        <f t="shared" si="563"/>
        <v>EA</v>
      </c>
      <c r="I2238">
        <v>0</v>
      </c>
      <c r="J2238">
        <v>0</v>
      </c>
      <c r="K2238" t="str">
        <f t="shared" si="552"/>
        <v>Y</v>
      </c>
      <c r="L2238">
        <v>0</v>
      </c>
      <c r="M2238" t="str">
        <f t="shared" si="562"/>
        <v>NIS</v>
      </c>
      <c r="O2238">
        <v>8</v>
      </c>
      <c r="P2238" t="str">
        <f t="shared" si="566"/>
        <v>Active</v>
      </c>
      <c r="Q2238" t="str">
        <f>"Workbench 1500x800mm (Formica Top)"</f>
        <v>Workbench 1500x800mm (Formica Top)</v>
      </c>
      <c r="S2238" t="str">
        <f>"Workbench 1500x800mm (Formica Top)"</f>
        <v>Workbench 1500x800mm (Formica Top)</v>
      </c>
      <c r="T2238">
        <v>0</v>
      </c>
      <c r="U2238">
        <v>582</v>
      </c>
      <c r="V2238">
        <v>588.6</v>
      </c>
      <c r="W2238" t="str">
        <f t="shared" si="556"/>
        <v>rob</v>
      </c>
    </row>
    <row r="2239" spans="1:23">
      <c r="A2239" t="str">
        <f t="shared" si="564"/>
        <v>KUKA-EMCO-MILL</v>
      </c>
      <c r="B2239" t="str">
        <f>"50-0094-0000"</f>
        <v>50-0094-0000</v>
      </c>
      <c r="C2239" t="str">
        <f>"Pre-Engineering, Design and Testing"</f>
        <v>Pre-Engineering, Design and Testing</v>
      </c>
      <c r="D2239">
        <v>1</v>
      </c>
      <c r="E2239" t="str">
        <f t="shared" si="565"/>
        <v>FMS Machine Tending: KUKA Robot &amp; EMCO CNC Milling Center</v>
      </c>
      <c r="F2239">
        <v>702</v>
      </c>
      <c r="G2239" t="str">
        <f t="shared" si="551"/>
        <v>Y</v>
      </c>
      <c r="H2239" t="str">
        <f>"DA"</f>
        <v>DA</v>
      </c>
      <c r="I2239">
        <v>0</v>
      </c>
      <c r="J2239">
        <v>0</v>
      </c>
      <c r="K2239" t="str">
        <f t="shared" si="552"/>
        <v>Y</v>
      </c>
      <c r="L2239">
        <v>0</v>
      </c>
      <c r="M2239" t="str">
        <f t="shared" si="562"/>
        <v>NIS</v>
      </c>
      <c r="O2239">
        <v>9</v>
      </c>
      <c r="P2239" t="str">
        <f t="shared" si="566"/>
        <v>Active</v>
      </c>
      <c r="Q2239" t="str">
        <f>"Pre-Engineering, Design and Testing"</f>
        <v>Pre-Engineering, Design and Testing</v>
      </c>
      <c r="S2239" t="str">
        <f>"Pre-Engineering, Design and Testing"</f>
        <v>Pre-Engineering, Design and Testing</v>
      </c>
      <c r="T2239">
        <v>0</v>
      </c>
      <c r="U2239">
        <v>405</v>
      </c>
      <c r="V2239">
        <v>421.2</v>
      </c>
      <c r="W2239" t="str">
        <f t="shared" si="556"/>
        <v>rob</v>
      </c>
    </row>
    <row r="2240" spans="1:23">
      <c r="A2240" t="str">
        <f t="shared" si="564"/>
        <v>KUKA-EMCO-MILL</v>
      </c>
      <c r="B2240" t="str">
        <f>"63-9072-0000"</f>
        <v>63-9072-0000</v>
      </c>
      <c r="C2240" t="str">
        <f>"OpenCIM/FMS Software"</f>
        <v>OpenCIM/FMS Software</v>
      </c>
      <c r="D2240">
        <v>1</v>
      </c>
      <c r="E2240" t="str">
        <f t="shared" si="565"/>
        <v>FMS Machine Tending: KUKA Robot &amp; EMCO CNC Milling Center</v>
      </c>
      <c r="F2240">
        <v>702</v>
      </c>
      <c r="G2240" t="str">
        <f t="shared" si="551"/>
        <v>Y</v>
      </c>
      <c r="H2240" t="str">
        <f t="shared" ref="H2240:H2248" si="567">"EA"</f>
        <v>EA</v>
      </c>
      <c r="I2240">
        <v>0</v>
      </c>
      <c r="J2240">
        <v>0</v>
      </c>
      <c r="K2240" t="str">
        <f t="shared" si="552"/>
        <v>Y</v>
      </c>
      <c r="L2240">
        <v>0</v>
      </c>
      <c r="M2240" t="str">
        <f t="shared" si="562"/>
        <v>NIS</v>
      </c>
      <c r="O2240">
        <v>10</v>
      </c>
      <c r="P2240" t="str">
        <f t="shared" si="566"/>
        <v>Active</v>
      </c>
      <c r="Q2240" t="str">
        <f>"OpenCIM/FMS Software Package"</f>
        <v>OpenCIM/FMS Software Package</v>
      </c>
      <c r="S2240" t="str">
        <f>"OpenCIM/FMS Software Package"</f>
        <v>OpenCIM/FMS Software Package</v>
      </c>
      <c r="T2240">
        <v>0</v>
      </c>
      <c r="U2240">
        <v>35.44</v>
      </c>
      <c r="V2240">
        <v>33.99</v>
      </c>
      <c r="W2240" t="str">
        <f t="shared" si="556"/>
        <v>rob</v>
      </c>
    </row>
    <row r="2241" spans="1:23">
      <c r="A2241" t="str">
        <f t="shared" si="564"/>
        <v>KUKA-EMCO-MILL</v>
      </c>
      <c r="B2241" t="str">
        <f>"63-7000-1400"</f>
        <v>63-7000-1400</v>
      </c>
      <c r="C2241" t="str">
        <f>"License Key For OpenFMS Software"</f>
        <v>License Key For OpenFMS Software</v>
      </c>
      <c r="D2241">
        <v>1</v>
      </c>
      <c r="E2241" t="str">
        <f t="shared" si="565"/>
        <v>FMS Machine Tending: KUKA Robot &amp; EMCO CNC Milling Center</v>
      </c>
      <c r="F2241">
        <v>702</v>
      </c>
      <c r="G2241" t="str">
        <f t="shared" si="551"/>
        <v>Y</v>
      </c>
      <c r="H2241" t="str">
        <f t="shared" si="567"/>
        <v>EA</v>
      </c>
      <c r="I2241">
        <v>0</v>
      </c>
      <c r="J2241">
        <v>0</v>
      </c>
      <c r="K2241" t="str">
        <f t="shared" si="552"/>
        <v>Y</v>
      </c>
      <c r="L2241">
        <v>0</v>
      </c>
      <c r="M2241" t="str">
        <f t="shared" si="562"/>
        <v>NIS</v>
      </c>
      <c r="O2241">
        <v>11</v>
      </c>
      <c r="P2241" t="str">
        <f t="shared" si="566"/>
        <v>Active</v>
      </c>
      <c r="Q2241" t="str">
        <f>"License Key For OpenFMS Software"</f>
        <v>License Key For OpenFMS Software</v>
      </c>
      <c r="R2241" t="str">
        <f>"1"</f>
        <v>1</v>
      </c>
      <c r="S2241" t="str">
        <f>"License Key For OpenFMS Software"</f>
        <v>License Key For OpenFMS Software</v>
      </c>
      <c r="T2241">
        <v>0</v>
      </c>
      <c r="U2241">
        <v>1.2</v>
      </c>
      <c r="V2241">
        <v>1.33</v>
      </c>
      <c r="W2241" t="str">
        <f t="shared" si="556"/>
        <v>rob</v>
      </c>
    </row>
    <row r="2242" spans="1:23">
      <c r="A2242" t="str">
        <f t="shared" ref="A2242:A2251" si="568">"KUKA-EMCO-TURN"</f>
        <v>KUKA-EMCO-TURN</v>
      </c>
      <c r="B2242" t="str">
        <f>"10-2119-9000"</f>
        <v>10-2119-9000</v>
      </c>
      <c r="C2242" t="str">
        <f>"Interface with industrial robot"</f>
        <v>Interface with industrial robot</v>
      </c>
      <c r="D2242">
        <v>1</v>
      </c>
      <c r="E2242" t="str">
        <f t="shared" ref="E2242:E2251" si="569">"FMS Machine Tending: KUKA Robot &amp; EMCO CNC Turning Center"</f>
        <v>FMS Machine Tending: KUKA Robot &amp; EMCO CNC Turning Center</v>
      </c>
      <c r="F2242">
        <v>702</v>
      </c>
      <c r="G2242" t="str">
        <f t="shared" ref="G2242:G2305" si="570">"Y"</f>
        <v>Y</v>
      </c>
      <c r="H2242" t="str">
        <f t="shared" si="567"/>
        <v>EA</v>
      </c>
      <c r="I2242">
        <v>0</v>
      </c>
      <c r="J2242">
        <v>0</v>
      </c>
      <c r="K2242" t="str">
        <f t="shared" ref="K2242:K2305" si="571">"Y"</f>
        <v>Y</v>
      </c>
      <c r="L2242">
        <v>0</v>
      </c>
      <c r="M2242" t="str">
        <f t="shared" si="562"/>
        <v>NIS</v>
      </c>
      <c r="O2242">
        <v>1</v>
      </c>
      <c r="P2242" t="str">
        <f t="shared" si="566"/>
        <v>Active</v>
      </c>
      <c r="Q2242" t="str">
        <f>"Interface with industrial robot"</f>
        <v>Interface with industrial robot</v>
      </c>
      <c r="S2242" t="str">
        <f>"Interface with industrial robot"</f>
        <v>Interface with industrial robot</v>
      </c>
      <c r="T2242">
        <v>0</v>
      </c>
      <c r="U2242" s="44">
        <v>2000</v>
      </c>
      <c r="V2242" s="44">
        <v>2220</v>
      </c>
      <c r="W2242" t="str">
        <f t="shared" si="556"/>
        <v>rob</v>
      </c>
    </row>
    <row r="2243" spans="1:23">
      <c r="A2243" t="str">
        <f t="shared" si="568"/>
        <v>KUKA-EMCO-TURN</v>
      </c>
      <c r="B2243" t="str">
        <f>"00-0647-0000"</f>
        <v>00-0647-0000</v>
      </c>
      <c r="C2243" t="str">
        <f>"Pneumatic Gripper for 3rd party robots"</f>
        <v>Pneumatic Gripper for 3rd party robots</v>
      </c>
      <c r="D2243">
        <v>1</v>
      </c>
      <c r="E2243" t="str">
        <f t="shared" si="569"/>
        <v>FMS Machine Tending: KUKA Robot &amp; EMCO CNC Turning Center</v>
      </c>
      <c r="F2243">
        <v>702</v>
      </c>
      <c r="G2243" t="str">
        <f t="shared" si="570"/>
        <v>Y</v>
      </c>
      <c r="H2243" t="str">
        <f t="shared" si="567"/>
        <v>EA</v>
      </c>
      <c r="I2243">
        <v>0</v>
      </c>
      <c r="J2243">
        <v>0</v>
      </c>
      <c r="K2243" t="str">
        <f t="shared" si="571"/>
        <v>Y</v>
      </c>
      <c r="L2243">
        <v>0</v>
      </c>
      <c r="M2243" t="str">
        <f t="shared" si="562"/>
        <v>NIS</v>
      </c>
      <c r="O2243">
        <v>2</v>
      </c>
      <c r="P2243" t="str">
        <f>"ECO-N2Buy"</f>
        <v>ECO-N2Buy</v>
      </c>
      <c r="Q2243" t="str">
        <f>"Pneumatic Gripper for small industrial robots"</f>
        <v>Pneumatic Gripper for small industrial robots</v>
      </c>
      <c r="S2243" t="str">
        <f>"Pneumatic Gripper for small industrial robots"</f>
        <v>Pneumatic Gripper for small industrial robots</v>
      </c>
      <c r="T2243">
        <v>0</v>
      </c>
      <c r="U2243" s="44">
        <v>1000</v>
      </c>
      <c r="V2243">
        <v>646.62</v>
      </c>
      <c r="W2243" t="str">
        <f t="shared" si="556"/>
        <v>rob</v>
      </c>
    </row>
    <row r="2244" spans="1:23">
      <c r="A2244" t="str">
        <f t="shared" si="568"/>
        <v>KUKA-EMCO-TURN</v>
      </c>
      <c r="B2244" t="str">
        <f>"00-1110-0000"</f>
        <v>00-1110-0000</v>
      </c>
      <c r="C2244" t="str">
        <f>"Palletizing Rack"</f>
        <v>Palletizing Rack</v>
      </c>
      <c r="D2244">
        <v>1</v>
      </c>
      <c r="E2244" t="str">
        <f t="shared" si="569"/>
        <v>FMS Machine Tending: KUKA Robot &amp; EMCO CNC Turning Center</v>
      </c>
      <c r="F2244">
        <v>702</v>
      </c>
      <c r="G2244" t="str">
        <f t="shared" si="570"/>
        <v>Y</v>
      </c>
      <c r="H2244" t="str">
        <f t="shared" si="567"/>
        <v>EA</v>
      </c>
      <c r="I2244">
        <v>0</v>
      </c>
      <c r="J2244">
        <v>0</v>
      </c>
      <c r="K2244" t="str">
        <f t="shared" si="571"/>
        <v>Y</v>
      </c>
      <c r="L2244">
        <v>0</v>
      </c>
      <c r="M2244" t="str">
        <f t="shared" si="562"/>
        <v>NIS</v>
      </c>
      <c r="O2244">
        <v>3</v>
      </c>
      <c r="P2244" t="str">
        <f t="shared" ref="P2244:P2251" si="572">"Active"</f>
        <v>Active</v>
      </c>
      <c r="Q2244" t="str">
        <f>"Palletizing Rack (incl. Pins for creating Jigs)"</f>
        <v>Palletizing Rack (incl. Pins for creating Jigs)</v>
      </c>
      <c r="S2244" t="str">
        <f>"Palletizing Rack (incl. Pins for creating Jigs)"</f>
        <v>Palletizing Rack (incl. Pins for creating Jigs)</v>
      </c>
      <c r="T2244">
        <v>0</v>
      </c>
      <c r="U2244">
        <v>63</v>
      </c>
      <c r="V2244">
        <v>58.59</v>
      </c>
      <c r="W2244" t="str">
        <f t="shared" si="556"/>
        <v>rob</v>
      </c>
    </row>
    <row r="2245" spans="1:23">
      <c r="A2245" t="str">
        <f t="shared" si="568"/>
        <v>KUKA-EMCO-TURN</v>
      </c>
      <c r="B2245" t="str">
        <f>"10-1007-4000"</f>
        <v>10-1007-4000</v>
      </c>
      <c r="C2245" t="str">
        <f>"Gravity Parts Feeder (with microswitch sensor)"</f>
        <v>Gravity Parts Feeder (with microswitch sensor)</v>
      </c>
      <c r="D2245">
        <v>1</v>
      </c>
      <c r="E2245" t="str">
        <f t="shared" si="569"/>
        <v>FMS Machine Tending: KUKA Robot &amp; EMCO CNC Turning Center</v>
      </c>
      <c r="F2245">
        <v>702</v>
      </c>
      <c r="G2245" t="str">
        <f t="shared" si="570"/>
        <v>Y</v>
      </c>
      <c r="H2245" t="str">
        <f t="shared" si="567"/>
        <v>EA</v>
      </c>
      <c r="I2245">
        <v>0</v>
      </c>
      <c r="J2245">
        <v>0</v>
      </c>
      <c r="K2245" t="str">
        <f t="shared" si="571"/>
        <v>Y</v>
      </c>
      <c r="L2245">
        <v>0</v>
      </c>
      <c r="M2245" t="str">
        <f t="shared" si="562"/>
        <v>NIS</v>
      </c>
      <c r="O2245">
        <v>4</v>
      </c>
      <c r="P2245" t="str">
        <f t="shared" si="572"/>
        <v>Active</v>
      </c>
      <c r="Q2245" t="str">
        <f>"Gravity Parts Feeder (incl.microswitch sensor)"</f>
        <v>Gravity Parts Feeder (incl.microswitch sensor)</v>
      </c>
      <c r="S2245" t="str">
        <f>"Gravity Parts Feeder (incl.microswitch sensor)"</f>
        <v>Gravity Parts Feeder (incl.microswitch sensor)</v>
      </c>
      <c r="T2245">
        <v>0</v>
      </c>
      <c r="U2245">
        <v>148</v>
      </c>
      <c r="V2245">
        <v>148.26</v>
      </c>
      <c r="W2245" t="str">
        <f t="shared" si="556"/>
        <v>rob</v>
      </c>
    </row>
    <row r="2246" spans="1:23">
      <c r="A2246" t="str">
        <f t="shared" si="568"/>
        <v>KUKA-EMCO-TURN</v>
      </c>
      <c r="B2246" t="str">
        <f>"10-2118-7000"</f>
        <v>10-2118-7000</v>
      </c>
      <c r="C2246" t="str">
        <f>"CNC Interface with EMCO TURN"</f>
        <v>CNC Interface with EMCO TURN</v>
      </c>
      <c r="D2246">
        <v>1</v>
      </c>
      <c r="E2246" t="str">
        <f t="shared" si="569"/>
        <v>FMS Machine Tending: KUKA Robot &amp; EMCO CNC Turning Center</v>
      </c>
      <c r="F2246">
        <v>702</v>
      </c>
      <c r="G2246" t="str">
        <f t="shared" si="570"/>
        <v>Y</v>
      </c>
      <c r="H2246" t="str">
        <f t="shared" si="567"/>
        <v>EA</v>
      </c>
      <c r="I2246">
        <v>0</v>
      </c>
      <c r="J2246">
        <v>0</v>
      </c>
      <c r="K2246" t="str">
        <f t="shared" si="571"/>
        <v>Y</v>
      </c>
      <c r="L2246">
        <v>0</v>
      </c>
      <c r="M2246" t="str">
        <f t="shared" si="562"/>
        <v>NIS</v>
      </c>
      <c r="O2246">
        <v>5</v>
      </c>
      <c r="P2246" t="str">
        <f t="shared" si="572"/>
        <v>Active</v>
      </c>
      <c r="Q2246" t="str">
        <f>"CNC Interface with EMCO TURN"</f>
        <v>CNC Interface with EMCO TURN</v>
      </c>
      <c r="S2246" t="str">
        <f>"CNC Interface with EMCO TURN"</f>
        <v>CNC Interface with EMCO TURN</v>
      </c>
      <c r="T2246">
        <v>0</v>
      </c>
      <c r="U2246">
        <v>20.28</v>
      </c>
      <c r="V2246">
        <v>13.85</v>
      </c>
      <c r="W2246" t="str">
        <f t="shared" si="556"/>
        <v>rob</v>
      </c>
    </row>
    <row r="2247" spans="1:23">
      <c r="A2247" t="str">
        <f t="shared" si="568"/>
        <v>KUKA-EMCO-TURN</v>
      </c>
      <c r="B2247" t="str">
        <f>"112496"</f>
        <v>112496</v>
      </c>
      <c r="C2247" t="str">
        <f>"Raw Material - Brass  Rod"</f>
        <v>Raw Material - Brass  Rod</v>
      </c>
      <c r="D2247">
        <v>25</v>
      </c>
      <c r="E2247" t="str">
        <f t="shared" si="569"/>
        <v>FMS Machine Tending: KUKA Robot &amp; EMCO CNC Turning Center</v>
      </c>
      <c r="F2247">
        <v>702</v>
      </c>
      <c r="G2247" t="str">
        <f t="shared" si="570"/>
        <v>Y</v>
      </c>
      <c r="H2247" t="str">
        <f t="shared" si="567"/>
        <v>EA</v>
      </c>
      <c r="I2247">
        <v>0</v>
      </c>
      <c r="J2247">
        <v>0</v>
      </c>
      <c r="K2247" t="str">
        <f t="shared" si="571"/>
        <v>Y</v>
      </c>
      <c r="L2247">
        <v>0</v>
      </c>
      <c r="M2247" t="str">
        <f t="shared" si="562"/>
        <v>NIS</v>
      </c>
      <c r="O2247">
        <v>6</v>
      </c>
      <c r="P2247" t="str">
        <f t="shared" si="572"/>
        <v>Active</v>
      </c>
      <c r="Q2247" t="str">
        <f>"Raw Material Stock - Brass  Rod"</f>
        <v>Raw Material Stock - Brass  Rod</v>
      </c>
      <c r="S2247" t="str">
        <f>"Raw Material Stock - Brass  Rod"</f>
        <v>Raw Material Stock - Brass  Rod</v>
      </c>
      <c r="T2247">
        <v>0</v>
      </c>
      <c r="U2247">
        <v>3.67</v>
      </c>
      <c r="V2247">
        <v>2.69</v>
      </c>
      <c r="W2247" t="str">
        <f t="shared" si="556"/>
        <v>rob</v>
      </c>
    </row>
    <row r="2248" spans="1:23">
      <c r="A2248" t="str">
        <f t="shared" si="568"/>
        <v>KUKA-EMCO-TURN</v>
      </c>
      <c r="B2248" t="str">
        <f>"00-1251-0000"</f>
        <v>00-1251-0000</v>
      </c>
      <c r="C2248" t="str">
        <f>"Workbench 1500x800mm (Formica Top)"</f>
        <v>Workbench 1500x800mm (Formica Top)</v>
      </c>
      <c r="D2248">
        <v>1</v>
      </c>
      <c r="E2248" t="str">
        <f t="shared" si="569"/>
        <v>FMS Machine Tending: KUKA Robot &amp; EMCO CNC Turning Center</v>
      </c>
      <c r="F2248">
        <v>702</v>
      </c>
      <c r="G2248" t="str">
        <f t="shared" si="570"/>
        <v>Y</v>
      </c>
      <c r="H2248" t="str">
        <f t="shared" si="567"/>
        <v>EA</v>
      </c>
      <c r="I2248">
        <v>0</v>
      </c>
      <c r="J2248">
        <v>0</v>
      </c>
      <c r="K2248" t="str">
        <f t="shared" si="571"/>
        <v>Y</v>
      </c>
      <c r="L2248">
        <v>0</v>
      </c>
      <c r="M2248" t="str">
        <f t="shared" si="562"/>
        <v>NIS</v>
      </c>
      <c r="O2248">
        <v>7</v>
      </c>
      <c r="P2248" t="str">
        <f t="shared" si="572"/>
        <v>Active</v>
      </c>
      <c r="Q2248" t="str">
        <f>"Workbench 1500x800mm (Formica Top)"</f>
        <v>Workbench 1500x800mm (Formica Top)</v>
      </c>
      <c r="S2248" t="str">
        <f>"Workbench 1500x800mm (Formica Top)"</f>
        <v>Workbench 1500x800mm (Formica Top)</v>
      </c>
      <c r="T2248">
        <v>0</v>
      </c>
      <c r="U2248">
        <v>582</v>
      </c>
      <c r="V2248">
        <v>588.6</v>
      </c>
      <c r="W2248" t="str">
        <f t="shared" si="556"/>
        <v>rob</v>
      </c>
    </row>
    <row r="2249" spans="1:23">
      <c r="A2249" t="str">
        <f t="shared" si="568"/>
        <v>KUKA-EMCO-TURN</v>
      </c>
      <c r="B2249" t="str">
        <f>"50-0094-0000"</f>
        <v>50-0094-0000</v>
      </c>
      <c r="C2249" t="str">
        <f>"Pre-Engineering, Design and Testing"</f>
        <v>Pre-Engineering, Design and Testing</v>
      </c>
      <c r="D2249">
        <v>1</v>
      </c>
      <c r="E2249" t="str">
        <f t="shared" si="569"/>
        <v>FMS Machine Tending: KUKA Robot &amp; EMCO CNC Turning Center</v>
      </c>
      <c r="F2249">
        <v>702</v>
      </c>
      <c r="G2249" t="str">
        <f t="shared" si="570"/>
        <v>Y</v>
      </c>
      <c r="H2249" t="str">
        <f>"DA"</f>
        <v>DA</v>
      </c>
      <c r="I2249">
        <v>0</v>
      </c>
      <c r="J2249">
        <v>0</v>
      </c>
      <c r="K2249" t="str">
        <f t="shared" si="571"/>
        <v>Y</v>
      </c>
      <c r="L2249">
        <v>0</v>
      </c>
      <c r="M2249" t="str">
        <f t="shared" si="562"/>
        <v>NIS</v>
      </c>
      <c r="O2249">
        <v>8</v>
      </c>
      <c r="P2249" t="str">
        <f t="shared" si="572"/>
        <v>Active</v>
      </c>
      <c r="Q2249" t="str">
        <f>"Pre-Engineering, Design and Testing"</f>
        <v>Pre-Engineering, Design and Testing</v>
      </c>
      <c r="S2249" t="str">
        <f>"Pre-Engineering, Design and Testing"</f>
        <v>Pre-Engineering, Design and Testing</v>
      </c>
      <c r="T2249">
        <v>0</v>
      </c>
      <c r="U2249">
        <v>405</v>
      </c>
      <c r="V2249">
        <v>421.2</v>
      </c>
      <c r="W2249" t="str">
        <f t="shared" si="556"/>
        <v>rob</v>
      </c>
    </row>
    <row r="2250" spans="1:23">
      <c r="A2250" t="str">
        <f t="shared" si="568"/>
        <v>KUKA-EMCO-TURN</v>
      </c>
      <c r="B2250" t="str">
        <f>"63-9072-0000"</f>
        <v>63-9072-0000</v>
      </c>
      <c r="C2250" t="str">
        <f>"OpenCIM/FMS Software"</f>
        <v>OpenCIM/FMS Software</v>
      </c>
      <c r="D2250">
        <v>1</v>
      </c>
      <c r="E2250" t="str">
        <f t="shared" si="569"/>
        <v>FMS Machine Tending: KUKA Robot &amp; EMCO CNC Turning Center</v>
      </c>
      <c r="F2250">
        <v>702</v>
      </c>
      <c r="G2250" t="str">
        <f t="shared" si="570"/>
        <v>Y</v>
      </c>
      <c r="H2250" t="str">
        <f>"EA"</f>
        <v>EA</v>
      </c>
      <c r="I2250">
        <v>0</v>
      </c>
      <c r="J2250">
        <v>0</v>
      </c>
      <c r="K2250" t="str">
        <f t="shared" si="571"/>
        <v>Y</v>
      </c>
      <c r="L2250">
        <v>0</v>
      </c>
      <c r="M2250" t="str">
        <f t="shared" si="562"/>
        <v>NIS</v>
      </c>
      <c r="O2250">
        <v>9</v>
      </c>
      <c r="P2250" t="str">
        <f t="shared" si="572"/>
        <v>Active</v>
      </c>
      <c r="Q2250" t="str">
        <f>"OpenCIM/FMS Software Package"</f>
        <v>OpenCIM/FMS Software Package</v>
      </c>
      <c r="S2250" t="str">
        <f>"OpenCIM/FMS Software Package"</f>
        <v>OpenCIM/FMS Software Package</v>
      </c>
      <c r="T2250">
        <v>0</v>
      </c>
      <c r="U2250">
        <v>35.44</v>
      </c>
      <c r="V2250">
        <v>33.99</v>
      </c>
      <c r="W2250" t="str">
        <f t="shared" si="556"/>
        <v>rob</v>
      </c>
    </row>
    <row r="2251" spans="1:23">
      <c r="A2251" t="str">
        <f t="shared" si="568"/>
        <v>KUKA-EMCO-TURN</v>
      </c>
      <c r="B2251" t="str">
        <f>"63-7000-1400"</f>
        <v>63-7000-1400</v>
      </c>
      <c r="C2251" t="str">
        <f>"License Key For OpenFMS Software"</f>
        <v>License Key For OpenFMS Software</v>
      </c>
      <c r="D2251">
        <v>1</v>
      </c>
      <c r="E2251" t="str">
        <f t="shared" si="569"/>
        <v>FMS Machine Tending: KUKA Robot &amp; EMCO CNC Turning Center</v>
      </c>
      <c r="F2251">
        <v>702</v>
      </c>
      <c r="G2251" t="str">
        <f t="shared" si="570"/>
        <v>Y</v>
      </c>
      <c r="H2251" t="str">
        <f>"EA"</f>
        <v>EA</v>
      </c>
      <c r="I2251">
        <v>0</v>
      </c>
      <c r="J2251">
        <v>0</v>
      </c>
      <c r="K2251" t="str">
        <f t="shared" si="571"/>
        <v>Y</v>
      </c>
      <c r="L2251">
        <v>0</v>
      </c>
      <c r="M2251" t="str">
        <f t="shared" si="562"/>
        <v>NIS</v>
      </c>
      <c r="O2251">
        <v>10</v>
      </c>
      <c r="P2251" t="str">
        <f t="shared" si="572"/>
        <v>Active</v>
      </c>
      <c r="Q2251" t="str">
        <f>"License Key For OpenFMS Software"</f>
        <v>License Key For OpenFMS Software</v>
      </c>
      <c r="R2251" t="str">
        <f>"1"</f>
        <v>1</v>
      </c>
      <c r="S2251" t="str">
        <f>"License Key For OpenFMS Software"</f>
        <v>License Key For OpenFMS Software</v>
      </c>
      <c r="T2251">
        <v>0</v>
      </c>
      <c r="U2251">
        <v>1.2</v>
      </c>
      <c r="V2251">
        <v>1.33</v>
      </c>
      <c r="W2251" t="str">
        <f t="shared" si="556"/>
        <v>rob</v>
      </c>
    </row>
    <row r="2252" spans="1:23">
      <c r="A2252" t="str">
        <f>"LAB Accessories"</f>
        <v>LAB Accessories</v>
      </c>
      <c r="B2252" t="str">
        <f>"00-1258-0000"</f>
        <v>00-1258-0000</v>
      </c>
      <c r="C2252" t="str">
        <f>"Workbench T-Slot Panel Table"</f>
        <v>Workbench T-Slot Panel Table</v>
      </c>
      <c r="D2252">
        <v>1</v>
      </c>
      <c r="E2252" t="str">
        <f>"LAB Accessories"</f>
        <v>LAB Accessories</v>
      </c>
      <c r="F2252">
        <v>820</v>
      </c>
      <c r="G2252" t="str">
        <f t="shared" si="570"/>
        <v>Y</v>
      </c>
      <c r="H2252" t="str">
        <f>"EA"</f>
        <v>EA</v>
      </c>
      <c r="I2252">
        <v>0</v>
      </c>
      <c r="J2252">
        <v>0</v>
      </c>
      <c r="K2252" t="str">
        <f t="shared" si="571"/>
        <v>Y</v>
      </c>
      <c r="L2252">
        <v>0</v>
      </c>
      <c r="M2252" t="str">
        <f t="shared" si="562"/>
        <v>NIS</v>
      </c>
      <c r="O2252">
        <v>1</v>
      </c>
      <c r="P2252" t="str">
        <f>"Phase Out"</f>
        <v>Phase Out</v>
      </c>
      <c r="Q2252" t="str">
        <f>"Workbench T-Slot Panel Table"</f>
        <v>Workbench T-Slot Panel Table</v>
      </c>
      <c r="S2252" t="str">
        <f>"Workbench T-Slot Panel Table"</f>
        <v>Workbench T-Slot Panel Table</v>
      </c>
      <c r="T2252">
        <v>0</v>
      </c>
      <c r="U2252">
        <v>382.99</v>
      </c>
      <c r="V2252">
        <v>600.12</v>
      </c>
      <c r="W2252" t="str">
        <f t="shared" si="556"/>
        <v>rob</v>
      </c>
    </row>
    <row r="2253" spans="1:23">
      <c r="A2253" t="str">
        <f>"LAB Accessories"</f>
        <v>LAB Accessories</v>
      </c>
      <c r="B2253" t="str">
        <f>"00-1290-0000"</f>
        <v>00-1290-0000</v>
      </c>
      <c r="C2253" t="str">
        <f>"PC Table 630x800mm (with Keyboard Drawer)"</f>
        <v>PC Table 630x800mm (with Keyboard Drawer)</v>
      </c>
      <c r="D2253">
        <v>1</v>
      </c>
      <c r="E2253" t="str">
        <f>"LAB Accessories"</f>
        <v>LAB Accessories</v>
      </c>
      <c r="F2253">
        <v>820</v>
      </c>
      <c r="G2253" t="str">
        <f t="shared" si="570"/>
        <v>Y</v>
      </c>
      <c r="H2253" t="str">
        <f>"EA"</f>
        <v>EA</v>
      </c>
      <c r="I2253">
        <v>0</v>
      </c>
      <c r="J2253">
        <v>0</v>
      </c>
      <c r="K2253" t="str">
        <f t="shared" si="571"/>
        <v>Y</v>
      </c>
      <c r="L2253">
        <v>0</v>
      </c>
      <c r="M2253" t="str">
        <f t="shared" si="562"/>
        <v>NIS</v>
      </c>
      <c r="O2253">
        <v>2</v>
      </c>
      <c r="P2253" t="str">
        <f>"Active"</f>
        <v>Active</v>
      </c>
      <c r="Q2253" t="str">
        <f>"PC Table 630x800mm (with Keyboard Drawer)"</f>
        <v>PC Table 630x800mm (with Keyboard Drawer)</v>
      </c>
      <c r="S2253" t="str">
        <f>"PC Table 630x800mm (with Keyboard Drawer)"</f>
        <v>PC Table 630x800mm (with Keyboard Drawer)</v>
      </c>
      <c r="T2253">
        <v>0</v>
      </c>
      <c r="U2253">
        <v>405.86</v>
      </c>
      <c r="V2253">
        <v>329.34</v>
      </c>
      <c r="W2253" t="str">
        <f t="shared" si="556"/>
        <v>rob</v>
      </c>
    </row>
    <row r="2254" spans="1:23">
      <c r="A2254" t="str">
        <f>"LAB Accessories"</f>
        <v>LAB Accessories</v>
      </c>
      <c r="B2254" t="str">
        <f>"10-2700-8000"</f>
        <v>10-2700-8000</v>
      </c>
      <c r="C2254" t="str">
        <f>"Resource Tool Kit Components for tekDESIGN"</f>
        <v>Resource Tool Kit Components for tekDESIGN</v>
      </c>
      <c r="D2254">
        <v>1</v>
      </c>
      <c r="E2254" t="str">
        <f>"LAB Accessories"</f>
        <v>LAB Accessories</v>
      </c>
      <c r="F2254">
        <v>820</v>
      </c>
      <c r="G2254" t="str">
        <f t="shared" si="570"/>
        <v>Y</v>
      </c>
      <c r="H2254" t="str">
        <f>"EA"</f>
        <v>EA</v>
      </c>
      <c r="I2254">
        <v>0</v>
      </c>
      <c r="J2254">
        <v>0</v>
      </c>
      <c r="K2254" t="str">
        <f t="shared" si="571"/>
        <v>Y</v>
      </c>
      <c r="L2254">
        <v>0</v>
      </c>
      <c r="M2254" t="str">
        <f t="shared" si="562"/>
        <v>NIS</v>
      </c>
      <c r="O2254">
        <v>3</v>
      </c>
      <c r="P2254" t="str">
        <f>"Phase Out"</f>
        <v>Phase Out</v>
      </c>
      <c r="Q2254" t="str">
        <f>"Resource Tool Kit Components for tekDESIGN"</f>
        <v>Resource Tool Kit Components for tekDESIGN</v>
      </c>
      <c r="S2254" t="str">
        <f>"Resource Tool Kit Components for tekDESIGN"</f>
        <v>Resource Tool Kit Components for tekDESIGN</v>
      </c>
      <c r="T2254">
        <v>0</v>
      </c>
      <c r="U2254">
        <v>530</v>
      </c>
      <c r="V2254">
        <v>457.23</v>
      </c>
      <c r="W2254" t="str">
        <f t="shared" si="556"/>
        <v>rob</v>
      </c>
    </row>
    <row r="2255" spans="1:23">
      <c r="A2255" t="str">
        <f>"LAB Inst.&amp;Train."</f>
        <v>LAB Inst.&amp;Train.</v>
      </c>
      <c r="B2255" t="str">
        <f>"50-0095-0000"</f>
        <v>50-0095-0000</v>
      </c>
      <c r="C2255" t="str">
        <f>"Installation at Customer Site"</f>
        <v>Installation at Customer Site</v>
      </c>
      <c r="D2255">
        <v>1</v>
      </c>
      <c r="E2255" t="str">
        <f>"LAB Installation and training"</f>
        <v>LAB Installation and training</v>
      </c>
      <c r="F2255">
        <v>820</v>
      </c>
      <c r="G2255" t="str">
        <f t="shared" si="570"/>
        <v>Y</v>
      </c>
      <c r="H2255" t="str">
        <f>"DA"</f>
        <v>DA</v>
      </c>
      <c r="I2255">
        <v>0</v>
      </c>
      <c r="J2255">
        <v>0</v>
      </c>
      <c r="K2255" t="str">
        <f t="shared" si="571"/>
        <v>Y</v>
      </c>
      <c r="L2255">
        <v>0</v>
      </c>
      <c r="M2255" t="str">
        <f t="shared" si="562"/>
        <v>NIS</v>
      </c>
      <c r="O2255">
        <v>1</v>
      </c>
      <c r="P2255" t="str">
        <f>"Active"</f>
        <v>Active</v>
      </c>
      <c r="Q2255" t="str">
        <f>"Installation at Customer Site (Days)"</f>
        <v>Installation at Customer Site (Days)</v>
      </c>
      <c r="S2255" t="str">
        <f>"Installation at Customer Site (Days)"</f>
        <v>Installation at Customer Site (Days)</v>
      </c>
      <c r="T2255">
        <v>0</v>
      </c>
      <c r="U2255">
        <v>864</v>
      </c>
      <c r="V2255">
        <v>898.56</v>
      </c>
      <c r="W2255" t="str">
        <f t="shared" si="556"/>
        <v>rob</v>
      </c>
    </row>
    <row r="2256" spans="1:23">
      <c r="A2256" t="str">
        <f>"LAB Inst.&amp;Train."</f>
        <v>LAB Inst.&amp;Train.</v>
      </c>
      <c r="B2256" t="str">
        <f>"50-0096-0000"</f>
        <v>50-0096-0000</v>
      </c>
      <c r="C2256" t="str">
        <f>"Training at Customer Site (Days)"</f>
        <v>Training at Customer Site (Days)</v>
      </c>
      <c r="D2256">
        <v>1</v>
      </c>
      <c r="E2256" t="str">
        <f>"LAB Installation and training"</f>
        <v>LAB Installation and training</v>
      </c>
      <c r="F2256">
        <v>820</v>
      </c>
      <c r="G2256" t="str">
        <f t="shared" si="570"/>
        <v>Y</v>
      </c>
      <c r="H2256" t="str">
        <f>"DA"</f>
        <v>DA</v>
      </c>
      <c r="I2256">
        <v>0</v>
      </c>
      <c r="J2256">
        <v>0</v>
      </c>
      <c r="K2256" t="str">
        <f t="shared" si="571"/>
        <v>Y</v>
      </c>
      <c r="L2256">
        <v>0</v>
      </c>
      <c r="M2256" t="str">
        <f t="shared" si="562"/>
        <v>NIS</v>
      </c>
      <c r="O2256">
        <v>2</v>
      </c>
      <c r="P2256" t="str">
        <f>"Active"</f>
        <v>Active</v>
      </c>
      <c r="Q2256" t="str">
        <f>"Training at Customer Site (Days)"</f>
        <v>Training at Customer Site (Days)</v>
      </c>
      <c r="S2256" t="str">
        <f>"Training at Customer Site (Days)"</f>
        <v>Training at Customer Site (Days)</v>
      </c>
      <c r="T2256">
        <v>0</v>
      </c>
      <c r="U2256">
        <v>864</v>
      </c>
      <c r="V2256">
        <v>898.56</v>
      </c>
      <c r="W2256" t="str">
        <f t="shared" si="556"/>
        <v>rob</v>
      </c>
    </row>
    <row r="2257" spans="1:23">
      <c r="A2257" t="str">
        <f t="shared" ref="A2257:A2266" si="573">"LAB Projects"</f>
        <v>LAB Projects</v>
      </c>
      <c r="B2257" t="str">
        <f>"10-2700-2000"</f>
        <v>10-2700-2000</v>
      </c>
      <c r="C2257" t="str">
        <f>"Car Elevator , tekDESIGN"</f>
        <v>Car Elevator , tekDESIGN</v>
      </c>
      <c r="D2257">
        <v>1</v>
      </c>
      <c r="E2257" t="str">
        <f t="shared" ref="E2257:E2266" si="574">"LAB LearnMate Projects"</f>
        <v>LAB LearnMate Projects</v>
      </c>
      <c r="F2257">
        <v>810</v>
      </c>
      <c r="G2257" t="str">
        <f t="shared" si="570"/>
        <v>Y</v>
      </c>
      <c r="H2257" t="str">
        <f t="shared" ref="H2257:H2320" si="575">"EA"</f>
        <v>EA</v>
      </c>
      <c r="I2257">
        <v>0</v>
      </c>
      <c r="J2257">
        <v>0</v>
      </c>
      <c r="K2257" t="str">
        <f t="shared" si="571"/>
        <v>Y</v>
      </c>
      <c r="L2257">
        <v>0</v>
      </c>
      <c r="M2257" t="str">
        <f t="shared" si="562"/>
        <v>NIS</v>
      </c>
      <c r="O2257">
        <v>2</v>
      </c>
      <c r="P2257" t="str">
        <f t="shared" ref="P2257:P2263" si="576">"Phase Out"</f>
        <v>Phase Out</v>
      </c>
      <c r="Q2257" t="str">
        <f>"Car Elevator , tekDESIGN"</f>
        <v>Car Elevator , tekDESIGN</v>
      </c>
      <c r="S2257" t="str">
        <f>"Car Elevator , tekDESIGN"</f>
        <v>Car Elevator , tekDESIGN</v>
      </c>
      <c r="T2257">
        <v>0</v>
      </c>
      <c r="U2257" s="44">
        <v>1500</v>
      </c>
      <c r="V2257" s="44">
        <v>1240.29</v>
      </c>
      <c r="W2257" t="str">
        <f t="shared" si="556"/>
        <v>rob</v>
      </c>
    </row>
    <row r="2258" spans="1:23">
      <c r="A2258" t="str">
        <f t="shared" si="573"/>
        <v>LAB Projects</v>
      </c>
      <c r="B2258" t="str">
        <f>"10-2700-3000"</f>
        <v>10-2700-3000</v>
      </c>
      <c r="C2258" t="str">
        <f>"Water Treatment Plant, tekDESIGN"</f>
        <v>Water Treatment Plant, tekDESIGN</v>
      </c>
      <c r="D2258">
        <v>1</v>
      </c>
      <c r="E2258" t="str">
        <f t="shared" si="574"/>
        <v>LAB LearnMate Projects</v>
      </c>
      <c r="F2258">
        <v>810</v>
      </c>
      <c r="G2258" t="str">
        <f t="shared" si="570"/>
        <v>Y</v>
      </c>
      <c r="H2258" t="str">
        <f t="shared" si="575"/>
        <v>EA</v>
      </c>
      <c r="I2258">
        <v>0</v>
      </c>
      <c r="J2258">
        <v>0</v>
      </c>
      <c r="K2258" t="str">
        <f t="shared" si="571"/>
        <v>Y</v>
      </c>
      <c r="L2258">
        <v>0</v>
      </c>
      <c r="M2258" t="str">
        <f t="shared" si="562"/>
        <v>NIS</v>
      </c>
      <c r="O2258">
        <v>9</v>
      </c>
      <c r="P2258" t="str">
        <f t="shared" si="576"/>
        <v>Phase Out</v>
      </c>
      <c r="Q2258" t="str">
        <f>"Water Treatment Plant, tekDESIGN"</f>
        <v>Water Treatment Plant, tekDESIGN</v>
      </c>
      <c r="S2258" t="str">
        <f>"Water Treatment Plant, tekDESIGN"</f>
        <v>Water Treatment Plant, tekDESIGN</v>
      </c>
      <c r="T2258">
        <v>0</v>
      </c>
      <c r="U2258">
        <v>800</v>
      </c>
      <c r="V2258">
        <v>740.53</v>
      </c>
      <c r="W2258" t="str">
        <f t="shared" si="556"/>
        <v>rob</v>
      </c>
    </row>
    <row r="2259" spans="1:23">
      <c r="A2259" t="str">
        <f t="shared" si="573"/>
        <v>LAB Projects</v>
      </c>
      <c r="B2259" t="str">
        <f>"10-2700-4000"</f>
        <v>10-2700-4000</v>
      </c>
      <c r="C2259" t="str">
        <f>"Pneumatic Feeder, tekDESIGN"</f>
        <v>Pneumatic Feeder, tekDESIGN</v>
      </c>
      <c r="D2259">
        <v>1</v>
      </c>
      <c r="E2259" t="str">
        <f t="shared" si="574"/>
        <v>LAB LearnMate Projects</v>
      </c>
      <c r="F2259">
        <v>810</v>
      </c>
      <c r="G2259" t="str">
        <f t="shared" si="570"/>
        <v>Y</v>
      </c>
      <c r="H2259" t="str">
        <f t="shared" si="575"/>
        <v>EA</v>
      </c>
      <c r="I2259">
        <v>0</v>
      </c>
      <c r="J2259">
        <v>0</v>
      </c>
      <c r="K2259" t="str">
        <f t="shared" si="571"/>
        <v>Y</v>
      </c>
      <c r="L2259">
        <v>0</v>
      </c>
      <c r="M2259" t="str">
        <f t="shared" si="562"/>
        <v>NIS</v>
      </c>
      <c r="O2259">
        <v>5</v>
      </c>
      <c r="P2259" t="str">
        <f t="shared" si="576"/>
        <v>Phase Out</v>
      </c>
      <c r="Q2259" t="str">
        <f>"Pneumatic Feeder, tekDESIGN"</f>
        <v>Pneumatic Feeder, tekDESIGN</v>
      </c>
      <c r="S2259" t="str">
        <f>"Pneumatic Feeder, tekDESIGN"</f>
        <v>Pneumatic Feeder, tekDESIGN</v>
      </c>
      <c r="T2259">
        <v>0</v>
      </c>
      <c r="U2259">
        <v>750</v>
      </c>
      <c r="V2259">
        <v>616.74</v>
      </c>
      <c r="W2259" t="str">
        <f t="shared" ref="W2259:W2322" si="577">"rob"</f>
        <v>rob</v>
      </c>
    </row>
    <row r="2260" spans="1:23">
      <c r="A2260" t="str">
        <f t="shared" si="573"/>
        <v>LAB Projects</v>
      </c>
      <c r="B2260" t="str">
        <f>"10-2700-5000"</f>
        <v>10-2700-5000</v>
      </c>
      <c r="C2260" t="str">
        <f>"Shape-sorter, tekDESIGN"</f>
        <v>Shape-sorter, tekDESIGN</v>
      </c>
      <c r="D2260">
        <v>1</v>
      </c>
      <c r="E2260" t="str">
        <f t="shared" si="574"/>
        <v>LAB LearnMate Projects</v>
      </c>
      <c r="F2260">
        <v>810</v>
      </c>
      <c r="G2260" t="str">
        <f t="shared" si="570"/>
        <v>Y</v>
      </c>
      <c r="H2260" t="str">
        <f t="shared" si="575"/>
        <v>EA</v>
      </c>
      <c r="I2260">
        <v>0</v>
      </c>
      <c r="J2260">
        <v>0</v>
      </c>
      <c r="K2260" t="str">
        <f t="shared" si="571"/>
        <v>Y</v>
      </c>
      <c r="L2260">
        <v>0</v>
      </c>
      <c r="M2260" t="str">
        <f t="shared" si="562"/>
        <v>NIS</v>
      </c>
      <c r="O2260">
        <v>8</v>
      </c>
      <c r="P2260" t="str">
        <f t="shared" si="576"/>
        <v>Phase Out</v>
      </c>
      <c r="Q2260" t="str">
        <f>"Shape-sorter, tekDESIGN"</f>
        <v>Shape-sorter, tekDESIGN</v>
      </c>
      <c r="S2260" t="str">
        <f>"Shape-sorter, tekDESIGN"</f>
        <v>Shape-sorter, tekDESIGN</v>
      </c>
      <c r="T2260">
        <v>0</v>
      </c>
      <c r="U2260" s="44">
        <v>1200</v>
      </c>
      <c r="V2260" s="44">
        <v>1089.01</v>
      </c>
      <c r="W2260" t="str">
        <f t="shared" si="577"/>
        <v>rob</v>
      </c>
    </row>
    <row r="2261" spans="1:23">
      <c r="A2261" t="str">
        <f t="shared" si="573"/>
        <v>LAB Projects</v>
      </c>
      <c r="B2261" t="str">
        <f>"10-2701-0000"</f>
        <v>10-2701-0000</v>
      </c>
      <c r="C2261" t="str">
        <f>"Seat Belt Tester, tekDESIGN"</f>
        <v>Seat Belt Tester, tekDESIGN</v>
      </c>
      <c r="D2261">
        <v>1</v>
      </c>
      <c r="E2261" t="str">
        <f t="shared" si="574"/>
        <v>LAB LearnMate Projects</v>
      </c>
      <c r="F2261">
        <v>810</v>
      </c>
      <c r="G2261" t="str">
        <f t="shared" si="570"/>
        <v>Y</v>
      </c>
      <c r="H2261" t="str">
        <f t="shared" si="575"/>
        <v>EA</v>
      </c>
      <c r="I2261">
        <v>0</v>
      </c>
      <c r="J2261">
        <v>0</v>
      </c>
      <c r="K2261" t="str">
        <f t="shared" si="571"/>
        <v>Y</v>
      </c>
      <c r="L2261">
        <v>0</v>
      </c>
      <c r="M2261" t="str">
        <f t="shared" si="562"/>
        <v>NIS</v>
      </c>
      <c r="O2261">
        <v>7</v>
      </c>
      <c r="P2261" t="str">
        <f t="shared" si="576"/>
        <v>Phase Out</v>
      </c>
      <c r="Q2261" t="str">
        <f>"Seat Belt Tester, tekDESIGN"</f>
        <v>Seat Belt Tester, tekDESIGN</v>
      </c>
      <c r="S2261" t="str">
        <f>"Seat Belt Tester, tekDESIGN"</f>
        <v>Seat Belt Tester, tekDESIGN</v>
      </c>
      <c r="T2261">
        <v>0</v>
      </c>
      <c r="U2261">
        <v>750</v>
      </c>
      <c r="V2261">
        <v>631.46</v>
      </c>
      <c r="W2261" t="str">
        <f t="shared" si="577"/>
        <v>rob</v>
      </c>
    </row>
    <row r="2262" spans="1:23">
      <c r="A2262" t="str">
        <f t="shared" si="573"/>
        <v>LAB Projects</v>
      </c>
      <c r="B2262" t="str">
        <f>"10-2701-1000"</f>
        <v>10-2701-1000</v>
      </c>
      <c r="C2262" t="str">
        <f>"Can Crusher, tekDESIGN"</f>
        <v>Can Crusher, tekDESIGN</v>
      </c>
      <c r="D2262">
        <v>1</v>
      </c>
      <c r="E2262" t="str">
        <f t="shared" si="574"/>
        <v>LAB LearnMate Projects</v>
      </c>
      <c r="F2262">
        <v>810</v>
      </c>
      <c r="G2262" t="str">
        <f t="shared" si="570"/>
        <v>Y</v>
      </c>
      <c r="H2262" t="str">
        <f t="shared" si="575"/>
        <v>EA</v>
      </c>
      <c r="I2262">
        <v>0</v>
      </c>
      <c r="J2262">
        <v>0</v>
      </c>
      <c r="K2262" t="str">
        <f t="shared" si="571"/>
        <v>Y</v>
      </c>
      <c r="L2262">
        <v>0</v>
      </c>
      <c r="M2262" t="str">
        <f t="shared" si="562"/>
        <v>NIS</v>
      </c>
      <c r="O2262">
        <v>1</v>
      </c>
      <c r="P2262" t="str">
        <f t="shared" si="576"/>
        <v>Phase Out</v>
      </c>
      <c r="Q2262" t="str">
        <f>"Can Crusher, tekDESIGN"</f>
        <v>Can Crusher, tekDESIGN</v>
      </c>
      <c r="S2262" t="str">
        <f>"Can Crusher, tekDESIGN"</f>
        <v>Can Crusher, tekDESIGN</v>
      </c>
      <c r="T2262">
        <v>0</v>
      </c>
      <c r="U2262" s="44">
        <v>1500</v>
      </c>
      <c r="V2262" s="44">
        <v>1097.24</v>
      </c>
      <c r="W2262" t="str">
        <f t="shared" si="577"/>
        <v>rob</v>
      </c>
    </row>
    <row r="2263" spans="1:23">
      <c r="A2263" t="str">
        <f t="shared" si="573"/>
        <v>LAB Projects</v>
      </c>
      <c r="B2263" t="str">
        <f>"10-2701-2000"</f>
        <v>10-2701-2000</v>
      </c>
      <c r="C2263" t="str">
        <f>"Vacuum Gripper, tekDESIGN"</f>
        <v>Vacuum Gripper, tekDESIGN</v>
      </c>
      <c r="D2263">
        <v>1</v>
      </c>
      <c r="E2263" t="str">
        <f t="shared" si="574"/>
        <v>LAB LearnMate Projects</v>
      </c>
      <c r="F2263">
        <v>810</v>
      </c>
      <c r="G2263" t="str">
        <f t="shared" si="570"/>
        <v>Y</v>
      </c>
      <c r="H2263" t="str">
        <f t="shared" si="575"/>
        <v>EA</v>
      </c>
      <c r="I2263">
        <v>0</v>
      </c>
      <c r="J2263">
        <v>0</v>
      </c>
      <c r="K2263" t="str">
        <f t="shared" si="571"/>
        <v>Y</v>
      </c>
      <c r="L2263">
        <v>0</v>
      </c>
      <c r="M2263" t="str">
        <f t="shared" si="562"/>
        <v>NIS</v>
      </c>
      <c r="O2263">
        <v>4</v>
      </c>
      <c r="P2263" t="str">
        <f t="shared" si="576"/>
        <v>Phase Out</v>
      </c>
      <c r="Q2263" t="str">
        <f>"Vacuum Gripper, tekDESIGN"</f>
        <v>Vacuum Gripper, tekDESIGN</v>
      </c>
      <c r="S2263" t="str">
        <f>"Vacuum Gripper, tekDESIGN"</f>
        <v>Vacuum Gripper, tekDESIGN</v>
      </c>
      <c r="T2263">
        <v>0</v>
      </c>
      <c r="U2263" s="44">
        <v>1100</v>
      </c>
      <c r="V2263">
        <v>976.46</v>
      </c>
      <c r="W2263" t="str">
        <f t="shared" si="577"/>
        <v>rob</v>
      </c>
    </row>
    <row r="2264" spans="1:23">
      <c r="A2264" t="str">
        <f t="shared" si="573"/>
        <v>LAB Projects</v>
      </c>
      <c r="B2264" t="str">
        <f>"10-2700-7000"</f>
        <v>10-2700-7000</v>
      </c>
      <c r="C2264" t="str">
        <f>"Golf Putter"</f>
        <v>Golf Putter</v>
      </c>
      <c r="D2264">
        <v>1</v>
      </c>
      <c r="E2264" t="str">
        <f t="shared" si="574"/>
        <v>LAB LearnMate Projects</v>
      </c>
      <c r="F2264">
        <v>810</v>
      </c>
      <c r="G2264" t="str">
        <f t="shared" si="570"/>
        <v>Y</v>
      </c>
      <c r="H2264" t="str">
        <f t="shared" si="575"/>
        <v>EA</v>
      </c>
      <c r="I2264">
        <v>0</v>
      </c>
      <c r="J2264">
        <v>0</v>
      </c>
      <c r="K2264" t="str">
        <f t="shared" si="571"/>
        <v>Y</v>
      </c>
      <c r="L2264">
        <v>0</v>
      </c>
      <c r="M2264" t="str">
        <f t="shared" si="562"/>
        <v>NIS</v>
      </c>
      <c r="N2264" t="str">
        <f>"Y"</f>
        <v>Y</v>
      </c>
      <c r="O2264">
        <v>3</v>
      </c>
      <c r="P2264" t="str">
        <f>"Inactive"</f>
        <v>Inactive</v>
      </c>
      <c r="Q2264" t="str">
        <f>"Golf Putter"</f>
        <v>Golf Putter</v>
      </c>
      <c r="S2264" t="str">
        <f>"Golf Putter"</f>
        <v>Golf Putter</v>
      </c>
      <c r="T2264">
        <v>0</v>
      </c>
      <c r="U2264">
        <v>0</v>
      </c>
      <c r="V2264">
        <v>0</v>
      </c>
      <c r="W2264" t="str">
        <f t="shared" si="577"/>
        <v>rob</v>
      </c>
    </row>
    <row r="2265" spans="1:23">
      <c r="A2265" t="str">
        <f t="shared" si="573"/>
        <v>LAB Projects</v>
      </c>
      <c r="B2265" t="str">
        <f>"10-2700-6000"</f>
        <v>10-2700-6000</v>
      </c>
      <c r="C2265" t="str">
        <f>"Ruler"</f>
        <v>Ruler</v>
      </c>
      <c r="D2265">
        <v>1</v>
      </c>
      <c r="E2265" t="str">
        <f t="shared" si="574"/>
        <v>LAB LearnMate Projects</v>
      </c>
      <c r="F2265">
        <v>810</v>
      </c>
      <c r="G2265" t="str">
        <f t="shared" si="570"/>
        <v>Y</v>
      </c>
      <c r="H2265" t="str">
        <f t="shared" si="575"/>
        <v>EA</v>
      </c>
      <c r="I2265">
        <v>0</v>
      </c>
      <c r="J2265">
        <v>0</v>
      </c>
      <c r="K2265" t="str">
        <f t="shared" si="571"/>
        <v>Y</v>
      </c>
      <c r="L2265">
        <v>0</v>
      </c>
      <c r="M2265" t="str">
        <f t="shared" si="562"/>
        <v>NIS</v>
      </c>
      <c r="N2265" t="str">
        <f>"Y"</f>
        <v>Y</v>
      </c>
      <c r="O2265">
        <v>6</v>
      </c>
      <c r="P2265" t="str">
        <f>"Inactive"</f>
        <v>Inactive</v>
      </c>
      <c r="Q2265" t="str">
        <f>"Ruler"</f>
        <v>Ruler</v>
      </c>
      <c r="S2265" t="str">
        <f>"Ruler"</f>
        <v>Ruler</v>
      </c>
      <c r="T2265">
        <v>0</v>
      </c>
      <c r="U2265">
        <v>0</v>
      </c>
      <c r="V2265">
        <v>0</v>
      </c>
      <c r="W2265" t="str">
        <f t="shared" si="577"/>
        <v>rob</v>
      </c>
    </row>
    <row r="2266" spans="1:23">
      <c r="A2266" t="str">
        <f t="shared" si="573"/>
        <v>LAB Projects</v>
      </c>
      <c r="B2266" t="str">
        <f>"10-2700-1000"</f>
        <v>10-2700-1000</v>
      </c>
      <c r="C2266" t="str">
        <f>"Yo-Yo, tekDESIGN"</f>
        <v>Yo-Yo, tekDESIGN</v>
      </c>
      <c r="D2266">
        <v>1</v>
      </c>
      <c r="E2266" t="str">
        <f t="shared" si="574"/>
        <v>LAB LearnMate Projects</v>
      </c>
      <c r="F2266">
        <v>810</v>
      </c>
      <c r="G2266" t="str">
        <f t="shared" si="570"/>
        <v>Y</v>
      </c>
      <c r="H2266" t="str">
        <f t="shared" si="575"/>
        <v>EA</v>
      </c>
      <c r="I2266">
        <v>0</v>
      </c>
      <c r="J2266">
        <v>0</v>
      </c>
      <c r="K2266" t="str">
        <f t="shared" si="571"/>
        <v>Y</v>
      </c>
      <c r="L2266">
        <v>0</v>
      </c>
      <c r="M2266" t="str">
        <f t="shared" si="562"/>
        <v>NIS</v>
      </c>
      <c r="N2266" t="str">
        <f>"Y"</f>
        <v>Y</v>
      </c>
      <c r="O2266">
        <v>10</v>
      </c>
      <c r="P2266" t="str">
        <f>"Inactive"</f>
        <v>Inactive</v>
      </c>
      <c r="Q2266" t="str">
        <f>"Yo-Yo, tekDESIGN"</f>
        <v>Yo-Yo, tekDESIGN</v>
      </c>
      <c r="S2266" t="str">
        <f>"Yo-Yo, tekDESIGN"</f>
        <v>Yo-Yo, tekDESIGN</v>
      </c>
      <c r="T2266">
        <v>0</v>
      </c>
      <c r="U2266">
        <v>0</v>
      </c>
      <c r="V2266">
        <v>0</v>
      </c>
      <c r="W2266" t="str">
        <f t="shared" si="577"/>
        <v>rob</v>
      </c>
    </row>
    <row r="2267" spans="1:23">
      <c r="A2267" t="str">
        <f>"LAB-ELCTRCAL-LMS"</f>
        <v>LAB-ELCTRCAL-LMS</v>
      </c>
      <c r="B2267" t="str">
        <f>"700081B"</f>
        <v>700081B</v>
      </c>
      <c r="C2267" t="str">
        <f>"Electrical Panel 220V"</f>
        <v>Electrical Panel 220V</v>
      </c>
      <c r="D2267">
        <v>1</v>
      </c>
      <c r="E2267" t="str">
        <f>"LAB (School License on LMS) - Electrical Systems"</f>
        <v>LAB (School License on LMS) - Electrical Systems</v>
      </c>
      <c r="F2267">
        <v>810</v>
      </c>
      <c r="G2267" t="str">
        <f t="shared" si="570"/>
        <v>Y</v>
      </c>
      <c r="H2267" t="str">
        <f t="shared" si="575"/>
        <v>EA</v>
      </c>
      <c r="I2267">
        <v>0</v>
      </c>
      <c r="J2267">
        <v>0</v>
      </c>
      <c r="K2267" t="str">
        <f t="shared" si="571"/>
        <v>Y</v>
      </c>
      <c r="L2267">
        <v>0</v>
      </c>
      <c r="M2267" t="str">
        <f t="shared" si="562"/>
        <v>NIS</v>
      </c>
      <c r="O2267">
        <v>1</v>
      </c>
      <c r="P2267" t="str">
        <f>"Active"</f>
        <v>Active</v>
      </c>
      <c r="Q2267" t="str">
        <f>"Electrical Sys panel 220V"</f>
        <v>Electrical Sys panel 220V</v>
      </c>
      <c r="S2267" t="str">
        <f>"Electrical Panel 220V"</f>
        <v>Electrical Panel 220V</v>
      </c>
      <c r="T2267" s="44">
        <v>1398.65</v>
      </c>
      <c r="U2267" s="44">
        <v>1398.65</v>
      </c>
      <c r="V2267" s="44">
        <v>1803.29</v>
      </c>
      <c r="W2267" t="str">
        <f t="shared" si="577"/>
        <v>rob</v>
      </c>
    </row>
    <row r="2268" spans="1:23">
      <c r="A2268" t="str">
        <f>"LAB-ELCTRCAL-LMS"</f>
        <v>LAB-ELCTRCAL-LMS</v>
      </c>
      <c r="B2268" t="str">
        <f>"17-8046-0000"</f>
        <v>17-8046-0000</v>
      </c>
      <c r="C2268" t="str">
        <f>"LM 5 Content, Lab/Vir, Electrical Systems"</f>
        <v>LM 5 Content, Lab/Vir, Electrical Systems</v>
      </c>
      <c r="D2268">
        <v>1</v>
      </c>
      <c r="E2268" t="str">
        <f>"LAB (School License on LMS) - Electrical Systems"</f>
        <v>LAB (School License on LMS) - Electrical Systems</v>
      </c>
      <c r="F2268">
        <v>810</v>
      </c>
      <c r="G2268" t="str">
        <f t="shared" si="570"/>
        <v>Y</v>
      </c>
      <c r="H2268" t="str">
        <f t="shared" si="575"/>
        <v>EA</v>
      </c>
      <c r="I2268">
        <v>0</v>
      </c>
      <c r="J2268">
        <v>0</v>
      </c>
      <c r="K2268" t="str">
        <f t="shared" si="571"/>
        <v>Y</v>
      </c>
      <c r="L2268">
        <v>0</v>
      </c>
      <c r="M2268" t="str">
        <f t="shared" si="562"/>
        <v>NIS</v>
      </c>
      <c r="O2268">
        <v>3</v>
      </c>
      <c r="P2268" t="str">
        <f>"Active"</f>
        <v>Active</v>
      </c>
      <c r="Q2268" t="str">
        <f>"LM5.X Content, Lab/Vir, Electrical Systems"</f>
        <v>LM5.X Content, Lab/Vir, Electrical Systems</v>
      </c>
      <c r="S2268" t="str">
        <f>"LM5.X Content, Lab/Vir, Electrical Systems"</f>
        <v>LM5.X Content, Lab/Vir, Electrical Systems</v>
      </c>
      <c r="T2268">
        <v>0</v>
      </c>
      <c r="U2268">
        <v>5</v>
      </c>
      <c r="V2268">
        <v>5</v>
      </c>
      <c r="W2268" t="str">
        <f t="shared" si="577"/>
        <v>rob</v>
      </c>
    </row>
    <row r="2269" spans="1:23">
      <c r="A2269" t="str">
        <f>"LAB-ELCTRCAL-LMS"</f>
        <v>LAB-ELCTRCAL-LMS</v>
      </c>
      <c r="B2269" t="str">
        <f>"0E8116"</f>
        <v>0E8116</v>
      </c>
      <c r="C2269" t="str">
        <f>"LM_Content LMS Lab -E- Electrical Systems"</f>
        <v>LM_Content LMS Lab -E- Electrical Systems</v>
      </c>
      <c r="D2269">
        <v>1</v>
      </c>
      <c r="E2269" t="str">
        <f>"LAB (School License on LMS) - Electrical Systems"</f>
        <v>LAB (School License on LMS) - Electrical Systems</v>
      </c>
      <c r="F2269">
        <v>810</v>
      </c>
      <c r="G2269" t="str">
        <f t="shared" si="570"/>
        <v>Y</v>
      </c>
      <c r="H2269" t="str">
        <f t="shared" si="575"/>
        <v>EA</v>
      </c>
      <c r="I2269">
        <v>0</v>
      </c>
      <c r="J2269">
        <v>0</v>
      </c>
      <c r="K2269" t="str">
        <f t="shared" si="571"/>
        <v>Y</v>
      </c>
      <c r="L2269">
        <v>0</v>
      </c>
      <c r="M2269" t="str">
        <f t="shared" si="562"/>
        <v>NIS</v>
      </c>
      <c r="N2269" t="str">
        <f>"Y"</f>
        <v>Y</v>
      </c>
      <c r="O2269">
        <v>2</v>
      </c>
      <c r="P2269" t="str">
        <f>"Not for purc"</f>
        <v>Not for purc</v>
      </c>
      <c r="Q2269" t="str">
        <f>"LM_Content LMS Lab -E- Electrical Systems"</f>
        <v>LM_Content LMS Lab -E- Electrical Systems</v>
      </c>
      <c r="S2269" t="str">
        <f>"LM_Content LMS Lab -E- Electrical Systems"</f>
        <v>LM_Content LMS Lab -E- Electrical Systems</v>
      </c>
      <c r="T2269">
        <v>0</v>
      </c>
      <c r="U2269">
        <v>30.65</v>
      </c>
      <c r="V2269">
        <v>35.840000000000003</v>
      </c>
      <c r="W2269" t="str">
        <f t="shared" si="577"/>
        <v>rob</v>
      </c>
    </row>
    <row r="2270" spans="1:23">
      <c r="A2270" t="str">
        <f>"LAB-ELCTRCAL-SA"</f>
        <v>LAB-ELCTRCAL-SA</v>
      </c>
      <c r="B2270" t="str">
        <f>"700081B"</f>
        <v>700081B</v>
      </c>
      <c r="C2270" t="str">
        <f>"Electrical Panel 220V"</f>
        <v>Electrical Panel 220V</v>
      </c>
      <c r="D2270">
        <v>1</v>
      </c>
      <c r="E2270" t="str">
        <f>"LAB (standalone) -Electrical Systems"</f>
        <v>LAB (standalone) -Electrical Systems</v>
      </c>
      <c r="F2270">
        <v>810</v>
      </c>
      <c r="G2270" t="str">
        <f t="shared" si="570"/>
        <v>Y</v>
      </c>
      <c r="H2270" t="str">
        <f t="shared" si="575"/>
        <v>EA</v>
      </c>
      <c r="I2270">
        <v>0</v>
      </c>
      <c r="J2270">
        <v>0</v>
      </c>
      <c r="K2270" t="str">
        <f t="shared" si="571"/>
        <v>Y</v>
      </c>
      <c r="L2270">
        <v>0</v>
      </c>
      <c r="M2270" t="str">
        <f t="shared" si="562"/>
        <v>NIS</v>
      </c>
      <c r="O2270">
        <v>1</v>
      </c>
      <c r="P2270" t="str">
        <f>"Active"</f>
        <v>Active</v>
      </c>
      <c r="Q2270" t="str">
        <f>"Electrical Sys panel 220V"</f>
        <v>Electrical Sys panel 220V</v>
      </c>
      <c r="S2270" t="str">
        <f>"Electrical Panel 220V"</f>
        <v>Electrical Panel 220V</v>
      </c>
      <c r="T2270" s="44">
        <v>1398.65</v>
      </c>
      <c r="U2270" s="44">
        <v>1398.65</v>
      </c>
      <c r="V2270" s="44">
        <v>1803.29</v>
      </c>
      <c r="W2270" t="str">
        <f t="shared" si="577"/>
        <v>rob</v>
      </c>
    </row>
    <row r="2271" spans="1:23">
      <c r="A2271" t="str">
        <f>"LAB-ELCTRCAL-SA"</f>
        <v>LAB-ELCTRCAL-SA</v>
      </c>
      <c r="B2271" t="str">
        <f>"0E7116"</f>
        <v>0E7116</v>
      </c>
      <c r="C2271" t="str">
        <f>"LM_Content SA Lab -E- Electrical Systems"</f>
        <v>LM_Content SA Lab -E- Electrical Systems</v>
      </c>
      <c r="D2271">
        <v>1</v>
      </c>
      <c r="E2271" t="str">
        <f>"LAB (standalone) -Electrical Systems"</f>
        <v>LAB (standalone) -Electrical Systems</v>
      </c>
      <c r="F2271">
        <v>810</v>
      </c>
      <c r="G2271" t="str">
        <f t="shared" si="570"/>
        <v>Y</v>
      </c>
      <c r="H2271" t="str">
        <f t="shared" si="575"/>
        <v>EA</v>
      </c>
      <c r="I2271">
        <v>0</v>
      </c>
      <c r="J2271">
        <v>0</v>
      </c>
      <c r="K2271" t="str">
        <f t="shared" si="571"/>
        <v>Y</v>
      </c>
      <c r="L2271">
        <v>0</v>
      </c>
      <c r="M2271" t="str">
        <f t="shared" si="562"/>
        <v>NIS</v>
      </c>
      <c r="O2271">
        <v>2</v>
      </c>
      <c r="P2271" t="str">
        <f>"Not for purc"</f>
        <v>Not for purc</v>
      </c>
      <c r="Q2271" t="str">
        <f>"LM_Content SA Lab -E- Electrical Systems"</f>
        <v>LM_Content SA Lab -E- Electrical Systems</v>
      </c>
      <c r="S2271" t="str">
        <f>"LM_Content SA Lab -E- Electrical Systems"</f>
        <v>LM_Content SA Lab -E- Electrical Systems</v>
      </c>
      <c r="T2271">
        <v>0</v>
      </c>
      <c r="U2271">
        <v>30.65</v>
      </c>
      <c r="V2271">
        <v>35.840000000000003</v>
      </c>
      <c r="W2271" t="str">
        <f t="shared" si="577"/>
        <v>rob</v>
      </c>
    </row>
    <row r="2272" spans="1:23">
      <c r="A2272" t="str">
        <f>"LAB-ELCTRCAL-SA"</f>
        <v>LAB-ELCTRCAL-SA</v>
      </c>
      <c r="B2272" t="str">
        <f>"63-7001-0100"</f>
        <v>63-7001-0100</v>
      </c>
      <c r="C2272" t="str">
        <f>"License Key for Standalone Content"</f>
        <v>License Key for Standalone Content</v>
      </c>
      <c r="D2272">
        <v>1</v>
      </c>
      <c r="E2272" t="str">
        <f>"LAB (standalone) -Electrical Systems"</f>
        <v>LAB (standalone) -Electrical Systems</v>
      </c>
      <c r="F2272">
        <v>810</v>
      </c>
      <c r="G2272" t="str">
        <f t="shared" si="570"/>
        <v>Y</v>
      </c>
      <c r="H2272" t="str">
        <f t="shared" si="575"/>
        <v>EA</v>
      </c>
      <c r="I2272">
        <v>0</v>
      </c>
      <c r="J2272">
        <v>0</v>
      </c>
      <c r="K2272" t="str">
        <f t="shared" si="571"/>
        <v>Y</v>
      </c>
      <c r="L2272">
        <v>0</v>
      </c>
      <c r="M2272" t="str">
        <f t="shared" si="562"/>
        <v>NIS</v>
      </c>
      <c r="O2272">
        <v>3</v>
      </c>
      <c r="P2272" t="str">
        <f t="shared" ref="P2272:P2282" si="578">"Active"</f>
        <v>Active</v>
      </c>
      <c r="Q2272" t="str">
        <f>"License Key For LM Content Standalone"</f>
        <v>License Key For LM Content Standalone</v>
      </c>
      <c r="R2272" t="str">
        <f>"1"</f>
        <v>1</v>
      </c>
      <c r="S2272" t="str">
        <f>"License Key For LM Content Standalone"</f>
        <v>License Key For LM Content Standalone</v>
      </c>
      <c r="T2272">
        <v>0</v>
      </c>
      <c r="U2272">
        <v>18</v>
      </c>
      <c r="V2272">
        <v>18.72</v>
      </c>
      <c r="W2272" t="str">
        <f t="shared" si="577"/>
        <v>rob</v>
      </c>
    </row>
    <row r="2273" spans="1:23">
      <c r="A2273" t="str">
        <f t="shared" ref="A2273:A2279" si="579">"LAB-HYD1-LMS"</f>
        <v>LAB-HYD1-LMS</v>
      </c>
      <c r="B2273" t="str">
        <f>"00-2105-0000"</f>
        <v>00-2105-0000</v>
      </c>
      <c r="C2273" t="str">
        <f>"HydraFlex H1 Basic Hydraulics incl. panel"</f>
        <v>HydraFlex H1 Basic Hydraulics incl. panel</v>
      </c>
      <c r="D2273">
        <v>1</v>
      </c>
      <c r="E2273" t="str">
        <f t="shared" ref="E2273:E2279" si="580">"LAB Hydraulics 1 (School License on LMS) - HydraFlex"</f>
        <v>LAB Hydraulics 1 (School License on LMS) - HydraFlex</v>
      </c>
      <c r="F2273">
        <v>810</v>
      </c>
      <c r="G2273" t="str">
        <f t="shared" si="570"/>
        <v>Y</v>
      </c>
      <c r="H2273" t="str">
        <f t="shared" si="575"/>
        <v>EA</v>
      </c>
      <c r="I2273">
        <v>0</v>
      </c>
      <c r="J2273">
        <v>0</v>
      </c>
      <c r="K2273" t="str">
        <f t="shared" si="571"/>
        <v>Y</v>
      </c>
      <c r="L2273">
        <v>0</v>
      </c>
      <c r="M2273" t="str">
        <f t="shared" si="562"/>
        <v>NIS</v>
      </c>
      <c r="O2273">
        <v>1</v>
      </c>
      <c r="P2273" t="str">
        <f t="shared" si="578"/>
        <v>Active</v>
      </c>
      <c r="Q2273" t="str">
        <f>"HydraFlex H1 Basic Hydraulic Package incl. panel"</f>
        <v>HydraFlex H1 Basic Hydraulic Package incl. panel</v>
      </c>
      <c r="S2273" t="str">
        <f>"HydraFlex H1 Basic Hydraulic Package incl. panel"</f>
        <v>HydraFlex H1 Basic Hydraulic Package incl. panel</v>
      </c>
      <c r="T2273">
        <v>0</v>
      </c>
      <c r="U2273" s="44">
        <v>2100</v>
      </c>
      <c r="V2273" s="44">
        <v>2144.7399999999998</v>
      </c>
      <c r="W2273" t="str">
        <f t="shared" si="577"/>
        <v>rob</v>
      </c>
    </row>
    <row r="2274" spans="1:23">
      <c r="A2274" t="str">
        <f t="shared" si="579"/>
        <v>LAB-HYD1-LMS</v>
      </c>
      <c r="B2274" t="str">
        <f>"10-2540-1000"</f>
        <v>10-2540-1000</v>
      </c>
      <c r="C2274" t="str">
        <f>"Hydraulic Pump with Oil Tank"</f>
        <v>Hydraulic Pump with Oil Tank</v>
      </c>
      <c r="D2274">
        <v>1</v>
      </c>
      <c r="E2274" t="str">
        <f t="shared" si="580"/>
        <v>LAB Hydraulics 1 (School License on LMS) - HydraFlex</v>
      </c>
      <c r="F2274">
        <v>810</v>
      </c>
      <c r="G2274" t="str">
        <f t="shared" si="570"/>
        <v>Y</v>
      </c>
      <c r="H2274" t="str">
        <f t="shared" si="575"/>
        <v>EA</v>
      </c>
      <c r="I2274">
        <v>0</v>
      </c>
      <c r="J2274">
        <v>0</v>
      </c>
      <c r="K2274" t="str">
        <f t="shared" si="571"/>
        <v>Y</v>
      </c>
      <c r="L2274">
        <v>0</v>
      </c>
      <c r="M2274" t="str">
        <f t="shared" si="562"/>
        <v>NIS</v>
      </c>
      <c r="O2274">
        <v>2</v>
      </c>
      <c r="P2274" t="str">
        <f t="shared" si="578"/>
        <v>Active</v>
      </c>
      <c r="Q2274" t="str">
        <f>"Power Pack Hyd.- Assy.,Tank 10L,0.75kW,3.5L,220"</f>
        <v>Power Pack Hyd.- Assy.,Tank 10L,0.75kW,3.5L,220</v>
      </c>
      <c r="S2274" t="str">
        <f>"Hyd.Power Pack,Tank 10L,0.75kW,3.5L,220V"</f>
        <v>Hyd.Power Pack,Tank 10L,0.75kW,3.5L,220V</v>
      </c>
      <c r="T2274">
        <v>0</v>
      </c>
      <c r="U2274" s="44">
        <v>1450</v>
      </c>
      <c r="V2274" s="44">
        <v>1400.02</v>
      </c>
      <c r="W2274" t="str">
        <f t="shared" si="577"/>
        <v>rob</v>
      </c>
    </row>
    <row r="2275" spans="1:23">
      <c r="A2275" t="str">
        <f t="shared" si="579"/>
        <v>LAB-HYD1-LMS</v>
      </c>
      <c r="B2275" t="str">
        <f>"10-2542-7000"</f>
        <v>10-2542-7000</v>
      </c>
      <c r="C2275" t="str">
        <f>"Oil collector tray for HydraFlex T-slot panel"</f>
        <v>Oil collector tray for HydraFlex T-slot panel</v>
      </c>
      <c r="D2275">
        <v>1</v>
      </c>
      <c r="E2275" t="str">
        <f t="shared" si="580"/>
        <v>LAB Hydraulics 1 (School License on LMS) - HydraFlex</v>
      </c>
      <c r="F2275">
        <v>810</v>
      </c>
      <c r="G2275" t="str">
        <f t="shared" si="570"/>
        <v>Y</v>
      </c>
      <c r="H2275" t="str">
        <f t="shared" si="575"/>
        <v>EA</v>
      </c>
      <c r="I2275">
        <v>0</v>
      </c>
      <c r="J2275">
        <v>0</v>
      </c>
      <c r="K2275" t="str">
        <f t="shared" si="571"/>
        <v>Y</v>
      </c>
      <c r="L2275">
        <v>0</v>
      </c>
      <c r="M2275" t="str">
        <f t="shared" si="562"/>
        <v>NIS</v>
      </c>
      <c r="O2275">
        <v>3</v>
      </c>
      <c r="P2275" t="str">
        <f t="shared" si="578"/>
        <v>Active</v>
      </c>
      <c r="Q2275" t="str">
        <f>"Oil collector tray for HydraFlex T-slot panel"</f>
        <v>Oil collector tray for HydraFlex T-slot panel</v>
      </c>
      <c r="S2275" t="str">
        <f>"Oil collector tray for HydraFlex T-slot panel"</f>
        <v>Oil collector tray for HydraFlex T-slot panel</v>
      </c>
      <c r="T2275">
        <v>0</v>
      </c>
      <c r="U2275">
        <v>190</v>
      </c>
      <c r="V2275">
        <v>102.94</v>
      </c>
      <c r="W2275" t="str">
        <f t="shared" si="577"/>
        <v>rob</v>
      </c>
    </row>
    <row r="2276" spans="1:23">
      <c r="A2276" t="str">
        <f t="shared" si="579"/>
        <v>LAB-HYD1-LMS</v>
      </c>
      <c r="B2276" t="str">
        <f>"17-8008-0000"</f>
        <v>17-8008-0000</v>
      </c>
      <c r="C2276" t="str">
        <f>"LM 5 Content, Lab/Vir, Hydraulics 1 w/HydraFlex"</f>
        <v>LM 5 Content, Lab/Vir, Hydraulics 1 w/HydraFlex</v>
      </c>
      <c r="D2276">
        <v>1</v>
      </c>
      <c r="E2276" t="str">
        <f t="shared" si="580"/>
        <v>LAB Hydraulics 1 (School License on LMS) - HydraFlex</v>
      </c>
      <c r="F2276">
        <v>810</v>
      </c>
      <c r="G2276" t="str">
        <f t="shared" si="570"/>
        <v>Y</v>
      </c>
      <c r="H2276" t="str">
        <f t="shared" si="575"/>
        <v>EA</v>
      </c>
      <c r="I2276">
        <v>0</v>
      </c>
      <c r="J2276">
        <v>0</v>
      </c>
      <c r="K2276" t="str">
        <f t="shared" si="571"/>
        <v>Y</v>
      </c>
      <c r="L2276">
        <v>0</v>
      </c>
      <c r="M2276" t="str">
        <f t="shared" si="562"/>
        <v>NIS</v>
      </c>
      <c r="O2276">
        <v>7</v>
      </c>
      <c r="P2276" t="str">
        <f t="shared" si="578"/>
        <v>Active</v>
      </c>
      <c r="Q2276" t="str">
        <f>"LM5.X Content, Lab/Vir, Hydraulics 1 w/HydraFlex"</f>
        <v>LM5.X Content, Lab/Vir, Hydraulics 1 w/HydraFlex</v>
      </c>
      <c r="S2276" t="str">
        <f>"LM5.X Content, Lab/Vir, Hydraulics 1 w/HydraFlex"</f>
        <v>LM5.X Content, Lab/Vir, Hydraulics 1 w/HydraFlex</v>
      </c>
      <c r="T2276">
        <v>0</v>
      </c>
      <c r="U2276">
        <v>5</v>
      </c>
      <c r="V2276">
        <v>5</v>
      </c>
      <c r="W2276" t="str">
        <f t="shared" si="577"/>
        <v>rob</v>
      </c>
    </row>
    <row r="2277" spans="1:23">
      <c r="A2277" t="str">
        <f t="shared" si="579"/>
        <v>LAB-HYD1-LMS</v>
      </c>
      <c r="B2277" t="str">
        <f>"63-9240-0000"</f>
        <v>63-9240-0000</v>
      </c>
      <c r="C2277" t="str">
        <f>"HydraMotion - Hydraulics Simulation Software"</f>
        <v>HydraMotion - Hydraulics Simulation Software</v>
      </c>
      <c r="D2277">
        <v>1</v>
      </c>
      <c r="E2277" t="str">
        <f t="shared" si="580"/>
        <v>LAB Hydraulics 1 (School License on LMS) - HydraFlex</v>
      </c>
      <c r="F2277">
        <v>810</v>
      </c>
      <c r="G2277" t="str">
        <f t="shared" si="570"/>
        <v>Y</v>
      </c>
      <c r="H2277" t="str">
        <f t="shared" si="575"/>
        <v>EA</v>
      </c>
      <c r="I2277">
        <v>0</v>
      </c>
      <c r="J2277">
        <v>0</v>
      </c>
      <c r="K2277" t="str">
        <f t="shared" si="571"/>
        <v>Y</v>
      </c>
      <c r="L2277">
        <v>0</v>
      </c>
      <c r="M2277" t="str">
        <f t="shared" si="562"/>
        <v>NIS</v>
      </c>
      <c r="O2277">
        <v>5</v>
      </c>
      <c r="P2277" t="str">
        <f t="shared" si="578"/>
        <v>Active</v>
      </c>
      <c r="Q2277" t="str">
        <f>"HydraMotion Hydraulic Simulation Softw. Package"</f>
        <v>HydraMotion Hydraulic Simulation Softw. Package</v>
      </c>
      <c r="S2277" t="str">
        <f>"HydraMotion Hydraulic Simulation Softw. Package"</f>
        <v>HydraMotion Hydraulic Simulation Softw. Package</v>
      </c>
      <c r="T2277">
        <v>0</v>
      </c>
      <c r="U2277">
        <v>31.77</v>
      </c>
      <c r="V2277">
        <v>32.130000000000003</v>
      </c>
      <c r="W2277" t="str">
        <f t="shared" si="577"/>
        <v>rob</v>
      </c>
    </row>
    <row r="2278" spans="1:23">
      <c r="A2278" t="str">
        <f t="shared" si="579"/>
        <v>LAB-HYD1-LMS</v>
      </c>
      <c r="B2278" t="str">
        <f>"63-7000-0900"</f>
        <v>63-7000-0900</v>
      </c>
      <c r="C2278" t="str">
        <f>"License Key For HydraMotion Software"</f>
        <v>License Key For HydraMotion Software</v>
      </c>
      <c r="D2278">
        <v>1</v>
      </c>
      <c r="E2278" t="str">
        <f t="shared" si="580"/>
        <v>LAB Hydraulics 1 (School License on LMS) - HydraFlex</v>
      </c>
      <c r="F2278">
        <v>810</v>
      </c>
      <c r="G2278" t="str">
        <f t="shared" si="570"/>
        <v>Y</v>
      </c>
      <c r="H2278" t="str">
        <f t="shared" si="575"/>
        <v>EA</v>
      </c>
      <c r="I2278">
        <v>0</v>
      </c>
      <c r="J2278">
        <v>0</v>
      </c>
      <c r="K2278" t="str">
        <f t="shared" si="571"/>
        <v>Y</v>
      </c>
      <c r="L2278">
        <v>0</v>
      </c>
      <c r="M2278" t="str">
        <f t="shared" si="562"/>
        <v>NIS</v>
      </c>
      <c r="O2278">
        <v>6</v>
      </c>
      <c r="P2278" t="str">
        <f t="shared" si="578"/>
        <v>Active</v>
      </c>
      <c r="Q2278" t="str">
        <f>"License Key For HydraMotion Software"</f>
        <v>License Key For HydraMotion Software</v>
      </c>
      <c r="R2278" t="str">
        <f>"1"</f>
        <v>1</v>
      </c>
      <c r="S2278" t="str">
        <f>"License Key For HydraMotion Software"</f>
        <v>License Key For HydraMotion Software</v>
      </c>
      <c r="T2278">
        <v>0</v>
      </c>
      <c r="U2278">
        <v>6</v>
      </c>
      <c r="V2278">
        <v>6.66</v>
      </c>
      <c r="W2278" t="str">
        <f t="shared" si="577"/>
        <v>rob</v>
      </c>
    </row>
    <row r="2279" spans="1:23">
      <c r="A2279" t="str">
        <f t="shared" si="579"/>
        <v>LAB-HYD1-LMS</v>
      </c>
      <c r="B2279" t="str">
        <f>"0E8121"</f>
        <v>0E8121</v>
      </c>
      <c r="C2279" t="str">
        <f>"LM_Content LMS Lab.- Hydraulics Technology 1"</f>
        <v>LM_Content LMS Lab.- Hydraulics Technology 1</v>
      </c>
      <c r="D2279">
        <v>1</v>
      </c>
      <c r="E2279" t="str">
        <f t="shared" si="580"/>
        <v>LAB Hydraulics 1 (School License on LMS) - HydraFlex</v>
      </c>
      <c r="F2279">
        <v>810</v>
      </c>
      <c r="G2279" t="str">
        <f t="shared" si="570"/>
        <v>Y</v>
      </c>
      <c r="H2279" t="str">
        <f t="shared" si="575"/>
        <v>EA</v>
      </c>
      <c r="I2279">
        <v>0</v>
      </c>
      <c r="J2279">
        <v>0</v>
      </c>
      <c r="K2279" t="str">
        <f t="shared" si="571"/>
        <v>Y</v>
      </c>
      <c r="L2279">
        <v>0</v>
      </c>
      <c r="M2279" t="str">
        <f t="shared" si="562"/>
        <v>NIS</v>
      </c>
      <c r="O2279">
        <v>4</v>
      </c>
      <c r="P2279" t="str">
        <f t="shared" si="578"/>
        <v>Active</v>
      </c>
      <c r="Q2279" t="str">
        <f>"LM_Content LMS Lab.- Hydraulics Technology 1"</f>
        <v>LM_Content LMS Lab.- Hydraulics Technology 1</v>
      </c>
      <c r="S2279" t="str">
        <f>"LM_Content LMS Lab.- Hydraulics Technology 1"</f>
        <v>LM_Content LMS Lab.- Hydraulics Technology 1</v>
      </c>
      <c r="T2279">
        <v>0</v>
      </c>
      <c r="U2279">
        <v>30.66</v>
      </c>
      <c r="V2279">
        <v>35.840000000000003</v>
      </c>
      <c r="W2279" t="str">
        <f t="shared" si="577"/>
        <v>rob</v>
      </c>
    </row>
    <row r="2280" spans="1:23">
      <c r="A2280" t="str">
        <f>"LAB-MECHNISM-LMS"</f>
        <v>LAB-MECHNISM-LMS</v>
      </c>
      <c r="B2280" t="str">
        <f>"48047-200"</f>
        <v>48047-200</v>
      </c>
      <c r="C2280" t="str">
        <f>"Mechanism Suitcase MB-300 w/Accessories"</f>
        <v>Mechanism Suitcase MB-300 w/Accessories</v>
      </c>
      <c r="D2280">
        <v>1</v>
      </c>
      <c r="E2280" t="str">
        <f>"LAB Mechanism Technology (School License on LMS)"</f>
        <v>LAB Mechanism Technology (School License on LMS)</v>
      </c>
      <c r="F2280">
        <v>810</v>
      </c>
      <c r="G2280" t="str">
        <f t="shared" si="570"/>
        <v>Y</v>
      </c>
      <c r="H2280" t="str">
        <f t="shared" si="575"/>
        <v>EA</v>
      </c>
      <c r="I2280">
        <v>0</v>
      </c>
      <c r="J2280">
        <v>0</v>
      </c>
      <c r="K2280" t="str">
        <f t="shared" si="571"/>
        <v>Y</v>
      </c>
      <c r="L2280">
        <v>0</v>
      </c>
      <c r="M2280" t="str">
        <f t="shared" si="562"/>
        <v>NIS</v>
      </c>
      <c r="O2280">
        <v>1</v>
      </c>
      <c r="P2280" t="str">
        <f t="shared" si="578"/>
        <v>Active</v>
      </c>
      <c r="Q2280" t="str">
        <f>"mechanisms Suitcase"</f>
        <v>mechanisms Suitcase</v>
      </c>
      <c r="S2280" t="str">
        <f>"Mechanism Suitcase MB-300 w/Accessories"</f>
        <v>Mechanism Suitcase MB-300 w/Accessories</v>
      </c>
      <c r="T2280" s="44">
        <v>1220.7</v>
      </c>
      <c r="U2280" s="44">
        <v>1230.1300000000001</v>
      </c>
      <c r="V2280" s="44">
        <v>1572.47</v>
      </c>
      <c r="W2280" t="str">
        <f t="shared" si="577"/>
        <v>rob</v>
      </c>
    </row>
    <row r="2281" spans="1:23">
      <c r="A2281" t="str">
        <f>"LAB-MECHNISM-LMS"</f>
        <v>LAB-MECHNISM-LMS</v>
      </c>
      <c r="B2281" t="str">
        <f>"17-8047-0000"</f>
        <v>17-8047-0000</v>
      </c>
      <c r="C2281" t="str">
        <f>"LM 5 Content, Lab/Vir, Mechanisms"</f>
        <v>LM 5 Content, Lab/Vir, Mechanisms</v>
      </c>
      <c r="D2281">
        <v>1</v>
      </c>
      <c r="E2281" t="str">
        <f>"LAB Mechanism Technology (School License on LMS)"</f>
        <v>LAB Mechanism Technology (School License on LMS)</v>
      </c>
      <c r="F2281">
        <v>810</v>
      </c>
      <c r="G2281" t="str">
        <f t="shared" si="570"/>
        <v>Y</v>
      </c>
      <c r="H2281" t="str">
        <f t="shared" si="575"/>
        <v>EA</v>
      </c>
      <c r="I2281">
        <v>0</v>
      </c>
      <c r="J2281">
        <v>0</v>
      </c>
      <c r="K2281" t="str">
        <f t="shared" si="571"/>
        <v>Y</v>
      </c>
      <c r="L2281">
        <v>0</v>
      </c>
      <c r="M2281" t="str">
        <f t="shared" si="562"/>
        <v>NIS</v>
      </c>
      <c r="O2281">
        <v>3</v>
      </c>
      <c r="P2281" t="str">
        <f t="shared" si="578"/>
        <v>Active</v>
      </c>
      <c r="Q2281" t="str">
        <f>"LM5.X Content, Lab/Vir, Mechanisms"</f>
        <v>LM5.X Content, Lab/Vir, Mechanisms</v>
      </c>
      <c r="S2281" t="str">
        <f>"LM5.X Content, Lab/Vir, Mechanisms"</f>
        <v>LM5.X Content, Lab/Vir, Mechanisms</v>
      </c>
      <c r="T2281">
        <v>0</v>
      </c>
      <c r="U2281">
        <v>5</v>
      </c>
      <c r="V2281">
        <v>5</v>
      </c>
      <c r="W2281" t="str">
        <f t="shared" si="577"/>
        <v>rob</v>
      </c>
    </row>
    <row r="2282" spans="1:23">
      <c r="A2282" t="str">
        <f>"LAB-MECHNISM-SA"</f>
        <v>LAB-MECHNISM-SA</v>
      </c>
      <c r="B2282" t="str">
        <f>"48047-200"</f>
        <v>48047-200</v>
      </c>
      <c r="C2282" t="str">
        <f>"Mechanism Suitcase MB-300 w/Accessories"</f>
        <v>Mechanism Suitcase MB-300 w/Accessories</v>
      </c>
      <c r="D2282">
        <v>1</v>
      </c>
      <c r="E2282" t="str">
        <f>"LAB Mechanism Technology (standalone)"</f>
        <v>LAB Mechanism Technology (standalone)</v>
      </c>
      <c r="F2282">
        <v>810</v>
      </c>
      <c r="G2282" t="str">
        <f t="shared" si="570"/>
        <v>Y</v>
      </c>
      <c r="H2282" t="str">
        <f t="shared" si="575"/>
        <v>EA</v>
      </c>
      <c r="I2282">
        <v>0</v>
      </c>
      <c r="J2282">
        <v>0</v>
      </c>
      <c r="K2282" t="str">
        <f t="shared" si="571"/>
        <v>Y</v>
      </c>
      <c r="L2282">
        <v>0</v>
      </c>
      <c r="M2282" t="str">
        <f t="shared" si="562"/>
        <v>NIS</v>
      </c>
      <c r="O2282">
        <v>1</v>
      </c>
      <c r="P2282" t="str">
        <f t="shared" si="578"/>
        <v>Active</v>
      </c>
      <c r="Q2282" t="str">
        <f>"mechanisms Suitcase"</f>
        <v>mechanisms Suitcase</v>
      </c>
      <c r="S2282" t="str">
        <f>"Mechanism Suitcase MB-300 w/Accessories"</f>
        <v>Mechanism Suitcase MB-300 w/Accessories</v>
      </c>
      <c r="T2282" s="44">
        <v>1220.7</v>
      </c>
      <c r="U2282" s="44">
        <v>1230.1300000000001</v>
      </c>
      <c r="V2282" s="44">
        <v>1572.47</v>
      </c>
      <c r="W2282" t="str">
        <f t="shared" si="577"/>
        <v>rob</v>
      </c>
    </row>
    <row r="2283" spans="1:23">
      <c r="A2283" t="str">
        <f>"LAB-MECHNISM-SA"</f>
        <v>LAB-MECHNISM-SA</v>
      </c>
      <c r="B2283" t="str">
        <f>"0E7118"</f>
        <v>0E7118</v>
      </c>
      <c r="C2283" t="str">
        <f>"LM_Content SA Lab -E- Mechanisms"</f>
        <v>LM_Content SA Lab -E- Mechanisms</v>
      </c>
      <c r="D2283">
        <v>1</v>
      </c>
      <c r="E2283" t="str">
        <f>"LAB Mechanism Technology (standalone)"</f>
        <v>LAB Mechanism Technology (standalone)</v>
      </c>
      <c r="F2283">
        <v>810</v>
      </c>
      <c r="G2283" t="str">
        <f t="shared" si="570"/>
        <v>Y</v>
      </c>
      <c r="H2283" t="str">
        <f t="shared" si="575"/>
        <v>EA</v>
      </c>
      <c r="I2283">
        <v>0</v>
      </c>
      <c r="J2283">
        <v>0</v>
      </c>
      <c r="K2283" t="str">
        <f t="shared" si="571"/>
        <v>Y</v>
      </c>
      <c r="L2283">
        <v>0</v>
      </c>
      <c r="M2283" t="str">
        <f t="shared" si="562"/>
        <v>NIS</v>
      </c>
      <c r="O2283">
        <v>2</v>
      </c>
      <c r="P2283" t="str">
        <f>"Not for purc"</f>
        <v>Not for purc</v>
      </c>
      <c r="Q2283" t="str">
        <f>"LM_Content SA Lab -E- Mechanisms"</f>
        <v>LM_Content SA Lab -E- Mechanisms</v>
      </c>
      <c r="S2283" t="str">
        <f>"LM_Content SA Lab -E- Mechanisms"</f>
        <v>LM_Content SA Lab -E- Mechanisms</v>
      </c>
      <c r="T2283">
        <v>0</v>
      </c>
      <c r="U2283">
        <v>30.65</v>
      </c>
      <c r="V2283">
        <v>35.840000000000003</v>
      </c>
      <c r="W2283" t="str">
        <f t="shared" si="577"/>
        <v>rob</v>
      </c>
    </row>
    <row r="2284" spans="1:23">
      <c r="A2284" t="str">
        <f>"LAB-MECHNISM-SA"</f>
        <v>LAB-MECHNISM-SA</v>
      </c>
      <c r="B2284" t="str">
        <f>"63-7001-0100"</f>
        <v>63-7001-0100</v>
      </c>
      <c r="C2284" t="str">
        <f>"License Key for Standalone Content"</f>
        <v>License Key for Standalone Content</v>
      </c>
      <c r="D2284">
        <v>1</v>
      </c>
      <c r="E2284" t="str">
        <f>"LAB Mechanism Technology (standalone)"</f>
        <v>LAB Mechanism Technology (standalone)</v>
      </c>
      <c r="F2284">
        <v>810</v>
      </c>
      <c r="G2284" t="str">
        <f t="shared" si="570"/>
        <v>Y</v>
      </c>
      <c r="H2284" t="str">
        <f t="shared" si="575"/>
        <v>EA</v>
      </c>
      <c r="I2284">
        <v>0</v>
      </c>
      <c r="J2284">
        <v>0</v>
      </c>
      <c r="K2284" t="str">
        <f t="shared" si="571"/>
        <v>Y</v>
      </c>
      <c r="L2284">
        <v>0</v>
      </c>
      <c r="M2284" t="str">
        <f t="shared" si="562"/>
        <v>NIS</v>
      </c>
      <c r="O2284">
        <v>3</v>
      </c>
      <c r="P2284" t="str">
        <f t="shared" ref="P2284:P2293" si="581">"Active"</f>
        <v>Active</v>
      </c>
      <c r="Q2284" t="str">
        <f>"License Key For LM Content Standalone"</f>
        <v>License Key For LM Content Standalone</v>
      </c>
      <c r="R2284" t="str">
        <f>"1"</f>
        <v>1</v>
      </c>
      <c r="S2284" t="str">
        <f>"License Key For LM Content Standalone"</f>
        <v>License Key For LM Content Standalone</v>
      </c>
      <c r="T2284">
        <v>0</v>
      </c>
      <c r="U2284">
        <v>18</v>
      </c>
      <c r="V2284">
        <v>18.72</v>
      </c>
      <c r="W2284" t="str">
        <f t="shared" si="577"/>
        <v>rob</v>
      </c>
    </row>
    <row r="2285" spans="1:23">
      <c r="A2285" t="str">
        <f>"LAB-MMQC-LMS"</f>
        <v>LAB-MMQC-LMS</v>
      </c>
      <c r="B2285" t="str">
        <f>"00-3043-0000"</f>
        <v>00-3043-0000</v>
      </c>
      <c r="C2285" t="str">
        <f>"Mechanical Measurement QC Metric Package"</f>
        <v>Mechanical Measurement QC Metric Package</v>
      </c>
      <c r="D2285">
        <v>1</v>
      </c>
      <c r="E2285" t="str">
        <f>"LAB Quality Control (School License on LMS) -Mechanical Measurement"</f>
        <v>LAB Quality Control (School License on LMS) -Mechanical Measurement</v>
      </c>
      <c r="F2285">
        <v>810</v>
      </c>
      <c r="G2285" t="str">
        <f t="shared" si="570"/>
        <v>Y</v>
      </c>
      <c r="H2285" t="str">
        <f t="shared" si="575"/>
        <v>EA</v>
      </c>
      <c r="I2285">
        <v>0</v>
      </c>
      <c r="J2285">
        <v>0</v>
      </c>
      <c r="K2285" t="str">
        <f t="shared" si="571"/>
        <v>Y</v>
      </c>
      <c r="L2285">
        <v>0</v>
      </c>
      <c r="M2285" t="str">
        <f t="shared" si="562"/>
        <v>NIS</v>
      </c>
      <c r="O2285">
        <v>1</v>
      </c>
      <c r="P2285" t="str">
        <f t="shared" si="581"/>
        <v>Active</v>
      </c>
      <c r="Q2285" t="str">
        <f>"Mechanical Measurement QC Metric Package"</f>
        <v>Mechanical Measurement QC Metric Package</v>
      </c>
      <c r="S2285" t="str">
        <f>"Mechanical Measurement QC Metric Package"</f>
        <v>Mechanical Measurement QC Metric Package</v>
      </c>
      <c r="T2285">
        <v>0</v>
      </c>
      <c r="U2285" s="44">
        <v>4653.6099999999997</v>
      </c>
      <c r="V2285" s="44">
        <v>2190.71</v>
      </c>
      <c r="W2285" t="str">
        <f t="shared" si="577"/>
        <v>rob</v>
      </c>
    </row>
    <row r="2286" spans="1:23">
      <c r="A2286" t="str">
        <f>"LAB-MMQC-LMS"</f>
        <v>LAB-MMQC-LMS</v>
      </c>
      <c r="B2286" t="str">
        <f>"17-8014-0001"</f>
        <v>17-8014-0001</v>
      </c>
      <c r="C2286" t="str">
        <f>"LM5.X Content, Lab/Vir, MMQC"</f>
        <v>LM5.X Content, Lab/Vir, MMQC</v>
      </c>
      <c r="D2286">
        <v>1</v>
      </c>
      <c r="E2286" t="str">
        <f>"LAB Quality Control (School License on LMS) -Mechanical Measurement"</f>
        <v>LAB Quality Control (School License on LMS) -Mechanical Measurement</v>
      </c>
      <c r="F2286">
        <v>810</v>
      </c>
      <c r="G2286" t="str">
        <f t="shared" si="570"/>
        <v>Y</v>
      </c>
      <c r="H2286" t="str">
        <f t="shared" si="575"/>
        <v>EA</v>
      </c>
      <c r="I2286">
        <v>0</v>
      </c>
      <c r="J2286">
        <v>0</v>
      </c>
      <c r="K2286" t="str">
        <f t="shared" si="571"/>
        <v>Y</v>
      </c>
      <c r="L2286">
        <v>0</v>
      </c>
      <c r="M2286" t="str">
        <f t="shared" si="562"/>
        <v>NIS</v>
      </c>
      <c r="O2286">
        <v>3</v>
      </c>
      <c r="P2286" t="str">
        <f t="shared" si="581"/>
        <v>Active</v>
      </c>
      <c r="Q2286" t="str">
        <f>"LM5.X Content, Lab/Vir, MMQC"</f>
        <v>LM5.X Content, Lab/Vir, MMQC</v>
      </c>
      <c r="S2286" t="str">
        <f>"LM5.X Content, Lab/Vir, MMQC"</f>
        <v>LM5.X Content, Lab/Vir, MMQC</v>
      </c>
      <c r="T2286">
        <v>0</v>
      </c>
      <c r="U2286">
        <v>5</v>
      </c>
      <c r="V2286">
        <v>5</v>
      </c>
      <c r="W2286" t="str">
        <f t="shared" si="577"/>
        <v>rob</v>
      </c>
    </row>
    <row r="2287" spans="1:23">
      <c r="A2287" t="str">
        <f>"LAB-PLC1 500-LMS"</f>
        <v>LAB-PLC1 500-LMS</v>
      </c>
      <c r="B2287" t="str">
        <f>"00-3054-0000"</f>
        <v>00-3054-0000</v>
      </c>
      <c r="C2287" t="str">
        <f>"PLC Line Panel  A/B SLC 500, 230V"</f>
        <v>PLC Line Panel  A/B SLC 500, 230V</v>
      </c>
      <c r="D2287">
        <v>1</v>
      </c>
      <c r="E2287" t="str">
        <f>"LAB PLC Technology 1 (School License on LMS) - AB SLC500"</f>
        <v>LAB PLC Technology 1 (School License on LMS) - AB SLC500</v>
      </c>
      <c r="F2287">
        <v>810</v>
      </c>
      <c r="G2287" t="str">
        <f t="shared" si="570"/>
        <v>Y</v>
      </c>
      <c r="H2287" t="str">
        <f t="shared" si="575"/>
        <v>EA</v>
      </c>
      <c r="I2287">
        <v>0</v>
      </c>
      <c r="J2287">
        <v>0</v>
      </c>
      <c r="K2287" t="str">
        <f t="shared" si="571"/>
        <v>Y</v>
      </c>
      <c r="L2287">
        <v>0</v>
      </c>
      <c r="M2287" t="str">
        <f t="shared" si="562"/>
        <v>NIS</v>
      </c>
      <c r="O2287">
        <v>1</v>
      </c>
      <c r="P2287" t="str">
        <f t="shared" si="581"/>
        <v>Active</v>
      </c>
      <c r="Q2287" t="str">
        <f>"PLC Line Panel  A/B SLC 500, 230V"</f>
        <v>PLC Line Panel  A/B SLC 500, 230V</v>
      </c>
      <c r="S2287" t="str">
        <f>"PLC Line Panel  A/B SLC 500, 230V"</f>
        <v>PLC Line Panel  A/B SLC 500, 230V</v>
      </c>
      <c r="T2287">
        <v>0</v>
      </c>
      <c r="U2287" s="44">
        <v>4779.26</v>
      </c>
      <c r="V2287" s="44">
        <v>4129.16</v>
      </c>
      <c r="W2287" t="str">
        <f t="shared" si="577"/>
        <v>rob</v>
      </c>
    </row>
    <row r="2288" spans="1:23">
      <c r="A2288" t="str">
        <f>"LAB-PLC1 500-LMS"</f>
        <v>LAB-PLC1 500-LMS</v>
      </c>
      <c r="B2288" t="str">
        <f>"63-9241-0000"</f>
        <v>63-9241-0000</v>
      </c>
      <c r="C2288" t="str">
        <f>"PLC Motion Simulation Software"</f>
        <v>PLC Motion Simulation Software</v>
      </c>
      <c r="D2288">
        <v>1</v>
      </c>
      <c r="E2288" t="str">
        <f>"LAB PLC Technology 1 (School License on LMS) - AB SLC500"</f>
        <v>LAB PLC Technology 1 (School License on LMS) - AB SLC500</v>
      </c>
      <c r="F2288">
        <v>810</v>
      </c>
      <c r="G2288" t="str">
        <f t="shared" si="570"/>
        <v>Y</v>
      </c>
      <c r="H2288" t="str">
        <f t="shared" si="575"/>
        <v>EA</v>
      </c>
      <c r="I2288">
        <v>0</v>
      </c>
      <c r="J2288">
        <v>0</v>
      </c>
      <c r="K2288" t="str">
        <f t="shared" si="571"/>
        <v>Y</v>
      </c>
      <c r="L2288">
        <v>0</v>
      </c>
      <c r="M2288" t="str">
        <f t="shared" si="562"/>
        <v>NIS</v>
      </c>
      <c r="O2288">
        <v>2</v>
      </c>
      <c r="P2288" t="str">
        <f t="shared" si="581"/>
        <v>Active</v>
      </c>
      <c r="Q2288" t="str">
        <f>"PLC Motion Simulation Software Package"</f>
        <v>PLC Motion Simulation Software Package</v>
      </c>
      <c r="S2288" t="str">
        <f>"PLCMotion Simulation Software"</f>
        <v>PLCMotion Simulation Software</v>
      </c>
      <c r="T2288">
        <v>0</v>
      </c>
      <c r="U2288">
        <v>30.81</v>
      </c>
      <c r="V2288">
        <v>31.43</v>
      </c>
      <c r="W2288" t="str">
        <f t="shared" si="577"/>
        <v>rob</v>
      </c>
    </row>
    <row r="2289" spans="1:23">
      <c r="A2289" t="str">
        <f>"LAB-PLC1 500-LMS"</f>
        <v>LAB-PLC1 500-LMS</v>
      </c>
      <c r="B2289" t="str">
        <f>"63-7000-1100"</f>
        <v>63-7000-1100</v>
      </c>
      <c r="C2289" t="str">
        <f>"License Key For PLCMotion Software"</f>
        <v>License Key For PLCMotion Software</v>
      </c>
      <c r="D2289">
        <v>1</v>
      </c>
      <c r="E2289" t="str">
        <f>"LAB PLC Technology 1 (School License on LMS) - AB SLC500"</f>
        <v>LAB PLC Technology 1 (School License on LMS) - AB SLC500</v>
      </c>
      <c r="F2289">
        <v>810</v>
      </c>
      <c r="G2289" t="str">
        <f t="shared" si="570"/>
        <v>Y</v>
      </c>
      <c r="H2289" t="str">
        <f t="shared" si="575"/>
        <v>EA</v>
      </c>
      <c r="I2289">
        <v>0</v>
      </c>
      <c r="J2289">
        <v>0</v>
      </c>
      <c r="K2289" t="str">
        <f t="shared" si="571"/>
        <v>Y</v>
      </c>
      <c r="L2289">
        <v>0</v>
      </c>
      <c r="M2289" t="str">
        <f t="shared" ref="M2289:M2352" si="582">"NIS"</f>
        <v>NIS</v>
      </c>
      <c r="O2289">
        <v>3</v>
      </c>
      <c r="P2289" t="str">
        <f t="shared" si="581"/>
        <v>Active</v>
      </c>
      <c r="Q2289" t="str">
        <f>"License Key For PLCMotion Software"</f>
        <v>License Key For PLCMotion Software</v>
      </c>
      <c r="R2289" t="str">
        <f>"1"</f>
        <v>1</v>
      </c>
      <c r="S2289" t="str">
        <f>"License Key For PLCMotion Software"</f>
        <v>License Key For PLCMotion Software</v>
      </c>
      <c r="T2289">
        <v>0</v>
      </c>
      <c r="U2289">
        <v>5</v>
      </c>
      <c r="V2289">
        <v>5.55</v>
      </c>
      <c r="W2289" t="str">
        <f t="shared" si="577"/>
        <v>rob</v>
      </c>
    </row>
    <row r="2290" spans="1:23">
      <c r="A2290" t="str">
        <f>"LAB-PLC1 500-LMS"</f>
        <v>LAB-PLC1 500-LMS</v>
      </c>
      <c r="B2290" t="str">
        <f>"17-3032-0000"</f>
        <v>17-3032-0000</v>
      </c>
      <c r="C2290" t="str">
        <f>"LM5 Content, Lab/Vir, PLC 1"</f>
        <v>LM5 Content, Lab/Vir, PLC 1</v>
      </c>
      <c r="D2290">
        <v>1</v>
      </c>
      <c r="E2290" t="str">
        <f>"LAB PLC Technology 1 (School License on LMS) - AB SLC500"</f>
        <v>LAB PLC Technology 1 (School License on LMS) - AB SLC500</v>
      </c>
      <c r="F2290">
        <v>810</v>
      </c>
      <c r="G2290" t="str">
        <f t="shared" si="570"/>
        <v>Y</v>
      </c>
      <c r="H2290" t="str">
        <f t="shared" si="575"/>
        <v>EA</v>
      </c>
      <c r="I2290">
        <v>0</v>
      </c>
      <c r="J2290">
        <v>0</v>
      </c>
      <c r="K2290" t="str">
        <f t="shared" si="571"/>
        <v>Y</v>
      </c>
      <c r="L2290">
        <v>0</v>
      </c>
      <c r="M2290" t="str">
        <f t="shared" si="582"/>
        <v>NIS</v>
      </c>
      <c r="O2290">
        <v>5</v>
      </c>
      <c r="P2290" t="str">
        <f t="shared" si="581"/>
        <v>Active</v>
      </c>
      <c r="Q2290" t="str">
        <f>"LM5.X Content, Lab/Vir, PLC 1"</f>
        <v>LM5.X Content, Lab/Vir, PLC 1</v>
      </c>
      <c r="S2290" t="str">
        <f>"LM5.X Content, Lab/Vir, PLC 1"</f>
        <v>LM5.X Content, Lab/Vir, PLC 1</v>
      </c>
      <c r="T2290">
        <v>0</v>
      </c>
      <c r="U2290">
        <v>5</v>
      </c>
      <c r="V2290">
        <v>5</v>
      </c>
      <c r="W2290" t="str">
        <f t="shared" si="577"/>
        <v>rob</v>
      </c>
    </row>
    <row r="2291" spans="1:23">
      <c r="A2291" t="str">
        <f>"LAB-PLC1 500-SA"</f>
        <v>LAB-PLC1 500-SA</v>
      </c>
      <c r="B2291" t="str">
        <f>"00-3054-0000"</f>
        <v>00-3054-0000</v>
      </c>
      <c r="C2291" t="str">
        <f>"PLC Line Panel  A/B SLC 500, 230V"</f>
        <v>PLC Line Panel  A/B SLC 500, 230V</v>
      </c>
      <c r="D2291">
        <v>1</v>
      </c>
      <c r="E2291" t="str">
        <f>"LAB PLC Technology 1 (standalone) -AB SLC500"</f>
        <v>LAB PLC Technology 1 (standalone) -AB SLC500</v>
      </c>
      <c r="F2291">
        <v>810</v>
      </c>
      <c r="G2291" t="str">
        <f t="shared" si="570"/>
        <v>Y</v>
      </c>
      <c r="H2291" t="str">
        <f t="shared" si="575"/>
        <v>EA</v>
      </c>
      <c r="I2291">
        <v>0</v>
      </c>
      <c r="J2291">
        <v>0</v>
      </c>
      <c r="K2291" t="str">
        <f t="shared" si="571"/>
        <v>Y</v>
      </c>
      <c r="L2291">
        <v>0</v>
      </c>
      <c r="M2291" t="str">
        <f t="shared" si="582"/>
        <v>NIS</v>
      </c>
      <c r="O2291">
        <v>1</v>
      </c>
      <c r="P2291" t="str">
        <f t="shared" si="581"/>
        <v>Active</v>
      </c>
      <c r="Q2291" t="str">
        <f>"PLC Line Panel  A/B SLC 500, 230V"</f>
        <v>PLC Line Panel  A/B SLC 500, 230V</v>
      </c>
      <c r="S2291" t="str">
        <f>"PLC Line Panel  A/B SLC 500, 230V"</f>
        <v>PLC Line Panel  A/B SLC 500, 230V</v>
      </c>
      <c r="T2291">
        <v>0</v>
      </c>
      <c r="U2291" s="44">
        <v>4779.26</v>
      </c>
      <c r="V2291" s="44">
        <v>4129.16</v>
      </c>
      <c r="W2291" t="str">
        <f t="shared" si="577"/>
        <v>rob</v>
      </c>
    </row>
    <row r="2292" spans="1:23">
      <c r="A2292" t="str">
        <f>"LAB-PLC1 500-SA"</f>
        <v>LAB-PLC1 500-SA</v>
      </c>
      <c r="B2292" t="str">
        <f>"63-9241-0000"</f>
        <v>63-9241-0000</v>
      </c>
      <c r="C2292" t="str">
        <f>"PLC Motion Simulation Software"</f>
        <v>PLC Motion Simulation Software</v>
      </c>
      <c r="D2292">
        <v>1</v>
      </c>
      <c r="E2292" t="str">
        <f>"LAB PLC Technology 1 (standalone) -AB SLC500"</f>
        <v>LAB PLC Technology 1 (standalone) -AB SLC500</v>
      </c>
      <c r="F2292">
        <v>810</v>
      </c>
      <c r="G2292" t="str">
        <f t="shared" si="570"/>
        <v>Y</v>
      </c>
      <c r="H2292" t="str">
        <f t="shared" si="575"/>
        <v>EA</v>
      </c>
      <c r="I2292">
        <v>0</v>
      </c>
      <c r="J2292">
        <v>0</v>
      </c>
      <c r="K2292" t="str">
        <f t="shared" si="571"/>
        <v>Y</v>
      </c>
      <c r="L2292">
        <v>0</v>
      </c>
      <c r="M2292" t="str">
        <f t="shared" si="582"/>
        <v>NIS</v>
      </c>
      <c r="O2292">
        <v>2</v>
      </c>
      <c r="P2292" t="str">
        <f t="shared" si="581"/>
        <v>Active</v>
      </c>
      <c r="Q2292" t="str">
        <f>"PLC Motion Simulation Software Package"</f>
        <v>PLC Motion Simulation Software Package</v>
      </c>
      <c r="S2292" t="str">
        <f>"PLCMotion Simulation Software"</f>
        <v>PLCMotion Simulation Software</v>
      </c>
      <c r="T2292">
        <v>0</v>
      </c>
      <c r="U2292">
        <v>30.81</v>
      </c>
      <c r="V2292">
        <v>31.43</v>
      </c>
      <c r="W2292" t="str">
        <f t="shared" si="577"/>
        <v>rob</v>
      </c>
    </row>
    <row r="2293" spans="1:23">
      <c r="A2293" t="str">
        <f>"LAB-PLC1 500-SA"</f>
        <v>LAB-PLC1 500-SA</v>
      </c>
      <c r="B2293" t="str">
        <f>"63-7000-1100"</f>
        <v>63-7000-1100</v>
      </c>
      <c r="C2293" t="str">
        <f>"License Key For PLCMotion Software"</f>
        <v>License Key For PLCMotion Software</v>
      </c>
      <c r="D2293">
        <v>1</v>
      </c>
      <c r="E2293" t="str">
        <f>"LAB PLC Technology 1 (standalone) -AB SLC500"</f>
        <v>LAB PLC Technology 1 (standalone) -AB SLC500</v>
      </c>
      <c r="F2293">
        <v>810</v>
      </c>
      <c r="G2293" t="str">
        <f t="shared" si="570"/>
        <v>Y</v>
      </c>
      <c r="H2293" t="str">
        <f t="shared" si="575"/>
        <v>EA</v>
      </c>
      <c r="I2293">
        <v>0</v>
      </c>
      <c r="J2293">
        <v>0</v>
      </c>
      <c r="K2293" t="str">
        <f t="shared" si="571"/>
        <v>Y</v>
      </c>
      <c r="L2293">
        <v>0</v>
      </c>
      <c r="M2293" t="str">
        <f t="shared" si="582"/>
        <v>NIS</v>
      </c>
      <c r="O2293">
        <v>3</v>
      </c>
      <c r="P2293" t="str">
        <f t="shared" si="581"/>
        <v>Active</v>
      </c>
      <c r="Q2293" t="str">
        <f>"License Key For PLCMotion Software"</f>
        <v>License Key For PLCMotion Software</v>
      </c>
      <c r="R2293" t="str">
        <f>"1"</f>
        <v>1</v>
      </c>
      <c r="S2293" t="str">
        <f>"License Key For PLCMotion Software"</f>
        <v>License Key For PLCMotion Software</v>
      </c>
      <c r="T2293">
        <v>0</v>
      </c>
      <c r="U2293">
        <v>5</v>
      </c>
      <c r="V2293">
        <v>5.55</v>
      </c>
      <c r="W2293" t="str">
        <f t="shared" si="577"/>
        <v>rob</v>
      </c>
    </row>
    <row r="2294" spans="1:23">
      <c r="A2294" t="str">
        <f>"LAB-PLC1 500-SA"</f>
        <v>LAB-PLC1 500-SA</v>
      </c>
      <c r="B2294" t="str">
        <f>"0E7123"</f>
        <v>0E7123</v>
      </c>
      <c r="C2294" t="str">
        <f>"LM_Content SA Lab PLC Tech.1 w/SLC500 -Fundament"</f>
        <v>LM_Content SA Lab PLC Tech.1 w/SLC500 -Fundament</v>
      </c>
      <c r="D2294">
        <v>1</v>
      </c>
      <c r="E2294" t="str">
        <f>"LAB PLC Technology 1 (standalone) -AB SLC500"</f>
        <v>LAB PLC Technology 1 (standalone) -AB SLC500</v>
      </c>
      <c r="F2294">
        <v>810</v>
      </c>
      <c r="G2294" t="str">
        <f t="shared" si="570"/>
        <v>Y</v>
      </c>
      <c r="H2294" t="str">
        <f t="shared" si="575"/>
        <v>EA</v>
      </c>
      <c r="I2294">
        <v>0</v>
      </c>
      <c r="J2294">
        <v>0</v>
      </c>
      <c r="K2294" t="str">
        <f t="shared" si="571"/>
        <v>Y</v>
      </c>
      <c r="L2294">
        <v>0</v>
      </c>
      <c r="M2294" t="str">
        <f t="shared" si="582"/>
        <v>NIS</v>
      </c>
      <c r="O2294">
        <v>4</v>
      </c>
      <c r="P2294" t="str">
        <f>"Not for purc"</f>
        <v>Not for purc</v>
      </c>
      <c r="Q2294" t="str">
        <f>"LM_Content SA Lab PLC Tech.1 w/SLC500 -Fundament"</f>
        <v>LM_Content SA Lab PLC Tech.1 w/SLC500 -Fundament</v>
      </c>
      <c r="S2294" t="str">
        <f>"LM_Content SA Lab PLC Tech.1 w/SLC500 -Fundament"</f>
        <v>LM_Content SA Lab PLC Tech.1 w/SLC500 -Fundament</v>
      </c>
      <c r="T2294">
        <v>0</v>
      </c>
      <c r="U2294">
        <v>30.65</v>
      </c>
      <c r="V2294">
        <v>35.840000000000003</v>
      </c>
      <c r="W2294" t="str">
        <f t="shared" si="577"/>
        <v>rob</v>
      </c>
    </row>
    <row r="2295" spans="1:23">
      <c r="A2295" t="str">
        <f>"LAB-PLC1 500-SA"</f>
        <v>LAB-PLC1 500-SA</v>
      </c>
      <c r="B2295" t="str">
        <f>"63-7001-0100"</f>
        <v>63-7001-0100</v>
      </c>
      <c r="C2295" t="str">
        <f>"License Key for Standalone Content"</f>
        <v>License Key for Standalone Content</v>
      </c>
      <c r="D2295">
        <v>1</v>
      </c>
      <c r="E2295" t="str">
        <f>"LAB PLC Technology 1 (standalone) -AB SLC500"</f>
        <v>LAB PLC Technology 1 (standalone) -AB SLC500</v>
      </c>
      <c r="F2295">
        <v>810</v>
      </c>
      <c r="G2295" t="str">
        <f t="shared" si="570"/>
        <v>Y</v>
      </c>
      <c r="H2295" t="str">
        <f t="shared" si="575"/>
        <v>EA</v>
      </c>
      <c r="I2295">
        <v>0</v>
      </c>
      <c r="J2295">
        <v>0</v>
      </c>
      <c r="K2295" t="str">
        <f t="shared" si="571"/>
        <v>Y</v>
      </c>
      <c r="L2295">
        <v>0</v>
      </c>
      <c r="M2295" t="str">
        <f t="shared" si="582"/>
        <v>NIS</v>
      </c>
      <c r="O2295">
        <v>5</v>
      </c>
      <c r="P2295" t="str">
        <f t="shared" ref="P2295:P2301" si="583">"Active"</f>
        <v>Active</v>
      </c>
      <c r="Q2295" t="str">
        <f>"License Key For LM Content Standalone"</f>
        <v>License Key For LM Content Standalone</v>
      </c>
      <c r="R2295" t="str">
        <f>"1"</f>
        <v>1</v>
      </c>
      <c r="S2295" t="str">
        <f>"License Key For LM Content Standalone"</f>
        <v>License Key For LM Content Standalone</v>
      </c>
      <c r="T2295">
        <v>0</v>
      </c>
      <c r="U2295">
        <v>18</v>
      </c>
      <c r="V2295">
        <v>18.72</v>
      </c>
      <c r="W2295" t="str">
        <f t="shared" si="577"/>
        <v>rob</v>
      </c>
    </row>
    <row r="2296" spans="1:23">
      <c r="A2296" t="str">
        <f>"LAB-PLC1 MIC-LMS"</f>
        <v>LAB-PLC1 MIC-LMS</v>
      </c>
      <c r="B2296" t="str">
        <f>"00-3075-0000"</f>
        <v>00-3075-0000</v>
      </c>
      <c r="C2296" t="str">
        <f>"PLCLine Panel with A/B MicroLogix PLC"</f>
        <v>PLCLine Panel with A/B MicroLogix PLC</v>
      </c>
      <c r="D2296">
        <v>1</v>
      </c>
      <c r="E2296" t="str">
        <f>"LAB PLC Technology 1 (School License on LMS) -AB Micrologix"</f>
        <v>LAB PLC Technology 1 (School License on LMS) -AB Micrologix</v>
      </c>
      <c r="F2296">
        <v>810</v>
      </c>
      <c r="G2296" t="str">
        <f t="shared" si="570"/>
        <v>Y</v>
      </c>
      <c r="H2296" t="str">
        <f t="shared" si="575"/>
        <v>EA</v>
      </c>
      <c r="I2296">
        <v>0</v>
      </c>
      <c r="J2296">
        <v>0</v>
      </c>
      <c r="K2296" t="str">
        <f t="shared" si="571"/>
        <v>Y</v>
      </c>
      <c r="L2296">
        <v>0</v>
      </c>
      <c r="M2296" t="str">
        <f t="shared" si="582"/>
        <v>NIS</v>
      </c>
      <c r="O2296">
        <v>1</v>
      </c>
      <c r="P2296" t="str">
        <f t="shared" si="583"/>
        <v>Active</v>
      </c>
      <c r="Q2296" t="str">
        <f>"PLCLine Panel with PLC A/B MicroLogix"</f>
        <v>PLCLine Panel with PLC A/B MicroLogix</v>
      </c>
      <c r="S2296" t="str">
        <f>"PLCLine Panel with PLC A/B MicroLogix"</f>
        <v>PLCLine Panel with PLC A/B MicroLogix</v>
      </c>
      <c r="T2296">
        <v>0</v>
      </c>
      <c r="U2296" s="44">
        <v>1817</v>
      </c>
      <c r="V2296" s="44">
        <v>1844.43</v>
      </c>
      <c r="W2296" t="str">
        <f t="shared" si="577"/>
        <v>rob</v>
      </c>
    </row>
    <row r="2297" spans="1:23">
      <c r="A2297" t="str">
        <f>"LAB-PLC1 MIC-LMS"</f>
        <v>LAB-PLC1 MIC-LMS</v>
      </c>
      <c r="B2297" t="str">
        <f>"17-3032-0000"</f>
        <v>17-3032-0000</v>
      </c>
      <c r="C2297" t="str">
        <f>"LM5 Content, Lab/Vir, PLC 1"</f>
        <v>LM5 Content, Lab/Vir, PLC 1</v>
      </c>
      <c r="D2297">
        <v>1</v>
      </c>
      <c r="E2297" t="str">
        <f>"LAB PLC Technology 1 (School License on LMS) -AB Micrologix"</f>
        <v>LAB PLC Technology 1 (School License on LMS) -AB Micrologix</v>
      </c>
      <c r="F2297">
        <v>810</v>
      </c>
      <c r="G2297" t="str">
        <f t="shared" si="570"/>
        <v>Y</v>
      </c>
      <c r="H2297" t="str">
        <f t="shared" si="575"/>
        <v>EA</v>
      </c>
      <c r="I2297">
        <v>0</v>
      </c>
      <c r="J2297">
        <v>0</v>
      </c>
      <c r="K2297" t="str">
        <f t="shared" si="571"/>
        <v>Y</v>
      </c>
      <c r="L2297">
        <v>0</v>
      </c>
      <c r="M2297" t="str">
        <f t="shared" si="582"/>
        <v>NIS</v>
      </c>
      <c r="O2297">
        <v>5</v>
      </c>
      <c r="P2297" t="str">
        <f t="shared" si="583"/>
        <v>Active</v>
      </c>
      <c r="Q2297" t="str">
        <f>"LM5.X Content, Lab/Vir, PLC 1"</f>
        <v>LM5.X Content, Lab/Vir, PLC 1</v>
      </c>
      <c r="S2297" t="str">
        <f>"LM5.X Content, Lab/Vir, PLC 1"</f>
        <v>LM5.X Content, Lab/Vir, PLC 1</v>
      </c>
      <c r="T2297">
        <v>0</v>
      </c>
      <c r="U2297">
        <v>5</v>
      </c>
      <c r="V2297">
        <v>5</v>
      </c>
      <c r="W2297" t="str">
        <f t="shared" si="577"/>
        <v>rob</v>
      </c>
    </row>
    <row r="2298" spans="1:23">
      <c r="A2298" t="str">
        <f>"LAB-PLC1 MIC-LMS"</f>
        <v>LAB-PLC1 MIC-LMS</v>
      </c>
      <c r="B2298" t="str">
        <f>"63-9241-0000"</f>
        <v>63-9241-0000</v>
      </c>
      <c r="C2298" t="str">
        <f>"PLC Motion Simulation Software"</f>
        <v>PLC Motion Simulation Software</v>
      </c>
      <c r="D2298">
        <v>1</v>
      </c>
      <c r="E2298" t="str">
        <f>"LAB PLC Technology 1 (School License on LMS) -AB Micrologix"</f>
        <v>LAB PLC Technology 1 (School License on LMS) -AB Micrologix</v>
      </c>
      <c r="F2298">
        <v>810</v>
      </c>
      <c r="G2298" t="str">
        <f t="shared" si="570"/>
        <v>Y</v>
      </c>
      <c r="H2298" t="str">
        <f t="shared" si="575"/>
        <v>EA</v>
      </c>
      <c r="I2298">
        <v>0</v>
      </c>
      <c r="J2298">
        <v>0</v>
      </c>
      <c r="K2298" t="str">
        <f t="shared" si="571"/>
        <v>Y</v>
      </c>
      <c r="L2298">
        <v>0</v>
      </c>
      <c r="M2298" t="str">
        <f t="shared" si="582"/>
        <v>NIS</v>
      </c>
      <c r="O2298">
        <v>3</v>
      </c>
      <c r="P2298" t="str">
        <f t="shared" si="583"/>
        <v>Active</v>
      </c>
      <c r="Q2298" t="str">
        <f>"PLC Motion Simulation Software Package"</f>
        <v>PLC Motion Simulation Software Package</v>
      </c>
      <c r="S2298" t="str">
        <f>"PLCMotion Simulation Software"</f>
        <v>PLCMotion Simulation Software</v>
      </c>
      <c r="T2298">
        <v>0</v>
      </c>
      <c r="U2298">
        <v>30.81</v>
      </c>
      <c r="V2298">
        <v>31.43</v>
      </c>
      <c r="W2298" t="str">
        <f t="shared" si="577"/>
        <v>rob</v>
      </c>
    </row>
    <row r="2299" spans="1:23">
      <c r="A2299" t="str">
        <f>"LAB-PLC1 MIC-LMS"</f>
        <v>LAB-PLC1 MIC-LMS</v>
      </c>
      <c r="B2299" t="str">
        <f>"63-7000-1100"</f>
        <v>63-7000-1100</v>
      </c>
      <c r="C2299" t="str">
        <f>"License Key For PLCMotion Software"</f>
        <v>License Key For PLCMotion Software</v>
      </c>
      <c r="D2299">
        <v>1</v>
      </c>
      <c r="E2299" t="str">
        <f>"LAB PLC Technology 1 (School License on LMS) -AB Micrologix"</f>
        <v>LAB PLC Technology 1 (School License on LMS) -AB Micrologix</v>
      </c>
      <c r="F2299">
        <v>810</v>
      </c>
      <c r="G2299" t="str">
        <f t="shared" si="570"/>
        <v>Y</v>
      </c>
      <c r="H2299" t="str">
        <f t="shared" si="575"/>
        <v>EA</v>
      </c>
      <c r="I2299">
        <v>0</v>
      </c>
      <c r="J2299">
        <v>0</v>
      </c>
      <c r="K2299" t="str">
        <f t="shared" si="571"/>
        <v>Y</v>
      </c>
      <c r="L2299">
        <v>0</v>
      </c>
      <c r="M2299" t="str">
        <f t="shared" si="582"/>
        <v>NIS</v>
      </c>
      <c r="O2299">
        <v>4</v>
      </c>
      <c r="P2299" t="str">
        <f t="shared" si="583"/>
        <v>Active</v>
      </c>
      <c r="Q2299" t="str">
        <f>"License Key For PLCMotion Software"</f>
        <v>License Key For PLCMotion Software</v>
      </c>
      <c r="R2299" t="str">
        <f>"1"</f>
        <v>1</v>
      </c>
      <c r="S2299" t="str">
        <f>"License Key For PLCMotion Software"</f>
        <v>License Key For PLCMotion Software</v>
      </c>
      <c r="T2299">
        <v>0</v>
      </c>
      <c r="U2299">
        <v>5</v>
      </c>
      <c r="V2299">
        <v>5.55</v>
      </c>
      <c r="W2299" t="str">
        <f t="shared" si="577"/>
        <v>rob</v>
      </c>
    </row>
    <row r="2300" spans="1:23">
      <c r="A2300" t="str">
        <f>"LAB-PLC1 MIC-LMS"</f>
        <v>LAB-PLC1 MIC-LMS</v>
      </c>
      <c r="B2300" t="str">
        <f>"0E8124"</f>
        <v>0E8124</v>
      </c>
      <c r="C2300" t="str">
        <f>"LM_Content LMS Lab PLC Technology 1 w/M.Logix"</f>
        <v>LM_Content LMS Lab PLC Technology 1 w/M.Logix</v>
      </c>
      <c r="D2300">
        <v>1</v>
      </c>
      <c r="E2300" t="str">
        <f>"LAB PLC Technology 1 (School License on LMS) -AB Micrologix"</f>
        <v>LAB PLC Technology 1 (School License on LMS) -AB Micrologix</v>
      </c>
      <c r="F2300">
        <v>810</v>
      </c>
      <c r="G2300" t="str">
        <f t="shared" si="570"/>
        <v>Y</v>
      </c>
      <c r="H2300" t="str">
        <f t="shared" si="575"/>
        <v>EA</v>
      </c>
      <c r="I2300">
        <v>0</v>
      </c>
      <c r="J2300">
        <v>0</v>
      </c>
      <c r="K2300" t="str">
        <f t="shared" si="571"/>
        <v>Y</v>
      </c>
      <c r="L2300">
        <v>0</v>
      </c>
      <c r="M2300" t="str">
        <f t="shared" si="582"/>
        <v>NIS</v>
      </c>
      <c r="N2300" t="str">
        <f>"Y"</f>
        <v>Y</v>
      </c>
      <c r="O2300">
        <v>2</v>
      </c>
      <c r="P2300" t="str">
        <f t="shared" si="583"/>
        <v>Active</v>
      </c>
      <c r="Q2300" t="str">
        <f>"LM_Content LMS Lab PLC Technology 1 w/M.Logix"</f>
        <v>LM_Content LMS Lab PLC Technology 1 w/M.Logix</v>
      </c>
      <c r="S2300" t="str">
        <f>"LM_Content LMS Lab PLC Technology 1 w/M.Logix"</f>
        <v>LM_Content LMS Lab PLC Technology 1 w/M.Logix</v>
      </c>
      <c r="T2300">
        <v>0</v>
      </c>
      <c r="U2300">
        <v>30.65</v>
      </c>
      <c r="V2300">
        <v>35.840000000000003</v>
      </c>
      <c r="W2300" t="str">
        <f t="shared" si="577"/>
        <v>rob</v>
      </c>
    </row>
    <row r="2301" spans="1:23">
      <c r="A2301" t="str">
        <f>"LAB-PLC2 500-LMS"</f>
        <v>LAB-PLC2 500-LMS</v>
      </c>
      <c r="B2301" t="str">
        <f>"17-3033-0000"</f>
        <v>17-3033-0000</v>
      </c>
      <c r="C2301" t="str">
        <f>"LM5 Content, Lab/Vir, PLC 2"</f>
        <v>LM5 Content, Lab/Vir, PLC 2</v>
      </c>
      <c r="D2301">
        <v>1</v>
      </c>
      <c r="E2301" t="str">
        <f>"LAB PLC Technology 2 (School License on LMS) - AB SLC500"</f>
        <v>LAB PLC Technology 2 (School License on LMS) - AB SLC500</v>
      </c>
      <c r="F2301">
        <v>810</v>
      </c>
      <c r="G2301" t="str">
        <f t="shared" si="570"/>
        <v>Y</v>
      </c>
      <c r="H2301" t="str">
        <f t="shared" si="575"/>
        <v>EA</v>
      </c>
      <c r="I2301">
        <v>0</v>
      </c>
      <c r="J2301">
        <v>0</v>
      </c>
      <c r="K2301" t="str">
        <f t="shared" si="571"/>
        <v>Y</v>
      </c>
      <c r="L2301">
        <v>0</v>
      </c>
      <c r="M2301" t="str">
        <f t="shared" si="582"/>
        <v>NIS</v>
      </c>
      <c r="O2301">
        <v>2</v>
      </c>
      <c r="P2301" t="str">
        <f t="shared" si="583"/>
        <v>Active</v>
      </c>
      <c r="Q2301" t="str">
        <f>"LM5.X Content, Lab/Vir, PLC 2"</f>
        <v>LM5.X Content, Lab/Vir, PLC 2</v>
      </c>
      <c r="S2301" t="str">
        <f>"LM5.X Content, Lab/Vir, PLC 2"</f>
        <v>LM5.X Content, Lab/Vir, PLC 2</v>
      </c>
      <c r="T2301">
        <v>0</v>
      </c>
      <c r="U2301">
        <v>5</v>
      </c>
      <c r="V2301">
        <v>5</v>
      </c>
      <c r="W2301" t="str">
        <f t="shared" si="577"/>
        <v>rob</v>
      </c>
    </row>
    <row r="2302" spans="1:23">
      <c r="A2302" t="str">
        <f>"LAB-PLC2 500-SA"</f>
        <v>LAB-PLC2 500-SA</v>
      </c>
      <c r="B2302" t="str">
        <f>"0E7125"</f>
        <v>0E7125</v>
      </c>
      <c r="C2302" t="str">
        <f>"LM_Content SA Lab  PLC Tech. 2 W/SLC500- Advnced"</f>
        <v>LM_Content SA Lab  PLC Tech. 2 W/SLC500- Advnced</v>
      </c>
      <c r="D2302">
        <v>1</v>
      </c>
      <c r="E2302" t="str">
        <f>"LAB PLC Technology 2 (standalone) -AB SLC500"</f>
        <v>LAB PLC Technology 2 (standalone) -AB SLC500</v>
      </c>
      <c r="F2302">
        <v>810</v>
      </c>
      <c r="G2302" t="str">
        <f t="shared" si="570"/>
        <v>Y</v>
      </c>
      <c r="H2302" t="str">
        <f t="shared" si="575"/>
        <v>EA</v>
      </c>
      <c r="I2302">
        <v>0</v>
      </c>
      <c r="J2302">
        <v>0</v>
      </c>
      <c r="K2302" t="str">
        <f t="shared" si="571"/>
        <v>Y</v>
      </c>
      <c r="L2302">
        <v>0</v>
      </c>
      <c r="M2302" t="str">
        <f t="shared" si="582"/>
        <v>NIS</v>
      </c>
      <c r="O2302">
        <v>1</v>
      </c>
      <c r="P2302" t="str">
        <f>"Not for purc"</f>
        <v>Not for purc</v>
      </c>
      <c r="Q2302" t="str">
        <f>"LM_Content SA Lab  PLC Tech. 2 W/SLC500- Advnced"</f>
        <v>LM_Content SA Lab  PLC Tech. 2 W/SLC500- Advnced</v>
      </c>
      <c r="S2302" t="str">
        <f>"LM_Content SA Lab  PLC Tech. 2 W/SLC500- Advnced"</f>
        <v>LM_Content SA Lab  PLC Tech. 2 W/SLC500- Advnced</v>
      </c>
      <c r="T2302">
        <v>0</v>
      </c>
      <c r="U2302">
        <v>30.65</v>
      </c>
      <c r="V2302">
        <v>36.049999999999997</v>
      </c>
      <c r="W2302" t="str">
        <f t="shared" si="577"/>
        <v>rob</v>
      </c>
    </row>
    <row r="2303" spans="1:23">
      <c r="A2303" t="str">
        <f>"LAB-PLC2 500-SA"</f>
        <v>LAB-PLC2 500-SA</v>
      </c>
      <c r="B2303" t="str">
        <f>"63-7001-0100"</f>
        <v>63-7001-0100</v>
      </c>
      <c r="C2303" t="str">
        <f>"License Key for Standalone Content"</f>
        <v>License Key for Standalone Content</v>
      </c>
      <c r="D2303">
        <v>1</v>
      </c>
      <c r="E2303" t="str">
        <f>"LAB PLC Technology 2 (standalone) -AB SLC500"</f>
        <v>LAB PLC Technology 2 (standalone) -AB SLC500</v>
      </c>
      <c r="F2303">
        <v>810</v>
      </c>
      <c r="G2303" t="str">
        <f t="shared" si="570"/>
        <v>Y</v>
      </c>
      <c r="H2303" t="str">
        <f t="shared" si="575"/>
        <v>EA</v>
      </c>
      <c r="I2303">
        <v>0</v>
      </c>
      <c r="J2303">
        <v>0</v>
      </c>
      <c r="K2303" t="str">
        <f t="shared" si="571"/>
        <v>Y</v>
      </c>
      <c r="L2303">
        <v>0</v>
      </c>
      <c r="M2303" t="str">
        <f t="shared" si="582"/>
        <v>NIS</v>
      </c>
      <c r="O2303">
        <v>2</v>
      </c>
      <c r="P2303" t="str">
        <f t="shared" ref="P2303:P2323" si="584">"Active"</f>
        <v>Active</v>
      </c>
      <c r="Q2303" t="str">
        <f>"License Key For LM Content Standalone"</f>
        <v>License Key For LM Content Standalone</v>
      </c>
      <c r="R2303" t="str">
        <f>"1"</f>
        <v>1</v>
      </c>
      <c r="S2303" t="str">
        <f>"License Key For LM Content Standalone"</f>
        <v>License Key For LM Content Standalone</v>
      </c>
      <c r="T2303">
        <v>0</v>
      </c>
      <c r="U2303">
        <v>18</v>
      </c>
      <c r="V2303">
        <v>18.72</v>
      </c>
      <c r="W2303" t="str">
        <f t="shared" si="577"/>
        <v>rob</v>
      </c>
    </row>
    <row r="2304" spans="1:23">
      <c r="A2304" t="str">
        <f>"LAB-PLC2 MIC-LMS"</f>
        <v>LAB-PLC2 MIC-LMS</v>
      </c>
      <c r="B2304" t="str">
        <f>"17-3033-0000"</f>
        <v>17-3033-0000</v>
      </c>
      <c r="C2304" t="str">
        <f>"LM5 Content, Lab/Vir, PLC 2"</f>
        <v>LM5 Content, Lab/Vir, PLC 2</v>
      </c>
      <c r="D2304">
        <v>1</v>
      </c>
      <c r="E2304" t="str">
        <f>"LAB PLC Technology 2 (School License on LMS) -AB Micrologix"</f>
        <v>LAB PLC Technology 2 (School License on LMS) -AB Micrologix</v>
      </c>
      <c r="F2304">
        <v>810</v>
      </c>
      <c r="G2304" t="str">
        <f t="shared" si="570"/>
        <v>Y</v>
      </c>
      <c r="H2304" t="str">
        <f t="shared" si="575"/>
        <v>EA</v>
      </c>
      <c r="I2304">
        <v>0</v>
      </c>
      <c r="J2304">
        <v>0</v>
      </c>
      <c r="K2304" t="str">
        <f t="shared" si="571"/>
        <v>Y</v>
      </c>
      <c r="L2304">
        <v>0</v>
      </c>
      <c r="M2304" t="str">
        <f t="shared" si="582"/>
        <v>NIS</v>
      </c>
      <c r="O2304">
        <v>2</v>
      </c>
      <c r="P2304" t="str">
        <f t="shared" si="584"/>
        <v>Active</v>
      </c>
      <c r="Q2304" t="str">
        <f>"LM5.X Content, Lab/Vir, PLC 2"</f>
        <v>LM5.X Content, Lab/Vir, PLC 2</v>
      </c>
      <c r="S2304" t="str">
        <f>"LM5.X Content, Lab/Vir, PLC 2"</f>
        <v>LM5.X Content, Lab/Vir, PLC 2</v>
      </c>
      <c r="T2304">
        <v>0</v>
      </c>
      <c r="U2304">
        <v>5</v>
      </c>
      <c r="V2304">
        <v>5</v>
      </c>
      <c r="W2304" t="str">
        <f t="shared" si="577"/>
        <v>rob</v>
      </c>
    </row>
    <row r="2305" spans="1:23">
      <c r="A2305" t="str">
        <f>"LAB-PLC2 MIC-LMS"</f>
        <v>LAB-PLC2 MIC-LMS</v>
      </c>
      <c r="B2305" t="str">
        <f>"0E8126"</f>
        <v>0E8126</v>
      </c>
      <c r="C2305" t="str">
        <f>"LM_Content LMS Lab -E- PLC Tech. 2 M.Logix"</f>
        <v>LM_Content LMS Lab -E- PLC Tech. 2 M.Logix</v>
      </c>
      <c r="D2305">
        <v>1</v>
      </c>
      <c r="E2305" t="str">
        <f>"LAB PLC Technology 2 (School License on LMS) -AB Micrologix"</f>
        <v>LAB PLC Technology 2 (School License on LMS) -AB Micrologix</v>
      </c>
      <c r="F2305">
        <v>810</v>
      </c>
      <c r="G2305" t="str">
        <f t="shared" si="570"/>
        <v>Y</v>
      </c>
      <c r="H2305" t="str">
        <f t="shared" si="575"/>
        <v>EA</v>
      </c>
      <c r="I2305">
        <v>0</v>
      </c>
      <c r="J2305">
        <v>0</v>
      </c>
      <c r="K2305" t="str">
        <f t="shared" si="571"/>
        <v>Y</v>
      </c>
      <c r="L2305">
        <v>0</v>
      </c>
      <c r="M2305" t="str">
        <f t="shared" si="582"/>
        <v>NIS</v>
      </c>
      <c r="N2305" t="str">
        <f>"Y"</f>
        <v>Y</v>
      </c>
      <c r="O2305">
        <v>1</v>
      </c>
      <c r="P2305" t="str">
        <f t="shared" si="584"/>
        <v>Active</v>
      </c>
      <c r="Q2305" t="str">
        <f>"LM_Content LMS Lab -E- PLC Tech. 2 M.Logix"</f>
        <v>LM_Content LMS Lab -E- PLC Tech. 2 M.Logix</v>
      </c>
      <c r="S2305" t="str">
        <f>"LM_Content LMS Lab -E- PLC Tech. 2 M.Logix"</f>
        <v>LM_Content LMS Lab -E- PLC Tech. 2 M.Logix</v>
      </c>
      <c r="T2305">
        <v>0</v>
      </c>
      <c r="U2305">
        <v>30.65</v>
      </c>
      <c r="V2305">
        <v>35.840000000000003</v>
      </c>
      <c r="W2305" t="str">
        <f t="shared" si="577"/>
        <v>rob</v>
      </c>
    </row>
    <row r="2306" spans="1:23">
      <c r="A2306" t="str">
        <f>"LAB-PNEU1-LMS"</f>
        <v>LAB-PNEU1-LMS</v>
      </c>
      <c r="B2306" t="str">
        <f>"00-1904-0000"</f>
        <v>00-1904-0000</v>
      </c>
      <c r="C2306" t="str">
        <f>"PneuFlex 1 - Pneumatic Trainer w T-slot panel"</f>
        <v>PneuFlex 1 - Pneumatic Trainer w T-slot panel</v>
      </c>
      <c r="D2306">
        <v>1</v>
      </c>
      <c r="E2306" t="str">
        <f>"LAB Pneumatics 1 (School License on LMS) - Fundamentals of Pneumatics w PneuFlex"</f>
        <v>LAB Pneumatics 1 (School License on LMS) - Fundamentals of Pneumatics w PneuFlex</v>
      </c>
      <c r="F2306">
        <v>810</v>
      </c>
      <c r="G2306" t="str">
        <f t="shared" ref="G2306:G2369" si="585">"Y"</f>
        <v>Y</v>
      </c>
      <c r="H2306" t="str">
        <f t="shared" si="575"/>
        <v>EA</v>
      </c>
      <c r="I2306">
        <v>0</v>
      </c>
      <c r="J2306">
        <v>0</v>
      </c>
      <c r="K2306" t="str">
        <f t="shared" ref="K2306:K2369" si="586">"Y"</f>
        <v>Y</v>
      </c>
      <c r="L2306">
        <v>0</v>
      </c>
      <c r="M2306" t="str">
        <f t="shared" si="582"/>
        <v>NIS</v>
      </c>
      <c r="O2306">
        <v>1</v>
      </c>
      <c r="P2306" t="str">
        <f t="shared" si="584"/>
        <v>Active</v>
      </c>
      <c r="Q2306" t="str">
        <f>"PneuFlex P1 -Pneumatic package w T-slot panel"</f>
        <v>PneuFlex P1 -Pneumatic package w T-slot panel</v>
      </c>
      <c r="S2306" t="str">
        <f>"PneuFlex P1 -Pneumatic package w T-slot panel"</f>
        <v>PneuFlex P1 -Pneumatic package w T-slot panel</v>
      </c>
      <c r="T2306">
        <v>0</v>
      </c>
      <c r="U2306" s="44">
        <v>1524</v>
      </c>
      <c r="V2306" s="44">
        <v>1526.76</v>
      </c>
      <c r="W2306" t="str">
        <f t="shared" si="577"/>
        <v>rob</v>
      </c>
    </row>
    <row r="2307" spans="1:23">
      <c r="A2307" t="str">
        <f>"LAB-PNEU1-LMS"</f>
        <v>LAB-PNEU1-LMS</v>
      </c>
      <c r="B2307" t="str">
        <f>"17-8068-0000"</f>
        <v>17-8068-0000</v>
      </c>
      <c r="C2307" t="str">
        <f>"LM 5 Content, Lab/Vir, Pneumatics 1 w/PneuFlex"</f>
        <v>LM 5 Content, Lab/Vir, Pneumatics 1 w/PneuFlex</v>
      </c>
      <c r="D2307">
        <v>1</v>
      </c>
      <c r="E2307" t="str">
        <f>"LAB Pneumatics 1 (School License on LMS) - Fundamentals of Pneumatics w PneuFlex"</f>
        <v>LAB Pneumatics 1 (School License on LMS) - Fundamentals of Pneumatics w PneuFlex</v>
      </c>
      <c r="F2307">
        <v>810</v>
      </c>
      <c r="G2307" t="str">
        <f t="shared" si="585"/>
        <v>Y</v>
      </c>
      <c r="H2307" t="str">
        <f t="shared" si="575"/>
        <v>EA</v>
      </c>
      <c r="I2307">
        <v>0</v>
      </c>
      <c r="J2307">
        <v>0</v>
      </c>
      <c r="K2307" t="str">
        <f t="shared" si="586"/>
        <v>Y</v>
      </c>
      <c r="L2307">
        <v>0</v>
      </c>
      <c r="M2307" t="str">
        <f t="shared" si="582"/>
        <v>NIS</v>
      </c>
      <c r="O2307">
        <v>5</v>
      </c>
      <c r="P2307" t="str">
        <f t="shared" si="584"/>
        <v>Active</v>
      </c>
      <c r="Q2307" t="str">
        <f>"LM5.X Content, Lab/Vir, Pneumatics 1 w/PneuFlex"</f>
        <v>LM5.X Content, Lab/Vir, Pneumatics 1 w/PneuFlex</v>
      </c>
      <c r="S2307" t="str">
        <f>"LM5.X Content, Lab/Vir, Pneumatics 1 w/PneuFlex"</f>
        <v>LM5.X Content, Lab/Vir, Pneumatics 1 w/PneuFlex</v>
      </c>
      <c r="T2307">
        <v>0</v>
      </c>
      <c r="U2307">
        <v>5</v>
      </c>
      <c r="V2307">
        <v>5</v>
      </c>
      <c r="W2307" t="str">
        <f t="shared" si="577"/>
        <v>rob</v>
      </c>
    </row>
    <row r="2308" spans="1:23">
      <c r="A2308" t="str">
        <f>"LAB-PNEU1-LMS"</f>
        <v>LAB-PNEU1-LMS</v>
      </c>
      <c r="B2308" t="str">
        <f>"63-9239-0000"</f>
        <v>63-9239-0000</v>
      </c>
      <c r="C2308" t="str">
        <f>"PneuMotion Pneumatic Simulation Software"</f>
        <v>PneuMotion Pneumatic Simulation Software</v>
      </c>
      <c r="D2308">
        <v>1</v>
      </c>
      <c r="E2308" t="str">
        <f>"LAB Pneumatics 1 (School License on LMS) - Fundamentals of Pneumatics w PneuFlex"</f>
        <v>LAB Pneumatics 1 (School License on LMS) - Fundamentals of Pneumatics w PneuFlex</v>
      </c>
      <c r="F2308">
        <v>810</v>
      </c>
      <c r="G2308" t="str">
        <f t="shared" si="585"/>
        <v>Y</v>
      </c>
      <c r="H2308" t="str">
        <f t="shared" si="575"/>
        <v>EA</v>
      </c>
      <c r="I2308">
        <v>0</v>
      </c>
      <c r="J2308">
        <v>0</v>
      </c>
      <c r="K2308" t="str">
        <f t="shared" si="586"/>
        <v>Y</v>
      </c>
      <c r="L2308">
        <v>0</v>
      </c>
      <c r="M2308" t="str">
        <f t="shared" si="582"/>
        <v>NIS</v>
      </c>
      <c r="O2308">
        <v>3</v>
      </c>
      <c r="P2308" t="str">
        <f t="shared" si="584"/>
        <v>Active</v>
      </c>
      <c r="Q2308" t="str">
        <f>"PneuMotion Pneumatic Simulation Software Package"</f>
        <v>PneuMotion Pneumatic Simulation Software Package</v>
      </c>
      <c r="R2308" t="str">
        <f>"1"</f>
        <v>1</v>
      </c>
      <c r="S2308" t="str">
        <f>"PneuMotion Pneumatic Simulation Software Package"</f>
        <v>PneuMotion Pneumatic Simulation Software Package</v>
      </c>
      <c r="T2308">
        <v>0</v>
      </c>
      <c r="U2308">
        <v>31.47</v>
      </c>
      <c r="V2308">
        <v>31.93</v>
      </c>
      <c r="W2308" t="str">
        <f t="shared" si="577"/>
        <v>rob</v>
      </c>
    </row>
    <row r="2309" spans="1:23">
      <c r="A2309" t="str">
        <f>"LAB-PNEU1-LMS"</f>
        <v>LAB-PNEU1-LMS</v>
      </c>
      <c r="B2309" t="str">
        <f>"63-7000-0800"</f>
        <v>63-7000-0800</v>
      </c>
      <c r="C2309" t="str">
        <f>"License Key For PneuMotion"</f>
        <v>License Key For PneuMotion</v>
      </c>
      <c r="D2309">
        <v>1</v>
      </c>
      <c r="E2309" t="str">
        <f>"LAB Pneumatics 1 (School License on LMS) - Fundamentals of Pneumatics w PneuFlex"</f>
        <v>LAB Pneumatics 1 (School License on LMS) - Fundamentals of Pneumatics w PneuFlex</v>
      </c>
      <c r="F2309">
        <v>810</v>
      </c>
      <c r="G2309" t="str">
        <f t="shared" si="585"/>
        <v>Y</v>
      </c>
      <c r="H2309" t="str">
        <f t="shared" si="575"/>
        <v>EA</v>
      </c>
      <c r="I2309">
        <v>0</v>
      </c>
      <c r="J2309">
        <v>0</v>
      </c>
      <c r="K2309" t="str">
        <f t="shared" si="586"/>
        <v>Y</v>
      </c>
      <c r="L2309">
        <v>0</v>
      </c>
      <c r="M2309" t="str">
        <f t="shared" si="582"/>
        <v>NIS</v>
      </c>
      <c r="O2309">
        <v>4</v>
      </c>
      <c r="P2309" t="str">
        <f t="shared" si="584"/>
        <v>Active</v>
      </c>
      <c r="Q2309" t="str">
        <f>"License Key For Pneu Motion Software"</f>
        <v>License Key For Pneu Motion Software</v>
      </c>
      <c r="R2309" t="str">
        <f>"1"</f>
        <v>1</v>
      </c>
      <c r="S2309" t="str">
        <f>"License Key For Pneu Motion Software"</f>
        <v>License Key For Pneu Motion Software</v>
      </c>
      <c r="T2309">
        <v>0</v>
      </c>
      <c r="U2309">
        <v>6</v>
      </c>
      <c r="V2309">
        <v>6.66</v>
      </c>
      <c r="W2309" t="str">
        <f t="shared" si="577"/>
        <v>rob</v>
      </c>
    </row>
    <row r="2310" spans="1:23">
      <c r="A2310" t="str">
        <f>"LAB-PNEU1-LMS"</f>
        <v>LAB-PNEU1-LMS</v>
      </c>
      <c r="B2310" t="str">
        <f>"0E8127"</f>
        <v>0E8127</v>
      </c>
      <c r="C2310" t="str">
        <f>"LM_Content LMS Lab -E- Pneumatics Tech. 1"</f>
        <v>LM_Content LMS Lab -E- Pneumatics Tech. 1</v>
      </c>
      <c r="D2310">
        <v>1</v>
      </c>
      <c r="E2310" t="str">
        <f>"LAB Pneumatics 1 (School License on LMS) - Fundamentals of Pneumatics w PneuFlex"</f>
        <v>LAB Pneumatics 1 (School License on LMS) - Fundamentals of Pneumatics w PneuFlex</v>
      </c>
      <c r="F2310">
        <v>810</v>
      </c>
      <c r="G2310" t="str">
        <f t="shared" si="585"/>
        <v>Y</v>
      </c>
      <c r="H2310" t="str">
        <f t="shared" si="575"/>
        <v>EA</v>
      </c>
      <c r="I2310">
        <v>0</v>
      </c>
      <c r="J2310">
        <v>0</v>
      </c>
      <c r="K2310" t="str">
        <f t="shared" si="586"/>
        <v>Y</v>
      </c>
      <c r="L2310">
        <v>0</v>
      </c>
      <c r="M2310" t="str">
        <f t="shared" si="582"/>
        <v>NIS</v>
      </c>
      <c r="N2310" t="str">
        <f>"Y"</f>
        <v>Y</v>
      </c>
      <c r="O2310">
        <v>2</v>
      </c>
      <c r="P2310" t="str">
        <f t="shared" si="584"/>
        <v>Active</v>
      </c>
      <c r="Q2310" t="str">
        <f>"LM_Content LMS Lab -E- Pneumatics Tech. 1"</f>
        <v>LM_Content LMS Lab -E- Pneumatics Tech. 1</v>
      </c>
      <c r="S2310" t="str">
        <f>"LM_Content LMS Lab -E- Pneumatics Tech. 1"</f>
        <v>LM_Content LMS Lab -E- Pneumatics Tech. 1</v>
      </c>
      <c r="T2310">
        <v>0</v>
      </c>
      <c r="U2310">
        <v>30.66</v>
      </c>
      <c r="V2310">
        <v>35.840000000000003</v>
      </c>
      <c r="W2310" t="str">
        <f t="shared" si="577"/>
        <v>rob</v>
      </c>
    </row>
    <row r="2311" spans="1:23">
      <c r="A2311" t="str">
        <f>"LAB-PNEU1-SA"</f>
        <v>LAB-PNEU1-SA</v>
      </c>
      <c r="B2311" t="str">
        <f>"00-1904-0000"</f>
        <v>00-1904-0000</v>
      </c>
      <c r="C2311" t="str">
        <f>"PneuFlex 1 - Pneumatic Trainer w T-slot panel"</f>
        <v>PneuFlex 1 - Pneumatic Trainer w T-slot panel</v>
      </c>
      <c r="D2311">
        <v>1</v>
      </c>
      <c r="E2311" t="str">
        <f>"LAB Pneumatics 1 (standalone) - Fundamentals of Pneumatics with PneuFlex"</f>
        <v>LAB Pneumatics 1 (standalone) - Fundamentals of Pneumatics with PneuFlex</v>
      </c>
      <c r="F2311">
        <v>810</v>
      </c>
      <c r="G2311" t="str">
        <f t="shared" si="585"/>
        <v>Y</v>
      </c>
      <c r="H2311" t="str">
        <f t="shared" si="575"/>
        <v>EA</v>
      </c>
      <c r="I2311">
        <v>0</v>
      </c>
      <c r="J2311">
        <v>0</v>
      </c>
      <c r="K2311" t="str">
        <f t="shared" si="586"/>
        <v>Y</v>
      </c>
      <c r="L2311">
        <v>0</v>
      </c>
      <c r="M2311" t="str">
        <f t="shared" si="582"/>
        <v>NIS</v>
      </c>
      <c r="O2311">
        <v>1</v>
      </c>
      <c r="P2311" t="str">
        <f t="shared" si="584"/>
        <v>Active</v>
      </c>
      <c r="Q2311" t="str">
        <f>"PneuFlex P1 -Pneumatic package w T-slot panel"</f>
        <v>PneuFlex P1 -Pneumatic package w T-slot panel</v>
      </c>
      <c r="S2311" t="str">
        <f>"PneuFlex P1 -Pneumatic package w T-slot panel"</f>
        <v>PneuFlex P1 -Pneumatic package w T-slot panel</v>
      </c>
      <c r="T2311">
        <v>0</v>
      </c>
      <c r="U2311" s="44">
        <v>1524</v>
      </c>
      <c r="V2311" s="44">
        <v>1526.76</v>
      </c>
      <c r="W2311" t="str">
        <f t="shared" si="577"/>
        <v>rob</v>
      </c>
    </row>
    <row r="2312" spans="1:23">
      <c r="A2312" t="str">
        <f>"LAB-PNEU1-SA"</f>
        <v>LAB-PNEU1-SA</v>
      </c>
      <c r="B2312" t="str">
        <f>"0E7127"</f>
        <v>0E7127</v>
      </c>
      <c r="C2312" t="str">
        <f>"LM_Content SA LAB- Pneumatics 1 -Fundamentals"</f>
        <v>LM_Content SA LAB- Pneumatics 1 -Fundamentals</v>
      </c>
      <c r="D2312">
        <v>1</v>
      </c>
      <c r="E2312" t="str">
        <f>"LAB Pneumatics 1 (standalone) - Fundamentals of Pneumatics with PneuFlex"</f>
        <v>LAB Pneumatics 1 (standalone) - Fundamentals of Pneumatics with PneuFlex</v>
      </c>
      <c r="F2312">
        <v>810</v>
      </c>
      <c r="G2312" t="str">
        <f t="shared" si="585"/>
        <v>Y</v>
      </c>
      <c r="H2312" t="str">
        <f t="shared" si="575"/>
        <v>EA</v>
      </c>
      <c r="I2312">
        <v>0</v>
      </c>
      <c r="J2312">
        <v>0</v>
      </c>
      <c r="K2312" t="str">
        <f t="shared" si="586"/>
        <v>Y</v>
      </c>
      <c r="L2312">
        <v>0</v>
      </c>
      <c r="M2312" t="str">
        <f t="shared" si="582"/>
        <v>NIS</v>
      </c>
      <c r="O2312">
        <v>2</v>
      </c>
      <c r="P2312" t="str">
        <f t="shared" si="584"/>
        <v>Active</v>
      </c>
      <c r="Q2312" t="str">
        <f>"LM_Content SA Lab-Pneu Technology 1 -Fundamental"</f>
        <v>LM_Content SA Lab-Pneu Technology 1 -Fundamental</v>
      </c>
      <c r="S2312" t="str">
        <f>"LM_Content SA Lab-Pneu Technology 1 -Fundamental"</f>
        <v>LM_Content SA Lab-Pneu Technology 1 -Fundamental</v>
      </c>
      <c r="T2312">
        <v>0</v>
      </c>
      <c r="U2312">
        <v>30.65</v>
      </c>
      <c r="V2312">
        <v>35.840000000000003</v>
      </c>
      <c r="W2312" t="str">
        <f t="shared" si="577"/>
        <v>rob</v>
      </c>
    </row>
    <row r="2313" spans="1:23">
      <c r="A2313" t="str">
        <f>"LAB-PNEU1-SA"</f>
        <v>LAB-PNEU1-SA</v>
      </c>
      <c r="B2313" t="str">
        <f>"63-7001-0100"</f>
        <v>63-7001-0100</v>
      </c>
      <c r="C2313" t="str">
        <f>"License Key for Standalone Content"</f>
        <v>License Key for Standalone Content</v>
      </c>
      <c r="D2313">
        <v>1</v>
      </c>
      <c r="E2313" t="str">
        <f>"LAB Pneumatics 1 (standalone) - Fundamentals of Pneumatics with PneuFlex"</f>
        <v>LAB Pneumatics 1 (standalone) - Fundamentals of Pneumatics with PneuFlex</v>
      </c>
      <c r="F2313">
        <v>810</v>
      </c>
      <c r="G2313" t="str">
        <f t="shared" si="585"/>
        <v>Y</v>
      </c>
      <c r="H2313" t="str">
        <f t="shared" si="575"/>
        <v>EA</v>
      </c>
      <c r="I2313">
        <v>0</v>
      </c>
      <c r="J2313">
        <v>0</v>
      </c>
      <c r="K2313" t="str">
        <f t="shared" si="586"/>
        <v>Y</v>
      </c>
      <c r="L2313">
        <v>0</v>
      </c>
      <c r="M2313" t="str">
        <f t="shared" si="582"/>
        <v>NIS</v>
      </c>
      <c r="O2313">
        <v>3</v>
      </c>
      <c r="P2313" t="str">
        <f t="shared" si="584"/>
        <v>Active</v>
      </c>
      <c r="Q2313" t="str">
        <f>"License Key For LM Content Standalone"</f>
        <v>License Key For LM Content Standalone</v>
      </c>
      <c r="R2313" t="str">
        <f>"1"</f>
        <v>1</v>
      </c>
      <c r="S2313" t="str">
        <f>"License Key For LM Content Standalone"</f>
        <v>License Key For LM Content Standalone</v>
      </c>
      <c r="T2313">
        <v>0</v>
      </c>
      <c r="U2313">
        <v>18</v>
      </c>
      <c r="V2313">
        <v>18.72</v>
      </c>
      <c r="W2313" t="str">
        <f t="shared" si="577"/>
        <v>rob</v>
      </c>
    </row>
    <row r="2314" spans="1:23">
      <c r="A2314" t="str">
        <f>"LAB-PNEU1-SA"</f>
        <v>LAB-PNEU1-SA</v>
      </c>
      <c r="B2314" t="str">
        <f>"63-9239-0000"</f>
        <v>63-9239-0000</v>
      </c>
      <c r="C2314" t="str">
        <f>"PneuMotion Pneumatic Simulation Software"</f>
        <v>PneuMotion Pneumatic Simulation Software</v>
      </c>
      <c r="D2314">
        <v>1</v>
      </c>
      <c r="E2314" t="str">
        <f>"LAB Pneumatics 1 (standalone) - Fundamentals of Pneumatics with PneuFlex"</f>
        <v>LAB Pneumatics 1 (standalone) - Fundamentals of Pneumatics with PneuFlex</v>
      </c>
      <c r="F2314">
        <v>810</v>
      </c>
      <c r="G2314" t="str">
        <f t="shared" si="585"/>
        <v>Y</v>
      </c>
      <c r="H2314" t="str">
        <f t="shared" si="575"/>
        <v>EA</v>
      </c>
      <c r="I2314">
        <v>0</v>
      </c>
      <c r="J2314">
        <v>0</v>
      </c>
      <c r="K2314" t="str">
        <f t="shared" si="586"/>
        <v>Y</v>
      </c>
      <c r="L2314">
        <v>0</v>
      </c>
      <c r="M2314" t="str">
        <f t="shared" si="582"/>
        <v>NIS</v>
      </c>
      <c r="O2314">
        <v>4</v>
      </c>
      <c r="P2314" t="str">
        <f t="shared" si="584"/>
        <v>Active</v>
      </c>
      <c r="Q2314" t="str">
        <f>"PneuMotion Pneumatic Simulation Software Package"</f>
        <v>PneuMotion Pneumatic Simulation Software Package</v>
      </c>
      <c r="R2314" t="str">
        <f>"1"</f>
        <v>1</v>
      </c>
      <c r="S2314" t="str">
        <f>"PneuMotion Pneumatic Simulation Software Package"</f>
        <v>PneuMotion Pneumatic Simulation Software Package</v>
      </c>
      <c r="T2314">
        <v>0</v>
      </c>
      <c r="U2314">
        <v>31.47</v>
      </c>
      <c r="V2314">
        <v>31.93</v>
      </c>
      <c r="W2314" t="str">
        <f t="shared" si="577"/>
        <v>rob</v>
      </c>
    </row>
    <row r="2315" spans="1:23">
      <c r="A2315" t="str">
        <f>"LAB-PNEU1-SA"</f>
        <v>LAB-PNEU1-SA</v>
      </c>
      <c r="B2315" t="str">
        <f>"63-7000-0800"</f>
        <v>63-7000-0800</v>
      </c>
      <c r="C2315" t="str">
        <f>"License Key For PneuMotion"</f>
        <v>License Key For PneuMotion</v>
      </c>
      <c r="D2315">
        <v>1</v>
      </c>
      <c r="E2315" t="str">
        <f>"LAB Pneumatics 1 (standalone) - Fundamentals of Pneumatics with PneuFlex"</f>
        <v>LAB Pneumatics 1 (standalone) - Fundamentals of Pneumatics with PneuFlex</v>
      </c>
      <c r="F2315">
        <v>810</v>
      </c>
      <c r="G2315" t="str">
        <f t="shared" si="585"/>
        <v>Y</v>
      </c>
      <c r="H2315" t="str">
        <f t="shared" si="575"/>
        <v>EA</v>
      </c>
      <c r="I2315">
        <v>0</v>
      </c>
      <c r="J2315">
        <v>0</v>
      </c>
      <c r="K2315" t="str">
        <f t="shared" si="586"/>
        <v>Y</v>
      </c>
      <c r="L2315">
        <v>0</v>
      </c>
      <c r="M2315" t="str">
        <f t="shared" si="582"/>
        <v>NIS</v>
      </c>
      <c r="O2315">
        <v>5</v>
      </c>
      <c r="P2315" t="str">
        <f t="shared" si="584"/>
        <v>Active</v>
      </c>
      <c r="Q2315" t="str">
        <f>"License Key For Pneu Motion Software"</f>
        <v>License Key For Pneu Motion Software</v>
      </c>
      <c r="R2315" t="str">
        <f>"1"</f>
        <v>1</v>
      </c>
      <c r="S2315" t="str">
        <f>"License Key For Pneu Motion Software"</f>
        <v>License Key For Pneu Motion Software</v>
      </c>
      <c r="T2315">
        <v>0</v>
      </c>
      <c r="U2315">
        <v>6</v>
      </c>
      <c r="V2315">
        <v>6.66</v>
      </c>
      <c r="W2315" t="str">
        <f t="shared" si="577"/>
        <v>rob</v>
      </c>
    </row>
    <row r="2316" spans="1:23">
      <c r="A2316" t="str">
        <f>"LAB-PNEU2-LMS"</f>
        <v>LAB-PNEU2-LMS</v>
      </c>
      <c r="B2316" t="str">
        <f>"00-1905-0000"</f>
        <v>00-1905-0000</v>
      </c>
      <c r="C2316" t="str">
        <f>"PneuFlex 2 - Advanced Pneumatics Component set"</f>
        <v>PneuFlex 2 - Advanced Pneumatics Component set</v>
      </c>
      <c r="D2316">
        <v>1</v>
      </c>
      <c r="E2316" t="str">
        <f>"LAB Pneumatics 2 (School License on LMS) - Advanced Pneumatics with PneuFlex"</f>
        <v>LAB Pneumatics 2 (School License on LMS) - Advanced Pneumatics with PneuFlex</v>
      </c>
      <c r="F2316">
        <v>810</v>
      </c>
      <c r="G2316" t="str">
        <f t="shared" si="585"/>
        <v>Y</v>
      </c>
      <c r="H2316" t="str">
        <f t="shared" si="575"/>
        <v>EA</v>
      </c>
      <c r="I2316">
        <v>0</v>
      </c>
      <c r="J2316">
        <v>0</v>
      </c>
      <c r="K2316" t="str">
        <f t="shared" si="586"/>
        <v>Y</v>
      </c>
      <c r="L2316">
        <v>0</v>
      </c>
      <c r="M2316" t="str">
        <f t="shared" si="582"/>
        <v>NIS</v>
      </c>
      <c r="O2316">
        <v>1</v>
      </c>
      <c r="P2316" t="str">
        <f t="shared" si="584"/>
        <v>Active</v>
      </c>
      <c r="Q2316" t="str">
        <f>"PneuFlex P2 - Advanced Pneumatic package"</f>
        <v>PneuFlex P2 - Advanced Pneumatic package</v>
      </c>
      <c r="S2316" t="str">
        <f>"PneuFlex P2 - Advanced Pneumatic package"</f>
        <v>PneuFlex P2 - Advanced Pneumatic package</v>
      </c>
      <c r="T2316">
        <v>0</v>
      </c>
      <c r="U2316">
        <v>791</v>
      </c>
      <c r="V2316">
        <v>791.7</v>
      </c>
      <c r="W2316" t="str">
        <f t="shared" si="577"/>
        <v>rob</v>
      </c>
    </row>
    <row r="2317" spans="1:23">
      <c r="A2317" t="str">
        <f>"LAB-PNEU2-LMS"</f>
        <v>LAB-PNEU2-LMS</v>
      </c>
      <c r="B2317" t="str">
        <f>"17-8069-0000"</f>
        <v>17-8069-0000</v>
      </c>
      <c r="C2317" t="str">
        <f>"LM 5 Content, Lab/Vir, Pneumatics 2 w/PneuFlex"</f>
        <v>LM 5 Content, Lab/Vir, Pneumatics 2 w/PneuFlex</v>
      </c>
      <c r="D2317">
        <v>1</v>
      </c>
      <c r="E2317" t="str">
        <f>"LAB Pneumatics 2 (School License on LMS) - Advanced Pneumatics with PneuFlex"</f>
        <v>LAB Pneumatics 2 (School License on LMS) - Advanced Pneumatics with PneuFlex</v>
      </c>
      <c r="F2317">
        <v>810</v>
      </c>
      <c r="G2317" t="str">
        <f t="shared" si="585"/>
        <v>Y</v>
      </c>
      <c r="H2317" t="str">
        <f t="shared" si="575"/>
        <v>EA</v>
      </c>
      <c r="I2317">
        <v>0</v>
      </c>
      <c r="J2317">
        <v>0</v>
      </c>
      <c r="K2317" t="str">
        <f t="shared" si="586"/>
        <v>Y</v>
      </c>
      <c r="L2317">
        <v>0</v>
      </c>
      <c r="M2317" t="str">
        <f t="shared" si="582"/>
        <v>NIS</v>
      </c>
      <c r="O2317">
        <v>3</v>
      </c>
      <c r="P2317" t="str">
        <f t="shared" si="584"/>
        <v>Active</v>
      </c>
      <c r="Q2317" t="str">
        <f>"LM5.X Content, Lab/Vir, Pneumatics 2 w/PneuFlex"</f>
        <v>LM5.X Content, Lab/Vir, Pneumatics 2 w/PneuFlex</v>
      </c>
      <c r="S2317" t="str">
        <f>"LM5.X Content, Lab/Vir, Pneumatics 2 w/PneuFlex"</f>
        <v>LM5.X Content, Lab/Vir, Pneumatics 2 w/PneuFlex</v>
      </c>
      <c r="T2317">
        <v>0</v>
      </c>
      <c r="U2317">
        <v>5</v>
      </c>
      <c r="V2317">
        <v>5</v>
      </c>
      <c r="W2317" t="str">
        <f t="shared" si="577"/>
        <v>rob</v>
      </c>
    </row>
    <row r="2318" spans="1:23">
      <c r="A2318" t="str">
        <f>"LAB-PNEU2-LMS"</f>
        <v>LAB-PNEU2-LMS</v>
      </c>
      <c r="B2318" t="str">
        <f>"0E8128"</f>
        <v>0E8128</v>
      </c>
      <c r="C2318" t="str">
        <f>"LM_Content LMS Lab -E- Pneumatics Tech. 2"</f>
        <v>LM_Content LMS Lab -E- Pneumatics Tech. 2</v>
      </c>
      <c r="D2318">
        <v>1</v>
      </c>
      <c r="E2318" t="str">
        <f>"LAB Pneumatics 2 (School License on LMS) - Advanced Pneumatics with PneuFlex"</f>
        <v>LAB Pneumatics 2 (School License on LMS) - Advanced Pneumatics with PneuFlex</v>
      </c>
      <c r="F2318">
        <v>810</v>
      </c>
      <c r="G2318" t="str">
        <f t="shared" si="585"/>
        <v>Y</v>
      </c>
      <c r="H2318" t="str">
        <f t="shared" si="575"/>
        <v>EA</v>
      </c>
      <c r="I2318">
        <v>0</v>
      </c>
      <c r="J2318">
        <v>0</v>
      </c>
      <c r="K2318" t="str">
        <f t="shared" si="586"/>
        <v>Y</v>
      </c>
      <c r="L2318">
        <v>0</v>
      </c>
      <c r="M2318" t="str">
        <f t="shared" si="582"/>
        <v>NIS</v>
      </c>
      <c r="N2318" t="str">
        <f>"Y"</f>
        <v>Y</v>
      </c>
      <c r="O2318">
        <v>2</v>
      </c>
      <c r="P2318" t="str">
        <f t="shared" si="584"/>
        <v>Active</v>
      </c>
      <c r="Q2318" t="str">
        <f>"LM_Content LMS Lab -E- Pneumatics Tech. 2"</f>
        <v>LM_Content LMS Lab -E- Pneumatics Tech. 2</v>
      </c>
      <c r="S2318" t="str">
        <f>"LM_Content LMS Lab -E- Pneumatics Tech. 2"</f>
        <v>LM_Content LMS Lab -E- Pneumatics Tech. 2</v>
      </c>
      <c r="T2318">
        <v>0</v>
      </c>
      <c r="U2318">
        <v>30.66</v>
      </c>
      <c r="V2318">
        <v>35.840000000000003</v>
      </c>
      <c r="W2318" t="str">
        <f t="shared" si="577"/>
        <v>rob</v>
      </c>
    </row>
    <row r="2319" spans="1:23">
      <c r="A2319" t="str">
        <f>"LAB-PNEU2-SA"</f>
        <v>LAB-PNEU2-SA</v>
      </c>
      <c r="B2319" t="str">
        <f>"00-1905-0000"</f>
        <v>00-1905-0000</v>
      </c>
      <c r="C2319" t="str">
        <f>"PneuFlex 2 - Advanced Pneumatics Component set"</f>
        <v>PneuFlex 2 - Advanced Pneumatics Component set</v>
      </c>
      <c r="D2319">
        <v>1</v>
      </c>
      <c r="E2319" t="str">
        <f>"LAB Pneumatics 2 (standalone) - Advanced Pneumatics with PneuFlex"</f>
        <v>LAB Pneumatics 2 (standalone) - Advanced Pneumatics with PneuFlex</v>
      </c>
      <c r="F2319">
        <v>810</v>
      </c>
      <c r="G2319" t="str">
        <f t="shared" si="585"/>
        <v>Y</v>
      </c>
      <c r="H2319" t="str">
        <f t="shared" si="575"/>
        <v>EA</v>
      </c>
      <c r="I2319">
        <v>0</v>
      </c>
      <c r="J2319">
        <v>0</v>
      </c>
      <c r="K2319" t="str">
        <f t="shared" si="586"/>
        <v>Y</v>
      </c>
      <c r="L2319">
        <v>0</v>
      </c>
      <c r="M2319" t="str">
        <f t="shared" si="582"/>
        <v>NIS</v>
      </c>
      <c r="O2319">
        <v>1</v>
      </c>
      <c r="P2319" t="str">
        <f t="shared" si="584"/>
        <v>Active</v>
      </c>
      <c r="Q2319" t="str">
        <f>"PneuFlex P2 - Advanced Pneumatic package"</f>
        <v>PneuFlex P2 - Advanced Pneumatic package</v>
      </c>
      <c r="S2319" t="str">
        <f>"PneuFlex P2 - Advanced Pneumatic package"</f>
        <v>PneuFlex P2 - Advanced Pneumatic package</v>
      </c>
      <c r="T2319">
        <v>0</v>
      </c>
      <c r="U2319">
        <v>791</v>
      </c>
      <c r="V2319">
        <v>791.7</v>
      </c>
      <c r="W2319" t="str">
        <f t="shared" si="577"/>
        <v>rob</v>
      </c>
    </row>
    <row r="2320" spans="1:23">
      <c r="A2320" t="str">
        <f>"LAB-PNEU2-SA"</f>
        <v>LAB-PNEU2-SA</v>
      </c>
      <c r="B2320" t="str">
        <f>"0E7128"</f>
        <v>0E7128</v>
      </c>
      <c r="C2320" t="str">
        <f>"LM_Content SA LAB - Pneumatics 2 - Advanced"</f>
        <v>LM_Content SA LAB - Pneumatics 2 - Advanced</v>
      </c>
      <c r="D2320">
        <v>1</v>
      </c>
      <c r="E2320" t="str">
        <f>"LAB Pneumatics 2 (standalone) - Advanced Pneumatics with PneuFlex"</f>
        <v>LAB Pneumatics 2 (standalone) - Advanced Pneumatics with PneuFlex</v>
      </c>
      <c r="F2320">
        <v>810</v>
      </c>
      <c r="G2320" t="str">
        <f t="shared" si="585"/>
        <v>Y</v>
      </c>
      <c r="H2320" t="str">
        <f t="shared" si="575"/>
        <v>EA</v>
      </c>
      <c r="I2320">
        <v>0</v>
      </c>
      <c r="J2320">
        <v>0</v>
      </c>
      <c r="K2320" t="str">
        <f t="shared" si="586"/>
        <v>Y</v>
      </c>
      <c r="L2320">
        <v>0</v>
      </c>
      <c r="M2320" t="str">
        <f t="shared" si="582"/>
        <v>NIS</v>
      </c>
      <c r="O2320">
        <v>2</v>
      </c>
      <c r="P2320" t="str">
        <f t="shared" si="584"/>
        <v>Active</v>
      </c>
      <c r="Q2320" t="str">
        <f>"LM_Content SA Lab - PneuFlx Technology 2 - Adv"</f>
        <v>LM_Content SA Lab - PneuFlx Technology 2 - Adv</v>
      </c>
      <c r="S2320" t="str">
        <f>"LM_Content SA Lab - PneuFlx Technology 2 - Adv"</f>
        <v>LM_Content SA Lab - PneuFlx Technology 2 - Adv</v>
      </c>
      <c r="T2320">
        <v>0</v>
      </c>
      <c r="U2320">
        <v>30.65</v>
      </c>
      <c r="V2320">
        <v>35.840000000000003</v>
      </c>
      <c r="W2320" t="str">
        <f t="shared" si="577"/>
        <v>rob</v>
      </c>
    </row>
    <row r="2321" spans="1:23">
      <c r="A2321" t="str">
        <f>"LAB-PNEU2-SA"</f>
        <v>LAB-PNEU2-SA</v>
      </c>
      <c r="B2321" t="str">
        <f>"63-7001-0100"</f>
        <v>63-7001-0100</v>
      </c>
      <c r="C2321" t="str">
        <f>"License Key for Standalone Content"</f>
        <v>License Key for Standalone Content</v>
      </c>
      <c r="D2321">
        <v>1</v>
      </c>
      <c r="E2321" t="str">
        <f>"LAB Pneumatics 2 (standalone) - Advanced Pneumatics with PneuFlex"</f>
        <v>LAB Pneumatics 2 (standalone) - Advanced Pneumatics with PneuFlex</v>
      </c>
      <c r="F2321">
        <v>810</v>
      </c>
      <c r="G2321" t="str">
        <f t="shared" si="585"/>
        <v>Y</v>
      </c>
      <c r="H2321" t="str">
        <f t="shared" ref="H2321:H2384" si="587">"EA"</f>
        <v>EA</v>
      </c>
      <c r="I2321">
        <v>0</v>
      </c>
      <c r="J2321">
        <v>0</v>
      </c>
      <c r="K2321" t="str">
        <f t="shared" si="586"/>
        <v>Y</v>
      </c>
      <c r="L2321">
        <v>0</v>
      </c>
      <c r="M2321" t="str">
        <f t="shared" si="582"/>
        <v>NIS</v>
      </c>
      <c r="O2321">
        <v>3</v>
      </c>
      <c r="P2321" t="str">
        <f t="shared" si="584"/>
        <v>Active</v>
      </c>
      <c r="Q2321" t="str">
        <f>"License Key For LM Content Standalone"</f>
        <v>License Key For LM Content Standalone</v>
      </c>
      <c r="R2321" t="str">
        <f>"1"</f>
        <v>1</v>
      </c>
      <c r="S2321" t="str">
        <f>"License Key For LM Content Standalone"</f>
        <v>License Key For LM Content Standalone</v>
      </c>
      <c r="T2321">
        <v>0</v>
      </c>
      <c r="U2321">
        <v>18</v>
      </c>
      <c r="V2321">
        <v>18.72</v>
      </c>
      <c r="W2321" t="str">
        <f t="shared" si="577"/>
        <v>rob</v>
      </c>
    </row>
    <row r="2322" spans="1:23">
      <c r="A2322" t="str">
        <f>"LAB-PNEU3-LMS"</f>
        <v>LAB-PNEU3-LMS</v>
      </c>
      <c r="B2322" t="str">
        <f>"00-1906-0000"</f>
        <v>00-1906-0000</v>
      </c>
      <c r="C2322" t="str">
        <f>"PneuFlex 3 - Electro - Pneumatics Component set"</f>
        <v>PneuFlex 3 - Electro - Pneumatics Component set</v>
      </c>
      <c r="D2322">
        <v>1</v>
      </c>
      <c r="E2322" t="str">
        <f>"LAB Pneumatics 3 (School License on LMS) - Electro Pneumatics with PneuFlex"</f>
        <v>LAB Pneumatics 3 (School License on LMS) - Electro Pneumatics with PneuFlex</v>
      </c>
      <c r="F2322">
        <v>810</v>
      </c>
      <c r="G2322" t="str">
        <f t="shared" si="585"/>
        <v>Y</v>
      </c>
      <c r="H2322" t="str">
        <f t="shared" si="587"/>
        <v>EA</v>
      </c>
      <c r="I2322">
        <v>0</v>
      </c>
      <c r="J2322">
        <v>0</v>
      </c>
      <c r="K2322" t="str">
        <f t="shared" si="586"/>
        <v>Y</v>
      </c>
      <c r="L2322">
        <v>0</v>
      </c>
      <c r="M2322" t="str">
        <f t="shared" si="582"/>
        <v>NIS</v>
      </c>
      <c r="O2322">
        <v>1</v>
      </c>
      <c r="P2322" t="str">
        <f t="shared" si="584"/>
        <v>Active</v>
      </c>
      <c r="Q2322" t="str">
        <f>"PneuFlex P3 - Electro-Pneumatic package"</f>
        <v>PneuFlex P3 - Electro-Pneumatic package</v>
      </c>
      <c r="S2322" t="str">
        <f>"PneuFlex P3 - Electro-Pneumatic package"</f>
        <v>PneuFlex P3 - Electro-Pneumatic package</v>
      </c>
      <c r="T2322">
        <v>0</v>
      </c>
      <c r="U2322">
        <v>833</v>
      </c>
      <c r="V2322">
        <v>833.5</v>
      </c>
      <c r="W2322" t="str">
        <f t="shared" si="577"/>
        <v>rob</v>
      </c>
    </row>
    <row r="2323" spans="1:23">
      <c r="A2323" t="str">
        <f>"LAB-PNEU3-LMS"</f>
        <v>LAB-PNEU3-LMS</v>
      </c>
      <c r="B2323" t="str">
        <f>"00-3031-0000"</f>
        <v>00-3031-0000</v>
      </c>
      <c r="C2323" t="str">
        <f>"PLC A/B Micrologix for HyraFlex/PneuFlex"</f>
        <v>PLC A/B Micrologix for HyraFlex/PneuFlex</v>
      </c>
      <c r="D2323">
        <v>1</v>
      </c>
      <c r="E2323" t="str">
        <f>"LAB Pneumatics 3 (School License on LMS) - Electro Pneumatics with PneuFlex"</f>
        <v>LAB Pneumatics 3 (School License on LMS) - Electro Pneumatics with PneuFlex</v>
      </c>
      <c r="F2323">
        <v>810</v>
      </c>
      <c r="G2323" t="str">
        <f t="shared" si="585"/>
        <v>Y</v>
      </c>
      <c r="H2323" t="str">
        <f t="shared" si="587"/>
        <v>EA</v>
      </c>
      <c r="I2323">
        <v>0</v>
      </c>
      <c r="J2323">
        <v>0</v>
      </c>
      <c r="K2323" t="str">
        <f t="shared" si="586"/>
        <v>Y</v>
      </c>
      <c r="L2323">
        <v>0</v>
      </c>
      <c r="M2323" t="str">
        <f t="shared" si="582"/>
        <v>NIS</v>
      </c>
      <c r="O2323">
        <v>2</v>
      </c>
      <c r="P2323" t="str">
        <f t="shared" si="584"/>
        <v>Active</v>
      </c>
      <c r="Q2323" t="str">
        <f>"Computer Interface &amp; PLC A/B Micrologix Pneu/Hyd"</f>
        <v>Computer Interface &amp; PLC A/B Micrologix Pneu/Hyd</v>
      </c>
      <c r="S2323" t="str">
        <f>"Computer Interface &amp; PLC A/B Micrologix Pneu/Hyd"</f>
        <v>Computer Interface &amp; PLC A/B Micrologix Pneu/Hyd</v>
      </c>
      <c r="T2323">
        <v>0</v>
      </c>
      <c r="U2323">
        <v>709.84</v>
      </c>
      <c r="V2323">
        <v>627.34</v>
      </c>
      <c r="W2323" t="str">
        <f t="shared" ref="W2323:W2386" si="588">"rob"</f>
        <v>rob</v>
      </c>
    </row>
    <row r="2324" spans="1:23">
      <c r="A2324" t="str">
        <f>"LAB-PNEU3-LMS"</f>
        <v>LAB-PNEU3-LMS</v>
      </c>
      <c r="B2324" t="str">
        <f>"035073"</f>
        <v>035073</v>
      </c>
      <c r="C2324" t="str">
        <f>"Power Supply 110/220 -&gt; 24VDC"</f>
        <v>Power Supply 110/220 -&gt; 24VDC</v>
      </c>
      <c r="D2324">
        <v>1</v>
      </c>
      <c r="E2324" t="str">
        <f>"LAB Pneumatics 3 (School License on LMS) - Electro Pneumatics with PneuFlex"</f>
        <v>LAB Pneumatics 3 (School License on LMS) - Electro Pneumatics with PneuFlex</v>
      </c>
      <c r="F2324">
        <v>810</v>
      </c>
      <c r="G2324" t="str">
        <f t="shared" si="585"/>
        <v>Y</v>
      </c>
      <c r="H2324" t="str">
        <f t="shared" si="587"/>
        <v>EA</v>
      </c>
      <c r="I2324">
        <v>0</v>
      </c>
      <c r="J2324">
        <v>0</v>
      </c>
      <c r="K2324" t="str">
        <f t="shared" si="586"/>
        <v>Y</v>
      </c>
      <c r="L2324">
        <v>0</v>
      </c>
      <c r="M2324" t="str">
        <f t="shared" si="582"/>
        <v>NIS</v>
      </c>
      <c r="O2324">
        <v>3</v>
      </c>
      <c r="P2324" t="str">
        <f>"Phase Out"</f>
        <v>Phase Out</v>
      </c>
      <c r="Q2324" t="str">
        <f>"Power Supply Wired Desktop, 110~220, 24VDC, 48W"</f>
        <v>Power Supply Wired Desktop, 110~220, 24VDC, 48W</v>
      </c>
      <c r="S2324" t="str">
        <f>"Power Supply Wired Desktop, 110~220, 24VDC, 48W"</f>
        <v>Power Supply Wired Desktop, 110~220, 24VDC, 48W</v>
      </c>
      <c r="T2324">
        <v>0</v>
      </c>
      <c r="U2324">
        <v>57</v>
      </c>
      <c r="V2324">
        <v>54.45</v>
      </c>
      <c r="W2324" t="str">
        <f t="shared" si="588"/>
        <v>rob</v>
      </c>
    </row>
    <row r="2325" spans="1:23">
      <c r="A2325" t="str">
        <f>"LAB-PNEU3-LMS"</f>
        <v>LAB-PNEU3-LMS</v>
      </c>
      <c r="B2325" t="str">
        <f>"17-3039-0000"</f>
        <v>17-3039-0000</v>
      </c>
      <c r="C2325" t="str">
        <f>"LM5.X Content, Virtual, Pneumatics 3"</f>
        <v>LM5.X Content, Virtual, Pneumatics 3</v>
      </c>
      <c r="D2325">
        <v>1</v>
      </c>
      <c r="E2325" t="str">
        <f>"LAB Pneumatics 3 (School License on LMS) - Electro Pneumatics with PneuFlex"</f>
        <v>LAB Pneumatics 3 (School License on LMS) - Electro Pneumatics with PneuFlex</v>
      </c>
      <c r="F2325">
        <v>810</v>
      </c>
      <c r="G2325" t="str">
        <f t="shared" si="585"/>
        <v>Y</v>
      </c>
      <c r="H2325" t="str">
        <f t="shared" si="587"/>
        <v>EA</v>
      </c>
      <c r="I2325">
        <v>0</v>
      </c>
      <c r="J2325">
        <v>0</v>
      </c>
      <c r="K2325" t="str">
        <f t="shared" si="586"/>
        <v>Y</v>
      </c>
      <c r="L2325">
        <v>0</v>
      </c>
      <c r="M2325" t="str">
        <f t="shared" si="582"/>
        <v>NIS</v>
      </c>
      <c r="O2325">
        <v>5</v>
      </c>
      <c r="P2325" t="str">
        <f>"Active"</f>
        <v>Active</v>
      </c>
      <c r="Q2325" t="str">
        <f>"LM5.X Content, Virtual, Pneumatics 3"</f>
        <v>LM5.X Content, Virtual, Pneumatics 3</v>
      </c>
      <c r="S2325" t="str">
        <f>"LM5.X Content, Virtual, Pneumatics 3"</f>
        <v>LM5.X Content, Virtual, Pneumatics 3</v>
      </c>
      <c r="T2325">
        <v>0</v>
      </c>
      <c r="U2325">
        <v>5</v>
      </c>
      <c r="V2325">
        <v>5</v>
      </c>
      <c r="W2325" t="str">
        <f t="shared" si="588"/>
        <v>rob</v>
      </c>
    </row>
    <row r="2326" spans="1:23">
      <c r="A2326" t="str">
        <f>"LAB-PNEU3-LMS"</f>
        <v>LAB-PNEU3-LMS</v>
      </c>
      <c r="B2326" t="str">
        <f>"0E8230"</f>
        <v>0E8230</v>
      </c>
      <c r="C2326" t="str">
        <f>"LM_Content  LMS Vir.-Pneu Technology 3 -Electro"</f>
        <v>LM_Content  LMS Vir.-Pneu Technology 3 -Electro</v>
      </c>
      <c r="D2326">
        <v>1</v>
      </c>
      <c r="E2326" t="str">
        <f>"LAB Pneumatics 3 (School License on LMS) - Electro Pneumatics with PneuFlex"</f>
        <v>LAB Pneumatics 3 (School License on LMS) - Electro Pneumatics with PneuFlex</v>
      </c>
      <c r="F2326">
        <v>810</v>
      </c>
      <c r="G2326" t="str">
        <f t="shared" si="585"/>
        <v>Y</v>
      </c>
      <c r="H2326" t="str">
        <f t="shared" si="587"/>
        <v>EA</v>
      </c>
      <c r="I2326">
        <v>0</v>
      </c>
      <c r="J2326">
        <v>0</v>
      </c>
      <c r="K2326" t="str">
        <f t="shared" si="586"/>
        <v>Y</v>
      </c>
      <c r="L2326">
        <v>0</v>
      </c>
      <c r="M2326" t="str">
        <f t="shared" si="582"/>
        <v>NIS</v>
      </c>
      <c r="N2326" t="str">
        <f>"Y"</f>
        <v>Y</v>
      </c>
      <c r="O2326">
        <v>4</v>
      </c>
      <c r="P2326" t="str">
        <f>"Active"</f>
        <v>Active</v>
      </c>
      <c r="Q2326" t="str">
        <f>"LM_Content  LMS Vir.-Pneu Technology 3 -Electro"</f>
        <v>LM_Content  LMS Vir.-Pneu Technology 3 -Electro</v>
      </c>
      <c r="S2326" t="str">
        <f>"LM_Content  LMS Vir.-Pneu Technology 3 -Electro"</f>
        <v>LM_Content  LMS Vir.-Pneu Technology 3 -Electro</v>
      </c>
      <c r="T2326">
        <v>0</v>
      </c>
      <c r="U2326">
        <v>30.66</v>
      </c>
      <c r="V2326">
        <v>35.840000000000003</v>
      </c>
      <c r="W2326" t="str">
        <f t="shared" si="588"/>
        <v>rob</v>
      </c>
    </row>
    <row r="2327" spans="1:23">
      <c r="A2327" t="str">
        <f>"LAB-PNEU3-SA"</f>
        <v>LAB-PNEU3-SA</v>
      </c>
      <c r="B2327" t="str">
        <f>"00-1906-0000"</f>
        <v>00-1906-0000</v>
      </c>
      <c r="C2327" t="str">
        <f>"PneuFlex 3 - Electro - Pneumatics Component set"</f>
        <v>PneuFlex 3 - Electro - Pneumatics Component set</v>
      </c>
      <c r="D2327">
        <v>1</v>
      </c>
      <c r="E2327" t="str">
        <f>"LAB Pneumatics 3 (standalone) - Electro Pneumatics with PneuFlex"</f>
        <v>LAB Pneumatics 3 (standalone) - Electro Pneumatics with PneuFlex</v>
      </c>
      <c r="F2327">
        <v>810</v>
      </c>
      <c r="G2327" t="str">
        <f t="shared" si="585"/>
        <v>Y</v>
      </c>
      <c r="H2327" t="str">
        <f t="shared" si="587"/>
        <v>EA</v>
      </c>
      <c r="I2327">
        <v>0</v>
      </c>
      <c r="J2327">
        <v>0</v>
      </c>
      <c r="K2327" t="str">
        <f t="shared" si="586"/>
        <v>Y</v>
      </c>
      <c r="L2327">
        <v>0</v>
      </c>
      <c r="M2327" t="str">
        <f t="shared" si="582"/>
        <v>NIS</v>
      </c>
      <c r="O2327">
        <v>1</v>
      </c>
      <c r="P2327" t="str">
        <f>"Active"</f>
        <v>Active</v>
      </c>
      <c r="Q2327" t="str">
        <f>"PneuFlex P3 - Electro-Pneumatic package"</f>
        <v>PneuFlex P3 - Electro-Pneumatic package</v>
      </c>
      <c r="S2327" t="str">
        <f>"PneuFlex P3 - Electro-Pneumatic package"</f>
        <v>PneuFlex P3 - Electro-Pneumatic package</v>
      </c>
      <c r="T2327">
        <v>0</v>
      </c>
      <c r="U2327">
        <v>833</v>
      </c>
      <c r="V2327">
        <v>833.5</v>
      </c>
      <c r="W2327" t="str">
        <f t="shared" si="588"/>
        <v>rob</v>
      </c>
    </row>
    <row r="2328" spans="1:23">
      <c r="A2328" t="str">
        <f>"LAB-PNEU3-SA"</f>
        <v>LAB-PNEU3-SA</v>
      </c>
      <c r="B2328" t="str">
        <f>"00-3031-0000"</f>
        <v>00-3031-0000</v>
      </c>
      <c r="C2328" t="str">
        <f>"PLC A/B Micrologix for HyraFlex/PneuFlex"</f>
        <v>PLC A/B Micrologix for HyraFlex/PneuFlex</v>
      </c>
      <c r="D2328">
        <v>1</v>
      </c>
      <c r="E2328" t="str">
        <f>"LAB Pneumatics 3 (standalone) - Electro Pneumatics with PneuFlex"</f>
        <v>LAB Pneumatics 3 (standalone) - Electro Pneumatics with PneuFlex</v>
      </c>
      <c r="F2328">
        <v>810</v>
      </c>
      <c r="G2328" t="str">
        <f t="shared" si="585"/>
        <v>Y</v>
      </c>
      <c r="H2328" t="str">
        <f t="shared" si="587"/>
        <v>EA</v>
      </c>
      <c r="I2328">
        <v>0</v>
      </c>
      <c r="J2328">
        <v>0</v>
      </c>
      <c r="K2328" t="str">
        <f t="shared" si="586"/>
        <v>Y</v>
      </c>
      <c r="L2328">
        <v>0</v>
      </c>
      <c r="M2328" t="str">
        <f t="shared" si="582"/>
        <v>NIS</v>
      </c>
      <c r="O2328">
        <v>2</v>
      </c>
      <c r="P2328" t="str">
        <f>"Active"</f>
        <v>Active</v>
      </c>
      <c r="Q2328" t="str">
        <f>"Computer Interface &amp; PLC A/B Micrologix Pneu/Hyd"</f>
        <v>Computer Interface &amp; PLC A/B Micrologix Pneu/Hyd</v>
      </c>
      <c r="S2328" t="str">
        <f>"Computer Interface &amp; PLC A/B Micrologix Pneu/Hyd"</f>
        <v>Computer Interface &amp; PLC A/B Micrologix Pneu/Hyd</v>
      </c>
      <c r="T2328">
        <v>0</v>
      </c>
      <c r="U2328">
        <v>709.84</v>
      </c>
      <c r="V2328">
        <v>627.34</v>
      </c>
      <c r="W2328" t="str">
        <f t="shared" si="588"/>
        <v>rob</v>
      </c>
    </row>
    <row r="2329" spans="1:23">
      <c r="A2329" t="str">
        <f>"LAB-PNEU3-SA"</f>
        <v>LAB-PNEU3-SA</v>
      </c>
      <c r="B2329" t="str">
        <f>"035073"</f>
        <v>035073</v>
      </c>
      <c r="C2329" t="str">
        <f>"Power Supply 110/220 -&gt; 24VDC"</f>
        <v>Power Supply 110/220 -&gt; 24VDC</v>
      </c>
      <c r="D2329">
        <v>1</v>
      </c>
      <c r="E2329" t="str">
        <f>"LAB Pneumatics 3 (standalone) - Electro Pneumatics with PneuFlex"</f>
        <v>LAB Pneumatics 3 (standalone) - Electro Pneumatics with PneuFlex</v>
      </c>
      <c r="F2329">
        <v>810</v>
      </c>
      <c r="G2329" t="str">
        <f t="shared" si="585"/>
        <v>Y</v>
      </c>
      <c r="H2329" t="str">
        <f t="shared" si="587"/>
        <v>EA</v>
      </c>
      <c r="I2329">
        <v>0</v>
      </c>
      <c r="J2329">
        <v>0</v>
      </c>
      <c r="K2329" t="str">
        <f t="shared" si="586"/>
        <v>Y</v>
      </c>
      <c r="L2329">
        <v>0</v>
      </c>
      <c r="M2329" t="str">
        <f t="shared" si="582"/>
        <v>NIS</v>
      </c>
      <c r="O2329">
        <v>3</v>
      </c>
      <c r="P2329" t="str">
        <f>"Phase Out"</f>
        <v>Phase Out</v>
      </c>
      <c r="Q2329" t="str">
        <f>"Power Supply Wired Desktop, 110~220, 24VDC, 48W"</f>
        <v>Power Supply Wired Desktop, 110~220, 24VDC, 48W</v>
      </c>
      <c r="S2329" t="str">
        <f>"Power Supply Wired Desktop, 110~220, 24VDC, 48W"</f>
        <v>Power Supply Wired Desktop, 110~220, 24VDC, 48W</v>
      </c>
      <c r="T2329">
        <v>0</v>
      </c>
      <c r="U2329">
        <v>57</v>
      </c>
      <c r="V2329">
        <v>54.45</v>
      </c>
      <c r="W2329" t="str">
        <f t="shared" si="588"/>
        <v>rob</v>
      </c>
    </row>
    <row r="2330" spans="1:23">
      <c r="A2330" t="str">
        <f>"LAB-PNEU3-SA"</f>
        <v>LAB-PNEU3-SA</v>
      </c>
      <c r="B2330" t="str">
        <f>"0E7230"</f>
        <v>0E7230</v>
      </c>
      <c r="C2330" t="str">
        <f>"LM_Content SA Vir.-Pneu Technology 3-Electro Pnu"</f>
        <v>LM_Content SA Vir.-Pneu Technology 3-Electro Pnu</v>
      </c>
      <c r="D2330">
        <v>1</v>
      </c>
      <c r="E2330" t="str">
        <f>"LAB Pneumatics 3 (standalone) - Electro Pneumatics with PneuFlex"</f>
        <v>LAB Pneumatics 3 (standalone) - Electro Pneumatics with PneuFlex</v>
      </c>
      <c r="F2330">
        <v>810</v>
      </c>
      <c r="G2330" t="str">
        <f t="shared" si="585"/>
        <v>Y</v>
      </c>
      <c r="H2330" t="str">
        <f t="shared" si="587"/>
        <v>EA</v>
      </c>
      <c r="I2330">
        <v>0</v>
      </c>
      <c r="J2330">
        <v>0</v>
      </c>
      <c r="K2330" t="str">
        <f t="shared" si="586"/>
        <v>Y</v>
      </c>
      <c r="L2330">
        <v>0</v>
      </c>
      <c r="M2330" t="str">
        <f t="shared" si="582"/>
        <v>NIS</v>
      </c>
      <c r="O2330">
        <v>4</v>
      </c>
      <c r="P2330" t="str">
        <f t="shared" ref="P2330:P2344" si="589">"Active"</f>
        <v>Active</v>
      </c>
      <c r="Q2330" t="str">
        <f>"LM_Content SA Vir.-Pneu Technology 3-Electro Pnu"</f>
        <v>LM_Content SA Vir.-Pneu Technology 3-Electro Pnu</v>
      </c>
      <c r="S2330" t="str">
        <f>"LM_Content SA Vir.-Pneu Technology 3-Electro Pnu"</f>
        <v>LM_Content SA Vir.-Pneu Technology 3-Electro Pnu</v>
      </c>
      <c r="T2330">
        <v>0</v>
      </c>
      <c r="U2330">
        <v>30.65</v>
      </c>
      <c r="V2330">
        <v>35.840000000000003</v>
      </c>
      <c r="W2330" t="str">
        <f t="shared" si="588"/>
        <v>rob</v>
      </c>
    </row>
    <row r="2331" spans="1:23">
      <c r="A2331" t="str">
        <f>"LAB-PNEU3-SA"</f>
        <v>LAB-PNEU3-SA</v>
      </c>
      <c r="B2331" t="str">
        <f>"63-7001-0100"</f>
        <v>63-7001-0100</v>
      </c>
      <c r="C2331" t="str">
        <f>"License Key for Standalone Content"</f>
        <v>License Key for Standalone Content</v>
      </c>
      <c r="D2331">
        <v>1</v>
      </c>
      <c r="E2331" t="str">
        <f>"LAB Pneumatics 3 (standalone) - Electro Pneumatics with PneuFlex"</f>
        <v>LAB Pneumatics 3 (standalone) - Electro Pneumatics with PneuFlex</v>
      </c>
      <c r="F2331">
        <v>810</v>
      </c>
      <c r="G2331" t="str">
        <f t="shared" si="585"/>
        <v>Y</v>
      </c>
      <c r="H2331" t="str">
        <f t="shared" si="587"/>
        <v>EA</v>
      </c>
      <c r="I2331">
        <v>0</v>
      </c>
      <c r="J2331">
        <v>0</v>
      </c>
      <c r="K2331" t="str">
        <f t="shared" si="586"/>
        <v>Y</v>
      </c>
      <c r="L2331">
        <v>0</v>
      </c>
      <c r="M2331" t="str">
        <f t="shared" si="582"/>
        <v>NIS</v>
      </c>
      <c r="O2331">
        <v>5</v>
      </c>
      <c r="P2331" t="str">
        <f t="shared" si="589"/>
        <v>Active</v>
      </c>
      <c r="Q2331" t="str">
        <f>"License Key For LM Content Standalone"</f>
        <v>License Key For LM Content Standalone</v>
      </c>
      <c r="R2331" t="str">
        <f>"1"</f>
        <v>1</v>
      </c>
      <c r="S2331" t="str">
        <f>"License Key For LM Content Standalone"</f>
        <v>License Key For LM Content Standalone</v>
      </c>
      <c r="T2331">
        <v>0</v>
      </c>
      <c r="U2331">
        <v>18</v>
      </c>
      <c r="V2331">
        <v>18.72</v>
      </c>
      <c r="W2331" t="str">
        <f t="shared" si="588"/>
        <v>rob</v>
      </c>
    </row>
    <row r="2332" spans="1:23">
      <c r="A2332" t="str">
        <f>"LAB-QCVFLX-LMS"</f>
        <v>LAB-QCVFLX-LMS</v>
      </c>
      <c r="B2332" t="str">
        <f>"00-1422-0000"</f>
        <v>00-1422-0000</v>
      </c>
      <c r="C2332" t="str">
        <f>"Viewflex for QC (Stand 400mm)"</f>
        <v>Viewflex for QC (Stand 400mm)</v>
      </c>
      <c r="D2332">
        <v>1</v>
      </c>
      <c r="E2332" t="str">
        <f>"LAB QC: Vision (50 users on LMS) - ViewFlex"</f>
        <v>LAB QC: Vision (50 users on LMS) - ViewFlex</v>
      </c>
      <c r="F2332">
        <v>810</v>
      </c>
      <c r="G2332" t="str">
        <f t="shared" si="585"/>
        <v>Y</v>
      </c>
      <c r="H2332" t="str">
        <f t="shared" si="587"/>
        <v>EA</v>
      </c>
      <c r="I2332">
        <v>0</v>
      </c>
      <c r="J2332">
        <v>0</v>
      </c>
      <c r="K2332" t="str">
        <f t="shared" si="586"/>
        <v>Y</v>
      </c>
      <c r="L2332">
        <v>0</v>
      </c>
      <c r="M2332" t="str">
        <f t="shared" si="582"/>
        <v>NIS</v>
      </c>
      <c r="O2332">
        <v>1</v>
      </c>
      <c r="P2332" t="str">
        <f t="shared" si="589"/>
        <v>Active</v>
      </c>
      <c r="Q2332" t="str">
        <f>"Viewflex for QC (Stand 400mm)"</f>
        <v>Viewflex for QC (Stand 400mm)</v>
      </c>
      <c r="S2332" t="str">
        <f>"Viewflex for QC (Stand 400mm)"</f>
        <v>Viewflex for QC (Stand 400mm)</v>
      </c>
      <c r="T2332">
        <v>0</v>
      </c>
      <c r="U2332">
        <v>560</v>
      </c>
      <c r="V2332">
        <v>511.35</v>
      </c>
      <c r="W2332" t="str">
        <f t="shared" si="588"/>
        <v>rob</v>
      </c>
    </row>
    <row r="2333" spans="1:23">
      <c r="A2333" t="str">
        <f>"LAB-QCVFLX-LMS"</f>
        <v>LAB-QCVFLX-LMS</v>
      </c>
      <c r="B2333" t="str">
        <f>"00-4026-0000"</f>
        <v>00-4026-0000</v>
      </c>
      <c r="C2333" t="str">
        <f>"Accessories for ViewFlex, Vision and QC"</f>
        <v>Accessories for ViewFlex, Vision and QC</v>
      </c>
      <c r="D2333">
        <v>1</v>
      </c>
      <c r="E2333" t="str">
        <f>"LAB QC: Vision (50 users on LMS) - ViewFlex"</f>
        <v>LAB QC: Vision (50 users on LMS) - ViewFlex</v>
      </c>
      <c r="F2333">
        <v>810</v>
      </c>
      <c r="G2333" t="str">
        <f t="shared" si="585"/>
        <v>Y</v>
      </c>
      <c r="H2333" t="str">
        <f t="shared" si="587"/>
        <v>EA</v>
      </c>
      <c r="I2333">
        <v>0</v>
      </c>
      <c r="J2333">
        <v>0</v>
      </c>
      <c r="K2333" t="str">
        <f t="shared" si="586"/>
        <v>Y</v>
      </c>
      <c r="L2333">
        <v>0</v>
      </c>
      <c r="M2333" t="str">
        <f t="shared" si="582"/>
        <v>NIS</v>
      </c>
      <c r="O2333">
        <v>2</v>
      </c>
      <c r="P2333" t="str">
        <f t="shared" si="589"/>
        <v>Active</v>
      </c>
      <c r="Q2333" t="str">
        <f>"מוצר נלווה ל-AMT Vision and QC -ViewFlex"</f>
        <v>מוצר נלווה ל-AMT Vision and QC -ViewFlex</v>
      </c>
      <c r="S2333" t="str">
        <f>"מוצר נלווה ל-AMT Vision and QC -ViewFlex"</f>
        <v>מוצר נלווה ל-AMT Vision and QC -ViewFlex</v>
      </c>
      <c r="T2333">
        <v>0</v>
      </c>
      <c r="U2333">
        <v>32</v>
      </c>
      <c r="V2333">
        <v>26.88</v>
      </c>
      <c r="W2333" t="str">
        <f t="shared" si="588"/>
        <v>rob</v>
      </c>
    </row>
    <row r="2334" spans="1:23">
      <c r="A2334" t="str">
        <f>"LAB-QCVFLX-LMS"</f>
        <v>LAB-QCVFLX-LMS</v>
      </c>
      <c r="B2334" t="str">
        <f>"17-8084-0000"</f>
        <v>17-8084-0000</v>
      </c>
      <c r="C2334" t="str">
        <f>"LM 5 Content, Lab, Machine Vision &amp; QC 1"</f>
        <v>LM 5 Content, Lab, Machine Vision &amp; QC 1</v>
      </c>
      <c r="D2334">
        <v>1</v>
      </c>
      <c r="E2334" t="str">
        <f>"LAB QC: Vision (50 users on LMS) - ViewFlex"</f>
        <v>LAB QC: Vision (50 users on LMS) - ViewFlex</v>
      </c>
      <c r="F2334">
        <v>810</v>
      </c>
      <c r="G2334" t="str">
        <f t="shared" si="585"/>
        <v>Y</v>
      </c>
      <c r="H2334" t="str">
        <f t="shared" si="587"/>
        <v>EA</v>
      </c>
      <c r="I2334">
        <v>0</v>
      </c>
      <c r="J2334">
        <v>0</v>
      </c>
      <c r="K2334" t="str">
        <f t="shared" si="586"/>
        <v>Y</v>
      </c>
      <c r="L2334">
        <v>0</v>
      </c>
      <c r="M2334" t="str">
        <f t="shared" si="582"/>
        <v>NIS</v>
      </c>
      <c r="O2334">
        <v>4</v>
      </c>
      <c r="P2334" t="str">
        <f t="shared" si="589"/>
        <v>Active</v>
      </c>
      <c r="Q2334" t="str">
        <f>"LM5.X Content, Lab, Machine Vision &amp; QC 1"</f>
        <v>LM5.X Content, Lab, Machine Vision &amp; QC 1</v>
      </c>
      <c r="S2334" t="str">
        <f>"LM5.X Content, Lab, Machine Vision &amp; QC 1"</f>
        <v>LM5.X Content, Lab, Machine Vision &amp; QC 1</v>
      </c>
      <c r="T2334">
        <v>0</v>
      </c>
      <c r="U2334">
        <v>5</v>
      </c>
      <c r="V2334">
        <v>5</v>
      </c>
      <c r="W2334" t="str">
        <f t="shared" si="588"/>
        <v>rob</v>
      </c>
    </row>
    <row r="2335" spans="1:23">
      <c r="A2335" t="str">
        <f>"LAB-SENSOR-SA"</f>
        <v>LAB-SENSOR-SA</v>
      </c>
      <c r="B2335" t="str">
        <f>"00-3014-0000"</f>
        <v>00-3014-0000</v>
      </c>
      <c r="C2335" t="str">
        <f>"SensorLine - Sensor Technology Training Panel"</f>
        <v>SensorLine - Sensor Technology Training Panel</v>
      </c>
      <c r="D2335">
        <v>1</v>
      </c>
      <c r="E2335" t="str">
        <f>"LAB Sensor Technology ( standalone)"</f>
        <v>LAB Sensor Technology ( standalone)</v>
      </c>
      <c r="F2335">
        <v>810</v>
      </c>
      <c r="G2335" t="str">
        <f t="shared" si="585"/>
        <v>Y</v>
      </c>
      <c r="H2335" t="str">
        <f t="shared" si="587"/>
        <v>EA</v>
      </c>
      <c r="I2335">
        <v>0</v>
      </c>
      <c r="J2335">
        <v>0</v>
      </c>
      <c r="K2335" t="str">
        <f t="shared" si="586"/>
        <v>Y</v>
      </c>
      <c r="L2335">
        <v>0</v>
      </c>
      <c r="M2335" t="str">
        <f t="shared" si="582"/>
        <v>NIS</v>
      </c>
      <c r="O2335">
        <v>1</v>
      </c>
      <c r="P2335" t="str">
        <f t="shared" si="589"/>
        <v>Active</v>
      </c>
      <c r="Q2335" t="str">
        <f>"SensorLine Panel package"</f>
        <v>SensorLine Panel package</v>
      </c>
      <c r="S2335" t="str">
        <f>"SensorLine Panel package"</f>
        <v>SensorLine Panel package</v>
      </c>
      <c r="T2335">
        <v>0</v>
      </c>
      <c r="U2335" s="44">
        <v>1290.24</v>
      </c>
      <c r="V2335" s="44">
        <v>1319.79</v>
      </c>
      <c r="W2335" t="str">
        <f t="shared" si="588"/>
        <v>rob</v>
      </c>
    </row>
    <row r="2336" spans="1:23">
      <c r="A2336" t="str">
        <f>"LAB-SENSOR-SA"</f>
        <v>LAB-SENSOR-SA</v>
      </c>
      <c r="B2336" t="str">
        <f>"0E7131"</f>
        <v>0E7131</v>
      </c>
      <c r="C2336" t="str">
        <f>"LM_Content SA Lab -E- Sensor Technology"</f>
        <v>LM_Content SA Lab -E- Sensor Technology</v>
      </c>
      <c r="D2336">
        <v>1</v>
      </c>
      <c r="E2336" t="str">
        <f>"LAB Sensor Technology ( standalone)"</f>
        <v>LAB Sensor Technology ( standalone)</v>
      </c>
      <c r="F2336">
        <v>810</v>
      </c>
      <c r="G2336" t="str">
        <f t="shared" si="585"/>
        <v>Y</v>
      </c>
      <c r="H2336" t="str">
        <f t="shared" si="587"/>
        <v>EA</v>
      </c>
      <c r="I2336">
        <v>0</v>
      </c>
      <c r="J2336">
        <v>0</v>
      </c>
      <c r="K2336" t="str">
        <f t="shared" si="586"/>
        <v>Y</v>
      </c>
      <c r="L2336">
        <v>0</v>
      </c>
      <c r="M2336" t="str">
        <f t="shared" si="582"/>
        <v>NIS</v>
      </c>
      <c r="O2336">
        <v>2</v>
      </c>
      <c r="P2336" t="str">
        <f t="shared" si="589"/>
        <v>Active</v>
      </c>
      <c r="Q2336" t="str">
        <f>"LM_Content SA Lab -E- Sensor Technology"</f>
        <v>LM_Content SA Lab -E- Sensor Technology</v>
      </c>
      <c r="S2336" t="str">
        <f>"LM_Content SA Lab -E- Sensor Technology"</f>
        <v>LM_Content SA Lab -E- Sensor Technology</v>
      </c>
      <c r="T2336">
        <v>0</v>
      </c>
      <c r="U2336">
        <v>30.65</v>
      </c>
      <c r="V2336">
        <v>35.840000000000003</v>
      </c>
      <c r="W2336" t="str">
        <f t="shared" si="588"/>
        <v>rob</v>
      </c>
    </row>
    <row r="2337" spans="1:23">
      <c r="A2337" t="str">
        <f>"LAB-SENSOR-SA"</f>
        <v>LAB-SENSOR-SA</v>
      </c>
      <c r="B2337" t="str">
        <f>"63-7001-0100"</f>
        <v>63-7001-0100</v>
      </c>
      <c r="C2337" t="str">
        <f>"License Key for Standalone Content"</f>
        <v>License Key for Standalone Content</v>
      </c>
      <c r="D2337">
        <v>1</v>
      </c>
      <c r="E2337" t="str">
        <f>"LAB Sensor Technology ( standalone)"</f>
        <v>LAB Sensor Technology ( standalone)</v>
      </c>
      <c r="F2337">
        <v>810</v>
      </c>
      <c r="G2337" t="str">
        <f t="shared" si="585"/>
        <v>Y</v>
      </c>
      <c r="H2337" t="str">
        <f t="shared" si="587"/>
        <v>EA</v>
      </c>
      <c r="I2337">
        <v>0</v>
      </c>
      <c r="J2337">
        <v>0</v>
      </c>
      <c r="K2337" t="str">
        <f t="shared" si="586"/>
        <v>Y</v>
      </c>
      <c r="L2337">
        <v>0</v>
      </c>
      <c r="M2337" t="str">
        <f t="shared" si="582"/>
        <v>NIS</v>
      </c>
      <c r="O2337">
        <v>3</v>
      </c>
      <c r="P2337" t="str">
        <f t="shared" si="589"/>
        <v>Active</v>
      </c>
      <c r="Q2337" t="str">
        <f>"License Key For LM Content Standalone"</f>
        <v>License Key For LM Content Standalone</v>
      </c>
      <c r="R2337" t="str">
        <f>"1"</f>
        <v>1</v>
      </c>
      <c r="S2337" t="str">
        <f>"License Key For LM Content Standalone"</f>
        <v>License Key For LM Content Standalone</v>
      </c>
      <c r="T2337">
        <v>0</v>
      </c>
      <c r="U2337">
        <v>18</v>
      </c>
      <c r="V2337">
        <v>18.72</v>
      </c>
      <c r="W2337" t="str">
        <f t="shared" si="588"/>
        <v>rob</v>
      </c>
    </row>
    <row r="2338" spans="1:23">
      <c r="A2338" t="str">
        <f>"LAB-THERMOF-LMS"</f>
        <v>LAB-THERMOF-LMS</v>
      </c>
      <c r="B2338" t="str">
        <f>"00-4006-0000"</f>
        <v>00-4006-0000</v>
      </c>
      <c r="C2338" t="str">
        <f>"Thermoforming Machine 911"</f>
        <v>Thermoforming Machine 911</v>
      </c>
      <c r="D2338">
        <v>1</v>
      </c>
      <c r="E2338" t="str">
        <f>"LAB (School License on LMS) -Plastic Thermoforming Center"</f>
        <v>LAB (School License on LMS) -Plastic Thermoforming Center</v>
      </c>
      <c r="F2338">
        <v>810</v>
      </c>
      <c r="G2338" t="str">
        <f t="shared" si="585"/>
        <v>Y</v>
      </c>
      <c r="H2338" t="str">
        <f t="shared" si="587"/>
        <v>EA</v>
      </c>
      <c r="I2338">
        <v>0</v>
      </c>
      <c r="J2338">
        <v>0</v>
      </c>
      <c r="K2338" t="str">
        <f t="shared" si="586"/>
        <v>Y</v>
      </c>
      <c r="L2338">
        <v>0</v>
      </c>
      <c r="M2338" t="str">
        <f t="shared" si="582"/>
        <v>NIS</v>
      </c>
      <c r="O2338">
        <v>1</v>
      </c>
      <c r="P2338" t="str">
        <f t="shared" si="589"/>
        <v>Active</v>
      </c>
      <c r="Q2338" t="str">
        <f>"Thermoforming Machine 911"</f>
        <v>Thermoforming Machine 911</v>
      </c>
      <c r="S2338" t="str">
        <f>"Thermoforming Machine 911"</f>
        <v>Thermoforming Machine 911</v>
      </c>
      <c r="T2338">
        <v>0</v>
      </c>
      <c r="U2338" s="44">
        <v>10085.6</v>
      </c>
      <c r="V2338" s="44">
        <v>10886.33</v>
      </c>
      <c r="W2338" t="str">
        <f t="shared" si="588"/>
        <v>rob</v>
      </c>
    </row>
    <row r="2339" spans="1:23">
      <c r="A2339" t="str">
        <f>"LAB-THERMOF-LMS"</f>
        <v>LAB-THERMOF-LMS</v>
      </c>
      <c r="B2339" t="str">
        <f>"00-4008-0000"</f>
        <v>00-4008-0000</v>
      </c>
      <c r="C2339" t="str">
        <f>"Accessories for thermoforming,  AMT"</f>
        <v>Accessories for thermoforming,  AMT</v>
      </c>
      <c r="D2339">
        <v>1</v>
      </c>
      <c r="E2339" t="str">
        <f>"LAB (School License on LMS) -Plastic Thermoforming Center"</f>
        <v>LAB (School License on LMS) -Plastic Thermoforming Center</v>
      </c>
      <c r="F2339">
        <v>810</v>
      </c>
      <c r="G2339" t="str">
        <f t="shared" si="585"/>
        <v>Y</v>
      </c>
      <c r="H2339" t="str">
        <f t="shared" si="587"/>
        <v>EA</v>
      </c>
      <c r="I2339">
        <v>0</v>
      </c>
      <c r="J2339">
        <v>0</v>
      </c>
      <c r="K2339" t="str">
        <f t="shared" si="586"/>
        <v>Y</v>
      </c>
      <c r="L2339">
        <v>0</v>
      </c>
      <c r="M2339" t="str">
        <f t="shared" si="582"/>
        <v>NIS</v>
      </c>
      <c r="O2339">
        <v>2</v>
      </c>
      <c r="P2339" t="str">
        <f t="shared" si="589"/>
        <v>Active</v>
      </c>
      <c r="Q2339" t="str">
        <f>"Accessories for thermoforming,  AMT"</f>
        <v>Accessories for thermoforming,  AMT</v>
      </c>
      <c r="S2339" t="str">
        <f>"Accessories for thermoforming,  AMT"</f>
        <v>Accessories for thermoforming,  AMT</v>
      </c>
      <c r="T2339">
        <v>0</v>
      </c>
      <c r="U2339">
        <v>773.27</v>
      </c>
      <c r="V2339">
        <v>773.99</v>
      </c>
      <c r="W2339" t="str">
        <f t="shared" si="588"/>
        <v>rob</v>
      </c>
    </row>
    <row r="2340" spans="1:23">
      <c r="A2340" t="str">
        <f>"LAB-THERMOF-LMS"</f>
        <v>LAB-THERMOF-LMS</v>
      </c>
      <c r="B2340" t="str">
        <f>"17-8057-0000"</f>
        <v>17-8057-0000</v>
      </c>
      <c r="C2340" t="str">
        <f>"LM 5 Content, Lab/Vir, Plastics Thermoforming"</f>
        <v>LM 5 Content, Lab/Vir, Plastics Thermoforming</v>
      </c>
      <c r="D2340">
        <v>1</v>
      </c>
      <c r="E2340" t="str">
        <f>"LAB (School License on LMS) -Plastic Thermoforming Center"</f>
        <v>LAB (School License on LMS) -Plastic Thermoforming Center</v>
      </c>
      <c r="F2340">
        <v>810</v>
      </c>
      <c r="G2340" t="str">
        <f t="shared" si="585"/>
        <v>Y</v>
      </c>
      <c r="H2340" t="str">
        <f t="shared" si="587"/>
        <v>EA</v>
      </c>
      <c r="I2340">
        <v>0</v>
      </c>
      <c r="J2340">
        <v>0</v>
      </c>
      <c r="K2340" t="str">
        <f t="shared" si="586"/>
        <v>Y</v>
      </c>
      <c r="L2340">
        <v>0</v>
      </c>
      <c r="M2340" t="str">
        <f t="shared" si="582"/>
        <v>NIS</v>
      </c>
      <c r="O2340">
        <v>4</v>
      </c>
      <c r="P2340" t="str">
        <f t="shared" si="589"/>
        <v>Active</v>
      </c>
      <c r="Q2340" t="str">
        <f>"LM5.X Content, Lab/Vir, Plastics Thermoforming"</f>
        <v>LM5.X Content, Lab/Vir, Plastics Thermoforming</v>
      </c>
      <c r="S2340" t="str">
        <f>"LM5.X Content, Lab/Vir, Plastics Thermoforming"</f>
        <v>LM5.X Content, Lab/Vir, Plastics Thermoforming</v>
      </c>
      <c r="T2340">
        <v>0</v>
      </c>
      <c r="U2340">
        <v>5</v>
      </c>
      <c r="V2340">
        <v>5</v>
      </c>
      <c r="W2340" t="str">
        <f t="shared" si="588"/>
        <v>rob</v>
      </c>
    </row>
    <row r="2341" spans="1:23">
      <c r="A2341" t="str">
        <f>"LAB-THERMOF-SA"</f>
        <v>LAB-THERMOF-SA</v>
      </c>
      <c r="B2341" t="str">
        <f>"00-4006-0000"</f>
        <v>00-4006-0000</v>
      </c>
      <c r="C2341" t="str">
        <f>"Thermoforming Machine 911"</f>
        <v>Thermoforming Machine 911</v>
      </c>
      <c r="D2341">
        <v>1</v>
      </c>
      <c r="E2341" t="str">
        <f>"LAB (standalone) -Plastic Thermoforming Center"</f>
        <v>LAB (standalone) -Plastic Thermoforming Center</v>
      </c>
      <c r="F2341">
        <v>810</v>
      </c>
      <c r="G2341" t="str">
        <f t="shared" si="585"/>
        <v>Y</v>
      </c>
      <c r="H2341" t="str">
        <f t="shared" si="587"/>
        <v>EA</v>
      </c>
      <c r="I2341">
        <v>0</v>
      </c>
      <c r="J2341">
        <v>0</v>
      </c>
      <c r="K2341" t="str">
        <f t="shared" si="586"/>
        <v>Y</v>
      </c>
      <c r="L2341">
        <v>0</v>
      </c>
      <c r="M2341" t="str">
        <f t="shared" si="582"/>
        <v>NIS</v>
      </c>
      <c r="O2341">
        <v>1</v>
      </c>
      <c r="P2341" t="str">
        <f t="shared" si="589"/>
        <v>Active</v>
      </c>
      <c r="Q2341" t="str">
        <f>"Thermoforming Machine 911"</f>
        <v>Thermoforming Machine 911</v>
      </c>
      <c r="S2341" t="str">
        <f>"Thermoforming Machine 911"</f>
        <v>Thermoforming Machine 911</v>
      </c>
      <c r="T2341">
        <v>0</v>
      </c>
      <c r="U2341" s="44">
        <v>10085.6</v>
      </c>
      <c r="V2341" s="44">
        <v>10886.33</v>
      </c>
      <c r="W2341" t="str">
        <f t="shared" si="588"/>
        <v>rob</v>
      </c>
    </row>
    <row r="2342" spans="1:23">
      <c r="A2342" t="str">
        <f>"LAB-THERMOF-SA"</f>
        <v>LAB-THERMOF-SA</v>
      </c>
      <c r="B2342" t="str">
        <f>"00-4008-0000"</f>
        <v>00-4008-0000</v>
      </c>
      <c r="C2342" t="str">
        <f>"Accessories for thermoforming,  AMT"</f>
        <v>Accessories for thermoforming,  AMT</v>
      </c>
      <c r="D2342">
        <v>1</v>
      </c>
      <c r="E2342" t="str">
        <f>"LAB (standalone) -Plastic Thermoforming Center"</f>
        <v>LAB (standalone) -Plastic Thermoforming Center</v>
      </c>
      <c r="F2342">
        <v>810</v>
      </c>
      <c r="G2342" t="str">
        <f t="shared" si="585"/>
        <v>Y</v>
      </c>
      <c r="H2342" t="str">
        <f t="shared" si="587"/>
        <v>EA</v>
      </c>
      <c r="I2342">
        <v>0</v>
      </c>
      <c r="J2342">
        <v>0</v>
      </c>
      <c r="K2342" t="str">
        <f t="shared" si="586"/>
        <v>Y</v>
      </c>
      <c r="L2342">
        <v>0</v>
      </c>
      <c r="M2342" t="str">
        <f t="shared" si="582"/>
        <v>NIS</v>
      </c>
      <c r="O2342">
        <v>2</v>
      </c>
      <c r="P2342" t="str">
        <f t="shared" si="589"/>
        <v>Active</v>
      </c>
      <c r="Q2342" t="str">
        <f>"Accessories for thermoforming,  AMT"</f>
        <v>Accessories for thermoforming,  AMT</v>
      </c>
      <c r="S2342" t="str">
        <f>"Accessories for thermoforming,  AMT"</f>
        <v>Accessories for thermoforming,  AMT</v>
      </c>
      <c r="T2342">
        <v>0</v>
      </c>
      <c r="U2342">
        <v>773.27</v>
      </c>
      <c r="V2342">
        <v>773.99</v>
      </c>
      <c r="W2342" t="str">
        <f t="shared" si="588"/>
        <v>rob</v>
      </c>
    </row>
    <row r="2343" spans="1:23">
      <c r="A2343" t="str">
        <f>"LAB-THERMOF-SA"</f>
        <v>LAB-THERMOF-SA</v>
      </c>
      <c r="B2343" t="str">
        <f>"0E7119"</f>
        <v>0E7119</v>
      </c>
      <c r="C2343" t="str">
        <f>"LM_Content SA Lab -Plastics Tech (thermoforming)"</f>
        <v>LM_Content SA Lab -Plastics Tech (thermoforming)</v>
      </c>
      <c r="D2343">
        <v>1</v>
      </c>
      <c r="E2343" t="str">
        <f>"LAB (standalone) -Plastic Thermoforming Center"</f>
        <v>LAB (standalone) -Plastic Thermoforming Center</v>
      </c>
      <c r="F2343">
        <v>810</v>
      </c>
      <c r="G2343" t="str">
        <f t="shared" si="585"/>
        <v>Y</v>
      </c>
      <c r="H2343" t="str">
        <f t="shared" si="587"/>
        <v>EA</v>
      </c>
      <c r="I2343">
        <v>0</v>
      </c>
      <c r="J2343">
        <v>0</v>
      </c>
      <c r="K2343" t="str">
        <f t="shared" si="586"/>
        <v>Y</v>
      </c>
      <c r="L2343">
        <v>0</v>
      </c>
      <c r="M2343" t="str">
        <f t="shared" si="582"/>
        <v>NIS</v>
      </c>
      <c r="O2343">
        <v>3</v>
      </c>
      <c r="P2343" t="str">
        <f t="shared" si="589"/>
        <v>Active</v>
      </c>
      <c r="Q2343" t="str">
        <f>"LM_Content SA Lab -Plastics Tech (thermoforming)"</f>
        <v>LM_Content SA Lab -Plastics Tech (thermoforming)</v>
      </c>
      <c r="S2343" t="str">
        <f>"LM_Content SA Lab -Plastics Tech (thermoforming)"</f>
        <v>LM_Content SA Lab -Plastics Tech (thermoforming)</v>
      </c>
      <c r="T2343">
        <v>0</v>
      </c>
      <c r="U2343">
        <v>30.65</v>
      </c>
      <c r="V2343">
        <v>35.85</v>
      </c>
      <c r="W2343" t="str">
        <f t="shared" si="588"/>
        <v>rob</v>
      </c>
    </row>
    <row r="2344" spans="1:23">
      <c r="A2344" t="str">
        <f>"LAB-THERMOF-SA"</f>
        <v>LAB-THERMOF-SA</v>
      </c>
      <c r="B2344" t="str">
        <f>"63-7001-0100"</f>
        <v>63-7001-0100</v>
      </c>
      <c r="C2344" t="str">
        <f>"License Key for Standalone Content"</f>
        <v>License Key for Standalone Content</v>
      </c>
      <c r="D2344">
        <v>1</v>
      </c>
      <c r="E2344" t="str">
        <f>"LAB (standalone) -Plastic Thermoforming Center"</f>
        <v>LAB (standalone) -Plastic Thermoforming Center</v>
      </c>
      <c r="F2344">
        <v>810</v>
      </c>
      <c r="G2344" t="str">
        <f t="shared" si="585"/>
        <v>Y</v>
      </c>
      <c r="H2344" t="str">
        <f t="shared" si="587"/>
        <v>EA</v>
      </c>
      <c r="I2344">
        <v>0</v>
      </c>
      <c r="J2344">
        <v>0</v>
      </c>
      <c r="K2344" t="str">
        <f t="shared" si="586"/>
        <v>Y</v>
      </c>
      <c r="L2344">
        <v>0</v>
      </c>
      <c r="M2344" t="str">
        <f t="shared" si="582"/>
        <v>NIS</v>
      </c>
      <c r="O2344">
        <v>4</v>
      </c>
      <c r="P2344" t="str">
        <f t="shared" si="589"/>
        <v>Active</v>
      </c>
      <c r="Q2344" t="str">
        <f>"License Key For LM Content Standalone"</f>
        <v>License Key For LM Content Standalone</v>
      </c>
      <c r="R2344" t="str">
        <f>"1"</f>
        <v>1</v>
      </c>
      <c r="S2344" t="str">
        <f>"License Key For LM Content Standalone"</f>
        <v>License Key For LM Content Standalone</v>
      </c>
      <c r="T2344">
        <v>0</v>
      </c>
      <c r="U2344">
        <v>18</v>
      </c>
      <c r="V2344">
        <v>18.72</v>
      </c>
      <c r="W2344" t="str">
        <f t="shared" si="588"/>
        <v>rob</v>
      </c>
    </row>
    <row r="2345" spans="1:23">
      <c r="A2345" t="str">
        <f>"LM 3 ELECTRONICS"</f>
        <v>LM 3 ELECTRONICS</v>
      </c>
      <c r="B2345" t="str">
        <f>"0E8252"</f>
        <v>0E8252</v>
      </c>
      <c r="C2345" t="str">
        <f>"LM_Content LMS Vir.- Fundamentals Electronics"</f>
        <v>LM_Content LMS Vir.- Fundamentals Electronics</v>
      </c>
      <c r="D2345">
        <v>1</v>
      </c>
      <c r="E2345" t="str">
        <f>"LearnMate Content (School  license on LMS) - Electronics"</f>
        <v>LearnMate Content (School  license on LMS) - Electronics</v>
      </c>
      <c r="F2345">
        <v>700</v>
      </c>
      <c r="G2345" t="str">
        <f t="shared" si="585"/>
        <v>Y</v>
      </c>
      <c r="H2345" t="str">
        <f t="shared" si="587"/>
        <v>EA</v>
      </c>
      <c r="I2345">
        <v>0</v>
      </c>
      <c r="J2345">
        <v>0</v>
      </c>
      <c r="K2345" t="str">
        <f t="shared" si="586"/>
        <v>Y</v>
      </c>
      <c r="L2345">
        <v>0</v>
      </c>
      <c r="M2345" t="str">
        <f t="shared" si="582"/>
        <v>NIS</v>
      </c>
      <c r="O2345">
        <v>2</v>
      </c>
      <c r="P2345" t="str">
        <f>"Not for purc"</f>
        <v>Not for purc</v>
      </c>
      <c r="Q2345" t="str">
        <f>"LM_Content LMS Vir.- Fundamentals Electronics"</f>
        <v>LM_Content LMS Vir.- Fundamentals Electronics</v>
      </c>
      <c r="S2345" t="str">
        <f>"LM_Content LMS Vir.- Fundamentals Electronics"</f>
        <v>LM_Content LMS Vir.- Fundamentals Electronics</v>
      </c>
      <c r="T2345">
        <v>0</v>
      </c>
      <c r="U2345">
        <v>30.65</v>
      </c>
      <c r="V2345">
        <v>36.049999999999997</v>
      </c>
      <c r="W2345" t="str">
        <f t="shared" si="588"/>
        <v>rob</v>
      </c>
    </row>
    <row r="2346" spans="1:23">
      <c r="A2346" t="str">
        <f>"LM 3 ELECTRONICS"</f>
        <v>LM 3 ELECTRONICS</v>
      </c>
      <c r="B2346" t="str">
        <f>"0E8267"</f>
        <v>0E8267</v>
      </c>
      <c r="C2346" t="str">
        <f>"LM_Content LMS Vir -E- Advanced Electronics"</f>
        <v>LM_Content LMS Vir -E- Advanced Electronics</v>
      </c>
      <c r="D2346">
        <v>1</v>
      </c>
      <c r="E2346" t="str">
        <f>"LearnMate Content (School  license on LMS) - Electronics"</f>
        <v>LearnMate Content (School  license on LMS) - Electronics</v>
      </c>
      <c r="F2346">
        <v>700</v>
      </c>
      <c r="G2346" t="str">
        <f t="shared" si="585"/>
        <v>Y</v>
      </c>
      <c r="H2346" t="str">
        <f t="shared" si="587"/>
        <v>EA</v>
      </c>
      <c r="I2346">
        <v>0</v>
      </c>
      <c r="J2346">
        <v>0</v>
      </c>
      <c r="K2346" t="str">
        <f t="shared" si="586"/>
        <v>Y</v>
      </c>
      <c r="L2346">
        <v>0</v>
      </c>
      <c r="M2346" t="str">
        <f t="shared" si="582"/>
        <v>NIS</v>
      </c>
      <c r="O2346">
        <v>3</v>
      </c>
      <c r="P2346" t="str">
        <f>"Not for purc"</f>
        <v>Not for purc</v>
      </c>
      <c r="Q2346" t="str">
        <f>"LM_Content LMS Vir -E- Advanced Electronics"</f>
        <v>LM_Content LMS Vir -E- Advanced Electronics</v>
      </c>
      <c r="S2346" t="str">
        <f>"LM_Content LMS Vir -E- Advanced Electronics"</f>
        <v>LM_Content LMS Vir -E- Advanced Electronics</v>
      </c>
      <c r="T2346">
        <v>0</v>
      </c>
      <c r="U2346">
        <v>30.65</v>
      </c>
      <c r="V2346">
        <v>36.049999999999997</v>
      </c>
      <c r="W2346" t="str">
        <f t="shared" si="588"/>
        <v>rob</v>
      </c>
    </row>
    <row r="2347" spans="1:23">
      <c r="A2347" t="str">
        <f>"LM 3 ELECTRONICS"</f>
        <v>LM 3 ELECTRONICS</v>
      </c>
      <c r="B2347" t="str">
        <f>"0E8251"</f>
        <v>0E8251</v>
      </c>
      <c r="C2347" t="str">
        <f>"LM_Content LMS Vir -E- Electrical Systems"</f>
        <v>LM_Content LMS Vir -E- Electrical Systems</v>
      </c>
      <c r="D2347">
        <v>1</v>
      </c>
      <c r="E2347" t="str">
        <f>"LearnMate Content (School  license on LMS) - Electronics"</f>
        <v>LearnMate Content (School  license on LMS) - Electronics</v>
      </c>
      <c r="F2347">
        <v>700</v>
      </c>
      <c r="G2347" t="str">
        <f t="shared" si="585"/>
        <v>Y</v>
      </c>
      <c r="H2347" t="str">
        <f t="shared" si="587"/>
        <v>EA</v>
      </c>
      <c r="I2347">
        <v>0</v>
      </c>
      <c r="J2347">
        <v>0</v>
      </c>
      <c r="K2347" t="str">
        <f t="shared" si="586"/>
        <v>Y</v>
      </c>
      <c r="L2347">
        <v>0</v>
      </c>
      <c r="M2347" t="str">
        <f t="shared" si="582"/>
        <v>NIS</v>
      </c>
      <c r="O2347">
        <v>1</v>
      </c>
      <c r="P2347" t="str">
        <f>"Not for purc"</f>
        <v>Not for purc</v>
      </c>
      <c r="Q2347" t="str">
        <f>"LM_Content LMS Vir -E- Electrical Systems"</f>
        <v>LM_Content LMS Vir -E- Electrical Systems</v>
      </c>
      <c r="S2347" t="str">
        <f>"LM_Content LMS Vir -E- Electrical Systems"</f>
        <v>LM_Content LMS Vir -E- Electrical Systems</v>
      </c>
      <c r="T2347">
        <v>0</v>
      </c>
      <c r="U2347">
        <v>30.65</v>
      </c>
      <c r="V2347">
        <v>35.840000000000003</v>
      </c>
      <c r="W2347" t="str">
        <f t="shared" si="588"/>
        <v>rob</v>
      </c>
    </row>
    <row r="2348" spans="1:23">
      <c r="A2348" t="str">
        <f>"LM 3 HYDRAULICS"</f>
        <v>LM 3 HYDRAULICS</v>
      </c>
      <c r="B2348" t="str">
        <f>"0E8220"</f>
        <v>0E8220</v>
      </c>
      <c r="C2348" t="str">
        <f>"LM_Content LMS Vir. Hydr Technology 1 - Fundam"</f>
        <v>LM_Content LMS Vir. Hydr Technology 1 - Fundam</v>
      </c>
      <c r="D2348">
        <v>1</v>
      </c>
      <c r="E2348" t="str">
        <f>"LearnMate Content (School  license on LMS) - Hydraulics"</f>
        <v>LearnMate Content (School  license on LMS) - Hydraulics</v>
      </c>
      <c r="F2348">
        <v>700</v>
      </c>
      <c r="G2348" t="str">
        <f t="shared" si="585"/>
        <v>Y</v>
      </c>
      <c r="H2348" t="str">
        <f t="shared" si="587"/>
        <v>EA</v>
      </c>
      <c r="I2348">
        <v>0</v>
      </c>
      <c r="J2348">
        <v>0</v>
      </c>
      <c r="K2348" t="str">
        <f t="shared" si="586"/>
        <v>Y</v>
      </c>
      <c r="L2348">
        <v>0</v>
      </c>
      <c r="M2348" t="str">
        <f t="shared" si="582"/>
        <v>NIS</v>
      </c>
      <c r="O2348">
        <v>1</v>
      </c>
      <c r="P2348" t="str">
        <f>"Active"</f>
        <v>Active</v>
      </c>
      <c r="Q2348" t="str">
        <f>"LM_Content LMS Vir. Hydr Technology 1 - Fundam"</f>
        <v>LM_Content LMS Vir. Hydr Technology 1 - Fundam</v>
      </c>
      <c r="S2348" t="str">
        <f>"LM_Content LMS Vir. Hydr Technology 1 - Fundam"</f>
        <v>LM_Content LMS Vir. Hydr Technology 1 - Fundam</v>
      </c>
      <c r="T2348">
        <v>0</v>
      </c>
      <c r="U2348">
        <v>30.65</v>
      </c>
      <c r="V2348">
        <v>35.840000000000003</v>
      </c>
      <c r="W2348" t="str">
        <f t="shared" si="588"/>
        <v>rob</v>
      </c>
    </row>
    <row r="2349" spans="1:23">
      <c r="A2349" t="str">
        <f>"LM 3 HYDRAULICS"</f>
        <v>LM 3 HYDRAULICS</v>
      </c>
      <c r="B2349" t="str">
        <f>"0E8221"</f>
        <v>0E8221</v>
      </c>
      <c r="C2349" t="str">
        <f>"LM_Content LMS Vir.-Hydr Technlgy 2- Electro Hy."</f>
        <v>LM_Content LMS Vir.-Hydr Technlgy 2- Electro Hy.</v>
      </c>
      <c r="D2349">
        <v>1</v>
      </c>
      <c r="E2349" t="str">
        <f>"LearnMate Content (School  license on LMS) - Hydraulics"</f>
        <v>LearnMate Content (School  license on LMS) - Hydraulics</v>
      </c>
      <c r="F2349">
        <v>700</v>
      </c>
      <c r="G2349" t="str">
        <f t="shared" si="585"/>
        <v>Y</v>
      </c>
      <c r="H2349" t="str">
        <f t="shared" si="587"/>
        <v>EA</v>
      </c>
      <c r="I2349">
        <v>0</v>
      </c>
      <c r="J2349">
        <v>0</v>
      </c>
      <c r="K2349" t="str">
        <f t="shared" si="586"/>
        <v>Y</v>
      </c>
      <c r="L2349">
        <v>0</v>
      </c>
      <c r="M2349" t="str">
        <f t="shared" si="582"/>
        <v>NIS</v>
      </c>
      <c r="O2349">
        <v>2</v>
      </c>
      <c r="P2349" t="str">
        <f>"Active"</f>
        <v>Active</v>
      </c>
      <c r="Q2349" t="str">
        <f>"LM_Content LMS Vir.-Hydr Technlgy 2- Electro Hy."</f>
        <v>LM_Content LMS Vir.-Hydr Technlgy 2- Electro Hy.</v>
      </c>
      <c r="S2349" t="str">
        <f>"LM_Content LMS Vir.-Hydr Technlgy 2- Electro Hy."</f>
        <v>LM_Content LMS Vir.-Hydr Technlgy 2- Electro Hy.</v>
      </c>
      <c r="T2349">
        <v>0</v>
      </c>
      <c r="U2349">
        <v>30.66</v>
      </c>
      <c r="V2349">
        <v>35.85</v>
      </c>
      <c r="W2349" t="str">
        <f t="shared" si="588"/>
        <v>rob</v>
      </c>
    </row>
    <row r="2350" spans="1:23">
      <c r="A2350" t="str">
        <f>"LM 3 HYDRAULICS"</f>
        <v>LM 3 HYDRAULICS</v>
      </c>
      <c r="B2350" t="str">
        <f>"0E8222"</f>
        <v>0E8222</v>
      </c>
      <c r="C2350" t="str">
        <f>"LM_Content LMS Vir.-Hydr Tech.  3 -Adv. .Electr."</f>
        <v>LM_Content LMS Vir.-Hydr Tech.  3 -Adv. .Electr.</v>
      </c>
      <c r="D2350">
        <v>1</v>
      </c>
      <c r="E2350" t="str">
        <f>"LearnMate Content (School  license on LMS) - Hydraulics"</f>
        <v>LearnMate Content (School  license on LMS) - Hydraulics</v>
      </c>
      <c r="F2350">
        <v>700</v>
      </c>
      <c r="G2350" t="str">
        <f t="shared" si="585"/>
        <v>Y</v>
      </c>
      <c r="H2350" t="str">
        <f t="shared" si="587"/>
        <v>EA</v>
      </c>
      <c r="I2350">
        <v>0</v>
      </c>
      <c r="J2350">
        <v>0</v>
      </c>
      <c r="K2350" t="str">
        <f t="shared" si="586"/>
        <v>Y</v>
      </c>
      <c r="L2350">
        <v>0</v>
      </c>
      <c r="M2350" t="str">
        <f t="shared" si="582"/>
        <v>NIS</v>
      </c>
      <c r="O2350">
        <v>3</v>
      </c>
      <c r="P2350" t="str">
        <f>"Not for purc"</f>
        <v>Not for purc</v>
      </c>
      <c r="Q2350" t="str">
        <f>"LM_Content LMS Vir.-Hydr Tech.  3 -Adv. .Electr."</f>
        <v>LM_Content LMS Vir.-Hydr Tech.  3 -Adv. .Electr.</v>
      </c>
      <c r="S2350" t="str">
        <f>"LM_Content LMS Vir.-Hydr Tech.  3 -Adv. .Electr."</f>
        <v>LM_Content LMS Vir.-Hydr Tech.  3 -Adv. .Electr.</v>
      </c>
      <c r="T2350">
        <v>0</v>
      </c>
      <c r="U2350">
        <v>30.65</v>
      </c>
      <c r="V2350">
        <v>35.840000000000003</v>
      </c>
      <c r="W2350" t="str">
        <f t="shared" si="588"/>
        <v>rob</v>
      </c>
    </row>
    <row r="2351" spans="1:23">
      <c r="A2351" t="str">
        <f>"LM 3 PROCESS"</f>
        <v>LM 3 PROCESS</v>
      </c>
      <c r="B2351" t="str">
        <f>"0E8232"</f>
        <v>0E8232</v>
      </c>
      <c r="C2351" t="str">
        <f>"LM_Content LMS Vir -E- Process Control : Flow"</f>
        <v>LM_Content LMS Vir -E- Process Control : Flow</v>
      </c>
      <c r="D2351">
        <v>1</v>
      </c>
      <c r="E2351" t="str">
        <f>"LearnMate Content (School  license on LMS) - Process Control"</f>
        <v>LearnMate Content (School  license on LMS) - Process Control</v>
      </c>
      <c r="F2351">
        <v>700</v>
      </c>
      <c r="G2351" t="str">
        <f t="shared" si="585"/>
        <v>Y</v>
      </c>
      <c r="H2351" t="str">
        <f t="shared" si="587"/>
        <v>EA</v>
      </c>
      <c r="I2351">
        <v>0</v>
      </c>
      <c r="J2351">
        <v>0</v>
      </c>
      <c r="K2351" t="str">
        <f t="shared" si="586"/>
        <v>Y</v>
      </c>
      <c r="L2351">
        <v>0</v>
      </c>
      <c r="M2351" t="str">
        <f t="shared" si="582"/>
        <v>NIS</v>
      </c>
      <c r="O2351">
        <v>1</v>
      </c>
      <c r="P2351" t="str">
        <f>"Active"</f>
        <v>Active</v>
      </c>
      <c r="Q2351" t="str">
        <f>"LM_Content LMS Vir -E- Process Control : Flow"</f>
        <v>LM_Content LMS Vir -E- Process Control : Flow</v>
      </c>
      <c r="S2351" t="str">
        <f>"LM_Content LMS Vir -E- Process Control : Flow"</f>
        <v>LM_Content LMS Vir -E- Process Control : Flow</v>
      </c>
      <c r="T2351">
        <v>0</v>
      </c>
      <c r="U2351">
        <v>30.65</v>
      </c>
      <c r="V2351">
        <v>35.840000000000003</v>
      </c>
      <c r="W2351" t="str">
        <f t="shared" si="588"/>
        <v>rob</v>
      </c>
    </row>
    <row r="2352" spans="1:23">
      <c r="A2352" t="str">
        <f>"LM 3 PROCESS"</f>
        <v>LM 3 PROCESS</v>
      </c>
      <c r="B2352" t="str">
        <f>"0E8233"</f>
        <v>0E8233</v>
      </c>
      <c r="C2352" t="str">
        <f>"LM_Content LMS Vir -E- Process Control :Level"</f>
        <v>LM_Content LMS Vir -E- Process Control :Level</v>
      </c>
      <c r="D2352">
        <v>1</v>
      </c>
      <c r="E2352" t="str">
        <f>"LearnMate Content (School  license on LMS) - Process Control"</f>
        <v>LearnMate Content (School  license on LMS) - Process Control</v>
      </c>
      <c r="F2352">
        <v>700</v>
      </c>
      <c r="G2352" t="str">
        <f t="shared" si="585"/>
        <v>Y</v>
      </c>
      <c r="H2352" t="str">
        <f t="shared" si="587"/>
        <v>EA</v>
      </c>
      <c r="I2352">
        <v>0</v>
      </c>
      <c r="J2352">
        <v>0</v>
      </c>
      <c r="K2352" t="str">
        <f t="shared" si="586"/>
        <v>Y</v>
      </c>
      <c r="L2352">
        <v>0</v>
      </c>
      <c r="M2352" t="str">
        <f t="shared" si="582"/>
        <v>NIS</v>
      </c>
      <c r="O2352">
        <v>2</v>
      </c>
      <c r="P2352" t="str">
        <f>"Active"</f>
        <v>Active</v>
      </c>
      <c r="Q2352" t="str">
        <f>"LM_Content LMS Vir -E- Process Control :Level"</f>
        <v>LM_Content LMS Vir -E- Process Control :Level</v>
      </c>
      <c r="S2352" t="str">
        <f>"LM_Content LMS Vir -E- Process Control :Level"</f>
        <v>LM_Content LMS Vir -E- Process Control :Level</v>
      </c>
      <c r="T2352">
        <v>0</v>
      </c>
      <c r="U2352">
        <v>30.65</v>
      </c>
      <c r="V2352">
        <v>35.85</v>
      </c>
      <c r="W2352" t="str">
        <f t="shared" si="588"/>
        <v>rob</v>
      </c>
    </row>
    <row r="2353" spans="1:23">
      <c r="A2353" t="str">
        <f>"LM 3 PROCESS"</f>
        <v>LM 3 PROCESS</v>
      </c>
      <c r="B2353" t="str">
        <f>"0E8234"</f>
        <v>0E8234</v>
      </c>
      <c r="C2353" t="str">
        <f>"LM_Content LMS Vir.- Process Control:Pressure"</f>
        <v>LM_Content LMS Vir.- Process Control:Pressure</v>
      </c>
      <c r="D2353">
        <v>1</v>
      </c>
      <c r="E2353" t="str">
        <f>"LearnMate Content (School  license on LMS) - Process Control"</f>
        <v>LearnMate Content (School  license on LMS) - Process Control</v>
      </c>
      <c r="F2353">
        <v>700</v>
      </c>
      <c r="G2353" t="str">
        <f t="shared" si="585"/>
        <v>Y</v>
      </c>
      <c r="H2353" t="str">
        <f t="shared" si="587"/>
        <v>EA</v>
      </c>
      <c r="I2353">
        <v>0</v>
      </c>
      <c r="J2353">
        <v>0</v>
      </c>
      <c r="K2353" t="str">
        <f t="shared" si="586"/>
        <v>Y</v>
      </c>
      <c r="L2353">
        <v>0</v>
      </c>
      <c r="M2353" t="str">
        <f t="shared" ref="M2353:M2389" si="590">"NIS"</f>
        <v>NIS</v>
      </c>
      <c r="O2353">
        <v>3</v>
      </c>
      <c r="P2353" t="str">
        <f>"Active"</f>
        <v>Active</v>
      </c>
      <c r="Q2353" t="str">
        <f>"LM_Content LMS Vir.- Process Control:Pressure"</f>
        <v>LM_Content LMS Vir.- Process Control:Pressure</v>
      </c>
      <c r="S2353" t="str">
        <f>"LM_Content LMS Vir.- Process Control:Pressure"</f>
        <v>LM_Content LMS Vir.- Process Control:Pressure</v>
      </c>
      <c r="T2353">
        <v>0</v>
      </c>
      <c r="U2353">
        <v>30.65</v>
      </c>
      <c r="V2353">
        <v>35.840000000000003</v>
      </c>
      <c r="W2353" t="str">
        <f t="shared" si="588"/>
        <v>rob</v>
      </c>
    </row>
    <row r="2354" spans="1:23">
      <c r="A2354" t="str">
        <f>"LM 3 PROCESS"</f>
        <v>LM 3 PROCESS</v>
      </c>
      <c r="B2354" t="str">
        <f>"0E8235"</f>
        <v>0E8235</v>
      </c>
      <c r="C2354" t="str">
        <f>"LM_Content LMS Vir.Process Control Temprature"</f>
        <v>LM_Content LMS Vir.Process Control Temprature</v>
      </c>
      <c r="D2354">
        <v>1</v>
      </c>
      <c r="E2354" t="str">
        <f>"LearnMate Content (School  license on LMS) - Process Control"</f>
        <v>LearnMate Content (School  license on LMS) - Process Control</v>
      </c>
      <c r="F2354">
        <v>700</v>
      </c>
      <c r="G2354" t="str">
        <f t="shared" si="585"/>
        <v>Y</v>
      </c>
      <c r="H2354" t="str">
        <f t="shared" si="587"/>
        <v>EA</v>
      </c>
      <c r="I2354">
        <v>0</v>
      </c>
      <c r="J2354">
        <v>0</v>
      </c>
      <c r="K2354" t="str">
        <f t="shared" si="586"/>
        <v>Y</v>
      </c>
      <c r="L2354">
        <v>0</v>
      </c>
      <c r="M2354" t="str">
        <f t="shared" si="590"/>
        <v>NIS</v>
      </c>
      <c r="O2354">
        <v>4</v>
      </c>
      <c r="P2354" t="str">
        <f>"Active"</f>
        <v>Active</v>
      </c>
      <c r="Q2354" t="str">
        <f>"LM_Content LMS Vir.Process Control Temprature"</f>
        <v>LM_Content LMS Vir.Process Control Temprature</v>
      </c>
      <c r="S2354" t="str">
        <f>"LM_Content LMS Vir.Process Control Temprature"</f>
        <v>LM_Content LMS Vir.Process Control Temprature</v>
      </c>
      <c r="T2354">
        <v>0</v>
      </c>
      <c r="U2354">
        <v>30.65</v>
      </c>
      <c r="V2354">
        <v>36.049999999999997</v>
      </c>
      <c r="W2354" t="str">
        <f t="shared" si="588"/>
        <v>rob</v>
      </c>
    </row>
    <row r="2355" spans="1:23">
      <c r="A2355" t="str">
        <f>"LM 3 SENSORS"</f>
        <v>LM 3 SENSORS</v>
      </c>
      <c r="B2355" t="str">
        <f>"0E8238"</f>
        <v>0E8238</v>
      </c>
      <c r="C2355" t="str">
        <f>"LM_Content LMS Vir -E- Sensor Technology"</f>
        <v>LM_Content LMS Vir -E- Sensor Technology</v>
      </c>
      <c r="D2355">
        <v>1</v>
      </c>
      <c r="E2355" t="str">
        <f>"LearnMate Content (School  license on LMS) - Sensors"</f>
        <v>LearnMate Content (School  license on LMS) - Sensors</v>
      </c>
      <c r="F2355">
        <v>700</v>
      </c>
      <c r="G2355" t="str">
        <f t="shared" si="585"/>
        <v>Y</v>
      </c>
      <c r="H2355" t="str">
        <f t="shared" si="587"/>
        <v>EA</v>
      </c>
      <c r="I2355">
        <v>0</v>
      </c>
      <c r="J2355">
        <v>0</v>
      </c>
      <c r="K2355" t="str">
        <f t="shared" si="586"/>
        <v>Y</v>
      </c>
      <c r="L2355">
        <v>0</v>
      </c>
      <c r="M2355" t="str">
        <f t="shared" si="590"/>
        <v>NIS</v>
      </c>
      <c r="O2355">
        <v>1</v>
      </c>
      <c r="P2355" t="str">
        <f>"Active"</f>
        <v>Active</v>
      </c>
      <c r="Q2355" t="str">
        <f>"LM_Content LMS Vir -E- Sensor Technology"</f>
        <v>LM_Content LMS Vir -E- Sensor Technology</v>
      </c>
      <c r="S2355" t="str">
        <f>"LM_Content LMS Vir -E- Sensor Technology"</f>
        <v>LM_Content LMS Vir -E- Sensor Technology</v>
      </c>
      <c r="T2355">
        <v>0</v>
      </c>
      <c r="U2355">
        <v>30.65</v>
      </c>
      <c r="V2355">
        <v>35.85</v>
      </c>
      <c r="W2355" t="str">
        <f t="shared" si="588"/>
        <v>rob</v>
      </c>
    </row>
    <row r="2356" spans="1:23">
      <c r="A2356" t="str">
        <f>"LM 3 SENSORS"</f>
        <v>LM 3 SENSORS</v>
      </c>
      <c r="B2356" t="str">
        <f>"0E8213"</f>
        <v>0E8213</v>
      </c>
      <c r="C2356" t="str">
        <f>"LM_Content LMS Vir.- Auto. Identific. System"</f>
        <v>LM_Content LMS Vir.- Auto. Identific. System</v>
      </c>
      <c r="D2356">
        <v>1</v>
      </c>
      <c r="E2356" t="str">
        <f>"LearnMate Content (School  license on LMS) - Sensors"</f>
        <v>LearnMate Content (School  license on LMS) - Sensors</v>
      </c>
      <c r="F2356">
        <v>700</v>
      </c>
      <c r="G2356" t="str">
        <f t="shared" si="585"/>
        <v>Y</v>
      </c>
      <c r="H2356" t="str">
        <f t="shared" si="587"/>
        <v>EA</v>
      </c>
      <c r="I2356">
        <v>0</v>
      </c>
      <c r="J2356">
        <v>0</v>
      </c>
      <c r="K2356" t="str">
        <f t="shared" si="586"/>
        <v>Y</v>
      </c>
      <c r="L2356">
        <v>0</v>
      </c>
      <c r="M2356" t="str">
        <f t="shared" si="590"/>
        <v>NIS</v>
      </c>
      <c r="O2356">
        <v>2</v>
      </c>
      <c r="P2356" t="str">
        <f>"Not for purc"</f>
        <v>Not for purc</v>
      </c>
      <c r="Q2356" t="str">
        <f>"LM_Content LMS Vir.- Auto. Identific. System"</f>
        <v>LM_Content LMS Vir.- Auto. Identific. System</v>
      </c>
      <c r="S2356" t="str">
        <f>"LM_Content LMS Vir.- Auto. Identific. System"</f>
        <v>LM_Content LMS Vir.- Auto. Identific. System</v>
      </c>
      <c r="T2356">
        <v>0</v>
      </c>
      <c r="U2356">
        <v>30.65</v>
      </c>
      <c r="V2356">
        <v>35.840000000000003</v>
      </c>
      <c r="W2356" t="str">
        <f t="shared" si="588"/>
        <v>rob</v>
      </c>
    </row>
    <row r="2357" spans="1:23">
      <c r="A2357" t="str">
        <f>"LM 3 SENSORS"</f>
        <v>LM 3 SENSORS</v>
      </c>
      <c r="B2357" t="str">
        <f>"0E8217"</f>
        <v>0E8217</v>
      </c>
      <c r="C2357" t="str">
        <f>"LM_Content LMS Vir -E- Fiber Optics"</f>
        <v>LM_Content LMS Vir -E- Fiber Optics</v>
      </c>
      <c r="D2357">
        <v>1</v>
      </c>
      <c r="E2357" t="str">
        <f>"LearnMate Content (School  license on LMS) - Sensors"</f>
        <v>LearnMate Content (School  license on LMS) - Sensors</v>
      </c>
      <c r="F2357">
        <v>700</v>
      </c>
      <c r="G2357" t="str">
        <f t="shared" si="585"/>
        <v>Y</v>
      </c>
      <c r="H2357" t="str">
        <f t="shared" si="587"/>
        <v>EA</v>
      </c>
      <c r="I2357">
        <v>0</v>
      </c>
      <c r="J2357">
        <v>0</v>
      </c>
      <c r="K2357" t="str">
        <f t="shared" si="586"/>
        <v>Y</v>
      </c>
      <c r="L2357">
        <v>0</v>
      </c>
      <c r="M2357" t="str">
        <f t="shared" si="590"/>
        <v>NIS</v>
      </c>
      <c r="O2357">
        <v>3</v>
      </c>
      <c r="P2357" t="str">
        <f>"Not for purc"</f>
        <v>Not for purc</v>
      </c>
      <c r="Q2357" t="str">
        <f>"LM_Content LMS Vir -E- Fiber Optics"</f>
        <v>LM_Content LMS Vir -E- Fiber Optics</v>
      </c>
      <c r="S2357" t="str">
        <f>"LM_Content LMS Vir -E- Fiber Optics"</f>
        <v>LM_Content LMS Vir -E- Fiber Optics</v>
      </c>
      <c r="T2357">
        <v>0</v>
      </c>
      <c r="U2357">
        <v>30.65</v>
      </c>
      <c r="V2357">
        <v>36.049999999999997</v>
      </c>
      <c r="W2357" t="str">
        <f t="shared" si="588"/>
        <v>rob</v>
      </c>
    </row>
    <row r="2358" spans="1:23">
      <c r="A2358" t="str">
        <f t="shared" ref="A2358:A2374" si="591">"LM 5 CIM"</f>
        <v>LM 5 CIM</v>
      </c>
      <c r="B2358" t="str">
        <f>"17-3005-0002"</f>
        <v>17-3005-0002</v>
      </c>
      <c r="C2358" t="str">
        <f>"LM5.X Content, Virtual, spectraCAM Milling (M)"</f>
        <v>LM5.X Content, Virtual, spectraCAM Milling (M)</v>
      </c>
      <c r="D2358">
        <v>1</v>
      </c>
      <c r="E2358" t="str">
        <f t="shared" ref="E2358:E2374" si="592">"LM 5 LearnMate Content (School License on LMS ) - CIM"</f>
        <v>LM 5 LearnMate Content (School License on LMS ) - CIM</v>
      </c>
      <c r="F2358">
        <v>700</v>
      </c>
      <c r="G2358" t="str">
        <f t="shared" si="585"/>
        <v>Y</v>
      </c>
      <c r="H2358" t="str">
        <f t="shared" si="587"/>
        <v>EA</v>
      </c>
      <c r="I2358">
        <v>0</v>
      </c>
      <c r="J2358">
        <v>0</v>
      </c>
      <c r="K2358" t="str">
        <f t="shared" si="586"/>
        <v>Y</v>
      </c>
      <c r="L2358">
        <v>0</v>
      </c>
      <c r="M2358" t="str">
        <f t="shared" si="590"/>
        <v>NIS</v>
      </c>
      <c r="O2358">
        <v>1</v>
      </c>
      <c r="P2358" t="str">
        <f t="shared" ref="P2358:P2389" si="593">"Active"</f>
        <v>Active</v>
      </c>
      <c r="Q2358" t="str">
        <f>"LM5.X Content, Virtual, spectraCAM Milling (M)"</f>
        <v>LM5.X Content, Virtual, spectraCAM Milling (M)</v>
      </c>
      <c r="S2358" t="str">
        <f>"LM5.X Content, Virtual, spectraCAM Milling (M)"</f>
        <v>LM5.X Content, Virtual, spectraCAM Milling (M)</v>
      </c>
      <c r="T2358">
        <v>0</v>
      </c>
      <c r="U2358">
        <v>5</v>
      </c>
      <c r="V2358">
        <v>5</v>
      </c>
      <c r="W2358" t="str">
        <f t="shared" si="588"/>
        <v>rob</v>
      </c>
    </row>
    <row r="2359" spans="1:23">
      <c r="A2359" t="str">
        <f t="shared" si="591"/>
        <v>LM 5 CIM</v>
      </c>
      <c r="B2359" t="str">
        <f>"17-3004-0002"</f>
        <v>17-3004-0002</v>
      </c>
      <c r="C2359" t="str">
        <f>"LM5.X Content, Virtual, spectraCAD Engraving (M)"</f>
        <v>LM5.X Content, Virtual, spectraCAD Engraving (M)</v>
      </c>
      <c r="D2359">
        <v>1</v>
      </c>
      <c r="E2359" t="str">
        <f t="shared" si="592"/>
        <v>LM 5 LearnMate Content (School License on LMS ) - CIM</v>
      </c>
      <c r="F2359">
        <v>700</v>
      </c>
      <c r="G2359" t="str">
        <f t="shared" si="585"/>
        <v>Y</v>
      </c>
      <c r="H2359" t="str">
        <f t="shared" si="587"/>
        <v>EA</v>
      </c>
      <c r="I2359">
        <v>0</v>
      </c>
      <c r="J2359">
        <v>0</v>
      </c>
      <c r="K2359" t="str">
        <f t="shared" si="586"/>
        <v>Y</v>
      </c>
      <c r="L2359">
        <v>0</v>
      </c>
      <c r="M2359" t="str">
        <f t="shared" si="590"/>
        <v>NIS</v>
      </c>
      <c r="O2359">
        <v>2</v>
      </c>
      <c r="P2359" t="str">
        <f t="shared" si="593"/>
        <v>Active</v>
      </c>
      <c r="Q2359" t="str">
        <f>"LM5.X Content, Virtual, spectraCAD Engraving (M)"</f>
        <v>LM5.X Content, Virtual, spectraCAD Engraving (M)</v>
      </c>
      <c r="S2359" t="str">
        <f>"LM5.X Content, Virtual, spectraCAD Engraving (M)"</f>
        <v>LM5.X Content, Virtual, spectraCAD Engraving (M)</v>
      </c>
      <c r="T2359">
        <v>0</v>
      </c>
      <c r="U2359">
        <v>5</v>
      </c>
      <c r="V2359">
        <v>5</v>
      </c>
      <c r="W2359" t="str">
        <f t="shared" si="588"/>
        <v>rob</v>
      </c>
    </row>
    <row r="2360" spans="1:23">
      <c r="A2360" t="str">
        <f t="shared" si="591"/>
        <v>LM 5 CIM</v>
      </c>
      <c r="B2360" t="str">
        <f>"17-3007-0002"</f>
        <v>17-3007-0002</v>
      </c>
      <c r="C2360" t="str">
        <f>"LM5.X Content, Virtual, spectraCAM Turning (M)"</f>
        <v>LM5.X Content, Virtual, spectraCAM Turning (M)</v>
      </c>
      <c r="D2360">
        <v>1</v>
      </c>
      <c r="E2360" t="str">
        <f t="shared" si="592"/>
        <v>LM 5 LearnMate Content (School License on LMS ) - CIM</v>
      </c>
      <c r="F2360">
        <v>700</v>
      </c>
      <c r="G2360" t="str">
        <f t="shared" si="585"/>
        <v>Y</v>
      </c>
      <c r="H2360" t="str">
        <f t="shared" si="587"/>
        <v>EA</v>
      </c>
      <c r="I2360">
        <v>0</v>
      </c>
      <c r="J2360">
        <v>0</v>
      </c>
      <c r="K2360" t="str">
        <f t="shared" si="586"/>
        <v>Y</v>
      </c>
      <c r="L2360">
        <v>0</v>
      </c>
      <c r="M2360" t="str">
        <f t="shared" si="590"/>
        <v>NIS</v>
      </c>
      <c r="O2360">
        <v>3</v>
      </c>
      <c r="P2360" t="str">
        <f t="shared" si="593"/>
        <v>Active</v>
      </c>
      <c r="Q2360" t="str">
        <f>"LM5.X Content, Virtual, spectraCAM Turning (M)"</f>
        <v>LM5.X Content, Virtual, spectraCAM Turning (M)</v>
      </c>
      <c r="S2360" t="str">
        <f>"LM5.X Content, Virtual, spectraCAM Turning (M)"</f>
        <v>LM5.X Content, Virtual, spectraCAM Turning (M)</v>
      </c>
      <c r="T2360">
        <v>0</v>
      </c>
      <c r="U2360">
        <v>5</v>
      </c>
      <c r="V2360">
        <v>5</v>
      </c>
      <c r="W2360" t="str">
        <f t="shared" si="588"/>
        <v>rob</v>
      </c>
    </row>
    <row r="2361" spans="1:23">
      <c r="A2361" t="str">
        <f t="shared" si="591"/>
        <v>LM 5 CIM</v>
      </c>
      <c r="B2361" t="str">
        <f>"17-3140-0002"</f>
        <v>17-3140-0002</v>
      </c>
      <c r="C2361" t="str">
        <f>"LM5 Content,Vir, CNCMilling w/BenchMill 6000 (M)"</f>
        <v>LM5 Content,Vir, CNCMilling w/BenchMill 6000 (M)</v>
      </c>
      <c r="D2361">
        <v>1</v>
      </c>
      <c r="E2361" t="str">
        <f t="shared" si="592"/>
        <v>LM 5 LearnMate Content (School License on LMS ) - CIM</v>
      </c>
      <c r="F2361">
        <v>700</v>
      </c>
      <c r="G2361" t="str">
        <f t="shared" si="585"/>
        <v>Y</v>
      </c>
      <c r="H2361" t="str">
        <f t="shared" si="587"/>
        <v>EA</v>
      </c>
      <c r="I2361">
        <v>0</v>
      </c>
      <c r="J2361">
        <v>0</v>
      </c>
      <c r="K2361" t="str">
        <f t="shared" si="586"/>
        <v>Y</v>
      </c>
      <c r="L2361">
        <v>0</v>
      </c>
      <c r="M2361" t="str">
        <f t="shared" si="590"/>
        <v>NIS</v>
      </c>
      <c r="O2361">
        <v>4</v>
      </c>
      <c r="P2361" t="str">
        <f t="shared" si="593"/>
        <v>Active</v>
      </c>
      <c r="Q2361" t="str">
        <f>"LM5 Content,Vir, CNCMilling w/BenchMill 6000 (M)"</f>
        <v>LM5 Content,Vir, CNCMilling w/BenchMill 6000 (M)</v>
      </c>
      <c r="S2361" t="str">
        <f>"LM5 Content,Vir, CNCMilling w/BenchMill 6000 (M)"</f>
        <v>LM5 Content,Vir, CNCMilling w/BenchMill 6000 (M)</v>
      </c>
      <c r="T2361">
        <v>0</v>
      </c>
      <c r="U2361">
        <v>5</v>
      </c>
      <c r="V2361">
        <v>5</v>
      </c>
      <c r="W2361" t="str">
        <f t="shared" si="588"/>
        <v>rob</v>
      </c>
    </row>
    <row r="2362" spans="1:23">
      <c r="A2362" t="str">
        <f t="shared" si="591"/>
        <v>LM 5 CIM</v>
      </c>
      <c r="B2362" t="str">
        <f>"17-3141-0002"</f>
        <v>17-3141-0002</v>
      </c>
      <c r="C2362" t="str">
        <f>"LM5 Content,Vir, CNCTurning w/BenchTurn 7000 (M)"</f>
        <v>LM5 Content,Vir, CNCTurning w/BenchTurn 7000 (M)</v>
      </c>
      <c r="D2362">
        <v>1</v>
      </c>
      <c r="E2362" t="str">
        <f t="shared" si="592"/>
        <v>LM 5 LearnMate Content (School License on LMS ) - CIM</v>
      </c>
      <c r="F2362">
        <v>700</v>
      </c>
      <c r="G2362" t="str">
        <f t="shared" si="585"/>
        <v>Y</v>
      </c>
      <c r="H2362" t="str">
        <f t="shared" si="587"/>
        <v>EA</v>
      </c>
      <c r="I2362">
        <v>0</v>
      </c>
      <c r="J2362">
        <v>0</v>
      </c>
      <c r="K2362" t="str">
        <f t="shared" si="586"/>
        <v>Y</v>
      </c>
      <c r="L2362">
        <v>0</v>
      </c>
      <c r="M2362" t="str">
        <f t="shared" si="590"/>
        <v>NIS</v>
      </c>
      <c r="O2362">
        <v>5</v>
      </c>
      <c r="P2362" t="str">
        <f t="shared" si="593"/>
        <v>Active</v>
      </c>
      <c r="Q2362" t="str">
        <f>"LM5 Content,Vir, CNCTurning w/BenchTurn 7000 (M)"</f>
        <v>LM5 Content,Vir, CNCTurning w/BenchTurn 7000 (M)</v>
      </c>
      <c r="S2362" t="str">
        <f>"LM5 Content,Vir, CNCTurning w/BenchTurn 7000 (M)"</f>
        <v>LM5 Content,Vir, CNCTurning w/BenchTurn 7000 (M)</v>
      </c>
      <c r="T2362">
        <v>0</v>
      </c>
      <c r="U2362">
        <v>5</v>
      </c>
      <c r="V2362">
        <v>5</v>
      </c>
      <c r="W2362" t="str">
        <f t="shared" si="588"/>
        <v>rob</v>
      </c>
    </row>
    <row r="2363" spans="1:23">
      <c r="A2363" t="str">
        <f t="shared" si="591"/>
        <v>LM 5 CIM</v>
      </c>
      <c r="B2363" t="str">
        <f>"17-3142-0002"</f>
        <v>17-3142-0002</v>
      </c>
      <c r="C2363" t="str">
        <f>"LM5 Content, Vir, CNC Milling w/ProMill 8000 (M)"</f>
        <v>LM5 Content, Vir, CNC Milling w/ProMill 8000 (M)</v>
      </c>
      <c r="D2363">
        <v>1</v>
      </c>
      <c r="E2363" t="str">
        <f t="shared" si="592"/>
        <v>LM 5 LearnMate Content (School License on LMS ) - CIM</v>
      </c>
      <c r="F2363">
        <v>700</v>
      </c>
      <c r="G2363" t="str">
        <f t="shared" si="585"/>
        <v>Y</v>
      </c>
      <c r="H2363" t="str">
        <f t="shared" si="587"/>
        <v>EA</v>
      </c>
      <c r="I2363">
        <v>0</v>
      </c>
      <c r="J2363">
        <v>0</v>
      </c>
      <c r="K2363" t="str">
        <f t="shared" si="586"/>
        <v>Y</v>
      </c>
      <c r="L2363">
        <v>0</v>
      </c>
      <c r="M2363" t="str">
        <f t="shared" si="590"/>
        <v>NIS</v>
      </c>
      <c r="O2363">
        <v>6</v>
      </c>
      <c r="P2363" t="str">
        <f t="shared" si="593"/>
        <v>Active</v>
      </c>
      <c r="Q2363" t="str">
        <f>"LM5 Content, Vir, CNC Milling w/ProMill 8000 (M)"</f>
        <v>LM5 Content, Vir, CNC Milling w/ProMill 8000 (M)</v>
      </c>
      <c r="S2363" t="str">
        <f>"LM5 Content, Vir, CNC Milling w/ProMill 8000 (M)"</f>
        <v>LM5 Content, Vir, CNC Milling w/ProMill 8000 (M)</v>
      </c>
      <c r="T2363">
        <v>0</v>
      </c>
      <c r="U2363">
        <v>5</v>
      </c>
      <c r="V2363">
        <v>5</v>
      </c>
      <c r="W2363" t="str">
        <f t="shared" si="588"/>
        <v>rob</v>
      </c>
    </row>
    <row r="2364" spans="1:23">
      <c r="A2364" t="str">
        <f t="shared" si="591"/>
        <v>LM 5 CIM</v>
      </c>
      <c r="B2364" t="str">
        <f>"17-3143-0002"</f>
        <v>17-3143-0002</v>
      </c>
      <c r="C2364" t="str">
        <f>"LM5 Content, Vir, CNC Turning w/ProTurn 9000 (M)"</f>
        <v>LM5 Content, Vir, CNC Turning w/ProTurn 9000 (M)</v>
      </c>
      <c r="D2364">
        <v>1</v>
      </c>
      <c r="E2364" t="str">
        <f t="shared" si="592"/>
        <v>LM 5 LearnMate Content (School License on LMS ) - CIM</v>
      </c>
      <c r="F2364">
        <v>700</v>
      </c>
      <c r="G2364" t="str">
        <f t="shared" si="585"/>
        <v>Y</v>
      </c>
      <c r="H2364" t="str">
        <f t="shared" si="587"/>
        <v>EA</v>
      </c>
      <c r="I2364">
        <v>0</v>
      </c>
      <c r="J2364">
        <v>0</v>
      </c>
      <c r="K2364" t="str">
        <f t="shared" si="586"/>
        <v>Y</v>
      </c>
      <c r="L2364">
        <v>0</v>
      </c>
      <c r="M2364" t="str">
        <f t="shared" si="590"/>
        <v>NIS</v>
      </c>
      <c r="O2364">
        <v>7</v>
      </c>
      <c r="P2364" t="str">
        <f t="shared" si="593"/>
        <v>Active</v>
      </c>
      <c r="Q2364" t="str">
        <f>"LM5 Content, Vir, CNC Turning w/ProTurn 9000 (M)"</f>
        <v>LM5 Content, Vir, CNC Turning w/ProTurn 9000 (M)</v>
      </c>
      <c r="S2364" t="str">
        <f>"LM5 Content, Vir, CNC Turning w/ProTurn 9000 (M)"</f>
        <v>LM5 Content, Vir, CNC Turning w/ProTurn 9000 (M)</v>
      </c>
      <c r="T2364">
        <v>0</v>
      </c>
      <c r="U2364">
        <v>5</v>
      </c>
      <c r="V2364">
        <v>5</v>
      </c>
      <c r="W2364" t="str">
        <f t="shared" si="588"/>
        <v>rob</v>
      </c>
    </row>
    <row r="2365" spans="1:23">
      <c r="A2365" t="str">
        <f t="shared" si="591"/>
        <v>LM 5 CIM</v>
      </c>
      <c r="B2365" t="str">
        <f>"17-3046-0000"</f>
        <v>17-3046-0000</v>
      </c>
      <c r="C2365" t="str">
        <f>"LM5 Content, Virtual, Fundamentals w/ER4U"</f>
        <v>LM5 Content, Virtual, Fundamentals w/ER4U</v>
      </c>
      <c r="D2365">
        <v>1</v>
      </c>
      <c r="E2365" t="str">
        <f t="shared" si="592"/>
        <v>LM 5 LearnMate Content (School License on LMS ) - CIM</v>
      </c>
      <c r="F2365">
        <v>700</v>
      </c>
      <c r="G2365" t="str">
        <f t="shared" si="585"/>
        <v>Y</v>
      </c>
      <c r="H2365" t="str">
        <f t="shared" si="587"/>
        <v>EA</v>
      </c>
      <c r="I2365">
        <v>0</v>
      </c>
      <c r="J2365">
        <v>0</v>
      </c>
      <c r="K2365" t="str">
        <f t="shared" si="586"/>
        <v>Y</v>
      </c>
      <c r="L2365">
        <v>0</v>
      </c>
      <c r="M2365" t="str">
        <f t="shared" si="590"/>
        <v>NIS</v>
      </c>
      <c r="O2365">
        <v>8</v>
      </c>
      <c r="P2365" t="str">
        <f t="shared" si="593"/>
        <v>Active</v>
      </c>
      <c r="Q2365" t="str">
        <f>"LM5.X Content, Virtual, Fundamentals w/ER4U"</f>
        <v>LM5.X Content, Virtual, Fundamentals w/ER4U</v>
      </c>
      <c r="S2365" t="str">
        <f>"LM5.X Content, Virtual, Fundamentals w/ER4U"</f>
        <v>LM5.X Content, Virtual, Fundamentals w/ER4U</v>
      </c>
      <c r="T2365">
        <v>0</v>
      </c>
      <c r="U2365">
        <v>5</v>
      </c>
      <c r="V2365">
        <v>5</v>
      </c>
      <c r="W2365" t="str">
        <f t="shared" si="588"/>
        <v>rob</v>
      </c>
    </row>
    <row r="2366" spans="1:23">
      <c r="A2366" t="str">
        <f t="shared" si="591"/>
        <v>LM 5 CIM</v>
      </c>
      <c r="B2366" t="str">
        <f>"17-3048-0000"</f>
        <v>17-3048-0000</v>
      </c>
      <c r="C2366" t="str">
        <f>"LM5 Content, Virtual, Advanced w/ER4U"</f>
        <v>LM5 Content, Virtual, Advanced w/ER4U</v>
      </c>
      <c r="D2366">
        <v>1</v>
      </c>
      <c r="E2366" t="str">
        <f t="shared" si="592"/>
        <v>LM 5 LearnMate Content (School License on LMS ) - CIM</v>
      </c>
      <c r="F2366">
        <v>700</v>
      </c>
      <c r="G2366" t="str">
        <f t="shared" si="585"/>
        <v>Y</v>
      </c>
      <c r="H2366" t="str">
        <f t="shared" si="587"/>
        <v>EA</v>
      </c>
      <c r="I2366">
        <v>0</v>
      </c>
      <c r="J2366">
        <v>0</v>
      </c>
      <c r="K2366" t="str">
        <f t="shared" si="586"/>
        <v>Y</v>
      </c>
      <c r="L2366">
        <v>0</v>
      </c>
      <c r="M2366" t="str">
        <f t="shared" si="590"/>
        <v>NIS</v>
      </c>
      <c r="O2366">
        <v>9</v>
      </c>
      <c r="P2366" t="str">
        <f t="shared" si="593"/>
        <v>Active</v>
      </c>
      <c r="Q2366" t="str">
        <f>"LM5.X Content, Virtual, Advanced w/ER4U"</f>
        <v>LM5.X Content, Virtual, Advanced w/ER4U</v>
      </c>
      <c r="S2366" t="str">
        <f>"LM5.X Content, Virtual, Advanced w/ER4U"</f>
        <v>LM5.X Content, Virtual, Advanced w/ER4U</v>
      </c>
      <c r="T2366">
        <v>0</v>
      </c>
      <c r="U2366">
        <v>5</v>
      </c>
      <c r="V2366">
        <v>5</v>
      </c>
      <c r="W2366" t="str">
        <f t="shared" si="588"/>
        <v>rob</v>
      </c>
    </row>
    <row r="2367" spans="1:23">
      <c r="A2367" t="str">
        <f t="shared" si="591"/>
        <v>LM 5 CIM</v>
      </c>
      <c r="B2367" t="str">
        <f>"17-3047-0000"</f>
        <v>17-3047-0000</v>
      </c>
      <c r="C2367" t="str">
        <f>"LM5 Content, Virtual, Fundamentals w/ER9"</f>
        <v>LM5 Content, Virtual, Fundamentals w/ER9</v>
      </c>
      <c r="D2367">
        <v>1</v>
      </c>
      <c r="E2367" t="str">
        <f t="shared" si="592"/>
        <v>LM 5 LearnMate Content (School License on LMS ) - CIM</v>
      </c>
      <c r="F2367">
        <v>700</v>
      </c>
      <c r="G2367" t="str">
        <f t="shared" si="585"/>
        <v>Y</v>
      </c>
      <c r="H2367" t="str">
        <f t="shared" si="587"/>
        <v>EA</v>
      </c>
      <c r="I2367">
        <v>0</v>
      </c>
      <c r="J2367">
        <v>0</v>
      </c>
      <c r="K2367" t="str">
        <f t="shared" si="586"/>
        <v>Y</v>
      </c>
      <c r="L2367">
        <v>0</v>
      </c>
      <c r="M2367" t="str">
        <f t="shared" si="590"/>
        <v>NIS</v>
      </c>
      <c r="O2367">
        <v>10</v>
      </c>
      <c r="P2367" t="str">
        <f t="shared" si="593"/>
        <v>Active</v>
      </c>
      <c r="Q2367" t="str">
        <f>"LM5.X Content, Virtual, Fundamentals w/ER9"</f>
        <v>LM5.X Content, Virtual, Fundamentals w/ER9</v>
      </c>
      <c r="S2367" t="str">
        <f>"LM5.X Content, Virtual, Fundamentals w/ER9"</f>
        <v>LM5.X Content, Virtual, Fundamentals w/ER9</v>
      </c>
      <c r="T2367">
        <v>0</v>
      </c>
      <c r="U2367">
        <v>5</v>
      </c>
      <c r="V2367">
        <v>5</v>
      </c>
      <c r="W2367" t="str">
        <f t="shared" si="588"/>
        <v>rob</v>
      </c>
    </row>
    <row r="2368" spans="1:23">
      <c r="A2368" t="str">
        <f t="shared" si="591"/>
        <v>LM 5 CIM</v>
      </c>
      <c r="B2368" t="str">
        <f>"17-3049-0000"</f>
        <v>17-3049-0000</v>
      </c>
      <c r="C2368" t="str">
        <f>"LM5 Content, Virtual, Advanced w/ER9"</f>
        <v>LM5 Content, Virtual, Advanced w/ER9</v>
      </c>
      <c r="D2368">
        <v>1</v>
      </c>
      <c r="E2368" t="str">
        <f t="shared" si="592"/>
        <v>LM 5 LearnMate Content (School License on LMS ) - CIM</v>
      </c>
      <c r="F2368">
        <v>700</v>
      </c>
      <c r="G2368" t="str">
        <f t="shared" si="585"/>
        <v>Y</v>
      </c>
      <c r="H2368" t="str">
        <f t="shared" si="587"/>
        <v>EA</v>
      </c>
      <c r="I2368">
        <v>0</v>
      </c>
      <c r="J2368">
        <v>0</v>
      </c>
      <c r="K2368" t="str">
        <f t="shared" si="586"/>
        <v>Y</v>
      </c>
      <c r="L2368">
        <v>0</v>
      </c>
      <c r="M2368" t="str">
        <f t="shared" si="590"/>
        <v>NIS</v>
      </c>
      <c r="O2368">
        <v>11</v>
      </c>
      <c r="P2368" t="str">
        <f t="shared" si="593"/>
        <v>Active</v>
      </c>
      <c r="Q2368" t="str">
        <f>"LM5.X Content, Virtual, Advanced w/ER9"</f>
        <v>LM5.X Content, Virtual, Advanced w/ER9</v>
      </c>
      <c r="S2368" t="str">
        <f>"LM5.X Content, Virtual, Advanced w/ER9"</f>
        <v>LM5.X Content, Virtual, Advanced w/ER9</v>
      </c>
      <c r="T2368">
        <v>0</v>
      </c>
      <c r="U2368">
        <v>5</v>
      </c>
      <c r="V2368">
        <v>5</v>
      </c>
      <c r="W2368" t="str">
        <f t="shared" si="588"/>
        <v>rob</v>
      </c>
    </row>
    <row r="2369" spans="1:23">
      <c r="A2369" t="str">
        <f t="shared" si="591"/>
        <v>LM 5 CIM</v>
      </c>
      <c r="B2369" t="str">
        <f>"17-3027-0000"</f>
        <v>17-3027-0000</v>
      </c>
      <c r="C2369" t="str">
        <f>"LM5 Content, Virtual, Vision &amp; Image Process."</f>
        <v>LM5 Content, Virtual, Vision &amp; Image Process.</v>
      </c>
      <c r="D2369">
        <v>1</v>
      </c>
      <c r="E2369" t="str">
        <f t="shared" si="592"/>
        <v>LM 5 LearnMate Content (School License on LMS ) - CIM</v>
      </c>
      <c r="F2369">
        <v>700</v>
      </c>
      <c r="G2369" t="str">
        <f t="shared" si="585"/>
        <v>Y</v>
      </c>
      <c r="H2369" t="str">
        <f t="shared" si="587"/>
        <v>EA</v>
      </c>
      <c r="I2369">
        <v>0</v>
      </c>
      <c r="J2369">
        <v>0</v>
      </c>
      <c r="K2369" t="str">
        <f t="shared" si="586"/>
        <v>Y</v>
      </c>
      <c r="L2369">
        <v>0</v>
      </c>
      <c r="M2369" t="str">
        <f t="shared" si="590"/>
        <v>NIS</v>
      </c>
      <c r="O2369">
        <v>12</v>
      </c>
      <c r="P2369" t="str">
        <f t="shared" si="593"/>
        <v>Active</v>
      </c>
      <c r="Q2369" t="str">
        <f>"LM5.X Content, Virtual, Vision &amp; Image Process."</f>
        <v>LM5.X Content, Virtual, Vision &amp; Image Process.</v>
      </c>
      <c r="S2369" t="str">
        <f>"LM5.X Content, Virtual, Vision &amp; Image Process."</f>
        <v>LM5.X Content, Virtual, Vision &amp; Image Process.</v>
      </c>
      <c r="T2369">
        <v>0</v>
      </c>
      <c r="U2369">
        <v>5</v>
      </c>
      <c r="V2369">
        <v>5</v>
      </c>
      <c r="W2369" t="str">
        <f t="shared" si="588"/>
        <v>rob</v>
      </c>
    </row>
    <row r="2370" spans="1:23">
      <c r="A2370" t="str">
        <f t="shared" si="591"/>
        <v>LM 5 CIM</v>
      </c>
      <c r="B2370" t="str">
        <f>"17-8084-0000"</f>
        <v>17-8084-0000</v>
      </c>
      <c r="C2370" t="str">
        <f>"LM 5 Content, Lab, Machine Vision &amp; QC 1"</f>
        <v>LM 5 Content, Lab, Machine Vision &amp; QC 1</v>
      </c>
      <c r="D2370">
        <v>1</v>
      </c>
      <c r="E2370" t="str">
        <f t="shared" si="592"/>
        <v>LM 5 LearnMate Content (School License on LMS ) - CIM</v>
      </c>
      <c r="F2370">
        <v>700</v>
      </c>
      <c r="G2370" t="str">
        <f t="shared" ref="G2370:G2433" si="594">"Y"</f>
        <v>Y</v>
      </c>
      <c r="H2370" t="str">
        <f t="shared" si="587"/>
        <v>EA</v>
      </c>
      <c r="I2370">
        <v>0</v>
      </c>
      <c r="J2370">
        <v>0</v>
      </c>
      <c r="K2370" t="str">
        <f t="shared" ref="K2370:K2433" si="595">"Y"</f>
        <v>Y</v>
      </c>
      <c r="L2370">
        <v>0</v>
      </c>
      <c r="M2370" t="str">
        <f t="shared" si="590"/>
        <v>NIS</v>
      </c>
      <c r="N2370" t="str">
        <f>"Y"</f>
        <v>Y</v>
      </c>
      <c r="O2370">
        <v>13</v>
      </c>
      <c r="P2370" t="str">
        <f t="shared" si="593"/>
        <v>Active</v>
      </c>
      <c r="Q2370" t="str">
        <f>"LM5.X Content, Lab, Machine Vision &amp; QC 1"</f>
        <v>LM5.X Content, Lab, Machine Vision &amp; QC 1</v>
      </c>
      <c r="S2370" t="str">
        <f>"LM5.X Content, Lab, Machine Vision &amp; QC 1"</f>
        <v>LM5.X Content, Lab, Machine Vision &amp; QC 1</v>
      </c>
      <c r="T2370">
        <v>0</v>
      </c>
      <c r="U2370">
        <v>5</v>
      </c>
      <c r="V2370">
        <v>5</v>
      </c>
      <c r="W2370" t="str">
        <f t="shared" si="588"/>
        <v>rob</v>
      </c>
    </row>
    <row r="2371" spans="1:23">
      <c r="A2371" t="str">
        <f t="shared" si="591"/>
        <v>LM 5 CIM</v>
      </c>
      <c r="B2371" t="str">
        <f>"17-3015-0000"</f>
        <v>17-3015-0000</v>
      </c>
      <c r="C2371" t="str">
        <f>"LM5 Content, Virtual, CIM1"</f>
        <v>LM5 Content, Virtual, CIM1</v>
      </c>
      <c r="D2371">
        <v>1</v>
      </c>
      <c r="E2371" t="str">
        <f t="shared" si="592"/>
        <v>LM 5 LearnMate Content (School License on LMS ) - CIM</v>
      </c>
      <c r="F2371">
        <v>700</v>
      </c>
      <c r="G2371" t="str">
        <f t="shared" si="594"/>
        <v>Y</v>
      </c>
      <c r="H2371" t="str">
        <f t="shared" si="587"/>
        <v>EA</v>
      </c>
      <c r="I2371">
        <v>0</v>
      </c>
      <c r="J2371">
        <v>0</v>
      </c>
      <c r="K2371" t="str">
        <f t="shared" si="595"/>
        <v>Y</v>
      </c>
      <c r="L2371">
        <v>0</v>
      </c>
      <c r="M2371" t="str">
        <f t="shared" si="590"/>
        <v>NIS</v>
      </c>
      <c r="O2371">
        <v>14</v>
      </c>
      <c r="P2371" t="str">
        <f t="shared" si="593"/>
        <v>Active</v>
      </c>
      <c r="Q2371" t="str">
        <f>"LM5.X Content, Virtual, CIM1"</f>
        <v>LM5.X Content, Virtual, CIM1</v>
      </c>
      <c r="S2371" t="str">
        <f>"LM5.X Content, Virtual, CIM1"</f>
        <v>LM5.X Content, Virtual, CIM1</v>
      </c>
      <c r="T2371">
        <v>0</v>
      </c>
      <c r="U2371">
        <v>5</v>
      </c>
      <c r="V2371">
        <v>5</v>
      </c>
      <c r="W2371" t="str">
        <f t="shared" si="588"/>
        <v>rob</v>
      </c>
    </row>
    <row r="2372" spans="1:23">
      <c r="A2372" t="str">
        <f t="shared" si="591"/>
        <v>LM 5 CIM</v>
      </c>
      <c r="B2372" t="str">
        <f>"17-3016-0000"</f>
        <v>17-3016-0000</v>
      </c>
      <c r="C2372" t="str">
        <f>"LM5 Content, Virtual, CIM 2"</f>
        <v>LM5 Content, Virtual, CIM 2</v>
      </c>
      <c r="D2372">
        <v>1</v>
      </c>
      <c r="E2372" t="str">
        <f t="shared" si="592"/>
        <v>LM 5 LearnMate Content (School License on LMS ) - CIM</v>
      </c>
      <c r="F2372">
        <v>700</v>
      </c>
      <c r="G2372" t="str">
        <f t="shared" si="594"/>
        <v>Y</v>
      </c>
      <c r="H2372" t="str">
        <f t="shared" si="587"/>
        <v>EA</v>
      </c>
      <c r="I2372">
        <v>0</v>
      </c>
      <c r="J2372">
        <v>0</v>
      </c>
      <c r="K2372" t="str">
        <f t="shared" si="595"/>
        <v>Y</v>
      </c>
      <c r="L2372">
        <v>0</v>
      </c>
      <c r="M2372" t="str">
        <f t="shared" si="590"/>
        <v>NIS</v>
      </c>
      <c r="O2372">
        <v>15</v>
      </c>
      <c r="P2372" t="str">
        <f t="shared" si="593"/>
        <v>Active</v>
      </c>
      <c r="Q2372" t="str">
        <f>"LM5.X Content, Virtual, CIM 2"</f>
        <v>LM5.X Content, Virtual, CIM 2</v>
      </c>
      <c r="S2372" t="str">
        <f>"LM5.X Content, Virtual, CIM 2"</f>
        <v>LM5.X Content, Virtual, CIM 2</v>
      </c>
      <c r="T2372">
        <v>0</v>
      </c>
      <c r="U2372">
        <v>5</v>
      </c>
      <c r="V2372">
        <v>5</v>
      </c>
      <c r="W2372" t="str">
        <f t="shared" si="588"/>
        <v>rob</v>
      </c>
    </row>
    <row r="2373" spans="1:23">
      <c r="A2373" t="str">
        <f t="shared" si="591"/>
        <v>LM 5 CIM</v>
      </c>
      <c r="B2373" t="str">
        <f>"17-3096-0000"</f>
        <v>17-3096-0000</v>
      </c>
      <c r="C2373" t="str">
        <f>"LM5.X Content, Virtual, Intro to Advanced Mfg"</f>
        <v>LM5.X Content, Virtual, Intro to Advanced Mfg</v>
      </c>
      <c r="D2373">
        <v>1</v>
      </c>
      <c r="E2373" t="str">
        <f t="shared" si="592"/>
        <v>LM 5 LearnMate Content (School License on LMS ) - CIM</v>
      </c>
      <c r="F2373">
        <v>700</v>
      </c>
      <c r="G2373" t="str">
        <f t="shared" si="594"/>
        <v>Y</v>
      </c>
      <c r="H2373" t="str">
        <f t="shared" si="587"/>
        <v>EA</v>
      </c>
      <c r="I2373">
        <v>0</v>
      </c>
      <c r="J2373">
        <v>0</v>
      </c>
      <c r="K2373" t="str">
        <f t="shared" si="595"/>
        <v>Y</v>
      </c>
      <c r="L2373">
        <v>0</v>
      </c>
      <c r="M2373" t="str">
        <f t="shared" si="590"/>
        <v>NIS</v>
      </c>
      <c r="O2373">
        <v>16</v>
      </c>
      <c r="P2373" t="str">
        <f t="shared" si="593"/>
        <v>Active</v>
      </c>
      <c r="Q2373" t="str">
        <f>"LM5.X Content, Virtual, Intro to Advanced Mfg"</f>
        <v>LM5.X Content, Virtual, Intro to Advanced Mfg</v>
      </c>
      <c r="S2373" t="str">
        <f>"LM5.X Content, Virtual, Intro to Advanced Mfg"</f>
        <v>LM5.X Content, Virtual, Intro to Advanced Mfg</v>
      </c>
      <c r="T2373">
        <v>0</v>
      </c>
      <c r="U2373">
        <v>5</v>
      </c>
      <c r="V2373">
        <v>5</v>
      </c>
      <c r="W2373" t="str">
        <f t="shared" si="588"/>
        <v>rob</v>
      </c>
    </row>
    <row r="2374" spans="1:23">
      <c r="A2374" t="str">
        <f t="shared" si="591"/>
        <v>LM 5 CIM</v>
      </c>
      <c r="B2374" t="str">
        <f>"17-3022-0000"</f>
        <v>17-3022-0000</v>
      </c>
      <c r="C2374" t="str">
        <f>"LM5.X Content,Virtual,Flexible Manufacturing Sys"</f>
        <v>LM5.X Content,Virtual,Flexible Manufacturing Sys</v>
      </c>
      <c r="D2374">
        <v>1</v>
      </c>
      <c r="E2374" t="str">
        <f t="shared" si="592"/>
        <v>LM 5 LearnMate Content (School License on LMS ) - CIM</v>
      </c>
      <c r="F2374">
        <v>700</v>
      </c>
      <c r="G2374" t="str">
        <f t="shared" si="594"/>
        <v>Y</v>
      </c>
      <c r="H2374" t="str">
        <f t="shared" si="587"/>
        <v>EA</v>
      </c>
      <c r="I2374">
        <v>0</v>
      </c>
      <c r="J2374">
        <v>0</v>
      </c>
      <c r="K2374" t="str">
        <f t="shared" si="595"/>
        <v>Y</v>
      </c>
      <c r="L2374">
        <v>0</v>
      </c>
      <c r="M2374" t="str">
        <f t="shared" si="590"/>
        <v>NIS</v>
      </c>
      <c r="O2374">
        <v>17</v>
      </c>
      <c r="P2374" t="str">
        <f t="shared" si="593"/>
        <v>Active</v>
      </c>
      <c r="Q2374" t="str">
        <f>"LM5.X Content,Virtual,Flexible Manufacturing Sys"</f>
        <v>LM5.X Content,Virtual,Flexible Manufacturing Sys</v>
      </c>
      <c r="S2374" t="str">
        <f>"LM5.X Content,Virtual,Flexible Manufacturing Sys"</f>
        <v>LM5.X Content,Virtual,Flexible Manufacturing Sys</v>
      </c>
      <c r="T2374">
        <v>0</v>
      </c>
      <c r="U2374">
        <v>5</v>
      </c>
      <c r="V2374">
        <v>5</v>
      </c>
      <c r="W2374" t="str">
        <f t="shared" si="588"/>
        <v>rob</v>
      </c>
    </row>
    <row r="2375" spans="1:23">
      <c r="A2375" t="str">
        <f>"LM 5 DESIGN"</f>
        <v>LM 5 DESIGN</v>
      </c>
      <c r="B2375" t="str">
        <f>"17-3005-0002"</f>
        <v>17-3005-0002</v>
      </c>
      <c r="C2375" t="str">
        <f>"LM5.X Content, Virtual, spectraCAM Milling (M)"</f>
        <v>LM5.X Content, Virtual, spectraCAM Milling (M)</v>
      </c>
      <c r="D2375">
        <v>1</v>
      </c>
      <c r="E2375" t="str">
        <f>"LM 5 LearnMate Content (School License on LMS) - Design"</f>
        <v>LM 5 LearnMate Content (School License on LMS) - Design</v>
      </c>
      <c r="F2375">
        <v>700</v>
      </c>
      <c r="G2375" t="str">
        <f t="shared" si="594"/>
        <v>Y</v>
      </c>
      <c r="H2375" t="str">
        <f t="shared" si="587"/>
        <v>EA</v>
      </c>
      <c r="I2375">
        <v>0</v>
      </c>
      <c r="J2375">
        <v>0</v>
      </c>
      <c r="K2375" t="str">
        <f t="shared" si="595"/>
        <v>Y</v>
      </c>
      <c r="L2375">
        <v>0</v>
      </c>
      <c r="M2375" t="str">
        <f t="shared" si="590"/>
        <v>NIS</v>
      </c>
      <c r="O2375">
        <v>1</v>
      </c>
      <c r="P2375" t="str">
        <f t="shared" si="593"/>
        <v>Active</v>
      </c>
      <c r="Q2375" t="str">
        <f>"LM5.X Content, Virtual, spectraCAM Milling (M)"</f>
        <v>LM5.X Content, Virtual, spectraCAM Milling (M)</v>
      </c>
      <c r="S2375" t="str">
        <f>"LM5.X Content, Virtual, spectraCAM Milling (M)"</f>
        <v>LM5.X Content, Virtual, spectraCAM Milling (M)</v>
      </c>
      <c r="T2375">
        <v>0</v>
      </c>
      <c r="U2375">
        <v>5</v>
      </c>
      <c r="V2375">
        <v>5</v>
      </c>
      <c r="W2375" t="str">
        <f t="shared" si="588"/>
        <v>rob</v>
      </c>
    </row>
    <row r="2376" spans="1:23">
      <c r="A2376" t="str">
        <f>"LM 5 DESIGN"</f>
        <v>LM 5 DESIGN</v>
      </c>
      <c r="B2376" t="str">
        <f>"17-3004-0002"</f>
        <v>17-3004-0002</v>
      </c>
      <c r="C2376" t="str">
        <f>"LM5.X Content, Virtual, spectraCAD Engraving (M)"</f>
        <v>LM5.X Content, Virtual, spectraCAD Engraving (M)</v>
      </c>
      <c r="D2376">
        <v>1</v>
      </c>
      <c r="E2376" t="str">
        <f>"LM 5 LearnMate Content (School License on LMS) - Design"</f>
        <v>LM 5 LearnMate Content (School License on LMS) - Design</v>
      </c>
      <c r="F2376">
        <v>700</v>
      </c>
      <c r="G2376" t="str">
        <f t="shared" si="594"/>
        <v>Y</v>
      </c>
      <c r="H2376" t="str">
        <f t="shared" si="587"/>
        <v>EA</v>
      </c>
      <c r="I2376">
        <v>0</v>
      </c>
      <c r="J2376">
        <v>0</v>
      </c>
      <c r="K2376" t="str">
        <f t="shared" si="595"/>
        <v>Y</v>
      </c>
      <c r="L2376">
        <v>0</v>
      </c>
      <c r="M2376" t="str">
        <f t="shared" si="590"/>
        <v>NIS</v>
      </c>
      <c r="O2376">
        <v>2</v>
      </c>
      <c r="P2376" t="str">
        <f t="shared" si="593"/>
        <v>Active</v>
      </c>
      <c r="Q2376" t="str">
        <f>"LM5.X Content, Virtual, spectraCAD Engraving (M)"</f>
        <v>LM5.X Content, Virtual, spectraCAD Engraving (M)</v>
      </c>
      <c r="S2376" t="str">
        <f>"LM5.X Content, Virtual, spectraCAD Engraving (M)"</f>
        <v>LM5.X Content, Virtual, spectraCAD Engraving (M)</v>
      </c>
      <c r="T2376">
        <v>0</v>
      </c>
      <c r="U2376">
        <v>5</v>
      </c>
      <c r="V2376">
        <v>5</v>
      </c>
      <c r="W2376" t="str">
        <f t="shared" si="588"/>
        <v>rob</v>
      </c>
    </row>
    <row r="2377" spans="1:23">
      <c r="A2377" t="str">
        <f>"LM 5 DESIGN"</f>
        <v>LM 5 DESIGN</v>
      </c>
      <c r="B2377" t="str">
        <f>"17-3007-0002"</f>
        <v>17-3007-0002</v>
      </c>
      <c r="C2377" t="str">
        <f>"LM5.X Content, Virtual, spectraCAM Turning (M)"</f>
        <v>LM5.X Content, Virtual, spectraCAM Turning (M)</v>
      </c>
      <c r="D2377">
        <v>1</v>
      </c>
      <c r="E2377" t="str">
        <f>"LM 5 LearnMate Content (School License on LMS) - Design"</f>
        <v>LM 5 LearnMate Content (School License on LMS) - Design</v>
      </c>
      <c r="F2377">
        <v>700</v>
      </c>
      <c r="G2377" t="str">
        <f t="shared" si="594"/>
        <v>Y</v>
      </c>
      <c r="H2377" t="str">
        <f t="shared" si="587"/>
        <v>EA</v>
      </c>
      <c r="I2377">
        <v>0</v>
      </c>
      <c r="J2377">
        <v>0</v>
      </c>
      <c r="K2377" t="str">
        <f t="shared" si="595"/>
        <v>Y</v>
      </c>
      <c r="L2377">
        <v>0</v>
      </c>
      <c r="M2377" t="str">
        <f t="shared" si="590"/>
        <v>NIS</v>
      </c>
      <c r="O2377">
        <v>3</v>
      </c>
      <c r="P2377" t="str">
        <f t="shared" si="593"/>
        <v>Active</v>
      </c>
      <c r="Q2377" t="str">
        <f>"LM5.X Content, Virtual, spectraCAM Turning (M)"</f>
        <v>LM5.X Content, Virtual, spectraCAM Turning (M)</v>
      </c>
      <c r="S2377" t="str">
        <f>"LM5.X Content, Virtual, spectraCAM Turning (M)"</f>
        <v>LM5.X Content, Virtual, spectraCAM Turning (M)</v>
      </c>
      <c r="T2377">
        <v>0</v>
      </c>
      <c r="U2377">
        <v>5</v>
      </c>
      <c r="V2377">
        <v>5</v>
      </c>
      <c r="W2377" t="str">
        <f t="shared" si="588"/>
        <v>rob</v>
      </c>
    </row>
    <row r="2378" spans="1:23">
      <c r="A2378" t="str">
        <f>"LM 5 MANUFACTUR"</f>
        <v>LM 5 MANUFACTUR</v>
      </c>
      <c r="B2378" t="str">
        <f>"17-3015-0000"</f>
        <v>17-3015-0000</v>
      </c>
      <c r="C2378" t="str">
        <f>"LM5 Content, Virtual, CIM1"</f>
        <v>LM5 Content, Virtual, CIM1</v>
      </c>
      <c r="D2378">
        <v>1</v>
      </c>
      <c r="E2378" t="str">
        <f>"LM 5 LearnMate Content (School License on LMS) - Manufacturing"</f>
        <v>LM 5 LearnMate Content (School License on LMS) - Manufacturing</v>
      </c>
      <c r="F2378">
        <v>700</v>
      </c>
      <c r="G2378" t="str">
        <f t="shared" si="594"/>
        <v>Y</v>
      </c>
      <c r="H2378" t="str">
        <f t="shared" si="587"/>
        <v>EA</v>
      </c>
      <c r="I2378">
        <v>0</v>
      </c>
      <c r="J2378">
        <v>0</v>
      </c>
      <c r="K2378" t="str">
        <f t="shared" si="595"/>
        <v>Y</v>
      </c>
      <c r="L2378">
        <v>0</v>
      </c>
      <c r="M2378" t="str">
        <f t="shared" si="590"/>
        <v>NIS</v>
      </c>
      <c r="O2378">
        <v>2</v>
      </c>
      <c r="P2378" t="str">
        <f t="shared" si="593"/>
        <v>Active</v>
      </c>
      <c r="Q2378" t="str">
        <f>"LM5.X Content, Virtual, CIM1"</f>
        <v>LM5.X Content, Virtual, CIM1</v>
      </c>
      <c r="S2378" t="str">
        <f>"LM5.X Content, Virtual, CIM1"</f>
        <v>LM5.X Content, Virtual, CIM1</v>
      </c>
      <c r="T2378">
        <v>0</v>
      </c>
      <c r="U2378">
        <v>5</v>
      </c>
      <c r="V2378">
        <v>5</v>
      </c>
      <c r="W2378" t="str">
        <f t="shared" si="588"/>
        <v>rob</v>
      </c>
    </row>
    <row r="2379" spans="1:23">
      <c r="A2379" t="str">
        <f>"LM 5 MANUFACTUR"</f>
        <v>LM 5 MANUFACTUR</v>
      </c>
      <c r="B2379" t="str">
        <f>"17-3016-0000"</f>
        <v>17-3016-0000</v>
      </c>
      <c r="C2379" t="str">
        <f>"LM5 Content, Virtual, CIM 2"</f>
        <v>LM5 Content, Virtual, CIM 2</v>
      </c>
      <c r="D2379">
        <v>1</v>
      </c>
      <c r="E2379" t="str">
        <f>"LM 5 LearnMate Content (School License on LMS) - Manufacturing"</f>
        <v>LM 5 LearnMate Content (School License on LMS) - Manufacturing</v>
      </c>
      <c r="F2379">
        <v>700</v>
      </c>
      <c r="G2379" t="str">
        <f t="shared" si="594"/>
        <v>Y</v>
      </c>
      <c r="H2379" t="str">
        <f t="shared" si="587"/>
        <v>EA</v>
      </c>
      <c r="I2379">
        <v>0</v>
      </c>
      <c r="J2379">
        <v>0</v>
      </c>
      <c r="K2379" t="str">
        <f t="shared" si="595"/>
        <v>Y</v>
      </c>
      <c r="L2379">
        <v>0</v>
      </c>
      <c r="M2379" t="str">
        <f t="shared" si="590"/>
        <v>NIS</v>
      </c>
      <c r="O2379">
        <v>3</v>
      </c>
      <c r="P2379" t="str">
        <f t="shared" si="593"/>
        <v>Active</v>
      </c>
      <c r="Q2379" t="str">
        <f>"LM5.X Content, Virtual, CIM 2"</f>
        <v>LM5.X Content, Virtual, CIM 2</v>
      </c>
      <c r="S2379" t="str">
        <f>"LM5.X Content, Virtual, CIM 2"</f>
        <v>LM5.X Content, Virtual, CIM 2</v>
      </c>
      <c r="T2379">
        <v>0</v>
      </c>
      <c r="U2379">
        <v>5</v>
      </c>
      <c r="V2379">
        <v>5</v>
      </c>
      <c r="W2379" t="str">
        <f t="shared" si="588"/>
        <v>rob</v>
      </c>
    </row>
    <row r="2380" spans="1:23">
      <c r="A2380" t="str">
        <f>"LM 5 MANUFACTUR"</f>
        <v>LM 5 MANUFACTUR</v>
      </c>
      <c r="B2380" t="str">
        <f>"17-8057-0000"</f>
        <v>17-8057-0000</v>
      </c>
      <c r="C2380" t="str">
        <f>"LM 5 Content, Lab/Vir, Plastics Thermoforming"</f>
        <v>LM 5 Content, Lab/Vir, Plastics Thermoforming</v>
      </c>
      <c r="D2380">
        <v>1</v>
      </c>
      <c r="E2380" t="str">
        <f>"LM 5 LearnMate Content (School License on LMS) - Manufacturing"</f>
        <v>LM 5 LearnMate Content (School License on LMS) - Manufacturing</v>
      </c>
      <c r="F2380">
        <v>700</v>
      </c>
      <c r="G2380" t="str">
        <f t="shared" si="594"/>
        <v>Y</v>
      </c>
      <c r="H2380" t="str">
        <f t="shared" si="587"/>
        <v>EA</v>
      </c>
      <c r="I2380">
        <v>0</v>
      </c>
      <c r="J2380">
        <v>0</v>
      </c>
      <c r="K2380" t="str">
        <f t="shared" si="595"/>
        <v>Y</v>
      </c>
      <c r="L2380">
        <v>0</v>
      </c>
      <c r="M2380" t="str">
        <f t="shared" si="590"/>
        <v>NIS</v>
      </c>
      <c r="N2380" t="str">
        <f>"Y"</f>
        <v>Y</v>
      </c>
      <c r="O2380">
        <v>4</v>
      </c>
      <c r="P2380" t="str">
        <f t="shared" si="593"/>
        <v>Active</v>
      </c>
      <c r="Q2380" t="str">
        <f>"LM5.X Content, Lab/Vir, Plastics Thermoforming"</f>
        <v>LM5.X Content, Lab/Vir, Plastics Thermoforming</v>
      </c>
      <c r="S2380" t="str">
        <f>"LM5.X Content, Lab/Vir, Plastics Thermoforming"</f>
        <v>LM5.X Content, Lab/Vir, Plastics Thermoforming</v>
      </c>
      <c r="T2380">
        <v>0</v>
      </c>
      <c r="U2380">
        <v>5</v>
      </c>
      <c r="V2380">
        <v>5</v>
      </c>
      <c r="W2380" t="str">
        <f t="shared" si="588"/>
        <v>rob</v>
      </c>
    </row>
    <row r="2381" spans="1:23">
      <c r="A2381" t="str">
        <f>"LM 5 MANUFACTUR"</f>
        <v>LM 5 MANUFACTUR</v>
      </c>
      <c r="B2381" t="str">
        <f>"17-3096-0000"</f>
        <v>17-3096-0000</v>
      </c>
      <c r="C2381" t="str">
        <f>"LM5.X Content, Virtual, Intro to Advanced Mfg"</f>
        <v>LM5.X Content, Virtual, Intro to Advanced Mfg</v>
      </c>
      <c r="D2381">
        <v>1</v>
      </c>
      <c r="E2381" t="str">
        <f>"LM 5 LearnMate Content (School License on LMS) - Manufacturing"</f>
        <v>LM 5 LearnMate Content (School License on LMS) - Manufacturing</v>
      </c>
      <c r="F2381">
        <v>700</v>
      </c>
      <c r="G2381" t="str">
        <f t="shared" si="594"/>
        <v>Y</v>
      </c>
      <c r="H2381" t="str">
        <f t="shared" si="587"/>
        <v>EA</v>
      </c>
      <c r="I2381">
        <v>0</v>
      </c>
      <c r="J2381">
        <v>0</v>
      </c>
      <c r="K2381" t="str">
        <f t="shared" si="595"/>
        <v>Y</v>
      </c>
      <c r="L2381">
        <v>0</v>
      </c>
      <c r="M2381" t="str">
        <f t="shared" si="590"/>
        <v>NIS</v>
      </c>
      <c r="O2381">
        <v>5</v>
      </c>
      <c r="P2381" t="str">
        <f t="shared" si="593"/>
        <v>Active</v>
      </c>
      <c r="Q2381" t="str">
        <f>"LM5.X Content, Virtual, Intro to Advanced Mfg"</f>
        <v>LM5.X Content, Virtual, Intro to Advanced Mfg</v>
      </c>
      <c r="S2381" t="str">
        <f>"LM5.X Content, Virtual, Intro to Advanced Mfg"</f>
        <v>LM5.X Content, Virtual, Intro to Advanced Mfg</v>
      </c>
      <c r="T2381">
        <v>0</v>
      </c>
      <c r="U2381">
        <v>5</v>
      </c>
      <c r="V2381">
        <v>5</v>
      </c>
      <c r="W2381" t="str">
        <f t="shared" si="588"/>
        <v>rob</v>
      </c>
    </row>
    <row r="2382" spans="1:23">
      <c r="A2382" t="str">
        <f>"LM 5 MANUFACTUR"</f>
        <v>LM 5 MANUFACTUR</v>
      </c>
      <c r="B2382" t="str">
        <f>"17-3022-0000"</f>
        <v>17-3022-0000</v>
      </c>
      <c r="C2382" t="str">
        <f>"LM5.X Content,Virtual,Flexible Manufacturing Sys"</f>
        <v>LM5.X Content,Virtual,Flexible Manufacturing Sys</v>
      </c>
      <c r="D2382">
        <v>1</v>
      </c>
      <c r="E2382" t="str">
        <f>"LM 5 LearnMate Content (School License on LMS) - Manufacturing"</f>
        <v>LM 5 LearnMate Content (School License on LMS) - Manufacturing</v>
      </c>
      <c r="F2382">
        <v>700</v>
      </c>
      <c r="G2382" t="str">
        <f t="shared" si="594"/>
        <v>Y</v>
      </c>
      <c r="H2382" t="str">
        <f t="shared" si="587"/>
        <v>EA</v>
      </c>
      <c r="I2382">
        <v>0</v>
      </c>
      <c r="J2382">
        <v>0</v>
      </c>
      <c r="K2382" t="str">
        <f t="shared" si="595"/>
        <v>Y</v>
      </c>
      <c r="L2382">
        <v>0</v>
      </c>
      <c r="M2382" t="str">
        <f t="shared" si="590"/>
        <v>NIS</v>
      </c>
      <c r="O2382">
        <v>6</v>
      </c>
      <c r="P2382" t="str">
        <f t="shared" si="593"/>
        <v>Active</v>
      </c>
      <c r="Q2382" t="str">
        <f>"LM5.X Content,Virtual,Flexible Manufacturing Sys"</f>
        <v>LM5.X Content,Virtual,Flexible Manufacturing Sys</v>
      </c>
      <c r="S2382" t="str">
        <f>"LM5.X Content,Virtual,Flexible Manufacturing Sys"</f>
        <v>LM5.X Content,Virtual,Flexible Manufacturing Sys</v>
      </c>
      <c r="T2382">
        <v>0</v>
      </c>
      <c r="U2382">
        <v>5</v>
      </c>
      <c r="V2382">
        <v>5</v>
      </c>
      <c r="W2382" t="str">
        <f t="shared" si="588"/>
        <v>rob</v>
      </c>
    </row>
    <row r="2383" spans="1:23">
      <c r="A2383" t="str">
        <f>"LM 5 QC"</f>
        <v>LM 5 QC</v>
      </c>
      <c r="B2383" t="str">
        <f>"17-3027-0000"</f>
        <v>17-3027-0000</v>
      </c>
      <c r="C2383" t="str">
        <f>"LM5 Content, Virtual, Vision &amp; Image Process."</f>
        <v>LM5 Content, Virtual, Vision &amp; Image Process.</v>
      </c>
      <c r="D2383">
        <v>1</v>
      </c>
      <c r="E2383" t="str">
        <f>"LM 5 LearnMate Content (School License on LMS ) - QC"</f>
        <v>LM 5 LearnMate Content (School License on LMS ) - QC</v>
      </c>
      <c r="F2383">
        <v>700</v>
      </c>
      <c r="G2383" t="str">
        <f t="shared" si="594"/>
        <v>Y</v>
      </c>
      <c r="H2383" t="str">
        <f t="shared" si="587"/>
        <v>EA</v>
      </c>
      <c r="I2383">
        <v>0</v>
      </c>
      <c r="J2383">
        <v>0</v>
      </c>
      <c r="K2383" t="str">
        <f t="shared" si="595"/>
        <v>Y</v>
      </c>
      <c r="L2383">
        <v>0</v>
      </c>
      <c r="M2383" t="str">
        <f t="shared" si="590"/>
        <v>NIS</v>
      </c>
      <c r="O2383">
        <v>1</v>
      </c>
      <c r="P2383" t="str">
        <f t="shared" si="593"/>
        <v>Active</v>
      </c>
      <c r="Q2383" t="str">
        <f>"LM5.X Content, Virtual, Vision &amp; Image Process."</f>
        <v>LM5.X Content, Virtual, Vision &amp; Image Process.</v>
      </c>
      <c r="S2383" t="str">
        <f>"LM5.X Content, Virtual, Vision &amp; Image Process."</f>
        <v>LM5.X Content, Virtual, Vision &amp; Image Process.</v>
      </c>
      <c r="T2383">
        <v>0</v>
      </c>
      <c r="U2383">
        <v>5</v>
      </c>
      <c r="V2383">
        <v>5</v>
      </c>
      <c r="W2383" t="str">
        <f t="shared" si="588"/>
        <v>rob</v>
      </c>
    </row>
    <row r="2384" spans="1:23">
      <c r="A2384" t="str">
        <f>"LM 5 QC"</f>
        <v>LM 5 QC</v>
      </c>
      <c r="B2384" t="str">
        <f>"17-8084-0000"</f>
        <v>17-8084-0000</v>
      </c>
      <c r="C2384" t="str">
        <f>"LM 5 Content, Lab, Machine Vision &amp; QC 1"</f>
        <v>LM 5 Content, Lab, Machine Vision &amp; QC 1</v>
      </c>
      <c r="D2384">
        <v>1</v>
      </c>
      <c r="E2384" t="str">
        <f>"LM 5 LearnMate Content (School License on LMS ) - QC"</f>
        <v>LM 5 LearnMate Content (School License on LMS ) - QC</v>
      </c>
      <c r="F2384">
        <v>700</v>
      </c>
      <c r="G2384" t="str">
        <f t="shared" si="594"/>
        <v>Y</v>
      </c>
      <c r="H2384" t="str">
        <f t="shared" si="587"/>
        <v>EA</v>
      </c>
      <c r="I2384">
        <v>0</v>
      </c>
      <c r="J2384">
        <v>0</v>
      </c>
      <c r="K2384" t="str">
        <f t="shared" si="595"/>
        <v>Y</v>
      </c>
      <c r="L2384">
        <v>0</v>
      </c>
      <c r="M2384" t="str">
        <f t="shared" si="590"/>
        <v>NIS</v>
      </c>
      <c r="O2384">
        <v>2</v>
      </c>
      <c r="P2384" t="str">
        <f t="shared" si="593"/>
        <v>Active</v>
      </c>
      <c r="Q2384" t="str">
        <f>"LM5.X Content, Lab, Machine Vision &amp; QC 1"</f>
        <v>LM5.X Content, Lab, Machine Vision &amp; QC 1</v>
      </c>
      <c r="S2384" t="str">
        <f>"LM5.X Content, Lab, Machine Vision &amp; QC 1"</f>
        <v>LM5.X Content, Lab, Machine Vision &amp; QC 1</v>
      </c>
      <c r="T2384">
        <v>0</v>
      </c>
      <c r="U2384">
        <v>5</v>
      </c>
      <c r="V2384">
        <v>5</v>
      </c>
      <c r="W2384" t="str">
        <f t="shared" si="588"/>
        <v>rob</v>
      </c>
    </row>
    <row r="2385" spans="1:23">
      <c r="A2385" t="str">
        <f>"LM 5 QC"</f>
        <v>LM 5 QC</v>
      </c>
      <c r="B2385" t="str">
        <f>"17-8014-0002"</f>
        <v>17-8014-0002</v>
      </c>
      <c r="C2385" t="str">
        <f>"LM5.X Content, Lab/Vir, MMQC (Metric)"</f>
        <v>LM5.X Content, Lab/Vir, MMQC (Metric)</v>
      </c>
      <c r="D2385">
        <v>1</v>
      </c>
      <c r="E2385" t="str">
        <f>"LM 5 LearnMate Content (School License on LMS ) - QC"</f>
        <v>LM 5 LearnMate Content (School License on LMS ) - QC</v>
      </c>
      <c r="F2385">
        <v>700</v>
      </c>
      <c r="G2385" t="str">
        <f t="shared" si="594"/>
        <v>Y</v>
      </c>
      <c r="H2385" t="str">
        <f t="shared" ref="H2385:H2448" si="596">"EA"</f>
        <v>EA</v>
      </c>
      <c r="I2385">
        <v>0</v>
      </c>
      <c r="J2385">
        <v>0</v>
      </c>
      <c r="K2385" t="str">
        <f t="shared" si="595"/>
        <v>Y</v>
      </c>
      <c r="L2385">
        <v>0</v>
      </c>
      <c r="M2385" t="str">
        <f t="shared" si="590"/>
        <v>NIS</v>
      </c>
      <c r="O2385">
        <v>3</v>
      </c>
      <c r="P2385" t="str">
        <f t="shared" si="593"/>
        <v>Active</v>
      </c>
      <c r="Q2385" t="str">
        <f>"LM5.X Content, Lab/Vir, MMQC"</f>
        <v>LM5.X Content, Lab/Vir, MMQC</v>
      </c>
      <c r="S2385" t="str">
        <f>"LM5.X Content, Lab/Vir, MMQC (Metric)"</f>
        <v>LM5.X Content, Lab/Vir, MMQC (Metric)</v>
      </c>
      <c r="T2385">
        <v>0</v>
      </c>
      <c r="U2385">
        <v>5</v>
      </c>
      <c r="V2385">
        <v>5</v>
      </c>
      <c r="W2385" t="str">
        <f t="shared" si="588"/>
        <v>rob</v>
      </c>
    </row>
    <row r="2386" spans="1:23">
      <c r="A2386" t="str">
        <f>"LM 5 ROBOTICS"</f>
        <v>LM 5 ROBOTICS</v>
      </c>
      <c r="B2386" t="str">
        <f>"17-3046-0000"</f>
        <v>17-3046-0000</v>
      </c>
      <c r="C2386" t="str">
        <f>"LM5 Content, Virtual, Fundamentals w/ER4U"</f>
        <v>LM5 Content, Virtual, Fundamentals w/ER4U</v>
      </c>
      <c r="D2386">
        <v>1</v>
      </c>
      <c r="E2386" t="str">
        <f>"LM 5 LearnMate Content (School License on LMS ) - Robotics"</f>
        <v>LM 5 LearnMate Content (School License on LMS ) - Robotics</v>
      </c>
      <c r="F2386">
        <v>700</v>
      </c>
      <c r="G2386" t="str">
        <f t="shared" si="594"/>
        <v>Y</v>
      </c>
      <c r="H2386" t="str">
        <f t="shared" si="596"/>
        <v>EA</v>
      </c>
      <c r="I2386">
        <v>0</v>
      </c>
      <c r="J2386">
        <v>0</v>
      </c>
      <c r="K2386" t="str">
        <f t="shared" si="595"/>
        <v>Y</v>
      </c>
      <c r="L2386">
        <v>0</v>
      </c>
      <c r="M2386" t="str">
        <f t="shared" si="590"/>
        <v>NIS</v>
      </c>
      <c r="O2386">
        <v>1</v>
      </c>
      <c r="P2386" t="str">
        <f t="shared" si="593"/>
        <v>Active</v>
      </c>
      <c r="Q2386" t="str">
        <f>"LM5.X Content, Virtual, Fundamentals w/ER4U"</f>
        <v>LM5.X Content, Virtual, Fundamentals w/ER4U</v>
      </c>
      <c r="S2386" t="str">
        <f>"LM5.X Content, Virtual, Fundamentals w/ER4U"</f>
        <v>LM5.X Content, Virtual, Fundamentals w/ER4U</v>
      </c>
      <c r="T2386">
        <v>0</v>
      </c>
      <c r="U2386">
        <v>5</v>
      </c>
      <c r="V2386">
        <v>5</v>
      </c>
      <c r="W2386" t="str">
        <f t="shared" si="588"/>
        <v>rob</v>
      </c>
    </row>
    <row r="2387" spans="1:23">
      <c r="A2387" t="str">
        <f>"LM 5 ROBOTICS"</f>
        <v>LM 5 ROBOTICS</v>
      </c>
      <c r="B2387" t="str">
        <f>"17-3048-0000"</f>
        <v>17-3048-0000</v>
      </c>
      <c r="C2387" t="str">
        <f>"LM5 Content, Virtual, Advanced w/ER4U"</f>
        <v>LM5 Content, Virtual, Advanced w/ER4U</v>
      </c>
      <c r="D2387">
        <v>1</v>
      </c>
      <c r="E2387" t="str">
        <f>"LM 5 LearnMate Content (School License on LMS ) - Robotics"</f>
        <v>LM 5 LearnMate Content (School License on LMS ) - Robotics</v>
      </c>
      <c r="F2387">
        <v>700</v>
      </c>
      <c r="G2387" t="str">
        <f t="shared" si="594"/>
        <v>Y</v>
      </c>
      <c r="H2387" t="str">
        <f t="shared" si="596"/>
        <v>EA</v>
      </c>
      <c r="I2387">
        <v>0</v>
      </c>
      <c r="J2387">
        <v>0</v>
      </c>
      <c r="K2387" t="str">
        <f t="shared" si="595"/>
        <v>Y</v>
      </c>
      <c r="L2387">
        <v>0</v>
      </c>
      <c r="M2387" t="str">
        <f t="shared" si="590"/>
        <v>NIS</v>
      </c>
      <c r="O2387">
        <v>2</v>
      </c>
      <c r="P2387" t="str">
        <f t="shared" si="593"/>
        <v>Active</v>
      </c>
      <c r="Q2387" t="str">
        <f>"LM5.X Content, Virtual, Advanced w/ER4U"</f>
        <v>LM5.X Content, Virtual, Advanced w/ER4U</v>
      </c>
      <c r="S2387" t="str">
        <f>"LM5.X Content, Virtual, Advanced w/ER4U"</f>
        <v>LM5.X Content, Virtual, Advanced w/ER4U</v>
      </c>
      <c r="T2387">
        <v>0</v>
      </c>
      <c r="U2387">
        <v>5</v>
      </c>
      <c r="V2387">
        <v>5</v>
      </c>
      <c r="W2387" t="str">
        <f t="shared" ref="W2387:W2406" si="597">"rob"</f>
        <v>rob</v>
      </c>
    </row>
    <row r="2388" spans="1:23">
      <c r="A2388" t="str">
        <f>"LM 5 ROBOTICS"</f>
        <v>LM 5 ROBOTICS</v>
      </c>
      <c r="B2388" t="str">
        <f>"17-3047-0000"</f>
        <v>17-3047-0000</v>
      </c>
      <c r="C2388" t="str">
        <f>"LM5 Content, Virtual, Fundamentals w/ER9"</f>
        <v>LM5 Content, Virtual, Fundamentals w/ER9</v>
      </c>
      <c r="D2388">
        <v>1</v>
      </c>
      <c r="E2388" t="str">
        <f>"LM 5 LearnMate Content (School License on LMS ) - Robotics"</f>
        <v>LM 5 LearnMate Content (School License on LMS ) - Robotics</v>
      </c>
      <c r="F2388">
        <v>700</v>
      </c>
      <c r="G2388" t="str">
        <f t="shared" si="594"/>
        <v>Y</v>
      </c>
      <c r="H2388" t="str">
        <f t="shared" si="596"/>
        <v>EA</v>
      </c>
      <c r="I2388">
        <v>0</v>
      </c>
      <c r="J2388">
        <v>0</v>
      </c>
      <c r="K2388" t="str">
        <f t="shared" si="595"/>
        <v>Y</v>
      </c>
      <c r="L2388">
        <v>0</v>
      </c>
      <c r="M2388" t="str">
        <f t="shared" si="590"/>
        <v>NIS</v>
      </c>
      <c r="O2388">
        <v>3</v>
      </c>
      <c r="P2388" t="str">
        <f t="shared" si="593"/>
        <v>Active</v>
      </c>
      <c r="Q2388" t="str">
        <f>"LM5.X Content, Virtual, Fundamentals w/ER9"</f>
        <v>LM5.X Content, Virtual, Fundamentals w/ER9</v>
      </c>
      <c r="S2388" t="str">
        <f>"LM5.X Content, Virtual, Fundamentals w/ER9"</f>
        <v>LM5.X Content, Virtual, Fundamentals w/ER9</v>
      </c>
      <c r="T2388">
        <v>0</v>
      </c>
      <c r="U2388">
        <v>5</v>
      </c>
      <c r="V2388">
        <v>5</v>
      </c>
      <c r="W2388" t="str">
        <f t="shared" si="597"/>
        <v>rob</v>
      </c>
    </row>
    <row r="2389" spans="1:23">
      <c r="A2389" t="str">
        <f>"LM 5 ROBOTICS"</f>
        <v>LM 5 ROBOTICS</v>
      </c>
      <c r="B2389" t="str">
        <f>"17-3049-0000"</f>
        <v>17-3049-0000</v>
      </c>
      <c r="C2389" t="str">
        <f>"LM5 Content, Virtual, Advanced w/ER9"</f>
        <v>LM5 Content, Virtual, Advanced w/ER9</v>
      </c>
      <c r="D2389">
        <v>1</v>
      </c>
      <c r="E2389" t="str">
        <f>"LM 5 LearnMate Content (School License on LMS ) - Robotics"</f>
        <v>LM 5 LearnMate Content (School License on LMS ) - Robotics</v>
      </c>
      <c r="F2389">
        <v>700</v>
      </c>
      <c r="G2389" t="str">
        <f t="shared" si="594"/>
        <v>Y</v>
      </c>
      <c r="H2389" t="str">
        <f t="shared" si="596"/>
        <v>EA</v>
      </c>
      <c r="I2389">
        <v>0</v>
      </c>
      <c r="J2389">
        <v>0</v>
      </c>
      <c r="K2389" t="str">
        <f t="shared" si="595"/>
        <v>Y</v>
      </c>
      <c r="L2389">
        <v>0</v>
      </c>
      <c r="M2389" t="str">
        <f t="shared" si="590"/>
        <v>NIS</v>
      </c>
      <c r="O2389">
        <v>4</v>
      </c>
      <c r="P2389" t="str">
        <f t="shared" si="593"/>
        <v>Active</v>
      </c>
      <c r="Q2389" t="str">
        <f>"LM5.X Content, Virtual, Advanced w/ER9"</f>
        <v>LM5.X Content, Virtual, Advanced w/ER9</v>
      </c>
      <c r="S2389" t="str">
        <f>"LM5.X Content, Virtual, Advanced w/ER9"</f>
        <v>LM5.X Content, Virtual, Advanced w/ER9</v>
      </c>
      <c r="T2389">
        <v>0</v>
      </c>
      <c r="U2389">
        <v>5</v>
      </c>
      <c r="V2389">
        <v>5</v>
      </c>
      <c r="W2389" t="str">
        <f t="shared" si="597"/>
        <v>rob</v>
      </c>
    </row>
    <row r="2390" spans="1:23">
      <c r="A2390" t="str">
        <f>"LM5 Cont. LAB JM"</f>
        <v>LM5 Cont. LAB JM</v>
      </c>
      <c r="B2390" t="str">
        <f>"17-JM06A-0000"</f>
        <v>17-JM06A-0000</v>
      </c>
      <c r="C2390" t="str">
        <f>"LM5.X Content, Lab,JM06A Electric&amp;Electronic TS"</f>
        <v>LM5.X Content, Lab,JM06A Electric&amp;Electronic TS</v>
      </c>
      <c r="D2390">
        <v>1</v>
      </c>
      <c r="E2390" t="str">
        <f>"LM5 , Lab, JobMaster, JM06A,JM06B,JM04, Electric &amp; Electronics"</f>
        <v>LM5 , Lab, JobMaster, JM06A,JM06B,JM04, Electric &amp; Electronics</v>
      </c>
      <c r="F2390">
        <v>0</v>
      </c>
      <c r="G2390" t="str">
        <f t="shared" si="594"/>
        <v>Y</v>
      </c>
      <c r="H2390" t="str">
        <f t="shared" si="596"/>
        <v>EA</v>
      </c>
      <c r="I2390">
        <v>0</v>
      </c>
      <c r="J2390">
        <v>0</v>
      </c>
      <c r="K2390" t="str">
        <f t="shared" si="595"/>
        <v>Y</v>
      </c>
      <c r="L2390">
        <v>0</v>
      </c>
      <c r="M2390" t="str">
        <f>"USD"</f>
        <v>USD</v>
      </c>
      <c r="O2390">
        <v>1</v>
      </c>
      <c r="P2390" t="str">
        <f t="shared" ref="P2390:P2416" si="598">"Active"</f>
        <v>Active</v>
      </c>
      <c r="Q2390" t="str">
        <f>"LM5.X Content, Lab, JobMaster: Power Electronics"</f>
        <v>LM5.X Content, Lab, JobMaster: Power Electronics</v>
      </c>
      <c r="S2390" t="str">
        <f>"LM5.X Content, Lab,JM06A Electric&amp;Electronic TS"</f>
        <v>LM5.X Content, Lab,JM06A Electric&amp;Electronic TS</v>
      </c>
      <c r="T2390">
        <v>0</v>
      </c>
      <c r="U2390">
        <v>5</v>
      </c>
      <c r="V2390">
        <v>5</v>
      </c>
      <c r="W2390" t="str">
        <f t="shared" si="597"/>
        <v>rob</v>
      </c>
    </row>
    <row r="2391" spans="1:23">
      <c r="A2391" t="str">
        <f>"LM5 Cont. LAB JM"</f>
        <v>LM5 Cont. LAB JM</v>
      </c>
      <c r="B2391" t="str">
        <f>"17-JM06B-0000"</f>
        <v>17-JM06B-0000</v>
      </c>
      <c r="C2391" t="str">
        <f>"LM5.X Content, Lab,JM06B Electric&amp;Electronic TS"</f>
        <v>LM5.X Content, Lab,JM06B Electric&amp;Electronic TS</v>
      </c>
      <c r="D2391">
        <v>1</v>
      </c>
      <c r="E2391" t="str">
        <f>"LM5 , Lab, JobMaster, JM06A,JM06B,JM04, Electric &amp; Electronics"</f>
        <v>LM5 , Lab, JobMaster, JM06A,JM06B,JM04, Electric &amp; Electronics</v>
      </c>
      <c r="F2391">
        <v>0</v>
      </c>
      <c r="G2391" t="str">
        <f t="shared" si="594"/>
        <v>Y</v>
      </c>
      <c r="H2391" t="str">
        <f t="shared" si="596"/>
        <v>EA</v>
      </c>
      <c r="I2391">
        <v>0</v>
      </c>
      <c r="J2391">
        <v>0</v>
      </c>
      <c r="K2391" t="str">
        <f t="shared" si="595"/>
        <v>Y</v>
      </c>
      <c r="L2391">
        <v>0</v>
      </c>
      <c r="M2391" t="str">
        <f>"USD"</f>
        <v>USD</v>
      </c>
      <c r="O2391">
        <v>2</v>
      </c>
      <c r="P2391" t="str">
        <f t="shared" si="598"/>
        <v>Active</v>
      </c>
      <c r="Q2391" t="str">
        <f>"LM5.X Content, Lab, JobMaster: Basic Electronics"</f>
        <v>LM5.X Content, Lab, JobMaster: Basic Electronics</v>
      </c>
      <c r="S2391" t="str">
        <f>"LM5.X Content, Lab,JM06B Electric&amp;Electronic TS"</f>
        <v>LM5.X Content, Lab,JM06B Electric&amp;Electronic TS</v>
      </c>
      <c r="T2391">
        <v>0</v>
      </c>
      <c r="U2391">
        <v>5</v>
      </c>
      <c r="V2391">
        <v>5</v>
      </c>
      <c r="W2391" t="str">
        <f t="shared" si="597"/>
        <v>rob</v>
      </c>
    </row>
    <row r="2392" spans="1:23">
      <c r="A2392" t="str">
        <f>"LM5 Cont. LAB JM"</f>
        <v>LM5 Cont. LAB JM</v>
      </c>
      <c r="B2392" t="str">
        <f>"17-JM04-0000"</f>
        <v>17-JM04-0000</v>
      </c>
      <c r="C2392" t="str">
        <f>"LM5.X Content, Lab,JM04 Motor Control TS"</f>
        <v>LM5.X Content, Lab,JM04 Motor Control TS</v>
      </c>
      <c r="D2392">
        <v>1</v>
      </c>
      <c r="E2392" t="str">
        <f>"LM5 , Lab, JobMaster, JM06A,JM06B,JM04, Electric &amp; Electronics"</f>
        <v>LM5 , Lab, JobMaster, JM06A,JM06B,JM04, Electric &amp; Electronics</v>
      </c>
      <c r="F2392">
        <v>0</v>
      </c>
      <c r="G2392" t="str">
        <f t="shared" si="594"/>
        <v>Y</v>
      </c>
      <c r="H2392" t="str">
        <f t="shared" si="596"/>
        <v>EA</v>
      </c>
      <c r="I2392">
        <v>0</v>
      </c>
      <c r="J2392">
        <v>0</v>
      </c>
      <c r="K2392" t="str">
        <f t="shared" si="595"/>
        <v>Y</v>
      </c>
      <c r="L2392">
        <v>0</v>
      </c>
      <c r="M2392" t="str">
        <f>"USD"</f>
        <v>USD</v>
      </c>
      <c r="O2392">
        <v>3</v>
      </c>
      <c r="P2392" t="str">
        <f t="shared" si="598"/>
        <v>Active</v>
      </c>
      <c r="Q2392" t="str">
        <f>"LM5.X Content, Lab, JobMaster: Motor Control"</f>
        <v>LM5.X Content, Lab, JobMaster: Motor Control</v>
      </c>
      <c r="S2392" t="str">
        <f>"LM5.X Content, Lab,JM04 Motor Control TS"</f>
        <v>LM5.X Content, Lab,JM04 Motor Control TS</v>
      </c>
      <c r="T2392">
        <v>0</v>
      </c>
      <c r="U2392">
        <v>5</v>
      </c>
      <c r="V2392">
        <v>5</v>
      </c>
      <c r="W2392" t="str">
        <f t="shared" si="597"/>
        <v>rob</v>
      </c>
    </row>
    <row r="2393" spans="1:23">
      <c r="A2393" t="str">
        <f>"LM5 STANDALONE"</f>
        <v>LM5 STANDALONE</v>
      </c>
      <c r="B2393" t="str">
        <f>"63-9253-0000"</f>
        <v>63-9253-0000</v>
      </c>
      <c r="C2393" t="str">
        <f>"LearnMate 5 STANDALONE Content Viewer"</f>
        <v>LearnMate 5 STANDALONE Content Viewer</v>
      </c>
      <c r="D2393">
        <v>1</v>
      </c>
      <c r="E2393" t="str">
        <f>"LM5 standalone content viewer"</f>
        <v>LM5 standalone content viewer</v>
      </c>
      <c r="F2393">
        <v>700</v>
      </c>
      <c r="G2393" t="str">
        <f t="shared" si="594"/>
        <v>Y</v>
      </c>
      <c r="H2393" t="str">
        <f t="shared" si="596"/>
        <v>EA</v>
      </c>
      <c r="I2393">
        <v>0</v>
      </c>
      <c r="J2393">
        <v>0</v>
      </c>
      <c r="K2393" t="str">
        <f t="shared" si="595"/>
        <v>Y</v>
      </c>
      <c r="L2393">
        <v>0</v>
      </c>
      <c r="M2393" t="str">
        <f t="shared" ref="M2393:M2456" si="599">"NIS"</f>
        <v>NIS</v>
      </c>
      <c r="O2393">
        <v>1</v>
      </c>
      <c r="P2393" t="str">
        <f t="shared" si="598"/>
        <v>Active</v>
      </c>
      <c r="Q2393" t="str">
        <f>"LearnMate 5 STANDALONE Content Viewer"</f>
        <v>LearnMate 5 STANDALONE Content Viewer</v>
      </c>
      <c r="S2393" t="str">
        <f>"LearnMate 5 STANDALONE Content Viewer"</f>
        <v>LearnMate 5 STANDALONE Content Viewer</v>
      </c>
      <c r="T2393">
        <v>0</v>
      </c>
      <c r="U2393">
        <v>26</v>
      </c>
      <c r="V2393">
        <v>0.76</v>
      </c>
      <c r="W2393" t="str">
        <f t="shared" si="597"/>
        <v>rob</v>
      </c>
    </row>
    <row r="2394" spans="1:23">
      <c r="A2394" t="str">
        <f>"LM5 STANDALONE"</f>
        <v>LM5 STANDALONE</v>
      </c>
      <c r="B2394" t="str">
        <f>"63-7001-0100"</f>
        <v>63-7001-0100</v>
      </c>
      <c r="C2394" t="str">
        <f>"License Key for Standalone Content"</f>
        <v>License Key for Standalone Content</v>
      </c>
      <c r="D2394">
        <v>1</v>
      </c>
      <c r="E2394" t="str">
        <f>"LM5 standalone content viewer"</f>
        <v>LM5 standalone content viewer</v>
      </c>
      <c r="F2394">
        <v>700</v>
      </c>
      <c r="G2394" t="str">
        <f t="shared" si="594"/>
        <v>Y</v>
      </c>
      <c r="H2394" t="str">
        <f t="shared" si="596"/>
        <v>EA</v>
      </c>
      <c r="I2394">
        <v>0</v>
      </c>
      <c r="J2394">
        <v>0</v>
      </c>
      <c r="K2394" t="str">
        <f t="shared" si="595"/>
        <v>Y</v>
      </c>
      <c r="L2394">
        <v>0</v>
      </c>
      <c r="M2394" t="str">
        <f t="shared" si="599"/>
        <v>NIS</v>
      </c>
      <c r="O2394">
        <v>2</v>
      </c>
      <c r="P2394" t="str">
        <f t="shared" si="598"/>
        <v>Active</v>
      </c>
      <c r="Q2394" t="str">
        <f>"License Key For LM Content Standalone"</f>
        <v>License Key For LM Content Standalone</v>
      </c>
      <c r="R2394" t="str">
        <f>"1"</f>
        <v>1</v>
      </c>
      <c r="S2394" t="str">
        <f>"License Key For LM Content Standalone"</f>
        <v>License Key For LM Content Standalone</v>
      </c>
      <c r="T2394">
        <v>0</v>
      </c>
      <c r="U2394">
        <v>18</v>
      </c>
      <c r="V2394">
        <v>18.72</v>
      </c>
      <c r="W2394" t="str">
        <f t="shared" si="597"/>
        <v>rob</v>
      </c>
    </row>
    <row r="2395" spans="1:23">
      <c r="A2395" t="str">
        <f>"LM5 STANDALONE"</f>
        <v>LM5 STANDALONE</v>
      </c>
      <c r="B2395" t="str">
        <f>"63-7008-0200"</f>
        <v>63-7008-0200</v>
      </c>
      <c r="C2395" t="str">
        <f>"LearnMate5 STANDALONE Course Installation Wizard"</f>
        <v>LearnMate5 STANDALONE Course Installation Wizard</v>
      </c>
      <c r="D2395">
        <v>1</v>
      </c>
      <c r="E2395" t="str">
        <f>"LM5 standalone content viewer"</f>
        <v>LM5 standalone content viewer</v>
      </c>
      <c r="F2395">
        <v>700</v>
      </c>
      <c r="G2395" t="str">
        <f t="shared" si="594"/>
        <v>Y</v>
      </c>
      <c r="H2395" t="str">
        <f t="shared" si="596"/>
        <v>EA</v>
      </c>
      <c r="I2395">
        <v>0</v>
      </c>
      <c r="J2395">
        <v>0</v>
      </c>
      <c r="K2395" t="str">
        <f t="shared" si="595"/>
        <v>Y</v>
      </c>
      <c r="L2395">
        <v>0</v>
      </c>
      <c r="M2395" t="str">
        <f t="shared" si="599"/>
        <v>NIS</v>
      </c>
      <c r="O2395">
        <v>3</v>
      </c>
      <c r="P2395" t="str">
        <f t="shared" si="598"/>
        <v>Active</v>
      </c>
      <c r="Q2395" t="str">
        <f>"LearnMate5 STANDALONE Course Installation Wizard"</f>
        <v>LearnMate5 STANDALONE Course Installation Wizard</v>
      </c>
      <c r="S2395" t="str">
        <f>"LearnMate5 STANDALONE Course Installation Wizard"</f>
        <v>LearnMate5 STANDALONE Course Installation Wizard</v>
      </c>
      <c r="T2395">
        <v>0</v>
      </c>
      <c r="U2395">
        <v>44.5</v>
      </c>
      <c r="V2395">
        <v>0.76</v>
      </c>
      <c r="W2395" t="str">
        <f t="shared" si="597"/>
        <v>rob</v>
      </c>
    </row>
    <row r="2396" spans="1:23">
      <c r="A2396" t="str">
        <f t="shared" ref="A2396:A2406" si="600">"LM-5-SP"</f>
        <v>LM-5-SP</v>
      </c>
      <c r="B2396" t="str">
        <f>"17-3091-0002"</f>
        <v>17-3091-0002</v>
      </c>
      <c r="C2396" t="str">
        <f>"LM5.X Content, Virtual, CNC Milling w/SPLM (M)"</f>
        <v>LM5.X Content, Virtual, CNC Milling w/SPLM (M)</v>
      </c>
      <c r="D2396">
        <v>1</v>
      </c>
      <c r="E2396" t="str">
        <f t="shared" ref="E2396:E2406" si="601">"LM 5 Learnmate Content Modules in Spanish Language"</f>
        <v>LM 5 Learnmate Content Modules in Spanish Language</v>
      </c>
      <c r="F2396">
        <v>701</v>
      </c>
      <c r="G2396" t="str">
        <f t="shared" si="594"/>
        <v>Y</v>
      </c>
      <c r="H2396" t="str">
        <f t="shared" si="596"/>
        <v>EA</v>
      </c>
      <c r="I2396">
        <v>0</v>
      </c>
      <c r="J2396">
        <v>0</v>
      </c>
      <c r="K2396" t="str">
        <f t="shared" si="595"/>
        <v>Y</v>
      </c>
      <c r="L2396">
        <v>0</v>
      </c>
      <c r="M2396" t="str">
        <f t="shared" si="599"/>
        <v>NIS</v>
      </c>
      <c r="O2396">
        <v>1</v>
      </c>
      <c r="P2396" t="str">
        <f t="shared" si="598"/>
        <v>Active</v>
      </c>
      <c r="Q2396" t="str">
        <f>"LM5.X Content, Virtual, CNC Milling w/SPLM (M)"</f>
        <v>LM5.X Content, Virtual, CNC Milling w/SPLM (M)</v>
      </c>
      <c r="S2396" t="str">
        <f>"LM5.X Content, Virtual, CNC Milling w/SPLM (M)"</f>
        <v>LM5.X Content, Virtual, CNC Milling w/SPLM (M)</v>
      </c>
      <c r="T2396">
        <v>0</v>
      </c>
      <c r="U2396">
        <v>5</v>
      </c>
      <c r="V2396">
        <v>5</v>
      </c>
      <c r="W2396" t="str">
        <f t="shared" si="597"/>
        <v>rob</v>
      </c>
    </row>
    <row r="2397" spans="1:23">
      <c r="A2397" t="str">
        <f t="shared" si="600"/>
        <v>LM-5-SP</v>
      </c>
      <c r="B2397" t="str">
        <f>"17-8016-0002"</f>
        <v>17-8016-0002</v>
      </c>
      <c r="C2397" t="str">
        <f>"LM5.X Content, Lab, CNC Turning w/SLT (Metric)"</f>
        <v>LM5.X Content, Lab, CNC Turning w/SLT (Metric)</v>
      </c>
      <c r="D2397">
        <v>1</v>
      </c>
      <c r="E2397" t="str">
        <f t="shared" si="601"/>
        <v>LM 5 Learnmate Content Modules in Spanish Language</v>
      </c>
      <c r="F2397">
        <v>701</v>
      </c>
      <c r="G2397" t="str">
        <f t="shared" si="594"/>
        <v>Y</v>
      </c>
      <c r="H2397" t="str">
        <f t="shared" si="596"/>
        <v>EA</v>
      </c>
      <c r="I2397">
        <v>0</v>
      </c>
      <c r="J2397">
        <v>0</v>
      </c>
      <c r="K2397" t="str">
        <f t="shared" si="595"/>
        <v>Y</v>
      </c>
      <c r="L2397">
        <v>0</v>
      </c>
      <c r="M2397" t="str">
        <f t="shared" si="599"/>
        <v>NIS</v>
      </c>
      <c r="O2397">
        <v>11</v>
      </c>
      <c r="P2397" t="str">
        <f t="shared" si="598"/>
        <v>Active</v>
      </c>
      <c r="Q2397" t="str">
        <f>"LM5.X Content, Lab, CNC Turning w/SLT (Metric)"</f>
        <v>LM5.X Content, Lab, CNC Turning w/SLT (Metric)</v>
      </c>
      <c r="S2397" t="str">
        <f>"LM5.X Content, Lab, CNC Turning w/SLT (Metric)"</f>
        <v>LM5.X Content, Lab, CNC Turning w/SLT (Metric)</v>
      </c>
      <c r="T2397">
        <v>0</v>
      </c>
      <c r="U2397">
        <v>5</v>
      </c>
      <c r="V2397">
        <v>5</v>
      </c>
      <c r="W2397" t="str">
        <f t="shared" si="597"/>
        <v>rob</v>
      </c>
    </row>
    <row r="2398" spans="1:23">
      <c r="A2398" t="str">
        <f t="shared" si="600"/>
        <v>LM-5-SP</v>
      </c>
      <c r="B2398" t="str">
        <f>"17-3027-0000"</f>
        <v>17-3027-0000</v>
      </c>
      <c r="C2398" t="str">
        <f>"LM5 Content, Virtual, Vision &amp; Image Process."</f>
        <v>LM5 Content, Virtual, Vision &amp; Image Process.</v>
      </c>
      <c r="D2398">
        <v>1</v>
      </c>
      <c r="E2398" t="str">
        <f t="shared" si="601"/>
        <v>LM 5 Learnmate Content Modules in Spanish Language</v>
      </c>
      <c r="F2398">
        <v>701</v>
      </c>
      <c r="G2398" t="str">
        <f t="shared" si="594"/>
        <v>Y</v>
      </c>
      <c r="H2398" t="str">
        <f t="shared" si="596"/>
        <v>EA</v>
      </c>
      <c r="I2398">
        <v>0</v>
      </c>
      <c r="J2398">
        <v>0</v>
      </c>
      <c r="K2398" t="str">
        <f t="shared" si="595"/>
        <v>Y</v>
      </c>
      <c r="L2398">
        <v>0</v>
      </c>
      <c r="M2398" t="str">
        <f t="shared" si="599"/>
        <v>NIS</v>
      </c>
      <c r="O2398">
        <v>2</v>
      </c>
      <c r="P2398" t="str">
        <f t="shared" si="598"/>
        <v>Active</v>
      </c>
      <c r="Q2398" t="str">
        <f>"LM5.X Content, Virtual, Vision &amp; Image Process."</f>
        <v>LM5.X Content, Virtual, Vision &amp; Image Process.</v>
      </c>
      <c r="S2398" t="str">
        <f>"LM5.X Content, Virtual, Vision &amp; Image Process."</f>
        <v>LM5.X Content, Virtual, Vision &amp; Image Process.</v>
      </c>
      <c r="T2398">
        <v>0</v>
      </c>
      <c r="U2398">
        <v>5</v>
      </c>
      <c r="V2398">
        <v>5</v>
      </c>
      <c r="W2398" t="str">
        <f t="shared" si="597"/>
        <v>rob</v>
      </c>
    </row>
    <row r="2399" spans="1:23">
      <c r="A2399" t="str">
        <f t="shared" si="600"/>
        <v>LM-5-SP</v>
      </c>
      <c r="B2399" t="str">
        <f>"17-3019-0000"</f>
        <v>17-3019-0000</v>
      </c>
      <c r="C2399" t="str">
        <f>"LM5 Content, Virtual, Fund of Electronics"</f>
        <v>LM5 Content, Virtual, Fund of Electronics</v>
      </c>
      <c r="D2399">
        <v>1</v>
      </c>
      <c r="E2399" t="str">
        <f t="shared" si="601"/>
        <v>LM 5 Learnmate Content Modules in Spanish Language</v>
      </c>
      <c r="F2399">
        <v>701</v>
      </c>
      <c r="G2399" t="str">
        <f t="shared" si="594"/>
        <v>Y</v>
      </c>
      <c r="H2399" t="str">
        <f t="shared" si="596"/>
        <v>EA</v>
      </c>
      <c r="I2399">
        <v>0</v>
      </c>
      <c r="J2399">
        <v>0</v>
      </c>
      <c r="K2399" t="str">
        <f t="shared" si="595"/>
        <v>Y</v>
      </c>
      <c r="L2399">
        <v>0</v>
      </c>
      <c r="M2399" t="str">
        <f t="shared" si="599"/>
        <v>NIS</v>
      </c>
      <c r="O2399">
        <v>3</v>
      </c>
      <c r="P2399" t="str">
        <f t="shared" si="598"/>
        <v>Active</v>
      </c>
      <c r="Q2399" t="str">
        <f>"LM5.X Content, Virtual, Fund of Electronics"</f>
        <v>LM5.X Content, Virtual, Fund of Electronics</v>
      </c>
      <c r="S2399" t="str">
        <f>"LM5.X Content, Virtual, Fund of Electronics"</f>
        <v>LM5.X Content, Virtual, Fund of Electronics</v>
      </c>
      <c r="T2399">
        <v>0</v>
      </c>
      <c r="U2399">
        <v>5</v>
      </c>
      <c r="V2399">
        <v>5</v>
      </c>
      <c r="W2399" t="str">
        <f t="shared" si="597"/>
        <v>rob</v>
      </c>
    </row>
    <row r="2400" spans="1:23">
      <c r="A2400" t="str">
        <f t="shared" si="600"/>
        <v>LM-5-SP</v>
      </c>
      <c r="B2400" t="str">
        <f>"17-3032-0000"</f>
        <v>17-3032-0000</v>
      </c>
      <c r="C2400" t="str">
        <f>"LM5 Content, Lab/Vir, PLC 1"</f>
        <v>LM5 Content, Lab/Vir, PLC 1</v>
      </c>
      <c r="D2400">
        <v>1</v>
      </c>
      <c r="E2400" t="str">
        <f t="shared" si="601"/>
        <v>LM 5 Learnmate Content Modules in Spanish Language</v>
      </c>
      <c r="F2400">
        <v>701</v>
      </c>
      <c r="G2400" t="str">
        <f t="shared" si="594"/>
        <v>Y</v>
      </c>
      <c r="H2400" t="str">
        <f t="shared" si="596"/>
        <v>EA</v>
      </c>
      <c r="I2400">
        <v>0</v>
      </c>
      <c r="J2400">
        <v>0</v>
      </c>
      <c r="K2400" t="str">
        <f t="shared" si="595"/>
        <v>Y</v>
      </c>
      <c r="L2400">
        <v>0</v>
      </c>
      <c r="M2400" t="str">
        <f t="shared" si="599"/>
        <v>NIS</v>
      </c>
      <c r="O2400">
        <v>4</v>
      </c>
      <c r="P2400" t="str">
        <f t="shared" si="598"/>
        <v>Active</v>
      </c>
      <c r="Q2400" t="str">
        <f>"LM5.X Content, Lab/Vir, PLC 1"</f>
        <v>LM5.X Content, Lab/Vir, PLC 1</v>
      </c>
      <c r="S2400" t="str">
        <f>"LM5.X Content, Lab/Vir, PLC 1"</f>
        <v>LM5.X Content, Lab/Vir, PLC 1</v>
      </c>
      <c r="T2400">
        <v>0</v>
      </c>
      <c r="U2400">
        <v>5</v>
      </c>
      <c r="V2400">
        <v>5</v>
      </c>
      <c r="W2400" t="str">
        <f t="shared" si="597"/>
        <v>rob</v>
      </c>
    </row>
    <row r="2401" spans="1:23">
      <c r="A2401" t="str">
        <f t="shared" si="600"/>
        <v>LM-5-SP</v>
      </c>
      <c r="B2401" t="str">
        <f>"17-3033-0000"</f>
        <v>17-3033-0000</v>
      </c>
      <c r="C2401" t="str">
        <f>"LM5 Content, Lab/Vir, PLC 2"</f>
        <v>LM5 Content, Lab/Vir, PLC 2</v>
      </c>
      <c r="D2401">
        <v>1</v>
      </c>
      <c r="E2401" t="str">
        <f t="shared" si="601"/>
        <v>LM 5 Learnmate Content Modules in Spanish Language</v>
      </c>
      <c r="F2401">
        <v>701</v>
      </c>
      <c r="G2401" t="str">
        <f t="shared" si="594"/>
        <v>Y</v>
      </c>
      <c r="H2401" t="str">
        <f t="shared" si="596"/>
        <v>EA</v>
      </c>
      <c r="I2401">
        <v>0</v>
      </c>
      <c r="J2401">
        <v>0</v>
      </c>
      <c r="K2401" t="str">
        <f t="shared" si="595"/>
        <v>Y</v>
      </c>
      <c r="L2401">
        <v>0</v>
      </c>
      <c r="M2401" t="str">
        <f t="shared" si="599"/>
        <v>NIS</v>
      </c>
      <c r="O2401">
        <v>5</v>
      </c>
      <c r="P2401" t="str">
        <f t="shared" si="598"/>
        <v>Active</v>
      </c>
      <c r="Q2401" t="str">
        <f>"LM5.X Content, Lab/Vir, PLC 2"</f>
        <v>LM5.X Content, Lab/Vir, PLC 2</v>
      </c>
      <c r="S2401" t="str">
        <f>"LM5.X Content, Lab/Vir, PLC 2"</f>
        <v>LM5.X Content, Lab/Vir, PLC 2</v>
      </c>
      <c r="T2401">
        <v>0</v>
      </c>
      <c r="U2401">
        <v>5</v>
      </c>
      <c r="V2401">
        <v>5</v>
      </c>
      <c r="W2401" t="str">
        <f t="shared" si="597"/>
        <v>rob</v>
      </c>
    </row>
    <row r="2402" spans="1:23">
      <c r="A2402" t="str">
        <f t="shared" si="600"/>
        <v>LM-5-SP</v>
      </c>
      <c r="B2402" t="str">
        <f>"17-3004-0002"</f>
        <v>17-3004-0002</v>
      </c>
      <c r="C2402" t="str">
        <f>"LM5.X Content, Virtual, spectraCAD Engraving (M)"</f>
        <v>LM5.X Content, Virtual, spectraCAD Engraving (M)</v>
      </c>
      <c r="D2402">
        <v>1</v>
      </c>
      <c r="E2402" t="str">
        <f t="shared" si="601"/>
        <v>LM 5 Learnmate Content Modules in Spanish Language</v>
      </c>
      <c r="F2402">
        <v>701</v>
      </c>
      <c r="G2402" t="str">
        <f t="shared" si="594"/>
        <v>Y</v>
      </c>
      <c r="H2402" t="str">
        <f t="shared" si="596"/>
        <v>EA</v>
      </c>
      <c r="I2402">
        <v>0</v>
      </c>
      <c r="J2402">
        <v>0</v>
      </c>
      <c r="K2402" t="str">
        <f t="shared" si="595"/>
        <v>Y</v>
      </c>
      <c r="L2402">
        <v>0</v>
      </c>
      <c r="M2402" t="str">
        <f t="shared" si="599"/>
        <v>NIS</v>
      </c>
      <c r="O2402">
        <v>6</v>
      </c>
      <c r="P2402" t="str">
        <f t="shared" si="598"/>
        <v>Active</v>
      </c>
      <c r="Q2402" t="str">
        <f>"LM5.X Content, Virtual, spectraCAD Engraving (M)"</f>
        <v>LM5.X Content, Virtual, spectraCAD Engraving (M)</v>
      </c>
      <c r="S2402" t="str">
        <f>"LM5.X Content, Virtual, spectraCAD Engraving (M)"</f>
        <v>LM5.X Content, Virtual, spectraCAD Engraving (M)</v>
      </c>
      <c r="T2402">
        <v>0</v>
      </c>
      <c r="U2402">
        <v>5</v>
      </c>
      <c r="V2402">
        <v>5</v>
      </c>
      <c r="W2402" t="str">
        <f t="shared" si="597"/>
        <v>rob</v>
      </c>
    </row>
    <row r="2403" spans="1:23">
      <c r="A2403" t="str">
        <f t="shared" si="600"/>
        <v>LM-5-SP</v>
      </c>
      <c r="B2403" t="str">
        <f>"17-3005-0002"</f>
        <v>17-3005-0002</v>
      </c>
      <c r="C2403" t="str">
        <f>"LM5.X Content, Virtual, spectraCAM Milling (M)"</f>
        <v>LM5.X Content, Virtual, spectraCAM Milling (M)</v>
      </c>
      <c r="D2403">
        <v>1</v>
      </c>
      <c r="E2403" t="str">
        <f t="shared" si="601"/>
        <v>LM 5 Learnmate Content Modules in Spanish Language</v>
      </c>
      <c r="F2403">
        <v>701</v>
      </c>
      <c r="G2403" t="str">
        <f t="shared" si="594"/>
        <v>Y</v>
      </c>
      <c r="H2403" t="str">
        <f t="shared" si="596"/>
        <v>EA</v>
      </c>
      <c r="I2403">
        <v>0</v>
      </c>
      <c r="J2403">
        <v>0</v>
      </c>
      <c r="K2403" t="str">
        <f t="shared" si="595"/>
        <v>Y</v>
      </c>
      <c r="L2403">
        <v>0</v>
      </c>
      <c r="M2403" t="str">
        <f t="shared" si="599"/>
        <v>NIS</v>
      </c>
      <c r="O2403">
        <v>7</v>
      </c>
      <c r="P2403" t="str">
        <f t="shared" si="598"/>
        <v>Active</v>
      </c>
      <c r="Q2403" t="str">
        <f>"LM5.X Content, Virtual, spectraCAM Milling (M)"</f>
        <v>LM5.X Content, Virtual, spectraCAM Milling (M)</v>
      </c>
      <c r="S2403" t="str">
        <f>"LM5.X Content, Virtual, spectraCAM Milling (M)"</f>
        <v>LM5.X Content, Virtual, spectraCAM Milling (M)</v>
      </c>
      <c r="T2403">
        <v>0</v>
      </c>
      <c r="U2403">
        <v>5</v>
      </c>
      <c r="V2403">
        <v>5</v>
      </c>
      <c r="W2403" t="str">
        <f t="shared" si="597"/>
        <v>rob</v>
      </c>
    </row>
    <row r="2404" spans="1:23">
      <c r="A2404" t="str">
        <f t="shared" si="600"/>
        <v>LM-5-SP</v>
      </c>
      <c r="B2404" t="str">
        <f>"17-3007-0002"</f>
        <v>17-3007-0002</v>
      </c>
      <c r="C2404" t="str">
        <f>"LM5.X Content, Virtual, spectraCAM Turning (M)"</f>
        <v>LM5.X Content, Virtual, spectraCAM Turning (M)</v>
      </c>
      <c r="D2404">
        <v>1</v>
      </c>
      <c r="E2404" t="str">
        <f t="shared" si="601"/>
        <v>LM 5 Learnmate Content Modules in Spanish Language</v>
      </c>
      <c r="F2404">
        <v>701</v>
      </c>
      <c r="G2404" t="str">
        <f t="shared" si="594"/>
        <v>Y</v>
      </c>
      <c r="H2404" t="str">
        <f t="shared" si="596"/>
        <v>EA</v>
      </c>
      <c r="I2404">
        <v>0</v>
      </c>
      <c r="J2404">
        <v>0</v>
      </c>
      <c r="K2404" t="str">
        <f t="shared" si="595"/>
        <v>Y</v>
      </c>
      <c r="L2404">
        <v>0</v>
      </c>
      <c r="M2404" t="str">
        <f t="shared" si="599"/>
        <v>NIS</v>
      </c>
      <c r="O2404">
        <v>8</v>
      </c>
      <c r="P2404" t="str">
        <f t="shared" si="598"/>
        <v>Active</v>
      </c>
      <c r="Q2404" t="str">
        <f>"LM5.X Content, Virtual, spectraCAM Turning (M)"</f>
        <v>LM5.X Content, Virtual, spectraCAM Turning (M)</v>
      </c>
      <c r="S2404" t="str">
        <f>"LM5.X Content, Virtual, spectraCAM Turning (M)"</f>
        <v>LM5.X Content, Virtual, spectraCAM Turning (M)</v>
      </c>
      <c r="T2404">
        <v>0</v>
      </c>
      <c r="U2404">
        <v>5</v>
      </c>
      <c r="V2404">
        <v>5</v>
      </c>
      <c r="W2404" t="str">
        <f t="shared" si="597"/>
        <v>rob</v>
      </c>
    </row>
    <row r="2405" spans="1:23">
      <c r="A2405" t="str">
        <f t="shared" si="600"/>
        <v>LM-5-SP</v>
      </c>
      <c r="B2405" t="str">
        <f>"17-8008-0000"</f>
        <v>17-8008-0000</v>
      </c>
      <c r="C2405" t="str">
        <f>"LM 5 Content, Lab/Vir, Hydraulics 1 w/HydraFlex"</f>
        <v>LM 5 Content, Lab/Vir, Hydraulics 1 w/HydraFlex</v>
      </c>
      <c r="D2405">
        <v>1</v>
      </c>
      <c r="E2405" t="str">
        <f t="shared" si="601"/>
        <v>LM 5 Learnmate Content Modules in Spanish Language</v>
      </c>
      <c r="F2405">
        <v>701</v>
      </c>
      <c r="G2405" t="str">
        <f t="shared" si="594"/>
        <v>Y</v>
      </c>
      <c r="H2405" t="str">
        <f t="shared" si="596"/>
        <v>EA</v>
      </c>
      <c r="I2405">
        <v>0</v>
      </c>
      <c r="J2405">
        <v>0</v>
      </c>
      <c r="K2405" t="str">
        <f t="shared" si="595"/>
        <v>Y</v>
      </c>
      <c r="L2405">
        <v>0</v>
      </c>
      <c r="M2405" t="str">
        <f t="shared" si="599"/>
        <v>NIS</v>
      </c>
      <c r="O2405">
        <v>9</v>
      </c>
      <c r="P2405" t="str">
        <f t="shared" si="598"/>
        <v>Active</v>
      </c>
      <c r="Q2405" t="str">
        <f>"LM5.X Content, Lab/Vir, Hydraulics 1 w/HydraFlex"</f>
        <v>LM5.X Content, Lab/Vir, Hydraulics 1 w/HydraFlex</v>
      </c>
      <c r="S2405" t="str">
        <f>"LM5.X Content, Lab/Vir, Hydraulics 1 w/HydraFlex"</f>
        <v>LM5.X Content, Lab/Vir, Hydraulics 1 w/HydraFlex</v>
      </c>
      <c r="T2405">
        <v>0</v>
      </c>
      <c r="U2405">
        <v>5</v>
      </c>
      <c r="V2405">
        <v>5</v>
      </c>
      <c r="W2405" t="str">
        <f t="shared" si="597"/>
        <v>rob</v>
      </c>
    </row>
    <row r="2406" spans="1:23">
      <c r="A2406" t="str">
        <f t="shared" si="600"/>
        <v>LM-5-SP</v>
      </c>
      <c r="B2406" t="str">
        <f>"17-8068-0000"</f>
        <v>17-8068-0000</v>
      </c>
      <c r="C2406" t="str">
        <f>"LM 5 Content, Lab/Vir, Pneumatics 1 w/PneuFlex"</f>
        <v>LM 5 Content, Lab/Vir, Pneumatics 1 w/PneuFlex</v>
      </c>
      <c r="D2406">
        <v>1</v>
      </c>
      <c r="E2406" t="str">
        <f t="shared" si="601"/>
        <v>LM 5 Learnmate Content Modules in Spanish Language</v>
      </c>
      <c r="F2406">
        <v>701</v>
      </c>
      <c r="G2406" t="str">
        <f t="shared" si="594"/>
        <v>Y</v>
      </c>
      <c r="H2406" t="str">
        <f t="shared" si="596"/>
        <v>EA</v>
      </c>
      <c r="I2406">
        <v>0</v>
      </c>
      <c r="J2406">
        <v>0</v>
      </c>
      <c r="K2406" t="str">
        <f t="shared" si="595"/>
        <v>Y</v>
      </c>
      <c r="L2406">
        <v>0</v>
      </c>
      <c r="M2406" t="str">
        <f t="shared" si="599"/>
        <v>NIS</v>
      </c>
      <c r="O2406">
        <v>10</v>
      </c>
      <c r="P2406" t="str">
        <f t="shared" si="598"/>
        <v>Active</v>
      </c>
      <c r="Q2406" t="str">
        <f>"LM5.X Content, Lab/Vir, Pneumatics 1 w/PneuFlex"</f>
        <v>LM5.X Content, Lab/Vir, Pneumatics 1 w/PneuFlex</v>
      </c>
      <c r="S2406" t="str">
        <f>"LM5.X Content, Lab/Vir, Pneumatics 1 w/PneuFlex"</f>
        <v>LM5.X Content, Lab/Vir, Pneumatics 1 w/PneuFlex</v>
      </c>
      <c r="T2406">
        <v>0</v>
      </c>
      <c r="U2406">
        <v>5</v>
      </c>
      <c r="V2406">
        <v>5</v>
      </c>
      <c r="W2406" t="str">
        <f t="shared" si="597"/>
        <v>rob</v>
      </c>
    </row>
    <row r="2407" spans="1:23">
      <c r="A2407" t="str">
        <f t="shared" ref="A2407:A2422" si="602">"Lmate CNC"</f>
        <v>Lmate CNC</v>
      </c>
      <c r="B2407" t="str">
        <f>"0E7248"</f>
        <v>0E7248</v>
      </c>
      <c r="C2407" t="str">
        <f>"LM_Content SA Vir. CNC Mill PLM1000"</f>
        <v>LM_Content SA Vir. CNC Mill PLM1000</v>
      </c>
      <c r="D2407">
        <v>1</v>
      </c>
      <c r="E2407" t="str">
        <f t="shared" ref="E2407:E2422" si="603">"LearnMate Content (standalone) - CNC"</f>
        <v>LearnMate Content (standalone) - CNC</v>
      </c>
      <c r="F2407">
        <v>700</v>
      </c>
      <c r="G2407" t="str">
        <f t="shared" si="594"/>
        <v>Y</v>
      </c>
      <c r="H2407" t="str">
        <f t="shared" si="596"/>
        <v>EA</v>
      </c>
      <c r="I2407">
        <v>0</v>
      </c>
      <c r="J2407">
        <v>0</v>
      </c>
      <c r="K2407" t="str">
        <f t="shared" si="595"/>
        <v>Y</v>
      </c>
      <c r="L2407">
        <v>0</v>
      </c>
      <c r="M2407" t="str">
        <f t="shared" si="599"/>
        <v>NIS</v>
      </c>
      <c r="O2407">
        <v>7</v>
      </c>
      <c r="P2407" t="str">
        <f t="shared" si="598"/>
        <v>Active</v>
      </c>
      <c r="Q2407" t="str">
        <f>"LM_Content SA Vir -E- CNC Milling PLM1000"</f>
        <v>LM_Content SA Vir -E- CNC Milling PLM1000</v>
      </c>
      <c r="S2407" t="str">
        <f>"LM_Content SA Vir -E- CNC Milling PLM1000"</f>
        <v>LM_Content SA Vir -E- CNC Milling PLM1000</v>
      </c>
      <c r="T2407">
        <v>0</v>
      </c>
      <c r="U2407">
        <v>30.65</v>
      </c>
      <c r="V2407">
        <v>35.85</v>
      </c>
      <c r="W2407" t="str">
        <f t="shared" ref="W2407:W2422" si="604">"zintel"</f>
        <v>zintel</v>
      </c>
    </row>
    <row r="2408" spans="1:23">
      <c r="A2408" t="str">
        <f t="shared" si="602"/>
        <v>Lmate CNC</v>
      </c>
      <c r="B2408" t="str">
        <f>"63-7001-0100"</f>
        <v>63-7001-0100</v>
      </c>
      <c r="C2408" t="str">
        <f>"License Key for Standalone Content"</f>
        <v>License Key for Standalone Content</v>
      </c>
      <c r="D2408">
        <v>1</v>
      </c>
      <c r="E2408" t="str">
        <f t="shared" si="603"/>
        <v>LearnMate Content (standalone) - CNC</v>
      </c>
      <c r="F2408">
        <v>700</v>
      </c>
      <c r="G2408" t="str">
        <f t="shared" si="594"/>
        <v>Y</v>
      </c>
      <c r="H2408" t="str">
        <f t="shared" si="596"/>
        <v>EA</v>
      </c>
      <c r="I2408">
        <v>0</v>
      </c>
      <c r="J2408">
        <v>0</v>
      </c>
      <c r="K2408" t="str">
        <f t="shared" si="595"/>
        <v>Y</v>
      </c>
      <c r="L2408">
        <v>0</v>
      </c>
      <c r="M2408" t="str">
        <f t="shared" si="599"/>
        <v>NIS</v>
      </c>
      <c r="O2408">
        <v>16</v>
      </c>
      <c r="P2408" t="str">
        <f t="shared" si="598"/>
        <v>Active</v>
      </c>
      <c r="Q2408" t="str">
        <f>"License Key For LM Content Standalone"</f>
        <v>License Key For LM Content Standalone</v>
      </c>
      <c r="R2408" t="str">
        <f>"1"</f>
        <v>1</v>
      </c>
      <c r="S2408" t="str">
        <f>"License Key For LM Content Standalone"</f>
        <v>License Key For LM Content Standalone</v>
      </c>
      <c r="T2408">
        <v>0</v>
      </c>
      <c r="U2408">
        <v>18</v>
      </c>
      <c r="V2408">
        <v>18.72</v>
      </c>
      <c r="W2408" t="str">
        <f t="shared" si="604"/>
        <v>zintel</v>
      </c>
    </row>
    <row r="2409" spans="1:23">
      <c r="A2409" t="str">
        <f t="shared" si="602"/>
        <v>Lmate CNC</v>
      </c>
      <c r="B2409" t="str">
        <f>"0E7260"</f>
        <v>0E7260</v>
      </c>
      <c r="C2409" t="str">
        <f>"LM_Content SA Vir.- CNC Mill VMC0600"</f>
        <v>LM_Content SA Vir.- CNC Mill VMC0600</v>
      </c>
      <c r="D2409">
        <v>1</v>
      </c>
      <c r="E2409" t="str">
        <f t="shared" si="603"/>
        <v>LearnMate Content (standalone) - CNC</v>
      </c>
      <c r="F2409">
        <v>700</v>
      </c>
      <c r="G2409" t="str">
        <f t="shared" si="594"/>
        <v>Y</v>
      </c>
      <c r="H2409" t="str">
        <f t="shared" si="596"/>
        <v>EA</v>
      </c>
      <c r="I2409">
        <v>0</v>
      </c>
      <c r="J2409">
        <v>0</v>
      </c>
      <c r="K2409" t="str">
        <f t="shared" si="595"/>
        <v>Y</v>
      </c>
      <c r="L2409">
        <v>0</v>
      </c>
      <c r="M2409" t="str">
        <f t="shared" si="599"/>
        <v>NIS</v>
      </c>
      <c r="O2409">
        <v>15</v>
      </c>
      <c r="P2409" t="str">
        <f t="shared" si="598"/>
        <v>Active</v>
      </c>
      <c r="Q2409" t="str">
        <f>"LM_Content SA Vir.- CNC Milling with VMC0600"</f>
        <v>LM_Content SA Vir.- CNC Milling with VMC0600</v>
      </c>
      <c r="S2409" t="str">
        <f>"LM_Content SA Vir.- CNC Milling with VMC0600"</f>
        <v>LM_Content SA Vir.- CNC Milling with VMC0600</v>
      </c>
      <c r="T2409">
        <v>0</v>
      </c>
      <c r="U2409">
        <v>30.65</v>
      </c>
      <c r="V2409">
        <v>35.840000000000003</v>
      </c>
      <c r="W2409" t="str">
        <f t="shared" si="604"/>
        <v>zintel</v>
      </c>
    </row>
    <row r="2410" spans="1:23">
      <c r="A2410" t="str">
        <f t="shared" si="602"/>
        <v>Lmate CNC</v>
      </c>
      <c r="B2410" t="str">
        <f>"63-7001-0100"</f>
        <v>63-7001-0100</v>
      </c>
      <c r="C2410" t="str">
        <f>"License Key for Standalone Content"</f>
        <v>License Key for Standalone Content</v>
      </c>
      <c r="D2410">
        <v>1</v>
      </c>
      <c r="E2410" t="str">
        <f t="shared" si="603"/>
        <v>LearnMate Content (standalone) - CNC</v>
      </c>
      <c r="F2410">
        <v>700</v>
      </c>
      <c r="G2410" t="str">
        <f t="shared" si="594"/>
        <v>Y</v>
      </c>
      <c r="H2410" t="str">
        <f t="shared" si="596"/>
        <v>EA</v>
      </c>
      <c r="I2410">
        <v>0</v>
      </c>
      <c r="J2410">
        <v>0</v>
      </c>
      <c r="K2410" t="str">
        <f t="shared" si="595"/>
        <v>Y</v>
      </c>
      <c r="L2410">
        <v>0</v>
      </c>
      <c r="M2410" t="str">
        <f t="shared" si="599"/>
        <v>NIS</v>
      </c>
      <c r="O2410">
        <v>8</v>
      </c>
      <c r="P2410" t="str">
        <f t="shared" si="598"/>
        <v>Active</v>
      </c>
      <c r="Q2410" t="str">
        <f>"License Key For LM Content Standalone"</f>
        <v>License Key For LM Content Standalone</v>
      </c>
      <c r="R2410" t="str">
        <f>"1"</f>
        <v>1</v>
      </c>
      <c r="S2410" t="str">
        <f>"License Key For LM Content Standalone"</f>
        <v>License Key For LM Content Standalone</v>
      </c>
      <c r="T2410">
        <v>0</v>
      </c>
      <c r="U2410">
        <v>18</v>
      </c>
      <c r="V2410">
        <v>18.72</v>
      </c>
      <c r="W2410" t="str">
        <f t="shared" si="604"/>
        <v>zintel</v>
      </c>
    </row>
    <row r="2411" spans="1:23">
      <c r="A2411" t="str">
        <f t="shared" si="602"/>
        <v>Lmate CNC</v>
      </c>
      <c r="B2411" t="str">
        <f>"0E7265"</f>
        <v>0E7265</v>
      </c>
      <c r="C2411" t="str">
        <f>"LM_Content SA Vir.- CNC Mill SLM0200"</f>
        <v>LM_Content SA Vir.- CNC Mill SLM0200</v>
      </c>
      <c r="D2411">
        <v>1</v>
      </c>
      <c r="E2411" t="str">
        <f t="shared" si="603"/>
        <v>LearnMate Content (standalone) - CNC</v>
      </c>
      <c r="F2411">
        <v>700</v>
      </c>
      <c r="G2411" t="str">
        <f t="shared" si="594"/>
        <v>Y</v>
      </c>
      <c r="H2411" t="str">
        <f t="shared" si="596"/>
        <v>EA</v>
      </c>
      <c r="I2411">
        <v>0</v>
      </c>
      <c r="J2411">
        <v>0</v>
      </c>
      <c r="K2411" t="str">
        <f t="shared" si="595"/>
        <v>Y</v>
      </c>
      <c r="L2411">
        <v>0</v>
      </c>
      <c r="M2411" t="str">
        <f t="shared" si="599"/>
        <v>NIS</v>
      </c>
      <c r="O2411">
        <v>9</v>
      </c>
      <c r="P2411" t="str">
        <f t="shared" si="598"/>
        <v>Active</v>
      </c>
      <c r="Q2411" t="str">
        <f>"LM_Content SA Vir.- CNC Mill  Tech. SLM0200"</f>
        <v>LM_Content SA Vir.- CNC Mill  Tech. SLM0200</v>
      </c>
      <c r="S2411" t="str">
        <f>"LM_Content SA Vir.- CNC Mill  Tech. SLM0200"</f>
        <v>LM_Content SA Vir.- CNC Mill  Tech. SLM0200</v>
      </c>
      <c r="T2411">
        <v>0</v>
      </c>
      <c r="U2411">
        <v>36.299999999999997</v>
      </c>
      <c r="V2411">
        <v>35.840000000000003</v>
      </c>
      <c r="W2411" t="str">
        <f t="shared" si="604"/>
        <v>zintel</v>
      </c>
    </row>
    <row r="2412" spans="1:23">
      <c r="A2412" t="str">
        <f t="shared" si="602"/>
        <v>Lmate CNC</v>
      </c>
      <c r="B2412" t="str">
        <f>"63-7001-0100"</f>
        <v>63-7001-0100</v>
      </c>
      <c r="C2412" t="str">
        <f>"License Key for Standalone Content"</f>
        <v>License Key for Standalone Content</v>
      </c>
      <c r="D2412">
        <v>1</v>
      </c>
      <c r="E2412" t="str">
        <f t="shared" si="603"/>
        <v>LearnMate Content (standalone) - CNC</v>
      </c>
      <c r="F2412">
        <v>700</v>
      </c>
      <c r="G2412" t="str">
        <f t="shared" si="594"/>
        <v>Y</v>
      </c>
      <c r="H2412" t="str">
        <f t="shared" si="596"/>
        <v>EA</v>
      </c>
      <c r="I2412">
        <v>0</v>
      </c>
      <c r="J2412">
        <v>0</v>
      </c>
      <c r="K2412" t="str">
        <f t="shared" si="595"/>
        <v>Y</v>
      </c>
      <c r="L2412">
        <v>0</v>
      </c>
      <c r="M2412" t="str">
        <f t="shared" si="599"/>
        <v>NIS</v>
      </c>
      <c r="O2412">
        <v>10</v>
      </c>
      <c r="P2412" t="str">
        <f t="shared" si="598"/>
        <v>Active</v>
      </c>
      <c r="Q2412" t="str">
        <f>"License Key For LM Content Standalone"</f>
        <v>License Key For LM Content Standalone</v>
      </c>
      <c r="R2412" t="str">
        <f>"1"</f>
        <v>1</v>
      </c>
      <c r="S2412" t="str">
        <f>"License Key For LM Content Standalone"</f>
        <v>License Key For LM Content Standalone</v>
      </c>
      <c r="T2412">
        <v>0</v>
      </c>
      <c r="U2412">
        <v>18</v>
      </c>
      <c r="V2412">
        <v>18.72</v>
      </c>
      <c r="W2412" t="str">
        <f t="shared" si="604"/>
        <v>zintel</v>
      </c>
    </row>
    <row r="2413" spans="1:23">
      <c r="A2413" t="str">
        <f t="shared" si="602"/>
        <v>Lmate CNC</v>
      </c>
      <c r="B2413" t="str">
        <f>"0E7269"</f>
        <v>0E7269</v>
      </c>
      <c r="C2413" t="str">
        <f>"LM_Content SA Vir.-CNC Turn PLT3000"</f>
        <v>LM_Content SA Vir.-CNC Turn PLT3000</v>
      </c>
      <c r="D2413">
        <v>1</v>
      </c>
      <c r="E2413" t="str">
        <f t="shared" si="603"/>
        <v>LearnMate Content (standalone) - CNC</v>
      </c>
      <c r="F2413">
        <v>700</v>
      </c>
      <c r="G2413" t="str">
        <f t="shared" si="594"/>
        <v>Y</v>
      </c>
      <c r="H2413" t="str">
        <f t="shared" si="596"/>
        <v>EA</v>
      </c>
      <c r="I2413">
        <v>0</v>
      </c>
      <c r="J2413">
        <v>0</v>
      </c>
      <c r="K2413" t="str">
        <f t="shared" si="595"/>
        <v>Y</v>
      </c>
      <c r="L2413">
        <v>0</v>
      </c>
      <c r="M2413" t="str">
        <f t="shared" si="599"/>
        <v>NIS</v>
      </c>
      <c r="O2413">
        <v>11</v>
      </c>
      <c r="P2413" t="str">
        <f t="shared" si="598"/>
        <v>Active</v>
      </c>
      <c r="Q2413" t="str">
        <f>"LM_Content SA Vir.-CNC Turn Tech. PLT3000"</f>
        <v>LM_Content SA Vir.-CNC Turn Tech. PLT3000</v>
      </c>
      <c r="S2413" t="str">
        <f>"LM_Content SA Vir.-CNC Turn Tech. PLT3000"</f>
        <v>LM_Content SA Vir.-CNC Turn Tech. PLT3000</v>
      </c>
      <c r="T2413">
        <v>0</v>
      </c>
      <c r="U2413">
        <v>30.65</v>
      </c>
      <c r="V2413">
        <v>35.840000000000003</v>
      </c>
      <c r="W2413" t="str">
        <f t="shared" si="604"/>
        <v>zintel</v>
      </c>
    </row>
    <row r="2414" spans="1:23">
      <c r="A2414" t="str">
        <f t="shared" si="602"/>
        <v>Lmate CNC</v>
      </c>
      <c r="B2414" t="str">
        <f>"63-7001-0100"</f>
        <v>63-7001-0100</v>
      </c>
      <c r="C2414" t="str">
        <f>"License Key for Standalone Content"</f>
        <v>License Key for Standalone Content</v>
      </c>
      <c r="D2414">
        <v>1</v>
      </c>
      <c r="E2414" t="str">
        <f t="shared" si="603"/>
        <v>LearnMate Content (standalone) - CNC</v>
      </c>
      <c r="F2414">
        <v>700</v>
      </c>
      <c r="G2414" t="str">
        <f t="shared" si="594"/>
        <v>Y</v>
      </c>
      <c r="H2414" t="str">
        <f t="shared" si="596"/>
        <v>EA</v>
      </c>
      <c r="I2414">
        <v>0</v>
      </c>
      <c r="J2414">
        <v>0</v>
      </c>
      <c r="K2414" t="str">
        <f t="shared" si="595"/>
        <v>Y</v>
      </c>
      <c r="L2414">
        <v>0</v>
      </c>
      <c r="M2414" t="str">
        <f t="shared" si="599"/>
        <v>NIS</v>
      </c>
      <c r="O2414">
        <v>12</v>
      </c>
      <c r="P2414" t="str">
        <f t="shared" si="598"/>
        <v>Active</v>
      </c>
      <c r="Q2414" t="str">
        <f>"License Key For LM Content Standalone"</f>
        <v>License Key For LM Content Standalone</v>
      </c>
      <c r="R2414" t="str">
        <f>"1"</f>
        <v>1</v>
      </c>
      <c r="S2414" t="str">
        <f>"License Key For LM Content Standalone"</f>
        <v>License Key For LM Content Standalone</v>
      </c>
      <c r="T2414">
        <v>0</v>
      </c>
      <c r="U2414">
        <v>18</v>
      </c>
      <c r="V2414">
        <v>18.72</v>
      </c>
      <c r="W2414" t="str">
        <f t="shared" si="604"/>
        <v>zintel</v>
      </c>
    </row>
    <row r="2415" spans="1:23">
      <c r="A2415" t="str">
        <f t="shared" si="602"/>
        <v>Lmate CNC</v>
      </c>
      <c r="B2415" t="str">
        <f>"0E7266"</f>
        <v>0E7266</v>
      </c>
      <c r="C2415" t="str">
        <f>"LM_Content SA Vir.- CNC Turn SLT0400"</f>
        <v>LM_Content SA Vir.- CNC Turn SLT0400</v>
      </c>
      <c r="D2415">
        <v>1</v>
      </c>
      <c r="E2415" t="str">
        <f t="shared" si="603"/>
        <v>LearnMate Content (standalone) - CNC</v>
      </c>
      <c r="F2415">
        <v>700</v>
      </c>
      <c r="G2415" t="str">
        <f t="shared" si="594"/>
        <v>Y</v>
      </c>
      <c r="H2415" t="str">
        <f t="shared" si="596"/>
        <v>EA</v>
      </c>
      <c r="I2415">
        <v>0</v>
      </c>
      <c r="J2415">
        <v>0</v>
      </c>
      <c r="K2415" t="str">
        <f t="shared" si="595"/>
        <v>Y</v>
      </c>
      <c r="L2415">
        <v>0</v>
      </c>
      <c r="M2415" t="str">
        <f t="shared" si="599"/>
        <v>NIS</v>
      </c>
      <c r="O2415">
        <v>13</v>
      </c>
      <c r="P2415" t="str">
        <f t="shared" si="598"/>
        <v>Active</v>
      </c>
      <c r="Q2415" t="str">
        <f>"LM_Content SA Vir.- CNC Turn Tech. SLT0400"</f>
        <v>LM_Content SA Vir.- CNC Turn Tech. SLT0400</v>
      </c>
      <c r="S2415" t="str">
        <f>"LM_Content SA Vir.- CNC Turn Tech. SLT0400"</f>
        <v>LM_Content SA Vir.- CNC Turn Tech. SLT0400</v>
      </c>
      <c r="T2415">
        <v>0</v>
      </c>
      <c r="U2415">
        <v>36.299999999999997</v>
      </c>
      <c r="V2415">
        <v>35.85</v>
      </c>
      <c r="W2415" t="str">
        <f t="shared" si="604"/>
        <v>zintel</v>
      </c>
    </row>
    <row r="2416" spans="1:23">
      <c r="A2416" t="str">
        <f t="shared" si="602"/>
        <v>Lmate CNC</v>
      </c>
      <c r="B2416" t="str">
        <f>"63-7001-0100"</f>
        <v>63-7001-0100</v>
      </c>
      <c r="C2416" t="str">
        <f>"License Key for Standalone Content"</f>
        <v>License Key for Standalone Content</v>
      </c>
      <c r="D2416">
        <v>1</v>
      </c>
      <c r="E2416" t="str">
        <f t="shared" si="603"/>
        <v>LearnMate Content (standalone) - CNC</v>
      </c>
      <c r="F2416">
        <v>700</v>
      </c>
      <c r="G2416" t="str">
        <f t="shared" si="594"/>
        <v>Y</v>
      </c>
      <c r="H2416" t="str">
        <f t="shared" si="596"/>
        <v>EA</v>
      </c>
      <c r="I2416">
        <v>0</v>
      </c>
      <c r="J2416">
        <v>0</v>
      </c>
      <c r="K2416" t="str">
        <f t="shared" si="595"/>
        <v>Y</v>
      </c>
      <c r="L2416">
        <v>0</v>
      </c>
      <c r="M2416" t="str">
        <f t="shared" si="599"/>
        <v>NIS</v>
      </c>
      <c r="O2416">
        <v>14</v>
      </c>
      <c r="P2416" t="str">
        <f t="shared" si="598"/>
        <v>Active</v>
      </c>
      <c r="Q2416" t="str">
        <f>"License Key For LM Content Standalone"</f>
        <v>License Key For LM Content Standalone</v>
      </c>
      <c r="R2416" t="str">
        <f>"1"</f>
        <v>1</v>
      </c>
      <c r="S2416" t="str">
        <f>"License Key For LM Content Standalone"</f>
        <v>License Key For LM Content Standalone</v>
      </c>
      <c r="T2416">
        <v>0</v>
      </c>
      <c r="U2416">
        <v>18</v>
      </c>
      <c r="V2416">
        <v>18.72</v>
      </c>
      <c r="W2416" t="str">
        <f t="shared" si="604"/>
        <v>zintel</v>
      </c>
    </row>
    <row r="2417" spans="1:23">
      <c r="A2417" t="str">
        <f t="shared" si="602"/>
        <v>Lmate CNC</v>
      </c>
      <c r="B2417" t="str">
        <f>"0E7250"</f>
        <v>0E7250</v>
      </c>
      <c r="C2417" t="str">
        <f>"LM_Content SA Vir.-CNC Program G&amp;M Codes P.T"</f>
        <v>LM_Content SA Vir.-CNC Program G&amp;M Codes P.T</v>
      </c>
      <c r="D2417">
        <v>1</v>
      </c>
      <c r="E2417" t="str">
        <f t="shared" si="603"/>
        <v>LearnMate Content (standalone) - CNC</v>
      </c>
      <c r="F2417">
        <v>700</v>
      </c>
      <c r="G2417" t="str">
        <f t="shared" si="594"/>
        <v>Y</v>
      </c>
      <c r="H2417" t="str">
        <f t="shared" si="596"/>
        <v>EA</v>
      </c>
      <c r="I2417">
        <v>0</v>
      </c>
      <c r="J2417">
        <v>0</v>
      </c>
      <c r="K2417" t="str">
        <f t="shared" si="595"/>
        <v>Y</v>
      </c>
      <c r="L2417">
        <v>0</v>
      </c>
      <c r="M2417" t="str">
        <f t="shared" si="599"/>
        <v>NIS</v>
      </c>
      <c r="N2417" t="str">
        <f t="shared" ref="N2417:N2422" si="605">"Y"</f>
        <v>Y</v>
      </c>
      <c r="O2417">
        <v>1</v>
      </c>
      <c r="P2417" t="str">
        <f>"Not for purc"</f>
        <v>Not for purc</v>
      </c>
      <c r="Q2417" t="str">
        <f>"LM_Content SA Vir.-CNC Program G&amp;M Codes P.T"</f>
        <v>LM_Content SA Vir.-CNC Program G&amp;M Codes P.T</v>
      </c>
      <c r="S2417" t="str">
        <f>"LM_Content SA Vir.-CNC Program G&amp;M Codes P.T"</f>
        <v>LM_Content SA Vir.-CNC Program G&amp;M Codes P.T</v>
      </c>
      <c r="T2417">
        <v>0</v>
      </c>
      <c r="U2417">
        <v>30.65</v>
      </c>
      <c r="V2417">
        <v>35.840000000000003</v>
      </c>
      <c r="W2417" t="str">
        <f t="shared" si="604"/>
        <v>zintel</v>
      </c>
    </row>
    <row r="2418" spans="1:23">
      <c r="A2418" t="str">
        <f t="shared" si="602"/>
        <v>Lmate CNC</v>
      </c>
      <c r="B2418" t="str">
        <f>"63-7001-0100"</f>
        <v>63-7001-0100</v>
      </c>
      <c r="C2418" t="str">
        <f>"License Key for Standalone Content"</f>
        <v>License Key for Standalone Content</v>
      </c>
      <c r="D2418">
        <v>1</v>
      </c>
      <c r="E2418" t="str">
        <f t="shared" si="603"/>
        <v>LearnMate Content (standalone) - CNC</v>
      </c>
      <c r="F2418">
        <v>700</v>
      </c>
      <c r="G2418" t="str">
        <f t="shared" si="594"/>
        <v>Y</v>
      </c>
      <c r="H2418" t="str">
        <f t="shared" si="596"/>
        <v>EA</v>
      </c>
      <c r="I2418">
        <v>0</v>
      </c>
      <c r="J2418">
        <v>0</v>
      </c>
      <c r="K2418" t="str">
        <f t="shared" si="595"/>
        <v>Y</v>
      </c>
      <c r="L2418">
        <v>0</v>
      </c>
      <c r="M2418" t="str">
        <f t="shared" si="599"/>
        <v>NIS</v>
      </c>
      <c r="N2418" t="str">
        <f t="shared" si="605"/>
        <v>Y</v>
      </c>
      <c r="O2418">
        <v>2</v>
      </c>
      <c r="P2418" t="str">
        <f t="shared" ref="P2418:P2424" si="606">"Active"</f>
        <v>Active</v>
      </c>
      <c r="Q2418" t="str">
        <f>"License Key For LM Content Standalone"</f>
        <v>License Key For LM Content Standalone</v>
      </c>
      <c r="R2418" t="str">
        <f>"1"</f>
        <v>1</v>
      </c>
      <c r="S2418" t="str">
        <f>"License Key For LM Content Standalone"</f>
        <v>License Key For LM Content Standalone</v>
      </c>
      <c r="T2418">
        <v>0</v>
      </c>
      <c r="U2418">
        <v>18</v>
      </c>
      <c r="V2418">
        <v>18.72</v>
      </c>
      <c r="W2418" t="str">
        <f t="shared" si="604"/>
        <v>zintel</v>
      </c>
    </row>
    <row r="2419" spans="1:23">
      <c r="A2419" t="str">
        <f t="shared" si="602"/>
        <v>Lmate CNC</v>
      </c>
      <c r="B2419" t="str">
        <f>"63-6100-0001"</f>
        <v>63-6100-0001</v>
      </c>
      <c r="C2419" t="str">
        <f>"Personal Tutor, G &amp; M Code Prog., add'l license"</f>
        <v>Personal Tutor, G &amp; M Code Prog., add'l license</v>
      </c>
      <c r="D2419">
        <v>1</v>
      </c>
      <c r="E2419" t="str">
        <f t="shared" si="603"/>
        <v>LearnMate Content (standalone) - CNC</v>
      </c>
      <c r="F2419">
        <v>700</v>
      </c>
      <c r="G2419" t="str">
        <f t="shared" si="594"/>
        <v>Y</v>
      </c>
      <c r="H2419" t="str">
        <f t="shared" si="596"/>
        <v>EA</v>
      </c>
      <c r="I2419">
        <v>0</v>
      </c>
      <c r="J2419">
        <v>0</v>
      </c>
      <c r="K2419" t="str">
        <f t="shared" si="595"/>
        <v>Y</v>
      </c>
      <c r="L2419">
        <v>0</v>
      </c>
      <c r="M2419" t="str">
        <f t="shared" si="599"/>
        <v>NIS</v>
      </c>
      <c r="N2419" t="str">
        <f t="shared" si="605"/>
        <v>Y</v>
      </c>
      <c r="O2419">
        <v>3</v>
      </c>
      <c r="P2419" t="str">
        <f t="shared" si="606"/>
        <v>Active</v>
      </c>
      <c r="Q2419" t="str">
        <f>"Personal Tutor, G &amp; M Code Prog., add'l license"</f>
        <v>Personal Tutor, G &amp; M Code Prog., add'l license</v>
      </c>
      <c r="R2419" t="str">
        <f>"1"</f>
        <v>1</v>
      </c>
      <c r="S2419" t="str">
        <f>"Personal Tutor, G &amp; M Code Prog., add'l license"</f>
        <v>Personal Tutor, G &amp; M Code Prog., add'l license</v>
      </c>
      <c r="T2419">
        <v>1.93</v>
      </c>
      <c r="U2419">
        <v>1.93</v>
      </c>
      <c r="V2419">
        <v>33.92</v>
      </c>
      <c r="W2419" t="str">
        <f t="shared" si="604"/>
        <v>zintel</v>
      </c>
    </row>
    <row r="2420" spans="1:23">
      <c r="A2420" t="str">
        <f t="shared" si="602"/>
        <v>Lmate CNC</v>
      </c>
      <c r="B2420" t="str">
        <f>"63-6100-0005"</f>
        <v>63-6100-0005</v>
      </c>
      <c r="C2420" t="str">
        <f>"Personal Tutor, G &amp; M Code Prog. - 5 Seats"</f>
        <v>Personal Tutor, G &amp; M Code Prog. - 5 Seats</v>
      </c>
      <c r="D2420">
        <v>1</v>
      </c>
      <c r="E2420" t="str">
        <f t="shared" si="603"/>
        <v>LearnMate Content (standalone) - CNC</v>
      </c>
      <c r="F2420">
        <v>700</v>
      </c>
      <c r="G2420" t="str">
        <f t="shared" si="594"/>
        <v>Y</v>
      </c>
      <c r="H2420" t="str">
        <f t="shared" si="596"/>
        <v>EA</v>
      </c>
      <c r="I2420">
        <v>0</v>
      </c>
      <c r="J2420">
        <v>0</v>
      </c>
      <c r="K2420" t="str">
        <f t="shared" si="595"/>
        <v>Y</v>
      </c>
      <c r="L2420">
        <v>0</v>
      </c>
      <c r="M2420" t="str">
        <f t="shared" si="599"/>
        <v>NIS</v>
      </c>
      <c r="N2420" t="str">
        <f t="shared" si="605"/>
        <v>Y</v>
      </c>
      <c r="O2420">
        <v>4</v>
      </c>
      <c r="P2420" t="str">
        <f t="shared" si="606"/>
        <v>Active</v>
      </c>
      <c r="Q2420" t="str">
        <f>"Personal Tutor, G &amp; M Code Prog. - 5 Seats"</f>
        <v>Personal Tutor, G &amp; M Code Prog. - 5 Seats</v>
      </c>
      <c r="R2420" t="str">
        <f>"1"</f>
        <v>1</v>
      </c>
      <c r="S2420" t="str">
        <f>"Personal Tutor, G &amp; M Code Prog. - 5 Seats"</f>
        <v>Personal Tutor, G &amp; M Code Prog. - 5 Seats</v>
      </c>
      <c r="T2420">
        <v>10.3</v>
      </c>
      <c r="U2420">
        <v>10.3</v>
      </c>
      <c r="V2420">
        <v>33.92</v>
      </c>
      <c r="W2420" t="str">
        <f t="shared" si="604"/>
        <v>zintel</v>
      </c>
    </row>
    <row r="2421" spans="1:23">
      <c r="A2421" t="str">
        <f t="shared" si="602"/>
        <v>Lmate CNC</v>
      </c>
      <c r="B2421" t="str">
        <f>"63-6100-0010"</f>
        <v>63-6100-0010</v>
      </c>
      <c r="C2421" t="str">
        <f>"Personal Tutor, G &amp; M Code Prog. - 10 Seats"</f>
        <v>Personal Tutor, G &amp; M Code Prog. - 10 Seats</v>
      </c>
      <c r="D2421">
        <v>1</v>
      </c>
      <c r="E2421" t="str">
        <f t="shared" si="603"/>
        <v>LearnMate Content (standalone) - CNC</v>
      </c>
      <c r="F2421">
        <v>700</v>
      </c>
      <c r="G2421" t="str">
        <f t="shared" si="594"/>
        <v>Y</v>
      </c>
      <c r="H2421" t="str">
        <f t="shared" si="596"/>
        <v>EA</v>
      </c>
      <c r="I2421">
        <v>0</v>
      </c>
      <c r="J2421">
        <v>0</v>
      </c>
      <c r="K2421" t="str">
        <f t="shared" si="595"/>
        <v>Y</v>
      </c>
      <c r="L2421">
        <v>0</v>
      </c>
      <c r="M2421" t="str">
        <f t="shared" si="599"/>
        <v>NIS</v>
      </c>
      <c r="N2421" t="str">
        <f t="shared" si="605"/>
        <v>Y</v>
      </c>
      <c r="O2421">
        <v>5</v>
      </c>
      <c r="P2421" t="str">
        <f t="shared" si="606"/>
        <v>Active</v>
      </c>
      <c r="Q2421" t="str">
        <f>"Personal Tutor, G &amp; M Code Prog. - 10 Seats"</f>
        <v>Personal Tutor, G &amp; M Code Prog. - 10 Seats</v>
      </c>
      <c r="R2421" t="str">
        <f>"1"</f>
        <v>1</v>
      </c>
      <c r="S2421" t="str">
        <f>"Personal Tutor, G &amp; M Code Prog. - 10 Seats"</f>
        <v>Personal Tutor, G &amp; M Code Prog. - 10 Seats</v>
      </c>
      <c r="T2421">
        <v>1.92</v>
      </c>
      <c r="U2421">
        <v>1.92</v>
      </c>
      <c r="V2421">
        <v>33.92</v>
      </c>
      <c r="W2421" t="str">
        <f t="shared" si="604"/>
        <v>zintel</v>
      </c>
    </row>
    <row r="2422" spans="1:23">
      <c r="A2422" t="str">
        <f t="shared" si="602"/>
        <v>Lmate CNC</v>
      </c>
      <c r="B2422" t="str">
        <f>"63-6100-0025"</f>
        <v>63-6100-0025</v>
      </c>
      <c r="C2422" t="str">
        <f>"Personal Tutor, G &amp; M Code Prog. - 25 Seats"</f>
        <v>Personal Tutor, G &amp; M Code Prog. - 25 Seats</v>
      </c>
      <c r="D2422">
        <v>1</v>
      </c>
      <c r="E2422" t="str">
        <f t="shared" si="603"/>
        <v>LearnMate Content (standalone) - CNC</v>
      </c>
      <c r="F2422">
        <v>700</v>
      </c>
      <c r="G2422" t="str">
        <f t="shared" si="594"/>
        <v>Y</v>
      </c>
      <c r="H2422" t="str">
        <f t="shared" si="596"/>
        <v>EA</v>
      </c>
      <c r="I2422">
        <v>0</v>
      </c>
      <c r="J2422">
        <v>0</v>
      </c>
      <c r="K2422" t="str">
        <f t="shared" si="595"/>
        <v>Y</v>
      </c>
      <c r="L2422">
        <v>0</v>
      </c>
      <c r="M2422" t="str">
        <f t="shared" si="599"/>
        <v>NIS</v>
      </c>
      <c r="N2422" t="str">
        <f t="shared" si="605"/>
        <v>Y</v>
      </c>
      <c r="O2422">
        <v>6</v>
      </c>
      <c r="P2422" t="str">
        <f t="shared" si="606"/>
        <v>Active</v>
      </c>
      <c r="Q2422" t="str">
        <f>"Personal Tutor, G &amp; M Code Prog. - 25 Seats"</f>
        <v>Personal Tutor, G &amp; M Code Prog. - 25 Seats</v>
      </c>
      <c r="R2422" t="str">
        <f>"1"</f>
        <v>1</v>
      </c>
      <c r="S2422" t="str">
        <f>"Personal Tutor, G &amp; M Code Prog. - 25 Seats"</f>
        <v>Personal Tutor, G &amp; M Code Prog. - 25 Seats</v>
      </c>
      <c r="T2422">
        <v>10.3</v>
      </c>
      <c r="U2422">
        <v>10.3</v>
      </c>
      <c r="V2422">
        <v>33.92</v>
      </c>
      <c r="W2422" t="str">
        <f t="shared" si="604"/>
        <v>zintel</v>
      </c>
    </row>
    <row r="2423" spans="1:23">
      <c r="A2423" t="str">
        <f t="shared" ref="A2423:A2432" si="607">"Lmate DESIGN"</f>
        <v>Lmate DESIGN</v>
      </c>
      <c r="B2423" t="str">
        <f>"0E7241"</f>
        <v>0E7241</v>
      </c>
      <c r="C2423" t="str">
        <f>"LM_Content SA Vir.- CAD &amp; spectraCAD Engraver"</f>
        <v>LM_Content SA Vir.- CAD &amp; spectraCAD Engraver</v>
      </c>
      <c r="D2423">
        <v>1</v>
      </c>
      <c r="E2423" t="str">
        <f t="shared" ref="E2423:E2432" si="608">"LearnMate Content (standalone) - Design"</f>
        <v>LearnMate Content (standalone) - Design</v>
      </c>
      <c r="F2423">
        <v>700</v>
      </c>
      <c r="G2423" t="str">
        <f t="shared" si="594"/>
        <v>Y</v>
      </c>
      <c r="H2423" t="str">
        <f t="shared" si="596"/>
        <v>EA</v>
      </c>
      <c r="I2423">
        <v>0</v>
      </c>
      <c r="J2423">
        <v>0</v>
      </c>
      <c r="K2423" t="str">
        <f t="shared" si="595"/>
        <v>Y</v>
      </c>
      <c r="L2423">
        <v>0</v>
      </c>
      <c r="M2423" t="str">
        <f t="shared" si="599"/>
        <v>NIS</v>
      </c>
      <c r="O2423">
        <v>1</v>
      </c>
      <c r="P2423" t="str">
        <f t="shared" si="606"/>
        <v>Active</v>
      </c>
      <c r="Q2423" t="str">
        <f>"LM_Content SA Vir.- CAD &amp; spectraCAD Engraver"</f>
        <v>LM_Content SA Vir.- CAD &amp; spectraCAD Engraver</v>
      </c>
      <c r="S2423" t="str">
        <f>"LM_Content SA Vir.- CAD &amp; spectraCAD Engraver"</f>
        <v>LM_Content SA Vir.- CAD &amp; spectraCAD Engraver</v>
      </c>
      <c r="T2423">
        <v>0</v>
      </c>
      <c r="U2423">
        <v>30.65</v>
      </c>
      <c r="V2423">
        <v>35.840000000000003</v>
      </c>
      <c r="W2423" t="str">
        <f t="shared" ref="W2423:W2454" si="609">"rob"</f>
        <v>rob</v>
      </c>
    </row>
    <row r="2424" spans="1:23">
      <c r="A2424" t="str">
        <f t="shared" si="607"/>
        <v>Lmate DESIGN</v>
      </c>
      <c r="B2424" t="str">
        <f>"63-7001-0100"</f>
        <v>63-7001-0100</v>
      </c>
      <c r="C2424" t="str">
        <f>"License Key for Standalone Content"</f>
        <v>License Key for Standalone Content</v>
      </c>
      <c r="D2424">
        <v>1</v>
      </c>
      <c r="E2424" t="str">
        <f t="shared" si="608"/>
        <v>LearnMate Content (standalone) - Design</v>
      </c>
      <c r="F2424">
        <v>700</v>
      </c>
      <c r="G2424" t="str">
        <f t="shared" si="594"/>
        <v>Y</v>
      </c>
      <c r="H2424" t="str">
        <f t="shared" si="596"/>
        <v>EA</v>
      </c>
      <c r="I2424">
        <v>0</v>
      </c>
      <c r="J2424">
        <v>0</v>
      </c>
      <c r="K2424" t="str">
        <f t="shared" si="595"/>
        <v>Y</v>
      </c>
      <c r="L2424">
        <v>0</v>
      </c>
      <c r="M2424" t="str">
        <f t="shared" si="599"/>
        <v>NIS</v>
      </c>
      <c r="O2424">
        <v>2</v>
      </c>
      <c r="P2424" t="str">
        <f t="shared" si="606"/>
        <v>Active</v>
      </c>
      <c r="Q2424" t="str">
        <f>"License Key For LM Content Standalone"</f>
        <v>License Key For LM Content Standalone</v>
      </c>
      <c r="R2424" t="str">
        <f>"1"</f>
        <v>1</v>
      </c>
      <c r="S2424" t="str">
        <f>"License Key For LM Content Standalone"</f>
        <v>License Key For LM Content Standalone</v>
      </c>
      <c r="T2424">
        <v>0</v>
      </c>
      <c r="U2424">
        <v>18</v>
      </c>
      <c r="V2424">
        <v>18.72</v>
      </c>
      <c r="W2424" t="str">
        <f t="shared" si="609"/>
        <v>rob</v>
      </c>
    </row>
    <row r="2425" spans="1:23">
      <c r="A2425" t="str">
        <f t="shared" si="607"/>
        <v>Lmate DESIGN</v>
      </c>
      <c r="B2425" t="str">
        <f>"0E7242"</f>
        <v>0E7242</v>
      </c>
      <c r="C2425" t="str">
        <f>"LM_Content SA Vir.- CAM Milling &amp;Mastercam v9"</f>
        <v>LM_Content SA Vir.- CAM Milling &amp;Mastercam v9</v>
      </c>
      <c r="D2425">
        <v>1</v>
      </c>
      <c r="E2425" t="str">
        <f t="shared" si="608"/>
        <v>LearnMate Content (standalone) - Design</v>
      </c>
      <c r="F2425">
        <v>700</v>
      </c>
      <c r="G2425" t="str">
        <f t="shared" si="594"/>
        <v>Y</v>
      </c>
      <c r="H2425" t="str">
        <f t="shared" si="596"/>
        <v>EA</v>
      </c>
      <c r="I2425">
        <v>0</v>
      </c>
      <c r="J2425">
        <v>0</v>
      </c>
      <c r="K2425" t="str">
        <f t="shared" si="595"/>
        <v>Y</v>
      </c>
      <c r="L2425">
        <v>0</v>
      </c>
      <c r="M2425" t="str">
        <f t="shared" si="599"/>
        <v>NIS</v>
      </c>
      <c r="O2425">
        <v>3</v>
      </c>
      <c r="P2425" t="str">
        <f>"Not for purc"</f>
        <v>Not for purc</v>
      </c>
      <c r="Q2425" t="str">
        <f>"LM_Content SA Vir.- CAM Milling &amp;Mastercam v9"</f>
        <v>LM_Content SA Vir.- CAM Milling &amp;Mastercam v9</v>
      </c>
      <c r="S2425" t="str">
        <f>"LM_Content SA Vir.- CAM Milling &amp;Mastercam v9"</f>
        <v>LM_Content SA Vir.- CAM Milling &amp;Mastercam v9</v>
      </c>
      <c r="T2425">
        <v>0</v>
      </c>
      <c r="U2425">
        <v>30.65</v>
      </c>
      <c r="V2425">
        <v>36.049999999999997</v>
      </c>
      <c r="W2425" t="str">
        <f t="shared" si="609"/>
        <v>rob</v>
      </c>
    </row>
    <row r="2426" spans="1:23">
      <c r="A2426" t="str">
        <f t="shared" si="607"/>
        <v>Lmate DESIGN</v>
      </c>
      <c r="B2426" t="str">
        <f>"63-7001-0100"</f>
        <v>63-7001-0100</v>
      </c>
      <c r="C2426" t="str">
        <f>"License Key for Standalone Content"</f>
        <v>License Key for Standalone Content</v>
      </c>
      <c r="D2426">
        <v>1</v>
      </c>
      <c r="E2426" t="str">
        <f t="shared" si="608"/>
        <v>LearnMate Content (standalone) - Design</v>
      </c>
      <c r="F2426">
        <v>700</v>
      </c>
      <c r="G2426" t="str">
        <f t="shared" si="594"/>
        <v>Y</v>
      </c>
      <c r="H2426" t="str">
        <f t="shared" si="596"/>
        <v>EA</v>
      </c>
      <c r="I2426">
        <v>0</v>
      </c>
      <c r="J2426">
        <v>0</v>
      </c>
      <c r="K2426" t="str">
        <f t="shared" si="595"/>
        <v>Y</v>
      </c>
      <c r="L2426">
        <v>0</v>
      </c>
      <c r="M2426" t="str">
        <f t="shared" si="599"/>
        <v>NIS</v>
      </c>
      <c r="O2426">
        <v>4</v>
      </c>
      <c r="P2426" t="str">
        <f>"Active"</f>
        <v>Active</v>
      </c>
      <c r="Q2426" t="str">
        <f>"License Key For LM Content Standalone"</f>
        <v>License Key For LM Content Standalone</v>
      </c>
      <c r="R2426" t="str">
        <f>"1"</f>
        <v>1</v>
      </c>
      <c r="S2426" t="str">
        <f>"License Key For LM Content Standalone"</f>
        <v>License Key For LM Content Standalone</v>
      </c>
      <c r="T2426">
        <v>0</v>
      </c>
      <c r="U2426">
        <v>18</v>
      </c>
      <c r="V2426">
        <v>18.72</v>
      </c>
      <c r="W2426" t="str">
        <f t="shared" si="609"/>
        <v>rob</v>
      </c>
    </row>
    <row r="2427" spans="1:23">
      <c r="A2427" t="str">
        <f t="shared" si="607"/>
        <v>Lmate DESIGN</v>
      </c>
      <c r="B2427" t="str">
        <f>"0E7243"</f>
        <v>0E7243</v>
      </c>
      <c r="C2427" t="str">
        <f>"LM_Content SA Vir.- CAM Milling &amp; spectraCAM"</f>
        <v>LM_Content SA Vir.- CAM Milling &amp; spectraCAM</v>
      </c>
      <c r="D2427">
        <v>1</v>
      </c>
      <c r="E2427" t="str">
        <f t="shared" si="608"/>
        <v>LearnMate Content (standalone) - Design</v>
      </c>
      <c r="F2427">
        <v>700</v>
      </c>
      <c r="G2427" t="str">
        <f t="shared" si="594"/>
        <v>Y</v>
      </c>
      <c r="H2427" t="str">
        <f t="shared" si="596"/>
        <v>EA</v>
      </c>
      <c r="I2427">
        <v>0</v>
      </c>
      <c r="J2427">
        <v>0</v>
      </c>
      <c r="K2427" t="str">
        <f t="shared" si="595"/>
        <v>Y</v>
      </c>
      <c r="L2427">
        <v>0</v>
      </c>
      <c r="M2427" t="str">
        <f t="shared" si="599"/>
        <v>NIS</v>
      </c>
      <c r="O2427">
        <v>5</v>
      </c>
      <c r="P2427" t="str">
        <f>"Active"</f>
        <v>Active</v>
      </c>
      <c r="Q2427" t="str">
        <f>"LM_Content SA Vir.- CAM Milling &amp; spectraCAM"</f>
        <v>LM_Content SA Vir.- CAM Milling &amp; spectraCAM</v>
      </c>
      <c r="S2427" t="str">
        <f>"LM_Content SA Vir.- CAM Milling &amp; spectraCAM"</f>
        <v>LM_Content SA Vir.- CAM Milling &amp; spectraCAM</v>
      </c>
      <c r="T2427">
        <v>0</v>
      </c>
      <c r="U2427">
        <v>36.299999999999997</v>
      </c>
      <c r="V2427">
        <v>35.840000000000003</v>
      </c>
      <c r="W2427" t="str">
        <f t="shared" si="609"/>
        <v>rob</v>
      </c>
    </row>
    <row r="2428" spans="1:23">
      <c r="A2428" t="str">
        <f t="shared" si="607"/>
        <v>Lmate DESIGN</v>
      </c>
      <c r="B2428" t="str">
        <f>"63-7001-0100"</f>
        <v>63-7001-0100</v>
      </c>
      <c r="C2428" t="str">
        <f>"License Key for Standalone Content"</f>
        <v>License Key for Standalone Content</v>
      </c>
      <c r="D2428">
        <v>1</v>
      </c>
      <c r="E2428" t="str">
        <f t="shared" si="608"/>
        <v>LearnMate Content (standalone) - Design</v>
      </c>
      <c r="F2428">
        <v>700</v>
      </c>
      <c r="G2428" t="str">
        <f t="shared" si="594"/>
        <v>Y</v>
      </c>
      <c r="H2428" t="str">
        <f t="shared" si="596"/>
        <v>EA</v>
      </c>
      <c r="I2428">
        <v>0</v>
      </c>
      <c r="J2428">
        <v>0</v>
      </c>
      <c r="K2428" t="str">
        <f t="shared" si="595"/>
        <v>Y</v>
      </c>
      <c r="L2428">
        <v>0</v>
      </c>
      <c r="M2428" t="str">
        <f t="shared" si="599"/>
        <v>NIS</v>
      </c>
      <c r="O2428">
        <v>6</v>
      </c>
      <c r="P2428" t="str">
        <f>"Active"</f>
        <v>Active</v>
      </c>
      <c r="Q2428" t="str">
        <f>"License Key For LM Content Standalone"</f>
        <v>License Key For LM Content Standalone</v>
      </c>
      <c r="R2428" t="str">
        <f>"1"</f>
        <v>1</v>
      </c>
      <c r="S2428" t="str">
        <f>"License Key For LM Content Standalone"</f>
        <v>License Key For LM Content Standalone</v>
      </c>
      <c r="T2428">
        <v>0</v>
      </c>
      <c r="U2428">
        <v>18</v>
      </c>
      <c r="V2428">
        <v>18.72</v>
      </c>
      <c r="W2428" t="str">
        <f t="shared" si="609"/>
        <v>rob</v>
      </c>
    </row>
    <row r="2429" spans="1:23">
      <c r="A2429" t="str">
        <f t="shared" si="607"/>
        <v>Lmate DESIGN</v>
      </c>
      <c r="B2429" t="str">
        <f>"0E7244"</f>
        <v>0E7244</v>
      </c>
      <c r="C2429" t="str">
        <f>"LM_Content SA Vir.- CAM Turn &amp;Master Lathe V9"</f>
        <v>LM_Content SA Vir.- CAM Turn &amp;Master Lathe V9</v>
      </c>
      <c r="D2429">
        <v>1</v>
      </c>
      <c r="E2429" t="str">
        <f t="shared" si="608"/>
        <v>LearnMate Content (standalone) - Design</v>
      </c>
      <c r="F2429">
        <v>700</v>
      </c>
      <c r="G2429" t="str">
        <f t="shared" si="594"/>
        <v>Y</v>
      </c>
      <c r="H2429" t="str">
        <f t="shared" si="596"/>
        <v>EA</v>
      </c>
      <c r="I2429">
        <v>0</v>
      </c>
      <c r="J2429">
        <v>0</v>
      </c>
      <c r="K2429" t="str">
        <f t="shared" si="595"/>
        <v>Y</v>
      </c>
      <c r="L2429">
        <v>0</v>
      </c>
      <c r="M2429" t="str">
        <f t="shared" si="599"/>
        <v>NIS</v>
      </c>
      <c r="O2429">
        <v>7</v>
      </c>
      <c r="P2429" t="str">
        <f>"Not for purc"</f>
        <v>Not for purc</v>
      </c>
      <c r="Q2429" t="str">
        <f>"LM_Content SA Vir.- CAM Turn &amp;Master Lathe V9"</f>
        <v>LM_Content SA Vir.- CAM Turn &amp;Master Lathe V9</v>
      </c>
      <c r="S2429" t="str">
        <f>"LM_Content SA Vir.- CAM Turn &amp;Master Lathe V9"</f>
        <v>LM_Content SA Vir.- CAM Turn &amp;Master Lathe V9</v>
      </c>
      <c r="T2429">
        <v>0</v>
      </c>
      <c r="U2429">
        <v>30.65</v>
      </c>
      <c r="V2429">
        <v>36.049999999999997</v>
      </c>
      <c r="W2429" t="str">
        <f t="shared" si="609"/>
        <v>rob</v>
      </c>
    </row>
    <row r="2430" spans="1:23">
      <c r="A2430" t="str">
        <f t="shared" si="607"/>
        <v>Lmate DESIGN</v>
      </c>
      <c r="B2430" t="str">
        <f>"63-7001-0100"</f>
        <v>63-7001-0100</v>
      </c>
      <c r="C2430" t="str">
        <f>"License Key for Standalone Content"</f>
        <v>License Key for Standalone Content</v>
      </c>
      <c r="D2430">
        <v>1</v>
      </c>
      <c r="E2430" t="str">
        <f t="shared" si="608"/>
        <v>LearnMate Content (standalone) - Design</v>
      </c>
      <c r="F2430">
        <v>700</v>
      </c>
      <c r="G2430" t="str">
        <f t="shared" si="594"/>
        <v>Y</v>
      </c>
      <c r="H2430" t="str">
        <f t="shared" si="596"/>
        <v>EA</v>
      </c>
      <c r="I2430">
        <v>0</v>
      </c>
      <c r="J2430">
        <v>0</v>
      </c>
      <c r="K2430" t="str">
        <f t="shared" si="595"/>
        <v>Y</v>
      </c>
      <c r="L2430">
        <v>0</v>
      </c>
      <c r="M2430" t="str">
        <f t="shared" si="599"/>
        <v>NIS</v>
      </c>
      <c r="O2430">
        <v>8</v>
      </c>
      <c r="P2430" t="str">
        <f>"Active"</f>
        <v>Active</v>
      </c>
      <c r="Q2430" t="str">
        <f>"License Key For LM Content Standalone"</f>
        <v>License Key For LM Content Standalone</v>
      </c>
      <c r="R2430" t="str">
        <f>"1"</f>
        <v>1</v>
      </c>
      <c r="S2430" t="str">
        <f>"License Key For LM Content Standalone"</f>
        <v>License Key For LM Content Standalone</v>
      </c>
      <c r="T2430">
        <v>0</v>
      </c>
      <c r="U2430">
        <v>18</v>
      </c>
      <c r="V2430">
        <v>18.72</v>
      </c>
      <c r="W2430" t="str">
        <f t="shared" si="609"/>
        <v>rob</v>
      </c>
    </row>
    <row r="2431" spans="1:23">
      <c r="A2431" t="str">
        <f t="shared" si="607"/>
        <v>Lmate DESIGN</v>
      </c>
      <c r="B2431" t="str">
        <f>"0E7245"</f>
        <v>0E7245</v>
      </c>
      <c r="C2431" t="str">
        <f>"LM_Content SA Vir.- CAM Turn &amp;spectraCAM Turn"</f>
        <v>LM_Content SA Vir.- CAM Turn &amp;spectraCAM Turn</v>
      </c>
      <c r="D2431">
        <v>1</v>
      </c>
      <c r="E2431" t="str">
        <f t="shared" si="608"/>
        <v>LearnMate Content (standalone) - Design</v>
      </c>
      <c r="F2431">
        <v>700</v>
      </c>
      <c r="G2431" t="str">
        <f t="shared" si="594"/>
        <v>Y</v>
      </c>
      <c r="H2431" t="str">
        <f t="shared" si="596"/>
        <v>EA</v>
      </c>
      <c r="I2431">
        <v>0</v>
      </c>
      <c r="J2431">
        <v>0</v>
      </c>
      <c r="K2431" t="str">
        <f t="shared" si="595"/>
        <v>Y</v>
      </c>
      <c r="L2431">
        <v>0</v>
      </c>
      <c r="M2431" t="str">
        <f t="shared" si="599"/>
        <v>NIS</v>
      </c>
      <c r="O2431">
        <v>9</v>
      </c>
      <c r="P2431" t="str">
        <f>"Active"</f>
        <v>Active</v>
      </c>
      <c r="Q2431" t="str">
        <f>"LM_Content SA Vir.- CAM Turn &amp;spectraCAM Turn"</f>
        <v>LM_Content SA Vir.- CAM Turn &amp;spectraCAM Turn</v>
      </c>
      <c r="S2431" t="str">
        <f>"LM_Content SA Vir.- CAM Turn &amp;spectraCAM Turn"</f>
        <v>LM_Content SA Vir.- CAM Turn &amp;spectraCAM Turn</v>
      </c>
      <c r="T2431">
        <v>0</v>
      </c>
      <c r="U2431">
        <v>36.299999999999997</v>
      </c>
      <c r="V2431">
        <v>35.840000000000003</v>
      </c>
      <c r="W2431" t="str">
        <f t="shared" si="609"/>
        <v>rob</v>
      </c>
    </row>
    <row r="2432" spans="1:23">
      <c r="A2432" t="str">
        <f t="shared" si="607"/>
        <v>Lmate DESIGN</v>
      </c>
      <c r="B2432" t="str">
        <f>"63-7001-0100"</f>
        <v>63-7001-0100</v>
      </c>
      <c r="C2432" t="str">
        <f>"License Key for Standalone Content"</f>
        <v>License Key for Standalone Content</v>
      </c>
      <c r="D2432">
        <v>1</v>
      </c>
      <c r="E2432" t="str">
        <f t="shared" si="608"/>
        <v>LearnMate Content (standalone) - Design</v>
      </c>
      <c r="F2432">
        <v>700</v>
      </c>
      <c r="G2432" t="str">
        <f t="shared" si="594"/>
        <v>Y</v>
      </c>
      <c r="H2432" t="str">
        <f t="shared" si="596"/>
        <v>EA</v>
      </c>
      <c r="I2432">
        <v>0</v>
      </c>
      <c r="J2432">
        <v>0</v>
      </c>
      <c r="K2432" t="str">
        <f t="shared" si="595"/>
        <v>Y</v>
      </c>
      <c r="L2432">
        <v>0</v>
      </c>
      <c r="M2432" t="str">
        <f t="shared" si="599"/>
        <v>NIS</v>
      </c>
      <c r="O2432">
        <v>10</v>
      </c>
      <c r="P2432" t="str">
        <f>"Active"</f>
        <v>Active</v>
      </c>
      <c r="Q2432" t="str">
        <f>"License Key For LM Content Standalone"</f>
        <v>License Key For LM Content Standalone</v>
      </c>
      <c r="R2432" t="str">
        <f>"1"</f>
        <v>1</v>
      </c>
      <c r="S2432" t="str">
        <f>"License Key For LM Content Standalone"</f>
        <v>License Key For LM Content Standalone</v>
      </c>
      <c r="T2432">
        <v>0</v>
      </c>
      <c r="U2432">
        <v>18</v>
      </c>
      <c r="V2432">
        <v>18.72</v>
      </c>
      <c r="W2432" t="str">
        <f t="shared" si="609"/>
        <v>rob</v>
      </c>
    </row>
    <row r="2433" spans="1:23">
      <c r="A2433" t="str">
        <f>"Lmate ELECTRIC"</f>
        <v>Lmate ELECTRIC</v>
      </c>
      <c r="B2433" t="str">
        <f>"0E7251"</f>
        <v>0E7251</v>
      </c>
      <c r="C2433" t="str">
        <f>"LM_Content SA Vir -E- Electrical  Systems"</f>
        <v>LM_Content SA Vir -E- Electrical  Systems</v>
      </c>
      <c r="D2433">
        <v>1</v>
      </c>
      <c r="E2433" t="str">
        <f>"LearnMate Content (standalone) - Electric Control"</f>
        <v>LearnMate Content (standalone) - Electric Control</v>
      </c>
      <c r="F2433">
        <v>700</v>
      </c>
      <c r="G2433" t="str">
        <f t="shared" si="594"/>
        <v>Y</v>
      </c>
      <c r="H2433" t="str">
        <f t="shared" si="596"/>
        <v>EA</v>
      </c>
      <c r="I2433">
        <v>0</v>
      </c>
      <c r="J2433">
        <v>0</v>
      </c>
      <c r="K2433" t="str">
        <f t="shared" si="595"/>
        <v>Y</v>
      </c>
      <c r="L2433">
        <v>0</v>
      </c>
      <c r="M2433" t="str">
        <f t="shared" si="599"/>
        <v>NIS</v>
      </c>
      <c r="O2433">
        <v>1</v>
      </c>
      <c r="P2433" t="str">
        <f>"Not for purc"</f>
        <v>Not for purc</v>
      </c>
      <c r="Q2433" t="str">
        <f>"LM_Content SA Vir -E- Electrical  Systems"</f>
        <v>LM_Content SA Vir -E- Electrical  Systems</v>
      </c>
      <c r="S2433" t="str">
        <f>"LM_Content SA Vir -E- Electrical  Systems"</f>
        <v>LM_Content SA Vir -E- Electrical  Systems</v>
      </c>
      <c r="T2433">
        <v>0</v>
      </c>
      <c r="U2433">
        <v>30.65</v>
      </c>
      <c r="V2433">
        <v>35.840000000000003</v>
      </c>
      <c r="W2433" t="str">
        <f t="shared" si="609"/>
        <v>rob</v>
      </c>
    </row>
    <row r="2434" spans="1:23">
      <c r="A2434" t="str">
        <f>"Lmate ELECTRIC"</f>
        <v>Lmate ELECTRIC</v>
      </c>
      <c r="B2434" t="str">
        <f>"63-7001-0100"</f>
        <v>63-7001-0100</v>
      </c>
      <c r="C2434" t="str">
        <f>"License Key for Standalone Content"</f>
        <v>License Key for Standalone Content</v>
      </c>
      <c r="D2434">
        <v>1</v>
      </c>
      <c r="E2434" t="str">
        <f>"LearnMate Content (standalone) - Electric Control"</f>
        <v>LearnMate Content (standalone) - Electric Control</v>
      </c>
      <c r="F2434">
        <v>700</v>
      </c>
      <c r="G2434" t="str">
        <f t="shared" ref="G2434:G2497" si="610">"Y"</f>
        <v>Y</v>
      </c>
      <c r="H2434" t="str">
        <f t="shared" si="596"/>
        <v>EA</v>
      </c>
      <c r="I2434">
        <v>0</v>
      </c>
      <c r="J2434">
        <v>0</v>
      </c>
      <c r="K2434" t="str">
        <f t="shared" ref="K2434:K2497" si="611">"Y"</f>
        <v>Y</v>
      </c>
      <c r="L2434">
        <v>0</v>
      </c>
      <c r="M2434" t="str">
        <f t="shared" si="599"/>
        <v>NIS</v>
      </c>
      <c r="O2434">
        <v>2</v>
      </c>
      <c r="P2434" t="str">
        <f>"Active"</f>
        <v>Active</v>
      </c>
      <c r="Q2434" t="str">
        <f>"License Key For LM Content Standalone"</f>
        <v>License Key For LM Content Standalone</v>
      </c>
      <c r="R2434" t="str">
        <f>"1"</f>
        <v>1</v>
      </c>
      <c r="S2434" t="str">
        <f>"License Key For LM Content Standalone"</f>
        <v>License Key For LM Content Standalone</v>
      </c>
      <c r="T2434">
        <v>0</v>
      </c>
      <c r="U2434">
        <v>18</v>
      </c>
      <c r="V2434">
        <v>18.72</v>
      </c>
      <c r="W2434" t="str">
        <f t="shared" si="609"/>
        <v>rob</v>
      </c>
    </row>
    <row r="2435" spans="1:23">
      <c r="A2435" t="str">
        <f>"Lmate ELECTRONIC"</f>
        <v>Lmate ELECTRONIC</v>
      </c>
      <c r="B2435" t="str">
        <f>"0E7252"</f>
        <v>0E7252</v>
      </c>
      <c r="C2435" t="str">
        <f>"LM_Content SA Vir.- Fundamentals Electronics"</f>
        <v>LM_Content SA Vir.- Fundamentals Electronics</v>
      </c>
      <c r="D2435">
        <v>1</v>
      </c>
      <c r="E2435" t="str">
        <f>"LearnMate Content (standalone) -Electronic"</f>
        <v>LearnMate Content (standalone) -Electronic</v>
      </c>
      <c r="F2435">
        <v>700</v>
      </c>
      <c r="G2435" t="str">
        <f t="shared" si="610"/>
        <v>Y</v>
      </c>
      <c r="H2435" t="str">
        <f t="shared" si="596"/>
        <v>EA</v>
      </c>
      <c r="I2435">
        <v>0</v>
      </c>
      <c r="J2435">
        <v>0</v>
      </c>
      <c r="K2435" t="str">
        <f t="shared" si="611"/>
        <v>Y</v>
      </c>
      <c r="L2435">
        <v>0</v>
      </c>
      <c r="M2435" t="str">
        <f t="shared" si="599"/>
        <v>NIS</v>
      </c>
      <c r="O2435">
        <v>1</v>
      </c>
      <c r="P2435" t="str">
        <f>"Not for purc"</f>
        <v>Not for purc</v>
      </c>
      <c r="Q2435" t="str">
        <f>"LM_Content SA Vir.- Fundamentals Electronics"</f>
        <v>LM_Content SA Vir.- Fundamentals Electronics</v>
      </c>
      <c r="S2435" t="str">
        <f>"LM_Content SA Vir.- Fundamentals Electronics"</f>
        <v>LM_Content SA Vir.- Fundamentals Electronics</v>
      </c>
      <c r="T2435">
        <v>0</v>
      </c>
      <c r="U2435">
        <v>30.65</v>
      </c>
      <c r="V2435">
        <v>35.840000000000003</v>
      </c>
      <c r="W2435" t="str">
        <f t="shared" si="609"/>
        <v>rob</v>
      </c>
    </row>
    <row r="2436" spans="1:23">
      <c r="A2436" t="str">
        <f>"Lmate ELECTRONIC"</f>
        <v>Lmate ELECTRONIC</v>
      </c>
      <c r="B2436" t="str">
        <f>"63-7001-0100"</f>
        <v>63-7001-0100</v>
      </c>
      <c r="C2436" t="str">
        <f>"License Key for Standalone Content"</f>
        <v>License Key for Standalone Content</v>
      </c>
      <c r="D2436">
        <v>1</v>
      </c>
      <c r="E2436" t="str">
        <f>"LearnMate Content (standalone) -Electronic"</f>
        <v>LearnMate Content (standalone) -Electronic</v>
      </c>
      <c r="F2436">
        <v>700</v>
      </c>
      <c r="G2436" t="str">
        <f t="shared" si="610"/>
        <v>Y</v>
      </c>
      <c r="H2436" t="str">
        <f t="shared" si="596"/>
        <v>EA</v>
      </c>
      <c r="I2436">
        <v>0</v>
      </c>
      <c r="J2436">
        <v>0</v>
      </c>
      <c r="K2436" t="str">
        <f t="shared" si="611"/>
        <v>Y</v>
      </c>
      <c r="L2436">
        <v>0</v>
      </c>
      <c r="M2436" t="str">
        <f t="shared" si="599"/>
        <v>NIS</v>
      </c>
      <c r="O2436">
        <v>2</v>
      </c>
      <c r="P2436" t="str">
        <f>"Active"</f>
        <v>Active</v>
      </c>
      <c r="Q2436" t="str">
        <f>"License Key For LM Content Standalone"</f>
        <v>License Key For LM Content Standalone</v>
      </c>
      <c r="R2436" t="str">
        <f>"1"</f>
        <v>1</v>
      </c>
      <c r="S2436" t="str">
        <f>"License Key For LM Content Standalone"</f>
        <v>License Key For LM Content Standalone</v>
      </c>
      <c r="T2436">
        <v>0</v>
      </c>
      <c r="U2436">
        <v>18</v>
      </c>
      <c r="V2436">
        <v>18.72</v>
      </c>
      <c r="W2436" t="str">
        <f t="shared" si="609"/>
        <v>rob</v>
      </c>
    </row>
    <row r="2437" spans="1:23">
      <c r="A2437" t="str">
        <f>"Lmate ELECTRONIC"</f>
        <v>Lmate ELECTRONIC</v>
      </c>
      <c r="B2437" t="str">
        <f>"0E7267"</f>
        <v>0E7267</v>
      </c>
      <c r="C2437" t="str">
        <f>"LM_Content SA Vir -E- Advanced  Electronics"</f>
        <v>LM_Content SA Vir -E- Advanced  Electronics</v>
      </c>
      <c r="D2437">
        <v>1</v>
      </c>
      <c r="E2437" t="str">
        <f>"LearnMate Content (standalone) -Electronic"</f>
        <v>LearnMate Content (standalone) -Electronic</v>
      </c>
      <c r="F2437">
        <v>700</v>
      </c>
      <c r="G2437" t="str">
        <f t="shared" si="610"/>
        <v>Y</v>
      </c>
      <c r="H2437" t="str">
        <f t="shared" si="596"/>
        <v>EA</v>
      </c>
      <c r="I2437">
        <v>0</v>
      </c>
      <c r="J2437">
        <v>0</v>
      </c>
      <c r="K2437" t="str">
        <f t="shared" si="611"/>
        <v>Y</v>
      </c>
      <c r="L2437">
        <v>0</v>
      </c>
      <c r="M2437" t="str">
        <f t="shared" si="599"/>
        <v>NIS</v>
      </c>
      <c r="O2437">
        <v>3</v>
      </c>
      <c r="P2437" t="str">
        <f>"Not for purc"</f>
        <v>Not for purc</v>
      </c>
      <c r="Q2437" t="str">
        <f>"LM_Content SA Vir -E- Advanced  Electronics"</f>
        <v>LM_Content SA Vir -E- Advanced  Electronics</v>
      </c>
      <c r="S2437" t="str">
        <f>"LM_Content SA Vir -E- Advanced  Electronics"</f>
        <v>LM_Content SA Vir -E- Advanced  Electronics</v>
      </c>
      <c r="T2437">
        <v>0</v>
      </c>
      <c r="U2437">
        <v>30.65</v>
      </c>
      <c r="V2437">
        <v>35.840000000000003</v>
      </c>
      <c r="W2437" t="str">
        <f t="shared" si="609"/>
        <v>rob</v>
      </c>
    </row>
    <row r="2438" spans="1:23">
      <c r="A2438" t="str">
        <f>"Lmate ELECTRONIC"</f>
        <v>Lmate ELECTRONIC</v>
      </c>
      <c r="B2438" t="str">
        <f>"63-7001-0100"</f>
        <v>63-7001-0100</v>
      </c>
      <c r="C2438" t="str">
        <f>"License Key for Standalone Content"</f>
        <v>License Key for Standalone Content</v>
      </c>
      <c r="D2438">
        <v>1</v>
      </c>
      <c r="E2438" t="str">
        <f>"LearnMate Content (standalone) -Electronic"</f>
        <v>LearnMate Content (standalone) -Electronic</v>
      </c>
      <c r="F2438">
        <v>700</v>
      </c>
      <c r="G2438" t="str">
        <f t="shared" si="610"/>
        <v>Y</v>
      </c>
      <c r="H2438" t="str">
        <f t="shared" si="596"/>
        <v>EA</v>
      </c>
      <c r="I2438">
        <v>0</v>
      </c>
      <c r="J2438">
        <v>0</v>
      </c>
      <c r="K2438" t="str">
        <f t="shared" si="611"/>
        <v>Y</v>
      </c>
      <c r="L2438">
        <v>0</v>
      </c>
      <c r="M2438" t="str">
        <f t="shared" si="599"/>
        <v>NIS</v>
      </c>
      <c r="O2438">
        <v>4</v>
      </c>
      <c r="P2438" t="str">
        <f>"Active"</f>
        <v>Active</v>
      </c>
      <c r="Q2438" t="str">
        <f>"License Key For LM Content Standalone"</f>
        <v>License Key For LM Content Standalone</v>
      </c>
      <c r="R2438" t="str">
        <f>"1"</f>
        <v>1</v>
      </c>
      <c r="S2438" t="str">
        <f>"License Key For LM Content Standalone"</f>
        <v>License Key For LM Content Standalone</v>
      </c>
      <c r="T2438">
        <v>0</v>
      </c>
      <c r="U2438">
        <v>18</v>
      </c>
      <c r="V2438">
        <v>18.72</v>
      </c>
      <c r="W2438" t="str">
        <f t="shared" si="609"/>
        <v>rob</v>
      </c>
    </row>
    <row r="2439" spans="1:23">
      <c r="A2439" t="str">
        <f t="shared" ref="A2439:A2456" si="612">"Lmate ENVIR"</f>
        <v>Lmate ENVIR</v>
      </c>
      <c r="B2439" t="str">
        <f>"12-3057-9000"</f>
        <v>12-3057-9000</v>
      </c>
      <c r="C2439" t="str">
        <f>"LM_Content SA Vir Introd To Environmental Engin."</f>
        <v>LM_Content SA Vir Introd To Environmental Engin.</v>
      </c>
      <c r="D2439">
        <v>1</v>
      </c>
      <c r="E2439" t="str">
        <f t="shared" ref="E2439:E2456" si="613">"LearnMate Content Environment &amp; Civil Engineering"</f>
        <v>LearnMate Content Environment &amp; Civil Engineering</v>
      </c>
      <c r="F2439">
        <v>700</v>
      </c>
      <c r="G2439" t="str">
        <f t="shared" si="610"/>
        <v>Y</v>
      </c>
      <c r="H2439" t="str">
        <f t="shared" si="596"/>
        <v>EA</v>
      </c>
      <c r="I2439">
        <v>0</v>
      </c>
      <c r="J2439">
        <v>0</v>
      </c>
      <c r="K2439" t="str">
        <f t="shared" si="611"/>
        <v>Y</v>
      </c>
      <c r="L2439">
        <v>0</v>
      </c>
      <c r="M2439" t="str">
        <f t="shared" si="599"/>
        <v>NIS</v>
      </c>
      <c r="O2439">
        <v>1</v>
      </c>
      <c r="P2439" t="str">
        <f>"Not for purc"</f>
        <v>Not for purc</v>
      </c>
      <c r="Q2439" t="str">
        <f>"LM_Content SA Vir Introd To Environmental Engin."</f>
        <v>LM_Content SA Vir Introd To Environmental Engin.</v>
      </c>
      <c r="S2439" t="str">
        <f>"LM_Content SA Vir Introd To Environmental Engin."</f>
        <v>LM_Content SA Vir Introd To Environmental Engin.</v>
      </c>
      <c r="T2439">
        <v>0</v>
      </c>
      <c r="U2439">
        <v>30.65</v>
      </c>
      <c r="V2439">
        <v>35.840000000000003</v>
      </c>
      <c r="W2439" t="str">
        <f t="shared" si="609"/>
        <v>rob</v>
      </c>
    </row>
    <row r="2440" spans="1:23">
      <c r="A2440" t="str">
        <f t="shared" si="612"/>
        <v>Lmate ENVIR</v>
      </c>
      <c r="B2440" t="str">
        <f>"63-7001-0100"</f>
        <v>63-7001-0100</v>
      </c>
      <c r="C2440" t="str">
        <f>"License Key for Standalone Content"</f>
        <v>License Key for Standalone Content</v>
      </c>
      <c r="D2440">
        <v>1</v>
      </c>
      <c r="E2440" t="str">
        <f t="shared" si="613"/>
        <v>LearnMate Content Environment &amp; Civil Engineering</v>
      </c>
      <c r="F2440">
        <v>700</v>
      </c>
      <c r="G2440" t="str">
        <f t="shared" si="610"/>
        <v>Y</v>
      </c>
      <c r="H2440" t="str">
        <f t="shared" si="596"/>
        <v>EA</v>
      </c>
      <c r="I2440">
        <v>0</v>
      </c>
      <c r="J2440">
        <v>0</v>
      </c>
      <c r="K2440" t="str">
        <f t="shared" si="611"/>
        <v>Y</v>
      </c>
      <c r="L2440">
        <v>0</v>
      </c>
      <c r="M2440" t="str">
        <f t="shared" si="599"/>
        <v>NIS</v>
      </c>
      <c r="O2440">
        <v>2</v>
      </c>
      <c r="P2440" t="str">
        <f>"Active"</f>
        <v>Active</v>
      </c>
      <c r="Q2440" t="str">
        <f>"License Key For LM Content Standalone"</f>
        <v>License Key For LM Content Standalone</v>
      </c>
      <c r="R2440" t="str">
        <f>"1"</f>
        <v>1</v>
      </c>
      <c r="S2440" t="str">
        <f>"License Key For LM Content Standalone"</f>
        <v>License Key For LM Content Standalone</v>
      </c>
      <c r="T2440">
        <v>0</v>
      </c>
      <c r="U2440">
        <v>18</v>
      </c>
      <c r="V2440">
        <v>18.72</v>
      </c>
      <c r="W2440" t="str">
        <f t="shared" si="609"/>
        <v>rob</v>
      </c>
    </row>
    <row r="2441" spans="1:23">
      <c r="A2441" t="str">
        <f t="shared" si="612"/>
        <v>Lmate ENVIR</v>
      </c>
      <c r="B2441" t="str">
        <f>"12-3058-9000"</f>
        <v>12-3058-9000</v>
      </c>
      <c r="C2441" t="str">
        <f>"LM_Content SA Vir.-Introd. WasteWater Managemnt"</f>
        <v>LM_Content SA Vir.-Introd. WasteWater Managemnt</v>
      </c>
      <c r="D2441">
        <v>1</v>
      </c>
      <c r="E2441" t="str">
        <f t="shared" si="613"/>
        <v>LearnMate Content Environment &amp; Civil Engineering</v>
      </c>
      <c r="F2441">
        <v>700</v>
      </c>
      <c r="G2441" t="str">
        <f t="shared" si="610"/>
        <v>Y</v>
      </c>
      <c r="H2441" t="str">
        <f t="shared" si="596"/>
        <v>EA</v>
      </c>
      <c r="I2441">
        <v>0</v>
      </c>
      <c r="J2441">
        <v>0</v>
      </c>
      <c r="K2441" t="str">
        <f t="shared" si="611"/>
        <v>Y</v>
      </c>
      <c r="L2441">
        <v>0</v>
      </c>
      <c r="M2441" t="str">
        <f t="shared" si="599"/>
        <v>NIS</v>
      </c>
      <c r="O2441">
        <v>3</v>
      </c>
      <c r="P2441" t="str">
        <f>"Not for purc"</f>
        <v>Not for purc</v>
      </c>
      <c r="Q2441" t="str">
        <f>"LM_Content SA Vir.-Introd. WasteWater Managemnt"</f>
        <v>LM_Content SA Vir.-Introd. WasteWater Managemnt</v>
      </c>
      <c r="S2441" t="str">
        <f>"LM_Content SA Vir.-Introd. WasteWater Managemnt"</f>
        <v>LM_Content SA Vir.-Introd. WasteWater Managemnt</v>
      </c>
      <c r="T2441">
        <v>0</v>
      </c>
      <c r="U2441">
        <v>30.65</v>
      </c>
      <c r="V2441">
        <v>35.840000000000003</v>
      </c>
      <c r="W2441" t="str">
        <f t="shared" si="609"/>
        <v>rob</v>
      </c>
    </row>
    <row r="2442" spans="1:23">
      <c r="A2442" t="str">
        <f t="shared" si="612"/>
        <v>Lmate ENVIR</v>
      </c>
      <c r="B2442" t="str">
        <f>"63-7001-0100"</f>
        <v>63-7001-0100</v>
      </c>
      <c r="C2442" t="str">
        <f>"License Key for Standalone Content"</f>
        <v>License Key for Standalone Content</v>
      </c>
      <c r="D2442">
        <v>1</v>
      </c>
      <c r="E2442" t="str">
        <f t="shared" si="613"/>
        <v>LearnMate Content Environment &amp; Civil Engineering</v>
      </c>
      <c r="F2442">
        <v>700</v>
      </c>
      <c r="G2442" t="str">
        <f t="shared" si="610"/>
        <v>Y</v>
      </c>
      <c r="H2442" t="str">
        <f t="shared" si="596"/>
        <v>EA</v>
      </c>
      <c r="I2442">
        <v>0</v>
      </c>
      <c r="J2442">
        <v>0</v>
      </c>
      <c r="K2442" t="str">
        <f t="shared" si="611"/>
        <v>Y</v>
      </c>
      <c r="L2442">
        <v>0</v>
      </c>
      <c r="M2442" t="str">
        <f t="shared" si="599"/>
        <v>NIS</v>
      </c>
      <c r="O2442">
        <v>4</v>
      </c>
      <c r="P2442" t="str">
        <f>"Active"</f>
        <v>Active</v>
      </c>
      <c r="Q2442" t="str">
        <f>"License Key For LM Content Standalone"</f>
        <v>License Key For LM Content Standalone</v>
      </c>
      <c r="R2442" t="str">
        <f>"1"</f>
        <v>1</v>
      </c>
      <c r="S2442" t="str">
        <f>"License Key For LM Content Standalone"</f>
        <v>License Key For LM Content Standalone</v>
      </c>
      <c r="T2442">
        <v>0</v>
      </c>
      <c r="U2442">
        <v>18</v>
      </c>
      <c r="V2442">
        <v>18.72</v>
      </c>
      <c r="W2442" t="str">
        <f t="shared" si="609"/>
        <v>rob</v>
      </c>
    </row>
    <row r="2443" spans="1:23">
      <c r="A2443" t="str">
        <f t="shared" si="612"/>
        <v>Lmate ENVIR</v>
      </c>
      <c r="B2443" t="str">
        <f>"12-3059-9000"</f>
        <v>12-3059-9000</v>
      </c>
      <c r="C2443" t="str">
        <f>"LM_Content SA Vir Introd To Water Supply Eng."</f>
        <v>LM_Content SA Vir Introd To Water Supply Eng.</v>
      </c>
      <c r="D2443">
        <v>1</v>
      </c>
      <c r="E2443" t="str">
        <f t="shared" si="613"/>
        <v>LearnMate Content Environment &amp; Civil Engineering</v>
      </c>
      <c r="F2443">
        <v>700</v>
      </c>
      <c r="G2443" t="str">
        <f t="shared" si="610"/>
        <v>Y</v>
      </c>
      <c r="H2443" t="str">
        <f t="shared" si="596"/>
        <v>EA</v>
      </c>
      <c r="I2443">
        <v>0</v>
      </c>
      <c r="J2443">
        <v>0</v>
      </c>
      <c r="K2443" t="str">
        <f t="shared" si="611"/>
        <v>Y</v>
      </c>
      <c r="L2443">
        <v>0</v>
      </c>
      <c r="M2443" t="str">
        <f t="shared" si="599"/>
        <v>NIS</v>
      </c>
      <c r="O2443">
        <v>5</v>
      </c>
      <c r="P2443" t="str">
        <f>"Not for purc"</f>
        <v>Not for purc</v>
      </c>
      <c r="Q2443" t="str">
        <f>"LM_Content SA Vir Introd To Water Supply Eng."</f>
        <v>LM_Content SA Vir Introd To Water Supply Eng.</v>
      </c>
      <c r="S2443" t="str">
        <f>"LM_Content SA Vir Introd To Water Supply Eng."</f>
        <v>LM_Content SA Vir Introd To Water Supply Eng.</v>
      </c>
      <c r="T2443">
        <v>0</v>
      </c>
      <c r="U2443">
        <v>30.65</v>
      </c>
      <c r="V2443">
        <v>35.840000000000003</v>
      </c>
      <c r="W2443" t="str">
        <f t="shared" si="609"/>
        <v>rob</v>
      </c>
    </row>
    <row r="2444" spans="1:23">
      <c r="A2444" t="str">
        <f t="shared" si="612"/>
        <v>Lmate ENVIR</v>
      </c>
      <c r="B2444" t="str">
        <f>"63-7001-0100"</f>
        <v>63-7001-0100</v>
      </c>
      <c r="C2444" t="str">
        <f>"License Key for Standalone Content"</f>
        <v>License Key for Standalone Content</v>
      </c>
      <c r="D2444">
        <v>1</v>
      </c>
      <c r="E2444" t="str">
        <f t="shared" si="613"/>
        <v>LearnMate Content Environment &amp; Civil Engineering</v>
      </c>
      <c r="F2444">
        <v>700</v>
      </c>
      <c r="G2444" t="str">
        <f t="shared" si="610"/>
        <v>Y</v>
      </c>
      <c r="H2444" t="str">
        <f t="shared" si="596"/>
        <v>EA</v>
      </c>
      <c r="I2444">
        <v>0</v>
      </c>
      <c r="J2444">
        <v>0</v>
      </c>
      <c r="K2444" t="str">
        <f t="shared" si="611"/>
        <v>Y</v>
      </c>
      <c r="L2444">
        <v>0</v>
      </c>
      <c r="M2444" t="str">
        <f t="shared" si="599"/>
        <v>NIS</v>
      </c>
      <c r="O2444">
        <v>6</v>
      </c>
      <c r="P2444" t="str">
        <f>"Active"</f>
        <v>Active</v>
      </c>
      <c r="Q2444" t="str">
        <f>"License Key For LM Content Standalone"</f>
        <v>License Key For LM Content Standalone</v>
      </c>
      <c r="R2444" t="str">
        <f>"1"</f>
        <v>1</v>
      </c>
      <c r="S2444" t="str">
        <f>"License Key For LM Content Standalone"</f>
        <v>License Key For LM Content Standalone</v>
      </c>
      <c r="T2444">
        <v>0</v>
      </c>
      <c r="U2444">
        <v>18</v>
      </c>
      <c r="V2444">
        <v>18.72</v>
      </c>
      <c r="W2444" t="str">
        <f t="shared" si="609"/>
        <v>rob</v>
      </c>
    </row>
    <row r="2445" spans="1:23">
      <c r="A2445" t="str">
        <f t="shared" si="612"/>
        <v>Lmate ENVIR</v>
      </c>
      <c r="B2445" t="str">
        <f>"12-3060-9000"</f>
        <v>12-3060-9000</v>
      </c>
      <c r="C2445" t="str">
        <f>"LM_Content SA Vir.- Introd to Enviro Pollution"</f>
        <v>LM_Content SA Vir.- Introd to Enviro Pollution</v>
      </c>
      <c r="D2445">
        <v>1</v>
      </c>
      <c r="E2445" t="str">
        <f t="shared" si="613"/>
        <v>LearnMate Content Environment &amp; Civil Engineering</v>
      </c>
      <c r="F2445">
        <v>700</v>
      </c>
      <c r="G2445" t="str">
        <f t="shared" si="610"/>
        <v>Y</v>
      </c>
      <c r="H2445" t="str">
        <f t="shared" si="596"/>
        <v>EA</v>
      </c>
      <c r="I2445">
        <v>0</v>
      </c>
      <c r="J2445">
        <v>0</v>
      </c>
      <c r="K2445" t="str">
        <f t="shared" si="611"/>
        <v>Y</v>
      </c>
      <c r="L2445">
        <v>0</v>
      </c>
      <c r="M2445" t="str">
        <f t="shared" si="599"/>
        <v>NIS</v>
      </c>
      <c r="O2445">
        <v>7</v>
      </c>
      <c r="P2445" t="str">
        <f>"Not for purc"</f>
        <v>Not for purc</v>
      </c>
      <c r="Q2445" t="str">
        <f>"LM_Content SA Vir.- Introd to Enviro Pollution"</f>
        <v>LM_Content SA Vir.- Introd to Enviro Pollution</v>
      </c>
      <c r="S2445" t="str">
        <f>"LM_Content SA Vir.- Introd to Enviro Pollution"</f>
        <v>LM_Content SA Vir.- Introd to Enviro Pollution</v>
      </c>
      <c r="T2445">
        <v>0</v>
      </c>
      <c r="U2445">
        <v>30.65</v>
      </c>
      <c r="V2445">
        <v>35.840000000000003</v>
      </c>
      <c r="W2445" t="str">
        <f t="shared" si="609"/>
        <v>rob</v>
      </c>
    </row>
    <row r="2446" spans="1:23">
      <c r="A2446" t="str">
        <f t="shared" si="612"/>
        <v>Lmate ENVIR</v>
      </c>
      <c r="B2446" t="str">
        <f>"63-7001-0100"</f>
        <v>63-7001-0100</v>
      </c>
      <c r="C2446" t="str">
        <f>"License Key for Standalone Content"</f>
        <v>License Key for Standalone Content</v>
      </c>
      <c r="D2446">
        <v>1</v>
      </c>
      <c r="E2446" t="str">
        <f t="shared" si="613"/>
        <v>LearnMate Content Environment &amp; Civil Engineering</v>
      </c>
      <c r="F2446">
        <v>700</v>
      </c>
      <c r="G2446" t="str">
        <f t="shared" si="610"/>
        <v>Y</v>
      </c>
      <c r="H2446" t="str">
        <f t="shared" si="596"/>
        <v>EA</v>
      </c>
      <c r="I2446">
        <v>0</v>
      </c>
      <c r="J2446">
        <v>0</v>
      </c>
      <c r="K2446" t="str">
        <f t="shared" si="611"/>
        <v>Y</v>
      </c>
      <c r="L2446">
        <v>0</v>
      </c>
      <c r="M2446" t="str">
        <f t="shared" si="599"/>
        <v>NIS</v>
      </c>
      <c r="O2446">
        <v>8</v>
      </c>
      <c r="P2446" t="str">
        <f>"Active"</f>
        <v>Active</v>
      </c>
      <c r="Q2446" t="str">
        <f>"License Key For LM Content Standalone"</f>
        <v>License Key For LM Content Standalone</v>
      </c>
      <c r="R2446" t="str">
        <f>"1"</f>
        <v>1</v>
      </c>
      <c r="S2446" t="str">
        <f>"License Key For LM Content Standalone"</f>
        <v>License Key For LM Content Standalone</v>
      </c>
      <c r="T2446">
        <v>0</v>
      </c>
      <c r="U2446">
        <v>18</v>
      </c>
      <c r="V2446">
        <v>18.72</v>
      </c>
      <c r="W2446" t="str">
        <f t="shared" si="609"/>
        <v>rob</v>
      </c>
    </row>
    <row r="2447" spans="1:23">
      <c r="A2447" t="str">
        <f t="shared" si="612"/>
        <v>Lmate ENVIR</v>
      </c>
      <c r="B2447" t="str">
        <f>"12-3052-9000"</f>
        <v>12-3052-9000</v>
      </c>
      <c r="C2447" t="str">
        <f>"LM_Content SA Vir Introd to Construction Tech"</f>
        <v>LM_Content SA Vir Introd to Construction Tech</v>
      </c>
      <c r="D2447">
        <v>1</v>
      </c>
      <c r="E2447" t="str">
        <f t="shared" si="613"/>
        <v>LearnMate Content Environment &amp; Civil Engineering</v>
      </c>
      <c r="F2447">
        <v>700</v>
      </c>
      <c r="G2447" t="str">
        <f t="shared" si="610"/>
        <v>Y</v>
      </c>
      <c r="H2447" t="str">
        <f t="shared" si="596"/>
        <v>EA</v>
      </c>
      <c r="I2447">
        <v>0</v>
      </c>
      <c r="J2447">
        <v>0</v>
      </c>
      <c r="K2447" t="str">
        <f t="shared" si="611"/>
        <v>Y</v>
      </c>
      <c r="L2447">
        <v>0</v>
      </c>
      <c r="M2447" t="str">
        <f t="shared" si="599"/>
        <v>NIS</v>
      </c>
      <c r="O2447">
        <v>9</v>
      </c>
      <c r="P2447" t="str">
        <f>"Not for purc"</f>
        <v>Not for purc</v>
      </c>
      <c r="Q2447" t="str">
        <f>"LM_Content SA Vir Introd to Construction Tech"</f>
        <v>LM_Content SA Vir Introd to Construction Tech</v>
      </c>
      <c r="S2447" t="str">
        <f>"LM_Content SA Vir Introd to Construction Tech"</f>
        <v>LM_Content SA Vir Introd to Construction Tech</v>
      </c>
      <c r="T2447">
        <v>0</v>
      </c>
      <c r="U2447">
        <v>30.65</v>
      </c>
      <c r="V2447">
        <v>35.840000000000003</v>
      </c>
      <c r="W2447" t="str">
        <f t="shared" si="609"/>
        <v>rob</v>
      </c>
    </row>
    <row r="2448" spans="1:23">
      <c r="A2448" t="str">
        <f t="shared" si="612"/>
        <v>Lmate ENVIR</v>
      </c>
      <c r="B2448" t="str">
        <f>"63-7001-0100"</f>
        <v>63-7001-0100</v>
      </c>
      <c r="C2448" t="str">
        <f>"License Key for Standalone Content"</f>
        <v>License Key for Standalone Content</v>
      </c>
      <c r="D2448">
        <v>1</v>
      </c>
      <c r="E2448" t="str">
        <f t="shared" si="613"/>
        <v>LearnMate Content Environment &amp; Civil Engineering</v>
      </c>
      <c r="F2448">
        <v>700</v>
      </c>
      <c r="G2448" t="str">
        <f t="shared" si="610"/>
        <v>Y</v>
      </c>
      <c r="H2448" t="str">
        <f t="shared" si="596"/>
        <v>EA</v>
      </c>
      <c r="I2448">
        <v>0</v>
      </c>
      <c r="J2448">
        <v>0</v>
      </c>
      <c r="K2448" t="str">
        <f t="shared" si="611"/>
        <v>Y</v>
      </c>
      <c r="L2448">
        <v>0</v>
      </c>
      <c r="M2448" t="str">
        <f t="shared" si="599"/>
        <v>NIS</v>
      </c>
      <c r="O2448">
        <v>10</v>
      </c>
      <c r="P2448" t="str">
        <f>"Active"</f>
        <v>Active</v>
      </c>
      <c r="Q2448" t="str">
        <f>"License Key For LM Content Standalone"</f>
        <v>License Key For LM Content Standalone</v>
      </c>
      <c r="R2448" t="str">
        <f>"1"</f>
        <v>1</v>
      </c>
      <c r="S2448" t="str">
        <f>"License Key For LM Content Standalone"</f>
        <v>License Key For LM Content Standalone</v>
      </c>
      <c r="T2448">
        <v>0</v>
      </c>
      <c r="U2448">
        <v>18</v>
      </c>
      <c r="V2448">
        <v>18.72</v>
      </c>
      <c r="W2448" t="str">
        <f t="shared" si="609"/>
        <v>rob</v>
      </c>
    </row>
    <row r="2449" spans="1:23">
      <c r="A2449" t="str">
        <f t="shared" si="612"/>
        <v>Lmate ENVIR</v>
      </c>
      <c r="B2449" t="str">
        <f>"12-3053-9000"</f>
        <v>12-3053-9000</v>
      </c>
      <c r="C2449" t="str">
        <f>"LM_Content SA Vir.-Construction Tech-Bridge Eng."</f>
        <v>LM_Content SA Vir.-Construction Tech-Bridge Eng.</v>
      </c>
      <c r="D2449">
        <v>1</v>
      </c>
      <c r="E2449" t="str">
        <f t="shared" si="613"/>
        <v>LearnMate Content Environment &amp; Civil Engineering</v>
      </c>
      <c r="F2449">
        <v>700</v>
      </c>
      <c r="G2449" t="str">
        <f t="shared" si="610"/>
        <v>Y</v>
      </c>
      <c r="H2449" t="str">
        <f t="shared" ref="H2449:H2512" si="614">"EA"</f>
        <v>EA</v>
      </c>
      <c r="I2449">
        <v>0</v>
      </c>
      <c r="J2449">
        <v>0</v>
      </c>
      <c r="K2449" t="str">
        <f t="shared" si="611"/>
        <v>Y</v>
      </c>
      <c r="L2449">
        <v>0</v>
      </c>
      <c r="M2449" t="str">
        <f t="shared" si="599"/>
        <v>NIS</v>
      </c>
      <c r="O2449">
        <v>11</v>
      </c>
      <c r="P2449" t="str">
        <f>"Not for purc"</f>
        <v>Not for purc</v>
      </c>
      <c r="Q2449" t="str">
        <f>"LM_Content SA Vir.-Construction Tech-Bridge Eng."</f>
        <v>LM_Content SA Vir.-Construction Tech-Bridge Eng.</v>
      </c>
      <c r="S2449" t="str">
        <f>"LM_Content SA Vir.-Construction Tech-Bridge Eng."</f>
        <v>LM_Content SA Vir.-Construction Tech-Bridge Eng.</v>
      </c>
      <c r="T2449">
        <v>0</v>
      </c>
      <c r="U2449">
        <v>30.65</v>
      </c>
      <c r="V2449">
        <v>35.840000000000003</v>
      </c>
      <c r="W2449" t="str">
        <f t="shared" si="609"/>
        <v>rob</v>
      </c>
    </row>
    <row r="2450" spans="1:23">
      <c r="A2450" t="str">
        <f t="shared" si="612"/>
        <v>Lmate ENVIR</v>
      </c>
      <c r="B2450" t="str">
        <f>"63-7001-0100"</f>
        <v>63-7001-0100</v>
      </c>
      <c r="C2450" t="str">
        <f>"License Key for Standalone Content"</f>
        <v>License Key for Standalone Content</v>
      </c>
      <c r="D2450">
        <v>1</v>
      </c>
      <c r="E2450" t="str">
        <f t="shared" si="613"/>
        <v>LearnMate Content Environment &amp; Civil Engineering</v>
      </c>
      <c r="F2450">
        <v>700</v>
      </c>
      <c r="G2450" t="str">
        <f t="shared" si="610"/>
        <v>Y</v>
      </c>
      <c r="H2450" t="str">
        <f t="shared" si="614"/>
        <v>EA</v>
      </c>
      <c r="I2450">
        <v>0</v>
      </c>
      <c r="J2450">
        <v>0</v>
      </c>
      <c r="K2450" t="str">
        <f t="shared" si="611"/>
        <v>Y</v>
      </c>
      <c r="L2450">
        <v>0</v>
      </c>
      <c r="M2450" t="str">
        <f t="shared" si="599"/>
        <v>NIS</v>
      </c>
      <c r="O2450">
        <v>12</v>
      </c>
      <c r="P2450" t="str">
        <f>"Active"</f>
        <v>Active</v>
      </c>
      <c r="Q2450" t="str">
        <f>"License Key For LM Content Standalone"</f>
        <v>License Key For LM Content Standalone</v>
      </c>
      <c r="R2450" t="str">
        <f>"1"</f>
        <v>1</v>
      </c>
      <c r="S2450" t="str">
        <f>"License Key For LM Content Standalone"</f>
        <v>License Key For LM Content Standalone</v>
      </c>
      <c r="T2450">
        <v>0</v>
      </c>
      <c r="U2450">
        <v>18</v>
      </c>
      <c r="V2450">
        <v>18.72</v>
      </c>
      <c r="W2450" t="str">
        <f t="shared" si="609"/>
        <v>rob</v>
      </c>
    </row>
    <row r="2451" spans="1:23">
      <c r="A2451" t="str">
        <f t="shared" si="612"/>
        <v>Lmate ENVIR</v>
      </c>
      <c r="B2451" t="str">
        <f>"12-3054-9000"</f>
        <v>12-3054-9000</v>
      </c>
      <c r="C2451" t="str">
        <f>"LM_Content SA Vir.-Constructn Tech: Fluids &amp;Hydr"</f>
        <v>LM_Content SA Vir.-Constructn Tech: Fluids &amp;Hydr</v>
      </c>
      <c r="D2451">
        <v>1</v>
      </c>
      <c r="E2451" t="str">
        <f t="shared" si="613"/>
        <v>LearnMate Content Environment &amp; Civil Engineering</v>
      </c>
      <c r="F2451">
        <v>700</v>
      </c>
      <c r="G2451" t="str">
        <f t="shared" si="610"/>
        <v>Y</v>
      </c>
      <c r="H2451" t="str">
        <f t="shared" si="614"/>
        <v>EA</v>
      </c>
      <c r="I2451">
        <v>0</v>
      </c>
      <c r="J2451">
        <v>0</v>
      </c>
      <c r="K2451" t="str">
        <f t="shared" si="611"/>
        <v>Y</v>
      </c>
      <c r="L2451">
        <v>0</v>
      </c>
      <c r="M2451" t="str">
        <f t="shared" si="599"/>
        <v>NIS</v>
      </c>
      <c r="O2451">
        <v>13</v>
      </c>
      <c r="P2451" t="str">
        <f>"Not for purc"</f>
        <v>Not for purc</v>
      </c>
      <c r="Q2451" t="str">
        <f>"LM_Content SA Vir.-Constructn Tech: Fluids &amp;Hydr"</f>
        <v>LM_Content SA Vir.-Constructn Tech: Fluids &amp;Hydr</v>
      </c>
      <c r="S2451" t="str">
        <f>"LM_Content SA Vir.-Constructn Tech: Fluids &amp;Hydr"</f>
        <v>LM_Content SA Vir.-Constructn Tech: Fluids &amp;Hydr</v>
      </c>
      <c r="T2451">
        <v>0</v>
      </c>
      <c r="U2451">
        <v>30.65</v>
      </c>
      <c r="V2451">
        <v>35.840000000000003</v>
      </c>
      <c r="W2451" t="str">
        <f t="shared" si="609"/>
        <v>rob</v>
      </c>
    </row>
    <row r="2452" spans="1:23">
      <c r="A2452" t="str">
        <f t="shared" si="612"/>
        <v>Lmate ENVIR</v>
      </c>
      <c r="B2452" t="str">
        <f>"63-7001-0100"</f>
        <v>63-7001-0100</v>
      </c>
      <c r="C2452" t="str">
        <f>"License Key for Standalone Content"</f>
        <v>License Key for Standalone Content</v>
      </c>
      <c r="D2452">
        <v>1</v>
      </c>
      <c r="E2452" t="str">
        <f t="shared" si="613"/>
        <v>LearnMate Content Environment &amp; Civil Engineering</v>
      </c>
      <c r="F2452">
        <v>700</v>
      </c>
      <c r="G2452" t="str">
        <f t="shared" si="610"/>
        <v>Y</v>
      </c>
      <c r="H2452" t="str">
        <f t="shared" si="614"/>
        <v>EA</v>
      </c>
      <c r="I2452">
        <v>0</v>
      </c>
      <c r="J2452">
        <v>0</v>
      </c>
      <c r="K2452" t="str">
        <f t="shared" si="611"/>
        <v>Y</v>
      </c>
      <c r="L2452">
        <v>0</v>
      </c>
      <c r="M2452" t="str">
        <f t="shared" si="599"/>
        <v>NIS</v>
      </c>
      <c r="O2452">
        <v>14</v>
      </c>
      <c r="P2452" t="str">
        <f>"Active"</f>
        <v>Active</v>
      </c>
      <c r="Q2452" t="str">
        <f>"License Key For LM Content Standalone"</f>
        <v>License Key For LM Content Standalone</v>
      </c>
      <c r="R2452" t="str">
        <f>"1"</f>
        <v>1</v>
      </c>
      <c r="S2452" t="str">
        <f>"License Key For LM Content Standalone"</f>
        <v>License Key For LM Content Standalone</v>
      </c>
      <c r="T2452">
        <v>0</v>
      </c>
      <c r="U2452">
        <v>18</v>
      </c>
      <c r="V2452">
        <v>18.72</v>
      </c>
      <c r="W2452" t="str">
        <f t="shared" si="609"/>
        <v>rob</v>
      </c>
    </row>
    <row r="2453" spans="1:23">
      <c r="A2453" t="str">
        <f t="shared" si="612"/>
        <v>Lmate ENVIR</v>
      </c>
      <c r="B2453" t="str">
        <f>"12-3055-9000"</f>
        <v>12-3055-9000</v>
      </c>
      <c r="C2453" t="str">
        <f>"LM_Content SA Vir.Introd.To Highway Enginrng"</f>
        <v>LM_Content SA Vir.Introd.To Highway Enginrng</v>
      </c>
      <c r="D2453">
        <v>1</v>
      </c>
      <c r="E2453" t="str">
        <f t="shared" si="613"/>
        <v>LearnMate Content Environment &amp; Civil Engineering</v>
      </c>
      <c r="F2453">
        <v>700</v>
      </c>
      <c r="G2453" t="str">
        <f t="shared" si="610"/>
        <v>Y</v>
      </c>
      <c r="H2453" t="str">
        <f t="shared" si="614"/>
        <v>EA</v>
      </c>
      <c r="I2453">
        <v>0</v>
      </c>
      <c r="J2453">
        <v>0</v>
      </c>
      <c r="K2453" t="str">
        <f t="shared" si="611"/>
        <v>Y</v>
      </c>
      <c r="L2453">
        <v>0</v>
      </c>
      <c r="M2453" t="str">
        <f t="shared" si="599"/>
        <v>NIS</v>
      </c>
      <c r="O2453">
        <v>15</v>
      </c>
      <c r="P2453" t="str">
        <f>"Not for purc"</f>
        <v>Not for purc</v>
      </c>
      <c r="Q2453" t="str">
        <f>"LM_Content SA Vir.Introd.To Highway Enginrng"</f>
        <v>LM_Content SA Vir.Introd.To Highway Enginrng</v>
      </c>
      <c r="S2453" t="str">
        <f>"LM_Content SA Vir.Introd.To Highway Enginrng"</f>
        <v>LM_Content SA Vir.Introd.To Highway Enginrng</v>
      </c>
      <c r="T2453">
        <v>0</v>
      </c>
      <c r="U2453">
        <v>30.65</v>
      </c>
      <c r="V2453">
        <v>35.840000000000003</v>
      </c>
      <c r="W2453" t="str">
        <f t="shared" si="609"/>
        <v>rob</v>
      </c>
    </row>
    <row r="2454" spans="1:23">
      <c r="A2454" t="str">
        <f t="shared" si="612"/>
        <v>Lmate ENVIR</v>
      </c>
      <c r="B2454" t="str">
        <f>"63-7001-0100"</f>
        <v>63-7001-0100</v>
      </c>
      <c r="C2454" t="str">
        <f>"License Key for Standalone Content"</f>
        <v>License Key for Standalone Content</v>
      </c>
      <c r="D2454">
        <v>1</v>
      </c>
      <c r="E2454" t="str">
        <f t="shared" si="613"/>
        <v>LearnMate Content Environment &amp; Civil Engineering</v>
      </c>
      <c r="F2454">
        <v>700</v>
      </c>
      <c r="G2454" t="str">
        <f t="shared" si="610"/>
        <v>Y</v>
      </c>
      <c r="H2454" t="str">
        <f t="shared" si="614"/>
        <v>EA</v>
      </c>
      <c r="I2454">
        <v>0</v>
      </c>
      <c r="J2454">
        <v>0</v>
      </c>
      <c r="K2454" t="str">
        <f t="shared" si="611"/>
        <v>Y</v>
      </c>
      <c r="L2454">
        <v>0</v>
      </c>
      <c r="M2454" t="str">
        <f t="shared" si="599"/>
        <v>NIS</v>
      </c>
      <c r="O2454">
        <v>16</v>
      </c>
      <c r="P2454" t="str">
        <f>"Active"</f>
        <v>Active</v>
      </c>
      <c r="Q2454" t="str">
        <f>"License Key For LM Content Standalone"</f>
        <v>License Key For LM Content Standalone</v>
      </c>
      <c r="R2454" t="str">
        <f>"1"</f>
        <v>1</v>
      </c>
      <c r="S2454" t="str">
        <f>"License Key For LM Content Standalone"</f>
        <v>License Key For LM Content Standalone</v>
      </c>
      <c r="T2454">
        <v>0</v>
      </c>
      <c r="U2454">
        <v>18</v>
      </c>
      <c r="V2454">
        <v>18.72</v>
      </c>
      <c r="W2454" t="str">
        <f t="shared" si="609"/>
        <v>rob</v>
      </c>
    </row>
    <row r="2455" spans="1:23">
      <c r="A2455" t="str">
        <f t="shared" si="612"/>
        <v>Lmate ENVIR</v>
      </c>
      <c r="B2455" t="str">
        <f>"12-3056-9000"</f>
        <v>12-3056-9000</v>
      </c>
      <c r="C2455" t="str">
        <f>"LM_Content SA Vir- Introd. To Transport. Engi."</f>
        <v>LM_Content SA Vir- Introd. To Transport. Engi.</v>
      </c>
      <c r="D2455">
        <v>1</v>
      </c>
      <c r="E2455" t="str">
        <f t="shared" si="613"/>
        <v>LearnMate Content Environment &amp; Civil Engineering</v>
      </c>
      <c r="F2455">
        <v>700</v>
      </c>
      <c r="G2455" t="str">
        <f t="shared" si="610"/>
        <v>Y</v>
      </c>
      <c r="H2455" t="str">
        <f t="shared" si="614"/>
        <v>EA</v>
      </c>
      <c r="I2455">
        <v>0</v>
      </c>
      <c r="J2455">
        <v>0</v>
      </c>
      <c r="K2455" t="str">
        <f t="shared" si="611"/>
        <v>Y</v>
      </c>
      <c r="L2455">
        <v>0</v>
      </c>
      <c r="M2455" t="str">
        <f t="shared" si="599"/>
        <v>NIS</v>
      </c>
      <c r="O2455">
        <v>17</v>
      </c>
      <c r="P2455" t="str">
        <f>"Not for purc"</f>
        <v>Not for purc</v>
      </c>
      <c r="Q2455" t="str">
        <f>"LM_Content SA Vir- Introd. To Transport. Engi."</f>
        <v>LM_Content SA Vir- Introd. To Transport. Engi.</v>
      </c>
      <c r="S2455" t="str">
        <f>"LM_Content SA Vir- Introd. To Transport. Engi."</f>
        <v>LM_Content SA Vir- Introd. To Transport. Engi.</v>
      </c>
      <c r="T2455">
        <v>0</v>
      </c>
      <c r="U2455">
        <v>30.65</v>
      </c>
      <c r="V2455">
        <v>35.840000000000003</v>
      </c>
      <c r="W2455" t="str">
        <f t="shared" ref="W2455:W2486" si="615">"rob"</f>
        <v>rob</v>
      </c>
    </row>
    <row r="2456" spans="1:23">
      <c r="A2456" t="str">
        <f t="shared" si="612"/>
        <v>Lmate ENVIR</v>
      </c>
      <c r="B2456" t="str">
        <f>"63-7001-0100"</f>
        <v>63-7001-0100</v>
      </c>
      <c r="C2456" t="str">
        <f>"License Key for Standalone Content"</f>
        <v>License Key for Standalone Content</v>
      </c>
      <c r="D2456">
        <v>1</v>
      </c>
      <c r="E2456" t="str">
        <f t="shared" si="613"/>
        <v>LearnMate Content Environment &amp; Civil Engineering</v>
      </c>
      <c r="F2456">
        <v>700</v>
      </c>
      <c r="G2456" t="str">
        <f t="shared" si="610"/>
        <v>Y</v>
      </c>
      <c r="H2456" t="str">
        <f t="shared" si="614"/>
        <v>EA</v>
      </c>
      <c r="I2456">
        <v>0</v>
      </c>
      <c r="J2456">
        <v>0</v>
      </c>
      <c r="K2456" t="str">
        <f t="shared" si="611"/>
        <v>Y</v>
      </c>
      <c r="L2456">
        <v>0</v>
      </c>
      <c r="M2456" t="str">
        <f t="shared" si="599"/>
        <v>NIS</v>
      </c>
      <c r="O2456">
        <v>18</v>
      </c>
      <c r="P2456" t="str">
        <f>"Active"</f>
        <v>Active</v>
      </c>
      <c r="Q2456" t="str">
        <f>"License Key For LM Content Standalone"</f>
        <v>License Key For LM Content Standalone</v>
      </c>
      <c r="R2456" t="str">
        <f>"1"</f>
        <v>1</v>
      </c>
      <c r="S2456" t="str">
        <f>"License Key For LM Content Standalone"</f>
        <v>License Key For LM Content Standalone</v>
      </c>
      <c r="T2456">
        <v>0</v>
      </c>
      <c r="U2456">
        <v>18</v>
      </c>
      <c r="V2456">
        <v>18.72</v>
      </c>
      <c r="W2456" t="str">
        <f t="shared" si="615"/>
        <v>rob</v>
      </c>
    </row>
    <row r="2457" spans="1:23">
      <c r="A2457" t="str">
        <f t="shared" ref="A2457:A2462" si="616">"Lmate HYDRAULICS"</f>
        <v>Lmate HYDRAULICS</v>
      </c>
      <c r="B2457" t="str">
        <f>"0E7220"</f>
        <v>0E7220</v>
      </c>
      <c r="C2457" t="str">
        <f>"LM_Content SA Vir. Hydr Technology 1 - Fundament"</f>
        <v>LM_Content SA Vir. Hydr Technology 1 - Fundament</v>
      </c>
      <c r="D2457">
        <v>1</v>
      </c>
      <c r="E2457" t="str">
        <f t="shared" ref="E2457:E2462" si="617">"LearnMate Content (standalone) - Hydraulic"</f>
        <v>LearnMate Content (standalone) - Hydraulic</v>
      </c>
      <c r="F2457">
        <v>700</v>
      </c>
      <c r="G2457" t="str">
        <f t="shared" si="610"/>
        <v>Y</v>
      </c>
      <c r="H2457" t="str">
        <f t="shared" si="614"/>
        <v>EA</v>
      </c>
      <c r="I2457">
        <v>0</v>
      </c>
      <c r="J2457">
        <v>0</v>
      </c>
      <c r="K2457" t="str">
        <f t="shared" si="611"/>
        <v>Y</v>
      </c>
      <c r="L2457">
        <v>0</v>
      </c>
      <c r="M2457" t="str">
        <f t="shared" ref="M2457:M2520" si="618">"NIS"</f>
        <v>NIS</v>
      </c>
      <c r="O2457">
        <v>1</v>
      </c>
      <c r="P2457" t="str">
        <f>"Not for purc"</f>
        <v>Not for purc</v>
      </c>
      <c r="Q2457" t="str">
        <f>"LM_Content SA Vir. Hydr Technology 1 - Fundament"</f>
        <v>LM_Content SA Vir. Hydr Technology 1 - Fundament</v>
      </c>
      <c r="S2457" t="str">
        <f>"LM_Content SA Vir. Hydr Technology 1 - Fundament"</f>
        <v>LM_Content SA Vir. Hydr Technology 1 - Fundament</v>
      </c>
      <c r="T2457">
        <v>0</v>
      </c>
      <c r="U2457">
        <v>30.65</v>
      </c>
      <c r="V2457">
        <v>35.840000000000003</v>
      </c>
      <c r="W2457" t="str">
        <f t="shared" si="615"/>
        <v>rob</v>
      </c>
    </row>
    <row r="2458" spans="1:23">
      <c r="A2458" t="str">
        <f t="shared" si="616"/>
        <v>Lmate HYDRAULICS</v>
      </c>
      <c r="B2458" t="str">
        <f>"63-7001-0100"</f>
        <v>63-7001-0100</v>
      </c>
      <c r="C2458" t="str">
        <f>"License Key for Standalone Content"</f>
        <v>License Key for Standalone Content</v>
      </c>
      <c r="D2458">
        <v>1</v>
      </c>
      <c r="E2458" t="str">
        <f t="shared" si="617"/>
        <v>LearnMate Content (standalone) - Hydraulic</v>
      </c>
      <c r="F2458">
        <v>700</v>
      </c>
      <c r="G2458" t="str">
        <f t="shared" si="610"/>
        <v>Y</v>
      </c>
      <c r="H2458" t="str">
        <f t="shared" si="614"/>
        <v>EA</v>
      </c>
      <c r="I2458">
        <v>0</v>
      </c>
      <c r="J2458">
        <v>0</v>
      </c>
      <c r="K2458" t="str">
        <f t="shared" si="611"/>
        <v>Y</v>
      </c>
      <c r="L2458">
        <v>0</v>
      </c>
      <c r="M2458" t="str">
        <f t="shared" si="618"/>
        <v>NIS</v>
      </c>
      <c r="O2458">
        <v>2</v>
      </c>
      <c r="P2458" t="str">
        <f>"Active"</f>
        <v>Active</v>
      </c>
      <c r="Q2458" t="str">
        <f>"License Key For LM Content Standalone"</f>
        <v>License Key For LM Content Standalone</v>
      </c>
      <c r="R2458" t="str">
        <f>"1"</f>
        <v>1</v>
      </c>
      <c r="S2458" t="str">
        <f>"License Key For LM Content Standalone"</f>
        <v>License Key For LM Content Standalone</v>
      </c>
      <c r="T2458">
        <v>0</v>
      </c>
      <c r="U2458">
        <v>18</v>
      </c>
      <c r="V2458">
        <v>18.72</v>
      </c>
      <c r="W2458" t="str">
        <f t="shared" si="615"/>
        <v>rob</v>
      </c>
    </row>
    <row r="2459" spans="1:23">
      <c r="A2459" t="str">
        <f t="shared" si="616"/>
        <v>Lmate HYDRAULICS</v>
      </c>
      <c r="B2459" t="str">
        <f>"0E7221"</f>
        <v>0E7221</v>
      </c>
      <c r="C2459" t="str">
        <f>"LM_Content SA Vir.-Hyd Technology 2 -Electro Hy."</f>
        <v>LM_Content SA Vir.-Hyd Technology 2 -Electro Hy.</v>
      </c>
      <c r="D2459">
        <v>1</v>
      </c>
      <c r="E2459" t="str">
        <f t="shared" si="617"/>
        <v>LearnMate Content (standalone) - Hydraulic</v>
      </c>
      <c r="F2459">
        <v>700</v>
      </c>
      <c r="G2459" t="str">
        <f t="shared" si="610"/>
        <v>Y</v>
      </c>
      <c r="H2459" t="str">
        <f t="shared" si="614"/>
        <v>EA</v>
      </c>
      <c r="I2459">
        <v>0</v>
      </c>
      <c r="J2459">
        <v>0</v>
      </c>
      <c r="K2459" t="str">
        <f t="shared" si="611"/>
        <v>Y</v>
      </c>
      <c r="L2459">
        <v>0</v>
      </c>
      <c r="M2459" t="str">
        <f t="shared" si="618"/>
        <v>NIS</v>
      </c>
      <c r="O2459">
        <v>3</v>
      </c>
      <c r="P2459" t="str">
        <f>"Active"</f>
        <v>Active</v>
      </c>
      <c r="Q2459" t="str">
        <f>"LM_Content SA Vir.-Hyd Technology 2 -Electro Hy."</f>
        <v>LM_Content SA Vir.-Hyd Technology 2 -Electro Hy.</v>
      </c>
      <c r="S2459" t="str">
        <f>"LM_Content SA Vir.-Hyd Technology 2 -Electro Hy."</f>
        <v>LM_Content SA Vir.-Hyd Technology 2 -Electro Hy.</v>
      </c>
      <c r="T2459">
        <v>0</v>
      </c>
      <c r="U2459">
        <v>30.65</v>
      </c>
      <c r="V2459">
        <v>35.840000000000003</v>
      </c>
      <c r="W2459" t="str">
        <f t="shared" si="615"/>
        <v>rob</v>
      </c>
    </row>
    <row r="2460" spans="1:23">
      <c r="A2460" t="str">
        <f t="shared" si="616"/>
        <v>Lmate HYDRAULICS</v>
      </c>
      <c r="B2460" t="str">
        <f>"63-7001-0100"</f>
        <v>63-7001-0100</v>
      </c>
      <c r="C2460" t="str">
        <f>"License Key for Standalone Content"</f>
        <v>License Key for Standalone Content</v>
      </c>
      <c r="D2460">
        <v>1</v>
      </c>
      <c r="E2460" t="str">
        <f t="shared" si="617"/>
        <v>LearnMate Content (standalone) - Hydraulic</v>
      </c>
      <c r="F2460">
        <v>700</v>
      </c>
      <c r="G2460" t="str">
        <f t="shared" si="610"/>
        <v>Y</v>
      </c>
      <c r="H2460" t="str">
        <f t="shared" si="614"/>
        <v>EA</v>
      </c>
      <c r="I2460">
        <v>0</v>
      </c>
      <c r="J2460">
        <v>0</v>
      </c>
      <c r="K2460" t="str">
        <f t="shared" si="611"/>
        <v>Y</v>
      </c>
      <c r="L2460">
        <v>0</v>
      </c>
      <c r="M2460" t="str">
        <f t="shared" si="618"/>
        <v>NIS</v>
      </c>
      <c r="O2460">
        <v>4</v>
      </c>
      <c r="P2460" t="str">
        <f>"Active"</f>
        <v>Active</v>
      </c>
      <c r="Q2460" t="str">
        <f>"License Key For LM Content Standalone"</f>
        <v>License Key For LM Content Standalone</v>
      </c>
      <c r="R2460" t="str">
        <f>"1"</f>
        <v>1</v>
      </c>
      <c r="S2460" t="str">
        <f>"License Key For LM Content Standalone"</f>
        <v>License Key For LM Content Standalone</v>
      </c>
      <c r="T2460">
        <v>0</v>
      </c>
      <c r="U2460">
        <v>18</v>
      </c>
      <c r="V2460">
        <v>18.72</v>
      </c>
      <c r="W2460" t="str">
        <f t="shared" si="615"/>
        <v>rob</v>
      </c>
    </row>
    <row r="2461" spans="1:23">
      <c r="A2461" t="str">
        <f t="shared" si="616"/>
        <v>Lmate HYDRAULICS</v>
      </c>
      <c r="B2461" t="str">
        <f>"0E7222"</f>
        <v>0E7222</v>
      </c>
      <c r="C2461" t="str">
        <f>"LM_Cont. SA Vir.-Hydr Technology 3- Adv.Electro"</f>
        <v>LM_Cont. SA Vir.-Hydr Technology 3- Adv.Electro</v>
      </c>
      <c r="D2461">
        <v>1</v>
      </c>
      <c r="E2461" t="str">
        <f t="shared" si="617"/>
        <v>LearnMate Content (standalone) - Hydraulic</v>
      </c>
      <c r="F2461">
        <v>700</v>
      </c>
      <c r="G2461" t="str">
        <f t="shared" si="610"/>
        <v>Y</v>
      </c>
      <c r="H2461" t="str">
        <f t="shared" si="614"/>
        <v>EA</v>
      </c>
      <c r="I2461">
        <v>0</v>
      </c>
      <c r="J2461">
        <v>0</v>
      </c>
      <c r="K2461" t="str">
        <f t="shared" si="611"/>
        <v>Y</v>
      </c>
      <c r="L2461">
        <v>0</v>
      </c>
      <c r="M2461" t="str">
        <f t="shared" si="618"/>
        <v>NIS</v>
      </c>
      <c r="O2461">
        <v>5</v>
      </c>
      <c r="P2461" t="str">
        <f>"Not for purc"</f>
        <v>Not for purc</v>
      </c>
      <c r="Q2461" t="str">
        <f>"LM_Cont. SA Vir.-Hydr Technology 3- Adv.Electro"</f>
        <v>LM_Cont. SA Vir.-Hydr Technology 3- Adv.Electro</v>
      </c>
      <c r="S2461" t="str">
        <f>"LM_Cont. SA Vir.-Hydr Technology 3- Adv.Electro"</f>
        <v>LM_Cont. SA Vir.-Hydr Technology 3- Adv.Electro</v>
      </c>
      <c r="T2461">
        <v>0</v>
      </c>
      <c r="U2461">
        <v>30.65</v>
      </c>
      <c r="V2461">
        <v>36.049999999999997</v>
      </c>
      <c r="W2461" t="str">
        <f t="shared" si="615"/>
        <v>rob</v>
      </c>
    </row>
    <row r="2462" spans="1:23">
      <c r="A2462" t="str">
        <f t="shared" si="616"/>
        <v>Lmate HYDRAULICS</v>
      </c>
      <c r="B2462" t="str">
        <f>"63-7001-0100"</f>
        <v>63-7001-0100</v>
      </c>
      <c r="C2462" t="str">
        <f>"License Key for Standalone Content"</f>
        <v>License Key for Standalone Content</v>
      </c>
      <c r="D2462">
        <v>1</v>
      </c>
      <c r="E2462" t="str">
        <f t="shared" si="617"/>
        <v>LearnMate Content (standalone) - Hydraulic</v>
      </c>
      <c r="F2462">
        <v>700</v>
      </c>
      <c r="G2462" t="str">
        <f t="shared" si="610"/>
        <v>Y</v>
      </c>
      <c r="H2462" t="str">
        <f t="shared" si="614"/>
        <v>EA</v>
      </c>
      <c r="I2462">
        <v>0</v>
      </c>
      <c r="J2462">
        <v>0</v>
      </c>
      <c r="K2462" t="str">
        <f t="shared" si="611"/>
        <v>Y</v>
      </c>
      <c r="L2462">
        <v>0</v>
      </c>
      <c r="M2462" t="str">
        <f t="shared" si="618"/>
        <v>NIS</v>
      </c>
      <c r="O2462">
        <v>6</v>
      </c>
      <c r="P2462" t="str">
        <f>"Active"</f>
        <v>Active</v>
      </c>
      <c r="Q2462" t="str">
        <f>"License Key For LM Content Standalone"</f>
        <v>License Key For LM Content Standalone</v>
      </c>
      <c r="R2462" t="str">
        <f>"1"</f>
        <v>1</v>
      </c>
      <c r="S2462" t="str">
        <f>"License Key For LM Content Standalone"</f>
        <v>License Key For LM Content Standalone</v>
      </c>
      <c r="T2462">
        <v>0</v>
      </c>
      <c r="U2462">
        <v>18</v>
      </c>
      <c r="V2462">
        <v>18.72</v>
      </c>
      <c r="W2462" t="str">
        <f t="shared" si="615"/>
        <v>rob</v>
      </c>
    </row>
    <row r="2463" spans="1:23">
      <c r="A2463" t="str">
        <f>"Lmate INDUST M."</f>
        <v>Lmate INDUST M.</v>
      </c>
      <c r="B2463" t="str">
        <f>"0E7253"</f>
        <v>0E7253</v>
      </c>
      <c r="C2463" t="str">
        <f>"LM_Content SA Vir -E- Materials Testing"</f>
        <v>LM_Content SA Vir -E- Materials Testing</v>
      </c>
      <c r="D2463">
        <v>1</v>
      </c>
      <c r="E2463" t="str">
        <f>"LearnMate Content (standalone) - Maintenance"</f>
        <v>LearnMate Content (standalone) - Maintenance</v>
      </c>
      <c r="F2463">
        <v>700</v>
      </c>
      <c r="G2463" t="str">
        <f t="shared" si="610"/>
        <v>Y</v>
      </c>
      <c r="H2463" t="str">
        <f t="shared" si="614"/>
        <v>EA</v>
      </c>
      <c r="I2463">
        <v>0</v>
      </c>
      <c r="J2463">
        <v>0</v>
      </c>
      <c r="K2463" t="str">
        <f t="shared" si="611"/>
        <v>Y</v>
      </c>
      <c r="L2463">
        <v>0</v>
      </c>
      <c r="M2463" t="str">
        <f t="shared" si="618"/>
        <v>NIS</v>
      </c>
      <c r="O2463">
        <v>1</v>
      </c>
      <c r="P2463" t="str">
        <f>"Not for purc"</f>
        <v>Not for purc</v>
      </c>
      <c r="Q2463" t="str">
        <f>"LM_Content SA Vir -E- Materials Testing"</f>
        <v>LM_Content SA Vir -E- Materials Testing</v>
      </c>
      <c r="S2463" t="str">
        <f>"LM_Content SA Vir -E- Materials Testing"</f>
        <v>LM_Content SA Vir -E- Materials Testing</v>
      </c>
      <c r="T2463">
        <v>0</v>
      </c>
      <c r="U2463">
        <v>30.65</v>
      </c>
      <c r="V2463">
        <v>35.840000000000003</v>
      </c>
      <c r="W2463" t="str">
        <f t="shared" si="615"/>
        <v>rob</v>
      </c>
    </row>
    <row r="2464" spans="1:23">
      <c r="A2464" t="str">
        <f>"Lmate INDUST M."</f>
        <v>Lmate INDUST M.</v>
      </c>
      <c r="B2464" t="str">
        <f>"63-7001-0100"</f>
        <v>63-7001-0100</v>
      </c>
      <c r="C2464" t="str">
        <f>"License Key for Standalone Content"</f>
        <v>License Key for Standalone Content</v>
      </c>
      <c r="D2464">
        <v>1</v>
      </c>
      <c r="E2464" t="str">
        <f>"LearnMate Content (standalone) - Maintenance"</f>
        <v>LearnMate Content (standalone) - Maintenance</v>
      </c>
      <c r="F2464">
        <v>700</v>
      </c>
      <c r="G2464" t="str">
        <f t="shared" si="610"/>
        <v>Y</v>
      </c>
      <c r="H2464" t="str">
        <f t="shared" si="614"/>
        <v>EA</v>
      </c>
      <c r="I2464">
        <v>0</v>
      </c>
      <c r="J2464">
        <v>0</v>
      </c>
      <c r="K2464" t="str">
        <f t="shared" si="611"/>
        <v>Y</v>
      </c>
      <c r="L2464">
        <v>0</v>
      </c>
      <c r="M2464" t="str">
        <f t="shared" si="618"/>
        <v>NIS</v>
      </c>
      <c r="O2464">
        <v>2</v>
      </c>
      <c r="P2464" t="str">
        <f>"Active"</f>
        <v>Active</v>
      </c>
      <c r="Q2464" t="str">
        <f>"License Key For LM Content Standalone"</f>
        <v>License Key For LM Content Standalone</v>
      </c>
      <c r="R2464" t="str">
        <f>"1"</f>
        <v>1</v>
      </c>
      <c r="S2464" t="str">
        <f>"License Key For LM Content Standalone"</f>
        <v>License Key For LM Content Standalone</v>
      </c>
      <c r="T2464">
        <v>0</v>
      </c>
      <c r="U2464">
        <v>18</v>
      </c>
      <c r="V2464">
        <v>18.72</v>
      </c>
      <c r="W2464" t="str">
        <f t="shared" si="615"/>
        <v>rob</v>
      </c>
    </row>
    <row r="2465" spans="1:23">
      <c r="A2465" t="str">
        <f>"Lmate INDUST M."</f>
        <v>Lmate INDUST M.</v>
      </c>
      <c r="B2465" t="str">
        <f>"0E7254"</f>
        <v>0E7254</v>
      </c>
      <c r="C2465" t="str">
        <f>"LM_Content SA Vir.- Mechanisms Technology"</f>
        <v>LM_Content SA Vir.- Mechanisms Technology</v>
      </c>
      <c r="D2465">
        <v>1</v>
      </c>
      <c r="E2465" t="str">
        <f>"LearnMate Content (standalone) - Maintenance"</f>
        <v>LearnMate Content (standalone) - Maintenance</v>
      </c>
      <c r="F2465">
        <v>700</v>
      </c>
      <c r="G2465" t="str">
        <f t="shared" si="610"/>
        <v>Y</v>
      </c>
      <c r="H2465" t="str">
        <f t="shared" si="614"/>
        <v>EA</v>
      </c>
      <c r="I2465">
        <v>0</v>
      </c>
      <c r="J2465">
        <v>0</v>
      </c>
      <c r="K2465" t="str">
        <f t="shared" si="611"/>
        <v>Y</v>
      </c>
      <c r="L2465">
        <v>0</v>
      </c>
      <c r="M2465" t="str">
        <f t="shared" si="618"/>
        <v>NIS</v>
      </c>
      <c r="O2465">
        <v>3</v>
      </c>
      <c r="P2465" t="str">
        <f>"Not for purc"</f>
        <v>Not for purc</v>
      </c>
      <c r="Q2465" t="str">
        <f>"LM_Content SA Vir.- Mechanisms Technology"</f>
        <v>LM_Content SA Vir.- Mechanisms Technology</v>
      </c>
      <c r="S2465" t="str">
        <f>"LM_Content SA Vir.- Mechanisms Technology"</f>
        <v>LM_Content SA Vir.- Mechanisms Technology</v>
      </c>
      <c r="T2465">
        <v>0</v>
      </c>
      <c r="U2465">
        <v>30.65</v>
      </c>
      <c r="V2465">
        <v>36.049999999999997</v>
      </c>
      <c r="W2465" t="str">
        <f t="shared" si="615"/>
        <v>rob</v>
      </c>
    </row>
    <row r="2466" spans="1:23">
      <c r="A2466" t="str">
        <f>"Lmate INDUST M."</f>
        <v>Lmate INDUST M.</v>
      </c>
      <c r="B2466" t="str">
        <f>"63-7001-0100"</f>
        <v>63-7001-0100</v>
      </c>
      <c r="C2466" t="str">
        <f>"License Key for Standalone Content"</f>
        <v>License Key for Standalone Content</v>
      </c>
      <c r="D2466">
        <v>1</v>
      </c>
      <c r="E2466" t="str">
        <f>"LearnMate Content (standalone) - Maintenance"</f>
        <v>LearnMate Content (standalone) - Maintenance</v>
      </c>
      <c r="F2466">
        <v>700</v>
      </c>
      <c r="G2466" t="str">
        <f t="shared" si="610"/>
        <v>Y</v>
      </c>
      <c r="H2466" t="str">
        <f t="shared" si="614"/>
        <v>EA</v>
      </c>
      <c r="I2466">
        <v>0</v>
      </c>
      <c r="J2466">
        <v>0</v>
      </c>
      <c r="K2466" t="str">
        <f t="shared" si="611"/>
        <v>Y</v>
      </c>
      <c r="L2466">
        <v>0</v>
      </c>
      <c r="M2466" t="str">
        <f t="shared" si="618"/>
        <v>NIS</v>
      </c>
      <c r="O2466">
        <v>4</v>
      </c>
      <c r="P2466" t="str">
        <f>"Active"</f>
        <v>Active</v>
      </c>
      <c r="Q2466" t="str">
        <f>"License Key For LM Content Standalone"</f>
        <v>License Key For LM Content Standalone</v>
      </c>
      <c r="R2466" t="str">
        <f>"1"</f>
        <v>1</v>
      </c>
      <c r="S2466" t="str">
        <f>"License Key For LM Content Standalone"</f>
        <v>License Key For LM Content Standalone</v>
      </c>
      <c r="T2466">
        <v>0</v>
      </c>
      <c r="U2466">
        <v>18</v>
      </c>
      <c r="V2466">
        <v>18.72</v>
      </c>
      <c r="W2466" t="str">
        <f t="shared" si="615"/>
        <v>rob</v>
      </c>
    </row>
    <row r="2467" spans="1:23">
      <c r="A2467" t="str">
        <f t="shared" ref="A2467:A2476" si="619">"Lmate MANUFACT"</f>
        <v>Lmate MANUFACT</v>
      </c>
      <c r="B2467" t="str">
        <f>"12-3022-9000"</f>
        <v>12-3022-9000</v>
      </c>
      <c r="C2467" t="str">
        <f>"LM_Content SA Vir.- Flexible Manufacture System"</f>
        <v>LM_Content SA Vir.- Flexible Manufacture System</v>
      </c>
      <c r="D2467">
        <v>1</v>
      </c>
      <c r="E2467" t="str">
        <f t="shared" ref="E2467:E2476" si="620">"LearnMate Content (standalone) - Manufacturing"</f>
        <v>LearnMate Content (standalone) - Manufacturing</v>
      </c>
      <c r="F2467">
        <v>700</v>
      </c>
      <c r="G2467" t="str">
        <f t="shared" si="610"/>
        <v>Y</v>
      </c>
      <c r="H2467" t="str">
        <f t="shared" si="614"/>
        <v>EA</v>
      </c>
      <c r="I2467">
        <v>0</v>
      </c>
      <c r="J2467">
        <v>0</v>
      </c>
      <c r="K2467" t="str">
        <f t="shared" si="611"/>
        <v>Y</v>
      </c>
      <c r="L2467">
        <v>0</v>
      </c>
      <c r="M2467" t="str">
        <f t="shared" si="618"/>
        <v>NIS</v>
      </c>
      <c r="O2467">
        <v>1</v>
      </c>
      <c r="P2467" t="str">
        <f>"Not for purc"</f>
        <v>Not for purc</v>
      </c>
      <c r="Q2467" t="str">
        <f>"LM_Content SA Vir.- Flexible Manufacture System"</f>
        <v>LM_Content SA Vir.- Flexible Manufacture System</v>
      </c>
      <c r="S2467" t="str">
        <f>"LM_Content SA Vir.- Flexible Manufacture System"</f>
        <v>LM_Content SA Vir.- Flexible Manufacture System</v>
      </c>
      <c r="T2467">
        <v>0</v>
      </c>
      <c r="U2467">
        <v>30.7</v>
      </c>
      <c r="V2467">
        <v>35.840000000000003</v>
      </c>
      <c r="W2467" t="str">
        <f t="shared" si="615"/>
        <v>rob</v>
      </c>
    </row>
    <row r="2468" spans="1:23">
      <c r="A2468" t="str">
        <f t="shared" si="619"/>
        <v>Lmate MANUFACT</v>
      </c>
      <c r="B2468" t="str">
        <f>"63-7001-0100"</f>
        <v>63-7001-0100</v>
      </c>
      <c r="C2468" t="str">
        <f>"License Key for Standalone Content"</f>
        <v>License Key for Standalone Content</v>
      </c>
      <c r="D2468">
        <v>1</v>
      </c>
      <c r="E2468" t="str">
        <f t="shared" si="620"/>
        <v>LearnMate Content (standalone) - Manufacturing</v>
      </c>
      <c r="F2468">
        <v>700</v>
      </c>
      <c r="G2468" t="str">
        <f t="shared" si="610"/>
        <v>Y</v>
      </c>
      <c r="H2468" t="str">
        <f t="shared" si="614"/>
        <v>EA</v>
      </c>
      <c r="I2468">
        <v>0</v>
      </c>
      <c r="J2468">
        <v>0</v>
      </c>
      <c r="K2468" t="str">
        <f t="shared" si="611"/>
        <v>Y</v>
      </c>
      <c r="L2468">
        <v>0</v>
      </c>
      <c r="M2468" t="str">
        <f t="shared" si="618"/>
        <v>NIS</v>
      </c>
      <c r="O2468">
        <v>2</v>
      </c>
      <c r="P2468" t="str">
        <f>"Active"</f>
        <v>Active</v>
      </c>
      <c r="Q2468" t="str">
        <f>"License Key For LM Content Standalone"</f>
        <v>License Key For LM Content Standalone</v>
      </c>
      <c r="R2468" t="str">
        <f>"1"</f>
        <v>1</v>
      </c>
      <c r="S2468" t="str">
        <f>"License Key For LM Content Standalone"</f>
        <v>License Key For LM Content Standalone</v>
      </c>
      <c r="T2468">
        <v>0</v>
      </c>
      <c r="U2468">
        <v>18</v>
      </c>
      <c r="V2468">
        <v>18.72</v>
      </c>
      <c r="W2468" t="str">
        <f t="shared" si="615"/>
        <v>rob</v>
      </c>
    </row>
    <row r="2469" spans="1:23">
      <c r="A2469" t="str">
        <f t="shared" si="619"/>
        <v>Lmate MANUFACT</v>
      </c>
      <c r="B2469" t="str">
        <f>"12-3015-9000"</f>
        <v>12-3015-9000</v>
      </c>
      <c r="C2469" t="str">
        <f>"LM_Content SA Vir -E- CIM 1"</f>
        <v>LM_Content SA Vir -E- CIM 1</v>
      </c>
      <c r="D2469">
        <v>1</v>
      </c>
      <c r="E2469" t="str">
        <f t="shared" si="620"/>
        <v>LearnMate Content (standalone) - Manufacturing</v>
      </c>
      <c r="F2469">
        <v>700</v>
      </c>
      <c r="G2469" t="str">
        <f t="shared" si="610"/>
        <v>Y</v>
      </c>
      <c r="H2469" t="str">
        <f t="shared" si="614"/>
        <v>EA</v>
      </c>
      <c r="I2469">
        <v>0</v>
      </c>
      <c r="J2469">
        <v>0</v>
      </c>
      <c r="K2469" t="str">
        <f t="shared" si="611"/>
        <v>Y</v>
      </c>
      <c r="L2469">
        <v>0</v>
      </c>
      <c r="M2469" t="str">
        <f t="shared" si="618"/>
        <v>NIS</v>
      </c>
      <c r="O2469">
        <v>3</v>
      </c>
      <c r="P2469" t="str">
        <f>"Active"</f>
        <v>Active</v>
      </c>
      <c r="Q2469" t="str">
        <f>"LM_Content SA Vir -E- CIM 1"</f>
        <v>LM_Content SA Vir -E- CIM 1</v>
      </c>
      <c r="S2469" t="str">
        <f>"LM_Content SA Vir -E- CIM 1"</f>
        <v>LM_Content SA Vir -E- CIM 1</v>
      </c>
      <c r="T2469">
        <v>0</v>
      </c>
      <c r="U2469">
        <v>30.65</v>
      </c>
      <c r="V2469">
        <v>35.840000000000003</v>
      </c>
      <c r="W2469" t="str">
        <f t="shared" si="615"/>
        <v>rob</v>
      </c>
    </row>
    <row r="2470" spans="1:23">
      <c r="A2470" t="str">
        <f t="shared" si="619"/>
        <v>Lmate MANUFACT</v>
      </c>
      <c r="B2470" t="str">
        <f>"63-7001-0100"</f>
        <v>63-7001-0100</v>
      </c>
      <c r="C2470" t="str">
        <f>"License Key for Standalone Content"</f>
        <v>License Key for Standalone Content</v>
      </c>
      <c r="D2470">
        <v>1</v>
      </c>
      <c r="E2470" t="str">
        <f t="shared" si="620"/>
        <v>LearnMate Content (standalone) - Manufacturing</v>
      </c>
      <c r="F2470">
        <v>700</v>
      </c>
      <c r="G2470" t="str">
        <f t="shared" si="610"/>
        <v>Y</v>
      </c>
      <c r="H2470" t="str">
        <f t="shared" si="614"/>
        <v>EA</v>
      </c>
      <c r="I2470">
        <v>0</v>
      </c>
      <c r="J2470">
        <v>0</v>
      </c>
      <c r="K2470" t="str">
        <f t="shared" si="611"/>
        <v>Y</v>
      </c>
      <c r="L2470">
        <v>0</v>
      </c>
      <c r="M2470" t="str">
        <f t="shared" si="618"/>
        <v>NIS</v>
      </c>
      <c r="O2470">
        <v>4</v>
      </c>
      <c r="P2470" t="str">
        <f>"Active"</f>
        <v>Active</v>
      </c>
      <c r="Q2470" t="str">
        <f>"License Key For LM Content Standalone"</f>
        <v>License Key For LM Content Standalone</v>
      </c>
      <c r="R2470" t="str">
        <f>"1"</f>
        <v>1</v>
      </c>
      <c r="S2470" t="str">
        <f>"License Key For LM Content Standalone"</f>
        <v>License Key For LM Content Standalone</v>
      </c>
      <c r="T2470">
        <v>0</v>
      </c>
      <c r="U2470">
        <v>18</v>
      </c>
      <c r="V2470">
        <v>18.72</v>
      </c>
      <c r="W2470" t="str">
        <f t="shared" si="615"/>
        <v>rob</v>
      </c>
    </row>
    <row r="2471" spans="1:23">
      <c r="A2471" t="str">
        <f t="shared" si="619"/>
        <v>Lmate MANUFACT</v>
      </c>
      <c r="B2471" t="str">
        <f>"12-3016-9000"</f>
        <v>12-3016-9000</v>
      </c>
      <c r="C2471" t="str">
        <f>"LM_Content SA Vir -E- CIM 2"</f>
        <v>LM_Content SA Vir -E- CIM 2</v>
      </c>
      <c r="D2471">
        <v>1</v>
      </c>
      <c r="E2471" t="str">
        <f t="shared" si="620"/>
        <v>LearnMate Content (standalone) - Manufacturing</v>
      </c>
      <c r="F2471">
        <v>700</v>
      </c>
      <c r="G2471" t="str">
        <f t="shared" si="610"/>
        <v>Y</v>
      </c>
      <c r="H2471" t="str">
        <f t="shared" si="614"/>
        <v>EA</v>
      </c>
      <c r="I2471">
        <v>0</v>
      </c>
      <c r="J2471">
        <v>0</v>
      </c>
      <c r="K2471" t="str">
        <f t="shared" si="611"/>
        <v>Y</v>
      </c>
      <c r="L2471">
        <v>0</v>
      </c>
      <c r="M2471" t="str">
        <f t="shared" si="618"/>
        <v>NIS</v>
      </c>
      <c r="O2471">
        <v>5</v>
      </c>
      <c r="P2471" t="str">
        <f>"Active"</f>
        <v>Active</v>
      </c>
      <c r="Q2471" t="str">
        <f>"LM_Content SA Vir -E- CIM 2"</f>
        <v>LM_Content SA Vir -E- CIM 2</v>
      </c>
      <c r="S2471" t="str">
        <f>"LM_Content SA Vir -E- CIM 2"</f>
        <v>LM_Content SA Vir -E- CIM 2</v>
      </c>
      <c r="T2471">
        <v>0</v>
      </c>
      <c r="U2471">
        <v>30.65</v>
      </c>
      <c r="V2471">
        <v>36.049999999999997</v>
      </c>
      <c r="W2471" t="str">
        <f t="shared" si="615"/>
        <v>rob</v>
      </c>
    </row>
    <row r="2472" spans="1:23">
      <c r="A2472" t="str">
        <f t="shared" si="619"/>
        <v>Lmate MANUFACT</v>
      </c>
      <c r="B2472" t="str">
        <f>"63-7001-0100"</f>
        <v>63-7001-0100</v>
      </c>
      <c r="C2472" t="str">
        <f>"License Key for Standalone Content"</f>
        <v>License Key for Standalone Content</v>
      </c>
      <c r="D2472">
        <v>1</v>
      </c>
      <c r="E2472" t="str">
        <f t="shared" si="620"/>
        <v>LearnMate Content (standalone) - Manufacturing</v>
      </c>
      <c r="F2472">
        <v>700</v>
      </c>
      <c r="G2472" t="str">
        <f t="shared" si="610"/>
        <v>Y</v>
      </c>
      <c r="H2472" t="str">
        <f t="shared" si="614"/>
        <v>EA</v>
      </c>
      <c r="I2472">
        <v>0</v>
      </c>
      <c r="J2472">
        <v>0</v>
      </c>
      <c r="K2472" t="str">
        <f t="shared" si="611"/>
        <v>Y</v>
      </c>
      <c r="L2472">
        <v>0</v>
      </c>
      <c r="M2472" t="str">
        <f t="shared" si="618"/>
        <v>NIS</v>
      </c>
      <c r="O2472">
        <v>6</v>
      </c>
      <c r="P2472" t="str">
        <f>"Active"</f>
        <v>Active</v>
      </c>
      <c r="Q2472" t="str">
        <f>"License Key For LM Content Standalone"</f>
        <v>License Key For LM Content Standalone</v>
      </c>
      <c r="R2472" t="str">
        <f>"1"</f>
        <v>1</v>
      </c>
      <c r="S2472" t="str">
        <f>"License Key For LM Content Standalone"</f>
        <v>License Key For LM Content Standalone</v>
      </c>
      <c r="T2472">
        <v>0</v>
      </c>
      <c r="U2472">
        <v>18</v>
      </c>
      <c r="V2472">
        <v>18.72</v>
      </c>
      <c r="W2472" t="str">
        <f t="shared" si="615"/>
        <v>rob</v>
      </c>
    </row>
    <row r="2473" spans="1:23">
      <c r="A2473" t="str">
        <f t="shared" si="619"/>
        <v>Lmate MANUFACT</v>
      </c>
      <c r="B2473" t="str">
        <f>"0E7255"</f>
        <v>0E7255</v>
      </c>
      <c r="C2473" t="str">
        <f>"LM_Content SA Vir.-Plastics Tech (Thermoforming)"</f>
        <v>LM_Content SA Vir.-Plastics Tech (Thermoforming)</v>
      </c>
      <c r="D2473">
        <v>1</v>
      </c>
      <c r="E2473" t="str">
        <f t="shared" si="620"/>
        <v>LearnMate Content (standalone) - Manufacturing</v>
      </c>
      <c r="F2473">
        <v>700</v>
      </c>
      <c r="G2473" t="str">
        <f t="shared" si="610"/>
        <v>Y</v>
      </c>
      <c r="H2473" t="str">
        <f t="shared" si="614"/>
        <v>EA</v>
      </c>
      <c r="I2473">
        <v>0</v>
      </c>
      <c r="J2473">
        <v>0</v>
      </c>
      <c r="K2473" t="str">
        <f t="shared" si="611"/>
        <v>Y</v>
      </c>
      <c r="L2473">
        <v>0</v>
      </c>
      <c r="M2473" t="str">
        <f t="shared" si="618"/>
        <v>NIS</v>
      </c>
      <c r="O2473">
        <v>7</v>
      </c>
      <c r="P2473" t="str">
        <f>"Not for purc"</f>
        <v>Not for purc</v>
      </c>
      <c r="Q2473" t="str">
        <f>"LM_Content SA Vir.-Plastics Tech (Thermoforming)"</f>
        <v>LM_Content SA Vir.-Plastics Tech (Thermoforming)</v>
      </c>
      <c r="S2473" t="str">
        <f>"LM_Content SA Vir.-Plastics Tech (Thermoforming)"</f>
        <v>LM_Content SA Vir.-Plastics Tech (Thermoforming)</v>
      </c>
      <c r="T2473">
        <v>0</v>
      </c>
      <c r="U2473">
        <v>30.65</v>
      </c>
      <c r="V2473">
        <v>35.840000000000003</v>
      </c>
      <c r="W2473" t="str">
        <f t="shared" si="615"/>
        <v>rob</v>
      </c>
    </row>
    <row r="2474" spans="1:23">
      <c r="A2474" t="str">
        <f t="shared" si="619"/>
        <v>Lmate MANUFACT</v>
      </c>
      <c r="B2474" t="str">
        <f>"63-7001-0100"</f>
        <v>63-7001-0100</v>
      </c>
      <c r="C2474" t="str">
        <f>"License Key for Standalone Content"</f>
        <v>License Key for Standalone Content</v>
      </c>
      <c r="D2474">
        <v>1</v>
      </c>
      <c r="E2474" t="str">
        <f t="shared" si="620"/>
        <v>LearnMate Content (standalone) - Manufacturing</v>
      </c>
      <c r="F2474">
        <v>700</v>
      </c>
      <c r="G2474" t="str">
        <f t="shared" si="610"/>
        <v>Y</v>
      </c>
      <c r="H2474" t="str">
        <f t="shared" si="614"/>
        <v>EA</v>
      </c>
      <c r="I2474">
        <v>0</v>
      </c>
      <c r="J2474">
        <v>0</v>
      </c>
      <c r="K2474" t="str">
        <f t="shared" si="611"/>
        <v>Y</v>
      </c>
      <c r="L2474">
        <v>0</v>
      </c>
      <c r="M2474" t="str">
        <f t="shared" si="618"/>
        <v>NIS</v>
      </c>
      <c r="O2474">
        <v>8</v>
      </c>
      <c r="P2474" t="str">
        <f>"Active"</f>
        <v>Active</v>
      </c>
      <c r="Q2474" t="str">
        <f>"License Key For LM Content Standalone"</f>
        <v>License Key For LM Content Standalone</v>
      </c>
      <c r="R2474" t="str">
        <f>"1"</f>
        <v>1</v>
      </c>
      <c r="S2474" t="str">
        <f>"License Key For LM Content Standalone"</f>
        <v>License Key For LM Content Standalone</v>
      </c>
      <c r="T2474">
        <v>0</v>
      </c>
      <c r="U2474">
        <v>18</v>
      </c>
      <c r="V2474">
        <v>18.72</v>
      </c>
      <c r="W2474" t="str">
        <f t="shared" si="615"/>
        <v>rob</v>
      </c>
    </row>
    <row r="2475" spans="1:23">
      <c r="A2475" t="str">
        <f t="shared" si="619"/>
        <v>Lmate MANUFACT</v>
      </c>
      <c r="B2475" t="str">
        <f>"0E7287"</f>
        <v>0E7287</v>
      </c>
      <c r="C2475" t="str">
        <f>"LM_ContentSA Vir.-IntroTo Advanced Manufacturing"</f>
        <v>LM_ContentSA Vir.-IntroTo Advanced Manufacturing</v>
      </c>
      <c r="D2475">
        <v>1</v>
      </c>
      <c r="E2475" t="str">
        <f t="shared" si="620"/>
        <v>LearnMate Content (standalone) - Manufacturing</v>
      </c>
      <c r="F2475">
        <v>700</v>
      </c>
      <c r="G2475" t="str">
        <f t="shared" si="610"/>
        <v>Y</v>
      </c>
      <c r="H2475" t="str">
        <f t="shared" si="614"/>
        <v>EA</v>
      </c>
      <c r="I2475">
        <v>0</v>
      </c>
      <c r="J2475">
        <v>0</v>
      </c>
      <c r="K2475" t="str">
        <f t="shared" si="611"/>
        <v>Y</v>
      </c>
      <c r="L2475">
        <v>0</v>
      </c>
      <c r="M2475" t="str">
        <f t="shared" si="618"/>
        <v>NIS</v>
      </c>
      <c r="O2475">
        <v>9</v>
      </c>
      <c r="P2475" t="str">
        <f>"Active"</f>
        <v>Active</v>
      </c>
      <c r="Q2475" t="str">
        <f>"LM_ContentSA Vir.-IntroTo Advanced Manufacturing"</f>
        <v>LM_ContentSA Vir.-IntroTo Advanced Manufacturing</v>
      </c>
      <c r="S2475" t="str">
        <f>"LM_ContentSA Vir.-IntroTo Advanced Manufacturing"</f>
        <v>LM_ContentSA Vir.-IntroTo Advanced Manufacturing</v>
      </c>
      <c r="T2475">
        <v>0</v>
      </c>
      <c r="U2475">
        <v>30.65</v>
      </c>
      <c r="V2475">
        <v>35.85</v>
      </c>
      <c r="W2475" t="str">
        <f t="shared" si="615"/>
        <v>rob</v>
      </c>
    </row>
    <row r="2476" spans="1:23">
      <c r="A2476" t="str">
        <f t="shared" si="619"/>
        <v>Lmate MANUFACT</v>
      </c>
      <c r="B2476" t="str">
        <f>"63-7001-0100"</f>
        <v>63-7001-0100</v>
      </c>
      <c r="C2476" t="str">
        <f>"License Key for Standalone Content"</f>
        <v>License Key for Standalone Content</v>
      </c>
      <c r="D2476">
        <v>1</v>
      </c>
      <c r="E2476" t="str">
        <f t="shared" si="620"/>
        <v>LearnMate Content (standalone) - Manufacturing</v>
      </c>
      <c r="F2476">
        <v>700</v>
      </c>
      <c r="G2476" t="str">
        <f t="shared" si="610"/>
        <v>Y</v>
      </c>
      <c r="H2476" t="str">
        <f t="shared" si="614"/>
        <v>EA</v>
      </c>
      <c r="I2476">
        <v>0</v>
      </c>
      <c r="J2476">
        <v>0</v>
      </c>
      <c r="K2476" t="str">
        <f t="shared" si="611"/>
        <v>Y</v>
      </c>
      <c r="L2476">
        <v>0</v>
      </c>
      <c r="M2476" t="str">
        <f t="shared" si="618"/>
        <v>NIS</v>
      </c>
      <c r="O2476">
        <v>10</v>
      </c>
      <c r="P2476" t="str">
        <f>"Active"</f>
        <v>Active</v>
      </c>
      <c r="Q2476" t="str">
        <f>"License Key For LM Content Standalone"</f>
        <v>License Key For LM Content Standalone</v>
      </c>
      <c r="R2476" t="str">
        <f>"1"</f>
        <v>1</v>
      </c>
      <c r="S2476" t="str">
        <f>"License Key For LM Content Standalone"</f>
        <v>License Key For LM Content Standalone</v>
      </c>
      <c r="T2476">
        <v>0</v>
      </c>
      <c r="U2476">
        <v>18</v>
      </c>
      <c r="V2476">
        <v>18.72</v>
      </c>
      <c r="W2476" t="str">
        <f t="shared" si="615"/>
        <v>rob</v>
      </c>
    </row>
    <row r="2477" spans="1:23">
      <c r="A2477" t="str">
        <f t="shared" ref="A2477:A2484" si="621">"Lmate PLC"</f>
        <v>Lmate PLC</v>
      </c>
      <c r="B2477" t="str">
        <f>"0E7224"</f>
        <v>0E7224</v>
      </c>
      <c r="C2477" t="str">
        <f>"LM_Content SA Vir. PLC Tech. 1 - Fundamentals"</f>
        <v>LM_Content SA Vir. PLC Tech. 1 - Fundamentals</v>
      </c>
      <c r="D2477">
        <v>1</v>
      </c>
      <c r="E2477" t="str">
        <f t="shared" ref="E2477:E2484" si="622">"LearnMate Content (standalone) - PLC"</f>
        <v>LearnMate Content (standalone) - PLC</v>
      </c>
      <c r="F2477">
        <v>700</v>
      </c>
      <c r="G2477" t="str">
        <f t="shared" si="610"/>
        <v>Y</v>
      </c>
      <c r="H2477" t="str">
        <f t="shared" si="614"/>
        <v>EA</v>
      </c>
      <c r="I2477">
        <v>0</v>
      </c>
      <c r="J2477">
        <v>0</v>
      </c>
      <c r="K2477" t="str">
        <f t="shared" si="611"/>
        <v>Y</v>
      </c>
      <c r="L2477">
        <v>0</v>
      </c>
      <c r="M2477" t="str">
        <f t="shared" si="618"/>
        <v>NIS</v>
      </c>
      <c r="O2477">
        <v>1</v>
      </c>
      <c r="P2477" t="str">
        <f>"Not for purc"</f>
        <v>Not for purc</v>
      </c>
      <c r="Q2477" t="str">
        <f>"LM_Content SA Vir. PLC Tech. 1 - Fundamentals"</f>
        <v>LM_Content SA Vir. PLC Tech. 1 - Fundamentals</v>
      </c>
      <c r="S2477" t="str">
        <f>"LM_Content SA Vir. PLC Tech. 1 - Fundamentals"</f>
        <v>LM_Content SA Vir. PLC Tech. 1 - Fundamentals</v>
      </c>
      <c r="T2477">
        <v>0</v>
      </c>
      <c r="U2477">
        <v>30.65</v>
      </c>
      <c r="V2477">
        <v>35.840000000000003</v>
      </c>
      <c r="W2477" t="str">
        <f t="shared" si="615"/>
        <v>rob</v>
      </c>
    </row>
    <row r="2478" spans="1:23">
      <c r="A2478" t="str">
        <f t="shared" si="621"/>
        <v>Lmate PLC</v>
      </c>
      <c r="B2478" t="str">
        <f>"63-7001-0100"</f>
        <v>63-7001-0100</v>
      </c>
      <c r="C2478" t="str">
        <f>"License Key for Standalone Content"</f>
        <v>License Key for Standalone Content</v>
      </c>
      <c r="D2478">
        <v>1</v>
      </c>
      <c r="E2478" t="str">
        <f t="shared" si="622"/>
        <v>LearnMate Content (standalone) - PLC</v>
      </c>
      <c r="F2478">
        <v>700</v>
      </c>
      <c r="G2478" t="str">
        <f t="shared" si="610"/>
        <v>Y</v>
      </c>
      <c r="H2478" t="str">
        <f t="shared" si="614"/>
        <v>EA</v>
      </c>
      <c r="I2478">
        <v>0</v>
      </c>
      <c r="J2478">
        <v>0</v>
      </c>
      <c r="K2478" t="str">
        <f t="shared" si="611"/>
        <v>Y</v>
      </c>
      <c r="L2478">
        <v>0</v>
      </c>
      <c r="M2478" t="str">
        <f t="shared" si="618"/>
        <v>NIS</v>
      </c>
      <c r="O2478">
        <v>2</v>
      </c>
      <c r="P2478" t="str">
        <f>"Active"</f>
        <v>Active</v>
      </c>
      <c r="Q2478" t="str">
        <f>"License Key For LM Content Standalone"</f>
        <v>License Key For LM Content Standalone</v>
      </c>
      <c r="R2478" t="str">
        <f>"1"</f>
        <v>1</v>
      </c>
      <c r="S2478" t="str">
        <f>"License Key For LM Content Standalone"</f>
        <v>License Key For LM Content Standalone</v>
      </c>
      <c r="T2478">
        <v>0</v>
      </c>
      <c r="U2478">
        <v>18</v>
      </c>
      <c r="V2478">
        <v>18.72</v>
      </c>
      <c r="W2478" t="str">
        <f t="shared" si="615"/>
        <v>rob</v>
      </c>
    </row>
    <row r="2479" spans="1:23">
      <c r="A2479" t="str">
        <f t="shared" si="621"/>
        <v>Lmate PLC</v>
      </c>
      <c r="B2479" t="str">
        <f>"0E7225"</f>
        <v>0E7225</v>
      </c>
      <c r="C2479" t="str">
        <f>"LM_Content SA Vir.-PLC Technology 2 -Advanced"</f>
        <v>LM_Content SA Vir.-PLC Technology 2 -Advanced</v>
      </c>
      <c r="D2479">
        <v>1</v>
      </c>
      <c r="E2479" t="str">
        <f t="shared" si="622"/>
        <v>LearnMate Content (standalone) - PLC</v>
      </c>
      <c r="F2479">
        <v>700</v>
      </c>
      <c r="G2479" t="str">
        <f t="shared" si="610"/>
        <v>Y</v>
      </c>
      <c r="H2479" t="str">
        <f t="shared" si="614"/>
        <v>EA</v>
      </c>
      <c r="I2479">
        <v>0</v>
      </c>
      <c r="J2479">
        <v>0</v>
      </c>
      <c r="K2479" t="str">
        <f t="shared" si="611"/>
        <v>Y</v>
      </c>
      <c r="L2479">
        <v>0</v>
      </c>
      <c r="M2479" t="str">
        <f t="shared" si="618"/>
        <v>NIS</v>
      </c>
      <c r="O2479">
        <v>3</v>
      </c>
      <c r="P2479" t="str">
        <f>"Not for purc"</f>
        <v>Not for purc</v>
      </c>
      <c r="Q2479" t="str">
        <f>"LM_Content SA Vir.-PLC Technology 2 -Advanced"</f>
        <v>LM_Content SA Vir.-PLC Technology 2 -Advanced</v>
      </c>
      <c r="S2479" t="str">
        <f>"LM_Content SA Vir.-PLC Technology 2 -Advanced"</f>
        <v>LM_Content SA Vir.-PLC Technology 2 -Advanced</v>
      </c>
      <c r="T2479">
        <v>0</v>
      </c>
      <c r="U2479">
        <v>30.65</v>
      </c>
      <c r="V2479">
        <v>35.840000000000003</v>
      </c>
      <c r="W2479" t="str">
        <f t="shared" si="615"/>
        <v>rob</v>
      </c>
    </row>
    <row r="2480" spans="1:23">
      <c r="A2480" t="str">
        <f t="shared" si="621"/>
        <v>Lmate PLC</v>
      </c>
      <c r="B2480" t="str">
        <f>"63-7001-0100"</f>
        <v>63-7001-0100</v>
      </c>
      <c r="C2480" t="str">
        <f>"License Key for Standalone Content"</f>
        <v>License Key for Standalone Content</v>
      </c>
      <c r="D2480">
        <v>1</v>
      </c>
      <c r="E2480" t="str">
        <f t="shared" si="622"/>
        <v>LearnMate Content (standalone) - PLC</v>
      </c>
      <c r="F2480">
        <v>700</v>
      </c>
      <c r="G2480" t="str">
        <f t="shared" si="610"/>
        <v>Y</v>
      </c>
      <c r="H2480" t="str">
        <f t="shared" si="614"/>
        <v>EA</v>
      </c>
      <c r="I2480">
        <v>0</v>
      </c>
      <c r="J2480">
        <v>0</v>
      </c>
      <c r="K2480" t="str">
        <f t="shared" si="611"/>
        <v>Y</v>
      </c>
      <c r="L2480">
        <v>0</v>
      </c>
      <c r="M2480" t="str">
        <f t="shared" si="618"/>
        <v>NIS</v>
      </c>
      <c r="O2480">
        <v>4</v>
      </c>
      <c r="P2480" t="str">
        <f>"Active"</f>
        <v>Active</v>
      </c>
      <c r="Q2480" t="str">
        <f>"License Key For LM Content Standalone"</f>
        <v>License Key For LM Content Standalone</v>
      </c>
      <c r="R2480" t="str">
        <f>"1"</f>
        <v>1</v>
      </c>
      <c r="S2480" t="str">
        <f>"License Key For LM Content Standalone"</f>
        <v>License Key For LM Content Standalone</v>
      </c>
      <c r="T2480">
        <v>0</v>
      </c>
      <c r="U2480">
        <v>18</v>
      </c>
      <c r="V2480">
        <v>18.72</v>
      </c>
      <c r="W2480" t="str">
        <f t="shared" si="615"/>
        <v>rob</v>
      </c>
    </row>
    <row r="2481" spans="1:23">
      <c r="A2481" t="str">
        <f t="shared" si="621"/>
        <v>Lmate PLC</v>
      </c>
      <c r="B2481" t="str">
        <f>"0E7226"</f>
        <v>0E7226</v>
      </c>
      <c r="C2481" t="str">
        <f>"LM_Content SA Vir .- PLC Technology 3- Pneumatc."</f>
        <v>LM_Content SA Vir .- PLC Technology 3- Pneumatc.</v>
      </c>
      <c r="D2481">
        <v>1</v>
      </c>
      <c r="E2481" t="str">
        <f t="shared" si="622"/>
        <v>LearnMate Content (standalone) - PLC</v>
      </c>
      <c r="F2481">
        <v>700</v>
      </c>
      <c r="G2481" t="str">
        <f t="shared" si="610"/>
        <v>Y</v>
      </c>
      <c r="H2481" t="str">
        <f t="shared" si="614"/>
        <v>EA</v>
      </c>
      <c r="I2481">
        <v>0</v>
      </c>
      <c r="J2481">
        <v>0</v>
      </c>
      <c r="K2481" t="str">
        <f t="shared" si="611"/>
        <v>Y</v>
      </c>
      <c r="L2481">
        <v>0</v>
      </c>
      <c r="M2481" t="str">
        <f t="shared" si="618"/>
        <v>NIS</v>
      </c>
      <c r="O2481">
        <v>5</v>
      </c>
      <c r="P2481" t="str">
        <f>"Not for purc"</f>
        <v>Not for purc</v>
      </c>
      <c r="Q2481" t="str">
        <f>"LM_Content SA Vir .- PLC Technology 3- Pneumatc."</f>
        <v>LM_Content SA Vir .- PLC Technology 3- Pneumatc.</v>
      </c>
      <c r="S2481" t="str">
        <f>"LM_Content SA Vir .- PLC Technology 3- Pneumatc."</f>
        <v>LM_Content SA Vir .- PLC Technology 3- Pneumatc.</v>
      </c>
      <c r="T2481">
        <v>0</v>
      </c>
      <c r="U2481">
        <v>30.65</v>
      </c>
      <c r="V2481">
        <v>35.840000000000003</v>
      </c>
      <c r="W2481" t="str">
        <f t="shared" si="615"/>
        <v>rob</v>
      </c>
    </row>
    <row r="2482" spans="1:23">
      <c r="A2482" t="str">
        <f t="shared" si="621"/>
        <v>Lmate PLC</v>
      </c>
      <c r="B2482" t="str">
        <f>"63-7001-0100"</f>
        <v>63-7001-0100</v>
      </c>
      <c r="C2482" t="str">
        <f>"License Key for Standalone Content"</f>
        <v>License Key for Standalone Content</v>
      </c>
      <c r="D2482">
        <v>1</v>
      </c>
      <c r="E2482" t="str">
        <f t="shared" si="622"/>
        <v>LearnMate Content (standalone) - PLC</v>
      </c>
      <c r="F2482">
        <v>700</v>
      </c>
      <c r="G2482" t="str">
        <f t="shared" si="610"/>
        <v>Y</v>
      </c>
      <c r="H2482" t="str">
        <f t="shared" si="614"/>
        <v>EA</v>
      </c>
      <c r="I2482">
        <v>0</v>
      </c>
      <c r="J2482">
        <v>0</v>
      </c>
      <c r="K2482" t="str">
        <f t="shared" si="611"/>
        <v>Y</v>
      </c>
      <c r="L2482">
        <v>0</v>
      </c>
      <c r="M2482" t="str">
        <f t="shared" si="618"/>
        <v>NIS</v>
      </c>
      <c r="O2482">
        <v>6</v>
      </c>
      <c r="P2482" t="str">
        <f>"Active"</f>
        <v>Active</v>
      </c>
      <c r="Q2482" t="str">
        <f>"License Key For LM Content Standalone"</f>
        <v>License Key For LM Content Standalone</v>
      </c>
      <c r="R2482" t="str">
        <f>"1"</f>
        <v>1</v>
      </c>
      <c r="S2482" t="str">
        <f>"License Key For LM Content Standalone"</f>
        <v>License Key For LM Content Standalone</v>
      </c>
      <c r="T2482">
        <v>0</v>
      </c>
      <c r="U2482">
        <v>18</v>
      </c>
      <c r="V2482">
        <v>18.72</v>
      </c>
      <c r="W2482" t="str">
        <f t="shared" si="615"/>
        <v>rob</v>
      </c>
    </row>
    <row r="2483" spans="1:23">
      <c r="A2483" t="str">
        <f t="shared" si="621"/>
        <v>Lmate PLC</v>
      </c>
      <c r="B2483" t="str">
        <f>"0E7227"</f>
        <v>0E7227</v>
      </c>
      <c r="C2483" t="str">
        <f>"LM_Content SA Vir.- PLC Technology 4 -Hydraulic."</f>
        <v>LM_Content SA Vir.- PLC Technology 4 -Hydraulic.</v>
      </c>
      <c r="D2483">
        <v>1</v>
      </c>
      <c r="E2483" t="str">
        <f t="shared" si="622"/>
        <v>LearnMate Content (standalone) - PLC</v>
      </c>
      <c r="F2483">
        <v>700</v>
      </c>
      <c r="G2483" t="str">
        <f t="shared" si="610"/>
        <v>Y</v>
      </c>
      <c r="H2483" t="str">
        <f t="shared" si="614"/>
        <v>EA</v>
      </c>
      <c r="I2483">
        <v>0</v>
      </c>
      <c r="J2483">
        <v>0</v>
      </c>
      <c r="K2483" t="str">
        <f t="shared" si="611"/>
        <v>Y</v>
      </c>
      <c r="L2483">
        <v>0</v>
      </c>
      <c r="M2483" t="str">
        <f t="shared" si="618"/>
        <v>NIS</v>
      </c>
      <c r="O2483">
        <v>7</v>
      </c>
      <c r="P2483" t="str">
        <f>"Not for purc"</f>
        <v>Not for purc</v>
      </c>
      <c r="Q2483" t="str">
        <f>"LM_Content SA Vir.- PLC Technology 4 -Hydraulic."</f>
        <v>LM_Content SA Vir.- PLC Technology 4 -Hydraulic.</v>
      </c>
      <c r="S2483" t="str">
        <f>"LM_Content SA Vir.- PLC Technology 4 -Hydraulic."</f>
        <v>LM_Content SA Vir.- PLC Technology 4 -Hydraulic.</v>
      </c>
      <c r="T2483">
        <v>0</v>
      </c>
      <c r="U2483">
        <v>30.65</v>
      </c>
      <c r="V2483">
        <v>35.840000000000003</v>
      </c>
      <c r="W2483" t="str">
        <f t="shared" si="615"/>
        <v>rob</v>
      </c>
    </row>
    <row r="2484" spans="1:23">
      <c r="A2484" t="str">
        <f t="shared" si="621"/>
        <v>Lmate PLC</v>
      </c>
      <c r="B2484" t="str">
        <f>"63-7001-0100"</f>
        <v>63-7001-0100</v>
      </c>
      <c r="C2484" t="str">
        <f>"License Key for Standalone Content"</f>
        <v>License Key for Standalone Content</v>
      </c>
      <c r="D2484">
        <v>1</v>
      </c>
      <c r="E2484" t="str">
        <f t="shared" si="622"/>
        <v>LearnMate Content (standalone) - PLC</v>
      </c>
      <c r="F2484">
        <v>700</v>
      </c>
      <c r="G2484" t="str">
        <f t="shared" si="610"/>
        <v>Y</v>
      </c>
      <c r="H2484" t="str">
        <f t="shared" si="614"/>
        <v>EA</v>
      </c>
      <c r="I2484">
        <v>0</v>
      </c>
      <c r="J2484">
        <v>0</v>
      </c>
      <c r="K2484" t="str">
        <f t="shared" si="611"/>
        <v>Y</v>
      </c>
      <c r="L2484">
        <v>0</v>
      </c>
      <c r="M2484" t="str">
        <f t="shared" si="618"/>
        <v>NIS</v>
      </c>
      <c r="O2484">
        <v>8</v>
      </c>
      <c r="P2484" t="str">
        <f>"Active"</f>
        <v>Active</v>
      </c>
      <c r="Q2484" t="str">
        <f>"License Key For LM Content Standalone"</f>
        <v>License Key For LM Content Standalone</v>
      </c>
      <c r="R2484" t="str">
        <f>"1"</f>
        <v>1</v>
      </c>
      <c r="S2484" t="str">
        <f>"License Key For LM Content Standalone"</f>
        <v>License Key For LM Content Standalone</v>
      </c>
      <c r="T2484">
        <v>0</v>
      </c>
      <c r="U2484">
        <v>18</v>
      </c>
      <c r="V2484">
        <v>18.72</v>
      </c>
      <c r="W2484" t="str">
        <f t="shared" si="615"/>
        <v>rob</v>
      </c>
    </row>
    <row r="2485" spans="1:23">
      <c r="A2485" t="str">
        <f t="shared" ref="A2485:A2492" si="623">"Lmate PNEUMATICS"</f>
        <v>Lmate PNEUMATICS</v>
      </c>
      <c r="B2485" t="str">
        <f>"0E7228"</f>
        <v>0E7228</v>
      </c>
      <c r="C2485" t="str">
        <f>"LM_Content SA Vir.-Pneu Technology1 -Fundamntals"</f>
        <v>LM_Content SA Vir.-Pneu Technology1 -Fundamntals</v>
      </c>
      <c r="D2485">
        <v>1</v>
      </c>
      <c r="E2485" t="str">
        <f t="shared" ref="E2485:E2492" si="624">"LearnMate Content (standalone) - Pneumatic"</f>
        <v>LearnMate Content (standalone) - Pneumatic</v>
      </c>
      <c r="F2485">
        <v>700</v>
      </c>
      <c r="G2485" t="str">
        <f t="shared" si="610"/>
        <v>Y</v>
      </c>
      <c r="H2485" t="str">
        <f t="shared" si="614"/>
        <v>EA</v>
      </c>
      <c r="I2485">
        <v>0</v>
      </c>
      <c r="J2485">
        <v>0</v>
      </c>
      <c r="K2485" t="str">
        <f t="shared" si="611"/>
        <v>Y</v>
      </c>
      <c r="L2485">
        <v>0</v>
      </c>
      <c r="M2485" t="str">
        <f t="shared" si="618"/>
        <v>NIS</v>
      </c>
      <c r="O2485">
        <v>1</v>
      </c>
      <c r="P2485" t="str">
        <f>"Not for purc"</f>
        <v>Not for purc</v>
      </c>
      <c r="Q2485" t="str">
        <f>"LM_Content SA Vir.-Pneu Technology1 -Fundamntals"</f>
        <v>LM_Content SA Vir.-Pneu Technology1 -Fundamntals</v>
      </c>
      <c r="S2485" t="str">
        <f>"LM_Content SA Vir.-Pneu Technology1 -Fundamntals"</f>
        <v>LM_Content SA Vir.-Pneu Technology1 -Fundamntals</v>
      </c>
      <c r="T2485">
        <v>0</v>
      </c>
      <c r="U2485">
        <v>30.65</v>
      </c>
      <c r="V2485">
        <v>35.840000000000003</v>
      </c>
      <c r="W2485" t="str">
        <f t="shared" si="615"/>
        <v>rob</v>
      </c>
    </row>
    <row r="2486" spans="1:23">
      <c r="A2486" t="str">
        <f t="shared" si="623"/>
        <v>Lmate PNEUMATICS</v>
      </c>
      <c r="B2486" t="str">
        <f>"63-7001-0100"</f>
        <v>63-7001-0100</v>
      </c>
      <c r="C2486" t="str">
        <f>"License Key for Standalone Content"</f>
        <v>License Key for Standalone Content</v>
      </c>
      <c r="D2486">
        <v>1</v>
      </c>
      <c r="E2486" t="str">
        <f t="shared" si="624"/>
        <v>LearnMate Content (standalone) - Pneumatic</v>
      </c>
      <c r="F2486">
        <v>700</v>
      </c>
      <c r="G2486" t="str">
        <f t="shared" si="610"/>
        <v>Y</v>
      </c>
      <c r="H2486" t="str">
        <f t="shared" si="614"/>
        <v>EA</v>
      </c>
      <c r="I2486">
        <v>0</v>
      </c>
      <c r="J2486">
        <v>0</v>
      </c>
      <c r="K2486" t="str">
        <f t="shared" si="611"/>
        <v>Y</v>
      </c>
      <c r="L2486">
        <v>0</v>
      </c>
      <c r="M2486" t="str">
        <f t="shared" si="618"/>
        <v>NIS</v>
      </c>
      <c r="O2486">
        <v>2</v>
      </c>
      <c r="P2486" t="str">
        <f>"Active"</f>
        <v>Active</v>
      </c>
      <c r="Q2486" t="str">
        <f>"License Key For LM Content Standalone"</f>
        <v>License Key For LM Content Standalone</v>
      </c>
      <c r="R2486" t="str">
        <f>"1"</f>
        <v>1</v>
      </c>
      <c r="S2486" t="str">
        <f>"License Key For LM Content Standalone"</f>
        <v>License Key For LM Content Standalone</v>
      </c>
      <c r="T2486">
        <v>0</v>
      </c>
      <c r="U2486">
        <v>18</v>
      </c>
      <c r="V2486">
        <v>18.72</v>
      </c>
      <c r="W2486" t="str">
        <f t="shared" si="615"/>
        <v>rob</v>
      </c>
    </row>
    <row r="2487" spans="1:23">
      <c r="A2487" t="str">
        <f t="shared" si="623"/>
        <v>Lmate PNEUMATICS</v>
      </c>
      <c r="B2487" t="str">
        <f>"0E7229"</f>
        <v>0E7229</v>
      </c>
      <c r="C2487" t="str">
        <f>"LM_Content SA Vir- PneuFlx Technology 2 - Advced"</f>
        <v>LM_Content SA Vir- PneuFlx Technology 2 - Advced</v>
      </c>
      <c r="D2487">
        <v>1</v>
      </c>
      <c r="E2487" t="str">
        <f t="shared" si="624"/>
        <v>LearnMate Content (standalone) - Pneumatic</v>
      </c>
      <c r="F2487">
        <v>700</v>
      </c>
      <c r="G2487" t="str">
        <f t="shared" si="610"/>
        <v>Y</v>
      </c>
      <c r="H2487" t="str">
        <f t="shared" si="614"/>
        <v>EA</v>
      </c>
      <c r="I2487">
        <v>0</v>
      </c>
      <c r="J2487">
        <v>0</v>
      </c>
      <c r="K2487" t="str">
        <f t="shared" si="611"/>
        <v>Y</v>
      </c>
      <c r="L2487">
        <v>0</v>
      </c>
      <c r="M2487" t="str">
        <f t="shared" si="618"/>
        <v>NIS</v>
      </c>
      <c r="O2487">
        <v>3</v>
      </c>
      <c r="P2487" t="str">
        <f>"Not for purc"</f>
        <v>Not for purc</v>
      </c>
      <c r="Q2487" t="str">
        <f>"LM_Content SA Vir- PneuFlx Technology 2 - Advced"</f>
        <v>LM_Content SA Vir- PneuFlx Technology 2 - Advced</v>
      </c>
      <c r="S2487" t="str">
        <f>"LM_Content SA Vir- PneuFlx Technology 2 - Advced"</f>
        <v>LM_Content SA Vir- PneuFlx Technology 2 - Advced</v>
      </c>
      <c r="T2487">
        <v>0</v>
      </c>
      <c r="U2487">
        <v>30.65</v>
      </c>
      <c r="V2487">
        <v>35.840000000000003</v>
      </c>
      <c r="W2487" t="str">
        <f t="shared" ref="W2487:W2518" si="625">"rob"</f>
        <v>rob</v>
      </c>
    </row>
    <row r="2488" spans="1:23">
      <c r="A2488" t="str">
        <f t="shared" si="623"/>
        <v>Lmate PNEUMATICS</v>
      </c>
      <c r="B2488" t="str">
        <f>"63-7001-0100"</f>
        <v>63-7001-0100</v>
      </c>
      <c r="C2488" t="str">
        <f>"License Key for Standalone Content"</f>
        <v>License Key for Standalone Content</v>
      </c>
      <c r="D2488">
        <v>1</v>
      </c>
      <c r="E2488" t="str">
        <f t="shared" si="624"/>
        <v>LearnMate Content (standalone) - Pneumatic</v>
      </c>
      <c r="F2488">
        <v>700</v>
      </c>
      <c r="G2488" t="str">
        <f t="shared" si="610"/>
        <v>Y</v>
      </c>
      <c r="H2488" t="str">
        <f t="shared" si="614"/>
        <v>EA</v>
      </c>
      <c r="I2488">
        <v>0</v>
      </c>
      <c r="J2488">
        <v>0</v>
      </c>
      <c r="K2488" t="str">
        <f t="shared" si="611"/>
        <v>Y</v>
      </c>
      <c r="L2488">
        <v>0</v>
      </c>
      <c r="M2488" t="str">
        <f t="shared" si="618"/>
        <v>NIS</v>
      </c>
      <c r="O2488">
        <v>4</v>
      </c>
      <c r="P2488" t="str">
        <f>"Active"</f>
        <v>Active</v>
      </c>
      <c r="Q2488" t="str">
        <f>"License Key For LM Content Standalone"</f>
        <v>License Key For LM Content Standalone</v>
      </c>
      <c r="R2488" t="str">
        <f>"1"</f>
        <v>1</v>
      </c>
      <c r="S2488" t="str">
        <f>"License Key For LM Content Standalone"</f>
        <v>License Key For LM Content Standalone</v>
      </c>
      <c r="T2488">
        <v>0</v>
      </c>
      <c r="U2488">
        <v>18</v>
      </c>
      <c r="V2488">
        <v>18.72</v>
      </c>
      <c r="W2488" t="str">
        <f t="shared" si="625"/>
        <v>rob</v>
      </c>
    </row>
    <row r="2489" spans="1:23">
      <c r="A2489" t="str">
        <f t="shared" si="623"/>
        <v>Lmate PNEUMATICS</v>
      </c>
      <c r="B2489" t="str">
        <f>"0E7230"</f>
        <v>0E7230</v>
      </c>
      <c r="C2489" t="str">
        <f>"LM_Content SA Vir.-Pneu Technology 3-Electro Pnu"</f>
        <v>LM_Content SA Vir.-Pneu Technology 3-Electro Pnu</v>
      </c>
      <c r="D2489">
        <v>1</v>
      </c>
      <c r="E2489" t="str">
        <f t="shared" si="624"/>
        <v>LearnMate Content (standalone) - Pneumatic</v>
      </c>
      <c r="F2489">
        <v>700</v>
      </c>
      <c r="G2489" t="str">
        <f t="shared" si="610"/>
        <v>Y</v>
      </c>
      <c r="H2489" t="str">
        <f t="shared" si="614"/>
        <v>EA</v>
      </c>
      <c r="I2489">
        <v>0</v>
      </c>
      <c r="J2489">
        <v>0</v>
      </c>
      <c r="K2489" t="str">
        <f t="shared" si="611"/>
        <v>Y</v>
      </c>
      <c r="L2489">
        <v>0</v>
      </c>
      <c r="M2489" t="str">
        <f t="shared" si="618"/>
        <v>NIS</v>
      </c>
      <c r="O2489">
        <v>5</v>
      </c>
      <c r="P2489" t="str">
        <f>"Active"</f>
        <v>Active</v>
      </c>
      <c r="Q2489" t="str">
        <f>"LM_Content SA Vir.-Pneu Technology 3-Electro Pnu"</f>
        <v>LM_Content SA Vir.-Pneu Technology 3-Electro Pnu</v>
      </c>
      <c r="S2489" t="str">
        <f>"LM_Content SA Vir.-Pneu Technology 3-Electro Pnu"</f>
        <v>LM_Content SA Vir.-Pneu Technology 3-Electro Pnu</v>
      </c>
      <c r="T2489">
        <v>0</v>
      </c>
      <c r="U2489">
        <v>30.65</v>
      </c>
      <c r="V2489">
        <v>35.840000000000003</v>
      </c>
      <c r="W2489" t="str">
        <f t="shared" si="625"/>
        <v>rob</v>
      </c>
    </row>
    <row r="2490" spans="1:23">
      <c r="A2490" t="str">
        <f t="shared" si="623"/>
        <v>Lmate PNEUMATICS</v>
      </c>
      <c r="B2490" t="str">
        <f>"63-7001-0100"</f>
        <v>63-7001-0100</v>
      </c>
      <c r="C2490" t="str">
        <f>"License Key for Standalone Content"</f>
        <v>License Key for Standalone Content</v>
      </c>
      <c r="D2490">
        <v>1</v>
      </c>
      <c r="E2490" t="str">
        <f t="shared" si="624"/>
        <v>LearnMate Content (standalone) - Pneumatic</v>
      </c>
      <c r="F2490">
        <v>700</v>
      </c>
      <c r="G2490" t="str">
        <f t="shared" si="610"/>
        <v>Y</v>
      </c>
      <c r="H2490" t="str">
        <f t="shared" si="614"/>
        <v>EA</v>
      </c>
      <c r="I2490">
        <v>0</v>
      </c>
      <c r="J2490">
        <v>0</v>
      </c>
      <c r="K2490" t="str">
        <f t="shared" si="611"/>
        <v>Y</v>
      </c>
      <c r="L2490">
        <v>0</v>
      </c>
      <c r="M2490" t="str">
        <f t="shared" si="618"/>
        <v>NIS</v>
      </c>
      <c r="O2490">
        <v>6</v>
      </c>
      <c r="P2490" t="str">
        <f>"Active"</f>
        <v>Active</v>
      </c>
      <c r="Q2490" t="str">
        <f>"License Key For LM Content Standalone"</f>
        <v>License Key For LM Content Standalone</v>
      </c>
      <c r="R2490" t="str">
        <f>"1"</f>
        <v>1</v>
      </c>
      <c r="S2490" t="str">
        <f>"License Key For LM Content Standalone"</f>
        <v>License Key For LM Content Standalone</v>
      </c>
      <c r="T2490">
        <v>0</v>
      </c>
      <c r="U2490">
        <v>18</v>
      </c>
      <c r="V2490">
        <v>18.72</v>
      </c>
      <c r="W2490" t="str">
        <f t="shared" si="625"/>
        <v>rob</v>
      </c>
    </row>
    <row r="2491" spans="1:23">
      <c r="A2491" t="str">
        <f t="shared" si="623"/>
        <v>Lmate PNEUMATICS</v>
      </c>
      <c r="B2491" t="str">
        <f>"0E7231"</f>
        <v>0E7231</v>
      </c>
      <c r="C2491" t="str">
        <f>"LM_Content SA Vir.- Pneumatics Technology  4"</f>
        <v>LM_Content SA Vir.- Pneumatics Technology  4</v>
      </c>
      <c r="D2491">
        <v>1</v>
      </c>
      <c r="E2491" t="str">
        <f t="shared" si="624"/>
        <v>LearnMate Content (standalone) - Pneumatic</v>
      </c>
      <c r="F2491">
        <v>700</v>
      </c>
      <c r="G2491" t="str">
        <f t="shared" si="610"/>
        <v>Y</v>
      </c>
      <c r="H2491" t="str">
        <f t="shared" si="614"/>
        <v>EA</v>
      </c>
      <c r="I2491">
        <v>0</v>
      </c>
      <c r="J2491">
        <v>0</v>
      </c>
      <c r="K2491" t="str">
        <f t="shared" si="611"/>
        <v>Y</v>
      </c>
      <c r="L2491">
        <v>0</v>
      </c>
      <c r="M2491" t="str">
        <f t="shared" si="618"/>
        <v>NIS</v>
      </c>
      <c r="O2491">
        <v>7</v>
      </c>
      <c r="P2491" t="str">
        <f>"Not for purc"</f>
        <v>Not for purc</v>
      </c>
      <c r="Q2491" t="str">
        <f>"LM_Content SA Vir.- Pneumatics Technology  4"</f>
        <v>LM_Content SA Vir.- Pneumatics Technology  4</v>
      </c>
      <c r="S2491" t="str">
        <f>"LM_Content SA Vir.- Pneumatics Technology  4"</f>
        <v>LM_Content SA Vir.- Pneumatics Technology  4</v>
      </c>
      <c r="T2491">
        <v>0</v>
      </c>
      <c r="U2491">
        <v>30.65</v>
      </c>
      <c r="V2491">
        <v>36.049999999999997</v>
      </c>
      <c r="W2491" t="str">
        <f t="shared" si="625"/>
        <v>rob</v>
      </c>
    </row>
    <row r="2492" spans="1:23">
      <c r="A2492" t="str">
        <f t="shared" si="623"/>
        <v>Lmate PNEUMATICS</v>
      </c>
      <c r="B2492" t="str">
        <f>"63-7001-0100"</f>
        <v>63-7001-0100</v>
      </c>
      <c r="C2492" t="str">
        <f>"License Key for Standalone Content"</f>
        <v>License Key for Standalone Content</v>
      </c>
      <c r="D2492">
        <v>1</v>
      </c>
      <c r="E2492" t="str">
        <f t="shared" si="624"/>
        <v>LearnMate Content (standalone) - Pneumatic</v>
      </c>
      <c r="F2492">
        <v>700</v>
      </c>
      <c r="G2492" t="str">
        <f t="shared" si="610"/>
        <v>Y</v>
      </c>
      <c r="H2492" t="str">
        <f t="shared" si="614"/>
        <v>EA</v>
      </c>
      <c r="I2492">
        <v>0</v>
      </c>
      <c r="J2492">
        <v>0</v>
      </c>
      <c r="K2492" t="str">
        <f t="shared" si="611"/>
        <v>Y</v>
      </c>
      <c r="L2492">
        <v>0</v>
      </c>
      <c r="M2492" t="str">
        <f t="shared" si="618"/>
        <v>NIS</v>
      </c>
      <c r="O2492">
        <v>8</v>
      </c>
      <c r="P2492" t="str">
        <f>"Active"</f>
        <v>Active</v>
      </c>
      <c r="Q2492" t="str">
        <f>"License Key For LM Content Standalone"</f>
        <v>License Key For LM Content Standalone</v>
      </c>
      <c r="R2492" t="str">
        <f>"1"</f>
        <v>1</v>
      </c>
      <c r="S2492" t="str">
        <f>"License Key For LM Content Standalone"</f>
        <v>License Key For LM Content Standalone</v>
      </c>
      <c r="T2492">
        <v>0</v>
      </c>
      <c r="U2492">
        <v>18</v>
      </c>
      <c r="V2492">
        <v>18.72</v>
      </c>
      <c r="W2492" t="str">
        <f t="shared" si="625"/>
        <v>rob</v>
      </c>
    </row>
    <row r="2493" spans="1:23">
      <c r="A2493" t="str">
        <f t="shared" ref="A2493:A2500" si="626">"Lmate PROCESS"</f>
        <v>Lmate PROCESS</v>
      </c>
      <c r="B2493" t="str">
        <f>"0E7232"</f>
        <v>0E7232</v>
      </c>
      <c r="C2493" t="str">
        <f>"LM_Content SA Vir -E- Process Control : Flow"</f>
        <v>LM_Content SA Vir -E- Process Control : Flow</v>
      </c>
      <c r="D2493">
        <v>1</v>
      </c>
      <c r="E2493" t="str">
        <f t="shared" ref="E2493:E2500" si="627">"LearnMate Content (standalone) - Process Control"</f>
        <v>LearnMate Content (standalone) - Process Control</v>
      </c>
      <c r="F2493">
        <v>700</v>
      </c>
      <c r="G2493" t="str">
        <f t="shared" si="610"/>
        <v>Y</v>
      </c>
      <c r="H2493" t="str">
        <f t="shared" si="614"/>
        <v>EA</v>
      </c>
      <c r="I2493">
        <v>0</v>
      </c>
      <c r="J2493">
        <v>0</v>
      </c>
      <c r="K2493" t="str">
        <f t="shared" si="611"/>
        <v>Y</v>
      </c>
      <c r="L2493">
        <v>0</v>
      </c>
      <c r="M2493" t="str">
        <f t="shared" si="618"/>
        <v>NIS</v>
      </c>
      <c r="O2493">
        <v>1</v>
      </c>
      <c r="P2493" t="str">
        <f>"Not for purc"</f>
        <v>Not for purc</v>
      </c>
      <c r="Q2493" t="str">
        <f>"LM_Content SA Vir -E- Process Control : Flow"</f>
        <v>LM_Content SA Vir -E- Process Control : Flow</v>
      </c>
      <c r="S2493" t="str">
        <f>"LM_Content SA Vir -E- Process Control : Flow"</f>
        <v>LM_Content SA Vir -E- Process Control : Flow</v>
      </c>
      <c r="T2493">
        <v>0</v>
      </c>
      <c r="U2493">
        <v>30.65</v>
      </c>
      <c r="V2493">
        <v>35.840000000000003</v>
      </c>
      <c r="W2493" t="str">
        <f t="shared" si="625"/>
        <v>rob</v>
      </c>
    </row>
    <row r="2494" spans="1:23">
      <c r="A2494" t="str">
        <f t="shared" si="626"/>
        <v>Lmate PROCESS</v>
      </c>
      <c r="B2494" t="str">
        <f>"63-7001-0100"</f>
        <v>63-7001-0100</v>
      </c>
      <c r="C2494" t="str">
        <f>"License Key for Standalone Content"</f>
        <v>License Key for Standalone Content</v>
      </c>
      <c r="D2494">
        <v>1</v>
      </c>
      <c r="E2494" t="str">
        <f t="shared" si="627"/>
        <v>LearnMate Content (standalone) - Process Control</v>
      </c>
      <c r="F2494">
        <v>700</v>
      </c>
      <c r="G2494" t="str">
        <f t="shared" si="610"/>
        <v>Y</v>
      </c>
      <c r="H2494" t="str">
        <f t="shared" si="614"/>
        <v>EA</v>
      </c>
      <c r="I2494">
        <v>0</v>
      </c>
      <c r="J2494">
        <v>0</v>
      </c>
      <c r="K2494" t="str">
        <f t="shared" si="611"/>
        <v>Y</v>
      </c>
      <c r="L2494">
        <v>0</v>
      </c>
      <c r="M2494" t="str">
        <f t="shared" si="618"/>
        <v>NIS</v>
      </c>
      <c r="O2494">
        <v>2</v>
      </c>
      <c r="P2494" t="str">
        <f>"Active"</f>
        <v>Active</v>
      </c>
      <c r="Q2494" t="str">
        <f>"License Key For LM Content Standalone"</f>
        <v>License Key For LM Content Standalone</v>
      </c>
      <c r="R2494" t="str">
        <f>"1"</f>
        <v>1</v>
      </c>
      <c r="S2494" t="str">
        <f>"License Key For LM Content Standalone"</f>
        <v>License Key For LM Content Standalone</v>
      </c>
      <c r="T2494">
        <v>0</v>
      </c>
      <c r="U2494">
        <v>18</v>
      </c>
      <c r="V2494">
        <v>18.72</v>
      </c>
      <c r="W2494" t="str">
        <f t="shared" si="625"/>
        <v>rob</v>
      </c>
    </row>
    <row r="2495" spans="1:23">
      <c r="A2495" t="str">
        <f t="shared" si="626"/>
        <v>Lmate PROCESS</v>
      </c>
      <c r="B2495" t="str">
        <f>"0E7233"</f>
        <v>0E7233</v>
      </c>
      <c r="C2495" t="str">
        <f>"LM_Content SA Vir -E- Process Control :Level"</f>
        <v>LM_Content SA Vir -E- Process Control :Level</v>
      </c>
      <c r="D2495">
        <v>1</v>
      </c>
      <c r="E2495" t="str">
        <f t="shared" si="627"/>
        <v>LearnMate Content (standalone) - Process Control</v>
      </c>
      <c r="F2495">
        <v>700</v>
      </c>
      <c r="G2495" t="str">
        <f t="shared" si="610"/>
        <v>Y</v>
      </c>
      <c r="H2495" t="str">
        <f t="shared" si="614"/>
        <v>EA</v>
      </c>
      <c r="I2495">
        <v>0</v>
      </c>
      <c r="J2495">
        <v>0</v>
      </c>
      <c r="K2495" t="str">
        <f t="shared" si="611"/>
        <v>Y</v>
      </c>
      <c r="L2495">
        <v>0</v>
      </c>
      <c r="M2495" t="str">
        <f t="shared" si="618"/>
        <v>NIS</v>
      </c>
      <c r="O2495">
        <v>3</v>
      </c>
      <c r="P2495" t="str">
        <f>"Not for purc"</f>
        <v>Not for purc</v>
      </c>
      <c r="Q2495" t="str">
        <f>"LM_Content SA Vir -E- Process Control :Level"</f>
        <v>LM_Content SA Vir -E- Process Control :Level</v>
      </c>
      <c r="S2495" t="str">
        <f>"LM_Content SA Vir -E- Process Control :Level"</f>
        <v>LM_Content SA Vir -E- Process Control :Level</v>
      </c>
      <c r="T2495">
        <v>0</v>
      </c>
      <c r="U2495">
        <v>30.65</v>
      </c>
      <c r="V2495">
        <v>35.840000000000003</v>
      </c>
      <c r="W2495" t="str">
        <f t="shared" si="625"/>
        <v>rob</v>
      </c>
    </row>
    <row r="2496" spans="1:23">
      <c r="A2496" t="str">
        <f t="shared" si="626"/>
        <v>Lmate PROCESS</v>
      </c>
      <c r="B2496" t="str">
        <f>"63-7001-0100"</f>
        <v>63-7001-0100</v>
      </c>
      <c r="C2496" t="str">
        <f>"License Key for Standalone Content"</f>
        <v>License Key for Standalone Content</v>
      </c>
      <c r="D2496">
        <v>1</v>
      </c>
      <c r="E2496" t="str">
        <f t="shared" si="627"/>
        <v>LearnMate Content (standalone) - Process Control</v>
      </c>
      <c r="F2496">
        <v>700</v>
      </c>
      <c r="G2496" t="str">
        <f t="shared" si="610"/>
        <v>Y</v>
      </c>
      <c r="H2496" t="str">
        <f t="shared" si="614"/>
        <v>EA</v>
      </c>
      <c r="I2496">
        <v>0</v>
      </c>
      <c r="J2496">
        <v>0</v>
      </c>
      <c r="K2496" t="str">
        <f t="shared" si="611"/>
        <v>Y</v>
      </c>
      <c r="L2496">
        <v>0</v>
      </c>
      <c r="M2496" t="str">
        <f t="shared" si="618"/>
        <v>NIS</v>
      </c>
      <c r="O2496">
        <v>4</v>
      </c>
      <c r="P2496" t="str">
        <f>"Active"</f>
        <v>Active</v>
      </c>
      <c r="Q2496" t="str">
        <f>"License Key For LM Content Standalone"</f>
        <v>License Key For LM Content Standalone</v>
      </c>
      <c r="R2496" t="str">
        <f>"1"</f>
        <v>1</v>
      </c>
      <c r="S2496" t="str">
        <f>"License Key For LM Content Standalone"</f>
        <v>License Key For LM Content Standalone</v>
      </c>
      <c r="T2496">
        <v>0</v>
      </c>
      <c r="U2496">
        <v>18</v>
      </c>
      <c r="V2496">
        <v>18.72</v>
      </c>
      <c r="W2496" t="str">
        <f t="shared" si="625"/>
        <v>rob</v>
      </c>
    </row>
    <row r="2497" spans="1:23">
      <c r="A2497" t="str">
        <f t="shared" si="626"/>
        <v>Lmate PROCESS</v>
      </c>
      <c r="B2497" t="str">
        <f>"0E7234"</f>
        <v>0E7234</v>
      </c>
      <c r="C2497" t="str">
        <f>"LM_Content SA Vir.- Process Control :Pressure"</f>
        <v>LM_Content SA Vir.- Process Control :Pressure</v>
      </c>
      <c r="D2497">
        <v>1</v>
      </c>
      <c r="E2497" t="str">
        <f t="shared" si="627"/>
        <v>LearnMate Content (standalone) - Process Control</v>
      </c>
      <c r="F2497">
        <v>700</v>
      </c>
      <c r="G2497" t="str">
        <f t="shared" si="610"/>
        <v>Y</v>
      </c>
      <c r="H2497" t="str">
        <f t="shared" si="614"/>
        <v>EA</v>
      </c>
      <c r="I2497">
        <v>0</v>
      </c>
      <c r="J2497">
        <v>0</v>
      </c>
      <c r="K2497" t="str">
        <f t="shared" si="611"/>
        <v>Y</v>
      </c>
      <c r="L2497">
        <v>0</v>
      </c>
      <c r="M2497" t="str">
        <f t="shared" si="618"/>
        <v>NIS</v>
      </c>
      <c r="O2497">
        <v>5</v>
      </c>
      <c r="P2497" t="str">
        <f>"Not for purc"</f>
        <v>Not for purc</v>
      </c>
      <c r="Q2497" t="str">
        <f>"LM_Content SA Vir.- Process Control :Pressure"</f>
        <v>LM_Content SA Vir.- Process Control :Pressure</v>
      </c>
      <c r="S2497" t="str">
        <f>"LM_Content SA Vir.- Process Control :Pressure"</f>
        <v>LM_Content SA Vir.- Process Control :Pressure</v>
      </c>
      <c r="T2497">
        <v>0</v>
      </c>
      <c r="U2497">
        <v>30.65</v>
      </c>
      <c r="V2497">
        <v>35.840000000000003</v>
      </c>
      <c r="W2497" t="str">
        <f t="shared" si="625"/>
        <v>rob</v>
      </c>
    </row>
    <row r="2498" spans="1:23">
      <c r="A2498" t="str">
        <f t="shared" si="626"/>
        <v>Lmate PROCESS</v>
      </c>
      <c r="B2498" t="str">
        <f>"63-7001-0100"</f>
        <v>63-7001-0100</v>
      </c>
      <c r="C2498" t="str">
        <f>"License Key for Standalone Content"</f>
        <v>License Key for Standalone Content</v>
      </c>
      <c r="D2498">
        <v>1</v>
      </c>
      <c r="E2498" t="str">
        <f t="shared" si="627"/>
        <v>LearnMate Content (standalone) - Process Control</v>
      </c>
      <c r="F2498">
        <v>700</v>
      </c>
      <c r="G2498" t="str">
        <f t="shared" ref="G2498:G2561" si="628">"Y"</f>
        <v>Y</v>
      </c>
      <c r="H2498" t="str">
        <f t="shared" si="614"/>
        <v>EA</v>
      </c>
      <c r="I2498">
        <v>0</v>
      </c>
      <c r="J2498">
        <v>0</v>
      </c>
      <c r="K2498" t="str">
        <f t="shared" ref="K2498:K2561" si="629">"Y"</f>
        <v>Y</v>
      </c>
      <c r="L2498">
        <v>0</v>
      </c>
      <c r="M2498" t="str">
        <f t="shared" si="618"/>
        <v>NIS</v>
      </c>
      <c r="O2498">
        <v>6</v>
      </c>
      <c r="P2498" t="str">
        <f>"Active"</f>
        <v>Active</v>
      </c>
      <c r="Q2498" t="str">
        <f>"License Key For LM Content Standalone"</f>
        <v>License Key For LM Content Standalone</v>
      </c>
      <c r="R2498" t="str">
        <f>"1"</f>
        <v>1</v>
      </c>
      <c r="S2498" t="str">
        <f>"License Key For LM Content Standalone"</f>
        <v>License Key For LM Content Standalone</v>
      </c>
      <c r="T2498">
        <v>0</v>
      </c>
      <c r="U2498">
        <v>18</v>
      </c>
      <c r="V2498">
        <v>18.72</v>
      </c>
      <c r="W2498" t="str">
        <f t="shared" si="625"/>
        <v>rob</v>
      </c>
    </row>
    <row r="2499" spans="1:23">
      <c r="A2499" t="str">
        <f t="shared" si="626"/>
        <v>Lmate PROCESS</v>
      </c>
      <c r="B2499" t="str">
        <f>"0E7235"</f>
        <v>0E7235</v>
      </c>
      <c r="C2499" t="str">
        <f>"LM_Content SA Vir. Process Control Temprature"</f>
        <v>LM_Content SA Vir. Process Control Temprature</v>
      </c>
      <c r="D2499">
        <v>1</v>
      </c>
      <c r="E2499" t="str">
        <f t="shared" si="627"/>
        <v>LearnMate Content (standalone) - Process Control</v>
      </c>
      <c r="F2499">
        <v>700</v>
      </c>
      <c r="G2499" t="str">
        <f t="shared" si="628"/>
        <v>Y</v>
      </c>
      <c r="H2499" t="str">
        <f t="shared" si="614"/>
        <v>EA</v>
      </c>
      <c r="I2499">
        <v>0</v>
      </c>
      <c r="J2499">
        <v>0</v>
      </c>
      <c r="K2499" t="str">
        <f t="shared" si="629"/>
        <v>Y</v>
      </c>
      <c r="L2499">
        <v>0</v>
      </c>
      <c r="M2499" t="str">
        <f t="shared" si="618"/>
        <v>NIS</v>
      </c>
      <c r="O2499">
        <v>7</v>
      </c>
      <c r="P2499" t="str">
        <f>"Not for purc"</f>
        <v>Not for purc</v>
      </c>
      <c r="Q2499" t="str">
        <f>"LM_Content SA Vir. Process Control Temprature"</f>
        <v>LM_Content SA Vir. Process Control Temprature</v>
      </c>
      <c r="S2499" t="str">
        <f>"LM_Content SA Vir. Process Control Temprature"</f>
        <v>LM_Content SA Vir. Process Control Temprature</v>
      </c>
      <c r="T2499">
        <v>0</v>
      </c>
      <c r="U2499">
        <v>30.65</v>
      </c>
      <c r="V2499">
        <v>35.840000000000003</v>
      </c>
      <c r="W2499" t="str">
        <f t="shared" si="625"/>
        <v>rob</v>
      </c>
    </row>
    <row r="2500" spans="1:23">
      <c r="A2500" t="str">
        <f t="shared" si="626"/>
        <v>Lmate PROCESS</v>
      </c>
      <c r="B2500" t="str">
        <f>"63-7001-0100"</f>
        <v>63-7001-0100</v>
      </c>
      <c r="C2500" t="str">
        <f>"License Key for Standalone Content"</f>
        <v>License Key for Standalone Content</v>
      </c>
      <c r="D2500">
        <v>1</v>
      </c>
      <c r="E2500" t="str">
        <f t="shared" si="627"/>
        <v>LearnMate Content (standalone) - Process Control</v>
      </c>
      <c r="F2500">
        <v>700</v>
      </c>
      <c r="G2500" t="str">
        <f t="shared" si="628"/>
        <v>Y</v>
      </c>
      <c r="H2500" t="str">
        <f t="shared" si="614"/>
        <v>EA</v>
      </c>
      <c r="I2500">
        <v>0</v>
      </c>
      <c r="J2500">
        <v>0</v>
      </c>
      <c r="K2500" t="str">
        <f t="shared" si="629"/>
        <v>Y</v>
      </c>
      <c r="L2500">
        <v>0</v>
      </c>
      <c r="M2500" t="str">
        <f t="shared" si="618"/>
        <v>NIS</v>
      </c>
      <c r="O2500">
        <v>8</v>
      </c>
      <c r="P2500" t="str">
        <f>"Active"</f>
        <v>Active</v>
      </c>
      <c r="Q2500" t="str">
        <f>"License Key For LM Content Standalone"</f>
        <v>License Key For LM Content Standalone</v>
      </c>
      <c r="R2500" t="str">
        <f>"1"</f>
        <v>1</v>
      </c>
      <c r="S2500" t="str">
        <f>"License Key For LM Content Standalone"</f>
        <v>License Key For LM Content Standalone</v>
      </c>
      <c r="T2500">
        <v>0</v>
      </c>
      <c r="U2500">
        <v>18</v>
      </c>
      <c r="V2500">
        <v>18.72</v>
      </c>
      <c r="W2500" t="str">
        <f t="shared" si="625"/>
        <v>rob</v>
      </c>
    </row>
    <row r="2501" spans="1:23">
      <c r="A2501" t="str">
        <f t="shared" ref="A2501:A2506" si="630">"Lmate QC"</f>
        <v>Lmate QC</v>
      </c>
      <c r="B2501" t="str">
        <f>"0E7223"</f>
        <v>0E7223</v>
      </c>
      <c r="C2501" t="str">
        <f>"LM_Content SA Vir.- Machine Vision &amp;Image Prc"</f>
        <v>LM_Content SA Vir.- Machine Vision &amp;Image Prc</v>
      </c>
      <c r="D2501">
        <v>1</v>
      </c>
      <c r="E2501" t="str">
        <f t="shared" ref="E2501:E2506" si="631">"LearnMate Content (standalone) - Quality Control"</f>
        <v>LearnMate Content (standalone) - Quality Control</v>
      </c>
      <c r="F2501">
        <v>700</v>
      </c>
      <c r="G2501" t="str">
        <f t="shared" si="628"/>
        <v>Y</v>
      </c>
      <c r="H2501" t="str">
        <f t="shared" si="614"/>
        <v>EA</v>
      </c>
      <c r="I2501">
        <v>0</v>
      </c>
      <c r="J2501">
        <v>0</v>
      </c>
      <c r="K2501" t="str">
        <f t="shared" si="629"/>
        <v>Y</v>
      </c>
      <c r="L2501">
        <v>0</v>
      </c>
      <c r="M2501" t="str">
        <f t="shared" si="618"/>
        <v>NIS</v>
      </c>
      <c r="O2501">
        <v>1</v>
      </c>
      <c r="P2501" t="str">
        <f>"Not for purc"</f>
        <v>Not for purc</v>
      </c>
      <c r="Q2501" t="str">
        <f>"LM_Content SA Vir.- Machine Vision &amp;Image Prc"</f>
        <v>LM_Content SA Vir.- Machine Vision &amp;Image Prc</v>
      </c>
      <c r="S2501" t="str">
        <f>"LM_Content SA Vir.- Machine Vision &amp;Image Prc"</f>
        <v>LM_Content SA Vir.- Machine Vision &amp;Image Prc</v>
      </c>
      <c r="T2501">
        <v>0</v>
      </c>
      <c r="U2501">
        <v>30.65</v>
      </c>
      <c r="V2501">
        <v>35.840000000000003</v>
      </c>
      <c r="W2501" t="str">
        <f t="shared" si="625"/>
        <v>rob</v>
      </c>
    </row>
    <row r="2502" spans="1:23">
      <c r="A2502" t="str">
        <f t="shared" si="630"/>
        <v>Lmate QC</v>
      </c>
      <c r="B2502" t="str">
        <f>"63-7001-0100"</f>
        <v>63-7001-0100</v>
      </c>
      <c r="C2502" t="str">
        <f>"License Key for Standalone Content"</f>
        <v>License Key for Standalone Content</v>
      </c>
      <c r="D2502">
        <v>1</v>
      </c>
      <c r="E2502" t="str">
        <f t="shared" si="631"/>
        <v>LearnMate Content (standalone) - Quality Control</v>
      </c>
      <c r="F2502">
        <v>700</v>
      </c>
      <c r="G2502" t="str">
        <f t="shared" si="628"/>
        <v>Y</v>
      </c>
      <c r="H2502" t="str">
        <f t="shared" si="614"/>
        <v>EA</v>
      </c>
      <c r="I2502">
        <v>0</v>
      </c>
      <c r="J2502">
        <v>0</v>
      </c>
      <c r="K2502" t="str">
        <f t="shared" si="629"/>
        <v>Y</v>
      </c>
      <c r="L2502">
        <v>0</v>
      </c>
      <c r="M2502" t="str">
        <f t="shared" si="618"/>
        <v>NIS</v>
      </c>
      <c r="O2502">
        <v>2</v>
      </c>
      <c r="P2502" t="str">
        <f>"Active"</f>
        <v>Active</v>
      </c>
      <c r="Q2502" t="str">
        <f>"License Key For LM Content Standalone"</f>
        <v>License Key For LM Content Standalone</v>
      </c>
      <c r="R2502" t="str">
        <f>"1"</f>
        <v>1</v>
      </c>
      <c r="S2502" t="str">
        <f>"License Key For LM Content Standalone"</f>
        <v>License Key For LM Content Standalone</v>
      </c>
      <c r="T2502">
        <v>0</v>
      </c>
      <c r="U2502">
        <v>18</v>
      </c>
      <c r="V2502">
        <v>18.72</v>
      </c>
      <c r="W2502" t="str">
        <f t="shared" si="625"/>
        <v>rob</v>
      </c>
    </row>
    <row r="2503" spans="1:23">
      <c r="A2503" t="str">
        <f t="shared" si="630"/>
        <v>Lmate QC</v>
      </c>
      <c r="B2503" t="str">
        <f>"0E7216"</f>
        <v>0E7216</v>
      </c>
      <c r="C2503" t="str">
        <f>"LM_Content SA Vir.- Machine Vision &amp; QC"</f>
        <v>LM_Content SA Vir.- Machine Vision &amp; QC</v>
      </c>
      <c r="D2503">
        <v>1</v>
      </c>
      <c r="E2503" t="str">
        <f t="shared" si="631"/>
        <v>LearnMate Content (standalone) - Quality Control</v>
      </c>
      <c r="F2503">
        <v>700</v>
      </c>
      <c r="G2503" t="str">
        <f t="shared" si="628"/>
        <v>Y</v>
      </c>
      <c r="H2503" t="str">
        <f t="shared" si="614"/>
        <v>EA</v>
      </c>
      <c r="I2503">
        <v>0</v>
      </c>
      <c r="J2503">
        <v>0</v>
      </c>
      <c r="K2503" t="str">
        <f t="shared" si="629"/>
        <v>Y</v>
      </c>
      <c r="L2503">
        <v>0</v>
      </c>
      <c r="M2503" t="str">
        <f t="shared" si="618"/>
        <v>NIS</v>
      </c>
      <c r="O2503">
        <v>3</v>
      </c>
      <c r="P2503" t="str">
        <f>"Not for purc"</f>
        <v>Not for purc</v>
      </c>
      <c r="Q2503" t="str">
        <f>"LM_Content SA Vir.- Machine Vision &amp; QC"</f>
        <v>LM_Content SA Vir.- Machine Vision &amp; QC</v>
      </c>
      <c r="S2503" t="str">
        <f>"LM_Content SA Vir.- Machine Vision &amp; QC"</f>
        <v>LM_Content SA Vir.- Machine Vision &amp; QC</v>
      </c>
      <c r="T2503">
        <v>0</v>
      </c>
      <c r="U2503">
        <v>30.65</v>
      </c>
      <c r="V2503">
        <v>35.840000000000003</v>
      </c>
      <c r="W2503" t="str">
        <f t="shared" si="625"/>
        <v>rob</v>
      </c>
    </row>
    <row r="2504" spans="1:23">
      <c r="A2504" t="str">
        <f t="shared" si="630"/>
        <v>Lmate QC</v>
      </c>
      <c r="B2504" t="str">
        <f>"63-7001-0100"</f>
        <v>63-7001-0100</v>
      </c>
      <c r="C2504" t="str">
        <f>"License Key for Standalone Content"</f>
        <v>License Key for Standalone Content</v>
      </c>
      <c r="D2504">
        <v>1</v>
      </c>
      <c r="E2504" t="str">
        <f t="shared" si="631"/>
        <v>LearnMate Content (standalone) - Quality Control</v>
      </c>
      <c r="F2504">
        <v>700</v>
      </c>
      <c r="G2504" t="str">
        <f t="shared" si="628"/>
        <v>Y</v>
      </c>
      <c r="H2504" t="str">
        <f t="shared" si="614"/>
        <v>EA</v>
      </c>
      <c r="I2504">
        <v>0</v>
      </c>
      <c r="J2504">
        <v>0</v>
      </c>
      <c r="K2504" t="str">
        <f t="shared" si="629"/>
        <v>Y</v>
      </c>
      <c r="L2504">
        <v>0</v>
      </c>
      <c r="M2504" t="str">
        <f t="shared" si="618"/>
        <v>NIS</v>
      </c>
      <c r="O2504">
        <v>4</v>
      </c>
      <c r="P2504" t="str">
        <f>"Active"</f>
        <v>Active</v>
      </c>
      <c r="Q2504" t="str">
        <f>"License Key For LM Content Standalone"</f>
        <v>License Key For LM Content Standalone</v>
      </c>
      <c r="R2504" t="str">
        <f>"1"</f>
        <v>1</v>
      </c>
      <c r="S2504" t="str">
        <f>"License Key For LM Content Standalone"</f>
        <v>License Key For LM Content Standalone</v>
      </c>
      <c r="T2504">
        <v>0</v>
      </c>
      <c r="U2504">
        <v>18</v>
      </c>
      <c r="V2504">
        <v>18.72</v>
      </c>
      <c r="W2504" t="str">
        <f t="shared" si="625"/>
        <v>rob</v>
      </c>
    </row>
    <row r="2505" spans="1:23">
      <c r="A2505" t="str">
        <f t="shared" si="630"/>
        <v>Lmate QC</v>
      </c>
      <c r="B2505" t="str">
        <f>"0E7261"</f>
        <v>0E7261</v>
      </c>
      <c r="C2505" t="str">
        <f>"LM_Content SA Vir.- Mechanical Measurement QC"</f>
        <v>LM_Content SA Vir.- Mechanical Measurement QC</v>
      </c>
      <c r="D2505">
        <v>1</v>
      </c>
      <c r="E2505" t="str">
        <f t="shared" si="631"/>
        <v>LearnMate Content (standalone) - Quality Control</v>
      </c>
      <c r="F2505">
        <v>700</v>
      </c>
      <c r="G2505" t="str">
        <f t="shared" si="628"/>
        <v>Y</v>
      </c>
      <c r="H2505" t="str">
        <f t="shared" si="614"/>
        <v>EA</v>
      </c>
      <c r="I2505">
        <v>0</v>
      </c>
      <c r="J2505">
        <v>0</v>
      </c>
      <c r="K2505" t="str">
        <f t="shared" si="629"/>
        <v>Y</v>
      </c>
      <c r="L2505">
        <v>0</v>
      </c>
      <c r="M2505" t="str">
        <f t="shared" si="618"/>
        <v>NIS</v>
      </c>
      <c r="O2505">
        <v>5</v>
      </c>
      <c r="P2505" t="str">
        <f>"Not for purc"</f>
        <v>Not for purc</v>
      </c>
      <c r="Q2505" t="str">
        <f>"LM_Content SA Vir.- Mechanical Measurement QC"</f>
        <v>LM_Content SA Vir.- Mechanical Measurement QC</v>
      </c>
      <c r="S2505" t="str">
        <f>"LM_Content SA Vir.- Mechanical Measurement QC"</f>
        <v>LM_Content SA Vir.- Mechanical Measurement QC</v>
      </c>
      <c r="T2505">
        <v>0</v>
      </c>
      <c r="U2505">
        <v>30.65</v>
      </c>
      <c r="V2505">
        <v>35.840000000000003</v>
      </c>
      <c r="W2505" t="str">
        <f t="shared" si="625"/>
        <v>rob</v>
      </c>
    </row>
    <row r="2506" spans="1:23">
      <c r="A2506" t="str">
        <f t="shared" si="630"/>
        <v>Lmate QC</v>
      </c>
      <c r="B2506" t="str">
        <f>"63-7001-0100"</f>
        <v>63-7001-0100</v>
      </c>
      <c r="C2506" t="str">
        <f>"License Key for Standalone Content"</f>
        <v>License Key for Standalone Content</v>
      </c>
      <c r="D2506">
        <v>1</v>
      </c>
      <c r="E2506" t="str">
        <f t="shared" si="631"/>
        <v>LearnMate Content (standalone) - Quality Control</v>
      </c>
      <c r="F2506">
        <v>700</v>
      </c>
      <c r="G2506" t="str">
        <f t="shared" si="628"/>
        <v>Y</v>
      </c>
      <c r="H2506" t="str">
        <f t="shared" si="614"/>
        <v>EA</v>
      </c>
      <c r="I2506">
        <v>0</v>
      </c>
      <c r="J2506">
        <v>0</v>
      </c>
      <c r="K2506" t="str">
        <f t="shared" si="629"/>
        <v>Y</v>
      </c>
      <c r="L2506">
        <v>0</v>
      </c>
      <c r="M2506" t="str">
        <f t="shared" si="618"/>
        <v>NIS</v>
      </c>
      <c r="O2506">
        <v>6</v>
      </c>
      <c r="P2506" t="str">
        <f>"Active"</f>
        <v>Active</v>
      </c>
      <c r="Q2506" t="str">
        <f>"License Key For LM Content Standalone"</f>
        <v>License Key For LM Content Standalone</v>
      </c>
      <c r="R2506" t="str">
        <f>"1"</f>
        <v>1</v>
      </c>
      <c r="S2506" t="str">
        <f>"License Key For LM Content Standalone"</f>
        <v>License Key For LM Content Standalone</v>
      </c>
      <c r="T2506">
        <v>0</v>
      </c>
      <c r="U2506">
        <v>18</v>
      </c>
      <c r="V2506">
        <v>18.72</v>
      </c>
      <c r="W2506" t="str">
        <f t="shared" si="625"/>
        <v>rob</v>
      </c>
    </row>
    <row r="2507" spans="1:23">
      <c r="A2507" t="str">
        <f t="shared" ref="A2507:A2518" si="632">"Lmate ROBOTICS"</f>
        <v>Lmate ROBOTICS</v>
      </c>
      <c r="B2507" t="str">
        <f>"12-3001-9000"</f>
        <v>12-3001-9000</v>
      </c>
      <c r="C2507" t="str">
        <f>"LM_Content SA Vir - Automat Welding With ER4U"</f>
        <v>LM_Content SA Vir - Automat Welding With ER4U</v>
      </c>
      <c r="D2507">
        <v>1</v>
      </c>
      <c r="E2507" t="str">
        <f t="shared" ref="E2507:E2518" si="633">"LearnMate (standalone) - Robotics"</f>
        <v>LearnMate (standalone) - Robotics</v>
      </c>
      <c r="F2507">
        <v>700</v>
      </c>
      <c r="G2507" t="str">
        <f t="shared" si="628"/>
        <v>Y</v>
      </c>
      <c r="H2507" t="str">
        <f t="shared" si="614"/>
        <v>EA</v>
      </c>
      <c r="I2507">
        <v>0</v>
      </c>
      <c r="J2507">
        <v>0</v>
      </c>
      <c r="K2507" t="str">
        <f t="shared" si="629"/>
        <v>Y</v>
      </c>
      <c r="L2507">
        <v>0</v>
      </c>
      <c r="M2507" t="str">
        <f t="shared" si="618"/>
        <v>NIS</v>
      </c>
      <c r="O2507">
        <v>1</v>
      </c>
      <c r="P2507" t="str">
        <f>"Not for purc"</f>
        <v>Not for purc</v>
      </c>
      <c r="Q2507" t="str">
        <f>"LM_Content SA Vir - Automat Welding With ER4U"</f>
        <v>LM_Content SA Vir - Automat Welding With ER4U</v>
      </c>
      <c r="S2507" t="str">
        <f>"LM_Content SA Vir - Automat Welding With ER4U"</f>
        <v>LM_Content SA Vir - Automat Welding With ER4U</v>
      </c>
      <c r="T2507">
        <v>0</v>
      </c>
      <c r="U2507">
        <v>30.7</v>
      </c>
      <c r="V2507">
        <v>35.840000000000003</v>
      </c>
      <c r="W2507" t="str">
        <f t="shared" si="625"/>
        <v>rob</v>
      </c>
    </row>
    <row r="2508" spans="1:23">
      <c r="A2508" t="str">
        <f t="shared" si="632"/>
        <v>Lmate ROBOTICS</v>
      </c>
      <c r="B2508" t="str">
        <f>"63-7001-0100"</f>
        <v>63-7001-0100</v>
      </c>
      <c r="C2508" t="str">
        <f>"License Key for Standalone Content"</f>
        <v>License Key for Standalone Content</v>
      </c>
      <c r="D2508">
        <v>1</v>
      </c>
      <c r="E2508" t="str">
        <f t="shared" si="633"/>
        <v>LearnMate (standalone) - Robotics</v>
      </c>
      <c r="F2508">
        <v>700</v>
      </c>
      <c r="G2508" t="str">
        <f t="shared" si="628"/>
        <v>Y</v>
      </c>
      <c r="H2508" t="str">
        <f t="shared" si="614"/>
        <v>EA</v>
      </c>
      <c r="I2508">
        <v>0</v>
      </c>
      <c r="J2508">
        <v>0</v>
      </c>
      <c r="K2508" t="str">
        <f t="shared" si="629"/>
        <v>Y</v>
      </c>
      <c r="L2508">
        <v>0</v>
      </c>
      <c r="M2508" t="str">
        <f t="shared" si="618"/>
        <v>NIS</v>
      </c>
      <c r="O2508">
        <v>2</v>
      </c>
      <c r="P2508" t="str">
        <f>"Active"</f>
        <v>Active</v>
      </c>
      <c r="Q2508" t="str">
        <f>"License Key For LM Content Standalone"</f>
        <v>License Key For LM Content Standalone</v>
      </c>
      <c r="R2508" t="str">
        <f>"1"</f>
        <v>1</v>
      </c>
      <c r="S2508" t="str">
        <f>"License Key For LM Content Standalone"</f>
        <v>License Key For LM Content Standalone</v>
      </c>
      <c r="T2508">
        <v>0</v>
      </c>
      <c r="U2508">
        <v>18</v>
      </c>
      <c r="V2508">
        <v>18.72</v>
      </c>
      <c r="W2508" t="str">
        <f t="shared" si="625"/>
        <v>rob</v>
      </c>
    </row>
    <row r="2509" spans="1:23">
      <c r="A2509" t="str">
        <f t="shared" si="632"/>
        <v>Lmate ROBOTICS</v>
      </c>
      <c r="B2509" t="str">
        <f>"0E7262"</f>
        <v>0E7262</v>
      </c>
      <c r="C2509" t="str">
        <f>"LM_Content SA Vir - Automat Welding With ER9U"</f>
        <v>LM_Content SA Vir - Automat Welding With ER9U</v>
      </c>
      <c r="D2509">
        <v>1</v>
      </c>
      <c r="E2509" t="str">
        <f t="shared" si="633"/>
        <v>LearnMate (standalone) - Robotics</v>
      </c>
      <c r="F2509">
        <v>700</v>
      </c>
      <c r="G2509" t="str">
        <f t="shared" si="628"/>
        <v>Y</v>
      </c>
      <c r="H2509" t="str">
        <f t="shared" si="614"/>
        <v>EA</v>
      </c>
      <c r="I2509">
        <v>0</v>
      </c>
      <c r="J2509">
        <v>0</v>
      </c>
      <c r="K2509" t="str">
        <f t="shared" si="629"/>
        <v>Y</v>
      </c>
      <c r="L2509">
        <v>0</v>
      </c>
      <c r="M2509" t="str">
        <f t="shared" si="618"/>
        <v>NIS</v>
      </c>
      <c r="O2509">
        <v>3</v>
      </c>
      <c r="P2509" t="str">
        <f>"Not for purc"</f>
        <v>Not for purc</v>
      </c>
      <c r="Q2509" t="str">
        <f>"LM_Content SA Vir - Automat Welding With ER9U"</f>
        <v>LM_Content SA Vir - Automat Welding With ER9U</v>
      </c>
      <c r="S2509" t="str">
        <f>"LM_Content SA Vir - Automat Welding With ER9U"</f>
        <v>LM_Content SA Vir - Automat Welding With ER9U</v>
      </c>
      <c r="T2509">
        <v>0</v>
      </c>
      <c r="U2509">
        <v>30.65</v>
      </c>
      <c r="V2509">
        <v>35.840000000000003</v>
      </c>
      <c r="W2509" t="str">
        <f t="shared" si="625"/>
        <v>rob</v>
      </c>
    </row>
    <row r="2510" spans="1:23">
      <c r="A2510" t="str">
        <f t="shared" si="632"/>
        <v>Lmate ROBOTICS</v>
      </c>
      <c r="B2510" t="str">
        <f>"63-7001-0100"</f>
        <v>63-7001-0100</v>
      </c>
      <c r="C2510" t="str">
        <f>"License Key for Standalone Content"</f>
        <v>License Key for Standalone Content</v>
      </c>
      <c r="D2510">
        <v>1</v>
      </c>
      <c r="E2510" t="str">
        <f t="shared" si="633"/>
        <v>LearnMate (standalone) - Robotics</v>
      </c>
      <c r="F2510">
        <v>700</v>
      </c>
      <c r="G2510" t="str">
        <f t="shared" si="628"/>
        <v>Y</v>
      </c>
      <c r="H2510" t="str">
        <f t="shared" si="614"/>
        <v>EA</v>
      </c>
      <c r="I2510">
        <v>0</v>
      </c>
      <c r="J2510">
        <v>0</v>
      </c>
      <c r="K2510" t="str">
        <f t="shared" si="629"/>
        <v>Y</v>
      </c>
      <c r="L2510">
        <v>0</v>
      </c>
      <c r="M2510" t="str">
        <f t="shared" si="618"/>
        <v>NIS</v>
      </c>
      <c r="O2510">
        <v>4</v>
      </c>
      <c r="P2510" t="str">
        <f>"Active"</f>
        <v>Active</v>
      </c>
      <c r="Q2510" t="str">
        <f>"License Key For LM Content Standalone"</f>
        <v>License Key For LM Content Standalone</v>
      </c>
      <c r="R2510" t="str">
        <f>"1"</f>
        <v>1</v>
      </c>
      <c r="S2510" t="str">
        <f>"License Key For LM Content Standalone"</f>
        <v>License Key For LM Content Standalone</v>
      </c>
      <c r="T2510">
        <v>0</v>
      </c>
      <c r="U2510">
        <v>18</v>
      </c>
      <c r="V2510">
        <v>18.72</v>
      </c>
      <c r="W2510" t="str">
        <f t="shared" si="625"/>
        <v>rob</v>
      </c>
    </row>
    <row r="2511" spans="1:23">
      <c r="A2511" t="str">
        <f t="shared" si="632"/>
        <v>Lmate ROBOTICS</v>
      </c>
      <c r="B2511" t="str">
        <f>"12-3046-9000"</f>
        <v>12-3046-9000</v>
      </c>
      <c r="C2511" t="str">
        <f>"LM_Content SA Vir.- Fundamentals of Robotic ER4U"</f>
        <v>LM_Content SA Vir.- Fundamentals of Robotic ER4U</v>
      </c>
      <c r="D2511">
        <v>1</v>
      </c>
      <c r="E2511" t="str">
        <f t="shared" si="633"/>
        <v>LearnMate (standalone) - Robotics</v>
      </c>
      <c r="F2511">
        <v>700</v>
      </c>
      <c r="G2511" t="str">
        <f t="shared" si="628"/>
        <v>Y</v>
      </c>
      <c r="H2511" t="str">
        <f t="shared" si="614"/>
        <v>EA</v>
      </c>
      <c r="I2511">
        <v>0</v>
      </c>
      <c r="J2511">
        <v>0</v>
      </c>
      <c r="K2511" t="str">
        <f t="shared" si="629"/>
        <v>Y</v>
      </c>
      <c r="L2511">
        <v>0</v>
      </c>
      <c r="M2511" t="str">
        <f t="shared" si="618"/>
        <v>NIS</v>
      </c>
      <c r="O2511">
        <v>11</v>
      </c>
      <c r="P2511" t="str">
        <f>"Not for purc"</f>
        <v>Not for purc</v>
      </c>
      <c r="Q2511" t="str">
        <f>"LM_Content SA Vir.- Fundamentals of Robotic ER4U"</f>
        <v>LM_Content SA Vir.- Fundamentals of Robotic ER4U</v>
      </c>
      <c r="S2511" t="str">
        <f>"LM_Content SA Vir.- Fundamentals of Robotic ER4U"</f>
        <v>LM_Content SA Vir.- Fundamentals of Robotic ER4U</v>
      </c>
      <c r="T2511">
        <v>0</v>
      </c>
      <c r="U2511">
        <v>35.840000000000003</v>
      </c>
      <c r="V2511">
        <v>35.840000000000003</v>
      </c>
      <c r="W2511" t="str">
        <f t="shared" si="625"/>
        <v>rob</v>
      </c>
    </row>
    <row r="2512" spans="1:23">
      <c r="A2512" t="str">
        <f t="shared" si="632"/>
        <v>Lmate ROBOTICS</v>
      </c>
      <c r="B2512" t="str">
        <f>"63-7001-0100"</f>
        <v>63-7001-0100</v>
      </c>
      <c r="C2512" t="str">
        <f>"License Key for Standalone Content"</f>
        <v>License Key for Standalone Content</v>
      </c>
      <c r="D2512">
        <v>1</v>
      </c>
      <c r="E2512" t="str">
        <f t="shared" si="633"/>
        <v>LearnMate (standalone) - Robotics</v>
      </c>
      <c r="F2512">
        <v>700</v>
      </c>
      <c r="G2512" t="str">
        <f t="shared" si="628"/>
        <v>Y</v>
      </c>
      <c r="H2512" t="str">
        <f t="shared" si="614"/>
        <v>EA</v>
      </c>
      <c r="I2512">
        <v>0</v>
      </c>
      <c r="J2512">
        <v>0</v>
      </c>
      <c r="K2512" t="str">
        <f t="shared" si="629"/>
        <v>Y</v>
      </c>
      <c r="L2512">
        <v>0</v>
      </c>
      <c r="M2512" t="str">
        <f t="shared" si="618"/>
        <v>NIS</v>
      </c>
      <c r="O2512">
        <v>12</v>
      </c>
      <c r="P2512" t="str">
        <f>"Active"</f>
        <v>Active</v>
      </c>
      <c r="Q2512" t="str">
        <f>"License Key For LM Content Standalone"</f>
        <v>License Key For LM Content Standalone</v>
      </c>
      <c r="R2512" t="str">
        <f>"1"</f>
        <v>1</v>
      </c>
      <c r="S2512" t="str">
        <f>"License Key For LM Content Standalone"</f>
        <v>License Key For LM Content Standalone</v>
      </c>
      <c r="T2512">
        <v>0</v>
      </c>
      <c r="U2512">
        <v>18</v>
      </c>
      <c r="V2512">
        <v>18.72</v>
      </c>
      <c r="W2512" t="str">
        <f t="shared" si="625"/>
        <v>rob</v>
      </c>
    </row>
    <row r="2513" spans="1:23">
      <c r="A2513" t="str">
        <f t="shared" si="632"/>
        <v>Lmate ROBOTICS</v>
      </c>
      <c r="B2513" t="str">
        <f>"12-3048-9000"</f>
        <v>12-3048-9000</v>
      </c>
      <c r="C2513" t="str">
        <f>"LM_Content SA Vir.Advanced Robotic program. ER4U"</f>
        <v>LM_Content SA Vir.Advanced Robotic program. ER4U</v>
      </c>
      <c r="D2513">
        <v>1</v>
      </c>
      <c r="E2513" t="str">
        <f t="shared" si="633"/>
        <v>LearnMate (standalone) - Robotics</v>
      </c>
      <c r="F2513">
        <v>700</v>
      </c>
      <c r="G2513" t="str">
        <f t="shared" si="628"/>
        <v>Y</v>
      </c>
      <c r="H2513" t="str">
        <f t="shared" ref="H2513:H2554" si="634">"EA"</f>
        <v>EA</v>
      </c>
      <c r="I2513">
        <v>0</v>
      </c>
      <c r="J2513">
        <v>0</v>
      </c>
      <c r="K2513" t="str">
        <f t="shared" si="629"/>
        <v>Y</v>
      </c>
      <c r="L2513">
        <v>0</v>
      </c>
      <c r="M2513" t="str">
        <f t="shared" si="618"/>
        <v>NIS</v>
      </c>
      <c r="O2513">
        <v>5</v>
      </c>
      <c r="P2513" t="str">
        <f>"Not for purc"</f>
        <v>Not for purc</v>
      </c>
      <c r="Q2513" t="str">
        <f>"LM_Content SA Vir.Advanced Robotic program. ER4U"</f>
        <v>LM_Content SA Vir.Advanced Robotic program. ER4U</v>
      </c>
      <c r="S2513" t="str">
        <f>"LM_Content SA Vir.Advanced Robotic program. ER4U"</f>
        <v>LM_Content SA Vir.Advanced Robotic program. ER4U</v>
      </c>
      <c r="T2513">
        <v>0</v>
      </c>
      <c r="U2513">
        <v>30.7</v>
      </c>
      <c r="V2513">
        <v>35.840000000000003</v>
      </c>
      <c r="W2513" t="str">
        <f t="shared" si="625"/>
        <v>rob</v>
      </c>
    </row>
    <row r="2514" spans="1:23">
      <c r="A2514" t="str">
        <f t="shared" si="632"/>
        <v>Lmate ROBOTICS</v>
      </c>
      <c r="B2514" t="str">
        <f>"63-7001-0100"</f>
        <v>63-7001-0100</v>
      </c>
      <c r="C2514" t="str">
        <f>"License Key for Standalone Content"</f>
        <v>License Key for Standalone Content</v>
      </c>
      <c r="D2514">
        <v>1</v>
      </c>
      <c r="E2514" t="str">
        <f t="shared" si="633"/>
        <v>LearnMate (standalone) - Robotics</v>
      </c>
      <c r="F2514">
        <v>700</v>
      </c>
      <c r="G2514" t="str">
        <f t="shared" si="628"/>
        <v>Y</v>
      </c>
      <c r="H2514" t="str">
        <f t="shared" si="634"/>
        <v>EA</v>
      </c>
      <c r="I2514">
        <v>0</v>
      </c>
      <c r="J2514">
        <v>0</v>
      </c>
      <c r="K2514" t="str">
        <f t="shared" si="629"/>
        <v>Y</v>
      </c>
      <c r="L2514">
        <v>0</v>
      </c>
      <c r="M2514" t="str">
        <f t="shared" si="618"/>
        <v>NIS</v>
      </c>
      <c r="O2514">
        <v>6</v>
      </c>
      <c r="P2514" t="str">
        <f>"Active"</f>
        <v>Active</v>
      </c>
      <c r="Q2514" t="str">
        <f>"License Key For LM Content Standalone"</f>
        <v>License Key For LM Content Standalone</v>
      </c>
      <c r="R2514" t="str">
        <f>"1"</f>
        <v>1</v>
      </c>
      <c r="S2514" t="str">
        <f>"License Key For LM Content Standalone"</f>
        <v>License Key For LM Content Standalone</v>
      </c>
      <c r="T2514">
        <v>0</v>
      </c>
      <c r="U2514">
        <v>18</v>
      </c>
      <c r="V2514">
        <v>18.72</v>
      </c>
      <c r="W2514" t="str">
        <f t="shared" si="625"/>
        <v>rob</v>
      </c>
    </row>
    <row r="2515" spans="1:23">
      <c r="A2515" t="str">
        <f t="shared" si="632"/>
        <v>Lmate ROBOTICS</v>
      </c>
      <c r="B2515" t="str">
        <f>"12-3047-9000"</f>
        <v>12-3047-9000</v>
      </c>
      <c r="C2515" t="str">
        <f>"LM_Content SA Vir - Fundamental Robotics ER9PRO"</f>
        <v>LM_Content SA Vir - Fundamental Robotics ER9PRO</v>
      </c>
      <c r="D2515">
        <v>1</v>
      </c>
      <c r="E2515" t="str">
        <f t="shared" si="633"/>
        <v>LearnMate (standalone) - Robotics</v>
      </c>
      <c r="F2515">
        <v>700</v>
      </c>
      <c r="G2515" t="str">
        <f t="shared" si="628"/>
        <v>Y</v>
      </c>
      <c r="H2515" t="str">
        <f t="shared" si="634"/>
        <v>EA</v>
      </c>
      <c r="I2515">
        <v>0</v>
      </c>
      <c r="J2515">
        <v>0</v>
      </c>
      <c r="K2515" t="str">
        <f t="shared" si="629"/>
        <v>Y</v>
      </c>
      <c r="L2515">
        <v>0</v>
      </c>
      <c r="M2515" t="str">
        <f t="shared" si="618"/>
        <v>NIS</v>
      </c>
      <c r="O2515">
        <v>7</v>
      </c>
      <c r="P2515" t="str">
        <f>"Active"</f>
        <v>Active</v>
      </c>
      <c r="Q2515" t="str">
        <f>"LM_Content SA Vir - Fudamntls Robotics ER9PRO"</f>
        <v>LM_Content SA Vir - Fudamntls Robotics ER9PRO</v>
      </c>
      <c r="S2515" t="str">
        <f>"LM_Content SA Vir - Fudamntls Robotics ER9PRO"</f>
        <v>LM_Content SA Vir - Fudamntls Robotics ER9PRO</v>
      </c>
      <c r="T2515">
        <v>0</v>
      </c>
      <c r="U2515">
        <v>30.65</v>
      </c>
      <c r="V2515">
        <v>36.049999999999997</v>
      </c>
      <c r="W2515" t="str">
        <f t="shared" si="625"/>
        <v>rob</v>
      </c>
    </row>
    <row r="2516" spans="1:23">
      <c r="A2516" t="str">
        <f t="shared" si="632"/>
        <v>Lmate ROBOTICS</v>
      </c>
      <c r="B2516" t="str">
        <f>"63-7001-0100"</f>
        <v>63-7001-0100</v>
      </c>
      <c r="C2516" t="str">
        <f>"License Key for Standalone Content"</f>
        <v>License Key for Standalone Content</v>
      </c>
      <c r="D2516">
        <v>1</v>
      </c>
      <c r="E2516" t="str">
        <f t="shared" si="633"/>
        <v>LearnMate (standalone) - Robotics</v>
      </c>
      <c r="F2516">
        <v>700</v>
      </c>
      <c r="G2516" t="str">
        <f t="shared" si="628"/>
        <v>Y</v>
      </c>
      <c r="H2516" t="str">
        <f t="shared" si="634"/>
        <v>EA</v>
      </c>
      <c r="I2516">
        <v>0</v>
      </c>
      <c r="J2516">
        <v>0</v>
      </c>
      <c r="K2516" t="str">
        <f t="shared" si="629"/>
        <v>Y</v>
      </c>
      <c r="L2516">
        <v>0</v>
      </c>
      <c r="M2516" t="str">
        <f t="shared" si="618"/>
        <v>NIS</v>
      </c>
      <c r="O2516">
        <v>8</v>
      </c>
      <c r="P2516" t="str">
        <f>"Active"</f>
        <v>Active</v>
      </c>
      <c r="Q2516" t="str">
        <f>"License Key For LM Content Standalone"</f>
        <v>License Key For LM Content Standalone</v>
      </c>
      <c r="R2516" t="str">
        <f>"1"</f>
        <v>1</v>
      </c>
      <c r="S2516" t="str">
        <f>"License Key For LM Content Standalone"</f>
        <v>License Key For LM Content Standalone</v>
      </c>
      <c r="T2516">
        <v>0</v>
      </c>
      <c r="U2516">
        <v>18</v>
      </c>
      <c r="V2516">
        <v>18.72</v>
      </c>
      <c r="W2516" t="str">
        <f t="shared" si="625"/>
        <v>rob</v>
      </c>
    </row>
    <row r="2517" spans="1:23">
      <c r="A2517" t="str">
        <f t="shared" si="632"/>
        <v>Lmate ROBOTICS</v>
      </c>
      <c r="B2517" t="str">
        <f>"12-3049-9000"</f>
        <v>12-3049-9000</v>
      </c>
      <c r="C2517" t="str">
        <f>"LM_Content SA Vir - Adv. Robotic Prog ER9PRO"</f>
        <v>LM_Content SA Vir - Adv. Robotic Prog ER9PRO</v>
      </c>
      <c r="D2517">
        <v>1</v>
      </c>
      <c r="E2517" t="str">
        <f t="shared" si="633"/>
        <v>LearnMate (standalone) - Robotics</v>
      </c>
      <c r="F2517">
        <v>700</v>
      </c>
      <c r="G2517" t="str">
        <f t="shared" si="628"/>
        <v>Y</v>
      </c>
      <c r="H2517" t="str">
        <f t="shared" si="634"/>
        <v>EA</v>
      </c>
      <c r="I2517">
        <v>0</v>
      </c>
      <c r="J2517">
        <v>0</v>
      </c>
      <c r="K2517" t="str">
        <f t="shared" si="629"/>
        <v>Y</v>
      </c>
      <c r="L2517">
        <v>0</v>
      </c>
      <c r="M2517" t="str">
        <f t="shared" si="618"/>
        <v>NIS</v>
      </c>
      <c r="O2517">
        <v>9</v>
      </c>
      <c r="P2517" t="str">
        <f>"Active"</f>
        <v>Active</v>
      </c>
      <c r="Q2517" t="str">
        <f>"LM_Content SA Vir - Adv. Robotic Prog ER9PRO"</f>
        <v>LM_Content SA Vir - Adv. Robotic Prog ER9PRO</v>
      </c>
      <c r="S2517" t="str">
        <f>"LM_Content SA Vir - Adv. Robotic Prog ER9PRO"</f>
        <v>LM_Content SA Vir - Adv. Robotic Prog ER9PRO</v>
      </c>
      <c r="T2517">
        <v>0</v>
      </c>
      <c r="U2517">
        <v>30.65</v>
      </c>
      <c r="V2517">
        <v>36.049999999999997</v>
      </c>
      <c r="W2517" t="str">
        <f t="shared" si="625"/>
        <v>rob</v>
      </c>
    </row>
    <row r="2518" spans="1:23">
      <c r="A2518" t="str">
        <f t="shared" si="632"/>
        <v>Lmate ROBOTICS</v>
      </c>
      <c r="B2518" t="str">
        <f>"63-7001-0100"</f>
        <v>63-7001-0100</v>
      </c>
      <c r="C2518" t="str">
        <f>"License Key for Standalone Content"</f>
        <v>License Key for Standalone Content</v>
      </c>
      <c r="D2518">
        <v>1</v>
      </c>
      <c r="E2518" t="str">
        <f t="shared" si="633"/>
        <v>LearnMate (standalone) - Robotics</v>
      </c>
      <c r="F2518">
        <v>700</v>
      </c>
      <c r="G2518" t="str">
        <f t="shared" si="628"/>
        <v>Y</v>
      </c>
      <c r="H2518" t="str">
        <f t="shared" si="634"/>
        <v>EA</v>
      </c>
      <c r="I2518">
        <v>0</v>
      </c>
      <c r="J2518">
        <v>0</v>
      </c>
      <c r="K2518" t="str">
        <f t="shared" si="629"/>
        <v>Y</v>
      </c>
      <c r="L2518">
        <v>0</v>
      </c>
      <c r="M2518" t="str">
        <f t="shared" si="618"/>
        <v>NIS</v>
      </c>
      <c r="O2518">
        <v>10</v>
      </c>
      <c r="P2518" t="str">
        <f>"Active"</f>
        <v>Active</v>
      </c>
      <c r="Q2518" t="str">
        <f>"License Key For LM Content Standalone"</f>
        <v>License Key For LM Content Standalone</v>
      </c>
      <c r="R2518" t="str">
        <f>"1"</f>
        <v>1</v>
      </c>
      <c r="S2518" t="str">
        <f>"License Key For LM Content Standalone"</f>
        <v>License Key For LM Content Standalone</v>
      </c>
      <c r="T2518">
        <v>0</v>
      </c>
      <c r="U2518">
        <v>18</v>
      </c>
      <c r="V2518">
        <v>18.72</v>
      </c>
      <c r="W2518" t="str">
        <f t="shared" si="625"/>
        <v>rob</v>
      </c>
    </row>
    <row r="2519" spans="1:23">
      <c r="A2519" t="str">
        <f t="shared" ref="A2519:A2524" si="635">"Lmate SENSORS"</f>
        <v>Lmate SENSORS</v>
      </c>
      <c r="B2519" t="str">
        <f>"0E7238"</f>
        <v>0E7238</v>
      </c>
      <c r="C2519" t="str">
        <f>"LM_Content SA Vir -E- Sensor Technology"</f>
        <v>LM_Content SA Vir -E- Sensor Technology</v>
      </c>
      <c r="D2519">
        <v>1</v>
      </c>
      <c r="E2519" t="str">
        <f t="shared" ref="E2519:E2524" si="636">"LearnMate Content (standalone) -Sensor"</f>
        <v>LearnMate Content (standalone) -Sensor</v>
      </c>
      <c r="F2519">
        <v>700</v>
      </c>
      <c r="G2519" t="str">
        <f t="shared" si="628"/>
        <v>Y</v>
      </c>
      <c r="H2519" t="str">
        <f t="shared" si="634"/>
        <v>EA</v>
      </c>
      <c r="I2519">
        <v>0</v>
      </c>
      <c r="J2519">
        <v>0</v>
      </c>
      <c r="K2519" t="str">
        <f t="shared" si="629"/>
        <v>Y</v>
      </c>
      <c r="L2519">
        <v>0</v>
      </c>
      <c r="M2519" t="str">
        <f t="shared" si="618"/>
        <v>NIS</v>
      </c>
      <c r="O2519">
        <v>1</v>
      </c>
      <c r="P2519" t="str">
        <f>"Not for purc"</f>
        <v>Not for purc</v>
      </c>
      <c r="Q2519" t="str">
        <f>"LM_Content SA Vir -E- Sensor Technology"</f>
        <v>LM_Content SA Vir -E- Sensor Technology</v>
      </c>
      <c r="S2519" t="str">
        <f>"LM_Content SA Vir -E- Sensor Technology"</f>
        <v>LM_Content SA Vir -E- Sensor Technology</v>
      </c>
      <c r="T2519">
        <v>0</v>
      </c>
      <c r="U2519">
        <v>30.65</v>
      </c>
      <c r="V2519">
        <v>59.7</v>
      </c>
      <c r="W2519" t="str">
        <f t="shared" ref="W2519:W2524" si="637">"rob"</f>
        <v>rob</v>
      </c>
    </row>
    <row r="2520" spans="1:23">
      <c r="A2520" t="str">
        <f t="shared" si="635"/>
        <v>Lmate SENSORS</v>
      </c>
      <c r="B2520" t="str">
        <f>"63-7001-0100"</f>
        <v>63-7001-0100</v>
      </c>
      <c r="C2520" t="str">
        <f>"License Key for Standalone Content"</f>
        <v>License Key for Standalone Content</v>
      </c>
      <c r="D2520">
        <v>1</v>
      </c>
      <c r="E2520" t="str">
        <f t="shared" si="636"/>
        <v>LearnMate Content (standalone) -Sensor</v>
      </c>
      <c r="F2520">
        <v>700</v>
      </c>
      <c r="G2520" t="str">
        <f t="shared" si="628"/>
        <v>Y</v>
      </c>
      <c r="H2520" t="str">
        <f t="shared" si="634"/>
        <v>EA</v>
      </c>
      <c r="I2520">
        <v>0</v>
      </c>
      <c r="J2520">
        <v>0</v>
      </c>
      <c r="K2520" t="str">
        <f t="shared" si="629"/>
        <v>Y</v>
      </c>
      <c r="L2520">
        <v>0</v>
      </c>
      <c r="M2520" t="str">
        <f t="shared" si="618"/>
        <v>NIS</v>
      </c>
      <c r="O2520">
        <v>2</v>
      </c>
      <c r="P2520" t="str">
        <f>"Active"</f>
        <v>Active</v>
      </c>
      <c r="Q2520" t="str">
        <f>"License Key For LM Content Standalone"</f>
        <v>License Key For LM Content Standalone</v>
      </c>
      <c r="R2520" t="str">
        <f>"1"</f>
        <v>1</v>
      </c>
      <c r="S2520" t="str">
        <f>"License Key For LM Content Standalone"</f>
        <v>License Key For LM Content Standalone</v>
      </c>
      <c r="T2520">
        <v>0</v>
      </c>
      <c r="U2520">
        <v>18</v>
      </c>
      <c r="V2520">
        <v>18.72</v>
      </c>
      <c r="W2520" t="str">
        <f t="shared" si="637"/>
        <v>rob</v>
      </c>
    </row>
    <row r="2521" spans="1:23">
      <c r="A2521" t="str">
        <f t="shared" si="635"/>
        <v>Lmate SENSORS</v>
      </c>
      <c r="B2521" t="str">
        <f>"0E7213"</f>
        <v>0E7213</v>
      </c>
      <c r="C2521" t="str">
        <f>"LM_Content SA Vir.- Automatic Identification Sys"</f>
        <v>LM_Content SA Vir.- Automatic Identification Sys</v>
      </c>
      <c r="D2521">
        <v>1</v>
      </c>
      <c r="E2521" t="str">
        <f t="shared" si="636"/>
        <v>LearnMate Content (standalone) -Sensor</v>
      </c>
      <c r="F2521">
        <v>700</v>
      </c>
      <c r="G2521" t="str">
        <f t="shared" si="628"/>
        <v>Y</v>
      </c>
      <c r="H2521" t="str">
        <f t="shared" si="634"/>
        <v>EA</v>
      </c>
      <c r="I2521">
        <v>0</v>
      </c>
      <c r="J2521">
        <v>0</v>
      </c>
      <c r="K2521" t="str">
        <f t="shared" si="629"/>
        <v>Y</v>
      </c>
      <c r="L2521">
        <v>0</v>
      </c>
      <c r="M2521" t="str">
        <f t="shared" ref="M2521:M2584" si="638">"NIS"</f>
        <v>NIS</v>
      </c>
      <c r="O2521">
        <v>3</v>
      </c>
      <c r="P2521" t="str">
        <f>"Not for purc"</f>
        <v>Not for purc</v>
      </c>
      <c r="Q2521" t="str">
        <f>"LM_Content SA Vir.- Automatic Identification Sys"</f>
        <v>LM_Content SA Vir.- Automatic Identification Sys</v>
      </c>
      <c r="S2521" t="str">
        <f>"LM_Content SA Vir.- Automatic Identification Sys"</f>
        <v>LM_Content SA Vir.- Automatic Identification Sys</v>
      </c>
      <c r="T2521">
        <v>0</v>
      </c>
      <c r="U2521">
        <v>30.65</v>
      </c>
      <c r="V2521">
        <v>35.840000000000003</v>
      </c>
      <c r="W2521" t="str">
        <f t="shared" si="637"/>
        <v>rob</v>
      </c>
    </row>
    <row r="2522" spans="1:23">
      <c r="A2522" t="str">
        <f t="shared" si="635"/>
        <v>Lmate SENSORS</v>
      </c>
      <c r="B2522" t="str">
        <f>"63-7001-0100"</f>
        <v>63-7001-0100</v>
      </c>
      <c r="C2522" t="str">
        <f>"License Key for Standalone Content"</f>
        <v>License Key for Standalone Content</v>
      </c>
      <c r="D2522">
        <v>1</v>
      </c>
      <c r="E2522" t="str">
        <f t="shared" si="636"/>
        <v>LearnMate Content (standalone) -Sensor</v>
      </c>
      <c r="F2522">
        <v>700</v>
      </c>
      <c r="G2522" t="str">
        <f t="shared" si="628"/>
        <v>Y</v>
      </c>
      <c r="H2522" t="str">
        <f t="shared" si="634"/>
        <v>EA</v>
      </c>
      <c r="I2522">
        <v>0</v>
      </c>
      <c r="J2522">
        <v>0</v>
      </c>
      <c r="K2522" t="str">
        <f t="shared" si="629"/>
        <v>Y</v>
      </c>
      <c r="L2522">
        <v>0</v>
      </c>
      <c r="M2522" t="str">
        <f t="shared" si="638"/>
        <v>NIS</v>
      </c>
      <c r="O2522">
        <v>4</v>
      </c>
      <c r="P2522" t="str">
        <f>"Active"</f>
        <v>Active</v>
      </c>
      <c r="Q2522" t="str">
        <f>"License Key For LM Content Standalone"</f>
        <v>License Key For LM Content Standalone</v>
      </c>
      <c r="R2522" t="str">
        <f>"1"</f>
        <v>1</v>
      </c>
      <c r="S2522" t="str">
        <f>"License Key For LM Content Standalone"</f>
        <v>License Key For LM Content Standalone</v>
      </c>
      <c r="T2522">
        <v>0</v>
      </c>
      <c r="U2522">
        <v>18</v>
      </c>
      <c r="V2522">
        <v>18.72</v>
      </c>
      <c r="W2522" t="str">
        <f t="shared" si="637"/>
        <v>rob</v>
      </c>
    </row>
    <row r="2523" spans="1:23">
      <c r="A2523" t="str">
        <f t="shared" si="635"/>
        <v>Lmate SENSORS</v>
      </c>
      <c r="B2523" t="str">
        <f>"0E7217"</f>
        <v>0E7217</v>
      </c>
      <c r="C2523" t="str">
        <f>"LM_Content SA Vir -E- Fiber Optics"</f>
        <v>LM_Content SA Vir -E- Fiber Optics</v>
      </c>
      <c r="D2523">
        <v>1</v>
      </c>
      <c r="E2523" t="str">
        <f t="shared" si="636"/>
        <v>LearnMate Content (standalone) -Sensor</v>
      </c>
      <c r="F2523">
        <v>700</v>
      </c>
      <c r="G2523" t="str">
        <f t="shared" si="628"/>
        <v>Y</v>
      </c>
      <c r="H2523" t="str">
        <f t="shared" si="634"/>
        <v>EA</v>
      </c>
      <c r="I2523">
        <v>0</v>
      </c>
      <c r="J2523">
        <v>0</v>
      </c>
      <c r="K2523" t="str">
        <f t="shared" si="629"/>
        <v>Y</v>
      </c>
      <c r="L2523">
        <v>0</v>
      </c>
      <c r="M2523" t="str">
        <f t="shared" si="638"/>
        <v>NIS</v>
      </c>
      <c r="O2523">
        <v>5</v>
      </c>
      <c r="P2523" t="str">
        <f>"Not for purc"</f>
        <v>Not for purc</v>
      </c>
      <c r="Q2523" t="str">
        <f>"LM_Content SA Vir -E- Fiber Optics"</f>
        <v>LM_Content SA Vir -E- Fiber Optics</v>
      </c>
      <c r="S2523" t="str">
        <f>"LM_Content SA Vir -E- Fiber Optics"</f>
        <v>LM_Content SA Vir -E- Fiber Optics</v>
      </c>
      <c r="T2523">
        <v>0</v>
      </c>
      <c r="U2523">
        <v>30.65</v>
      </c>
      <c r="V2523">
        <v>35.840000000000003</v>
      </c>
      <c r="W2523" t="str">
        <f t="shared" si="637"/>
        <v>rob</v>
      </c>
    </row>
    <row r="2524" spans="1:23">
      <c r="A2524" t="str">
        <f t="shared" si="635"/>
        <v>Lmate SENSORS</v>
      </c>
      <c r="B2524" t="str">
        <f>"63-7001-0100"</f>
        <v>63-7001-0100</v>
      </c>
      <c r="C2524" t="str">
        <f>"License Key for Standalone Content"</f>
        <v>License Key for Standalone Content</v>
      </c>
      <c r="D2524">
        <v>1</v>
      </c>
      <c r="E2524" t="str">
        <f t="shared" si="636"/>
        <v>LearnMate Content (standalone) -Sensor</v>
      </c>
      <c r="F2524">
        <v>700</v>
      </c>
      <c r="G2524" t="str">
        <f t="shared" si="628"/>
        <v>Y</v>
      </c>
      <c r="H2524" t="str">
        <f t="shared" si="634"/>
        <v>EA</v>
      </c>
      <c r="I2524">
        <v>0</v>
      </c>
      <c r="J2524">
        <v>0</v>
      </c>
      <c r="K2524" t="str">
        <f t="shared" si="629"/>
        <v>Y</v>
      </c>
      <c r="L2524">
        <v>0</v>
      </c>
      <c r="M2524" t="str">
        <f t="shared" si="638"/>
        <v>NIS</v>
      </c>
      <c r="O2524">
        <v>6</v>
      </c>
      <c r="P2524" t="str">
        <f t="shared" ref="P2524:P2529" si="639">"Active"</f>
        <v>Active</v>
      </c>
      <c r="Q2524" t="str">
        <f>"License Key For LM Content Standalone"</f>
        <v>License Key For LM Content Standalone</v>
      </c>
      <c r="R2524" t="str">
        <f>"1"</f>
        <v>1</v>
      </c>
      <c r="S2524" t="str">
        <f>"License Key For LM Content Standalone"</f>
        <v>License Key For LM Content Standalone</v>
      </c>
      <c r="T2524">
        <v>0</v>
      </c>
      <c r="U2524">
        <v>18</v>
      </c>
      <c r="V2524">
        <v>18.72</v>
      </c>
      <c r="W2524" t="str">
        <f t="shared" si="637"/>
        <v>rob</v>
      </c>
    </row>
    <row r="2525" spans="1:23">
      <c r="A2525" t="str">
        <f>"LM-HOSTED"</f>
        <v>LM-HOSTED</v>
      </c>
      <c r="B2525" t="str">
        <f>"77-1201-0000"</f>
        <v>77-1201-0000</v>
      </c>
      <c r="C2525" t="str">
        <f>"LM7 1st year hosting, setup &amp; support"</f>
        <v>LM7 1st year hosting, setup &amp; support</v>
      </c>
      <c r="D2525">
        <v>1</v>
      </c>
      <c r="E2525" t="str">
        <f>"LearnMate 7 Hosting; 2 years, 100 students"</f>
        <v>LearnMate 7 Hosting; 2 years, 100 students</v>
      </c>
      <c r="F2525">
        <v>0</v>
      </c>
      <c r="G2525" t="str">
        <f t="shared" si="628"/>
        <v>Y</v>
      </c>
      <c r="H2525" t="str">
        <f t="shared" si="634"/>
        <v>EA</v>
      </c>
      <c r="I2525">
        <v>0</v>
      </c>
      <c r="J2525">
        <v>0</v>
      </c>
      <c r="K2525" t="str">
        <f t="shared" si="629"/>
        <v>Y</v>
      </c>
      <c r="L2525">
        <v>0</v>
      </c>
      <c r="M2525" t="str">
        <f t="shared" si="638"/>
        <v>NIS</v>
      </c>
      <c r="O2525">
        <v>1</v>
      </c>
      <c r="P2525" t="str">
        <f t="shared" si="639"/>
        <v>Active</v>
      </c>
      <c r="Q2525" t="str">
        <f>"LearnMate 7, 1 year 100 users hosting + support"</f>
        <v>LearnMate 7, 1 year 100 users hosting + support</v>
      </c>
      <c r="S2525" t="str">
        <f>"LM7 1st year hosting, setup &amp; support"</f>
        <v>LM7 1st year hosting, setup &amp; support</v>
      </c>
      <c r="T2525">
        <v>0</v>
      </c>
      <c r="U2525">
        <v>589</v>
      </c>
      <c r="V2525">
        <v>612.55999999999995</v>
      </c>
      <c r="W2525" t="str">
        <f>"zintel"</f>
        <v>zintel</v>
      </c>
    </row>
    <row r="2526" spans="1:23">
      <c r="A2526" t="str">
        <f>"LM-HOSTED"</f>
        <v>LM-HOSTED</v>
      </c>
      <c r="B2526" t="str">
        <f>"77-1401-0000"</f>
        <v>77-1401-0000</v>
      </c>
      <c r="C2526" t="str">
        <f>"LearnMate 7, Live Class add-on"</f>
        <v>LearnMate 7, Live Class add-on</v>
      </c>
      <c r="D2526">
        <v>1</v>
      </c>
      <c r="E2526" t="str">
        <f>"LearnMate 7 Hosting; 2 years, 100 students"</f>
        <v>LearnMate 7 Hosting; 2 years, 100 students</v>
      </c>
      <c r="F2526">
        <v>0</v>
      </c>
      <c r="G2526" t="str">
        <f t="shared" si="628"/>
        <v>Y</v>
      </c>
      <c r="H2526" t="str">
        <f t="shared" si="634"/>
        <v>EA</v>
      </c>
      <c r="I2526">
        <v>0</v>
      </c>
      <c r="J2526">
        <v>0</v>
      </c>
      <c r="K2526" t="str">
        <f t="shared" si="629"/>
        <v>Y</v>
      </c>
      <c r="L2526">
        <v>0</v>
      </c>
      <c r="M2526" t="str">
        <f t="shared" si="638"/>
        <v>NIS</v>
      </c>
      <c r="N2526" t="str">
        <f>"Y"</f>
        <v>Y</v>
      </c>
      <c r="O2526">
        <v>2</v>
      </c>
      <c r="P2526" t="str">
        <f t="shared" si="639"/>
        <v>Active</v>
      </c>
      <c r="Q2526" t="str">
        <f>"LearnMate 7, Live Class add-on"</f>
        <v>LearnMate 7, Live Class add-on</v>
      </c>
      <c r="S2526" t="str">
        <f>"LearnMate 7, Live Class add-on"</f>
        <v>LearnMate 7, Live Class add-on</v>
      </c>
      <c r="T2526">
        <v>0</v>
      </c>
      <c r="U2526">
        <v>330</v>
      </c>
      <c r="V2526">
        <v>343.2</v>
      </c>
      <c r="W2526" t="str">
        <f>"zintel"</f>
        <v>zintel</v>
      </c>
    </row>
    <row r="2527" spans="1:23">
      <c r="A2527" t="str">
        <f>"LM-HOSTED"</f>
        <v>LM-HOSTED</v>
      </c>
      <c r="B2527" t="str">
        <f>"50-1201-0001"</f>
        <v>50-1201-0001</v>
      </c>
      <c r="C2527" t="str">
        <f>"LM7 Add’l 1 Yr hosting for 100 users (Renewal)"</f>
        <v>LM7 Add’l 1 Yr hosting for 100 users (Renewal)</v>
      </c>
      <c r="D2527">
        <v>1</v>
      </c>
      <c r="E2527" t="str">
        <f>"LearnMate 7 Hosting; 2 years, 100 students"</f>
        <v>LearnMate 7 Hosting; 2 years, 100 students</v>
      </c>
      <c r="F2527">
        <v>0</v>
      </c>
      <c r="G2527" t="str">
        <f t="shared" si="628"/>
        <v>Y</v>
      </c>
      <c r="H2527" t="str">
        <f t="shared" si="634"/>
        <v>EA</v>
      </c>
      <c r="I2527">
        <v>0</v>
      </c>
      <c r="J2527">
        <v>0</v>
      </c>
      <c r="K2527" t="str">
        <f t="shared" si="629"/>
        <v>Y</v>
      </c>
      <c r="L2527">
        <v>0</v>
      </c>
      <c r="M2527" t="str">
        <f t="shared" si="638"/>
        <v>NIS</v>
      </c>
      <c r="O2527">
        <v>3</v>
      </c>
      <c r="P2527" t="str">
        <f t="shared" si="639"/>
        <v>Active</v>
      </c>
      <c r="Q2527" t="str">
        <f>"LM7 hosting Annual Support"</f>
        <v>LM7 hosting Annual Support</v>
      </c>
      <c r="S2527" t="str">
        <f>"LM7 Add’l 1 Yr hosting for 100 users (Renewal)"</f>
        <v>LM7 Add’l 1 Yr hosting for 100 users (Renewal)</v>
      </c>
      <c r="T2527">
        <v>0</v>
      </c>
      <c r="U2527">
        <v>589</v>
      </c>
      <c r="V2527">
        <v>612.55999999999995</v>
      </c>
      <c r="W2527" t="str">
        <f>"zintel"</f>
        <v>zintel</v>
      </c>
    </row>
    <row r="2528" spans="1:23">
      <c r="A2528" t="str">
        <f>"LM-LOCAL"</f>
        <v>LM-LOCAL</v>
      </c>
      <c r="B2528" t="str">
        <f>"77-1200-0000"</f>
        <v>77-1200-0000</v>
      </c>
      <c r="C2528" t="str">
        <f>"LearnMate 7, Local Server Setup and Activation"</f>
        <v>LearnMate 7, Local Server Setup and Activation</v>
      </c>
      <c r="D2528">
        <v>1</v>
      </c>
      <c r="E2528" t="str">
        <f>"LearnMate 7 Local Server Install &amp; Annual Maintenance"</f>
        <v>LearnMate 7 Local Server Install &amp; Annual Maintenance</v>
      </c>
      <c r="F2528">
        <v>0</v>
      </c>
      <c r="G2528" t="str">
        <f t="shared" si="628"/>
        <v>Y</v>
      </c>
      <c r="H2528" t="str">
        <f t="shared" si="634"/>
        <v>EA</v>
      </c>
      <c r="I2528">
        <v>0</v>
      </c>
      <c r="J2528">
        <v>0</v>
      </c>
      <c r="K2528" t="str">
        <f t="shared" si="629"/>
        <v>Y</v>
      </c>
      <c r="L2528">
        <v>0</v>
      </c>
      <c r="M2528" t="str">
        <f t="shared" si="638"/>
        <v>NIS</v>
      </c>
      <c r="O2528">
        <v>1</v>
      </c>
      <c r="P2528" t="str">
        <f t="shared" si="639"/>
        <v>Active</v>
      </c>
      <c r="Q2528" t="str">
        <f>"LearnMate 7, Local Server Setup and Activation"</f>
        <v>LearnMate 7, Local Server Setup and Activation</v>
      </c>
      <c r="S2528" t="str">
        <f>"LearnMate 7, Local Server Setup and Activation"</f>
        <v>LearnMate 7, Local Server Setup and Activation</v>
      </c>
      <c r="T2528">
        <v>0</v>
      </c>
      <c r="U2528">
        <v>200</v>
      </c>
      <c r="V2528">
        <v>208</v>
      </c>
      <c r="W2528" t="str">
        <f>"zintel"</f>
        <v>zintel</v>
      </c>
    </row>
    <row r="2529" spans="1:23">
      <c r="A2529" t="str">
        <f>"LM-LOCAL"</f>
        <v>LM-LOCAL</v>
      </c>
      <c r="B2529" t="str">
        <f>"50-1200-0003"</f>
        <v>50-1200-0003</v>
      </c>
      <c r="C2529" t="str">
        <f>"LM7 Local support- additional 3 years agreement"</f>
        <v>LM7 Local support- additional 3 years agreement</v>
      </c>
      <c r="D2529">
        <v>3</v>
      </c>
      <c r="E2529" t="str">
        <f>"LearnMate 7 Local Server Install &amp; Annual Maintenance"</f>
        <v>LearnMate 7 Local Server Install &amp; Annual Maintenance</v>
      </c>
      <c r="F2529">
        <v>0</v>
      </c>
      <c r="G2529" t="str">
        <f t="shared" si="628"/>
        <v>Y</v>
      </c>
      <c r="H2529" t="str">
        <f t="shared" si="634"/>
        <v>EA</v>
      </c>
      <c r="I2529">
        <v>0</v>
      </c>
      <c r="J2529">
        <v>0</v>
      </c>
      <c r="K2529" t="str">
        <f t="shared" si="629"/>
        <v>Y</v>
      </c>
      <c r="L2529">
        <v>0</v>
      </c>
      <c r="M2529" t="str">
        <f t="shared" si="638"/>
        <v>NIS</v>
      </c>
      <c r="O2529">
        <v>2</v>
      </c>
      <c r="P2529" t="str">
        <f t="shared" si="639"/>
        <v>Active</v>
      </c>
      <c r="Q2529" t="str">
        <f>"LM7 Local support- additional 3 years agreement"</f>
        <v>LM7 Local support- additional 3 years agreement</v>
      </c>
      <c r="S2529" t="str">
        <f>"LM7 Local support- additional 3 years agreement"</f>
        <v>LM7 Local support- additional 3 years agreement</v>
      </c>
      <c r="T2529">
        <v>0</v>
      </c>
      <c r="U2529">
        <v>200</v>
      </c>
      <c r="V2529">
        <v>208</v>
      </c>
      <c r="W2529" t="str">
        <f>"zintel"</f>
        <v>zintel</v>
      </c>
    </row>
    <row r="2530" spans="1:23">
      <c r="A2530" t="str">
        <f t="shared" ref="A2530:A2537" si="640">"MECH-ME10-13 SA"</f>
        <v>MECH-ME10-13 SA</v>
      </c>
      <c r="B2530" t="str">
        <f>"10-IMP1-0007"</f>
        <v>10-IMP1-0007</v>
      </c>
      <c r="C2530" t="str">
        <f>"Greystone,  IMP1,  Mech. Training Bench, 220V"</f>
        <v>Greystone,  IMP1,  Mech. Training Bench, 220V</v>
      </c>
      <c r="D2530">
        <v>1</v>
      </c>
      <c r="E2530" t="str">
        <f t="shared" ref="E2530:E2537" si="641">"Mechanical Maintenance Training (ME10 to ME13) Stand Alone"</f>
        <v>Mechanical Maintenance Training (ME10 to ME13) Stand Alone</v>
      </c>
      <c r="F2530">
        <v>700</v>
      </c>
      <c r="G2530" t="str">
        <f t="shared" si="628"/>
        <v>Y</v>
      </c>
      <c r="H2530" t="str">
        <f t="shared" si="634"/>
        <v>EA</v>
      </c>
      <c r="I2530">
        <v>0</v>
      </c>
      <c r="J2530">
        <v>0</v>
      </c>
      <c r="K2530" t="str">
        <f t="shared" si="629"/>
        <v>Y</v>
      </c>
      <c r="L2530">
        <v>0</v>
      </c>
      <c r="M2530" t="str">
        <f t="shared" si="638"/>
        <v>NIS</v>
      </c>
      <c r="O2530">
        <v>1</v>
      </c>
      <c r="P2530" t="str">
        <f>"Inactive"</f>
        <v>Inactive</v>
      </c>
      <c r="Q2530" t="str">
        <f>"Greystone,  IMP1,  Mech. Training Bench, 220V"</f>
        <v>Greystone,  IMP1,  Mech. Training Bench, 220V</v>
      </c>
      <c r="S2530" t="str">
        <f>"Greystone,  IMP1,  Mech. Training Bench, 220V"</f>
        <v>Greystone,  IMP1,  Mech. Training Bench, 220V</v>
      </c>
      <c r="T2530" s="44">
        <v>7351.26</v>
      </c>
      <c r="U2530" s="44">
        <v>9130.3700000000008</v>
      </c>
      <c r="V2530" s="44">
        <v>10134.709999999999</v>
      </c>
      <c r="W2530" t="str">
        <f t="shared" ref="W2530:W2593" si="642">"rob"</f>
        <v>rob</v>
      </c>
    </row>
    <row r="2531" spans="1:23">
      <c r="A2531" t="str">
        <f t="shared" si="640"/>
        <v>MECH-ME10-13 SA</v>
      </c>
      <c r="B2531" t="str">
        <f>"10-PC09-0000"</f>
        <v>10-PC09-0000</v>
      </c>
      <c r="C2531" t="str">
        <f>"JM, PC09, Transformer,PRI D440V SEC:Y225V 3KVA"</f>
        <v>JM, PC09, Transformer,PRI D440V SEC:Y225V 3KVA</v>
      </c>
      <c r="D2531">
        <v>1</v>
      </c>
      <c r="E2531" t="str">
        <f t="shared" si="641"/>
        <v>Mechanical Maintenance Training (ME10 to ME13) Stand Alone</v>
      </c>
      <c r="F2531">
        <v>700</v>
      </c>
      <c r="G2531" t="str">
        <f t="shared" si="628"/>
        <v>Y</v>
      </c>
      <c r="H2531" t="str">
        <f t="shared" si="634"/>
        <v>EA</v>
      </c>
      <c r="I2531">
        <v>0</v>
      </c>
      <c r="J2531">
        <v>0</v>
      </c>
      <c r="K2531" t="str">
        <f t="shared" si="629"/>
        <v>Y</v>
      </c>
      <c r="L2531">
        <v>0</v>
      </c>
      <c r="M2531" t="str">
        <f t="shared" si="638"/>
        <v>NIS</v>
      </c>
      <c r="N2531" t="str">
        <f>"Y"</f>
        <v>Y</v>
      </c>
      <c r="O2531">
        <v>7</v>
      </c>
      <c r="P2531" t="str">
        <f>"Active"</f>
        <v>Active</v>
      </c>
      <c r="Q2531" t="str">
        <f>"International Step down transformer"</f>
        <v>International Step down transformer</v>
      </c>
      <c r="S2531" t="str">
        <f>"JM, PC09, Transformer,PRI D440V SEC:Y225V 3KVA"</f>
        <v>JM, PC09, Transformer,PRI D440V SEC:Y225V 3KVA</v>
      </c>
      <c r="T2531">
        <v>0</v>
      </c>
      <c r="U2531">
        <v>0</v>
      </c>
      <c r="V2531">
        <v>0</v>
      </c>
      <c r="W2531" t="str">
        <f t="shared" si="642"/>
        <v>rob</v>
      </c>
    </row>
    <row r="2532" spans="1:23">
      <c r="A2532" t="str">
        <f t="shared" si="640"/>
        <v>MECH-ME10-13 SA</v>
      </c>
      <c r="B2532" t="str">
        <f>"10-IMP1-TSA2"</f>
        <v>10-IMP1-TSA2</v>
      </c>
      <c r="C2532" t="str">
        <f>"Greystone, 2 Stud. Add-on, Mech Bench, 220V"</f>
        <v>Greystone, 2 Stud. Add-on, Mech Bench, 220V</v>
      </c>
      <c r="D2532">
        <v>1</v>
      </c>
      <c r="E2532" t="str">
        <f t="shared" si="641"/>
        <v>Mechanical Maintenance Training (ME10 to ME13) Stand Alone</v>
      </c>
      <c r="F2532">
        <v>700</v>
      </c>
      <c r="G2532" t="str">
        <f t="shared" si="628"/>
        <v>Y</v>
      </c>
      <c r="H2532" t="str">
        <f t="shared" si="634"/>
        <v>EA</v>
      </c>
      <c r="I2532">
        <v>0</v>
      </c>
      <c r="J2532">
        <v>0</v>
      </c>
      <c r="K2532" t="str">
        <f t="shared" si="629"/>
        <v>Y</v>
      </c>
      <c r="L2532">
        <v>0</v>
      </c>
      <c r="M2532" t="str">
        <f t="shared" si="638"/>
        <v>NIS</v>
      </c>
      <c r="O2532">
        <v>2</v>
      </c>
      <c r="P2532" t="str">
        <f>"Inactive"</f>
        <v>Inactive</v>
      </c>
      <c r="Q2532" t="str">
        <f>"Greystone, 2 Stud. Add-on, Mech Bench, 220V"</f>
        <v>Greystone, 2 Stud. Add-on, Mech Bench, 220V</v>
      </c>
      <c r="S2532" t="str">
        <f>"Greystone, 2 Stud. Add-on, Mech Bench, 220V"</f>
        <v>Greystone, 2 Stud. Add-on, Mech Bench, 220V</v>
      </c>
      <c r="T2532" s="44">
        <v>5484.75</v>
      </c>
      <c r="U2532" s="44">
        <v>6619.74</v>
      </c>
      <c r="V2532" s="44">
        <v>2637.05</v>
      </c>
      <c r="W2532" t="str">
        <f t="shared" si="642"/>
        <v>rob</v>
      </c>
    </row>
    <row r="2533" spans="1:23">
      <c r="A2533" t="str">
        <f t="shared" si="640"/>
        <v>MECH-ME10-13 SA</v>
      </c>
      <c r="B2533" t="str">
        <f>"10-IMP1-LAT1"</f>
        <v>10-IMP1-LAT1</v>
      </c>
      <c r="C2533" t="str">
        <f>"Greystone, IMP1 Add-on, Laser Alignment"</f>
        <v>Greystone, IMP1 Add-on, Laser Alignment</v>
      </c>
      <c r="D2533">
        <v>1</v>
      </c>
      <c r="E2533" t="str">
        <f t="shared" si="641"/>
        <v>Mechanical Maintenance Training (ME10 to ME13) Stand Alone</v>
      </c>
      <c r="F2533">
        <v>700</v>
      </c>
      <c r="G2533" t="str">
        <f t="shared" si="628"/>
        <v>Y</v>
      </c>
      <c r="H2533" t="str">
        <f t="shared" si="634"/>
        <v>EA</v>
      </c>
      <c r="I2533">
        <v>0</v>
      </c>
      <c r="J2533">
        <v>0</v>
      </c>
      <c r="K2533" t="str">
        <f t="shared" si="629"/>
        <v>Y</v>
      </c>
      <c r="L2533">
        <v>0</v>
      </c>
      <c r="M2533" t="str">
        <f t="shared" si="638"/>
        <v>NIS</v>
      </c>
      <c r="O2533">
        <v>3</v>
      </c>
      <c r="P2533" t="str">
        <f>"Inactive"</f>
        <v>Inactive</v>
      </c>
      <c r="Q2533" t="str">
        <f>"LAT Laser Alignment Tools (Battery Powered)"</f>
        <v>LAT Laser Alignment Tools (Battery Powered)</v>
      </c>
      <c r="S2533" t="str">
        <f>"Greystone, IMP1 Add-on, Laser Alignment"</f>
        <v>Greystone, IMP1 Add-on, Laser Alignment</v>
      </c>
      <c r="T2533" s="44">
        <v>5194.2</v>
      </c>
      <c r="U2533" s="44">
        <v>5632.84</v>
      </c>
      <c r="V2533" s="44">
        <v>8835.15</v>
      </c>
      <c r="W2533" t="str">
        <f t="shared" si="642"/>
        <v>rob</v>
      </c>
    </row>
    <row r="2534" spans="1:23">
      <c r="A2534" t="str">
        <f t="shared" si="640"/>
        <v>MECH-ME10-13 SA</v>
      </c>
      <c r="B2534" t="str">
        <f>"10-IMP1-VAT1"</f>
        <v>10-IMP1-VAT1</v>
      </c>
      <c r="C2534" t="str">
        <f>"Greystone, IMP1 Add-on, Vibration Analysis"</f>
        <v>Greystone, IMP1 Add-on, Vibration Analysis</v>
      </c>
      <c r="D2534">
        <v>1</v>
      </c>
      <c r="E2534" t="str">
        <f t="shared" si="641"/>
        <v>Mechanical Maintenance Training (ME10 to ME13) Stand Alone</v>
      </c>
      <c r="F2534">
        <v>700</v>
      </c>
      <c r="G2534" t="str">
        <f t="shared" si="628"/>
        <v>Y</v>
      </c>
      <c r="H2534" t="str">
        <f t="shared" si="634"/>
        <v>EA</v>
      </c>
      <c r="I2534">
        <v>0</v>
      </c>
      <c r="J2534">
        <v>0</v>
      </c>
      <c r="K2534" t="str">
        <f t="shared" si="629"/>
        <v>Y</v>
      </c>
      <c r="L2534">
        <v>0</v>
      </c>
      <c r="M2534" t="str">
        <f t="shared" si="638"/>
        <v>NIS</v>
      </c>
      <c r="O2534">
        <v>4</v>
      </c>
      <c r="P2534" t="str">
        <f>"Active"</f>
        <v>Active</v>
      </c>
      <c r="Q2534" t="str">
        <f>"VAT Vibration Analysis Tools (Battery Powered)"</f>
        <v>VAT Vibration Analysis Tools (Battery Powered)</v>
      </c>
      <c r="S2534" t="str">
        <f>"Greystone, IMP1 Add-on, Vibration Analysis"</f>
        <v>Greystone, IMP1 Add-on, Vibration Analysis</v>
      </c>
      <c r="T2534" s="44">
        <v>1806.42</v>
      </c>
      <c r="U2534" s="44">
        <v>2333.27</v>
      </c>
      <c r="V2534" s="44">
        <v>3416.26</v>
      </c>
      <c r="W2534" t="str">
        <f t="shared" si="642"/>
        <v>rob</v>
      </c>
    </row>
    <row r="2535" spans="1:23">
      <c r="A2535" t="str">
        <f t="shared" si="640"/>
        <v>MECH-ME10-13 SA</v>
      </c>
      <c r="B2535" t="str">
        <f>"10-BSC1-0002"</f>
        <v>10-BSC1-0002</v>
      </c>
      <c r="C2535" t="str">
        <f>"Greystone, Bearing Service Cart, 220V ready"</f>
        <v>Greystone, Bearing Service Cart, 220V ready</v>
      </c>
      <c r="D2535">
        <v>1</v>
      </c>
      <c r="E2535" t="str">
        <f t="shared" si="641"/>
        <v>Mechanical Maintenance Training (ME10 to ME13) Stand Alone</v>
      </c>
      <c r="F2535">
        <v>700</v>
      </c>
      <c r="G2535" t="str">
        <f t="shared" si="628"/>
        <v>Y</v>
      </c>
      <c r="H2535" t="str">
        <f t="shared" si="634"/>
        <v>EA</v>
      </c>
      <c r="I2535">
        <v>0</v>
      </c>
      <c r="J2535">
        <v>0</v>
      </c>
      <c r="K2535" t="str">
        <f t="shared" si="629"/>
        <v>Y</v>
      </c>
      <c r="L2535">
        <v>0</v>
      </c>
      <c r="M2535" t="str">
        <f t="shared" si="638"/>
        <v>NIS</v>
      </c>
      <c r="O2535">
        <v>5</v>
      </c>
      <c r="P2535" t="str">
        <f>"Inactive"</f>
        <v>Inactive</v>
      </c>
      <c r="Q2535" t="str">
        <f>"Greystone, Bearing Service Cart, 220V ready"</f>
        <v>Greystone, Bearing Service Cart, 220V ready</v>
      </c>
      <c r="S2535" t="str">
        <f>"Greystone, Bearing Service Cart, 220V ready"</f>
        <v>Greystone, Bearing Service Cart, 220V ready</v>
      </c>
      <c r="T2535" s="44">
        <v>2993.18</v>
      </c>
      <c r="U2535" s="44">
        <v>2575.56</v>
      </c>
      <c r="V2535" s="44">
        <v>4154.78</v>
      </c>
      <c r="W2535" t="str">
        <f t="shared" si="642"/>
        <v>rob</v>
      </c>
    </row>
    <row r="2536" spans="1:23">
      <c r="A2536" t="str">
        <f t="shared" si="640"/>
        <v>MECH-ME10-13 SA</v>
      </c>
      <c r="B2536" t="str">
        <f>"10-PC09-0000"</f>
        <v>10-PC09-0000</v>
      </c>
      <c r="C2536" t="str">
        <f>"JM, PC09, Transformer,PRI D440V SEC:Y225V 3KVA"</f>
        <v>JM, PC09, Transformer,PRI D440V SEC:Y225V 3KVA</v>
      </c>
      <c r="D2536">
        <v>1</v>
      </c>
      <c r="E2536" t="str">
        <f t="shared" si="641"/>
        <v>Mechanical Maintenance Training (ME10 to ME13) Stand Alone</v>
      </c>
      <c r="F2536">
        <v>700</v>
      </c>
      <c r="G2536" t="str">
        <f t="shared" si="628"/>
        <v>Y</v>
      </c>
      <c r="H2536" t="str">
        <f t="shared" si="634"/>
        <v>EA</v>
      </c>
      <c r="I2536">
        <v>0</v>
      </c>
      <c r="J2536">
        <v>0</v>
      </c>
      <c r="K2536" t="str">
        <f t="shared" si="629"/>
        <v>Y</v>
      </c>
      <c r="L2536">
        <v>0</v>
      </c>
      <c r="M2536" t="str">
        <f t="shared" si="638"/>
        <v>NIS</v>
      </c>
      <c r="N2536" t="str">
        <f>"Y"</f>
        <v>Y</v>
      </c>
      <c r="O2536">
        <v>8</v>
      </c>
      <c r="P2536" t="str">
        <f>"Active"</f>
        <v>Active</v>
      </c>
      <c r="Q2536" t="str">
        <f>"International Step down transformer"</f>
        <v>International Step down transformer</v>
      </c>
      <c r="S2536" t="str">
        <f>"JM, PC09, Transformer,PRI D440V SEC:Y225V 3KVA"</f>
        <v>JM, PC09, Transformer,PRI D440V SEC:Y225V 3KVA</v>
      </c>
      <c r="T2536">
        <v>0</v>
      </c>
      <c r="U2536">
        <v>0</v>
      </c>
      <c r="V2536">
        <v>0</v>
      </c>
      <c r="W2536" t="str">
        <f t="shared" si="642"/>
        <v>rob</v>
      </c>
    </row>
    <row r="2537" spans="1:23">
      <c r="A2537" t="str">
        <f t="shared" si="640"/>
        <v>MECH-ME10-13 SA</v>
      </c>
      <c r="B2537" t="str">
        <f>"10-BSC1-TSA2"</f>
        <v>10-BSC1-TSA2</v>
      </c>
      <c r="C2537" t="str">
        <f>"Greystone,2 Stu. Add-on,Bearing Service, 220V"</f>
        <v>Greystone,2 Stu. Add-on,Bearing Service, 220V</v>
      </c>
      <c r="D2537">
        <v>1</v>
      </c>
      <c r="E2537" t="str">
        <f t="shared" si="641"/>
        <v>Mechanical Maintenance Training (ME10 to ME13) Stand Alone</v>
      </c>
      <c r="F2537">
        <v>700</v>
      </c>
      <c r="G2537" t="str">
        <f t="shared" si="628"/>
        <v>Y</v>
      </c>
      <c r="H2537" t="str">
        <f t="shared" si="634"/>
        <v>EA</v>
      </c>
      <c r="I2537">
        <v>0</v>
      </c>
      <c r="J2537">
        <v>0</v>
      </c>
      <c r="K2537" t="str">
        <f t="shared" si="629"/>
        <v>Y</v>
      </c>
      <c r="L2537">
        <v>0</v>
      </c>
      <c r="M2537" t="str">
        <f t="shared" si="638"/>
        <v>NIS</v>
      </c>
      <c r="O2537">
        <v>6</v>
      </c>
      <c r="P2537" t="str">
        <f>"Inactive"</f>
        <v>Inactive</v>
      </c>
      <c r="Q2537" t="str">
        <f>"Greystone,2 Stu. Add-on,Bearing Service, 220V"</f>
        <v>Greystone,2 Stu. Add-on,Bearing Service, 220V</v>
      </c>
      <c r="S2537" t="str">
        <f>"Greystone,2 Stu. Add-on,Bearing Service, 220V"</f>
        <v>Greystone,2 Stu. Add-on,Bearing Service, 220V</v>
      </c>
      <c r="T2537" s="44">
        <v>1849.11</v>
      </c>
      <c r="U2537" s="44">
        <v>1592.67</v>
      </c>
      <c r="V2537" s="44">
        <v>11538.17</v>
      </c>
      <c r="W2537" t="str">
        <f t="shared" si="642"/>
        <v>rob</v>
      </c>
    </row>
    <row r="2538" spans="1:23">
      <c r="A2538" t="str">
        <f>"MECH-ME10-ADD-ON"</f>
        <v>MECH-ME10-ADD-ON</v>
      </c>
      <c r="B2538" t="str">
        <f>"00-ME10-0002"</f>
        <v>00-ME10-0002</v>
      </c>
      <c r="C2538" t="str">
        <f>"Assembly, JM, Mechanical Two-Student Add-on,220V"</f>
        <v>Assembly, JM, Mechanical Two-Student Add-on,220V</v>
      </c>
      <c r="D2538">
        <v>1</v>
      </c>
      <c r="E2538" t="str">
        <f>"Mechanical Maintenance Two-Student Add-on Training Bench(10-ME10-0002 )"</f>
        <v>Mechanical Maintenance Two-Student Add-on Training Bench(10-ME10-0002 )</v>
      </c>
      <c r="F2538">
        <v>700</v>
      </c>
      <c r="G2538" t="str">
        <f t="shared" si="628"/>
        <v>Y</v>
      </c>
      <c r="H2538" t="str">
        <f t="shared" si="634"/>
        <v>EA</v>
      </c>
      <c r="I2538">
        <v>0</v>
      </c>
      <c r="J2538">
        <v>0</v>
      </c>
      <c r="K2538" t="str">
        <f t="shared" si="629"/>
        <v>Y</v>
      </c>
      <c r="L2538">
        <v>0</v>
      </c>
      <c r="M2538" t="str">
        <f t="shared" si="638"/>
        <v>NIS</v>
      </c>
      <c r="O2538">
        <v>1</v>
      </c>
      <c r="P2538" t="str">
        <f>"Active"</f>
        <v>Active</v>
      </c>
      <c r="Q2538" t="str">
        <f>"Greystone,  IMP1,  Mech. Training Bench, 220V"</f>
        <v>Greystone,  IMP1,  Mech. Training Bench, 220V</v>
      </c>
      <c r="S2538" t="str">
        <f>"Assembly, JM, Mechanical Two-Student Add-on,220V"</f>
        <v>Assembly, JM, Mechanical Two-Student Add-on,220V</v>
      </c>
      <c r="T2538" s="44">
        <v>6271.45</v>
      </c>
      <c r="U2538" s="44">
        <v>6185</v>
      </c>
      <c r="V2538" s="44">
        <v>12282.13</v>
      </c>
      <c r="W2538" t="str">
        <f t="shared" si="642"/>
        <v>rob</v>
      </c>
    </row>
    <row r="2539" spans="1:23">
      <c r="A2539" t="str">
        <f t="shared" ref="A2539:A2544" si="643">"MECH-ME11-13 LM5"</f>
        <v>MECH-ME11-13 LM5</v>
      </c>
      <c r="B2539" t="str">
        <f>"00-ME11-1000"</f>
        <v>00-ME11-1000</v>
      </c>
      <c r="C2539" t="str">
        <f>"Assembly, JM, Add-on, Laser Alignment Tools"</f>
        <v>Assembly, JM, Add-on, Laser Alignment Tools</v>
      </c>
      <c r="D2539">
        <v>1</v>
      </c>
      <c r="E2539" t="str">
        <f t="shared" ref="E2539:E2544" si="644">"LM 5 Mechanical Maintenance Training (ME11 to ME13)"</f>
        <v>LM 5 Mechanical Maintenance Training (ME11 to ME13)</v>
      </c>
      <c r="F2539">
        <v>700</v>
      </c>
      <c r="G2539" t="str">
        <f t="shared" si="628"/>
        <v>Y</v>
      </c>
      <c r="H2539" t="str">
        <f t="shared" si="634"/>
        <v>EA</v>
      </c>
      <c r="I2539">
        <v>0</v>
      </c>
      <c r="J2539">
        <v>0</v>
      </c>
      <c r="K2539" t="str">
        <f t="shared" si="629"/>
        <v>Y</v>
      </c>
      <c r="L2539">
        <v>0</v>
      </c>
      <c r="M2539" t="str">
        <f t="shared" si="638"/>
        <v>NIS</v>
      </c>
      <c r="O2539">
        <v>1</v>
      </c>
      <c r="P2539" t="str">
        <f>"Active"</f>
        <v>Active</v>
      </c>
      <c r="Q2539" t="str">
        <f>"Assembly, JM, Add-on, Laser Alignment Tools"</f>
        <v>Assembly, JM, Add-on, Laser Alignment Tools</v>
      </c>
      <c r="S2539" t="str">
        <f>"Assembly, JM, Add-on, Laser Alignment Tools"</f>
        <v>Assembly, JM, Add-on, Laser Alignment Tools</v>
      </c>
      <c r="T2539" s="44">
        <v>4995.32</v>
      </c>
      <c r="U2539" s="44">
        <v>5632.84</v>
      </c>
      <c r="V2539" s="44">
        <v>9990.0400000000009</v>
      </c>
      <c r="W2539" t="str">
        <f t="shared" si="642"/>
        <v>rob</v>
      </c>
    </row>
    <row r="2540" spans="1:23">
      <c r="A2540" t="str">
        <f t="shared" si="643"/>
        <v>MECH-ME11-13 LM5</v>
      </c>
      <c r="B2540" t="str">
        <f>"17-ME11-0001"</f>
        <v>17-ME11-0001</v>
      </c>
      <c r="C2540" t="str">
        <f>"LM5.X Content, JM, Laser Alignment"</f>
        <v>LM5.X Content, JM, Laser Alignment</v>
      </c>
      <c r="D2540">
        <v>1</v>
      </c>
      <c r="E2540" t="str">
        <f t="shared" si="644"/>
        <v>LM 5 Mechanical Maintenance Training (ME11 to ME13)</v>
      </c>
      <c r="F2540">
        <v>700</v>
      </c>
      <c r="G2540" t="str">
        <f t="shared" si="628"/>
        <v>Y</v>
      </c>
      <c r="H2540" t="str">
        <f t="shared" si="634"/>
        <v>EA</v>
      </c>
      <c r="I2540">
        <v>0</v>
      </c>
      <c r="J2540">
        <v>0</v>
      </c>
      <c r="K2540" t="str">
        <f t="shared" si="629"/>
        <v>Y</v>
      </c>
      <c r="L2540">
        <v>0</v>
      </c>
      <c r="M2540" t="str">
        <f t="shared" si="638"/>
        <v>NIS</v>
      </c>
      <c r="O2540">
        <v>2</v>
      </c>
      <c r="P2540" t="str">
        <f>"ECO+NFS"</f>
        <v>ECO+NFS</v>
      </c>
      <c r="Q2540" t="str">
        <f>"LM5.X Content, JM, Laser Alignment"</f>
        <v>LM5.X Content, JM, Laser Alignment</v>
      </c>
      <c r="S2540" t="str">
        <f>"LM5.X Content, JM, Laser Alignment"</f>
        <v>LM5.X Content, JM, Laser Alignment</v>
      </c>
      <c r="T2540">
        <v>0</v>
      </c>
      <c r="U2540">
        <v>5</v>
      </c>
      <c r="V2540">
        <v>5</v>
      </c>
      <c r="W2540" t="str">
        <f t="shared" si="642"/>
        <v>rob</v>
      </c>
    </row>
    <row r="2541" spans="1:23">
      <c r="A2541" t="str">
        <f t="shared" si="643"/>
        <v>MECH-ME11-13 LM5</v>
      </c>
      <c r="B2541" t="str">
        <f>"00-ME12-1000"</f>
        <v>00-ME12-1000</v>
      </c>
      <c r="C2541" t="str">
        <f>"Assembly, JM, Add-on, Vibration Analysis Tools"</f>
        <v>Assembly, JM, Add-on, Vibration Analysis Tools</v>
      </c>
      <c r="D2541">
        <v>1</v>
      </c>
      <c r="E2541" t="str">
        <f t="shared" si="644"/>
        <v>LM 5 Mechanical Maintenance Training (ME11 to ME13)</v>
      </c>
      <c r="F2541">
        <v>700</v>
      </c>
      <c r="G2541" t="str">
        <f t="shared" si="628"/>
        <v>Y</v>
      </c>
      <c r="H2541" t="str">
        <f t="shared" si="634"/>
        <v>EA</v>
      </c>
      <c r="I2541">
        <v>0</v>
      </c>
      <c r="J2541">
        <v>0</v>
      </c>
      <c r="K2541" t="str">
        <f t="shared" si="629"/>
        <v>Y</v>
      </c>
      <c r="L2541">
        <v>0</v>
      </c>
      <c r="M2541" t="str">
        <f t="shared" si="638"/>
        <v>NIS</v>
      </c>
      <c r="O2541">
        <v>3</v>
      </c>
      <c r="P2541" t="str">
        <f t="shared" ref="P2541:P2579" si="645">"Active"</f>
        <v>Active</v>
      </c>
      <c r="Q2541" t="str">
        <f>"Assembly, JM, Add-on, Vibration Analysis Tools"</f>
        <v>Assembly, JM, Add-on, Vibration Analysis Tools</v>
      </c>
      <c r="S2541" t="str">
        <f>"Assembly, JM, Add-on, Vibration Analysis Tools"</f>
        <v>Assembly, JM, Add-on, Vibration Analysis Tools</v>
      </c>
      <c r="T2541" s="44">
        <v>1481.26</v>
      </c>
      <c r="U2541" s="44">
        <v>1481</v>
      </c>
      <c r="V2541" s="44">
        <v>3861.01</v>
      </c>
      <c r="W2541" t="str">
        <f t="shared" si="642"/>
        <v>rob</v>
      </c>
    </row>
    <row r="2542" spans="1:23">
      <c r="A2542" t="str">
        <f t="shared" si="643"/>
        <v>MECH-ME11-13 LM5</v>
      </c>
      <c r="B2542" t="str">
        <f>"17-ME12-0001"</f>
        <v>17-ME12-0001</v>
      </c>
      <c r="C2542" t="str">
        <f>"LM5.X Content, JM, Vibration Analysis"</f>
        <v>LM5.X Content, JM, Vibration Analysis</v>
      </c>
      <c r="D2542">
        <v>1</v>
      </c>
      <c r="E2542" t="str">
        <f t="shared" si="644"/>
        <v>LM 5 Mechanical Maintenance Training (ME11 to ME13)</v>
      </c>
      <c r="F2542">
        <v>700</v>
      </c>
      <c r="G2542" t="str">
        <f t="shared" si="628"/>
        <v>Y</v>
      </c>
      <c r="H2542" t="str">
        <f t="shared" si="634"/>
        <v>EA</v>
      </c>
      <c r="I2542">
        <v>0</v>
      </c>
      <c r="J2542">
        <v>0</v>
      </c>
      <c r="K2542" t="str">
        <f t="shared" si="629"/>
        <v>Y</v>
      </c>
      <c r="L2542">
        <v>0</v>
      </c>
      <c r="M2542" t="str">
        <f t="shared" si="638"/>
        <v>NIS</v>
      </c>
      <c r="O2542">
        <v>4</v>
      </c>
      <c r="P2542" t="str">
        <f t="shared" si="645"/>
        <v>Active</v>
      </c>
      <c r="Q2542" t="str">
        <f>"LM5.X Content, JM, Vibration Analysis"</f>
        <v>LM5.X Content, JM, Vibration Analysis</v>
      </c>
      <c r="S2542" t="str">
        <f>"LM5.X Content, JM, Vibration Analysis"</f>
        <v>LM5.X Content, JM, Vibration Analysis</v>
      </c>
      <c r="T2542">
        <v>0</v>
      </c>
      <c r="U2542">
        <v>5</v>
      </c>
      <c r="V2542">
        <v>5</v>
      </c>
      <c r="W2542" t="str">
        <f t="shared" si="642"/>
        <v>rob</v>
      </c>
    </row>
    <row r="2543" spans="1:23">
      <c r="A2543" t="str">
        <f t="shared" si="643"/>
        <v>MECH-ME11-13 LM5</v>
      </c>
      <c r="B2543" t="str">
        <f>"00-ME13-1002"</f>
        <v>00-ME13-1002</v>
      </c>
      <c r="C2543" t="str">
        <f>"Assembly, JM, Bearing Service Cart, 220V"</f>
        <v>Assembly, JM, Bearing Service Cart, 220V</v>
      </c>
      <c r="D2543">
        <v>1</v>
      </c>
      <c r="E2543" t="str">
        <f t="shared" si="644"/>
        <v>LM 5 Mechanical Maintenance Training (ME11 to ME13)</v>
      </c>
      <c r="F2543">
        <v>700</v>
      </c>
      <c r="G2543" t="str">
        <f t="shared" si="628"/>
        <v>Y</v>
      </c>
      <c r="H2543" t="str">
        <f t="shared" si="634"/>
        <v>EA</v>
      </c>
      <c r="I2543">
        <v>0</v>
      </c>
      <c r="J2543">
        <v>0</v>
      </c>
      <c r="K2543" t="str">
        <f t="shared" si="629"/>
        <v>Y</v>
      </c>
      <c r="L2543">
        <v>0</v>
      </c>
      <c r="M2543" t="str">
        <f t="shared" si="638"/>
        <v>NIS</v>
      </c>
      <c r="O2543">
        <v>6</v>
      </c>
      <c r="P2543" t="str">
        <f t="shared" si="645"/>
        <v>Active</v>
      </c>
      <c r="Q2543" t="str">
        <f>"Assembly, JM, Bearing Service Cart, 220V"</f>
        <v>Assembly, JM, Bearing Service Cart, 220V</v>
      </c>
      <c r="S2543" t="str">
        <f>"Assembly, JM, Bearing Service Cart, 220V"</f>
        <v>Assembly, JM, Bearing Service Cart, 220V</v>
      </c>
      <c r="T2543" s="44">
        <v>3199.6</v>
      </c>
      <c r="U2543" s="44">
        <v>3086</v>
      </c>
      <c r="V2543" s="44">
        <v>5661.23</v>
      </c>
      <c r="W2543" t="str">
        <f t="shared" si="642"/>
        <v>rob</v>
      </c>
    </row>
    <row r="2544" spans="1:23">
      <c r="A2544" t="str">
        <f t="shared" si="643"/>
        <v>MECH-ME11-13 LM5</v>
      </c>
      <c r="B2544" t="str">
        <f>"17-ME13-0001"</f>
        <v>17-ME13-0001</v>
      </c>
      <c r="C2544" t="str">
        <f>"LM5.X Content, JM, Bearing Service Cart"</f>
        <v>LM5.X Content, JM, Bearing Service Cart</v>
      </c>
      <c r="D2544">
        <v>1</v>
      </c>
      <c r="E2544" t="str">
        <f t="shared" si="644"/>
        <v>LM 5 Mechanical Maintenance Training (ME11 to ME13)</v>
      </c>
      <c r="F2544">
        <v>700</v>
      </c>
      <c r="G2544" t="str">
        <f t="shared" si="628"/>
        <v>Y</v>
      </c>
      <c r="H2544" t="str">
        <f t="shared" si="634"/>
        <v>EA</v>
      </c>
      <c r="I2544">
        <v>0</v>
      </c>
      <c r="J2544">
        <v>0</v>
      </c>
      <c r="K2544" t="str">
        <f t="shared" si="629"/>
        <v>Y</v>
      </c>
      <c r="L2544">
        <v>0</v>
      </c>
      <c r="M2544" t="str">
        <f t="shared" si="638"/>
        <v>NIS</v>
      </c>
      <c r="O2544">
        <v>7</v>
      </c>
      <c r="P2544" t="str">
        <f t="shared" si="645"/>
        <v>Active</v>
      </c>
      <c r="Q2544" t="str">
        <f>"LM5.X Content, JM, Bearing Service Cart"</f>
        <v>LM5.X Content, JM, Bearing Service Cart</v>
      </c>
      <c r="S2544" t="str">
        <f>"LM5.X Content, JM, Bearing Service Cart"</f>
        <v>LM5.X Content, JM, Bearing Service Cart</v>
      </c>
      <c r="T2544">
        <v>0</v>
      </c>
      <c r="U2544">
        <v>5</v>
      </c>
      <c r="V2544">
        <v>5</v>
      </c>
      <c r="W2544" t="str">
        <f t="shared" si="642"/>
        <v>rob</v>
      </c>
    </row>
    <row r="2545" spans="1:23">
      <c r="A2545" t="str">
        <f t="shared" ref="A2545:A2555" si="646">"MFE&amp;ST-ER4U-01"</f>
        <v>MFE&amp;ST-ER4U-01</v>
      </c>
      <c r="B2545" t="str">
        <f>"00-0413-0000"</f>
        <v>00-0413-0000</v>
      </c>
      <c r="C2545" t="str">
        <f>"SCORBOT-ER 4u"</f>
        <v>SCORBOT-ER 4u</v>
      </c>
      <c r="D2545">
        <v>1</v>
      </c>
      <c r="E2545" t="str">
        <f t="shared" ref="E2545:E2555" si="647">"Material Feeding &amp; Storage: Scorbot-ER4U Robot &amp; Storage"</f>
        <v>Material Feeding &amp; Storage: Scorbot-ER4U Robot &amp; Storage</v>
      </c>
      <c r="F2545">
        <v>507</v>
      </c>
      <c r="G2545" t="str">
        <f t="shared" si="628"/>
        <v>Y</v>
      </c>
      <c r="H2545" t="str">
        <f t="shared" si="634"/>
        <v>EA</v>
      </c>
      <c r="I2545">
        <v>0</v>
      </c>
      <c r="J2545">
        <v>0</v>
      </c>
      <c r="K2545" t="str">
        <f t="shared" si="629"/>
        <v>Y</v>
      </c>
      <c r="L2545">
        <v>0</v>
      </c>
      <c r="M2545" t="str">
        <f t="shared" si="638"/>
        <v>NIS</v>
      </c>
      <c r="O2545">
        <v>1</v>
      </c>
      <c r="P2545" t="str">
        <f t="shared" si="645"/>
        <v>Active</v>
      </c>
      <c r="Q2545" t="str">
        <f>"SCORBOT-ER 4u (Package)"</f>
        <v>SCORBOT-ER 4u (Package)</v>
      </c>
      <c r="S2545" t="str">
        <f>"SCORBOT-ER 4u (Package)"</f>
        <v>SCORBOT-ER 4u (Package)</v>
      </c>
      <c r="T2545">
        <v>0</v>
      </c>
      <c r="U2545" s="44">
        <v>3200</v>
      </c>
      <c r="V2545" s="44">
        <v>3390.7</v>
      </c>
      <c r="W2545" t="str">
        <f t="shared" si="642"/>
        <v>rob</v>
      </c>
    </row>
    <row r="2546" spans="1:23">
      <c r="A2546" t="str">
        <f t="shared" si="646"/>
        <v>MFE&amp;ST-ER4U-01</v>
      </c>
      <c r="B2546" t="str">
        <f>"00-0609-0000"</f>
        <v>00-0609-0000</v>
      </c>
      <c r="C2546" t="str">
        <f>"Gripper attachment for round and square parts"</f>
        <v>Gripper attachment for round and square parts</v>
      </c>
      <c r="D2546">
        <v>1</v>
      </c>
      <c r="E2546" t="str">
        <f t="shared" si="647"/>
        <v>Material Feeding &amp; Storage: Scorbot-ER4U Robot &amp; Storage</v>
      </c>
      <c r="F2546">
        <v>507</v>
      </c>
      <c r="G2546" t="str">
        <f t="shared" si="628"/>
        <v>Y</v>
      </c>
      <c r="H2546" t="str">
        <f t="shared" si="634"/>
        <v>EA</v>
      </c>
      <c r="I2546">
        <v>0</v>
      </c>
      <c r="J2546">
        <v>0</v>
      </c>
      <c r="K2546" t="str">
        <f t="shared" si="629"/>
        <v>Y</v>
      </c>
      <c r="L2546">
        <v>0</v>
      </c>
      <c r="M2546" t="str">
        <f t="shared" si="638"/>
        <v>NIS</v>
      </c>
      <c r="O2546">
        <v>2</v>
      </c>
      <c r="P2546" t="str">
        <f t="shared" si="645"/>
        <v>Active</v>
      </c>
      <c r="Q2546" t="str">
        <f>"End Effector Attachment for ER4U Gripper"</f>
        <v>End Effector Attachment for ER4U Gripper</v>
      </c>
      <c r="S2546" t="str">
        <f>"End Effector Attachment for ER4U Gripper"</f>
        <v>End Effector Attachment for ER4U Gripper</v>
      </c>
      <c r="T2546">
        <v>0</v>
      </c>
      <c r="U2546">
        <v>25.59</v>
      </c>
      <c r="V2546">
        <v>25.11</v>
      </c>
      <c r="W2546" t="str">
        <f t="shared" si="642"/>
        <v>rob</v>
      </c>
    </row>
    <row r="2547" spans="1:23">
      <c r="A2547" t="str">
        <f t="shared" si="646"/>
        <v>MFE&amp;ST-ER4U-01</v>
      </c>
      <c r="B2547" t="str">
        <f>"00-1710-0000"</f>
        <v>00-1710-0000</v>
      </c>
      <c r="C2547" t="str">
        <f>"Teach Pendant"</f>
        <v>Teach Pendant</v>
      </c>
      <c r="D2547">
        <v>1</v>
      </c>
      <c r="E2547" t="str">
        <f t="shared" si="647"/>
        <v>Material Feeding &amp; Storage: Scorbot-ER4U Robot &amp; Storage</v>
      </c>
      <c r="F2547">
        <v>507</v>
      </c>
      <c r="G2547" t="str">
        <f t="shared" si="628"/>
        <v>Y</v>
      </c>
      <c r="H2547" t="str">
        <f t="shared" si="634"/>
        <v>EA</v>
      </c>
      <c r="I2547">
        <v>0</v>
      </c>
      <c r="J2547">
        <v>0</v>
      </c>
      <c r="K2547" t="str">
        <f t="shared" si="629"/>
        <v>Y</v>
      </c>
      <c r="L2547">
        <v>0</v>
      </c>
      <c r="M2547" t="str">
        <f t="shared" si="638"/>
        <v>NIS</v>
      </c>
      <c r="O2547">
        <v>3</v>
      </c>
      <c r="P2547" t="str">
        <f t="shared" si="645"/>
        <v>Active</v>
      </c>
      <c r="Q2547" t="str">
        <f>"Teach Pendant for USB/USB Pro Controllers"</f>
        <v>Teach Pendant for USB/USB Pro Controllers</v>
      </c>
      <c r="S2547" t="str">
        <f>"Teach Pendant for USB/USB Pro Controllers"</f>
        <v>Teach Pendant for USB/USB Pro Controllers</v>
      </c>
      <c r="T2547">
        <v>0</v>
      </c>
      <c r="U2547">
        <v>160.18</v>
      </c>
      <c r="V2547">
        <v>161.44999999999999</v>
      </c>
      <c r="W2547" t="str">
        <f t="shared" si="642"/>
        <v>rob</v>
      </c>
    </row>
    <row r="2548" spans="1:23">
      <c r="A2548" t="str">
        <f t="shared" si="646"/>
        <v>MFE&amp;ST-ER4U-01</v>
      </c>
      <c r="B2548" t="str">
        <f>"10-2104-9000"</f>
        <v>10-2104-9000</v>
      </c>
      <c r="C2548" t="str">
        <f>"Single Buffer for Slotted Table"</f>
        <v>Single Buffer for Slotted Table</v>
      </c>
      <c r="D2548">
        <v>2</v>
      </c>
      <c r="E2548" t="str">
        <f t="shared" si="647"/>
        <v>Material Feeding &amp; Storage: Scorbot-ER4U Robot &amp; Storage</v>
      </c>
      <c r="F2548">
        <v>507</v>
      </c>
      <c r="G2548" t="str">
        <f t="shared" si="628"/>
        <v>Y</v>
      </c>
      <c r="H2548" t="str">
        <f t="shared" si="634"/>
        <v>EA</v>
      </c>
      <c r="I2548">
        <v>0</v>
      </c>
      <c r="J2548">
        <v>0</v>
      </c>
      <c r="K2548" t="str">
        <f t="shared" si="629"/>
        <v>Y</v>
      </c>
      <c r="L2548">
        <v>0</v>
      </c>
      <c r="M2548" t="str">
        <f t="shared" si="638"/>
        <v>NIS</v>
      </c>
      <c r="O2548">
        <v>4</v>
      </c>
      <c r="P2548" t="str">
        <f t="shared" si="645"/>
        <v>Active</v>
      </c>
      <c r="Q2548" t="str">
        <f>"Single Buffer for Slotted Table(+height adapter)"</f>
        <v>Single Buffer for Slotted Table(+height adapter)</v>
      </c>
      <c r="S2548" t="str">
        <f>"Single Buffer for Slotted Table(+height adapter)"</f>
        <v>Single Buffer for Slotted Table(+height adapter)</v>
      </c>
      <c r="T2548">
        <v>0</v>
      </c>
      <c r="U2548">
        <v>26</v>
      </c>
      <c r="V2548">
        <v>25.49</v>
      </c>
      <c r="W2548" t="str">
        <f t="shared" si="642"/>
        <v>rob</v>
      </c>
    </row>
    <row r="2549" spans="1:23">
      <c r="A2549" t="str">
        <f t="shared" si="646"/>
        <v>MFE&amp;ST-ER4U-01</v>
      </c>
      <c r="B2549" t="str">
        <f>"10-2521-7000"</f>
        <v>10-2521-7000</v>
      </c>
      <c r="C2549" t="str">
        <f>"Pneumatic Feeder for Rectangular products"</f>
        <v>Pneumatic Feeder for Rectangular products</v>
      </c>
      <c r="D2549">
        <v>1</v>
      </c>
      <c r="E2549" t="str">
        <f t="shared" si="647"/>
        <v>Material Feeding &amp; Storage: Scorbot-ER4U Robot &amp; Storage</v>
      </c>
      <c r="F2549">
        <v>507</v>
      </c>
      <c r="G2549" t="str">
        <f t="shared" si="628"/>
        <v>Y</v>
      </c>
      <c r="H2549" t="str">
        <f t="shared" si="634"/>
        <v>EA</v>
      </c>
      <c r="I2549">
        <v>0</v>
      </c>
      <c r="J2549">
        <v>0</v>
      </c>
      <c r="K2549" t="str">
        <f t="shared" si="629"/>
        <v>Y</v>
      </c>
      <c r="L2549">
        <v>0</v>
      </c>
      <c r="M2549" t="str">
        <f t="shared" si="638"/>
        <v>NIS</v>
      </c>
      <c r="O2549">
        <v>5</v>
      </c>
      <c r="P2549" t="str">
        <f t="shared" si="645"/>
        <v>Active</v>
      </c>
      <c r="Q2549" t="str">
        <f>"Pneumatic Feeder for Rectangular Parts"</f>
        <v>Pneumatic Feeder for Rectangular Parts</v>
      </c>
      <c r="S2549" t="str">
        <f>"Pneumatic Feeder for Rectangular Parts"</f>
        <v>Pneumatic Feeder for Rectangular Parts</v>
      </c>
      <c r="T2549">
        <v>0</v>
      </c>
      <c r="U2549">
        <v>595</v>
      </c>
      <c r="V2549">
        <v>555.15</v>
      </c>
      <c r="W2549" t="str">
        <f t="shared" si="642"/>
        <v>rob</v>
      </c>
    </row>
    <row r="2550" spans="1:23">
      <c r="A2550" t="str">
        <f t="shared" si="646"/>
        <v>MFE&amp;ST-ER4U-01</v>
      </c>
      <c r="B2550" t="str">
        <f>"10-1007-4000"</f>
        <v>10-1007-4000</v>
      </c>
      <c r="C2550" t="str">
        <f>"Gravity Parts Feeder (with microswitch sensor)"</f>
        <v>Gravity Parts Feeder (with microswitch sensor)</v>
      </c>
      <c r="D2550">
        <v>2</v>
      </c>
      <c r="E2550" t="str">
        <f t="shared" si="647"/>
        <v>Material Feeding &amp; Storage: Scorbot-ER4U Robot &amp; Storage</v>
      </c>
      <c r="F2550">
        <v>507</v>
      </c>
      <c r="G2550" t="str">
        <f t="shared" si="628"/>
        <v>Y</v>
      </c>
      <c r="H2550" t="str">
        <f t="shared" si="634"/>
        <v>EA</v>
      </c>
      <c r="I2550">
        <v>0</v>
      </c>
      <c r="J2550">
        <v>0</v>
      </c>
      <c r="K2550" t="str">
        <f t="shared" si="629"/>
        <v>Y</v>
      </c>
      <c r="L2550">
        <v>0</v>
      </c>
      <c r="M2550" t="str">
        <f t="shared" si="638"/>
        <v>NIS</v>
      </c>
      <c r="O2550">
        <v>6</v>
      </c>
      <c r="P2550" t="str">
        <f t="shared" si="645"/>
        <v>Active</v>
      </c>
      <c r="Q2550" t="str">
        <f>"Gravity Parts Feeder (incl.microswitch sensor)"</f>
        <v>Gravity Parts Feeder (incl.microswitch sensor)</v>
      </c>
      <c r="S2550" t="str">
        <f>"Gravity Parts Feeder (incl.microswitch sensor)"</f>
        <v>Gravity Parts Feeder (incl.microswitch sensor)</v>
      </c>
      <c r="T2550">
        <v>0</v>
      </c>
      <c r="U2550">
        <v>148</v>
      </c>
      <c r="V2550">
        <v>148.26</v>
      </c>
      <c r="W2550" t="str">
        <f t="shared" si="642"/>
        <v>rob</v>
      </c>
    </row>
    <row r="2551" spans="1:23">
      <c r="A2551" t="str">
        <f t="shared" si="646"/>
        <v>MFE&amp;ST-ER4U-01</v>
      </c>
      <c r="B2551" t="str">
        <f>"00-1110-0000"</f>
        <v>00-1110-0000</v>
      </c>
      <c r="C2551" t="str">
        <f>"Palletizing Rack"</f>
        <v>Palletizing Rack</v>
      </c>
      <c r="D2551">
        <v>2</v>
      </c>
      <c r="E2551" t="str">
        <f t="shared" si="647"/>
        <v>Material Feeding &amp; Storage: Scorbot-ER4U Robot &amp; Storage</v>
      </c>
      <c r="F2551">
        <v>507</v>
      </c>
      <c r="G2551" t="str">
        <f t="shared" si="628"/>
        <v>Y</v>
      </c>
      <c r="H2551" t="str">
        <f t="shared" si="634"/>
        <v>EA</v>
      </c>
      <c r="I2551">
        <v>0</v>
      </c>
      <c r="J2551">
        <v>0</v>
      </c>
      <c r="K2551" t="str">
        <f t="shared" si="629"/>
        <v>Y</v>
      </c>
      <c r="L2551">
        <v>0</v>
      </c>
      <c r="M2551" t="str">
        <f t="shared" si="638"/>
        <v>NIS</v>
      </c>
      <c r="O2551">
        <v>7</v>
      </c>
      <c r="P2551" t="str">
        <f t="shared" si="645"/>
        <v>Active</v>
      </c>
      <c r="Q2551" t="str">
        <f>"Palletizing Rack (incl. Pins for creating Jigs)"</f>
        <v>Palletizing Rack (incl. Pins for creating Jigs)</v>
      </c>
      <c r="S2551" t="str">
        <f>"Palletizing Rack (incl. Pins for creating Jigs)"</f>
        <v>Palletizing Rack (incl. Pins for creating Jigs)</v>
      </c>
      <c r="T2551">
        <v>0</v>
      </c>
      <c r="U2551">
        <v>63</v>
      </c>
      <c r="V2551">
        <v>58.59</v>
      </c>
      <c r="W2551" t="str">
        <f t="shared" si="642"/>
        <v>rob</v>
      </c>
    </row>
    <row r="2552" spans="1:23">
      <c r="A2552" t="str">
        <f t="shared" si="646"/>
        <v>MFE&amp;ST-ER4U-01</v>
      </c>
      <c r="B2552" t="str">
        <f>"00-1249-0000"</f>
        <v>00-1249-0000</v>
      </c>
      <c r="C2552" t="str">
        <f>"Workbench 1500x800mm (slotted aluminum top)"</f>
        <v>Workbench 1500x800mm (slotted aluminum top)</v>
      </c>
      <c r="D2552">
        <v>1</v>
      </c>
      <c r="E2552" t="str">
        <f t="shared" si="647"/>
        <v>Material Feeding &amp; Storage: Scorbot-ER4U Robot &amp; Storage</v>
      </c>
      <c r="F2552">
        <v>507</v>
      </c>
      <c r="G2552" t="str">
        <f t="shared" si="628"/>
        <v>Y</v>
      </c>
      <c r="H2552" t="str">
        <f t="shared" si="634"/>
        <v>EA</v>
      </c>
      <c r="I2552">
        <v>0</v>
      </c>
      <c r="J2552">
        <v>0</v>
      </c>
      <c r="K2552" t="str">
        <f t="shared" si="629"/>
        <v>Y</v>
      </c>
      <c r="L2552">
        <v>0</v>
      </c>
      <c r="M2552" t="str">
        <f t="shared" si="638"/>
        <v>NIS</v>
      </c>
      <c r="O2552">
        <v>8</v>
      </c>
      <c r="P2552" t="str">
        <f t="shared" si="645"/>
        <v>Active</v>
      </c>
      <c r="Q2552" t="str">
        <f>"Workbench 1500x800mm (slotted aluminum top)"</f>
        <v>Workbench 1500x800mm (slotted aluminum top)</v>
      </c>
      <c r="S2552" t="str">
        <f>"Workbench 1500x800mm (slotted aluminum top)"</f>
        <v>Workbench 1500x800mm (slotted aluminum top)</v>
      </c>
      <c r="T2552">
        <v>0</v>
      </c>
      <c r="U2552" s="44">
        <v>1100</v>
      </c>
      <c r="V2552" s="44">
        <v>1083.57</v>
      </c>
      <c r="W2552" t="str">
        <f t="shared" si="642"/>
        <v>rob</v>
      </c>
    </row>
    <row r="2553" spans="1:23">
      <c r="A2553" t="str">
        <f t="shared" si="646"/>
        <v>MFE&amp;ST-ER4U-01</v>
      </c>
      <c r="B2553" t="str">
        <f>"10-1010-9000"</f>
        <v>10-1010-9000</v>
      </c>
      <c r="C2553" t="str">
        <f>"Adapter Mounting Plate for ER4u"</f>
        <v>Adapter Mounting Plate for ER4u</v>
      </c>
      <c r="D2553">
        <v>1</v>
      </c>
      <c r="E2553" t="str">
        <f t="shared" si="647"/>
        <v>Material Feeding &amp; Storage: Scorbot-ER4U Robot &amp; Storage</v>
      </c>
      <c r="F2553">
        <v>507</v>
      </c>
      <c r="G2553" t="str">
        <f t="shared" si="628"/>
        <v>Y</v>
      </c>
      <c r="H2553" t="str">
        <f t="shared" si="634"/>
        <v>EA</v>
      </c>
      <c r="I2553">
        <v>0</v>
      </c>
      <c r="J2553">
        <v>0</v>
      </c>
      <c r="K2553" t="str">
        <f t="shared" si="629"/>
        <v>Y</v>
      </c>
      <c r="L2553">
        <v>0</v>
      </c>
      <c r="M2553" t="str">
        <f t="shared" si="638"/>
        <v>NIS</v>
      </c>
      <c r="O2553">
        <v>9</v>
      </c>
      <c r="P2553" t="str">
        <f t="shared" si="645"/>
        <v>Active</v>
      </c>
      <c r="Q2553" t="str">
        <f>"Adapter Mounting Plate for ER4u"</f>
        <v>Adapter Mounting Plate for ER4u</v>
      </c>
      <c r="S2553" t="str">
        <f>"Adapter Mounting Plate for ER4u"</f>
        <v>Adapter Mounting Plate for ER4u</v>
      </c>
      <c r="T2553">
        <v>0</v>
      </c>
      <c r="U2553">
        <v>117</v>
      </c>
      <c r="V2553">
        <v>117.14</v>
      </c>
      <c r="W2553" t="str">
        <f t="shared" si="642"/>
        <v>rob</v>
      </c>
    </row>
    <row r="2554" spans="1:23">
      <c r="A2554" t="str">
        <f t="shared" si="646"/>
        <v>MFE&amp;ST-ER4U-01</v>
      </c>
      <c r="B2554" t="str">
        <f>"00-1260-0000"</f>
        <v>00-1260-0000</v>
      </c>
      <c r="C2554" t="str">
        <f>"PC Extension Shelf  600x800mm"</f>
        <v>PC Extension Shelf  600x800mm</v>
      </c>
      <c r="D2554">
        <v>1</v>
      </c>
      <c r="E2554" t="str">
        <f t="shared" si="647"/>
        <v>Material Feeding &amp; Storage: Scorbot-ER4U Robot &amp; Storage</v>
      </c>
      <c r="F2554">
        <v>507</v>
      </c>
      <c r="G2554" t="str">
        <f t="shared" si="628"/>
        <v>Y</v>
      </c>
      <c r="H2554" t="str">
        <f t="shared" si="634"/>
        <v>EA</v>
      </c>
      <c r="I2554">
        <v>0</v>
      </c>
      <c r="J2554">
        <v>0</v>
      </c>
      <c r="K2554" t="str">
        <f t="shared" si="629"/>
        <v>Y</v>
      </c>
      <c r="L2554">
        <v>0</v>
      </c>
      <c r="M2554" t="str">
        <f t="shared" si="638"/>
        <v>NIS</v>
      </c>
      <c r="O2554">
        <v>10</v>
      </c>
      <c r="P2554" t="str">
        <f t="shared" si="645"/>
        <v>Active</v>
      </c>
      <c r="Q2554" t="str">
        <f>"PC Extension Shelf  600x800mm"</f>
        <v>PC Extension Shelf  600x800mm</v>
      </c>
      <c r="S2554" t="str">
        <f>"PC Extension Shelf  600x800mm"</f>
        <v>PC Extension Shelf  600x800mm</v>
      </c>
      <c r="T2554">
        <v>0</v>
      </c>
      <c r="U2554">
        <v>192</v>
      </c>
      <c r="V2554">
        <v>195.4</v>
      </c>
      <c r="W2554" t="str">
        <f t="shared" si="642"/>
        <v>rob</v>
      </c>
    </row>
    <row r="2555" spans="1:23">
      <c r="A2555" t="str">
        <f t="shared" si="646"/>
        <v>MFE&amp;ST-ER4U-01</v>
      </c>
      <c r="B2555" t="str">
        <f>"50-0094-0000"</f>
        <v>50-0094-0000</v>
      </c>
      <c r="C2555" t="str">
        <f>"Pre-Engineering, Design and Testing"</f>
        <v>Pre-Engineering, Design and Testing</v>
      </c>
      <c r="D2555">
        <v>1</v>
      </c>
      <c r="E2555" t="str">
        <f t="shared" si="647"/>
        <v>Material Feeding &amp; Storage: Scorbot-ER4U Robot &amp; Storage</v>
      </c>
      <c r="F2555">
        <v>507</v>
      </c>
      <c r="G2555" t="str">
        <f t="shared" si="628"/>
        <v>Y</v>
      </c>
      <c r="H2555" t="str">
        <f>"DA"</f>
        <v>DA</v>
      </c>
      <c r="I2555">
        <v>0</v>
      </c>
      <c r="J2555">
        <v>0</v>
      </c>
      <c r="K2555" t="str">
        <f t="shared" si="629"/>
        <v>Y</v>
      </c>
      <c r="L2555">
        <v>0</v>
      </c>
      <c r="M2555" t="str">
        <f t="shared" si="638"/>
        <v>NIS</v>
      </c>
      <c r="O2555">
        <v>11</v>
      </c>
      <c r="P2555" t="str">
        <f t="shared" si="645"/>
        <v>Active</v>
      </c>
      <c r="Q2555" t="str">
        <f>"Pre-Engineering, Design and Testing"</f>
        <v>Pre-Engineering, Design and Testing</v>
      </c>
      <c r="S2555" t="str">
        <f>"Pre-Engineering, Design and Testing"</f>
        <v>Pre-Engineering, Design and Testing</v>
      </c>
      <c r="T2555">
        <v>0</v>
      </c>
      <c r="U2555">
        <v>405</v>
      </c>
      <c r="V2555">
        <v>421.2</v>
      </c>
      <c r="W2555" t="str">
        <f t="shared" si="642"/>
        <v>rob</v>
      </c>
    </row>
    <row r="2556" spans="1:23">
      <c r="A2556" t="str">
        <f t="shared" ref="A2556:A2567" si="648">"MFE&amp;ST-ER9P-01"</f>
        <v>MFE&amp;ST-ER9P-01</v>
      </c>
      <c r="B2556" t="str">
        <f>"00-0430-0000"</f>
        <v>00-0430-0000</v>
      </c>
      <c r="C2556" t="str">
        <f>"SCORBOT-ER9Pro"</f>
        <v>SCORBOT-ER9Pro</v>
      </c>
      <c r="D2556">
        <v>1</v>
      </c>
      <c r="E2556" t="str">
        <f t="shared" ref="E2556:E2567" si="649">"Material Feeding &amp; Storage: Scorbot-ER9Pro Robot &amp; Storage"</f>
        <v>Material Feeding &amp; Storage: Scorbot-ER9Pro Robot &amp; Storage</v>
      </c>
      <c r="F2556">
        <v>507</v>
      </c>
      <c r="G2556" t="str">
        <f t="shared" si="628"/>
        <v>Y</v>
      </c>
      <c r="H2556" t="str">
        <f t="shared" ref="H2556:H2566" si="650">"EA"</f>
        <v>EA</v>
      </c>
      <c r="I2556">
        <v>0</v>
      </c>
      <c r="J2556">
        <v>0</v>
      </c>
      <c r="K2556" t="str">
        <f t="shared" si="629"/>
        <v>Y</v>
      </c>
      <c r="L2556">
        <v>0</v>
      </c>
      <c r="M2556" t="str">
        <f t="shared" si="638"/>
        <v>NIS</v>
      </c>
      <c r="O2556">
        <v>1</v>
      </c>
      <c r="P2556" t="str">
        <f t="shared" si="645"/>
        <v>Active</v>
      </c>
      <c r="Q2556" t="str">
        <f>"SCORBOT-ER 9Pro (incl. USB-Pro Controller)"</f>
        <v>SCORBOT-ER 9Pro (incl. USB-Pro Controller)</v>
      </c>
      <c r="S2556" t="str">
        <f>"SCORBOT-ER 9Pro (incl. USB-Pro Controller)"</f>
        <v>SCORBOT-ER 9Pro (incl. USB-Pro Controller)</v>
      </c>
      <c r="T2556">
        <v>0</v>
      </c>
      <c r="U2556" s="44">
        <v>10900</v>
      </c>
      <c r="V2556" s="44">
        <v>11661.57</v>
      </c>
      <c r="W2556" t="str">
        <f t="shared" si="642"/>
        <v>rob</v>
      </c>
    </row>
    <row r="2557" spans="1:23">
      <c r="A2557" t="str">
        <f t="shared" si="648"/>
        <v>MFE&amp;ST-ER9P-01</v>
      </c>
      <c r="B2557" t="str">
        <f>"00-0633-0000"</f>
        <v>00-0633-0000</v>
      </c>
      <c r="C2557" t="str">
        <f>"Pneumatic Gripper for ER9-Pro"</f>
        <v>Pneumatic Gripper for ER9-Pro</v>
      </c>
      <c r="D2557">
        <v>1</v>
      </c>
      <c r="E2557" t="str">
        <f t="shared" si="649"/>
        <v>Material Feeding &amp; Storage: Scorbot-ER9Pro Robot &amp; Storage</v>
      </c>
      <c r="F2557">
        <v>507</v>
      </c>
      <c r="G2557" t="str">
        <f t="shared" si="628"/>
        <v>Y</v>
      </c>
      <c r="H2557" t="str">
        <f t="shared" si="650"/>
        <v>EA</v>
      </c>
      <c r="I2557">
        <v>0</v>
      </c>
      <c r="J2557">
        <v>0</v>
      </c>
      <c r="K2557" t="str">
        <f t="shared" si="629"/>
        <v>Y</v>
      </c>
      <c r="L2557">
        <v>0</v>
      </c>
      <c r="M2557" t="str">
        <f t="shared" si="638"/>
        <v>NIS</v>
      </c>
      <c r="O2557">
        <v>2</v>
      </c>
      <c r="P2557" t="str">
        <f t="shared" si="645"/>
        <v>Active</v>
      </c>
      <c r="Q2557" t="str">
        <f>"Pneumatic Gripper for ER 9Pro"</f>
        <v>Pneumatic Gripper for ER 9Pro</v>
      </c>
      <c r="S2557" t="str">
        <f>"Pneumatic Gripper for ER9-Pro"</f>
        <v>Pneumatic Gripper for ER9-Pro</v>
      </c>
      <c r="T2557">
        <v>0</v>
      </c>
      <c r="U2557">
        <v>630</v>
      </c>
      <c r="V2557">
        <v>624.72</v>
      </c>
      <c r="W2557" t="str">
        <f t="shared" si="642"/>
        <v>rob</v>
      </c>
    </row>
    <row r="2558" spans="1:23">
      <c r="A2558" t="str">
        <f t="shared" si="648"/>
        <v>MFE&amp;ST-ER9P-01</v>
      </c>
      <c r="B2558" t="str">
        <f>"00-1710-0000"</f>
        <v>00-1710-0000</v>
      </c>
      <c r="C2558" t="str">
        <f>"Teach Pendant"</f>
        <v>Teach Pendant</v>
      </c>
      <c r="D2558">
        <v>1</v>
      </c>
      <c r="E2558" t="str">
        <f t="shared" si="649"/>
        <v>Material Feeding &amp; Storage: Scorbot-ER9Pro Robot &amp; Storage</v>
      </c>
      <c r="F2558">
        <v>507</v>
      </c>
      <c r="G2558" t="str">
        <f t="shared" si="628"/>
        <v>Y</v>
      </c>
      <c r="H2558" t="str">
        <f t="shared" si="650"/>
        <v>EA</v>
      </c>
      <c r="I2558">
        <v>0</v>
      </c>
      <c r="J2558">
        <v>0</v>
      </c>
      <c r="K2558" t="str">
        <f t="shared" si="629"/>
        <v>Y</v>
      </c>
      <c r="L2558">
        <v>0</v>
      </c>
      <c r="M2558" t="str">
        <f t="shared" si="638"/>
        <v>NIS</v>
      </c>
      <c r="O2558">
        <v>3</v>
      </c>
      <c r="P2558" t="str">
        <f t="shared" si="645"/>
        <v>Active</v>
      </c>
      <c r="Q2558" t="str">
        <f>"Teach Pendant for USB/USB Pro Controllers"</f>
        <v>Teach Pendant for USB/USB Pro Controllers</v>
      </c>
      <c r="S2558" t="str">
        <f>"Teach Pendant for USB/USB Pro Controllers"</f>
        <v>Teach Pendant for USB/USB Pro Controllers</v>
      </c>
      <c r="T2558">
        <v>0</v>
      </c>
      <c r="U2558">
        <v>160.18</v>
      </c>
      <c r="V2558">
        <v>161.44999999999999</v>
      </c>
      <c r="W2558" t="str">
        <f t="shared" si="642"/>
        <v>rob</v>
      </c>
    </row>
    <row r="2559" spans="1:23">
      <c r="A2559" t="str">
        <f t="shared" si="648"/>
        <v>MFE&amp;ST-ER9P-01</v>
      </c>
      <c r="B2559" t="str">
        <f>"10-2104-9000"</f>
        <v>10-2104-9000</v>
      </c>
      <c r="C2559" t="str">
        <f>"Single Buffer for Slotted Table"</f>
        <v>Single Buffer for Slotted Table</v>
      </c>
      <c r="D2559">
        <v>2</v>
      </c>
      <c r="E2559" t="str">
        <f t="shared" si="649"/>
        <v>Material Feeding &amp; Storage: Scorbot-ER9Pro Robot &amp; Storage</v>
      </c>
      <c r="F2559">
        <v>507</v>
      </c>
      <c r="G2559" t="str">
        <f t="shared" si="628"/>
        <v>Y</v>
      </c>
      <c r="H2559" t="str">
        <f t="shared" si="650"/>
        <v>EA</v>
      </c>
      <c r="I2559">
        <v>0</v>
      </c>
      <c r="J2559">
        <v>0</v>
      </c>
      <c r="K2559" t="str">
        <f t="shared" si="629"/>
        <v>Y</v>
      </c>
      <c r="L2559">
        <v>0</v>
      </c>
      <c r="M2559" t="str">
        <f t="shared" si="638"/>
        <v>NIS</v>
      </c>
      <c r="O2559">
        <v>4</v>
      </c>
      <c r="P2559" t="str">
        <f t="shared" si="645"/>
        <v>Active</v>
      </c>
      <c r="Q2559" t="str">
        <f>"Single Buffer for Slotted Table(+height adapter)"</f>
        <v>Single Buffer for Slotted Table(+height adapter)</v>
      </c>
      <c r="S2559" t="str">
        <f>"Single Buffer for Slotted Table(+height adapter)"</f>
        <v>Single Buffer for Slotted Table(+height adapter)</v>
      </c>
      <c r="T2559">
        <v>0</v>
      </c>
      <c r="U2559">
        <v>26</v>
      </c>
      <c r="V2559">
        <v>25.49</v>
      </c>
      <c r="W2559" t="str">
        <f t="shared" si="642"/>
        <v>rob</v>
      </c>
    </row>
    <row r="2560" spans="1:23">
      <c r="A2560" t="str">
        <f t="shared" si="648"/>
        <v>MFE&amp;ST-ER9P-01</v>
      </c>
      <c r="B2560" t="str">
        <f>"034025"</f>
        <v>034025</v>
      </c>
      <c r="C2560" t="str">
        <f>"I/O Interface Box for Controller USB-PRO"</f>
        <v>I/O Interface Box for Controller USB-PRO</v>
      </c>
      <c r="D2560">
        <v>1</v>
      </c>
      <c r="E2560" t="str">
        <f t="shared" si="649"/>
        <v>Material Feeding &amp; Storage: Scorbot-ER9Pro Robot &amp; Storage</v>
      </c>
      <c r="F2560">
        <v>507</v>
      </c>
      <c r="G2560" t="str">
        <f t="shared" si="628"/>
        <v>Y</v>
      </c>
      <c r="H2560" t="str">
        <f t="shared" si="650"/>
        <v>EA</v>
      </c>
      <c r="I2560">
        <v>0</v>
      </c>
      <c r="J2560">
        <v>0</v>
      </c>
      <c r="K2560" t="str">
        <f t="shared" si="629"/>
        <v>Y</v>
      </c>
      <c r="L2560">
        <v>0</v>
      </c>
      <c r="M2560" t="str">
        <f t="shared" si="638"/>
        <v>NIS</v>
      </c>
      <c r="O2560">
        <v>5</v>
      </c>
      <c r="P2560" t="str">
        <f t="shared" si="645"/>
        <v>Active</v>
      </c>
      <c r="Q2560" t="str">
        <f>"I/O Interface Box for Controller USB-PRO"</f>
        <v>I/O Interface Box for Controller USB-PRO</v>
      </c>
      <c r="S2560" t="str">
        <f>"קופסת 2+Interface Box I/O כבלים לבקר USBPRO"</f>
        <v>קופסת 2+Interface Box I/O כבלים לבקר USBPRO</v>
      </c>
      <c r="T2560">
        <v>0</v>
      </c>
      <c r="U2560">
        <v>470</v>
      </c>
      <c r="V2560">
        <v>463.62</v>
      </c>
      <c r="W2560" t="str">
        <f t="shared" si="642"/>
        <v>rob</v>
      </c>
    </row>
    <row r="2561" spans="1:23">
      <c r="A2561" t="str">
        <f t="shared" si="648"/>
        <v>MFE&amp;ST-ER9P-01</v>
      </c>
      <c r="B2561" t="str">
        <f>"10-2521-7000"</f>
        <v>10-2521-7000</v>
      </c>
      <c r="C2561" t="str">
        <f>"Pneumatic Feeder for Rectangular products"</f>
        <v>Pneumatic Feeder for Rectangular products</v>
      </c>
      <c r="D2561">
        <v>1</v>
      </c>
      <c r="E2561" t="str">
        <f t="shared" si="649"/>
        <v>Material Feeding &amp; Storage: Scorbot-ER9Pro Robot &amp; Storage</v>
      </c>
      <c r="F2561">
        <v>507</v>
      </c>
      <c r="G2561" t="str">
        <f t="shared" si="628"/>
        <v>Y</v>
      </c>
      <c r="H2561" t="str">
        <f t="shared" si="650"/>
        <v>EA</v>
      </c>
      <c r="I2561">
        <v>0</v>
      </c>
      <c r="J2561">
        <v>0</v>
      </c>
      <c r="K2561" t="str">
        <f t="shared" si="629"/>
        <v>Y</v>
      </c>
      <c r="L2561">
        <v>0</v>
      </c>
      <c r="M2561" t="str">
        <f t="shared" si="638"/>
        <v>NIS</v>
      </c>
      <c r="O2561">
        <v>6</v>
      </c>
      <c r="P2561" t="str">
        <f t="shared" si="645"/>
        <v>Active</v>
      </c>
      <c r="Q2561" t="str">
        <f>"Pneumatic Feeder for Rectangular Parts"</f>
        <v>Pneumatic Feeder for Rectangular Parts</v>
      </c>
      <c r="S2561" t="str">
        <f>"Pneumatic Feeder for Rectangular Parts"</f>
        <v>Pneumatic Feeder for Rectangular Parts</v>
      </c>
      <c r="T2561">
        <v>0</v>
      </c>
      <c r="U2561">
        <v>595</v>
      </c>
      <c r="V2561">
        <v>555.15</v>
      </c>
      <c r="W2561" t="str">
        <f t="shared" si="642"/>
        <v>rob</v>
      </c>
    </row>
    <row r="2562" spans="1:23">
      <c r="A2562" t="str">
        <f t="shared" si="648"/>
        <v>MFE&amp;ST-ER9P-01</v>
      </c>
      <c r="B2562" t="str">
        <f>"10-1007-4000"</f>
        <v>10-1007-4000</v>
      </c>
      <c r="C2562" t="str">
        <f>"Gravity Parts Feeder (with microswitch sensor)"</f>
        <v>Gravity Parts Feeder (with microswitch sensor)</v>
      </c>
      <c r="D2562">
        <v>2</v>
      </c>
      <c r="E2562" t="str">
        <f t="shared" si="649"/>
        <v>Material Feeding &amp; Storage: Scorbot-ER9Pro Robot &amp; Storage</v>
      </c>
      <c r="F2562">
        <v>507</v>
      </c>
      <c r="G2562" t="str">
        <f t="shared" ref="G2562:G2625" si="651">"Y"</f>
        <v>Y</v>
      </c>
      <c r="H2562" t="str">
        <f t="shared" si="650"/>
        <v>EA</v>
      </c>
      <c r="I2562">
        <v>0</v>
      </c>
      <c r="J2562">
        <v>0</v>
      </c>
      <c r="K2562" t="str">
        <f t="shared" ref="K2562:K2625" si="652">"Y"</f>
        <v>Y</v>
      </c>
      <c r="L2562">
        <v>0</v>
      </c>
      <c r="M2562" t="str">
        <f t="shared" si="638"/>
        <v>NIS</v>
      </c>
      <c r="O2562">
        <v>7</v>
      </c>
      <c r="P2562" t="str">
        <f t="shared" si="645"/>
        <v>Active</v>
      </c>
      <c r="Q2562" t="str">
        <f>"Gravity Parts Feeder (incl.microswitch sensor)"</f>
        <v>Gravity Parts Feeder (incl.microswitch sensor)</v>
      </c>
      <c r="S2562" t="str">
        <f>"Gravity Parts Feeder (incl.microswitch sensor)"</f>
        <v>Gravity Parts Feeder (incl.microswitch sensor)</v>
      </c>
      <c r="T2562">
        <v>0</v>
      </c>
      <c r="U2562">
        <v>148</v>
      </c>
      <c r="V2562">
        <v>148.26</v>
      </c>
      <c r="W2562" t="str">
        <f t="shared" si="642"/>
        <v>rob</v>
      </c>
    </row>
    <row r="2563" spans="1:23">
      <c r="A2563" t="str">
        <f t="shared" si="648"/>
        <v>MFE&amp;ST-ER9P-01</v>
      </c>
      <c r="B2563" t="str">
        <f>"00-1110-0000"</f>
        <v>00-1110-0000</v>
      </c>
      <c r="C2563" t="str">
        <f>"Palletizing Rack"</f>
        <v>Palletizing Rack</v>
      </c>
      <c r="D2563">
        <v>2</v>
      </c>
      <c r="E2563" t="str">
        <f t="shared" si="649"/>
        <v>Material Feeding &amp; Storage: Scorbot-ER9Pro Robot &amp; Storage</v>
      </c>
      <c r="F2563">
        <v>507</v>
      </c>
      <c r="G2563" t="str">
        <f t="shared" si="651"/>
        <v>Y</v>
      </c>
      <c r="H2563" t="str">
        <f t="shared" si="650"/>
        <v>EA</v>
      </c>
      <c r="I2563">
        <v>0</v>
      </c>
      <c r="J2563">
        <v>0</v>
      </c>
      <c r="K2563" t="str">
        <f t="shared" si="652"/>
        <v>Y</v>
      </c>
      <c r="L2563">
        <v>0</v>
      </c>
      <c r="M2563" t="str">
        <f t="shared" si="638"/>
        <v>NIS</v>
      </c>
      <c r="O2563">
        <v>8</v>
      </c>
      <c r="P2563" t="str">
        <f t="shared" si="645"/>
        <v>Active</v>
      </c>
      <c r="Q2563" t="str">
        <f>"Palletizing Rack (incl. Pins for creating Jigs)"</f>
        <v>Palletizing Rack (incl. Pins for creating Jigs)</v>
      </c>
      <c r="S2563" t="str">
        <f>"Palletizing Rack (incl. Pins for creating Jigs)"</f>
        <v>Palletizing Rack (incl. Pins for creating Jigs)</v>
      </c>
      <c r="T2563">
        <v>0</v>
      </c>
      <c r="U2563">
        <v>63</v>
      </c>
      <c r="V2563">
        <v>58.59</v>
      </c>
      <c r="W2563" t="str">
        <f t="shared" si="642"/>
        <v>rob</v>
      </c>
    </row>
    <row r="2564" spans="1:23">
      <c r="A2564" t="str">
        <f t="shared" si="648"/>
        <v>MFE&amp;ST-ER9P-01</v>
      </c>
      <c r="B2564" t="str">
        <f>"00-1249-0000"</f>
        <v>00-1249-0000</v>
      </c>
      <c r="C2564" t="str">
        <f>"Workbench 1500x800mm (slotted aluminum top)"</f>
        <v>Workbench 1500x800mm (slotted aluminum top)</v>
      </c>
      <c r="D2564">
        <v>1</v>
      </c>
      <c r="E2564" t="str">
        <f t="shared" si="649"/>
        <v>Material Feeding &amp; Storage: Scorbot-ER9Pro Robot &amp; Storage</v>
      </c>
      <c r="F2564">
        <v>507</v>
      </c>
      <c r="G2564" t="str">
        <f t="shared" si="651"/>
        <v>Y</v>
      </c>
      <c r="H2564" t="str">
        <f t="shared" si="650"/>
        <v>EA</v>
      </c>
      <c r="I2564">
        <v>0</v>
      </c>
      <c r="J2564">
        <v>0</v>
      </c>
      <c r="K2564" t="str">
        <f t="shared" si="652"/>
        <v>Y</v>
      </c>
      <c r="L2564">
        <v>0</v>
      </c>
      <c r="M2564" t="str">
        <f t="shared" si="638"/>
        <v>NIS</v>
      </c>
      <c r="O2564">
        <v>9</v>
      </c>
      <c r="P2564" t="str">
        <f t="shared" si="645"/>
        <v>Active</v>
      </c>
      <c r="Q2564" t="str">
        <f>"Workbench 1500x800mm (slotted aluminum top)"</f>
        <v>Workbench 1500x800mm (slotted aluminum top)</v>
      </c>
      <c r="S2564" t="str">
        <f>"Workbench 1500x800mm (slotted aluminum top)"</f>
        <v>Workbench 1500x800mm (slotted aluminum top)</v>
      </c>
      <c r="T2564">
        <v>0</v>
      </c>
      <c r="U2564" s="44">
        <v>1100</v>
      </c>
      <c r="V2564" s="44">
        <v>1083.57</v>
      </c>
      <c r="W2564" t="str">
        <f t="shared" si="642"/>
        <v>rob</v>
      </c>
    </row>
    <row r="2565" spans="1:23">
      <c r="A2565" t="str">
        <f t="shared" si="648"/>
        <v>MFE&amp;ST-ER9P-01</v>
      </c>
      <c r="B2565" t="str">
        <f>"00-1241-0000"</f>
        <v>00-1241-0000</v>
      </c>
      <c r="C2565" t="str">
        <f>"Adapter Mounting Plate for ER9/14Pro &amp; HP3"</f>
        <v>Adapter Mounting Plate for ER9/14Pro &amp; HP3</v>
      </c>
      <c r="D2565">
        <v>1</v>
      </c>
      <c r="E2565" t="str">
        <f t="shared" si="649"/>
        <v>Material Feeding &amp; Storage: Scorbot-ER9Pro Robot &amp; Storage</v>
      </c>
      <c r="F2565">
        <v>507</v>
      </c>
      <c r="G2565" t="str">
        <f t="shared" si="651"/>
        <v>Y</v>
      </c>
      <c r="H2565" t="str">
        <f t="shared" si="650"/>
        <v>EA</v>
      </c>
      <c r="I2565">
        <v>0</v>
      </c>
      <c r="J2565">
        <v>0</v>
      </c>
      <c r="K2565" t="str">
        <f t="shared" si="652"/>
        <v>Y</v>
      </c>
      <c r="L2565">
        <v>0</v>
      </c>
      <c r="M2565" t="str">
        <f t="shared" si="638"/>
        <v>NIS</v>
      </c>
      <c r="O2565">
        <v>10</v>
      </c>
      <c r="P2565" t="str">
        <f t="shared" si="645"/>
        <v>Active</v>
      </c>
      <c r="Q2565" t="str">
        <f>"Adapter Mounting Plate for ER9/14Pro &amp; HP3"</f>
        <v>Adapter Mounting Plate for ER9/14Pro &amp; HP3</v>
      </c>
      <c r="S2565" t="str">
        <f>"Adapter Mounting Plate for ER9/14Pro &amp; HP3"</f>
        <v>Adapter Mounting Plate for ER9/14Pro &amp; HP3</v>
      </c>
      <c r="T2565">
        <v>0</v>
      </c>
      <c r="U2565">
        <v>145</v>
      </c>
      <c r="V2565">
        <v>153.93</v>
      </c>
      <c r="W2565" t="str">
        <f t="shared" si="642"/>
        <v>rob</v>
      </c>
    </row>
    <row r="2566" spans="1:23">
      <c r="A2566" t="str">
        <f t="shared" si="648"/>
        <v>MFE&amp;ST-ER9P-01</v>
      </c>
      <c r="B2566" t="str">
        <f>"00-1260-0000"</f>
        <v>00-1260-0000</v>
      </c>
      <c r="C2566" t="str">
        <f>"PC Extension Shelf  600x800mm"</f>
        <v>PC Extension Shelf  600x800mm</v>
      </c>
      <c r="D2566">
        <v>1</v>
      </c>
      <c r="E2566" t="str">
        <f t="shared" si="649"/>
        <v>Material Feeding &amp; Storage: Scorbot-ER9Pro Robot &amp; Storage</v>
      </c>
      <c r="F2566">
        <v>507</v>
      </c>
      <c r="G2566" t="str">
        <f t="shared" si="651"/>
        <v>Y</v>
      </c>
      <c r="H2566" t="str">
        <f t="shared" si="650"/>
        <v>EA</v>
      </c>
      <c r="I2566">
        <v>0</v>
      </c>
      <c r="J2566">
        <v>0</v>
      </c>
      <c r="K2566" t="str">
        <f t="shared" si="652"/>
        <v>Y</v>
      </c>
      <c r="L2566">
        <v>0</v>
      </c>
      <c r="M2566" t="str">
        <f t="shared" si="638"/>
        <v>NIS</v>
      </c>
      <c r="O2566">
        <v>11</v>
      </c>
      <c r="P2566" t="str">
        <f t="shared" si="645"/>
        <v>Active</v>
      </c>
      <c r="Q2566" t="str">
        <f>"PC Extension Shelf  600x800mm"</f>
        <v>PC Extension Shelf  600x800mm</v>
      </c>
      <c r="S2566" t="str">
        <f>"PC Extension Shelf  600x800mm"</f>
        <v>PC Extension Shelf  600x800mm</v>
      </c>
      <c r="T2566">
        <v>0</v>
      </c>
      <c r="U2566">
        <v>192</v>
      </c>
      <c r="V2566">
        <v>195.4</v>
      </c>
      <c r="W2566" t="str">
        <f t="shared" si="642"/>
        <v>rob</v>
      </c>
    </row>
    <row r="2567" spans="1:23">
      <c r="A2567" t="str">
        <f t="shared" si="648"/>
        <v>MFE&amp;ST-ER9P-01</v>
      </c>
      <c r="B2567" t="str">
        <f>"50-0094-0000"</f>
        <v>50-0094-0000</v>
      </c>
      <c r="C2567" t="str">
        <f>"Pre-Engineering, Design and Testing"</f>
        <v>Pre-Engineering, Design and Testing</v>
      </c>
      <c r="D2567">
        <v>1</v>
      </c>
      <c r="E2567" t="str">
        <f t="shared" si="649"/>
        <v>Material Feeding &amp; Storage: Scorbot-ER9Pro Robot &amp; Storage</v>
      </c>
      <c r="F2567">
        <v>507</v>
      </c>
      <c r="G2567" t="str">
        <f t="shared" si="651"/>
        <v>Y</v>
      </c>
      <c r="H2567" t="str">
        <f>"DA"</f>
        <v>DA</v>
      </c>
      <c r="I2567">
        <v>0</v>
      </c>
      <c r="J2567">
        <v>0</v>
      </c>
      <c r="K2567" t="str">
        <f t="shared" si="652"/>
        <v>Y</v>
      </c>
      <c r="L2567">
        <v>0</v>
      </c>
      <c r="M2567" t="str">
        <f t="shared" si="638"/>
        <v>NIS</v>
      </c>
      <c r="O2567">
        <v>12</v>
      </c>
      <c r="P2567" t="str">
        <f t="shared" si="645"/>
        <v>Active</v>
      </c>
      <c r="Q2567" t="str">
        <f>"Pre-Engineering, Design and Testing"</f>
        <v>Pre-Engineering, Design and Testing</v>
      </c>
      <c r="S2567" t="str">
        <f>"Pre-Engineering, Design and Testing"</f>
        <v>Pre-Engineering, Design and Testing</v>
      </c>
      <c r="T2567">
        <v>0</v>
      </c>
      <c r="U2567">
        <v>405</v>
      </c>
      <c r="V2567">
        <v>421.2</v>
      </c>
      <c r="W2567" t="str">
        <f t="shared" si="642"/>
        <v>rob</v>
      </c>
    </row>
    <row r="2568" spans="1:23">
      <c r="A2568" t="str">
        <f t="shared" ref="A2568:A2599" si="653">"MINI-FMS/CIM"</f>
        <v>MINI-FMS/CIM</v>
      </c>
      <c r="B2568" t="str">
        <f>"00-0430-0000"</f>
        <v>00-0430-0000</v>
      </c>
      <c r="C2568" t="str">
        <f>"SCORBOT-ER9Pro"</f>
        <v>SCORBOT-ER9Pro</v>
      </c>
      <c r="D2568">
        <v>1</v>
      </c>
      <c r="E2568" t="str">
        <f t="shared" ref="E2568:E2599" si="654">"FMS/CIM - Scorbot ER9Pro Robot with BenchMill&amp;BenchTurn CNC machines, Assembly&amp;QC"</f>
        <v>FMS/CIM - Scorbot ER9Pro Robot with BenchMill&amp;BenchTurn CNC machines, Assembly&amp;QC</v>
      </c>
      <c r="F2568">
        <v>502</v>
      </c>
      <c r="G2568" t="str">
        <f t="shared" si="651"/>
        <v>Y</v>
      </c>
      <c r="H2568" t="str">
        <f t="shared" ref="H2568:H2605" si="655">"EA"</f>
        <v>EA</v>
      </c>
      <c r="I2568">
        <v>0</v>
      </c>
      <c r="J2568">
        <v>0</v>
      </c>
      <c r="K2568" t="str">
        <f t="shared" si="652"/>
        <v>Y</v>
      </c>
      <c r="L2568">
        <v>0</v>
      </c>
      <c r="M2568" t="str">
        <f t="shared" si="638"/>
        <v>NIS</v>
      </c>
      <c r="O2568">
        <v>1</v>
      </c>
      <c r="P2568" t="str">
        <f t="shared" si="645"/>
        <v>Active</v>
      </c>
      <c r="Q2568" t="str">
        <f>"SCORBOT-ER 9Pro (incl. USB-Pro Controller)"</f>
        <v>SCORBOT-ER 9Pro (incl. USB-Pro Controller)</v>
      </c>
      <c r="S2568" t="str">
        <f>"SCORBOT-ER 9Pro (incl. USB-Pro Controller)"</f>
        <v>SCORBOT-ER 9Pro (incl. USB-Pro Controller)</v>
      </c>
      <c r="T2568">
        <v>0</v>
      </c>
      <c r="U2568" s="44">
        <v>10900</v>
      </c>
      <c r="V2568" s="44">
        <v>11661.57</v>
      </c>
      <c r="W2568" t="str">
        <f t="shared" si="642"/>
        <v>rob</v>
      </c>
    </row>
    <row r="2569" spans="1:23">
      <c r="A2569" t="str">
        <f t="shared" si="653"/>
        <v>MINI-FMS/CIM</v>
      </c>
      <c r="B2569" t="str">
        <f>"00-0633-0000"</f>
        <v>00-0633-0000</v>
      </c>
      <c r="C2569" t="str">
        <f>"Pneumatic Gripper for ER9-Pro"</f>
        <v>Pneumatic Gripper for ER9-Pro</v>
      </c>
      <c r="D2569">
        <v>1</v>
      </c>
      <c r="E2569" t="str">
        <f t="shared" si="654"/>
        <v>FMS/CIM - Scorbot ER9Pro Robot with BenchMill&amp;BenchTurn CNC machines, Assembly&amp;QC</v>
      </c>
      <c r="F2569">
        <v>502</v>
      </c>
      <c r="G2569" t="str">
        <f t="shared" si="651"/>
        <v>Y</v>
      </c>
      <c r="H2569" t="str">
        <f t="shared" si="655"/>
        <v>EA</v>
      </c>
      <c r="I2569">
        <v>0</v>
      </c>
      <c r="J2569">
        <v>0</v>
      </c>
      <c r="K2569" t="str">
        <f t="shared" si="652"/>
        <v>Y</v>
      </c>
      <c r="L2569">
        <v>0</v>
      </c>
      <c r="M2569" t="str">
        <f t="shared" si="638"/>
        <v>NIS</v>
      </c>
      <c r="O2569">
        <v>2</v>
      </c>
      <c r="P2569" t="str">
        <f t="shared" si="645"/>
        <v>Active</v>
      </c>
      <c r="Q2569" t="str">
        <f>"Pneumatic Gripper for ER9-Pro"</f>
        <v>Pneumatic Gripper for ER9-Pro</v>
      </c>
      <c r="S2569" t="str">
        <f>"Pneumatic Gripper for ER9-Pro"</f>
        <v>Pneumatic Gripper for ER9-Pro</v>
      </c>
      <c r="T2569">
        <v>0</v>
      </c>
      <c r="U2569">
        <v>630</v>
      </c>
      <c r="V2569">
        <v>624.72</v>
      </c>
      <c r="W2569" t="str">
        <f t="shared" si="642"/>
        <v>rob</v>
      </c>
    </row>
    <row r="2570" spans="1:23">
      <c r="A2570" t="str">
        <f t="shared" si="653"/>
        <v>MINI-FMS/CIM</v>
      </c>
      <c r="B2570" t="str">
        <f>"00-1710-0000"</f>
        <v>00-1710-0000</v>
      </c>
      <c r="C2570" t="str">
        <f>"Teach Pendant"</f>
        <v>Teach Pendant</v>
      </c>
      <c r="D2570">
        <v>1</v>
      </c>
      <c r="E2570" t="str">
        <f t="shared" si="654"/>
        <v>FMS/CIM - Scorbot ER9Pro Robot with BenchMill&amp;BenchTurn CNC machines, Assembly&amp;QC</v>
      </c>
      <c r="F2570">
        <v>502</v>
      </c>
      <c r="G2570" t="str">
        <f t="shared" si="651"/>
        <v>Y</v>
      </c>
      <c r="H2570" t="str">
        <f t="shared" si="655"/>
        <v>EA</v>
      </c>
      <c r="I2570">
        <v>0</v>
      </c>
      <c r="J2570">
        <v>0</v>
      </c>
      <c r="K2570" t="str">
        <f t="shared" si="652"/>
        <v>Y</v>
      </c>
      <c r="L2570">
        <v>0</v>
      </c>
      <c r="M2570" t="str">
        <f t="shared" si="638"/>
        <v>NIS</v>
      </c>
      <c r="O2570">
        <v>3</v>
      </c>
      <c r="P2570" t="str">
        <f t="shared" si="645"/>
        <v>Active</v>
      </c>
      <c r="Q2570" t="str">
        <f>"Teach Pendant for USB/USB Pro Controllers"</f>
        <v>Teach Pendant for USB/USB Pro Controllers</v>
      </c>
      <c r="S2570" t="str">
        <f>"Teach Pendant for USB/USB Pro Controllers"</f>
        <v>Teach Pendant for USB/USB Pro Controllers</v>
      </c>
      <c r="T2570">
        <v>0</v>
      </c>
      <c r="U2570">
        <v>160.18</v>
      </c>
      <c r="V2570">
        <v>161.44999999999999</v>
      </c>
      <c r="W2570" t="str">
        <f t="shared" si="642"/>
        <v>rob</v>
      </c>
    </row>
    <row r="2571" spans="1:23">
      <c r="A2571" t="str">
        <f t="shared" si="653"/>
        <v>MINI-FMS/CIM</v>
      </c>
      <c r="B2571" t="str">
        <f>"00-1017-0000"</f>
        <v>00-1017-0000</v>
      </c>
      <c r="C2571" t="str">
        <f>"LSB 1.8m, Belt, FM"</f>
        <v>LSB 1.8m, Belt, FM</v>
      </c>
      <c r="D2571">
        <v>1</v>
      </c>
      <c r="E2571" t="str">
        <f t="shared" si="654"/>
        <v>FMS/CIM - Scorbot ER9Pro Robot with BenchMill&amp;BenchTurn CNC machines, Assembly&amp;QC</v>
      </c>
      <c r="F2571">
        <v>502</v>
      </c>
      <c r="G2571" t="str">
        <f t="shared" si="651"/>
        <v>Y</v>
      </c>
      <c r="H2571" t="str">
        <f t="shared" si="655"/>
        <v>EA</v>
      </c>
      <c r="I2571">
        <v>0</v>
      </c>
      <c r="J2571">
        <v>0</v>
      </c>
      <c r="K2571" t="str">
        <f t="shared" si="652"/>
        <v>Y</v>
      </c>
      <c r="L2571">
        <v>0</v>
      </c>
      <c r="M2571" t="str">
        <f t="shared" si="638"/>
        <v>NIS</v>
      </c>
      <c r="O2571">
        <v>4</v>
      </c>
      <c r="P2571" t="str">
        <f t="shared" si="645"/>
        <v>Active</v>
      </c>
      <c r="Q2571" t="str">
        <f>"LSB 1.8m (Belt, Floor Mounted incl. Stand)"</f>
        <v>LSB 1.8m (Belt, Floor Mounted incl. Stand)</v>
      </c>
      <c r="S2571" t="str">
        <f>"LSB 1.8m, Belt, Floor Mounted incl. Stand"</f>
        <v>LSB 1.8m, Belt, Floor Mounted incl. Stand</v>
      </c>
      <c r="T2571">
        <v>0</v>
      </c>
      <c r="U2571" s="44">
        <v>2342.3000000000002</v>
      </c>
      <c r="V2571" s="44">
        <v>2266.2600000000002</v>
      </c>
      <c r="W2571" t="str">
        <f t="shared" si="642"/>
        <v>rob</v>
      </c>
    </row>
    <row r="2572" spans="1:23">
      <c r="A2572" t="str">
        <f t="shared" si="653"/>
        <v>MINI-FMS/CIM</v>
      </c>
      <c r="B2572" t="str">
        <f>"034025"</f>
        <v>034025</v>
      </c>
      <c r="C2572" t="str">
        <f>"I/O Interface Box for Controller USB-PRO"</f>
        <v>I/O Interface Box for Controller USB-PRO</v>
      </c>
      <c r="D2572">
        <v>1</v>
      </c>
      <c r="E2572" t="str">
        <f t="shared" si="654"/>
        <v>FMS/CIM - Scorbot ER9Pro Robot with BenchMill&amp;BenchTurn CNC machines, Assembly&amp;QC</v>
      </c>
      <c r="F2572">
        <v>502</v>
      </c>
      <c r="G2572" t="str">
        <f t="shared" si="651"/>
        <v>Y</v>
      </c>
      <c r="H2572" t="str">
        <f t="shared" si="655"/>
        <v>EA</v>
      </c>
      <c r="I2572">
        <v>0</v>
      </c>
      <c r="J2572">
        <v>0</v>
      </c>
      <c r="K2572" t="str">
        <f t="shared" si="652"/>
        <v>Y</v>
      </c>
      <c r="L2572">
        <v>0</v>
      </c>
      <c r="M2572" t="str">
        <f t="shared" si="638"/>
        <v>NIS</v>
      </c>
      <c r="O2572">
        <v>5</v>
      </c>
      <c r="P2572" t="str">
        <f t="shared" si="645"/>
        <v>Active</v>
      </c>
      <c r="Q2572" t="str">
        <f>"קופסת 2+Interface Box I/O כבלים לבקר USBPRO"</f>
        <v>קופסת 2+Interface Box I/O כבלים לבקר USBPRO</v>
      </c>
      <c r="S2572" t="str">
        <f>"קופסת 2+Interface Box I/O כבלים לבקר USBPRO"</f>
        <v>קופסת 2+Interface Box I/O כבלים לבקר USBPRO</v>
      </c>
      <c r="T2572">
        <v>0</v>
      </c>
      <c r="U2572">
        <v>470</v>
      </c>
      <c r="V2572">
        <v>463.62</v>
      </c>
      <c r="W2572" t="str">
        <f t="shared" si="642"/>
        <v>rob</v>
      </c>
    </row>
    <row r="2573" spans="1:23">
      <c r="A2573" t="str">
        <f t="shared" si="653"/>
        <v>MINI-FMS/CIM</v>
      </c>
      <c r="B2573" t="str">
        <f>"10-2521-7000"</f>
        <v>10-2521-7000</v>
      </c>
      <c r="C2573" t="str">
        <f>"Pneumatic Feeder for Rectangular products"</f>
        <v>Pneumatic Feeder for Rectangular products</v>
      </c>
      <c r="D2573">
        <v>1</v>
      </c>
      <c r="E2573" t="str">
        <f t="shared" si="654"/>
        <v>FMS/CIM - Scorbot ER9Pro Robot with BenchMill&amp;BenchTurn CNC machines, Assembly&amp;QC</v>
      </c>
      <c r="F2573">
        <v>502</v>
      </c>
      <c r="G2573" t="str">
        <f t="shared" si="651"/>
        <v>Y</v>
      </c>
      <c r="H2573" t="str">
        <f t="shared" si="655"/>
        <v>EA</v>
      </c>
      <c r="I2573">
        <v>0</v>
      </c>
      <c r="J2573">
        <v>0</v>
      </c>
      <c r="K2573" t="str">
        <f t="shared" si="652"/>
        <v>Y</v>
      </c>
      <c r="L2573">
        <v>0</v>
      </c>
      <c r="M2573" t="str">
        <f t="shared" si="638"/>
        <v>NIS</v>
      </c>
      <c r="O2573">
        <v>7</v>
      </c>
      <c r="P2573" t="str">
        <f t="shared" si="645"/>
        <v>Active</v>
      </c>
      <c r="Q2573" t="str">
        <f>"Pneumatic Feeder for Rectangular Parts"</f>
        <v>Pneumatic Feeder for Rectangular Parts</v>
      </c>
      <c r="S2573" t="str">
        <f>"Pneumatic Feeder for Rectangular Parts"</f>
        <v>Pneumatic Feeder for Rectangular Parts</v>
      </c>
      <c r="T2573">
        <v>0</v>
      </c>
      <c r="U2573">
        <v>595</v>
      </c>
      <c r="V2573">
        <v>555.15</v>
      </c>
      <c r="W2573" t="str">
        <f t="shared" si="642"/>
        <v>rob</v>
      </c>
    </row>
    <row r="2574" spans="1:23">
      <c r="A2574" t="str">
        <f t="shared" si="653"/>
        <v>MINI-FMS/CIM</v>
      </c>
      <c r="B2574" t="str">
        <f>"10-1007-4000"</f>
        <v>10-1007-4000</v>
      </c>
      <c r="C2574" t="str">
        <f>"Gravity Parts Feeder (with microswitch sensor)"</f>
        <v>Gravity Parts Feeder (with microswitch sensor)</v>
      </c>
      <c r="D2574">
        <v>1</v>
      </c>
      <c r="E2574" t="str">
        <f t="shared" si="654"/>
        <v>FMS/CIM - Scorbot ER9Pro Robot with BenchMill&amp;BenchTurn CNC machines, Assembly&amp;QC</v>
      </c>
      <c r="F2574">
        <v>502</v>
      </c>
      <c r="G2574" t="str">
        <f t="shared" si="651"/>
        <v>Y</v>
      </c>
      <c r="H2574" t="str">
        <f t="shared" si="655"/>
        <v>EA</v>
      </c>
      <c r="I2574">
        <v>0</v>
      </c>
      <c r="J2574">
        <v>0</v>
      </c>
      <c r="K2574" t="str">
        <f t="shared" si="652"/>
        <v>Y</v>
      </c>
      <c r="L2574">
        <v>0</v>
      </c>
      <c r="M2574" t="str">
        <f t="shared" si="638"/>
        <v>NIS</v>
      </c>
      <c r="O2574">
        <v>8</v>
      </c>
      <c r="P2574" t="str">
        <f t="shared" si="645"/>
        <v>Active</v>
      </c>
      <c r="Q2574" t="str">
        <f>"Gravity Parts Feeder (incl.microswitch sensor)"</f>
        <v>Gravity Parts Feeder (incl.microswitch sensor)</v>
      </c>
      <c r="S2574" t="str">
        <f>"Gravity Parts Feeder (incl.microswitch sensor)"</f>
        <v>Gravity Parts Feeder (incl.microswitch sensor)</v>
      </c>
      <c r="T2574">
        <v>0</v>
      </c>
      <c r="U2574">
        <v>148</v>
      </c>
      <c r="V2574">
        <v>148.26</v>
      </c>
      <c r="W2574" t="str">
        <f t="shared" si="642"/>
        <v>rob</v>
      </c>
    </row>
    <row r="2575" spans="1:23">
      <c r="A2575" t="str">
        <f t="shared" si="653"/>
        <v>MINI-FMS/CIM</v>
      </c>
      <c r="B2575" t="str">
        <f>"00-1110-0000"</f>
        <v>00-1110-0000</v>
      </c>
      <c r="C2575" t="str">
        <f>"Palletizing Rack"</f>
        <v>Palletizing Rack</v>
      </c>
      <c r="D2575">
        <v>2</v>
      </c>
      <c r="E2575" t="str">
        <f t="shared" si="654"/>
        <v>FMS/CIM - Scorbot ER9Pro Robot with BenchMill&amp;BenchTurn CNC machines, Assembly&amp;QC</v>
      </c>
      <c r="F2575">
        <v>502</v>
      </c>
      <c r="G2575" t="str">
        <f t="shared" si="651"/>
        <v>Y</v>
      </c>
      <c r="H2575" t="str">
        <f t="shared" si="655"/>
        <v>EA</v>
      </c>
      <c r="I2575">
        <v>0</v>
      </c>
      <c r="J2575">
        <v>0</v>
      </c>
      <c r="K2575" t="str">
        <f t="shared" si="652"/>
        <v>Y</v>
      </c>
      <c r="L2575">
        <v>0</v>
      </c>
      <c r="M2575" t="str">
        <f t="shared" si="638"/>
        <v>NIS</v>
      </c>
      <c r="O2575">
        <v>9</v>
      </c>
      <c r="P2575" t="str">
        <f t="shared" si="645"/>
        <v>Active</v>
      </c>
      <c r="Q2575" t="str">
        <f>"Palletizing Rack (incl. Pins for creating Jigs)"</f>
        <v>Palletizing Rack (incl. Pins for creating Jigs)</v>
      </c>
      <c r="S2575" t="str">
        <f>"Palletizing Rack (incl. Pins for creating Jigs)"</f>
        <v>Palletizing Rack (incl. Pins for creating Jigs)</v>
      </c>
      <c r="T2575">
        <v>0</v>
      </c>
      <c r="U2575">
        <v>63</v>
      </c>
      <c r="V2575">
        <v>58.59</v>
      </c>
      <c r="W2575" t="str">
        <f t="shared" si="642"/>
        <v>rob</v>
      </c>
    </row>
    <row r="2576" spans="1:23">
      <c r="A2576" t="str">
        <f t="shared" si="653"/>
        <v>MINI-FMS/CIM</v>
      </c>
      <c r="B2576" t="str">
        <f>"021182"</f>
        <v>021182</v>
      </c>
      <c r="C2576" t="str">
        <f>"97mm Height Adapter"</f>
        <v>97mm Height Adapter</v>
      </c>
      <c r="D2576">
        <v>2</v>
      </c>
      <c r="E2576" t="str">
        <f t="shared" si="654"/>
        <v>FMS/CIM - Scorbot ER9Pro Robot with BenchMill&amp;BenchTurn CNC machines, Assembly&amp;QC</v>
      </c>
      <c r="F2576">
        <v>502</v>
      </c>
      <c r="G2576" t="str">
        <f t="shared" si="651"/>
        <v>Y</v>
      </c>
      <c r="H2576" t="str">
        <f t="shared" si="655"/>
        <v>EA</v>
      </c>
      <c r="I2576">
        <v>0</v>
      </c>
      <c r="J2576">
        <v>0</v>
      </c>
      <c r="K2576" t="str">
        <f t="shared" si="652"/>
        <v>Y</v>
      </c>
      <c r="L2576">
        <v>0</v>
      </c>
      <c r="M2576" t="str">
        <f t="shared" si="638"/>
        <v>NIS</v>
      </c>
      <c r="O2576">
        <v>10</v>
      </c>
      <c r="P2576" t="str">
        <f t="shared" si="645"/>
        <v>Active</v>
      </c>
      <c r="Q2576" t="str">
        <f>"97mm Height Adapter -Rack 001110 on formica 28mm"</f>
        <v>97mm Height Adapter -Rack 001110 on formica 28mm</v>
      </c>
      <c r="S2576" t="str">
        <f>"97mm Height Adapter -Rack 001110 on formica 28mm"</f>
        <v>97mm Height Adapter -Rack 001110 on formica 28mm</v>
      </c>
      <c r="T2576">
        <v>0</v>
      </c>
      <c r="U2576">
        <v>7</v>
      </c>
      <c r="V2576">
        <v>5.5</v>
      </c>
      <c r="W2576" t="str">
        <f t="shared" si="642"/>
        <v>rob</v>
      </c>
    </row>
    <row r="2577" spans="1:23">
      <c r="A2577" t="str">
        <f t="shared" si="653"/>
        <v>MINI-FMS/CIM</v>
      </c>
      <c r="B2577" t="str">
        <f>"50-0093-0000"</f>
        <v>50-0093-0000</v>
      </c>
      <c r="C2577" t="str">
        <f>"Interface Programming for Intelitek CNC Machine"</f>
        <v>Interface Programming for Intelitek CNC Machine</v>
      </c>
      <c r="D2577">
        <v>1</v>
      </c>
      <c r="E2577" t="str">
        <f t="shared" si="654"/>
        <v>FMS/CIM - Scorbot ER9Pro Robot with BenchMill&amp;BenchTurn CNC machines, Assembly&amp;QC</v>
      </c>
      <c r="F2577">
        <v>502</v>
      </c>
      <c r="G2577" t="str">
        <f t="shared" si="651"/>
        <v>Y</v>
      </c>
      <c r="H2577" t="str">
        <f t="shared" si="655"/>
        <v>EA</v>
      </c>
      <c r="I2577">
        <v>0</v>
      </c>
      <c r="J2577">
        <v>0</v>
      </c>
      <c r="K2577" t="str">
        <f t="shared" si="652"/>
        <v>Y</v>
      </c>
      <c r="L2577">
        <v>0</v>
      </c>
      <c r="M2577" t="str">
        <f t="shared" si="638"/>
        <v>NIS</v>
      </c>
      <c r="O2577">
        <v>11</v>
      </c>
      <c r="P2577" t="str">
        <f t="shared" si="645"/>
        <v>Active</v>
      </c>
      <c r="Q2577" t="str">
        <f>"Interface Programming for Intelitek CNC Machine"</f>
        <v>Interface Programming for Intelitek CNC Machine</v>
      </c>
      <c r="S2577" t="str">
        <f>"Interface Programming for Intelitek CNC Machine"</f>
        <v>Interface Programming for Intelitek CNC Machine</v>
      </c>
      <c r="T2577">
        <v>0</v>
      </c>
      <c r="U2577">
        <v>0</v>
      </c>
      <c r="V2577">
        <v>0</v>
      </c>
      <c r="W2577" t="str">
        <f t="shared" si="642"/>
        <v>rob</v>
      </c>
    </row>
    <row r="2578" spans="1:23">
      <c r="A2578" t="str">
        <f t="shared" si="653"/>
        <v>MINI-FMS/CIM</v>
      </c>
      <c r="B2578" t="str">
        <f>"00-5505-0220"</f>
        <v>00-5505-0220</v>
      </c>
      <c r="C2578" t="str">
        <f>"CNC BenchMILL 6000, 220 VAC"</f>
        <v>CNC BenchMILL 6000, 220 VAC</v>
      </c>
      <c r="D2578">
        <v>1</v>
      </c>
      <c r="E2578" t="str">
        <f t="shared" si="654"/>
        <v>FMS/CIM - Scorbot ER9Pro Robot with BenchMill&amp;BenchTurn CNC machines, Assembly&amp;QC</v>
      </c>
      <c r="F2578">
        <v>502</v>
      </c>
      <c r="G2578" t="str">
        <f t="shared" si="651"/>
        <v>Y</v>
      </c>
      <c r="H2578" t="str">
        <f t="shared" si="655"/>
        <v>EA</v>
      </c>
      <c r="I2578">
        <v>0</v>
      </c>
      <c r="J2578">
        <v>0</v>
      </c>
      <c r="K2578" t="str">
        <f t="shared" si="652"/>
        <v>Y</v>
      </c>
      <c r="L2578">
        <v>0</v>
      </c>
      <c r="M2578" t="str">
        <f t="shared" si="638"/>
        <v>NIS</v>
      </c>
      <c r="O2578">
        <v>12</v>
      </c>
      <c r="P2578" t="str">
        <f t="shared" si="645"/>
        <v>Active</v>
      </c>
      <c r="Q2578" t="str">
        <f>"CNC BenchMill 6000 220V"</f>
        <v>CNC BenchMill 6000 220V</v>
      </c>
      <c r="S2578" t="str">
        <f>"CNC BenchMILL 6000, 220 VAC"</f>
        <v>CNC BenchMILL 6000, 220 VAC</v>
      </c>
      <c r="T2578">
        <v>0</v>
      </c>
      <c r="U2578" s="44">
        <v>4583</v>
      </c>
      <c r="V2578" s="44">
        <v>4458.34</v>
      </c>
      <c r="W2578" t="str">
        <f t="shared" si="642"/>
        <v>rob</v>
      </c>
    </row>
    <row r="2579" spans="1:23">
      <c r="A2579" t="str">
        <f t="shared" si="653"/>
        <v>MINI-FMS/CIM</v>
      </c>
      <c r="B2579" t="str">
        <f>"63-6001-1000"</f>
        <v>63-6001-1000</v>
      </c>
      <c r="C2579" t="str">
        <f>"-CNCMotion Simulation Sftwr for BenchMill 6000"</f>
        <v>-CNCMotion Simulation Sftwr for BenchMill 6000</v>
      </c>
      <c r="D2579">
        <v>1</v>
      </c>
      <c r="E2579" t="str">
        <f t="shared" si="654"/>
        <v>FMS/CIM - Scorbot ER9Pro Robot with BenchMill&amp;BenchTurn CNC machines, Assembly&amp;QC</v>
      </c>
      <c r="F2579">
        <v>502</v>
      </c>
      <c r="G2579" t="str">
        <f t="shared" si="651"/>
        <v>Y</v>
      </c>
      <c r="H2579" t="str">
        <f t="shared" si="655"/>
        <v>EA</v>
      </c>
      <c r="I2579">
        <v>0</v>
      </c>
      <c r="J2579">
        <v>0</v>
      </c>
      <c r="K2579" t="str">
        <f t="shared" si="652"/>
        <v>Y</v>
      </c>
      <c r="L2579">
        <v>0</v>
      </c>
      <c r="M2579" t="str">
        <f t="shared" si="638"/>
        <v>NIS</v>
      </c>
      <c r="O2579">
        <v>13</v>
      </c>
      <c r="P2579" t="str">
        <f t="shared" si="645"/>
        <v>Active</v>
      </c>
      <c r="Q2579" t="str">
        <f>"CNCMotion Sim. Sftwr, BenchMill 6000"</f>
        <v>CNCMotion Sim. Sftwr, BenchMill 6000</v>
      </c>
      <c r="S2579" t="str">
        <f>"CNCMotion Sim. Sftwr, BenchMill 6000"</f>
        <v>CNCMotion Sim. Sftwr, BenchMill 6000</v>
      </c>
      <c r="T2579">
        <v>0</v>
      </c>
      <c r="U2579">
        <v>10</v>
      </c>
      <c r="V2579">
        <v>0</v>
      </c>
      <c r="W2579" t="str">
        <f t="shared" si="642"/>
        <v>rob</v>
      </c>
    </row>
    <row r="2580" spans="1:23">
      <c r="A2580" t="str">
        <f t="shared" si="653"/>
        <v>MINI-FMS/CIM</v>
      </c>
      <c r="B2580" t="str">
        <f>"10-6723-0000"</f>
        <v>10-6723-0000</v>
      </c>
      <c r="C2580" t="str">
        <f>"spectraCAD Engraver"</f>
        <v>spectraCAD Engraver</v>
      </c>
      <c r="D2580">
        <v>1</v>
      </c>
      <c r="E2580" t="str">
        <f t="shared" si="654"/>
        <v>FMS/CIM - Scorbot ER9Pro Robot with BenchMill&amp;BenchTurn CNC machines, Assembly&amp;QC</v>
      </c>
      <c r="F2580">
        <v>502</v>
      </c>
      <c r="G2580" t="str">
        <f t="shared" si="651"/>
        <v>Y</v>
      </c>
      <c r="H2580" t="str">
        <f t="shared" si="655"/>
        <v>EA</v>
      </c>
      <c r="I2580">
        <v>0</v>
      </c>
      <c r="J2580">
        <v>0</v>
      </c>
      <c r="K2580" t="str">
        <f t="shared" si="652"/>
        <v>Y</v>
      </c>
      <c r="L2580">
        <v>0</v>
      </c>
      <c r="M2580" t="str">
        <f t="shared" si="638"/>
        <v>NIS</v>
      </c>
      <c r="O2580">
        <v>14</v>
      </c>
      <c r="P2580" t="str">
        <f>"Inactive"</f>
        <v>Inactive</v>
      </c>
      <c r="Q2580" t="str">
        <f>"spectraCAD Engraver"</f>
        <v>spectraCAD Engraver</v>
      </c>
      <c r="S2580" t="str">
        <f>"spectraCAD Engraver"</f>
        <v>spectraCAD Engraver</v>
      </c>
      <c r="T2580">
        <v>20.37</v>
      </c>
      <c r="U2580">
        <v>16.420000000000002</v>
      </c>
      <c r="V2580">
        <v>16.91</v>
      </c>
      <c r="W2580" t="str">
        <f t="shared" si="642"/>
        <v>rob</v>
      </c>
    </row>
    <row r="2581" spans="1:23">
      <c r="A2581" t="str">
        <f t="shared" si="653"/>
        <v>MINI-FMS/CIM</v>
      </c>
      <c r="B2581" t="str">
        <f>"63-6733-0000"</f>
        <v>63-6733-0000</v>
      </c>
      <c r="C2581" t="str">
        <f>"Software, SpectraCAM Milling"</f>
        <v>Software, SpectraCAM Milling</v>
      </c>
      <c r="D2581">
        <v>1</v>
      </c>
      <c r="E2581" t="str">
        <f t="shared" si="654"/>
        <v>FMS/CIM - Scorbot ER9Pro Robot with BenchMill&amp;BenchTurn CNC machines, Assembly&amp;QC</v>
      </c>
      <c r="F2581">
        <v>502</v>
      </c>
      <c r="G2581" t="str">
        <f t="shared" si="651"/>
        <v>Y</v>
      </c>
      <c r="H2581" t="str">
        <f t="shared" si="655"/>
        <v>EA</v>
      </c>
      <c r="I2581">
        <v>0</v>
      </c>
      <c r="J2581">
        <v>0</v>
      </c>
      <c r="K2581" t="str">
        <f t="shared" si="652"/>
        <v>Y</v>
      </c>
      <c r="L2581">
        <v>0</v>
      </c>
      <c r="M2581" t="str">
        <f t="shared" si="638"/>
        <v>NIS</v>
      </c>
      <c r="O2581">
        <v>15</v>
      </c>
      <c r="P2581" t="str">
        <f t="shared" ref="P2581:P2606" si="656">"Active"</f>
        <v>Active</v>
      </c>
      <c r="Q2581" t="str">
        <f>"Software, SpectraCAM Milling"</f>
        <v>Software, SpectraCAM Milling</v>
      </c>
      <c r="S2581" t="str">
        <f>"Software, SpectraCAM Milling"</f>
        <v>Software, SpectraCAM Milling</v>
      </c>
      <c r="T2581">
        <v>0</v>
      </c>
      <c r="U2581">
        <v>10</v>
      </c>
      <c r="V2581">
        <v>10.4</v>
      </c>
      <c r="W2581" t="str">
        <f t="shared" si="642"/>
        <v>rob</v>
      </c>
    </row>
    <row r="2582" spans="1:23">
      <c r="A2582" t="str">
        <f t="shared" si="653"/>
        <v>MINI-FMS/CIM</v>
      </c>
      <c r="B2582" t="str">
        <f>"10-1110-7000"</f>
        <v>10-1110-7000</v>
      </c>
      <c r="C2582" t="str">
        <f>"--Dual Axis Vise (for FMS)"</f>
        <v>--Dual Axis Vise (for FMS)</v>
      </c>
      <c r="D2582">
        <v>1</v>
      </c>
      <c r="E2582" t="str">
        <f t="shared" si="654"/>
        <v>FMS/CIM - Scorbot ER9Pro Robot with BenchMill&amp;BenchTurn CNC machines, Assembly&amp;QC</v>
      </c>
      <c r="F2582">
        <v>502</v>
      </c>
      <c r="G2582" t="str">
        <f t="shared" si="651"/>
        <v>Y</v>
      </c>
      <c r="H2582" t="str">
        <f t="shared" si="655"/>
        <v>EA</v>
      </c>
      <c r="I2582">
        <v>0</v>
      </c>
      <c r="J2582">
        <v>0</v>
      </c>
      <c r="K2582" t="str">
        <f t="shared" si="652"/>
        <v>Y</v>
      </c>
      <c r="L2582">
        <v>0</v>
      </c>
      <c r="M2582" t="str">
        <f t="shared" si="638"/>
        <v>NIS</v>
      </c>
      <c r="O2582">
        <v>16</v>
      </c>
      <c r="P2582" t="str">
        <f t="shared" si="656"/>
        <v>Active</v>
      </c>
      <c r="Q2582" t="str">
        <f>"Dual Axis Vise (BenchMill 6000/ ProMill 8000)"</f>
        <v>Dual Axis Vise (BenchMill 6000/ ProMill 8000)</v>
      </c>
      <c r="S2582" t="str">
        <f>"Dual Axis Vise (BenchMill 6000/ ProMill 8000)"</f>
        <v>Dual Axis Vise (BenchMill 6000/ ProMill 8000)</v>
      </c>
      <c r="T2582">
        <v>0</v>
      </c>
      <c r="U2582">
        <v>239</v>
      </c>
      <c r="V2582">
        <v>219.6</v>
      </c>
      <c r="W2582" t="str">
        <f t="shared" si="642"/>
        <v>rob</v>
      </c>
    </row>
    <row r="2583" spans="1:23">
      <c r="A2583" t="str">
        <f t="shared" si="653"/>
        <v>MINI-FMS/CIM</v>
      </c>
      <c r="B2583" t="str">
        <f>"10-1115-2000"</f>
        <v>10-1115-2000</v>
      </c>
      <c r="C2583" t="str">
        <f>"- Table mounted ATC package"</f>
        <v>- Table mounted ATC package</v>
      </c>
      <c r="D2583">
        <v>1</v>
      </c>
      <c r="E2583" t="str">
        <f t="shared" si="654"/>
        <v>FMS/CIM - Scorbot ER9Pro Robot with BenchMill&amp;BenchTurn CNC machines, Assembly&amp;QC</v>
      </c>
      <c r="F2583">
        <v>502</v>
      </c>
      <c r="G2583" t="str">
        <f t="shared" si="651"/>
        <v>Y</v>
      </c>
      <c r="H2583" t="str">
        <f t="shared" si="655"/>
        <v>EA</v>
      </c>
      <c r="I2583">
        <v>0</v>
      </c>
      <c r="J2583">
        <v>0</v>
      </c>
      <c r="K2583" t="str">
        <f t="shared" si="652"/>
        <v>Y</v>
      </c>
      <c r="L2583">
        <v>0</v>
      </c>
      <c r="M2583" t="str">
        <f t="shared" si="638"/>
        <v>NIS</v>
      </c>
      <c r="O2583">
        <v>17</v>
      </c>
      <c r="P2583" t="str">
        <f t="shared" si="656"/>
        <v>Active</v>
      </c>
      <c r="Q2583" t="str">
        <f>"Table mounted ATC package"</f>
        <v>Table mounted ATC package</v>
      </c>
      <c r="S2583" t="str">
        <f>"Table mounted ATC package"</f>
        <v>Table mounted ATC package</v>
      </c>
      <c r="T2583">
        <v>0</v>
      </c>
      <c r="U2583">
        <v>690</v>
      </c>
      <c r="V2583">
        <v>690.59</v>
      </c>
      <c r="W2583" t="str">
        <f t="shared" si="642"/>
        <v>rob</v>
      </c>
    </row>
    <row r="2584" spans="1:23">
      <c r="A2584" t="str">
        <f t="shared" si="653"/>
        <v>MINI-FMS/CIM</v>
      </c>
      <c r="B2584" t="str">
        <f>"10-1115-0000"</f>
        <v>10-1115-0000</v>
      </c>
      <c r="C2584" t="str">
        <f>"ER16 Collet set - 2 x (3,6,8,10mm)"</f>
        <v>ER16 Collet set - 2 x (3,6,8,10mm)</v>
      </c>
      <c r="D2584">
        <v>1</v>
      </c>
      <c r="E2584" t="str">
        <f t="shared" si="654"/>
        <v>FMS/CIM - Scorbot ER9Pro Robot with BenchMill&amp;BenchTurn CNC machines, Assembly&amp;QC</v>
      </c>
      <c r="F2584">
        <v>502</v>
      </c>
      <c r="G2584" t="str">
        <f t="shared" si="651"/>
        <v>Y</v>
      </c>
      <c r="H2584" t="str">
        <f t="shared" si="655"/>
        <v>EA</v>
      </c>
      <c r="I2584">
        <v>0</v>
      </c>
      <c r="J2584">
        <v>0</v>
      </c>
      <c r="K2584" t="str">
        <f t="shared" si="652"/>
        <v>Y</v>
      </c>
      <c r="L2584">
        <v>0</v>
      </c>
      <c r="M2584" t="str">
        <f t="shared" si="638"/>
        <v>NIS</v>
      </c>
      <c r="O2584">
        <v>18</v>
      </c>
      <c r="P2584" t="str">
        <f t="shared" si="656"/>
        <v>Active</v>
      </c>
      <c r="Q2584" t="str">
        <f>"ER16 Collet set-8 pieces(2)3,(2)6,(2)8,(2)10mm"</f>
        <v>ER16 Collet set-8 pieces(2)3,(2)6,(2)8,(2)10mm</v>
      </c>
      <c r="S2584" t="str">
        <f>"ER16 Collet set-8 pieces(2)3,(2)6,(2)8,(2)10mm"</f>
        <v>ER16 Collet set-8 pieces(2)3,(2)6,(2)8,(2)10mm</v>
      </c>
      <c r="T2584">
        <v>0</v>
      </c>
      <c r="U2584">
        <v>71</v>
      </c>
      <c r="V2584">
        <v>70.63</v>
      </c>
      <c r="W2584" t="str">
        <f t="shared" si="642"/>
        <v>rob</v>
      </c>
    </row>
    <row r="2585" spans="1:23">
      <c r="A2585" t="str">
        <f t="shared" si="653"/>
        <v>MINI-FMS/CIM</v>
      </c>
      <c r="B2585" t="str">
        <f>"10-1113-4000"</f>
        <v>10-1113-4000</v>
      </c>
      <c r="C2585" t="str">
        <f>"Metric End Mill Package(2X 3,6,8,10End,4,6 Ball)"</f>
        <v>Metric End Mill Package(2X 3,6,8,10End,4,6 Ball)</v>
      </c>
      <c r="D2585">
        <v>1</v>
      </c>
      <c r="E2585" t="str">
        <f t="shared" si="654"/>
        <v>FMS/CIM - Scorbot ER9Pro Robot with BenchMill&amp;BenchTurn CNC machines, Assembly&amp;QC</v>
      </c>
      <c r="F2585">
        <v>502</v>
      </c>
      <c r="G2585" t="str">
        <f t="shared" si="651"/>
        <v>Y</v>
      </c>
      <c r="H2585" t="str">
        <f t="shared" si="655"/>
        <v>EA</v>
      </c>
      <c r="I2585">
        <v>0</v>
      </c>
      <c r="J2585">
        <v>0</v>
      </c>
      <c r="K2585" t="str">
        <f t="shared" si="652"/>
        <v>Y</v>
      </c>
      <c r="L2585">
        <v>0</v>
      </c>
      <c r="M2585" t="str">
        <f t="shared" ref="M2585:M2648" si="657">"NIS"</f>
        <v>NIS</v>
      </c>
      <c r="O2585">
        <v>19</v>
      </c>
      <c r="P2585" t="str">
        <f t="shared" si="656"/>
        <v>Active</v>
      </c>
      <c r="Q2585" t="str">
        <f>"Metric Advanced End Mill Package 5121"</f>
        <v>Metric Advanced End Mill Package 5121</v>
      </c>
      <c r="S2585" t="str">
        <f>"Metric Advanced End Mill Package 5121"</f>
        <v>Metric Advanced End Mill Package 5121</v>
      </c>
      <c r="T2585">
        <v>0</v>
      </c>
      <c r="U2585">
        <v>55</v>
      </c>
      <c r="V2585">
        <v>50.17</v>
      </c>
      <c r="W2585" t="str">
        <f t="shared" si="642"/>
        <v>rob</v>
      </c>
    </row>
    <row r="2586" spans="1:23">
      <c r="A2586" t="str">
        <f t="shared" si="653"/>
        <v>MINI-FMS/CIM</v>
      </c>
      <c r="B2586" t="str">
        <f>"10-1111-1000"</f>
        <v>10-1111-1000</v>
      </c>
      <c r="C2586" t="str">
        <f>"- Handwheel - Manual Control"</f>
        <v>- Handwheel - Manual Control</v>
      </c>
      <c r="D2586">
        <v>1</v>
      </c>
      <c r="E2586" t="str">
        <f t="shared" si="654"/>
        <v>FMS/CIM - Scorbot ER9Pro Robot with BenchMill&amp;BenchTurn CNC machines, Assembly&amp;QC</v>
      </c>
      <c r="F2586">
        <v>502</v>
      </c>
      <c r="G2586" t="str">
        <f t="shared" si="651"/>
        <v>Y</v>
      </c>
      <c r="H2586" t="str">
        <f t="shared" si="655"/>
        <v>EA</v>
      </c>
      <c r="I2586">
        <v>0</v>
      </c>
      <c r="J2586">
        <v>0</v>
      </c>
      <c r="K2586" t="str">
        <f t="shared" si="652"/>
        <v>Y</v>
      </c>
      <c r="L2586">
        <v>0</v>
      </c>
      <c r="M2586" t="str">
        <f t="shared" si="657"/>
        <v>NIS</v>
      </c>
      <c r="O2586">
        <v>20</v>
      </c>
      <c r="P2586" t="str">
        <f t="shared" si="656"/>
        <v>Active</v>
      </c>
      <c r="Q2586" t="str">
        <f>"Jog Pendant Handwheel"</f>
        <v>Jog Pendant Handwheel</v>
      </c>
      <c r="S2586" t="str">
        <f>"Jog Pendant Handwheel"</f>
        <v>Jog Pendant Handwheel</v>
      </c>
      <c r="T2586">
        <v>0</v>
      </c>
      <c r="U2586">
        <v>235</v>
      </c>
      <c r="V2586">
        <v>235.03</v>
      </c>
      <c r="W2586" t="str">
        <f t="shared" si="642"/>
        <v>rob</v>
      </c>
    </row>
    <row r="2587" spans="1:23">
      <c r="A2587" t="str">
        <f t="shared" si="653"/>
        <v>MINI-FMS/CIM</v>
      </c>
      <c r="B2587" t="str">
        <f>"10-1113-6000"</f>
        <v>10-1113-6000</v>
      </c>
      <c r="C2587" t="str">
        <f>"- Metric Engraving Package (1,1.5,2 mm End mill)"</f>
        <v>- Metric Engraving Package (1,1.5,2 mm End mill)</v>
      </c>
      <c r="D2587">
        <v>1</v>
      </c>
      <c r="E2587" t="str">
        <f t="shared" si="654"/>
        <v>FMS/CIM - Scorbot ER9Pro Robot with BenchMill&amp;BenchTurn CNC machines, Assembly&amp;QC</v>
      </c>
      <c r="F2587">
        <v>502</v>
      </c>
      <c r="G2587" t="str">
        <f t="shared" si="651"/>
        <v>Y</v>
      </c>
      <c r="H2587" t="str">
        <f t="shared" si="655"/>
        <v>EA</v>
      </c>
      <c r="I2587">
        <v>0</v>
      </c>
      <c r="J2587">
        <v>0</v>
      </c>
      <c r="K2587" t="str">
        <f t="shared" si="652"/>
        <v>Y</v>
      </c>
      <c r="L2587">
        <v>0</v>
      </c>
      <c r="M2587" t="str">
        <f t="shared" si="657"/>
        <v>NIS</v>
      </c>
      <c r="O2587">
        <v>28</v>
      </c>
      <c r="P2587" t="str">
        <f t="shared" si="656"/>
        <v>Active</v>
      </c>
      <c r="Q2587" t="str">
        <f>"Metric Engraving Package 5711"</f>
        <v>Metric Engraving Package 5711</v>
      </c>
      <c r="S2587" t="str">
        <f>"Metric Engraving Package 5711"</f>
        <v>Metric Engraving Package 5711</v>
      </c>
      <c r="T2587">
        <v>0</v>
      </c>
      <c r="U2587">
        <v>41</v>
      </c>
      <c r="V2587">
        <v>37.909999999999997</v>
      </c>
      <c r="W2587" t="str">
        <f t="shared" si="642"/>
        <v>rob</v>
      </c>
    </row>
    <row r="2588" spans="1:23">
      <c r="A2588" t="str">
        <f t="shared" si="653"/>
        <v>MINI-FMS/CIM</v>
      </c>
      <c r="B2588" t="str">
        <f>"113034"</f>
        <v>113034</v>
      </c>
      <c r="C2588" t="str">
        <f>"Raw Material - Perspex Block"</f>
        <v>Raw Material - Perspex Block</v>
      </c>
      <c r="D2588">
        <v>50</v>
      </c>
      <c r="E2588" t="str">
        <f t="shared" si="654"/>
        <v>FMS/CIM - Scorbot ER9Pro Robot with BenchMill&amp;BenchTurn CNC machines, Assembly&amp;QC</v>
      </c>
      <c r="F2588">
        <v>502</v>
      </c>
      <c r="G2588" t="str">
        <f t="shared" si="651"/>
        <v>Y</v>
      </c>
      <c r="H2588" t="str">
        <f t="shared" si="655"/>
        <v>EA</v>
      </c>
      <c r="I2588">
        <v>0</v>
      </c>
      <c r="J2588">
        <v>0</v>
      </c>
      <c r="K2588" t="str">
        <f t="shared" si="652"/>
        <v>Y</v>
      </c>
      <c r="L2588">
        <v>0</v>
      </c>
      <c r="M2588" t="str">
        <f t="shared" si="657"/>
        <v>NIS</v>
      </c>
      <c r="O2588">
        <v>31</v>
      </c>
      <c r="P2588" t="str">
        <f t="shared" si="656"/>
        <v>Active</v>
      </c>
      <c r="Q2588" t="str">
        <f>"Raw Material Stock - Perspex Block"</f>
        <v>Raw Material Stock - Perspex Block</v>
      </c>
      <c r="S2588" t="str">
        <f>"Raw Material Stock - Perspex Block"</f>
        <v>Raw Material Stock - Perspex Block</v>
      </c>
      <c r="T2588">
        <v>0</v>
      </c>
      <c r="U2588">
        <v>1.1000000000000001</v>
      </c>
      <c r="V2588">
        <v>1.0900000000000001</v>
      </c>
      <c r="W2588" t="str">
        <f t="shared" si="642"/>
        <v>rob</v>
      </c>
    </row>
    <row r="2589" spans="1:23">
      <c r="A2589" t="str">
        <f t="shared" si="653"/>
        <v>MINI-FMS/CIM</v>
      </c>
      <c r="B2589" t="str">
        <f>"50-0093-0000"</f>
        <v>50-0093-0000</v>
      </c>
      <c r="C2589" t="str">
        <f>"Interface Programming for Intelitek CNC Machine"</f>
        <v>Interface Programming for Intelitek CNC Machine</v>
      </c>
      <c r="D2589">
        <v>1</v>
      </c>
      <c r="E2589" t="str">
        <f t="shared" si="654"/>
        <v>FMS/CIM - Scorbot ER9Pro Robot with BenchMill&amp;BenchTurn CNC machines, Assembly&amp;QC</v>
      </c>
      <c r="F2589">
        <v>502</v>
      </c>
      <c r="G2589" t="str">
        <f t="shared" si="651"/>
        <v>Y</v>
      </c>
      <c r="H2589" t="str">
        <f t="shared" si="655"/>
        <v>EA</v>
      </c>
      <c r="I2589">
        <v>0</v>
      </c>
      <c r="J2589">
        <v>0</v>
      </c>
      <c r="K2589" t="str">
        <f t="shared" si="652"/>
        <v>Y</v>
      </c>
      <c r="L2589">
        <v>0</v>
      </c>
      <c r="M2589" t="str">
        <f t="shared" si="657"/>
        <v>NIS</v>
      </c>
      <c r="O2589">
        <v>32</v>
      </c>
      <c r="P2589" t="str">
        <f t="shared" si="656"/>
        <v>Active</v>
      </c>
      <c r="Q2589" t="str">
        <f>"Interface Programming for Intelitek CNC Machine"</f>
        <v>Interface Programming for Intelitek CNC Machine</v>
      </c>
      <c r="S2589" t="str">
        <f>"Interface Programming for Intelitek CNC Machine"</f>
        <v>Interface Programming for Intelitek CNC Machine</v>
      </c>
      <c r="T2589">
        <v>0</v>
      </c>
      <c r="U2589">
        <v>0</v>
      </c>
      <c r="V2589">
        <v>0</v>
      </c>
      <c r="W2589" t="str">
        <f t="shared" si="642"/>
        <v>rob</v>
      </c>
    </row>
    <row r="2590" spans="1:23">
      <c r="A2590" t="str">
        <f t="shared" si="653"/>
        <v>MINI-FMS/CIM</v>
      </c>
      <c r="B2590" t="str">
        <f>"00-5504-0220"</f>
        <v>00-5504-0220</v>
      </c>
      <c r="C2590" t="str">
        <f>"CNC BenchTurn 7000 220V"</f>
        <v>CNC BenchTurn 7000 220V</v>
      </c>
      <c r="D2590">
        <v>1</v>
      </c>
      <c r="E2590" t="str">
        <f t="shared" si="654"/>
        <v>FMS/CIM - Scorbot ER9Pro Robot with BenchMill&amp;BenchTurn CNC machines, Assembly&amp;QC</v>
      </c>
      <c r="F2590">
        <v>502</v>
      </c>
      <c r="G2590" t="str">
        <f t="shared" si="651"/>
        <v>Y</v>
      </c>
      <c r="H2590" t="str">
        <f t="shared" si="655"/>
        <v>EA</v>
      </c>
      <c r="I2590">
        <v>0</v>
      </c>
      <c r="J2590">
        <v>0</v>
      </c>
      <c r="K2590" t="str">
        <f t="shared" si="652"/>
        <v>Y</v>
      </c>
      <c r="L2590">
        <v>0</v>
      </c>
      <c r="M2590" t="str">
        <f t="shared" si="657"/>
        <v>NIS</v>
      </c>
      <c r="O2590">
        <v>33</v>
      </c>
      <c r="P2590" t="str">
        <f t="shared" si="656"/>
        <v>Active</v>
      </c>
      <c r="Q2590" t="str">
        <f>"CNC BenchTurn 7000 220V"</f>
        <v>CNC BenchTurn 7000 220V</v>
      </c>
      <c r="S2590" t="str">
        <f>"CNC BenchTurn 7000 220V"</f>
        <v>CNC BenchTurn 7000 220V</v>
      </c>
      <c r="T2590">
        <v>0</v>
      </c>
      <c r="U2590" s="44">
        <v>4600</v>
      </c>
      <c r="V2590" s="44">
        <v>4551.93</v>
      </c>
      <c r="W2590" t="str">
        <f t="shared" si="642"/>
        <v>rob</v>
      </c>
    </row>
    <row r="2591" spans="1:23">
      <c r="A2591" t="str">
        <f t="shared" si="653"/>
        <v>MINI-FMS/CIM</v>
      </c>
      <c r="B2591" t="str">
        <f>"10-1110-5000"</f>
        <v>10-1110-5000</v>
      </c>
      <c r="C2591" t="str">
        <f>"-- Pneumatic Shield (BenchTurn 7000 for FMS))"</f>
        <v>-- Pneumatic Shield (BenchTurn 7000 for FMS))</v>
      </c>
      <c r="D2591">
        <v>1</v>
      </c>
      <c r="E2591" t="str">
        <f t="shared" si="654"/>
        <v>FMS/CIM - Scorbot ER9Pro Robot with BenchMill&amp;BenchTurn CNC machines, Assembly&amp;QC</v>
      </c>
      <c r="F2591">
        <v>502</v>
      </c>
      <c r="G2591" t="str">
        <f t="shared" si="651"/>
        <v>Y</v>
      </c>
      <c r="H2591" t="str">
        <f t="shared" si="655"/>
        <v>EA</v>
      </c>
      <c r="I2591">
        <v>0</v>
      </c>
      <c r="J2591">
        <v>0</v>
      </c>
      <c r="K2591" t="str">
        <f t="shared" si="652"/>
        <v>Y</v>
      </c>
      <c r="L2591">
        <v>0</v>
      </c>
      <c r="M2591" t="str">
        <f t="shared" si="657"/>
        <v>NIS</v>
      </c>
      <c r="O2591">
        <v>34</v>
      </c>
      <c r="P2591" t="str">
        <f t="shared" si="656"/>
        <v>Active</v>
      </c>
      <c r="Q2591" t="str">
        <f>"Pneumatic Shield with Sensors (BenchTurn 7000)"</f>
        <v>Pneumatic Shield with Sensors (BenchTurn 7000)</v>
      </c>
      <c r="S2591" t="str">
        <f>"Pneumatic Shield with Sensors (BenchTurn 7000)"</f>
        <v>Pneumatic Shield with Sensors (BenchTurn 7000)</v>
      </c>
      <c r="T2591">
        <v>0</v>
      </c>
      <c r="U2591">
        <v>144</v>
      </c>
      <c r="V2591">
        <v>128.55000000000001</v>
      </c>
      <c r="W2591" t="str">
        <f t="shared" si="642"/>
        <v>rob</v>
      </c>
    </row>
    <row r="2592" spans="1:23">
      <c r="A2592" t="str">
        <f t="shared" si="653"/>
        <v>MINI-FMS/CIM</v>
      </c>
      <c r="B2592" t="str">
        <f>"63-6743-0000"</f>
        <v>63-6743-0000</v>
      </c>
      <c r="C2592" t="str">
        <f>"Software, SpectraCAM Turning"</f>
        <v>Software, SpectraCAM Turning</v>
      </c>
      <c r="D2592">
        <v>1</v>
      </c>
      <c r="E2592" t="str">
        <f t="shared" si="654"/>
        <v>FMS/CIM - Scorbot ER9Pro Robot with BenchMill&amp;BenchTurn CNC machines, Assembly&amp;QC</v>
      </c>
      <c r="F2592">
        <v>502</v>
      </c>
      <c r="G2592" t="str">
        <f t="shared" si="651"/>
        <v>Y</v>
      </c>
      <c r="H2592" t="str">
        <f t="shared" si="655"/>
        <v>EA</v>
      </c>
      <c r="I2592">
        <v>0</v>
      </c>
      <c r="J2592">
        <v>0</v>
      </c>
      <c r="K2592" t="str">
        <f t="shared" si="652"/>
        <v>Y</v>
      </c>
      <c r="L2592">
        <v>0</v>
      </c>
      <c r="M2592" t="str">
        <f t="shared" si="657"/>
        <v>NIS</v>
      </c>
      <c r="O2592">
        <v>35</v>
      </c>
      <c r="P2592" t="str">
        <f t="shared" si="656"/>
        <v>Active</v>
      </c>
      <c r="Q2592" t="str">
        <f>"Software, SpectraCAM Turning"</f>
        <v>Software, SpectraCAM Turning</v>
      </c>
      <c r="S2592" t="str">
        <f>"Software, SpectraCAM Turning"</f>
        <v>Software, SpectraCAM Turning</v>
      </c>
      <c r="T2592">
        <v>0</v>
      </c>
      <c r="U2592">
        <v>10</v>
      </c>
      <c r="V2592">
        <v>10.4</v>
      </c>
      <c r="W2592" t="str">
        <f t="shared" si="642"/>
        <v>rob</v>
      </c>
    </row>
    <row r="2593" spans="1:23">
      <c r="A2593" t="str">
        <f t="shared" si="653"/>
        <v>MINI-FMS/CIM</v>
      </c>
      <c r="B2593" t="str">
        <f>"10-1110-9000"</f>
        <v>10-1110-9000</v>
      </c>
      <c r="C2593" t="str">
        <f>"-- Pneumatic Chuck (BenchTurn 7000 for FMS)"</f>
        <v>-- Pneumatic Chuck (BenchTurn 7000 for FMS)</v>
      </c>
      <c r="D2593">
        <v>1</v>
      </c>
      <c r="E2593" t="str">
        <f t="shared" si="654"/>
        <v>FMS/CIM - Scorbot ER9Pro Robot with BenchMill&amp;BenchTurn CNC machines, Assembly&amp;QC</v>
      </c>
      <c r="F2593">
        <v>502</v>
      </c>
      <c r="G2593" t="str">
        <f t="shared" si="651"/>
        <v>Y</v>
      </c>
      <c r="H2593" t="str">
        <f t="shared" si="655"/>
        <v>EA</v>
      </c>
      <c r="I2593">
        <v>0</v>
      </c>
      <c r="J2593">
        <v>0</v>
      </c>
      <c r="K2593" t="str">
        <f t="shared" si="652"/>
        <v>Y</v>
      </c>
      <c r="L2593">
        <v>0</v>
      </c>
      <c r="M2593" t="str">
        <f t="shared" si="657"/>
        <v>NIS</v>
      </c>
      <c r="O2593">
        <v>36</v>
      </c>
      <c r="P2593" t="str">
        <f t="shared" si="656"/>
        <v>Active</v>
      </c>
      <c r="Q2593" t="str">
        <f>"Pneumatic Chuck (BenchTurn 7000)"</f>
        <v>Pneumatic Chuck (BenchTurn 7000)</v>
      </c>
      <c r="S2593" t="str">
        <f>"Pneumatic Chuck (BenchTurn 7000)"</f>
        <v>Pneumatic Chuck (BenchTurn 7000)</v>
      </c>
      <c r="T2593">
        <v>0</v>
      </c>
      <c r="U2593">
        <v>639</v>
      </c>
      <c r="V2593">
        <v>569.88</v>
      </c>
      <c r="W2593" t="str">
        <f t="shared" si="642"/>
        <v>rob</v>
      </c>
    </row>
    <row r="2594" spans="1:23">
      <c r="A2594" t="str">
        <f t="shared" si="653"/>
        <v>MINI-FMS/CIM</v>
      </c>
      <c r="B2594" t="str">
        <f>"63-7001-1000"</f>
        <v>63-7001-1000</v>
      </c>
      <c r="C2594" t="str">
        <f>"-CNCMotion for BenchTurn 7000"</f>
        <v>-CNCMotion for BenchTurn 7000</v>
      </c>
      <c r="D2594">
        <v>1</v>
      </c>
      <c r="E2594" t="str">
        <f t="shared" si="654"/>
        <v>FMS/CIM - Scorbot ER9Pro Robot with BenchMill&amp;BenchTurn CNC machines, Assembly&amp;QC</v>
      </c>
      <c r="F2594">
        <v>502</v>
      </c>
      <c r="G2594" t="str">
        <f t="shared" si="651"/>
        <v>Y</v>
      </c>
      <c r="H2594" t="str">
        <f t="shared" si="655"/>
        <v>EA</v>
      </c>
      <c r="I2594">
        <v>0</v>
      </c>
      <c r="J2594">
        <v>0</v>
      </c>
      <c r="K2594" t="str">
        <f t="shared" si="652"/>
        <v>Y</v>
      </c>
      <c r="L2594">
        <v>0</v>
      </c>
      <c r="M2594" t="str">
        <f t="shared" si="657"/>
        <v>NIS</v>
      </c>
      <c r="O2594">
        <v>37</v>
      </c>
      <c r="P2594" t="str">
        <f t="shared" si="656"/>
        <v>Active</v>
      </c>
      <c r="Q2594" t="str">
        <f>"CNCMotion Sim. Sftwr, BenchTurn 7000"</f>
        <v>CNCMotion Sim. Sftwr, BenchTurn 7000</v>
      </c>
      <c r="S2594" t="str">
        <f>"CNCMotion Sim. Sftwr, BenchTurn 7000"</f>
        <v>CNCMotion Sim. Sftwr, BenchTurn 7000</v>
      </c>
      <c r="T2594">
        <v>0</v>
      </c>
      <c r="U2594">
        <v>10</v>
      </c>
      <c r="V2594">
        <v>0</v>
      </c>
      <c r="W2594" t="str">
        <f t="shared" ref="W2594:W2657" si="658">"rob"</f>
        <v>rob</v>
      </c>
    </row>
    <row r="2595" spans="1:23">
      <c r="A2595" t="str">
        <f t="shared" si="653"/>
        <v>MINI-FMS/CIM</v>
      </c>
      <c r="B2595" t="str">
        <f>"10-1110-1000"</f>
        <v>10-1110-1000</v>
      </c>
      <c r="C2595" t="str">
        <f>"10 x 10mm cutter tool holder"</f>
        <v>10 x 10mm cutter tool holder</v>
      </c>
      <c r="D2595">
        <v>1</v>
      </c>
      <c r="E2595" t="str">
        <f t="shared" si="654"/>
        <v>FMS/CIM - Scorbot ER9Pro Robot with BenchMill&amp;BenchTurn CNC machines, Assembly&amp;QC</v>
      </c>
      <c r="F2595">
        <v>502</v>
      </c>
      <c r="G2595" t="str">
        <f t="shared" si="651"/>
        <v>Y</v>
      </c>
      <c r="H2595" t="str">
        <f t="shared" si="655"/>
        <v>EA</v>
      </c>
      <c r="I2595">
        <v>0</v>
      </c>
      <c r="J2595">
        <v>0</v>
      </c>
      <c r="K2595" t="str">
        <f t="shared" si="652"/>
        <v>Y</v>
      </c>
      <c r="L2595">
        <v>0</v>
      </c>
      <c r="M2595" t="str">
        <f t="shared" si="657"/>
        <v>NIS</v>
      </c>
      <c r="O2595">
        <v>38</v>
      </c>
      <c r="P2595" t="str">
        <f t="shared" si="656"/>
        <v>Active</v>
      </c>
      <c r="Q2595" t="str">
        <f>"10x10mm TiN coated cutter set (replaceable tip)"</f>
        <v>10x10mm TiN coated cutter set (replaceable tip)</v>
      </c>
      <c r="S2595" t="str">
        <f>"10x10mm TiN coated cutter set (replaceable tip)"</f>
        <v>10x10mm TiN coated cutter set (replaceable tip)</v>
      </c>
      <c r="T2595">
        <v>0</v>
      </c>
      <c r="U2595">
        <v>65</v>
      </c>
      <c r="V2595">
        <v>65.540000000000006</v>
      </c>
      <c r="W2595" t="str">
        <f t="shared" si="658"/>
        <v>rob</v>
      </c>
    </row>
    <row r="2596" spans="1:23">
      <c r="A2596" t="str">
        <f t="shared" si="653"/>
        <v>MINI-FMS/CIM</v>
      </c>
      <c r="B2596" t="str">
        <f>"10-1110-2000"</f>
        <v>10-1110-2000</v>
      </c>
      <c r="C2596" t="str">
        <f>"TiN coated tip for 011101"</f>
        <v>TiN coated tip for 011101</v>
      </c>
      <c r="D2596">
        <v>1</v>
      </c>
      <c r="E2596" t="str">
        <f t="shared" si="654"/>
        <v>FMS/CIM - Scorbot ER9Pro Robot with BenchMill&amp;BenchTurn CNC machines, Assembly&amp;QC</v>
      </c>
      <c r="F2596">
        <v>502</v>
      </c>
      <c r="G2596" t="str">
        <f t="shared" si="651"/>
        <v>Y</v>
      </c>
      <c r="H2596" t="str">
        <f t="shared" si="655"/>
        <v>EA</v>
      </c>
      <c r="I2596">
        <v>0</v>
      </c>
      <c r="J2596">
        <v>0</v>
      </c>
      <c r="K2596" t="str">
        <f t="shared" si="652"/>
        <v>Y</v>
      </c>
      <c r="L2596">
        <v>0</v>
      </c>
      <c r="M2596" t="str">
        <f t="shared" si="657"/>
        <v>NIS</v>
      </c>
      <c r="O2596">
        <v>39</v>
      </c>
      <c r="P2596" t="str">
        <f t="shared" si="656"/>
        <v>Active</v>
      </c>
      <c r="Q2596" t="str">
        <f>"TiN coated tip for 011101"</f>
        <v>TiN coated tip for 011101</v>
      </c>
      <c r="S2596" t="str">
        <f>"TiN coated tip for 011101"</f>
        <v>TiN coated tip for 011101</v>
      </c>
      <c r="T2596">
        <v>0</v>
      </c>
      <c r="U2596">
        <v>42</v>
      </c>
      <c r="V2596">
        <v>41.71</v>
      </c>
      <c r="W2596" t="str">
        <f t="shared" si="658"/>
        <v>rob</v>
      </c>
    </row>
    <row r="2597" spans="1:23">
      <c r="A2597" t="str">
        <f t="shared" si="653"/>
        <v>MINI-FMS/CIM</v>
      </c>
      <c r="B2597" t="str">
        <f>"10-1106-6000"</f>
        <v>10-1106-6000</v>
      </c>
      <c r="C2597" t="str">
        <f>"- Rolling center"</f>
        <v>- Rolling center</v>
      </c>
      <c r="D2597">
        <v>1</v>
      </c>
      <c r="E2597" t="str">
        <f t="shared" si="654"/>
        <v>FMS/CIM - Scorbot ER9Pro Robot with BenchMill&amp;BenchTurn CNC machines, Assembly&amp;QC</v>
      </c>
      <c r="F2597">
        <v>502</v>
      </c>
      <c r="G2597" t="str">
        <f t="shared" si="651"/>
        <v>Y</v>
      </c>
      <c r="H2597" t="str">
        <f t="shared" si="655"/>
        <v>EA</v>
      </c>
      <c r="I2597">
        <v>0</v>
      </c>
      <c r="J2597">
        <v>0</v>
      </c>
      <c r="K2597" t="str">
        <f t="shared" si="652"/>
        <v>Y</v>
      </c>
      <c r="L2597">
        <v>0</v>
      </c>
      <c r="M2597" t="str">
        <f t="shared" si="657"/>
        <v>NIS</v>
      </c>
      <c r="O2597">
        <v>40</v>
      </c>
      <c r="P2597" t="str">
        <f t="shared" si="656"/>
        <v>Active</v>
      </c>
      <c r="Q2597" t="str">
        <f>"Rolling center"</f>
        <v>Rolling center</v>
      </c>
      <c r="S2597" t="str">
        <f>"Rolling center"</f>
        <v>Rolling center</v>
      </c>
      <c r="T2597">
        <v>0</v>
      </c>
      <c r="U2597">
        <v>23.42</v>
      </c>
      <c r="V2597">
        <v>23.55</v>
      </c>
      <c r="W2597" t="str">
        <f t="shared" si="658"/>
        <v>rob</v>
      </c>
    </row>
    <row r="2598" spans="1:23">
      <c r="A2598" t="str">
        <f t="shared" si="653"/>
        <v>MINI-FMS/CIM</v>
      </c>
      <c r="B2598" t="str">
        <f>"10-1105-7000"</f>
        <v>10-1105-7000</v>
      </c>
      <c r="C2598" t="str">
        <f>"Drill Chuck for Tailstock"</f>
        <v>Drill Chuck for Tailstock</v>
      </c>
      <c r="D2598">
        <v>1</v>
      </c>
      <c r="E2598" t="str">
        <f t="shared" si="654"/>
        <v>FMS/CIM - Scorbot ER9Pro Robot with BenchMill&amp;BenchTurn CNC machines, Assembly&amp;QC</v>
      </c>
      <c r="F2598">
        <v>502</v>
      </c>
      <c r="G2598" t="str">
        <f t="shared" si="651"/>
        <v>Y</v>
      </c>
      <c r="H2598" t="str">
        <f t="shared" si="655"/>
        <v>EA</v>
      </c>
      <c r="I2598">
        <v>0</v>
      </c>
      <c r="J2598">
        <v>0</v>
      </c>
      <c r="K2598" t="str">
        <f t="shared" si="652"/>
        <v>Y</v>
      </c>
      <c r="L2598">
        <v>0</v>
      </c>
      <c r="M2598" t="str">
        <f t="shared" si="657"/>
        <v>NIS</v>
      </c>
      <c r="O2598">
        <v>41</v>
      </c>
      <c r="P2598" t="str">
        <f t="shared" si="656"/>
        <v>Active</v>
      </c>
      <c r="Q2598" t="str">
        <f>"Tailstock extender MT2 13mm tailstock chuck"</f>
        <v>Tailstock extender MT2 13mm tailstock chuck</v>
      </c>
      <c r="S2598" t="str">
        <f>"Drill Chuck for Tailstock MT2 13mm"</f>
        <v>Drill Chuck for Tailstock MT2 13mm</v>
      </c>
      <c r="T2598">
        <v>0</v>
      </c>
      <c r="U2598">
        <v>21.07</v>
      </c>
      <c r="V2598">
        <v>23.52</v>
      </c>
      <c r="W2598" t="str">
        <f t="shared" si="658"/>
        <v>rob</v>
      </c>
    </row>
    <row r="2599" spans="1:23">
      <c r="A2599" t="str">
        <f t="shared" si="653"/>
        <v>MINI-FMS/CIM</v>
      </c>
      <c r="B2599" t="str">
        <f>"10-1111-1000"</f>
        <v>10-1111-1000</v>
      </c>
      <c r="C2599" t="str">
        <f>"- Handwheel - Manual Control"</f>
        <v>- Handwheel - Manual Control</v>
      </c>
      <c r="D2599">
        <v>1</v>
      </c>
      <c r="E2599" t="str">
        <f t="shared" si="654"/>
        <v>FMS/CIM - Scorbot ER9Pro Robot with BenchMill&amp;BenchTurn CNC machines, Assembly&amp;QC</v>
      </c>
      <c r="F2599">
        <v>502</v>
      </c>
      <c r="G2599" t="str">
        <f t="shared" si="651"/>
        <v>Y</v>
      </c>
      <c r="H2599" t="str">
        <f t="shared" si="655"/>
        <v>EA</v>
      </c>
      <c r="I2599">
        <v>0</v>
      </c>
      <c r="J2599">
        <v>0</v>
      </c>
      <c r="K2599" t="str">
        <f t="shared" si="652"/>
        <v>Y</v>
      </c>
      <c r="L2599">
        <v>0</v>
      </c>
      <c r="M2599" t="str">
        <f t="shared" si="657"/>
        <v>NIS</v>
      </c>
      <c r="O2599">
        <v>42</v>
      </c>
      <c r="P2599" t="str">
        <f t="shared" si="656"/>
        <v>Active</v>
      </c>
      <c r="Q2599" t="str">
        <f>"Jog Pendant Handwheel"</f>
        <v>Jog Pendant Handwheel</v>
      </c>
      <c r="S2599" t="str">
        <f>"Jog Pendant Handwheel"</f>
        <v>Jog Pendant Handwheel</v>
      </c>
      <c r="T2599">
        <v>0</v>
      </c>
      <c r="U2599">
        <v>235</v>
      </c>
      <c r="V2599">
        <v>235.03</v>
      </c>
      <c r="W2599" t="str">
        <f t="shared" si="658"/>
        <v>rob</v>
      </c>
    </row>
    <row r="2600" spans="1:23">
      <c r="A2600" t="str">
        <f t="shared" ref="A2600:A2620" si="659">"MINI-FMS/CIM"</f>
        <v>MINI-FMS/CIM</v>
      </c>
      <c r="B2600" t="str">
        <f>"112496"</f>
        <v>112496</v>
      </c>
      <c r="C2600" t="str">
        <f>"Raw Material - Brass  Rod"</f>
        <v>Raw Material - Brass  Rod</v>
      </c>
      <c r="D2600">
        <v>50</v>
      </c>
      <c r="E2600" t="str">
        <f t="shared" ref="E2600:E2620" si="660">"FMS/CIM - Scorbot ER9Pro Robot with BenchMill&amp;BenchTurn CNC machines, Assembly&amp;QC"</f>
        <v>FMS/CIM - Scorbot ER9Pro Robot with BenchMill&amp;BenchTurn CNC machines, Assembly&amp;QC</v>
      </c>
      <c r="F2600">
        <v>502</v>
      </c>
      <c r="G2600" t="str">
        <f t="shared" si="651"/>
        <v>Y</v>
      </c>
      <c r="H2600" t="str">
        <f t="shared" si="655"/>
        <v>EA</v>
      </c>
      <c r="I2600">
        <v>0</v>
      </c>
      <c r="J2600">
        <v>0</v>
      </c>
      <c r="K2600" t="str">
        <f t="shared" si="652"/>
        <v>Y</v>
      </c>
      <c r="L2600">
        <v>0</v>
      </c>
      <c r="M2600" t="str">
        <f t="shared" si="657"/>
        <v>NIS</v>
      </c>
      <c r="O2600">
        <v>47</v>
      </c>
      <c r="P2600" t="str">
        <f t="shared" si="656"/>
        <v>Active</v>
      </c>
      <c r="Q2600" t="str">
        <f>"Raw Material Stock - Brass  Rod"</f>
        <v>Raw Material Stock - Brass  Rod</v>
      </c>
      <c r="S2600" t="str">
        <f>"Raw Material Stock - Brass  Rod"</f>
        <v>Raw Material Stock - Brass  Rod</v>
      </c>
      <c r="T2600">
        <v>0</v>
      </c>
      <c r="U2600">
        <v>3.67</v>
      </c>
      <c r="V2600">
        <v>2.69</v>
      </c>
      <c r="W2600" t="str">
        <f t="shared" si="658"/>
        <v>rob</v>
      </c>
    </row>
    <row r="2601" spans="1:23">
      <c r="A2601" t="str">
        <f t="shared" si="659"/>
        <v>MINI-FMS/CIM</v>
      </c>
      <c r="B2601" t="str">
        <f>"00-1261-0000"</f>
        <v>00-1261-0000</v>
      </c>
      <c r="C2601" t="str">
        <f>"Workbench 1800x900mm (Heavy duty for CNC)"</f>
        <v>Workbench 1800x900mm (Heavy duty for CNC)</v>
      </c>
      <c r="D2601">
        <v>2</v>
      </c>
      <c r="E2601" t="str">
        <f t="shared" si="660"/>
        <v>FMS/CIM - Scorbot ER9Pro Robot with BenchMill&amp;BenchTurn CNC machines, Assembly&amp;QC</v>
      </c>
      <c r="F2601">
        <v>502</v>
      </c>
      <c r="G2601" t="str">
        <f t="shared" si="651"/>
        <v>Y</v>
      </c>
      <c r="H2601" t="str">
        <f t="shared" si="655"/>
        <v>EA</v>
      </c>
      <c r="I2601">
        <v>0</v>
      </c>
      <c r="J2601">
        <v>0</v>
      </c>
      <c r="K2601" t="str">
        <f t="shared" si="652"/>
        <v>Y</v>
      </c>
      <c r="L2601">
        <v>0</v>
      </c>
      <c r="M2601" t="str">
        <f t="shared" si="657"/>
        <v>NIS</v>
      </c>
      <c r="O2601">
        <v>48</v>
      </c>
      <c r="P2601" t="str">
        <f t="shared" si="656"/>
        <v>Active</v>
      </c>
      <c r="Q2601" t="str">
        <f>"Workbench 1800x900mm (Heavy duty for CNC)"</f>
        <v>Workbench 1800x900mm (Heavy duty for CNC)</v>
      </c>
      <c r="S2601" t="str">
        <f>"Workbench 1800x900mm (Heavy duty for CNC)"</f>
        <v>Workbench 1800x900mm (Heavy duty for CNC)</v>
      </c>
      <c r="T2601">
        <v>0</v>
      </c>
      <c r="U2601">
        <v>830</v>
      </c>
      <c r="V2601">
        <v>831.14</v>
      </c>
      <c r="W2601" t="str">
        <f t="shared" si="658"/>
        <v>rob</v>
      </c>
    </row>
    <row r="2602" spans="1:23">
      <c r="A2602" t="str">
        <f t="shared" si="659"/>
        <v>MINI-FMS/CIM</v>
      </c>
      <c r="B2602" t="str">
        <f>"00-1265-0000"</f>
        <v>00-1265-0000</v>
      </c>
      <c r="C2602" t="str">
        <f>"PC Extension Shelf  600x900mm"</f>
        <v>PC Extension Shelf  600x900mm</v>
      </c>
      <c r="D2602">
        <v>2</v>
      </c>
      <c r="E2602" t="str">
        <f t="shared" si="660"/>
        <v>FMS/CIM - Scorbot ER9Pro Robot with BenchMill&amp;BenchTurn CNC machines, Assembly&amp;QC</v>
      </c>
      <c r="F2602">
        <v>502</v>
      </c>
      <c r="G2602" t="str">
        <f t="shared" si="651"/>
        <v>Y</v>
      </c>
      <c r="H2602" t="str">
        <f t="shared" si="655"/>
        <v>EA</v>
      </c>
      <c r="I2602">
        <v>0</v>
      </c>
      <c r="J2602">
        <v>0</v>
      </c>
      <c r="K2602" t="str">
        <f t="shared" si="652"/>
        <v>Y</v>
      </c>
      <c r="L2602">
        <v>0</v>
      </c>
      <c r="M2602" t="str">
        <f t="shared" si="657"/>
        <v>NIS</v>
      </c>
      <c r="O2602">
        <v>49</v>
      </c>
      <c r="P2602" t="str">
        <f t="shared" si="656"/>
        <v>Active</v>
      </c>
      <c r="Q2602" t="str">
        <f>"PC Extension Shelf  600x900mm"</f>
        <v>PC Extension Shelf  600x900mm</v>
      </c>
      <c r="S2602" t="str">
        <f>"PC Extension Shelf  600x900mm"</f>
        <v>PC Extension Shelf  600x900mm</v>
      </c>
      <c r="T2602">
        <v>0</v>
      </c>
      <c r="U2602">
        <v>211</v>
      </c>
      <c r="V2602">
        <v>198.88</v>
      </c>
      <c r="W2602" t="str">
        <f t="shared" si="658"/>
        <v>rob</v>
      </c>
    </row>
    <row r="2603" spans="1:23">
      <c r="A2603" t="str">
        <f t="shared" si="659"/>
        <v>MINI-FMS/CIM</v>
      </c>
      <c r="B2603" t="str">
        <f>"00-1110-0000"</f>
        <v>00-1110-0000</v>
      </c>
      <c r="C2603" t="str">
        <f>"Palletizing Rack"</f>
        <v>Palletizing Rack</v>
      </c>
      <c r="D2603">
        <v>2</v>
      </c>
      <c r="E2603" t="str">
        <f t="shared" si="660"/>
        <v>FMS/CIM - Scorbot ER9Pro Robot with BenchMill&amp;BenchTurn CNC machines, Assembly&amp;QC</v>
      </c>
      <c r="F2603">
        <v>502</v>
      </c>
      <c r="G2603" t="str">
        <f t="shared" si="651"/>
        <v>Y</v>
      </c>
      <c r="H2603" t="str">
        <f t="shared" si="655"/>
        <v>EA</v>
      </c>
      <c r="I2603">
        <v>0</v>
      </c>
      <c r="J2603">
        <v>0</v>
      </c>
      <c r="K2603" t="str">
        <f t="shared" si="652"/>
        <v>Y</v>
      </c>
      <c r="L2603">
        <v>0</v>
      </c>
      <c r="M2603" t="str">
        <f t="shared" si="657"/>
        <v>NIS</v>
      </c>
      <c r="O2603">
        <v>51</v>
      </c>
      <c r="P2603" t="str">
        <f t="shared" si="656"/>
        <v>Active</v>
      </c>
      <c r="Q2603" t="str">
        <f>"Palletizing Rack (incl. Pins for creating Jigs)"</f>
        <v>Palletizing Rack (incl. Pins for creating Jigs)</v>
      </c>
      <c r="S2603" t="str">
        <f>"Palletizing Rack (incl. Pins for creating Jigs)"</f>
        <v>Palletizing Rack (incl. Pins for creating Jigs)</v>
      </c>
      <c r="T2603">
        <v>0</v>
      </c>
      <c r="U2603">
        <v>63</v>
      </c>
      <c r="V2603">
        <v>58.59</v>
      </c>
      <c r="W2603" t="str">
        <f t="shared" si="658"/>
        <v>rob</v>
      </c>
    </row>
    <row r="2604" spans="1:23">
      <c r="A2604" t="str">
        <f t="shared" si="659"/>
        <v>MINI-FMS/CIM</v>
      </c>
      <c r="B2604" t="str">
        <f>"021181"</f>
        <v>021181</v>
      </c>
      <c r="C2604" t="str">
        <f>"97mm Height Adapter -Rack 001110 on formica 19mm"</f>
        <v>97mm Height Adapter -Rack 001110 on formica 19mm</v>
      </c>
      <c r="D2604">
        <v>2</v>
      </c>
      <c r="E2604" t="str">
        <f t="shared" si="660"/>
        <v>FMS/CIM - Scorbot ER9Pro Robot with BenchMill&amp;BenchTurn CNC machines, Assembly&amp;QC</v>
      </c>
      <c r="F2604">
        <v>502</v>
      </c>
      <c r="G2604" t="str">
        <f t="shared" si="651"/>
        <v>Y</v>
      </c>
      <c r="H2604" t="str">
        <f t="shared" si="655"/>
        <v>EA</v>
      </c>
      <c r="I2604">
        <v>0</v>
      </c>
      <c r="J2604">
        <v>0</v>
      </c>
      <c r="K2604" t="str">
        <f t="shared" si="652"/>
        <v>Y</v>
      </c>
      <c r="L2604">
        <v>0</v>
      </c>
      <c r="M2604" t="str">
        <f t="shared" si="657"/>
        <v>NIS</v>
      </c>
      <c r="O2604">
        <v>52</v>
      </c>
      <c r="P2604" t="str">
        <f t="shared" si="656"/>
        <v>Active</v>
      </c>
      <c r="Q2604" t="str">
        <f>"97mm Height Adapter -Rack 001110 on formica 19mm"</f>
        <v>97mm Height Adapter -Rack 001110 on formica 19mm</v>
      </c>
      <c r="S2604" t="str">
        <f>"97mm Height Adapter -Rack 001110 on formica 19mm"</f>
        <v>97mm Height Adapter -Rack 001110 on formica 19mm</v>
      </c>
      <c r="T2604">
        <v>0</v>
      </c>
      <c r="U2604">
        <v>8.0299999999999994</v>
      </c>
      <c r="V2604">
        <v>8.85</v>
      </c>
      <c r="W2604" t="str">
        <f t="shared" si="658"/>
        <v>rob</v>
      </c>
    </row>
    <row r="2605" spans="1:23">
      <c r="A2605" t="str">
        <f t="shared" si="659"/>
        <v>MINI-FMS/CIM</v>
      </c>
      <c r="B2605" t="str">
        <f>"00-1230-0000"</f>
        <v>00-1230-0000</v>
      </c>
      <c r="C2605" t="str">
        <f>"Ball Feeder (incl. sensor for ball counting)"</f>
        <v>Ball Feeder (incl. sensor for ball counting)</v>
      </c>
      <c r="D2605">
        <v>1</v>
      </c>
      <c r="E2605" t="str">
        <f t="shared" si="660"/>
        <v>FMS/CIM - Scorbot ER9Pro Robot with BenchMill&amp;BenchTurn CNC machines, Assembly&amp;QC</v>
      </c>
      <c r="F2605">
        <v>502</v>
      </c>
      <c r="G2605" t="str">
        <f t="shared" si="651"/>
        <v>Y</v>
      </c>
      <c r="H2605" t="str">
        <f t="shared" si="655"/>
        <v>EA</v>
      </c>
      <c r="I2605">
        <v>0</v>
      </c>
      <c r="J2605">
        <v>0</v>
      </c>
      <c r="K2605" t="str">
        <f t="shared" si="652"/>
        <v>Y</v>
      </c>
      <c r="L2605">
        <v>0</v>
      </c>
      <c r="M2605" t="str">
        <f t="shared" si="657"/>
        <v>NIS</v>
      </c>
      <c r="O2605">
        <v>53</v>
      </c>
      <c r="P2605" t="str">
        <f t="shared" si="656"/>
        <v>Active</v>
      </c>
      <c r="Q2605" t="str">
        <f>"Ball Feeder (incl. sensor for ball counting)"</f>
        <v>Ball Feeder (incl. sensor for ball counting)</v>
      </c>
      <c r="S2605" t="str">
        <f>"Ball Feeder (incl. sensor for ball counting)"</f>
        <v>Ball Feeder (incl. sensor for ball counting)</v>
      </c>
      <c r="T2605">
        <v>0</v>
      </c>
      <c r="U2605">
        <v>536</v>
      </c>
      <c r="V2605">
        <v>530.72</v>
      </c>
      <c r="W2605" t="str">
        <f t="shared" si="658"/>
        <v>rob</v>
      </c>
    </row>
    <row r="2606" spans="1:23">
      <c r="A2606" t="str">
        <f t="shared" si="659"/>
        <v>MINI-FMS/CIM</v>
      </c>
      <c r="B2606" t="str">
        <f>"50-0094-0000"</f>
        <v>50-0094-0000</v>
      </c>
      <c r="C2606" t="str">
        <f>"Pre-Engineering, Design and Testing"</f>
        <v>Pre-Engineering, Design and Testing</v>
      </c>
      <c r="D2606">
        <v>2</v>
      </c>
      <c r="E2606" t="str">
        <f t="shared" si="660"/>
        <v>FMS/CIM - Scorbot ER9Pro Robot with BenchMill&amp;BenchTurn CNC machines, Assembly&amp;QC</v>
      </c>
      <c r="F2606">
        <v>502</v>
      </c>
      <c r="G2606" t="str">
        <f t="shared" si="651"/>
        <v>Y</v>
      </c>
      <c r="H2606" t="str">
        <f>"DA"</f>
        <v>DA</v>
      </c>
      <c r="I2606">
        <v>0</v>
      </c>
      <c r="J2606">
        <v>0</v>
      </c>
      <c r="K2606" t="str">
        <f t="shared" si="652"/>
        <v>Y</v>
      </c>
      <c r="L2606">
        <v>0</v>
      </c>
      <c r="M2606" t="str">
        <f t="shared" si="657"/>
        <v>NIS</v>
      </c>
      <c r="O2606">
        <v>50</v>
      </c>
      <c r="P2606" t="str">
        <f t="shared" si="656"/>
        <v>Active</v>
      </c>
      <c r="Q2606" t="str">
        <f>"Pre-Engineering, Design and Testing"</f>
        <v>Pre-Engineering, Design and Testing</v>
      </c>
      <c r="S2606" t="str">
        <f>"Pre-Engineering, Design and Testing"</f>
        <v>Pre-Engineering, Design and Testing</v>
      </c>
      <c r="T2606">
        <v>0</v>
      </c>
      <c r="U2606">
        <v>405</v>
      </c>
      <c r="V2606">
        <v>421.2</v>
      </c>
      <c r="W2606" t="str">
        <f t="shared" si="658"/>
        <v>rob</v>
      </c>
    </row>
    <row r="2607" spans="1:23">
      <c r="A2607" t="str">
        <f t="shared" si="659"/>
        <v>MINI-FMS/CIM</v>
      </c>
      <c r="B2607" t="str">
        <f>"21-0004-0000"</f>
        <v>21-0004-0000</v>
      </c>
      <c r="C2607" t="str">
        <f>"Assembly, Dual Axis Air Vise Mechanicals"</f>
        <v>Assembly, Dual Axis Air Vise Mechanicals</v>
      </c>
      <c r="D2607">
        <v>1</v>
      </c>
      <c r="E2607" t="str">
        <f t="shared" si="660"/>
        <v>FMS/CIM - Scorbot ER9Pro Robot with BenchMill&amp;BenchTurn CNC machines, Assembly&amp;QC</v>
      </c>
      <c r="F2607">
        <v>502</v>
      </c>
      <c r="G2607" t="str">
        <f t="shared" si="651"/>
        <v>Y</v>
      </c>
      <c r="H2607" t="str">
        <f t="shared" ref="H2607:H2617" si="661">"EA"</f>
        <v>EA</v>
      </c>
      <c r="I2607">
        <v>0</v>
      </c>
      <c r="J2607">
        <v>0</v>
      </c>
      <c r="K2607" t="str">
        <f t="shared" si="652"/>
        <v>Y</v>
      </c>
      <c r="L2607">
        <v>0</v>
      </c>
      <c r="M2607" t="str">
        <f t="shared" si="657"/>
        <v>NIS</v>
      </c>
      <c r="O2607">
        <v>54</v>
      </c>
      <c r="P2607" t="str">
        <f>"Phase Out"</f>
        <v>Phase Out</v>
      </c>
      <c r="Q2607" t="str">
        <f>"Assembly, Dual Axis Air Vise Mechanicals"</f>
        <v>Assembly, Dual Axis Air Vise Mechanicals</v>
      </c>
      <c r="S2607" t="str">
        <f>"Assembly, Dual Axis Air Vise Mechanicals"</f>
        <v>Assembly, Dual Axis Air Vise Mechanicals</v>
      </c>
      <c r="T2607">
        <v>422.16</v>
      </c>
      <c r="U2607">
        <v>422</v>
      </c>
      <c r="V2607">
        <v>980.27</v>
      </c>
      <c r="W2607" t="str">
        <f t="shared" si="658"/>
        <v>rob</v>
      </c>
    </row>
    <row r="2608" spans="1:23">
      <c r="A2608" t="str">
        <f t="shared" si="659"/>
        <v>MINI-FMS/CIM</v>
      </c>
      <c r="B2608" t="str">
        <f>"10-2523-4000"</f>
        <v>10-2523-4000</v>
      </c>
      <c r="C2608" t="str">
        <f>"Solenoid Valve (24V) for Pipe 3 mm"</f>
        <v>Solenoid Valve (24V) for Pipe 3 mm</v>
      </c>
      <c r="D2608">
        <v>1</v>
      </c>
      <c r="E2608" t="str">
        <f t="shared" si="660"/>
        <v>FMS/CIM - Scorbot ER9Pro Robot with BenchMill&amp;BenchTurn CNC machines, Assembly&amp;QC</v>
      </c>
      <c r="F2608">
        <v>502</v>
      </c>
      <c r="G2608" t="str">
        <f t="shared" si="651"/>
        <v>Y</v>
      </c>
      <c r="H2608" t="str">
        <f t="shared" si="661"/>
        <v>EA</v>
      </c>
      <c r="I2608">
        <v>0</v>
      </c>
      <c r="J2608">
        <v>0</v>
      </c>
      <c r="K2608" t="str">
        <f t="shared" si="652"/>
        <v>Y</v>
      </c>
      <c r="L2608">
        <v>0</v>
      </c>
      <c r="M2608" t="str">
        <f t="shared" si="657"/>
        <v>NIS</v>
      </c>
      <c r="O2608">
        <v>55</v>
      </c>
      <c r="P2608" t="str">
        <f t="shared" ref="P2608:P2630" si="662">"Active"</f>
        <v>Active</v>
      </c>
      <c r="Q2608" t="str">
        <f>"Solenoid Valve (24V) for Pipe 3 mm"</f>
        <v>Solenoid Valve (24V) for Pipe 3 mm</v>
      </c>
      <c r="S2608" t="str">
        <f>"Solenoid Valve (24V) for Pipe 3 mm"</f>
        <v>Solenoid Valve (24V) for Pipe 3 mm</v>
      </c>
      <c r="T2608">
        <v>0</v>
      </c>
      <c r="U2608">
        <v>137</v>
      </c>
      <c r="V2608">
        <v>133.35</v>
      </c>
      <c r="W2608" t="str">
        <f t="shared" si="658"/>
        <v>rob</v>
      </c>
    </row>
    <row r="2609" spans="1:23">
      <c r="A2609" t="str">
        <f t="shared" si="659"/>
        <v>MINI-FMS/CIM</v>
      </c>
      <c r="B2609" t="str">
        <f>"00-1243-0000"</f>
        <v>00-1243-0000</v>
      </c>
      <c r="C2609" t="str">
        <f>"Ball Game Set (Assembly with Plastic Pins)"</f>
        <v>Ball Game Set (Assembly with Plastic Pins)</v>
      </c>
      <c r="D2609">
        <v>3</v>
      </c>
      <c r="E2609" t="str">
        <f t="shared" si="660"/>
        <v>FMS/CIM - Scorbot ER9Pro Robot with BenchMill&amp;BenchTurn CNC machines, Assembly&amp;QC</v>
      </c>
      <c r="F2609">
        <v>502</v>
      </c>
      <c r="G2609" t="str">
        <f t="shared" si="651"/>
        <v>Y</v>
      </c>
      <c r="H2609" t="str">
        <f t="shared" si="661"/>
        <v>EA</v>
      </c>
      <c r="I2609">
        <v>0</v>
      </c>
      <c r="J2609">
        <v>0</v>
      </c>
      <c r="K2609" t="str">
        <f t="shared" si="652"/>
        <v>Y</v>
      </c>
      <c r="L2609">
        <v>0</v>
      </c>
      <c r="M2609" t="str">
        <f t="shared" si="657"/>
        <v>NIS</v>
      </c>
      <c r="O2609">
        <v>56</v>
      </c>
      <c r="P2609" t="str">
        <f t="shared" si="662"/>
        <v>Active</v>
      </c>
      <c r="Q2609" t="str">
        <f>"Ball Game Set (Assembly with Plastic Pins)"</f>
        <v>Ball Game Set (Assembly with Plastic Pins)</v>
      </c>
      <c r="S2609" t="str">
        <f>"Ball Game Set (Assembly with Plastic Pins)"</f>
        <v>Ball Game Set (Assembly with Plastic Pins)</v>
      </c>
      <c r="T2609">
        <v>0</v>
      </c>
      <c r="U2609">
        <v>32</v>
      </c>
      <c r="V2609">
        <v>34.770000000000003</v>
      </c>
      <c r="W2609" t="str">
        <f t="shared" si="658"/>
        <v>rob</v>
      </c>
    </row>
    <row r="2610" spans="1:23">
      <c r="A2610" t="str">
        <f t="shared" si="659"/>
        <v>MINI-FMS/CIM</v>
      </c>
      <c r="B2610" t="str">
        <f>"00-1422-0000"</f>
        <v>00-1422-0000</v>
      </c>
      <c r="C2610" t="str">
        <f>"Viewflex for QC (Stand 400mm)"</f>
        <v>Viewflex for QC (Stand 400mm)</v>
      </c>
      <c r="D2610">
        <v>1</v>
      </c>
      <c r="E2610" t="str">
        <f t="shared" si="660"/>
        <v>FMS/CIM - Scorbot ER9Pro Robot with BenchMill&amp;BenchTurn CNC machines, Assembly&amp;QC</v>
      </c>
      <c r="F2610">
        <v>502</v>
      </c>
      <c r="G2610" t="str">
        <f t="shared" si="651"/>
        <v>Y</v>
      </c>
      <c r="H2610" t="str">
        <f t="shared" si="661"/>
        <v>EA</v>
      </c>
      <c r="I2610">
        <v>0</v>
      </c>
      <c r="J2610">
        <v>0</v>
      </c>
      <c r="K2610" t="str">
        <f t="shared" si="652"/>
        <v>Y</v>
      </c>
      <c r="L2610">
        <v>0</v>
      </c>
      <c r="M2610" t="str">
        <f t="shared" si="657"/>
        <v>NIS</v>
      </c>
      <c r="O2610">
        <v>57</v>
      </c>
      <c r="P2610" t="str">
        <f t="shared" si="662"/>
        <v>Active</v>
      </c>
      <c r="Q2610" t="str">
        <f>"Viewflex for QC (Stand 400mm)"</f>
        <v>Viewflex for QC (Stand 400mm)</v>
      </c>
      <c r="S2610" t="str">
        <f>"Viewflex for QC (Stand 400mm)"</f>
        <v>Viewflex for QC (Stand 400mm)</v>
      </c>
      <c r="T2610">
        <v>0</v>
      </c>
      <c r="U2610">
        <v>560</v>
      </c>
      <c r="V2610">
        <v>511.35</v>
      </c>
      <c r="W2610" t="str">
        <f t="shared" si="658"/>
        <v>rob</v>
      </c>
    </row>
    <row r="2611" spans="1:23">
      <c r="A2611" t="str">
        <f t="shared" si="659"/>
        <v>MINI-FMS/CIM</v>
      </c>
      <c r="B2611" t="str">
        <f>"00-1013-0000"</f>
        <v>00-1013-0000</v>
      </c>
      <c r="C2611" t="str">
        <f>"Linear Positioning Table 300mm"</f>
        <v>Linear Positioning Table 300mm</v>
      </c>
      <c r="D2611">
        <v>1</v>
      </c>
      <c r="E2611" t="str">
        <f t="shared" si="660"/>
        <v>FMS/CIM - Scorbot ER9Pro Robot with BenchMill&amp;BenchTurn CNC machines, Assembly&amp;QC</v>
      </c>
      <c r="F2611">
        <v>502</v>
      </c>
      <c r="G2611" t="str">
        <f t="shared" si="651"/>
        <v>Y</v>
      </c>
      <c r="H2611" t="str">
        <f t="shared" si="661"/>
        <v>EA</v>
      </c>
      <c r="I2611">
        <v>0</v>
      </c>
      <c r="J2611">
        <v>0</v>
      </c>
      <c r="K2611" t="str">
        <f t="shared" si="652"/>
        <v>Y</v>
      </c>
      <c r="L2611">
        <v>0</v>
      </c>
      <c r="M2611" t="str">
        <f t="shared" si="657"/>
        <v>NIS</v>
      </c>
      <c r="O2611">
        <v>58</v>
      </c>
      <c r="P2611" t="str">
        <f t="shared" si="662"/>
        <v>Active</v>
      </c>
      <c r="Q2611" t="str">
        <f>"Linear Positioning Table 300mm (Belt Drive, 24V)"</f>
        <v>Linear Positioning Table 300mm (Belt Drive, 24V)</v>
      </c>
      <c r="S2611" t="str">
        <f>"Linear Positioning Table 300mm (Belt Drive, 24V)"</f>
        <v>Linear Positioning Table 300mm (Belt Drive, 24V)</v>
      </c>
      <c r="T2611">
        <v>0</v>
      </c>
      <c r="U2611">
        <v>894.02</v>
      </c>
      <c r="V2611">
        <v>879.29</v>
      </c>
      <c r="W2611" t="str">
        <f t="shared" si="658"/>
        <v>rob</v>
      </c>
    </row>
    <row r="2612" spans="1:23">
      <c r="A2612" t="str">
        <f t="shared" si="659"/>
        <v>MINI-FMS/CIM</v>
      </c>
      <c r="B2612" t="str">
        <f>"113316"</f>
        <v>113316</v>
      </c>
      <c r="C2612" t="str">
        <f>"Parts Bin"</f>
        <v>Parts Bin</v>
      </c>
      <c r="D2612">
        <v>1</v>
      </c>
      <c r="E2612" t="str">
        <f t="shared" si="660"/>
        <v>FMS/CIM - Scorbot ER9Pro Robot with BenchMill&amp;BenchTurn CNC machines, Assembly&amp;QC</v>
      </c>
      <c r="F2612">
        <v>502</v>
      </c>
      <c r="G2612" t="str">
        <f t="shared" si="651"/>
        <v>Y</v>
      </c>
      <c r="H2612" t="str">
        <f t="shared" si="661"/>
        <v>EA</v>
      </c>
      <c r="I2612">
        <v>0</v>
      </c>
      <c r="J2612">
        <v>0</v>
      </c>
      <c r="K2612" t="str">
        <f t="shared" si="652"/>
        <v>Y</v>
      </c>
      <c r="L2612">
        <v>0</v>
      </c>
      <c r="M2612" t="str">
        <f t="shared" si="657"/>
        <v>NIS</v>
      </c>
      <c r="O2612">
        <v>59</v>
      </c>
      <c r="P2612" t="str">
        <f t="shared" si="662"/>
        <v>Active</v>
      </c>
      <c r="Q2612" t="str">
        <f>"Parts Bin; Plastic Box"</f>
        <v>Parts Bin; Plastic Box</v>
      </c>
      <c r="R2612" t="str">
        <f>"1"</f>
        <v>1</v>
      </c>
      <c r="S2612" t="str">
        <f>"Parts Bin; Plastic Box"</f>
        <v>Parts Bin; Plastic Box</v>
      </c>
      <c r="T2612">
        <v>0</v>
      </c>
      <c r="U2612">
        <v>8.0399999999999991</v>
      </c>
      <c r="V2612">
        <v>6.39</v>
      </c>
      <c r="W2612" t="str">
        <f t="shared" si="658"/>
        <v>rob</v>
      </c>
    </row>
    <row r="2613" spans="1:23">
      <c r="A2613" t="str">
        <f t="shared" si="659"/>
        <v>MINI-FMS/CIM</v>
      </c>
      <c r="B2613" t="str">
        <f>"113096"</f>
        <v>113096</v>
      </c>
      <c r="C2613" t="str">
        <f>"Plexiglass Cylinders Base"</f>
        <v>Plexiglass Cylinders Base</v>
      </c>
      <c r="D2613">
        <v>3</v>
      </c>
      <c r="E2613" t="str">
        <f t="shared" si="660"/>
        <v>FMS/CIM - Scorbot ER9Pro Robot with BenchMill&amp;BenchTurn CNC machines, Assembly&amp;QC</v>
      </c>
      <c r="F2613">
        <v>502</v>
      </c>
      <c r="G2613" t="str">
        <f t="shared" si="651"/>
        <v>Y</v>
      </c>
      <c r="H2613" t="str">
        <f t="shared" si="661"/>
        <v>EA</v>
      </c>
      <c r="I2613">
        <v>0</v>
      </c>
      <c r="J2613">
        <v>0</v>
      </c>
      <c r="K2613" t="str">
        <f t="shared" si="652"/>
        <v>Y</v>
      </c>
      <c r="L2613">
        <v>0</v>
      </c>
      <c r="M2613" t="str">
        <f t="shared" si="657"/>
        <v>NIS</v>
      </c>
      <c r="O2613">
        <v>60</v>
      </c>
      <c r="P2613" t="str">
        <f t="shared" si="662"/>
        <v>Active</v>
      </c>
      <c r="Q2613" t="str">
        <f>"Plexiglass Cylinders Base MicroCIM"</f>
        <v>Plexiglass Cylinders Base MicroCIM</v>
      </c>
      <c r="S2613" t="str">
        <f>"Plexiglass Cylinders Base"</f>
        <v>Plexiglass Cylinders Base</v>
      </c>
      <c r="T2613">
        <v>0</v>
      </c>
      <c r="U2613">
        <v>7</v>
      </c>
      <c r="V2613">
        <v>6.83</v>
      </c>
      <c r="W2613" t="str">
        <f t="shared" si="658"/>
        <v>rob</v>
      </c>
    </row>
    <row r="2614" spans="1:23">
      <c r="A2614" t="str">
        <f t="shared" si="659"/>
        <v>MINI-FMS/CIM</v>
      </c>
      <c r="B2614" t="str">
        <f>"112713"</f>
        <v>112713</v>
      </c>
      <c r="C2614" t="str">
        <f>"Marked Aluminum Cylinder"</f>
        <v>Marked Aluminum Cylinder</v>
      </c>
      <c r="D2614">
        <v>3</v>
      </c>
      <c r="E2614" t="str">
        <f t="shared" si="660"/>
        <v>FMS/CIM - Scorbot ER9Pro Robot with BenchMill&amp;BenchTurn CNC machines, Assembly&amp;QC</v>
      </c>
      <c r="F2614">
        <v>502</v>
      </c>
      <c r="G2614" t="str">
        <f t="shared" si="651"/>
        <v>Y</v>
      </c>
      <c r="H2614" t="str">
        <f t="shared" si="661"/>
        <v>EA</v>
      </c>
      <c r="I2614">
        <v>0</v>
      </c>
      <c r="J2614">
        <v>0</v>
      </c>
      <c r="K2614" t="str">
        <f t="shared" si="652"/>
        <v>Y</v>
      </c>
      <c r="L2614">
        <v>0</v>
      </c>
      <c r="M2614" t="str">
        <f t="shared" si="657"/>
        <v>NIS</v>
      </c>
      <c r="O2614">
        <v>61</v>
      </c>
      <c r="P2614" t="str">
        <f t="shared" si="662"/>
        <v>Active</v>
      </c>
      <c r="Q2614" t="str">
        <f>"Mark Al. Cylinder Diam. 35x28"</f>
        <v>Mark Al. Cylinder Diam. 35x28</v>
      </c>
      <c r="S2614" t="str">
        <f>"Mark Al. Cylinder Diam. 35x28"</f>
        <v>Mark Al. Cylinder Diam. 35x28</v>
      </c>
      <c r="T2614">
        <v>0</v>
      </c>
      <c r="U2614">
        <v>6</v>
      </c>
      <c r="V2614">
        <v>5.97</v>
      </c>
      <c r="W2614" t="str">
        <f t="shared" si="658"/>
        <v>rob</v>
      </c>
    </row>
    <row r="2615" spans="1:23">
      <c r="A2615" t="str">
        <f t="shared" si="659"/>
        <v>MINI-FMS/CIM</v>
      </c>
      <c r="B2615" t="str">
        <f>"00-1250-0000"</f>
        <v>00-1250-0000</v>
      </c>
      <c r="C2615" t="str">
        <f>"Workbench 1800x800mm (Formica Top)"</f>
        <v>Workbench 1800x800mm (Formica Top)</v>
      </c>
      <c r="D2615">
        <v>1</v>
      </c>
      <c r="E2615" t="str">
        <f t="shared" si="660"/>
        <v>FMS/CIM - Scorbot ER9Pro Robot with BenchMill&amp;BenchTurn CNC machines, Assembly&amp;QC</v>
      </c>
      <c r="F2615">
        <v>502</v>
      </c>
      <c r="G2615" t="str">
        <f t="shared" si="651"/>
        <v>Y</v>
      </c>
      <c r="H2615" t="str">
        <f t="shared" si="661"/>
        <v>EA</v>
      </c>
      <c r="I2615">
        <v>0</v>
      </c>
      <c r="J2615">
        <v>0</v>
      </c>
      <c r="K2615" t="str">
        <f t="shared" si="652"/>
        <v>Y</v>
      </c>
      <c r="L2615">
        <v>0</v>
      </c>
      <c r="M2615" t="str">
        <f t="shared" si="657"/>
        <v>NIS</v>
      </c>
      <c r="O2615">
        <v>62</v>
      </c>
      <c r="P2615" t="str">
        <f t="shared" si="662"/>
        <v>Active</v>
      </c>
      <c r="Q2615" t="str">
        <f>"Workbench 1800x800mm (Formica Top)"</f>
        <v>Workbench 1800x800mm (Formica Top)</v>
      </c>
      <c r="S2615" t="str">
        <f>"Workbench 1800x800mm (Formica Top)"</f>
        <v>Workbench 1800x800mm (Formica Top)</v>
      </c>
      <c r="T2615">
        <v>0</v>
      </c>
      <c r="U2615">
        <v>599.12</v>
      </c>
      <c r="V2615">
        <v>564.05999999999995</v>
      </c>
      <c r="W2615" t="str">
        <f t="shared" si="658"/>
        <v>rob</v>
      </c>
    </row>
    <row r="2616" spans="1:23">
      <c r="A2616" t="str">
        <f t="shared" si="659"/>
        <v>MINI-FMS/CIM</v>
      </c>
      <c r="B2616" t="str">
        <f>"63-9072-0000"</f>
        <v>63-9072-0000</v>
      </c>
      <c r="C2616" t="str">
        <f>"OpenCIM/FMS Software"</f>
        <v>OpenCIM/FMS Software</v>
      </c>
      <c r="D2616">
        <v>1</v>
      </c>
      <c r="E2616" t="str">
        <f t="shared" si="660"/>
        <v>FMS/CIM - Scorbot ER9Pro Robot with BenchMill&amp;BenchTurn CNC machines, Assembly&amp;QC</v>
      </c>
      <c r="F2616">
        <v>502</v>
      </c>
      <c r="G2616" t="str">
        <f t="shared" si="651"/>
        <v>Y</v>
      </c>
      <c r="H2616" t="str">
        <f t="shared" si="661"/>
        <v>EA</v>
      </c>
      <c r="I2616">
        <v>0</v>
      </c>
      <c r="J2616">
        <v>0</v>
      </c>
      <c r="K2616" t="str">
        <f t="shared" si="652"/>
        <v>Y</v>
      </c>
      <c r="L2616">
        <v>0</v>
      </c>
      <c r="M2616" t="str">
        <f t="shared" si="657"/>
        <v>NIS</v>
      </c>
      <c r="O2616">
        <v>63</v>
      </c>
      <c r="P2616" t="str">
        <f t="shared" si="662"/>
        <v>Active</v>
      </c>
      <c r="Q2616" t="str">
        <f>"OpenCIM/FMS Software Package"</f>
        <v>OpenCIM/FMS Software Package</v>
      </c>
      <c r="S2616" t="str">
        <f>"OpenCIM/FMS Software Package"</f>
        <v>OpenCIM/FMS Software Package</v>
      </c>
      <c r="T2616">
        <v>0</v>
      </c>
      <c r="U2616">
        <v>35.44</v>
      </c>
      <c r="V2616">
        <v>33.99</v>
      </c>
      <c r="W2616" t="str">
        <f t="shared" si="658"/>
        <v>rob</v>
      </c>
    </row>
    <row r="2617" spans="1:23">
      <c r="A2617" t="str">
        <f t="shared" si="659"/>
        <v>MINI-FMS/CIM</v>
      </c>
      <c r="B2617" t="str">
        <f>"63-7000-1400"</f>
        <v>63-7000-1400</v>
      </c>
      <c r="C2617" t="str">
        <f>"License Key For OpenFMS Software"</f>
        <v>License Key For OpenFMS Software</v>
      </c>
      <c r="D2617">
        <v>1</v>
      </c>
      <c r="E2617" t="str">
        <f t="shared" si="660"/>
        <v>FMS/CIM - Scorbot ER9Pro Robot with BenchMill&amp;BenchTurn CNC machines, Assembly&amp;QC</v>
      </c>
      <c r="F2617">
        <v>502</v>
      </c>
      <c r="G2617" t="str">
        <f t="shared" si="651"/>
        <v>Y</v>
      </c>
      <c r="H2617" t="str">
        <f t="shared" si="661"/>
        <v>EA</v>
      </c>
      <c r="I2617">
        <v>0</v>
      </c>
      <c r="J2617">
        <v>0</v>
      </c>
      <c r="K2617" t="str">
        <f t="shared" si="652"/>
        <v>Y</v>
      </c>
      <c r="L2617">
        <v>0</v>
      </c>
      <c r="M2617" t="str">
        <f t="shared" si="657"/>
        <v>NIS</v>
      </c>
      <c r="O2617">
        <v>64</v>
      </c>
      <c r="P2617" t="str">
        <f t="shared" si="662"/>
        <v>Active</v>
      </c>
      <c r="Q2617" t="str">
        <f>"License Key For OpenFMS Software"</f>
        <v>License Key For OpenFMS Software</v>
      </c>
      <c r="R2617" t="str">
        <f>"1"</f>
        <v>1</v>
      </c>
      <c r="S2617" t="str">
        <f>"License Key For OpenFMS Software"</f>
        <v>License Key For OpenFMS Software</v>
      </c>
      <c r="T2617">
        <v>0</v>
      </c>
      <c r="U2617">
        <v>1.2</v>
      </c>
      <c r="V2617">
        <v>1.33</v>
      </c>
      <c r="W2617" t="str">
        <f t="shared" si="658"/>
        <v>rob</v>
      </c>
    </row>
    <row r="2618" spans="1:23">
      <c r="A2618" t="str">
        <f t="shared" si="659"/>
        <v>MINI-FMS/CIM</v>
      </c>
      <c r="B2618" t="str">
        <f>"50-0095-0000"</f>
        <v>50-0095-0000</v>
      </c>
      <c r="C2618" t="str">
        <f>"Installation at Customer Site"</f>
        <v>Installation at Customer Site</v>
      </c>
      <c r="D2618">
        <v>5</v>
      </c>
      <c r="E2618" t="str">
        <f t="shared" si="660"/>
        <v>FMS/CIM - Scorbot ER9Pro Robot with BenchMill&amp;BenchTurn CNC machines, Assembly&amp;QC</v>
      </c>
      <c r="F2618">
        <v>502</v>
      </c>
      <c r="G2618" t="str">
        <f t="shared" si="651"/>
        <v>Y</v>
      </c>
      <c r="H2618" t="str">
        <f>"DA"</f>
        <v>DA</v>
      </c>
      <c r="I2618">
        <v>0</v>
      </c>
      <c r="J2618">
        <v>0</v>
      </c>
      <c r="K2618" t="str">
        <f t="shared" si="652"/>
        <v>Y</v>
      </c>
      <c r="L2618">
        <v>0</v>
      </c>
      <c r="M2618" t="str">
        <f t="shared" si="657"/>
        <v>NIS</v>
      </c>
      <c r="O2618">
        <v>65</v>
      </c>
      <c r="P2618" t="str">
        <f t="shared" si="662"/>
        <v>Active</v>
      </c>
      <c r="Q2618" t="str">
        <f>"Installation at Customer Site (Days)"</f>
        <v>Installation at Customer Site (Days)</v>
      </c>
      <c r="S2618" t="str">
        <f>"Installation at Customer Site (Days)"</f>
        <v>Installation at Customer Site (Days)</v>
      </c>
      <c r="T2618">
        <v>0</v>
      </c>
      <c r="U2618">
        <v>864</v>
      </c>
      <c r="V2618">
        <v>898.56</v>
      </c>
      <c r="W2618" t="str">
        <f t="shared" si="658"/>
        <v>rob</v>
      </c>
    </row>
    <row r="2619" spans="1:23">
      <c r="A2619" t="str">
        <f t="shared" si="659"/>
        <v>MINI-FMS/CIM</v>
      </c>
      <c r="B2619" t="str">
        <f>"50-0096-0000"</f>
        <v>50-0096-0000</v>
      </c>
      <c r="C2619" t="str">
        <f>"Training at Customer Site (Days)"</f>
        <v>Training at Customer Site (Days)</v>
      </c>
      <c r="D2619">
        <v>5</v>
      </c>
      <c r="E2619" t="str">
        <f t="shared" si="660"/>
        <v>FMS/CIM - Scorbot ER9Pro Robot with BenchMill&amp;BenchTurn CNC machines, Assembly&amp;QC</v>
      </c>
      <c r="F2619">
        <v>502</v>
      </c>
      <c r="G2619" t="str">
        <f t="shared" si="651"/>
        <v>Y</v>
      </c>
      <c r="H2619" t="str">
        <f>"DA"</f>
        <v>DA</v>
      </c>
      <c r="I2619">
        <v>0</v>
      </c>
      <c r="J2619">
        <v>0</v>
      </c>
      <c r="K2619" t="str">
        <f t="shared" si="652"/>
        <v>Y</v>
      </c>
      <c r="L2619">
        <v>0</v>
      </c>
      <c r="M2619" t="str">
        <f t="shared" si="657"/>
        <v>NIS</v>
      </c>
      <c r="O2619">
        <v>66</v>
      </c>
      <c r="P2619" t="str">
        <f t="shared" si="662"/>
        <v>Active</v>
      </c>
      <c r="Q2619" t="str">
        <f>"Training at Customer Site (Days)"</f>
        <v>Training at Customer Site (Days)</v>
      </c>
      <c r="S2619" t="str">
        <f>"Training at Customer Site (Days)"</f>
        <v>Training at Customer Site (Days)</v>
      </c>
      <c r="T2619">
        <v>0</v>
      </c>
      <c r="U2619">
        <v>864</v>
      </c>
      <c r="V2619">
        <v>898.56</v>
      </c>
      <c r="W2619" t="str">
        <f t="shared" si="658"/>
        <v>rob</v>
      </c>
    </row>
    <row r="2620" spans="1:23">
      <c r="A2620" t="str">
        <f t="shared" si="659"/>
        <v>MINI-FMS/CIM</v>
      </c>
      <c r="B2620" t="str">
        <f>"50-0079-0000"</f>
        <v>50-0079-0000</v>
      </c>
      <c r="C2620" t="str">
        <f>"Flight Ticket"</f>
        <v>Flight Ticket</v>
      </c>
      <c r="D2620">
        <v>1</v>
      </c>
      <c r="E2620" t="str">
        <f t="shared" si="660"/>
        <v>FMS/CIM - Scorbot ER9Pro Robot with BenchMill&amp;BenchTurn CNC machines, Assembly&amp;QC</v>
      </c>
      <c r="F2620">
        <v>502</v>
      </c>
      <c r="G2620" t="str">
        <f t="shared" si="651"/>
        <v>Y</v>
      </c>
      <c r="H2620" t="str">
        <f t="shared" ref="H2620:H2638" si="663">"EA"</f>
        <v>EA</v>
      </c>
      <c r="I2620">
        <v>0</v>
      </c>
      <c r="J2620">
        <v>0</v>
      </c>
      <c r="K2620" t="str">
        <f t="shared" si="652"/>
        <v>Y</v>
      </c>
      <c r="L2620">
        <v>0</v>
      </c>
      <c r="M2620" t="str">
        <f t="shared" si="657"/>
        <v>NIS</v>
      </c>
      <c r="O2620">
        <v>67</v>
      </c>
      <c r="P2620" t="str">
        <f t="shared" si="662"/>
        <v>Active</v>
      </c>
      <c r="Q2620" t="str">
        <f>"Travel expenses"</f>
        <v>Travel expenses</v>
      </c>
      <c r="S2620" t="str">
        <f>"Flight Ticket"</f>
        <v>Flight Ticket</v>
      </c>
      <c r="T2620">
        <v>0</v>
      </c>
      <c r="U2620" s="44">
        <v>2000</v>
      </c>
      <c r="V2620" s="44">
        <v>2000</v>
      </c>
      <c r="W2620" t="str">
        <f t="shared" si="658"/>
        <v>rob</v>
      </c>
    </row>
    <row r="2621" spans="1:23">
      <c r="A2621" t="str">
        <f t="shared" ref="A2621:A2639" si="664">"MTS-ER4U-2CNC-EM"</f>
        <v>MTS-ER4U-2CNC-EM</v>
      </c>
      <c r="B2621" t="str">
        <f>"00-0413-0000"</f>
        <v>00-0413-0000</v>
      </c>
      <c r="C2621" t="str">
        <f>"SCORBOT-ER 4u"</f>
        <v>SCORBOT-ER 4u</v>
      </c>
      <c r="D2621">
        <v>1</v>
      </c>
      <c r="E2621" t="str">
        <f t="shared" ref="E2621:E2639" si="665">"FMS - Scorbot ER4U Robot for EMCO Mill &amp; Turn"</f>
        <v>FMS - Scorbot ER4U Robot for EMCO Mill &amp; Turn</v>
      </c>
      <c r="F2621">
        <v>502</v>
      </c>
      <c r="G2621" t="str">
        <f t="shared" si="651"/>
        <v>Y</v>
      </c>
      <c r="H2621" t="str">
        <f t="shared" si="663"/>
        <v>EA</v>
      </c>
      <c r="I2621">
        <v>0</v>
      </c>
      <c r="J2621">
        <v>0</v>
      </c>
      <c r="K2621" t="str">
        <f t="shared" si="652"/>
        <v>Y</v>
      </c>
      <c r="L2621">
        <v>0</v>
      </c>
      <c r="M2621" t="str">
        <f t="shared" si="657"/>
        <v>NIS</v>
      </c>
      <c r="O2621">
        <v>1</v>
      </c>
      <c r="P2621" t="str">
        <f t="shared" si="662"/>
        <v>Active</v>
      </c>
      <c r="Q2621" t="str">
        <f>"SCORBOT-ER 4u (Package)"</f>
        <v>SCORBOT-ER 4u (Package)</v>
      </c>
      <c r="S2621" t="str">
        <f>"SCORBOT-ER 4u (Package)"</f>
        <v>SCORBOT-ER 4u (Package)</v>
      </c>
      <c r="T2621">
        <v>0</v>
      </c>
      <c r="U2621" s="44">
        <v>3200</v>
      </c>
      <c r="V2621" s="44">
        <v>3390.7</v>
      </c>
      <c r="W2621" t="str">
        <f t="shared" si="658"/>
        <v>rob</v>
      </c>
    </row>
    <row r="2622" spans="1:23">
      <c r="A2622" t="str">
        <f t="shared" si="664"/>
        <v>MTS-ER4U-2CNC-EM</v>
      </c>
      <c r="B2622" t="str">
        <f>"00-0609-0000"</f>
        <v>00-0609-0000</v>
      </c>
      <c r="C2622" t="str">
        <f>"Gripper attachment for round and square parts"</f>
        <v>Gripper attachment for round and square parts</v>
      </c>
      <c r="D2622">
        <v>1</v>
      </c>
      <c r="E2622" t="str">
        <f t="shared" si="665"/>
        <v>FMS - Scorbot ER4U Robot for EMCO Mill &amp; Turn</v>
      </c>
      <c r="F2622">
        <v>502</v>
      </c>
      <c r="G2622" t="str">
        <f t="shared" si="651"/>
        <v>Y</v>
      </c>
      <c r="H2622" t="str">
        <f t="shared" si="663"/>
        <v>EA</v>
      </c>
      <c r="I2622">
        <v>0</v>
      </c>
      <c r="J2622">
        <v>0</v>
      </c>
      <c r="K2622" t="str">
        <f t="shared" si="652"/>
        <v>Y</v>
      </c>
      <c r="L2622">
        <v>0</v>
      </c>
      <c r="M2622" t="str">
        <f t="shared" si="657"/>
        <v>NIS</v>
      </c>
      <c r="O2622">
        <v>2</v>
      </c>
      <c r="P2622" t="str">
        <f t="shared" si="662"/>
        <v>Active</v>
      </c>
      <c r="Q2622" t="str">
        <f>"End Effector Attachment for ER4U Gripper"</f>
        <v>End Effector Attachment for ER4U Gripper</v>
      </c>
      <c r="S2622" t="str">
        <f>"End Effector Attachment for ER4U Gripper"</f>
        <v>End Effector Attachment for ER4U Gripper</v>
      </c>
      <c r="T2622">
        <v>0</v>
      </c>
      <c r="U2622">
        <v>25.59</v>
      </c>
      <c r="V2622">
        <v>25.11</v>
      </c>
      <c r="W2622" t="str">
        <f t="shared" si="658"/>
        <v>rob</v>
      </c>
    </row>
    <row r="2623" spans="1:23">
      <c r="A2623" t="str">
        <f t="shared" si="664"/>
        <v>MTS-ER4U-2CNC-EM</v>
      </c>
      <c r="B2623" t="str">
        <f>"00-1710-0000"</f>
        <v>00-1710-0000</v>
      </c>
      <c r="C2623" t="str">
        <f>"Teach Pendant"</f>
        <v>Teach Pendant</v>
      </c>
      <c r="D2623">
        <v>1</v>
      </c>
      <c r="E2623" t="str">
        <f t="shared" si="665"/>
        <v>FMS - Scorbot ER4U Robot for EMCO Mill &amp; Turn</v>
      </c>
      <c r="F2623">
        <v>502</v>
      </c>
      <c r="G2623" t="str">
        <f t="shared" si="651"/>
        <v>Y</v>
      </c>
      <c r="H2623" t="str">
        <f t="shared" si="663"/>
        <v>EA</v>
      </c>
      <c r="I2623">
        <v>0</v>
      </c>
      <c r="J2623">
        <v>0</v>
      </c>
      <c r="K2623" t="str">
        <f t="shared" si="652"/>
        <v>Y</v>
      </c>
      <c r="L2623">
        <v>0</v>
      </c>
      <c r="M2623" t="str">
        <f t="shared" si="657"/>
        <v>NIS</v>
      </c>
      <c r="O2623">
        <v>3</v>
      </c>
      <c r="P2623" t="str">
        <f t="shared" si="662"/>
        <v>Active</v>
      </c>
      <c r="Q2623" t="str">
        <f>"Teach Pendant for USB/USB Pro Controllers"</f>
        <v>Teach Pendant for USB/USB Pro Controllers</v>
      </c>
      <c r="S2623" t="str">
        <f>"Teach Pendant for USB/USB Pro Controllers"</f>
        <v>Teach Pendant for USB/USB Pro Controllers</v>
      </c>
      <c r="T2623">
        <v>0</v>
      </c>
      <c r="U2623">
        <v>160.18</v>
      </c>
      <c r="V2623">
        <v>161.44999999999999</v>
      </c>
      <c r="W2623" t="str">
        <f t="shared" si="658"/>
        <v>rob</v>
      </c>
    </row>
    <row r="2624" spans="1:23">
      <c r="A2624" t="str">
        <f t="shared" si="664"/>
        <v>MTS-ER4U-2CNC-EM</v>
      </c>
      <c r="B2624" t="str">
        <f>"00-1021-0000"</f>
        <v>00-1021-0000</v>
      </c>
      <c r="C2624" t="str">
        <f>"LSB 1.8m, Belt, TT"</f>
        <v>LSB 1.8m, Belt, TT</v>
      </c>
      <c r="D2624">
        <v>1</v>
      </c>
      <c r="E2624" t="str">
        <f t="shared" si="665"/>
        <v>FMS - Scorbot ER4U Robot for EMCO Mill &amp; Turn</v>
      </c>
      <c r="F2624">
        <v>502</v>
      </c>
      <c r="G2624" t="str">
        <f t="shared" si="651"/>
        <v>Y</v>
      </c>
      <c r="H2624" t="str">
        <f t="shared" si="663"/>
        <v>EA</v>
      </c>
      <c r="I2624">
        <v>0</v>
      </c>
      <c r="J2624">
        <v>0</v>
      </c>
      <c r="K2624" t="str">
        <f t="shared" si="652"/>
        <v>Y</v>
      </c>
      <c r="L2624">
        <v>0</v>
      </c>
      <c r="M2624" t="str">
        <f t="shared" si="657"/>
        <v>NIS</v>
      </c>
      <c r="O2624">
        <v>4</v>
      </c>
      <c r="P2624" t="str">
        <f t="shared" si="662"/>
        <v>Active</v>
      </c>
      <c r="Q2624" t="str">
        <f>"LSB 1.8 m (Belt, Table-Top)"</f>
        <v>LSB 1.8 m (Belt, Table-Top)</v>
      </c>
      <c r="S2624" t="str">
        <f>"LSB 1.8m, Belt, Table-Top"</f>
        <v>LSB 1.8m, Belt, Table-Top</v>
      </c>
      <c r="T2624">
        <v>0</v>
      </c>
      <c r="U2624" s="44">
        <v>2056.5700000000002</v>
      </c>
      <c r="V2624" s="44">
        <v>1953.96</v>
      </c>
      <c r="W2624" t="str">
        <f t="shared" si="658"/>
        <v>rob</v>
      </c>
    </row>
    <row r="2625" spans="1:23">
      <c r="A2625" t="str">
        <f t="shared" si="664"/>
        <v>MTS-ER4U-2CNC-EM</v>
      </c>
      <c r="B2625" t="str">
        <f>"10-1003-8000"</f>
        <v>10-1003-8000</v>
      </c>
      <c r="C2625" t="str">
        <f>"Stand for table's LSB"</f>
        <v>Stand for table's LSB</v>
      </c>
      <c r="D2625">
        <v>1</v>
      </c>
      <c r="E2625" t="str">
        <f t="shared" si="665"/>
        <v>FMS - Scorbot ER4U Robot for EMCO Mill &amp; Turn</v>
      </c>
      <c r="F2625">
        <v>502</v>
      </c>
      <c r="G2625" t="str">
        <f t="shared" si="651"/>
        <v>Y</v>
      </c>
      <c r="H2625" t="str">
        <f t="shared" si="663"/>
        <v>EA</v>
      </c>
      <c r="I2625">
        <v>0</v>
      </c>
      <c r="J2625">
        <v>0</v>
      </c>
      <c r="K2625" t="str">
        <f t="shared" si="652"/>
        <v>Y</v>
      </c>
      <c r="L2625">
        <v>0</v>
      </c>
      <c r="M2625" t="str">
        <f t="shared" si="657"/>
        <v>NIS</v>
      </c>
      <c r="O2625">
        <v>5</v>
      </c>
      <c r="P2625" t="str">
        <f t="shared" si="662"/>
        <v>Active</v>
      </c>
      <c r="Q2625" t="str">
        <f>"Stand for table's LSB"</f>
        <v>Stand for table's LSB</v>
      </c>
      <c r="S2625" t="str">
        <f>"Stand for table's LSB"</f>
        <v>Stand for table's LSB</v>
      </c>
      <c r="T2625">
        <v>0</v>
      </c>
      <c r="U2625">
        <v>233</v>
      </c>
      <c r="V2625">
        <v>237.29</v>
      </c>
      <c r="W2625" t="str">
        <f t="shared" si="658"/>
        <v>rob</v>
      </c>
    </row>
    <row r="2626" spans="1:23">
      <c r="A2626" t="str">
        <f t="shared" si="664"/>
        <v>MTS-ER4U-2CNC-EM</v>
      </c>
      <c r="B2626" t="str">
        <f>"021152"</f>
        <v>021152</v>
      </c>
      <c r="C2626" t="str">
        <f>"Shelf Buffer for CIM conveyor"</f>
        <v>Shelf Buffer for CIM conveyor</v>
      </c>
      <c r="D2626">
        <v>1</v>
      </c>
      <c r="E2626" t="str">
        <f t="shared" si="665"/>
        <v>FMS - Scorbot ER4U Robot for EMCO Mill &amp; Turn</v>
      </c>
      <c r="F2626">
        <v>502</v>
      </c>
      <c r="G2626" t="str">
        <f t="shared" ref="G2626:G2689" si="666">"Y"</f>
        <v>Y</v>
      </c>
      <c r="H2626" t="str">
        <f t="shared" si="663"/>
        <v>EA</v>
      </c>
      <c r="I2626">
        <v>0</v>
      </c>
      <c r="J2626">
        <v>0</v>
      </c>
      <c r="K2626" t="str">
        <f t="shared" ref="K2626:K2689" si="667">"Y"</f>
        <v>Y</v>
      </c>
      <c r="L2626">
        <v>0</v>
      </c>
      <c r="M2626" t="str">
        <f t="shared" si="657"/>
        <v>NIS</v>
      </c>
      <c r="O2626">
        <v>6</v>
      </c>
      <c r="P2626" t="str">
        <f t="shared" si="662"/>
        <v>Active</v>
      </c>
      <c r="Q2626" t="str">
        <f>"מכלול- מדף בפר סטנדרטי OPEN-CIM"</f>
        <v>מכלול- מדף בפר סטנדרטי OPEN-CIM</v>
      </c>
      <c r="R2626" t="str">
        <f>"1"</f>
        <v>1</v>
      </c>
      <c r="S2626" t="str">
        <f>"מכלול- מדף בפר סטנדרטי OPEN-CIM"</f>
        <v>מכלול- מדף בפר סטנדרטי OPEN-CIM</v>
      </c>
      <c r="T2626">
        <v>0</v>
      </c>
      <c r="U2626">
        <v>83.12</v>
      </c>
      <c r="V2626">
        <v>92.76</v>
      </c>
      <c r="W2626" t="str">
        <f t="shared" si="658"/>
        <v>rob</v>
      </c>
    </row>
    <row r="2627" spans="1:23">
      <c r="A2627" t="str">
        <f t="shared" si="664"/>
        <v>MTS-ER4U-2CNC-EM</v>
      </c>
      <c r="B2627" t="str">
        <f>"10-2521-7000"</f>
        <v>10-2521-7000</v>
      </c>
      <c r="C2627" t="str">
        <f>"Pneumatic Feeder for Rectangular products"</f>
        <v>Pneumatic Feeder for Rectangular products</v>
      </c>
      <c r="D2627">
        <v>1</v>
      </c>
      <c r="E2627" t="str">
        <f t="shared" si="665"/>
        <v>FMS - Scorbot ER4U Robot for EMCO Mill &amp; Turn</v>
      </c>
      <c r="F2627">
        <v>502</v>
      </c>
      <c r="G2627" t="str">
        <f t="shared" si="666"/>
        <v>Y</v>
      </c>
      <c r="H2627" t="str">
        <f t="shared" si="663"/>
        <v>EA</v>
      </c>
      <c r="I2627">
        <v>0</v>
      </c>
      <c r="J2627">
        <v>0</v>
      </c>
      <c r="K2627" t="str">
        <f t="shared" si="667"/>
        <v>Y</v>
      </c>
      <c r="L2627">
        <v>0</v>
      </c>
      <c r="M2627" t="str">
        <f t="shared" si="657"/>
        <v>NIS</v>
      </c>
      <c r="O2627">
        <v>7</v>
      </c>
      <c r="P2627" t="str">
        <f t="shared" si="662"/>
        <v>Active</v>
      </c>
      <c r="Q2627" t="str">
        <f>"Pneumatic Feeder for Rectangular Parts"</f>
        <v>Pneumatic Feeder for Rectangular Parts</v>
      </c>
      <c r="S2627" t="str">
        <f>"Pneumatic Feeder for Rectangular Parts"</f>
        <v>Pneumatic Feeder for Rectangular Parts</v>
      </c>
      <c r="T2627">
        <v>0</v>
      </c>
      <c r="U2627">
        <v>595</v>
      </c>
      <c r="V2627">
        <v>555.15</v>
      </c>
      <c r="W2627" t="str">
        <f t="shared" si="658"/>
        <v>rob</v>
      </c>
    </row>
    <row r="2628" spans="1:23">
      <c r="A2628" t="str">
        <f t="shared" si="664"/>
        <v>MTS-ER4U-2CNC-EM</v>
      </c>
      <c r="B2628" t="str">
        <f>"10-1007-4000"</f>
        <v>10-1007-4000</v>
      </c>
      <c r="C2628" t="str">
        <f>"Gravity Parts Feeder (with microswitch sensor)"</f>
        <v>Gravity Parts Feeder (with microswitch sensor)</v>
      </c>
      <c r="D2628">
        <v>1</v>
      </c>
      <c r="E2628" t="str">
        <f t="shared" si="665"/>
        <v>FMS - Scorbot ER4U Robot for EMCO Mill &amp; Turn</v>
      </c>
      <c r="F2628">
        <v>502</v>
      </c>
      <c r="G2628" t="str">
        <f t="shared" si="666"/>
        <v>Y</v>
      </c>
      <c r="H2628" t="str">
        <f t="shared" si="663"/>
        <v>EA</v>
      </c>
      <c r="I2628">
        <v>0</v>
      </c>
      <c r="J2628">
        <v>0</v>
      </c>
      <c r="K2628" t="str">
        <f t="shared" si="667"/>
        <v>Y</v>
      </c>
      <c r="L2628">
        <v>0</v>
      </c>
      <c r="M2628" t="str">
        <f t="shared" si="657"/>
        <v>NIS</v>
      </c>
      <c r="O2628">
        <v>8</v>
      </c>
      <c r="P2628" t="str">
        <f t="shared" si="662"/>
        <v>Active</v>
      </c>
      <c r="Q2628" t="str">
        <f>"Gravity Parts Feeder (incl.microswitch sensor)"</f>
        <v>Gravity Parts Feeder (incl.microswitch sensor)</v>
      </c>
      <c r="S2628" t="str">
        <f>"Gravity Parts Feeder (incl.microswitch sensor)"</f>
        <v>Gravity Parts Feeder (incl.microswitch sensor)</v>
      </c>
      <c r="T2628">
        <v>0</v>
      </c>
      <c r="U2628">
        <v>148</v>
      </c>
      <c r="V2628">
        <v>148.26</v>
      </c>
      <c r="W2628" t="str">
        <f t="shared" si="658"/>
        <v>rob</v>
      </c>
    </row>
    <row r="2629" spans="1:23">
      <c r="A2629" t="str">
        <f t="shared" si="664"/>
        <v>MTS-ER4U-2CNC-EM</v>
      </c>
      <c r="B2629" t="str">
        <f>"00-1110-0000"</f>
        <v>00-1110-0000</v>
      </c>
      <c r="C2629" t="str">
        <f>"Palletizing Rack"</f>
        <v>Palletizing Rack</v>
      </c>
      <c r="D2629">
        <v>1</v>
      </c>
      <c r="E2629" t="str">
        <f t="shared" si="665"/>
        <v>FMS - Scorbot ER4U Robot for EMCO Mill &amp; Turn</v>
      </c>
      <c r="F2629">
        <v>502</v>
      </c>
      <c r="G2629" t="str">
        <f t="shared" si="666"/>
        <v>Y</v>
      </c>
      <c r="H2629" t="str">
        <f t="shared" si="663"/>
        <v>EA</v>
      </c>
      <c r="I2629">
        <v>0</v>
      </c>
      <c r="J2629">
        <v>0</v>
      </c>
      <c r="K2629" t="str">
        <f t="shared" si="667"/>
        <v>Y</v>
      </c>
      <c r="L2629">
        <v>0</v>
      </c>
      <c r="M2629" t="str">
        <f t="shared" si="657"/>
        <v>NIS</v>
      </c>
      <c r="O2629">
        <v>9</v>
      </c>
      <c r="P2629" t="str">
        <f t="shared" si="662"/>
        <v>Active</v>
      </c>
      <c r="Q2629" t="str">
        <f>"Palletizing Rack (incl. Pins for creating Jigs)"</f>
        <v>Palletizing Rack (incl. Pins for creating Jigs)</v>
      </c>
      <c r="S2629" t="str">
        <f>"Palletizing Rack (incl. Pins for creating Jigs)"</f>
        <v>Palletizing Rack (incl. Pins for creating Jigs)</v>
      </c>
      <c r="T2629">
        <v>0</v>
      </c>
      <c r="U2629">
        <v>63</v>
      </c>
      <c r="V2629">
        <v>58.59</v>
      </c>
      <c r="W2629" t="str">
        <f t="shared" si="658"/>
        <v>rob</v>
      </c>
    </row>
    <row r="2630" spans="1:23">
      <c r="A2630" t="str">
        <f t="shared" si="664"/>
        <v>MTS-ER4U-2CNC-EM</v>
      </c>
      <c r="B2630" t="str">
        <f>"021182"</f>
        <v>021182</v>
      </c>
      <c r="C2630" t="str">
        <f>"97mm Height Adapter"</f>
        <v>97mm Height Adapter</v>
      </c>
      <c r="D2630">
        <v>1</v>
      </c>
      <c r="E2630" t="str">
        <f t="shared" si="665"/>
        <v>FMS - Scorbot ER4U Robot for EMCO Mill &amp; Turn</v>
      </c>
      <c r="F2630">
        <v>502</v>
      </c>
      <c r="G2630" t="str">
        <f t="shared" si="666"/>
        <v>Y</v>
      </c>
      <c r="H2630" t="str">
        <f t="shared" si="663"/>
        <v>EA</v>
      </c>
      <c r="I2630">
        <v>0</v>
      </c>
      <c r="J2630">
        <v>0</v>
      </c>
      <c r="K2630" t="str">
        <f t="shared" si="667"/>
        <v>Y</v>
      </c>
      <c r="L2630">
        <v>0</v>
      </c>
      <c r="M2630" t="str">
        <f t="shared" si="657"/>
        <v>NIS</v>
      </c>
      <c r="O2630">
        <v>10</v>
      </c>
      <c r="P2630" t="str">
        <f t="shared" si="662"/>
        <v>Active</v>
      </c>
      <c r="Q2630" t="str">
        <f>"97mm Height Adapter -Rack 001110 on formica 28mm"</f>
        <v>97mm Height Adapter -Rack 001110 on formica 28mm</v>
      </c>
      <c r="S2630" t="str">
        <f>"97mm Height Adapter -Rack 001110 on formica 28mm"</f>
        <v>97mm Height Adapter -Rack 001110 on formica 28mm</v>
      </c>
      <c r="T2630">
        <v>0</v>
      </c>
      <c r="U2630">
        <v>7</v>
      </c>
      <c r="V2630">
        <v>5.5</v>
      </c>
      <c r="W2630" t="str">
        <f t="shared" si="658"/>
        <v>rob</v>
      </c>
    </row>
    <row r="2631" spans="1:23">
      <c r="A2631" t="str">
        <f t="shared" si="664"/>
        <v>MTS-ER4U-2CNC-EM</v>
      </c>
      <c r="B2631" t="str">
        <f>"10-2118-9000"</f>
        <v>10-2118-9000</v>
      </c>
      <c r="C2631" t="str">
        <f>"CNC Interface Option USB to I/O"</f>
        <v>CNC Interface Option USB to I/O</v>
      </c>
      <c r="D2631">
        <v>2</v>
      </c>
      <c r="E2631" t="str">
        <f t="shared" si="665"/>
        <v>FMS - Scorbot ER4U Robot for EMCO Mill &amp; Turn</v>
      </c>
      <c r="F2631">
        <v>502</v>
      </c>
      <c r="G2631" t="str">
        <f t="shared" si="666"/>
        <v>Y</v>
      </c>
      <c r="H2631" t="str">
        <f t="shared" si="663"/>
        <v>EA</v>
      </c>
      <c r="I2631">
        <v>0</v>
      </c>
      <c r="J2631">
        <v>0</v>
      </c>
      <c r="K2631" t="str">
        <f t="shared" si="667"/>
        <v>Y</v>
      </c>
      <c r="L2631">
        <v>0</v>
      </c>
      <c r="M2631" t="str">
        <f t="shared" si="657"/>
        <v>NIS</v>
      </c>
      <c r="O2631">
        <v>11</v>
      </c>
      <c r="P2631" t="str">
        <f>"ECO-N2Mnf"</f>
        <v>ECO-N2Mnf</v>
      </c>
      <c r="Q2631" t="str">
        <f>"CNC Interface Option USB to I/O"</f>
        <v>CNC Interface Option USB to I/O</v>
      </c>
      <c r="S2631" t="str">
        <f>"CNC Interface Option USB to I/O"</f>
        <v>CNC Interface Option USB to I/O</v>
      </c>
      <c r="T2631">
        <v>0</v>
      </c>
      <c r="U2631">
        <v>0.1</v>
      </c>
      <c r="V2631">
        <v>0</v>
      </c>
      <c r="W2631" t="str">
        <f t="shared" si="658"/>
        <v>rob</v>
      </c>
    </row>
    <row r="2632" spans="1:23">
      <c r="A2632" t="str">
        <f t="shared" si="664"/>
        <v>MTS-ER4U-2CNC-EM</v>
      </c>
      <c r="B2632" t="str">
        <f>"10-2116-2000"</f>
        <v>10-2116-2000</v>
      </c>
      <c r="C2632" t="str">
        <f>"Pneumatic Flip Device for 3rd Party CNC Mill"</f>
        <v>Pneumatic Flip Device for 3rd Party CNC Mill</v>
      </c>
      <c r="D2632">
        <v>1</v>
      </c>
      <c r="E2632" t="str">
        <f t="shared" si="665"/>
        <v>FMS - Scorbot ER4U Robot for EMCO Mill &amp; Turn</v>
      </c>
      <c r="F2632">
        <v>502</v>
      </c>
      <c r="G2632" t="str">
        <f t="shared" si="666"/>
        <v>Y</v>
      </c>
      <c r="H2632" t="str">
        <f t="shared" si="663"/>
        <v>EA</v>
      </c>
      <c r="I2632">
        <v>0</v>
      </c>
      <c r="J2632">
        <v>0</v>
      </c>
      <c r="K2632" t="str">
        <f t="shared" si="667"/>
        <v>Y</v>
      </c>
      <c r="L2632">
        <v>0</v>
      </c>
      <c r="M2632" t="str">
        <f t="shared" si="657"/>
        <v>NIS</v>
      </c>
      <c r="O2632">
        <v>12</v>
      </c>
      <c r="P2632" t="str">
        <f t="shared" ref="P2632:P2647" si="668">"Active"</f>
        <v>Active</v>
      </c>
      <c r="Q2632" t="str">
        <f>"Pneumatic Flip Device"</f>
        <v>Pneumatic Flip Device</v>
      </c>
      <c r="S2632" t="str">
        <f>"Pneumatic Flip Device"</f>
        <v>Pneumatic Flip Device</v>
      </c>
      <c r="T2632">
        <v>0</v>
      </c>
      <c r="U2632">
        <v>503.58</v>
      </c>
      <c r="V2632">
        <v>467.47</v>
      </c>
      <c r="W2632" t="str">
        <f t="shared" si="658"/>
        <v>rob</v>
      </c>
    </row>
    <row r="2633" spans="1:23">
      <c r="A2633" t="str">
        <f t="shared" si="664"/>
        <v>MTS-ER4U-2CNC-EM</v>
      </c>
      <c r="B2633" t="str">
        <f>"10-2118-6000"</f>
        <v>10-2118-6000</v>
      </c>
      <c r="C2633" t="str">
        <f>"CNC Interface with EMCO MILL"</f>
        <v>CNC Interface with EMCO MILL</v>
      </c>
      <c r="D2633">
        <v>1</v>
      </c>
      <c r="E2633" t="str">
        <f t="shared" si="665"/>
        <v>FMS - Scorbot ER4U Robot for EMCO Mill &amp; Turn</v>
      </c>
      <c r="F2633">
        <v>502</v>
      </c>
      <c r="G2633" t="str">
        <f t="shared" si="666"/>
        <v>Y</v>
      </c>
      <c r="H2633" t="str">
        <f t="shared" si="663"/>
        <v>EA</v>
      </c>
      <c r="I2633">
        <v>0</v>
      </c>
      <c r="J2633">
        <v>0</v>
      </c>
      <c r="K2633" t="str">
        <f t="shared" si="667"/>
        <v>Y</v>
      </c>
      <c r="L2633">
        <v>0</v>
      </c>
      <c r="M2633" t="str">
        <f t="shared" si="657"/>
        <v>NIS</v>
      </c>
      <c r="O2633">
        <v>13</v>
      </c>
      <c r="P2633" t="str">
        <f t="shared" si="668"/>
        <v>Active</v>
      </c>
      <c r="Q2633" t="str">
        <f>"CNC Interface with EMCO MILL"</f>
        <v>CNC Interface with EMCO MILL</v>
      </c>
      <c r="S2633" t="str">
        <f>"CNC Interface with EMCO MILL"</f>
        <v>CNC Interface with EMCO MILL</v>
      </c>
      <c r="T2633">
        <v>0</v>
      </c>
      <c r="U2633">
        <v>20.28</v>
      </c>
      <c r="V2633">
        <v>13.85</v>
      </c>
      <c r="W2633" t="str">
        <f t="shared" si="658"/>
        <v>rob</v>
      </c>
    </row>
    <row r="2634" spans="1:23">
      <c r="A2634" t="str">
        <f t="shared" si="664"/>
        <v>MTS-ER4U-2CNC-EM</v>
      </c>
      <c r="B2634" t="str">
        <f>"10-2118-7000"</f>
        <v>10-2118-7000</v>
      </c>
      <c r="C2634" t="str">
        <f>"CNC Interface with EMCO TURN"</f>
        <v>CNC Interface with EMCO TURN</v>
      </c>
      <c r="D2634">
        <v>1</v>
      </c>
      <c r="E2634" t="str">
        <f t="shared" si="665"/>
        <v>FMS - Scorbot ER4U Robot for EMCO Mill &amp; Turn</v>
      </c>
      <c r="F2634">
        <v>502</v>
      </c>
      <c r="G2634" t="str">
        <f t="shared" si="666"/>
        <v>Y</v>
      </c>
      <c r="H2634" t="str">
        <f t="shared" si="663"/>
        <v>EA</v>
      </c>
      <c r="I2634">
        <v>0</v>
      </c>
      <c r="J2634">
        <v>0</v>
      </c>
      <c r="K2634" t="str">
        <f t="shared" si="667"/>
        <v>Y</v>
      </c>
      <c r="L2634">
        <v>0</v>
      </c>
      <c r="M2634" t="str">
        <f t="shared" si="657"/>
        <v>NIS</v>
      </c>
      <c r="O2634">
        <v>14</v>
      </c>
      <c r="P2634" t="str">
        <f t="shared" si="668"/>
        <v>Active</v>
      </c>
      <c r="Q2634" t="str">
        <f>"CNC Interface with EMCO TURN"</f>
        <v>CNC Interface with EMCO TURN</v>
      </c>
      <c r="S2634" t="str">
        <f>"CNC Interface with EMCO TURN"</f>
        <v>CNC Interface with EMCO TURN</v>
      </c>
      <c r="T2634">
        <v>0</v>
      </c>
      <c r="U2634">
        <v>20.28</v>
      </c>
      <c r="V2634">
        <v>13.85</v>
      </c>
      <c r="W2634" t="str">
        <f t="shared" si="658"/>
        <v>rob</v>
      </c>
    </row>
    <row r="2635" spans="1:23">
      <c r="A2635" t="str">
        <f t="shared" si="664"/>
        <v>MTS-ER4U-2CNC-EM</v>
      </c>
      <c r="B2635" t="str">
        <f>"113034"</f>
        <v>113034</v>
      </c>
      <c r="C2635" t="str">
        <f>"Raw Material - Perspex Block"</f>
        <v>Raw Material - Perspex Block</v>
      </c>
      <c r="D2635">
        <v>1</v>
      </c>
      <c r="E2635" t="str">
        <f t="shared" si="665"/>
        <v>FMS - Scorbot ER4U Robot for EMCO Mill &amp; Turn</v>
      </c>
      <c r="F2635">
        <v>502</v>
      </c>
      <c r="G2635" t="str">
        <f t="shared" si="666"/>
        <v>Y</v>
      </c>
      <c r="H2635" t="str">
        <f t="shared" si="663"/>
        <v>EA</v>
      </c>
      <c r="I2635">
        <v>0</v>
      </c>
      <c r="J2635">
        <v>0</v>
      </c>
      <c r="K2635" t="str">
        <f t="shared" si="667"/>
        <v>Y</v>
      </c>
      <c r="L2635">
        <v>0</v>
      </c>
      <c r="M2635" t="str">
        <f t="shared" si="657"/>
        <v>NIS</v>
      </c>
      <c r="O2635">
        <v>15</v>
      </c>
      <c r="P2635" t="str">
        <f t="shared" si="668"/>
        <v>Active</v>
      </c>
      <c r="Q2635" t="str">
        <f>"Raw Material Stock - Perspex Block"</f>
        <v>Raw Material Stock - Perspex Block</v>
      </c>
      <c r="S2635" t="str">
        <f>"Raw Material Stock - Perspex Block"</f>
        <v>Raw Material Stock - Perspex Block</v>
      </c>
      <c r="T2635">
        <v>0</v>
      </c>
      <c r="U2635">
        <v>1.1000000000000001</v>
      </c>
      <c r="V2635">
        <v>1.0900000000000001</v>
      </c>
      <c r="W2635" t="str">
        <f t="shared" si="658"/>
        <v>rob</v>
      </c>
    </row>
    <row r="2636" spans="1:23">
      <c r="A2636" t="str">
        <f t="shared" si="664"/>
        <v>MTS-ER4U-2CNC-EM</v>
      </c>
      <c r="B2636" t="str">
        <f>"112496"</f>
        <v>112496</v>
      </c>
      <c r="C2636" t="str">
        <f>"Raw Material - Brass  Rod"</f>
        <v>Raw Material - Brass  Rod</v>
      </c>
      <c r="D2636">
        <v>1</v>
      </c>
      <c r="E2636" t="str">
        <f t="shared" si="665"/>
        <v>FMS - Scorbot ER4U Robot for EMCO Mill &amp; Turn</v>
      </c>
      <c r="F2636">
        <v>502</v>
      </c>
      <c r="G2636" t="str">
        <f t="shared" si="666"/>
        <v>Y</v>
      </c>
      <c r="H2636" t="str">
        <f t="shared" si="663"/>
        <v>EA</v>
      </c>
      <c r="I2636">
        <v>0</v>
      </c>
      <c r="J2636">
        <v>0</v>
      </c>
      <c r="K2636" t="str">
        <f t="shared" si="667"/>
        <v>Y</v>
      </c>
      <c r="L2636">
        <v>0</v>
      </c>
      <c r="M2636" t="str">
        <f t="shared" si="657"/>
        <v>NIS</v>
      </c>
      <c r="O2636">
        <v>16</v>
      </c>
      <c r="P2636" t="str">
        <f t="shared" si="668"/>
        <v>Active</v>
      </c>
      <c r="Q2636" t="str">
        <f>"Raw Material Stock - Brass  Rod"</f>
        <v>Raw Material Stock - Brass  Rod</v>
      </c>
      <c r="S2636" t="str">
        <f>"Raw Material Stock - Brass  Rod"</f>
        <v>Raw Material Stock - Brass  Rod</v>
      </c>
      <c r="T2636">
        <v>0</v>
      </c>
      <c r="U2636">
        <v>3.67</v>
      </c>
      <c r="V2636">
        <v>2.69</v>
      </c>
      <c r="W2636" t="str">
        <f t="shared" si="658"/>
        <v>rob</v>
      </c>
    </row>
    <row r="2637" spans="1:23">
      <c r="A2637" t="str">
        <f t="shared" si="664"/>
        <v>MTS-ER4U-2CNC-EM</v>
      </c>
      <c r="B2637" t="str">
        <f>"00-1251-0000"</f>
        <v>00-1251-0000</v>
      </c>
      <c r="C2637" t="str">
        <f>"Workbench 1500x800mm (Formica Top)"</f>
        <v>Workbench 1500x800mm (Formica Top)</v>
      </c>
      <c r="D2637">
        <v>1</v>
      </c>
      <c r="E2637" t="str">
        <f t="shared" si="665"/>
        <v>FMS - Scorbot ER4U Robot for EMCO Mill &amp; Turn</v>
      </c>
      <c r="F2637">
        <v>502</v>
      </c>
      <c r="G2637" t="str">
        <f t="shared" si="666"/>
        <v>Y</v>
      </c>
      <c r="H2637" t="str">
        <f t="shared" si="663"/>
        <v>EA</v>
      </c>
      <c r="I2637">
        <v>0</v>
      </c>
      <c r="J2637">
        <v>0</v>
      </c>
      <c r="K2637" t="str">
        <f t="shared" si="667"/>
        <v>Y</v>
      </c>
      <c r="L2637">
        <v>0</v>
      </c>
      <c r="M2637" t="str">
        <f t="shared" si="657"/>
        <v>NIS</v>
      </c>
      <c r="O2637">
        <v>17</v>
      </c>
      <c r="P2637" t="str">
        <f t="shared" si="668"/>
        <v>Active</v>
      </c>
      <c r="Q2637" t="str">
        <f>"Workbench 1500x800mm (Formica Top)"</f>
        <v>Workbench 1500x800mm (Formica Top)</v>
      </c>
      <c r="S2637" t="str">
        <f>"Workbench 1500x800mm (Formica Top)"</f>
        <v>Workbench 1500x800mm (Formica Top)</v>
      </c>
      <c r="T2637">
        <v>0</v>
      </c>
      <c r="U2637">
        <v>582</v>
      </c>
      <c r="V2637">
        <v>588.6</v>
      </c>
      <c r="W2637" t="str">
        <f t="shared" si="658"/>
        <v>rob</v>
      </c>
    </row>
    <row r="2638" spans="1:23">
      <c r="A2638" t="str">
        <f t="shared" si="664"/>
        <v>MTS-ER4U-2CNC-EM</v>
      </c>
      <c r="B2638" t="str">
        <f>"00-1290-0000"</f>
        <v>00-1290-0000</v>
      </c>
      <c r="C2638" t="str">
        <f>"PC Table 630x800mm (with Keyboard Drawer)"</f>
        <v>PC Table 630x800mm (with Keyboard Drawer)</v>
      </c>
      <c r="D2638">
        <v>1</v>
      </c>
      <c r="E2638" t="str">
        <f t="shared" si="665"/>
        <v>FMS - Scorbot ER4U Robot for EMCO Mill &amp; Turn</v>
      </c>
      <c r="F2638">
        <v>502</v>
      </c>
      <c r="G2638" t="str">
        <f t="shared" si="666"/>
        <v>Y</v>
      </c>
      <c r="H2638" t="str">
        <f t="shared" si="663"/>
        <v>EA</v>
      </c>
      <c r="I2638">
        <v>0</v>
      </c>
      <c r="J2638">
        <v>0</v>
      </c>
      <c r="K2638" t="str">
        <f t="shared" si="667"/>
        <v>Y</v>
      </c>
      <c r="L2638">
        <v>0</v>
      </c>
      <c r="M2638" t="str">
        <f t="shared" si="657"/>
        <v>NIS</v>
      </c>
      <c r="O2638">
        <v>18</v>
      </c>
      <c r="P2638" t="str">
        <f t="shared" si="668"/>
        <v>Active</v>
      </c>
      <c r="Q2638" t="str">
        <f>"PC Table 630x800mm (with Keyboard Drawer)"</f>
        <v>PC Table 630x800mm (with Keyboard Drawer)</v>
      </c>
      <c r="S2638" t="str">
        <f>"PC Table 630x800mm (with Keyboard Drawer)"</f>
        <v>PC Table 630x800mm (with Keyboard Drawer)</v>
      </c>
      <c r="T2638">
        <v>0</v>
      </c>
      <c r="U2638">
        <v>405.86</v>
      </c>
      <c r="V2638">
        <v>329.34</v>
      </c>
      <c r="W2638" t="str">
        <f t="shared" si="658"/>
        <v>rob</v>
      </c>
    </row>
    <row r="2639" spans="1:23">
      <c r="A2639" t="str">
        <f t="shared" si="664"/>
        <v>MTS-ER4U-2CNC-EM</v>
      </c>
      <c r="B2639" t="str">
        <f>"50-0094-0000"</f>
        <v>50-0094-0000</v>
      </c>
      <c r="C2639" t="str">
        <f>"Pre-Engineering, Design and Testing"</f>
        <v>Pre-Engineering, Design and Testing</v>
      </c>
      <c r="D2639">
        <v>1</v>
      </c>
      <c r="E2639" t="str">
        <f t="shared" si="665"/>
        <v>FMS - Scorbot ER4U Robot for EMCO Mill &amp; Turn</v>
      </c>
      <c r="F2639">
        <v>502</v>
      </c>
      <c r="G2639" t="str">
        <f t="shared" si="666"/>
        <v>Y</v>
      </c>
      <c r="H2639" t="str">
        <f>"DA"</f>
        <v>DA</v>
      </c>
      <c r="I2639">
        <v>0</v>
      </c>
      <c r="J2639">
        <v>0</v>
      </c>
      <c r="K2639" t="str">
        <f t="shared" si="667"/>
        <v>Y</v>
      </c>
      <c r="L2639">
        <v>0</v>
      </c>
      <c r="M2639" t="str">
        <f t="shared" si="657"/>
        <v>NIS</v>
      </c>
      <c r="O2639">
        <v>19</v>
      </c>
      <c r="P2639" t="str">
        <f t="shared" si="668"/>
        <v>Active</v>
      </c>
      <c r="Q2639" t="str">
        <f>"Pre-Engineering, Design and Testing"</f>
        <v>Pre-Engineering, Design and Testing</v>
      </c>
      <c r="S2639" t="str">
        <f>"Pre-Engineering, Design and Testing"</f>
        <v>Pre-Engineering, Design and Testing</v>
      </c>
      <c r="T2639">
        <v>0</v>
      </c>
      <c r="U2639">
        <v>405</v>
      </c>
      <c r="V2639">
        <v>421.2</v>
      </c>
      <c r="W2639" t="str">
        <f t="shared" si="658"/>
        <v>rob</v>
      </c>
    </row>
    <row r="2640" spans="1:23">
      <c r="A2640" t="str">
        <f t="shared" ref="A2640:A2650" si="669">"MTS-ER4U-3rdPCNC"</f>
        <v>MTS-ER4U-3rdPCNC</v>
      </c>
      <c r="B2640" t="str">
        <f>"00-0413-0000"</f>
        <v>00-0413-0000</v>
      </c>
      <c r="C2640" t="str">
        <f>"SCORBOT-ER 4u"</f>
        <v>SCORBOT-ER 4u</v>
      </c>
      <c r="D2640">
        <v>1</v>
      </c>
      <c r="E2640" t="str">
        <f t="shared" ref="E2640:E2650" si="670">"FMS - Scorbot ER4U Robot for 3rd Party CNC Machine"</f>
        <v>FMS - Scorbot ER4U Robot for 3rd Party CNC Machine</v>
      </c>
      <c r="F2640">
        <v>502</v>
      </c>
      <c r="G2640" t="str">
        <f t="shared" si="666"/>
        <v>Y</v>
      </c>
      <c r="H2640" t="str">
        <f t="shared" ref="H2640:H2649" si="671">"EA"</f>
        <v>EA</v>
      </c>
      <c r="I2640">
        <v>0</v>
      </c>
      <c r="J2640">
        <v>0</v>
      </c>
      <c r="K2640" t="str">
        <f t="shared" si="667"/>
        <v>Y</v>
      </c>
      <c r="L2640">
        <v>0</v>
      </c>
      <c r="M2640" t="str">
        <f t="shared" si="657"/>
        <v>NIS</v>
      </c>
      <c r="O2640">
        <v>1</v>
      </c>
      <c r="P2640" t="str">
        <f t="shared" si="668"/>
        <v>Active</v>
      </c>
      <c r="Q2640" t="str">
        <f>"SCORBOT-ER 4u (Package)"</f>
        <v>SCORBOT-ER 4u (Package)</v>
      </c>
      <c r="S2640" t="str">
        <f>"SCORBOT-ER 4u (Package)"</f>
        <v>SCORBOT-ER 4u (Package)</v>
      </c>
      <c r="T2640">
        <v>0</v>
      </c>
      <c r="U2640" s="44">
        <v>3200</v>
      </c>
      <c r="V2640" s="44">
        <v>3390.7</v>
      </c>
      <c r="W2640" t="str">
        <f t="shared" si="658"/>
        <v>rob</v>
      </c>
    </row>
    <row r="2641" spans="1:23">
      <c r="A2641" t="str">
        <f t="shared" si="669"/>
        <v>MTS-ER4U-3rdPCNC</v>
      </c>
      <c r="B2641" t="str">
        <f>"00-0609-0000"</f>
        <v>00-0609-0000</v>
      </c>
      <c r="C2641" t="str">
        <f>"Gripper attachment for round and square parts"</f>
        <v>Gripper attachment for round and square parts</v>
      </c>
      <c r="D2641">
        <v>1</v>
      </c>
      <c r="E2641" t="str">
        <f t="shared" si="670"/>
        <v>FMS - Scorbot ER4U Robot for 3rd Party CNC Machine</v>
      </c>
      <c r="F2641">
        <v>502</v>
      </c>
      <c r="G2641" t="str">
        <f t="shared" si="666"/>
        <v>Y</v>
      </c>
      <c r="H2641" t="str">
        <f t="shared" si="671"/>
        <v>EA</v>
      </c>
      <c r="I2641">
        <v>0</v>
      </c>
      <c r="J2641">
        <v>0</v>
      </c>
      <c r="K2641" t="str">
        <f t="shared" si="667"/>
        <v>Y</v>
      </c>
      <c r="L2641">
        <v>0</v>
      </c>
      <c r="M2641" t="str">
        <f t="shared" si="657"/>
        <v>NIS</v>
      </c>
      <c r="O2641">
        <v>2</v>
      </c>
      <c r="P2641" t="str">
        <f t="shared" si="668"/>
        <v>Active</v>
      </c>
      <c r="Q2641" t="str">
        <f>"End Effector Attachment for ER4U Gripper"</f>
        <v>End Effector Attachment for ER4U Gripper</v>
      </c>
      <c r="S2641" t="str">
        <f>"End Effector Attachment for ER4U Gripper"</f>
        <v>End Effector Attachment for ER4U Gripper</v>
      </c>
      <c r="T2641">
        <v>0</v>
      </c>
      <c r="U2641">
        <v>25.59</v>
      </c>
      <c r="V2641">
        <v>25.11</v>
      </c>
      <c r="W2641" t="str">
        <f t="shared" si="658"/>
        <v>rob</v>
      </c>
    </row>
    <row r="2642" spans="1:23">
      <c r="A2642" t="str">
        <f t="shared" si="669"/>
        <v>MTS-ER4U-3rdPCNC</v>
      </c>
      <c r="B2642" t="str">
        <f>"00-1710-0000"</f>
        <v>00-1710-0000</v>
      </c>
      <c r="C2642" t="str">
        <f>"Teach Pendant"</f>
        <v>Teach Pendant</v>
      </c>
      <c r="D2642">
        <v>1</v>
      </c>
      <c r="E2642" t="str">
        <f t="shared" si="670"/>
        <v>FMS - Scorbot ER4U Robot for 3rd Party CNC Machine</v>
      </c>
      <c r="F2642">
        <v>502</v>
      </c>
      <c r="G2642" t="str">
        <f t="shared" si="666"/>
        <v>Y</v>
      </c>
      <c r="H2642" t="str">
        <f t="shared" si="671"/>
        <v>EA</v>
      </c>
      <c r="I2642">
        <v>0</v>
      </c>
      <c r="J2642">
        <v>0</v>
      </c>
      <c r="K2642" t="str">
        <f t="shared" si="667"/>
        <v>Y</v>
      </c>
      <c r="L2642">
        <v>0</v>
      </c>
      <c r="M2642" t="str">
        <f t="shared" si="657"/>
        <v>NIS</v>
      </c>
      <c r="O2642">
        <v>3</v>
      </c>
      <c r="P2642" t="str">
        <f t="shared" si="668"/>
        <v>Active</v>
      </c>
      <c r="Q2642" t="str">
        <f>"Teach Pendant for USB/USB Pro Controllers"</f>
        <v>Teach Pendant for USB/USB Pro Controllers</v>
      </c>
      <c r="S2642" t="str">
        <f>"Teach Pendant for USB/USB Pro Controllers"</f>
        <v>Teach Pendant for USB/USB Pro Controllers</v>
      </c>
      <c r="T2642">
        <v>0</v>
      </c>
      <c r="U2642">
        <v>160.18</v>
      </c>
      <c r="V2642">
        <v>161.44999999999999</v>
      </c>
      <c r="W2642" t="str">
        <f t="shared" si="658"/>
        <v>rob</v>
      </c>
    </row>
    <row r="2643" spans="1:23">
      <c r="A2643" t="str">
        <f t="shared" si="669"/>
        <v>MTS-ER4U-3rdPCNC</v>
      </c>
      <c r="B2643" t="str">
        <f>"00-1020-0000"</f>
        <v>00-1020-0000</v>
      </c>
      <c r="C2643" t="str">
        <f>"LSB 1.0m, Belt, TT"</f>
        <v>LSB 1.0m, Belt, TT</v>
      </c>
      <c r="D2643">
        <v>1</v>
      </c>
      <c r="E2643" t="str">
        <f t="shared" si="670"/>
        <v>FMS - Scorbot ER4U Robot for 3rd Party CNC Machine</v>
      </c>
      <c r="F2643">
        <v>502</v>
      </c>
      <c r="G2643" t="str">
        <f t="shared" si="666"/>
        <v>Y</v>
      </c>
      <c r="H2643" t="str">
        <f t="shared" si="671"/>
        <v>EA</v>
      </c>
      <c r="I2643">
        <v>0</v>
      </c>
      <c r="J2643">
        <v>0</v>
      </c>
      <c r="K2643" t="str">
        <f t="shared" si="667"/>
        <v>Y</v>
      </c>
      <c r="L2643">
        <v>0</v>
      </c>
      <c r="M2643" t="str">
        <f t="shared" si="657"/>
        <v>NIS</v>
      </c>
      <c r="O2643">
        <v>8</v>
      </c>
      <c r="P2643" t="str">
        <f t="shared" si="668"/>
        <v>Active</v>
      </c>
      <c r="Q2643" t="str">
        <f>"LSB 1.0m, Belt, Table-Top"</f>
        <v>LSB 1.0m, Belt, Table-Top</v>
      </c>
      <c r="S2643" t="str">
        <f>"LSB 1.0m, Belt, Table-Top"</f>
        <v>LSB 1.0m, Belt, Table-Top</v>
      </c>
      <c r="T2643">
        <v>0</v>
      </c>
      <c r="U2643" s="44">
        <v>1850</v>
      </c>
      <c r="V2643" s="44">
        <v>1739.55</v>
      </c>
      <c r="W2643" t="str">
        <f t="shared" si="658"/>
        <v>rob</v>
      </c>
    </row>
    <row r="2644" spans="1:23">
      <c r="A2644" t="str">
        <f t="shared" si="669"/>
        <v>MTS-ER4U-3rdPCNC</v>
      </c>
      <c r="B2644" t="str">
        <f>"10-1003-8000"</f>
        <v>10-1003-8000</v>
      </c>
      <c r="C2644" t="str">
        <f>"Stand for table's LSB"</f>
        <v>Stand for table's LSB</v>
      </c>
      <c r="D2644">
        <v>1</v>
      </c>
      <c r="E2644" t="str">
        <f t="shared" si="670"/>
        <v>FMS - Scorbot ER4U Robot for 3rd Party CNC Machine</v>
      </c>
      <c r="F2644">
        <v>502</v>
      </c>
      <c r="G2644" t="str">
        <f t="shared" si="666"/>
        <v>Y</v>
      </c>
      <c r="H2644" t="str">
        <f t="shared" si="671"/>
        <v>EA</v>
      </c>
      <c r="I2644">
        <v>0</v>
      </c>
      <c r="J2644">
        <v>0</v>
      </c>
      <c r="K2644" t="str">
        <f t="shared" si="667"/>
        <v>Y</v>
      </c>
      <c r="L2644">
        <v>0</v>
      </c>
      <c r="M2644" t="str">
        <f t="shared" si="657"/>
        <v>NIS</v>
      </c>
      <c r="O2644">
        <v>9</v>
      </c>
      <c r="P2644" t="str">
        <f t="shared" si="668"/>
        <v>Active</v>
      </c>
      <c r="Q2644" t="str">
        <f>"Stand for table's LSB"</f>
        <v>Stand for table's LSB</v>
      </c>
      <c r="S2644" t="str">
        <f>"Stand for table's LSB"</f>
        <v>Stand for table's LSB</v>
      </c>
      <c r="T2644">
        <v>0</v>
      </c>
      <c r="U2644">
        <v>233</v>
      </c>
      <c r="V2644">
        <v>237.29</v>
      </c>
      <c r="W2644" t="str">
        <f t="shared" si="658"/>
        <v>rob</v>
      </c>
    </row>
    <row r="2645" spans="1:23">
      <c r="A2645" t="str">
        <f t="shared" si="669"/>
        <v>MTS-ER4U-3rdPCNC</v>
      </c>
      <c r="B2645" t="str">
        <f>"00-1110-0000"</f>
        <v>00-1110-0000</v>
      </c>
      <c r="C2645" t="str">
        <f>"Palletizing Rack"</f>
        <v>Palletizing Rack</v>
      </c>
      <c r="D2645">
        <v>1</v>
      </c>
      <c r="E2645" t="str">
        <f t="shared" si="670"/>
        <v>FMS - Scorbot ER4U Robot for 3rd Party CNC Machine</v>
      </c>
      <c r="F2645">
        <v>502</v>
      </c>
      <c r="G2645" t="str">
        <f t="shared" si="666"/>
        <v>Y</v>
      </c>
      <c r="H2645" t="str">
        <f t="shared" si="671"/>
        <v>EA</v>
      </c>
      <c r="I2645">
        <v>0</v>
      </c>
      <c r="J2645">
        <v>0</v>
      </c>
      <c r="K2645" t="str">
        <f t="shared" si="667"/>
        <v>Y</v>
      </c>
      <c r="L2645">
        <v>0</v>
      </c>
      <c r="M2645" t="str">
        <f t="shared" si="657"/>
        <v>NIS</v>
      </c>
      <c r="O2645">
        <v>4</v>
      </c>
      <c r="P2645" t="str">
        <f t="shared" si="668"/>
        <v>Active</v>
      </c>
      <c r="Q2645" t="str">
        <f>"Palletizing Rack (incl. Pins for creating Jigs)"</f>
        <v>Palletizing Rack (incl. Pins for creating Jigs)</v>
      </c>
      <c r="S2645" t="str">
        <f>"Palletizing Rack (incl. Pins for creating Jigs)"</f>
        <v>Palletizing Rack (incl. Pins for creating Jigs)</v>
      </c>
      <c r="T2645">
        <v>0</v>
      </c>
      <c r="U2645">
        <v>63</v>
      </c>
      <c r="V2645">
        <v>58.59</v>
      </c>
      <c r="W2645" t="str">
        <f t="shared" si="658"/>
        <v>rob</v>
      </c>
    </row>
    <row r="2646" spans="1:23">
      <c r="A2646" t="str">
        <f t="shared" si="669"/>
        <v>MTS-ER4U-3rdPCNC</v>
      </c>
      <c r="B2646" t="str">
        <f>"021182"</f>
        <v>021182</v>
      </c>
      <c r="C2646" t="str">
        <f>"97mm Height Adapter"</f>
        <v>97mm Height Adapter</v>
      </c>
      <c r="D2646">
        <v>1</v>
      </c>
      <c r="E2646" t="str">
        <f t="shared" si="670"/>
        <v>FMS - Scorbot ER4U Robot for 3rd Party CNC Machine</v>
      </c>
      <c r="F2646">
        <v>502</v>
      </c>
      <c r="G2646" t="str">
        <f t="shared" si="666"/>
        <v>Y</v>
      </c>
      <c r="H2646" t="str">
        <f t="shared" si="671"/>
        <v>EA</v>
      </c>
      <c r="I2646">
        <v>0</v>
      </c>
      <c r="J2646">
        <v>0</v>
      </c>
      <c r="K2646" t="str">
        <f t="shared" si="667"/>
        <v>Y</v>
      </c>
      <c r="L2646">
        <v>0</v>
      </c>
      <c r="M2646" t="str">
        <f t="shared" si="657"/>
        <v>NIS</v>
      </c>
      <c r="O2646">
        <v>11</v>
      </c>
      <c r="P2646" t="str">
        <f t="shared" si="668"/>
        <v>Active</v>
      </c>
      <c r="Q2646" t="str">
        <f>"97mm Height Adapter -Rack 001110 on formica 28mm"</f>
        <v>97mm Height Adapter -Rack 001110 on formica 28mm</v>
      </c>
      <c r="S2646" t="str">
        <f>"97mm Height Adapter -Rack 001110 on formica 28mm"</f>
        <v>97mm Height Adapter -Rack 001110 on formica 28mm</v>
      </c>
      <c r="T2646">
        <v>0</v>
      </c>
      <c r="U2646">
        <v>7</v>
      </c>
      <c r="V2646">
        <v>5.5</v>
      </c>
      <c r="W2646" t="str">
        <f t="shared" si="658"/>
        <v>rob</v>
      </c>
    </row>
    <row r="2647" spans="1:23">
      <c r="A2647" t="str">
        <f t="shared" si="669"/>
        <v>MTS-ER4U-3rdPCNC</v>
      </c>
      <c r="B2647" t="str">
        <f>"10-2521-7000"</f>
        <v>10-2521-7000</v>
      </c>
      <c r="C2647" t="str">
        <f>"Pneumatic Feeder for Rectangular products"</f>
        <v>Pneumatic Feeder for Rectangular products</v>
      </c>
      <c r="D2647">
        <v>1</v>
      </c>
      <c r="E2647" t="str">
        <f t="shared" si="670"/>
        <v>FMS - Scorbot ER4U Robot for 3rd Party CNC Machine</v>
      </c>
      <c r="F2647">
        <v>502</v>
      </c>
      <c r="G2647" t="str">
        <f t="shared" si="666"/>
        <v>Y</v>
      </c>
      <c r="H2647" t="str">
        <f t="shared" si="671"/>
        <v>EA</v>
      </c>
      <c r="I2647">
        <v>0</v>
      </c>
      <c r="J2647">
        <v>0</v>
      </c>
      <c r="K2647" t="str">
        <f t="shared" si="667"/>
        <v>Y</v>
      </c>
      <c r="L2647">
        <v>0</v>
      </c>
      <c r="M2647" t="str">
        <f t="shared" si="657"/>
        <v>NIS</v>
      </c>
      <c r="O2647">
        <v>5</v>
      </c>
      <c r="P2647" t="str">
        <f t="shared" si="668"/>
        <v>Active</v>
      </c>
      <c r="Q2647" t="str">
        <f>"Pneumatic Feeder for Rectangular Parts"</f>
        <v>Pneumatic Feeder for Rectangular Parts</v>
      </c>
      <c r="S2647" t="str">
        <f>"Pneumatic Feeder for Rectangular Parts"</f>
        <v>Pneumatic Feeder for Rectangular Parts</v>
      </c>
      <c r="T2647">
        <v>0</v>
      </c>
      <c r="U2647">
        <v>595</v>
      </c>
      <c r="V2647">
        <v>555.15</v>
      </c>
      <c r="W2647" t="str">
        <f t="shared" si="658"/>
        <v>rob</v>
      </c>
    </row>
    <row r="2648" spans="1:23">
      <c r="A2648" t="str">
        <f t="shared" si="669"/>
        <v>MTS-ER4U-3rdPCNC</v>
      </c>
      <c r="B2648" t="str">
        <f>"10-2118-9000"</f>
        <v>10-2118-9000</v>
      </c>
      <c r="C2648" t="str">
        <f>"CNC Interface Option USB to I/O"</f>
        <v>CNC Interface Option USB to I/O</v>
      </c>
      <c r="D2648">
        <v>1</v>
      </c>
      <c r="E2648" t="str">
        <f t="shared" si="670"/>
        <v>FMS - Scorbot ER4U Robot for 3rd Party CNC Machine</v>
      </c>
      <c r="F2648">
        <v>502</v>
      </c>
      <c r="G2648" t="str">
        <f t="shared" si="666"/>
        <v>Y</v>
      </c>
      <c r="H2648" t="str">
        <f t="shared" si="671"/>
        <v>EA</v>
      </c>
      <c r="I2648">
        <v>0</v>
      </c>
      <c r="J2648">
        <v>0</v>
      </c>
      <c r="K2648" t="str">
        <f t="shared" si="667"/>
        <v>Y</v>
      </c>
      <c r="L2648">
        <v>0</v>
      </c>
      <c r="M2648" t="str">
        <f t="shared" si="657"/>
        <v>NIS</v>
      </c>
      <c r="O2648">
        <v>10</v>
      </c>
      <c r="P2648" t="str">
        <f>"ECO-N2Mnf"</f>
        <v>ECO-N2Mnf</v>
      </c>
      <c r="Q2648" t="str">
        <f>"CNC Interface Option USB to I/O"</f>
        <v>CNC Interface Option USB to I/O</v>
      </c>
      <c r="S2648" t="str">
        <f>"CNC Interface Option USB to I/O"</f>
        <v>CNC Interface Option USB to I/O</v>
      </c>
      <c r="T2648">
        <v>0</v>
      </c>
      <c r="U2648">
        <v>0.1</v>
      </c>
      <c r="V2648">
        <v>0</v>
      </c>
      <c r="W2648" t="str">
        <f t="shared" si="658"/>
        <v>rob</v>
      </c>
    </row>
    <row r="2649" spans="1:23">
      <c r="A2649" t="str">
        <f t="shared" si="669"/>
        <v>MTS-ER4U-3rdPCNC</v>
      </c>
      <c r="B2649" t="str">
        <f>"50-0092-0000"</f>
        <v>50-0092-0000</v>
      </c>
      <c r="C2649" t="str">
        <f>"Interface Programming for 3rd Party CNC Machine"</f>
        <v>Interface Programming for 3rd Party CNC Machine</v>
      </c>
      <c r="D2649">
        <v>1</v>
      </c>
      <c r="E2649" t="str">
        <f t="shared" si="670"/>
        <v>FMS - Scorbot ER4U Robot for 3rd Party CNC Machine</v>
      </c>
      <c r="F2649">
        <v>502</v>
      </c>
      <c r="G2649" t="str">
        <f t="shared" si="666"/>
        <v>Y</v>
      </c>
      <c r="H2649" t="str">
        <f t="shared" si="671"/>
        <v>EA</v>
      </c>
      <c r="I2649">
        <v>0</v>
      </c>
      <c r="J2649">
        <v>0</v>
      </c>
      <c r="K2649" t="str">
        <f t="shared" si="667"/>
        <v>Y</v>
      </c>
      <c r="L2649">
        <v>0</v>
      </c>
      <c r="M2649" t="str">
        <f t="shared" ref="M2649:M2712" si="672">"NIS"</f>
        <v>NIS</v>
      </c>
      <c r="O2649">
        <v>6</v>
      </c>
      <c r="P2649" t="str">
        <f t="shared" ref="P2649:P2674" si="673">"Active"</f>
        <v>Active</v>
      </c>
      <c r="Q2649" t="str">
        <f>"Interface Programming for 3rd Party CNC Machine"</f>
        <v>Interface Programming for 3rd Party CNC Machine</v>
      </c>
      <c r="S2649" t="str">
        <f>"Interface Programming for 3rd Party CNC Machine"</f>
        <v>Interface Programming for 3rd Party CNC Machine</v>
      </c>
      <c r="T2649">
        <v>0</v>
      </c>
      <c r="U2649" s="44">
        <v>1000</v>
      </c>
      <c r="V2649" s="44">
        <v>1000</v>
      </c>
      <c r="W2649" t="str">
        <f t="shared" si="658"/>
        <v>rob</v>
      </c>
    </row>
    <row r="2650" spans="1:23">
      <c r="A2650" t="str">
        <f t="shared" si="669"/>
        <v>MTS-ER4U-3rdPCNC</v>
      </c>
      <c r="B2650" t="str">
        <f>"50-0094-0000"</f>
        <v>50-0094-0000</v>
      </c>
      <c r="C2650" t="str">
        <f>"Pre-Engineering, Design and Testing"</f>
        <v>Pre-Engineering, Design and Testing</v>
      </c>
      <c r="D2650">
        <v>1</v>
      </c>
      <c r="E2650" t="str">
        <f t="shared" si="670"/>
        <v>FMS - Scorbot ER4U Robot for 3rd Party CNC Machine</v>
      </c>
      <c r="F2650">
        <v>502</v>
      </c>
      <c r="G2650" t="str">
        <f t="shared" si="666"/>
        <v>Y</v>
      </c>
      <c r="H2650" t="str">
        <f>"DA"</f>
        <v>DA</v>
      </c>
      <c r="I2650">
        <v>0</v>
      </c>
      <c r="J2650">
        <v>0</v>
      </c>
      <c r="K2650" t="str">
        <f t="shared" si="667"/>
        <v>Y</v>
      </c>
      <c r="L2650">
        <v>0</v>
      </c>
      <c r="M2650" t="str">
        <f t="shared" si="672"/>
        <v>NIS</v>
      </c>
      <c r="O2650">
        <v>7</v>
      </c>
      <c r="P2650" t="str">
        <f t="shared" si="673"/>
        <v>Active</v>
      </c>
      <c r="Q2650" t="str">
        <f>"Pre-Engineering, Design and Testing"</f>
        <v>Pre-Engineering, Design and Testing</v>
      </c>
      <c r="S2650" t="str">
        <f>"Pre-Engineering, Design and Testing"</f>
        <v>Pre-Engineering, Design and Testing</v>
      </c>
      <c r="T2650">
        <v>0</v>
      </c>
      <c r="U2650">
        <v>405</v>
      </c>
      <c r="V2650">
        <v>421.2</v>
      </c>
      <c r="W2650" t="str">
        <f t="shared" si="658"/>
        <v>rob</v>
      </c>
    </row>
    <row r="2651" spans="1:23">
      <c r="A2651" t="str">
        <f t="shared" ref="A2651:A2682" si="674">"MTS-ER4U-BM6000"</f>
        <v>MTS-ER4U-BM6000</v>
      </c>
      <c r="B2651" t="str">
        <f>"00-0413-0000"</f>
        <v>00-0413-0000</v>
      </c>
      <c r="C2651" t="str">
        <f>"SCORBOT-ER 4u"</f>
        <v>SCORBOT-ER 4u</v>
      </c>
      <c r="D2651">
        <v>1</v>
      </c>
      <c r="E2651" t="str">
        <f t="shared" ref="E2651:E2682" si="675">"FMS - Scorbot ER4U Robot with BenchMill 6000 CNC Milling machine (4 tool ATC)"</f>
        <v>FMS - Scorbot ER4U Robot with BenchMill 6000 CNC Milling machine (4 tool ATC)</v>
      </c>
      <c r="F2651">
        <v>502</v>
      </c>
      <c r="G2651" t="str">
        <f t="shared" si="666"/>
        <v>Y</v>
      </c>
      <c r="H2651" t="str">
        <f t="shared" ref="H2651:H2681" si="676">"EA"</f>
        <v>EA</v>
      </c>
      <c r="I2651">
        <v>0</v>
      </c>
      <c r="J2651">
        <v>0</v>
      </c>
      <c r="K2651" t="str">
        <f t="shared" si="667"/>
        <v>Y</v>
      </c>
      <c r="L2651">
        <v>0</v>
      </c>
      <c r="M2651" t="str">
        <f t="shared" si="672"/>
        <v>NIS</v>
      </c>
      <c r="O2651">
        <v>1</v>
      </c>
      <c r="P2651" t="str">
        <f t="shared" si="673"/>
        <v>Active</v>
      </c>
      <c r="Q2651" t="str">
        <f>"SCORBOT-ER 4u (Package)"</f>
        <v>SCORBOT-ER 4u (Package)</v>
      </c>
      <c r="S2651" t="str">
        <f>"SCORBOT-ER 4u (Package)"</f>
        <v>SCORBOT-ER 4u (Package)</v>
      </c>
      <c r="T2651">
        <v>0</v>
      </c>
      <c r="U2651" s="44">
        <v>3200</v>
      </c>
      <c r="V2651" s="44">
        <v>3390.7</v>
      </c>
      <c r="W2651" t="str">
        <f t="shared" si="658"/>
        <v>rob</v>
      </c>
    </row>
    <row r="2652" spans="1:23">
      <c r="A2652" t="str">
        <f t="shared" si="674"/>
        <v>MTS-ER4U-BM6000</v>
      </c>
      <c r="B2652" t="str">
        <f>"00-0609-0000"</f>
        <v>00-0609-0000</v>
      </c>
      <c r="C2652" t="str">
        <f>"Gripper attachment for round and square parts"</f>
        <v>Gripper attachment for round and square parts</v>
      </c>
      <c r="D2652">
        <v>1</v>
      </c>
      <c r="E2652" t="str">
        <f t="shared" si="675"/>
        <v>FMS - Scorbot ER4U Robot with BenchMill 6000 CNC Milling machine (4 tool ATC)</v>
      </c>
      <c r="F2652">
        <v>502</v>
      </c>
      <c r="G2652" t="str">
        <f t="shared" si="666"/>
        <v>Y</v>
      </c>
      <c r="H2652" t="str">
        <f t="shared" si="676"/>
        <v>EA</v>
      </c>
      <c r="I2652">
        <v>0</v>
      </c>
      <c r="J2652">
        <v>0</v>
      </c>
      <c r="K2652" t="str">
        <f t="shared" si="667"/>
        <v>Y</v>
      </c>
      <c r="L2652">
        <v>0</v>
      </c>
      <c r="M2652" t="str">
        <f t="shared" si="672"/>
        <v>NIS</v>
      </c>
      <c r="O2652">
        <v>2</v>
      </c>
      <c r="P2652" t="str">
        <f t="shared" si="673"/>
        <v>Active</v>
      </c>
      <c r="Q2652" t="str">
        <f>"End Effector Attachment for ER4U Gripper"</f>
        <v>End Effector Attachment for ER4U Gripper</v>
      </c>
      <c r="S2652" t="str">
        <f>"End Effector Attachment for ER4U Gripper"</f>
        <v>End Effector Attachment for ER4U Gripper</v>
      </c>
      <c r="T2652">
        <v>0</v>
      </c>
      <c r="U2652">
        <v>25.59</v>
      </c>
      <c r="V2652">
        <v>25.11</v>
      </c>
      <c r="W2652" t="str">
        <f t="shared" si="658"/>
        <v>rob</v>
      </c>
    </row>
    <row r="2653" spans="1:23">
      <c r="A2653" t="str">
        <f t="shared" si="674"/>
        <v>MTS-ER4U-BM6000</v>
      </c>
      <c r="B2653" t="str">
        <f>"00-1710-0000"</f>
        <v>00-1710-0000</v>
      </c>
      <c r="C2653" t="str">
        <f>"Teach Pendant"</f>
        <v>Teach Pendant</v>
      </c>
      <c r="D2653">
        <v>1</v>
      </c>
      <c r="E2653" t="str">
        <f t="shared" si="675"/>
        <v>FMS - Scorbot ER4U Robot with BenchMill 6000 CNC Milling machine (4 tool ATC)</v>
      </c>
      <c r="F2653">
        <v>502</v>
      </c>
      <c r="G2653" t="str">
        <f t="shared" si="666"/>
        <v>Y</v>
      </c>
      <c r="H2653" t="str">
        <f t="shared" si="676"/>
        <v>EA</v>
      </c>
      <c r="I2653">
        <v>0</v>
      </c>
      <c r="J2653">
        <v>0</v>
      </c>
      <c r="K2653" t="str">
        <f t="shared" si="667"/>
        <v>Y</v>
      </c>
      <c r="L2653">
        <v>0</v>
      </c>
      <c r="M2653" t="str">
        <f t="shared" si="672"/>
        <v>NIS</v>
      </c>
      <c r="O2653">
        <v>3</v>
      </c>
      <c r="P2653" t="str">
        <f t="shared" si="673"/>
        <v>Active</v>
      </c>
      <c r="Q2653" t="str">
        <f>"Teach Pendant for USB/USB Pro Controllers"</f>
        <v>Teach Pendant for USB/USB Pro Controllers</v>
      </c>
      <c r="S2653" t="str">
        <f>"Teach Pendant for USB/USB Pro Controllers"</f>
        <v>Teach Pendant for USB/USB Pro Controllers</v>
      </c>
      <c r="T2653">
        <v>0</v>
      </c>
      <c r="U2653">
        <v>160.18</v>
      </c>
      <c r="V2653">
        <v>161.44999999999999</v>
      </c>
      <c r="W2653" t="str">
        <f t="shared" si="658"/>
        <v>rob</v>
      </c>
    </row>
    <row r="2654" spans="1:23">
      <c r="A2654" t="str">
        <f t="shared" si="674"/>
        <v>MTS-ER4U-BM6000</v>
      </c>
      <c r="B2654" t="str">
        <f>"00-1020-0000"</f>
        <v>00-1020-0000</v>
      </c>
      <c r="C2654" t="str">
        <f>"LSB 1.0m, Belt, TT"</f>
        <v>LSB 1.0m, Belt, TT</v>
      </c>
      <c r="D2654">
        <v>1</v>
      </c>
      <c r="E2654" t="str">
        <f t="shared" si="675"/>
        <v>FMS - Scorbot ER4U Robot with BenchMill 6000 CNC Milling machine (4 tool ATC)</v>
      </c>
      <c r="F2654">
        <v>502</v>
      </c>
      <c r="G2654" t="str">
        <f t="shared" si="666"/>
        <v>Y</v>
      </c>
      <c r="H2654" t="str">
        <f t="shared" si="676"/>
        <v>EA</v>
      </c>
      <c r="I2654">
        <v>0</v>
      </c>
      <c r="J2654">
        <v>0</v>
      </c>
      <c r="K2654" t="str">
        <f t="shared" si="667"/>
        <v>Y</v>
      </c>
      <c r="L2654">
        <v>0</v>
      </c>
      <c r="M2654" t="str">
        <f t="shared" si="672"/>
        <v>NIS</v>
      </c>
      <c r="O2654">
        <v>4</v>
      </c>
      <c r="P2654" t="str">
        <f t="shared" si="673"/>
        <v>Active</v>
      </c>
      <c r="Q2654" t="str">
        <f>"LSB 1.0m (Belt, Table-Top)"</f>
        <v>LSB 1.0m (Belt, Table-Top)</v>
      </c>
      <c r="S2654" t="str">
        <f>"LSB 1.0m, Belt, Table-Top"</f>
        <v>LSB 1.0m, Belt, Table-Top</v>
      </c>
      <c r="T2654">
        <v>0</v>
      </c>
      <c r="U2654" s="44">
        <v>1850</v>
      </c>
      <c r="V2654" s="44">
        <v>1739.55</v>
      </c>
      <c r="W2654" t="str">
        <f t="shared" si="658"/>
        <v>rob</v>
      </c>
    </row>
    <row r="2655" spans="1:23">
      <c r="A2655" t="str">
        <f t="shared" si="674"/>
        <v>MTS-ER4U-BM6000</v>
      </c>
      <c r="B2655" t="str">
        <f>"10-1003-8000"</f>
        <v>10-1003-8000</v>
      </c>
      <c r="C2655" t="str">
        <f>"Stand for table's LSB"</f>
        <v>Stand for table's LSB</v>
      </c>
      <c r="D2655">
        <v>1</v>
      </c>
      <c r="E2655" t="str">
        <f t="shared" si="675"/>
        <v>FMS - Scorbot ER4U Robot with BenchMill 6000 CNC Milling machine (4 tool ATC)</v>
      </c>
      <c r="F2655">
        <v>502</v>
      </c>
      <c r="G2655" t="str">
        <f t="shared" si="666"/>
        <v>Y</v>
      </c>
      <c r="H2655" t="str">
        <f t="shared" si="676"/>
        <v>EA</v>
      </c>
      <c r="I2655">
        <v>0</v>
      </c>
      <c r="J2655">
        <v>0</v>
      </c>
      <c r="K2655" t="str">
        <f t="shared" si="667"/>
        <v>Y</v>
      </c>
      <c r="L2655">
        <v>0</v>
      </c>
      <c r="M2655" t="str">
        <f t="shared" si="672"/>
        <v>NIS</v>
      </c>
      <c r="O2655">
        <v>5</v>
      </c>
      <c r="P2655" t="str">
        <f t="shared" si="673"/>
        <v>Active</v>
      </c>
      <c r="Q2655" t="str">
        <f>"Stand for table's LSB"</f>
        <v>Stand for table's LSB</v>
      </c>
      <c r="S2655" t="str">
        <f>"Stand for table's LSB"</f>
        <v>Stand for table's LSB</v>
      </c>
      <c r="T2655">
        <v>0</v>
      </c>
      <c r="U2655">
        <v>233</v>
      </c>
      <c r="V2655">
        <v>237.29</v>
      </c>
      <c r="W2655" t="str">
        <f t="shared" si="658"/>
        <v>rob</v>
      </c>
    </row>
    <row r="2656" spans="1:23">
      <c r="A2656" t="str">
        <f t="shared" si="674"/>
        <v>MTS-ER4U-BM6000</v>
      </c>
      <c r="B2656" t="str">
        <f>"021152"</f>
        <v>021152</v>
      </c>
      <c r="C2656" t="str">
        <f>"Shelf Buffer for CIM conveyor"</f>
        <v>Shelf Buffer for CIM conveyor</v>
      </c>
      <c r="D2656">
        <v>1</v>
      </c>
      <c r="E2656" t="str">
        <f t="shared" si="675"/>
        <v>FMS - Scorbot ER4U Robot with BenchMill 6000 CNC Milling machine (4 tool ATC)</v>
      </c>
      <c r="F2656">
        <v>502</v>
      </c>
      <c r="G2656" t="str">
        <f t="shared" si="666"/>
        <v>Y</v>
      </c>
      <c r="H2656" t="str">
        <f t="shared" si="676"/>
        <v>EA</v>
      </c>
      <c r="I2656">
        <v>0</v>
      </c>
      <c r="J2656">
        <v>0</v>
      </c>
      <c r="K2656" t="str">
        <f t="shared" si="667"/>
        <v>Y</v>
      </c>
      <c r="L2656">
        <v>0</v>
      </c>
      <c r="M2656" t="str">
        <f t="shared" si="672"/>
        <v>NIS</v>
      </c>
      <c r="O2656">
        <v>6</v>
      </c>
      <c r="P2656" t="str">
        <f t="shared" si="673"/>
        <v>Active</v>
      </c>
      <c r="Q2656" t="str">
        <f>"מכלול- מדף בפר סטנדרטי OPEN-CIM"</f>
        <v>מכלול- מדף בפר סטנדרטי OPEN-CIM</v>
      </c>
      <c r="R2656" t="str">
        <f>"1"</f>
        <v>1</v>
      </c>
      <c r="S2656" t="str">
        <f>"מכלול- מדף בפר סטנדרטי OPEN-CIM"</f>
        <v>מכלול- מדף בפר סטנדרטי OPEN-CIM</v>
      </c>
      <c r="T2656">
        <v>0</v>
      </c>
      <c r="U2656">
        <v>83.12</v>
      </c>
      <c r="V2656">
        <v>92.76</v>
      </c>
      <c r="W2656" t="str">
        <f t="shared" si="658"/>
        <v>rob</v>
      </c>
    </row>
    <row r="2657" spans="1:23">
      <c r="A2657" t="str">
        <f t="shared" si="674"/>
        <v>MTS-ER4U-BM6000</v>
      </c>
      <c r="B2657" t="str">
        <f>"10-2521-7000"</f>
        <v>10-2521-7000</v>
      </c>
      <c r="C2657" t="str">
        <f>"Pneumatic Feeder for Rectangular products"</f>
        <v>Pneumatic Feeder for Rectangular products</v>
      </c>
      <c r="D2657">
        <v>1</v>
      </c>
      <c r="E2657" t="str">
        <f t="shared" si="675"/>
        <v>FMS - Scorbot ER4U Robot with BenchMill 6000 CNC Milling machine (4 tool ATC)</v>
      </c>
      <c r="F2657">
        <v>502</v>
      </c>
      <c r="G2657" t="str">
        <f t="shared" si="666"/>
        <v>Y</v>
      </c>
      <c r="H2657" t="str">
        <f t="shared" si="676"/>
        <v>EA</v>
      </c>
      <c r="I2657">
        <v>0</v>
      </c>
      <c r="J2657">
        <v>0</v>
      </c>
      <c r="K2657" t="str">
        <f t="shared" si="667"/>
        <v>Y</v>
      </c>
      <c r="L2657">
        <v>0</v>
      </c>
      <c r="M2657" t="str">
        <f t="shared" si="672"/>
        <v>NIS</v>
      </c>
      <c r="O2657">
        <v>7</v>
      </c>
      <c r="P2657" t="str">
        <f t="shared" si="673"/>
        <v>Active</v>
      </c>
      <c r="Q2657" t="str">
        <f>"Pneumatic Feeder for Rectangular Parts"</f>
        <v>Pneumatic Feeder for Rectangular Parts</v>
      </c>
      <c r="S2657" t="str">
        <f>"Pneumatic Feeder for Rectangular Parts"</f>
        <v>Pneumatic Feeder for Rectangular Parts</v>
      </c>
      <c r="T2657">
        <v>0</v>
      </c>
      <c r="U2657">
        <v>595</v>
      </c>
      <c r="V2657">
        <v>555.15</v>
      </c>
      <c r="W2657" t="str">
        <f t="shared" si="658"/>
        <v>rob</v>
      </c>
    </row>
    <row r="2658" spans="1:23">
      <c r="A2658" t="str">
        <f t="shared" si="674"/>
        <v>MTS-ER4U-BM6000</v>
      </c>
      <c r="B2658" t="str">
        <f>"00-1110-0000"</f>
        <v>00-1110-0000</v>
      </c>
      <c r="C2658" t="str">
        <f>"Palletizing Rack"</f>
        <v>Palletizing Rack</v>
      </c>
      <c r="D2658">
        <v>1</v>
      </c>
      <c r="E2658" t="str">
        <f t="shared" si="675"/>
        <v>FMS - Scorbot ER4U Robot with BenchMill 6000 CNC Milling machine (4 tool ATC)</v>
      </c>
      <c r="F2658">
        <v>502</v>
      </c>
      <c r="G2658" t="str">
        <f t="shared" si="666"/>
        <v>Y</v>
      </c>
      <c r="H2658" t="str">
        <f t="shared" si="676"/>
        <v>EA</v>
      </c>
      <c r="I2658">
        <v>0</v>
      </c>
      <c r="J2658">
        <v>0</v>
      </c>
      <c r="K2658" t="str">
        <f t="shared" si="667"/>
        <v>Y</v>
      </c>
      <c r="L2658">
        <v>0</v>
      </c>
      <c r="M2658" t="str">
        <f t="shared" si="672"/>
        <v>NIS</v>
      </c>
      <c r="O2658">
        <v>8</v>
      </c>
      <c r="P2658" t="str">
        <f t="shared" si="673"/>
        <v>Active</v>
      </c>
      <c r="Q2658" t="str">
        <f>"Palletizing Rack (incl. Pins for creating Jigs)"</f>
        <v>Palletizing Rack (incl. Pins for creating Jigs)</v>
      </c>
      <c r="S2658" t="str">
        <f>"Palletizing Rack (incl. Pins for creating Jigs)"</f>
        <v>Palletizing Rack (incl. Pins for creating Jigs)</v>
      </c>
      <c r="T2658">
        <v>0</v>
      </c>
      <c r="U2658">
        <v>63</v>
      </c>
      <c r="V2658">
        <v>58.59</v>
      </c>
      <c r="W2658" t="str">
        <f t="shared" ref="W2658:W2721" si="677">"rob"</f>
        <v>rob</v>
      </c>
    </row>
    <row r="2659" spans="1:23">
      <c r="A2659" t="str">
        <f t="shared" si="674"/>
        <v>MTS-ER4U-BM6000</v>
      </c>
      <c r="B2659" t="str">
        <f>"021182"</f>
        <v>021182</v>
      </c>
      <c r="C2659" t="str">
        <f>"97mm Height Adapter"</f>
        <v>97mm Height Adapter</v>
      </c>
      <c r="D2659">
        <v>1</v>
      </c>
      <c r="E2659" t="str">
        <f t="shared" si="675"/>
        <v>FMS - Scorbot ER4U Robot with BenchMill 6000 CNC Milling machine (4 tool ATC)</v>
      </c>
      <c r="F2659">
        <v>502</v>
      </c>
      <c r="G2659" t="str">
        <f t="shared" si="666"/>
        <v>Y</v>
      </c>
      <c r="H2659" t="str">
        <f t="shared" si="676"/>
        <v>EA</v>
      </c>
      <c r="I2659">
        <v>0</v>
      </c>
      <c r="J2659">
        <v>0</v>
      </c>
      <c r="K2659" t="str">
        <f t="shared" si="667"/>
        <v>Y</v>
      </c>
      <c r="L2659">
        <v>0</v>
      </c>
      <c r="M2659" t="str">
        <f t="shared" si="672"/>
        <v>NIS</v>
      </c>
      <c r="O2659">
        <v>9</v>
      </c>
      <c r="P2659" t="str">
        <f t="shared" si="673"/>
        <v>Active</v>
      </c>
      <c r="Q2659" t="str">
        <f>"97mm Height Adapter -Rack 001110 on formica 28mm"</f>
        <v>97mm Height Adapter -Rack 001110 on formica 28mm</v>
      </c>
      <c r="S2659" t="str">
        <f>"97mm Height Adapter -Rack 001110 on formica 28mm"</f>
        <v>97mm Height Adapter -Rack 001110 on formica 28mm</v>
      </c>
      <c r="T2659">
        <v>0</v>
      </c>
      <c r="U2659">
        <v>7</v>
      </c>
      <c r="V2659">
        <v>5.5</v>
      </c>
      <c r="W2659" t="str">
        <f t="shared" si="677"/>
        <v>rob</v>
      </c>
    </row>
    <row r="2660" spans="1:23">
      <c r="A2660" t="str">
        <f t="shared" si="674"/>
        <v>MTS-ER4U-BM6000</v>
      </c>
      <c r="B2660" t="str">
        <f>"10-2120-0000"</f>
        <v>10-2120-0000</v>
      </c>
      <c r="C2660" t="str">
        <f>"CNC Interface with BenchMILL 6000"</f>
        <v>CNC Interface with BenchMILL 6000</v>
      </c>
      <c r="D2660">
        <v>1</v>
      </c>
      <c r="E2660" t="str">
        <f t="shared" si="675"/>
        <v>FMS - Scorbot ER4U Robot with BenchMill 6000 CNC Milling machine (4 tool ATC)</v>
      </c>
      <c r="F2660">
        <v>502</v>
      </c>
      <c r="G2660" t="str">
        <f t="shared" si="666"/>
        <v>Y</v>
      </c>
      <c r="H2660" t="str">
        <f t="shared" si="676"/>
        <v>EA</v>
      </c>
      <c r="I2660">
        <v>0</v>
      </c>
      <c r="J2660">
        <v>0</v>
      </c>
      <c r="K2660" t="str">
        <f t="shared" si="667"/>
        <v>Y</v>
      </c>
      <c r="L2660">
        <v>0</v>
      </c>
      <c r="M2660" t="str">
        <f t="shared" si="672"/>
        <v>NIS</v>
      </c>
      <c r="O2660">
        <v>10</v>
      </c>
      <c r="P2660" t="str">
        <f t="shared" si="673"/>
        <v>Active</v>
      </c>
      <c r="Q2660" t="str">
        <f>"CNC Interface with BenchMILL 6000"</f>
        <v>CNC Interface with BenchMILL 6000</v>
      </c>
      <c r="S2660" t="str">
        <f>"CNC Interface with BenchMILL 6000"</f>
        <v>CNC Interface with BenchMILL 6000</v>
      </c>
      <c r="T2660">
        <v>0</v>
      </c>
      <c r="U2660">
        <v>21</v>
      </c>
      <c r="V2660">
        <v>19.7</v>
      </c>
      <c r="W2660" t="str">
        <f t="shared" si="677"/>
        <v>rob</v>
      </c>
    </row>
    <row r="2661" spans="1:23">
      <c r="A2661" t="str">
        <f t="shared" si="674"/>
        <v>MTS-ER4U-BM6000</v>
      </c>
      <c r="B2661" t="str">
        <f>"00-5505-0220"</f>
        <v>00-5505-0220</v>
      </c>
      <c r="C2661" t="str">
        <f>"CNC BenchMILL 6000, 220 VAC"</f>
        <v>CNC BenchMILL 6000, 220 VAC</v>
      </c>
      <c r="D2661">
        <v>1</v>
      </c>
      <c r="E2661" t="str">
        <f t="shared" si="675"/>
        <v>FMS - Scorbot ER4U Robot with BenchMill 6000 CNC Milling machine (4 tool ATC)</v>
      </c>
      <c r="F2661">
        <v>502</v>
      </c>
      <c r="G2661" t="str">
        <f t="shared" si="666"/>
        <v>Y</v>
      </c>
      <c r="H2661" t="str">
        <f t="shared" si="676"/>
        <v>EA</v>
      </c>
      <c r="I2661">
        <v>0</v>
      </c>
      <c r="J2661">
        <v>0</v>
      </c>
      <c r="K2661" t="str">
        <f t="shared" si="667"/>
        <v>Y</v>
      </c>
      <c r="L2661">
        <v>0</v>
      </c>
      <c r="M2661" t="str">
        <f t="shared" si="672"/>
        <v>NIS</v>
      </c>
      <c r="O2661">
        <v>11</v>
      </c>
      <c r="P2661" t="str">
        <f t="shared" si="673"/>
        <v>Active</v>
      </c>
      <c r="Q2661" t="str">
        <f>"CNC BenchMill 6000 220V"</f>
        <v>CNC BenchMill 6000 220V</v>
      </c>
      <c r="S2661" t="str">
        <f>"CNC BenchMILL 6000, 220 VAC"</f>
        <v>CNC BenchMILL 6000, 220 VAC</v>
      </c>
      <c r="T2661">
        <v>0</v>
      </c>
      <c r="U2661" s="44">
        <v>4583</v>
      </c>
      <c r="V2661" s="44">
        <v>4458.34</v>
      </c>
      <c r="W2661" t="str">
        <f t="shared" si="677"/>
        <v>rob</v>
      </c>
    </row>
    <row r="2662" spans="1:23">
      <c r="A2662" t="str">
        <f t="shared" si="674"/>
        <v>MTS-ER4U-BM6000</v>
      </c>
      <c r="B2662" t="str">
        <f>"10-1110-7000"</f>
        <v>10-1110-7000</v>
      </c>
      <c r="C2662" t="str">
        <f>"--Dual Axis Vise (for FMS)"</f>
        <v>--Dual Axis Vise (for FMS)</v>
      </c>
      <c r="D2662">
        <v>1</v>
      </c>
      <c r="E2662" t="str">
        <f t="shared" si="675"/>
        <v>FMS - Scorbot ER4U Robot with BenchMill 6000 CNC Milling machine (4 tool ATC)</v>
      </c>
      <c r="F2662">
        <v>502</v>
      </c>
      <c r="G2662" t="str">
        <f t="shared" si="666"/>
        <v>Y</v>
      </c>
      <c r="H2662" t="str">
        <f t="shared" si="676"/>
        <v>EA</v>
      </c>
      <c r="I2662">
        <v>0</v>
      </c>
      <c r="J2662">
        <v>0</v>
      </c>
      <c r="K2662" t="str">
        <f t="shared" si="667"/>
        <v>Y</v>
      </c>
      <c r="L2662">
        <v>0</v>
      </c>
      <c r="M2662" t="str">
        <f t="shared" si="672"/>
        <v>NIS</v>
      </c>
      <c r="O2662">
        <v>12</v>
      </c>
      <c r="P2662" t="str">
        <f t="shared" si="673"/>
        <v>Active</v>
      </c>
      <c r="Q2662" t="str">
        <f>"Dual Axis Vise (BenchMill 6000/ ProMill 8000)"</f>
        <v>Dual Axis Vise (BenchMill 6000/ ProMill 8000)</v>
      </c>
      <c r="S2662" t="str">
        <f>"Dual Axis Vise (BenchMill 6000/ ProMill 8000)"</f>
        <v>Dual Axis Vise (BenchMill 6000/ ProMill 8000)</v>
      </c>
      <c r="T2662">
        <v>0</v>
      </c>
      <c r="U2662">
        <v>239</v>
      </c>
      <c r="V2662">
        <v>219.6</v>
      </c>
      <c r="W2662" t="str">
        <f t="shared" si="677"/>
        <v>rob</v>
      </c>
    </row>
    <row r="2663" spans="1:23">
      <c r="A2663" t="str">
        <f t="shared" si="674"/>
        <v>MTS-ER4U-BM6000</v>
      </c>
      <c r="B2663" t="str">
        <f>"10-1115-2000"</f>
        <v>10-1115-2000</v>
      </c>
      <c r="C2663" t="str">
        <f>"- Table mounted ATC package"</f>
        <v>- Table mounted ATC package</v>
      </c>
      <c r="D2663">
        <v>1</v>
      </c>
      <c r="E2663" t="str">
        <f t="shared" si="675"/>
        <v>FMS - Scorbot ER4U Robot with BenchMill 6000 CNC Milling machine (4 tool ATC)</v>
      </c>
      <c r="F2663">
        <v>502</v>
      </c>
      <c r="G2663" t="str">
        <f t="shared" si="666"/>
        <v>Y</v>
      </c>
      <c r="H2663" t="str">
        <f t="shared" si="676"/>
        <v>EA</v>
      </c>
      <c r="I2663">
        <v>0</v>
      </c>
      <c r="J2663">
        <v>0</v>
      </c>
      <c r="K2663" t="str">
        <f t="shared" si="667"/>
        <v>Y</v>
      </c>
      <c r="L2663">
        <v>0</v>
      </c>
      <c r="M2663" t="str">
        <f t="shared" si="672"/>
        <v>NIS</v>
      </c>
      <c r="O2663">
        <v>13</v>
      </c>
      <c r="P2663" t="str">
        <f t="shared" si="673"/>
        <v>Active</v>
      </c>
      <c r="Q2663" t="str">
        <f>"Table mounted ATC package"</f>
        <v>Table mounted ATC package</v>
      </c>
      <c r="S2663" t="str">
        <f>"Table mounted ATC package"</f>
        <v>Table mounted ATC package</v>
      </c>
      <c r="T2663">
        <v>0</v>
      </c>
      <c r="U2663">
        <v>690</v>
      </c>
      <c r="V2663">
        <v>690.59</v>
      </c>
      <c r="W2663" t="str">
        <f t="shared" si="677"/>
        <v>rob</v>
      </c>
    </row>
    <row r="2664" spans="1:23">
      <c r="A2664" t="str">
        <f t="shared" si="674"/>
        <v>MTS-ER4U-BM6000</v>
      </c>
      <c r="B2664" t="str">
        <f>"10-1115-0000"</f>
        <v>10-1115-0000</v>
      </c>
      <c r="C2664" t="str">
        <f>"ER16 Collet set - 2 x (3,6,8,10mm)"</f>
        <v>ER16 Collet set - 2 x (3,6,8,10mm)</v>
      </c>
      <c r="D2664">
        <v>1</v>
      </c>
      <c r="E2664" t="str">
        <f t="shared" si="675"/>
        <v>FMS - Scorbot ER4U Robot with BenchMill 6000 CNC Milling machine (4 tool ATC)</v>
      </c>
      <c r="F2664">
        <v>502</v>
      </c>
      <c r="G2664" t="str">
        <f t="shared" si="666"/>
        <v>Y</v>
      </c>
      <c r="H2664" t="str">
        <f t="shared" si="676"/>
        <v>EA</v>
      </c>
      <c r="I2664">
        <v>0</v>
      </c>
      <c r="J2664">
        <v>0</v>
      </c>
      <c r="K2664" t="str">
        <f t="shared" si="667"/>
        <v>Y</v>
      </c>
      <c r="L2664">
        <v>0</v>
      </c>
      <c r="M2664" t="str">
        <f t="shared" si="672"/>
        <v>NIS</v>
      </c>
      <c r="O2664">
        <v>14</v>
      </c>
      <c r="P2664" t="str">
        <f t="shared" si="673"/>
        <v>Active</v>
      </c>
      <c r="Q2664" t="str">
        <f>"ER16 Collet set-8 pieces(2)3,(2)6,(2)8,(2)10mm"</f>
        <v>ER16 Collet set-8 pieces(2)3,(2)6,(2)8,(2)10mm</v>
      </c>
      <c r="S2664" t="str">
        <f>"ER16 Collet set-8 pieces(2)3,(2)6,(2)8,(2)10mm"</f>
        <v>ER16 Collet set-8 pieces(2)3,(2)6,(2)8,(2)10mm</v>
      </c>
      <c r="T2664">
        <v>0</v>
      </c>
      <c r="U2664">
        <v>71</v>
      </c>
      <c r="V2664">
        <v>70.63</v>
      </c>
      <c r="W2664" t="str">
        <f t="shared" si="677"/>
        <v>rob</v>
      </c>
    </row>
    <row r="2665" spans="1:23">
      <c r="A2665" t="str">
        <f t="shared" si="674"/>
        <v>MTS-ER4U-BM6000</v>
      </c>
      <c r="B2665" t="str">
        <f>"10-1113-4000"</f>
        <v>10-1113-4000</v>
      </c>
      <c r="C2665" t="str">
        <f>"Metric End Mill Package(2X 3,6,8,10End,4,6 Ball)"</f>
        <v>Metric End Mill Package(2X 3,6,8,10End,4,6 Ball)</v>
      </c>
      <c r="D2665">
        <v>1</v>
      </c>
      <c r="E2665" t="str">
        <f t="shared" si="675"/>
        <v>FMS - Scorbot ER4U Robot with BenchMill 6000 CNC Milling machine (4 tool ATC)</v>
      </c>
      <c r="F2665">
        <v>502</v>
      </c>
      <c r="G2665" t="str">
        <f t="shared" si="666"/>
        <v>Y</v>
      </c>
      <c r="H2665" t="str">
        <f t="shared" si="676"/>
        <v>EA</v>
      </c>
      <c r="I2665">
        <v>0</v>
      </c>
      <c r="J2665">
        <v>0</v>
      </c>
      <c r="K2665" t="str">
        <f t="shared" si="667"/>
        <v>Y</v>
      </c>
      <c r="L2665">
        <v>0</v>
      </c>
      <c r="M2665" t="str">
        <f t="shared" si="672"/>
        <v>NIS</v>
      </c>
      <c r="O2665">
        <v>15</v>
      </c>
      <c r="P2665" t="str">
        <f t="shared" si="673"/>
        <v>Active</v>
      </c>
      <c r="Q2665" t="str">
        <f>"Metric Advanced End Mill Package 5121"</f>
        <v>Metric Advanced End Mill Package 5121</v>
      </c>
      <c r="S2665" t="str">
        <f>"Metric Advanced End Mill Package 5121"</f>
        <v>Metric Advanced End Mill Package 5121</v>
      </c>
      <c r="T2665">
        <v>0</v>
      </c>
      <c r="U2665">
        <v>55</v>
      </c>
      <c r="V2665">
        <v>50.17</v>
      </c>
      <c r="W2665" t="str">
        <f t="shared" si="677"/>
        <v>rob</v>
      </c>
    </row>
    <row r="2666" spans="1:23">
      <c r="A2666" t="str">
        <f t="shared" si="674"/>
        <v>MTS-ER4U-BM6000</v>
      </c>
      <c r="B2666" t="str">
        <f>"10-1111-1000"</f>
        <v>10-1111-1000</v>
      </c>
      <c r="C2666" t="str">
        <f>"- Handwheel - Manual Control"</f>
        <v>- Handwheel - Manual Control</v>
      </c>
      <c r="D2666">
        <v>1</v>
      </c>
      <c r="E2666" t="str">
        <f t="shared" si="675"/>
        <v>FMS - Scorbot ER4U Robot with BenchMill 6000 CNC Milling machine (4 tool ATC)</v>
      </c>
      <c r="F2666">
        <v>502</v>
      </c>
      <c r="G2666" t="str">
        <f t="shared" si="666"/>
        <v>Y</v>
      </c>
      <c r="H2666" t="str">
        <f t="shared" si="676"/>
        <v>EA</v>
      </c>
      <c r="I2666">
        <v>0</v>
      </c>
      <c r="J2666">
        <v>0</v>
      </c>
      <c r="K2666" t="str">
        <f t="shared" si="667"/>
        <v>Y</v>
      </c>
      <c r="L2666">
        <v>0</v>
      </c>
      <c r="M2666" t="str">
        <f t="shared" si="672"/>
        <v>NIS</v>
      </c>
      <c r="O2666">
        <v>16</v>
      </c>
      <c r="P2666" t="str">
        <f t="shared" si="673"/>
        <v>Active</v>
      </c>
      <c r="Q2666" t="str">
        <f>"Hand wheel"</f>
        <v>Hand wheel</v>
      </c>
      <c r="S2666" t="str">
        <f>"Jog Pendant Handwheel"</f>
        <v>Jog Pendant Handwheel</v>
      </c>
      <c r="T2666">
        <v>0</v>
      </c>
      <c r="U2666">
        <v>235</v>
      </c>
      <c r="V2666">
        <v>235.03</v>
      </c>
      <c r="W2666" t="str">
        <f t="shared" si="677"/>
        <v>rob</v>
      </c>
    </row>
    <row r="2667" spans="1:23">
      <c r="A2667" t="str">
        <f t="shared" si="674"/>
        <v>MTS-ER4U-BM6000</v>
      </c>
      <c r="B2667" t="str">
        <f>"10-1111-6000"</f>
        <v>10-1111-6000</v>
      </c>
      <c r="C2667" t="str">
        <f>"4"" Vise"</f>
        <v>4" Vise</v>
      </c>
      <c r="D2667">
        <v>1</v>
      </c>
      <c r="E2667" t="str">
        <f t="shared" si="675"/>
        <v>FMS - Scorbot ER4U Robot with BenchMill 6000 CNC Milling machine (4 tool ATC)</v>
      </c>
      <c r="F2667">
        <v>502</v>
      </c>
      <c r="G2667" t="str">
        <f t="shared" si="666"/>
        <v>Y</v>
      </c>
      <c r="H2667" t="str">
        <f t="shared" si="676"/>
        <v>EA</v>
      </c>
      <c r="I2667">
        <v>0</v>
      </c>
      <c r="J2667">
        <v>0</v>
      </c>
      <c r="K2667" t="str">
        <f t="shared" si="667"/>
        <v>Y</v>
      </c>
      <c r="L2667">
        <v>0</v>
      </c>
      <c r="M2667" t="str">
        <f t="shared" si="672"/>
        <v>NIS</v>
      </c>
      <c r="N2667" t="str">
        <f t="shared" ref="N2667:N2673" si="678">"Y"</f>
        <v>Y</v>
      </c>
      <c r="O2667">
        <v>17</v>
      </c>
      <c r="P2667" t="str">
        <f t="shared" si="673"/>
        <v>Active</v>
      </c>
      <c r="Q2667" t="str">
        <f>"4"" Precision Maching Vise"</f>
        <v>4" Precision Maching Vise</v>
      </c>
      <c r="S2667" t="str">
        <f>"4"" Precision Maching Vise"</f>
        <v>4" Precision Maching Vise</v>
      </c>
      <c r="T2667">
        <v>0</v>
      </c>
      <c r="U2667">
        <v>53</v>
      </c>
      <c r="V2667">
        <v>49.5</v>
      </c>
      <c r="W2667" t="str">
        <f t="shared" si="677"/>
        <v>rob</v>
      </c>
    </row>
    <row r="2668" spans="1:23">
      <c r="A2668" t="str">
        <f t="shared" si="674"/>
        <v>MTS-ER4U-BM6000</v>
      </c>
      <c r="B2668" t="str">
        <f>"10-1111-5000"</f>
        <v>10-1111-5000</v>
      </c>
      <c r="C2668" t="str">
        <f>"clamping kit 58 pcs set"</f>
        <v>clamping kit 58 pcs set</v>
      </c>
      <c r="D2668">
        <v>1</v>
      </c>
      <c r="E2668" t="str">
        <f t="shared" si="675"/>
        <v>FMS - Scorbot ER4U Robot with BenchMill 6000 CNC Milling machine (4 tool ATC)</v>
      </c>
      <c r="F2668">
        <v>502</v>
      </c>
      <c r="G2668" t="str">
        <f t="shared" si="666"/>
        <v>Y</v>
      </c>
      <c r="H2668" t="str">
        <f t="shared" si="676"/>
        <v>EA</v>
      </c>
      <c r="I2668">
        <v>0</v>
      </c>
      <c r="J2668">
        <v>0</v>
      </c>
      <c r="K2668" t="str">
        <f t="shared" si="667"/>
        <v>Y</v>
      </c>
      <c r="L2668">
        <v>0</v>
      </c>
      <c r="M2668" t="str">
        <f t="shared" si="672"/>
        <v>NIS</v>
      </c>
      <c r="N2668" t="str">
        <f t="shared" si="678"/>
        <v>Y</v>
      </c>
      <c r="O2668">
        <v>18</v>
      </c>
      <c r="P2668" t="str">
        <f t="shared" si="673"/>
        <v>Active</v>
      </c>
      <c r="Q2668" t="str">
        <f>"clamping kit 58 pcs set"</f>
        <v>clamping kit 58 pcs set</v>
      </c>
      <c r="S2668" t="str">
        <f>"clamping kit 58 pcs set"</f>
        <v>clamping kit 58 pcs set</v>
      </c>
      <c r="T2668">
        <v>0</v>
      </c>
      <c r="U2668">
        <v>52</v>
      </c>
      <c r="V2668">
        <v>51.72</v>
      </c>
      <c r="W2668" t="str">
        <f t="shared" si="677"/>
        <v>rob</v>
      </c>
    </row>
    <row r="2669" spans="1:23">
      <c r="A2669" t="str">
        <f t="shared" si="674"/>
        <v>MTS-ER4U-BM6000</v>
      </c>
      <c r="B2669" t="str">
        <f>"10-1108-8000"</f>
        <v>10-1108-8000</v>
      </c>
      <c r="C2669" t="str">
        <f>"- 4th Axis rotary worktable with tailstock"</f>
        <v>- 4th Axis rotary worktable with tailstock</v>
      </c>
      <c r="D2669">
        <v>1</v>
      </c>
      <c r="E2669" t="str">
        <f t="shared" si="675"/>
        <v>FMS - Scorbot ER4U Robot with BenchMill 6000 CNC Milling machine (4 tool ATC)</v>
      </c>
      <c r="F2669">
        <v>502</v>
      </c>
      <c r="G2669" t="str">
        <f t="shared" si="666"/>
        <v>Y</v>
      </c>
      <c r="H2669" t="str">
        <f t="shared" si="676"/>
        <v>EA</v>
      </c>
      <c r="I2669">
        <v>0</v>
      </c>
      <c r="J2669">
        <v>0</v>
      </c>
      <c r="K2669" t="str">
        <f t="shared" si="667"/>
        <v>Y</v>
      </c>
      <c r="L2669">
        <v>0</v>
      </c>
      <c r="M2669" t="str">
        <f t="shared" si="672"/>
        <v>NIS</v>
      </c>
      <c r="N2669" t="str">
        <f t="shared" si="678"/>
        <v>Y</v>
      </c>
      <c r="O2669">
        <v>19</v>
      </c>
      <c r="P2669" t="str">
        <f t="shared" si="673"/>
        <v>Active</v>
      </c>
      <c r="Q2669" t="str">
        <f>"100mm rotary worktable (4th axis) with tailstock"</f>
        <v>100mm rotary worktable (4th axis) with tailstock</v>
      </c>
      <c r="S2669" t="str">
        <f>"100mm rotary worktable (4th axis) with tailstock"</f>
        <v>100mm rotary worktable (4th axis) with tailstock</v>
      </c>
      <c r="T2669">
        <v>0</v>
      </c>
      <c r="U2669">
        <v>614.64</v>
      </c>
      <c r="V2669">
        <v>594.83000000000004</v>
      </c>
      <c r="W2669" t="str">
        <f t="shared" si="677"/>
        <v>rob</v>
      </c>
    </row>
    <row r="2670" spans="1:23">
      <c r="A2670" t="str">
        <f t="shared" si="674"/>
        <v>MTS-ER4U-BM6000</v>
      </c>
      <c r="B2670" t="str">
        <f>"10-1109-3000"</f>
        <v>10-1109-3000</v>
      </c>
      <c r="C2670" t="str">
        <f>"- 80mm 3-jaw chuck"</f>
        <v>- 80mm 3-jaw chuck</v>
      </c>
      <c r="D2670">
        <v>1</v>
      </c>
      <c r="E2670" t="str">
        <f t="shared" si="675"/>
        <v>FMS - Scorbot ER4U Robot with BenchMill 6000 CNC Milling machine (4 tool ATC)</v>
      </c>
      <c r="F2670">
        <v>502</v>
      </c>
      <c r="G2670" t="str">
        <f t="shared" si="666"/>
        <v>Y</v>
      </c>
      <c r="H2670" t="str">
        <f t="shared" si="676"/>
        <v>EA</v>
      </c>
      <c r="I2670">
        <v>0</v>
      </c>
      <c r="J2670">
        <v>0</v>
      </c>
      <c r="K2670" t="str">
        <f t="shared" si="667"/>
        <v>Y</v>
      </c>
      <c r="L2670">
        <v>0</v>
      </c>
      <c r="M2670" t="str">
        <f t="shared" si="672"/>
        <v>NIS</v>
      </c>
      <c r="N2670" t="str">
        <f t="shared" si="678"/>
        <v>Y</v>
      </c>
      <c r="O2670">
        <v>20</v>
      </c>
      <c r="P2670" t="str">
        <f t="shared" si="673"/>
        <v>Active</v>
      </c>
      <c r="Q2670" t="str">
        <f>"80mm 3-jaw chuck"</f>
        <v>80mm 3-jaw chuck</v>
      </c>
      <c r="S2670" t="str">
        <f>"80mm 3-jaw chuck"</f>
        <v>80mm 3-jaw chuck</v>
      </c>
      <c r="T2670">
        <v>0</v>
      </c>
      <c r="U2670">
        <v>53</v>
      </c>
      <c r="V2670">
        <v>52.35</v>
      </c>
      <c r="W2670" t="str">
        <f t="shared" si="677"/>
        <v>rob</v>
      </c>
    </row>
    <row r="2671" spans="1:23">
      <c r="A2671" t="str">
        <f t="shared" si="674"/>
        <v>MTS-ER4U-BM6000</v>
      </c>
      <c r="B2671" t="str">
        <f>"10-1112-2000"</f>
        <v>10-1112-2000</v>
      </c>
      <c r="C2671" t="str">
        <f>"ER16 Collet set-8 pieces(3,4,5,6,7,8,9 and 10mm)"</f>
        <v>ER16 Collet set-8 pieces(3,4,5,6,7,8,9 and 10mm)</v>
      </c>
      <c r="D2671">
        <v>1</v>
      </c>
      <c r="E2671" t="str">
        <f t="shared" si="675"/>
        <v>FMS - Scorbot ER4U Robot with BenchMill 6000 CNC Milling machine (4 tool ATC)</v>
      </c>
      <c r="F2671">
        <v>502</v>
      </c>
      <c r="G2671" t="str">
        <f t="shared" si="666"/>
        <v>Y</v>
      </c>
      <c r="H2671" t="str">
        <f t="shared" si="676"/>
        <v>EA</v>
      </c>
      <c r="I2671">
        <v>0</v>
      </c>
      <c r="J2671">
        <v>0</v>
      </c>
      <c r="K2671" t="str">
        <f t="shared" si="667"/>
        <v>Y</v>
      </c>
      <c r="L2671">
        <v>0</v>
      </c>
      <c r="M2671" t="str">
        <f t="shared" si="672"/>
        <v>NIS</v>
      </c>
      <c r="N2671" t="str">
        <f t="shared" si="678"/>
        <v>Y</v>
      </c>
      <c r="O2671">
        <v>21</v>
      </c>
      <c r="P2671" t="str">
        <f t="shared" si="673"/>
        <v>Active</v>
      </c>
      <c r="Q2671" t="str">
        <f>"ER16 Collet set-8 pieces(3,4,5,6,7,8,9 and 10mm)"</f>
        <v>ER16 Collet set-8 pieces(3,4,5,6,7,8,9 and 10mm)</v>
      </c>
      <c r="S2671" t="str">
        <f>"ER16 Collet set-8 pieces(3,4,5,6,7,8,9 and 10mm)"</f>
        <v>ER16 Collet set-8 pieces(3,4,5,6,7,8,9 and 10mm)</v>
      </c>
      <c r="T2671">
        <v>0</v>
      </c>
      <c r="U2671">
        <v>71</v>
      </c>
      <c r="V2671">
        <v>64.84</v>
      </c>
      <c r="W2671" t="str">
        <f t="shared" si="677"/>
        <v>rob</v>
      </c>
    </row>
    <row r="2672" spans="1:23">
      <c r="A2672" t="str">
        <f t="shared" si="674"/>
        <v>MTS-ER4U-BM6000</v>
      </c>
      <c r="B2672" t="str">
        <f>"10-1108-1220"</f>
        <v>10-1108-1220</v>
      </c>
      <c r="C2672" t="str">
        <f>"- Coolant system 27L -220V"</f>
        <v>- Coolant system 27L -220V</v>
      </c>
      <c r="D2672">
        <v>1</v>
      </c>
      <c r="E2672" t="str">
        <f t="shared" si="675"/>
        <v>FMS - Scorbot ER4U Robot with BenchMill 6000 CNC Milling machine (4 tool ATC)</v>
      </c>
      <c r="F2672">
        <v>502</v>
      </c>
      <c r="G2672" t="str">
        <f t="shared" si="666"/>
        <v>Y</v>
      </c>
      <c r="H2672" t="str">
        <f t="shared" si="676"/>
        <v>EA</v>
      </c>
      <c r="I2672">
        <v>0</v>
      </c>
      <c r="J2672">
        <v>0</v>
      </c>
      <c r="K2672" t="str">
        <f t="shared" si="667"/>
        <v>Y</v>
      </c>
      <c r="L2672">
        <v>0</v>
      </c>
      <c r="M2672" t="str">
        <f t="shared" si="672"/>
        <v>NIS</v>
      </c>
      <c r="N2672" t="str">
        <f t="shared" si="678"/>
        <v>Y</v>
      </c>
      <c r="O2672">
        <v>22</v>
      </c>
      <c r="P2672" t="str">
        <f t="shared" si="673"/>
        <v>Active</v>
      </c>
      <c r="Q2672" t="str">
        <f>"Coolant system 27L"</f>
        <v>Coolant system 27L</v>
      </c>
      <c r="S2672" t="str">
        <f>"Coolant system 27L - 220V"</f>
        <v>Coolant system 27L - 220V</v>
      </c>
      <c r="T2672">
        <v>0</v>
      </c>
      <c r="U2672">
        <v>117.08</v>
      </c>
      <c r="V2672">
        <v>117.15</v>
      </c>
      <c r="W2672" t="str">
        <f t="shared" si="677"/>
        <v>rob</v>
      </c>
    </row>
    <row r="2673" spans="1:23">
      <c r="A2673" t="str">
        <f t="shared" si="674"/>
        <v>MTS-ER4U-BM6000</v>
      </c>
      <c r="B2673" t="str">
        <f>"10-1111-9000"</f>
        <v>10-1111-9000</v>
      </c>
      <c r="C2673" t="str">
        <f>"ISO 20 tool holder"</f>
        <v>ISO 20 tool holder</v>
      </c>
      <c r="D2673">
        <v>4</v>
      </c>
      <c r="E2673" t="str">
        <f t="shared" si="675"/>
        <v>FMS - Scorbot ER4U Robot with BenchMill 6000 CNC Milling machine (4 tool ATC)</v>
      </c>
      <c r="F2673">
        <v>502</v>
      </c>
      <c r="G2673" t="str">
        <f t="shared" si="666"/>
        <v>Y</v>
      </c>
      <c r="H2673" t="str">
        <f t="shared" si="676"/>
        <v>EA</v>
      </c>
      <c r="I2673">
        <v>0</v>
      </c>
      <c r="J2673">
        <v>0</v>
      </c>
      <c r="K2673" t="str">
        <f t="shared" si="667"/>
        <v>Y</v>
      </c>
      <c r="L2673">
        <v>0</v>
      </c>
      <c r="M2673" t="str">
        <f t="shared" si="672"/>
        <v>NIS</v>
      </c>
      <c r="N2673" t="str">
        <f t="shared" si="678"/>
        <v>Y</v>
      </c>
      <c r="O2673">
        <v>23</v>
      </c>
      <c r="P2673" t="str">
        <f t="shared" si="673"/>
        <v>Active</v>
      </c>
      <c r="Q2673" t="str">
        <f>"ISO 20 tool holder with nut"</f>
        <v>ISO 20 tool holder with nut</v>
      </c>
      <c r="S2673" t="str">
        <f>"ISO 20 tool holder with nut"</f>
        <v>ISO 20 tool holder with nut</v>
      </c>
      <c r="T2673">
        <v>0</v>
      </c>
      <c r="U2673">
        <v>103</v>
      </c>
      <c r="V2673">
        <v>103.19</v>
      </c>
      <c r="W2673" t="str">
        <f t="shared" si="677"/>
        <v>rob</v>
      </c>
    </row>
    <row r="2674" spans="1:23">
      <c r="A2674" t="str">
        <f t="shared" si="674"/>
        <v>MTS-ER4U-BM6000</v>
      </c>
      <c r="B2674" t="str">
        <f>"10-1113-6000"</f>
        <v>10-1113-6000</v>
      </c>
      <c r="C2674" t="str">
        <f>"- Metric Engraving Package (1,1.5,2 mm End mill)"</f>
        <v>- Metric Engraving Package (1,1.5,2 mm End mill)</v>
      </c>
      <c r="D2674">
        <v>1</v>
      </c>
      <c r="E2674" t="str">
        <f t="shared" si="675"/>
        <v>FMS - Scorbot ER4U Robot with BenchMill 6000 CNC Milling machine (4 tool ATC)</v>
      </c>
      <c r="F2674">
        <v>502</v>
      </c>
      <c r="G2674" t="str">
        <f t="shared" si="666"/>
        <v>Y</v>
      </c>
      <c r="H2674" t="str">
        <f t="shared" si="676"/>
        <v>EA</v>
      </c>
      <c r="I2674">
        <v>0</v>
      </c>
      <c r="J2674">
        <v>0</v>
      </c>
      <c r="K2674" t="str">
        <f t="shared" si="667"/>
        <v>Y</v>
      </c>
      <c r="L2674">
        <v>0</v>
      </c>
      <c r="M2674" t="str">
        <f t="shared" si="672"/>
        <v>NIS</v>
      </c>
      <c r="O2674">
        <v>24</v>
      </c>
      <c r="P2674" t="str">
        <f t="shared" si="673"/>
        <v>Active</v>
      </c>
      <c r="Q2674" t="str">
        <f>"Metric Engraving Package 5711"</f>
        <v>Metric Engraving Package 5711</v>
      </c>
      <c r="S2674" t="str">
        <f>"Metric Engraving Package 5711"</f>
        <v>Metric Engraving Package 5711</v>
      </c>
      <c r="T2674">
        <v>0</v>
      </c>
      <c r="U2674">
        <v>41</v>
      </c>
      <c r="V2674">
        <v>37.909999999999997</v>
      </c>
      <c r="W2674" t="str">
        <f t="shared" si="677"/>
        <v>rob</v>
      </c>
    </row>
    <row r="2675" spans="1:23">
      <c r="A2675" t="str">
        <f t="shared" si="674"/>
        <v>MTS-ER4U-BM6000</v>
      </c>
      <c r="B2675" t="str">
        <f>"10-1111-3000"</f>
        <v>10-1111-3000</v>
      </c>
      <c r="C2675" t="str">
        <f>"- Fanuc Emulator Panel with software"</f>
        <v>- Fanuc Emulator Panel with software</v>
      </c>
      <c r="D2675">
        <v>1</v>
      </c>
      <c r="E2675" t="str">
        <f t="shared" si="675"/>
        <v>FMS - Scorbot ER4U Robot with BenchMill 6000 CNC Milling machine (4 tool ATC)</v>
      </c>
      <c r="F2675">
        <v>502</v>
      </c>
      <c r="G2675" t="str">
        <f t="shared" si="666"/>
        <v>Y</v>
      </c>
      <c r="H2675" t="str">
        <f t="shared" si="676"/>
        <v>EA</v>
      </c>
      <c r="I2675">
        <v>0</v>
      </c>
      <c r="J2675">
        <v>0</v>
      </c>
      <c r="K2675" t="str">
        <f t="shared" si="667"/>
        <v>Y</v>
      </c>
      <c r="L2675">
        <v>0</v>
      </c>
      <c r="M2675" t="str">
        <f t="shared" si="672"/>
        <v>NIS</v>
      </c>
      <c r="N2675" t="str">
        <f>"Y"</f>
        <v>Y</v>
      </c>
      <c r="O2675">
        <v>25</v>
      </c>
      <c r="P2675" t="str">
        <f>"Phase Out"</f>
        <v>Phase Out</v>
      </c>
      <c r="Q2675" t="str">
        <f>"Fanuc simulator with software"</f>
        <v>Fanuc simulator with software</v>
      </c>
      <c r="S2675" t="str">
        <f>"Fanuc simulator with software"</f>
        <v>Fanuc simulator with software</v>
      </c>
      <c r="T2675">
        <v>0</v>
      </c>
      <c r="U2675">
        <v>664</v>
      </c>
      <c r="V2675">
        <v>597.4</v>
      </c>
      <c r="W2675" t="str">
        <f t="shared" si="677"/>
        <v>rob</v>
      </c>
    </row>
    <row r="2676" spans="1:23">
      <c r="A2676" t="str">
        <f t="shared" si="674"/>
        <v>MTS-ER4U-BM6000</v>
      </c>
      <c r="B2676" t="str">
        <f>"63-6723-0000"</f>
        <v>63-6723-0000</v>
      </c>
      <c r="C2676" t="str">
        <f>"SpectraCAD Engraver software – Download Only"</f>
        <v>SpectraCAD Engraver software – Download Only</v>
      </c>
      <c r="D2676">
        <v>1</v>
      </c>
      <c r="E2676" t="str">
        <f t="shared" si="675"/>
        <v>FMS - Scorbot ER4U Robot with BenchMill 6000 CNC Milling machine (4 tool ATC)</v>
      </c>
      <c r="F2676">
        <v>502</v>
      </c>
      <c r="G2676" t="str">
        <f t="shared" si="666"/>
        <v>Y</v>
      </c>
      <c r="H2676" t="str">
        <f t="shared" si="676"/>
        <v>EA</v>
      </c>
      <c r="I2676">
        <v>0</v>
      </c>
      <c r="J2676">
        <v>0</v>
      </c>
      <c r="K2676" t="str">
        <f t="shared" si="667"/>
        <v>Y</v>
      </c>
      <c r="L2676">
        <v>0</v>
      </c>
      <c r="M2676" t="str">
        <f t="shared" si="672"/>
        <v>NIS</v>
      </c>
      <c r="O2676">
        <v>32</v>
      </c>
      <c r="P2676" t="str">
        <f t="shared" ref="P2676:P2707" si="679">"Active"</f>
        <v>Active</v>
      </c>
      <c r="Q2676" t="str">
        <f>"SpectraCAD Engraver software – Download Only"</f>
        <v>SpectraCAD Engraver software – Download Only</v>
      </c>
      <c r="S2676" t="str">
        <f>"SpectraCAD Engraver software – Download Only"</f>
        <v>SpectraCAD Engraver software – Download Only</v>
      </c>
      <c r="T2676">
        <v>0</v>
      </c>
      <c r="U2676">
        <v>10</v>
      </c>
      <c r="V2676">
        <v>10.4</v>
      </c>
      <c r="W2676" t="str">
        <f t="shared" si="677"/>
        <v>rob</v>
      </c>
    </row>
    <row r="2677" spans="1:23">
      <c r="A2677" t="str">
        <f t="shared" si="674"/>
        <v>MTS-ER4U-BM6000</v>
      </c>
      <c r="B2677" t="str">
        <f>"63-6001-1000"</f>
        <v>63-6001-1000</v>
      </c>
      <c r="C2677" t="str">
        <f>"-CNCMotion Simulation Sftwr for BenchMill 6000"</f>
        <v>-CNCMotion Simulation Sftwr for BenchMill 6000</v>
      </c>
      <c r="D2677">
        <v>1</v>
      </c>
      <c r="E2677" t="str">
        <f t="shared" si="675"/>
        <v>FMS - Scorbot ER4U Robot with BenchMill 6000 CNC Milling machine (4 tool ATC)</v>
      </c>
      <c r="F2677">
        <v>502</v>
      </c>
      <c r="G2677" t="str">
        <f t="shared" si="666"/>
        <v>Y</v>
      </c>
      <c r="H2677" t="str">
        <f t="shared" si="676"/>
        <v>EA</v>
      </c>
      <c r="I2677">
        <v>0</v>
      </c>
      <c r="J2677">
        <v>0</v>
      </c>
      <c r="K2677" t="str">
        <f t="shared" si="667"/>
        <v>Y</v>
      </c>
      <c r="L2677">
        <v>0</v>
      </c>
      <c r="M2677" t="str">
        <f t="shared" si="672"/>
        <v>NIS</v>
      </c>
      <c r="O2677">
        <v>26</v>
      </c>
      <c r="P2677" t="str">
        <f t="shared" si="679"/>
        <v>Active</v>
      </c>
      <c r="Q2677" t="str">
        <f>"CNCMotion Sim. Sftwr, BenchMill 6000"</f>
        <v>CNCMotion Sim. Sftwr, BenchMill 6000</v>
      </c>
      <c r="S2677" t="str">
        <f>"CNCMotion Sim. Sftwr, BenchMill 6000"</f>
        <v>CNCMotion Sim. Sftwr, BenchMill 6000</v>
      </c>
      <c r="T2677">
        <v>0</v>
      </c>
      <c r="U2677">
        <v>10</v>
      </c>
      <c r="V2677">
        <v>0</v>
      </c>
      <c r="W2677" t="str">
        <f t="shared" si="677"/>
        <v>rob</v>
      </c>
    </row>
    <row r="2678" spans="1:23">
      <c r="A2678" t="str">
        <f t="shared" si="674"/>
        <v>MTS-ER4U-BM6000</v>
      </c>
      <c r="B2678" t="str">
        <f>"63-6733-0000"</f>
        <v>63-6733-0000</v>
      </c>
      <c r="C2678" t="str">
        <f>"Software, SpectraCAM Milling"</f>
        <v>Software, SpectraCAM Milling</v>
      </c>
      <c r="D2678">
        <v>1</v>
      </c>
      <c r="E2678" t="str">
        <f t="shared" si="675"/>
        <v>FMS - Scorbot ER4U Robot with BenchMill 6000 CNC Milling machine (4 tool ATC)</v>
      </c>
      <c r="F2678">
        <v>502</v>
      </c>
      <c r="G2678" t="str">
        <f t="shared" si="666"/>
        <v>Y</v>
      </c>
      <c r="H2678" t="str">
        <f t="shared" si="676"/>
        <v>EA</v>
      </c>
      <c r="I2678">
        <v>0</v>
      </c>
      <c r="J2678">
        <v>0</v>
      </c>
      <c r="K2678" t="str">
        <f t="shared" si="667"/>
        <v>Y</v>
      </c>
      <c r="L2678">
        <v>0</v>
      </c>
      <c r="M2678" t="str">
        <f t="shared" si="672"/>
        <v>NIS</v>
      </c>
      <c r="O2678">
        <v>27</v>
      </c>
      <c r="P2678" t="str">
        <f t="shared" si="679"/>
        <v>Active</v>
      </c>
      <c r="Q2678" t="str">
        <f>"Software, SpectraCAM Milling"</f>
        <v>Software, SpectraCAM Milling</v>
      </c>
      <c r="S2678" t="str">
        <f>"Software, SpectraCAM Milling"</f>
        <v>Software, SpectraCAM Milling</v>
      </c>
      <c r="T2678">
        <v>0</v>
      </c>
      <c r="U2678">
        <v>10</v>
      </c>
      <c r="V2678">
        <v>10.4</v>
      </c>
      <c r="W2678" t="str">
        <f t="shared" si="677"/>
        <v>rob</v>
      </c>
    </row>
    <row r="2679" spans="1:23">
      <c r="A2679" t="str">
        <f t="shared" si="674"/>
        <v>MTS-ER4U-BM6000</v>
      </c>
      <c r="B2679" t="str">
        <f>"113034"</f>
        <v>113034</v>
      </c>
      <c r="C2679" t="str">
        <f>"Raw Material - Perspex Block"</f>
        <v>Raw Material - Perspex Block</v>
      </c>
      <c r="D2679">
        <v>50</v>
      </c>
      <c r="E2679" t="str">
        <f t="shared" si="675"/>
        <v>FMS - Scorbot ER4U Robot with BenchMill 6000 CNC Milling machine (4 tool ATC)</v>
      </c>
      <c r="F2679">
        <v>502</v>
      </c>
      <c r="G2679" t="str">
        <f t="shared" si="666"/>
        <v>Y</v>
      </c>
      <c r="H2679" t="str">
        <f t="shared" si="676"/>
        <v>EA</v>
      </c>
      <c r="I2679">
        <v>0</v>
      </c>
      <c r="J2679">
        <v>0</v>
      </c>
      <c r="K2679" t="str">
        <f t="shared" si="667"/>
        <v>Y</v>
      </c>
      <c r="L2679">
        <v>0</v>
      </c>
      <c r="M2679" t="str">
        <f t="shared" si="672"/>
        <v>NIS</v>
      </c>
      <c r="O2679">
        <v>28</v>
      </c>
      <c r="P2679" t="str">
        <f t="shared" si="679"/>
        <v>Active</v>
      </c>
      <c r="Q2679" t="str">
        <f>"Raw Material Stock - Perspex Block"</f>
        <v>Raw Material Stock - Perspex Block</v>
      </c>
      <c r="S2679" t="str">
        <f>"Raw Material Stock - Perspex Block"</f>
        <v>Raw Material Stock - Perspex Block</v>
      </c>
      <c r="T2679">
        <v>0</v>
      </c>
      <c r="U2679">
        <v>1.1000000000000001</v>
      </c>
      <c r="V2679">
        <v>1.0900000000000001</v>
      </c>
      <c r="W2679" t="str">
        <f t="shared" si="677"/>
        <v>rob</v>
      </c>
    </row>
    <row r="2680" spans="1:23">
      <c r="A2680" t="str">
        <f t="shared" si="674"/>
        <v>MTS-ER4U-BM6000</v>
      </c>
      <c r="B2680" t="str">
        <f>"00-1261-0000"</f>
        <v>00-1261-0000</v>
      </c>
      <c r="C2680" t="str">
        <f>"Workbench 1800x900mm (Heavy duty for CNC)"</f>
        <v>Workbench 1800x900mm (Heavy duty for CNC)</v>
      </c>
      <c r="D2680">
        <v>1</v>
      </c>
      <c r="E2680" t="str">
        <f t="shared" si="675"/>
        <v>FMS - Scorbot ER4U Robot with BenchMill 6000 CNC Milling machine (4 tool ATC)</v>
      </c>
      <c r="F2680">
        <v>502</v>
      </c>
      <c r="G2680" t="str">
        <f t="shared" si="666"/>
        <v>Y</v>
      </c>
      <c r="H2680" t="str">
        <f t="shared" si="676"/>
        <v>EA</v>
      </c>
      <c r="I2680">
        <v>0</v>
      </c>
      <c r="J2680">
        <v>0</v>
      </c>
      <c r="K2680" t="str">
        <f t="shared" si="667"/>
        <v>Y</v>
      </c>
      <c r="L2680">
        <v>0</v>
      </c>
      <c r="M2680" t="str">
        <f t="shared" si="672"/>
        <v>NIS</v>
      </c>
      <c r="O2680">
        <v>29</v>
      </c>
      <c r="P2680" t="str">
        <f t="shared" si="679"/>
        <v>Active</v>
      </c>
      <c r="Q2680" t="str">
        <f>"Workbench 1800x900mm (Heavy duty for CNC)"</f>
        <v>Workbench 1800x900mm (Heavy duty for CNC)</v>
      </c>
      <c r="S2680" t="str">
        <f>"Workbench 1800x900mm (Heavy duty for CNC)"</f>
        <v>Workbench 1800x900mm (Heavy duty for CNC)</v>
      </c>
      <c r="T2680">
        <v>0</v>
      </c>
      <c r="U2680">
        <v>830</v>
      </c>
      <c r="V2680">
        <v>831.14</v>
      </c>
      <c r="W2680" t="str">
        <f t="shared" si="677"/>
        <v>rob</v>
      </c>
    </row>
    <row r="2681" spans="1:23">
      <c r="A2681" t="str">
        <f t="shared" si="674"/>
        <v>MTS-ER4U-BM6000</v>
      </c>
      <c r="B2681" t="str">
        <f>"00-1265-0000"</f>
        <v>00-1265-0000</v>
      </c>
      <c r="C2681" t="str">
        <f>"PC Extension Shelf  600x900mm"</f>
        <v>PC Extension Shelf  600x900mm</v>
      </c>
      <c r="D2681">
        <v>1</v>
      </c>
      <c r="E2681" t="str">
        <f t="shared" si="675"/>
        <v>FMS - Scorbot ER4U Robot with BenchMill 6000 CNC Milling machine (4 tool ATC)</v>
      </c>
      <c r="F2681">
        <v>502</v>
      </c>
      <c r="G2681" t="str">
        <f t="shared" si="666"/>
        <v>Y</v>
      </c>
      <c r="H2681" t="str">
        <f t="shared" si="676"/>
        <v>EA</v>
      </c>
      <c r="I2681">
        <v>0</v>
      </c>
      <c r="J2681">
        <v>0</v>
      </c>
      <c r="K2681" t="str">
        <f t="shared" si="667"/>
        <v>Y</v>
      </c>
      <c r="L2681">
        <v>0</v>
      </c>
      <c r="M2681" t="str">
        <f t="shared" si="672"/>
        <v>NIS</v>
      </c>
      <c r="O2681">
        <v>30</v>
      </c>
      <c r="P2681" t="str">
        <f t="shared" si="679"/>
        <v>Active</v>
      </c>
      <c r="Q2681" t="str">
        <f>"PC Extension Shelf  600x900mm"</f>
        <v>PC Extension Shelf  600x900mm</v>
      </c>
      <c r="S2681" t="str">
        <f>"PC Extension Shelf  600x900mm"</f>
        <v>PC Extension Shelf  600x900mm</v>
      </c>
      <c r="T2681">
        <v>0</v>
      </c>
      <c r="U2681">
        <v>211</v>
      </c>
      <c r="V2681">
        <v>198.88</v>
      </c>
      <c r="W2681" t="str">
        <f t="shared" si="677"/>
        <v>rob</v>
      </c>
    </row>
    <row r="2682" spans="1:23">
      <c r="A2682" t="str">
        <f t="shared" si="674"/>
        <v>MTS-ER4U-BM6000</v>
      </c>
      <c r="B2682" t="str">
        <f>"50-0094-0000"</f>
        <v>50-0094-0000</v>
      </c>
      <c r="C2682" t="str">
        <f>"Pre-Engineering, Design and Testing"</f>
        <v>Pre-Engineering, Design and Testing</v>
      </c>
      <c r="D2682">
        <v>1</v>
      </c>
      <c r="E2682" t="str">
        <f t="shared" si="675"/>
        <v>FMS - Scorbot ER4U Robot with BenchMill 6000 CNC Milling machine (4 tool ATC)</v>
      </c>
      <c r="F2682">
        <v>502</v>
      </c>
      <c r="G2682" t="str">
        <f t="shared" si="666"/>
        <v>Y</v>
      </c>
      <c r="H2682" t="str">
        <f>"DA"</f>
        <v>DA</v>
      </c>
      <c r="I2682">
        <v>0</v>
      </c>
      <c r="J2682">
        <v>0</v>
      </c>
      <c r="K2682" t="str">
        <f t="shared" si="667"/>
        <v>Y</v>
      </c>
      <c r="L2682">
        <v>0</v>
      </c>
      <c r="M2682" t="str">
        <f t="shared" si="672"/>
        <v>NIS</v>
      </c>
      <c r="O2682">
        <v>31</v>
      </c>
      <c r="P2682" t="str">
        <f t="shared" si="679"/>
        <v>Active</v>
      </c>
      <c r="Q2682" t="str">
        <f>"Pre-Engineering, Design and Testing"</f>
        <v>Pre-Engineering, Design and Testing</v>
      </c>
      <c r="S2682" t="str">
        <f>"Pre-Engineering, Design and Testing"</f>
        <v>Pre-Engineering, Design and Testing</v>
      </c>
      <c r="T2682">
        <v>0</v>
      </c>
      <c r="U2682">
        <v>405</v>
      </c>
      <c r="V2682">
        <v>421.2</v>
      </c>
      <c r="W2682" t="str">
        <f t="shared" si="677"/>
        <v>rob</v>
      </c>
    </row>
    <row r="2683" spans="1:23">
      <c r="A2683" t="str">
        <f t="shared" ref="A2683:A2714" si="680">"MTS-ER4U-BM-BT"</f>
        <v>MTS-ER4U-BM-BT</v>
      </c>
      <c r="B2683" t="str">
        <f>"00-0413-0000"</f>
        <v>00-0413-0000</v>
      </c>
      <c r="C2683" t="str">
        <f>"SCORBOT-ER 4u"</f>
        <v>SCORBOT-ER 4u</v>
      </c>
      <c r="D2683">
        <v>1</v>
      </c>
      <c r="E2683" t="str">
        <f t="shared" ref="E2683:E2714" si="681">"FMS - Scorbot ER4U Robot with BenchMill 6000 &amp; BenchTurn 7000 CNC machines"</f>
        <v>FMS - Scorbot ER4U Robot with BenchMill 6000 &amp; BenchTurn 7000 CNC machines</v>
      </c>
      <c r="F2683">
        <v>502</v>
      </c>
      <c r="G2683" t="str">
        <f t="shared" si="666"/>
        <v>Y</v>
      </c>
      <c r="H2683" t="str">
        <f t="shared" ref="H2683:H2714" si="682">"EA"</f>
        <v>EA</v>
      </c>
      <c r="I2683">
        <v>0</v>
      </c>
      <c r="J2683">
        <v>0</v>
      </c>
      <c r="K2683" t="str">
        <f t="shared" si="667"/>
        <v>Y</v>
      </c>
      <c r="L2683">
        <v>0</v>
      </c>
      <c r="M2683" t="str">
        <f t="shared" si="672"/>
        <v>NIS</v>
      </c>
      <c r="O2683">
        <v>1</v>
      </c>
      <c r="P2683" t="str">
        <f t="shared" si="679"/>
        <v>Active</v>
      </c>
      <c r="Q2683" t="str">
        <f>"SCORBOT-ER 4u (Package)"</f>
        <v>SCORBOT-ER 4u (Package)</v>
      </c>
      <c r="S2683" t="str">
        <f>"SCORBOT-ER 4u (Package)"</f>
        <v>SCORBOT-ER 4u (Package)</v>
      </c>
      <c r="T2683">
        <v>0</v>
      </c>
      <c r="U2683" s="44">
        <v>3200</v>
      </c>
      <c r="V2683" s="44">
        <v>3390.7</v>
      </c>
      <c r="W2683" t="str">
        <f t="shared" si="677"/>
        <v>rob</v>
      </c>
    </row>
    <row r="2684" spans="1:23">
      <c r="A2684" t="str">
        <f t="shared" si="680"/>
        <v>MTS-ER4U-BM-BT</v>
      </c>
      <c r="B2684" t="str">
        <f>"00-0609-0000"</f>
        <v>00-0609-0000</v>
      </c>
      <c r="C2684" t="str">
        <f>"Gripper attachment for round and square parts"</f>
        <v>Gripper attachment for round and square parts</v>
      </c>
      <c r="D2684">
        <v>1</v>
      </c>
      <c r="E2684" t="str">
        <f t="shared" si="681"/>
        <v>FMS - Scorbot ER4U Robot with BenchMill 6000 &amp; BenchTurn 7000 CNC machines</v>
      </c>
      <c r="F2684">
        <v>502</v>
      </c>
      <c r="G2684" t="str">
        <f t="shared" si="666"/>
        <v>Y</v>
      </c>
      <c r="H2684" t="str">
        <f t="shared" si="682"/>
        <v>EA</v>
      </c>
      <c r="I2684">
        <v>0</v>
      </c>
      <c r="J2684">
        <v>0</v>
      </c>
      <c r="K2684" t="str">
        <f t="shared" si="667"/>
        <v>Y</v>
      </c>
      <c r="L2684">
        <v>0</v>
      </c>
      <c r="M2684" t="str">
        <f t="shared" si="672"/>
        <v>NIS</v>
      </c>
      <c r="O2684">
        <v>2</v>
      </c>
      <c r="P2684" t="str">
        <f t="shared" si="679"/>
        <v>Active</v>
      </c>
      <c r="Q2684" t="str">
        <f>"End Effector Attachment for ER4U Gripper"</f>
        <v>End Effector Attachment for ER4U Gripper</v>
      </c>
      <c r="S2684" t="str">
        <f>"End Effector Attachment for ER4U Gripper"</f>
        <v>End Effector Attachment for ER4U Gripper</v>
      </c>
      <c r="T2684">
        <v>0</v>
      </c>
      <c r="U2684">
        <v>25.59</v>
      </c>
      <c r="V2684">
        <v>25.11</v>
      </c>
      <c r="W2684" t="str">
        <f t="shared" si="677"/>
        <v>rob</v>
      </c>
    </row>
    <row r="2685" spans="1:23">
      <c r="A2685" t="str">
        <f t="shared" si="680"/>
        <v>MTS-ER4U-BM-BT</v>
      </c>
      <c r="B2685" t="str">
        <f>"00-1710-0000"</f>
        <v>00-1710-0000</v>
      </c>
      <c r="C2685" t="str">
        <f>"Teach Pendant"</f>
        <v>Teach Pendant</v>
      </c>
      <c r="D2685">
        <v>1</v>
      </c>
      <c r="E2685" t="str">
        <f t="shared" si="681"/>
        <v>FMS - Scorbot ER4U Robot with BenchMill 6000 &amp; BenchTurn 7000 CNC machines</v>
      </c>
      <c r="F2685">
        <v>502</v>
      </c>
      <c r="G2685" t="str">
        <f t="shared" si="666"/>
        <v>Y</v>
      </c>
      <c r="H2685" t="str">
        <f t="shared" si="682"/>
        <v>EA</v>
      </c>
      <c r="I2685">
        <v>0</v>
      </c>
      <c r="J2685">
        <v>0</v>
      </c>
      <c r="K2685" t="str">
        <f t="shared" si="667"/>
        <v>Y</v>
      </c>
      <c r="L2685">
        <v>0</v>
      </c>
      <c r="M2685" t="str">
        <f t="shared" si="672"/>
        <v>NIS</v>
      </c>
      <c r="O2685">
        <v>3</v>
      </c>
      <c r="P2685" t="str">
        <f t="shared" si="679"/>
        <v>Active</v>
      </c>
      <c r="Q2685" t="str">
        <f>"Teach Pendant for USB/USB Pro Controllers"</f>
        <v>Teach Pendant for USB/USB Pro Controllers</v>
      </c>
      <c r="S2685" t="str">
        <f>"Teach Pendant for USB/USB Pro Controllers"</f>
        <v>Teach Pendant for USB/USB Pro Controllers</v>
      </c>
      <c r="T2685">
        <v>0</v>
      </c>
      <c r="U2685">
        <v>160.18</v>
      </c>
      <c r="V2685">
        <v>161.44999999999999</v>
      </c>
      <c r="W2685" t="str">
        <f t="shared" si="677"/>
        <v>rob</v>
      </c>
    </row>
    <row r="2686" spans="1:23">
      <c r="A2686" t="str">
        <f t="shared" si="680"/>
        <v>MTS-ER4U-BM-BT</v>
      </c>
      <c r="B2686" t="str">
        <f>"00-1021-0000"</f>
        <v>00-1021-0000</v>
      </c>
      <c r="C2686" t="str">
        <f>"LSB 1.8m, Belt, TT"</f>
        <v>LSB 1.8m, Belt, TT</v>
      </c>
      <c r="D2686">
        <v>1</v>
      </c>
      <c r="E2686" t="str">
        <f t="shared" si="681"/>
        <v>FMS - Scorbot ER4U Robot with BenchMill 6000 &amp; BenchTurn 7000 CNC machines</v>
      </c>
      <c r="F2686">
        <v>502</v>
      </c>
      <c r="G2686" t="str">
        <f t="shared" si="666"/>
        <v>Y</v>
      </c>
      <c r="H2686" t="str">
        <f t="shared" si="682"/>
        <v>EA</v>
      </c>
      <c r="I2686">
        <v>0</v>
      </c>
      <c r="J2686">
        <v>0</v>
      </c>
      <c r="K2686" t="str">
        <f t="shared" si="667"/>
        <v>Y</v>
      </c>
      <c r="L2686">
        <v>0</v>
      </c>
      <c r="M2686" t="str">
        <f t="shared" si="672"/>
        <v>NIS</v>
      </c>
      <c r="O2686">
        <v>4</v>
      </c>
      <c r="P2686" t="str">
        <f t="shared" si="679"/>
        <v>Active</v>
      </c>
      <c r="Q2686" t="str">
        <f>"LSB 1.8 m (Belt, Table-Top)"</f>
        <v>LSB 1.8 m (Belt, Table-Top)</v>
      </c>
      <c r="S2686" t="str">
        <f>"LSB 1.8m, Belt, Table-Top"</f>
        <v>LSB 1.8m, Belt, Table-Top</v>
      </c>
      <c r="T2686">
        <v>0</v>
      </c>
      <c r="U2686" s="44">
        <v>2056.5700000000002</v>
      </c>
      <c r="V2686" s="44">
        <v>1953.96</v>
      </c>
      <c r="W2686" t="str">
        <f t="shared" si="677"/>
        <v>rob</v>
      </c>
    </row>
    <row r="2687" spans="1:23">
      <c r="A2687" t="str">
        <f t="shared" si="680"/>
        <v>MTS-ER4U-BM-BT</v>
      </c>
      <c r="B2687" t="str">
        <f>"10-1003-8000"</f>
        <v>10-1003-8000</v>
      </c>
      <c r="C2687" t="str">
        <f>"Stand for table's LSB"</f>
        <v>Stand for table's LSB</v>
      </c>
      <c r="D2687">
        <v>1</v>
      </c>
      <c r="E2687" t="str">
        <f t="shared" si="681"/>
        <v>FMS - Scorbot ER4U Robot with BenchMill 6000 &amp; BenchTurn 7000 CNC machines</v>
      </c>
      <c r="F2687">
        <v>502</v>
      </c>
      <c r="G2687" t="str">
        <f t="shared" si="666"/>
        <v>Y</v>
      </c>
      <c r="H2687" t="str">
        <f t="shared" si="682"/>
        <v>EA</v>
      </c>
      <c r="I2687">
        <v>0</v>
      </c>
      <c r="J2687">
        <v>0</v>
      </c>
      <c r="K2687" t="str">
        <f t="shared" si="667"/>
        <v>Y</v>
      </c>
      <c r="L2687">
        <v>0</v>
      </c>
      <c r="M2687" t="str">
        <f t="shared" si="672"/>
        <v>NIS</v>
      </c>
      <c r="O2687">
        <v>5</v>
      </c>
      <c r="P2687" t="str">
        <f t="shared" si="679"/>
        <v>Active</v>
      </c>
      <c r="Q2687" t="str">
        <f>"Stand for table's LSB"</f>
        <v>Stand for table's LSB</v>
      </c>
      <c r="S2687" t="str">
        <f>"Stand for table's LSB"</f>
        <v>Stand for table's LSB</v>
      </c>
      <c r="T2687">
        <v>0</v>
      </c>
      <c r="U2687">
        <v>233</v>
      </c>
      <c r="V2687">
        <v>237.29</v>
      </c>
      <c r="W2687" t="str">
        <f t="shared" si="677"/>
        <v>rob</v>
      </c>
    </row>
    <row r="2688" spans="1:23">
      <c r="A2688" t="str">
        <f t="shared" si="680"/>
        <v>MTS-ER4U-BM-BT</v>
      </c>
      <c r="B2688" t="str">
        <f>"021152"</f>
        <v>021152</v>
      </c>
      <c r="C2688" t="str">
        <f>"Shelf Buffer for CIM conveyor"</f>
        <v>Shelf Buffer for CIM conveyor</v>
      </c>
      <c r="D2688">
        <v>2</v>
      </c>
      <c r="E2688" t="str">
        <f t="shared" si="681"/>
        <v>FMS - Scorbot ER4U Robot with BenchMill 6000 &amp; BenchTurn 7000 CNC machines</v>
      </c>
      <c r="F2688">
        <v>502</v>
      </c>
      <c r="G2688" t="str">
        <f t="shared" si="666"/>
        <v>Y</v>
      </c>
      <c r="H2688" t="str">
        <f t="shared" si="682"/>
        <v>EA</v>
      </c>
      <c r="I2688">
        <v>0</v>
      </c>
      <c r="J2688">
        <v>0</v>
      </c>
      <c r="K2688" t="str">
        <f t="shared" si="667"/>
        <v>Y</v>
      </c>
      <c r="L2688">
        <v>0</v>
      </c>
      <c r="M2688" t="str">
        <f t="shared" si="672"/>
        <v>NIS</v>
      </c>
      <c r="O2688">
        <v>6</v>
      </c>
      <c r="P2688" t="str">
        <f t="shared" si="679"/>
        <v>Active</v>
      </c>
      <c r="Q2688" t="str">
        <f>"מכלול- מדף בפר סטנדרטי OPEN-CIM"</f>
        <v>מכלול- מדף בפר סטנדרטי OPEN-CIM</v>
      </c>
      <c r="R2688" t="str">
        <f>"1"</f>
        <v>1</v>
      </c>
      <c r="S2688" t="str">
        <f>"מכלול- מדף בפר סטנדרטי OPEN-CIM"</f>
        <v>מכלול- מדף בפר סטנדרטי OPEN-CIM</v>
      </c>
      <c r="T2688">
        <v>0</v>
      </c>
      <c r="U2688">
        <v>83.12</v>
      </c>
      <c r="V2688">
        <v>92.76</v>
      </c>
      <c r="W2688" t="str">
        <f t="shared" si="677"/>
        <v>rob</v>
      </c>
    </row>
    <row r="2689" spans="1:23">
      <c r="A2689" t="str">
        <f t="shared" si="680"/>
        <v>MTS-ER4U-BM-BT</v>
      </c>
      <c r="B2689" t="str">
        <f>"10-2521-7000"</f>
        <v>10-2521-7000</v>
      </c>
      <c r="C2689" t="str">
        <f>"Pneumatic Feeder for Rectangular products"</f>
        <v>Pneumatic Feeder for Rectangular products</v>
      </c>
      <c r="D2689">
        <v>1</v>
      </c>
      <c r="E2689" t="str">
        <f t="shared" si="681"/>
        <v>FMS - Scorbot ER4U Robot with BenchMill 6000 &amp; BenchTurn 7000 CNC machines</v>
      </c>
      <c r="F2689">
        <v>502</v>
      </c>
      <c r="G2689" t="str">
        <f t="shared" si="666"/>
        <v>Y</v>
      </c>
      <c r="H2689" t="str">
        <f t="shared" si="682"/>
        <v>EA</v>
      </c>
      <c r="I2689">
        <v>0</v>
      </c>
      <c r="J2689">
        <v>0</v>
      </c>
      <c r="K2689" t="str">
        <f t="shared" si="667"/>
        <v>Y</v>
      </c>
      <c r="L2689">
        <v>0</v>
      </c>
      <c r="M2689" t="str">
        <f t="shared" si="672"/>
        <v>NIS</v>
      </c>
      <c r="O2689">
        <v>7</v>
      </c>
      <c r="P2689" t="str">
        <f t="shared" si="679"/>
        <v>Active</v>
      </c>
      <c r="Q2689" t="str">
        <f>"Pneumatic Feeder for Rectangular Parts"</f>
        <v>Pneumatic Feeder for Rectangular Parts</v>
      </c>
      <c r="S2689" t="str">
        <f>"Pneumatic Feeder for Rectangular Parts"</f>
        <v>Pneumatic Feeder for Rectangular Parts</v>
      </c>
      <c r="T2689">
        <v>0</v>
      </c>
      <c r="U2689">
        <v>595</v>
      </c>
      <c r="V2689">
        <v>555.15</v>
      </c>
      <c r="W2689" t="str">
        <f t="shared" si="677"/>
        <v>rob</v>
      </c>
    </row>
    <row r="2690" spans="1:23">
      <c r="A2690" t="str">
        <f t="shared" si="680"/>
        <v>MTS-ER4U-BM-BT</v>
      </c>
      <c r="B2690" t="str">
        <f>"10-1007-4000"</f>
        <v>10-1007-4000</v>
      </c>
      <c r="C2690" t="str">
        <f>"Gravity Parts Feeder (with microswitch sensor)"</f>
        <v>Gravity Parts Feeder (with microswitch sensor)</v>
      </c>
      <c r="D2690">
        <v>1</v>
      </c>
      <c r="E2690" t="str">
        <f t="shared" si="681"/>
        <v>FMS - Scorbot ER4U Robot with BenchMill 6000 &amp; BenchTurn 7000 CNC machines</v>
      </c>
      <c r="F2690">
        <v>502</v>
      </c>
      <c r="G2690" t="str">
        <f t="shared" ref="G2690:G2753" si="683">"Y"</f>
        <v>Y</v>
      </c>
      <c r="H2690" t="str">
        <f t="shared" si="682"/>
        <v>EA</v>
      </c>
      <c r="I2690">
        <v>0</v>
      </c>
      <c r="J2690">
        <v>0</v>
      </c>
      <c r="K2690" t="str">
        <f t="shared" ref="K2690:K2753" si="684">"Y"</f>
        <v>Y</v>
      </c>
      <c r="L2690">
        <v>0</v>
      </c>
      <c r="M2690" t="str">
        <f t="shared" si="672"/>
        <v>NIS</v>
      </c>
      <c r="O2690">
        <v>8</v>
      </c>
      <c r="P2690" t="str">
        <f t="shared" si="679"/>
        <v>Active</v>
      </c>
      <c r="Q2690" t="str">
        <f>"Gravity Parts Feeder (incl.microswitch sensor)"</f>
        <v>Gravity Parts Feeder (incl.microswitch sensor)</v>
      </c>
      <c r="S2690" t="str">
        <f>"Gravity Parts Feeder (incl.microswitch sensor)"</f>
        <v>Gravity Parts Feeder (incl.microswitch sensor)</v>
      </c>
      <c r="T2690">
        <v>0</v>
      </c>
      <c r="U2690">
        <v>148</v>
      </c>
      <c r="V2690">
        <v>148.26</v>
      </c>
      <c r="W2690" t="str">
        <f t="shared" si="677"/>
        <v>rob</v>
      </c>
    </row>
    <row r="2691" spans="1:23">
      <c r="A2691" t="str">
        <f t="shared" si="680"/>
        <v>MTS-ER4U-BM-BT</v>
      </c>
      <c r="B2691" t="str">
        <f>"021182"</f>
        <v>021182</v>
      </c>
      <c r="C2691" t="str">
        <f>"97mm Height Adapter"</f>
        <v>97mm Height Adapter</v>
      </c>
      <c r="D2691">
        <v>2</v>
      </c>
      <c r="E2691" t="str">
        <f t="shared" si="681"/>
        <v>FMS - Scorbot ER4U Robot with BenchMill 6000 &amp; BenchTurn 7000 CNC machines</v>
      </c>
      <c r="F2691">
        <v>502</v>
      </c>
      <c r="G2691" t="str">
        <f t="shared" si="683"/>
        <v>Y</v>
      </c>
      <c r="H2691" t="str">
        <f t="shared" si="682"/>
        <v>EA</v>
      </c>
      <c r="I2691">
        <v>0</v>
      </c>
      <c r="J2691">
        <v>0</v>
      </c>
      <c r="K2691" t="str">
        <f t="shared" si="684"/>
        <v>Y</v>
      </c>
      <c r="L2691">
        <v>0</v>
      </c>
      <c r="M2691" t="str">
        <f t="shared" si="672"/>
        <v>NIS</v>
      </c>
      <c r="O2691">
        <v>9</v>
      </c>
      <c r="P2691" t="str">
        <f t="shared" si="679"/>
        <v>Active</v>
      </c>
      <c r="Q2691" t="str">
        <f>"97mm Height Adapter -Rack 001110 on formica 28mm"</f>
        <v>97mm Height Adapter -Rack 001110 on formica 28mm</v>
      </c>
      <c r="S2691" t="str">
        <f>"97mm Height Adapter -Rack 001110 on formica 28mm"</f>
        <v>97mm Height Adapter -Rack 001110 on formica 28mm</v>
      </c>
      <c r="T2691">
        <v>0</v>
      </c>
      <c r="U2691">
        <v>7</v>
      </c>
      <c r="V2691">
        <v>5.5</v>
      </c>
      <c r="W2691" t="str">
        <f t="shared" si="677"/>
        <v>rob</v>
      </c>
    </row>
    <row r="2692" spans="1:23">
      <c r="A2692" t="str">
        <f t="shared" si="680"/>
        <v>MTS-ER4U-BM-BT</v>
      </c>
      <c r="B2692" t="str">
        <f>"00-1110-0000"</f>
        <v>00-1110-0000</v>
      </c>
      <c r="C2692" t="str">
        <f>"Palletizing Rack"</f>
        <v>Palletizing Rack</v>
      </c>
      <c r="D2692">
        <v>2</v>
      </c>
      <c r="E2692" t="str">
        <f t="shared" si="681"/>
        <v>FMS - Scorbot ER4U Robot with BenchMill 6000 &amp; BenchTurn 7000 CNC machines</v>
      </c>
      <c r="F2692">
        <v>502</v>
      </c>
      <c r="G2692" t="str">
        <f t="shared" si="683"/>
        <v>Y</v>
      </c>
      <c r="H2692" t="str">
        <f t="shared" si="682"/>
        <v>EA</v>
      </c>
      <c r="I2692">
        <v>0</v>
      </c>
      <c r="J2692">
        <v>0</v>
      </c>
      <c r="K2692" t="str">
        <f t="shared" si="684"/>
        <v>Y</v>
      </c>
      <c r="L2692">
        <v>0</v>
      </c>
      <c r="M2692" t="str">
        <f t="shared" si="672"/>
        <v>NIS</v>
      </c>
      <c r="O2692">
        <v>10</v>
      </c>
      <c r="P2692" t="str">
        <f t="shared" si="679"/>
        <v>Active</v>
      </c>
      <c r="Q2692" t="str">
        <f>"Palletizing Rack (incl. Pins for creating Jigs)"</f>
        <v>Palletizing Rack (incl. Pins for creating Jigs)</v>
      </c>
      <c r="S2692" t="str">
        <f>"Palletizing Rack (incl. Pins for creating Jigs)"</f>
        <v>Palletizing Rack (incl. Pins for creating Jigs)</v>
      </c>
      <c r="T2692">
        <v>0</v>
      </c>
      <c r="U2692">
        <v>63</v>
      </c>
      <c r="V2692">
        <v>58.59</v>
      </c>
      <c r="W2692" t="str">
        <f t="shared" si="677"/>
        <v>rob</v>
      </c>
    </row>
    <row r="2693" spans="1:23">
      <c r="A2693" t="str">
        <f t="shared" si="680"/>
        <v>MTS-ER4U-BM-BT</v>
      </c>
      <c r="B2693" t="str">
        <f>"10-2120-0000"</f>
        <v>10-2120-0000</v>
      </c>
      <c r="C2693" t="str">
        <f>"CNC Interface with BenchMILL 6000"</f>
        <v>CNC Interface with BenchMILL 6000</v>
      </c>
      <c r="D2693">
        <v>1</v>
      </c>
      <c r="E2693" t="str">
        <f t="shared" si="681"/>
        <v>FMS - Scorbot ER4U Robot with BenchMill 6000 &amp; BenchTurn 7000 CNC machines</v>
      </c>
      <c r="F2693">
        <v>502</v>
      </c>
      <c r="G2693" t="str">
        <f t="shared" si="683"/>
        <v>Y</v>
      </c>
      <c r="H2693" t="str">
        <f t="shared" si="682"/>
        <v>EA</v>
      </c>
      <c r="I2693">
        <v>0</v>
      </c>
      <c r="J2693">
        <v>0</v>
      </c>
      <c r="K2693" t="str">
        <f t="shared" si="684"/>
        <v>Y</v>
      </c>
      <c r="L2693">
        <v>0</v>
      </c>
      <c r="M2693" t="str">
        <f t="shared" si="672"/>
        <v>NIS</v>
      </c>
      <c r="O2693">
        <v>11</v>
      </c>
      <c r="P2693" t="str">
        <f t="shared" si="679"/>
        <v>Active</v>
      </c>
      <c r="Q2693" t="str">
        <f>"CNC Interface with BenchMILL 6000"</f>
        <v>CNC Interface with BenchMILL 6000</v>
      </c>
      <c r="S2693" t="str">
        <f>"CNC Interface with BenchMILL 6000"</f>
        <v>CNC Interface with BenchMILL 6000</v>
      </c>
      <c r="T2693">
        <v>0</v>
      </c>
      <c r="U2693">
        <v>21</v>
      </c>
      <c r="V2693">
        <v>19.7</v>
      </c>
      <c r="W2693" t="str">
        <f t="shared" si="677"/>
        <v>rob</v>
      </c>
    </row>
    <row r="2694" spans="1:23">
      <c r="A2694" t="str">
        <f t="shared" si="680"/>
        <v>MTS-ER4U-BM-BT</v>
      </c>
      <c r="B2694" t="str">
        <f>"00-5505-0220"</f>
        <v>00-5505-0220</v>
      </c>
      <c r="C2694" t="str">
        <f>"CNC BenchMILL 6000, 220 VAC"</f>
        <v>CNC BenchMILL 6000, 220 VAC</v>
      </c>
      <c r="D2694">
        <v>1</v>
      </c>
      <c r="E2694" t="str">
        <f t="shared" si="681"/>
        <v>FMS - Scorbot ER4U Robot with BenchMill 6000 &amp; BenchTurn 7000 CNC machines</v>
      </c>
      <c r="F2694">
        <v>502</v>
      </c>
      <c r="G2694" t="str">
        <f t="shared" si="683"/>
        <v>Y</v>
      </c>
      <c r="H2694" t="str">
        <f t="shared" si="682"/>
        <v>EA</v>
      </c>
      <c r="I2694">
        <v>0</v>
      </c>
      <c r="J2694">
        <v>0</v>
      </c>
      <c r="K2694" t="str">
        <f t="shared" si="684"/>
        <v>Y</v>
      </c>
      <c r="L2694">
        <v>0</v>
      </c>
      <c r="M2694" t="str">
        <f t="shared" si="672"/>
        <v>NIS</v>
      </c>
      <c r="O2694">
        <v>12</v>
      </c>
      <c r="P2694" t="str">
        <f t="shared" si="679"/>
        <v>Active</v>
      </c>
      <c r="Q2694" t="str">
        <f>"CNC BenchMill 6000 220V"</f>
        <v>CNC BenchMill 6000 220V</v>
      </c>
      <c r="S2694" t="str">
        <f>"CNC BenchMILL 6000, 220 VAC"</f>
        <v>CNC BenchMILL 6000, 220 VAC</v>
      </c>
      <c r="T2694">
        <v>0</v>
      </c>
      <c r="U2694" s="44">
        <v>4583</v>
      </c>
      <c r="V2694" s="44">
        <v>4458.34</v>
      </c>
      <c r="W2694" t="str">
        <f t="shared" si="677"/>
        <v>rob</v>
      </c>
    </row>
    <row r="2695" spans="1:23">
      <c r="A2695" t="str">
        <f t="shared" si="680"/>
        <v>MTS-ER4U-BM-BT</v>
      </c>
      <c r="B2695" t="str">
        <f>"10-1110-7000"</f>
        <v>10-1110-7000</v>
      </c>
      <c r="C2695" t="str">
        <f>"--Dual Axis Vise (for FMS)"</f>
        <v>--Dual Axis Vise (for FMS)</v>
      </c>
      <c r="D2695">
        <v>1</v>
      </c>
      <c r="E2695" t="str">
        <f t="shared" si="681"/>
        <v>FMS - Scorbot ER4U Robot with BenchMill 6000 &amp; BenchTurn 7000 CNC machines</v>
      </c>
      <c r="F2695">
        <v>502</v>
      </c>
      <c r="G2695" t="str">
        <f t="shared" si="683"/>
        <v>Y</v>
      </c>
      <c r="H2695" t="str">
        <f t="shared" si="682"/>
        <v>EA</v>
      </c>
      <c r="I2695">
        <v>0</v>
      </c>
      <c r="J2695">
        <v>0</v>
      </c>
      <c r="K2695" t="str">
        <f t="shared" si="684"/>
        <v>Y</v>
      </c>
      <c r="L2695">
        <v>0</v>
      </c>
      <c r="M2695" t="str">
        <f t="shared" si="672"/>
        <v>NIS</v>
      </c>
      <c r="O2695">
        <v>13</v>
      </c>
      <c r="P2695" t="str">
        <f t="shared" si="679"/>
        <v>Active</v>
      </c>
      <c r="Q2695" t="str">
        <f>"Dual Axis Vise (BenchMill 6000/ ProMill 8000)"</f>
        <v>Dual Axis Vise (BenchMill 6000/ ProMill 8000)</v>
      </c>
      <c r="S2695" t="str">
        <f>"Dual Axis Vise (BenchMill 6000/ ProMill 8000)"</f>
        <v>Dual Axis Vise (BenchMill 6000/ ProMill 8000)</v>
      </c>
      <c r="T2695">
        <v>0</v>
      </c>
      <c r="U2695">
        <v>239</v>
      </c>
      <c r="V2695">
        <v>219.6</v>
      </c>
      <c r="W2695" t="str">
        <f t="shared" si="677"/>
        <v>rob</v>
      </c>
    </row>
    <row r="2696" spans="1:23">
      <c r="A2696" t="str">
        <f t="shared" si="680"/>
        <v>MTS-ER4U-BM-BT</v>
      </c>
      <c r="B2696" t="str">
        <f>"10-1115-2000"</f>
        <v>10-1115-2000</v>
      </c>
      <c r="C2696" t="str">
        <f>"- Table mounted ATC package"</f>
        <v>- Table mounted ATC package</v>
      </c>
      <c r="D2696">
        <v>1</v>
      </c>
      <c r="E2696" t="str">
        <f t="shared" si="681"/>
        <v>FMS - Scorbot ER4U Robot with BenchMill 6000 &amp; BenchTurn 7000 CNC machines</v>
      </c>
      <c r="F2696">
        <v>502</v>
      </c>
      <c r="G2696" t="str">
        <f t="shared" si="683"/>
        <v>Y</v>
      </c>
      <c r="H2696" t="str">
        <f t="shared" si="682"/>
        <v>EA</v>
      </c>
      <c r="I2696">
        <v>0</v>
      </c>
      <c r="J2696">
        <v>0</v>
      </c>
      <c r="K2696" t="str">
        <f t="shared" si="684"/>
        <v>Y</v>
      </c>
      <c r="L2696">
        <v>0</v>
      </c>
      <c r="M2696" t="str">
        <f t="shared" si="672"/>
        <v>NIS</v>
      </c>
      <c r="O2696">
        <v>14</v>
      </c>
      <c r="P2696" t="str">
        <f t="shared" si="679"/>
        <v>Active</v>
      </c>
      <c r="Q2696" t="str">
        <f>"Table mounted ATC package"</f>
        <v>Table mounted ATC package</v>
      </c>
      <c r="S2696" t="str">
        <f>"Table mounted ATC package"</f>
        <v>Table mounted ATC package</v>
      </c>
      <c r="T2696">
        <v>0</v>
      </c>
      <c r="U2696">
        <v>690</v>
      </c>
      <c r="V2696">
        <v>690.59</v>
      </c>
      <c r="W2696" t="str">
        <f t="shared" si="677"/>
        <v>rob</v>
      </c>
    </row>
    <row r="2697" spans="1:23">
      <c r="A2697" t="str">
        <f t="shared" si="680"/>
        <v>MTS-ER4U-BM-BT</v>
      </c>
      <c r="B2697" t="str">
        <f>"10-1115-0000"</f>
        <v>10-1115-0000</v>
      </c>
      <c r="C2697" t="str">
        <f>"ER16 Collet set - 2 x (3,6,8,10mm)"</f>
        <v>ER16 Collet set - 2 x (3,6,8,10mm)</v>
      </c>
      <c r="D2697">
        <v>1</v>
      </c>
      <c r="E2697" t="str">
        <f t="shared" si="681"/>
        <v>FMS - Scorbot ER4U Robot with BenchMill 6000 &amp; BenchTurn 7000 CNC machines</v>
      </c>
      <c r="F2697">
        <v>502</v>
      </c>
      <c r="G2697" t="str">
        <f t="shared" si="683"/>
        <v>Y</v>
      </c>
      <c r="H2697" t="str">
        <f t="shared" si="682"/>
        <v>EA</v>
      </c>
      <c r="I2697">
        <v>0</v>
      </c>
      <c r="J2697">
        <v>0</v>
      </c>
      <c r="K2697" t="str">
        <f t="shared" si="684"/>
        <v>Y</v>
      </c>
      <c r="L2697">
        <v>0</v>
      </c>
      <c r="M2697" t="str">
        <f t="shared" si="672"/>
        <v>NIS</v>
      </c>
      <c r="O2697">
        <v>15</v>
      </c>
      <c r="P2697" t="str">
        <f t="shared" si="679"/>
        <v>Active</v>
      </c>
      <c r="Q2697" t="str">
        <f>"ER16 Collet set-8 pieces(2)3,(2)6,(2)8,(2)10mm"</f>
        <v>ER16 Collet set-8 pieces(2)3,(2)6,(2)8,(2)10mm</v>
      </c>
      <c r="S2697" t="str">
        <f>"ER16 Collet set-8 pieces(2)3,(2)6,(2)8,(2)10mm"</f>
        <v>ER16 Collet set-8 pieces(2)3,(2)6,(2)8,(2)10mm</v>
      </c>
      <c r="T2697">
        <v>0</v>
      </c>
      <c r="U2697">
        <v>71</v>
      </c>
      <c r="V2697">
        <v>70.63</v>
      </c>
      <c r="W2697" t="str">
        <f t="shared" si="677"/>
        <v>rob</v>
      </c>
    </row>
    <row r="2698" spans="1:23">
      <c r="A2698" t="str">
        <f t="shared" si="680"/>
        <v>MTS-ER4U-BM-BT</v>
      </c>
      <c r="B2698" t="str">
        <f>"10-1113-4000"</f>
        <v>10-1113-4000</v>
      </c>
      <c r="C2698" t="str">
        <f>"Metric End Mill Package(2X 3,6,8,10End,4,6 Ball)"</f>
        <v>Metric End Mill Package(2X 3,6,8,10End,4,6 Ball)</v>
      </c>
      <c r="D2698">
        <v>1</v>
      </c>
      <c r="E2698" t="str">
        <f t="shared" si="681"/>
        <v>FMS - Scorbot ER4U Robot with BenchMill 6000 &amp; BenchTurn 7000 CNC machines</v>
      </c>
      <c r="F2698">
        <v>502</v>
      </c>
      <c r="G2698" t="str">
        <f t="shared" si="683"/>
        <v>Y</v>
      </c>
      <c r="H2698" t="str">
        <f t="shared" si="682"/>
        <v>EA</v>
      </c>
      <c r="I2698">
        <v>0</v>
      </c>
      <c r="J2698">
        <v>0</v>
      </c>
      <c r="K2698" t="str">
        <f t="shared" si="684"/>
        <v>Y</v>
      </c>
      <c r="L2698">
        <v>0</v>
      </c>
      <c r="M2698" t="str">
        <f t="shared" si="672"/>
        <v>NIS</v>
      </c>
      <c r="O2698">
        <v>16</v>
      </c>
      <c r="P2698" t="str">
        <f t="shared" si="679"/>
        <v>Active</v>
      </c>
      <c r="Q2698" t="str">
        <f>"Metric Advanced End Mill Package 5121"</f>
        <v>Metric Advanced End Mill Package 5121</v>
      </c>
      <c r="S2698" t="str">
        <f>"Metric Advanced End Mill Package 5121"</f>
        <v>Metric Advanced End Mill Package 5121</v>
      </c>
      <c r="T2698">
        <v>0</v>
      </c>
      <c r="U2698">
        <v>55</v>
      </c>
      <c r="V2698">
        <v>50.17</v>
      </c>
      <c r="W2698" t="str">
        <f t="shared" si="677"/>
        <v>rob</v>
      </c>
    </row>
    <row r="2699" spans="1:23">
      <c r="A2699" t="str">
        <f t="shared" si="680"/>
        <v>MTS-ER4U-BM-BT</v>
      </c>
      <c r="B2699" t="str">
        <f>"10-1111-1000"</f>
        <v>10-1111-1000</v>
      </c>
      <c r="C2699" t="str">
        <f>"- Handwheel - Manual Control"</f>
        <v>- Handwheel - Manual Control</v>
      </c>
      <c r="D2699">
        <v>1</v>
      </c>
      <c r="E2699" t="str">
        <f t="shared" si="681"/>
        <v>FMS - Scorbot ER4U Robot with BenchMill 6000 &amp; BenchTurn 7000 CNC machines</v>
      </c>
      <c r="F2699">
        <v>502</v>
      </c>
      <c r="G2699" t="str">
        <f t="shared" si="683"/>
        <v>Y</v>
      </c>
      <c r="H2699" t="str">
        <f t="shared" si="682"/>
        <v>EA</v>
      </c>
      <c r="I2699">
        <v>0</v>
      </c>
      <c r="J2699">
        <v>0</v>
      </c>
      <c r="K2699" t="str">
        <f t="shared" si="684"/>
        <v>Y</v>
      </c>
      <c r="L2699">
        <v>0</v>
      </c>
      <c r="M2699" t="str">
        <f t="shared" si="672"/>
        <v>NIS</v>
      </c>
      <c r="O2699">
        <v>17</v>
      </c>
      <c r="P2699" t="str">
        <f t="shared" si="679"/>
        <v>Active</v>
      </c>
      <c r="Q2699" t="str">
        <f>"Hand wheel"</f>
        <v>Hand wheel</v>
      </c>
      <c r="S2699" t="str">
        <f>"Jog Pendant Handwheel"</f>
        <v>Jog Pendant Handwheel</v>
      </c>
      <c r="T2699">
        <v>0</v>
      </c>
      <c r="U2699">
        <v>235</v>
      </c>
      <c r="V2699">
        <v>235.03</v>
      </c>
      <c r="W2699" t="str">
        <f t="shared" si="677"/>
        <v>rob</v>
      </c>
    </row>
    <row r="2700" spans="1:23">
      <c r="A2700" t="str">
        <f t="shared" si="680"/>
        <v>MTS-ER4U-BM-BT</v>
      </c>
      <c r="B2700" t="str">
        <f>"10-1111-6000"</f>
        <v>10-1111-6000</v>
      </c>
      <c r="C2700" t="str">
        <f>"4"" Vise"</f>
        <v>4" Vise</v>
      </c>
      <c r="D2700">
        <v>1</v>
      </c>
      <c r="E2700" t="str">
        <f t="shared" si="681"/>
        <v>FMS - Scorbot ER4U Robot with BenchMill 6000 &amp; BenchTurn 7000 CNC machines</v>
      </c>
      <c r="F2700">
        <v>502</v>
      </c>
      <c r="G2700" t="str">
        <f t="shared" si="683"/>
        <v>Y</v>
      </c>
      <c r="H2700" t="str">
        <f t="shared" si="682"/>
        <v>EA</v>
      </c>
      <c r="I2700">
        <v>0</v>
      </c>
      <c r="J2700">
        <v>0</v>
      </c>
      <c r="K2700" t="str">
        <f t="shared" si="684"/>
        <v>Y</v>
      </c>
      <c r="L2700">
        <v>0</v>
      </c>
      <c r="M2700" t="str">
        <f t="shared" si="672"/>
        <v>NIS</v>
      </c>
      <c r="N2700" t="str">
        <f t="shared" ref="N2700:N2706" si="685">"Y"</f>
        <v>Y</v>
      </c>
      <c r="O2700">
        <v>18</v>
      </c>
      <c r="P2700" t="str">
        <f t="shared" si="679"/>
        <v>Active</v>
      </c>
      <c r="Q2700" t="str">
        <f>"4"" Precision Maching Vise"</f>
        <v>4" Precision Maching Vise</v>
      </c>
      <c r="S2700" t="str">
        <f>"4"" Precision Maching Vise"</f>
        <v>4" Precision Maching Vise</v>
      </c>
      <c r="T2700">
        <v>0</v>
      </c>
      <c r="U2700">
        <v>53</v>
      </c>
      <c r="V2700">
        <v>49.5</v>
      </c>
      <c r="W2700" t="str">
        <f t="shared" si="677"/>
        <v>rob</v>
      </c>
    </row>
    <row r="2701" spans="1:23">
      <c r="A2701" t="str">
        <f t="shared" si="680"/>
        <v>MTS-ER4U-BM-BT</v>
      </c>
      <c r="B2701" t="str">
        <f>"10-1111-5000"</f>
        <v>10-1111-5000</v>
      </c>
      <c r="C2701" t="str">
        <f>"clamping kit 58 pcs set"</f>
        <v>clamping kit 58 pcs set</v>
      </c>
      <c r="D2701">
        <v>1</v>
      </c>
      <c r="E2701" t="str">
        <f t="shared" si="681"/>
        <v>FMS - Scorbot ER4U Robot with BenchMill 6000 &amp; BenchTurn 7000 CNC machines</v>
      </c>
      <c r="F2701">
        <v>502</v>
      </c>
      <c r="G2701" t="str">
        <f t="shared" si="683"/>
        <v>Y</v>
      </c>
      <c r="H2701" t="str">
        <f t="shared" si="682"/>
        <v>EA</v>
      </c>
      <c r="I2701">
        <v>0</v>
      </c>
      <c r="J2701">
        <v>0</v>
      </c>
      <c r="K2701" t="str">
        <f t="shared" si="684"/>
        <v>Y</v>
      </c>
      <c r="L2701">
        <v>0</v>
      </c>
      <c r="M2701" t="str">
        <f t="shared" si="672"/>
        <v>NIS</v>
      </c>
      <c r="N2701" t="str">
        <f t="shared" si="685"/>
        <v>Y</v>
      </c>
      <c r="O2701">
        <v>19</v>
      </c>
      <c r="P2701" t="str">
        <f t="shared" si="679"/>
        <v>Active</v>
      </c>
      <c r="Q2701" t="str">
        <f>"clamping kit 58 pcs set"</f>
        <v>clamping kit 58 pcs set</v>
      </c>
      <c r="S2701" t="str">
        <f>"clamping kit 58 pcs set"</f>
        <v>clamping kit 58 pcs set</v>
      </c>
      <c r="T2701">
        <v>0</v>
      </c>
      <c r="U2701">
        <v>52</v>
      </c>
      <c r="V2701">
        <v>51.72</v>
      </c>
      <c r="W2701" t="str">
        <f t="shared" si="677"/>
        <v>rob</v>
      </c>
    </row>
    <row r="2702" spans="1:23">
      <c r="A2702" t="str">
        <f t="shared" si="680"/>
        <v>MTS-ER4U-BM-BT</v>
      </c>
      <c r="B2702" t="str">
        <f>"10-1108-8000"</f>
        <v>10-1108-8000</v>
      </c>
      <c r="C2702" t="str">
        <f>"- 4th Axis rotary worktable with tailstock"</f>
        <v>- 4th Axis rotary worktable with tailstock</v>
      </c>
      <c r="D2702">
        <v>1</v>
      </c>
      <c r="E2702" t="str">
        <f t="shared" si="681"/>
        <v>FMS - Scorbot ER4U Robot with BenchMill 6000 &amp; BenchTurn 7000 CNC machines</v>
      </c>
      <c r="F2702">
        <v>502</v>
      </c>
      <c r="G2702" t="str">
        <f t="shared" si="683"/>
        <v>Y</v>
      </c>
      <c r="H2702" t="str">
        <f t="shared" si="682"/>
        <v>EA</v>
      </c>
      <c r="I2702">
        <v>0</v>
      </c>
      <c r="J2702">
        <v>0</v>
      </c>
      <c r="K2702" t="str">
        <f t="shared" si="684"/>
        <v>Y</v>
      </c>
      <c r="L2702">
        <v>0</v>
      </c>
      <c r="M2702" t="str">
        <f t="shared" si="672"/>
        <v>NIS</v>
      </c>
      <c r="N2702" t="str">
        <f t="shared" si="685"/>
        <v>Y</v>
      </c>
      <c r="O2702">
        <v>20</v>
      </c>
      <c r="P2702" t="str">
        <f t="shared" si="679"/>
        <v>Active</v>
      </c>
      <c r="Q2702" t="str">
        <f>"100mm rotary worktable (4th axis) with tailstock"</f>
        <v>100mm rotary worktable (4th axis) with tailstock</v>
      </c>
      <c r="S2702" t="str">
        <f>"100mm rotary worktable (4th axis) with tailstock"</f>
        <v>100mm rotary worktable (4th axis) with tailstock</v>
      </c>
      <c r="T2702">
        <v>0</v>
      </c>
      <c r="U2702">
        <v>614.64</v>
      </c>
      <c r="V2702">
        <v>594.83000000000004</v>
      </c>
      <c r="W2702" t="str">
        <f t="shared" si="677"/>
        <v>rob</v>
      </c>
    </row>
    <row r="2703" spans="1:23">
      <c r="A2703" t="str">
        <f t="shared" si="680"/>
        <v>MTS-ER4U-BM-BT</v>
      </c>
      <c r="B2703" t="str">
        <f>"10-1109-3000"</f>
        <v>10-1109-3000</v>
      </c>
      <c r="C2703" t="str">
        <f>"- 80mm 3-jaw chuck"</f>
        <v>- 80mm 3-jaw chuck</v>
      </c>
      <c r="D2703">
        <v>1</v>
      </c>
      <c r="E2703" t="str">
        <f t="shared" si="681"/>
        <v>FMS - Scorbot ER4U Robot with BenchMill 6000 &amp; BenchTurn 7000 CNC machines</v>
      </c>
      <c r="F2703">
        <v>502</v>
      </c>
      <c r="G2703" t="str">
        <f t="shared" si="683"/>
        <v>Y</v>
      </c>
      <c r="H2703" t="str">
        <f t="shared" si="682"/>
        <v>EA</v>
      </c>
      <c r="I2703">
        <v>0</v>
      </c>
      <c r="J2703">
        <v>0</v>
      </c>
      <c r="K2703" t="str">
        <f t="shared" si="684"/>
        <v>Y</v>
      </c>
      <c r="L2703">
        <v>0</v>
      </c>
      <c r="M2703" t="str">
        <f t="shared" si="672"/>
        <v>NIS</v>
      </c>
      <c r="N2703" t="str">
        <f t="shared" si="685"/>
        <v>Y</v>
      </c>
      <c r="O2703">
        <v>21</v>
      </c>
      <c r="P2703" t="str">
        <f t="shared" si="679"/>
        <v>Active</v>
      </c>
      <c r="Q2703" t="str">
        <f>"80mm 3-jaw chuck"</f>
        <v>80mm 3-jaw chuck</v>
      </c>
      <c r="S2703" t="str">
        <f>"80mm 3-jaw chuck"</f>
        <v>80mm 3-jaw chuck</v>
      </c>
      <c r="T2703">
        <v>0</v>
      </c>
      <c r="U2703">
        <v>53</v>
      </c>
      <c r="V2703">
        <v>52.35</v>
      </c>
      <c r="W2703" t="str">
        <f t="shared" si="677"/>
        <v>rob</v>
      </c>
    </row>
    <row r="2704" spans="1:23">
      <c r="A2704" t="str">
        <f t="shared" si="680"/>
        <v>MTS-ER4U-BM-BT</v>
      </c>
      <c r="B2704" t="str">
        <f>"10-1112-2000"</f>
        <v>10-1112-2000</v>
      </c>
      <c r="C2704" t="str">
        <f>"ER16 Collet set-8 pieces(3,4,5,6,7,8,9 and 10mm)"</f>
        <v>ER16 Collet set-8 pieces(3,4,5,6,7,8,9 and 10mm)</v>
      </c>
      <c r="D2704">
        <v>1</v>
      </c>
      <c r="E2704" t="str">
        <f t="shared" si="681"/>
        <v>FMS - Scorbot ER4U Robot with BenchMill 6000 &amp; BenchTurn 7000 CNC machines</v>
      </c>
      <c r="F2704">
        <v>502</v>
      </c>
      <c r="G2704" t="str">
        <f t="shared" si="683"/>
        <v>Y</v>
      </c>
      <c r="H2704" t="str">
        <f t="shared" si="682"/>
        <v>EA</v>
      </c>
      <c r="I2704">
        <v>0</v>
      </c>
      <c r="J2704">
        <v>0</v>
      </c>
      <c r="K2704" t="str">
        <f t="shared" si="684"/>
        <v>Y</v>
      </c>
      <c r="L2704">
        <v>0</v>
      </c>
      <c r="M2704" t="str">
        <f t="shared" si="672"/>
        <v>NIS</v>
      </c>
      <c r="N2704" t="str">
        <f t="shared" si="685"/>
        <v>Y</v>
      </c>
      <c r="O2704">
        <v>22</v>
      </c>
      <c r="P2704" t="str">
        <f t="shared" si="679"/>
        <v>Active</v>
      </c>
      <c r="Q2704" t="str">
        <f>"ER16 Collet set-8 pieces(3,4,5,6,7,8,9 and 10mm)"</f>
        <v>ER16 Collet set-8 pieces(3,4,5,6,7,8,9 and 10mm)</v>
      </c>
      <c r="S2704" t="str">
        <f>"ER16 Collet set-8 pieces(3,4,5,6,7,8,9 and 10mm)"</f>
        <v>ER16 Collet set-8 pieces(3,4,5,6,7,8,9 and 10mm)</v>
      </c>
      <c r="T2704">
        <v>0</v>
      </c>
      <c r="U2704">
        <v>71</v>
      </c>
      <c r="V2704">
        <v>64.84</v>
      </c>
      <c r="W2704" t="str">
        <f t="shared" si="677"/>
        <v>rob</v>
      </c>
    </row>
    <row r="2705" spans="1:23">
      <c r="A2705" t="str">
        <f t="shared" si="680"/>
        <v>MTS-ER4U-BM-BT</v>
      </c>
      <c r="B2705" t="str">
        <f>"10-1108-1220"</f>
        <v>10-1108-1220</v>
      </c>
      <c r="C2705" t="str">
        <f>"- Coolant system 27L -220V"</f>
        <v>- Coolant system 27L -220V</v>
      </c>
      <c r="D2705">
        <v>1</v>
      </c>
      <c r="E2705" t="str">
        <f t="shared" si="681"/>
        <v>FMS - Scorbot ER4U Robot with BenchMill 6000 &amp; BenchTurn 7000 CNC machines</v>
      </c>
      <c r="F2705">
        <v>502</v>
      </c>
      <c r="G2705" t="str">
        <f t="shared" si="683"/>
        <v>Y</v>
      </c>
      <c r="H2705" t="str">
        <f t="shared" si="682"/>
        <v>EA</v>
      </c>
      <c r="I2705">
        <v>0</v>
      </c>
      <c r="J2705">
        <v>0</v>
      </c>
      <c r="K2705" t="str">
        <f t="shared" si="684"/>
        <v>Y</v>
      </c>
      <c r="L2705">
        <v>0</v>
      </c>
      <c r="M2705" t="str">
        <f t="shared" si="672"/>
        <v>NIS</v>
      </c>
      <c r="N2705" t="str">
        <f t="shared" si="685"/>
        <v>Y</v>
      </c>
      <c r="O2705">
        <v>23</v>
      </c>
      <c r="P2705" t="str">
        <f t="shared" si="679"/>
        <v>Active</v>
      </c>
      <c r="Q2705" t="str">
        <f>"Coolant system 27L"</f>
        <v>Coolant system 27L</v>
      </c>
      <c r="S2705" t="str">
        <f>"Coolant system 27L - 220V"</f>
        <v>Coolant system 27L - 220V</v>
      </c>
      <c r="T2705">
        <v>0</v>
      </c>
      <c r="U2705">
        <v>117.08</v>
      </c>
      <c r="V2705">
        <v>117.15</v>
      </c>
      <c r="W2705" t="str">
        <f t="shared" si="677"/>
        <v>rob</v>
      </c>
    </row>
    <row r="2706" spans="1:23">
      <c r="A2706" t="str">
        <f t="shared" si="680"/>
        <v>MTS-ER4U-BM-BT</v>
      </c>
      <c r="B2706" t="str">
        <f>"10-1111-9000"</f>
        <v>10-1111-9000</v>
      </c>
      <c r="C2706" t="str">
        <f>"ISO 20 tool holder"</f>
        <v>ISO 20 tool holder</v>
      </c>
      <c r="D2706">
        <v>4</v>
      </c>
      <c r="E2706" t="str">
        <f t="shared" si="681"/>
        <v>FMS - Scorbot ER4U Robot with BenchMill 6000 &amp; BenchTurn 7000 CNC machines</v>
      </c>
      <c r="F2706">
        <v>502</v>
      </c>
      <c r="G2706" t="str">
        <f t="shared" si="683"/>
        <v>Y</v>
      </c>
      <c r="H2706" t="str">
        <f t="shared" si="682"/>
        <v>EA</v>
      </c>
      <c r="I2706">
        <v>0</v>
      </c>
      <c r="J2706">
        <v>0</v>
      </c>
      <c r="K2706" t="str">
        <f t="shared" si="684"/>
        <v>Y</v>
      </c>
      <c r="L2706">
        <v>0</v>
      </c>
      <c r="M2706" t="str">
        <f t="shared" si="672"/>
        <v>NIS</v>
      </c>
      <c r="N2706" t="str">
        <f t="shared" si="685"/>
        <v>Y</v>
      </c>
      <c r="O2706">
        <v>24</v>
      </c>
      <c r="P2706" t="str">
        <f t="shared" si="679"/>
        <v>Active</v>
      </c>
      <c r="Q2706" t="str">
        <f>"ISO 20 tool holder with nut"</f>
        <v>ISO 20 tool holder with nut</v>
      </c>
      <c r="S2706" t="str">
        <f>"ISO 20 tool holder with nut"</f>
        <v>ISO 20 tool holder with nut</v>
      </c>
      <c r="T2706">
        <v>0</v>
      </c>
      <c r="U2706">
        <v>103</v>
      </c>
      <c r="V2706">
        <v>103.19</v>
      </c>
      <c r="W2706" t="str">
        <f t="shared" si="677"/>
        <v>rob</v>
      </c>
    </row>
    <row r="2707" spans="1:23">
      <c r="A2707" t="str">
        <f t="shared" si="680"/>
        <v>MTS-ER4U-BM-BT</v>
      </c>
      <c r="B2707" t="str">
        <f>"10-1113-6000"</f>
        <v>10-1113-6000</v>
      </c>
      <c r="C2707" t="str">
        <f>"- Metric Engraving Package (1,1.5,2 mm End mill)"</f>
        <v>- Metric Engraving Package (1,1.5,2 mm End mill)</v>
      </c>
      <c r="D2707">
        <v>1</v>
      </c>
      <c r="E2707" t="str">
        <f t="shared" si="681"/>
        <v>FMS - Scorbot ER4U Robot with BenchMill 6000 &amp; BenchTurn 7000 CNC machines</v>
      </c>
      <c r="F2707">
        <v>502</v>
      </c>
      <c r="G2707" t="str">
        <f t="shared" si="683"/>
        <v>Y</v>
      </c>
      <c r="H2707" t="str">
        <f t="shared" si="682"/>
        <v>EA</v>
      </c>
      <c r="I2707">
        <v>0</v>
      </c>
      <c r="J2707">
        <v>0</v>
      </c>
      <c r="K2707" t="str">
        <f t="shared" si="684"/>
        <v>Y</v>
      </c>
      <c r="L2707">
        <v>0</v>
      </c>
      <c r="M2707" t="str">
        <f t="shared" si="672"/>
        <v>NIS</v>
      </c>
      <c r="O2707">
        <v>25</v>
      </c>
      <c r="P2707" t="str">
        <f t="shared" si="679"/>
        <v>Active</v>
      </c>
      <c r="Q2707" t="str">
        <f>"Metric Engraving Package 5711"</f>
        <v>Metric Engraving Package 5711</v>
      </c>
      <c r="S2707" t="str">
        <f>"Metric Engraving Package 5711"</f>
        <v>Metric Engraving Package 5711</v>
      </c>
      <c r="T2707">
        <v>0</v>
      </c>
      <c r="U2707">
        <v>41</v>
      </c>
      <c r="V2707">
        <v>37.909999999999997</v>
      </c>
      <c r="W2707" t="str">
        <f t="shared" si="677"/>
        <v>rob</v>
      </c>
    </row>
    <row r="2708" spans="1:23">
      <c r="A2708" t="str">
        <f t="shared" si="680"/>
        <v>MTS-ER4U-BM-BT</v>
      </c>
      <c r="B2708" t="str">
        <f>"10-1111-3000"</f>
        <v>10-1111-3000</v>
      </c>
      <c r="C2708" t="str">
        <f>"- Fanuc Emulator Panel with software"</f>
        <v>- Fanuc Emulator Panel with software</v>
      </c>
      <c r="D2708">
        <v>1</v>
      </c>
      <c r="E2708" t="str">
        <f t="shared" si="681"/>
        <v>FMS - Scorbot ER4U Robot with BenchMill 6000 &amp; BenchTurn 7000 CNC machines</v>
      </c>
      <c r="F2708">
        <v>502</v>
      </c>
      <c r="G2708" t="str">
        <f t="shared" si="683"/>
        <v>Y</v>
      </c>
      <c r="H2708" t="str">
        <f t="shared" si="682"/>
        <v>EA</v>
      </c>
      <c r="I2708">
        <v>0</v>
      </c>
      <c r="J2708">
        <v>0</v>
      </c>
      <c r="K2708" t="str">
        <f t="shared" si="684"/>
        <v>Y</v>
      </c>
      <c r="L2708">
        <v>0</v>
      </c>
      <c r="M2708" t="str">
        <f t="shared" si="672"/>
        <v>NIS</v>
      </c>
      <c r="N2708" t="str">
        <f>"Y"</f>
        <v>Y</v>
      </c>
      <c r="O2708">
        <v>26</v>
      </c>
      <c r="P2708" t="str">
        <f>"Phase Out"</f>
        <v>Phase Out</v>
      </c>
      <c r="Q2708" t="str">
        <f>"Fanuc simulator with software"</f>
        <v>Fanuc simulator with software</v>
      </c>
      <c r="S2708" t="str">
        <f>"Fanuc simulator with software"</f>
        <v>Fanuc simulator with software</v>
      </c>
      <c r="T2708">
        <v>0</v>
      </c>
      <c r="U2708">
        <v>664</v>
      </c>
      <c r="V2708">
        <v>597.4</v>
      </c>
      <c r="W2708" t="str">
        <f t="shared" si="677"/>
        <v>rob</v>
      </c>
    </row>
    <row r="2709" spans="1:23">
      <c r="A2709" t="str">
        <f t="shared" si="680"/>
        <v>MTS-ER4U-BM-BT</v>
      </c>
      <c r="B2709" t="str">
        <f>"10-1108-9000"</f>
        <v>10-1108-9000</v>
      </c>
      <c r="C2709" t="str">
        <f>"- Fanuc panel / Computer stand"</f>
        <v>- Fanuc panel / Computer stand</v>
      </c>
      <c r="D2709">
        <v>1</v>
      </c>
      <c r="E2709" t="str">
        <f t="shared" si="681"/>
        <v>FMS - Scorbot ER4U Robot with BenchMill 6000 &amp; BenchTurn 7000 CNC machines</v>
      </c>
      <c r="F2709">
        <v>502</v>
      </c>
      <c r="G2709" t="str">
        <f t="shared" si="683"/>
        <v>Y</v>
      </c>
      <c r="H2709" t="str">
        <f t="shared" si="682"/>
        <v>EA</v>
      </c>
      <c r="I2709">
        <v>0</v>
      </c>
      <c r="J2709">
        <v>0</v>
      </c>
      <c r="K2709" t="str">
        <f t="shared" si="684"/>
        <v>Y</v>
      </c>
      <c r="L2709">
        <v>0</v>
      </c>
      <c r="M2709" t="str">
        <f t="shared" si="672"/>
        <v>NIS</v>
      </c>
      <c r="N2709" t="str">
        <f>"Y"</f>
        <v>Y</v>
      </c>
      <c r="O2709">
        <v>27</v>
      </c>
      <c r="P2709" t="str">
        <f t="shared" ref="P2709:P2725" si="686">"Active"</f>
        <v>Active</v>
      </c>
      <c r="Q2709" t="str">
        <f>"Computer stand"</f>
        <v>Computer stand</v>
      </c>
      <c r="S2709" t="str">
        <f>"Computer stand"</f>
        <v>Computer stand</v>
      </c>
      <c r="T2709">
        <v>0</v>
      </c>
      <c r="U2709">
        <v>128.78</v>
      </c>
      <c r="V2709">
        <v>193.77</v>
      </c>
      <c r="W2709" t="str">
        <f t="shared" si="677"/>
        <v>rob</v>
      </c>
    </row>
    <row r="2710" spans="1:23">
      <c r="A2710" t="str">
        <f t="shared" si="680"/>
        <v>MTS-ER4U-BM-BT</v>
      </c>
      <c r="B2710" t="str">
        <f>"63-6723-0000"</f>
        <v>63-6723-0000</v>
      </c>
      <c r="C2710" t="str">
        <f>"SpectraCAD Engraver software – Download Only"</f>
        <v>SpectraCAD Engraver software – Download Only</v>
      </c>
      <c r="D2710">
        <v>1</v>
      </c>
      <c r="E2710" t="str">
        <f t="shared" si="681"/>
        <v>FMS - Scorbot ER4U Robot with BenchMill 6000 &amp; BenchTurn 7000 CNC machines</v>
      </c>
      <c r="F2710">
        <v>502</v>
      </c>
      <c r="G2710" t="str">
        <f t="shared" si="683"/>
        <v>Y</v>
      </c>
      <c r="H2710" t="str">
        <f t="shared" si="682"/>
        <v>EA</v>
      </c>
      <c r="I2710">
        <v>0</v>
      </c>
      <c r="J2710">
        <v>0</v>
      </c>
      <c r="K2710" t="str">
        <f t="shared" si="684"/>
        <v>Y</v>
      </c>
      <c r="L2710">
        <v>0</v>
      </c>
      <c r="M2710" t="str">
        <f t="shared" si="672"/>
        <v>NIS</v>
      </c>
      <c r="O2710">
        <v>52</v>
      </c>
      <c r="P2710" t="str">
        <f t="shared" si="686"/>
        <v>Active</v>
      </c>
      <c r="Q2710" t="str">
        <f>"SpectraCAD Engraver software – Download Only"</f>
        <v>SpectraCAD Engraver software – Download Only</v>
      </c>
      <c r="S2710" t="str">
        <f>"SpectraCAD Engraver software – Download Only"</f>
        <v>SpectraCAD Engraver software – Download Only</v>
      </c>
      <c r="T2710">
        <v>0</v>
      </c>
      <c r="U2710">
        <v>10</v>
      </c>
      <c r="V2710">
        <v>10.4</v>
      </c>
      <c r="W2710" t="str">
        <f t="shared" si="677"/>
        <v>rob</v>
      </c>
    </row>
    <row r="2711" spans="1:23">
      <c r="A2711" t="str">
        <f t="shared" si="680"/>
        <v>MTS-ER4U-BM-BT</v>
      </c>
      <c r="B2711" t="str">
        <f>"63-6733-0000"</f>
        <v>63-6733-0000</v>
      </c>
      <c r="C2711" t="str">
        <f>"Software, SpectraCAM Milling"</f>
        <v>Software, SpectraCAM Milling</v>
      </c>
      <c r="D2711">
        <v>1</v>
      </c>
      <c r="E2711" t="str">
        <f t="shared" si="681"/>
        <v>FMS - Scorbot ER4U Robot with BenchMill 6000 &amp; BenchTurn 7000 CNC machines</v>
      </c>
      <c r="F2711">
        <v>502</v>
      </c>
      <c r="G2711" t="str">
        <f t="shared" si="683"/>
        <v>Y</v>
      </c>
      <c r="H2711" t="str">
        <f t="shared" si="682"/>
        <v>EA</v>
      </c>
      <c r="I2711">
        <v>0</v>
      </c>
      <c r="J2711">
        <v>0</v>
      </c>
      <c r="K2711" t="str">
        <f t="shared" si="684"/>
        <v>Y</v>
      </c>
      <c r="L2711">
        <v>0</v>
      </c>
      <c r="M2711" t="str">
        <f t="shared" si="672"/>
        <v>NIS</v>
      </c>
      <c r="O2711">
        <v>28</v>
      </c>
      <c r="P2711" t="str">
        <f t="shared" si="686"/>
        <v>Active</v>
      </c>
      <c r="Q2711" t="str">
        <f>"Software, SpectraCAM Milling"</f>
        <v>Software, SpectraCAM Milling</v>
      </c>
      <c r="S2711" t="str">
        <f>"Software, SpectraCAM Milling"</f>
        <v>Software, SpectraCAM Milling</v>
      </c>
      <c r="T2711">
        <v>0</v>
      </c>
      <c r="U2711">
        <v>10</v>
      </c>
      <c r="V2711">
        <v>10.4</v>
      </c>
      <c r="W2711" t="str">
        <f t="shared" si="677"/>
        <v>rob</v>
      </c>
    </row>
    <row r="2712" spans="1:23">
      <c r="A2712" t="str">
        <f t="shared" si="680"/>
        <v>MTS-ER4U-BM-BT</v>
      </c>
      <c r="B2712" t="str">
        <f>"63-6001-1000"</f>
        <v>63-6001-1000</v>
      </c>
      <c r="C2712" t="str">
        <f>"-CNCMotion Simulation Sftwr for BenchMill 6000"</f>
        <v>-CNCMotion Simulation Sftwr for BenchMill 6000</v>
      </c>
      <c r="D2712">
        <v>1</v>
      </c>
      <c r="E2712" t="str">
        <f t="shared" si="681"/>
        <v>FMS - Scorbot ER4U Robot with BenchMill 6000 &amp; BenchTurn 7000 CNC machines</v>
      </c>
      <c r="F2712">
        <v>502</v>
      </c>
      <c r="G2712" t="str">
        <f t="shared" si="683"/>
        <v>Y</v>
      </c>
      <c r="H2712" t="str">
        <f t="shared" si="682"/>
        <v>EA</v>
      </c>
      <c r="I2712">
        <v>0</v>
      </c>
      <c r="J2712">
        <v>0</v>
      </c>
      <c r="K2712" t="str">
        <f t="shared" si="684"/>
        <v>Y</v>
      </c>
      <c r="L2712">
        <v>0</v>
      </c>
      <c r="M2712" t="str">
        <f t="shared" si="672"/>
        <v>NIS</v>
      </c>
      <c r="O2712">
        <v>29</v>
      </c>
      <c r="P2712" t="str">
        <f t="shared" si="686"/>
        <v>Active</v>
      </c>
      <c r="Q2712" t="str">
        <f>"CNCMotion Sim. Sftwr, BenchMill 6000"</f>
        <v>CNCMotion Sim. Sftwr, BenchMill 6000</v>
      </c>
      <c r="S2712" t="str">
        <f>"CNCMotion Sim. Sftwr, BenchMill 6000"</f>
        <v>CNCMotion Sim. Sftwr, BenchMill 6000</v>
      </c>
      <c r="T2712">
        <v>0</v>
      </c>
      <c r="U2712">
        <v>10</v>
      </c>
      <c r="V2712">
        <v>0</v>
      </c>
      <c r="W2712" t="str">
        <f t="shared" si="677"/>
        <v>rob</v>
      </c>
    </row>
    <row r="2713" spans="1:23">
      <c r="A2713" t="str">
        <f t="shared" si="680"/>
        <v>MTS-ER4U-BM-BT</v>
      </c>
      <c r="B2713" t="str">
        <f>"113034"</f>
        <v>113034</v>
      </c>
      <c r="C2713" t="str">
        <f>"Raw Material - Perspex Block"</f>
        <v>Raw Material - Perspex Block</v>
      </c>
      <c r="D2713">
        <v>50</v>
      </c>
      <c r="E2713" t="str">
        <f t="shared" si="681"/>
        <v>FMS - Scorbot ER4U Robot with BenchMill 6000 &amp; BenchTurn 7000 CNC machines</v>
      </c>
      <c r="F2713">
        <v>502</v>
      </c>
      <c r="G2713" t="str">
        <f t="shared" si="683"/>
        <v>Y</v>
      </c>
      <c r="H2713" t="str">
        <f t="shared" si="682"/>
        <v>EA</v>
      </c>
      <c r="I2713">
        <v>0</v>
      </c>
      <c r="J2713">
        <v>0</v>
      </c>
      <c r="K2713" t="str">
        <f t="shared" si="684"/>
        <v>Y</v>
      </c>
      <c r="L2713">
        <v>0</v>
      </c>
      <c r="M2713" t="str">
        <f t="shared" ref="M2713:M2776" si="687">"NIS"</f>
        <v>NIS</v>
      </c>
      <c r="O2713">
        <v>30</v>
      </c>
      <c r="P2713" t="str">
        <f t="shared" si="686"/>
        <v>Active</v>
      </c>
      <c r="Q2713" t="str">
        <f>"Raw Material Stock - Perspex Block"</f>
        <v>Raw Material Stock - Perspex Block</v>
      </c>
      <c r="S2713" t="str">
        <f>"Raw Material Stock - Perspex Block"</f>
        <v>Raw Material Stock - Perspex Block</v>
      </c>
      <c r="T2713">
        <v>0</v>
      </c>
      <c r="U2713">
        <v>1.1000000000000001</v>
      </c>
      <c r="V2713">
        <v>1.0900000000000001</v>
      </c>
      <c r="W2713" t="str">
        <f t="shared" si="677"/>
        <v>rob</v>
      </c>
    </row>
    <row r="2714" spans="1:23">
      <c r="A2714" t="str">
        <f t="shared" si="680"/>
        <v>MTS-ER4U-BM-BT</v>
      </c>
      <c r="B2714" t="str">
        <f>"10-2120-1000"</f>
        <v>10-2120-1000</v>
      </c>
      <c r="C2714" t="str">
        <f>"CNC Interface with BenchTurn 7000"</f>
        <v>CNC Interface with BenchTurn 7000</v>
      </c>
      <c r="D2714">
        <v>1</v>
      </c>
      <c r="E2714" t="str">
        <f t="shared" si="681"/>
        <v>FMS - Scorbot ER4U Robot with BenchMill 6000 &amp; BenchTurn 7000 CNC machines</v>
      </c>
      <c r="F2714">
        <v>502</v>
      </c>
      <c r="G2714" t="str">
        <f t="shared" si="683"/>
        <v>Y</v>
      </c>
      <c r="H2714" t="str">
        <f t="shared" si="682"/>
        <v>EA</v>
      </c>
      <c r="I2714">
        <v>0</v>
      </c>
      <c r="J2714">
        <v>0</v>
      </c>
      <c r="K2714" t="str">
        <f t="shared" si="684"/>
        <v>Y</v>
      </c>
      <c r="L2714">
        <v>0</v>
      </c>
      <c r="M2714" t="str">
        <f t="shared" si="687"/>
        <v>NIS</v>
      </c>
      <c r="O2714">
        <v>31</v>
      </c>
      <c r="P2714" t="str">
        <f t="shared" si="686"/>
        <v>Active</v>
      </c>
      <c r="Q2714" t="str">
        <f>"CNC Interface with BenchTurn 7000"</f>
        <v>CNC Interface with BenchTurn 7000</v>
      </c>
      <c r="S2714" t="str">
        <f>"CNC Interface with BenchTurn 7000"</f>
        <v>CNC Interface with BenchTurn 7000</v>
      </c>
      <c r="T2714">
        <v>0</v>
      </c>
      <c r="U2714">
        <v>60</v>
      </c>
      <c r="V2714">
        <v>19.7</v>
      </c>
      <c r="W2714" t="str">
        <f t="shared" si="677"/>
        <v>rob</v>
      </c>
    </row>
    <row r="2715" spans="1:23">
      <c r="A2715" t="str">
        <f t="shared" ref="A2715:A2734" si="688">"MTS-ER4U-BM-BT"</f>
        <v>MTS-ER4U-BM-BT</v>
      </c>
      <c r="B2715" t="str">
        <f>"00-5504-0220"</f>
        <v>00-5504-0220</v>
      </c>
      <c r="C2715" t="str">
        <f>"CNC BenchTurn 7000 220V"</f>
        <v>CNC BenchTurn 7000 220V</v>
      </c>
      <c r="D2715">
        <v>1</v>
      </c>
      <c r="E2715" t="str">
        <f t="shared" ref="E2715:E2734" si="689">"FMS - Scorbot ER4U Robot with BenchMill 6000 &amp; BenchTurn 7000 CNC machines"</f>
        <v>FMS - Scorbot ER4U Robot with BenchMill 6000 &amp; BenchTurn 7000 CNC machines</v>
      </c>
      <c r="F2715">
        <v>502</v>
      </c>
      <c r="G2715" t="str">
        <f t="shared" si="683"/>
        <v>Y</v>
      </c>
      <c r="H2715" t="str">
        <f t="shared" ref="H2715:H2733" si="690">"EA"</f>
        <v>EA</v>
      </c>
      <c r="I2715">
        <v>0</v>
      </c>
      <c r="J2715">
        <v>0</v>
      </c>
      <c r="K2715" t="str">
        <f t="shared" si="684"/>
        <v>Y</v>
      </c>
      <c r="L2715">
        <v>0</v>
      </c>
      <c r="M2715" t="str">
        <f t="shared" si="687"/>
        <v>NIS</v>
      </c>
      <c r="O2715">
        <v>32</v>
      </c>
      <c r="P2715" t="str">
        <f t="shared" si="686"/>
        <v>Active</v>
      </c>
      <c r="Q2715" t="str">
        <f>"CNC BenchTurn 7000 220V"</f>
        <v>CNC BenchTurn 7000 220V</v>
      </c>
      <c r="S2715" t="str">
        <f>"CNC BenchTurn 7000 220V"</f>
        <v>CNC BenchTurn 7000 220V</v>
      </c>
      <c r="T2715">
        <v>0</v>
      </c>
      <c r="U2715" s="44">
        <v>4600</v>
      </c>
      <c r="V2715" s="44">
        <v>4551.93</v>
      </c>
      <c r="W2715" t="str">
        <f t="shared" si="677"/>
        <v>rob</v>
      </c>
    </row>
    <row r="2716" spans="1:23">
      <c r="A2716" t="str">
        <f t="shared" si="688"/>
        <v>MTS-ER4U-BM-BT</v>
      </c>
      <c r="B2716" t="str">
        <f>"10-1110-5000"</f>
        <v>10-1110-5000</v>
      </c>
      <c r="C2716" t="str">
        <f>"-- Pneumatic Shield (BenchTurn 7000 for FMS))"</f>
        <v>-- Pneumatic Shield (BenchTurn 7000 for FMS))</v>
      </c>
      <c r="D2716">
        <v>1</v>
      </c>
      <c r="E2716" t="str">
        <f t="shared" si="689"/>
        <v>FMS - Scorbot ER4U Robot with BenchMill 6000 &amp; BenchTurn 7000 CNC machines</v>
      </c>
      <c r="F2716">
        <v>502</v>
      </c>
      <c r="G2716" t="str">
        <f t="shared" si="683"/>
        <v>Y</v>
      </c>
      <c r="H2716" t="str">
        <f t="shared" si="690"/>
        <v>EA</v>
      </c>
      <c r="I2716">
        <v>0</v>
      </c>
      <c r="J2716">
        <v>0</v>
      </c>
      <c r="K2716" t="str">
        <f t="shared" si="684"/>
        <v>Y</v>
      </c>
      <c r="L2716">
        <v>0</v>
      </c>
      <c r="M2716" t="str">
        <f t="shared" si="687"/>
        <v>NIS</v>
      </c>
      <c r="O2716">
        <v>33</v>
      </c>
      <c r="P2716" t="str">
        <f t="shared" si="686"/>
        <v>Active</v>
      </c>
      <c r="Q2716" t="str">
        <f>"Pneumatic Shield with Sensors (BenchTurn 7000)"</f>
        <v>Pneumatic Shield with Sensors (BenchTurn 7000)</v>
      </c>
      <c r="S2716" t="str">
        <f>"Pneumatic Shield with Sensors (BenchTurn 7000)"</f>
        <v>Pneumatic Shield with Sensors (BenchTurn 7000)</v>
      </c>
      <c r="T2716">
        <v>0</v>
      </c>
      <c r="U2716">
        <v>144</v>
      </c>
      <c r="V2716">
        <v>128.55000000000001</v>
      </c>
      <c r="W2716" t="str">
        <f t="shared" si="677"/>
        <v>rob</v>
      </c>
    </row>
    <row r="2717" spans="1:23">
      <c r="A2717" t="str">
        <f t="shared" si="688"/>
        <v>MTS-ER4U-BM-BT</v>
      </c>
      <c r="B2717" t="str">
        <f>"10-1110-9000"</f>
        <v>10-1110-9000</v>
      </c>
      <c r="C2717" t="str">
        <f>"-- Pneumatic Chuck (BenchTurn 7000 for FMS)"</f>
        <v>-- Pneumatic Chuck (BenchTurn 7000 for FMS)</v>
      </c>
      <c r="D2717">
        <v>1</v>
      </c>
      <c r="E2717" t="str">
        <f t="shared" si="689"/>
        <v>FMS - Scorbot ER4U Robot with BenchMill 6000 &amp; BenchTurn 7000 CNC machines</v>
      </c>
      <c r="F2717">
        <v>502</v>
      </c>
      <c r="G2717" t="str">
        <f t="shared" si="683"/>
        <v>Y</v>
      </c>
      <c r="H2717" t="str">
        <f t="shared" si="690"/>
        <v>EA</v>
      </c>
      <c r="I2717">
        <v>0</v>
      </c>
      <c r="J2717">
        <v>0</v>
      </c>
      <c r="K2717" t="str">
        <f t="shared" si="684"/>
        <v>Y</v>
      </c>
      <c r="L2717">
        <v>0</v>
      </c>
      <c r="M2717" t="str">
        <f t="shared" si="687"/>
        <v>NIS</v>
      </c>
      <c r="O2717">
        <v>34</v>
      </c>
      <c r="P2717" t="str">
        <f t="shared" si="686"/>
        <v>Active</v>
      </c>
      <c r="Q2717" t="str">
        <f>"Pneumatic Chuck (BenchTurn 7000)"</f>
        <v>Pneumatic Chuck (BenchTurn 7000)</v>
      </c>
      <c r="S2717" t="str">
        <f>"Pneumatic Chuck (BenchTurn 7000)"</f>
        <v>Pneumatic Chuck (BenchTurn 7000)</v>
      </c>
      <c r="T2717">
        <v>0</v>
      </c>
      <c r="U2717">
        <v>639</v>
      </c>
      <c r="V2717">
        <v>569.88</v>
      </c>
      <c r="W2717" t="str">
        <f t="shared" si="677"/>
        <v>rob</v>
      </c>
    </row>
    <row r="2718" spans="1:23">
      <c r="A2718" t="str">
        <f t="shared" si="688"/>
        <v>MTS-ER4U-BM-BT</v>
      </c>
      <c r="B2718" t="str">
        <f>"10-1106-0000"</f>
        <v>10-1106-0000</v>
      </c>
      <c r="C2718" t="str">
        <f>"- 11pcs Cutter set 10 x 10mmt"</f>
        <v>- 11pcs Cutter set 10 x 10mmt</v>
      </c>
      <c r="D2718">
        <v>1</v>
      </c>
      <c r="E2718" t="str">
        <f t="shared" si="689"/>
        <v>FMS - Scorbot ER4U Robot with BenchMill 6000 &amp; BenchTurn 7000 CNC machines</v>
      </c>
      <c r="F2718">
        <v>502</v>
      </c>
      <c r="G2718" t="str">
        <f t="shared" si="683"/>
        <v>Y</v>
      </c>
      <c r="H2718" t="str">
        <f t="shared" si="690"/>
        <v>EA</v>
      </c>
      <c r="I2718">
        <v>0</v>
      </c>
      <c r="J2718">
        <v>0</v>
      </c>
      <c r="K2718" t="str">
        <f t="shared" si="684"/>
        <v>Y</v>
      </c>
      <c r="L2718">
        <v>0</v>
      </c>
      <c r="M2718" t="str">
        <f t="shared" si="687"/>
        <v>NIS</v>
      </c>
      <c r="N2718" t="str">
        <f>"Y"</f>
        <v>Y</v>
      </c>
      <c r="O2718">
        <v>35</v>
      </c>
      <c r="P2718" t="str">
        <f t="shared" si="686"/>
        <v>Active</v>
      </c>
      <c r="Q2718" t="str">
        <f>"10 x 10mm cutter 11pcs set"</f>
        <v>10 x 10mm cutter 11pcs set</v>
      </c>
      <c r="S2718" t="str">
        <f>"10 x 10mm cutter 11pcs set"</f>
        <v>10 x 10mm cutter 11pcs set</v>
      </c>
      <c r="T2718">
        <v>0</v>
      </c>
      <c r="U2718">
        <v>36.29</v>
      </c>
      <c r="V2718">
        <v>42.51</v>
      </c>
      <c r="W2718" t="str">
        <f t="shared" si="677"/>
        <v>rob</v>
      </c>
    </row>
    <row r="2719" spans="1:23">
      <c r="A2719" t="str">
        <f t="shared" si="688"/>
        <v>MTS-ER4U-BM-BT</v>
      </c>
      <c r="B2719" t="str">
        <f>"10-1110-1000"</f>
        <v>10-1110-1000</v>
      </c>
      <c r="C2719" t="str">
        <f>"10 x 10mm cutter tool holder"</f>
        <v>10 x 10mm cutter tool holder</v>
      </c>
      <c r="D2719">
        <v>1</v>
      </c>
      <c r="E2719" t="str">
        <f t="shared" si="689"/>
        <v>FMS - Scorbot ER4U Robot with BenchMill 6000 &amp; BenchTurn 7000 CNC machines</v>
      </c>
      <c r="F2719">
        <v>502</v>
      </c>
      <c r="G2719" t="str">
        <f t="shared" si="683"/>
        <v>Y</v>
      </c>
      <c r="H2719" t="str">
        <f t="shared" si="690"/>
        <v>EA</v>
      </c>
      <c r="I2719">
        <v>0</v>
      </c>
      <c r="J2719">
        <v>0</v>
      </c>
      <c r="K2719" t="str">
        <f t="shared" si="684"/>
        <v>Y</v>
      </c>
      <c r="L2719">
        <v>0</v>
      </c>
      <c r="M2719" t="str">
        <f t="shared" si="687"/>
        <v>NIS</v>
      </c>
      <c r="O2719">
        <v>36</v>
      </c>
      <c r="P2719" t="str">
        <f t="shared" si="686"/>
        <v>Active</v>
      </c>
      <c r="Q2719" t="str">
        <f>"10x10mm TiN coated cutter set (replaceable tip)"</f>
        <v>10x10mm TiN coated cutter set (replaceable tip)</v>
      </c>
      <c r="S2719" t="str">
        <f>"10x10mm TiN coated cutter set (replaceable tip)"</f>
        <v>10x10mm TiN coated cutter set (replaceable tip)</v>
      </c>
      <c r="T2719">
        <v>0</v>
      </c>
      <c r="U2719">
        <v>65</v>
      </c>
      <c r="V2719">
        <v>65.540000000000006</v>
      </c>
      <c r="W2719" t="str">
        <f t="shared" si="677"/>
        <v>rob</v>
      </c>
    </row>
    <row r="2720" spans="1:23">
      <c r="A2720" t="str">
        <f t="shared" si="688"/>
        <v>MTS-ER4U-BM-BT</v>
      </c>
      <c r="B2720" t="str">
        <f>"10-1110-2000"</f>
        <v>10-1110-2000</v>
      </c>
      <c r="C2720" t="str">
        <f>"TiN coated tip for 011101"</f>
        <v>TiN coated tip for 011101</v>
      </c>
      <c r="D2720">
        <v>1</v>
      </c>
      <c r="E2720" t="str">
        <f t="shared" si="689"/>
        <v>FMS - Scorbot ER4U Robot with BenchMill 6000 &amp; BenchTurn 7000 CNC machines</v>
      </c>
      <c r="F2720">
        <v>502</v>
      </c>
      <c r="G2720" t="str">
        <f t="shared" si="683"/>
        <v>Y</v>
      </c>
      <c r="H2720" t="str">
        <f t="shared" si="690"/>
        <v>EA</v>
      </c>
      <c r="I2720">
        <v>0</v>
      </c>
      <c r="J2720">
        <v>0</v>
      </c>
      <c r="K2720" t="str">
        <f t="shared" si="684"/>
        <v>Y</v>
      </c>
      <c r="L2720">
        <v>0</v>
      </c>
      <c r="M2720" t="str">
        <f t="shared" si="687"/>
        <v>NIS</v>
      </c>
      <c r="O2720">
        <v>37</v>
      </c>
      <c r="P2720" t="str">
        <f t="shared" si="686"/>
        <v>Active</v>
      </c>
      <c r="Q2720" t="str">
        <f>"TiN coated tip for 011101"</f>
        <v>TiN coated tip for 011101</v>
      </c>
      <c r="S2720" t="str">
        <f>"TiN coated tip for 011101"</f>
        <v>TiN coated tip for 011101</v>
      </c>
      <c r="T2720">
        <v>0</v>
      </c>
      <c r="U2720">
        <v>42</v>
      </c>
      <c r="V2720">
        <v>41.71</v>
      </c>
      <c r="W2720" t="str">
        <f t="shared" si="677"/>
        <v>rob</v>
      </c>
    </row>
    <row r="2721" spans="1:23">
      <c r="A2721" t="str">
        <f t="shared" si="688"/>
        <v>MTS-ER4U-BM-BT</v>
      </c>
      <c r="B2721" t="str">
        <f>"10-1106-6000"</f>
        <v>10-1106-6000</v>
      </c>
      <c r="C2721" t="str">
        <f>"- Rolling center"</f>
        <v>- Rolling center</v>
      </c>
      <c r="D2721">
        <v>1</v>
      </c>
      <c r="E2721" t="str">
        <f t="shared" si="689"/>
        <v>FMS - Scorbot ER4U Robot with BenchMill 6000 &amp; BenchTurn 7000 CNC machines</v>
      </c>
      <c r="F2721">
        <v>502</v>
      </c>
      <c r="G2721" t="str">
        <f t="shared" si="683"/>
        <v>Y</v>
      </c>
      <c r="H2721" t="str">
        <f t="shared" si="690"/>
        <v>EA</v>
      </c>
      <c r="I2721">
        <v>0</v>
      </c>
      <c r="J2721">
        <v>0</v>
      </c>
      <c r="K2721" t="str">
        <f t="shared" si="684"/>
        <v>Y</v>
      </c>
      <c r="L2721">
        <v>0</v>
      </c>
      <c r="M2721" t="str">
        <f t="shared" si="687"/>
        <v>NIS</v>
      </c>
      <c r="O2721">
        <v>38</v>
      </c>
      <c r="P2721" t="str">
        <f t="shared" si="686"/>
        <v>Active</v>
      </c>
      <c r="Q2721" t="str">
        <f>"Rolling center"</f>
        <v>Rolling center</v>
      </c>
      <c r="S2721" t="str">
        <f>"Rolling center"</f>
        <v>Rolling center</v>
      </c>
      <c r="T2721">
        <v>0</v>
      </c>
      <c r="U2721">
        <v>23.42</v>
      </c>
      <c r="V2721">
        <v>23.55</v>
      </c>
      <c r="W2721" t="str">
        <f t="shared" si="677"/>
        <v>rob</v>
      </c>
    </row>
    <row r="2722" spans="1:23">
      <c r="A2722" t="str">
        <f t="shared" si="688"/>
        <v>MTS-ER4U-BM-BT</v>
      </c>
      <c r="B2722" t="str">
        <f>"10-1105-7000"</f>
        <v>10-1105-7000</v>
      </c>
      <c r="C2722" t="str">
        <f>"Drill Chuck for Tailstock"</f>
        <v>Drill Chuck for Tailstock</v>
      </c>
      <c r="D2722">
        <v>1</v>
      </c>
      <c r="E2722" t="str">
        <f t="shared" si="689"/>
        <v>FMS - Scorbot ER4U Robot with BenchMill 6000 &amp; BenchTurn 7000 CNC machines</v>
      </c>
      <c r="F2722">
        <v>502</v>
      </c>
      <c r="G2722" t="str">
        <f t="shared" si="683"/>
        <v>Y</v>
      </c>
      <c r="H2722" t="str">
        <f t="shared" si="690"/>
        <v>EA</v>
      </c>
      <c r="I2722">
        <v>0</v>
      </c>
      <c r="J2722">
        <v>0</v>
      </c>
      <c r="K2722" t="str">
        <f t="shared" si="684"/>
        <v>Y</v>
      </c>
      <c r="L2722">
        <v>0</v>
      </c>
      <c r="M2722" t="str">
        <f t="shared" si="687"/>
        <v>NIS</v>
      </c>
      <c r="O2722">
        <v>39</v>
      </c>
      <c r="P2722" t="str">
        <f t="shared" si="686"/>
        <v>Active</v>
      </c>
      <c r="Q2722" t="str">
        <f>"Tailstock extender MT2 13mm tailstock chuck"</f>
        <v>Tailstock extender MT2 13mm tailstock chuck</v>
      </c>
      <c r="S2722" t="str">
        <f>"Drill Chuck for Tailstock MT2 13mm"</f>
        <v>Drill Chuck for Tailstock MT2 13mm</v>
      </c>
      <c r="T2722">
        <v>0</v>
      </c>
      <c r="U2722">
        <v>21.07</v>
      </c>
      <c r="V2722">
        <v>23.52</v>
      </c>
      <c r="W2722" t="str">
        <f t="shared" ref="W2722:W2785" si="691">"rob"</f>
        <v>rob</v>
      </c>
    </row>
    <row r="2723" spans="1:23">
      <c r="A2723" t="str">
        <f t="shared" si="688"/>
        <v>MTS-ER4U-BM-BT</v>
      </c>
      <c r="B2723" t="str">
        <f>"10-1106-7000"</f>
        <v>10-1106-7000</v>
      </c>
      <c r="C2723" t="str">
        <f>"- 100mm 4 independent jaw chuck"</f>
        <v>- 100mm 4 independent jaw chuck</v>
      </c>
      <c r="D2723">
        <v>1</v>
      </c>
      <c r="E2723" t="str">
        <f t="shared" si="689"/>
        <v>FMS - Scorbot ER4U Robot with BenchMill 6000 &amp; BenchTurn 7000 CNC machines</v>
      </c>
      <c r="F2723">
        <v>502</v>
      </c>
      <c r="G2723" t="str">
        <f t="shared" si="683"/>
        <v>Y</v>
      </c>
      <c r="H2723" t="str">
        <f t="shared" si="690"/>
        <v>EA</v>
      </c>
      <c r="I2723">
        <v>0</v>
      </c>
      <c r="J2723">
        <v>0</v>
      </c>
      <c r="K2723" t="str">
        <f t="shared" si="684"/>
        <v>Y</v>
      </c>
      <c r="L2723">
        <v>0</v>
      </c>
      <c r="M2723" t="str">
        <f t="shared" si="687"/>
        <v>NIS</v>
      </c>
      <c r="N2723" t="str">
        <f>"Y"</f>
        <v>Y</v>
      </c>
      <c r="O2723">
        <v>40</v>
      </c>
      <c r="P2723" t="str">
        <f t="shared" si="686"/>
        <v>Active</v>
      </c>
      <c r="Q2723" t="str">
        <f>"100mm 4-jaw chuck (independent)"</f>
        <v>100mm 4-jaw chuck (independent)</v>
      </c>
      <c r="S2723" t="str">
        <f>"100mm 4-jaw chuck (independent)"</f>
        <v>100mm 4-jaw chuck (independent)</v>
      </c>
      <c r="T2723">
        <v>0</v>
      </c>
      <c r="U2723">
        <v>64.39</v>
      </c>
      <c r="V2723">
        <v>67.209999999999994</v>
      </c>
      <c r="W2723" t="str">
        <f t="shared" si="691"/>
        <v>rob</v>
      </c>
    </row>
    <row r="2724" spans="1:23">
      <c r="A2724" t="str">
        <f t="shared" si="688"/>
        <v>MTS-ER4U-BM-BT</v>
      </c>
      <c r="B2724" t="str">
        <f>"10-1108-1220"</f>
        <v>10-1108-1220</v>
      </c>
      <c r="C2724" t="str">
        <f>"- Coolant system 27L -220V"</f>
        <v>- Coolant system 27L -220V</v>
      </c>
      <c r="D2724">
        <v>1</v>
      </c>
      <c r="E2724" t="str">
        <f t="shared" si="689"/>
        <v>FMS - Scorbot ER4U Robot with BenchMill 6000 &amp; BenchTurn 7000 CNC machines</v>
      </c>
      <c r="F2724">
        <v>502</v>
      </c>
      <c r="G2724" t="str">
        <f t="shared" si="683"/>
        <v>Y</v>
      </c>
      <c r="H2724" t="str">
        <f t="shared" si="690"/>
        <v>EA</v>
      </c>
      <c r="I2724">
        <v>0</v>
      </c>
      <c r="J2724">
        <v>0</v>
      </c>
      <c r="K2724" t="str">
        <f t="shared" si="684"/>
        <v>Y</v>
      </c>
      <c r="L2724">
        <v>0</v>
      </c>
      <c r="M2724" t="str">
        <f t="shared" si="687"/>
        <v>NIS</v>
      </c>
      <c r="N2724" t="str">
        <f>"Y"</f>
        <v>Y</v>
      </c>
      <c r="O2724">
        <v>41</v>
      </c>
      <c r="P2724" t="str">
        <f t="shared" si="686"/>
        <v>Active</v>
      </c>
      <c r="Q2724" t="str">
        <f>"Coolant system 27L"</f>
        <v>Coolant system 27L</v>
      </c>
      <c r="S2724" t="str">
        <f>"Coolant system 27L - 220V"</f>
        <v>Coolant system 27L - 220V</v>
      </c>
      <c r="T2724">
        <v>0</v>
      </c>
      <c r="U2724">
        <v>117.08</v>
      </c>
      <c r="V2724">
        <v>117.15</v>
      </c>
      <c r="W2724" t="str">
        <f t="shared" si="691"/>
        <v>rob</v>
      </c>
    </row>
    <row r="2725" spans="1:23">
      <c r="A2725" t="str">
        <f t="shared" si="688"/>
        <v>MTS-ER4U-BM-BT</v>
      </c>
      <c r="B2725" t="str">
        <f>"10-1111-1000"</f>
        <v>10-1111-1000</v>
      </c>
      <c r="C2725" t="str">
        <f>"- Handwheel - Manual Control"</f>
        <v>- Handwheel - Manual Control</v>
      </c>
      <c r="D2725">
        <v>1</v>
      </c>
      <c r="E2725" t="str">
        <f t="shared" si="689"/>
        <v>FMS - Scorbot ER4U Robot with BenchMill 6000 &amp; BenchTurn 7000 CNC machines</v>
      </c>
      <c r="F2725">
        <v>502</v>
      </c>
      <c r="G2725" t="str">
        <f t="shared" si="683"/>
        <v>Y</v>
      </c>
      <c r="H2725" t="str">
        <f t="shared" si="690"/>
        <v>EA</v>
      </c>
      <c r="I2725">
        <v>0</v>
      </c>
      <c r="J2725">
        <v>0</v>
      </c>
      <c r="K2725" t="str">
        <f t="shared" si="684"/>
        <v>Y</v>
      </c>
      <c r="L2725">
        <v>0</v>
      </c>
      <c r="M2725" t="str">
        <f t="shared" si="687"/>
        <v>NIS</v>
      </c>
      <c r="O2725">
        <v>42</v>
      </c>
      <c r="P2725" t="str">
        <f t="shared" si="686"/>
        <v>Active</v>
      </c>
      <c r="Q2725" t="str">
        <f>"Hand wheel"</f>
        <v>Hand wheel</v>
      </c>
      <c r="S2725" t="str">
        <f>"Jog Pendant Handwheel"</f>
        <v>Jog Pendant Handwheel</v>
      </c>
      <c r="T2725">
        <v>0</v>
      </c>
      <c r="U2725">
        <v>235</v>
      </c>
      <c r="V2725">
        <v>235.03</v>
      </c>
      <c r="W2725" t="str">
        <f t="shared" si="691"/>
        <v>rob</v>
      </c>
    </row>
    <row r="2726" spans="1:23">
      <c r="A2726" t="str">
        <f t="shared" si="688"/>
        <v>MTS-ER4U-BM-BT</v>
      </c>
      <c r="B2726" t="str">
        <f>"10-6741-0000"</f>
        <v>10-6741-0000</v>
      </c>
      <c r="C2726" t="str">
        <f>"spectraCAM Turning, First Copy"</f>
        <v>spectraCAM Turning, First Copy</v>
      </c>
      <c r="D2726">
        <v>1</v>
      </c>
      <c r="E2726" t="str">
        <f t="shared" si="689"/>
        <v>FMS - Scorbot ER4U Robot with BenchMill 6000 &amp; BenchTurn 7000 CNC machines</v>
      </c>
      <c r="F2726">
        <v>502</v>
      </c>
      <c r="G2726" t="str">
        <f t="shared" si="683"/>
        <v>Y</v>
      </c>
      <c r="H2726" t="str">
        <f t="shared" si="690"/>
        <v>EA</v>
      </c>
      <c r="I2726">
        <v>0</v>
      </c>
      <c r="J2726">
        <v>0</v>
      </c>
      <c r="K2726" t="str">
        <f t="shared" si="684"/>
        <v>Y</v>
      </c>
      <c r="L2726">
        <v>0</v>
      </c>
      <c r="M2726" t="str">
        <f t="shared" si="687"/>
        <v>NIS</v>
      </c>
      <c r="N2726" t="str">
        <f>"Y"</f>
        <v>Y</v>
      </c>
      <c r="O2726">
        <v>43</v>
      </c>
      <c r="P2726" t="str">
        <f>"Inactive"</f>
        <v>Inactive</v>
      </c>
      <c r="Q2726" t="str">
        <f>"spectraCAM Turning, First Copy"</f>
        <v>spectraCAM Turning, First Copy</v>
      </c>
      <c r="S2726" t="str">
        <f>"spectraCAM Turning, First Copy"</f>
        <v>spectraCAM Turning, First Copy</v>
      </c>
      <c r="T2726">
        <v>41.27</v>
      </c>
      <c r="U2726">
        <v>25.06</v>
      </c>
      <c r="V2726">
        <v>25.81</v>
      </c>
      <c r="W2726" t="str">
        <f t="shared" si="691"/>
        <v>rob</v>
      </c>
    </row>
    <row r="2727" spans="1:23">
      <c r="A2727" t="str">
        <f t="shared" si="688"/>
        <v>MTS-ER4U-BM-BT</v>
      </c>
      <c r="B2727" t="str">
        <f>"10-1111-3000"</f>
        <v>10-1111-3000</v>
      </c>
      <c r="C2727" t="str">
        <f>"- Fanuc Emulator Panel with software"</f>
        <v>- Fanuc Emulator Panel with software</v>
      </c>
      <c r="D2727">
        <v>1</v>
      </c>
      <c r="E2727" t="str">
        <f t="shared" si="689"/>
        <v>FMS - Scorbot ER4U Robot with BenchMill 6000 &amp; BenchTurn 7000 CNC machines</v>
      </c>
      <c r="F2727">
        <v>502</v>
      </c>
      <c r="G2727" t="str">
        <f t="shared" si="683"/>
        <v>Y</v>
      </c>
      <c r="H2727" t="str">
        <f t="shared" si="690"/>
        <v>EA</v>
      </c>
      <c r="I2727">
        <v>0</v>
      </c>
      <c r="J2727">
        <v>0</v>
      </c>
      <c r="K2727" t="str">
        <f t="shared" si="684"/>
        <v>Y</v>
      </c>
      <c r="L2727">
        <v>0</v>
      </c>
      <c r="M2727" t="str">
        <f t="shared" si="687"/>
        <v>NIS</v>
      </c>
      <c r="N2727" t="str">
        <f>"Y"</f>
        <v>Y</v>
      </c>
      <c r="O2727">
        <v>48</v>
      </c>
      <c r="P2727" t="str">
        <f>"Phase Out"</f>
        <v>Phase Out</v>
      </c>
      <c r="Q2727" t="str">
        <f>"Fanuc simulator with software"</f>
        <v>Fanuc simulator with software</v>
      </c>
      <c r="S2727" t="str">
        <f>"Fanuc simulator with software"</f>
        <v>Fanuc simulator with software</v>
      </c>
      <c r="T2727">
        <v>0</v>
      </c>
      <c r="U2727">
        <v>664</v>
      </c>
      <c r="V2727">
        <v>597.4</v>
      </c>
      <c r="W2727" t="str">
        <f t="shared" si="691"/>
        <v>rob</v>
      </c>
    </row>
    <row r="2728" spans="1:23">
      <c r="A2728" t="str">
        <f t="shared" si="688"/>
        <v>MTS-ER4U-BM-BT</v>
      </c>
      <c r="B2728" t="str">
        <f>"10-1108-9000"</f>
        <v>10-1108-9000</v>
      </c>
      <c r="C2728" t="str">
        <f>"- Fanuc panel / Computer stand"</f>
        <v>- Fanuc panel / Computer stand</v>
      </c>
      <c r="D2728">
        <v>1</v>
      </c>
      <c r="E2728" t="str">
        <f t="shared" si="689"/>
        <v>FMS - Scorbot ER4U Robot with BenchMill 6000 &amp; BenchTurn 7000 CNC machines</v>
      </c>
      <c r="F2728">
        <v>502</v>
      </c>
      <c r="G2728" t="str">
        <f t="shared" si="683"/>
        <v>Y</v>
      </c>
      <c r="H2728" t="str">
        <f t="shared" si="690"/>
        <v>EA</v>
      </c>
      <c r="I2728">
        <v>0</v>
      </c>
      <c r="J2728">
        <v>0</v>
      </c>
      <c r="K2728" t="str">
        <f t="shared" si="684"/>
        <v>Y</v>
      </c>
      <c r="L2728">
        <v>0</v>
      </c>
      <c r="M2728" t="str">
        <f t="shared" si="687"/>
        <v>NIS</v>
      </c>
      <c r="N2728" t="str">
        <f>"Y"</f>
        <v>Y</v>
      </c>
      <c r="O2728">
        <v>49</v>
      </c>
      <c r="P2728" t="str">
        <f t="shared" ref="P2728:P2765" si="692">"Active"</f>
        <v>Active</v>
      </c>
      <c r="Q2728" t="str">
        <f>"Computer stand"</f>
        <v>Computer stand</v>
      </c>
      <c r="S2728" t="str">
        <f>"Computer stand"</f>
        <v>Computer stand</v>
      </c>
      <c r="T2728">
        <v>0</v>
      </c>
      <c r="U2728">
        <v>128.78</v>
      </c>
      <c r="V2728">
        <v>193.77</v>
      </c>
      <c r="W2728" t="str">
        <f t="shared" si="691"/>
        <v>rob</v>
      </c>
    </row>
    <row r="2729" spans="1:23">
      <c r="A2729" t="str">
        <f t="shared" si="688"/>
        <v>MTS-ER4U-BM-BT</v>
      </c>
      <c r="B2729" t="str">
        <f>"63-6743-0000"</f>
        <v>63-6743-0000</v>
      </c>
      <c r="C2729" t="str">
        <f>"Software, SpectraCAM Turning"</f>
        <v>Software, SpectraCAM Turning</v>
      </c>
      <c r="D2729">
        <v>1</v>
      </c>
      <c r="E2729" t="str">
        <f t="shared" si="689"/>
        <v>FMS - Scorbot ER4U Robot with BenchMill 6000 &amp; BenchTurn 7000 CNC machines</v>
      </c>
      <c r="F2729">
        <v>502</v>
      </c>
      <c r="G2729" t="str">
        <f t="shared" si="683"/>
        <v>Y</v>
      </c>
      <c r="H2729" t="str">
        <f t="shared" si="690"/>
        <v>EA</v>
      </c>
      <c r="I2729">
        <v>0</v>
      </c>
      <c r="J2729">
        <v>0</v>
      </c>
      <c r="K2729" t="str">
        <f t="shared" si="684"/>
        <v>Y</v>
      </c>
      <c r="L2729">
        <v>0</v>
      </c>
      <c r="M2729" t="str">
        <f t="shared" si="687"/>
        <v>NIS</v>
      </c>
      <c r="O2729">
        <v>50</v>
      </c>
      <c r="P2729" t="str">
        <f t="shared" si="692"/>
        <v>Active</v>
      </c>
      <c r="Q2729" t="str">
        <f>"Software, SpectraCAM Turning"</f>
        <v>Software, SpectraCAM Turning</v>
      </c>
      <c r="S2729" t="str">
        <f>"Software, SpectraCAM Turning"</f>
        <v>Software, SpectraCAM Turning</v>
      </c>
      <c r="T2729">
        <v>0</v>
      </c>
      <c r="U2729">
        <v>10</v>
      </c>
      <c r="V2729">
        <v>10.4</v>
      </c>
      <c r="W2729" t="str">
        <f t="shared" si="691"/>
        <v>rob</v>
      </c>
    </row>
    <row r="2730" spans="1:23">
      <c r="A2730" t="str">
        <f t="shared" si="688"/>
        <v>MTS-ER4U-BM-BT</v>
      </c>
      <c r="B2730" t="str">
        <f>"63-7001-1000"</f>
        <v>63-7001-1000</v>
      </c>
      <c r="C2730" t="str">
        <f>"-CNCMotion for BenchTurn 7000"</f>
        <v>-CNCMotion for BenchTurn 7000</v>
      </c>
      <c r="D2730">
        <v>1</v>
      </c>
      <c r="E2730" t="str">
        <f t="shared" si="689"/>
        <v>FMS - Scorbot ER4U Robot with BenchMill 6000 &amp; BenchTurn 7000 CNC machines</v>
      </c>
      <c r="F2730">
        <v>502</v>
      </c>
      <c r="G2730" t="str">
        <f t="shared" si="683"/>
        <v>Y</v>
      </c>
      <c r="H2730" t="str">
        <f t="shared" si="690"/>
        <v>EA</v>
      </c>
      <c r="I2730">
        <v>0</v>
      </c>
      <c r="J2730">
        <v>0</v>
      </c>
      <c r="K2730" t="str">
        <f t="shared" si="684"/>
        <v>Y</v>
      </c>
      <c r="L2730">
        <v>0</v>
      </c>
      <c r="M2730" t="str">
        <f t="shared" si="687"/>
        <v>NIS</v>
      </c>
      <c r="O2730">
        <v>51</v>
      </c>
      <c r="P2730" t="str">
        <f t="shared" si="692"/>
        <v>Active</v>
      </c>
      <c r="Q2730" t="str">
        <f>"CNCMotion Sim. Sftwr, BenchTurn 7000"</f>
        <v>CNCMotion Sim. Sftwr, BenchTurn 7000</v>
      </c>
      <c r="S2730" t="str">
        <f>"CNCMotion Sim. Sftwr, BenchTurn 7000"</f>
        <v>CNCMotion Sim. Sftwr, BenchTurn 7000</v>
      </c>
      <c r="T2730">
        <v>0</v>
      </c>
      <c r="U2730">
        <v>10</v>
      </c>
      <c r="V2730">
        <v>0</v>
      </c>
      <c r="W2730" t="str">
        <f t="shared" si="691"/>
        <v>rob</v>
      </c>
    </row>
    <row r="2731" spans="1:23">
      <c r="A2731" t="str">
        <f t="shared" si="688"/>
        <v>MTS-ER4U-BM-BT</v>
      </c>
      <c r="B2731" t="str">
        <f>"112496"</f>
        <v>112496</v>
      </c>
      <c r="C2731" t="str">
        <f>"Raw Material - Brass  Rod"</f>
        <v>Raw Material - Brass  Rod</v>
      </c>
      <c r="D2731">
        <v>50</v>
      </c>
      <c r="E2731" t="str">
        <f t="shared" si="689"/>
        <v>FMS - Scorbot ER4U Robot with BenchMill 6000 &amp; BenchTurn 7000 CNC machines</v>
      </c>
      <c r="F2731">
        <v>502</v>
      </c>
      <c r="G2731" t="str">
        <f t="shared" si="683"/>
        <v>Y</v>
      </c>
      <c r="H2731" t="str">
        <f t="shared" si="690"/>
        <v>EA</v>
      </c>
      <c r="I2731">
        <v>0</v>
      </c>
      <c r="J2731">
        <v>0</v>
      </c>
      <c r="K2731" t="str">
        <f t="shared" si="684"/>
        <v>Y</v>
      </c>
      <c r="L2731">
        <v>0</v>
      </c>
      <c r="M2731" t="str">
        <f t="shared" si="687"/>
        <v>NIS</v>
      </c>
      <c r="O2731">
        <v>44</v>
      </c>
      <c r="P2731" t="str">
        <f t="shared" si="692"/>
        <v>Active</v>
      </c>
      <c r="Q2731" t="str">
        <f>"Raw Material Stock - Brass  Rod"</f>
        <v>Raw Material Stock - Brass  Rod</v>
      </c>
      <c r="S2731" t="str">
        <f>"Raw Material Stock - Brass  Rod"</f>
        <v>Raw Material Stock - Brass  Rod</v>
      </c>
      <c r="T2731">
        <v>0</v>
      </c>
      <c r="U2731">
        <v>3.67</v>
      </c>
      <c r="V2731">
        <v>2.69</v>
      </c>
      <c r="W2731" t="str">
        <f t="shared" si="691"/>
        <v>rob</v>
      </c>
    </row>
    <row r="2732" spans="1:23">
      <c r="A2732" t="str">
        <f t="shared" si="688"/>
        <v>MTS-ER4U-BM-BT</v>
      </c>
      <c r="B2732" t="str">
        <f>"00-1261-0000"</f>
        <v>00-1261-0000</v>
      </c>
      <c r="C2732" t="str">
        <f>"Workbench 1800x900mm (Heavy duty for CNC)"</f>
        <v>Workbench 1800x900mm (Heavy duty for CNC)</v>
      </c>
      <c r="D2732">
        <v>2</v>
      </c>
      <c r="E2732" t="str">
        <f t="shared" si="689"/>
        <v>FMS - Scorbot ER4U Robot with BenchMill 6000 &amp; BenchTurn 7000 CNC machines</v>
      </c>
      <c r="F2732">
        <v>502</v>
      </c>
      <c r="G2732" t="str">
        <f t="shared" si="683"/>
        <v>Y</v>
      </c>
      <c r="H2732" t="str">
        <f t="shared" si="690"/>
        <v>EA</v>
      </c>
      <c r="I2732">
        <v>0</v>
      </c>
      <c r="J2732">
        <v>0</v>
      </c>
      <c r="K2732" t="str">
        <f t="shared" si="684"/>
        <v>Y</v>
      </c>
      <c r="L2732">
        <v>0</v>
      </c>
      <c r="M2732" t="str">
        <f t="shared" si="687"/>
        <v>NIS</v>
      </c>
      <c r="O2732">
        <v>45</v>
      </c>
      <c r="P2732" t="str">
        <f t="shared" si="692"/>
        <v>Active</v>
      </c>
      <c r="Q2732" t="str">
        <f>"Workbench 1800x900mm (Heavy duty for CNC)"</f>
        <v>Workbench 1800x900mm (Heavy duty for CNC)</v>
      </c>
      <c r="S2732" t="str">
        <f>"Workbench 1800x900mm (Heavy duty for CNC)"</f>
        <v>Workbench 1800x900mm (Heavy duty for CNC)</v>
      </c>
      <c r="T2732">
        <v>0</v>
      </c>
      <c r="U2732">
        <v>830</v>
      </c>
      <c r="V2732">
        <v>831.14</v>
      </c>
      <c r="W2732" t="str">
        <f t="shared" si="691"/>
        <v>rob</v>
      </c>
    </row>
    <row r="2733" spans="1:23">
      <c r="A2733" t="str">
        <f t="shared" si="688"/>
        <v>MTS-ER4U-BM-BT</v>
      </c>
      <c r="B2733" t="str">
        <f>"00-1265-0000"</f>
        <v>00-1265-0000</v>
      </c>
      <c r="C2733" t="str">
        <f>"PC Extension Shelf  600x900mm"</f>
        <v>PC Extension Shelf  600x900mm</v>
      </c>
      <c r="D2733">
        <v>2</v>
      </c>
      <c r="E2733" t="str">
        <f t="shared" si="689"/>
        <v>FMS - Scorbot ER4U Robot with BenchMill 6000 &amp; BenchTurn 7000 CNC machines</v>
      </c>
      <c r="F2733">
        <v>502</v>
      </c>
      <c r="G2733" t="str">
        <f t="shared" si="683"/>
        <v>Y</v>
      </c>
      <c r="H2733" t="str">
        <f t="shared" si="690"/>
        <v>EA</v>
      </c>
      <c r="I2733">
        <v>0</v>
      </c>
      <c r="J2733">
        <v>0</v>
      </c>
      <c r="K2733" t="str">
        <f t="shared" si="684"/>
        <v>Y</v>
      </c>
      <c r="L2733">
        <v>0</v>
      </c>
      <c r="M2733" t="str">
        <f t="shared" si="687"/>
        <v>NIS</v>
      </c>
      <c r="O2733">
        <v>46</v>
      </c>
      <c r="P2733" t="str">
        <f t="shared" si="692"/>
        <v>Active</v>
      </c>
      <c r="Q2733" t="str">
        <f>"PC Extension Shelf  600x900mm"</f>
        <v>PC Extension Shelf  600x900mm</v>
      </c>
      <c r="S2733" t="str">
        <f>"PC Extension Shelf  600x900mm"</f>
        <v>PC Extension Shelf  600x900mm</v>
      </c>
      <c r="T2733">
        <v>0</v>
      </c>
      <c r="U2733">
        <v>211</v>
      </c>
      <c r="V2733">
        <v>198.88</v>
      </c>
      <c r="W2733" t="str">
        <f t="shared" si="691"/>
        <v>rob</v>
      </c>
    </row>
    <row r="2734" spans="1:23">
      <c r="A2734" t="str">
        <f t="shared" si="688"/>
        <v>MTS-ER4U-BM-BT</v>
      </c>
      <c r="B2734" t="str">
        <f>"50-0094-0000"</f>
        <v>50-0094-0000</v>
      </c>
      <c r="C2734" t="str">
        <f>"Pre-Engineering, Design and Testing"</f>
        <v>Pre-Engineering, Design and Testing</v>
      </c>
      <c r="D2734">
        <v>1</v>
      </c>
      <c r="E2734" t="str">
        <f t="shared" si="689"/>
        <v>FMS - Scorbot ER4U Robot with BenchMill 6000 &amp; BenchTurn 7000 CNC machines</v>
      </c>
      <c r="F2734">
        <v>502</v>
      </c>
      <c r="G2734" t="str">
        <f t="shared" si="683"/>
        <v>Y</v>
      </c>
      <c r="H2734" t="str">
        <f>"DA"</f>
        <v>DA</v>
      </c>
      <c r="I2734">
        <v>0</v>
      </c>
      <c r="J2734">
        <v>0</v>
      </c>
      <c r="K2734" t="str">
        <f t="shared" si="684"/>
        <v>Y</v>
      </c>
      <c r="L2734">
        <v>0</v>
      </c>
      <c r="M2734" t="str">
        <f t="shared" si="687"/>
        <v>NIS</v>
      </c>
      <c r="O2734">
        <v>47</v>
      </c>
      <c r="P2734" t="str">
        <f t="shared" si="692"/>
        <v>Active</v>
      </c>
      <c r="Q2734" t="str">
        <f>"Pre-Engineering, Design and Testing"</f>
        <v>Pre-Engineering, Design and Testing</v>
      </c>
      <c r="S2734" t="str">
        <f>"Pre-Engineering, Design and Testing"</f>
        <v>Pre-Engineering, Design and Testing</v>
      </c>
      <c r="T2734">
        <v>0</v>
      </c>
      <c r="U2734">
        <v>405</v>
      </c>
      <c r="V2734">
        <v>421.2</v>
      </c>
      <c r="W2734" t="str">
        <f t="shared" si="691"/>
        <v>rob</v>
      </c>
    </row>
    <row r="2735" spans="1:23">
      <c r="A2735" t="str">
        <f t="shared" ref="A2735:A2759" si="693">"MTS-ER4U-BT7000"</f>
        <v>MTS-ER4U-BT7000</v>
      </c>
      <c r="B2735" t="str">
        <f>"00-0413-0000"</f>
        <v>00-0413-0000</v>
      </c>
      <c r="C2735" t="str">
        <f>"SCORBOT-ER 4u"</f>
        <v>SCORBOT-ER 4u</v>
      </c>
      <c r="D2735">
        <v>1</v>
      </c>
      <c r="E2735" t="str">
        <f t="shared" ref="E2735:E2759" si="694">"FMS - Scorbot ER4U Robot with BenchTurn 7000 CNC Turning machine"</f>
        <v>FMS - Scorbot ER4U Robot with BenchTurn 7000 CNC Turning machine</v>
      </c>
      <c r="F2735">
        <v>502</v>
      </c>
      <c r="G2735" t="str">
        <f t="shared" si="683"/>
        <v>Y</v>
      </c>
      <c r="H2735" t="str">
        <f t="shared" ref="H2735:H2758" si="695">"EA"</f>
        <v>EA</v>
      </c>
      <c r="I2735">
        <v>0</v>
      </c>
      <c r="J2735">
        <v>0</v>
      </c>
      <c r="K2735" t="str">
        <f t="shared" si="684"/>
        <v>Y</v>
      </c>
      <c r="L2735">
        <v>0</v>
      </c>
      <c r="M2735" t="str">
        <f t="shared" si="687"/>
        <v>NIS</v>
      </c>
      <c r="O2735">
        <v>1</v>
      </c>
      <c r="P2735" t="str">
        <f t="shared" si="692"/>
        <v>Active</v>
      </c>
      <c r="Q2735" t="str">
        <f>"SCORBOT-ER 4u (Package)"</f>
        <v>SCORBOT-ER 4u (Package)</v>
      </c>
      <c r="S2735" t="str">
        <f>"SCORBOT-ER 4u (Package)"</f>
        <v>SCORBOT-ER 4u (Package)</v>
      </c>
      <c r="T2735">
        <v>0</v>
      </c>
      <c r="U2735" s="44">
        <v>3200</v>
      </c>
      <c r="V2735" s="44">
        <v>3390.7</v>
      </c>
      <c r="W2735" t="str">
        <f t="shared" si="691"/>
        <v>rob</v>
      </c>
    </row>
    <row r="2736" spans="1:23">
      <c r="A2736" t="str">
        <f t="shared" si="693"/>
        <v>MTS-ER4U-BT7000</v>
      </c>
      <c r="B2736" t="str">
        <f>"00-0609-0000"</f>
        <v>00-0609-0000</v>
      </c>
      <c r="C2736" t="str">
        <f>"Gripper attachment for round and square parts"</f>
        <v>Gripper attachment for round and square parts</v>
      </c>
      <c r="D2736">
        <v>1</v>
      </c>
      <c r="E2736" t="str">
        <f t="shared" si="694"/>
        <v>FMS - Scorbot ER4U Robot with BenchTurn 7000 CNC Turning machine</v>
      </c>
      <c r="F2736">
        <v>502</v>
      </c>
      <c r="G2736" t="str">
        <f t="shared" si="683"/>
        <v>Y</v>
      </c>
      <c r="H2736" t="str">
        <f t="shared" si="695"/>
        <v>EA</v>
      </c>
      <c r="I2736">
        <v>0</v>
      </c>
      <c r="J2736">
        <v>0</v>
      </c>
      <c r="K2736" t="str">
        <f t="shared" si="684"/>
        <v>Y</v>
      </c>
      <c r="L2736">
        <v>0</v>
      </c>
      <c r="M2736" t="str">
        <f t="shared" si="687"/>
        <v>NIS</v>
      </c>
      <c r="O2736">
        <v>2</v>
      </c>
      <c r="P2736" t="str">
        <f t="shared" si="692"/>
        <v>Active</v>
      </c>
      <c r="Q2736" t="str">
        <f>"End Effector Attachment for ER4U Gripper"</f>
        <v>End Effector Attachment for ER4U Gripper</v>
      </c>
      <c r="S2736" t="str">
        <f>"End Effector Attachment for ER4U Gripper"</f>
        <v>End Effector Attachment for ER4U Gripper</v>
      </c>
      <c r="T2736">
        <v>0</v>
      </c>
      <c r="U2736">
        <v>25.59</v>
      </c>
      <c r="V2736">
        <v>25.11</v>
      </c>
      <c r="W2736" t="str">
        <f t="shared" si="691"/>
        <v>rob</v>
      </c>
    </row>
    <row r="2737" spans="1:23">
      <c r="A2737" t="str">
        <f t="shared" si="693"/>
        <v>MTS-ER4U-BT7000</v>
      </c>
      <c r="B2737" t="str">
        <f>"00-1710-0000"</f>
        <v>00-1710-0000</v>
      </c>
      <c r="C2737" t="str">
        <f>"Teach Pendant"</f>
        <v>Teach Pendant</v>
      </c>
      <c r="D2737">
        <v>1</v>
      </c>
      <c r="E2737" t="str">
        <f t="shared" si="694"/>
        <v>FMS - Scorbot ER4U Robot with BenchTurn 7000 CNC Turning machine</v>
      </c>
      <c r="F2737">
        <v>502</v>
      </c>
      <c r="G2737" t="str">
        <f t="shared" si="683"/>
        <v>Y</v>
      </c>
      <c r="H2737" t="str">
        <f t="shared" si="695"/>
        <v>EA</v>
      </c>
      <c r="I2737">
        <v>0</v>
      </c>
      <c r="J2737">
        <v>0</v>
      </c>
      <c r="K2737" t="str">
        <f t="shared" si="684"/>
        <v>Y</v>
      </c>
      <c r="L2737">
        <v>0</v>
      </c>
      <c r="M2737" t="str">
        <f t="shared" si="687"/>
        <v>NIS</v>
      </c>
      <c r="O2737">
        <v>3</v>
      </c>
      <c r="P2737" t="str">
        <f t="shared" si="692"/>
        <v>Active</v>
      </c>
      <c r="Q2737" t="str">
        <f>"Teach Pendant for USB/USB Pro Controllers"</f>
        <v>Teach Pendant for USB/USB Pro Controllers</v>
      </c>
      <c r="S2737" t="str">
        <f>"Teach Pendant for USB/USB Pro Controllers"</f>
        <v>Teach Pendant for USB/USB Pro Controllers</v>
      </c>
      <c r="T2737">
        <v>0</v>
      </c>
      <c r="U2737">
        <v>160.18</v>
      </c>
      <c r="V2737">
        <v>161.44999999999999</v>
      </c>
      <c r="W2737" t="str">
        <f t="shared" si="691"/>
        <v>rob</v>
      </c>
    </row>
    <row r="2738" spans="1:23">
      <c r="A2738" t="str">
        <f t="shared" si="693"/>
        <v>MTS-ER4U-BT7000</v>
      </c>
      <c r="B2738" t="str">
        <f>"00-1020-0000"</f>
        <v>00-1020-0000</v>
      </c>
      <c r="C2738" t="str">
        <f>"LSB 1.0m, Belt, TT"</f>
        <v>LSB 1.0m, Belt, TT</v>
      </c>
      <c r="D2738">
        <v>1</v>
      </c>
      <c r="E2738" t="str">
        <f t="shared" si="694"/>
        <v>FMS - Scorbot ER4U Robot with BenchTurn 7000 CNC Turning machine</v>
      </c>
      <c r="F2738">
        <v>502</v>
      </c>
      <c r="G2738" t="str">
        <f t="shared" si="683"/>
        <v>Y</v>
      </c>
      <c r="H2738" t="str">
        <f t="shared" si="695"/>
        <v>EA</v>
      </c>
      <c r="I2738">
        <v>0</v>
      </c>
      <c r="J2738">
        <v>0</v>
      </c>
      <c r="K2738" t="str">
        <f t="shared" si="684"/>
        <v>Y</v>
      </c>
      <c r="L2738">
        <v>0</v>
      </c>
      <c r="M2738" t="str">
        <f t="shared" si="687"/>
        <v>NIS</v>
      </c>
      <c r="O2738">
        <v>4</v>
      </c>
      <c r="P2738" t="str">
        <f t="shared" si="692"/>
        <v>Active</v>
      </c>
      <c r="Q2738" t="str">
        <f>"LSB 1.0m (Belt, Table-Top)"</f>
        <v>LSB 1.0m (Belt, Table-Top)</v>
      </c>
      <c r="S2738" t="str">
        <f>"LSB 1.0m, Belt, Table-Top"</f>
        <v>LSB 1.0m, Belt, Table-Top</v>
      </c>
      <c r="T2738">
        <v>0</v>
      </c>
      <c r="U2738" s="44">
        <v>1850</v>
      </c>
      <c r="V2738" s="44">
        <v>1739.55</v>
      </c>
      <c r="W2738" t="str">
        <f t="shared" si="691"/>
        <v>rob</v>
      </c>
    </row>
    <row r="2739" spans="1:23">
      <c r="A2739" t="str">
        <f t="shared" si="693"/>
        <v>MTS-ER4U-BT7000</v>
      </c>
      <c r="B2739" t="str">
        <f>"10-1003-8000"</f>
        <v>10-1003-8000</v>
      </c>
      <c r="C2739" t="str">
        <f>"Stand for table's LSB"</f>
        <v>Stand for table's LSB</v>
      </c>
      <c r="D2739">
        <v>1</v>
      </c>
      <c r="E2739" t="str">
        <f t="shared" si="694"/>
        <v>FMS - Scorbot ER4U Robot with BenchTurn 7000 CNC Turning machine</v>
      </c>
      <c r="F2739">
        <v>502</v>
      </c>
      <c r="G2739" t="str">
        <f t="shared" si="683"/>
        <v>Y</v>
      </c>
      <c r="H2739" t="str">
        <f t="shared" si="695"/>
        <v>EA</v>
      </c>
      <c r="I2739">
        <v>0</v>
      </c>
      <c r="J2739">
        <v>0</v>
      </c>
      <c r="K2739" t="str">
        <f t="shared" si="684"/>
        <v>Y</v>
      </c>
      <c r="L2739">
        <v>0</v>
      </c>
      <c r="M2739" t="str">
        <f t="shared" si="687"/>
        <v>NIS</v>
      </c>
      <c r="O2739">
        <v>5</v>
      </c>
      <c r="P2739" t="str">
        <f t="shared" si="692"/>
        <v>Active</v>
      </c>
      <c r="Q2739" t="str">
        <f>"Stand for table's LSB"</f>
        <v>Stand for table's LSB</v>
      </c>
      <c r="S2739" t="str">
        <f>"Stand for table's LSB"</f>
        <v>Stand for table's LSB</v>
      </c>
      <c r="T2739">
        <v>0</v>
      </c>
      <c r="U2739">
        <v>233</v>
      </c>
      <c r="V2739">
        <v>237.29</v>
      </c>
      <c r="W2739" t="str">
        <f t="shared" si="691"/>
        <v>rob</v>
      </c>
    </row>
    <row r="2740" spans="1:23">
      <c r="A2740" t="str">
        <f t="shared" si="693"/>
        <v>MTS-ER4U-BT7000</v>
      </c>
      <c r="B2740" t="str">
        <f>"021152"</f>
        <v>021152</v>
      </c>
      <c r="C2740" t="str">
        <f>"Shelf Buffer for CIM conveyor"</f>
        <v>Shelf Buffer for CIM conveyor</v>
      </c>
      <c r="D2740">
        <v>1</v>
      </c>
      <c r="E2740" t="str">
        <f t="shared" si="694"/>
        <v>FMS - Scorbot ER4U Robot with BenchTurn 7000 CNC Turning machine</v>
      </c>
      <c r="F2740">
        <v>502</v>
      </c>
      <c r="G2740" t="str">
        <f t="shared" si="683"/>
        <v>Y</v>
      </c>
      <c r="H2740" t="str">
        <f t="shared" si="695"/>
        <v>EA</v>
      </c>
      <c r="I2740">
        <v>0</v>
      </c>
      <c r="J2740">
        <v>0</v>
      </c>
      <c r="K2740" t="str">
        <f t="shared" si="684"/>
        <v>Y</v>
      </c>
      <c r="L2740">
        <v>0</v>
      </c>
      <c r="M2740" t="str">
        <f t="shared" si="687"/>
        <v>NIS</v>
      </c>
      <c r="O2740">
        <v>6</v>
      </c>
      <c r="P2740" t="str">
        <f t="shared" si="692"/>
        <v>Active</v>
      </c>
      <c r="Q2740" t="str">
        <f>"מכלול- מדף בפר סטנדרטי OPEN-CIM"</f>
        <v>מכלול- מדף בפר סטנדרטי OPEN-CIM</v>
      </c>
      <c r="R2740" t="str">
        <f>"1"</f>
        <v>1</v>
      </c>
      <c r="S2740" t="str">
        <f>"מכלול- מדף בפר סטנדרטי OPEN-CIM"</f>
        <v>מכלול- מדף בפר סטנדרטי OPEN-CIM</v>
      </c>
      <c r="T2740">
        <v>0</v>
      </c>
      <c r="U2740">
        <v>83.12</v>
      </c>
      <c r="V2740">
        <v>92.76</v>
      </c>
      <c r="W2740" t="str">
        <f t="shared" si="691"/>
        <v>rob</v>
      </c>
    </row>
    <row r="2741" spans="1:23">
      <c r="A2741" t="str">
        <f t="shared" si="693"/>
        <v>MTS-ER4U-BT7000</v>
      </c>
      <c r="B2741" t="str">
        <f>"10-1007-4000"</f>
        <v>10-1007-4000</v>
      </c>
      <c r="C2741" t="str">
        <f>"Gravity Parts Feeder (with microswitch sensor)"</f>
        <v>Gravity Parts Feeder (with microswitch sensor)</v>
      </c>
      <c r="D2741">
        <v>1</v>
      </c>
      <c r="E2741" t="str">
        <f t="shared" si="694"/>
        <v>FMS - Scorbot ER4U Robot with BenchTurn 7000 CNC Turning machine</v>
      </c>
      <c r="F2741">
        <v>502</v>
      </c>
      <c r="G2741" t="str">
        <f t="shared" si="683"/>
        <v>Y</v>
      </c>
      <c r="H2741" t="str">
        <f t="shared" si="695"/>
        <v>EA</v>
      </c>
      <c r="I2741">
        <v>0</v>
      </c>
      <c r="J2741">
        <v>0</v>
      </c>
      <c r="K2741" t="str">
        <f t="shared" si="684"/>
        <v>Y</v>
      </c>
      <c r="L2741">
        <v>0</v>
      </c>
      <c r="M2741" t="str">
        <f t="shared" si="687"/>
        <v>NIS</v>
      </c>
      <c r="O2741">
        <v>7</v>
      </c>
      <c r="P2741" t="str">
        <f t="shared" si="692"/>
        <v>Active</v>
      </c>
      <c r="Q2741" t="str">
        <f>"Gravity Parts Feeder (incl.microswitch sensor)"</f>
        <v>Gravity Parts Feeder (incl.microswitch sensor)</v>
      </c>
      <c r="S2741" t="str">
        <f>"Gravity Parts Feeder (incl.microswitch sensor)"</f>
        <v>Gravity Parts Feeder (incl.microswitch sensor)</v>
      </c>
      <c r="T2741">
        <v>0</v>
      </c>
      <c r="U2741">
        <v>148</v>
      </c>
      <c r="V2741">
        <v>148.26</v>
      </c>
      <c r="W2741" t="str">
        <f t="shared" si="691"/>
        <v>rob</v>
      </c>
    </row>
    <row r="2742" spans="1:23">
      <c r="A2742" t="str">
        <f t="shared" si="693"/>
        <v>MTS-ER4U-BT7000</v>
      </c>
      <c r="B2742" t="str">
        <f>"00-1110-0000"</f>
        <v>00-1110-0000</v>
      </c>
      <c r="C2742" t="str">
        <f>"Palletizing Rack"</f>
        <v>Palletizing Rack</v>
      </c>
      <c r="D2742">
        <v>1</v>
      </c>
      <c r="E2742" t="str">
        <f t="shared" si="694"/>
        <v>FMS - Scorbot ER4U Robot with BenchTurn 7000 CNC Turning machine</v>
      </c>
      <c r="F2742">
        <v>502</v>
      </c>
      <c r="G2742" t="str">
        <f t="shared" si="683"/>
        <v>Y</v>
      </c>
      <c r="H2742" t="str">
        <f t="shared" si="695"/>
        <v>EA</v>
      </c>
      <c r="I2742">
        <v>0</v>
      </c>
      <c r="J2742">
        <v>0</v>
      </c>
      <c r="K2742" t="str">
        <f t="shared" si="684"/>
        <v>Y</v>
      </c>
      <c r="L2742">
        <v>0</v>
      </c>
      <c r="M2742" t="str">
        <f t="shared" si="687"/>
        <v>NIS</v>
      </c>
      <c r="O2742">
        <v>8</v>
      </c>
      <c r="P2742" t="str">
        <f t="shared" si="692"/>
        <v>Active</v>
      </c>
      <c r="Q2742" t="str">
        <f>"Palletizing Rack (incl. Pins for creating Jigs)"</f>
        <v>Palletizing Rack (incl. Pins for creating Jigs)</v>
      </c>
      <c r="S2742" t="str">
        <f>"Palletizing Rack (incl. Pins for creating Jigs)"</f>
        <v>Palletizing Rack (incl. Pins for creating Jigs)</v>
      </c>
      <c r="T2742">
        <v>0</v>
      </c>
      <c r="U2742">
        <v>63</v>
      </c>
      <c r="V2742">
        <v>58.59</v>
      </c>
      <c r="W2742" t="str">
        <f t="shared" si="691"/>
        <v>rob</v>
      </c>
    </row>
    <row r="2743" spans="1:23">
      <c r="A2743" t="str">
        <f t="shared" si="693"/>
        <v>MTS-ER4U-BT7000</v>
      </c>
      <c r="B2743" t="str">
        <f>"021182"</f>
        <v>021182</v>
      </c>
      <c r="C2743" t="str">
        <f>"97mm Height Adapter"</f>
        <v>97mm Height Adapter</v>
      </c>
      <c r="D2743">
        <v>1</v>
      </c>
      <c r="E2743" t="str">
        <f t="shared" si="694"/>
        <v>FMS - Scorbot ER4U Robot with BenchTurn 7000 CNC Turning machine</v>
      </c>
      <c r="F2743">
        <v>502</v>
      </c>
      <c r="G2743" t="str">
        <f t="shared" si="683"/>
        <v>Y</v>
      </c>
      <c r="H2743" t="str">
        <f t="shared" si="695"/>
        <v>EA</v>
      </c>
      <c r="I2743">
        <v>0</v>
      </c>
      <c r="J2743">
        <v>0</v>
      </c>
      <c r="K2743" t="str">
        <f t="shared" si="684"/>
        <v>Y</v>
      </c>
      <c r="L2743">
        <v>0</v>
      </c>
      <c r="M2743" t="str">
        <f t="shared" si="687"/>
        <v>NIS</v>
      </c>
      <c r="O2743">
        <v>9</v>
      </c>
      <c r="P2743" t="str">
        <f t="shared" si="692"/>
        <v>Active</v>
      </c>
      <c r="Q2743" t="str">
        <f>"97mm Height Adapter -Rack 001110 on formica 28mm"</f>
        <v>97mm Height Adapter -Rack 001110 on formica 28mm</v>
      </c>
      <c r="S2743" t="str">
        <f>"97mm Height Adapter -Rack 001110 on formica 28mm"</f>
        <v>97mm Height Adapter -Rack 001110 on formica 28mm</v>
      </c>
      <c r="T2743">
        <v>0</v>
      </c>
      <c r="U2743">
        <v>7</v>
      </c>
      <c r="V2743">
        <v>5.5</v>
      </c>
      <c r="W2743" t="str">
        <f t="shared" si="691"/>
        <v>rob</v>
      </c>
    </row>
    <row r="2744" spans="1:23">
      <c r="A2744" t="str">
        <f t="shared" si="693"/>
        <v>MTS-ER4U-BT7000</v>
      </c>
      <c r="B2744" t="str">
        <f>"10-2120-1000"</f>
        <v>10-2120-1000</v>
      </c>
      <c r="C2744" t="str">
        <f>"CNC Interface with BenchTurn 7000"</f>
        <v>CNC Interface with BenchTurn 7000</v>
      </c>
      <c r="D2744">
        <v>1</v>
      </c>
      <c r="E2744" t="str">
        <f t="shared" si="694"/>
        <v>FMS - Scorbot ER4U Robot with BenchTurn 7000 CNC Turning machine</v>
      </c>
      <c r="F2744">
        <v>502</v>
      </c>
      <c r="G2744" t="str">
        <f t="shared" si="683"/>
        <v>Y</v>
      </c>
      <c r="H2744" t="str">
        <f t="shared" si="695"/>
        <v>EA</v>
      </c>
      <c r="I2744">
        <v>0</v>
      </c>
      <c r="J2744">
        <v>0</v>
      </c>
      <c r="K2744" t="str">
        <f t="shared" si="684"/>
        <v>Y</v>
      </c>
      <c r="L2744">
        <v>0</v>
      </c>
      <c r="M2744" t="str">
        <f t="shared" si="687"/>
        <v>NIS</v>
      </c>
      <c r="O2744">
        <v>10</v>
      </c>
      <c r="P2744" t="str">
        <f t="shared" si="692"/>
        <v>Active</v>
      </c>
      <c r="Q2744" t="str">
        <f>"CNC Interface with BenchTurn 7000"</f>
        <v>CNC Interface with BenchTurn 7000</v>
      </c>
      <c r="S2744" t="str">
        <f>"CNC Interface with BenchTurn 7000"</f>
        <v>CNC Interface with BenchTurn 7000</v>
      </c>
      <c r="T2744">
        <v>0</v>
      </c>
      <c r="U2744">
        <v>60</v>
      </c>
      <c r="V2744">
        <v>19.7</v>
      </c>
      <c r="W2744" t="str">
        <f t="shared" si="691"/>
        <v>rob</v>
      </c>
    </row>
    <row r="2745" spans="1:23">
      <c r="A2745" t="str">
        <f t="shared" si="693"/>
        <v>MTS-ER4U-BT7000</v>
      </c>
      <c r="B2745" t="str">
        <f>"00-5504-0220"</f>
        <v>00-5504-0220</v>
      </c>
      <c r="C2745" t="str">
        <f>"CNC BenchTurn 7000 220V"</f>
        <v>CNC BenchTurn 7000 220V</v>
      </c>
      <c r="D2745">
        <v>1</v>
      </c>
      <c r="E2745" t="str">
        <f t="shared" si="694"/>
        <v>FMS - Scorbot ER4U Robot with BenchTurn 7000 CNC Turning machine</v>
      </c>
      <c r="F2745">
        <v>502</v>
      </c>
      <c r="G2745" t="str">
        <f t="shared" si="683"/>
        <v>Y</v>
      </c>
      <c r="H2745" t="str">
        <f t="shared" si="695"/>
        <v>EA</v>
      </c>
      <c r="I2745">
        <v>0</v>
      </c>
      <c r="J2745">
        <v>0</v>
      </c>
      <c r="K2745" t="str">
        <f t="shared" si="684"/>
        <v>Y</v>
      </c>
      <c r="L2745">
        <v>0</v>
      </c>
      <c r="M2745" t="str">
        <f t="shared" si="687"/>
        <v>NIS</v>
      </c>
      <c r="O2745">
        <v>11</v>
      </c>
      <c r="P2745" t="str">
        <f t="shared" si="692"/>
        <v>Active</v>
      </c>
      <c r="Q2745" t="str">
        <f>"CNC BenchTurn 7000 220V"</f>
        <v>CNC BenchTurn 7000 220V</v>
      </c>
      <c r="S2745" t="str">
        <f>"CNC BenchTurn 7000 220V"</f>
        <v>CNC BenchTurn 7000 220V</v>
      </c>
      <c r="T2745">
        <v>0</v>
      </c>
      <c r="U2745" s="44">
        <v>4600</v>
      </c>
      <c r="V2745" s="44">
        <v>4551.93</v>
      </c>
      <c r="W2745" t="str">
        <f t="shared" si="691"/>
        <v>rob</v>
      </c>
    </row>
    <row r="2746" spans="1:23">
      <c r="A2746" t="str">
        <f t="shared" si="693"/>
        <v>MTS-ER4U-BT7000</v>
      </c>
      <c r="B2746" t="str">
        <f>"10-1110-5000"</f>
        <v>10-1110-5000</v>
      </c>
      <c r="C2746" t="str">
        <f>"-- Pneumatic Shield (BenchTurn 7000 for FMS))"</f>
        <v>-- Pneumatic Shield (BenchTurn 7000 for FMS))</v>
      </c>
      <c r="D2746">
        <v>1</v>
      </c>
      <c r="E2746" t="str">
        <f t="shared" si="694"/>
        <v>FMS - Scorbot ER4U Robot with BenchTurn 7000 CNC Turning machine</v>
      </c>
      <c r="F2746">
        <v>502</v>
      </c>
      <c r="G2746" t="str">
        <f t="shared" si="683"/>
        <v>Y</v>
      </c>
      <c r="H2746" t="str">
        <f t="shared" si="695"/>
        <v>EA</v>
      </c>
      <c r="I2746">
        <v>0</v>
      </c>
      <c r="J2746">
        <v>0</v>
      </c>
      <c r="K2746" t="str">
        <f t="shared" si="684"/>
        <v>Y</v>
      </c>
      <c r="L2746">
        <v>0</v>
      </c>
      <c r="M2746" t="str">
        <f t="shared" si="687"/>
        <v>NIS</v>
      </c>
      <c r="O2746">
        <v>12</v>
      </c>
      <c r="P2746" t="str">
        <f t="shared" si="692"/>
        <v>Active</v>
      </c>
      <c r="Q2746" t="str">
        <f>"Pneumatic Shield with Sensors (BenchTurn 7000)"</f>
        <v>Pneumatic Shield with Sensors (BenchTurn 7000)</v>
      </c>
      <c r="S2746" t="str">
        <f>"Pneumatic Shield with Sensors (BenchTurn 7000)"</f>
        <v>Pneumatic Shield with Sensors (BenchTurn 7000)</v>
      </c>
      <c r="T2746">
        <v>0</v>
      </c>
      <c r="U2746">
        <v>144</v>
      </c>
      <c r="V2746">
        <v>128.55000000000001</v>
      </c>
      <c r="W2746" t="str">
        <f t="shared" si="691"/>
        <v>rob</v>
      </c>
    </row>
    <row r="2747" spans="1:23">
      <c r="A2747" t="str">
        <f t="shared" si="693"/>
        <v>MTS-ER4U-BT7000</v>
      </c>
      <c r="B2747" t="str">
        <f>"10-1110-9000"</f>
        <v>10-1110-9000</v>
      </c>
      <c r="C2747" t="str">
        <f>"-- Pneumatic Chuck (BenchTurn 7000 for FMS)"</f>
        <v>-- Pneumatic Chuck (BenchTurn 7000 for FMS)</v>
      </c>
      <c r="D2747">
        <v>1</v>
      </c>
      <c r="E2747" t="str">
        <f t="shared" si="694"/>
        <v>FMS - Scorbot ER4U Robot with BenchTurn 7000 CNC Turning machine</v>
      </c>
      <c r="F2747">
        <v>502</v>
      </c>
      <c r="G2747" t="str">
        <f t="shared" si="683"/>
        <v>Y</v>
      </c>
      <c r="H2747" t="str">
        <f t="shared" si="695"/>
        <v>EA</v>
      </c>
      <c r="I2747">
        <v>0</v>
      </c>
      <c r="J2747">
        <v>0</v>
      </c>
      <c r="K2747" t="str">
        <f t="shared" si="684"/>
        <v>Y</v>
      </c>
      <c r="L2747">
        <v>0</v>
      </c>
      <c r="M2747" t="str">
        <f t="shared" si="687"/>
        <v>NIS</v>
      </c>
      <c r="O2747">
        <v>13</v>
      </c>
      <c r="P2747" t="str">
        <f t="shared" si="692"/>
        <v>Active</v>
      </c>
      <c r="Q2747" t="str">
        <f>"Pneumatic Chuck (BenchTurn 7000)"</f>
        <v>Pneumatic Chuck (BenchTurn 7000)</v>
      </c>
      <c r="S2747" t="str">
        <f>"Pneumatic Chuck (BenchTurn 7000)"</f>
        <v>Pneumatic Chuck (BenchTurn 7000)</v>
      </c>
      <c r="T2747">
        <v>0</v>
      </c>
      <c r="U2747">
        <v>639</v>
      </c>
      <c r="V2747">
        <v>569.88</v>
      </c>
      <c r="W2747" t="str">
        <f t="shared" si="691"/>
        <v>rob</v>
      </c>
    </row>
    <row r="2748" spans="1:23">
      <c r="A2748" t="str">
        <f t="shared" si="693"/>
        <v>MTS-ER4U-BT7000</v>
      </c>
      <c r="B2748" t="str">
        <f>"10-1106-0000"</f>
        <v>10-1106-0000</v>
      </c>
      <c r="C2748" t="str">
        <f>"- 11pcs Cutter set 10 x 10mmt"</f>
        <v>- 11pcs Cutter set 10 x 10mmt</v>
      </c>
      <c r="D2748">
        <v>1</v>
      </c>
      <c r="E2748" t="str">
        <f t="shared" si="694"/>
        <v>FMS - Scorbot ER4U Robot with BenchTurn 7000 CNC Turning machine</v>
      </c>
      <c r="F2748">
        <v>502</v>
      </c>
      <c r="G2748" t="str">
        <f t="shared" si="683"/>
        <v>Y</v>
      </c>
      <c r="H2748" t="str">
        <f t="shared" si="695"/>
        <v>EA</v>
      </c>
      <c r="I2748">
        <v>0</v>
      </c>
      <c r="J2748">
        <v>0</v>
      </c>
      <c r="K2748" t="str">
        <f t="shared" si="684"/>
        <v>Y</v>
      </c>
      <c r="L2748">
        <v>0</v>
      </c>
      <c r="M2748" t="str">
        <f t="shared" si="687"/>
        <v>NIS</v>
      </c>
      <c r="N2748" t="str">
        <f>"Y"</f>
        <v>Y</v>
      </c>
      <c r="O2748">
        <v>14</v>
      </c>
      <c r="P2748" t="str">
        <f t="shared" si="692"/>
        <v>Active</v>
      </c>
      <c r="Q2748" t="str">
        <f>"10 x 10mm cutter 11pcs set"</f>
        <v>10 x 10mm cutter 11pcs set</v>
      </c>
      <c r="S2748" t="str">
        <f>"10 x 10mm cutter 11pcs set"</f>
        <v>10 x 10mm cutter 11pcs set</v>
      </c>
      <c r="T2748">
        <v>0</v>
      </c>
      <c r="U2748">
        <v>36.29</v>
      </c>
      <c r="V2748">
        <v>42.51</v>
      </c>
      <c r="W2748" t="str">
        <f t="shared" si="691"/>
        <v>rob</v>
      </c>
    </row>
    <row r="2749" spans="1:23">
      <c r="A2749" t="str">
        <f t="shared" si="693"/>
        <v>MTS-ER4U-BT7000</v>
      </c>
      <c r="B2749" t="str">
        <f>"10-1110-1000"</f>
        <v>10-1110-1000</v>
      </c>
      <c r="C2749" t="str">
        <f>"10 x 10mm cutter tool holder"</f>
        <v>10 x 10mm cutter tool holder</v>
      </c>
      <c r="D2749">
        <v>1</v>
      </c>
      <c r="E2749" t="str">
        <f t="shared" si="694"/>
        <v>FMS - Scorbot ER4U Robot with BenchTurn 7000 CNC Turning machine</v>
      </c>
      <c r="F2749">
        <v>502</v>
      </c>
      <c r="G2749" t="str">
        <f t="shared" si="683"/>
        <v>Y</v>
      </c>
      <c r="H2749" t="str">
        <f t="shared" si="695"/>
        <v>EA</v>
      </c>
      <c r="I2749">
        <v>0</v>
      </c>
      <c r="J2749">
        <v>0</v>
      </c>
      <c r="K2749" t="str">
        <f t="shared" si="684"/>
        <v>Y</v>
      </c>
      <c r="L2749">
        <v>0</v>
      </c>
      <c r="M2749" t="str">
        <f t="shared" si="687"/>
        <v>NIS</v>
      </c>
      <c r="O2749">
        <v>15</v>
      </c>
      <c r="P2749" t="str">
        <f t="shared" si="692"/>
        <v>Active</v>
      </c>
      <c r="Q2749" t="str">
        <f>"10x10mm TiN coated cutter set (replaceable tip)"</f>
        <v>10x10mm TiN coated cutter set (replaceable tip)</v>
      </c>
      <c r="S2749" t="str">
        <f>"10x10mm TiN coated cutter set (replaceable tip)"</f>
        <v>10x10mm TiN coated cutter set (replaceable tip)</v>
      </c>
      <c r="T2749">
        <v>0</v>
      </c>
      <c r="U2749">
        <v>65</v>
      </c>
      <c r="V2749">
        <v>65.540000000000006</v>
      </c>
      <c r="W2749" t="str">
        <f t="shared" si="691"/>
        <v>rob</v>
      </c>
    </row>
    <row r="2750" spans="1:23">
      <c r="A2750" t="str">
        <f t="shared" si="693"/>
        <v>MTS-ER4U-BT7000</v>
      </c>
      <c r="B2750" t="str">
        <f>"10-1110-2000"</f>
        <v>10-1110-2000</v>
      </c>
      <c r="C2750" t="str">
        <f>"TiN coated tip for 011101"</f>
        <v>TiN coated tip for 011101</v>
      </c>
      <c r="D2750">
        <v>1</v>
      </c>
      <c r="E2750" t="str">
        <f t="shared" si="694"/>
        <v>FMS - Scorbot ER4U Robot with BenchTurn 7000 CNC Turning machine</v>
      </c>
      <c r="F2750">
        <v>502</v>
      </c>
      <c r="G2750" t="str">
        <f t="shared" si="683"/>
        <v>Y</v>
      </c>
      <c r="H2750" t="str">
        <f t="shared" si="695"/>
        <v>EA</v>
      </c>
      <c r="I2750">
        <v>0</v>
      </c>
      <c r="J2750">
        <v>0</v>
      </c>
      <c r="K2750" t="str">
        <f t="shared" si="684"/>
        <v>Y</v>
      </c>
      <c r="L2750">
        <v>0</v>
      </c>
      <c r="M2750" t="str">
        <f t="shared" si="687"/>
        <v>NIS</v>
      </c>
      <c r="O2750">
        <v>16</v>
      </c>
      <c r="P2750" t="str">
        <f t="shared" si="692"/>
        <v>Active</v>
      </c>
      <c r="Q2750" t="str">
        <f>"TiN coated tip for 011101"</f>
        <v>TiN coated tip for 011101</v>
      </c>
      <c r="S2750" t="str">
        <f>"TiN coated tip for 011101"</f>
        <v>TiN coated tip for 011101</v>
      </c>
      <c r="T2750">
        <v>0</v>
      </c>
      <c r="U2750">
        <v>42</v>
      </c>
      <c r="V2750">
        <v>41.71</v>
      </c>
      <c r="W2750" t="str">
        <f t="shared" si="691"/>
        <v>rob</v>
      </c>
    </row>
    <row r="2751" spans="1:23">
      <c r="A2751" t="str">
        <f t="shared" si="693"/>
        <v>MTS-ER4U-BT7000</v>
      </c>
      <c r="B2751" t="str">
        <f>"10-1106-6000"</f>
        <v>10-1106-6000</v>
      </c>
      <c r="C2751" t="str">
        <f>"- Rolling center"</f>
        <v>- Rolling center</v>
      </c>
      <c r="D2751">
        <v>1</v>
      </c>
      <c r="E2751" t="str">
        <f t="shared" si="694"/>
        <v>FMS - Scorbot ER4U Robot with BenchTurn 7000 CNC Turning machine</v>
      </c>
      <c r="F2751">
        <v>502</v>
      </c>
      <c r="G2751" t="str">
        <f t="shared" si="683"/>
        <v>Y</v>
      </c>
      <c r="H2751" t="str">
        <f t="shared" si="695"/>
        <v>EA</v>
      </c>
      <c r="I2751">
        <v>0</v>
      </c>
      <c r="J2751">
        <v>0</v>
      </c>
      <c r="K2751" t="str">
        <f t="shared" si="684"/>
        <v>Y</v>
      </c>
      <c r="L2751">
        <v>0</v>
      </c>
      <c r="M2751" t="str">
        <f t="shared" si="687"/>
        <v>NIS</v>
      </c>
      <c r="O2751">
        <v>17</v>
      </c>
      <c r="P2751" t="str">
        <f t="shared" si="692"/>
        <v>Active</v>
      </c>
      <c r="Q2751" t="str">
        <f>"Rolling center"</f>
        <v>Rolling center</v>
      </c>
      <c r="S2751" t="str">
        <f>"Rolling center"</f>
        <v>Rolling center</v>
      </c>
      <c r="T2751">
        <v>0</v>
      </c>
      <c r="U2751">
        <v>23.42</v>
      </c>
      <c r="V2751">
        <v>23.55</v>
      </c>
      <c r="W2751" t="str">
        <f t="shared" si="691"/>
        <v>rob</v>
      </c>
    </row>
    <row r="2752" spans="1:23">
      <c r="A2752" t="str">
        <f t="shared" si="693"/>
        <v>MTS-ER4U-BT7000</v>
      </c>
      <c r="B2752" t="str">
        <f>"10-1105-7000"</f>
        <v>10-1105-7000</v>
      </c>
      <c r="C2752" t="str">
        <f>"Drill Chuck for Tailstock"</f>
        <v>Drill Chuck for Tailstock</v>
      </c>
      <c r="D2752">
        <v>1</v>
      </c>
      <c r="E2752" t="str">
        <f t="shared" si="694"/>
        <v>FMS - Scorbot ER4U Robot with BenchTurn 7000 CNC Turning machine</v>
      </c>
      <c r="F2752">
        <v>502</v>
      </c>
      <c r="G2752" t="str">
        <f t="shared" si="683"/>
        <v>Y</v>
      </c>
      <c r="H2752" t="str">
        <f t="shared" si="695"/>
        <v>EA</v>
      </c>
      <c r="I2752">
        <v>0</v>
      </c>
      <c r="J2752">
        <v>0</v>
      </c>
      <c r="K2752" t="str">
        <f t="shared" si="684"/>
        <v>Y</v>
      </c>
      <c r="L2752">
        <v>0</v>
      </c>
      <c r="M2752" t="str">
        <f t="shared" si="687"/>
        <v>NIS</v>
      </c>
      <c r="O2752">
        <v>18</v>
      </c>
      <c r="P2752" t="str">
        <f t="shared" si="692"/>
        <v>Active</v>
      </c>
      <c r="Q2752" t="str">
        <f>"Tailstock extender MT2 13mm tailstock chuck"</f>
        <v>Tailstock extender MT2 13mm tailstock chuck</v>
      </c>
      <c r="S2752" t="str">
        <f>"Drill Chuck for Tailstock MT2 13mm"</f>
        <v>Drill Chuck for Tailstock MT2 13mm</v>
      </c>
      <c r="T2752">
        <v>0</v>
      </c>
      <c r="U2752">
        <v>21.07</v>
      </c>
      <c r="V2752">
        <v>23.52</v>
      </c>
      <c r="W2752" t="str">
        <f t="shared" si="691"/>
        <v>rob</v>
      </c>
    </row>
    <row r="2753" spans="1:23">
      <c r="A2753" t="str">
        <f t="shared" si="693"/>
        <v>MTS-ER4U-BT7000</v>
      </c>
      <c r="B2753" t="str">
        <f>"63-7001-1000"</f>
        <v>63-7001-1000</v>
      </c>
      <c r="C2753" t="str">
        <f>"-CNCMotion for BenchTurn 7000"</f>
        <v>-CNCMotion for BenchTurn 7000</v>
      </c>
      <c r="D2753">
        <v>1</v>
      </c>
      <c r="E2753" t="str">
        <f t="shared" si="694"/>
        <v>FMS - Scorbot ER4U Robot with BenchTurn 7000 CNC Turning machine</v>
      </c>
      <c r="F2753">
        <v>502</v>
      </c>
      <c r="G2753" t="str">
        <f t="shared" si="683"/>
        <v>Y</v>
      </c>
      <c r="H2753" t="str">
        <f t="shared" si="695"/>
        <v>EA</v>
      </c>
      <c r="I2753">
        <v>0</v>
      </c>
      <c r="J2753">
        <v>0</v>
      </c>
      <c r="K2753" t="str">
        <f t="shared" si="684"/>
        <v>Y</v>
      </c>
      <c r="L2753">
        <v>0</v>
      </c>
      <c r="M2753" t="str">
        <f t="shared" si="687"/>
        <v>NIS</v>
      </c>
      <c r="O2753">
        <v>19</v>
      </c>
      <c r="P2753" t="str">
        <f t="shared" si="692"/>
        <v>Active</v>
      </c>
      <c r="Q2753" t="str">
        <f>"CNCMotion Sim. Sftwr, BenchTurn 7000"</f>
        <v>CNCMotion Sim. Sftwr, BenchTurn 7000</v>
      </c>
      <c r="S2753" t="str">
        <f>"CNCMotion Sim. Sftwr, BenchTurn 7000"</f>
        <v>CNCMotion Sim. Sftwr, BenchTurn 7000</v>
      </c>
      <c r="T2753">
        <v>0</v>
      </c>
      <c r="U2753">
        <v>10</v>
      </c>
      <c r="V2753">
        <v>0</v>
      </c>
      <c r="W2753" t="str">
        <f t="shared" si="691"/>
        <v>rob</v>
      </c>
    </row>
    <row r="2754" spans="1:23">
      <c r="A2754" t="str">
        <f t="shared" si="693"/>
        <v>MTS-ER4U-BT7000</v>
      </c>
      <c r="B2754" t="str">
        <f>"63-6743-0000"</f>
        <v>63-6743-0000</v>
      </c>
      <c r="C2754" t="str">
        <f>"Software, SpectraCAM Turning"</f>
        <v>Software, SpectraCAM Turning</v>
      </c>
      <c r="D2754">
        <v>1</v>
      </c>
      <c r="E2754" t="str">
        <f t="shared" si="694"/>
        <v>FMS - Scorbot ER4U Robot with BenchTurn 7000 CNC Turning machine</v>
      </c>
      <c r="F2754">
        <v>502</v>
      </c>
      <c r="G2754" t="str">
        <f t="shared" ref="G2754:G2817" si="696">"Y"</f>
        <v>Y</v>
      </c>
      <c r="H2754" t="str">
        <f t="shared" si="695"/>
        <v>EA</v>
      </c>
      <c r="I2754">
        <v>0</v>
      </c>
      <c r="J2754">
        <v>0</v>
      </c>
      <c r="K2754" t="str">
        <f t="shared" ref="K2754:K2817" si="697">"Y"</f>
        <v>Y</v>
      </c>
      <c r="L2754">
        <v>0</v>
      </c>
      <c r="M2754" t="str">
        <f t="shared" si="687"/>
        <v>NIS</v>
      </c>
      <c r="O2754">
        <v>20</v>
      </c>
      <c r="P2754" t="str">
        <f t="shared" si="692"/>
        <v>Active</v>
      </c>
      <c r="Q2754" t="str">
        <f>"Software, SpectraCAM Turning"</f>
        <v>Software, SpectraCAM Turning</v>
      </c>
      <c r="S2754" t="str">
        <f>"Software, SpectraCAM Turning"</f>
        <v>Software, SpectraCAM Turning</v>
      </c>
      <c r="T2754">
        <v>0</v>
      </c>
      <c r="U2754">
        <v>10</v>
      </c>
      <c r="V2754">
        <v>10.4</v>
      </c>
      <c r="W2754" t="str">
        <f t="shared" si="691"/>
        <v>rob</v>
      </c>
    </row>
    <row r="2755" spans="1:23">
      <c r="A2755" t="str">
        <f t="shared" si="693"/>
        <v>MTS-ER4U-BT7000</v>
      </c>
      <c r="B2755" t="str">
        <f>"10-1111-1000"</f>
        <v>10-1111-1000</v>
      </c>
      <c r="C2755" t="str">
        <f>"- Handwheel - Manual Control"</f>
        <v>- Handwheel - Manual Control</v>
      </c>
      <c r="D2755">
        <v>1</v>
      </c>
      <c r="E2755" t="str">
        <f t="shared" si="694"/>
        <v>FMS - Scorbot ER4U Robot with BenchTurn 7000 CNC Turning machine</v>
      </c>
      <c r="F2755">
        <v>502</v>
      </c>
      <c r="G2755" t="str">
        <f t="shared" si="696"/>
        <v>Y</v>
      </c>
      <c r="H2755" t="str">
        <f t="shared" si="695"/>
        <v>EA</v>
      </c>
      <c r="I2755">
        <v>0</v>
      </c>
      <c r="J2755">
        <v>0</v>
      </c>
      <c r="K2755" t="str">
        <f t="shared" si="697"/>
        <v>Y</v>
      </c>
      <c r="L2755">
        <v>0</v>
      </c>
      <c r="M2755" t="str">
        <f t="shared" si="687"/>
        <v>NIS</v>
      </c>
      <c r="O2755">
        <v>21</v>
      </c>
      <c r="P2755" t="str">
        <f t="shared" si="692"/>
        <v>Active</v>
      </c>
      <c r="Q2755" t="str">
        <f>"Hand wheel"</f>
        <v>Hand wheel</v>
      </c>
      <c r="S2755" t="str">
        <f>"Jog Pendant Handwheel"</f>
        <v>Jog Pendant Handwheel</v>
      </c>
      <c r="T2755">
        <v>0</v>
      </c>
      <c r="U2755">
        <v>235</v>
      </c>
      <c r="V2755">
        <v>235.03</v>
      </c>
      <c r="W2755" t="str">
        <f t="shared" si="691"/>
        <v>rob</v>
      </c>
    </row>
    <row r="2756" spans="1:23">
      <c r="A2756" t="str">
        <f t="shared" si="693"/>
        <v>MTS-ER4U-BT7000</v>
      </c>
      <c r="B2756" t="str">
        <f>"112496"</f>
        <v>112496</v>
      </c>
      <c r="C2756" t="str">
        <f>"Raw Material - Brass  Rod"</f>
        <v>Raw Material - Brass  Rod</v>
      </c>
      <c r="D2756">
        <v>1</v>
      </c>
      <c r="E2756" t="str">
        <f t="shared" si="694"/>
        <v>FMS - Scorbot ER4U Robot with BenchTurn 7000 CNC Turning machine</v>
      </c>
      <c r="F2756">
        <v>502</v>
      </c>
      <c r="G2756" t="str">
        <f t="shared" si="696"/>
        <v>Y</v>
      </c>
      <c r="H2756" t="str">
        <f t="shared" si="695"/>
        <v>EA</v>
      </c>
      <c r="I2756">
        <v>0</v>
      </c>
      <c r="J2756">
        <v>0</v>
      </c>
      <c r="K2756" t="str">
        <f t="shared" si="697"/>
        <v>Y</v>
      </c>
      <c r="L2756">
        <v>0</v>
      </c>
      <c r="M2756" t="str">
        <f t="shared" si="687"/>
        <v>NIS</v>
      </c>
      <c r="O2756">
        <v>22</v>
      </c>
      <c r="P2756" t="str">
        <f t="shared" si="692"/>
        <v>Active</v>
      </c>
      <c r="Q2756" t="str">
        <f>"Raw Material Stock - Brass  Rod"</f>
        <v>Raw Material Stock - Brass  Rod</v>
      </c>
      <c r="S2756" t="str">
        <f>"Raw Material Stock - Brass  Rod"</f>
        <v>Raw Material Stock - Brass  Rod</v>
      </c>
      <c r="T2756">
        <v>0</v>
      </c>
      <c r="U2756">
        <v>3.67</v>
      </c>
      <c r="V2756">
        <v>2.69</v>
      </c>
      <c r="W2756" t="str">
        <f t="shared" si="691"/>
        <v>rob</v>
      </c>
    </row>
    <row r="2757" spans="1:23">
      <c r="A2757" t="str">
        <f t="shared" si="693"/>
        <v>MTS-ER4U-BT7000</v>
      </c>
      <c r="B2757" t="str">
        <f>"00-1261-0000"</f>
        <v>00-1261-0000</v>
      </c>
      <c r="C2757" t="str">
        <f>"Workbench 1800x900mm (Heavy duty for CNC)"</f>
        <v>Workbench 1800x900mm (Heavy duty for CNC)</v>
      </c>
      <c r="D2757">
        <v>1</v>
      </c>
      <c r="E2757" t="str">
        <f t="shared" si="694"/>
        <v>FMS - Scorbot ER4U Robot with BenchTurn 7000 CNC Turning machine</v>
      </c>
      <c r="F2757">
        <v>502</v>
      </c>
      <c r="G2757" t="str">
        <f t="shared" si="696"/>
        <v>Y</v>
      </c>
      <c r="H2757" t="str">
        <f t="shared" si="695"/>
        <v>EA</v>
      </c>
      <c r="I2757">
        <v>0</v>
      </c>
      <c r="J2757">
        <v>0</v>
      </c>
      <c r="K2757" t="str">
        <f t="shared" si="697"/>
        <v>Y</v>
      </c>
      <c r="L2757">
        <v>0</v>
      </c>
      <c r="M2757" t="str">
        <f t="shared" si="687"/>
        <v>NIS</v>
      </c>
      <c r="O2757">
        <v>23</v>
      </c>
      <c r="P2757" t="str">
        <f t="shared" si="692"/>
        <v>Active</v>
      </c>
      <c r="Q2757" t="str">
        <f>"Workbench 1800x900mm (Heavy duty for CNC)"</f>
        <v>Workbench 1800x900mm (Heavy duty for CNC)</v>
      </c>
      <c r="S2757" t="str">
        <f>"Workbench 1800x900mm (Heavy duty for CNC)"</f>
        <v>Workbench 1800x900mm (Heavy duty for CNC)</v>
      </c>
      <c r="T2757">
        <v>0</v>
      </c>
      <c r="U2757">
        <v>830</v>
      </c>
      <c r="V2757">
        <v>831.14</v>
      </c>
      <c r="W2757" t="str">
        <f t="shared" si="691"/>
        <v>rob</v>
      </c>
    </row>
    <row r="2758" spans="1:23">
      <c r="A2758" t="str">
        <f t="shared" si="693"/>
        <v>MTS-ER4U-BT7000</v>
      </c>
      <c r="B2758" t="str">
        <f>"00-1265-0000"</f>
        <v>00-1265-0000</v>
      </c>
      <c r="C2758" t="str">
        <f>"PC Extension Shelf  600x900mm"</f>
        <v>PC Extension Shelf  600x900mm</v>
      </c>
      <c r="D2758">
        <v>1</v>
      </c>
      <c r="E2758" t="str">
        <f t="shared" si="694"/>
        <v>FMS - Scorbot ER4U Robot with BenchTurn 7000 CNC Turning machine</v>
      </c>
      <c r="F2758">
        <v>502</v>
      </c>
      <c r="G2758" t="str">
        <f t="shared" si="696"/>
        <v>Y</v>
      </c>
      <c r="H2758" t="str">
        <f t="shared" si="695"/>
        <v>EA</v>
      </c>
      <c r="I2758">
        <v>0</v>
      </c>
      <c r="J2758">
        <v>0</v>
      </c>
      <c r="K2758" t="str">
        <f t="shared" si="697"/>
        <v>Y</v>
      </c>
      <c r="L2758">
        <v>0</v>
      </c>
      <c r="M2758" t="str">
        <f t="shared" si="687"/>
        <v>NIS</v>
      </c>
      <c r="O2758">
        <v>24</v>
      </c>
      <c r="P2758" t="str">
        <f t="shared" si="692"/>
        <v>Active</v>
      </c>
      <c r="Q2758" t="str">
        <f>"PC Extension Shelf  600x900mm"</f>
        <v>PC Extension Shelf  600x900mm</v>
      </c>
      <c r="S2758" t="str">
        <f>"PC Extension Shelf  600x900mm"</f>
        <v>PC Extension Shelf  600x900mm</v>
      </c>
      <c r="T2758">
        <v>0</v>
      </c>
      <c r="U2758">
        <v>211</v>
      </c>
      <c r="V2758">
        <v>198.88</v>
      </c>
      <c r="W2758" t="str">
        <f t="shared" si="691"/>
        <v>rob</v>
      </c>
    </row>
    <row r="2759" spans="1:23">
      <c r="A2759" t="str">
        <f t="shared" si="693"/>
        <v>MTS-ER4U-BT7000</v>
      </c>
      <c r="B2759" t="str">
        <f>"50-0094-0000"</f>
        <v>50-0094-0000</v>
      </c>
      <c r="C2759" t="str">
        <f>"Pre-Engineering, Design and Testing"</f>
        <v>Pre-Engineering, Design and Testing</v>
      </c>
      <c r="D2759">
        <v>1</v>
      </c>
      <c r="E2759" t="str">
        <f t="shared" si="694"/>
        <v>FMS - Scorbot ER4U Robot with BenchTurn 7000 CNC Turning machine</v>
      </c>
      <c r="F2759">
        <v>502</v>
      </c>
      <c r="G2759" t="str">
        <f t="shared" si="696"/>
        <v>Y</v>
      </c>
      <c r="H2759" t="str">
        <f>"DA"</f>
        <v>DA</v>
      </c>
      <c r="I2759">
        <v>0</v>
      </c>
      <c r="J2759">
        <v>0</v>
      </c>
      <c r="K2759" t="str">
        <f t="shared" si="697"/>
        <v>Y</v>
      </c>
      <c r="L2759">
        <v>0</v>
      </c>
      <c r="M2759" t="str">
        <f t="shared" si="687"/>
        <v>NIS</v>
      </c>
      <c r="O2759">
        <v>25</v>
      </c>
      <c r="P2759" t="str">
        <f t="shared" si="692"/>
        <v>Active</v>
      </c>
      <c r="Q2759" t="str">
        <f>"Pre-Engineering, Design and Testing"</f>
        <v>Pre-Engineering, Design and Testing</v>
      </c>
      <c r="S2759" t="str">
        <f>"Pre-Engineering, Design and Testing"</f>
        <v>Pre-Engineering, Design and Testing</v>
      </c>
      <c r="T2759">
        <v>0</v>
      </c>
      <c r="U2759">
        <v>405</v>
      </c>
      <c r="V2759">
        <v>421.2</v>
      </c>
      <c r="W2759" t="str">
        <f t="shared" si="691"/>
        <v>rob</v>
      </c>
    </row>
    <row r="2760" spans="1:23">
      <c r="A2760" t="str">
        <f t="shared" ref="A2760:A2768" si="698">"MTS-ER4U-LSREN"</f>
        <v>MTS-ER4U-LSREN</v>
      </c>
      <c r="B2760" t="str">
        <f>"00-0413-0000"</f>
        <v>00-0413-0000</v>
      </c>
      <c r="C2760" t="str">
        <f>"SCORBOT-ER 4u"</f>
        <v>SCORBOT-ER 4u</v>
      </c>
      <c r="D2760">
        <v>1</v>
      </c>
      <c r="E2760" t="str">
        <f t="shared" ref="E2760:E2768" si="699">"FMS - Scorbot ER4U Robot on stand with Laser Engraver"</f>
        <v>FMS - Scorbot ER4U Robot on stand with Laser Engraver</v>
      </c>
      <c r="F2760">
        <v>502</v>
      </c>
      <c r="G2760" t="str">
        <f t="shared" si="696"/>
        <v>Y</v>
      </c>
      <c r="H2760" t="str">
        <f t="shared" ref="H2760:H2767" si="700">"EA"</f>
        <v>EA</v>
      </c>
      <c r="I2760">
        <v>0</v>
      </c>
      <c r="J2760">
        <v>0</v>
      </c>
      <c r="K2760" t="str">
        <f t="shared" si="697"/>
        <v>Y</v>
      </c>
      <c r="L2760">
        <v>0</v>
      </c>
      <c r="M2760" t="str">
        <f t="shared" si="687"/>
        <v>NIS</v>
      </c>
      <c r="O2760">
        <v>1</v>
      </c>
      <c r="P2760" t="str">
        <f t="shared" si="692"/>
        <v>Active</v>
      </c>
      <c r="Q2760" t="str">
        <f>"SCORBOT-ER 4u (Package)"</f>
        <v>SCORBOT-ER 4u (Package)</v>
      </c>
      <c r="S2760" t="str">
        <f>"SCORBOT-ER 4u (Package)"</f>
        <v>SCORBOT-ER 4u (Package)</v>
      </c>
      <c r="T2760">
        <v>0</v>
      </c>
      <c r="U2760" s="44">
        <v>3200</v>
      </c>
      <c r="V2760" s="44">
        <v>3390.7</v>
      </c>
      <c r="W2760" t="str">
        <f t="shared" si="691"/>
        <v>rob</v>
      </c>
    </row>
    <row r="2761" spans="1:23">
      <c r="A2761" t="str">
        <f t="shared" si="698"/>
        <v>MTS-ER4U-LSREN</v>
      </c>
      <c r="B2761" t="str">
        <f>"00-1710-0000"</f>
        <v>00-1710-0000</v>
      </c>
      <c r="C2761" t="str">
        <f>"Teach Pendant"</f>
        <v>Teach Pendant</v>
      </c>
      <c r="D2761">
        <v>1</v>
      </c>
      <c r="E2761" t="str">
        <f t="shared" si="699"/>
        <v>FMS - Scorbot ER4U Robot on stand with Laser Engraver</v>
      </c>
      <c r="F2761">
        <v>502</v>
      </c>
      <c r="G2761" t="str">
        <f t="shared" si="696"/>
        <v>Y</v>
      </c>
      <c r="H2761" t="str">
        <f t="shared" si="700"/>
        <v>EA</v>
      </c>
      <c r="I2761">
        <v>0</v>
      </c>
      <c r="J2761">
        <v>0</v>
      </c>
      <c r="K2761" t="str">
        <f t="shared" si="697"/>
        <v>Y</v>
      </c>
      <c r="L2761">
        <v>0</v>
      </c>
      <c r="M2761" t="str">
        <f t="shared" si="687"/>
        <v>NIS</v>
      </c>
      <c r="O2761">
        <v>2</v>
      </c>
      <c r="P2761" t="str">
        <f t="shared" si="692"/>
        <v>Active</v>
      </c>
      <c r="Q2761" t="str">
        <f>"Teach Pendant for USB/USB Pro Controllers"</f>
        <v>Teach Pendant for USB/USB Pro Controllers</v>
      </c>
      <c r="S2761" t="str">
        <f>"Teach Pendant for USB/USB Pro Controllers"</f>
        <v>Teach Pendant for USB/USB Pro Controllers</v>
      </c>
      <c r="T2761">
        <v>0</v>
      </c>
      <c r="U2761">
        <v>160.18</v>
      </c>
      <c r="V2761">
        <v>161.44999999999999</v>
      </c>
      <c r="W2761" t="str">
        <f t="shared" si="691"/>
        <v>rob</v>
      </c>
    </row>
    <row r="2762" spans="1:23">
      <c r="A2762" t="str">
        <f t="shared" si="698"/>
        <v>MTS-ER4U-LSREN</v>
      </c>
      <c r="B2762" t="str">
        <f>"021152"</f>
        <v>021152</v>
      </c>
      <c r="C2762" t="str">
        <f>"Shelf Buffer for CIM conveyor"</f>
        <v>Shelf Buffer for CIM conveyor</v>
      </c>
      <c r="D2762">
        <v>1</v>
      </c>
      <c r="E2762" t="str">
        <f t="shared" si="699"/>
        <v>FMS - Scorbot ER4U Robot on stand with Laser Engraver</v>
      </c>
      <c r="F2762">
        <v>502</v>
      </c>
      <c r="G2762" t="str">
        <f t="shared" si="696"/>
        <v>Y</v>
      </c>
      <c r="H2762" t="str">
        <f t="shared" si="700"/>
        <v>EA</v>
      </c>
      <c r="I2762">
        <v>0</v>
      </c>
      <c r="J2762">
        <v>0</v>
      </c>
      <c r="K2762" t="str">
        <f t="shared" si="697"/>
        <v>Y</v>
      </c>
      <c r="L2762">
        <v>0</v>
      </c>
      <c r="M2762" t="str">
        <f t="shared" si="687"/>
        <v>NIS</v>
      </c>
      <c r="O2762">
        <v>3</v>
      </c>
      <c r="P2762" t="str">
        <f t="shared" si="692"/>
        <v>Active</v>
      </c>
      <c r="Q2762" t="str">
        <f>"מכלול- מדף בפר סטנדרטי OPEN-CIM"</f>
        <v>מכלול- מדף בפר סטנדרטי OPEN-CIM</v>
      </c>
      <c r="R2762" t="str">
        <f>"1"</f>
        <v>1</v>
      </c>
      <c r="S2762" t="str">
        <f>"מכלול- מדף בפר סטנדרטי OPEN-CIM"</f>
        <v>מכלול- מדף בפר סטנדרטי OPEN-CIM</v>
      </c>
      <c r="T2762">
        <v>0</v>
      </c>
      <c r="U2762">
        <v>83.12</v>
      </c>
      <c r="V2762">
        <v>92.76</v>
      </c>
      <c r="W2762" t="str">
        <f t="shared" si="691"/>
        <v>rob</v>
      </c>
    </row>
    <row r="2763" spans="1:23">
      <c r="A2763" t="str">
        <f t="shared" si="698"/>
        <v>MTS-ER4U-LSREN</v>
      </c>
      <c r="B2763" t="str">
        <f>"113034"</f>
        <v>113034</v>
      </c>
      <c r="C2763" t="str">
        <f>"Raw Material - Perspex Block"</f>
        <v>Raw Material - Perspex Block</v>
      </c>
      <c r="D2763">
        <v>10</v>
      </c>
      <c r="E2763" t="str">
        <f t="shared" si="699"/>
        <v>FMS - Scorbot ER4U Robot on stand with Laser Engraver</v>
      </c>
      <c r="F2763">
        <v>502</v>
      </c>
      <c r="G2763" t="str">
        <f t="shared" si="696"/>
        <v>Y</v>
      </c>
      <c r="H2763" t="str">
        <f t="shared" si="700"/>
        <v>EA</v>
      </c>
      <c r="I2763">
        <v>0</v>
      </c>
      <c r="J2763">
        <v>0</v>
      </c>
      <c r="K2763" t="str">
        <f t="shared" si="697"/>
        <v>Y</v>
      </c>
      <c r="L2763">
        <v>0</v>
      </c>
      <c r="M2763" t="str">
        <f t="shared" si="687"/>
        <v>NIS</v>
      </c>
      <c r="O2763">
        <v>4</v>
      </c>
      <c r="P2763" t="str">
        <f t="shared" si="692"/>
        <v>Active</v>
      </c>
      <c r="Q2763" t="str">
        <f>"Raw Material Stock - Perspex Block"</f>
        <v>Raw Material Stock - Perspex Block</v>
      </c>
      <c r="S2763" t="str">
        <f>"Raw Material Stock - Perspex Block"</f>
        <v>Raw Material Stock - Perspex Block</v>
      </c>
      <c r="T2763">
        <v>0</v>
      </c>
      <c r="U2763">
        <v>1.1000000000000001</v>
      </c>
      <c r="V2763">
        <v>1.0900000000000001</v>
      </c>
      <c r="W2763" t="str">
        <f t="shared" si="691"/>
        <v>rob</v>
      </c>
    </row>
    <row r="2764" spans="1:23">
      <c r="A2764" t="str">
        <f t="shared" si="698"/>
        <v>MTS-ER4U-LSREN</v>
      </c>
      <c r="B2764" t="str">
        <f>"00-4040-0000"</f>
        <v>00-4040-0000</v>
      </c>
      <c r="C2764" t="str">
        <f>"Laser Engraver VLS 3.60"</f>
        <v>Laser Engraver VLS 3.60</v>
      </c>
      <c r="D2764">
        <v>1</v>
      </c>
      <c r="E2764" t="str">
        <f t="shared" si="699"/>
        <v>FMS - Scorbot ER4U Robot on stand with Laser Engraver</v>
      </c>
      <c r="F2764">
        <v>502</v>
      </c>
      <c r="G2764" t="str">
        <f t="shared" si="696"/>
        <v>Y</v>
      </c>
      <c r="H2764" t="str">
        <f t="shared" si="700"/>
        <v>EA</v>
      </c>
      <c r="I2764">
        <v>0</v>
      </c>
      <c r="J2764">
        <v>0</v>
      </c>
      <c r="K2764" t="str">
        <f t="shared" si="697"/>
        <v>Y</v>
      </c>
      <c r="L2764">
        <v>0</v>
      </c>
      <c r="M2764" t="str">
        <f t="shared" si="687"/>
        <v>NIS</v>
      </c>
      <c r="O2764">
        <v>5</v>
      </c>
      <c r="P2764" t="str">
        <f t="shared" si="692"/>
        <v>Active</v>
      </c>
      <c r="Q2764" t="str">
        <f>"Laser Engraver VLS 3.60"</f>
        <v>Laser Engraver VLS 3.60</v>
      </c>
      <c r="S2764" t="str">
        <f>"Laser Engraver VLS 3.60"</f>
        <v>Laser Engraver VLS 3.60</v>
      </c>
      <c r="T2764">
        <v>0</v>
      </c>
      <c r="U2764" s="44">
        <v>18123.599999999999</v>
      </c>
      <c r="V2764" s="44">
        <v>20117.2</v>
      </c>
      <c r="W2764" t="str">
        <f t="shared" si="691"/>
        <v>rob</v>
      </c>
    </row>
    <row r="2765" spans="1:23">
      <c r="A2765" t="str">
        <f t="shared" si="698"/>
        <v>MTS-ER4U-LSREN</v>
      </c>
      <c r="B2765" t="str">
        <f>"025223"</f>
        <v>025223</v>
      </c>
      <c r="C2765" t="str">
        <f>"Automatic Shield Opener for Laser Engraver, 24V"</f>
        <v>Automatic Shield Opener for Laser Engraver, 24V</v>
      </c>
      <c r="D2765">
        <v>1</v>
      </c>
      <c r="E2765" t="str">
        <f t="shared" si="699"/>
        <v>FMS - Scorbot ER4U Robot on stand with Laser Engraver</v>
      </c>
      <c r="F2765">
        <v>502</v>
      </c>
      <c r="G2765" t="str">
        <f t="shared" si="696"/>
        <v>Y</v>
      </c>
      <c r="H2765" t="str">
        <f t="shared" si="700"/>
        <v>EA</v>
      </c>
      <c r="I2765">
        <v>0</v>
      </c>
      <c r="J2765">
        <v>0</v>
      </c>
      <c r="K2765" t="str">
        <f t="shared" si="697"/>
        <v>Y</v>
      </c>
      <c r="L2765">
        <v>0</v>
      </c>
      <c r="M2765" t="str">
        <f t="shared" si="687"/>
        <v>NIS</v>
      </c>
      <c r="O2765">
        <v>6</v>
      </c>
      <c r="P2765" t="str">
        <f t="shared" si="692"/>
        <v>Active</v>
      </c>
      <c r="Q2765" t="str">
        <f>"Automatic Shield Opener for Laser Engraver, 24V"</f>
        <v>Automatic Shield Opener for Laser Engraver, 24V</v>
      </c>
      <c r="S2765" t="str">
        <f>"Automatic Shield Opener for Laser Engraver, 24V"</f>
        <v>Automatic Shield Opener for Laser Engraver, 24V</v>
      </c>
      <c r="T2765">
        <v>0</v>
      </c>
      <c r="U2765">
        <v>778.12</v>
      </c>
      <c r="V2765">
        <v>428.86</v>
      </c>
      <c r="W2765" t="str">
        <f t="shared" si="691"/>
        <v>rob</v>
      </c>
    </row>
    <row r="2766" spans="1:23">
      <c r="A2766" t="str">
        <f t="shared" si="698"/>
        <v>MTS-ER4U-LSREN</v>
      </c>
      <c r="B2766" t="str">
        <f>"00-1299-0000"</f>
        <v>00-1299-0000</v>
      </c>
      <c r="C2766" t="str">
        <f>"Stand for ER4, (ITEM, higth=665mm)"</f>
        <v>Stand for ER4, (ITEM, higth=665mm)</v>
      </c>
      <c r="D2766">
        <v>1</v>
      </c>
      <c r="E2766" t="str">
        <f t="shared" si="699"/>
        <v>FMS - Scorbot ER4U Robot on stand with Laser Engraver</v>
      </c>
      <c r="F2766">
        <v>502</v>
      </c>
      <c r="G2766" t="str">
        <f t="shared" si="696"/>
        <v>Y</v>
      </c>
      <c r="H2766" t="str">
        <f t="shared" si="700"/>
        <v>EA</v>
      </c>
      <c r="I2766">
        <v>0</v>
      </c>
      <c r="J2766">
        <v>0</v>
      </c>
      <c r="K2766" t="str">
        <f t="shared" si="697"/>
        <v>Y</v>
      </c>
      <c r="L2766">
        <v>0</v>
      </c>
      <c r="M2766" t="str">
        <f t="shared" si="687"/>
        <v>NIS</v>
      </c>
      <c r="O2766">
        <v>7</v>
      </c>
      <c r="P2766" t="str">
        <f>"New"</f>
        <v>New</v>
      </c>
      <c r="Q2766" t="str">
        <f>"Stand for ER4, (ITEM, higth=665mm)"</f>
        <v>Stand for ER4, (ITEM, higth=665mm)</v>
      </c>
      <c r="S2766" t="str">
        <f>"Stand for ER4, (ITEM, higth=665mm)"</f>
        <v>Stand for ER4, (ITEM, higth=665mm)</v>
      </c>
      <c r="T2766">
        <v>0</v>
      </c>
      <c r="U2766">
        <v>250</v>
      </c>
      <c r="V2766">
        <v>383.54</v>
      </c>
      <c r="W2766" t="str">
        <f t="shared" si="691"/>
        <v>rob</v>
      </c>
    </row>
    <row r="2767" spans="1:23">
      <c r="A2767" t="str">
        <f t="shared" si="698"/>
        <v>MTS-ER4U-LSREN</v>
      </c>
      <c r="B2767" t="str">
        <f>"00-1290-0000"</f>
        <v>00-1290-0000</v>
      </c>
      <c r="C2767" t="str">
        <f>"PC Table 630x800mm (with Keyboard Drawer)"</f>
        <v>PC Table 630x800mm (with Keyboard Drawer)</v>
      </c>
      <c r="D2767">
        <v>1</v>
      </c>
      <c r="E2767" t="str">
        <f t="shared" si="699"/>
        <v>FMS - Scorbot ER4U Robot on stand with Laser Engraver</v>
      </c>
      <c r="F2767">
        <v>502</v>
      </c>
      <c r="G2767" t="str">
        <f t="shared" si="696"/>
        <v>Y</v>
      </c>
      <c r="H2767" t="str">
        <f t="shared" si="700"/>
        <v>EA</v>
      </c>
      <c r="I2767">
        <v>0</v>
      </c>
      <c r="J2767">
        <v>0</v>
      </c>
      <c r="K2767" t="str">
        <f t="shared" si="697"/>
        <v>Y</v>
      </c>
      <c r="L2767">
        <v>0</v>
      </c>
      <c r="M2767" t="str">
        <f t="shared" si="687"/>
        <v>NIS</v>
      </c>
      <c r="O2767">
        <v>8</v>
      </c>
      <c r="P2767" t="str">
        <f t="shared" ref="P2767:P2798" si="701">"Active"</f>
        <v>Active</v>
      </c>
      <c r="Q2767" t="str">
        <f>"PC Table 630x800mm (with Keyboard Drawer)"</f>
        <v>PC Table 630x800mm (with Keyboard Drawer)</v>
      </c>
      <c r="S2767" t="str">
        <f>"PC Table 630x800mm (with Keyboard Drawer)"</f>
        <v>PC Table 630x800mm (with Keyboard Drawer)</v>
      </c>
      <c r="T2767">
        <v>0</v>
      </c>
      <c r="U2767">
        <v>405.86</v>
      </c>
      <c r="V2767">
        <v>329.34</v>
      </c>
      <c r="W2767" t="str">
        <f t="shared" si="691"/>
        <v>rob</v>
      </c>
    </row>
    <row r="2768" spans="1:23">
      <c r="A2768" t="str">
        <f t="shared" si="698"/>
        <v>MTS-ER4U-LSREN</v>
      </c>
      <c r="B2768" t="str">
        <f>"50-0094-0000"</f>
        <v>50-0094-0000</v>
      </c>
      <c r="C2768" t="str">
        <f>"Pre-Engineering, Design and Testing"</f>
        <v>Pre-Engineering, Design and Testing</v>
      </c>
      <c r="D2768">
        <v>1</v>
      </c>
      <c r="E2768" t="str">
        <f t="shared" si="699"/>
        <v>FMS - Scorbot ER4U Robot on stand with Laser Engraver</v>
      </c>
      <c r="F2768">
        <v>502</v>
      </c>
      <c r="G2768" t="str">
        <f t="shared" si="696"/>
        <v>Y</v>
      </c>
      <c r="H2768" t="str">
        <f>"DA"</f>
        <v>DA</v>
      </c>
      <c r="I2768">
        <v>0</v>
      </c>
      <c r="J2768">
        <v>0</v>
      </c>
      <c r="K2768" t="str">
        <f t="shared" si="697"/>
        <v>Y</v>
      </c>
      <c r="L2768">
        <v>0</v>
      </c>
      <c r="M2768" t="str">
        <f t="shared" si="687"/>
        <v>NIS</v>
      </c>
      <c r="O2768">
        <v>9</v>
      </c>
      <c r="P2768" t="str">
        <f t="shared" si="701"/>
        <v>Active</v>
      </c>
      <c r="Q2768" t="str">
        <f>"Pre-Engineering, Design and Testing"</f>
        <v>Pre-Engineering, Design and Testing</v>
      </c>
      <c r="S2768" t="str">
        <f>"Pre-Engineering, Design and Testing"</f>
        <v>Pre-Engineering, Design and Testing</v>
      </c>
      <c r="T2768">
        <v>0</v>
      </c>
      <c r="U2768">
        <v>405</v>
      </c>
      <c r="V2768">
        <v>421.2</v>
      </c>
      <c r="W2768" t="str">
        <f t="shared" si="691"/>
        <v>rob</v>
      </c>
    </row>
    <row r="2769" spans="1:23">
      <c r="A2769" t="str">
        <f t="shared" ref="A2769:A2780" si="702">"MTS-ER4U-LSREN-L"</f>
        <v>MTS-ER4U-LSREN-L</v>
      </c>
      <c r="B2769" t="str">
        <f>"00-0413-0000"</f>
        <v>00-0413-0000</v>
      </c>
      <c r="C2769" t="str">
        <f>"SCORBOT-ER 4u"</f>
        <v>SCORBOT-ER 4u</v>
      </c>
      <c r="D2769">
        <v>1</v>
      </c>
      <c r="E2769" t="str">
        <f t="shared" ref="E2769:E2780" si="703">"FMS - Scorbot ER4U Robot on LSB with Laser Engraver"</f>
        <v>FMS - Scorbot ER4U Robot on LSB with Laser Engraver</v>
      </c>
      <c r="F2769">
        <v>502</v>
      </c>
      <c r="G2769" t="str">
        <f t="shared" si="696"/>
        <v>Y</v>
      </c>
      <c r="H2769" t="str">
        <f t="shared" ref="H2769:H2779" si="704">"EA"</f>
        <v>EA</v>
      </c>
      <c r="I2769">
        <v>0</v>
      </c>
      <c r="J2769">
        <v>0</v>
      </c>
      <c r="K2769" t="str">
        <f t="shared" si="697"/>
        <v>Y</v>
      </c>
      <c r="L2769">
        <v>0</v>
      </c>
      <c r="M2769" t="str">
        <f t="shared" si="687"/>
        <v>NIS</v>
      </c>
      <c r="O2769">
        <v>1</v>
      </c>
      <c r="P2769" t="str">
        <f t="shared" si="701"/>
        <v>Active</v>
      </c>
      <c r="Q2769" t="str">
        <f>"SCORBOT-ER 4u (Package)"</f>
        <v>SCORBOT-ER 4u (Package)</v>
      </c>
      <c r="S2769" t="str">
        <f>"SCORBOT-ER 4u (Package)"</f>
        <v>SCORBOT-ER 4u (Package)</v>
      </c>
      <c r="T2769">
        <v>0</v>
      </c>
      <c r="U2769" s="44">
        <v>3200</v>
      </c>
      <c r="V2769" s="44">
        <v>3390.7</v>
      </c>
      <c r="W2769" t="str">
        <f t="shared" si="691"/>
        <v>rob</v>
      </c>
    </row>
    <row r="2770" spans="1:23">
      <c r="A2770" t="str">
        <f t="shared" si="702"/>
        <v>MTS-ER4U-LSREN-L</v>
      </c>
      <c r="B2770" t="str">
        <f>"00-1710-0000"</f>
        <v>00-1710-0000</v>
      </c>
      <c r="C2770" t="str">
        <f>"Teach Pendant"</f>
        <v>Teach Pendant</v>
      </c>
      <c r="D2770">
        <v>1</v>
      </c>
      <c r="E2770" t="str">
        <f t="shared" si="703"/>
        <v>FMS - Scorbot ER4U Robot on LSB with Laser Engraver</v>
      </c>
      <c r="F2770">
        <v>502</v>
      </c>
      <c r="G2770" t="str">
        <f t="shared" si="696"/>
        <v>Y</v>
      </c>
      <c r="H2770" t="str">
        <f t="shared" si="704"/>
        <v>EA</v>
      </c>
      <c r="I2770">
        <v>0</v>
      </c>
      <c r="J2770">
        <v>0</v>
      </c>
      <c r="K2770" t="str">
        <f t="shared" si="697"/>
        <v>Y</v>
      </c>
      <c r="L2770">
        <v>0</v>
      </c>
      <c r="M2770" t="str">
        <f t="shared" si="687"/>
        <v>NIS</v>
      </c>
      <c r="O2770">
        <v>2</v>
      </c>
      <c r="P2770" t="str">
        <f t="shared" si="701"/>
        <v>Active</v>
      </c>
      <c r="Q2770" t="str">
        <f>"Teach Pendant for USB/USB Pro Controllers"</f>
        <v>Teach Pendant for USB/USB Pro Controllers</v>
      </c>
      <c r="S2770" t="str">
        <f>"Teach Pendant for USB/USB Pro Controllers"</f>
        <v>Teach Pendant for USB/USB Pro Controllers</v>
      </c>
      <c r="T2770">
        <v>0</v>
      </c>
      <c r="U2770">
        <v>160.18</v>
      </c>
      <c r="V2770">
        <v>161.44999999999999</v>
      </c>
      <c r="W2770" t="str">
        <f t="shared" si="691"/>
        <v>rob</v>
      </c>
    </row>
    <row r="2771" spans="1:23">
      <c r="A2771" t="str">
        <f t="shared" si="702"/>
        <v>MTS-ER4U-LSREN-L</v>
      </c>
      <c r="B2771" t="str">
        <f>"00-1020-0000"</f>
        <v>00-1020-0000</v>
      </c>
      <c r="C2771" t="str">
        <f>"LSB 1.0m, Belt, TT"</f>
        <v>LSB 1.0m, Belt, TT</v>
      </c>
      <c r="D2771">
        <v>1</v>
      </c>
      <c r="E2771" t="str">
        <f t="shared" si="703"/>
        <v>FMS - Scorbot ER4U Robot on LSB with Laser Engraver</v>
      </c>
      <c r="F2771">
        <v>502</v>
      </c>
      <c r="G2771" t="str">
        <f t="shared" si="696"/>
        <v>Y</v>
      </c>
      <c r="H2771" t="str">
        <f t="shared" si="704"/>
        <v>EA</v>
      </c>
      <c r="I2771">
        <v>0</v>
      </c>
      <c r="J2771">
        <v>0</v>
      </c>
      <c r="K2771" t="str">
        <f t="shared" si="697"/>
        <v>Y</v>
      </c>
      <c r="L2771">
        <v>0</v>
      </c>
      <c r="M2771" t="str">
        <f t="shared" si="687"/>
        <v>NIS</v>
      </c>
      <c r="O2771">
        <v>3</v>
      </c>
      <c r="P2771" t="str">
        <f t="shared" si="701"/>
        <v>Active</v>
      </c>
      <c r="Q2771" t="str">
        <f>"LSB 1.0m, Belt, Table-Top"</f>
        <v>LSB 1.0m, Belt, Table-Top</v>
      </c>
      <c r="S2771" t="str">
        <f>"LSB 1.0m, Belt, Table-Top"</f>
        <v>LSB 1.0m, Belt, Table-Top</v>
      </c>
      <c r="T2771">
        <v>0</v>
      </c>
      <c r="U2771" s="44">
        <v>1850</v>
      </c>
      <c r="V2771" s="44">
        <v>1739.55</v>
      </c>
      <c r="W2771" t="str">
        <f t="shared" si="691"/>
        <v>rob</v>
      </c>
    </row>
    <row r="2772" spans="1:23">
      <c r="A2772" t="str">
        <f t="shared" si="702"/>
        <v>MTS-ER4U-LSREN-L</v>
      </c>
      <c r="B2772" t="str">
        <f>"10-1003-8000"</f>
        <v>10-1003-8000</v>
      </c>
      <c r="C2772" t="str">
        <f>"Stand for table's LSB"</f>
        <v>Stand for table's LSB</v>
      </c>
      <c r="D2772">
        <v>1</v>
      </c>
      <c r="E2772" t="str">
        <f t="shared" si="703"/>
        <v>FMS - Scorbot ER4U Robot on LSB with Laser Engraver</v>
      </c>
      <c r="F2772">
        <v>502</v>
      </c>
      <c r="G2772" t="str">
        <f t="shared" si="696"/>
        <v>Y</v>
      </c>
      <c r="H2772" t="str">
        <f t="shared" si="704"/>
        <v>EA</v>
      </c>
      <c r="I2772">
        <v>0</v>
      </c>
      <c r="J2772">
        <v>0</v>
      </c>
      <c r="K2772" t="str">
        <f t="shared" si="697"/>
        <v>Y</v>
      </c>
      <c r="L2772">
        <v>0</v>
      </c>
      <c r="M2772" t="str">
        <f t="shared" si="687"/>
        <v>NIS</v>
      </c>
      <c r="O2772">
        <v>4</v>
      </c>
      <c r="P2772" t="str">
        <f t="shared" si="701"/>
        <v>Active</v>
      </c>
      <c r="Q2772" t="str">
        <f>"Stand for table's LSB"</f>
        <v>Stand for table's LSB</v>
      </c>
      <c r="S2772" t="str">
        <f>"Stand for table's LSB"</f>
        <v>Stand for table's LSB</v>
      </c>
      <c r="T2772">
        <v>0</v>
      </c>
      <c r="U2772">
        <v>233</v>
      </c>
      <c r="V2772">
        <v>237.29</v>
      </c>
      <c r="W2772" t="str">
        <f t="shared" si="691"/>
        <v>rob</v>
      </c>
    </row>
    <row r="2773" spans="1:23">
      <c r="A2773" t="str">
        <f t="shared" si="702"/>
        <v>MTS-ER4U-LSREN-L</v>
      </c>
      <c r="B2773" t="str">
        <f>"10-2521-7000"</f>
        <v>10-2521-7000</v>
      </c>
      <c r="C2773" t="str">
        <f>"Pneumatic Feeder for Rectangular products"</f>
        <v>Pneumatic Feeder for Rectangular products</v>
      </c>
      <c r="D2773">
        <v>1</v>
      </c>
      <c r="E2773" t="str">
        <f t="shared" si="703"/>
        <v>FMS - Scorbot ER4U Robot on LSB with Laser Engraver</v>
      </c>
      <c r="F2773">
        <v>502</v>
      </c>
      <c r="G2773" t="str">
        <f t="shared" si="696"/>
        <v>Y</v>
      </c>
      <c r="H2773" t="str">
        <f t="shared" si="704"/>
        <v>EA</v>
      </c>
      <c r="I2773">
        <v>0</v>
      </c>
      <c r="J2773">
        <v>0</v>
      </c>
      <c r="K2773" t="str">
        <f t="shared" si="697"/>
        <v>Y</v>
      </c>
      <c r="L2773">
        <v>0</v>
      </c>
      <c r="M2773" t="str">
        <f t="shared" si="687"/>
        <v>NIS</v>
      </c>
      <c r="O2773">
        <v>5</v>
      </c>
      <c r="P2773" t="str">
        <f t="shared" si="701"/>
        <v>Active</v>
      </c>
      <c r="Q2773" t="str">
        <f>"Pneumatic Feeder for Rectangular Parts"</f>
        <v>Pneumatic Feeder for Rectangular Parts</v>
      </c>
      <c r="S2773" t="str">
        <f>"Pneumatic Feeder for Rectangular Parts"</f>
        <v>Pneumatic Feeder for Rectangular Parts</v>
      </c>
      <c r="T2773">
        <v>0</v>
      </c>
      <c r="U2773">
        <v>595</v>
      </c>
      <c r="V2773">
        <v>555.15</v>
      </c>
      <c r="W2773" t="str">
        <f t="shared" si="691"/>
        <v>rob</v>
      </c>
    </row>
    <row r="2774" spans="1:23">
      <c r="A2774" t="str">
        <f t="shared" si="702"/>
        <v>MTS-ER4U-LSREN-L</v>
      </c>
      <c r="B2774" t="str">
        <f>"00-1110-0000"</f>
        <v>00-1110-0000</v>
      </c>
      <c r="C2774" t="str">
        <f>"Palletizing Rack"</f>
        <v>Palletizing Rack</v>
      </c>
      <c r="D2774">
        <v>1</v>
      </c>
      <c r="E2774" t="str">
        <f t="shared" si="703"/>
        <v>FMS - Scorbot ER4U Robot on LSB with Laser Engraver</v>
      </c>
      <c r="F2774">
        <v>502</v>
      </c>
      <c r="G2774" t="str">
        <f t="shared" si="696"/>
        <v>Y</v>
      </c>
      <c r="H2774" t="str">
        <f t="shared" si="704"/>
        <v>EA</v>
      </c>
      <c r="I2774">
        <v>0</v>
      </c>
      <c r="J2774">
        <v>0</v>
      </c>
      <c r="K2774" t="str">
        <f t="shared" si="697"/>
        <v>Y</v>
      </c>
      <c r="L2774">
        <v>0</v>
      </c>
      <c r="M2774" t="str">
        <f t="shared" si="687"/>
        <v>NIS</v>
      </c>
      <c r="O2774">
        <v>6</v>
      </c>
      <c r="P2774" t="str">
        <f t="shared" si="701"/>
        <v>Active</v>
      </c>
      <c r="Q2774" t="str">
        <f>"Palletizing Rack (incl. Pins for creating Jigs)"</f>
        <v>Palletizing Rack (incl. Pins for creating Jigs)</v>
      </c>
      <c r="S2774" t="str">
        <f>"Palletizing Rack (incl. Pins for creating Jigs)"</f>
        <v>Palletizing Rack (incl. Pins for creating Jigs)</v>
      </c>
      <c r="T2774">
        <v>0</v>
      </c>
      <c r="U2774">
        <v>63</v>
      </c>
      <c r="V2774">
        <v>58.59</v>
      </c>
      <c r="W2774" t="str">
        <f t="shared" si="691"/>
        <v>rob</v>
      </c>
    </row>
    <row r="2775" spans="1:23">
      <c r="A2775" t="str">
        <f t="shared" si="702"/>
        <v>MTS-ER4U-LSREN-L</v>
      </c>
      <c r="B2775" t="str">
        <f>"021181"</f>
        <v>021181</v>
      </c>
      <c r="C2775" t="str">
        <f>"97mm Height Adapter -Rack 001110 on formica 19mm"</f>
        <v>97mm Height Adapter -Rack 001110 on formica 19mm</v>
      </c>
      <c r="D2775">
        <v>1</v>
      </c>
      <c r="E2775" t="str">
        <f t="shared" si="703"/>
        <v>FMS - Scorbot ER4U Robot on LSB with Laser Engraver</v>
      </c>
      <c r="F2775">
        <v>502</v>
      </c>
      <c r="G2775" t="str">
        <f t="shared" si="696"/>
        <v>Y</v>
      </c>
      <c r="H2775" t="str">
        <f t="shared" si="704"/>
        <v>EA</v>
      </c>
      <c r="I2775">
        <v>0</v>
      </c>
      <c r="J2775">
        <v>0</v>
      </c>
      <c r="K2775" t="str">
        <f t="shared" si="697"/>
        <v>Y</v>
      </c>
      <c r="L2775">
        <v>0</v>
      </c>
      <c r="M2775" t="str">
        <f t="shared" si="687"/>
        <v>NIS</v>
      </c>
      <c r="O2775">
        <v>7</v>
      </c>
      <c r="P2775" t="str">
        <f t="shared" si="701"/>
        <v>Active</v>
      </c>
      <c r="Q2775" t="str">
        <f>"97mm Height Adapter -Rack 001110 on formica 19mm"</f>
        <v>97mm Height Adapter -Rack 001110 on formica 19mm</v>
      </c>
      <c r="S2775" t="str">
        <f>"97mm Height Adapter -Rack 001110 on formica 19mm"</f>
        <v>97mm Height Adapter -Rack 001110 on formica 19mm</v>
      </c>
      <c r="T2775">
        <v>0</v>
      </c>
      <c r="U2775">
        <v>8.0299999999999994</v>
      </c>
      <c r="V2775">
        <v>8.85</v>
      </c>
      <c r="W2775" t="str">
        <f t="shared" si="691"/>
        <v>rob</v>
      </c>
    </row>
    <row r="2776" spans="1:23">
      <c r="A2776" t="str">
        <f t="shared" si="702"/>
        <v>MTS-ER4U-LSREN-L</v>
      </c>
      <c r="B2776" t="str">
        <f>"113034"</f>
        <v>113034</v>
      </c>
      <c r="C2776" t="str">
        <f>"Raw Material - Perspex Block"</f>
        <v>Raw Material - Perspex Block</v>
      </c>
      <c r="D2776">
        <v>10</v>
      </c>
      <c r="E2776" t="str">
        <f t="shared" si="703"/>
        <v>FMS - Scorbot ER4U Robot on LSB with Laser Engraver</v>
      </c>
      <c r="F2776">
        <v>502</v>
      </c>
      <c r="G2776" t="str">
        <f t="shared" si="696"/>
        <v>Y</v>
      </c>
      <c r="H2776" t="str">
        <f t="shared" si="704"/>
        <v>EA</v>
      </c>
      <c r="I2776">
        <v>0</v>
      </c>
      <c r="J2776">
        <v>0</v>
      </c>
      <c r="K2776" t="str">
        <f t="shared" si="697"/>
        <v>Y</v>
      </c>
      <c r="L2776">
        <v>0</v>
      </c>
      <c r="M2776" t="str">
        <f t="shared" si="687"/>
        <v>NIS</v>
      </c>
      <c r="O2776">
        <v>8</v>
      </c>
      <c r="P2776" t="str">
        <f t="shared" si="701"/>
        <v>Active</v>
      </c>
      <c r="Q2776" t="str">
        <f>"Raw Material Stock - Perspex Block"</f>
        <v>Raw Material Stock - Perspex Block</v>
      </c>
      <c r="S2776" t="str">
        <f>"Raw Material Stock - Perspex Block"</f>
        <v>Raw Material Stock - Perspex Block</v>
      </c>
      <c r="T2776">
        <v>0</v>
      </c>
      <c r="U2776">
        <v>1.1000000000000001</v>
      </c>
      <c r="V2776">
        <v>1.0900000000000001</v>
      </c>
      <c r="W2776" t="str">
        <f t="shared" si="691"/>
        <v>rob</v>
      </c>
    </row>
    <row r="2777" spans="1:23">
      <c r="A2777" t="str">
        <f t="shared" si="702"/>
        <v>MTS-ER4U-LSREN-L</v>
      </c>
      <c r="B2777" t="str">
        <f>"00-4040-0000"</f>
        <v>00-4040-0000</v>
      </c>
      <c r="C2777" t="str">
        <f>"Laser Engraver VLS 3.60"</f>
        <v>Laser Engraver VLS 3.60</v>
      </c>
      <c r="D2777">
        <v>1</v>
      </c>
      <c r="E2777" t="str">
        <f t="shared" si="703"/>
        <v>FMS - Scorbot ER4U Robot on LSB with Laser Engraver</v>
      </c>
      <c r="F2777">
        <v>502</v>
      </c>
      <c r="G2777" t="str">
        <f t="shared" si="696"/>
        <v>Y</v>
      </c>
      <c r="H2777" t="str">
        <f t="shared" si="704"/>
        <v>EA</v>
      </c>
      <c r="I2777">
        <v>0</v>
      </c>
      <c r="J2777">
        <v>0</v>
      </c>
      <c r="K2777" t="str">
        <f t="shared" si="697"/>
        <v>Y</v>
      </c>
      <c r="L2777">
        <v>0</v>
      </c>
      <c r="M2777" t="str">
        <f t="shared" ref="M2777:M2840" si="705">"NIS"</f>
        <v>NIS</v>
      </c>
      <c r="O2777">
        <v>9</v>
      </c>
      <c r="P2777" t="str">
        <f t="shared" si="701"/>
        <v>Active</v>
      </c>
      <c r="Q2777" t="str">
        <f>"Laser Engraver VLS 3.60"</f>
        <v>Laser Engraver VLS 3.60</v>
      </c>
      <c r="S2777" t="str">
        <f>"Laser Engraver VLS 3.60"</f>
        <v>Laser Engraver VLS 3.60</v>
      </c>
      <c r="T2777">
        <v>0</v>
      </c>
      <c r="U2777" s="44">
        <v>18123.599999999999</v>
      </c>
      <c r="V2777" s="44">
        <v>20117.2</v>
      </c>
      <c r="W2777" t="str">
        <f t="shared" si="691"/>
        <v>rob</v>
      </c>
    </row>
    <row r="2778" spans="1:23">
      <c r="A2778" t="str">
        <f t="shared" si="702"/>
        <v>MTS-ER4U-LSREN-L</v>
      </c>
      <c r="B2778" t="str">
        <f>"025223"</f>
        <v>025223</v>
      </c>
      <c r="C2778" t="str">
        <f>"Automatic Shield Opener for Laser Engraver, 24V"</f>
        <v>Automatic Shield Opener for Laser Engraver, 24V</v>
      </c>
      <c r="D2778">
        <v>1</v>
      </c>
      <c r="E2778" t="str">
        <f t="shared" si="703"/>
        <v>FMS - Scorbot ER4U Robot on LSB with Laser Engraver</v>
      </c>
      <c r="F2778">
        <v>502</v>
      </c>
      <c r="G2778" t="str">
        <f t="shared" si="696"/>
        <v>Y</v>
      </c>
      <c r="H2778" t="str">
        <f t="shared" si="704"/>
        <v>EA</v>
      </c>
      <c r="I2778">
        <v>0</v>
      </c>
      <c r="J2778">
        <v>0</v>
      </c>
      <c r="K2778" t="str">
        <f t="shared" si="697"/>
        <v>Y</v>
      </c>
      <c r="L2778">
        <v>0</v>
      </c>
      <c r="M2778" t="str">
        <f t="shared" si="705"/>
        <v>NIS</v>
      </c>
      <c r="O2778">
        <v>10</v>
      </c>
      <c r="P2778" t="str">
        <f t="shared" si="701"/>
        <v>Active</v>
      </c>
      <c r="Q2778" t="str">
        <f>"Automatic Shield Opener for Laser Engraver, 24V"</f>
        <v>Automatic Shield Opener for Laser Engraver, 24V</v>
      </c>
      <c r="S2778" t="str">
        <f>"Automatic Shield Opener for Laser Engraver, 24V"</f>
        <v>Automatic Shield Opener for Laser Engraver, 24V</v>
      </c>
      <c r="T2778">
        <v>0</v>
      </c>
      <c r="U2778">
        <v>778.12</v>
      </c>
      <c r="V2778">
        <v>428.86</v>
      </c>
      <c r="W2778" t="str">
        <f t="shared" si="691"/>
        <v>rob</v>
      </c>
    </row>
    <row r="2779" spans="1:23">
      <c r="A2779" t="str">
        <f t="shared" si="702"/>
        <v>MTS-ER4U-LSREN-L</v>
      </c>
      <c r="B2779" t="str">
        <f>"00-1251-0000"</f>
        <v>00-1251-0000</v>
      </c>
      <c r="C2779" t="str">
        <f>"Workbench 1500x800mm (Formica Top)"</f>
        <v>Workbench 1500x800mm (Formica Top)</v>
      </c>
      <c r="D2779">
        <v>1</v>
      </c>
      <c r="E2779" t="str">
        <f t="shared" si="703"/>
        <v>FMS - Scorbot ER4U Robot on LSB with Laser Engraver</v>
      </c>
      <c r="F2779">
        <v>502</v>
      </c>
      <c r="G2779" t="str">
        <f t="shared" si="696"/>
        <v>Y</v>
      </c>
      <c r="H2779" t="str">
        <f t="shared" si="704"/>
        <v>EA</v>
      </c>
      <c r="I2779">
        <v>0</v>
      </c>
      <c r="J2779">
        <v>0</v>
      </c>
      <c r="K2779" t="str">
        <f t="shared" si="697"/>
        <v>Y</v>
      </c>
      <c r="L2779">
        <v>0</v>
      </c>
      <c r="M2779" t="str">
        <f t="shared" si="705"/>
        <v>NIS</v>
      </c>
      <c r="O2779">
        <v>11</v>
      </c>
      <c r="P2779" t="str">
        <f t="shared" si="701"/>
        <v>Active</v>
      </c>
      <c r="Q2779" t="str">
        <f>"Workbench 1500x800mm (Formica Top)"</f>
        <v>Workbench 1500x800mm (Formica Top)</v>
      </c>
      <c r="S2779" t="str">
        <f>"Workbench 1500x800mm (Formica Top)"</f>
        <v>Workbench 1500x800mm (Formica Top)</v>
      </c>
      <c r="T2779">
        <v>0</v>
      </c>
      <c r="U2779">
        <v>582</v>
      </c>
      <c r="V2779">
        <v>588.6</v>
      </c>
      <c r="W2779" t="str">
        <f t="shared" si="691"/>
        <v>rob</v>
      </c>
    </row>
    <row r="2780" spans="1:23">
      <c r="A2780" t="str">
        <f t="shared" si="702"/>
        <v>MTS-ER4U-LSREN-L</v>
      </c>
      <c r="B2780" t="str">
        <f>"50-0094-0000"</f>
        <v>50-0094-0000</v>
      </c>
      <c r="C2780" t="str">
        <f>"Pre-Engineering, Design and Testing"</f>
        <v>Pre-Engineering, Design and Testing</v>
      </c>
      <c r="D2780">
        <v>1</v>
      </c>
      <c r="E2780" t="str">
        <f t="shared" si="703"/>
        <v>FMS - Scorbot ER4U Robot on LSB with Laser Engraver</v>
      </c>
      <c r="F2780">
        <v>502</v>
      </c>
      <c r="G2780" t="str">
        <f t="shared" si="696"/>
        <v>Y</v>
      </c>
      <c r="H2780" t="str">
        <f>"DA"</f>
        <v>DA</v>
      </c>
      <c r="I2780">
        <v>0</v>
      </c>
      <c r="J2780">
        <v>0</v>
      </c>
      <c r="K2780" t="str">
        <f t="shared" si="697"/>
        <v>Y</v>
      </c>
      <c r="L2780">
        <v>0</v>
      </c>
      <c r="M2780" t="str">
        <f t="shared" si="705"/>
        <v>NIS</v>
      </c>
      <c r="O2780">
        <v>12</v>
      </c>
      <c r="P2780" t="str">
        <f t="shared" si="701"/>
        <v>Active</v>
      </c>
      <c r="Q2780" t="str">
        <f>"Pre-Engineering, Design and Testing"</f>
        <v>Pre-Engineering, Design and Testing</v>
      </c>
      <c r="S2780" t="str">
        <f>"Pre-Engineering, Design and Testing"</f>
        <v>Pre-Engineering, Design and Testing</v>
      </c>
      <c r="T2780">
        <v>0</v>
      </c>
      <c r="U2780">
        <v>405</v>
      </c>
      <c r="V2780">
        <v>421.2</v>
      </c>
      <c r="W2780" t="str">
        <f t="shared" si="691"/>
        <v>rob</v>
      </c>
    </row>
    <row r="2781" spans="1:23">
      <c r="A2781" t="str">
        <f t="shared" ref="A2781:A2798" si="706">"MTS-ER9P-2CNC-BF"</f>
        <v>MTS-ER9P-2CNC-BF</v>
      </c>
      <c r="B2781" t="str">
        <f>"00-0430-0000"</f>
        <v>00-0430-0000</v>
      </c>
      <c r="C2781" t="str">
        <f>"SCORBOT-ER9Pro"</f>
        <v>SCORBOT-ER9Pro</v>
      </c>
      <c r="D2781">
        <v>1</v>
      </c>
      <c r="E2781" t="str">
        <f t="shared" ref="E2781:E2798" si="707">"FMS - Scorbot ER9Pro Robot for Boxford Mill &amp; Turn CNC machines"</f>
        <v>FMS - Scorbot ER9Pro Robot for Boxford Mill &amp; Turn CNC machines</v>
      </c>
      <c r="F2781">
        <v>502</v>
      </c>
      <c r="G2781" t="str">
        <f t="shared" si="696"/>
        <v>Y</v>
      </c>
      <c r="H2781" t="str">
        <f t="shared" ref="H2781:H2797" si="708">"EA"</f>
        <v>EA</v>
      </c>
      <c r="I2781">
        <v>0</v>
      </c>
      <c r="J2781">
        <v>0</v>
      </c>
      <c r="K2781" t="str">
        <f t="shared" si="697"/>
        <v>Y</v>
      </c>
      <c r="L2781">
        <v>0</v>
      </c>
      <c r="M2781" t="str">
        <f t="shared" si="705"/>
        <v>NIS</v>
      </c>
      <c r="O2781">
        <v>1</v>
      </c>
      <c r="P2781" t="str">
        <f t="shared" si="701"/>
        <v>Active</v>
      </c>
      <c r="Q2781" t="str">
        <f>"SCORBOT-ER 9Pro (incl. USB-Pro Controller)"</f>
        <v>SCORBOT-ER 9Pro (incl. USB-Pro Controller)</v>
      </c>
      <c r="S2781" t="str">
        <f>"SCORBOT-ER 9Pro (incl. USB-Pro Controller)"</f>
        <v>SCORBOT-ER 9Pro (incl. USB-Pro Controller)</v>
      </c>
      <c r="T2781">
        <v>0</v>
      </c>
      <c r="U2781" s="44">
        <v>10900</v>
      </c>
      <c r="V2781" s="44">
        <v>11661.57</v>
      </c>
      <c r="W2781" t="str">
        <f t="shared" si="691"/>
        <v>rob</v>
      </c>
    </row>
    <row r="2782" spans="1:23">
      <c r="A2782" t="str">
        <f t="shared" si="706"/>
        <v>MTS-ER9P-2CNC-BF</v>
      </c>
      <c r="B2782" t="str">
        <f>"00-0633-0000"</f>
        <v>00-0633-0000</v>
      </c>
      <c r="C2782" t="str">
        <f>"Pneumatic Gripper for ER9-Pro"</f>
        <v>Pneumatic Gripper for ER9-Pro</v>
      </c>
      <c r="D2782">
        <v>1</v>
      </c>
      <c r="E2782" t="str">
        <f t="shared" si="707"/>
        <v>FMS - Scorbot ER9Pro Robot for Boxford Mill &amp; Turn CNC machines</v>
      </c>
      <c r="F2782">
        <v>502</v>
      </c>
      <c r="G2782" t="str">
        <f t="shared" si="696"/>
        <v>Y</v>
      </c>
      <c r="H2782" t="str">
        <f t="shared" si="708"/>
        <v>EA</v>
      </c>
      <c r="I2782">
        <v>0</v>
      </c>
      <c r="J2782">
        <v>0</v>
      </c>
      <c r="K2782" t="str">
        <f t="shared" si="697"/>
        <v>Y</v>
      </c>
      <c r="L2782">
        <v>0</v>
      </c>
      <c r="M2782" t="str">
        <f t="shared" si="705"/>
        <v>NIS</v>
      </c>
      <c r="O2782">
        <v>2</v>
      </c>
      <c r="P2782" t="str">
        <f t="shared" si="701"/>
        <v>Active</v>
      </c>
      <c r="Q2782" t="str">
        <f>"Pneumatic Gripper for ER 9Pro"</f>
        <v>Pneumatic Gripper for ER 9Pro</v>
      </c>
      <c r="S2782" t="str">
        <f>"Pneumatic Gripper for ER9-Pro"</f>
        <v>Pneumatic Gripper for ER9-Pro</v>
      </c>
      <c r="T2782">
        <v>0</v>
      </c>
      <c r="U2782">
        <v>630</v>
      </c>
      <c r="V2782">
        <v>624.72</v>
      </c>
      <c r="W2782" t="str">
        <f t="shared" si="691"/>
        <v>rob</v>
      </c>
    </row>
    <row r="2783" spans="1:23">
      <c r="A2783" t="str">
        <f t="shared" si="706"/>
        <v>MTS-ER9P-2CNC-BF</v>
      </c>
      <c r="B2783" t="str">
        <f>"00-1710-0000"</f>
        <v>00-1710-0000</v>
      </c>
      <c r="C2783" t="str">
        <f>"Teach Pendant"</f>
        <v>Teach Pendant</v>
      </c>
      <c r="D2783">
        <v>1</v>
      </c>
      <c r="E2783" t="str">
        <f t="shared" si="707"/>
        <v>FMS - Scorbot ER9Pro Robot for Boxford Mill &amp; Turn CNC machines</v>
      </c>
      <c r="F2783">
        <v>502</v>
      </c>
      <c r="G2783" t="str">
        <f t="shared" si="696"/>
        <v>Y</v>
      </c>
      <c r="H2783" t="str">
        <f t="shared" si="708"/>
        <v>EA</v>
      </c>
      <c r="I2783">
        <v>0</v>
      </c>
      <c r="J2783">
        <v>0</v>
      </c>
      <c r="K2783" t="str">
        <f t="shared" si="697"/>
        <v>Y</v>
      </c>
      <c r="L2783">
        <v>0</v>
      </c>
      <c r="M2783" t="str">
        <f t="shared" si="705"/>
        <v>NIS</v>
      </c>
      <c r="O2783">
        <v>3</v>
      </c>
      <c r="P2783" t="str">
        <f t="shared" si="701"/>
        <v>Active</v>
      </c>
      <c r="Q2783" t="str">
        <f>"Teach Pendant for USB/USB Pro Controllers"</f>
        <v>Teach Pendant for USB/USB Pro Controllers</v>
      </c>
      <c r="S2783" t="str">
        <f>"Teach Pendant for USB/USB Pro Controllers"</f>
        <v>Teach Pendant for USB/USB Pro Controllers</v>
      </c>
      <c r="T2783">
        <v>0</v>
      </c>
      <c r="U2783">
        <v>160.18</v>
      </c>
      <c r="V2783">
        <v>161.44999999999999</v>
      </c>
      <c r="W2783" t="str">
        <f t="shared" si="691"/>
        <v>rob</v>
      </c>
    </row>
    <row r="2784" spans="1:23">
      <c r="A2784" t="str">
        <f t="shared" si="706"/>
        <v>MTS-ER9P-2CNC-BF</v>
      </c>
      <c r="B2784" t="str">
        <f>"00-1017-0000"</f>
        <v>00-1017-0000</v>
      </c>
      <c r="C2784" t="str">
        <f>"LSB 1.8m, Belt, FM"</f>
        <v>LSB 1.8m, Belt, FM</v>
      </c>
      <c r="D2784">
        <v>1</v>
      </c>
      <c r="E2784" t="str">
        <f t="shared" si="707"/>
        <v>FMS - Scorbot ER9Pro Robot for Boxford Mill &amp; Turn CNC machines</v>
      </c>
      <c r="F2784">
        <v>502</v>
      </c>
      <c r="G2784" t="str">
        <f t="shared" si="696"/>
        <v>Y</v>
      </c>
      <c r="H2784" t="str">
        <f t="shared" si="708"/>
        <v>EA</v>
      </c>
      <c r="I2784">
        <v>0</v>
      </c>
      <c r="J2784">
        <v>0</v>
      </c>
      <c r="K2784" t="str">
        <f t="shared" si="697"/>
        <v>Y</v>
      </c>
      <c r="L2784">
        <v>0</v>
      </c>
      <c r="M2784" t="str">
        <f t="shared" si="705"/>
        <v>NIS</v>
      </c>
      <c r="O2784">
        <v>4</v>
      </c>
      <c r="P2784" t="str">
        <f t="shared" si="701"/>
        <v>Active</v>
      </c>
      <c r="Q2784" t="str">
        <f>"LSB 1.8m (Belt, Floor Mounted incl. Stand)"</f>
        <v>LSB 1.8m (Belt, Floor Mounted incl. Stand)</v>
      </c>
      <c r="S2784" t="str">
        <f>"LSB 1.8m, Belt, Floor Mounted incl. Stand"</f>
        <v>LSB 1.8m, Belt, Floor Mounted incl. Stand</v>
      </c>
      <c r="T2784">
        <v>0</v>
      </c>
      <c r="U2784" s="44">
        <v>2342.3000000000002</v>
      </c>
      <c r="V2784" s="44">
        <v>2266.2600000000002</v>
      </c>
      <c r="W2784" t="str">
        <f t="shared" si="691"/>
        <v>rob</v>
      </c>
    </row>
    <row r="2785" spans="1:23">
      <c r="A2785" t="str">
        <f t="shared" si="706"/>
        <v>MTS-ER9P-2CNC-BF</v>
      </c>
      <c r="B2785" t="str">
        <f>"00-1110-0000"</f>
        <v>00-1110-0000</v>
      </c>
      <c r="C2785" t="str">
        <f>"Palletizing Rack"</f>
        <v>Palletizing Rack</v>
      </c>
      <c r="D2785">
        <v>2</v>
      </c>
      <c r="E2785" t="str">
        <f t="shared" si="707"/>
        <v>FMS - Scorbot ER9Pro Robot for Boxford Mill &amp; Turn CNC machines</v>
      </c>
      <c r="F2785">
        <v>502</v>
      </c>
      <c r="G2785" t="str">
        <f t="shared" si="696"/>
        <v>Y</v>
      </c>
      <c r="H2785" t="str">
        <f t="shared" si="708"/>
        <v>EA</v>
      </c>
      <c r="I2785">
        <v>0</v>
      </c>
      <c r="J2785">
        <v>0</v>
      </c>
      <c r="K2785" t="str">
        <f t="shared" si="697"/>
        <v>Y</v>
      </c>
      <c r="L2785">
        <v>0</v>
      </c>
      <c r="M2785" t="str">
        <f t="shared" si="705"/>
        <v>NIS</v>
      </c>
      <c r="O2785">
        <v>5</v>
      </c>
      <c r="P2785" t="str">
        <f t="shared" si="701"/>
        <v>Active</v>
      </c>
      <c r="Q2785" t="str">
        <f>"Palletizing Rack (incl. Pins for creating Jigs)"</f>
        <v>Palletizing Rack (incl. Pins for creating Jigs)</v>
      </c>
      <c r="S2785" t="str">
        <f>"Palletizing Rack (incl. Pins for creating Jigs)"</f>
        <v>Palletizing Rack (incl. Pins for creating Jigs)</v>
      </c>
      <c r="T2785">
        <v>0</v>
      </c>
      <c r="U2785">
        <v>63</v>
      </c>
      <c r="V2785">
        <v>58.59</v>
      </c>
      <c r="W2785" t="str">
        <f t="shared" si="691"/>
        <v>rob</v>
      </c>
    </row>
    <row r="2786" spans="1:23">
      <c r="A2786" t="str">
        <f t="shared" si="706"/>
        <v>MTS-ER9P-2CNC-BF</v>
      </c>
      <c r="B2786" t="str">
        <f>"021182"</f>
        <v>021182</v>
      </c>
      <c r="C2786" t="str">
        <f>"97mm Height Adapter"</f>
        <v>97mm Height Adapter</v>
      </c>
      <c r="D2786">
        <v>2</v>
      </c>
      <c r="E2786" t="str">
        <f t="shared" si="707"/>
        <v>FMS - Scorbot ER9Pro Robot for Boxford Mill &amp; Turn CNC machines</v>
      </c>
      <c r="F2786">
        <v>502</v>
      </c>
      <c r="G2786" t="str">
        <f t="shared" si="696"/>
        <v>Y</v>
      </c>
      <c r="H2786" t="str">
        <f t="shared" si="708"/>
        <v>EA</v>
      </c>
      <c r="I2786">
        <v>0</v>
      </c>
      <c r="J2786">
        <v>0</v>
      </c>
      <c r="K2786" t="str">
        <f t="shared" si="697"/>
        <v>Y</v>
      </c>
      <c r="L2786">
        <v>0</v>
      </c>
      <c r="M2786" t="str">
        <f t="shared" si="705"/>
        <v>NIS</v>
      </c>
      <c r="O2786">
        <v>18</v>
      </c>
      <c r="P2786" t="str">
        <f t="shared" si="701"/>
        <v>Active</v>
      </c>
      <c r="Q2786" t="str">
        <f>"97mm Height Adapter -Rack 001110 on formica 28mm"</f>
        <v>97mm Height Adapter -Rack 001110 on formica 28mm</v>
      </c>
      <c r="S2786" t="str">
        <f>"97mm Height Adapter -Rack 001110 on formica 28mm"</f>
        <v>97mm Height Adapter -Rack 001110 on formica 28mm</v>
      </c>
      <c r="T2786">
        <v>0</v>
      </c>
      <c r="U2786">
        <v>7</v>
      </c>
      <c r="V2786">
        <v>5.5</v>
      </c>
      <c r="W2786" t="str">
        <f t="shared" ref="W2786:W2849" si="709">"rob"</f>
        <v>rob</v>
      </c>
    </row>
    <row r="2787" spans="1:23">
      <c r="A2787" t="str">
        <f t="shared" si="706"/>
        <v>MTS-ER9P-2CNC-BF</v>
      </c>
      <c r="B2787" t="str">
        <f>"10-1007-4000"</f>
        <v>10-1007-4000</v>
      </c>
      <c r="C2787" t="str">
        <f>"Gravity Parts Feeder (with microswitch sensor)"</f>
        <v>Gravity Parts Feeder (with microswitch sensor)</v>
      </c>
      <c r="D2787">
        <v>1</v>
      </c>
      <c r="E2787" t="str">
        <f t="shared" si="707"/>
        <v>FMS - Scorbot ER9Pro Robot for Boxford Mill &amp; Turn CNC machines</v>
      </c>
      <c r="F2787">
        <v>502</v>
      </c>
      <c r="G2787" t="str">
        <f t="shared" si="696"/>
        <v>Y</v>
      </c>
      <c r="H2787" t="str">
        <f t="shared" si="708"/>
        <v>EA</v>
      </c>
      <c r="I2787">
        <v>0</v>
      </c>
      <c r="J2787">
        <v>0</v>
      </c>
      <c r="K2787" t="str">
        <f t="shared" si="697"/>
        <v>Y</v>
      </c>
      <c r="L2787">
        <v>0</v>
      </c>
      <c r="M2787" t="str">
        <f t="shared" si="705"/>
        <v>NIS</v>
      </c>
      <c r="O2787">
        <v>6</v>
      </c>
      <c r="P2787" t="str">
        <f t="shared" si="701"/>
        <v>Active</v>
      </c>
      <c r="Q2787" t="str">
        <f>"Gravity Parts Feeder (incl.microswitch sensor)"</f>
        <v>Gravity Parts Feeder (incl.microswitch sensor)</v>
      </c>
      <c r="S2787" t="str">
        <f>"Gravity Parts Feeder (incl.microswitch sensor)"</f>
        <v>Gravity Parts Feeder (incl.microswitch sensor)</v>
      </c>
      <c r="T2787">
        <v>0</v>
      </c>
      <c r="U2787">
        <v>148</v>
      </c>
      <c r="V2787">
        <v>148.26</v>
      </c>
      <c r="W2787" t="str">
        <f t="shared" si="709"/>
        <v>rob</v>
      </c>
    </row>
    <row r="2788" spans="1:23">
      <c r="A2788" t="str">
        <f t="shared" si="706"/>
        <v>MTS-ER9P-2CNC-BF</v>
      </c>
      <c r="B2788" t="str">
        <f>"10-2521-7000"</f>
        <v>10-2521-7000</v>
      </c>
      <c r="C2788" t="str">
        <f>"Pneumatic Feeder for Rectangular products"</f>
        <v>Pneumatic Feeder for Rectangular products</v>
      </c>
      <c r="D2788">
        <v>1</v>
      </c>
      <c r="E2788" t="str">
        <f t="shared" si="707"/>
        <v>FMS - Scorbot ER9Pro Robot for Boxford Mill &amp; Turn CNC machines</v>
      </c>
      <c r="F2788">
        <v>502</v>
      </c>
      <c r="G2788" t="str">
        <f t="shared" si="696"/>
        <v>Y</v>
      </c>
      <c r="H2788" t="str">
        <f t="shared" si="708"/>
        <v>EA</v>
      </c>
      <c r="I2788">
        <v>0</v>
      </c>
      <c r="J2788">
        <v>0</v>
      </c>
      <c r="K2788" t="str">
        <f t="shared" si="697"/>
        <v>Y</v>
      </c>
      <c r="L2788">
        <v>0</v>
      </c>
      <c r="M2788" t="str">
        <f t="shared" si="705"/>
        <v>NIS</v>
      </c>
      <c r="O2788">
        <v>7</v>
      </c>
      <c r="P2788" t="str">
        <f t="shared" si="701"/>
        <v>Active</v>
      </c>
      <c r="Q2788" t="str">
        <f>"Pneumatic Feeder for Rectangular Parts"</f>
        <v>Pneumatic Feeder for Rectangular Parts</v>
      </c>
      <c r="S2788" t="str">
        <f>"Pneumatic Feeder for Rectangular Parts"</f>
        <v>Pneumatic Feeder for Rectangular Parts</v>
      </c>
      <c r="T2788">
        <v>0</v>
      </c>
      <c r="U2788">
        <v>595</v>
      </c>
      <c r="V2788">
        <v>555.15</v>
      </c>
      <c r="W2788" t="str">
        <f t="shared" si="709"/>
        <v>rob</v>
      </c>
    </row>
    <row r="2789" spans="1:23">
      <c r="A2789" t="str">
        <f t="shared" si="706"/>
        <v>MTS-ER9P-2CNC-BF</v>
      </c>
      <c r="B2789" t="str">
        <f>"034025"</f>
        <v>034025</v>
      </c>
      <c r="C2789" t="str">
        <f>"I/O Interface Box for Controller USB-PRO"</f>
        <v>I/O Interface Box for Controller USB-PRO</v>
      </c>
      <c r="D2789">
        <v>1</v>
      </c>
      <c r="E2789" t="str">
        <f t="shared" si="707"/>
        <v>FMS - Scorbot ER9Pro Robot for Boxford Mill &amp; Turn CNC machines</v>
      </c>
      <c r="F2789">
        <v>502</v>
      </c>
      <c r="G2789" t="str">
        <f t="shared" si="696"/>
        <v>Y</v>
      </c>
      <c r="H2789" t="str">
        <f t="shared" si="708"/>
        <v>EA</v>
      </c>
      <c r="I2789">
        <v>0</v>
      </c>
      <c r="J2789">
        <v>0</v>
      </c>
      <c r="K2789" t="str">
        <f t="shared" si="697"/>
        <v>Y</v>
      </c>
      <c r="L2789">
        <v>0</v>
      </c>
      <c r="M2789" t="str">
        <f t="shared" si="705"/>
        <v>NIS</v>
      </c>
      <c r="O2789">
        <v>8</v>
      </c>
      <c r="P2789" t="str">
        <f t="shared" si="701"/>
        <v>Active</v>
      </c>
      <c r="Q2789" t="str">
        <f>"I/O Interface Box for Controller USB-PRO"</f>
        <v>I/O Interface Box for Controller USB-PRO</v>
      </c>
      <c r="S2789" t="str">
        <f>"קופסת 2+Interface Box I/O כבלים לבקר USBPRO"</f>
        <v>קופסת 2+Interface Box I/O כבלים לבקר USBPRO</v>
      </c>
      <c r="T2789">
        <v>0</v>
      </c>
      <c r="U2789">
        <v>470</v>
      </c>
      <c r="V2789">
        <v>463.62</v>
      </c>
      <c r="W2789" t="str">
        <f t="shared" si="709"/>
        <v>rob</v>
      </c>
    </row>
    <row r="2790" spans="1:23">
      <c r="A2790" t="str">
        <f t="shared" si="706"/>
        <v>MTS-ER9P-2CNC-BF</v>
      </c>
      <c r="B2790" t="str">
        <f>"10-2118-4000"</f>
        <v>10-2118-4000</v>
      </c>
      <c r="C2790" t="str">
        <f>"CNC Interface with Boxford Mill"</f>
        <v>CNC Interface with Boxford Mill</v>
      </c>
      <c r="D2790">
        <v>1</v>
      </c>
      <c r="E2790" t="str">
        <f t="shared" si="707"/>
        <v>FMS - Scorbot ER9Pro Robot for Boxford Mill &amp; Turn CNC machines</v>
      </c>
      <c r="F2790">
        <v>502</v>
      </c>
      <c r="G2790" t="str">
        <f t="shared" si="696"/>
        <v>Y</v>
      </c>
      <c r="H2790" t="str">
        <f t="shared" si="708"/>
        <v>EA</v>
      </c>
      <c r="I2790">
        <v>0</v>
      </c>
      <c r="J2790">
        <v>0</v>
      </c>
      <c r="K2790" t="str">
        <f t="shared" si="697"/>
        <v>Y</v>
      </c>
      <c r="L2790">
        <v>0</v>
      </c>
      <c r="M2790" t="str">
        <f t="shared" si="705"/>
        <v>NIS</v>
      </c>
      <c r="O2790">
        <v>9</v>
      </c>
      <c r="P2790" t="str">
        <f t="shared" si="701"/>
        <v>Active</v>
      </c>
      <c r="Q2790" t="str">
        <f>"CNC Interface with Boxford Mill"</f>
        <v>CNC Interface with Boxford Mill</v>
      </c>
      <c r="S2790" t="str">
        <f>"CNC Interface with Boxford Mill"</f>
        <v>CNC Interface with Boxford Mill</v>
      </c>
      <c r="T2790">
        <v>0</v>
      </c>
      <c r="U2790">
        <v>250</v>
      </c>
      <c r="V2790">
        <v>10.130000000000001</v>
      </c>
      <c r="W2790" t="str">
        <f t="shared" si="709"/>
        <v>rob</v>
      </c>
    </row>
    <row r="2791" spans="1:23">
      <c r="A2791" t="str">
        <f t="shared" si="706"/>
        <v>MTS-ER9P-2CNC-BF</v>
      </c>
      <c r="B2791" t="str">
        <f>"10-2118-5000"</f>
        <v>10-2118-5000</v>
      </c>
      <c r="C2791" t="str">
        <f>"CNC Interface with Boxford Turn"</f>
        <v>CNC Interface with Boxford Turn</v>
      </c>
      <c r="D2791">
        <v>1</v>
      </c>
      <c r="E2791" t="str">
        <f t="shared" si="707"/>
        <v>FMS - Scorbot ER9Pro Robot for Boxford Mill &amp; Turn CNC machines</v>
      </c>
      <c r="F2791">
        <v>502</v>
      </c>
      <c r="G2791" t="str">
        <f t="shared" si="696"/>
        <v>Y</v>
      </c>
      <c r="H2791" t="str">
        <f t="shared" si="708"/>
        <v>EA</v>
      </c>
      <c r="I2791">
        <v>0</v>
      </c>
      <c r="J2791">
        <v>0</v>
      </c>
      <c r="K2791" t="str">
        <f t="shared" si="697"/>
        <v>Y</v>
      </c>
      <c r="L2791">
        <v>0</v>
      </c>
      <c r="M2791" t="str">
        <f t="shared" si="705"/>
        <v>NIS</v>
      </c>
      <c r="O2791">
        <v>10</v>
      </c>
      <c r="P2791" t="str">
        <f t="shared" si="701"/>
        <v>Active</v>
      </c>
      <c r="Q2791" t="str">
        <f>"CNC Interface with Boxford Turn"</f>
        <v>CNC Interface with Boxford Turn</v>
      </c>
      <c r="S2791" t="str">
        <f>"CNC Interface with Boxford Turn"</f>
        <v>CNC Interface with Boxford Turn</v>
      </c>
      <c r="T2791">
        <v>0</v>
      </c>
      <c r="U2791">
        <v>15.96</v>
      </c>
      <c r="V2791">
        <v>10.130000000000001</v>
      </c>
      <c r="W2791" t="str">
        <f t="shared" si="709"/>
        <v>rob</v>
      </c>
    </row>
    <row r="2792" spans="1:23">
      <c r="A2792" t="str">
        <f t="shared" si="706"/>
        <v>MTS-ER9P-2CNC-BF</v>
      </c>
      <c r="B2792" t="str">
        <f>"10-2116-2000"</f>
        <v>10-2116-2000</v>
      </c>
      <c r="C2792" t="str">
        <f>"Pneumatic Flip Device for 3rd Party CNC Mill"</f>
        <v>Pneumatic Flip Device for 3rd Party CNC Mill</v>
      </c>
      <c r="D2792">
        <v>1</v>
      </c>
      <c r="E2792" t="str">
        <f t="shared" si="707"/>
        <v>FMS - Scorbot ER9Pro Robot for Boxford Mill &amp; Turn CNC machines</v>
      </c>
      <c r="F2792">
        <v>502</v>
      </c>
      <c r="G2792" t="str">
        <f t="shared" si="696"/>
        <v>Y</v>
      </c>
      <c r="H2792" t="str">
        <f t="shared" si="708"/>
        <v>EA</v>
      </c>
      <c r="I2792">
        <v>0</v>
      </c>
      <c r="J2792">
        <v>0</v>
      </c>
      <c r="K2792" t="str">
        <f t="shared" si="697"/>
        <v>Y</v>
      </c>
      <c r="L2792">
        <v>0</v>
      </c>
      <c r="M2792" t="str">
        <f t="shared" si="705"/>
        <v>NIS</v>
      </c>
      <c r="O2792">
        <v>11</v>
      </c>
      <c r="P2792" t="str">
        <f t="shared" si="701"/>
        <v>Active</v>
      </c>
      <c r="Q2792" t="str">
        <f>"Pneumatic Flip Device"</f>
        <v>Pneumatic Flip Device</v>
      </c>
      <c r="S2792" t="str">
        <f>"Pneumatic Flip Device"</f>
        <v>Pneumatic Flip Device</v>
      </c>
      <c r="T2792">
        <v>0</v>
      </c>
      <c r="U2792">
        <v>503.58</v>
      </c>
      <c r="V2792">
        <v>467.47</v>
      </c>
      <c r="W2792" t="str">
        <f t="shared" si="709"/>
        <v>rob</v>
      </c>
    </row>
    <row r="2793" spans="1:23">
      <c r="A2793" t="str">
        <f t="shared" si="706"/>
        <v>MTS-ER9P-2CNC-BF</v>
      </c>
      <c r="B2793" t="str">
        <f>"021152"</f>
        <v>021152</v>
      </c>
      <c r="C2793" t="str">
        <f>"Shelf Buffer for CIM conveyor"</f>
        <v>Shelf Buffer for CIM conveyor</v>
      </c>
      <c r="D2793">
        <v>2</v>
      </c>
      <c r="E2793" t="str">
        <f t="shared" si="707"/>
        <v>FMS - Scorbot ER9Pro Robot for Boxford Mill &amp; Turn CNC machines</v>
      </c>
      <c r="F2793">
        <v>502</v>
      </c>
      <c r="G2793" t="str">
        <f t="shared" si="696"/>
        <v>Y</v>
      </c>
      <c r="H2793" t="str">
        <f t="shared" si="708"/>
        <v>EA</v>
      </c>
      <c r="I2793">
        <v>0</v>
      </c>
      <c r="J2793">
        <v>0</v>
      </c>
      <c r="K2793" t="str">
        <f t="shared" si="697"/>
        <v>Y</v>
      </c>
      <c r="L2793">
        <v>0</v>
      </c>
      <c r="M2793" t="str">
        <f t="shared" si="705"/>
        <v>NIS</v>
      </c>
      <c r="O2793">
        <v>12</v>
      </c>
      <c r="P2793" t="str">
        <f t="shared" si="701"/>
        <v>Active</v>
      </c>
      <c r="Q2793" t="str">
        <f>"מכלול- מדף בפר סטנדרטי OPEN-CIM"</f>
        <v>מכלול- מדף בפר סטנדרטי OPEN-CIM</v>
      </c>
      <c r="R2793" t="str">
        <f>"1"</f>
        <v>1</v>
      </c>
      <c r="S2793" t="str">
        <f>"מכלול- מדף בפר סטנדרטי OPEN-CIM"</f>
        <v>מכלול- מדף בפר סטנדרטי OPEN-CIM</v>
      </c>
      <c r="T2793">
        <v>0</v>
      </c>
      <c r="U2793">
        <v>83.12</v>
      </c>
      <c r="V2793">
        <v>92.76</v>
      </c>
      <c r="W2793" t="str">
        <f t="shared" si="709"/>
        <v>rob</v>
      </c>
    </row>
    <row r="2794" spans="1:23">
      <c r="A2794" t="str">
        <f t="shared" si="706"/>
        <v>MTS-ER9P-2CNC-BF</v>
      </c>
      <c r="B2794" t="str">
        <f>"113034"</f>
        <v>113034</v>
      </c>
      <c r="C2794" t="str">
        <f>"Raw Material - Perspex Block"</f>
        <v>Raw Material - Perspex Block</v>
      </c>
      <c r="D2794">
        <v>50</v>
      </c>
      <c r="E2794" t="str">
        <f t="shared" si="707"/>
        <v>FMS - Scorbot ER9Pro Robot for Boxford Mill &amp; Turn CNC machines</v>
      </c>
      <c r="F2794">
        <v>502</v>
      </c>
      <c r="G2794" t="str">
        <f t="shared" si="696"/>
        <v>Y</v>
      </c>
      <c r="H2794" t="str">
        <f t="shared" si="708"/>
        <v>EA</v>
      </c>
      <c r="I2794">
        <v>0</v>
      </c>
      <c r="J2794">
        <v>0</v>
      </c>
      <c r="K2794" t="str">
        <f t="shared" si="697"/>
        <v>Y</v>
      </c>
      <c r="L2794">
        <v>0</v>
      </c>
      <c r="M2794" t="str">
        <f t="shared" si="705"/>
        <v>NIS</v>
      </c>
      <c r="O2794">
        <v>13</v>
      </c>
      <c r="P2794" t="str">
        <f t="shared" si="701"/>
        <v>Active</v>
      </c>
      <c r="Q2794" t="str">
        <f>"Raw Material Stock - Perspex Block"</f>
        <v>Raw Material Stock - Perspex Block</v>
      </c>
      <c r="S2794" t="str">
        <f>"Raw Material Stock - Perspex Block"</f>
        <v>Raw Material Stock - Perspex Block</v>
      </c>
      <c r="T2794">
        <v>0</v>
      </c>
      <c r="U2794">
        <v>1.1000000000000001</v>
      </c>
      <c r="V2794">
        <v>1.0900000000000001</v>
      </c>
      <c r="W2794" t="str">
        <f t="shared" si="709"/>
        <v>rob</v>
      </c>
    </row>
    <row r="2795" spans="1:23">
      <c r="A2795" t="str">
        <f t="shared" si="706"/>
        <v>MTS-ER9P-2CNC-BF</v>
      </c>
      <c r="B2795" t="str">
        <f>"112496"</f>
        <v>112496</v>
      </c>
      <c r="C2795" t="str">
        <f>"Raw Material - Brass  Rod"</f>
        <v>Raw Material - Brass  Rod</v>
      </c>
      <c r="D2795">
        <v>50</v>
      </c>
      <c r="E2795" t="str">
        <f t="shared" si="707"/>
        <v>FMS - Scorbot ER9Pro Robot for Boxford Mill &amp; Turn CNC machines</v>
      </c>
      <c r="F2795">
        <v>502</v>
      </c>
      <c r="G2795" t="str">
        <f t="shared" si="696"/>
        <v>Y</v>
      </c>
      <c r="H2795" t="str">
        <f t="shared" si="708"/>
        <v>EA</v>
      </c>
      <c r="I2795">
        <v>0</v>
      </c>
      <c r="J2795">
        <v>0</v>
      </c>
      <c r="K2795" t="str">
        <f t="shared" si="697"/>
        <v>Y</v>
      </c>
      <c r="L2795">
        <v>0</v>
      </c>
      <c r="M2795" t="str">
        <f t="shared" si="705"/>
        <v>NIS</v>
      </c>
      <c r="O2795">
        <v>14</v>
      </c>
      <c r="P2795" t="str">
        <f t="shared" si="701"/>
        <v>Active</v>
      </c>
      <c r="Q2795" t="str">
        <f>"Raw Material Stock - Brass  Rod"</f>
        <v>Raw Material Stock - Brass  Rod</v>
      </c>
      <c r="S2795" t="str">
        <f>"Raw Material Stock - Brass  Rod"</f>
        <v>Raw Material Stock - Brass  Rod</v>
      </c>
      <c r="T2795">
        <v>0</v>
      </c>
      <c r="U2795">
        <v>3.67</v>
      </c>
      <c r="V2795">
        <v>2.69</v>
      </c>
      <c r="W2795" t="str">
        <f t="shared" si="709"/>
        <v>rob</v>
      </c>
    </row>
    <row r="2796" spans="1:23">
      <c r="A2796" t="str">
        <f t="shared" si="706"/>
        <v>MTS-ER9P-2CNC-BF</v>
      </c>
      <c r="B2796" t="str">
        <f>"00-1251-0000"</f>
        <v>00-1251-0000</v>
      </c>
      <c r="C2796" t="str">
        <f>"Workbench 1500x800mm (Formica Top)"</f>
        <v>Workbench 1500x800mm (Formica Top)</v>
      </c>
      <c r="D2796">
        <v>1</v>
      </c>
      <c r="E2796" t="str">
        <f t="shared" si="707"/>
        <v>FMS - Scorbot ER9Pro Robot for Boxford Mill &amp; Turn CNC machines</v>
      </c>
      <c r="F2796">
        <v>502</v>
      </c>
      <c r="G2796" t="str">
        <f t="shared" si="696"/>
        <v>Y</v>
      </c>
      <c r="H2796" t="str">
        <f t="shared" si="708"/>
        <v>EA</v>
      </c>
      <c r="I2796">
        <v>0</v>
      </c>
      <c r="J2796">
        <v>0</v>
      </c>
      <c r="K2796" t="str">
        <f t="shared" si="697"/>
        <v>Y</v>
      </c>
      <c r="L2796">
        <v>0</v>
      </c>
      <c r="M2796" t="str">
        <f t="shared" si="705"/>
        <v>NIS</v>
      </c>
      <c r="O2796">
        <v>15</v>
      </c>
      <c r="P2796" t="str">
        <f t="shared" si="701"/>
        <v>Active</v>
      </c>
      <c r="Q2796" t="str">
        <f>"Workbench 1500x800mm (Formica Top)"</f>
        <v>Workbench 1500x800mm (Formica Top)</v>
      </c>
      <c r="S2796" t="str">
        <f>"Workbench 1500x800mm (Formica Top)"</f>
        <v>Workbench 1500x800mm (Formica Top)</v>
      </c>
      <c r="T2796">
        <v>0</v>
      </c>
      <c r="U2796">
        <v>582</v>
      </c>
      <c r="V2796">
        <v>588.6</v>
      </c>
      <c r="W2796" t="str">
        <f t="shared" si="709"/>
        <v>rob</v>
      </c>
    </row>
    <row r="2797" spans="1:23">
      <c r="A2797" t="str">
        <f t="shared" si="706"/>
        <v>MTS-ER9P-2CNC-BF</v>
      </c>
      <c r="B2797" t="str">
        <f>"00-1290-0000"</f>
        <v>00-1290-0000</v>
      </c>
      <c r="C2797" t="str">
        <f>"PC Table 630x800mm (with Keyboard Drawer)"</f>
        <v>PC Table 630x800mm (with Keyboard Drawer)</v>
      </c>
      <c r="D2797">
        <v>1</v>
      </c>
      <c r="E2797" t="str">
        <f t="shared" si="707"/>
        <v>FMS - Scorbot ER9Pro Robot for Boxford Mill &amp; Turn CNC machines</v>
      </c>
      <c r="F2797">
        <v>502</v>
      </c>
      <c r="G2797" t="str">
        <f t="shared" si="696"/>
        <v>Y</v>
      </c>
      <c r="H2797" t="str">
        <f t="shared" si="708"/>
        <v>EA</v>
      </c>
      <c r="I2797">
        <v>0</v>
      </c>
      <c r="J2797">
        <v>0</v>
      </c>
      <c r="K2797" t="str">
        <f t="shared" si="697"/>
        <v>Y</v>
      </c>
      <c r="L2797">
        <v>0</v>
      </c>
      <c r="M2797" t="str">
        <f t="shared" si="705"/>
        <v>NIS</v>
      </c>
      <c r="O2797">
        <v>16</v>
      </c>
      <c r="P2797" t="str">
        <f t="shared" si="701"/>
        <v>Active</v>
      </c>
      <c r="Q2797" t="str">
        <f>"PC Table 630x800mm (with Keyboard Drawer)"</f>
        <v>PC Table 630x800mm (with Keyboard Drawer)</v>
      </c>
      <c r="S2797" t="str">
        <f>"PC Table 630x800mm (with Keyboard Drawer)"</f>
        <v>PC Table 630x800mm (with Keyboard Drawer)</v>
      </c>
      <c r="T2797">
        <v>0</v>
      </c>
      <c r="U2797">
        <v>405.86</v>
      </c>
      <c r="V2797">
        <v>329.34</v>
      </c>
      <c r="W2797" t="str">
        <f t="shared" si="709"/>
        <v>rob</v>
      </c>
    </row>
    <row r="2798" spans="1:23">
      <c r="A2798" t="str">
        <f t="shared" si="706"/>
        <v>MTS-ER9P-2CNC-BF</v>
      </c>
      <c r="B2798" t="str">
        <f>"50-0094-0000"</f>
        <v>50-0094-0000</v>
      </c>
      <c r="C2798" t="str">
        <f>"Pre-Engineering, Design and Testing"</f>
        <v>Pre-Engineering, Design and Testing</v>
      </c>
      <c r="D2798">
        <v>1</v>
      </c>
      <c r="E2798" t="str">
        <f t="shared" si="707"/>
        <v>FMS - Scorbot ER9Pro Robot for Boxford Mill &amp; Turn CNC machines</v>
      </c>
      <c r="F2798">
        <v>502</v>
      </c>
      <c r="G2798" t="str">
        <f t="shared" si="696"/>
        <v>Y</v>
      </c>
      <c r="H2798" t="str">
        <f>"DA"</f>
        <v>DA</v>
      </c>
      <c r="I2798">
        <v>0</v>
      </c>
      <c r="J2798">
        <v>0</v>
      </c>
      <c r="K2798" t="str">
        <f t="shared" si="697"/>
        <v>Y</v>
      </c>
      <c r="L2798">
        <v>0</v>
      </c>
      <c r="M2798" t="str">
        <f t="shared" si="705"/>
        <v>NIS</v>
      </c>
      <c r="O2798">
        <v>17</v>
      </c>
      <c r="P2798" t="str">
        <f t="shared" si="701"/>
        <v>Active</v>
      </c>
      <c r="Q2798" t="str">
        <f>"Pre-Engineering, Design and Testing"</f>
        <v>Pre-Engineering, Design and Testing</v>
      </c>
      <c r="S2798" t="str">
        <f>"Pre-Engineering, Design and Testing"</f>
        <v>Pre-Engineering, Design and Testing</v>
      </c>
      <c r="T2798">
        <v>0</v>
      </c>
      <c r="U2798">
        <v>405</v>
      </c>
      <c r="V2798">
        <v>421.2</v>
      </c>
      <c r="W2798" t="str">
        <f t="shared" si="709"/>
        <v>rob</v>
      </c>
    </row>
    <row r="2799" spans="1:23">
      <c r="A2799" t="str">
        <f t="shared" ref="A2799:A2817" si="710">"MTS-ER9P-2CNC-EM"</f>
        <v>MTS-ER9P-2CNC-EM</v>
      </c>
      <c r="B2799" t="str">
        <f>"00-0430-0000"</f>
        <v>00-0430-0000</v>
      </c>
      <c r="C2799" t="str">
        <f>"SCORBOT-ER9Pro"</f>
        <v>SCORBOT-ER9Pro</v>
      </c>
      <c r="D2799">
        <v>1</v>
      </c>
      <c r="E2799" t="str">
        <f t="shared" ref="E2799:E2817" si="711">"FMS - Scorbot ER9Pro Robot for EMCO CNC Mill &amp; Turn machines"</f>
        <v>FMS - Scorbot ER9Pro Robot for EMCO CNC Mill &amp; Turn machines</v>
      </c>
      <c r="F2799">
        <v>502</v>
      </c>
      <c r="G2799" t="str">
        <f t="shared" si="696"/>
        <v>Y</v>
      </c>
      <c r="H2799" t="str">
        <f t="shared" ref="H2799:H2816" si="712">"EA"</f>
        <v>EA</v>
      </c>
      <c r="I2799">
        <v>0</v>
      </c>
      <c r="J2799">
        <v>0</v>
      </c>
      <c r="K2799" t="str">
        <f t="shared" si="697"/>
        <v>Y</v>
      </c>
      <c r="L2799">
        <v>0</v>
      </c>
      <c r="M2799" t="str">
        <f t="shared" si="705"/>
        <v>NIS</v>
      </c>
      <c r="O2799">
        <v>1</v>
      </c>
      <c r="P2799" t="str">
        <f t="shared" ref="P2799:P2830" si="713">"Active"</f>
        <v>Active</v>
      </c>
      <c r="Q2799" t="str">
        <f>"SCORBOT-ER 9Pro (incl. USB-Pro Controller)"</f>
        <v>SCORBOT-ER 9Pro (incl. USB-Pro Controller)</v>
      </c>
      <c r="S2799" t="str">
        <f>"SCORBOT-ER 9Pro (incl. USB-Pro Controller)"</f>
        <v>SCORBOT-ER 9Pro (incl. USB-Pro Controller)</v>
      </c>
      <c r="T2799">
        <v>0</v>
      </c>
      <c r="U2799" s="44">
        <v>10900</v>
      </c>
      <c r="V2799" s="44">
        <v>11661.57</v>
      </c>
      <c r="W2799" t="str">
        <f t="shared" si="709"/>
        <v>rob</v>
      </c>
    </row>
    <row r="2800" spans="1:23">
      <c r="A2800" t="str">
        <f t="shared" si="710"/>
        <v>MTS-ER9P-2CNC-EM</v>
      </c>
      <c r="B2800" t="str">
        <f>"00-0633-0000"</f>
        <v>00-0633-0000</v>
      </c>
      <c r="C2800" t="str">
        <f>"Pneumatic Gripper for ER9-Pro"</f>
        <v>Pneumatic Gripper for ER9-Pro</v>
      </c>
      <c r="D2800">
        <v>1</v>
      </c>
      <c r="E2800" t="str">
        <f t="shared" si="711"/>
        <v>FMS - Scorbot ER9Pro Robot for EMCO CNC Mill &amp; Turn machines</v>
      </c>
      <c r="F2800">
        <v>502</v>
      </c>
      <c r="G2800" t="str">
        <f t="shared" si="696"/>
        <v>Y</v>
      </c>
      <c r="H2800" t="str">
        <f t="shared" si="712"/>
        <v>EA</v>
      </c>
      <c r="I2800">
        <v>0</v>
      </c>
      <c r="J2800">
        <v>0</v>
      </c>
      <c r="K2800" t="str">
        <f t="shared" si="697"/>
        <v>Y</v>
      </c>
      <c r="L2800">
        <v>0</v>
      </c>
      <c r="M2800" t="str">
        <f t="shared" si="705"/>
        <v>NIS</v>
      </c>
      <c r="O2800">
        <v>2</v>
      </c>
      <c r="P2800" t="str">
        <f t="shared" si="713"/>
        <v>Active</v>
      </c>
      <c r="Q2800" t="str">
        <f>"Pneumatic Gripper for ER 9Pro"</f>
        <v>Pneumatic Gripper for ER 9Pro</v>
      </c>
      <c r="S2800" t="str">
        <f>"Pneumatic Gripper for ER9-Pro"</f>
        <v>Pneumatic Gripper for ER9-Pro</v>
      </c>
      <c r="T2800">
        <v>0</v>
      </c>
      <c r="U2800">
        <v>630</v>
      </c>
      <c r="V2800">
        <v>624.72</v>
      </c>
      <c r="W2800" t="str">
        <f t="shared" si="709"/>
        <v>rob</v>
      </c>
    </row>
    <row r="2801" spans="1:23">
      <c r="A2801" t="str">
        <f t="shared" si="710"/>
        <v>MTS-ER9P-2CNC-EM</v>
      </c>
      <c r="B2801" t="str">
        <f>"00-1710-0000"</f>
        <v>00-1710-0000</v>
      </c>
      <c r="C2801" t="str">
        <f>"Teach Pendant"</f>
        <v>Teach Pendant</v>
      </c>
      <c r="D2801">
        <v>1</v>
      </c>
      <c r="E2801" t="str">
        <f t="shared" si="711"/>
        <v>FMS - Scorbot ER9Pro Robot for EMCO CNC Mill &amp; Turn machines</v>
      </c>
      <c r="F2801">
        <v>502</v>
      </c>
      <c r="G2801" t="str">
        <f t="shared" si="696"/>
        <v>Y</v>
      </c>
      <c r="H2801" t="str">
        <f t="shared" si="712"/>
        <v>EA</v>
      </c>
      <c r="I2801">
        <v>0</v>
      </c>
      <c r="J2801">
        <v>0</v>
      </c>
      <c r="K2801" t="str">
        <f t="shared" si="697"/>
        <v>Y</v>
      </c>
      <c r="L2801">
        <v>0</v>
      </c>
      <c r="M2801" t="str">
        <f t="shared" si="705"/>
        <v>NIS</v>
      </c>
      <c r="O2801">
        <v>3</v>
      </c>
      <c r="P2801" t="str">
        <f t="shared" si="713"/>
        <v>Active</v>
      </c>
      <c r="Q2801" t="str">
        <f>"Teach Pendant for USB/USB Pro Controllers"</f>
        <v>Teach Pendant for USB/USB Pro Controllers</v>
      </c>
      <c r="S2801" t="str">
        <f>"Teach Pendant for USB/USB Pro Controllers"</f>
        <v>Teach Pendant for USB/USB Pro Controllers</v>
      </c>
      <c r="T2801">
        <v>0</v>
      </c>
      <c r="U2801">
        <v>160.18</v>
      </c>
      <c r="V2801">
        <v>161.44999999999999</v>
      </c>
      <c r="W2801" t="str">
        <f t="shared" si="709"/>
        <v>rob</v>
      </c>
    </row>
    <row r="2802" spans="1:23">
      <c r="A2802" t="str">
        <f t="shared" si="710"/>
        <v>MTS-ER9P-2CNC-EM</v>
      </c>
      <c r="B2802" t="str">
        <f>"00-1017-0000"</f>
        <v>00-1017-0000</v>
      </c>
      <c r="C2802" t="str">
        <f>"LSB 1.8m, Belt, FM"</f>
        <v>LSB 1.8m, Belt, FM</v>
      </c>
      <c r="D2802">
        <v>1</v>
      </c>
      <c r="E2802" t="str">
        <f t="shared" si="711"/>
        <v>FMS - Scorbot ER9Pro Robot for EMCO CNC Mill &amp; Turn machines</v>
      </c>
      <c r="F2802">
        <v>502</v>
      </c>
      <c r="G2802" t="str">
        <f t="shared" si="696"/>
        <v>Y</v>
      </c>
      <c r="H2802" t="str">
        <f t="shared" si="712"/>
        <v>EA</v>
      </c>
      <c r="I2802">
        <v>0</v>
      </c>
      <c r="J2802">
        <v>0</v>
      </c>
      <c r="K2802" t="str">
        <f t="shared" si="697"/>
        <v>Y</v>
      </c>
      <c r="L2802">
        <v>0</v>
      </c>
      <c r="M2802" t="str">
        <f t="shared" si="705"/>
        <v>NIS</v>
      </c>
      <c r="O2802">
        <v>4</v>
      </c>
      <c r="P2802" t="str">
        <f t="shared" si="713"/>
        <v>Active</v>
      </c>
      <c r="Q2802" t="str">
        <f>"LSB 1.8m (Belt, Floor Mounted incl. Stand)"</f>
        <v>LSB 1.8m (Belt, Floor Mounted incl. Stand)</v>
      </c>
      <c r="S2802" t="str">
        <f>"LSB 1.8m, Belt, Floor Mounted incl. Stand"</f>
        <v>LSB 1.8m, Belt, Floor Mounted incl. Stand</v>
      </c>
      <c r="T2802">
        <v>0</v>
      </c>
      <c r="U2802" s="44">
        <v>2342.3000000000002</v>
      </c>
      <c r="V2802" s="44">
        <v>2266.2600000000002</v>
      </c>
      <c r="W2802" t="str">
        <f t="shared" si="709"/>
        <v>rob</v>
      </c>
    </row>
    <row r="2803" spans="1:23">
      <c r="A2803" t="str">
        <f t="shared" si="710"/>
        <v>MTS-ER9P-2CNC-EM</v>
      </c>
      <c r="B2803" t="str">
        <f>"00-1110-0000"</f>
        <v>00-1110-0000</v>
      </c>
      <c r="C2803" t="str">
        <f>"Palletizing Rack"</f>
        <v>Palletizing Rack</v>
      </c>
      <c r="D2803">
        <v>2</v>
      </c>
      <c r="E2803" t="str">
        <f t="shared" si="711"/>
        <v>FMS - Scorbot ER9Pro Robot for EMCO CNC Mill &amp; Turn machines</v>
      </c>
      <c r="F2803">
        <v>502</v>
      </c>
      <c r="G2803" t="str">
        <f t="shared" si="696"/>
        <v>Y</v>
      </c>
      <c r="H2803" t="str">
        <f t="shared" si="712"/>
        <v>EA</v>
      </c>
      <c r="I2803">
        <v>0</v>
      </c>
      <c r="J2803">
        <v>0</v>
      </c>
      <c r="K2803" t="str">
        <f t="shared" si="697"/>
        <v>Y</v>
      </c>
      <c r="L2803">
        <v>0</v>
      </c>
      <c r="M2803" t="str">
        <f t="shared" si="705"/>
        <v>NIS</v>
      </c>
      <c r="O2803">
        <v>5</v>
      </c>
      <c r="P2803" t="str">
        <f t="shared" si="713"/>
        <v>Active</v>
      </c>
      <c r="Q2803" t="str">
        <f>"Palletizing Rack (incl. Pins for creating Jigs)"</f>
        <v>Palletizing Rack (incl. Pins for creating Jigs)</v>
      </c>
      <c r="S2803" t="str">
        <f>"Palletizing Rack (incl. Pins for creating Jigs)"</f>
        <v>Palletizing Rack (incl. Pins for creating Jigs)</v>
      </c>
      <c r="T2803">
        <v>0</v>
      </c>
      <c r="U2803">
        <v>63</v>
      </c>
      <c r="V2803">
        <v>58.59</v>
      </c>
      <c r="W2803" t="str">
        <f t="shared" si="709"/>
        <v>rob</v>
      </c>
    </row>
    <row r="2804" spans="1:23">
      <c r="A2804" t="str">
        <f t="shared" si="710"/>
        <v>MTS-ER9P-2CNC-EM</v>
      </c>
      <c r="B2804" t="str">
        <f>"021182"</f>
        <v>021182</v>
      </c>
      <c r="C2804" t="str">
        <f>"97mm Height Adapter"</f>
        <v>97mm Height Adapter</v>
      </c>
      <c r="D2804">
        <v>2</v>
      </c>
      <c r="E2804" t="str">
        <f t="shared" si="711"/>
        <v>FMS - Scorbot ER9Pro Robot for EMCO CNC Mill &amp; Turn machines</v>
      </c>
      <c r="F2804">
        <v>502</v>
      </c>
      <c r="G2804" t="str">
        <f t="shared" si="696"/>
        <v>Y</v>
      </c>
      <c r="H2804" t="str">
        <f t="shared" si="712"/>
        <v>EA</v>
      </c>
      <c r="I2804">
        <v>0</v>
      </c>
      <c r="J2804">
        <v>0</v>
      </c>
      <c r="K2804" t="str">
        <f t="shared" si="697"/>
        <v>Y</v>
      </c>
      <c r="L2804">
        <v>0</v>
      </c>
      <c r="M2804" t="str">
        <f t="shared" si="705"/>
        <v>NIS</v>
      </c>
      <c r="O2804">
        <v>19</v>
      </c>
      <c r="P2804" t="str">
        <f t="shared" si="713"/>
        <v>Active</v>
      </c>
      <c r="Q2804" t="str">
        <f>"97mm Height Adapter -Rack 001110 on formica 28mm"</f>
        <v>97mm Height Adapter -Rack 001110 on formica 28mm</v>
      </c>
      <c r="S2804" t="str">
        <f>"97mm Height Adapter -Rack 001110 on formica 28mm"</f>
        <v>97mm Height Adapter -Rack 001110 on formica 28mm</v>
      </c>
      <c r="T2804">
        <v>0</v>
      </c>
      <c r="U2804">
        <v>7</v>
      </c>
      <c r="V2804">
        <v>5.5</v>
      </c>
      <c r="W2804" t="str">
        <f t="shared" si="709"/>
        <v>rob</v>
      </c>
    </row>
    <row r="2805" spans="1:23">
      <c r="A2805" t="str">
        <f t="shared" si="710"/>
        <v>MTS-ER9P-2CNC-EM</v>
      </c>
      <c r="B2805" t="str">
        <f>"10-1007-4000"</f>
        <v>10-1007-4000</v>
      </c>
      <c r="C2805" t="str">
        <f>"Gravity Parts Feeder (with microswitch sensor)"</f>
        <v>Gravity Parts Feeder (with microswitch sensor)</v>
      </c>
      <c r="D2805">
        <v>1</v>
      </c>
      <c r="E2805" t="str">
        <f t="shared" si="711"/>
        <v>FMS - Scorbot ER9Pro Robot for EMCO CNC Mill &amp; Turn machines</v>
      </c>
      <c r="F2805">
        <v>502</v>
      </c>
      <c r="G2805" t="str">
        <f t="shared" si="696"/>
        <v>Y</v>
      </c>
      <c r="H2805" t="str">
        <f t="shared" si="712"/>
        <v>EA</v>
      </c>
      <c r="I2805">
        <v>0</v>
      </c>
      <c r="J2805">
        <v>0</v>
      </c>
      <c r="K2805" t="str">
        <f t="shared" si="697"/>
        <v>Y</v>
      </c>
      <c r="L2805">
        <v>0</v>
      </c>
      <c r="M2805" t="str">
        <f t="shared" si="705"/>
        <v>NIS</v>
      </c>
      <c r="O2805">
        <v>6</v>
      </c>
      <c r="P2805" t="str">
        <f t="shared" si="713"/>
        <v>Active</v>
      </c>
      <c r="Q2805" t="str">
        <f>"Gravity Parts Feeder (incl.microswitch sensor)"</f>
        <v>Gravity Parts Feeder (incl.microswitch sensor)</v>
      </c>
      <c r="S2805" t="str">
        <f>"Gravity Parts Feeder (incl.microswitch sensor)"</f>
        <v>Gravity Parts Feeder (incl.microswitch sensor)</v>
      </c>
      <c r="T2805">
        <v>0</v>
      </c>
      <c r="U2805">
        <v>148</v>
      </c>
      <c r="V2805">
        <v>148.26</v>
      </c>
      <c r="W2805" t="str">
        <f t="shared" si="709"/>
        <v>rob</v>
      </c>
    </row>
    <row r="2806" spans="1:23">
      <c r="A2806" t="str">
        <f t="shared" si="710"/>
        <v>MTS-ER9P-2CNC-EM</v>
      </c>
      <c r="B2806" t="str">
        <f>"10-2521-7000"</f>
        <v>10-2521-7000</v>
      </c>
      <c r="C2806" t="str">
        <f>"Pneumatic Feeder for Rectangular products"</f>
        <v>Pneumatic Feeder for Rectangular products</v>
      </c>
      <c r="D2806">
        <v>1</v>
      </c>
      <c r="E2806" t="str">
        <f t="shared" si="711"/>
        <v>FMS - Scorbot ER9Pro Robot for EMCO CNC Mill &amp; Turn machines</v>
      </c>
      <c r="F2806">
        <v>502</v>
      </c>
      <c r="G2806" t="str">
        <f t="shared" si="696"/>
        <v>Y</v>
      </c>
      <c r="H2806" t="str">
        <f t="shared" si="712"/>
        <v>EA</v>
      </c>
      <c r="I2806">
        <v>0</v>
      </c>
      <c r="J2806">
        <v>0</v>
      </c>
      <c r="K2806" t="str">
        <f t="shared" si="697"/>
        <v>Y</v>
      </c>
      <c r="L2806">
        <v>0</v>
      </c>
      <c r="M2806" t="str">
        <f t="shared" si="705"/>
        <v>NIS</v>
      </c>
      <c r="O2806">
        <v>7</v>
      </c>
      <c r="P2806" t="str">
        <f t="shared" si="713"/>
        <v>Active</v>
      </c>
      <c r="Q2806" t="str">
        <f>"Pneumatic Feeder for Rectangular Parts"</f>
        <v>Pneumatic Feeder for Rectangular Parts</v>
      </c>
      <c r="S2806" t="str">
        <f>"Pneumatic Feeder for Rectangular Parts"</f>
        <v>Pneumatic Feeder for Rectangular Parts</v>
      </c>
      <c r="T2806">
        <v>0</v>
      </c>
      <c r="U2806">
        <v>595</v>
      </c>
      <c r="V2806">
        <v>555.15</v>
      </c>
      <c r="W2806" t="str">
        <f t="shared" si="709"/>
        <v>rob</v>
      </c>
    </row>
    <row r="2807" spans="1:23">
      <c r="A2807" t="str">
        <f t="shared" si="710"/>
        <v>MTS-ER9P-2CNC-EM</v>
      </c>
      <c r="B2807" t="str">
        <f>"034025"</f>
        <v>034025</v>
      </c>
      <c r="C2807" t="str">
        <f>"I/O Interface Box for Controller USB-PRO"</f>
        <v>I/O Interface Box for Controller USB-PRO</v>
      </c>
      <c r="D2807">
        <v>1</v>
      </c>
      <c r="E2807" t="str">
        <f t="shared" si="711"/>
        <v>FMS - Scorbot ER9Pro Robot for EMCO CNC Mill &amp; Turn machines</v>
      </c>
      <c r="F2807">
        <v>502</v>
      </c>
      <c r="G2807" t="str">
        <f t="shared" si="696"/>
        <v>Y</v>
      </c>
      <c r="H2807" t="str">
        <f t="shared" si="712"/>
        <v>EA</v>
      </c>
      <c r="I2807">
        <v>0</v>
      </c>
      <c r="J2807">
        <v>0</v>
      </c>
      <c r="K2807" t="str">
        <f t="shared" si="697"/>
        <v>Y</v>
      </c>
      <c r="L2807">
        <v>0</v>
      </c>
      <c r="M2807" t="str">
        <f t="shared" si="705"/>
        <v>NIS</v>
      </c>
      <c r="O2807">
        <v>8</v>
      </c>
      <c r="P2807" t="str">
        <f t="shared" si="713"/>
        <v>Active</v>
      </c>
      <c r="Q2807" t="str">
        <f>"I/O Interface Box for Controller USB-PRO"</f>
        <v>I/O Interface Box for Controller USB-PRO</v>
      </c>
      <c r="S2807" t="str">
        <f>"קופסת 2+Interface Box I/O כבלים לבקר USBPRO"</f>
        <v>קופסת 2+Interface Box I/O כבלים לבקר USBPRO</v>
      </c>
      <c r="T2807">
        <v>0</v>
      </c>
      <c r="U2807">
        <v>470</v>
      </c>
      <c r="V2807">
        <v>463.62</v>
      </c>
      <c r="W2807" t="str">
        <f t="shared" si="709"/>
        <v>rob</v>
      </c>
    </row>
    <row r="2808" spans="1:23">
      <c r="A2808" t="str">
        <f t="shared" si="710"/>
        <v>MTS-ER9P-2CNC-EM</v>
      </c>
      <c r="B2808" t="str">
        <f>"10-2118-6000"</f>
        <v>10-2118-6000</v>
      </c>
      <c r="C2808" t="str">
        <f>"CNC Interface with EMCO MILL"</f>
        <v>CNC Interface with EMCO MILL</v>
      </c>
      <c r="D2808">
        <v>1</v>
      </c>
      <c r="E2808" t="str">
        <f t="shared" si="711"/>
        <v>FMS - Scorbot ER9Pro Robot for EMCO CNC Mill &amp; Turn machines</v>
      </c>
      <c r="F2808">
        <v>502</v>
      </c>
      <c r="G2808" t="str">
        <f t="shared" si="696"/>
        <v>Y</v>
      </c>
      <c r="H2808" t="str">
        <f t="shared" si="712"/>
        <v>EA</v>
      </c>
      <c r="I2808">
        <v>0</v>
      </c>
      <c r="J2808">
        <v>0</v>
      </c>
      <c r="K2808" t="str">
        <f t="shared" si="697"/>
        <v>Y</v>
      </c>
      <c r="L2808">
        <v>0</v>
      </c>
      <c r="M2808" t="str">
        <f t="shared" si="705"/>
        <v>NIS</v>
      </c>
      <c r="O2808">
        <v>9</v>
      </c>
      <c r="P2808" t="str">
        <f t="shared" si="713"/>
        <v>Active</v>
      </c>
      <c r="Q2808" t="str">
        <f>"CNC Interface with EMCO MILL"</f>
        <v>CNC Interface with EMCO MILL</v>
      </c>
      <c r="S2808" t="str">
        <f>"CNC Interface with EMCO MILL"</f>
        <v>CNC Interface with EMCO MILL</v>
      </c>
      <c r="T2808">
        <v>0</v>
      </c>
      <c r="U2808">
        <v>20.28</v>
      </c>
      <c r="V2808">
        <v>13.85</v>
      </c>
      <c r="W2808" t="str">
        <f t="shared" si="709"/>
        <v>rob</v>
      </c>
    </row>
    <row r="2809" spans="1:23">
      <c r="A2809" t="str">
        <f t="shared" si="710"/>
        <v>MTS-ER9P-2CNC-EM</v>
      </c>
      <c r="B2809" t="str">
        <f>"10-2118-7000"</f>
        <v>10-2118-7000</v>
      </c>
      <c r="C2809" t="str">
        <f>"CNC Interface with EMCO TURN"</f>
        <v>CNC Interface with EMCO TURN</v>
      </c>
      <c r="D2809">
        <v>1</v>
      </c>
      <c r="E2809" t="str">
        <f t="shared" si="711"/>
        <v>FMS - Scorbot ER9Pro Robot for EMCO CNC Mill &amp; Turn machines</v>
      </c>
      <c r="F2809">
        <v>502</v>
      </c>
      <c r="G2809" t="str">
        <f t="shared" si="696"/>
        <v>Y</v>
      </c>
      <c r="H2809" t="str">
        <f t="shared" si="712"/>
        <v>EA</v>
      </c>
      <c r="I2809">
        <v>0</v>
      </c>
      <c r="J2809">
        <v>0</v>
      </c>
      <c r="K2809" t="str">
        <f t="shared" si="697"/>
        <v>Y</v>
      </c>
      <c r="L2809">
        <v>0</v>
      </c>
      <c r="M2809" t="str">
        <f t="shared" si="705"/>
        <v>NIS</v>
      </c>
      <c r="O2809">
        <v>10</v>
      </c>
      <c r="P2809" t="str">
        <f t="shared" si="713"/>
        <v>Active</v>
      </c>
      <c r="Q2809" t="str">
        <f>"CNC Interface with EMCO TURN"</f>
        <v>CNC Interface with EMCO TURN</v>
      </c>
      <c r="S2809" t="str">
        <f>"CNC Interface with EMCO TURN"</f>
        <v>CNC Interface with EMCO TURN</v>
      </c>
      <c r="T2809">
        <v>0</v>
      </c>
      <c r="U2809">
        <v>20.28</v>
      </c>
      <c r="V2809">
        <v>13.85</v>
      </c>
      <c r="W2809" t="str">
        <f t="shared" si="709"/>
        <v>rob</v>
      </c>
    </row>
    <row r="2810" spans="1:23">
      <c r="A2810" t="str">
        <f t="shared" si="710"/>
        <v>MTS-ER9P-2CNC-EM</v>
      </c>
      <c r="B2810" t="str">
        <f>"10-2118-8000"</f>
        <v>10-2118-8000</v>
      </c>
      <c r="C2810" t="str">
        <f>"CNC Interface Option Relay Box (5OUT/5IN)"</f>
        <v>CNC Interface Option Relay Box (5OUT/5IN)</v>
      </c>
      <c r="D2810">
        <v>2</v>
      </c>
      <c r="E2810" t="str">
        <f t="shared" si="711"/>
        <v>FMS - Scorbot ER9Pro Robot for EMCO CNC Mill &amp; Turn machines</v>
      </c>
      <c r="F2810">
        <v>502</v>
      </c>
      <c r="G2810" t="str">
        <f t="shared" si="696"/>
        <v>Y</v>
      </c>
      <c r="H2810" t="str">
        <f t="shared" si="712"/>
        <v>EA</v>
      </c>
      <c r="I2810">
        <v>0</v>
      </c>
      <c r="J2810">
        <v>0</v>
      </c>
      <c r="K2810" t="str">
        <f t="shared" si="697"/>
        <v>Y</v>
      </c>
      <c r="L2810">
        <v>0</v>
      </c>
      <c r="M2810" t="str">
        <f t="shared" si="705"/>
        <v>NIS</v>
      </c>
      <c r="O2810">
        <v>18</v>
      </c>
      <c r="P2810" t="str">
        <f t="shared" si="713"/>
        <v>Active</v>
      </c>
      <c r="Q2810" t="str">
        <f>"CNC Interface Option USB Relay Box (5OUT/5IN)"</f>
        <v>CNC Interface Option USB Relay Box (5OUT/5IN)</v>
      </c>
      <c r="S2810" t="str">
        <f>"CNC Interface Option Relay Box (5OUT/5IN)"</f>
        <v>CNC Interface Option Relay Box (5OUT/5IN)</v>
      </c>
      <c r="T2810">
        <v>0</v>
      </c>
      <c r="U2810">
        <v>84</v>
      </c>
      <c r="V2810">
        <v>215.62</v>
      </c>
      <c r="W2810" t="str">
        <f t="shared" si="709"/>
        <v>rob</v>
      </c>
    </row>
    <row r="2811" spans="1:23">
      <c r="A2811" t="str">
        <f t="shared" si="710"/>
        <v>MTS-ER9P-2CNC-EM</v>
      </c>
      <c r="B2811" t="str">
        <f>"10-2116-2000"</f>
        <v>10-2116-2000</v>
      </c>
      <c r="C2811" t="str">
        <f>"Pneumatic Flip Device for 3rd Party CNC Mill"</f>
        <v>Pneumatic Flip Device for 3rd Party CNC Mill</v>
      </c>
      <c r="D2811">
        <v>1</v>
      </c>
      <c r="E2811" t="str">
        <f t="shared" si="711"/>
        <v>FMS - Scorbot ER9Pro Robot for EMCO CNC Mill &amp; Turn machines</v>
      </c>
      <c r="F2811">
        <v>502</v>
      </c>
      <c r="G2811" t="str">
        <f t="shared" si="696"/>
        <v>Y</v>
      </c>
      <c r="H2811" t="str">
        <f t="shared" si="712"/>
        <v>EA</v>
      </c>
      <c r="I2811">
        <v>0</v>
      </c>
      <c r="J2811">
        <v>0</v>
      </c>
      <c r="K2811" t="str">
        <f t="shared" si="697"/>
        <v>Y</v>
      </c>
      <c r="L2811">
        <v>0</v>
      </c>
      <c r="M2811" t="str">
        <f t="shared" si="705"/>
        <v>NIS</v>
      </c>
      <c r="O2811">
        <v>11</v>
      </c>
      <c r="P2811" t="str">
        <f t="shared" si="713"/>
        <v>Active</v>
      </c>
      <c r="Q2811" t="str">
        <f>"Pneumatic Flip Device"</f>
        <v>Pneumatic Flip Device</v>
      </c>
      <c r="S2811" t="str">
        <f>"Pneumatic Flip Device"</f>
        <v>Pneumatic Flip Device</v>
      </c>
      <c r="T2811">
        <v>0</v>
      </c>
      <c r="U2811">
        <v>503.58</v>
      </c>
      <c r="V2811">
        <v>467.47</v>
      </c>
      <c r="W2811" t="str">
        <f t="shared" si="709"/>
        <v>rob</v>
      </c>
    </row>
    <row r="2812" spans="1:23">
      <c r="A2812" t="str">
        <f t="shared" si="710"/>
        <v>MTS-ER9P-2CNC-EM</v>
      </c>
      <c r="B2812" t="str">
        <f>"021152"</f>
        <v>021152</v>
      </c>
      <c r="C2812" t="str">
        <f>"Shelf Buffer for CIM conveyor"</f>
        <v>Shelf Buffer for CIM conveyor</v>
      </c>
      <c r="D2812">
        <v>2</v>
      </c>
      <c r="E2812" t="str">
        <f t="shared" si="711"/>
        <v>FMS - Scorbot ER9Pro Robot for EMCO CNC Mill &amp; Turn machines</v>
      </c>
      <c r="F2812">
        <v>502</v>
      </c>
      <c r="G2812" t="str">
        <f t="shared" si="696"/>
        <v>Y</v>
      </c>
      <c r="H2812" t="str">
        <f t="shared" si="712"/>
        <v>EA</v>
      </c>
      <c r="I2812">
        <v>0</v>
      </c>
      <c r="J2812">
        <v>0</v>
      </c>
      <c r="K2812" t="str">
        <f t="shared" si="697"/>
        <v>Y</v>
      </c>
      <c r="L2812">
        <v>0</v>
      </c>
      <c r="M2812" t="str">
        <f t="shared" si="705"/>
        <v>NIS</v>
      </c>
      <c r="O2812">
        <v>12</v>
      </c>
      <c r="P2812" t="str">
        <f t="shared" si="713"/>
        <v>Active</v>
      </c>
      <c r="Q2812" t="str">
        <f>"מכלול- מדף בפר סטנדרטי OPEN-CIM"</f>
        <v>מכלול- מדף בפר סטנדרטי OPEN-CIM</v>
      </c>
      <c r="R2812" t="str">
        <f>"1"</f>
        <v>1</v>
      </c>
      <c r="S2812" t="str">
        <f>"מכלול- מדף בפר סטנדרטי OPEN-CIM"</f>
        <v>מכלול- מדף בפר סטנדרטי OPEN-CIM</v>
      </c>
      <c r="T2812">
        <v>0</v>
      </c>
      <c r="U2812">
        <v>83.12</v>
      </c>
      <c r="V2812">
        <v>92.76</v>
      </c>
      <c r="W2812" t="str">
        <f t="shared" si="709"/>
        <v>rob</v>
      </c>
    </row>
    <row r="2813" spans="1:23">
      <c r="A2813" t="str">
        <f t="shared" si="710"/>
        <v>MTS-ER9P-2CNC-EM</v>
      </c>
      <c r="B2813" t="str">
        <f>"113034"</f>
        <v>113034</v>
      </c>
      <c r="C2813" t="str">
        <f>"Raw Material - Perspex Block"</f>
        <v>Raw Material - Perspex Block</v>
      </c>
      <c r="D2813">
        <v>50</v>
      </c>
      <c r="E2813" t="str">
        <f t="shared" si="711"/>
        <v>FMS - Scorbot ER9Pro Robot for EMCO CNC Mill &amp; Turn machines</v>
      </c>
      <c r="F2813">
        <v>502</v>
      </c>
      <c r="G2813" t="str">
        <f t="shared" si="696"/>
        <v>Y</v>
      </c>
      <c r="H2813" t="str">
        <f t="shared" si="712"/>
        <v>EA</v>
      </c>
      <c r="I2813">
        <v>0</v>
      </c>
      <c r="J2813">
        <v>0</v>
      </c>
      <c r="K2813" t="str">
        <f t="shared" si="697"/>
        <v>Y</v>
      </c>
      <c r="L2813">
        <v>0</v>
      </c>
      <c r="M2813" t="str">
        <f t="shared" si="705"/>
        <v>NIS</v>
      </c>
      <c r="O2813">
        <v>13</v>
      </c>
      <c r="P2813" t="str">
        <f t="shared" si="713"/>
        <v>Active</v>
      </c>
      <c r="Q2813" t="str">
        <f>"Raw Material Stock - Perspex Block"</f>
        <v>Raw Material Stock - Perspex Block</v>
      </c>
      <c r="S2813" t="str">
        <f>"Raw Material Stock - Perspex Block"</f>
        <v>Raw Material Stock - Perspex Block</v>
      </c>
      <c r="T2813">
        <v>0</v>
      </c>
      <c r="U2813">
        <v>1.1000000000000001</v>
      </c>
      <c r="V2813">
        <v>1.0900000000000001</v>
      </c>
      <c r="W2813" t="str">
        <f t="shared" si="709"/>
        <v>rob</v>
      </c>
    </row>
    <row r="2814" spans="1:23">
      <c r="A2814" t="str">
        <f t="shared" si="710"/>
        <v>MTS-ER9P-2CNC-EM</v>
      </c>
      <c r="B2814" t="str">
        <f>"112496"</f>
        <v>112496</v>
      </c>
      <c r="C2814" t="str">
        <f>"Raw Material - Brass  Rod"</f>
        <v>Raw Material - Brass  Rod</v>
      </c>
      <c r="D2814">
        <v>50</v>
      </c>
      <c r="E2814" t="str">
        <f t="shared" si="711"/>
        <v>FMS - Scorbot ER9Pro Robot for EMCO CNC Mill &amp; Turn machines</v>
      </c>
      <c r="F2814">
        <v>502</v>
      </c>
      <c r="G2814" t="str">
        <f t="shared" si="696"/>
        <v>Y</v>
      </c>
      <c r="H2814" t="str">
        <f t="shared" si="712"/>
        <v>EA</v>
      </c>
      <c r="I2814">
        <v>0</v>
      </c>
      <c r="J2814">
        <v>0</v>
      </c>
      <c r="K2814" t="str">
        <f t="shared" si="697"/>
        <v>Y</v>
      </c>
      <c r="L2814">
        <v>0</v>
      </c>
      <c r="M2814" t="str">
        <f t="shared" si="705"/>
        <v>NIS</v>
      </c>
      <c r="O2814">
        <v>14</v>
      </c>
      <c r="P2814" t="str">
        <f t="shared" si="713"/>
        <v>Active</v>
      </c>
      <c r="Q2814" t="str">
        <f>"Raw Material Stock - Brass  Rod"</f>
        <v>Raw Material Stock - Brass  Rod</v>
      </c>
      <c r="S2814" t="str">
        <f>"Raw Material Stock - Brass  Rod"</f>
        <v>Raw Material Stock - Brass  Rod</v>
      </c>
      <c r="T2814">
        <v>0</v>
      </c>
      <c r="U2814">
        <v>3.67</v>
      </c>
      <c r="V2814">
        <v>2.69</v>
      </c>
      <c r="W2814" t="str">
        <f t="shared" si="709"/>
        <v>rob</v>
      </c>
    </row>
    <row r="2815" spans="1:23">
      <c r="A2815" t="str">
        <f t="shared" si="710"/>
        <v>MTS-ER9P-2CNC-EM</v>
      </c>
      <c r="B2815" t="str">
        <f>"00-1251-0000"</f>
        <v>00-1251-0000</v>
      </c>
      <c r="C2815" t="str">
        <f>"Workbench 1500x800mm (Formica Top)"</f>
        <v>Workbench 1500x800mm (Formica Top)</v>
      </c>
      <c r="D2815">
        <v>1</v>
      </c>
      <c r="E2815" t="str">
        <f t="shared" si="711"/>
        <v>FMS - Scorbot ER9Pro Robot for EMCO CNC Mill &amp; Turn machines</v>
      </c>
      <c r="F2815">
        <v>502</v>
      </c>
      <c r="G2815" t="str">
        <f t="shared" si="696"/>
        <v>Y</v>
      </c>
      <c r="H2815" t="str">
        <f t="shared" si="712"/>
        <v>EA</v>
      </c>
      <c r="I2815">
        <v>0</v>
      </c>
      <c r="J2815">
        <v>0</v>
      </c>
      <c r="K2815" t="str">
        <f t="shared" si="697"/>
        <v>Y</v>
      </c>
      <c r="L2815">
        <v>0</v>
      </c>
      <c r="M2815" t="str">
        <f t="shared" si="705"/>
        <v>NIS</v>
      </c>
      <c r="O2815">
        <v>15</v>
      </c>
      <c r="P2815" t="str">
        <f t="shared" si="713"/>
        <v>Active</v>
      </c>
      <c r="Q2815" t="str">
        <f>"Workbench 1500x800mm (Formica Top)"</f>
        <v>Workbench 1500x800mm (Formica Top)</v>
      </c>
      <c r="S2815" t="str">
        <f>"Workbench 1500x800mm (Formica Top)"</f>
        <v>Workbench 1500x800mm (Formica Top)</v>
      </c>
      <c r="T2815">
        <v>0</v>
      </c>
      <c r="U2815">
        <v>582</v>
      </c>
      <c r="V2815">
        <v>588.6</v>
      </c>
      <c r="W2815" t="str">
        <f t="shared" si="709"/>
        <v>rob</v>
      </c>
    </row>
    <row r="2816" spans="1:23">
      <c r="A2816" t="str">
        <f t="shared" si="710"/>
        <v>MTS-ER9P-2CNC-EM</v>
      </c>
      <c r="B2816" t="str">
        <f>"00-1290-0000"</f>
        <v>00-1290-0000</v>
      </c>
      <c r="C2816" t="str">
        <f>"PC Table 630x800mm (with Keyboard Drawer)"</f>
        <v>PC Table 630x800mm (with Keyboard Drawer)</v>
      </c>
      <c r="D2816">
        <v>1</v>
      </c>
      <c r="E2816" t="str">
        <f t="shared" si="711"/>
        <v>FMS - Scorbot ER9Pro Robot for EMCO CNC Mill &amp; Turn machines</v>
      </c>
      <c r="F2816">
        <v>502</v>
      </c>
      <c r="G2816" t="str">
        <f t="shared" si="696"/>
        <v>Y</v>
      </c>
      <c r="H2816" t="str">
        <f t="shared" si="712"/>
        <v>EA</v>
      </c>
      <c r="I2816">
        <v>0</v>
      </c>
      <c r="J2816">
        <v>0</v>
      </c>
      <c r="K2816" t="str">
        <f t="shared" si="697"/>
        <v>Y</v>
      </c>
      <c r="L2816">
        <v>0</v>
      </c>
      <c r="M2816" t="str">
        <f t="shared" si="705"/>
        <v>NIS</v>
      </c>
      <c r="O2816">
        <v>16</v>
      </c>
      <c r="P2816" t="str">
        <f t="shared" si="713"/>
        <v>Active</v>
      </c>
      <c r="Q2816" t="str">
        <f>"PC Table 630x800mm (with Keyboard Drawer)"</f>
        <v>PC Table 630x800mm (with Keyboard Drawer)</v>
      </c>
      <c r="S2816" t="str">
        <f>"PC Table 630x800mm (with Keyboard Drawer)"</f>
        <v>PC Table 630x800mm (with Keyboard Drawer)</v>
      </c>
      <c r="T2816">
        <v>0</v>
      </c>
      <c r="U2816">
        <v>405.86</v>
      </c>
      <c r="V2816">
        <v>329.34</v>
      </c>
      <c r="W2816" t="str">
        <f t="shared" si="709"/>
        <v>rob</v>
      </c>
    </row>
    <row r="2817" spans="1:23">
      <c r="A2817" t="str">
        <f t="shared" si="710"/>
        <v>MTS-ER9P-2CNC-EM</v>
      </c>
      <c r="B2817" t="str">
        <f>"50-0094-0000"</f>
        <v>50-0094-0000</v>
      </c>
      <c r="C2817" t="str">
        <f>"Pre-Engineering, Design and Testing"</f>
        <v>Pre-Engineering, Design and Testing</v>
      </c>
      <c r="D2817">
        <v>1</v>
      </c>
      <c r="E2817" t="str">
        <f t="shared" si="711"/>
        <v>FMS - Scorbot ER9Pro Robot for EMCO CNC Mill &amp; Turn machines</v>
      </c>
      <c r="F2817">
        <v>502</v>
      </c>
      <c r="G2817" t="str">
        <f t="shared" si="696"/>
        <v>Y</v>
      </c>
      <c r="H2817" t="str">
        <f>"DA"</f>
        <v>DA</v>
      </c>
      <c r="I2817">
        <v>0</v>
      </c>
      <c r="J2817">
        <v>0</v>
      </c>
      <c r="K2817" t="str">
        <f t="shared" si="697"/>
        <v>Y</v>
      </c>
      <c r="L2817">
        <v>0</v>
      </c>
      <c r="M2817" t="str">
        <f t="shared" si="705"/>
        <v>NIS</v>
      </c>
      <c r="O2817">
        <v>17</v>
      </c>
      <c r="P2817" t="str">
        <f t="shared" si="713"/>
        <v>Active</v>
      </c>
      <c r="Q2817" t="str">
        <f>"Pre-Engineering, Design and Testing"</f>
        <v>Pre-Engineering, Design and Testing</v>
      </c>
      <c r="S2817" t="str">
        <f>"Pre-Engineering, Design and Testing"</f>
        <v>Pre-Engineering, Design and Testing</v>
      </c>
      <c r="T2817">
        <v>0</v>
      </c>
      <c r="U2817">
        <v>405</v>
      </c>
      <c r="V2817">
        <v>421.2</v>
      </c>
      <c r="W2817" t="str">
        <f t="shared" si="709"/>
        <v>rob</v>
      </c>
    </row>
    <row r="2818" spans="1:23">
      <c r="A2818" t="str">
        <f t="shared" ref="A2818:A2832" si="714">"MTS-ER9P-3rd-P-M"</f>
        <v>MTS-ER9P-3rd-P-M</v>
      </c>
      <c r="B2818" t="str">
        <f>"00-0430-0000"</f>
        <v>00-0430-0000</v>
      </c>
      <c r="C2818" t="str">
        <f>"SCORBOT-ER9Pro"</f>
        <v>SCORBOT-ER9Pro</v>
      </c>
      <c r="D2818">
        <v>1</v>
      </c>
      <c r="E2818" t="str">
        <f t="shared" ref="E2818:E2832" si="715">"FMS - Scorbot ER9Pro Robot for 3rd Party CNC Milling machine"</f>
        <v>FMS - Scorbot ER9Pro Robot for 3rd Party CNC Milling machine</v>
      </c>
      <c r="F2818">
        <v>502</v>
      </c>
      <c r="G2818" t="str">
        <f t="shared" ref="G2818:G2881" si="716">"Y"</f>
        <v>Y</v>
      </c>
      <c r="H2818" t="str">
        <f t="shared" ref="H2818:H2831" si="717">"EA"</f>
        <v>EA</v>
      </c>
      <c r="I2818">
        <v>0</v>
      </c>
      <c r="J2818">
        <v>0</v>
      </c>
      <c r="K2818" t="str">
        <f t="shared" ref="K2818:K2881" si="718">"Y"</f>
        <v>Y</v>
      </c>
      <c r="L2818">
        <v>0</v>
      </c>
      <c r="M2818" t="str">
        <f t="shared" si="705"/>
        <v>NIS</v>
      </c>
      <c r="O2818">
        <v>1</v>
      </c>
      <c r="P2818" t="str">
        <f t="shared" si="713"/>
        <v>Active</v>
      </c>
      <c r="Q2818" t="str">
        <f>"SCORBOT-ER 9Pro (incl. USB-Pro Controller)"</f>
        <v>SCORBOT-ER 9Pro (incl. USB-Pro Controller)</v>
      </c>
      <c r="S2818" t="str">
        <f>"SCORBOT-ER 9Pro (incl. USB-Pro Controller)"</f>
        <v>SCORBOT-ER 9Pro (incl. USB-Pro Controller)</v>
      </c>
      <c r="T2818">
        <v>0</v>
      </c>
      <c r="U2818" s="44">
        <v>10900</v>
      </c>
      <c r="V2818" s="44">
        <v>11661.57</v>
      </c>
      <c r="W2818" t="str">
        <f t="shared" si="709"/>
        <v>rob</v>
      </c>
    </row>
    <row r="2819" spans="1:23">
      <c r="A2819" t="str">
        <f t="shared" si="714"/>
        <v>MTS-ER9P-3rd-P-M</v>
      </c>
      <c r="B2819" t="str">
        <f>"00-0633-0000"</f>
        <v>00-0633-0000</v>
      </c>
      <c r="C2819" t="str">
        <f>"Pneumatic Gripper for ER9-Pro"</f>
        <v>Pneumatic Gripper for ER9-Pro</v>
      </c>
      <c r="D2819">
        <v>1</v>
      </c>
      <c r="E2819" t="str">
        <f t="shared" si="715"/>
        <v>FMS - Scorbot ER9Pro Robot for 3rd Party CNC Milling machine</v>
      </c>
      <c r="F2819">
        <v>502</v>
      </c>
      <c r="G2819" t="str">
        <f t="shared" si="716"/>
        <v>Y</v>
      </c>
      <c r="H2819" t="str">
        <f t="shared" si="717"/>
        <v>EA</v>
      </c>
      <c r="I2819">
        <v>0</v>
      </c>
      <c r="J2819">
        <v>0</v>
      </c>
      <c r="K2819" t="str">
        <f t="shared" si="718"/>
        <v>Y</v>
      </c>
      <c r="L2819">
        <v>0</v>
      </c>
      <c r="M2819" t="str">
        <f t="shared" si="705"/>
        <v>NIS</v>
      </c>
      <c r="O2819">
        <v>2</v>
      </c>
      <c r="P2819" t="str">
        <f t="shared" si="713"/>
        <v>Active</v>
      </c>
      <c r="Q2819" t="str">
        <f>"Pneumatic Gripper for ER 9Pro"</f>
        <v>Pneumatic Gripper for ER 9Pro</v>
      </c>
      <c r="S2819" t="str">
        <f>"Pneumatic Gripper for ER9-Pro"</f>
        <v>Pneumatic Gripper for ER9-Pro</v>
      </c>
      <c r="T2819">
        <v>0</v>
      </c>
      <c r="U2819">
        <v>630</v>
      </c>
      <c r="V2819">
        <v>624.72</v>
      </c>
      <c r="W2819" t="str">
        <f t="shared" si="709"/>
        <v>rob</v>
      </c>
    </row>
    <row r="2820" spans="1:23">
      <c r="A2820" t="str">
        <f t="shared" si="714"/>
        <v>MTS-ER9P-3rd-P-M</v>
      </c>
      <c r="B2820" t="str">
        <f>"00-1710-0000"</f>
        <v>00-1710-0000</v>
      </c>
      <c r="C2820" t="str">
        <f>"Teach Pendant"</f>
        <v>Teach Pendant</v>
      </c>
      <c r="D2820">
        <v>1</v>
      </c>
      <c r="E2820" t="str">
        <f t="shared" si="715"/>
        <v>FMS - Scorbot ER9Pro Robot for 3rd Party CNC Milling machine</v>
      </c>
      <c r="F2820">
        <v>502</v>
      </c>
      <c r="G2820" t="str">
        <f t="shared" si="716"/>
        <v>Y</v>
      </c>
      <c r="H2820" t="str">
        <f t="shared" si="717"/>
        <v>EA</v>
      </c>
      <c r="I2820">
        <v>0</v>
      </c>
      <c r="J2820">
        <v>0</v>
      </c>
      <c r="K2820" t="str">
        <f t="shared" si="718"/>
        <v>Y</v>
      </c>
      <c r="L2820">
        <v>0</v>
      </c>
      <c r="M2820" t="str">
        <f t="shared" si="705"/>
        <v>NIS</v>
      </c>
      <c r="O2820">
        <v>3</v>
      </c>
      <c r="P2820" t="str">
        <f t="shared" si="713"/>
        <v>Active</v>
      </c>
      <c r="Q2820" t="str">
        <f>"Teach Pendant for USB/USB Pro Controllers"</f>
        <v>Teach Pendant for USB/USB Pro Controllers</v>
      </c>
      <c r="S2820" t="str">
        <f>"Teach Pendant for USB/USB Pro Controllers"</f>
        <v>Teach Pendant for USB/USB Pro Controllers</v>
      </c>
      <c r="T2820">
        <v>0</v>
      </c>
      <c r="U2820">
        <v>160.18</v>
      </c>
      <c r="V2820">
        <v>161.44999999999999</v>
      </c>
      <c r="W2820" t="str">
        <f t="shared" si="709"/>
        <v>rob</v>
      </c>
    </row>
    <row r="2821" spans="1:23">
      <c r="A2821" t="str">
        <f t="shared" si="714"/>
        <v>MTS-ER9P-3rd-P-M</v>
      </c>
      <c r="B2821" t="str">
        <f>"00-1016-0000"</f>
        <v>00-1016-0000</v>
      </c>
      <c r="C2821" t="str">
        <f>"LSB 1.0m, Belt, FM"</f>
        <v>LSB 1.0m, Belt, FM</v>
      </c>
      <c r="D2821">
        <v>1</v>
      </c>
      <c r="E2821" t="str">
        <f t="shared" si="715"/>
        <v>FMS - Scorbot ER9Pro Robot for 3rd Party CNC Milling machine</v>
      </c>
      <c r="F2821">
        <v>502</v>
      </c>
      <c r="G2821" t="str">
        <f t="shared" si="716"/>
        <v>Y</v>
      </c>
      <c r="H2821" t="str">
        <f t="shared" si="717"/>
        <v>EA</v>
      </c>
      <c r="I2821">
        <v>0</v>
      </c>
      <c r="J2821">
        <v>0</v>
      </c>
      <c r="K2821" t="str">
        <f t="shared" si="718"/>
        <v>Y</v>
      </c>
      <c r="L2821">
        <v>0</v>
      </c>
      <c r="M2821" t="str">
        <f t="shared" si="705"/>
        <v>NIS</v>
      </c>
      <c r="O2821">
        <v>4</v>
      </c>
      <c r="P2821" t="str">
        <f t="shared" si="713"/>
        <v>Active</v>
      </c>
      <c r="Q2821" t="str">
        <f>"LSB 1.0m (Belt, Floor Mounted incl. Stand)"</f>
        <v>LSB 1.0m (Belt, Floor Mounted incl. Stand)</v>
      </c>
      <c r="S2821" t="str">
        <f>"LSB 1.0m, Belt, Floor Mounted incl. Stand"</f>
        <v>LSB 1.0m, Belt, Floor Mounted incl. Stand</v>
      </c>
      <c r="T2821">
        <v>0</v>
      </c>
      <c r="U2821" s="44">
        <v>2336.16</v>
      </c>
      <c r="V2821" s="44">
        <v>2301.0500000000002</v>
      </c>
      <c r="W2821" t="str">
        <f t="shared" si="709"/>
        <v>rob</v>
      </c>
    </row>
    <row r="2822" spans="1:23">
      <c r="A2822" t="str">
        <f t="shared" si="714"/>
        <v>MTS-ER9P-3rd-P-M</v>
      </c>
      <c r="B2822" t="str">
        <f>"10-2521-7000"</f>
        <v>10-2521-7000</v>
      </c>
      <c r="C2822" t="str">
        <f>"Pneumatic Feeder for Rectangular products"</f>
        <v>Pneumatic Feeder for Rectangular products</v>
      </c>
      <c r="D2822">
        <v>1</v>
      </c>
      <c r="E2822" t="str">
        <f t="shared" si="715"/>
        <v>FMS - Scorbot ER9Pro Robot for 3rd Party CNC Milling machine</v>
      </c>
      <c r="F2822">
        <v>502</v>
      </c>
      <c r="G2822" t="str">
        <f t="shared" si="716"/>
        <v>Y</v>
      </c>
      <c r="H2822" t="str">
        <f t="shared" si="717"/>
        <v>EA</v>
      </c>
      <c r="I2822">
        <v>0</v>
      </c>
      <c r="J2822">
        <v>0</v>
      </c>
      <c r="K2822" t="str">
        <f t="shared" si="718"/>
        <v>Y</v>
      </c>
      <c r="L2822">
        <v>0</v>
      </c>
      <c r="M2822" t="str">
        <f t="shared" si="705"/>
        <v>NIS</v>
      </c>
      <c r="O2822">
        <v>5</v>
      </c>
      <c r="P2822" t="str">
        <f t="shared" si="713"/>
        <v>Active</v>
      </c>
      <c r="Q2822" t="str">
        <f>"Pneumatic Feeder for Rectangular Parts"</f>
        <v>Pneumatic Feeder for Rectangular Parts</v>
      </c>
      <c r="S2822" t="str">
        <f>"Pneumatic Feeder for Rectangular Parts"</f>
        <v>Pneumatic Feeder for Rectangular Parts</v>
      </c>
      <c r="T2822">
        <v>0</v>
      </c>
      <c r="U2822">
        <v>595</v>
      </c>
      <c r="V2822">
        <v>555.15</v>
      </c>
      <c r="W2822" t="str">
        <f t="shared" si="709"/>
        <v>rob</v>
      </c>
    </row>
    <row r="2823" spans="1:23">
      <c r="A2823" t="str">
        <f t="shared" si="714"/>
        <v>MTS-ER9P-3rd-P-M</v>
      </c>
      <c r="B2823" t="str">
        <f>"00-1110-0000"</f>
        <v>00-1110-0000</v>
      </c>
      <c r="C2823" t="str">
        <f>"Palletizing Rack"</f>
        <v>Palletizing Rack</v>
      </c>
      <c r="D2823">
        <v>1</v>
      </c>
      <c r="E2823" t="str">
        <f t="shared" si="715"/>
        <v>FMS - Scorbot ER9Pro Robot for 3rd Party CNC Milling machine</v>
      </c>
      <c r="F2823">
        <v>502</v>
      </c>
      <c r="G2823" t="str">
        <f t="shared" si="716"/>
        <v>Y</v>
      </c>
      <c r="H2823" t="str">
        <f t="shared" si="717"/>
        <v>EA</v>
      </c>
      <c r="I2823">
        <v>0</v>
      </c>
      <c r="J2823">
        <v>0</v>
      </c>
      <c r="K2823" t="str">
        <f t="shared" si="718"/>
        <v>Y</v>
      </c>
      <c r="L2823">
        <v>0</v>
      </c>
      <c r="M2823" t="str">
        <f t="shared" si="705"/>
        <v>NIS</v>
      </c>
      <c r="O2823">
        <v>6</v>
      </c>
      <c r="P2823" t="str">
        <f t="shared" si="713"/>
        <v>Active</v>
      </c>
      <c r="Q2823" t="str">
        <f>"Palletizing Rack (incl. Pins for creating Jigs)"</f>
        <v>Palletizing Rack (incl. Pins for creating Jigs)</v>
      </c>
      <c r="S2823" t="str">
        <f>"Palletizing Rack (incl. Pins for creating Jigs)"</f>
        <v>Palletizing Rack (incl. Pins for creating Jigs)</v>
      </c>
      <c r="T2823">
        <v>0</v>
      </c>
      <c r="U2823">
        <v>63</v>
      </c>
      <c r="V2823">
        <v>58.59</v>
      </c>
      <c r="W2823" t="str">
        <f t="shared" si="709"/>
        <v>rob</v>
      </c>
    </row>
    <row r="2824" spans="1:23">
      <c r="A2824" t="str">
        <f t="shared" si="714"/>
        <v>MTS-ER9P-3rd-P-M</v>
      </c>
      <c r="B2824" t="str">
        <f>"021182"</f>
        <v>021182</v>
      </c>
      <c r="C2824" t="str">
        <f>"97mm Height Adapter"</f>
        <v>97mm Height Adapter</v>
      </c>
      <c r="D2824">
        <v>1</v>
      </c>
      <c r="E2824" t="str">
        <f t="shared" si="715"/>
        <v>FMS - Scorbot ER9Pro Robot for 3rd Party CNC Milling machine</v>
      </c>
      <c r="F2824">
        <v>502</v>
      </c>
      <c r="G2824" t="str">
        <f t="shared" si="716"/>
        <v>Y</v>
      </c>
      <c r="H2824" t="str">
        <f t="shared" si="717"/>
        <v>EA</v>
      </c>
      <c r="I2824">
        <v>0</v>
      </c>
      <c r="J2824">
        <v>0</v>
      </c>
      <c r="K2824" t="str">
        <f t="shared" si="718"/>
        <v>Y</v>
      </c>
      <c r="L2824">
        <v>0</v>
      </c>
      <c r="M2824" t="str">
        <f t="shared" si="705"/>
        <v>NIS</v>
      </c>
      <c r="O2824">
        <v>15</v>
      </c>
      <c r="P2824" t="str">
        <f t="shared" si="713"/>
        <v>Active</v>
      </c>
      <c r="Q2824" t="str">
        <f>"97mm Height Adapter -Rack 001110 on formica 28mm"</f>
        <v>97mm Height Adapter -Rack 001110 on formica 28mm</v>
      </c>
      <c r="S2824" t="str">
        <f>"97mm Height Adapter -Rack 001110 on formica 28mm"</f>
        <v>97mm Height Adapter -Rack 001110 on formica 28mm</v>
      </c>
      <c r="T2824">
        <v>0</v>
      </c>
      <c r="U2824">
        <v>7</v>
      </c>
      <c r="V2824">
        <v>5.5</v>
      </c>
      <c r="W2824" t="str">
        <f t="shared" si="709"/>
        <v>rob</v>
      </c>
    </row>
    <row r="2825" spans="1:23">
      <c r="A2825" t="str">
        <f t="shared" si="714"/>
        <v>MTS-ER9P-3rd-P-M</v>
      </c>
      <c r="B2825" t="str">
        <f>"034025"</f>
        <v>034025</v>
      </c>
      <c r="C2825" t="str">
        <f>"I/O Interface Box for Controller USB-PRO"</f>
        <v>I/O Interface Box for Controller USB-PRO</v>
      </c>
      <c r="D2825">
        <v>1</v>
      </c>
      <c r="E2825" t="str">
        <f t="shared" si="715"/>
        <v>FMS - Scorbot ER9Pro Robot for 3rd Party CNC Milling machine</v>
      </c>
      <c r="F2825">
        <v>502</v>
      </c>
      <c r="G2825" t="str">
        <f t="shared" si="716"/>
        <v>Y</v>
      </c>
      <c r="H2825" t="str">
        <f t="shared" si="717"/>
        <v>EA</v>
      </c>
      <c r="I2825">
        <v>0</v>
      </c>
      <c r="J2825">
        <v>0</v>
      </c>
      <c r="K2825" t="str">
        <f t="shared" si="718"/>
        <v>Y</v>
      </c>
      <c r="L2825">
        <v>0</v>
      </c>
      <c r="M2825" t="str">
        <f t="shared" si="705"/>
        <v>NIS</v>
      </c>
      <c r="O2825">
        <v>7</v>
      </c>
      <c r="P2825" t="str">
        <f t="shared" si="713"/>
        <v>Active</v>
      </c>
      <c r="Q2825" t="str">
        <f>"I/O Interface Box for Controller USB-PRO"</f>
        <v>I/O Interface Box for Controller USB-PRO</v>
      </c>
      <c r="S2825" t="str">
        <f>"קופסת 2+Interface Box I/O כבלים לבקר USBPRO"</f>
        <v>קופסת 2+Interface Box I/O כבלים לבקר USBPRO</v>
      </c>
      <c r="T2825">
        <v>0</v>
      </c>
      <c r="U2825">
        <v>470</v>
      </c>
      <c r="V2825">
        <v>463.62</v>
      </c>
      <c r="W2825" t="str">
        <f t="shared" si="709"/>
        <v>rob</v>
      </c>
    </row>
    <row r="2826" spans="1:23">
      <c r="A2826" t="str">
        <f t="shared" si="714"/>
        <v>MTS-ER9P-3rd-P-M</v>
      </c>
      <c r="B2826" t="str">
        <f>"50-0092-0000"</f>
        <v>50-0092-0000</v>
      </c>
      <c r="C2826" t="str">
        <f>"Interface Programming for 3rd Party CNC Machine"</f>
        <v>Interface Programming for 3rd Party CNC Machine</v>
      </c>
      <c r="D2826">
        <v>1</v>
      </c>
      <c r="E2826" t="str">
        <f t="shared" si="715"/>
        <v>FMS - Scorbot ER9Pro Robot for 3rd Party CNC Milling machine</v>
      </c>
      <c r="F2826">
        <v>502</v>
      </c>
      <c r="G2826" t="str">
        <f t="shared" si="716"/>
        <v>Y</v>
      </c>
      <c r="H2826" t="str">
        <f t="shared" si="717"/>
        <v>EA</v>
      </c>
      <c r="I2826">
        <v>0</v>
      </c>
      <c r="J2826">
        <v>0</v>
      </c>
      <c r="K2826" t="str">
        <f t="shared" si="718"/>
        <v>Y</v>
      </c>
      <c r="L2826">
        <v>0</v>
      </c>
      <c r="M2826" t="str">
        <f t="shared" si="705"/>
        <v>NIS</v>
      </c>
      <c r="O2826">
        <v>8</v>
      </c>
      <c r="P2826" t="str">
        <f t="shared" si="713"/>
        <v>Active</v>
      </c>
      <c r="Q2826" t="str">
        <f>"Interface Programming for 3rd Party CNC Machine"</f>
        <v>Interface Programming for 3rd Party CNC Machine</v>
      </c>
      <c r="S2826" t="str">
        <f>"Interface Programming for 3rd Party CNC Machine"</f>
        <v>Interface Programming for 3rd Party CNC Machine</v>
      </c>
      <c r="T2826">
        <v>0</v>
      </c>
      <c r="U2826" s="44">
        <v>1000</v>
      </c>
      <c r="V2826" s="44">
        <v>1000</v>
      </c>
      <c r="W2826" t="str">
        <f t="shared" si="709"/>
        <v>rob</v>
      </c>
    </row>
    <row r="2827" spans="1:23">
      <c r="A2827" t="str">
        <f t="shared" si="714"/>
        <v>MTS-ER9P-3rd-P-M</v>
      </c>
      <c r="B2827" t="str">
        <f>"10-2118-8000"</f>
        <v>10-2118-8000</v>
      </c>
      <c r="C2827" t="str">
        <f>"CNC Interface Option Relay Box (5OUT/5IN)"</f>
        <v>CNC Interface Option Relay Box (5OUT/5IN)</v>
      </c>
      <c r="D2827">
        <v>1</v>
      </c>
      <c r="E2827" t="str">
        <f t="shared" si="715"/>
        <v>FMS - Scorbot ER9Pro Robot for 3rd Party CNC Milling machine</v>
      </c>
      <c r="F2827">
        <v>502</v>
      </c>
      <c r="G2827" t="str">
        <f t="shared" si="716"/>
        <v>Y</v>
      </c>
      <c r="H2827" t="str">
        <f t="shared" si="717"/>
        <v>EA</v>
      </c>
      <c r="I2827">
        <v>0</v>
      </c>
      <c r="J2827">
        <v>0</v>
      </c>
      <c r="K2827" t="str">
        <f t="shared" si="718"/>
        <v>Y</v>
      </c>
      <c r="L2827">
        <v>0</v>
      </c>
      <c r="M2827" t="str">
        <f t="shared" si="705"/>
        <v>NIS</v>
      </c>
      <c r="O2827">
        <v>14</v>
      </c>
      <c r="P2827" t="str">
        <f t="shared" si="713"/>
        <v>Active</v>
      </c>
      <c r="Q2827" t="str">
        <f>"CNC Interface Option USB Relay Box (5OUT/5IN)"</f>
        <v>CNC Interface Option USB Relay Box (5OUT/5IN)</v>
      </c>
      <c r="S2827" t="str">
        <f>"CNC Interface Option Relay Box (5OUT/5IN)"</f>
        <v>CNC Interface Option Relay Box (5OUT/5IN)</v>
      </c>
      <c r="T2827">
        <v>0</v>
      </c>
      <c r="U2827">
        <v>84</v>
      </c>
      <c r="V2827">
        <v>215.62</v>
      </c>
      <c r="W2827" t="str">
        <f t="shared" si="709"/>
        <v>rob</v>
      </c>
    </row>
    <row r="2828" spans="1:23">
      <c r="A2828" t="str">
        <f t="shared" si="714"/>
        <v>MTS-ER9P-3rd-P-M</v>
      </c>
      <c r="B2828" t="str">
        <f>"10-2116-2000"</f>
        <v>10-2116-2000</v>
      </c>
      <c r="C2828" t="str">
        <f>"Pneumatic Flip Device for 3rd Party CNC Mill"</f>
        <v>Pneumatic Flip Device for 3rd Party CNC Mill</v>
      </c>
      <c r="D2828">
        <v>1</v>
      </c>
      <c r="E2828" t="str">
        <f t="shared" si="715"/>
        <v>FMS - Scorbot ER9Pro Robot for 3rd Party CNC Milling machine</v>
      </c>
      <c r="F2828">
        <v>502</v>
      </c>
      <c r="G2828" t="str">
        <f t="shared" si="716"/>
        <v>Y</v>
      </c>
      <c r="H2828" t="str">
        <f t="shared" si="717"/>
        <v>EA</v>
      </c>
      <c r="I2828">
        <v>0</v>
      </c>
      <c r="J2828">
        <v>0</v>
      </c>
      <c r="K2828" t="str">
        <f t="shared" si="718"/>
        <v>Y</v>
      </c>
      <c r="L2828">
        <v>0</v>
      </c>
      <c r="M2828" t="str">
        <f t="shared" si="705"/>
        <v>NIS</v>
      </c>
      <c r="O2828">
        <v>9</v>
      </c>
      <c r="P2828" t="str">
        <f t="shared" si="713"/>
        <v>Active</v>
      </c>
      <c r="Q2828" t="str">
        <f>"Pneumatic Flip Device"</f>
        <v>Pneumatic Flip Device</v>
      </c>
      <c r="S2828" t="str">
        <f>"Pneumatic Flip Device"</f>
        <v>Pneumatic Flip Device</v>
      </c>
      <c r="T2828">
        <v>0</v>
      </c>
      <c r="U2828">
        <v>503.58</v>
      </c>
      <c r="V2828">
        <v>467.47</v>
      </c>
      <c r="W2828" t="str">
        <f t="shared" si="709"/>
        <v>rob</v>
      </c>
    </row>
    <row r="2829" spans="1:23">
      <c r="A2829" t="str">
        <f t="shared" si="714"/>
        <v>MTS-ER9P-3rd-P-M</v>
      </c>
      <c r="B2829" t="str">
        <f>"021152"</f>
        <v>021152</v>
      </c>
      <c r="C2829" t="str">
        <f>"Shelf Buffer for CIM conveyor"</f>
        <v>Shelf Buffer for CIM conveyor</v>
      </c>
      <c r="D2829">
        <v>1</v>
      </c>
      <c r="E2829" t="str">
        <f t="shared" si="715"/>
        <v>FMS - Scorbot ER9Pro Robot for 3rd Party CNC Milling machine</v>
      </c>
      <c r="F2829">
        <v>502</v>
      </c>
      <c r="G2829" t="str">
        <f t="shared" si="716"/>
        <v>Y</v>
      </c>
      <c r="H2829" t="str">
        <f t="shared" si="717"/>
        <v>EA</v>
      </c>
      <c r="I2829">
        <v>0</v>
      </c>
      <c r="J2829">
        <v>0</v>
      </c>
      <c r="K2829" t="str">
        <f t="shared" si="718"/>
        <v>Y</v>
      </c>
      <c r="L2829">
        <v>0</v>
      </c>
      <c r="M2829" t="str">
        <f t="shared" si="705"/>
        <v>NIS</v>
      </c>
      <c r="O2829">
        <v>10</v>
      </c>
      <c r="P2829" t="str">
        <f t="shared" si="713"/>
        <v>Active</v>
      </c>
      <c r="Q2829" t="str">
        <f>"מכלול- מדף בפר סטנדרטי OPEN-CIM"</f>
        <v>מכלול- מדף בפר סטנדרטי OPEN-CIM</v>
      </c>
      <c r="R2829" t="str">
        <f>"1"</f>
        <v>1</v>
      </c>
      <c r="S2829" t="str">
        <f>"מכלול- מדף בפר סטנדרטי OPEN-CIM"</f>
        <v>מכלול- מדף בפר סטנדרטי OPEN-CIM</v>
      </c>
      <c r="T2829">
        <v>0</v>
      </c>
      <c r="U2829">
        <v>83.12</v>
      </c>
      <c r="V2829">
        <v>92.76</v>
      </c>
      <c r="W2829" t="str">
        <f t="shared" si="709"/>
        <v>rob</v>
      </c>
    </row>
    <row r="2830" spans="1:23">
      <c r="A2830" t="str">
        <f t="shared" si="714"/>
        <v>MTS-ER9P-3rd-P-M</v>
      </c>
      <c r="B2830" t="str">
        <f>"113034"</f>
        <v>113034</v>
      </c>
      <c r="C2830" t="str">
        <f>"Raw Material - Perspex Block"</f>
        <v>Raw Material - Perspex Block</v>
      </c>
      <c r="D2830">
        <v>50</v>
      </c>
      <c r="E2830" t="str">
        <f t="shared" si="715"/>
        <v>FMS - Scorbot ER9Pro Robot for 3rd Party CNC Milling machine</v>
      </c>
      <c r="F2830">
        <v>502</v>
      </c>
      <c r="G2830" t="str">
        <f t="shared" si="716"/>
        <v>Y</v>
      </c>
      <c r="H2830" t="str">
        <f t="shared" si="717"/>
        <v>EA</v>
      </c>
      <c r="I2830">
        <v>0</v>
      </c>
      <c r="J2830">
        <v>0</v>
      </c>
      <c r="K2830" t="str">
        <f t="shared" si="718"/>
        <v>Y</v>
      </c>
      <c r="L2830">
        <v>0</v>
      </c>
      <c r="M2830" t="str">
        <f t="shared" si="705"/>
        <v>NIS</v>
      </c>
      <c r="O2830">
        <v>11</v>
      </c>
      <c r="P2830" t="str">
        <f t="shared" si="713"/>
        <v>Active</v>
      </c>
      <c r="Q2830" t="str">
        <f>"Raw Material Stock - Perspex Block"</f>
        <v>Raw Material Stock - Perspex Block</v>
      </c>
      <c r="S2830" t="str">
        <f>"Raw Material Stock - Perspex Block"</f>
        <v>Raw Material Stock - Perspex Block</v>
      </c>
      <c r="T2830">
        <v>0</v>
      </c>
      <c r="U2830">
        <v>1.1000000000000001</v>
      </c>
      <c r="V2830">
        <v>1.0900000000000001</v>
      </c>
      <c r="W2830" t="str">
        <f t="shared" si="709"/>
        <v>rob</v>
      </c>
    </row>
    <row r="2831" spans="1:23">
      <c r="A2831" t="str">
        <f t="shared" si="714"/>
        <v>MTS-ER9P-3rd-P-M</v>
      </c>
      <c r="B2831" t="str">
        <f>"00-1251-0000"</f>
        <v>00-1251-0000</v>
      </c>
      <c r="C2831" t="str">
        <f>"Workbench 1500x800mm (Formica Top)"</f>
        <v>Workbench 1500x800mm (Formica Top)</v>
      </c>
      <c r="D2831">
        <v>1</v>
      </c>
      <c r="E2831" t="str">
        <f t="shared" si="715"/>
        <v>FMS - Scorbot ER9Pro Robot for 3rd Party CNC Milling machine</v>
      </c>
      <c r="F2831">
        <v>502</v>
      </c>
      <c r="G2831" t="str">
        <f t="shared" si="716"/>
        <v>Y</v>
      </c>
      <c r="H2831" t="str">
        <f t="shared" si="717"/>
        <v>EA</v>
      </c>
      <c r="I2831">
        <v>0</v>
      </c>
      <c r="J2831">
        <v>0</v>
      </c>
      <c r="K2831" t="str">
        <f t="shared" si="718"/>
        <v>Y</v>
      </c>
      <c r="L2831">
        <v>0</v>
      </c>
      <c r="M2831" t="str">
        <f t="shared" si="705"/>
        <v>NIS</v>
      </c>
      <c r="O2831">
        <v>12</v>
      </c>
      <c r="P2831" t="str">
        <f t="shared" ref="P2831:P2862" si="719">"Active"</f>
        <v>Active</v>
      </c>
      <c r="Q2831" t="str">
        <f>"Workbench 1500x800mm (Formica Top)"</f>
        <v>Workbench 1500x800mm (Formica Top)</v>
      </c>
      <c r="S2831" t="str">
        <f>"Workbench 1500x800mm (Formica Top)"</f>
        <v>Workbench 1500x800mm (Formica Top)</v>
      </c>
      <c r="T2831">
        <v>0</v>
      </c>
      <c r="U2831">
        <v>582</v>
      </c>
      <c r="V2831">
        <v>588.6</v>
      </c>
      <c r="W2831" t="str">
        <f t="shared" si="709"/>
        <v>rob</v>
      </c>
    </row>
    <row r="2832" spans="1:23">
      <c r="A2832" t="str">
        <f t="shared" si="714"/>
        <v>MTS-ER9P-3rd-P-M</v>
      </c>
      <c r="B2832" t="str">
        <f>"50-0094-0000"</f>
        <v>50-0094-0000</v>
      </c>
      <c r="C2832" t="str">
        <f>"Pre-Engineering, Design and Testing"</f>
        <v>Pre-Engineering, Design and Testing</v>
      </c>
      <c r="D2832">
        <v>1</v>
      </c>
      <c r="E2832" t="str">
        <f t="shared" si="715"/>
        <v>FMS - Scorbot ER9Pro Robot for 3rd Party CNC Milling machine</v>
      </c>
      <c r="F2832">
        <v>502</v>
      </c>
      <c r="G2832" t="str">
        <f t="shared" si="716"/>
        <v>Y</v>
      </c>
      <c r="H2832" t="str">
        <f>"DA"</f>
        <v>DA</v>
      </c>
      <c r="I2832">
        <v>0</v>
      </c>
      <c r="J2832">
        <v>0</v>
      </c>
      <c r="K2832" t="str">
        <f t="shared" si="718"/>
        <v>Y</v>
      </c>
      <c r="L2832">
        <v>0</v>
      </c>
      <c r="M2832" t="str">
        <f t="shared" si="705"/>
        <v>NIS</v>
      </c>
      <c r="O2832">
        <v>13</v>
      </c>
      <c r="P2832" t="str">
        <f t="shared" si="719"/>
        <v>Active</v>
      </c>
      <c r="Q2832" t="str">
        <f>"Pre-Engineering, Design and Testing"</f>
        <v>Pre-Engineering, Design and Testing</v>
      </c>
      <c r="S2832" t="str">
        <f>"Pre-Engineering, Design and Testing"</f>
        <v>Pre-Engineering, Design and Testing</v>
      </c>
      <c r="T2832">
        <v>0</v>
      </c>
      <c r="U2832">
        <v>405</v>
      </c>
      <c r="V2832">
        <v>421.2</v>
      </c>
      <c r="W2832" t="str">
        <f t="shared" si="709"/>
        <v>rob</v>
      </c>
    </row>
    <row r="2833" spans="1:23">
      <c r="A2833" t="str">
        <f t="shared" ref="A2833:A2849" si="720">"MTS-ER9P-3rd-PMT"</f>
        <v>MTS-ER9P-3rd-PMT</v>
      </c>
      <c r="B2833" t="str">
        <f>"00-0430-0000"</f>
        <v>00-0430-0000</v>
      </c>
      <c r="C2833" t="str">
        <f>"SCORBOT-ER9Pro"</f>
        <v>SCORBOT-ER9Pro</v>
      </c>
      <c r="D2833">
        <v>1</v>
      </c>
      <c r="E2833" t="str">
        <f t="shared" ref="E2833:E2849" si="721">"FMS - Scorbot ER9Pro Robot for 3rd Party CNC Mill &amp; Turn machines"</f>
        <v>FMS - Scorbot ER9Pro Robot for 3rd Party CNC Mill &amp; Turn machines</v>
      </c>
      <c r="F2833">
        <v>502</v>
      </c>
      <c r="G2833" t="str">
        <f t="shared" si="716"/>
        <v>Y</v>
      </c>
      <c r="H2833" t="str">
        <f t="shared" ref="H2833:H2848" si="722">"EA"</f>
        <v>EA</v>
      </c>
      <c r="I2833">
        <v>0</v>
      </c>
      <c r="J2833">
        <v>0</v>
      </c>
      <c r="K2833" t="str">
        <f t="shared" si="718"/>
        <v>Y</v>
      </c>
      <c r="L2833">
        <v>0</v>
      </c>
      <c r="M2833" t="str">
        <f t="shared" si="705"/>
        <v>NIS</v>
      </c>
      <c r="O2833">
        <v>1</v>
      </c>
      <c r="P2833" t="str">
        <f t="shared" si="719"/>
        <v>Active</v>
      </c>
      <c r="Q2833" t="str">
        <f>"SCORBOT-ER 9Pro (incl. USB-Pro Controller)"</f>
        <v>SCORBOT-ER 9Pro (incl. USB-Pro Controller)</v>
      </c>
      <c r="S2833" t="str">
        <f>"SCORBOT-ER 9Pro (incl. USB-Pro Controller)"</f>
        <v>SCORBOT-ER 9Pro (incl. USB-Pro Controller)</v>
      </c>
      <c r="T2833">
        <v>0</v>
      </c>
      <c r="U2833" s="44">
        <v>10900</v>
      </c>
      <c r="V2833" s="44">
        <v>11661.57</v>
      </c>
      <c r="W2833" t="str">
        <f t="shared" si="709"/>
        <v>rob</v>
      </c>
    </row>
    <row r="2834" spans="1:23">
      <c r="A2834" t="str">
        <f t="shared" si="720"/>
        <v>MTS-ER9P-3rd-PMT</v>
      </c>
      <c r="B2834" t="str">
        <f>"00-0633-0000"</f>
        <v>00-0633-0000</v>
      </c>
      <c r="C2834" t="str">
        <f>"Pneumatic Gripper for ER9-Pro"</f>
        <v>Pneumatic Gripper for ER9-Pro</v>
      </c>
      <c r="D2834">
        <v>1</v>
      </c>
      <c r="E2834" t="str">
        <f t="shared" si="721"/>
        <v>FMS - Scorbot ER9Pro Robot for 3rd Party CNC Mill &amp; Turn machines</v>
      </c>
      <c r="F2834">
        <v>502</v>
      </c>
      <c r="G2834" t="str">
        <f t="shared" si="716"/>
        <v>Y</v>
      </c>
      <c r="H2834" t="str">
        <f t="shared" si="722"/>
        <v>EA</v>
      </c>
      <c r="I2834">
        <v>0</v>
      </c>
      <c r="J2834">
        <v>0</v>
      </c>
      <c r="K2834" t="str">
        <f t="shared" si="718"/>
        <v>Y</v>
      </c>
      <c r="L2834">
        <v>0</v>
      </c>
      <c r="M2834" t="str">
        <f t="shared" si="705"/>
        <v>NIS</v>
      </c>
      <c r="O2834">
        <v>2</v>
      </c>
      <c r="P2834" t="str">
        <f t="shared" si="719"/>
        <v>Active</v>
      </c>
      <c r="Q2834" t="str">
        <f>"Pneumatic Gripper for ER 9Pro"</f>
        <v>Pneumatic Gripper for ER 9Pro</v>
      </c>
      <c r="S2834" t="str">
        <f>"Pneumatic Gripper for ER9-Pro"</f>
        <v>Pneumatic Gripper for ER9-Pro</v>
      </c>
      <c r="T2834">
        <v>0</v>
      </c>
      <c r="U2834">
        <v>630</v>
      </c>
      <c r="V2834">
        <v>624.72</v>
      </c>
      <c r="W2834" t="str">
        <f t="shared" si="709"/>
        <v>rob</v>
      </c>
    </row>
    <row r="2835" spans="1:23">
      <c r="A2835" t="str">
        <f t="shared" si="720"/>
        <v>MTS-ER9P-3rd-PMT</v>
      </c>
      <c r="B2835" t="str">
        <f>"00-1710-0000"</f>
        <v>00-1710-0000</v>
      </c>
      <c r="C2835" t="str">
        <f>"Teach Pendant"</f>
        <v>Teach Pendant</v>
      </c>
      <c r="D2835">
        <v>1</v>
      </c>
      <c r="E2835" t="str">
        <f t="shared" si="721"/>
        <v>FMS - Scorbot ER9Pro Robot for 3rd Party CNC Mill &amp; Turn machines</v>
      </c>
      <c r="F2835">
        <v>502</v>
      </c>
      <c r="G2835" t="str">
        <f t="shared" si="716"/>
        <v>Y</v>
      </c>
      <c r="H2835" t="str">
        <f t="shared" si="722"/>
        <v>EA</v>
      </c>
      <c r="I2835">
        <v>0</v>
      </c>
      <c r="J2835">
        <v>0</v>
      </c>
      <c r="K2835" t="str">
        <f t="shared" si="718"/>
        <v>Y</v>
      </c>
      <c r="L2835">
        <v>0</v>
      </c>
      <c r="M2835" t="str">
        <f t="shared" si="705"/>
        <v>NIS</v>
      </c>
      <c r="O2835">
        <v>3</v>
      </c>
      <c r="P2835" t="str">
        <f t="shared" si="719"/>
        <v>Active</v>
      </c>
      <c r="Q2835" t="str">
        <f>"Teach Pendant for USB/USB Pro Controllers"</f>
        <v>Teach Pendant for USB/USB Pro Controllers</v>
      </c>
      <c r="S2835" t="str">
        <f>"Teach Pendant for USB/USB Pro Controllers"</f>
        <v>Teach Pendant for USB/USB Pro Controllers</v>
      </c>
      <c r="T2835">
        <v>0</v>
      </c>
      <c r="U2835">
        <v>160.18</v>
      </c>
      <c r="V2835">
        <v>161.44999999999999</v>
      </c>
      <c r="W2835" t="str">
        <f t="shared" si="709"/>
        <v>rob</v>
      </c>
    </row>
    <row r="2836" spans="1:23">
      <c r="A2836" t="str">
        <f t="shared" si="720"/>
        <v>MTS-ER9P-3rd-PMT</v>
      </c>
      <c r="B2836" t="str">
        <f>"00-1017-0000"</f>
        <v>00-1017-0000</v>
      </c>
      <c r="C2836" t="str">
        <f>"LSB 1.8m, Belt, FM"</f>
        <v>LSB 1.8m, Belt, FM</v>
      </c>
      <c r="D2836">
        <v>1</v>
      </c>
      <c r="E2836" t="str">
        <f t="shared" si="721"/>
        <v>FMS - Scorbot ER9Pro Robot for 3rd Party CNC Mill &amp; Turn machines</v>
      </c>
      <c r="F2836">
        <v>502</v>
      </c>
      <c r="G2836" t="str">
        <f t="shared" si="716"/>
        <v>Y</v>
      </c>
      <c r="H2836" t="str">
        <f t="shared" si="722"/>
        <v>EA</v>
      </c>
      <c r="I2836">
        <v>0</v>
      </c>
      <c r="J2836">
        <v>0</v>
      </c>
      <c r="K2836" t="str">
        <f t="shared" si="718"/>
        <v>Y</v>
      </c>
      <c r="L2836">
        <v>0</v>
      </c>
      <c r="M2836" t="str">
        <f t="shared" si="705"/>
        <v>NIS</v>
      </c>
      <c r="O2836">
        <v>4</v>
      </c>
      <c r="P2836" t="str">
        <f t="shared" si="719"/>
        <v>Active</v>
      </c>
      <c r="Q2836" t="str">
        <f>"LSB 1.8m (Belt, Floor Mounted incl. Stand)"</f>
        <v>LSB 1.8m (Belt, Floor Mounted incl. Stand)</v>
      </c>
      <c r="S2836" t="str">
        <f>"LSB 1.8m, Belt, Floor Mounted incl. Stand"</f>
        <v>LSB 1.8m, Belt, Floor Mounted incl. Stand</v>
      </c>
      <c r="T2836">
        <v>0</v>
      </c>
      <c r="U2836" s="44">
        <v>2342.3000000000002</v>
      </c>
      <c r="V2836" s="44">
        <v>2266.2600000000002</v>
      </c>
      <c r="W2836" t="str">
        <f t="shared" si="709"/>
        <v>rob</v>
      </c>
    </row>
    <row r="2837" spans="1:23">
      <c r="A2837" t="str">
        <f t="shared" si="720"/>
        <v>MTS-ER9P-3rd-PMT</v>
      </c>
      <c r="B2837" t="str">
        <f>"034025"</f>
        <v>034025</v>
      </c>
      <c r="C2837" t="str">
        <f>"I/O Interface Box for Controller USB-PRO"</f>
        <v>I/O Interface Box for Controller USB-PRO</v>
      </c>
      <c r="D2837">
        <v>1</v>
      </c>
      <c r="E2837" t="str">
        <f t="shared" si="721"/>
        <v>FMS - Scorbot ER9Pro Robot for 3rd Party CNC Mill &amp; Turn machines</v>
      </c>
      <c r="F2837">
        <v>502</v>
      </c>
      <c r="G2837" t="str">
        <f t="shared" si="716"/>
        <v>Y</v>
      </c>
      <c r="H2837" t="str">
        <f t="shared" si="722"/>
        <v>EA</v>
      </c>
      <c r="I2837">
        <v>0</v>
      </c>
      <c r="J2837">
        <v>0</v>
      </c>
      <c r="K2837" t="str">
        <f t="shared" si="718"/>
        <v>Y</v>
      </c>
      <c r="L2837">
        <v>0</v>
      </c>
      <c r="M2837" t="str">
        <f t="shared" si="705"/>
        <v>NIS</v>
      </c>
      <c r="O2837">
        <v>5</v>
      </c>
      <c r="P2837" t="str">
        <f t="shared" si="719"/>
        <v>Active</v>
      </c>
      <c r="Q2837" t="str">
        <f>"I/O Interface Box for Controller USB-PRO"</f>
        <v>I/O Interface Box for Controller USB-PRO</v>
      </c>
      <c r="S2837" t="str">
        <f>"קופסת 2+Interface Box I/O כבלים לבקר USBPRO"</f>
        <v>קופסת 2+Interface Box I/O כבלים לבקר USBPRO</v>
      </c>
      <c r="T2837">
        <v>0</v>
      </c>
      <c r="U2837">
        <v>470</v>
      </c>
      <c r="V2837">
        <v>463.62</v>
      </c>
      <c r="W2837" t="str">
        <f t="shared" si="709"/>
        <v>rob</v>
      </c>
    </row>
    <row r="2838" spans="1:23">
      <c r="A2838" t="str">
        <f t="shared" si="720"/>
        <v>MTS-ER9P-3rd-PMT</v>
      </c>
      <c r="B2838" t="str">
        <f>"021152"</f>
        <v>021152</v>
      </c>
      <c r="C2838" t="str">
        <f>"Shelf Buffer for CIM conveyor"</f>
        <v>Shelf Buffer for CIM conveyor</v>
      </c>
      <c r="D2838">
        <v>2</v>
      </c>
      <c r="E2838" t="str">
        <f t="shared" si="721"/>
        <v>FMS - Scorbot ER9Pro Robot for 3rd Party CNC Mill &amp; Turn machines</v>
      </c>
      <c r="F2838">
        <v>502</v>
      </c>
      <c r="G2838" t="str">
        <f t="shared" si="716"/>
        <v>Y</v>
      </c>
      <c r="H2838" t="str">
        <f t="shared" si="722"/>
        <v>EA</v>
      </c>
      <c r="I2838">
        <v>0</v>
      </c>
      <c r="J2838">
        <v>0</v>
      </c>
      <c r="K2838" t="str">
        <f t="shared" si="718"/>
        <v>Y</v>
      </c>
      <c r="L2838">
        <v>0</v>
      </c>
      <c r="M2838" t="str">
        <f t="shared" si="705"/>
        <v>NIS</v>
      </c>
      <c r="O2838">
        <v>6</v>
      </c>
      <c r="P2838" t="str">
        <f t="shared" si="719"/>
        <v>Active</v>
      </c>
      <c r="Q2838" t="str">
        <f>"מכלול- מדף בפר סטנדרטי OPEN-CIM"</f>
        <v>מכלול- מדף בפר סטנדרטי OPEN-CIM</v>
      </c>
      <c r="R2838" t="str">
        <f>"1"</f>
        <v>1</v>
      </c>
      <c r="S2838" t="str">
        <f>"מכלול- מדף בפר סטנדרטי OPEN-CIM"</f>
        <v>מכלול- מדף בפר סטנדרטי OPEN-CIM</v>
      </c>
      <c r="T2838">
        <v>0</v>
      </c>
      <c r="U2838">
        <v>83.12</v>
      </c>
      <c r="V2838">
        <v>92.76</v>
      </c>
      <c r="W2838" t="str">
        <f t="shared" si="709"/>
        <v>rob</v>
      </c>
    </row>
    <row r="2839" spans="1:23">
      <c r="A2839" t="str">
        <f t="shared" si="720"/>
        <v>MTS-ER9P-3rd-PMT</v>
      </c>
      <c r="B2839" t="str">
        <f>"10-2521-7000"</f>
        <v>10-2521-7000</v>
      </c>
      <c r="C2839" t="str">
        <f>"Pneumatic Feeder for Rectangular products"</f>
        <v>Pneumatic Feeder for Rectangular products</v>
      </c>
      <c r="D2839">
        <v>1</v>
      </c>
      <c r="E2839" t="str">
        <f t="shared" si="721"/>
        <v>FMS - Scorbot ER9Pro Robot for 3rd Party CNC Mill &amp; Turn machines</v>
      </c>
      <c r="F2839">
        <v>502</v>
      </c>
      <c r="G2839" t="str">
        <f t="shared" si="716"/>
        <v>Y</v>
      </c>
      <c r="H2839" t="str">
        <f t="shared" si="722"/>
        <v>EA</v>
      </c>
      <c r="I2839">
        <v>0</v>
      </c>
      <c r="J2839">
        <v>0</v>
      </c>
      <c r="K2839" t="str">
        <f t="shared" si="718"/>
        <v>Y</v>
      </c>
      <c r="L2839">
        <v>0</v>
      </c>
      <c r="M2839" t="str">
        <f t="shared" si="705"/>
        <v>NIS</v>
      </c>
      <c r="O2839">
        <v>7</v>
      </c>
      <c r="P2839" t="str">
        <f t="shared" si="719"/>
        <v>Active</v>
      </c>
      <c r="Q2839" t="str">
        <f>"Pneumatic Feeder for Rectangular Parts"</f>
        <v>Pneumatic Feeder for Rectangular Parts</v>
      </c>
      <c r="S2839" t="str">
        <f>"Pneumatic Feeder for Rectangular Parts"</f>
        <v>Pneumatic Feeder for Rectangular Parts</v>
      </c>
      <c r="T2839">
        <v>0</v>
      </c>
      <c r="U2839">
        <v>595</v>
      </c>
      <c r="V2839">
        <v>555.15</v>
      </c>
      <c r="W2839" t="str">
        <f t="shared" si="709"/>
        <v>rob</v>
      </c>
    </row>
    <row r="2840" spans="1:23">
      <c r="A2840" t="str">
        <f t="shared" si="720"/>
        <v>MTS-ER9P-3rd-PMT</v>
      </c>
      <c r="B2840" t="str">
        <f>"10-1007-4000"</f>
        <v>10-1007-4000</v>
      </c>
      <c r="C2840" t="str">
        <f>"Gravity Parts Feeder (with microswitch sensor)"</f>
        <v>Gravity Parts Feeder (with microswitch sensor)</v>
      </c>
      <c r="D2840">
        <v>1</v>
      </c>
      <c r="E2840" t="str">
        <f t="shared" si="721"/>
        <v>FMS - Scorbot ER9Pro Robot for 3rd Party CNC Mill &amp; Turn machines</v>
      </c>
      <c r="F2840">
        <v>502</v>
      </c>
      <c r="G2840" t="str">
        <f t="shared" si="716"/>
        <v>Y</v>
      </c>
      <c r="H2840" t="str">
        <f t="shared" si="722"/>
        <v>EA</v>
      </c>
      <c r="I2840">
        <v>0</v>
      </c>
      <c r="J2840">
        <v>0</v>
      </c>
      <c r="K2840" t="str">
        <f t="shared" si="718"/>
        <v>Y</v>
      </c>
      <c r="L2840">
        <v>0</v>
      </c>
      <c r="M2840" t="str">
        <f t="shared" si="705"/>
        <v>NIS</v>
      </c>
      <c r="O2840">
        <v>8</v>
      </c>
      <c r="P2840" t="str">
        <f t="shared" si="719"/>
        <v>Active</v>
      </c>
      <c r="Q2840" t="str">
        <f>"Gravity Parts Feeder (incl.microswitch sensor)"</f>
        <v>Gravity Parts Feeder (incl.microswitch sensor)</v>
      </c>
      <c r="S2840" t="str">
        <f>"Gravity Parts Feeder (incl.microswitch sensor)"</f>
        <v>Gravity Parts Feeder (incl.microswitch sensor)</v>
      </c>
      <c r="T2840">
        <v>0</v>
      </c>
      <c r="U2840">
        <v>148</v>
      </c>
      <c r="V2840">
        <v>148.26</v>
      </c>
      <c r="W2840" t="str">
        <f t="shared" si="709"/>
        <v>rob</v>
      </c>
    </row>
    <row r="2841" spans="1:23">
      <c r="A2841" t="str">
        <f t="shared" si="720"/>
        <v>MTS-ER9P-3rd-PMT</v>
      </c>
      <c r="B2841" t="str">
        <f>"00-1110-0000"</f>
        <v>00-1110-0000</v>
      </c>
      <c r="C2841" t="str">
        <f>"Palletizing Rack"</f>
        <v>Palletizing Rack</v>
      </c>
      <c r="D2841">
        <v>2</v>
      </c>
      <c r="E2841" t="str">
        <f t="shared" si="721"/>
        <v>FMS - Scorbot ER9Pro Robot for 3rd Party CNC Mill &amp; Turn machines</v>
      </c>
      <c r="F2841">
        <v>502</v>
      </c>
      <c r="G2841" t="str">
        <f t="shared" si="716"/>
        <v>Y</v>
      </c>
      <c r="H2841" t="str">
        <f t="shared" si="722"/>
        <v>EA</v>
      </c>
      <c r="I2841">
        <v>0</v>
      </c>
      <c r="J2841">
        <v>0</v>
      </c>
      <c r="K2841" t="str">
        <f t="shared" si="718"/>
        <v>Y</v>
      </c>
      <c r="L2841">
        <v>0</v>
      </c>
      <c r="M2841" t="str">
        <f t="shared" ref="M2841:M2901" si="723">"NIS"</f>
        <v>NIS</v>
      </c>
      <c r="O2841">
        <v>9</v>
      </c>
      <c r="P2841" t="str">
        <f t="shared" si="719"/>
        <v>Active</v>
      </c>
      <c r="Q2841" t="str">
        <f>"Palletizing Rack (incl. Pins for creating Jigs)"</f>
        <v>Palletizing Rack (incl. Pins for creating Jigs)</v>
      </c>
      <c r="S2841" t="str">
        <f>"Palletizing Rack (incl. Pins for creating Jigs)"</f>
        <v>Palletizing Rack (incl. Pins for creating Jigs)</v>
      </c>
      <c r="T2841">
        <v>0</v>
      </c>
      <c r="U2841">
        <v>63</v>
      </c>
      <c r="V2841">
        <v>58.59</v>
      </c>
      <c r="W2841" t="str">
        <f t="shared" si="709"/>
        <v>rob</v>
      </c>
    </row>
    <row r="2842" spans="1:23">
      <c r="A2842" t="str">
        <f t="shared" si="720"/>
        <v>MTS-ER9P-3rd-PMT</v>
      </c>
      <c r="B2842" t="str">
        <f>"021182"</f>
        <v>021182</v>
      </c>
      <c r="C2842" t="str">
        <f>"97mm Height Adapter"</f>
        <v>97mm Height Adapter</v>
      </c>
      <c r="D2842">
        <v>2</v>
      </c>
      <c r="E2842" t="str">
        <f t="shared" si="721"/>
        <v>FMS - Scorbot ER9Pro Robot for 3rd Party CNC Mill &amp; Turn machines</v>
      </c>
      <c r="F2842">
        <v>502</v>
      </c>
      <c r="G2842" t="str">
        <f t="shared" si="716"/>
        <v>Y</v>
      </c>
      <c r="H2842" t="str">
        <f t="shared" si="722"/>
        <v>EA</v>
      </c>
      <c r="I2842">
        <v>0</v>
      </c>
      <c r="J2842">
        <v>0</v>
      </c>
      <c r="K2842" t="str">
        <f t="shared" si="718"/>
        <v>Y</v>
      </c>
      <c r="L2842">
        <v>0</v>
      </c>
      <c r="M2842" t="str">
        <f t="shared" si="723"/>
        <v>NIS</v>
      </c>
      <c r="O2842">
        <v>17</v>
      </c>
      <c r="P2842" t="str">
        <f t="shared" si="719"/>
        <v>Active</v>
      </c>
      <c r="Q2842" t="str">
        <f>"97mm Height Adapter -Rack 001110 on formica 28mm"</f>
        <v>97mm Height Adapter -Rack 001110 on formica 28mm</v>
      </c>
      <c r="S2842" t="str">
        <f>"97mm Height Adapter -Rack 001110 on formica 28mm"</f>
        <v>97mm Height Adapter -Rack 001110 on formica 28mm</v>
      </c>
      <c r="T2842">
        <v>0</v>
      </c>
      <c r="U2842">
        <v>7</v>
      </c>
      <c r="V2842">
        <v>5.5</v>
      </c>
      <c r="W2842" t="str">
        <f t="shared" si="709"/>
        <v>rob</v>
      </c>
    </row>
    <row r="2843" spans="1:23">
      <c r="A2843" t="str">
        <f t="shared" si="720"/>
        <v>MTS-ER9P-3rd-PMT</v>
      </c>
      <c r="B2843" t="str">
        <f>"50-0092-0000"</f>
        <v>50-0092-0000</v>
      </c>
      <c r="C2843" t="str">
        <f>"Interface Programming for 3rd Party CNC Machine"</f>
        <v>Interface Programming for 3rd Party CNC Machine</v>
      </c>
      <c r="D2843">
        <v>2</v>
      </c>
      <c r="E2843" t="str">
        <f t="shared" si="721"/>
        <v>FMS - Scorbot ER9Pro Robot for 3rd Party CNC Mill &amp; Turn machines</v>
      </c>
      <c r="F2843">
        <v>502</v>
      </c>
      <c r="G2843" t="str">
        <f t="shared" si="716"/>
        <v>Y</v>
      </c>
      <c r="H2843" t="str">
        <f t="shared" si="722"/>
        <v>EA</v>
      </c>
      <c r="I2843">
        <v>0</v>
      </c>
      <c r="J2843">
        <v>0</v>
      </c>
      <c r="K2843" t="str">
        <f t="shared" si="718"/>
        <v>Y</v>
      </c>
      <c r="L2843">
        <v>0</v>
      </c>
      <c r="M2843" t="str">
        <f t="shared" si="723"/>
        <v>NIS</v>
      </c>
      <c r="O2843">
        <v>10</v>
      </c>
      <c r="P2843" t="str">
        <f t="shared" si="719"/>
        <v>Active</v>
      </c>
      <c r="Q2843" t="str">
        <f>"Interface Programming for 3rd Party CNC Machine"</f>
        <v>Interface Programming for 3rd Party CNC Machine</v>
      </c>
      <c r="S2843" t="str">
        <f>"Interface Programming for 3rd Party CNC Machine"</f>
        <v>Interface Programming for 3rd Party CNC Machine</v>
      </c>
      <c r="T2843">
        <v>0</v>
      </c>
      <c r="U2843" s="44">
        <v>1000</v>
      </c>
      <c r="V2843" s="44">
        <v>1000</v>
      </c>
      <c r="W2843" t="str">
        <f t="shared" si="709"/>
        <v>rob</v>
      </c>
    </row>
    <row r="2844" spans="1:23">
      <c r="A2844" t="str">
        <f t="shared" si="720"/>
        <v>MTS-ER9P-3rd-PMT</v>
      </c>
      <c r="B2844" t="str">
        <f>"10-2118-8000"</f>
        <v>10-2118-8000</v>
      </c>
      <c r="C2844" t="str">
        <f>"CNC Interface Option Relay Box (5OUT/5IN)"</f>
        <v>CNC Interface Option Relay Box (5OUT/5IN)</v>
      </c>
      <c r="D2844">
        <v>2</v>
      </c>
      <c r="E2844" t="str">
        <f t="shared" si="721"/>
        <v>FMS - Scorbot ER9Pro Robot for 3rd Party CNC Mill &amp; Turn machines</v>
      </c>
      <c r="F2844">
        <v>502</v>
      </c>
      <c r="G2844" t="str">
        <f t="shared" si="716"/>
        <v>Y</v>
      </c>
      <c r="H2844" t="str">
        <f t="shared" si="722"/>
        <v>EA</v>
      </c>
      <c r="I2844">
        <v>0</v>
      </c>
      <c r="J2844">
        <v>0</v>
      </c>
      <c r="K2844" t="str">
        <f t="shared" si="718"/>
        <v>Y</v>
      </c>
      <c r="L2844">
        <v>0</v>
      </c>
      <c r="M2844" t="str">
        <f t="shared" si="723"/>
        <v>NIS</v>
      </c>
      <c r="O2844">
        <v>16</v>
      </c>
      <c r="P2844" t="str">
        <f t="shared" si="719"/>
        <v>Active</v>
      </c>
      <c r="Q2844" t="str">
        <f>"CNC Interface Option USB Relay Box (5OUT/5IN)"</f>
        <v>CNC Interface Option USB Relay Box (5OUT/5IN)</v>
      </c>
      <c r="S2844" t="str">
        <f>"CNC Interface Option Relay Box (5OUT/5IN)"</f>
        <v>CNC Interface Option Relay Box (5OUT/5IN)</v>
      </c>
      <c r="T2844">
        <v>0</v>
      </c>
      <c r="U2844">
        <v>84</v>
      </c>
      <c r="V2844">
        <v>215.62</v>
      </c>
      <c r="W2844" t="str">
        <f t="shared" si="709"/>
        <v>rob</v>
      </c>
    </row>
    <row r="2845" spans="1:23">
      <c r="A2845" t="str">
        <f t="shared" si="720"/>
        <v>MTS-ER9P-3rd-PMT</v>
      </c>
      <c r="B2845" t="str">
        <f>"113034"</f>
        <v>113034</v>
      </c>
      <c r="C2845" t="str">
        <f>"Raw Material - Perspex Block"</f>
        <v>Raw Material - Perspex Block</v>
      </c>
      <c r="D2845">
        <v>50</v>
      </c>
      <c r="E2845" t="str">
        <f t="shared" si="721"/>
        <v>FMS - Scorbot ER9Pro Robot for 3rd Party CNC Mill &amp; Turn machines</v>
      </c>
      <c r="F2845">
        <v>502</v>
      </c>
      <c r="G2845" t="str">
        <f t="shared" si="716"/>
        <v>Y</v>
      </c>
      <c r="H2845" t="str">
        <f t="shared" si="722"/>
        <v>EA</v>
      </c>
      <c r="I2845">
        <v>0</v>
      </c>
      <c r="J2845">
        <v>0</v>
      </c>
      <c r="K2845" t="str">
        <f t="shared" si="718"/>
        <v>Y</v>
      </c>
      <c r="L2845">
        <v>0</v>
      </c>
      <c r="M2845" t="str">
        <f t="shared" si="723"/>
        <v>NIS</v>
      </c>
      <c r="O2845">
        <v>11</v>
      </c>
      <c r="P2845" t="str">
        <f t="shared" si="719"/>
        <v>Active</v>
      </c>
      <c r="Q2845" t="str">
        <f>"Raw Material Stock - Perspex Block"</f>
        <v>Raw Material Stock - Perspex Block</v>
      </c>
      <c r="S2845" t="str">
        <f>"Raw Material Stock - Perspex Block"</f>
        <v>Raw Material Stock - Perspex Block</v>
      </c>
      <c r="T2845">
        <v>0</v>
      </c>
      <c r="U2845">
        <v>1.1000000000000001</v>
      </c>
      <c r="V2845">
        <v>1.0900000000000001</v>
      </c>
      <c r="W2845" t="str">
        <f t="shared" si="709"/>
        <v>rob</v>
      </c>
    </row>
    <row r="2846" spans="1:23">
      <c r="A2846" t="str">
        <f t="shared" si="720"/>
        <v>MTS-ER9P-3rd-PMT</v>
      </c>
      <c r="B2846" t="str">
        <f>"112496"</f>
        <v>112496</v>
      </c>
      <c r="C2846" t="str">
        <f>"Raw Material - Brass  Rod"</f>
        <v>Raw Material - Brass  Rod</v>
      </c>
      <c r="D2846">
        <v>50</v>
      </c>
      <c r="E2846" t="str">
        <f t="shared" si="721"/>
        <v>FMS - Scorbot ER9Pro Robot for 3rd Party CNC Mill &amp; Turn machines</v>
      </c>
      <c r="F2846">
        <v>502</v>
      </c>
      <c r="G2846" t="str">
        <f t="shared" si="716"/>
        <v>Y</v>
      </c>
      <c r="H2846" t="str">
        <f t="shared" si="722"/>
        <v>EA</v>
      </c>
      <c r="I2846">
        <v>0</v>
      </c>
      <c r="J2846">
        <v>0</v>
      </c>
      <c r="K2846" t="str">
        <f t="shared" si="718"/>
        <v>Y</v>
      </c>
      <c r="L2846">
        <v>0</v>
      </c>
      <c r="M2846" t="str">
        <f t="shared" si="723"/>
        <v>NIS</v>
      </c>
      <c r="O2846">
        <v>12</v>
      </c>
      <c r="P2846" t="str">
        <f t="shared" si="719"/>
        <v>Active</v>
      </c>
      <c r="Q2846" t="str">
        <f>"Raw Material Stock - Brass  Rod"</f>
        <v>Raw Material Stock - Brass  Rod</v>
      </c>
      <c r="S2846" t="str">
        <f>"Raw Material Stock - Brass  Rod"</f>
        <v>Raw Material Stock - Brass  Rod</v>
      </c>
      <c r="T2846">
        <v>0</v>
      </c>
      <c r="U2846">
        <v>3.67</v>
      </c>
      <c r="V2846">
        <v>2.69</v>
      </c>
      <c r="W2846" t="str">
        <f t="shared" si="709"/>
        <v>rob</v>
      </c>
    </row>
    <row r="2847" spans="1:23">
      <c r="A2847" t="str">
        <f t="shared" si="720"/>
        <v>MTS-ER9P-3rd-PMT</v>
      </c>
      <c r="B2847" t="str">
        <f>"10-2116-2000"</f>
        <v>10-2116-2000</v>
      </c>
      <c r="C2847" t="str">
        <f>"Pneumatic Flip Device for 3rd Party CNC Mill"</f>
        <v>Pneumatic Flip Device for 3rd Party CNC Mill</v>
      </c>
      <c r="D2847">
        <v>1</v>
      </c>
      <c r="E2847" t="str">
        <f t="shared" si="721"/>
        <v>FMS - Scorbot ER9Pro Robot for 3rd Party CNC Mill &amp; Turn machines</v>
      </c>
      <c r="F2847">
        <v>502</v>
      </c>
      <c r="G2847" t="str">
        <f t="shared" si="716"/>
        <v>Y</v>
      </c>
      <c r="H2847" t="str">
        <f t="shared" si="722"/>
        <v>EA</v>
      </c>
      <c r="I2847">
        <v>0</v>
      </c>
      <c r="J2847">
        <v>0</v>
      </c>
      <c r="K2847" t="str">
        <f t="shared" si="718"/>
        <v>Y</v>
      </c>
      <c r="L2847">
        <v>0</v>
      </c>
      <c r="M2847" t="str">
        <f t="shared" si="723"/>
        <v>NIS</v>
      </c>
      <c r="O2847">
        <v>13</v>
      </c>
      <c r="P2847" t="str">
        <f t="shared" si="719"/>
        <v>Active</v>
      </c>
      <c r="Q2847" t="str">
        <f>"Pneumatic Flip Device"</f>
        <v>Pneumatic Flip Device</v>
      </c>
      <c r="S2847" t="str">
        <f>"Pneumatic Flip Device"</f>
        <v>Pneumatic Flip Device</v>
      </c>
      <c r="T2847">
        <v>0</v>
      </c>
      <c r="U2847">
        <v>503.58</v>
      </c>
      <c r="V2847">
        <v>467.47</v>
      </c>
      <c r="W2847" t="str">
        <f t="shared" si="709"/>
        <v>rob</v>
      </c>
    </row>
    <row r="2848" spans="1:23">
      <c r="A2848" t="str">
        <f t="shared" si="720"/>
        <v>MTS-ER9P-3rd-PMT</v>
      </c>
      <c r="B2848" t="str">
        <f>"00-1251-0000"</f>
        <v>00-1251-0000</v>
      </c>
      <c r="C2848" t="str">
        <f>"Workbench 1500x800mm (Formica Top)"</f>
        <v>Workbench 1500x800mm (Formica Top)</v>
      </c>
      <c r="D2848">
        <v>1</v>
      </c>
      <c r="E2848" t="str">
        <f t="shared" si="721"/>
        <v>FMS - Scorbot ER9Pro Robot for 3rd Party CNC Mill &amp; Turn machines</v>
      </c>
      <c r="F2848">
        <v>502</v>
      </c>
      <c r="G2848" t="str">
        <f t="shared" si="716"/>
        <v>Y</v>
      </c>
      <c r="H2848" t="str">
        <f t="shared" si="722"/>
        <v>EA</v>
      </c>
      <c r="I2848">
        <v>0</v>
      </c>
      <c r="J2848">
        <v>0</v>
      </c>
      <c r="K2848" t="str">
        <f t="shared" si="718"/>
        <v>Y</v>
      </c>
      <c r="L2848">
        <v>0</v>
      </c>
      <c r="M2848" t="str">
        <f t="shared" si="723"/>
        <v>NIS</v>
      </c>
      <c r="O2848">
        <v>14</v>
      </c>
      <c r="P2848" t="str">
        <f t="shared" si="719"/>
        <v>Active</v>
      </c>
      <c r="Q2848" t="str">
        <f>"Workbench 1500x800mm (Formica Top)"</f>
        <v>Workbench 1500x800mm (Formica Top)</v>
      </c>
      <c r="S2848" t="str">
        <f>"Workbench 1500x800mm (Formica Top)"</f>
        <v>Workbench 1500x800mm (Formica Top)</v>
      </c>
      <c r="T2848">
        <v>0</v>
      </c>
      <c r="U2848">
        <v>582</v>
      </c>
      <c r="V2848">
        <v>588.6</v>
      </c>
      <c r="W2848" t="str">
        <f t="shared" si="709"/>
        <v>rob</v>
      </c>
    </row>
    <row r="2849" spans="1:23">
      <c r="A2849" t="str">
        <f t="shared" si="720"/>
        <v>MTS-ER9P-3rd-PMT</v>
      </c>
      <c r="B2849" t="str">
        <f>"50-0094-0000"</f>
        <v>50-0094-0000</v>
      </c>
      <c r="C2849" t="str">
        <f>"Pre-Engineering, Design and Testing"</f>
        <v>Pre-Engineering, Design and Testing</v>
      </c>
      <c r="D2849">
        <v>1</v>
      </c>
      <c r="E2849" t="str">
        <f t="shared" si="721"/>
        <v>FMS - Scorbot ER9Pro Robot for 3rd Party CNC Mill &amp; Turn machines</v>
      </c>
      <c r="F2849">
        <v>502</v>
      </c>
      <c r="G2849" t="str">
        <f t="shared" si="716"/>
        <v>Y</v>
      </c>
      <c r="H2849" t="str">
        <f>"DA"</f>
        <v>DA</v>
      </c>
      <c r="I2849">
        <v>0</v>
      </c>
      <c r="J2849">
        <v>0</v>
      </c>
      <c r="K2849" t="str">
        <f t="shared" si="718"/>
        <v>Y</v>
      </c>
      <c r="L2849">
        <v>0</v>
      </c>
      <c r="M2849" t="str">
        <f t="shared" si="723"/>
        <v>NIS</v>
      </c>
      <c r="O2849">
        <v>15</v>
      </c>
      <c r="P2849" t="str">
        <f t="shared" si="719"/>
        <v>Active</v>
      </c>
      <c r="Q2849" t="str">
        <f>"Pre-Engineering, Design and Testing"</f>
        <v>Pre-Engineering, Design and Testing</v>
      </c>
      <c r="S2849" t="str">
        <f>"Pre-Engineering, Design and Testing"</f>
        <v>Pre-Engineering, Design and Testing</v>
      </c>
      <c r="T2849">
        <v>0</v>
      </c>
      <c r="U2849">
        <v>405</v>
      </c>
      <c r="V2849">
        <v>421.2</v>
      </c>
      <c r="W2849" t="str">
        <f t="shared" si="709"/>
        <v>rob</v>
      </c>
    </row>
    <row r="2850" spans="1:23">
      <c r="A2850" t="str">
        <f t="shared" ref="A2850:A2863" si="724">"MTS-ER9P-3rd-P-T"</f>
        <v>MTS-ER9P-3rd-P-T</v>
      </c>
      <c r="B2850" t="str">
        <f>"00-0430-0000"</f>
        <v>00-0430-0000</v>
      </c>
      <c r="C2850" t="str">
        <f>"SCORBOT-ER9Pro"</f>
        <v>SCORBOT-ER9Pro</v>
      </c>
      <c r="D2850">
        <v>1</v>
      </c>
      <c r="E2850" t="str">
        <f t="shared" ref="E2850:E2863" si="725">"FMS - Scorbot ER9Pro Robot for 3rd Party CNC Turning machine"</f>
        <v>FMS - Scorbot ER9Pro Robot for 3rd Party CNC Turning machine</v>
      </c>
      <c r="F2850">
        <v>502</v>
      </c>
      <c r="G2850" t="str">
        <f t="shared" si="716"/>
        <v>Y</v>
      </c>
      <c r="H2850" t="str">
        <f t="shared" ref="H2850:H2862" si="726">"EA"</f>
        <v>EA</v>
      </c>
      <c r="I2850">
        <v>0</v>
      </c>
      <c r="J2850">
        <v>0</v>
      </c>
      <c r="K2850" t="str">
        <f t="shared" si="718"/>
        <v>Y</v>
      </c>
      <c r="L2850">
        <v>0</v>
      </c>
      <c r="M2850" t="str">
        <f t="shared" si="723"/>
        <v>NIS</v>
      </c>
      <c r="O2850">
        <v>1</v>
      </c>
      <c r="P2850" t="str">
        <f t="shared" si="719"/>
        <v>Active</v>
      </c>
      <c r="Q2850" t="str">
        <f>"SCORBOT-ER 9Pro (incl. USB-Pro Controller)"</f>
        <v>SCORBOT-ER 9Pro (incl. USB-Pro Controller)</v>
      </c>
      <c r="S2850" t="str">
        <f>"SCORBOT-ER 9Pro (incl. USB-Pro Controller)"</f>
        <v>SCORBOT-ER 9Pro (incl. USB-Pro Controller)</v>
      </c>
      <c r="T2850">
        <v>0</v>
      </c>
      <c r="U2850" s="44">
        <v>10900</v>
      </c>
      <c r="V2850" s="44">
        <v>11661.57</v>
      </c>
      <c r="W2850" t="str">
        <f t="shared" ref="W2850:W2913" si="727">"rob"</f>
        <v>rob</v>
      </c>
    </row>
    <row r="2851" spans="1:23">
      <c r="A2851" t="str">
        <f t="shared" si="724"/>
        <v>MTS-ER9P-3rd-P-T</v>
      </c>
      <c r="B2851" t="str">
        <f>"00-0633-0000"</f>
        <v>00-0633-0000</v>
      </c>
      <c r="C2851" t="str">
        <f>"Pneumatic Gripper for ER9-Pro"</f>
        <v>Pneumatic Gripper for ER9-Pro</v>
      </c>
      <c r="D2851">
        <v>1</v>
      </c>
      <c r="E2851" t="str">
        <f t="shared" si="725"/>
        <v>FMS - Scorbot ER9Pro Robot for 3rd Party CNC Turning machine</v>
      </c>
      <c r="F2851">
        <v>502</v>
      </c>
      <c r="G2851" t="str">
        <f t="shared" si="716"/>
        <v>Y</v>
      </c>
      <c r="H2851" t="str">
        <f t="shared" si="726"/>
        <v>EA</v>
      </c>
      <c r="I2851">
        <v>0</v>
      </c>
      <c r="J2851">
        <v>0</v>
      </c>
      <c r="K2851" t="str">
        <f t="shared" si="718"/>
        <v>Y</v>
      </c>
      <c r="L2851">
        <v>0</v>
      </c>
      <c r="M2851" t="str">
        <f t="shared" si="723"/>
        <v>NIS</v>
      </c>
      <c r="O2851">
        <v>2</v>
      </c>
      <c r="P2851" t="str">
        <f t="shared" si="719"/>
        <v>Active</v>
      </c>
      <c r="Q2851" t="str">
        <f>"Pneumatic Gripper for ER 9Pro"</f>
        <v>Pneumatic Gripper for ER 9Pro</v>
      </c>
      <c r="S2851" t="str">
        <f>"Pneumatic Gripper for ER9-Pro"</f>
        <v>Pneumatic Gripper for ER9-Pro</v>
      </c>
      <c r="T2851">
        <v>0</v>
      </c>
      <c r="U2851">
        <v>630</v>
      </c>
      <c r="V2851">
        <v>624.72</v>
      </c>
      <c r="W2851" t="str">
        <f t="shared" si="727"/>
        <v>rob</v>
      </c>
    </row>
    <row r="2852" spans="1:23">
      <c r="A2852" t="str">
        <f t="shared" si="724"/>
        <v>MTS-ER9P-3rd-P-T</v>
      </c>
      <c r="B2852" t="str">
        <f>"00-1710-0000"</f>
        <v>00-1710-0000</v>
      </c>
      <c r="C2852" t="str">
        <f>"Teach Pendant"</f>
        <v>Teach Pendant</v>
      </c>
      <c r="D2852">
        <v>1</v>
      </c>
      <c r="E2852" t="str">
        <f t="shared" si="725"/>
        <v>FMS - Scorbot ER9Pro Robot for 3rd Party CNC Turning machine</v>
      </c>
      <c r="F2852">
        <v>502</v>
      </c>
      <c r="G2852" t="str">
        <f t="shared" si="716"/>
        <v>Y</v>
      </c>
      <c r="H2852" t="str">
        <f t="shared" si="726"/>
        <v>EA</v>
      </c>
      <c r="I2852">
        <v>0</v>
      </c>
      <c r="J2852">
        <v>0</v>
      </c>
      <c r="K2852" t="str">
        <f t="shared" si="718"/>
        <v>Y</v>
      </c>
      <c r="L2852">
        <v>0</v>
      </c>
      <c r="M2852" t="str">
        <f t="shared" si="723"/>
        <v>NIS</v>
      </c>
      <c r="O2852">
        <v>3</v>
      </c>
      <c r="P2852" t="str">
        <f t="shared" si="719"/>
        <v>Active</v>
      </c>
      <c r="Q2852" t="str">
        <f>"Teach Pendant for USB/USB Pro Controllers"</f>
        <v>Teach Pendant for USB/USB Pro Controllers</v>
      </c>
      <c r="S2852" t="str">
        <f>"Teach Pendant for USB/USB Pro Controllers"</f>
        <v>Teach Pendant for USB/USB Pro Controllers</v>
      </c>
      <c r="T2852">
        <v>0</v>
      </c>
      <c r="U2852">
        <v>160.18</v>
      </c>
      <c r="V2852">
        <v>161.44999999999999</v>
      </c>
      <c r="W2852" t="str">
        <f t="shared" si="727"/>
        <v>rob</v>
      </c>
    </row>
    <row r="2853" spans="1:23">
      <c r="A2853" t="str">
        <f t="shared" si="724"/>
        <v>MTS-ER9P-3rd-P-T</v>
      </c>
      <c r="B2853" t="str">
        <f>"00-1016-0000"</f>
        <v>00-1016-0000</v>
      </c>
      <c r="C2853" t="str">
        <f>"LSB 1.0m, Belt, FM"</f>
        <v>LSB 1.0m, Belt, FM</v>
      </c>
      <c r="D2853">
        <v>1</v>
      </c>
      <c r="E2853" t="str">
        <f t="shared" si="725"/>
        <v>FMS - Scorbot ER9Pro Robot for 3rd Party CNC Turning machine</v>
      </c>
      <c r="F2853">
        <v>502</v>
      </c>
      <c r="G2853" t="str">
        <f t="shared" si="716"/>
        <v>Y</v>
      </c>
      <c r="H2853" t="str">
        <f t="shared" si="726"/>
        <v>EA</v>
      </c>
      <c r="I2853">
        <v>0</v>
      </c>
      <c r="J2853">
        <v>0</v>
      </c>
      <c r="K2853" t="str">
        <f t="shared" si="718"/>
        <v>Y</v>
      </c>
      <c r="L2853">
        <v>0</v>
      </c>
      <c r="M2853" t="str">
        <f t="shared" si="723"/>
        <v>NIS</v>
      </c>
      <c r="O2853">
        <v>4</v>
      </c>
      <c r="P2853" t="str">
        <f t="shared" si="719"/>
        <v>Active</v>
      </c>
      <c r="Q2853" t="str">
        <f>"LSB 1.0m (Belt, Floor Mounted incl. Stand)"</f>
        <v>LSB 1.0m (Belt, Floor Mounted incl. Stand)</v>
      </c>
      <c r="S2853" t="str">
        <f>"LSB 1.0m, Belt, Floor Mounted incl. Stand"</f>
        <v>LSB 1.0m, Belt, Floor Mounted incl. Stand</v>
      </c>
      <c r="T2853">
        <v>0</v>
      </c>
      <c r="U2853" s="44">
        <v>2336.16</v>
      </c>
      <c r="V2853" s="44">
        <v>2301.0500000000002</v>
      </c>
      <c r="W2853" t="str">
        <f t="shared" si="727"/>
        <v>rob</v>
      </c>
    </row>
    <row r="2854" spans="1:23">
      <c r="A2854" t="str">
        <f t="shared" si="724"/>
        <v>MTS-ER9P-3rd-P-T</v>
      </c>
      <c r="B2854" t="str">
        <f>"10-1007-4000"</f>
        <v>10-1007-4000</v>
      </c>
      <c r="C2854" t="str">
        <f>"Gravity Parts Feeder (with microswitch sensor)"</f>
        <v>Gravity Parts Feeder (with microswitch sensor)</v>
      </c>
      <c r="D2854">
        <v>1</v>
      </c>
      <c r="E2854" t="str">
        <f t="shared" si="725"/>
        <v>FMS - Scorbot ER9Pro Robot for 3rd Party CNC Turning machine</v>
      </c>
      <c r="F2854">
        <v>502</v>
      </c>
      <c r="G2854" t="str">
        <f t="shared" si="716"/>
        <v>Y</v>
      </c>
      <c r="H2854" t="str">
        <f t="shared" si="726"/>
        <v>EA</v>
      </c>
      <c r="I2854">
        <v>0</v>
      </c>
      <c r="J2854">
        <v>0</v>
      </c>
      <c r="K2854" t="str">
        <f t="shared" si="718"/>
        <v>Y</v>
      </c>
      <c r="L2854">
        <v>0</v>
      </c>
      <c r="M2854" t="str">
        <f t="shared" si="723"/>
        <v>NIS</v>
      </c>
      <c r="O2854">
        <v>5</v>
      </c>
      <c r="P2854" t="str">
        <f t="shared" si="719"/>
        <v>Active</v>
      </c>
      <c r="Q2854" t="str">
        <f>"Gravity Parts Feeder (incl.microswitch sensor)"</f>
        <v>Gravity Parts Feeder (incl.microswitch sensor)</v>
      </c>
      <c r="S2854" t="str">
        <f>"Gravity Parts Feeder (incl.microswitch sensor)"</f>
        <v>Gravity Parts Feeder (incl.microswitch sensor)</v>
      </c>
      <c r="T2854">
        <v>0</v>
      </c>
      <c r="U2854">
        <v>148</v>
      </c>
      <c r="V2854">
        <v>148.26</v>
      </c>
      <c r="W2854" t="str">
        <f t="shared" si="727"/>
        <v>rob</v>
      </c>
    </row>
    <row r="2855" spans="1:23">
      <c r="A2855" t="str">
        <f t="shared" si="724"/>
        <v>MTS-ER9P-3rd-P-T</v>
      </c>
      <c r="B2855" t="str">
        <f>"00-1110-0000"</f>
        <v>00-1110-0000</v>
      </c>
      <c r="C2855" t="str">
        <f>"Palletizing Rack"</f>
        <v>Palletizing Rack</v>
      </c>
      <c r="D2855">
        <v>1</v>
      </c>
      <c r="E2855" t="str">
        <f t="shared" si="725"/>
        <v>FMS - Scorbot ER9Pro Robot for 3rd Party CNC Turning machine</v>
      </c>
      <c r="F2855">
        <v>502</v>
      </c>
      <c r="G2855" t="str">
        <f t="shared" si="716"/>
        <v>Y</v>
      </c>
      <c r="H2855" t="str">
        <f t="shared" si="726"/>
        <v>EA</v>
      </c>
      <c r="I2855">
        <v>0</v>
      </c>
      <c r="J2855">
        <v>0</v>
      </c>
      <c r="K2855" t="str">
        <f t="shared" si="718"/>
        <v>Y</v>
      </c>
      <c r="L2855">
        <v>0</v>
      </c>
      <c r="M2855" t="str">
        <f t="shared" si="723"/>
        <v>NIS</v>
      </c>
      <c r="O2855">
        <v>6</v>
      </c>
      <c r="P2855" t="str">
        <f t="shared" si="719"/>
        <v>Active</v>
      </c>
      <c r="Q2855" t="str">
        <f>"Palletizing Rack (incl. Pins for creating Jigs)"</f>
        <v>Palletizing Rack (incl. Pins for creating Jigs)</v>
      </c>
      <c r="S2855" t="str">
        <f>"Palletizing Rack (incl. Pins for creating Jigs)"</f>
        <v>Palletizing Rack (incl. Pins for creating Jigs)</v>
      </c>
      <c r="T2855">
        <v>0</v>
      </c>
      <c r="U2855">
        <v>63</v>
      </c>
      <c r="V2855">
        <v>58.59</v>
      </c>
      <c r="W2855" t="str">
        <f t="shared" si="727"/>
        <v>rob</v>
      </c>
    </row>
    <row r="2856" spans="1:23">
      <c r="A2856" t="str">
        <f t="shared" si="724"/>
        <v>MTS-ER9P-3rd-P-T</v>
      </c>
      <c r="B2856" t="str">
        <f>"021182"</f>
        <v>021182</v>
      </c>
      <c r="C2856" t="str">
        <f>"97mm Height Adapter"</f>
        <v>97mm Height Adapter</v>
      </c>
      <c r="D2856">
        <v>1</v>
      </c>
      <c r="E2856" t="str">
        <f t="shared" si="725"/>
        <v>FMS - Scorbot ER9Pro Robot for 3rd Party CNC Turning machine</v>
      </c>
      <c r="F2856">
        <v>502</v>
      </c>
      <c r="G2856" t="str">
        <f t="shared" si="716"/>
        <v>Y</v>
      </c>
      <c r="H2856" t="str">
        <f t="shared" si="726"/>
        <v>EA</v>
      </c>
      <c r="I2856">
        <v>0</v>
      </c>
      <c r="J2856">
        <v>0</v>
      </c>
      <c r="K2856" t="str">
        <f t="shared" si="718"/>
        <v>Y</v>
      </c>
      <c r="L2856">
        <v>0</v>
      </c>
      <c r="M2856" t="str">
        <f t="shared" si="723"/>
        <v>NIS</v>
      </c>
      <c r="O2856">
        <v>14</v>
      </c>
      <c r="P2856" t="str">
        <f t="shared" si="719"/>
        <v>Active</v>
      </c>
      <c r="Q2856" t="str">
        <f>"97mm Height Adapter -Rack 001110 on formica 28mm"</f>
        <v>97mm Height Adapter -Rack 001110 on formica 28mm</v>
      </c>
      <c r="S2856" t="str">
        <f>"97mm Height Adapter -Rack 001110 on formica 28mm"</f>
        <v>97mm Height Adapter -Rack 001110 on formica 28mm</v>
      </c>
      <c r="T2856">
        <v>0</v>
      </c>
      <c r="U2856">
        <v>7</v>
      </c>
      <c r="V2856">
        <v>5.5</v>
      </c>
      <c r="W2856" t="str">
        <f t="shared" si="727"/>
        <v>rob</v>
      </c>
    </row>
    <row r="2857" spans="1:23">
      <c r="A2857" t="str">
        <f t="shared" si="724"/>
        <v>MTS-ER9P-3rd-P-T</v>
      </c>
      <c r="B2857" t="str">
        <f>"034025"</f>
        <v>034025</v>
      </c>
      <c r="C2857" t="str">
        <f>"I/O Interface Box for Controller USB-PRO"</f>
        <v>I/O Interface Box for Controller USB-PRO</v>
      </c>
      <c r="D2857">
        <v>1</v>
      </c>
      <c r="E2857" t="str">
        <f t="shared" si="725"/>
        <v>FMS - Scorbot ER9Pro Robot for 3rd Party CNC Turning machine</v>
      </c>
      <c r="F2857">
        <v>502</v>
      </c>
      <c r="G2857" t="str">
        <f t="shared" si="716"/>
        <v>Y</v>
      </c>
      <c r="H2857" t="str">
        <f t="shared" si="726"/>
        <v>EA</v>
      </c>
      <c r="I2857">
        <v>0</v>
      </c>
      <c r="J2857">
        <v>0</v>
      </c>
      <c r="K2857" t="str">
        <f t="shared" si="718"/>
        <v>Y</v>
      </c>
      <c r="L2857">
        <v>0</v>
      </c>
      <c r="M2857" t="str">
        <f t="shared" si="723"/>
        <v>NIS</v>
      </c>
      <c r="O2857">
        <v>7</v>
      </c>
      <c r="P2857" t="str">
        <f t="shared" si="719"/>
        <v>Active</v>
      </c>
      <c r="Q2857" t="str">
        <f>"I/O Interface Box for Controller USB-PRO"</f>
        <v>I/O Interface Box for Controller USB-PRO</v>
      </c>
      <c r="S2857" t="str">
        <f>"קופסת 2+Interface Box I/O כבלים לבקר USBPRO"</f>
        <v>קופסת 2+Interface Box I/O כבלים לבקר USBPRO</v>
      </c>
      <c r="T2857">
        <v>0</v>
      </c>
      <c r="U2857">
        <v>470</v>
      </c>
      <c r="V2857">
        <v>463.62</v>
      </c>
      <c r="W2857" t="str">
        <f t="shared" si="727"/>
        <v>rob</v>
      </c>
    </row>
    <row r="2858" spans="1:23">
      <c r="A2858" t="str">
        <f t="shared" si="724"/>
        <v>MTS-ER9P-3rd-P-T</v>
      </c>
      <c r="B2858" t="str">
        <f>"50-0092-0000"</f>
        <v>50-0092-0000</v>
      </c>
      <c r="C2858" t="str">
        <f>"Interface Programming for 3rd Party CNC Machine"</f>
        <v>Interface Programming for 3rd Party CNC Machine</v>
      </c>
      <c r="D2858">
        <v>1</v>
      </c>
      <c r="E2858" t="str">
        <f t="shared" si="725"/>
        <v>FMS - Scorbot ER9Pro Robot for 3rd Party CNC Turning machine</v>
      </c>
      <c r="F2858">
        <v>502</v>
      </c>
      <c r="G2858" t="str">
        <f t="shared" si="716"/>
        <v>Y</v>
      </c>
      <c r="H2858" t="str">
        <f t="shared" si="726"/>
        <v>EA</v>
      </c>
      <c r="I2858">
        <v>0</v>
      </c>
      <c r="J2858">
        <v>0</v>
      </c>
      <c r="K2858" t="str">
        <f t="shared" si="718"/>
        <v>Y</v>
      </c>
      <c r="L2858">
        <v>0</v>
      </c>
      <c r="M2858" t="str">
        <f t="shared" si="723"/>
        <v>NIS</v>
      </c>
      <c r="O2858">
        <v>8</v>
      </c>
      <c r="P2858" t="str">
        <f t="shared" si="719"/>
        <v>Active</v>
      </c>
      <c r="Q2858" t="str">
        <f>"Interface Programming for 3rd Party CNC Machine"</f>
        <v>Interface Programming for 3rd Party CNC Machine</v>
      </c>
      <c r="S2858" t="str">
        <f>"Interface Programming for 3rd Party CNC Machine"</f>
        <v>Interface Programming for 3rd Party CNC Machine</v>
      </c>
      <c r="T2858">
        <v>0</v>
      </c>
      <c r="U2858" s="44">
        <v>1000</v>
      </c>
      <c r="V2858" s="44">
        <v>1000</v>
      </c>
      <c r="W2858" t="str">
        <f t="shared" si="727"/>
        <v>rob</v>
      </c>
    </row>
    <row r="2859" spans="1:23">
      <c r="A2859" t="str">
        <f t="shared" si="724"/>
        <v>MTS-ER9P-3rd-P-T</v>
      </c>
      <c r="B2859" t="str">
        <f>"10-2118-8000"</f>
        <v>10-2118-8000</v>
      </c>
      <c r="C2859" t="str">
        <f>"CNC Interface Option Relay Box (5OUT/5IN)"</f>
        <v>CNC Interface Option Relay Box (5OUT/5IN)</v>
      </c>
      <c r="D2859">
        <v>1</v>
      </c>
      <c r="E2859" t="str">
        <f t="shared" si="725"/>
        <v>FMS - Scorbot ER9Pro Robot for 3rd Party CNC Turning machine</v>
      </c>
      <c r="F2859">
        <v>502</v>
      </c>
      <c r="G2859" t="str">
        <f t="shared" si="716"/>
        <v>Y</v>
      </c>
      <c r="H2859" t="str">
        <f t="shared" si="726"/>
        <v>EA</v>
      </c>
      <c r="I2859">
        <v>0</v>
      </c>
      <c r="J2859">
        <v>0</v>
      </c>
      <c r="K2859" t="str">
        <f t="shared" si="718"/>
        <v>Y</v>
      </c>
      <c r="L2859">
        <v>0</v>
      </c>
      <c r="M2859" t="str">
        <f t="shared" si="723"/>
        <v>NIS</v>
      </c>
      <c r="O2859">
        <v>13</v>
      </c>
      <c r="P2859" t="str">
        <f t="shared" si="719"/>
        <v>Active</v>
      </c>
      <c r="Q2859" t="str">
        <f>"CNC Interface Option USB Relay Box (5OUT/5IN)"</f>
        <v>CNC Interface Option USB Relay Box (5OUT/5IN)</v>
      </c>
      <c r="S2859" t="str">
        <f>"CNC Interface Option Relay Box (5OUT/5IN)"</f>
        <v>CNC Interface Option Relay Box (5OUT/5IN)</v>
      </c>
      <c r="T2859">
        <v>0</v>
      </c>
      <c r="U2859">
        <v>84</v>
      </c>
      <c r="V2859">
        <v>215.62</v>
      </c>
      <c r="W2859" t="str">
        <f t="shared" si="727"/>
        <v>rob</v>
      </c>
    </row>
    <row r="2860" spans="1:23">
      <c r="A2860" t="str">
        <f t="shared" si="724"/>
        <v>MTS-ER9P-3rd-P-T</v>
      </c>
      <c r="B2860" t="str">
        <f>"021152"</f>
        <v>021152</v>
      </c>
      <c r="C2860" t="str">
        <f>"Shelf Buffer for CIM conveyor"</f>
        <v>Shelf Buffer for CIM conveyor</v>
      </c>
      <c r="D2860">
        <v>1</v>
      </c>
      <c r="E2860" t="str">
        <f t="shared" si="725"/>
        <v>FMS - Scorbot ER9Pro Robot for 3rd Party CNC Turning machine</v>
      </c>
      <c r="F2860">
        <v>502</v>
      </c>
      <c r="G2860" t="str">
        <f t="shared" si="716"/>
        <v>Y</v>
      </c>
      <c r="H2860" t="str">
        <f t="shared" si="726"/>
        <v>EA</v>
      </c>
      <c r="I2860">
        <v>0</v>
      </c>
      <c r="J2860">
        <v>0</v>
      </c>
      <c r="K2860" t="str">
        <f t="shared" si="718"/>
        <v>Y</v>
      </c>
      <c r="L2860">
        <v>0</v>
      </c>
      <c r="M2860" t="str">
        <f t="shared" si="723"/>
        <v>NIS</v>
      </c>
      <c r="O2860">
        <v>9</v>
      </c>
      <c r="P2860" t="str">
        <f t="shared" si="719"/>
        <v>Active</v>
      </c>
      <c r="Q2860" t="str">
        <f>"מכלול- מדף בפר סטנדרטי OPEN-CIM"</f>
        <v>מכלול- מדף בפר סטנדרטי OPEN-CIM</v>
      </c>
      <c r="R2860" t="str">
        <f>"1"</f>
        <v>1</v>
      </c>
      <c r="S2860" t="str">
        <f>"מכלול- מדף בפר סטנדרטי OPEN-CIM"</f>
        <v>מכלול- מדף בפר סטנדרטי OPEN-CIM</v>
      </c>
      <c r="T2860">
        <v>0</v>
      </c>
      <c r="U2860">
        <v>83.12</v>
      </c>
      <c r="V2860">
        <v>92.76</v>
      </c>
      <c r="W2860" t="str">
        <f t="shared" si="727"/>
        <v>rob</v>
      </c>
    </row>
    <row r="2861" spans="1:23">
      <c r="A2861" t="str">
        <f t="shared" si="724"/>
        <v>MTS-ER9P-3rd-P-T</v>
      </c>
      <c r="B2861" t="str">
        <f>"112496"</f>
        <v>112496</v>
      </c>
      <c r="C2861" t="str">
        <f>"Raw Material - Brass  Rod"</f>
        <v>Raw Material - Brass  Rod</v>
      </c>
      <c r="D2861">
        <v>50</v>
      </c>
      <c r="E2861" t="str">
        <f t="shared" si="725"/>
        <v>FMS - Scorbot ER9Pro Robot for 3rd Party CNC Turning machine</v>
      </c>
      <c r="F2861">
        <v>502</v>
      </c>
      <c r="G2861" t="str">
        <f t="shared" si="716"/>
        <v>Y</v>
      </c>
      <c r="H2861" t="str">
        <f t="shared" si="726"/>
        <v>EA</v>
      </c>
      <c r="I2861">
        <v>0</v>
      </c>
      <c r="J2861">
        <v>0</v>
      </c>
      <c r="K2861" t="str">
        <f t="shared" si="718"/>
        <v>Y</v>
      </c>
      <c r="L2861">
        <v>0</v>
      </c>
      <c r="M2861" t="str">
        <f t="shared" si="723"/>
        <v>NIS</v>
      </c>
      <c r="O2861">
        <v>10</v>
      </c>
      <c r="P2861" t="str">
        <f t="shared" si="719"/>
        <v>Active</v>
      </c>
      <c r="Q2861" t="str">
        <f>"Raw Material Stock - Brass  Rod"</f>
        <v>Raw Material Stock - Brass  Rod</v>
      </c>
      <c r="S2861" t="str">
        <f>"Raw Material Stock - Brass  Rod"</f>
        <v>Raw Material Stock - Brass  Rod</v>
      </c>
      <c r="T2861">
        <v>0</v>
      </c>
      <c r="U2861">
        <v>3.67</v>
      </c>
      <c r="V2861">
        <v>2.69</v>
      </c>
      <c r="W2861" t="str">
        <f t="shared" si="727"/>
        <v>rob</v>
      </c>
    </row>
    <row r="2862" spans="1:23">
      <c r="A2862" t="str">
        <f t="shared" si="724"/>
        <v>MTS-ER9P-3rd-P-T</v>
      </c>
      <c r="B2862" t="str">
        <f>"00-1251-0000"</f>
        <v>00-1251-0000</v>
      </c>
      <c r="C2862" t="str">
        <f>"Workbench 1500x800mm (Formica Top)"</f>
        <v>Workbench 1500x800mm (Formica Top)</v>
      </c>
      <c r="D2862">
        <v>1</v>
      </c>
      <c r="E2862" t="str">
        <f t="shared" si="725"/>
        <v>FMS - Scorbot ER9Pro Robot for 3rd Party CNC Turning machine</v>
      </c>
      <c r="F2862">
        <v>502</v>
      </c>
      <c r="G2862" t="str">
        <f t="shared" si="716"/>
        <v>Y</v>
      </c>
      <c r="H2862" t="str">
        <f t="shared" si="726"/>
        <v>EA</v>
      </c>
      <c r="I2862">
        <v>0</v>
      </c>
      <c r="J2862">
        <v>0</v>
      </c>
      <c r="K2862" t="str">
        <f t="shared" si="718"/>
        <v>Y</v>
      </c>
      <c r="L2862">
        <v>0</v>
      </c>
      <c r="M2862" t="str">
        <f t="shared" si="723"/>
        <v>NIS</v>
      </c>
      <c r="O2862">
        <v>11</v>
      </c>
      <c r="P2862" t="str">
        <f t="shared" si="719"/>
        <v>Active</v>
      </c>
      <c r="Q2862" t="str">
        <f>"Workbench 1500x800mm (Formica Top)"</f>
        <v>Workbench 1500x800mm (Formica Top)</v>
      </c>
      <c r="S2862" t="str">
        <f>"Workbench 1500x800mm (Formica Top)"</f>
        <v>Workbench 1500x800mm (Formica Top)</v>
      </c>
      <c r="T2862">
        <v>0</v>
      </c>
      <c r="U2862">
        <v>582</v>
      </c>
      <c r="V2862">
        <v>588.6</v>
      </c>
      <c r="W2862" t="str">
        <f t="shared" si="727"/>
        <v>rob</v>
      </c>
    </row>
    <row r="2863" spans="1:23">
      <c r="A2863" t="str">
        <f t="shared" si="724"/>
        <v>MTS-ER9P-3rd-P-T</v>
      </c>
      <c r="B2863" t="str">
        <f>"50-0094-0000"</f>
        <v>50-0094-0000</v>
      </c>
      <c r="C2863" t="str">
        <f>"Pre-Engineering, Design and Testing"</f>
        <v>Pre-Engineering, Design and Testing</v>
      </c>
      <c r="D2863">
        <v>1</v>
      </c>
      <c r="E2863" t="str">
        <f t="shared" si="725"/>
        <v>FMS - Scorbot ER9Pro Robot for 3rd Party CNC Turning machine</v>
      </c>
      <c r="F2863">
        <v>502</v>
      </c>
      <c r="G2863" t="str">
        <f t="shared" si="716"/>
        <v>Y</v>
      </c>
      <c r="H2863" t="str">
        <f>"DA"</f>
        <v>DA</v>
      </c>
      <c r="I2863">
        <v>0</v>
      </c>
      <c r="J2863">
        <v>0</v>
      </c>
      <c r="K2863" t="str">
        <f t="shared" si="718"/>
        <v>Y</v>
      </c>
      <c r="L2863">
        <v>0</v>
      </c>
      <c r="M2863" t="str">
        <f t="shared" si="723"/>
        <v>NIS</v>
      </c>
      <c r="O2863">
        <v>12</v>
      </c>
      <c r="P2863" t="str">
        <f t="shared" ref="P2863:P2894" si="728">"Active"</f>
        <v>Active</v>
      </c>
      <c r="Q2863" t="str">
        <f>"Pre-Engineering, Design and Testing"</f>
        <v>Pre-Engineering, Design and Testing</v>
      </c>
      <c r="S2863" t="str">
        <f>"Pre-Engineering, Design and Testing"</f>
        <v>Pre-Engineering, Design and Testing</v>
      </c>
      <c r="T2863">
        <v>0</v>
      </c>
      <c r="U2863">
        <v>405</v>
      </c>
      <c r="V2863">
        <v>421.2</v>
      </c>
      <c r="W2863" t="str">
        <f t="shared" si="727"/>
        <v>rob</v>
      </c>
    </row>
    <row r="2864" spans="1:23">
      <c r="A2864" t="str">
        <f t="shared" ref="A2864:A2901" si="729">"MTS-ER9P-BM&amp;PT"</f>
        <v>MTS-ER9P-BM&amp;PT</v>
      </c>
      <c r="B2864" t="str">
        <f>"00-0430-0000"</f>
        <v>00-0430-0000</v>
      </c>
      <c r="C2864" t="str">
        <f>"SCORBOT-ER9Pro"</f>
        <v>SCORBOT-ER9Pro</v>
      </c>
      <c r="D2864">
        <v>1</v>
      </c>
      <c r="E2864" t="str">
        <f t="shared" ref="E2864:E2901" si="730">"FMS - Scorbot ER9Pro Robot with BenchMill 6000 (4 tool ATC) &amp; ProTurn 9000 CNC machines"</f>
        <v>FMS - Scorbot ER9Pro Robot with BenchMill 6000 (4 tool ATC) &amp; ProTurn 9000 CNC machines</v>
      </c>
      <c r="F2864">
        <v>502</v>
      </c>
      <c r="G2864" t="str">
        <f t="shared" si="716"/>
        <v>Y</v>
      </c>
      <c r="H2864" t="str">
        <f t="shared" ref="H2864:H2900" si="731">"EA"</f>
        <v>EA</v>
      </c>
      <c r="I2864">
        <v>0</v>
      </c>
      <c r="J2864">
        <v>0</v>
      </c>
      <c r="K2864" t="str">
        <f t="shared" si="718"/>
        <v>Y</v>
      </c>
      <c r="L2864">
        <v>0</v>
      </c>
      <c r="M2864" t="str">
        <f t="shared" si="723"/>
        <v>NIS</v>
      </c>
      <c r="O2864">
        <v>1</v>
      </c>
      <c r="P2864" t="str">
        <f t="shared" si="728"/>
        <v>Active</v>
      </c>
      <c r="Q2864" t="str">
        <f>"SCORBOT-ER 9Pro (incl. USB-Pro Controller)"</f>
        <v>SCORBOT-ER 9Pro (incl. USB-Pro Controller)</v>
      </c>
      <c r="S2864" t="str">
        <f>"SCORBOT-ER 9Pro (incl. USB-Pro Controller)"</f>
        <v>SCORBOT-ER 9Pro (incl. USB-Pro Controller)</v>
      </c>
      <c r="T2864">
        <v>0</v>
      </c>
      <c r="U2864" s="44">
        <v>10900</v>
      </c>
      <c r="V2864" s="44">
        <v>11661.57</v>
      </c>
      <c r="W2864" t="str">
        <f t="shared" si="727"/>
        <v>rob</v>
      </c>
    </row>
    <row r="2865" spans="1:23">
      <c r="A2865" t="str">
        <f t="shared" si="729"/>
        <v>MTS-ER9P-BM&amp;PT</v>
      </c>
      <c r="B2865" t="str">
        <f>"00-0633-0000"</f>
        <v>00-0633-0000</v>
      </c>
      <c r="C2865" t="str">
        <f>"Pneumatic Gripper for ER9-Pro"</f>
        <v>Pneumatic Gripper for ER9-Pro</v>
      </c>
      <c r="D2865">
        <v>1</v>
      </c>
      <c r="E2865" t="str">
        <f t="shared" si="730"/>
        <v>FMS - Scorbot ER9Pro Robot with BenchMill 6000 (4 tool ATC) &amp; ProTurn 9000 CNC machines</v>
      </c>
      <c r="F2865">
        <v>502</v>
      </c>
      <c r="G2865" t="str">
        <f t="shared" si="716"/>
        <v>Y</v>
      </c>
      <c r="H2865" t="str">
        <f t="shared" si="731"/>
        <v>EA</v>
      </c>
      <c r="I2865">
        <v>0</v>
      </c>
      <c r="J2865">
        <v>0</v>
      </c>
      <c r="K2865" t="str">
        <f t="shared" si="718"/>
        <v>Y</v>
      </c>
      <c r="L2865">
        <v>0</v>
      </c>
      <c r="M2865" t="str">
        <f t="shared" si="723"/>
        <v>NIS</v>
      </c>
      <c r="O2865">
        <v>2</v>
      </c>
      <c r="P2865" t="str">
        <f t="shared" si="728"/>
        <v>Active</v>
      </c>
      <c r="Q2865" t="str">
        <f>"Pneumatic Gripper for ER9-Pro"</f>
        <v>Pneumatic Gripper for ER9-Pro</v>
      </c>
      <c r="S2865" t="str">
        <f>"Pneumatic Gripper for ER9-Pro"</f>
        <v>Pneumatic Gripper for ER9-Pro</v>
      </c>
      <c r="T2865">
        <v>0</v>
      </c>
      <c r="U2865">
        <v>630</v>
      </c>
      <c r="V2865">
        <v>624.72</v>
      </c>
      <c r="W2865" t="str">
        <f t="shared" si="727"/>
        <v>rob</v>
      </c>
    </row>
    <row r="2866" spans="1:23">
      <c r="A2866" t="str">
        <f t="shared" si="729"/>
        <v>MTS-ER9P-BM&amp;PT</v>
      </c>
      <c r="B2866" t="str">
        <f>"00-1710-0000"</f>
        <v>00-1710-0000</v>
      </c>
      <c r="C2866" t="str">
        <f>"Teach Pendant"</f>
        <v>Teach Pendant</v>
      </c>
      <c r="D2866">
        <v>1</v>
      </c>
      <c r="E2866" t="str">
        <f t="shared" si="730"/>
        <v>FMS - Scorbot ER9Pro Robot with BenchMill 6000 (4 tool ATC) &amp; ProTurn 9000 CNC machines</v>
      </c>
      <c r="F2866">
        <v>502</v>
      </c>
      <c r="G2866" t="str">
        <f t="shared" si="716"/>
        <v>Y</v>
      </c>
      <c r="H2866" t="str">
        <f t="shared" si="731"/>
        <v>EA</v>
      </c>
      <c r="I2866">
        <v>0</v>
      </c>
      <c r="J2866">
        <v>0</v>
      </c>
      <c r="K2866" t="str">
        <f t="shared" si="718"/>
        <v>Y</v>
      </c>
      <c r="L2866">
        <v>0</v>
      </c>
      <c r="M2866" t="str">
        <f t="shared" si="723"/>
        <v>NIS</v>
      </c>
      <c r="O2866">
        <v>3</v>
      </c>
      <c r="P2866" t="str">
        <f t="shared" si="728"/>
        <v>Active</v>
      </c>
      <c r="Q2866" t="str">
        <f>"Teach Pendant for USB/USB Pro Controllers"</f>
        <v>Teach Pendant for USB/USB Pro Controllers</v>
      </c>
      <c r="S2866" t="str">
        <f>"Teach Pendant for USB/USB Pro Controllers"</f>
        <v>Teach Pendant for USB/USB Pro Controllers</v>
      </c>
      <c r="T2866">
        <v>0</v>
      </c>
      <c r="U2866">
        <v>160.18</v>
      </c>
      <c r="V2866">
        <v>161.44999999999999</v>
      </c>
      <c r="W2866" t="str">
        <f t="shared" si="727"/>
        <v>rob</v>
      </c>
    </row>
    <row r="2867" spans="1:23">
      <c r="A2867" t="str">
        <f t="shared" si="729"/>
        <v>MTS-ER9P-BM&amp;PT</v>
      </c>
      <c r="B2867" t="str">
        <f>"00-1023-0000"</f>
        <v>00-1023-0000</v>
      </c>
      <c r="C2867" t="str">
        <f>"LSB 2.5m, Belt, FM"</f>
        <v>LSB 2.5m, Belt, FM</v>
      </c>
      <c r="D2867">
        <v>1</v>
      </c>
      <c r="E2867" t="str">
        <f t="shared" si="730"/>
        <v>FMS - Scorbot ER9Pro Robot with BenchMill 6000 (4 tool ATC) &amp; ProTurn 9000 CNC machines</v>
      </c>
      <c r="F2867">
        <v>502</v>
      </c>
      <c r="G2867" t="str">
        <f t="shared" si="716"/>
        <v>Y</v>
      </c>
      <c r="H2867" t="str">
        <f t="shared" si="731"/>
        <v>EA</v>
      </c>
      <c r="I2867">
        <v>0</v>
      </c>
      <c r="J2867">
        <v>0</v>
      </c>
      <c r="K2867" t="str">
        <f t="shared" si="718"/>
        <v>Y</v>
      </c>
      <c r="L2867">
        <v>0</v>
      </c>
      <c r="M2867" t="str">
        <f t="shared" si="723"/>
        <v>NIS</v>
      </c>
      <c r="O2867">
        <v>4</v>
      </c>
      <c r="P2867" t="str">
        <f t="shared" si="728"/>
        <v>Active</v>
      </c>
      <c r="Q2867" t="str">
        <f>"LSB 2.5m, Belt, Floor Mounted incl. Stand"</f>
        <v>LSB 2.5m, Belt, Floor Mounted incl. Stand</v>
      </c>
      <c r="S2867" t="str">
        <f>"LSB 2.5m, Belt, Floor Mounted incl. Stand"</f>
        <v>LSB 2.5m, Belt, Floor Mounted incl. Stand</v>
      </c>
      <c r="T2867">
        <v>0</v>
      </c>
      <c r="U2867" s="44">
        <v>2515.9</v>
      </c>
      <c r="V2867" s="44">
        <v>3049.84</v>
      </c>
      <c r="W2867" t="str">
        <f t="shared" si="727"/>
        <v>rob</v>
      </c>
    </row>
    <row r="2868" spans="1:23">
      <c r="A2868" t="str">
        <f t="shared" si="729"/>
        <v>MTS-ER9P-BM&amp;PT</v>
      </c>
      <c r="B2868" t="str">
        <f>"034025"</f>
        <v>034025</v>
      </c>
      <c r="C2868" t="str">
        <f>"I/O Interface Box for Controller USB-PRO"</f>
        <v>I/O Interface Box for Controller USB-PRO</v>
      </c>
      <c r="D2868">
        <v>1</v>
      </c>
      <c r="E2868" t="str">
        <f t="shared" si="730"/>
        <v>FMS - Scorbot ER9Pro Robot with BenchMill 6000 (4 tool ATC) &amp; ProTurn 9000 CNC machines</v>
      </c>
      <c r="F2868">
        <v>502</v>
      </c>
      <c r="G2868" t="str">
        <f t="shared" si="716"/>
        <v>Y</v>
      </c>
      <c r="H2868" t="str">
        <f t="shared" si="731"/>
        <v>EA</v>
      </c>
      <c r="I2868">
        <v>0</v>
      </c>
      <c r="J2868">
        <v>0</v>
      </c>
      <c r="K2868" t="str">
        <f t="shared" si="718"/>
        <v>Y</v>
      </c>
      <c r="L2868">
        <v>0</v>
      </c>
      <c r="M2868" t="str">
        <f t="shared" si="723"/>
        <v>NIS</v>
      </c>
      <c r="O2868">
        <v>5</v>
      </c>
      <c r="P2868" t="str">
        <f t="shared" si="728"/>
        <v>Active</v>
      </c>
      <c r="Q2868" t="str">
        <f>"קופסת 2+Interface Box I/O כבלים לבקר USBPRO"</f>
        <v>קופסת 2+Interface Box I/O כבלים לבקר USBPRO</v>
      </c>
      <c r="S2868" t="str">
        <f>"קופסת 2+Interface Box I/O כבלים לבקר USBPRO"</f>
        <v>קופסת 2+Interface Box I/O כבלים לבקר USBPRO</v>
      </c>
      <c r="T2868">
        <v>0</v>
      </c>
      <c r="U2868">
        <v>470</v>
      </c>
      <c r="V2868">
        <v>463.62</v>
      </c>
      <c r="W2868" t="str">
        <f t="shared" si="727"/>
        <v>rob</v>
      </c>
    </row>
    <row r="2869" spans="1:23">
      <c r="A2869" t="str">
        <f t="shared" si="729"/>
        <v>MTS-ER9P-BM&amp;PT</v>
      </c>
      <c r="B2869" t="str">
        <f>"10-2521-7000"</f>
        <v>10-2521-7000</v>
      </c>
      <c r="C2869" t="str">
        <f>"Pneumatic Feeder for Rectangular products"</f>
        <v>Pneumatic Feeder for Rectangular products</v>
      </c>
      <c r="D2869">
        <v>1</v>
      </c>
      <c r="E2869" t="str">
        <f t="shared" si="730"/>
        <v>FMS - Scorbot ER9Pro Robot with BenchMill 6000 (4 tool ATC) &amp; ProTurn 9000 CNC machines</v>
      </c>
      <c r="F2869">
        <v>502</v>
      </c>
      <c r="G2869" t="str">
        <f t="shared" si="716"/>
        <v>Y</v>
      </c>
      <c r="H2869" t="str">
        <f t="shared" si="731"/>
        <v>EA</v>
      </c>
      <c r="I2869">
        <v>0</v>
      </c>
      <c r="J2869">
        <v>0</v>
      </c>
      <c r="K2869" t="str">
        <f t="shared" si="718"/>
        <v>Y</v>
      </c>
      <c r="L2869">
        <v>0</v>
      </c>
      <c r="M2869" t="str">
        <f t="shared" si="723"/>
        <v>NIS</v>
      </c>
      <c r="O2869">
        <v>6</v>
      </c>
      <c r="P2869" t="str">
        <f t="shared" si="728"/>
        <v>Active</v>
      </c>
      <c r="Q2869" t="str">
        <f>"Pneumatic Feeder for Rectangular Parts"</f>
        <v>Pneumatic Feeder for Rectangular Parts</v>
      </c>
      <c r="S2869" t="str">
        <f>"Pneumatic Feeder for Rectangular Parts"</f>
        <v>Pneumatic Feeder for Rectangular Parts</v>
      </c>
      <c r="T2869">
        <v>0</v>
      </c>
      <c r="U2869">
        <v>595</v>
      </c>
      <c r="V2869">
        <v>555.15</v>
      </c>
      <c r="W2869" t="str">
        <f t="shared" si="727"/>
        <v>rob</v>
      </c>
    </row>
    <row r="2870" spans="1:23">
      <c r="A2870" t="str">
        <f t="shared" si="729"/>
        <v>MTS-ER9P-BM&amp;PT</v>
      </c>
      <c r="B2870" t="str">
        <f>"10-1007-4000"</f>
        <v>10-1007-4000</v>
      </c>
      <c r="C2870" t="str">
        <f>"Gravity Parts Feeder (with microswitch sensor)"</f>
        <v>Gravity Parts Feeder (with microswitch sensor)</v>
      </c>
      <c r="D2870">
        <v>1</v>
      </c>
      <c r="E2870" t="str">
        <f t="shared" si="730"/>
        <v>FMS - Scorbot ER9Pro Robot with BenchMill 6000 (4 tool ATC) &amp; ProTurn 9000 CNC machines</v>
      </c>
      <c r="F2870">
        <v>502</v>
      </c>
      <c r="G2870" t="str">
        <f t="shared" si="716"/>
        <v>Y</v>
      </c>
      <c r="H2870" t="str">
        <f t="shared" si="731"/>
        <v>EA</v>
      </c>
      <c r="I2870">
        <v>0</v>
      </c>
      <c r="J2870">
        <v>0</v>
      </c>
      <c r="K2870" t="str">
        <f t="shared" si="718"/>
        <v>Y</v>
      </c>
      <c r="L2870">
        <v>0</v>
      </c>
      <c r="M2870" t="str">
        <f t="shared" si="723"/>
        <v>NIS</v>
      </c>
      <c r="O2870">
        <v>7</v>
      </c>
      <c r="P2870" t="str">
        <f t="shared" si="728"/>
        <v>Active</v>
      </c>
      <c r="Q2870" t="str">
        <f>"Gravity Parts Feeder (incl.microswitch sensor)"</f>
        <v>Gravity Parts Feeder (incl.microswitch sensor)</v>
      </c>
      <c r="S2870" t="str">
        <f>"Gravity Parts Feeder (incl.microswitch sensor)"</f>
        <v>Gravity Parts Feeder (incl.microswitch sensor)</v>
      </c>
      <c r="T2870">
        <v>0</v>
      </c>
      <c r="U2870">
        <v>148</v>
      </c>
      <c r="V2870">
        <v>148.26</v>
      </c>
      <c r="W2870" t="str">
        <f t="shared" si="727"/>
        <v>rob</v>
      </c>
    </row>
    <row r="2871" spans="1:23">
      <c r="A2871" t="str">
        <f t="shared" si="729"/>
        <v>MTS-ER9P-BM&amp;PT</v>
      </c>
      <c r="B2871" t="str">
        <f>"00-1110-0000"</f>
        <v>00-1110-0000</v>
      </c>
      <c r="C2871" t="str">
        <f>"Palletizing Rack"</f>
        <v>Palletizing Rack</v>
      </c>
      <c r="D2871">
        <v>2</v>
      </c>
      <c r="E2871" t="str">
        <f t="shared" si="730"/>
        <v>FMS - Scorbot ER9Pro Robot with BenchMill 6000 (4 tool ATC) &amp; ProTurn 9000 CNC machines</v>
      </c>
      <c r="F2871">
        <v>502</v>
      </c>
      <c r="G2871" t="str">
        <f t="shared" si="716"/>
        <v>Y</v>
      </c>
      <c r="H2871" t="str">
        <f t="shared" si="731"/>
        <v>EA</v>
      </c>
      <c r="I2871">
        <v>0</v>
      </c>
      <c r="J2871">
        <v>0</v>
      </c>
      <c r="K2871" t="str">
        <f t="shared" si="718"/>
        <v>Y</v>
      </c>
      <c r="L2871">
        <v>0</v>
      </c>
      <c r="M2871" t="str">
        <f t="shared" si="723"/>
        <v>NIS</v>
      </c>
      <c r="O2871">
        <v>8</v>
      </c>
      <c r="P2871" t="str">
        <f t="shared" si="728"/>
        <v>Active</v>
      </c>
      <c r="Q2871" t="str">
        <f>"Palletizing Rack (incl. Pins for creating Jigs)"</f>
        <v>Palletizing Rack (incl. Pins for creating Jigs)</v>
      </c>
      <c r="S2871" t="str">
        <f>"Palletizing Rack (incl. Pins for creating Jigs)"</f>
        <v>Palletizing Rack (incl. Pins for creating Jigs)</v>
      </c>
      <c r="T2871">
        <v>0</v>
      </c>
      <c r="U2871">
        <v>63</v>
      </c>
      <c r="V2871">
        <v>58.59</v>
      </c>
      <c r="W2871" t="str">
        <f t="shared" si="727"/>
        <v>rob</v>
      </c>
    </row>
    <row r="2872" spans="1:23">
      <c r="A2872" t="str">
        <f t="shared" si="729"/>
        <v>MTS-ER9P-BM&amp;PT</v>
      </c>
      <c r="B2872" t="str">
        <f>"021182"</f>
        <v>021182</v>
      </c>
      <c r="C2872" t="str">
        <f>"97mm Height Adapter"</f>
        <v>97mm Height Adapter</v>
      </c>
      <c r="D2872">
        <v>2</v>
      </c>
      <c r="E2872" t="str">
        <f t="shared" si="730"/>
        <v>FMS - Scorbot ER9Pro Robot with BenchMill 6000 (4 tool ATC) &amp; ProTurn 9000 CNC machines</v>
      </c>
      <c r="F2872">
        <v>502</v>
      </c>
      <c r="G2872" t="str">
        <f t="shared" si="716"/>
        <v>Y</v>
      </c>
      <c r="H2872" t="str">
        <f t="shared" si="731"/>
        <v>EA</v>
      </c>
      <c r="I2872">
        <v>0</v>
      </c>
      <c r="J2872">
        <v>0</v>
      </c>
      <c r="K2872" t="str">
        <f t="shared" si="718"/>
        <v>Y</v>
      </c>
      <c r="L2872">
        <v>0</v>
      </c>
      <c r="M2872" t="str">
        <f t="shared" si="723"/>
        <v>NIS</v>
      </c>
      <c r="O2872">
        <v>9</v>
      </c>
      <c r="P2872" t="str">
        <f t="shared" si="728"/>
        <v>Active</v>
      </c>
      <c r="Q2872" t="str">
        <f>"97mm Height Adapter -Rack 001110 on formica 28mm"</f>
        <v>97mm Height Adapter -Rack 001110 on formica 28mm</v>
      </c>
      <c r="S2872" t="str">
        <f>"97mm Height Adapter -Rack 001110 on formica 28mm"</f>
        <v>97mm Height Adapter -Rack 001110 on formica 28mm</v>
      </c>
      <c r="T2872">
        <v>0</v>
      </c>
      <c r="U2872">
        <v>7</v>
      </c>
      <c r="V2872">
        <v>5.5</v>
      </c>
      <c r="W2872" t="str">
        <f t="shared" si="727"/>
        <v>rob</v>
      </c>
    </row>
    <row r="2873" spans="1:23">
      <c r="A2873" t="str">
        <f t="shared" si="729"/>
        <v>MTS-ER9P-BM&amp;PT</v>
      </c>
      <c r="B2873" t="str">
        <f>"021152"</f>
        <v>021152</v>
      </c>
      <c r="C2873" t="str">
        <f>"Shelf Buffer for CIM conveyor"</f>
        <v>Shelf Buffer for CIM conveyor</v>
      </c>
      <c r="D2873">
        <v>2</v>
      </c>
      <c r="E2873" t="str">
        <f t="shared" si="730"/>
        <v>FMS - Scorbot ER9Pro Robot with BenchMill 6000 (4 tool ATC) &amp; ProTurn 9000 CNC machines</v>
      </c>
      <c r="F2873">
        <v>502</v>
      </c>
      <c r="G2873" t="str">
        <f t="shared" si="716"/>
        <v>Y</v>
      </c>
      <c r="H2873" t="str">
        <f t="shared" si="731"/>
        <v>EA</v>
      </c>
      <c r="I2873">
        <v>0</v>
      </c>
      <c r="J2873">
        <v>0</v>
      </c>
      <c r="K2873" t="str">
        <f t="shared" si="718"/>
        <v>Y</v>
      </c>
      <c r="L2873">
        <v>0</v>
      </c>
      <c r="M2873" t="str">
        <f t="shared" si="723"/>
        <v>NIS</v>
      </c>
      <c r="O2873">
        <v>10</v>
      </c>
      <c r="P2873" t="str">
        <f t="shared" si="728"/>
        <v>Active</v>
      </c>
      <c r="Q2873" t="str">
        <f>"מכלול- מדף בפר סטנדרטי OPEN-CIM"</f>
        <v>מכלול- מדף בפר סטנדרטי OPEN-CIM</v>
      </c>
      <c r="R2873" t="str">
        <f>"1"</f>
        <v>1</v>
      </c>
      <c r="S2873" t="str">
        <f>"מכלול- מדף בפר סטנדרטי OPEN-CIM"</f>
        <v>מכלול- מדף בפר סטנדרטי OPEN-CIM</v>
      </c>
      <c r="T2873">
        <v>0</v>
      </c>
      <c r="U2873">
        <v>83.12</v>
      </c>
      <c r="V2873">
        <v>92.76</v>
      </c>
      <c r="W2873" t="str">
        <f t="shared" si="727"/>
        <v>rob</v>
      </c>
    </row>
    <row r="2874" spans="1:23">
      <c r="A2874" t="str">
        <f t="shared" si="729"/>
        <v>MTS-ER9P-BM&amp;PT</v>
      </c>
      <c r="B2874" t="str">
        <f>"10-2120-0000"</f>
        <v>10-2120-0000</v>
      </c>
      <c r="C2874" t="str">
        <f>"CNC Interface with BenchMILL 6000"</f>
        <v>CNC Interface with BenchMILL 6000</v>
      </c>
      <c r="D2874">
        <v>1</v>
      </c>
      <c r="E2874" t="str">
        <f t="shared" si="730"/>
        <v>FMS - Scorbot ER9Pro Robot with BenchMill 6000 (4 tool ATC) &amp; ProTurn 9000 CNC machines</v>
      </c>
      <c r="F2874">
        <v>502</v>
      </c>
      <c r="G2874" t="str">
        <f t="shared" si="716"/>
        <v>Y</v>
      </c>
      <c r="H2874" t="str">
        <f t="shared" si="731"/>
        <v>EA</v>
      </c>
      <c r="I2874">
        <v>0</v>
      </c>
      <c r="J2874">
        <v>0</v>
      </c>
      <c r="K2874" t="str">
        <f t="shared" si="718"/>
        <v>Y</v>
      </c>
      <c r="L2874">
        <v>0</v>
      </c>
      <c r="M2874" t="str">
        <f t="shared" si="723"/>
        <v>NIS</v>
      </c>
      <c r="O2874">
        <v>11</v>
      </c>
      <c r="P2874" t="str">
        <f t="shared" si="728"/>
        <v>Active</v>
      </c>
      <c r="Q2874" t="str">
        <f>"CNC Interface with BenchMILL 6000"</f>
        <v>CNC Interface with BenchMILL 6000</v>
      </c>
      <c r="S2874" t="str">
        <f>"CNC Interface with BenchMILL 6000"</f>
        <v>CNC Interface with BenchMILL 6000</v>
      </c>
      <c r="T2874">
        <v>0</v>
      </c>
      <c r="U2874">
        <v>21</v>
      </c>
      <c r="V2874">
        <v>19.7</v>
      </c>
      <c r="W2874" t="str">
        <f t="shared" si="727"/>
        <v>rob</v>
      </c>
    </row>
    <row r="2875" spans="1:23">
      <c r="A2875" t="str">
        <f t="shared" si="729"/>
        <v>MTS-ER9P-BM&amp;PT</v>
      </c>
      <c r="B2875" t="str">
        <f>"00-5505-0220"</f>
        <v>00-5505-0220</v>
      </c>
      <c r="C2875" t="str">
        <f>"CNC BenchMILL 6000, 220 VAC"</f>
        <v>CNC BenchMILL 6000, 220 VAC</v>
      </c>
      <c r="D2875">
        <v>1</v>
      </c>
      <c r="E2875" t="str">
        <f t="shared" si="730"/>
        <v>FMS - Scorbot ER9Pro Robot with BenchMill 6000 (4 tool ATC) &amp; ProTurn 9000 CNC machines</v>
      </c>
      <c r="F2875">
        <v>502</v>
      </c>
      <c r="G2875" t="str">
        <f t="shared" si="716"/>
        <v>Y</v>
      </c>
      <c r="H2875" t="str">
        <f t="shared" si="731"/>
        <v>EA</v>
      </c>
      <c r="I2875">
        <v>0</v>
      </c>
      <c r="J2875">
        <v>0</v>
      </c>
      <c r="K2875" t="str">
        <f t="shared" si="718"/>
        <v>Y</v>
      </c>
      <c r="L2875">
        <v>0</v>
      </c>
      <c r="M2875" t="str">
        <f t="shared" si="723"/>
        <v>NIS</v>
      </c>
      <c r="O2875">
        <v>12</v>
      </c>
      <c r="P2875" t="str">
        <f t="shared" si="728"/>
        <v>Active</v>
      </c>
      <c r="Q2875" t="str">
        <f>"CNC BenchMILL 6000, 220 VAC"</f>
        <v>CNC BenchMILL 6000, 220 VAC</v>
      </c>
      <c r="S2875" t="str">
        <f>"CNC BenchMILL 6000, 220 VAC"</f>
        <v>CNC BenchMILL 6000, 220 VAC</v>
      </c>
      <c r="T2875">
        <v>0</v>
      </c>
      <c r="U2875" s="44">
        <v>4583</v>
      </c>
      <c r="V2875" s="44">
        <v>4458.34</v>
      </c>
      <c r="W2875" t="str">
        <f t="shared" si="727"/>
        <v>rob</v>
      </c>
    </row>
    <row r="2876" spans="1:23">
      <c r="A2876" t="str">
        <f t="shared" si="729"/>
        <v>MTS-ER9P-BM&amp;PT</v>
      </c>
      <c r="B2876" t="str">
        <f>"10-1110-7000"</f>
        <v>10-1110-7000</v>
      </c>
      <c r="C2876" t="str">
        <f>"--Dual Axis Vise (for FMS)"</f>
        <v>--Dual Axis Vise (for FMS)</v>
      </c>
      <c r="D2876">
        <v>1</v>
      </c>
      <c r="E2876" t="str">
        <f t="shared" si="730"/>
        <v>FMS - Scorbot ER9Pro Robot with BenchMill 6000 (4 tool ATC) &amp; ProTurn 9000 CNC machines</v>
      </c>
      <c r="F2876">
        <v>502</v>
      </c>
      <c r="G2876" t="str">
        <f t="shared" si="716"/>
        <v>Y</v>
      </c>
      <c r="H2876" t="str">
        <f t="shared" si="731"/>
        <v>EA</v>
      </c>
      <c r="I2876">
        <v>0</v>
      </c>
      <c r="J2876">
        <v>0</v>
      </c>
      <c r="K2876" t="str">
        <f t="shared" si="718"/>
        <v>Y</v>
      </c>
      <c r="L2876">
        <v>0</v>
      </c>
      <c r="M2876" t="str">
        <f t="shared" si="723"/>
        <v>NIS</v>
      </c>
      <c r="O2876">
        <v>13</v>
      </c>
      <c r="P2876" t="str">
        <f t="shared" si="728"/>
        <v>Active</v>
      </c>
      <c r="Q2876" t="str">
        <f>"Dual Axis Vise (BenchMill 6000/ ProMill 8000)"</f>
        <v>Dual Axis Vise (BenchMill 6000/ ProMill 8000)</v>
      </c>
      <c r="S2876" t="str">
        <f>"Dual Axis Vise (BenchMill 6000/ ProMill 8000)"</f>
        <v>Dual Axis Vise (BenchMill 6000/ ProMill 8000)</v>
      </c>
      <c r="T2876">
        <v>0</v>
      </c>
      <c r="U2876">
        <v>239</v>
      </c>
      <c r="V2876">
        <v>219.6</v>
      </c>
      <c r="W2876" t="str">
        <f t="shared" si="727"/>
        <v>rob</v>
      </c>
    </row>
    <row r="2877" spans="1:23">
      <c r="A2877" t="str">
        <f t="shared" si="729"/>
        <v>MTS-ER9P-BM&amp;PT</v>
      </c>
      <c r="B2877" t="str">
        <f>"10-1115-2000"</f>
        <v>10-1115-2000</v>
      </c>
      <c r="C2877" t="str">
        <f>"- Table mounted ATC package"</f>
        <v>- Table mounted ATC package</v>
      </c>
      <c r="D2877">
        <v>1</v>
      </c>
      <c r="E2877" t="str">
        <f t="shared" si="730"/>
        <v>FMS - Scorbot ER9Pro Robot with BenchMill 6000 (4 tool ATC) &amp; ProTurn 9000 CNC machines</v>
      </c>
      <c r="F2877">
        <v>502</v>
      </c>
      <c r="G2877" t="str">
        <f t="shared" si="716"/>
        <v>Y</v>
      </c>
      <c r="H2877" t="str">
        <f t="shared" si="731"/>
        <v>EA</v>
      </c>
      <c r="I2877">
        <v>0</v>
      </c>
      <c r="J2877">
        <v>0</v>
      </c>
      <c r="K2877" t="str">
        <f t="shared" si="718"/>
        <v>Y</v>
      </c>
      <c r="L2877">
        <v>0</v>
      </c>
      <c r="M2877" t="str">
        <f t="shared" si="723"/>
        <v>NIS</v>
      </c>
      <c r="O2877">
        <v>14</v>
      </c>
      <c r="P2877" t="str">
        <f t="shared" si="728"/>
        <v>Active</v>
      </c>
      <c r="Q2877" t="str">
        <f>"Table mounted ATC package"</f>
        <v>Table mounted ATC package</v>
      </c>
      <c r="S2877" t="str">
        <f>"Table mounted ATC package"</f>
        <v>Table mounted ATC package</v>
      </c>
      <c r="T2877">
        <v>0</v>
      </c>
      <c r="U2877">
        <v>690</v>
      </c>
      <c r="V2877">
        <v>690.59</v>
      </c>
      <c r="W2877" t="str">
        <f t="shared" si="727"/>
        <v>rob</v>
      </c>
    </row>
    <row r="2878" spans="1:23">
      <c r="A2878" t="str">
        <f t="shared" si="729"/>
        <v>MTS-ER9P-BM&amp;PT</v>
      </c>
      <c r="B2878" t="str">
        <f>"10-1115-0000"</f>
        <v>10-1115-0000</v>
      </c>
      <c r="C2878" t="str">
        <f>"ER16 Collet set - 2 x (3,6,8,10mm)"</f>
        <v>ER16 Collet set - 2 x (3,6,8,10mm)</v>
      </c>
      <c r="D2878">
        <v>1</v>
      </c>
      <c r="E2878" t="str">
        <f t="shared" si="730"/>
        <v>FMS - Scorbot ER9Pro Robot with BenchMill 6000 (4 tool ATC) &amp; ProTurn 9000 CNC machines</v>
      </c>
      <c r="F2878">
        <v>502</v>
      </c>
      <c r="G2878" t="str">
        <f t="shared" si="716"/>
        <v>Y</v>
      </c>
      <c r="H2878" t="str">
        <f t="shared" si="731"/>
        <v>EA</v>
      </c>
      <c r="I2878">
        <v>0</v>
      </c>
      <c r="J2878">
        <v>0</v>
      </c>
      <c r="K2878" t="str">
        <f t="shared" si="718"/>
        <v>Y</v>
      </c>
      <c r="L2878">
        <v>0</v>
      </c>
      <c r="M2878" t="str">
        <f t="shared" si="723"/>
        <v>NIS</v>
      </c>
      <c r="O2878">
        <v>15</v>
      </c>
      <c r="P2878" t="str">
        <f t="shared" si="728"/>
        <v>Active</v>
      </c>
      <c r="Q2878" t="str">
        <f>"ER16 Collet set-8 pieces(2)3,(2)6,(2)8,(2)10mm"</f>
        <v>ER16 Collet set-8 pieces(2)3,(2)6,(2)8,(2)10mm</v>
      </c>
      <c r="S2878" t="str">
        <f>"ER16 Collet set-8 pieces(2)3,(2)6,(2)8,(2)10mm"</f>
        <v>ER16 Collet set-8 pieces(2)3,(2)6,(2)8,(2)10mm</v>
      </c>
      <c r="T2878">
        <v>0</v>
      </c>
      <c r="U2878">
        <v>71</v>
      </c>
      <c r="V2878">
        <v>70.63</v>
      </c>
      <c r="W2878" t="str">
        <f t="shared" si="727"/>
        <v>rob</v>
      </c>
    </row>
    <row r="2879" spans="1:23">
      <c r="A2879" t="str">
        <f t="shared" si="729"/>
        <v>MTS-ER9P-BM&amp;PT</v>
      </c>
      <c r="B2879" t="str">
        <f>"10-1113-4000"</f>
        <v>10-1113-4000</v>
      </c>
      <c r="C2879" t="str">
        <f>"Metric End Mill Package(2X 3,6,8,10End,4,6 Ball)"</f>
        <v>Metric End Mill Package(2X 3,6,8,10End,4,6 Ball)</v>
      </c>
      <c r="D2879">
        <v>1</v>
      </c>
      <c r="E2879" t="str">
        <f t="shared" si="730"/>
        <v>FMS - Scorbot ER9Pro Robot with BenchMill 6000 (4 tool ATC) &amp; ProTurn 9000 CNC machines</v>
      </c>
      <c r="F2879">
        <v>502</v>
      </c>
      <c r="G2879" t="str">
        <f t="shared" si="716"/>
        <v>Y</v>
      </c>
      <c r="H2879" t="str">
        <f t="shared" si="731"/>
        <v>EA</v>
      </c>
      <c r="I2879">
        <v>0</v>
      </c>
      <c r="J2879">
        <v>0</v>
      </c>
      <c r="K2879" t="str">
        <f t="shared" si="718"/>
        <v>Y</v>
      </c>
      <c r="L2879">
        <v>0</v>
      </c>
      <c r="M2879" t="str">
        <f t="shared" si="723"/>
        <v>NIS</v>
      </c>
      <c r="O2879">
        <v>16</v>
      </c>
      <c r="P2879" t="str">
        <f t="shared" si="728"/>
        <v>Active</v>
      </c>
      <c r="Q2879" t="str">
        <f>"Metric Advanced End Mill Package 5121"</f>
        <v>Metric Advanced End Mill Package 5121</v>
      </c>
      <c r="S2879" t="str">
        <f>"Metric Advanced End Mill Package 5121"</f>
        <v>Metric Advanced End Mill Package 5121</v>
      </c>
      <c r="T2879">
        <v>0</v>
      </c>
      <c r="U2879">
        <v>55</v>
      </c>
      <c r="V2879">
        <v>50.17</v>
      </c>
      <c r="W2879" t="str">
        <f t="shared" si="727"/>
        <v>rob</v>
      </c>
    </row>
    <row r="2880" spans="1:23">
      <c r="A2880" t="str">
        <f t="shared" si="729"/>
        <v>MTS-ER9P-BM&amp;PT</v>
      </c>
      <c r="B2880" t="str">
        <f>"10-1111-1000"</f>
        <v>10-1111-1000</v>
      </c>
      <c r="C2880" t="str">
        <f>"- Handwheel - Manual Control"</f>
        <v>- Handwheel - Manual Control</v>
      </c>
      <c r="D2880">
        <v>1</v>
      </c>
      <c r="E2880" t="str">
        <f t="shared" si="730"/>
        <v>FMS - Scorbot ER9Pro Robot with BenchMill 6000 (4 tool ATC) &amp; ProTurn 9000 CNC machines</v>
      </c>
      <c r="F2880">
        <v>502</v>
      </c>
      <c r="G2880" t="str">
        <f t="shared" si="716"/>
        <v>Y</v>
      </c>
      <c r="H2880" t="str">
        <f t="shared" si="731"/>
        <v>EA</v>
      </c>
      <c r="I2880">
        <v>0</v>
      </c>
      <c r="J2880">
        <v>0</v>
      </c>
      <c r="K2880" t="str">
        <f t="shared" si="718"/>
        <v>Y</v>
      </c>
      <c r="L2880">
        <v>0</v>
      </c>
      <c r="M2880" t="str">
        <f t="shared" si="723"/>
        <v>NIS</v>
      </c>
      <c r="O2880">
        <v>17</v>
      </c>
      <c r="P2880" t="str">
        <f t="shared" si="728"/>
        <v>Active</v>
      </c>
      <c r="Q2880" t="str">
        <f>"Jog Pendant Handwheel"</f>
        <v>Jog Pendant Handwheel</v>
      </c>
      <c r="S2880" t="str">
        <f>"Jog Pendant Handwheel"</f>
        <v>Jog Pendant Handwheel</v>
      </c>
      <c r="T2880">
        <v>0</v>
      </c>
      <c r="U2880">
        <v>235</v>
      </c>
      <c r="V2880">
        <v>235.03</v>
      </c>
      <c r="W2880" t="str">
        <f t="shared" si="727"/>
        <v>rob</v>
      </c>
    </row>
    <row r="2881" spans="1:23">
      <c r="A2881" t="str">
        <f t="shared" si="729"/>
        <v>MTS-ER9P-BM&amp;PT</v>
      </c>
      <c r="B2881" t="str">
        <f>"10-1113-6000"</f>
        <v>10-1113-6000</v>
      </c>
      <c r="C2881" t="str">
        <f>"- Metric Engraving Package (1,1.5,2 mm End mill)"</f>
        <v>- Metric Engraving Package (1,1.5,2 mm End mill)</v>
      </c>
      <c r="D2881">
        <v>1</v>
      </c>
      <c r="E2881" t="str">
        <f t="shared" si="730"/>
        <v>FMS - Scorbot ER9Pro Robot with BenchMill 6000 (4 tool ATC) &amp; ProTurn 9000 CNC machines</v>
      </c>
      <c r="F2881">
        <v>502</v>
      </c>
      <c r="G2881" t="str">
        <f t="shared" si="716"/>
        <v>Y</v>
      </c>
      <c r="H2881" t="str">
        <f t="shared" si="731"/>
        <v>EA</v>
      </c>
      <c r="I2881">
        <v>0</v>
      </c>
      <c r="J2881">
        <v>0</v>
      </c>
      <c r="K2881" t="str">
        <f t="shared" si="718"/>
        <v>Y</v>
      </c>
      <c r="L2881">
        <v>0</v>
      </c>
      <c r="M2881" t="str">
        <f t="shared" si="723"/>
        <v>NIS</v>
      </c>
      <c r="O2881">
        <v>18</v>
      </c>
      <c r="P2881" t="str">
        <f t="shared" si="728"/>
        <v>Active</v>
      </c>
      <c r="Q2881" t="str">
        <f>"Metric Engraving Package 5711"</f>
        <v>Metric Engraving Package 5711</v>
      </c>
      <c r="S2881" t="str">
        <f>"Metric Engraving Package 5711"</f>
        <v>Metric Engraving Package 5711</v>
      </c>
      <c r="T2881">
        <v>0</v>
      </c>
      <c r="U2881">
        <v>41</v>
      </c>
      <c r="V2881">
        <v>37.909999999999997</v>
      </c>
      <c r="W2881" t="str">
        <f t="shared" si="727"/>
        <v>rob</v>
      </c>
    </row>
    <row r="2882" spans="1:23">
      <c r="A2882" t="str">
        <f t="shared" si="729"/>
        <v>MTS-ER9P-BM&amp;PT</v>
      </c>
      <c r="B2882" t="str">
        <f>"63-6001-1000"</f>
        <v>63-6001-1000</v>
      </c>
      <c r="C2882" t="str">
        <f>"-CNCMotion Simulation Sftwr for BenchMill 6000"</f>
        <v>-CNCMotion Simulation Sftwr for BenchMill 6000</v>
      </c>
      <c r="D2882">
        <v>1</v>
      </c>
      <c r="E2882" t="str">
        <f t="shared" si="730"/>
        <v>FMS - Scorbot ER9Pro Robot with BenchMill 6000 (4 tool ATC) &amp; ProTurn 9000 CNC machines</v>
      </c>
      <c r="F2882">
        <v>502</v>
      </c>
      <c r="G2882" t="str">
        <f t="shared" ref="G2882:G2945" si="732">"Y"</f>
        <v>Y</v>
      </c>
      <c r="H2882" t="str">
        <f t="shared" si="731"/>
        <v>EA</v>
      </c>
      <c r="I2882">
        <v>0</v>
      </c>
      <c r="J2882">
        <v>0</v>
      </c>
      <c r="K2882" t="str">
        <f t="shared" ref="K2882:K2945" si="733">"Y"</f>
        <v>Y</v>
      </c>
      <c r="L2882">
        <v>0</v>
      </c>
      <c r="M2882" t="str">
        <f t="shared" si="723"/>
        <v>NIS</v>
      </c>
      <c r="O2882">
        <v>19</v>
      </c>
      <c r="P2882" t="str">
        <f t="shared" si="728"/>
        <v>Active</v>
      </c>
      <c r="Q2882" t="str">
        <f>"CNCMotion Sim. Sftwr, BenchMill 6000"</f>
        <v>CNCMotion Sim. Sftwr, BenchMill 6000</v>
      </c>
      <c r="S2882" t="str">
        <f>"CNCMotion Sim. Sftwr, BenchMill 6000"</f>
        <v>CNCMotion Sim. Sftwr, BenchMill 6000</v>
      </c>
      <c r="T2882">
        <v>0</v>
      </c>
      <c r="U2882">
        <v>10</v>
      </c>
      <c r="V2882">
        <v>0</v>
      </c>
      <c r="W2882" t="str">
        <f t="shared" si="727"/>
        <v>rob</v>
      </c>
    </row>
    <row r="2883" spans="1:23">
      <c r="A2883" t="str">
        <f t="shared" si="729"/>
        <v>MTS-ER9P-BM&amp;PT</v>
      </c>
      <c r="B2883" t="str">
        <f>"63-6723-0000"</f>
        <v>63-6723-0000</v>
      </c>
      <c r="C2883" t="str">
        <f>"SpectraCAD Engraver software – Download Only"</f>
        <v>SpectraCAD Engraver software – Download Only</v>
      </c>
      <c r="D2883">
        <v>1</v>
      </c>
      <c r="E2883" t="str">
        <f t="shared" si="730"/>
        <v>FMS - Scorbot ER9Pro Robot with BenchMill 6000 (4 tool ATC) &amp; ProTurn 9000 CNC machines</v>
      </c>
      <c r="F2883">
        <v>502</v>
      </c>
      <c r="G2883" t="str">
        <f t="shared" si="732"/>
        <v>Y</v>
      </c>
      <c r="H2883" t="str">
        <f t="shared" si="731"/>
        <v>EA</v>
      </c>
      <c r="I2883">
        <v>0</v>
      </c>
      <c r="J2883">
        <v>0</v>
      </c>
      <c r="K2883" t="str">
        <f t="shared" si="733"/>
        <v>Y</v>
      </c>
      <c r="L2883">
        <v>0</v>
      </c>
      <c r="M2883" t="str">
        <f t="shared" si="723"/>
        <v>NIS</v>
      </c>
      <c r="O2883">
        <v>20</v>
      </c>
      <c r="P2883" t="str">
        <f t="shared" si="728"/>
        <v>Active</v>
      </c>
      <c r="Q2883" t="str">
        <f>"SpectraCAD Engraver software – Download Only"</f>
        <v>SpectraCAD Engraver software – Download Only</v>
      </c>
      <c r="S2883" t="str">
        <f>"SpectraCAD Engraver software – Download Only"</f>
        <v>SpectraCAD Engraver software – Download Only</v>
      </c>
      <c r="T2883">
        <v>0</v>
      </c>
      <c r="U2883">
        <v>10</v>
      </c>
      <c r="V2883">
        <v>10.4</v>
      </c>
      <c r="W2883" t="str">
        <f t="shared" si="727"/>
        <v>rob</v>
      </c>
    </row>
    <row r="2884" spans="1:23">
      <c r="A2884" t="str">
        <f t="shared" si="729"/>
        <v>MTS-ER9P-BM&amp;PT</v>
      </c>
      <c r="B2884" t="str">
        <f>"63-6733-0000"</f>
        <v>63-6733-0000</v>
      </c>
      <c r="C2884" t="str">
        <f>"Software, SpectraCAM Milling"</f>
        <v>Software, SpectraCAM Milling</v>
      </c>
      <c r="D2884">
        <v>1</v>
      </c>
      <c r="E2884" t="str">
        <f t="shared" si="730"/>
        <v>FMS - Scorbot ER9Pro Robot with BenchMill 6000 (4 tool ATC) &amp; ProTurn 9000 CNC machines</v>
      </c>
      <c r="F2884">
        <v>502</v>
      </c>
      <c r="G2884" t="str">
        <f t="shared" si="732"/>
        <v>Y</v>
      </c>
      <c r="H2884" t="str">
        <f t="shared" si="731"/>
        <v>EA</v>
      </c>
      <c r="I2884">
        <v>0</v>
      </c>
      <c r="J2884">
        <v>0</v>
      </c>
      <c r="K2884" t="str">
        <f t="shared" si="733"/>
        <v>Y</v>
      </c>
      <c r="L2884">
        <v>0</v>
      </c>
      <c r="M2884" t="str">
        <f t="shared" si="723"/>
        <v>NIS</v>
      </c>
      <c r="O2884">
        <v>21</v>
      </c>
      <c r="P2884" t="str">
        <f t="shared" si="728"/>
        <v>Active</v>
      </c>
      <c r="Q2884" t="str">
        <f>"Software, SpectraCAM Milling"</f>
        <v>Software, SpectraCAM Milling</v>
      </c>
      <c r="S2884" t="str">
        <f>"Software, SpectraCAM Milling"</f>
        <v>Software, SpectraCAM Milling</v>
      </c>
      <c r="T2884">
        <v>0</v>
      </c>
      <c r="U2884">
        <v>10</v>
      </c>
      <c r="V2884">
        <v>10.4</v>
      </c>
      <c r="W2884" t="str">
        <f t="shared" si="727"/>
        <v>rob</v>
      </c>
    </row>
    <row r="2885" spans="1:23">
      <c r="A2885" t="str">
        <f t="shared" si="729"/>
        <v>MTS-ER9P-BM&amp;PT</v>
      </c>
      <c r="B2885" t="str">
        <f>"113034"</f>
        <v>113034</v>
      </c>
      <c r="C2885" t="str">
        <f>"Raw Material - Perspex Block"</f>
        <v>Raw Material - Perspex Block</v>
      </c>
      <c r="D2885">
        <v>50</v>
      </c>
      <c r="E2885" t="str">
        <f t="shared" si="730"/>
        <v>FMS - Scorbot ER9Pro Robot with BenchMill 6000 (4 tool ATC) &amp; ProTurn 9000 CNC machines</v>
      </c>
      <c r="F2885">
        <v>502</v>
      </c>
      <c r="G2885" t="str">
        <f t="shared" si="732"/>
        <v>Y</v>
      </c>
      <c r="H2885" t="str">
        <f t="shared" si="731"/>
        <v>EA</v>
      </c>
      <c r="I2885">
        <v>0</v>
      </c>
      <c r="J2885">
        <v>0</v>
      </c>
      <c r="K2885" t="str">
        <f t="shared" si="733"/>
        <v>Y</v>
      </c>
      <c r="L2885">
        <v>0</v>
      </c>
      <c r="M2885" t="str">
        <f t="shared" si="723"/>
        <v>NIS</v>
      </c>
      <c r="O2885">
        <v>22</v>
      </c>
      <c r="P2885" t="str">
        <f t="shared" si="728"/>
        <v>Active</v>
      </c>
      <c r="Q2885" t="str">
        <f>"Raw Material Stock - Perspex Block"</f>
        <v>Raw Material Stock - Perspex Block</v>
      </c>
      <c r="S2885" t="str">
        <f>"Raw Material Stock - Perspex Block"</f>
        <v>Raw Material Stock - Perspex Block</v>
      </c>
      <c r="T2885">
        <v>0</v>
      </c>
      <c r="U2885">
        <v>1.1000000000000001</v>
      </c>
      <c r="V2885">
        <v>1.0900000000000001</v>
      </c>
      <c r="W2885" t="str">
        <f t="shared" si="727"/>
        <v>rob</v>
      </c>
    </row>
    <row r="2886" spans="1:23">
      <c r="A2886" t="str">
        <f t="shared" si="729"/>
        <v>MTS-ER9P-BM&amp;PT</v>
      </c>
      <c r="B2886" t="str">
        <f>"10-2120-3000"</f>
        <v>10-2120-3000</v>
      </c>
      <c r="C2886" t="str">
        <f>"CNC Interface with ProTurn 9000"</f>
        <v>CNC Interface with ProTurn 9000</v>
      </c>
      <c r="D2886">
        <v>1</v>
      </c>
      <c r="E2886" t="str">
        <f t="shared" si="730"/>
        <v>FMS - Scorbot ER9Pro Robot with BenchMill 6000 (4 tool ATC) &amp; ProTurn 9000 CNC machines</v>
      </c>
      <c r="F2886">
        <v>502</v>
      </c>
      <c r="G2886" t="str">
        <f t="shared" si="732"/>
        <v>Y</v>
      </c>
      <c r="H2886" t="str">
        <f t="shared" si="731"/>
        <v>EA</v>
      </c>
      <c r="I2886">
        <v>0</v>
      </c>
      <c r="J2886">
        <v>0</v>
      </c>
      <c r="K2886" t="str">
        <f t="shared" si="733"/>
        <v>Y</v>
      </c>
      <c r="L2886">
        <v>0</v>
      </c>
      <c r="M2886" t="str">
        <f t="shared" si="723"/>
        <v>NIS</v>
      </c>
      <c r="O2886">
        <v>23</v>
      </c>
      <c r="P2886" t="str">
        <f t="shared" si="728"/>
        <v>Active</v>
      </c>
      <c r="Q2886" t="str">
        <f>"CNC Interface with ProTurn 9000"</f>
        <v>CNC Interface with ProTurn 9000</v>
      </c>
      <c r="S2886" t="str">
        <f>"CNC Interface with ProTurn 9000"</f>
        <v>CNC Interface with ProTurn 9000</v>
      </c>
      <c r="T2886">
        <v>0</v>
      </c>
      <c r="U2886">
        <v>18</v>
      </c>
      <c r="V2886">
        <v>17.690000000000001</v>
      </c>
      <c r="W2886" t="str">
        <f t="shared" si="727"/>
        <v>rob</v>
      </c>
    </row>
    <row r="2887" spans="1:23">
      <c r="A2887" t="str">
        <f t="shared" si="729"/>
        <v>MTS-ER9P-BM&amp;PT</v>
      </c>
      <c r="B2887" t="str">
        <f>"00-5501-0220"</f>
        <v>00-5501-0220</v>
      </c>
      <c r="C2887" t="str">
        <f>"CNC ProTurn 9000 AC 220V"</f>
        <v>CNC ProTurn 9000 AC 220V</v>
      </c>
      <c r="D2887">
        <v>1</v>
      </c>
      <c r="E2887" t="str">
        <f t="shared" si="730"/>
        <v>FMS - Scorbot ER9Pro Robot with BenchMill 6000 (4 tool ATC) &amp; ProTurn 9000 CNC machines</v>
      </c>
      <c r="F2887">
        <v>502</v>
      </c>
      <c r="G2887" t="str">
        <f t="shared" si="732"/>
        <v>Y</v>
      </c>
      <c r="H2887" t="str">
        <f t="shared" si="731"/>
        <v>EA</v>
      </c>
      <c r="I2887">
        <v>0</v>
      </c>
      <c r="J2887">
        <v>0</v>
      </c>
      <c r="K2887" t="str">
        <f t="shared" si="733"/>
        <v>Y</v>
      </c>
      <c r="L2887">
        <v>0</v>
      </c>
      <c r="M2887" t="str">
        <f t="shared" si="723"/>
        <v>NIS</v>
      </c>
      <c r="O2887">
        <v>24</v>
      </c>
      <c r="P2887" t="str">
        <f t="shared" si="728"/>
        <v>Active</v>
      </c>
      <c r="Q2887" t="str">
        <f>"CNC ProTurn 9000 AC 220V"</f>
        <v>CNC ProTurn 9000 AC 220V</v>
      </c>
      <c r="S2887" t="str">
        <f>"CNC ProTurn 9000 AC 220V"</f>
        <v>CNC ProTurn 9000 AC 220V</v>
      </c>
      <c r="T2887">
        <v>0</v>
      </c>
      <c r="U2887" s="44">
        <v>6204.98</v>
      </c>
      <c r="V2887" s="44">
        <v>6570.68</v>
      </c>
      <c r="W2887" t="str">
        <f t="shared" si="727"/>
        <v>rob</v>
      </c>
    </row>
    <row r="2888" spans="1:23">
      <c r="A2888" t="str">
        <f t="shared" si="729"/>
        <v>MTS-ER9P-BM&amp;PT</v>
      </c>
      <c r="B2888" t="str">
        <f>"10-1110-6000"</f>
        <v>10-1110-6000</v>
      </c>
      <c r="C2888" t="str">
        <f>"-- Pneumatic Shield (ProTurn 9000 for FMS)"</f>
        <v>-- Pneumatic Shield (ProTurn 9000 for FMS)</v>
      </c>
      <c r="D2888">
        <v>1</v>
      </c>
      <c r="E2888" t="str">
        <f t="shared" si="730"/>
        <v>FMS - Scorbot ER9Pro Robot with BenchMill 6000 (4 tool ATC) &amp; ProTurn 9000 CNC machines</v>
      </c>
      <c r="F2888">
        <v>502</v>
      </c>
      <c r="G2888" t="str">
        <f t="shared" si="732"/>
        <v>Y</v>
      </c>
      <c r="H2888" t="str">
        <f t="shared" si="731"/>
        <v>EA</v>
      </c>
      <c r="I2888">
        <v>0</v>
      </c>
      <c r="J2888">
        <v>0</v>
      </c>
      <c r="K2888" t="str">
        <f t="shared" si="733"/>
        <v>Y</v>
      </c>
      <c r="L2888">
        <v>0</v>
      </c>
      <c r="M2888" t="str">
        <f t="shared" si="723"/>
        <v>NIS</v>
      </c>
      <c r="O2888">
        <v>25</v>
      </c>
      <c r="P2888" t="str">
        <f t="shared" si="728"/>
        <v>Active</v>
      </c>
      <c r="Q2888" t="str">
        <f>"Pneumatic Shield with Sensors (ProTurn 9000)"</f>
        <v>Pneumatic Shield with Sensors (ProTurn 9000)</v>
      </c>
      <c r="S2888" t="str">
        <f>"Pneumatic Shield with Sensors (ProTurn 9000)"</f>
        <v>Pneumatic Shield with Sensors (ProTurn 9000)</v>
      </c>
      <c r="T2888">
        <v>0</v>
      </c>
      <c r="U2888">
        <v>425</v>
      </c>
      <c r="V2888">
        <v>423.6</v>
      </c>
      <c r="W2888" t="str">
        <f t="shared" si="727"/>
        <v>rob</v>
      </c>
    </row>
    <row r="2889" spans="1:23">
      <c r="A2889" t="str">
        <f t="shared" si="729"/>
        <v>MTS-ER9P-BM&amp;PT</v>
      </c>
      <c r="B2889" t="str">
        <f>"10-1111-0000"</f>
        <v>10-1111-0000</v>
      </c>
      <c r="C2889" t="str">
        <f>"-- Pneumatic Chuck (ProTurn 9000 for FMS)"</f>
        <v>-- Pneumatic Chuck (ProTurn 9000 for FMS)</v>
      </c>
      <c r="D2889">
        <v>1</v>
      </c>
      <c r="E2889" t="str">
        <f t="shared" si="730"/>
        <v>FMS - Scorbot ER9Pro Robot with BenchMill 6000 (4 tool ATC) &amp; ProTurn 9000 CNC machines</v>
      </c>
      <c r="F2889">
        <v>502</v>
      </c>
      <c r="G2889" t="str">
        <f t="shared" si="732"/>
        <v>Y</v>
      </c>
      <c r="H2889" t="str">
        <f t="shared" si="731"/>
        <v>EA</v>
      </c>
      <c r="I2889">
        <v>0</v>
      </c>
      <c r="J2889">
        <v>0</v>
      </c>
      <c r="K2889" t="str">
        <f t="shared" si="733"/>
        <v>Y</v>
      </c>
      <c r="L2889">
        <v>0</v>
      </c>
      <c r="M2889" t="str">
        <f t="shared" si="723"/>
        <v>NIS</v>
      </c>
      <c r="O2889">
        <v>26</v>
      </c>
      <c r="P2889" t="str">
        <f t="shared" si="728"/>
        <v>Active</v>
      </c>
      <c r="Q2889" t="str">
        <f>"Pneumatic Chuck (ProTurn 9000)"</f>
        <v>Pneumatic Chuck (ProTurn 9000)</v>
      </c>
      <c r="S2889" t="str">
        <f>"Pneumatic Chuck (ProTurn 9000)"</f>
        <v>Pneumatic Chuck (ProTurn 9000)</v>
      </c>
      <c r="T2889">
        <v>0</v>
      </c>
      <c r="U2889">
        <v>660</v>
      </c>
      <c r="V2889">
        <v>656.57</v>
      </c>
      <c r="W2889" t="str">
        <f t="shared" si="727"/>
        <v>rob</v>
      </c>
    </row>
    <row r="2890" spans="1:23">
      <c r="A2890" t="str">
        <f t="shared" si="729"/>
        <v>MTS-ER9P-BM&amp;PT</v>
      </c>
      <c r="B2890" t="str">
        <f>"10-1110-1000"</f>
        <v>10-1110-1000</v>
      </c>
      <c r="C2890" t="str">
        <f>"10 x 10mm cutter tool holder"</f>
        <v>10 x 10mm cutter tool holder</v>
      </c>
      <c r="D2890">
        <v>1</v>
      </c>
      <c r="E2890" t="str">
        <f t="shared" si="730"/>
        <v>FMS - Scorbot ER9Pro Robot with BenchMill 6000 (4 tool ATC) &amp; ProTurn 9000 CNC machines</v>
      </c>
      <c r="F2890">
        <v>502</v>
      </c>
      <c r="G2890" t="str">
        <f t="shared" si="732"/>
        <v>Y</v>
      </c>
      <c r="H2890" t="str">
        <f t="shared" si="731"/>
        <v>EA</v>
      </c>
      <c r="I2890">
        <v>0</v>
      </c>
      <c r="J2890">
        <v>0</v>
      </c>
      <c r="K2890" t="str">
        <f t="shared" si="733"/>
        <v>Y</v>
      </c>
      <c r="L2890">
        <v>0</v>
      </c>
      <c r="M2890" t="str">
        <f t="shared" si="723"/>
        <v>NIS</v>
      </c>
      <c r="O2890">
        <v>27</v>
      </c>
      <c r="P2890" t="str">
        <f t="shared" si="728"/>
        <v>Active</v>
      </c>
      <c r="Q2890" t="str">
        <f>"10x10mm TiN coated cutter set (replaceable tip)"</f>
        <v>10x10mm TiN coated cutter set (replaceable tip)</v>
      </c>
      <c r="S2890" t="str">
        <f>"10x10mm TiN coated cutter set (replaceable tip)"</f>
        <v>10x10mm TiN coated cutter set (replaceable tip)</v>
      </c>
      <c r="T2890">
        <v>0</v>
      </c>
      <c r="U2890">
        <v>65</v>
      </c>
      <c r="V2890">
        <v>65.540000000000006</v>
      </c>
      <c r="W2890" t="str">
        <f t="shared" si="727"/>
        <v>rob</v>
      </c>
    </row>
    <row r="2891" spans="1:23">
      <c r="A2891" t="str">
        <f t="shared" si="729"/>
        <v>MTS-ER9P-BM&amp;PT</v>
      </c>
      <c r="B2891" t="str">
        <f>"10-1110-2000"</f>
        <v>10-1110-2000</v>
      </c>
      <c r="C2891" t="str">
        <f>"TiN coated tip for 011101"</f>
        <v>TiN coated tip for 011101</v>
      </c>
      <c r="D2891">
        <v>1</v>
      </c>
      <c r="E2891" t="str">
        <f t="shared" si="730"/>
        <v>FMS - Scorbot ER9Pro Robot with BenchMill 6000 (4 tool ATC) &amp; ProTurn 9000 CNC machines</v>
      </c>
      <c r="F2891">
        <v>502</v>
      </c>
      <c r="G2891" t="str">
        <f t="shared" si="732"/>
        <v>Y</v>
      </c>
      <c r="H2891" t="str">
        <f t="shared" si="731"/>
        <v>EA</v>
      </c>
      <c r="I2891">
        <v>0</v>
      </c>
      <c r="J2891">
        <v>0</v>
      </c>
      <c r="K2891" t="str">
        <f t="shared" si="733"/>
        <v>Y</v>
      </c>
      <c r="L2891">
        <v>0</v>
      </c>
      <c r="M2891" t="str">
        <f t="shared" si="723"/>
        <v>NIS</v>
      </c>
      <c r="O2891">
        <v>28</v>
      </c>
      <c r="P2891" t="str">
        <f t="shared" si="728"/>
        <v>Active</v>
      </c>
      <c r="Q2891" t="str">
        <f>"TiN coated tip for 011101"</f>
        <v>TiN coated tip for 011101</v>
      </c>
      <c r="S2891" t="str">
        <f>"TiN coated tip for 011101"</f>
        <v>TiN coated tip for 011101</v>
      </c>
      <c r="T2891">
        <v>0</v>
      </c>
      <c r="U2891">
        <v>42</v>
      </c>
      <c r="V2891">
        <v>41.71</v>
      </c>
      <c r="W2891" t="str">
        <f t="shared" si="727"/>
        <v>rob</v>
      </c>
    </row>
    <row r="2892" spans="1:23">
      <c r="A2892" t="str">
        <f t="shared" si="729"/>
        <v>MTS-ER9P-BM&amp;PT</v>
      </c>
      <c r="B2892" t="str">
        <f>"10-1106-6000"</f>
        <v>10-1106-6000</v>
      </c>
      <c r="C2892" t="str">
        <f>"- Rolling center"</f>
        <v>- Rolling center</v>
      </c>
      <c r="D2892">
        <v>1</v>
      </c>
      <c r="E2892" t="str">
        <f t="shared" si="730"/>
        <v>FMS - Scorbot ER9Pro Robot with BenchMill 6000 (4 tool ATC) &amp; ProTurn 9000 CNC machines</v>
      </c>
      <c r="F2892">
        <v>502</v>
      </c>
      <c r="G2892" t="str">
        <f t="shared" si="732"/>
        <v>Y</v>
      </c>
      <c r="H2892" t="str">
        <f t="shared" si="731"/>
        <v>EA</v>
      </c>
      <c r="I2892">
        <v>0</v>
      </c>
      <c r="J2892">
        <v>0</v>
      </c>
      <c r="K2892" t="str">
        <f t="shared" si="733"/>
        <v>Y</v>
      </c>
      <c r="L2892">
        <v>0</v>
      </c>
      <c r="M2892" t="str">
        <f t="shared" si="723"/>
        <v>NIS</v>
      </c>
      <c r="O2892">
        <v>29</v>
      </c>
      <c r="P2892" t="str">
        <f t="shared" si="728"/>
        <v>Active</v>
      </c>
      <c r="Q2892" t="str">
        <f>"Rolling center"</f>
        <v>Rolling center</v>
      </c>
      <c r="S2892" t="str">
        <f>"Rolling center"</f>
        <v>Rolling center</v>
      </c>
      <c r="T2892">
        <v>0</v>
      </c>
      <c r="U2892">
        <v>23.42</v>
      </c>
      <c r="V2892">
        <v>23.55</v>
      </c>
      <c r="W2892" t="str">
        <f t="shared" si="727"/>
        <v>rob</v>
      </c>
    </row>
    <row r="2893" spans="1:23">
      <c r="A2893" t="str">
        <f t="shared" si="729"/>
        <v>MTS-ER9P-BM&amp;PT</v>
      </c>
      <c r="B2893" t="str">
        <f>"10-1105-7000"</f>
        <v>10-1105-7000</v>
      </c>
      <c r="C2893" t="str">
        <f>"Drill Chuck for Tailstock"</f>
        <v>Drill Chuck for Tailstock</v>
      </c>
      <c r="D2893">
        <v>1</v>
      </c>
      <c r="E2893" t="str">
        <f t="shared" si="730"/>
        <v>FMS - Scorbot ER9Pro Robot with BenchMill 6000 (4 tool ATC) &amp; ProTurn 9000 CNC machines</v>
      </c>
      <c r="F2893">
        <v>502</v>
      </c>
      <c r="G2893" t="str">
        <f t="shared" si="732"/>
        <v>Y</v>
      </c>
      <c r="H2893" t="str">
        <f t="shared" si="731"/>
        <v>EA</v>
      </c>
      <c r="I2893">
        <v>0</v>
      </c>
      <c r="J2893">
        <v>0</v>
      </c>
      <c r="K2893" t="str">
        <f t="shared" si="733"/>
        <v>Y</v>
      </c>
      <c r="L2893">
        <v>0</v>
      </c>
      <c r="M2893" t="str">
        <f t="shared" si="723"/>
        <v>NIS</v>
      </c>
      <c r="O2893">
        <v>30</v>
      </c>
      <c r="P2893" t="str">
        <f t="shared" si="728"/>
        <v>Active</v>
      </c>
      <c r="Q2893" t="str">
        <f>"Drill Chuck for Tailstock MT2 13mm"</f>
        <v>Drill Chuck for Tailstock MT2 13mm</v>
      </c>
      <c r="S2893" t="str">
        <f>"Drill Chuck for Tailstock MT2 13mm"</f>
        <v>Drill Chuck for Tailstock MT2 13mm</v>
      </c>
      <c r="T2893">
        <v>0</v>
      </c>
      <c r="U2893">
        <v>21.07</v>
      </c>
      <c r="V2893">
        <v>23.52</v>
      </c>
      <c r="W2893" t="str">
        <f t="shared" si="727"/>
        <v>rob</v>
      </c>
    </row>
    <row r="2894" spans="1:23">
      <c r="A2894" t="str">
        <f t="shared" si="729"/>
        <v>MTS-ER9P-BM&amp;PT</v>
      </c>
      <c r="B2894" t="str">
        <f>"10-1105-5000"</f>
        <v>10-1105-5000</v>
      </c>
      <c r="C2894" t="str">
        <f>"Computer and monitor attachment"</f>
        <v>Computer and monitor attachment</v>
      </c>
      <c r="D2894">
        <v>1</v>
      </c>
      <c r="E2894" t="str">
        <f t="shared" si="730"/>
        <v>FMS - Scorbot ER9Pro Robot with BenchMill 6000 (4 tool ATC) &amp; ProTurn 9000 CNC machines</v>
      </c>
      <c r="F2894">
        <v>502</v>
      </c>
      <c r="G2894" t="str">
        <f t="shared" si="732"/>
        <v>Y</v>
      </c>
      <c r="H2894" t="str">
        <f t="shared" si="731"/>
        <v>EA</v>
      </c>
      <c r="I2894">
        <v>0</v>
      </c>
      <c r="J2894">
        <v>0</v>
      </c>
      <c r="K2894" t="str">
        <f t="shared" si="733"/>
        <v>Y</v>
      </c>
      <c r="L2894">
        <v>0</v>
      </c>
      <c r="M2894" t="str">
        <f t="shared" si="723"/>
        <v>NIS</v>
      </c>
      <c r="O2894">
        <v>31</v>
      </c>
      <c r="P2894" t="str">
        <f t="shared" si="728"/>
        <v>Active</v>
      </c>
      <c r="Q2894" t="str">
        <f>"Computer and monitor stand (attached to machine)"</f>
        <v>Computer and monitor stand (attached to machine)</v>
      </c>
      <c r="S2894" t="str">
        <f>"Computer and monitor stand (attached to machine)"</f>
        <v>Computer and monitor stand (attached to machine)</v>
      </c>
      <c r="T2894">
        <v>0</v>
      </c>
      <c r="U2894">
        <v>105.36</v>
      </c>
      <c r="V2894">
        <v>103.02</v>
      </c>
      <c r="W2894" t="str">
        <f t="shared" si="727"/>
        <v>rob</v>
      </c>
    </row>
    <row r="2895" spans="1:23">
      <c r="A2895" t="str">
        <f t="shared" si="729"/>
        <v>MTS-ER9P-BM&amp;PT</v>
      </c>
      <c r="B2895" t="str">
        <f>"63-9001-1000"</f>
        <v>63-9001-1000</v>
      </c>
      <c r="C2895" t="str">
        <f>"-CNCMotion for ProTurn 9000"</f>
        <v>-CNCMotion for ProTurn 9000</v>
      </c>
      <c r="D2895">
        <v>1</v>
      </c>
      <c r="E2895" t="str">
        <f t="shared" si="730"/>
        <v>FMS - Scorbot ER9Pro Robot with BenchMill 6000 (4 tool ATC) &amp; ProTurn 9000 CNC machines</v>
      </c>
      <c r="F2895">
        <v>502</v>
      </c>
      <c r="G2895" t="str">
        <f t="shared" si="732"/>
        <v>Y</v>
      </c>
      <c r="H2895" t="str">
        <f t="shared" si="731"/>
        <v>EA</v>
      </c>
      <c r="I2895">
        <v>0</v>
      </c>
      <c r="J2895">
        <v>0</v>
      </c>
      <c r="K2895" t="str">
        <f t="shared" si="733"/>
        <v>Y</v>
      </c>
      <c r="L2895">
        <v>0</v>
      </c>
      <c r="M2895" t="str">
        <f t="shared" si="723"/>
        <v>NIS</v>
      </c>
      <c r="O2895">
        <v>32</v>
      </c>
      <c r="P2895" t="str">
        <f t="shared" ref="P2895:P2925" si="734">"Active"</f>
        <v>Active</v>
      </c>
      <c r="Q2895" t="str">
        <f>"CNCMotion Sim. Sftwr, ProTurn 9000"</f>
        <v>CNCMotion Sim. Sftwr, ProTurn 9000</v>
      </c>
      <c r="S2895" t="str">
        <f>"CNCMotion Sim. Sftwr, ProTurn 9000"</f>
        <v>CNCMotion Sim. Sftwr, ProTurn 9000</v>
      </c>
      <c r="T2895">
        <v>0</v>
      </c>
      <c r="U2895">
        <v>10</v>
      </c>
      <c r="V2895">
        <v>0</v>
      </c>
      <c r="W2895" t="str">
        <f t="shared" si="727"/>
        <v>rob</v>
      </c>
    </row>
    <row r="2896" spans="1:23">
      <c r="A2896" t="str">
        <f t="shared" si="729"/>
        <v>MTS-ER9P-BM&amp;PT</v>
      </c>
      <c r="B2896" t="str">
        <f>"63-6743-0000"</f>
        <v>63-6743-0000</v>
      </c>
      <c r="C2896" t="str">
        <f>"Software, SpectraCAM Turning"</f>
        <v>Software, SpectraCAM Turning</v>
      </c>
      <c r="D2896">
        <v>1</v>
      </c>
      <c r="E2896" t="str">
        <f t="shared" si="730"/>
        <v>FMS - Scorbot ER9Pro Robot with BenchMill 6000 (4 tool ATC) &amp; ProTurn 9000 CNC machines</v>
      </c>
      <c r="F2896">
        <v>502</v>
      </c>
      <c r="G2896" t="str">
        <f t="shared" si="732"/>
        <v>Y</v>
      </c>
      <c r="H2896" t="str">
        <f t="shared" si="731"/>
        <v>EA</v>
      </c>
      <c r="I2896">
        <v>0</v>
      </c>
      <c r="J2896">
        <v>0</v>
      </c>
      <c r="K2896" t="str">
        <f t="shared" si="733"/>
        <v>Y</v>
      </c>
      <c r="L2896">
        <v>0</v>
      </c>
      <c r="M2896" t="str">
        <f t="shared" si="723"/>
        <v>NIS</v>
      </c>
      <c r="O2896">
        <v>33</v>
      </c>
      <c r="P2896" t="str">
        <f t="shared" si="734"/>
        <v>Active</v>
      </c>
      <c r="Q2896" t="str">
        <f>"Software, SpectraCAM Turning"</f>
        <v>Software, SpectraCAM Turning</v>
      </c>
      <c r="S2896" t="str">
        <f>"Software, SpectraCAM Turning"</f>
        <v>Software, SpectraCAM Turning</v>
      </c>
      <c r="T2896">
        <v>0</v>
      </c>
      <c r="U2896">
        <v>10</v>
      </c>
      <c r="V2896">
        <v>10.4</v>
      </c>
      <c r="W2896" t="str">
        <f t="shared" si="727"/>
        <v>rob</v>
      </c>
    </row>
    <row r="2897" spans="1:23">
      <c r="A2897" t="str">
        <f t="shared" si="729"/>
        <v>MTS-ER9P-BM&amp;PT</v>
      </c>
      <c r="B2897" t="str">
        <f>"112496"</f>
        <v>112496</v>
      </c>
      <c r="C2897" t="str">
        <f>"Raw Material - Brass  Rod"</f>
        <v>Raw Material - Brass  Rod</v>
      </c>
      <c r="D2897">
        <v>50</v>
      </c>
      <c r="E2897" t="str">
        <f t="shared" si="730"/>
        <v>FMS - Scorbot ER9Pro Robot with BenchMill 6000 (4 tool ATC) &amp; ProTurn 9000 CNC machines</v>
      </c>
      <c r="F2897">
        <v>502</v>
      </c>
      <c r="G2897" t="str">
        <f t="shared" si="732"/>
        <v>Y</v>
      </c>
      <c r="H2897" t="str">
        <f t="shared" si="731"/>
        <v>EA</v>
      </c>
      <c r="I2897">
        <v>0</v>
      </c>
      <c r="J2897">
        <v>0</v>
      </c>
      <c r="K2897" t="str">
        <f t="shared" si="733"/>
        <v>Y</v>
      </c>
      <c r="L2897">
        <v>0</v>
      </c>
      <c r="M2897" t="str">
        <f t="shared" si="723"/>
        <v>NIS</v>
      </c>
      <c r="O2897">
        <v>34</v>
      </c>
      <c r="P2897" t="str">
        <f t="shared" si="734"/>
        <v>Active</v>
      </c>
      <c r="Q2897" t="str">
        <f>"Raw Material Stock - Brass  Rod"</f>
        <v>Raw Material Stock - Brass  Rod</v>
      </c>
      <c r="S2897" t="str">
        <f>"Raw Material Stock - Brass  Rod"</f>
        <v>Raw Material Stock - Brass  Rod</v>
      </c>
      <c r="T2897">
        <v>0</v>
      </c>
      <c r="U2897">
        <v>3.67</v>
      </c>
      <c r="V2897">
        <v>2.69</v>
      </c>
      <c r="W2897" t="str">
        <f t="shared" si="727"/>
        <v>rob</v>
      </c>
    </row>
    <row r="2898" spans="1:23">
      <c r="A2898" t="str">
        <f t="shared" si="729"/>
        <v>MTS-ER9P-BM&amp;PT</v>
      </c>
      <c r="B2898" t="str">
        <f>"00-1261-0000"</f>
        <v>00-1261-0000</v>
      </c>
      <c r="C2898" t="str">
        <f>"Workbench 1800x900mm (Heavy duty for CNC)"</f>
        <v>Workbench 1800x900mm (Heavy duty for CNC)</v>
      </c>
      <c r="D2898">
        <v>1</v>
      </c>
      <c r="E2898" t="str">
        <f t="shared" si="730"/>
        <v>FMS - Scorbot ER9Pro Robot with BenchMill 6000 (4 tool ATC) &amp; ProTurn 9000 CNC machines</v>
      </c>
      <c r="F2898">
        <v>502</v>
      </c>
      <c r="G2898" t="str">
        <f t="shared" si="732"/>
        <v>Y</v>
      </c>
      <c r="H2898" t="str">
        <f t="shared" si="731"/>
        <v>EA</v>
      </c>
      <c r="I2898">
        <v>0</v>
      </c>
      <c r="J2898">
        <v>0</v>
      </c>
      <c r="K2898" t="str">
        <f t="shared" si="733"/>
        <v>Y</v>
      </c>
      <c r="L2898">
        <v>0</v>
      </c>
      <c r="M2898" t="str">
        <f t="shared" si="723"/>
        <v>NIS</v>
      </c>
      <c r="O2898">
        <v>35</v>
      </c>
      <c r="P2898" t="str">
        <f t="shared" si="734"/>
        <v>Active</v>
      </c>
      <c r="Q2898" t="str">
        <f>"Workbench 1800x900mm (Heavy duty for CNC)"</f>
        <v>Workbench 1800x900mm (Heavy duty for CNC)</v>
      </c>
      <c r="S2898" t="str">
        <f>"Workbench 1800x900mm (Heavy duty for CNC)"</f>
        <v>Workbench 1800x900mm (Heavy duty for CNC)</v>
      </c>
      <c r="T2898">
        <v>0</v>
      </c>
      <c r="U2898">
        <v>830</v>
      </c>
      <c r="V2898">
        <v>831.14</v>
      </c>
      <c r="W2898" t="str">
        <f t="shared" si="727"/>
        <v>rob</v>
      </c>
    </row>
    <row r="2899" spans="1:23">
      <c r="A2899" t="str">
        <f t="shared" si="729"/>
        <v>MTS-ER9P-BM&amp;PT</v>
      </c>
      <c r="B2899" t="str">
        <f>"00-1265-0000"</f>
        <v>00-1265-0000</v>
      </c>
      <c r="C2899" t="str">
        <f>"PC Extension Shelf  600x900mm"</f>
        <v>PC Extension Shelf  600x900mm</v>
      </c>
      <c r="D2899">
        <v>1</v>
      </c>
      <c r="E2899" t="str">
        <f t="shared" si="730"/>
        <v>FMS - Scorbot ER9Pro Robot with BenchMill 6000 (4 tool ATC) &amp; ProTurn 9000 CNC machines</v>
      </c>
      <c r="F2899">
        <v>502</v>
      </c>
      <c r="G2899" t="str">
        <f t="shared" si="732"/>
        <v>Y</v>
      </c>
      <c r="H2899" t="str">
        <f t="shared" si="731"/>
        <v>EA</v>
      </c>
      <c r="I2899">
        <v>0</v>
      </c>
      <c r="J2899">
        <v>0</v>
      </c>
      <c r="K2899" t="str">
        <f t="shared" si="733"/>
        <v>Y</v>
      </c>
      <c r="L2899">
        <v>0</v>
      </c>
      <c r="M2899" t="str">
        <f t="shared" si="723"/>
        <v>NIS</v>
      </c>
      <c r="O2899">
        <v>36</v>
      </c>
      <c r="P2899" t="str">
        <f t="shared" si="734"/>
        <v>Active</v>
      </c>
      <c r="Q2899" t="str">
        <f>"PC Extension Shelf  600x900mm"</f>
        <v>PC Extension Shelf  600x900mm</v>
      </c>
      <c r="S2899" t="str">
        <f>"PC Extension Shelf  600x900mm"</f>
        <v>PC Extension Shelf  600x900mm</v>
      </c>
      <c r="T2899">
        <v>0</v>
      </c>
      <c r="U2899">
        <v>211</v>
      </c>
      <c r="V2899">
        <v>198.88</v>
      </c>
      <c r="W2899" t="str">
        <f t="shared" si="727"/>
        <v>rob</v>
      </c>
    </row>
    <row r="2900" spans="1:23">
      <c r="A2900" t="str">
        <f t="shared" si="729"/>
        <v>MTS-ER9P-BM&amp;PT</v>
      </c>
      <c r="B2900" t="str">
        <f>"00-1251-0000"</f>
        <v>00-1251-0000</v>
      </c>
      <c r="C2900" t="str">
        <f>"Workbench 1500x800mm (Formica Top)"</f>
        <v>Workbench 1500x800mm (Formica Top)</v>
      </c>
      <c r="D2900">
        <v>1</v>
      </c>
      <c r="E2900" t="str">
        <f t="shared" si="730"/>
        <v>FMS - Scorbot ER9Pro Robot with BenchMill 6000 (4 tool ATC) &amp; ProTurn 9000 CNC machines</v>
      </c>
      <c r="F2900">
        <v>502</v>
      </c>
      <c r="G2900" t="str">
        <f t="shared" si="732"/>
        <v>Y</v>
      </c>
      <c r="H2900" t="str">
        <f t="shared" si="731"/>
        <v>EA</v>
      </c>
      <c r="I2900">
        <v>0</v>
      </c>
      <c r="J2900">
        <v>0</v>
      </c>
      <c r="K2900" t="str">
        <f t="shared" si="733"/>
        <v>Y</v>
      </c>
      <c r="L2900">
        <v>0</v>
      </c>
      <c r="M2900" t="str">
        <f t="shared" si="723"/>
        <v>NIS</v>
      </c>
      <c r="O2900">
        <v>37</v>
      </c>
      <c r="P2900" t="str">
        <f t="shared" si="734"/>
        <v>Active</v>
      </c>
      <c r="Q2900" t="str">
        <f>"Workbench 1500x800mm (Formica Top)"</f>
        <v>Workbench 1500x800mm (Formica Top)</v>
      </c>
      <c r="S2900" t="str">
        <f>"Workbench 1500x800mm (Formica Top)"</f>
        <v>Workbench 1500x800mm (Formica Top)</v>
      </c>
      <c r="T2900">
        <v>0</v>
      </c>
      <c r="U2900">
        <v>582</v>
      </c>
      <c r="V2900">
        <v>588.6</v>
      </c>
      <c r="W2900" t="str">
        <f t="shared" si="727"/>
        <v>rob</v>
      </c>
    </row>
    <row r="2901" spans="1:23">
      <c r="A2901" t="str">
        <f t="shared" si="729"/>
        <v>MTS-ER9P-BM&amp;PT</v>
      </c>
      <c r="B2901" t="str">
        <f>"50-0094-0000"</f>
        <v>50-0094-0000</v>
      </c>
      <c r="C2901" t="str">
        <f>"Pre-Engineering, Design and Testing"</f>
        <v>Pre-Engineering, Design and Testing</v>
      </c>
      <c r="D2901">
        <v>1</v>
      </c>
      <c r="E2901" t="str">
        <f t="shared" si="730"/>
        <v>FMS - Scorbot ER9Pro Robot with BenchMill 6000 (4 tool ATC) &amp; ProTurn 9000 CNC machines</v>
      </c>
      <c r="F2901">
        <v>502</v>
      </c>
      <c r="G2901" t="str">
        <f t="shared" si="732"/>
        <v>Y</v>
      </c>
      <c r="H2901" t="str">
        <f>"DA"</f>
        <v>DA</v>
      </c>
      <c r="I2901">
        <v>0</v>
      </c>
      <c r="J2901">
        <v>0</v>
      </c>
      <c r="K2901" t="str">
        <f t="shared" si="733"/>
        <v>Y</v>
      </c>
      <c r="L2901">
        <v>0</v>
      </c>
      <c r="M2901" t="str">
        <f t="shared" si="723"/>
        <v>NIS</v>
      </c>
      <c r="O2901">
        <v>38</v>
      </c>
      <c r="P2901" t="str">
        <f t="shared" si="734"/>
        <v>Active</v>
      </c>
      <c r="Q2901" t="str">
        <f>"Pre-Engineering, Design and Testing"</f>
        <v>Pre-Engineering, Design and Testing</v>
      </c>
      <c r="S2901" t="str">
        <f>"Pre-Engineering, Design and Testing"</f>
        <v>Pre-Engineering, Design and Testing</v>
      </c>
      <c r="T2901">
        <v>0</v>
      </c>
      <c r="U2901">
        <v>405</v>
      </c>
      <c r="V2901">
        <v>421.2</v>
      </c>
      <c r="W2901" t="str">
        <f t="shared" si="727"/>
        <v>rob</v>
      </c>
    </row>
    <row r="2902" spans="1:23">
      <c r="A2902" t="str">
        <f t="shared" ref="A2902:A2936" si="735">"MTS-ER9P-BM6000"</f>
        <v>MTS-ER9P-BM6000</v>
      </c>
      <c r="B2902" t="str">
        <f>"00-0430-0000"</f>
        <v>00-0430-0000</v>
      </c>
      <c r="C2902" t="str">
        <f>"SCORBOT-ER9Pro"</f>
        <v>SCORBOT-ER9Pro</v>
      </c>
      <c r="D2902">
        <v>1</v>
      </c>
      <c r="E2902" t="str">
        <f t="shared" ref="E2902:E2936" si="736">"FMS - Scorbot ER9Pro Robot with BenchMill 6000 (4 tool ATC) CNC Milling machine"</f>
        <v>FMS - Scorbot ER9Pro Robot with BenchMill 6000 (4 tool ATC) CNC Milling machine</v>
      </c>
      <c r="F2902">
        <v>502</v>
      </c>
      <c r="G2902" t="str">
        <f t="shared" si="732"/>
        <v>Y</v>
      </c>
      <c r="H2902" t="str">
        <f t="shared" ref="H2902:H2935" si="737">"EA"</f>
        <v>EA</v>
      </c>
      <c r="I2902">
        <v>0</v>
      </c>
      <c r="J2902">
        <v>0</v>
      </c>
      <c r="K2902" t="str">
        <f t="shared" si="733"/>
        <v>Y</v>
      </c>
      <c r="L2902">
        <v>0</v>
      </c>
      <c r="M2902" t="str">
        <f>"USD"</f>
        <v>USD</v>
      </c>
      <c r="O2902">
        <v>1</v>
      </c>
      <c r="P2902" t="str">
        <f t="shared" si="734"/>
        <v>Active</v>
      </c>
      <c r="Q2902" t="str">
        <f>"SCORBOT-ER 9Pro (incl. USB-Pro Controller)"</f>
        <v>SCORBOT-ER 9Pro (incl. USB-Pro Controller)</v>
      </c>
      <c r="S2902" t="str">
        <f>"SCORBOT-ER 9Pro (incl. USB-Pro Controller)"</f>
        <v>SCORBOT-ER 9Pro (incl. USB-Pro Controller)</v>
      </c>
      <c r="T2902">
        <v>0</v>
      </c>
      <c r="U2902" s="44">
        <v>10900</v>
      </c>
      <c r="V2902" s="44">
        <v>11661.57</v>
      </c>
      <c r="W2902" t="str">
        <f t="shared" si="727"/>
        <v>rob</v>
      </c>
    </row>
    <row r="2903" spans="1:23">
      <c r="A2903" t="str">
        <f t="shared" si="735"/>
        <v>MTS-ER9P-BM6000</v>
      </c>
      <c r="B2903" t="str">
        <f>"00-0633-0000"</f>
        <v>00-0633-0000</v>
      </c>
      <c r="C2903" t="str">
        <f>"Pneumatic Gripper for ER9-Pro"</f>
        <v>Pneumatic Gripper for ER9-Pro</v>
      </c>
      <c r="D2903">
        <v>1</v>
      </c>
      <c r="E2903" t="str">
        <f t="shared" si="736"/>
        <v>FMS - Scorbot ER9Pro Robot with BenchMill 6000 (4 tool ATC) CNC Milling machine</v>
      </c>
      <c r="F2903">
        <v>502</v>
      </c>
      <c r="G2903" t="str">
        <f t="shared" si="732"/>
        <v>Y</v>
      </c>
      <c r="H2903" t="str">
        <f t="shared" si="737"/>
        <v>EA</v>
      </c>
      <c r="I2903">
        <v>0</v>
      </c>
      <c r="J2903">
        <v>0</v>
      </c>
      <c r="K2903" t="str">
        <f t="shared" si="733"/>
        <v>Y</v>
      </c>
      <c r="L2903">
        <v>0</v>
      </c>
      <c r="M2903" t="str">
        <f t="shared" ref="M2903:M2936" si="738">"NIS"</f>
        <v>NIS</v>
      </c>
      <c r="O2903">
        <v>2</v>
      </c>
      <c r="P2903" t="str">
        <f t="shared" si="734"/>
        <v>Active</v>
      </c>
      <c r="Q2903" t="str">
        <f>"Pneumatic Gripper for ER 9Pro"</f>
        <v>Pneumatic Gripper for ER 9Pro</v>
      </c>
      <c r="S2903" t="str">
        <f>"Pneumatic Gripper for ER9-Pro"</f>
        <v>Pneumatic Gripper for ER9-Pro</v>
      </c>
      <c r="T2903">
        <v>0</v>
      </c>
      <c r="U2903">
        <v>630</v>
      </c>
      <c r="V2903">
        <v>624.72</v>
      </c>
      <c r="W2903" t="str">
        <f t="shared" si="727"/>
        <v>rob</v>
      </c>
    </row>
    <row r="2904" spans="1:23">
      <c r="A2904" t="str">
        <f t="shared" si="735"/>
        <v>MTS-ER9P-BM6000</v>
      </c>
      <c r="B2904" t="str">
        <f>"00-1710-0000"</f>
        <v>00-1710-0000</v>
      </c>
      <c r="C2904" t="str">
        <f>"Teach Pendant"</f>
        <v>Teach Pendant</v>
      </c>
      <c r="D2904">
        <v>1</v>
      </c>
      <c r="E2904" t="str">
        <f t="shared" si="736"/>
        <v>FMS - Scorbot ER9Pro Robot with BenchMill 6000 (4 tool ATC) CNC Milling machine</v>
      </c>
      <c r="F2904">
        <v>502</v>
      </c>
      <c r="G2904" t="str">
        <f t="shared" si="732"/>
        <v>Y</v>
      </c>
      <c r="H2904" t="str">
        <f t="shared" si="737"/>
        <v>EA</v>
      </c>
      <c r="I2904">
        <v>0</v>
      </c>
      <c r="J2904">
        <v>0</v>
      </c>
      <c r="K2904" t="str">
        <f t="shared" si="733"/>
        <v>Y</v>
      </c>
      <c r="L2904">
        <v>0</v>
      </c>
      <c r="M2904" t="str">
        <f t="shared" si="738"/>
        <v>NIS</v>
      </c>
      <c r="O2904">
        <v>3</v>
      </c>
      <c r="P2904" t="str">
        <f t="shared" si="734"/>
        <v>Active</v>
      </c>
      <c r="Q2904" t="str">
        <f>"Teach Pendant for USB/USB Pro Controllers"</f>
        <v>Teach Pendant for USB/USB Pro Controllers</v>
      </c>
      <c r="S2904" t="str">
        <f>"Teach Pendant for USB/USB Pro Controllers"</f>
        <v>Teach Pendant for USB/USB Pro Controllers</v>
      </c>
      <c r="T2904">
        <v>0</v>
      </c>
      <c r="U2904">
        <v>160.18</v>
      </c>
      <c r="V2904">
        <v>161.44999999999999</v>
      </c>
      <c r="W2904" t="str">
        <f t="shared" si="727"/>
        <v>rob</v>
      </c>
    </row>
    <row r="2905" spans="1:23">
      <c r="A2905" t="str">
        <f t="shared" si="735"/>
        <v>MTS-ER9P-BM6000</v>
      </c>
      <c r="B2905" t="str">
        <f>"00-1016-0000"</f>
        <v>00-1016-0000</v>
      </c>
      <c r="C2905" t="str">
        <f>"LSB 1.0m, Belt, FM"</f>
        <v>LSB 1.0m, Belt, FM</v>
      </c>
      <c r="D2905">
        <v>1</v>
      </c>
      <c r="E2905" t="str">
        <f t="shared" si="736"/>
        <v>FMS - Scorbot ER9Pro Robot with BenchMill 6000 (4 tool ATC) CNC Milling machine</v>
      </c>
      <c r="F2905">
        <v>502</v>
      </c>
      <c r="G2905" t="str">
        <f t="shared" si="732"/>
        <v>Y</v>
      </c>
      <c r="H2905" t="str">
        <f t="shared" si="737"/>
        <v>EA</v>
      </c>
      <c r="I2905">
        <v>0</v>
      </c>
      <c r="J2905">
        <v>0</v>
      </c>
      <c r="K2905" t="str">
        <f t="shared" si="733"/>
        <v>Y</v>
      </c>
      <c r="L2905">
        <v>0</v>
      </c>
      <c r="M2905" t="str">
        <f t="shared" si="738"/>
        <v>NIS</v>
      </c>
      <c r="O2905">
        <v>4</v>
      </c>
      <c r="P2905" t="str">
        <f t="shared" si="734"/>
        <v>Active</v>
      </c>
      <c r="Q2905" t="str">
        <f>"LSB 1.0m (Belt, Floor Mounted incl. Stand)"</f>
        <v>LSB 1.0m (Belt, Floor Mounted incl. Stand)</v>
      </c>
      <c r="S2905" t="str">
        <f>"LSB 1.0m, Belt, Floor Mounted incl. Stand"</f>
        <v>LSB 1.0m, Belt, Floor Mounted incl. Stand</v>
      </c>
      <c r="T2905">
        <v>0</v>
      </c>
      <c r="U2905" s="44">
        <v>2336.16</v>
      </c>
      <c r="V2905" s="44">
        <v>2301.0500000000002</v>
      </c>
      <c r="W2905" t="str">
        <f t="shared" si="727"/>
        <v>rob</v>
      </c>
    </row>
    <row r="2906" spans="1:23">
      <c r="A2906" t="str">
        <f t="shared" si="735"/>
        <v>MTS-ER9P-BM6000</v>
      </c>
      <c r="B2906" t="str">
        <f>"034025"</f>
        <v>034025</v>
      </c>
      <c r="C2906" t="str">
        <f>"I/O Interface Box for Controller USB-PRO"</f>
        <v>I/O Interface Box for Controller USB-PRO</v>
      </c>
      <c r="D2906">
        <v>1</v>
      </c>
      <c r="E2906" t="str">
        <f t="shared" si="736"/>
        <v>FMS - Scorbot ER9Pro Robot with BenchMill 6000 (4 tool ATC) CNC Milling machine</v>
      </c>
      <c r="F2906">
        <v>502</v>
      </c>
      <c r="G2906" t="str">
        <f t="shared" si="732"/>
        <v>Y</v>
      </c>
      <c r="H2906" t="str">
        <f t="shared" si="737"/>
        <v>EA</v>
      </c>
      <c r="I2906">
        <v>0</v>
      </c>
      <c r="J2906">
        <v>0</v>
      </c>
      <c r="K2906" t="str">
        <f t="shared" si="733"/>
        <v>Y</v>
      </c>
      <c r="L2906">
        <v>0</v>
      </c>
      <c r="M2906" t="str">
        <f t="shared" si="738"/>
        <v>NIS</v>
      </c>
      <c r="O2906">
        <v>35</v>
      </c>
      <c r="P2906" t="str">
        <f t="shared" si="734"/>
        <v>Active</v>
      </c>
      <c r="Q2906" t="str">
        <f>"קופסת 2+Interface Box I/O כבלים לבקר USBPRO"</f>
        <v>קופסת 2+Interface Box I/O כבלים לבקר USBPRO</v>
      </c>
      <c r="S2906" t="str">
        <f>"קופסת 2+Interface Box I/O כבלים לבקר USBPRO"</f>
        <v>קופסת 2+Interface Box I/O כבלים לבקר USBPRO</v>
      </c>
      <c r="T2906">
        <v>0</v>
      </c>
      <c r="U2906">
        <v>470</v>
      </c>
      <c r="V2906">
        <v>463.62</v>
      </c>
      <c r="W2906" t="str">
        <f t="shared" si="727"/>
        <v>rob</v>
      </c>
    </row>
    <row r="2907" spans="1:23">
      <c r="A2907" t="str">
        <f t="shared" si="735"/>
        <v>MTS-ER9P-BM6000</v>
      </c>
      <c r="B2907" t="str">
        <f>"021152"</f>
        <v>021152</v>
      </c>
      <c r="C2907" t="str">
        <f>"Shelf Buffer for CIM conveyor"</f>
        <v>Shelf Buffer for CIM conveyor</v>
      </c>
      <c r="D2907">
        <v>1</v>
      </c>
      <c r="E2907" t="str">
        <f t="shared" si="736"/>
        <v>FMS - Scorbot ER9Pro Robot with BenchMill 6000 (4 tool ATC) CNC Milling machine</v>
      </c>
      <c r="F2907">
        <v>502</v>
      </c>
      <c r="G2907" t="str">
        <f t="shared" si="732"/>
        <v>Y</v>
      </c>
      <c r="H2907" t="str">
        <f t="shared" si="737"/>
        <v>EA</v>
      </c>
      <c r="I2907">
        <v>0</v>
      </c>
      <c r="J2907">
        <v>0</v>
      </c>
      <c r="K2907" t="str">
        <f t="shared" si="733"/>
        <v>Y</v>
      </c>
      <c r="L2907">
        <v>0</v>
      </c>
      <c r="M2907" t="str">
        <f t="shared" si="738"/>
        <v>NIS</v>
      </c>
      <c r="O2907">
        <v>5</v>
      </c>
      <c r="P2907" t="str">
        <f t="shared" si="734"/>
        <v>Active</v>
      </c>
      <c r="Q2907" t="str">
        <f>"מכלול- מדף בפר סטנדרטי OPEN-CIM"</f>
        <v>מכלול- מדף בפר סטנדרטי OPEN-CIM</v>
      </c>
      <c r="R2907" t="str">
        <f>"1"</f>
        <v>1</v>
      </c>
      <c r="S2907" t="str">
        <f>"מכלול- מדף בפר סטנדרטי OPEN-CIM"</f>
        <v>מכלול- מדף בפר סטנדרטי OPEN-CIM</v>
      </c>
      <c r="T2907">
        <v>0</v>
      </c>
      <c r="U2907">
        <v>83.12</v>
      </c>
      <c r="V2907">
        <v>92.76</v>
      </c>
      <c r="W2907" t="str">
        <f t="shared" si="727"/>
        <v>rob</v>
      </c>
    </row>
    <row r="2908" spans="1:23">
      <c r="A2908" t="str">
        <f t="shared" si="735"/>
        <v>MTS-ER9P-BM6000</v>
      </c>
      <c r="B2908" t="str">
        <f>"10-2521-7000"</f>
        <v>10-2521-7000</v>
      </c>
      <c r="C2908" t="str">
        <f>"Pneumatic Feeder for Rectangular products"</f>
        <v>Pneumatic Feeder for Rectangular products</v>
      </c>
      <c r="D2908">
        <v>1</v>
      </c>
      <c r="E2908" t="str">
        <f t="shared" si="736"/>
        <v>FMS - Scorbot ER9Pro Robot with BenchMill 6000 (4 tool ATC) CNC Milling machine</v>
      </c>
      <c r="F2908">
        <v>502</v>
      </c>
      <c r="G2908" t="str">
        <f t="shared" si="732"/>
        <v>Y</v>
      </c>
      <c r="H2908" t="str">
        <f t="shared" si="737"/>
        <v>EA</v>
      </c>
      <c r="I2908">
        <v>0</v>
      </c>
      <c r="J2908">
        <v>0</v>
      </c>
      <c r="K2908" t="str">
        <f t="shared" si="733"/>
        <v>Y</v>
      </c>
      <c r="L2908">
        <v>0</v>
      </c>
      <c r="M2908" t="str">
        <f t="shared" si="738"/>
        <v>NIS</v>
      </c>
      <c r="O2908">
        <v>6</v>
      </c>
      <c r="P2908" t="str">
        <f t="shared" si="734"/>
        <v>Active</v>
      </c>
      <c r="Q2908" t="str">
        <f>"Pneumatic Feeder for Rectangular Parts"</f>
        <v>Pneumatic Feeder for Rectangular Parts</v>
      </c>
      <c r="S2908" t="str">
        <f>"Pneumatic Feeder for Rectangular Parts"</f>
        <v>Pneumatic Feeder for Rectangular Parts</v>
      </c>
      <c r="T2908">
        <v>0</v>
      </c>
      <c r="U2908">
        <v>595</v>
      </c>
      <c r="V2908">
        <v>555.15</v>
      </c>
      <c r="W2908" t="str">
        <f t="shared" si="727"/>
        <v>rob</v>
      </c>
    </row>
    <row r="2909" spans="1:23">
      <c r="A2909" t="str">
        <f t="shared" si="735"/>
        <v>MTS-ER9P-BM6000</v>
      </c>
      <c r="B2909" t="str">
        <f>"00-1110-0000"</f>
        <v>00-1110-0000</v>
      </c>
      <c r="C2909" t="str">
        <f>"Palletizing Rack"</f>
        <v>Palletizing Rack</v>
      </c>
      <c r="D2909">
        <v>1</v>
      </c>
      <c r="E2909" t="str">
        <f t="shared" si="736"/>
        <v>FMS - Scorbot ER9Pro Robot with BenchMill 6000 (4 tool ATC) CNC Milling machine</v>
      </c>
      <c r="F2909">
        <v>502</v>
      </c>
      <c r="G2909" t="str">
        <f t="shared" si="732"/>
        <v>Y</v>
      </c>
      <c r="H2909" t="str">
        <f t="shared" si="737"/>
        <v>EA</v>
      </c>
      <c r="I2909">
        <v>0</v>
      </c>
      <c r="J2909">
        <v>0</v>
      </c>
      <c r="K2909" t="str">
        <f t="shared" si="733"/>
        <v>Y</v>
      </c>
      <c r="L2909">
        <v>0</v>
      </c>
      <c r="M2909" t="str">
        <f t="shared" si="738"/>
        <v>NIS</v>
      </c>
      <c r="O2909">
        <v>7</v>
      </c>
      <c r="P2909" t="str">
        <f t="shared" si="734"/>
        <v>Active</v>
      </c>
      <c r="Q2909" t="str">
        <f>"Palletizing Rack (incl. Pins for creating Jigs)"</f>
        <v>Palletizing Rack (incl. Pins for creating Jigs)</v>
      </c>
      <c r="S2909" t="str">
        <f>"Palletizing Rack (incl. Pins for creating Jigs)"</f>
        <v>Palletizing Rack (incl. Pins for creating Jigs)</v>
      </c>
      <c r="T2909">
        <v>0</v>
      </c>
      <c r="U2909">
        <v>63</v>
      </c>
      <c r="V2909">
        <v>58.59</v>
      </c>
      <c r="W2909" t="str">
        <f t="shared" si="727"/>
        <v>rob</v>
      </c>
    </row>
    <row r="2910" spans="1:23">
      <c r="A2910" t="str">
        <f t="shared" si="735"/>
        <v>MTS-ER9P-BM6000</v>
      </c>
      <c r="B2910" t="str">
        <f>"021182"</f>
        <v>021182</v>
      </c>
      <c r="C2910" t="str">
        <f>"97mm Height Adapter"</f>
        <v>97mm Height Adapter</v>
      </c>
      <c r="D2910">
        <v>1</v>
      </c>
      <c r="E2910" t="str">
        <f t="shared" si="736"/>
        <v>FMS - Scorbot ER9Pro Robot with BenchMill 6000 (4 tool ATC) CNC Milling machine</v>
      </c>
      <c r="F2910">
        <v>502</v>
      </c>
      <c r="G2910" t="str">
        <f t="shared" si="732"/>
        <v>Y</v>
      </c>
      <c r="H2910" t="str">
        <f t="shared" si="737"/>
        <v>EA</v>
      </c>
      <c r="I2910">
        <v>0</v>
      </c>
      <c r="J2910">
        <v>0</v>
      </c>
      <c r="K2910" t="str">
        <f t="shared" si="733"/>
        <v>Y</v>
      </c>
      <c r="L2910">
        <v>0</v>
      </c>
      <c r="M2910" t="str">
        <f t="shared" si="738"/>
        <v>NIS</v>
      </c>
      <c r="O2910">
        <v>8</v>
      </c>
      <c r="P2910" t="str">
        <f t="shared" si="734"/>
        <v>Active</v>
      </c>
      <c r="Q2910" t="str">
        <f>"97mm Height Adapter -Rack 001110 on formica 28mm"</f>
        <v>97mm Height Adapter -Rack 001110 on formica 28mm</v>
      </c>
      <c r="S2910" t="str">
        <f>"97mm Height Adapter -Rack 001110 on formica 28mm"</f>
        <v>97mm Height Adapter -Rack 001110 on formica 28mm</v>
      </c>
      <c r="T2910">
        <v>0</v>
      </c>
      <c r="U2910">
        <v>7</v>
      </c>
      <c r="V2910">
        <v>5.5</v>
      </c>
      <c r="W2910" t="str">
        <f t="shared" si="727"/>
        <v>rob</v>
      </c>
    </row>
    <row r="2911" spans="1:23">
      <c r="A2911" t="str">
        <f t="shared" si="735"/>
        <v>MTS-ER9P-BM6000</v>
      </c>
      <c r="B2911" t="str">
        <f>"10-2120-0000"</f>
        <v>10-2120-0000</v>
      </c>
      <c r="C2911" t="str">
        <f>"CNC Interface with BenchMILL 6000"</f>
        <v>CNC Interface with BenchMILL 6000</v>
      </c>
      <c r="D2911">
        <v>1</v>
      </c>
      <c r="E2911" t="str">
        <f t="shared" si="736"/>
        <v>FMS - Scorbot ER9Pro Robot with BenchMill 6000 (4 tool ATC) CNC Milling machine</v>
      </c>
      <c r="F2911">
        <v>502</v>
      </c>
      <c r="G2911" t="str">
        <f t="shared" si="732"/>
        <v>Y</v>
      </c>
      <c r="H2911" t="str">
        <f t="shared" si="737"/>
        <v>EA</v>
      </c>
      <c r="I2911">
        <v>0</v>
      </c>
      <c r="J2911">
        <v>0</v>
      </c>
      <c r="K2911" t="str">
        <f t="shared" si="733"/>
        <v>Y</v>
      </c>
      <c r="L2911">
        <v>0</v>
      </c>
      <c r="M2911" t="str">
        <f t="shared" si="738"/>
        <v>NIS</v>
      </c>
      <c r="O2911">
        <v>9</v>
      </c>
      <c r="P2911" t="str">
        <f t="shared" si="734"/>
        <v>Active</v>
      </c>
      <c r="Q2911" t="str">
        <f>"CNC Interface with BenchMILL 6000"</f>
        <v>CNC Interface with BenchMILL 6000</v>
      </c>
      <c r="S2911" t="str">
        <f>"CNC Interface with BenchMILL 6000"</f>
        <v>CNC Interface with BenchMILL 6000</v>
      </c>
      <c r="T2911">
        <v>0</v>
      </c>
      <c r="U2911">
        <v>21</v>
      </c>
      <c r="V2911">
        <v>19.7</v>
      </c>
      <c r="W2911" t="str">
        <f t="shared" si="727"/>
        <v>rob</v>
      </c>
    </row>
    <row r="2912" spans="1:23">
      <c r="A2912" t="str">
        <f t="shared" si="735"/>
        <v>MTS-ER9P-BM6000</v>
      </c>
      <c r="B2912" t="str">
        <f>"00-5505-0220"</f>
        <v>00-5505-0220</v>
      </c>
      <c r="C2912" t="str">
        <f>"CNC BenchMILL 6000, 220 VAC"</f>
        <v>CNC BenchMILL 6000, 220 VAC</v>
      </c>
      <c r="D2912">
        <v>1</v>
      </c>
      <c r="E2912" t="str">
        <f t="shared" si="736"/>
        <v>FMS - Scorbot ER9Pro Robot with BenchMill 6000 (4 tool ATC) CNC Milling machine</v>
      </c>
      <c r="F2912">
        <v>502</v>
      </c>
      <c r="G2912" t="str">
        <f t="shared" si="732"/>
        <v>Y</v>
      </c>
      <c r="H2912" t="str">
        <f t="shared" si="737"/>
        <v>EA</v>
      </c>
      <c r="I2912">
        <v>0</v>
      </c>
      <c r="J2912">
        <v>0</v>
      </c>
      <c r="K2912" t="str">
        <f t="shared" si="733"/>
        <v>Y</v>
      </c>
      <c r="L2912">
        <v>0</v>
      </c>
      <c r="M2912" t="str">
        <f t="shared" si="738"/>
        <v>NIS</v>
      </c>
      <c r="O2912">
        <v>10</v>
      </c>
      <c r="P2912" t="str">
        <f t="shared" si="734"/>
        <v>Active</v>
      </c>
      <c r="Q2912" t="str">
        <f>"CNC BenchMill 6000 220V"</f>
        <v>CNC BenchMill 6000 220V</v>
      </c>
      <c r="S2912" t="str">
        <f>"CNC BenchMILL 6000, 220 VAC"</f>
        <v>CNC BenchMILL 6000, 220 VAC</v>
      </c>
      <c r="T2912">
        <v>0</v>
      </c>
      <c r="U2912" s="44">
        <v>4583</v>
      </c>
      <c r="V2912" s="44">
        <v>4458.34</v>
      </c>
      <c r="W2912" t="str">
        <f t="shared" si="727"/>
        <v>rob</v>
      </c>
    </row>
    <row r="2913" spans="1:23">
      <c r="A2913" t="str">
        <f t="shared" si="735"/>
        <v>MTS-ER9P-BM6000</v>
      </c>
      <c r="B2913" t="str">
        <f>"63-6001-1000"</f>
        <v>63-6001-1000</v>
      </c>
      <c r="C2913" t="str">
        <f>"-CNCMotion Simulation Sftwr for BenchMill 6000"</f>
        <v>-CNCMotion Simulation Sftwr for BenchMill 6000</v>
      </c>
      <c r="D2913">
        <v>1</v>
      </c>
      <c r="E2913" t="str">
        <f t="shared" si="736"/>
        <v>FMS - Scorbot ER9Pro Robot with BenchMill 6000 (4 tool ATC) CNC Milling machine</v>
      </c>
      <c r="F2913">
        <v>502</v>
      </c>
      <c r="G2913" t="str">
        <f t="shared" si="732"/>
        <v>Y</v>
      </c>
      <c r="H2913" t="str">
        <f t="shared" si="737"/>
        <v>EA</v>
      </c>
      <c r="I2913">
        <v>0</v>
      </c>
      <c r="J2913">
        <v>0</v>
      </c>
      <c r="K2913" t="str">
        <f t="shared" si="733"/>
        <v>Y</v>
      </c>
      <c r="L2913">
        <v>0</v>
      </c>
      <c r="M2913" t="str">
        <f t="shared" si="738"/>
        <v>NIS</v>
      </c>
      <c r="O2913">
        <v>31</v>
      </c>
      <c r="P2913" t="str">
        <f t="shared" si="734"/>
        <v>Active</v>
      </c>
      <c r="Q2913" t="str">
        <f>"CNCMotion Sim. Sftwr, BenchMill 6000"</f>
        <v>CNCMotion Sim. Sftwr, BenchMill 6000</v>
      </c>
      <c r="S2913" t="str">
        <f>"CNCMotion Sim. Sftwr, BenchMill 6000"</f>
        <v>CNCMotion Sim. Sftwr, BenchMill 6000</v>
      </c>
      <c r="T2913">
        <v>0</v>
      </c>
      <c r="U2913">
        <v>10</v>
      </c>
      <c r="V2913">
        <v>0</v>
      </c>
      <c r="W2913" t="str">
        <f t="shared" si="727"/>
        <v>rob</v>
      </c>
    </row>
    <row r="2914" spans="1:23">
      <c r="A2914" t="str">
        <f t="shared" si="735"/>
        <v>MTS-ER9P-BM6000</v>
      </c>
      <c r="B2914" t="str">
        <f>"63-6723-0000"</f>
        <v>63-6723-0000</v>
      </c>
      <c r="C2914" t="str">
        <f>"SpectraCAD Engraver software – Download Only"</f>
        <v>SpectraCAD Engraver software – Download Only</v>
      </c>
      <c r="D2914">
        <v>1</v>
      </c>
      <c r="E2914" t="str">
        <f t="shared" si="736"/>
        <v>FMS - Scorbot ER9Pro Robot with BenchMill 6000 (4 tool ATC) CNC Milling machine</v>
      </c>
      <c r="F2914">
        <v>502</v>
      </c>
      <c r="G2914" t="str">
        <f t="shared" si="732"/>
        <v>Y</v>
      </c>
      <c r="H2914" t="str">
        <f t="shared" si="737"/>
        <v>EA</v>
      </c>
      <c r="I2914">
        <v>0</v>
      </c>
      <c r="J2914">
        <v>0</v>
      </c>
      <c r="K2914" t="str">
        <f t="shared" si="733"/>
        <v>Y</v>
      </c>
      <c r="L2914">
        <v>0</v>
      </c>
      <c r="M2914" t="str">
        <f t="shared" si="738"/>
        <v>NIS</v>
      </c>
      <c r="O2914">
        <v>32</v>
      </c>
      <c r="P2914" t="str">
        <f t="shared" si="734"/>
        <v>Active</v>
      </c>
      <c r="Q2914" t="str">
        <f>"SpectraCAD Engraver software – Download Only"</f>
        <v>SpectraCAD Engraver software – Download Only</v>
      </c>
      <c r="S2914" t="str">
        <f>"SpectraCAD Engraver software – Download Only"</f>
        <v>SpectraCAD Engraver software – Download Only</v>
      </c>
      <c r="T2914">
        <v>0</v>
      </c>
      <c r="U2914">
        <v>10</v>
      </c>
      <c r="V2914">
        <v>10.4</v>
      </c>
      <c r="W2914" t="str">
        <f t="shared" ref="W2914:W2977" si="739">"rob"</f>
        <v>rob</v>
      </c>
    </row>
    <row r="2915" spans="1:23">
      <c r="A2915" t="str">
        <f t="shared" si="735"/>
        <v>MTS-ER9P-BM6000</v>
      </c>
      <c r="B2915" t="str">
        <f>"63-6733-0000"</f>
        <v>63-6733-0000</v>
      </c>
      <c r="C2915" t="str">
        <f>"Software, SpectraCAM Milling"</f>
        <v>Software, SpectraCAM Milling</v>
      </c>
      <c r="D2915">
        <v>1</v>
      </c>
      <c r="E2915" t="str">
        <f t="shared" si="736"/>
        <v>FMS - Scorbot ER9Pro Robot with BenchMill 6000 (4 tool ATC) CNC Milling machine</v>
      </c>
      <c r="F2915">
        <v>502</v>
      </c>
      <c r="G2915" t="str">
        <f t="shared" si="732"/>
        <v>Y</v>
      </c>
      <c r="H2915" t="str">
        <f t="shared" si="737"/>
        <v>EA</v>
      </c>
      <c r="I2915">
        <v>0</v>
      </c>
      <c r="J2915">
        <v>0</v>
      </c>
      <c r="K2915" t="str">
        <f t="shared" si="733"/>
        <v>Y</v>
      </c>
      <c r="L2915">
        <v>0</v>
      </c>
      <c r="M2915" t="str">
        <f t="shared" si="738"/>
        <v>NIS</v>
      </c>
      <c r="O2915">
        <v>33</v>
      </c>
      <c r="P2915" t="str">
        <f t="shared" si="734"/>
        <v>Active</v>
      </c>
      <c r="Q2915" t="str">
        <f>"Software, SpectraCAM Milling"</f>
        <v>Software, SpectraCAM Milling</v>
      </c>
      <c r="S2915" t="str">
        <f>"Software, SpectraCAM Milling"</f>
        <v>Software, SpectraCAM Milling</v>
      </c>
      <c r="T2915">
        <v>0</v>
      </c>
      <c r="U2915">
        <v>10</v>
      </c>
      <c r="V2915">
        <v>10.4</v>
      </c>
      <c r="W2915" t="str">
        <f t="shared" si="739"/>
        <v>rob</v>
      </c>
    </row>
    <row r="2916" spans="1:23">
      <c r="A2916" t="str">
        <f t="shared" si="735"/>
        <v>MTS-ER9P-BM6000</v>
      </c>
      <c r="B2916" t="str">
        <f>"10-1110-3000"</f>
        <v>10-1110-3000</v>
      </c>
      <c r="C2916" t="str">
        <f>"-- Pneumatic Shield with Sensors (BenchMill 6000"</f>
        <v>-- Pneumatic Shield with Sensors (BenchMill 6000</v>
      </c>
      <c r="D2916">
        <v>1</v>
      </c>
      <c r="E2916" t="str">
        <f t="shared" si="736"/>
        <v>FMS - Scorbot ER9Pro Robot with BenchMill 6000 (4 tool ATC) CNC Milling machine</v>
      </c>
      <c r="F2916">
        <v>502</v>
      </c>
      <c r="G2916" t="str">
        <f t="shared" si="732"/>
        <v>Y</v>
      </c>
      <c r="H2916" t="str">
        <f t="shared" si="737"/>
        <v>EA</v>
      </c>
      <c r="I2916">
        <v>0</v>
      </c>
      <c r="J2916">
        <v>0</v>
      </c>
      <c r="K2916" t="str">
        <f t="shared" si="733"/>
        <v>Y</v>
      </c>
      <c r="L2916">
        <v>0</v>
      </c>
      <c r="M2916" t="str">
        <f t="shared" si="738"/>
        <v>NIS</v>
      </c>
      <c r="N2916" t="str">
        <f>"Y"</f>
        <v>Y</v>
      </c>
      <c r="O2916">
        <v>11</v>
      </c>
      <c r="P2916" t="str">
        <f t="shared" si="734"/>
        <v>Active</v>
      </c>
      <c r="Q2916" t="str">
        <f>"Pneumatic Shield with Sensors (BenchMill 6000)"</f>
        <v>Pneumatic Shield with Sensors (BenchMill 6000)</v>
      </c>
      <c r="S2916" t="str">
        <f>"Pneumatic Shield with Sensors (BenchMill 6000)"</f>
        <v>Pneumatic Shield with Sensors (BenchMill 6000)</v>
      </c>
      <c r="T2916">
        <v>0</v>
      </c>
      <c r="U2916">
        <v>398.06</v>
      </c>
      <c r="V2916">
        <v>343.2</v>
      </c>
      <c r="W2916" t="str">
        <f t="shared" si="739"/>
        <v>rob</v>
      </c>
    </row>
    <row r="2917" spans="1:23">
      <c r="A2917" t="str">
        <f t="shared" si="735"/>
        <v>MTS-ER9P-BM6000</v>
      </c>
      <c r="B2917" t="str">
        <f>"10-1110-7000"</f>
        <v>10-1110-7000</v>
      </c>
      <c r="C2917" t="str">
        <f>"--Dual Axis Vise (for FMS)"</f>
        <v>--Dual Axis Vise (for FMS)</v>
      </c>
      <c r="D2917">
        <v>1</v>
      </c>
      <c r="E2917" t="str">
        <f t="shared" si="736"/>
        <v>FMS - Scorbot ER9Pro Robot with BenchMill 6000 (4 tool ATC) CNC Milling machine</v>
      </c>
      <c r="F2917">
        <v>502</v>
      </c>
      <c r="G2917" t="str">
        <f t="shared" si="732"/>
        <v>Y</v>
      </c>
      <c r="H2917" t="str">
        <f t="shared" si="737"/>
        <v>EA</v>
      </c>
      <c r="I2917">
        <v>0</v>
      </c>
      <c r="J2917">
        <v>0</v>
      </c>
      <c r="K2917" t="str">
        <f t="shared" si="733"/>
        <v>Y</v>
      </c>
      <c r="L2917">
        <v>0</v>
      </c>
      <c r="M2917" t="str">
        <f t="shared" si="738"/>
        <v>NIS</v>
      </c>
      <c r="O2917">
        <v>12</v>
      </c>
      <c r="P2917" t="str">
        <f t="shared" si="734"/>
        <v>Active</v>
      </c>
      <c r="Q2917" t="str">
        <f>"Dual Axis Vise (BenchMill 6000/ ProMill 8000)"</f>
        <v>Dual Axis Vise (BenchMill 6000/ ProMill 8000)</v>
      </c>
      <c r="S2917" t="str">
        <f>"Dual Axis Vise (BenchMill 6000/ ProMill 8000)"</f>
        <v>Dual Axis Vise (BenchMill 6000/ ProMill 8000)</v>
      </c>
      <c r="T2917">
        <v>0</v>
      </c>
      <c r="U2917">
        <v>239</v>
      </c>
      <c r="V2917">
        <v>219.6</v>
      </c>
      <c r="W2917" t="str">
        <f t="shared" si="739"/>
        <v>rob</v>
      </c>
    </row>
    <row r="2918" spans="1:23">
      <c r="A2918" t="str">
        <f t="shared" si="735"/>
        <v>MTS-ER9P-BM6000</v>
      </c>
      <c r="B2918" t="str">
        <f>"10-1115-2000"</f>
        <v>10-1115-2000</v>
      </c>
      <c r="C2918" t="str">
        <f>"- Table mounted ATC package"</f>
        <v>- Table mounted ATC package</v>
      </c>
      <c r="D2918">
        <v>1</v>
      </c>
      <c r="E2918" t="str">
        <f t="shared" si="736"/>
        <v>FMS - Scorbot ER9Pro Robot with BenchMill 6000 (4 tool ATC) CNC Milling machine</v>
      </c>
      <c r="F2918">
        <v>502</v>
      </c>
      <c r="G2918" t="str">
        <f t="shared" si="732"/>
        <v>Y</v>
      </c>
      <c r="H2918" t="str">
        <f t="shared" si="737"/>
        <v>EA</v>
      </c>
      <c r="I2918">
        <v>0</v>
      </c>
      <c r="J2918">
        <v>0</v>
      </c>
      <c r="K2918" t="str">
        <f t="shared" si="733"/>
        <v>Y</v>
      </c>
      <c r="L2918">
        <v>0</v>
      </c>
      <c r="M2918" t="str">
        <f t="shared" si="738"/>
        <v>NIS</v>
      </c>
      <c r="O2918">
        <v>13</v>
      </c>
      <c r="P2918" t="str">
        <f t="shared" si="734"/>
        <v>Active</v>
      </c>
      <c r="Q2918" t="str">
        <f>"Table mounted ATC package"</f>
        <v>Table mounted ATC package</v>
      </c>
      <c r="S2918" t="str">
        <f>"Table mounted ATC package"</f>
        <v>Table mounted ATC package</v>
      </c>
      <c r="T2918">
        <v>0</v>
      </c>
      <c r="U2918">
        <v>690</v>
      </c>
      <c r="V2918">
        <v>690.59</v>
      </c>
      <c r="W2918" t="str">
        <f t="shared" si="739"/>
        <v>rob</v>
      </c>
    </row>
    <row r="2919" spans="1:23">
      <c r="A2919" t="str">
        <f t="shared" si="735"/>
        <v>MTS-ER9P-BM6000</v>
      </c>
      <c r="B2919" t="str">
        <f>"10-1115-0000"</f>
        <v>10-1115-0000</v>
      </c>
      <c r="C2919" t="str">
        <f>"ER16 Collet set - 2 x (3,6,8,10mm)"</f>
        <v>ER16 Collet set - 2 x (3,6,8,10mm)</v>
      </c>
      <c r="D2919">
        <v>1</v>
      </c>
      <c r="E2919" t="str">
        <f t="shared" si="736"/>
        <v>FMS - Scorbot ER9Pro Robot with BenchMill 6000 (4 tool ATC) CNC Milling machine</v>
      </c>
      <c r="F2919">
        <v>502</v>
      </c>
      <c r="G2919" t="str">
        <f t="shared" si="732"/>
        <v>Y</v>
      </c>
      <c r="H2919" t="str">
        <f t="shared" si="737"/>
        <v>EA</v>
      </c>
      <c r="I2919">
        <v>0</v>
      </c>
      <c r="J2919">
        <v>0</v>
      </c>
      <c r="K2919" t="str">
        <f t="shared" si="733"/>
        <v>Y</v>
      </c>
      <c r="L2919">
        <v>0</v>
      </c>
      <c r="M2919" t="str">
        <f t="shared" si="738"/>
        <v>NIS</v>
      </c>
      <c r="O2919">
        <v>14</v>
      </c>
      <c r="P2919" t="str">
        <f t="shared" si="734"/>
        <v>Active</v>
      </c>
      <c r="Q2919" t="str">
        <f>"ER16 Collet set-8 pieces(2)3,(2)6,(2)8,(2)10mm"</f>
        <v>ER16 Collet set-8 pieces(2)3,(2)6,(2)8,(2)10mm</v>
      </c>
      <c r="S2919" t="str">
        <f>"ER16 Collet set-8 pieces(2)3,(2)6,(2)8,(2)10mm"</f>
        <v>ER16 Collet set-8 pieces(2)3,(2)6,(2)8,(2)10mm</v>
      </c>
      <c r="T2919">
        <v>0</v>
      </c>
      <c r="U2919">
        <v>71</v>
      </c>
      <c r="V2919">
        <v>70.63</v>
      </c>
      <c r="W2919" t="str">
        <f t="shared" si="739"/>
        <v>rob</v>
      </c>
    </row>
    <row r="2920" spans="1:23">
      <c r="A2920" t="str">
        <f t="shared" si="735"/>
        <v>MTS-ER9P-BM6000</v>
      </c>
      <c r="B2920" t="str">
        <f>"10-1113-4000"</f>
        <v>10-1113-4000</v>
      </c>
      <c r="C2920" t="str">
        <f>"Metric End Mill Package(2X 3,6,8,10End,4,6 Ball)"</f>
        <v>Metric End Mill Package(2X 3,6,8,10End,4,6 Ball)</v>
      </c>
      <c r="D2920">
        <v>1</v>
      </c>
      <c r="E2920" t="str">
        <f t="shared" si="736"/>
        <v>FMS - Scorbot ER9Pro Robot with BenchMill 6000 (4 tool ATC) CNC Milling machine</v>
      </c>
      <c r="F2920">
        <v>502</v>
      </c>
      <c r="G2920" t="str">
        <f t="shared" si="732"/>
        <v>Y</v>
      </c>
      <c r="H2920" t="str">
        <f t="shared" si="737"/>
        <v>EA</v>
      </c>
      <c r="I2920">
        <v>0</v>
      </c>
      <c r="J2920">
        <v>0</v>
      </c>
      <c r="K2920" t="str">
        <f t="shared" si="733"/>
        <v>Y</v>
      </c>
      <c r="L2920">
        <v>0</v>
      </c>
      <c r="M2920" t="str">
        <f t="shared" si="738"/>
        <v>NIS</v>
      </c>
      <c r="O2920">
        <v>15</v>
      </c>
      <c r="P2920" t="str">
        <f t="shared" si="734"/>
        <v>Active</v>
      </c>
      <c r="Q2920" t="str">
        <f>"Metric Advanced End Mill Package 5121"</f>
        <v>Metric Advanced End Mill Package 5121</v>
      </c>
      <c r="S2920" t="str">
        <f>"Metric Advanced End Mill Package 5121"</f>
        <v>Metric Advanced End Mill Package 5121</v>
      </c>
      <c r="T2920">
        <v>0</v>
      </c>
      <c r="U2920">
        <v>55</v>
      </c>
      <c r="V2920">
        <v>50.17</v>
      </c>
      <c r="W2920" t="str">
        <f t="shared" si="739"/>
        <v>rob</v>
      </c>
    </row>
    <row r="2921" spans="1:23">
      <c r="A2921" t="str">
        <f t="shared" si="735"/>
        <v>MTS-ER9P-BM6000</v>
      </c>
      <c r="B2921" t="str">
        <f>"10-1111-1000"</f>
        <v>10-1111-1000</v>
      </c>
      <c r="C2921" t="str">
        <f>"- Handwheel - Manual Control"</f>
        <v>- Handwheel - Manual Control</v>
      </c>
      <c r="D2921">
        <v>1</v>
      </c>
      <c r="E2921" t="str">
        <f t="shared" si="736"/>
        <v>FMS - Scorbot ER9Pro Robot with BenchMill 6000 (4 tool ATC) CNC Milling machine</v>
      </c>
      <c r="F2921">
        <v>502</v>
      </c>
      <c r="G2921" t="str">
        <f t="shared" si="732"/>
        <v>Y</v>
      </c>
      <c r="H2921" t="str">
        <f t="shared" si="737"/>
        <v>EA</v>
      </c>
      <c r="I2921">
        <v>0</v>
      </c>
      <c r="J2921">
        <v>0</v>
      </c>
      <c r="K2921" t="str">
        <f t="shared" si="733"/>
        <v>Y</v>
      </c>
      <c r="L2921">
        <v>0</v>
      </c>
      <c r="M2921" t="str">
        <f t="shared" si="738"/>
        <v>NIS</v>
      </c>
      <c r="O2921">
        <v>16</v>
      </c>
      <c r="P2921" t="str">
        <f t="shared" si="734"/>
        <v>Active</v>
      </c>
      <c r="Q2921" t="str">
        <f>"Hand wheel"</f>
        <v>Hand wheel</v>
      </c>
      <c r="S2921" t="str">
        <f>"Jog Pendant Handwheel"</f>
        <v>Jog Pendant Handwheel</v>
      </c>
      <c r="T2921">
        <v>0</v>
      </c>
      <c r="U2921">
        <v>235</v>
      </c>
      <c r="V2921">
        <v>235.03</v>
      </c>
      <c r="W2921" t="str">
        <f t="shared" si="739"/>
        <v>rob</v>
      </c>
    </row>
    <row r="2922" spans="1:23">
      <c r="A2922" t="str">
        <f t="shared" si="735"/>
        <v>MTS-ER9P-BM6000</v>
      </c>
      <c r="B2922" t="str">
        <f>"10-1111-6000"</f>
        <v>10-1111-6000</v>
      </c>
      <c r="C2922" t="str">
        <f>"4"" Vise"</f>
        <v>4" Vise</v>
      </c>
      <c r="D2922">
        <v>1</v>
      </c>
      <c r="E2922" t="str">
        <f t="shared" si="736"/>
        <v>FMS - Scorbot ER9Pro Robot with BenchMill 6000 (4 tool ATC) CNC Milling machine</v>
      </c>
      <c r="F2922">
        <v>502</v>
      </c>
      <c r="G2922" t="str">
        <f t="shared" si="732"/>
        <v>Y</v>
      </c>
      <c r="H2922" t="str">
        <f t="shared" si="737"/>
        <v>EA</v>
      </c>
      <c r="I2922">
        <v>0</v>
      </c>
      <c r="J2922">
        <v>0</v>
      </c>
      <c r="K2922" t="str">
        <f t="shared" si="733"/>
        <v>Y</v>
      </c>
      <c r="L2922">
        <v>0</v>
      </c>
      <c r="M2922" t="str">
        <f t="shared" si="738"/>
        <v>NIS</v>
      </c>
      <c r="N2922" t="str">
        <f t="shared" ref="N2922:N2930" si="740">"Y"</f>
        <v>Y</v>
      </c>
      <c r="O2922">
        <v>17</v>
      </c>
      <c r="P2922" t="str">
        <f t="shared" si="734"/>
        <v>Active</v>
      </c>
      <c r="Q2922" t="str">
        <f>"4"" Precision Maching Vise"</f>
        <v>4" Precision Maching Vise</v>
      </c>
      <c r="S2922" t="str">
        <f>"4"" Precision Maching Vise"</f>
        <v>4" Precision Maching Vise</v>
      </c>
      <c r="T2922">
        <v>0</v>
      </c>
      <c r="U2922">
        <v>53</v>
      </c>
      <c r="V2922">
        <v>49.5</v>
      </c>
      <c r="W2922" t="str">
        <f t="shared" si="739"/>
        <v>rob</v>
      </c>
    </row>
    <row r="2923" spans="1:23">
      <c r="A2923" t="str">
        <f t="shared" si="735"/>
        <v>MTS-ER9P-BM6000</v>
      </c>
      <c r="B2923" t="str">
        <f>"10-1111-5000"</f>
        <v>10-1111-5000</v>
      </c>
      <c r="C2923" t="str">
        <f>"clamping kit 58 pcs set"</f>
        <v>clamping kit 58 pcs set</v>
      </c>
      <c r="D2923">
        <v>1</v>
      </c>
      <c r="E2923" t="str">
        <f t="shared" si="736"/>
        <v>FMS - Scorbot ER9Pro Robot with BenchMill 6000 (4 tool ATC) CNC Milling machine</v>
      </c>
      <c r="F2923">
        <v>502</v>
      </c>
      <c r="G2923" t="str">
        <f t="shared" si="732"/>
        <v>Y</v>
      </c>
      <c r="H2923" t="str">
        <f t="shared" si="737"/>
        <v>EA</v>
      </c>
      <c r="I2923">
        <v>0</v>
      </c>
      <c r="J2923">
        <v>0</v>
      </c>
      <c r="K2923" t="str">
        <f t="shared" si="733"/>
        <v>Y</v>
      </c>
      <c r="L2923">
        <v>0</v>
      </c>
      <c r="M2923" t="str">
        <f t="shared" si="738"/>
        <v>NIS</v>
      </c>
      <c r="N2923" t="str">
        <f t="shared" si="740"/>
        <v>Y</v>
      </c>
      <c r="O2923">
        <v>18</v>
      </c>
      <c r="P2923" t="str">
        <f t="shared" si="734"/>
        <v>Active</v>
      </c>
      <c r="Q2923" t="str">
        <f>"clamping kit 58 pcs set"</f>
        <v>clamping kit 58 pcs set</v>
      </c>
      <c r="S2923" t="str">
        <f>"clamping kit 58 pcs set"</f>
        <v>clamping kit 58 pcs set</v>
      </c>
      <c r="T2923">
        <v>0</v>
      </c>
      <c r="U2923">
        <v>52</v>
      </c>
      <c r="V2923">
        <v>51.72</v>
      </c>
      <c r="W2923" t="str">
        <f t="shared" si="739"/>
        <v>rob</v>
      </c>
    </row>
    <row r="2924" spans="1:23">
      <c r="A2924" t="str">
        <f t="shared" si="735"/>
        <v>MTS-ER9P-BM6000</v>
      </c>
      <c r="B2924" t="str">
        <f>"10-1108-8000"</f>
        <v>10-1108-8000</v>
      </c>
      <c r="C2924" t="str">
        <f>"- 4th Axis rotary worktable with tailstock"</f>
        <v>- 4th Axis rotary worktable with tailstock</v>
      </c>
      <c r="D2924">
        <v>1</v>
      </c>
      <c r="E2924" t="str">
        <f t="shared" si="736"/>
        <v>FMS - Scorbot ER9Pro Robot with BenchMill 6000 (4 tool ATC) CNC Milling machine</v>
      </c>
      <c r="F2924">
        <v>502</v>
      </c>
      <c r="G2924" t="str">
        <f t="shared" si="732"/>
        <v>Y</v>
      </c>
      <c r="H2924" t="str">
        <f t="shared" si="737"/>
        <v>EA</v>
      </c>
      <c r="I2924">
        <v>0</v>
      </c>
      <c r="J2924">
        <v>0</v>
      </c>
      <c r="K2924" t="str">
        <f t="shared" si="733"/>
        <v>Y</v>
      </c>
      <c r="L2924">
        <v>0</v>
      </c>
      <c r="M2924" t="str">
        <f t="shared" si="738"/>
        <v>NIS</v>
      </c>
      <c r="N2924" t="str">
        <f t="shared" si="740"/>
        <v>Y</v>
      </c>
      <c r="O2924">
        <v>19</v>
      </c>
      <c r="P2924" t="str">
        <f t="shared" si="734"/>
        <v>Active</v>
      </c>
      <c r="Q2924" t="str">
        <f>"100mm rotary worktable (4th axis) with tailstock"</f>
        <v>100mm rotary worktable (4th axis) with tailstock</v>
      </c>
      <c r="S2924" t="str">
        <f>"100mm rotary worktable (4th axis) with tailstock"</f>
        <v>100mm rotary worktable (4th axis) with tailstock</v>
      </c>
      <c r="T2924">
        <v>0</v>
      </c>
      <c r="U2924">
        <v>614.64</v>
      </c>
      <c r="V2924">
        <v>594.83000000000004</v>
      </c>
      <c r="W2924" t="str">
        <f t="shared" si="739"/>
        <v>rob</v>
      </c>
    </row>
    <row r="2925" spans="1:23">
      <c r="A2925" t="str">
        <f t="shared" si="735"/>
        <v>MTS-ER9P-BM6000</v>
      </c>
      <c r="B2925" t="str">
        <f>"10-1109-3000"</f>
        <v>10-1109-3000</v>
      </c>
      <c r="C2925" t="str">
        <f>"- 80mm 3-jaw chuck"</f>
        <v>- 80mm 3-jaw chuck</v>
      </c>
      <c r="D2925">
        <v>1</v>
      </c>
      <c r="E2925" t="str">
        <f t="shared" si="736"/>
        <v>FMS - Scorbot ER9Pro Robot with BenchMill 6000 (4 tool ATC) CNC Milling machine</v>
      </c>
      <c r="F2925">
        <v>502</v>
      </c>
      <c r="G2925" t="str">
        <f t="shared" si="732"/>
        <v>Y</v>
      </c>
      <c r="H2925" t="str">
        <f t="shared" si="737"/>
        <v>EA</v>
      </c>
      <c r="I2925">
        <v>0</v>
      </c>
      <c r="J2925">
        <v>0</v>
      </c>
      <c r="K2925" t="str">
        <f t="shared" si="733"/>
        <v>Y</v>
      </c>
      <c r="L2925">
        <v>0</v>
      </c>
      <c r="M2925" t="str">
        <f t="shared" si="738"/>
        <v>NIS</v>
      </c>
      <c r="N2925" t="str">
        <f t="shared" si="740"/>
        <v>Y</v>
      </c>
      <c r="O2925">
        <v>20</v>
      </c>
      <c r="P2925" t="str">
        <f t="shared" si="734"/>
        <v>Active</v>
      </c>
      <c r="Q2925" t="str">
        <f>"80mm 3-jaw chuck"</f>
        <v>80mm 3-jaw chuck</v>
      </c>
      <c r="S2925" t="str">
        <f>"80mm 3-jaw chuck"</f>
        <v>80mm 3-jaw chuck</v>
      </c>
      <c r="T2925">
        <v>0</v>
      </c>
      <c r="U2925">
        <v>53</v>
      </c>
      <c r="V2925">
        <v>52.35</v>
      </c>
      <c r="W2925" t="str">
        <f t="shared" si="739"/>
        <v>rob</v>
      </c>
    </row>
    <row r="2926" spans="1:23">
      <c r="A2926" t="str">
        <f t="shared" si="735"/>
        <v>MTS-ER9P-BM6000</v>
      </c>
      <c r="B2926" t="str">
        <f>"10-1111-3000"</f>
        <v>10-1111-3000</v>
      </c>
      <c r="C2926" t="str">
        <f>"- Fanuc Emulator Panel with software"</f>
        <v>- Fanuc Emulator Panel with software</v>
      </c>
      <c r="D2926">
        <v>1</v>
      </c>
      <c r="E2926" t="str">
        <f t="shared" si="736"/>
        <v>FMS - Scorbot ER9Pro Robot with BenchMill 6000 (4 tool ATC) CNC Milling machine</v>
      </c>
      <c r="F2926">
        <v>502</v>
      </c>
      <c r="G2926" t="str">
        <f t="shared" si="732"/>
        <v>Y</v>
      </c>
      <c r="H2926" t="str">
        <f t="shared" si="737"/>
        <v>EA</v>
      </c>
      <c r="I2926">
        <v>0</v>
      </c>
      <c r="J2926">
        <v>0</v>
      </c>
      <c r="K2926" t="str">
        <f t="shared" si="733"/>
        <v>Y</v>
      </c>
      <c r="L2926">
        <v>0</v>
      </c>
      <c r="M2926" t="str">
        <f t="shared" si="738"/>
        <v>NIS</v>
      </c>
      <c r="N2926" t="str">
        <f t="shared" si="740"/>
        <v>Y</v>
      </c>
      <c r="O2926">
        <v>21</v>
      </c>
      <c r="P2926" t="str">
        <f>"Phase Out"</f>
        <v>Phase Out</v>
      </c>
      <c r="Q2926" t="str">
        <f>"Fanuc simulator with software"</f>
        <v>Fanuc simulator with software</v>
      </c>
      <c r="S2926" t="str">
        <f>"Fanuc simulator with software"</f>
        <v>Fanuc simulator with software</v>
      </c>
      <c r="T2926">
        <v>0</v>
      </c>
      <c r="U2926">
        <v>664</v>
      </c>
      <c r="V2926">
        <v>597.4</v>
      </c>
      <c r="W2926" t="str">
        <f t="shared" si="739"/>
        <v>rob</v>
      </c>
    </row>
    <row r="2927" spans="1:23">
      <c r="A2927" t="str">
        <f t="shared" si="735"/>
        <v>MTS-ER9P-BM6000</v>
      </c>
      <c r="B2927" t="str">
        <f>"10-1108-9000"</f>
        <v>10-1108-9000</v>
      </c>
      <c r="C2927" t="str">
        <f>"- Fanuc panel / Computer stand"</f>
        <v>- Fanuc panel / Computer stand</v>
      </c>
      <c r="D2927">
        <v>1</v>
      </c>
      <c r="E2927" t="str">
        <f t="shared" si="736"/>
        <v>FMS - Scorbot ER9Pro Robot with BenchMill 6000 (4 tool ATC) CNC Milling machine</v>
      </c>
      <c r="F2927">
        <v>502</v>
      </c>
      <c r="G2927" t="str">
        <f t="shared" si="732"/>
        <v>Y</v>
      </c>
      <c r="H2927" t="str">
        <f t="shared" si="737"/>
        <v>EA</v>
      </c>
      <c r="I2927">
        <v>0</v>
      </c>
      <c r="J2927">
        <v>0</v>
      </c>
      <c r="K2927" t="str">
        <f t="shared" si="733"/>
        <v>Y</v>
      </c>
      <c r="L2927">
        <v>0</v>
      </c>
      <c r="M2927" t="str">
        <f t="shared" si="738"/>
        <v>NIS</v>
      </c>
      <c r="N2927" t="str">
        <f t="shared" si="740"/>
        <v>Y</v>
      </c>
      <c r="O2927">
        <v>22</v>
      </c>
      <c r="P2927" t="str">
        <f t="shared" ref="P2927:P2964" si="741">"Active"</f>
        <v>Active</v>
      </c>
      <c r="Q2927" t="str">
        <f>"Computer stand"</f>
        <v>Computer stand</v>
      </c>
      <c r="S2927" t="str">
        <f>"Computer stand"</f>
        <v>Computer stand</v>
      </c>
      <c r="T2927">
        <v>0</v>
      </c>
      <c r="U2927">
        <v>128.78</v>
      </c>
      <c r="V2927">
        <v>193.77</v>
      </c>
      <c r="W2927" t="str">
        <f t="shared" si="739"/>
        <v>rob</v>
      </c>
    </row>
    <row r="2928" spans="1:23">
      <c r="A2928" t="str">
        <f t="shared" si="735"/>
        <v>MTS-ER9P-BM6000</v>
      </c>
      <c r="B2928" t="str">
        <f>"10-1112-2000"</f>
        <v>10-1112-2000</v>
      </c>
      <c r="C2928" t="str">
        <f>"ER16 Collet set-8 pieces(3,4,5,6,7,8,9 and 10mm)"</f>
        <v>ER16 Collet set-8 pieces(3,4,5,6,7,8,9 and 10mm)</v>
      </c>
      <c r="D2928">
        <v>1</v>
      </c>
      <c r="E2928" t="str">
        <f t="shared" si="736"/>
        <v>FMS - Scorbot ER9Pro Robot with BenchMill 6000 (4 tool ATC) CNC Milling machine</v>
      </c>
      <c r="F2928">
        <v>502</v>
      </c>
      <c r="G2928" t="str">
        <f t="shared" si="732"/>
        <v>Y</v>
      </c>
      <c r="H2928" t="str">
        <f t="shared" si="737"/>
        <v>EA</v>
      </c>
      <c r="I2928">
        <v>0</v>
      </c>
      <c r="J2928">
        <v>0</v>
      </c>
      <c r="K2928" t="str">
        <f t="shared" si="733"/>
        <v>Y</v>
      </c>
      <c r="L2928">
        <v>0</v>
      </c>
      <c r="M2928" t="str">
        <f t="shared" si="738"/>
        <v>NIS</v>
      </c>
      <c r="N2928" t="str">
        <f t="shared" si="740"/>
        <v>Y</v>
      </c>
      <c r="O2928">
        <v>23</v>
      </c>
      <c r="P2928" t="str">
        <f t="shared" si="741"/>
        <v>Active</v>
      </c>
      <c r="Q2928" t="str">
        <f>"ER16 Collet set-8 pieces(3,4,5,6,7,8,9 and 10mm)"</f>
        <v>ER16 Collet set-8 pieces(3,4,5,6,7,8,9 and 10mm)</v>
      </c>
      <c r="S2928" t="str">
        <f>"ER16 Collet set-8 pieces(3,4,5,6,7,8,9 and 10mm)"</f>
        <v>ER16 Collet set-8 pieces(3,4,5,6,7,8,9 and 10mm)</v>
      </c>
      <c r="T2928">
        <v>0</v>
      </c>
      <c r="U2928">
        <v>71</v>
      </c>
      <c r="V2928">
        <v>64.84</v>
      </c>
      <c r="W2928" t="str">
        <f t="shared" si="739"/>
        <v>rob</v>
      </c>
    </row>
    <row r="2929" spans="1:23">
      <c r="A2929" t="str">
        <f t="shared" si="735"/>
        <v>MTS-ER9P-BM6000</v>
      </c>
      <c r="B2929" t="str">
        <f>"10-1108-1220"</f>
        <v>10-1108-1220</v>
      </c>
      <c r="C2929" t="str">
        <f>"- Coolant system 27L -220V"</f>
        <v>- Coolant system 27L -220V</v>
      </c>
      <c r="D2929">
        <v>1</v>
      </c>
      <c r="E2929" t="str">
        <f t="shared" si="736"/>
        <v>FMS - Scorbot ER9Pro Robot with BenchMill 6000 (4 tool ATC) CNC Milling machine</v>
      </c>
      <c r="F2929">
        <v>502</v>
      </c>
      <c r="G2929" t="str">
        <f t="shared" si="732"/>
        <v>Y</v>
      </c>
      <c r="H2929" t="str">
        <f t="shared" si="737"/>
        <v>EA</v>
      </c>
      <c r="I2929">
        <v>0</v>
      </c>
      <c r="J2929">
        <v>0</v>
      </c>
      <c r="K2929" t="str">
        <f t="shared" si="733"/>
        <v>Y</v>
      </c>
      <c r="L2929">
        <v>0</v>
      </c>
      <c r="M2929" t="str">
        <f t="shared" si="738"/>
        <v>NIS</v>
      </c>
      <c r="N2929" t="str">
        <f t="shared" si="740"/>
        <v>Y</v>
      </c>
      <c r="O2929">
        <v>24</v>
      </c>
      <c r="P2929" t="str">
        <f t="shared" si="741"/>
        <v>Active</v>
      </c>
      <c r="Q2929" t="str">
        <f>"Coolant system 27L"</f>
        <v>Coolant system 27L</v>
      </c>
      <c r="S2929" t="str">
        <f>"Coolant system 27L - 220V"</f>
        <v>Coolant system 27L - 220V</v>
      </c>
      <c r="T2929">
        <v>0</v>
      </c>
      <c r="U2929">
        <v>117.08</v>
      </c>
      <c r="V2929">
        <v>117.15</v>
      </c>
      <c r="W2929" t="str">
        <f t="shared" si="739"/>
        <v>rob</v>
      </c>
    </row>
    <row r="2930" spans="1:23">
      <c r="A2930" t="str">
        <f t="shared" si="735"/>
        <v>MTS-ER9P-BM6000</v>
      </c>
      <c r="B2930" t="str">
        <f>"10-1111-9000"</f>
        <v>10-1111-9000</v>
      </c>
      <c r="C2930" t="str">
        <f>"ISO 20 tool holder"</f>
        <v>ISO 20 tool holder</v>
      </c>
      <c r="D2930">
        <v>4</v>
      </c>
      <c r="E2930" t="str">
        <f t="shared" si="736"/>
        <v>FMS - Scorbot ER9Pro Robot with BenchMill 6000 (4 tool ATC) CNC Milling machine</v>
      </c>
      <c r="F2930">
        <v>502</v>
      </c>
      <c r="G2930" t="str">
        <f t="shared" si="732"/>
        <v>Y</v>
      </c>
      <c r="H2930" t="str">
        <f t="shared" si="737"/>
        <v>EA</v>
      </c>
      <c r="I2930">
        <v>0</v>
      </c>
      <c r="J2930">
        <v>0</v>
      </c>
      <c r="K2930" t="str">
        <f t="shared" si="733"/>
        <v>Y</v>
      </c>
      <c r="L2930">
        <v>0</v>
      </c>
      <c r="M2930" t="str">
        <f t="shared" si="738"/>
        <v>NIS</v>
      </c>
      <c r="N2930" t="str">
        <f t="shared" si="740"/>
        <v>Y</v>
      </c>
      <c r="O2930">
        <v>25</v>
      </c>
      <c r="P2930" t="str">
        <f t="shared" si="741"/>
        <v>Active</v>
      </c>
      <c r="Q2930" t="str">
        <f>"ISO 20 tool holder with nut"</f>
        <v>ISO 20 tool holder with nut</v>
      </c>
      <c r="S2930" t="str">
        <f>"ISO 20 tool holder with nut"</f>
        <v>ISO 20 tool holder with nut</v>
      </c>
      <c r="T2930">
        <v>0</v>
      </c>
      <c r="U2930">
        <v>103</v>
      </c>
      <c r="V2930">
        <v>103.19</v>
      </c>
      <c r="W2930" t="str">
        <f t="shared" si="739"/>
        <v>rob</v>
      </c>
    </row>
    <row r="2931" spans="1:23">
      <c r="A2931" t="str">
        <f t="shared" si="735"/>
        <v>MTS-ER9P-BM6000</v>
      </c>
      <c r="B2931" t="str">
        <f>"10-1113-6000"</f>
        <v>10-1113-6000</v>
      </c>
      <c r="C2931" t="str">
        <f>"- Metric Engraving Package (1,1.5,2 mm End mill)"</f>
        <v>- Metric Engraving Package (1,1.5,2 mm End mill)</v>
      </c>
      <c r="D2931">
        <v>1</v>
      </c>
      <c r="E2931" t="str">
        <f t="shared" si="736"/>
        <v>FMS - Scorbot ER9Pro Robot with BenchMill 6000 (4 tool ATC) CNC Milling machine</v>
      </c>
      <c r="F2931">
        <v>502</v>
      </c>
      <c r="G2931" t="str">
        <f t="shared" si="732"/>
        <v>Y</v>
      </c>
      <c r="H2931" t="str">
        <f t="shared" si="737"/>
        <v>EA</v>
      </c>
      <c r="I2931">
        <v>0</v>
      </c>
      <c r="J2931">
        <v>0</v>
      </c>
      <c r="K2931" t="str">
        <f t="shared" si="733"/>
        <v>Y</v>
      </c>
      <c r="L2931">
        <v>0</v>
      </c>
      <c r="M2931" t="str">
        <f t="shared" si="738"/>
        <v>NIS</v>
      </c>
      <c r="O2931">
        <v>26</v>
      </c>
      <c r="P2931" t="str">
        <f t="shared" si="741"/>
        <v>Active</v>
      </c>
      <c r="Q2931" t="str">
        <f>"Metric Engraving Package 5711"</f>
        <v>Metric Engraving Package 5711</v>
      </c>
      <c r="S2931" t="str">
        <f>"Metric Engraving Package 5711"</f>
        <v>Metric Engraving Package 5711</v>
      </c>
      <c r="T2931">
        <v>0</v>
      </c>
      <c r="U2931">
        <v>41</v>
      </c>
      <c r="V2931">
        <v>37.909999999999997</v>
      </c>
      <c r="W2931" t="str">
        <f t="shared" si="739"/>
        <v>rob</v>
      </c>
    </row>
    <row r="2932" spans="1:23">
      <c r="A2932" t="str">
        <f t="shared" si="735"/>
        <v>MTS-ER9P-BM6000</v>
      </c>
      <c r="B2932" t="str">
        <f>"113034"</f>
        <v>113034</v>
      </c>
      <c r="C2932" t="str">
        <f>"Raw Material - Perspex Block"</f>
        <v>Raw Material - Perspex Block</v>
      </c>
      <c r="D2932">
        <v>50</v>
      </c>
      <c r="E2932" t="str">
        <f t="shared" si="736"/>
        <v>FMS - Scorbot ER9Pro Robot with BenchMill 6000 (4 tool ATC) CNC Milling machine</v>
      </c>
      <c r="F2932">
        <v>502</v>
      </c>
      <c r="G2932" t="str">
        <f t="shared" si="732"/>
        <v>Y</v>
      </c>
      <c r="H2932" t="str">
        <f t="shared" si="737"/>
        <v>EA</v>
      </c>
      <c r="I2932">
        <v>0</v>
      </c>
      <c r="J2932">
        <v>0</v>
      </c>
      <c r="K2932" t="str">
        <f t="shared" si="733"/>
        <v>Y</v>
      </c>
      <c r="L2932">
        <v>0</v>
      </c>
      <c r="M2932" t="str">
        <f t="shared" si="738"/>
        <v>NIS</v>
      </c>
      <c r="O2932">
        <v>27</v>
      </c>
      <c r="P2932" t="str">
        <f t="shared" si="741"/>
        <v>Active</v>
      </c>
      <c r="Q2932" t="str">
        <f>"Raw Material Stock - Perspex Block"</f>
        <v>Raw Material Stock - Perspex Block</v>
      </c>
      <c r="S2932" t="str">
        <f>"Raw Material Stock - Perspex Block"</f>
        <v>Raw Material Stock - Perspex Block</v>
      </c>
      <c r="T2932">
        <v>0</v>
      </c>
      <c r="U2932">
        <v>1.1000000000000001</v>
      </c>
      <c r="V2932">
        <v>1.0900000000000001</v>
      </c>
      <c r="W2932" t="str">
        <f t="shared" si="739"/>
        <v>rob</v>
      </c>
    </row>
    <row r="2933" spans="1:23">
      <c r="A2933" t="str">
        <f t="shared" si="735"/>
        <v>MTS-ER9P-BM6000</v>
      </c>
      <c r="B2933" t="str">
        <f>"00-1261-0000"</f>
        <v>00-1261-0000</v>
      </c>
      <c r="C2933" t="str">
        <f>"Workbench 1800x900mm (Heavy duty for CNC)"</f>
        <v>Workbench 1800x900mm (Heavy duty for CNC)</v>
      </c>
      <c r="D2933">
        <v>1</v>
      </c>
      <c r="E2933" t="str">
        <f t="shared" si="736"/>
        <v>FMS - Scorbot ER9Pro Robot with BenchMill 6000 (4 tool ATC) CNC Milling machine</v>
      </c>
      <c r="F2933">
        <v>502</v>
      </c>
      <c r="G2933" t="str">
        <f t="shared" si="732"/>
        <v>Y</v>
      </c>
      <c r="H2933" t="str">
        <f t="shared" si="737"/>
        <v>EA</v>
      </c>
      <c r="I2933">
        <v>0</v>
      </c>
      <c r="J2933">
        <v>0</v>
      </c>
      <c r="K2933" t="str">
        <f t="shared" si="733"/>
        <v>Y</v>
      </c>
      <c r="L2933">
        <v>0</v>
      </c>
      <c r="M2933" t="str">
        <f t="shared" si="738"/>
        <v>NIS</v>
      </c>
      <c r="O2933">
        <v>28</v>
      </c>
      <c r="P2933" t="str">
        <f t="shared" si="741"/>
        <v>Active</v>
      </c>
      <c r="Q2933" t="str">
        <f>"Workbench 1800x900mm (Heavy duty for CNC)"</f>
        <v>Workbench 1800x900mm (Heavy duty for CNC)</v>
      </c>
      <c r="S2933" t="str">
        <f>"Workbench 1800x900mm (Heavy duty for CNC)"</f>
        <v>Workbench 1800x900mm (Heavy duty for CNC)</v>
      </c>
      <c r="T2933">
        <v>0</v>
      </c>
      <c r="U2933">
        <v>830</v>
      </c>
      <c r="V2933">
        <v>831.14</v>
      </c>
      <c r="W2933" t="str">
        <f t="shared" si="739"/>
        <v>rob</v>
      </c>
    </row>
    <row r="2934" spans="1:23">
      <c r="A2934" t="str">
        <f t="shared" si="735"/>
        <v>MTS-ER9P-BM6000</v>
      </c>
      <c r="B2934" t="str">
        <f>"00-1265-0000"</f>
        <v>00-1265-0000</v>
      </c>
      <c r="C2934" t="str">
        <f>"PC Extension Shelf  600x900mm"</f>
        <v>PC Extension Shelf  600x900mm</v>
      </c>
      <c r="D2934">
        <v>1</v>
      </c>
      <c r="E2934" t="str">
        <f t="shared" si="736"/>
        <v>FMS - Scorbot ER9Pro Robot with BenchMill 6000 (4 tool ATC) CNC Milling machine</v>
      </c>
      <c r="F2934">
        <v>502</v>
      </c>
      <c r="G2934" t="str">
        <f t="shared" si="732"/>
        <v>Y</v>
      </c>
      <c r="H2934" t="str">
        <f t="shared" si="737"/>
        <v>EA</v>
      </c>
      <c r="I2934">
        <v>0</v>
      </c>
      <c r="J2934">
        <v>0</v>
      </c>
      <c r="K2934" t="str">
        <f t="shared" si="733"/>
        <v>Y</v>
      </c>
      <c r="L2934">
        <v>0</v>
      </c>
      <c r="M2934" t="str">
        <f t="shared" si="738"/>
        <v>NIS</v>
      </c>
      <c r="O2934">
        <v>29</v>
      </c>
      <c r="P2934" t="str">
        <f t="shared" si="741"/>
        <v>Active</v>
      </c>
      <c r="Q2934" t="str">
        <f>"PC Extension Shelf  600x900mm"</f>
        <v>PC Extension Shelf  600x900mm</v>
      </c>
      <c r="S2934" t="str">
        <f>"PC Extension Shelf  600x900mm"</f>
        <v>PC Extension Shelf  600x900mm</v>
      </c>
      <c r="T2934">
        <v>0</v>
      </c>
      <c r="U2934">
        <v>211</v>
      </c>
      <c r="V2934">
        <v>198.88</v>
      </c>
      <c r="W2934" t="str">
        <f t="shared" si="739"/>
        <v>rob</v>
      </c>
    </row>
    <row r="2935" spans="1:23">
      <c r="A2935" t="str">
        <f t="shared" si="735"/>
        <v>MTS-ER9P-BM6000</v>
      </c>
      <c r="B2935" t="str">
        <f>"00-1270-0000"</f>
        <v>00-1270-0000</v>
      </c>
      <c r="C2935" t="str">
        <f>"PC Extension Vertical 600x900mm"</f>
        <v>PC Extension Vertical 600x900mm</v>
      </c>
      <c r="D2935">
        <v>1</v>
      </c>
      <c r="E2935" t="str">
        <f t="shared" si="736"/>
        <v>FMS - Scorbot ER9Pro Robot with BenchMill 6000 (4 tool ATC) CNC Milling machine</v>
      </c>
      <c r="F2935">
        <v>502</v>
      </c>
      <c r="G2935" t="str">
        <f t="shared" si="732"/>
        <v>Y</v>
      </c>
      <c r="H2935" t="str">
        <f t="shared" si="737"/>
        <v>EA</v>
      </c>
      <c r="I2935">
        <v>0</v>
      </c>
      <c r="J2935">
        <v>0</v>
      </c>
      <c r="K2935" t="str">
        <f t="shared" si="733"/>
        <v>Y</v>
      </c>
      <c r="L2935">
        <v>0</v>
      </c>
      <c r="M2935" t="str">
        <f t="shared" si="738"/>
        <v>NIS</v>
      </c>
      <c r="N2935" t="str">
        <f>"Y"</f>
        <v>Y</v>
      </c>
      <c r="O2935">
        <v>34</v>
      </c>
      <c r="P2935" t="str">
        <f t="shared" si="741"/>
        <v>Active</v>
      </c>
      <c r="Q2935" t="str">
        <f>"PC Extension Vertical 600x900mm"</f>
        <v>PC Extension Vertical 600x900mm</v>
      </c>
      <c r="S2935" t="str">
        <f>"PC Extension Vertical 600x900mm"</f>
        <v>PC Extension Vertical 600x900mm</v>
      </c>
      <c r="T2935">
        <v>0</v>
      </c>
      <c r="U2935">
        <v>197.63</v>
      </c>
      <c r="V2935">
        <v>200.21</v>
      </c>
      <c r="W2935" t="str">
        <f t="shared" si="739"/>
        <v>rob</v>
      </c>
    </row>
    <row r="2936" spans="1:23">
      <c r="A2936" t="str">
        <f t="shared" si="735"/>
        <v>MTS-ER9P-BM6000</v>
      </c>
      <c r="B2936" t="str">
        <f>"50-0094-0000"</f>
        <v>50-0094-0000</v>
      </c>
      <c r="C2936" t="str">
        <f>"Pre-Engineering, Design and Testing"</f>
        <v>Pre-Engineering, Design and Testing</v>
      </c>
      <c r="D2936">
        <v>1</v>
      </c>
      <c r="E2936" t="str">
        <f t="shared" si="736"/>
        <v>FMS - Scorbot ER9Pro Robot with BenchMill 6000 (4 tool ATC) CNC Milling machine</v>
      </c>
      <c r="F2936">
        <v>502</v>
      </c>
      <c r="G2936" t="str">
        <f t="shared" si="732"/>
        <v>Y</v>
      </c>
      <c r="H2936" t="str">
        <f>"DA"</f>
        <v>DA</v>
      </c>
      <c r="I2936">
        <v>0</v>
      </c>
      <c r="J2936">
        <v>0</v>
      </c>
      <c r="K2936" t="str">
        <f t="shared" si="733"/>
        <v>Y</v>
      </c>
      <c r="L2936">
        <v>0</v>
      </c>
      <c r="M2936" t="str">
        <f t="shared" si="738"/>
        <v>NIS</v>
      </c>
      <c r="O2936">
        <v>30</v>
      </c>
      <c r="P2936" t="str">
        <f t="shared" si="741"/>
        <v>Active</v>
      </c>
      <c r="Q2936" t="str">
        <f>"Pre-Engineering, Design and Testing"</f>
        <v>Pre-Engineering, Design and Testing</v>
      </c>
      <c r="S2936" t="str">
        <f>"Pre-Engineering, Design and Testing"</f>
        <v>Pre-Engineering, Design and Testing</v>
      </c>
      <c r="T2936">
        <v>0</v>
      </c>
      <c r="U2936">
        <v>405</v>
      </c>
      <c r="V2936">
        <v>421.2</v>
      </c>
      <c r="W2936" t="str">
        <f t="shared" si="739"/>
        <v>rob</v>
      </c>
    </row>
    <row r="2937" spans="1:23">
      <c r="A2937" t="str">
        <f t="shared" ref="A2937:A2968" si="742">"MTS-ER9P-BM-BT"</f>
        <v>MTS-ER9P-BM-BT</v>
      </c>
      <c r="B2937" t="str">
        <f>"00-0430-0000"</f>
        <v>00-0430-0000</v>
      </c>
      <c r="C2937" t="str">
        <f>"SCORBOT-ER9Pro"</f>
        <v>SCORBOT-ER9Pro</v>
      </c>
      <c r="D2937">
        <v>1</v>
      </c>
      <c r="E2937" t="str">
        <f t="shared" ref="E2937:E2968" si="743">"FMS - Scorbot ER9Pro Robot with BenchMill 6000 (4 tool ATC) &amp; BenchTurn 7000 CNC machines"</f>
        <v>FMS - Scorbot ER9Pro Robot with BenchMill 6000 (4 tool ATC) &amp; BenchTurn 7000 CNC machines</v>
      </c>
      <c r="F2937">
        <v>502</v>
      </c>
      <c r="G2937" t="str">
        <f t="shared" si="732"/>
        <v>Y</v>
      </c>
      <c r="H2937" t="str">
        <f t="shared" ref="H2937:H2968" si="744">"EA"</f>
        <v>EA</v>
      </c>
      <c r="I2937">
        <v>0</v>
      </c>
      <c r="J2937">
        <v>0</v>
      </c>
      <c r="K2937" t="str">
        <f t="shared" si="733"/>
        <v>Y</v>
      </c>
      <c r="L2937">
        <v>0</v>
      </c>
      <c r="M2937" t="str">
        <f>"USD"</f>
        <v>USD</v>
      </c>
      <c r="O2937">
        <v>1</v>
      </c>
      <c r="P2937" t="str">
        <f t="shared" si="741"/>
        <v>Active</v>
      </c>
      <c r="Q2937" t="str">
        <f>"SCORBOT-ER 9Pro (incl. USB-Pro Controller)"</f>
        <v>SCORBOT-ER 9Pro (incl. USB-Pro Controller)</v>
      </c>
      <c r="S2937" t="str">
        <f>"SCORBOT-ER 9Pro (incl. USB-Pro Controller)"</f>
        <v>SCORBOT-ER 9Pro (incl. USB-Pro Controller)</v>
      </c>
      <c r="T2937">
        <v>0</v>
      </c>
      <c r="U2937" s="44">
        <v>10900</v>
      </c>
      <c r="V2937" s="44">
        <v>11661.57</v>
      </c>
      <c r="W2937" t="str">
        <f t="shared" si="739"/>
        <v>rob</v>
      </c>
    </row>
    <row r="2938" spans="1:23">
      <c r="A2938" t="str">
        <f t="shared" si="742"/>
        <v>MTS-ER9P-BM-BT</v>
      </c>
      <c r="B2938" t="str">
        <f>"00-0633-0000"</f>
        <v>00-0633-0000</v>
      </c>
      <c r="C2938" t="str">
        <f>"Pneumatic Gripper for ER9-Pro"</f>
        <v>Pneumatic Gripper for ER9-Pro</v>
      </c>
      <c r="D2938">
        <v>1</v>
      </c>
      <c r="E2938" t="str">
        <f t="shared" si="743"/>
        <v>FMS - Scorbot ER9Pro Robot with BenchMill 6000 (4 tool ATC) &amp; BenchTurn 7000 CNC machines</v>
      </c>
      <c r="F2938">
        <v>502</v>
      </c>
      <c r="G2938" t="str">
        <f t="shared" si="732"/>
        <v>Y</v>
      </c>
      <c r="H2938" t="str">
        <f t="shared" si="744"/>
        <v>EA</v>
      </c>
      <c r="I2938">
        <v>0</v>
      </c>
      <c r="J2938">
        <v>0</v>
      </c>
      <c r="K2938" t="str">
        <f t="shared" si="733"/>
        <v>Y</v>
      </c>
      <c r="L2938">
        <v>0</v>
      </c>
      <c r="M2938" t="str">
        <f t="shared" ref="M2938:M2969" si="745">"NIS"</f>
        <v>NIS</v>
      </c>
      <c r="O2938">
        <v>2</v>
      </c>
      <c r="P2938" t="str">
        <f t="shared" si="741"/>
        <v>Active</v>
      </c>
      <c r="Q2938" t="str">
        <f>"Pneumatic Gripper for ER 9Pro"</f>
        <v>Pneumatic Gripper for ER 9Pro</v>
      </c>
      <c r="S2938" t="str">
        <f>"Pneumatic Gripper for ER9-Pro"</f>
        <v>Pneumatic Gripper for ER9-Pro</v>
      </c>
      <c r="T2938">
        <v>0</v>
      </c>
      <c r="U2938">
        <v>630</v>
      </c>
      <c r="V2938">
        <v>624.72</v>
      </c>
      <c r="W2938" t="str">
        <f t="shared" si="739"/>
        <v>rob</v>
      </c>
    </row>
    <row r="2939" spans="1:23">
      <c r="A2939" t="str">
        <f t="shared" si="742"/>
        <v>MTS-ER9P-BM-BT</v>
      </c>
      <c r="B2939" t="str">
        <f>"00-1710-0000"</f>
        <v>00-1710-0000</v>
      </c>
      <c r="C2939" t="str">
        <f>"Teach Pendant"</f>
        <v>Teach Pendant</v>
      </c>
      <c r="D2939">
        <v>1</v>
      </c>
      <c r="E2939" t="str">
        <f t="shared" si="743"/>
        <v>FMS - Scorbot ER9Pro Robot with BenchMill 6000 (4 tool ATC) &amp; BenchTurn 7000 CNC machines</v>
      </c>
      <c r="F2939">
        <v>502</v>
      </c>
      <c r="G2939" t="str">
        <f t="shared" si="732"/>
        <v>Y</v>
      </c>
      <c r="H2939" t="str">
        <f t="shared" si="744"/>
        <v>EA</v>
      </c>
      <c r="I2939">
        <v>0</v>
      </c>
      <c r="J2939">
        <v>0</v>
      </c>
      <c r="K2939" t="str">
        <f t="shared" si="733"/>
        <v>Y</v>
      </c>
      <c r="L2939">
        <v>0</v>
      </c>
      <c r="M2939" t="str">
        <f t="shared" si="745"/>
        <v>NIS</v>
      </c>
      <c r="O2939">
        <v>3</v>
      </c>
      <c r="P2939" t="str">
        <f t="shared" si="741"/>
        <v>Active</v>
      </c>
      <c r="Q2939" t="str">
        <f>"Teach Pendant for USB/USB Pro Controllers"</f>
        <v>Teach Pendant for USB/USB Pro Controllers</v>
      </c>
      <c r="S2939" t="str">
        <f>"Teach Pendant for USB/USB Pro Controllers"</f>
        <v>Teach Pendant for USB/USB Pro Controllers</v>
      </c>
      <c r="T2939">
        <v>0</v>
      </c>
      <c r="U2939">
        <v>160.18</v>
      </c>
      <c r="V2939">
        <v>161.44999999999999</v>
      </c>
      <c r="W2939" t="str">
        <f t="shared" si="739"/>
        <v>rob</v>
      </c>
    </row>
    <row r="2940" spans="1:23">
      <c r="A2940" t="str">
        <f t="shared" si="742"/>
        <v>MTS-ER9P-BM-BT</v>
      </c>
      <c r="B2940" t="str">
        <f>"00-1023-0000"</f>
        <v>00-1023-0000</v>
      </c>
      <c r="C2940" t="str">
        <f>"LSB 2.5m, Belt, FM"</f>
        <v>LSB 2.5m, Belt, FM</v>
      </c>
      <c r="D2940">
        <v>1</v>
      </c>
      <c r="E2940" t="str">
        <f t="shared" si="743"/>
        <v>FMS - Scorbot ER9Pro Robot with BenchMill 6000 (4 tool ATC) &amp; BenchTurn 7000 CNC machines</v>
      </c>
      <c r="F2940">
        <v>502</v>
      </c>
      <c r="G2940" t="str">
        <f t="shared" si="732"/>
        <v>Y</v>
      </c>
      <c r="H2940" t="str">
        <f t="shared" si="744"/>
        <v>EA</v>
      </c>
      <c r="I2940">
        <v>0</v>
      </c>
      <c r="J2940">
        <v>0</v>
      </c>
      <c r="K2940" t="str">
        <f t="shared" si="733"/>
        <v>Y</v>
      </c>
      <c r="L2940">
        <v>0</v>
      </c>
      <c r="M2940" t="str">
        <f t="shared" si="745"/>
        <v>NIS</v>
      </c>
      <c r="O2940">
        <v>4</v>
      </c>
      <c r="P2940" t="str">
        <f t="shared" si="741"/>
        <v>Active</v>
      </c>
      <c r="Q2940" t="str">
        <f>"LSB 2.5m, Belt, Floor Mounted incl. Stand"</f>
        <v>LSB 2.5m, Belt, Floor Mounted incl. Stand</v>
      </c>
      <c r="S2940" t="str">
        <f>"LSB 2.5m, Belt, Floor Mounted incl. Stand"</f>
        <v>LSB 2.5m, Belt, Floor Mounted incl. Stand</v>
      </c>
      <c r="T2940">
        <v>0</v>
      </c>
      <c r="U2940" s="44">
        <v>2515.9</v>
      </c>
      <c r="V2940" s="44">
        <v>3049.84</v>
      </c>
      <c r="W2940" t="str">
        <f t="shared" si="739"/>
        <v>rob</v>
      </c>
    </row>
    <row r="2941" spans="1:23">
      <c r="A2941" t="str">
        <f t="shared" si="742"/>
        <v>MTS-ER9P-BM-BT</v>
      </c>
      <c r="B2941" t="str">
        <f>"034025"</f>
        <v>034025</v>
      </c>
      <c r="C2941" t="str">
        <f>"I/O Interface Box for Controller USB-PRO"</f>
        <v>I/O Interface Box for Controller USB-PRO</v>
      </c>
      <c r="D2941">
        <v>1</v>
      </c>
      <c r="E2941" t="str">
        <f t="shared" si="743"/>
        <v>FMS - Scorbot ER9Pro Robot with BenchMill 6000 (4 tool ATC) &amp; BenchTurn 7000 CNC machines</v>
      </c>
      <c r="F2941">
        <v>502</v>
      </c>
      <c r="G2941" t="str">
        <f t="shared" si="732"/>
        <v>Y</v>
      </c>
      <c r="H2941" t="str">
        <f t="shared" si="744"/>
        <v>EA</v>
      </c>
      <c r="I2941">
        <v>0</v>
      </c>
      <c r="J2941">
        <v>0</v>
      </c>
      <c r="K2941" t="str">
        <f t="shared" si="733"/>
        <v>Y</v>
      </c>
      <c r="L2941">
        <v>0</v>
      </c>
      <c r="M2941" t="str">
        <f t="shared" si="745"/>
        <v>NIS</v>
      </c>
      <c r="O2941">
        <v>5</v>
      </c>
      <c r="P2941" t="str">
        <f t="shared" si="741"/>
        <v>Active</v>
      </c>
      <c r="Q2941" t="str">
        <f>"I/O Interface Box for Controller USB-PRO"</f>
        <v>I/O Interface Box for Controller USB-PRO</v>
      </c>
      <c r="S2941" t="str">
        <f>"קופסת 2+Interface Box I/O כבלים לבקר USBPRO"</f>
        <v>קופסת 2+Interface Box I/O כבלים לבקר USBPRO</v>
      </c>
      <c r="T2941">
        <v>0</v>
      </c>
      <c r="U2941">
        <v>470</v>
      </c>
      <c r="V2941">
        <v>463.62</v>
      </c>
      <c r="W2941" t="str">
        <f t="shared" si="739"/>
        <v>rob</v>
      </c>
    </row>
    <row r="2942" spans="1:23">
      <c r="A2942" t="str">
        <f t="shared" si="742"/>
        <v>MTS-ER9P-BM-BT</v>
      </c>
      <c r="B2942" t="str">
        <f>"021152"</f>
        <v>021152</v>
      </c>
      <c r="C2942" t="str">
        <f>"Shelf Buffer for CIM conveyor"</f>
        <v>Shelf Buffer for CIM conveyor</v>
      </c>
      <c r="D2942">
        <v>2</v>
      </c>
      <c r="E2942" t="str">
        <f t="shared" si="743"/>
        <v>FMS - Scorbot ER9Pro Robot with BenchMill 6000 (4 tool ATC) &amp; BenchTurn 7000 CNC machines</v>
      </c>
      <c r="F2942">
        <v>502</v>
      </c>
      <c r="G2942" t="str">
        <f t="shared" si="732"/>
        <v>Y</v>
      </c>
      <c r="H2942" t="str">
        <f t="shared" si="744"/>
        <v>EA</v>
      </c>
      <c r="I2942">
        <v>0</v>
      </c>
      <c r="J2942">
        <v>0</v>
      </c>
      <c r="K2942" t="str">
        <f t="shared" si="733"/>
        <v>Y</v>
      </c>
      <c r="L2942">
        <v>0</v>
      </c>
      <c r="M2942" t="str">
        <f t="shared" si="745"/>
        <v>NIS</v>
      </c>
      <c r="O2942">
        <v>6</v>
      </c>
      <c r="P2942" t="str">
        <f t="shared" si="741"/>
        <v>Active</v>
      </c>
      <c r="Q2942" t="str">
        <f>"מכלול- מדף בפר סטנדרטי OPEN-CIM"</f>
        <v>מכלול- מדף בפר סטנדרטי OPEN-CIM</v>
      </c>
      <c r="R2942" t="str">
        <f>"1"</f>
        <v>1</v>
      </c>
      <c r="S2942" t="str">
        <f>"מכלול- מדף בפר סטנדרטי OPEN-CIM"</f>
        <v>מכלול- מדף בפר סטנדרטי OPEN-CIM</v>
      </c>
      <c r="T2942">
        <v>0</v>
      </c>
      <c r="U2942">
        <v>83.12</v>
      </c>
      <c r="V2942">
        <v>92.76</v>
      </c>
      <c r="W2942" t="str">
        <f t="shared" si="739"/>
        <v>rob</v>
      </c>
    </row>
    <row r="2943" spans="1:23">
      <c r="A2943" t="str">
        <f t="shared" si="742"/>
        <v>MTS-ER9P-BM-BT</v>
      </c>
      <c r="B2943" t="str">
        <f>"10-2521-7000"</f>
        <v>10-2521-7000</v>
      </c>
      <c r="C2943" t="str">
        <f>"Pneumatic Feeder for Rectangular products"</f>
        <v>Pneumatic Feeder for Rectangular products</v>
      </c>
      <c r="D2943">
        <v>1</v>
      </c>
      <c r="E2943" t="str">
        <f t="shared" si="743"/>
        <v>FMS - Scorbot ER9Pro Robot with BenchMill 6000 (4 tool ATC) &amp; BenchTurn 7000 CNC machines</v>
      </c>
      <c r="F2943">
        <v>502</v>
      </c>
      <c r="G2943" t="str">
        <f t="shared" si="732"/>
        <v>Y</v>
      </c>
      <c r="H2943" t="str">
        <f t="shared" si="744"/>
        <v>EA</v>
      </c>
      <c r="I2943">
        <v>0</v>
      </c>
      <c r="J2943">
        <v>0</v>
      </c>
      <c r="K2943" t="str">
        <f t="shared" si="733"/>
        <v>Y</v>
      </c>
      <c r="L2943">
        <v>0</v>
      </c>
      <c r="M2943" t="str">
        <f t="shared" si="745"/>
        <v>NIS</v>
      </c>
      <c r="O2943">
        <v>7</v>
      </c>
      <c r="P2943" t="str">
        <f t="shared" si="741"/>
        <v>Active</v>
      </c>
      <c r="Q2943" t="str">
        <f>"Pneumatic Feeder for Rectangular Parts"</f>
        <v>Pneumatic Feeder for Rectangular Parts</v>
      </c>
      <c r="S2943" t="str">
        <f>"Pneumatic Feeder for Rectangular Parts"</f>
        <v>Pneumatic Feeder for Rectangular Parts</v>
      </c>
      <c r="T2943">
        <v>0</v>
      </c>
      <c r="U2943">
        <v>595</v>
      </c>
      <c r="V2943">
        <v>555.15</v>
      </c>
      <c r="W2943" t="str">
        <f t="shared" si="739"/>
        <v>rob</v>
      </c>
    </row>
    <row r="2944" spans="1:23">
      <c r="A2944" t="str">
        <f t="shared" si="742"/>
        <v>MTS-ER9P-BM-BT</v>
      </c>
      <c r="B2944" t="str">
        <f>"10-1007-4000"</f>
        <v>10-1007-4000</v>
      </c>
      <c r="C2944" t="str">
        <f>"Gravity Parts Feeder (with microswitch sensor)"</f>
        <v>Gravity Parts Feeder (with microswitch sensor)</v>
      </c>
      <c r="D2944">
        <v>1</v>
      </c>
      <c r="E2944" t="str">
        <f t="shared" si="743"/>
        <v>FMS - Scorbot ER9Pro Robot with BenchMill 6000 (4 tool ATC) &amp; BenchTurn 7000 CNC machines</v>
      </c>
      <c r="F2944">
        <v>502</v>
      </c>
      <c r="G2944" t="str">
        <f t="shared" si="732"/>
        <v>Y</v>
      </c>
      <c r="H2944" t="str">
        <f t="shared" si="744"/>
        <v>EA</v>
      </c>
      <c r="I2944">
        <v>0</v>
      </c>
      <c r="J2944">
        <v>0</v>
      </c>
      <c r="K2944" t="str">
        <f t="shared" si="733"/>
        <v>Y</v>
      </c>
      <c r="L2944">
        <v>0</v>
      </c>
      <c r="M2944" t="str">
        <f t="shared" si="745"/>
        <v>NIS</v>
      </c>
      <c r="O2944">
        <v>8</v>
      </c>
      <c r="P2944" t="str">
        <f t="shared" si="741"/>
        <v>Active</v>
      </c>
      <c r="Q2944" t="str">
        <f>"Gravity Parts Feeder (incl.microswitch sensor)"</f>
        <v>Gravity Parts Feeder (incl.microswitch sensor)</v>
      </c>
      <c r="S2944" t="str">
        <f>"Gravity Parts Feeder (incl.microswitch sensor)"</f>
        <v>Gravity Parts Feeder (incl.microswitch sensor)</v>
      </c>
      <c r="T2944">
        <v>0</v>
      </c>
      <c r="U2944">
        <v>148</v>
      </c>
      <c r="V2944">
        <v>148.26</v>
      </c>
      <c r="W2944" t="str">
        <f t="shared" si="739"/>
        <v>rob</v>
      </c>
    </row>
    <row r="2945" spans="1:23">
      <c r="A2945" t="str">
        <f t="shared" si="742"/>
        <v>MTS-ER9P-BM-BT</v>
      </c>
      <c r="B2945" t="str">
        <f>"00-1110-0000"</f>
        <v>00-1110-0000</v>
      </c>
      <c r="C2945" t="str">
        <f>"Palletizing Rack"</f>
        <v>Palletizing Rack</v>
      </c>
      <c r="D2945">
        <v>2</v>
      </c>
      <c r="E2945" t="str">
        <f t="shared" si="743"/>
        <v>FMS - Scorbot ER9Pro Robot with BenchMill 6000 (4 tool ATC) &amp; BenchTurn 7000 CNC machines</v>
      </c>
      <c r="F2945">
        <v>502</v>
      </c>
      <c r="G2945" t="str">
        <f t="shared" si="732"/>
        <v>Y</v>
      </c>
      <c r="H2945" t="str">
        <f t="shared" si="744"/>
        <v>EA</v>
      </c>
      <c r="I2945">
        <v>0</v>
      </c>
      <c r="J2945">
        <v>0</v>
      </c>
      <c r="K2945" t="str">
        <f t="shared" si="733"/>
        <v>Y</v>
      </c>
      <c r="L2945">
        <v>0</v>
      </c>
      <c r="M2945" t="str">
        <f t="shared" si="745"/>
        <v>NIS</v>
      </c>
      <c r="O2945">
        <v>9</v>
      </c>
      <c r="P2945" t="str">
        <f t="shared" si="741"/>
        <v>Active</v>
      </c>
      <c r="Q2945" t="str">
        <f>"Palletizing Rack (incl. Pins for creating Jigs)"</f>
        <v>Palletizing Rack (incl. Pins for creating Jigs)</v>
      </c>
      <c r="S2945" t="str">
        <f>"Palletizing Rack (incl. Pins for creating Jigs)"</f>
        <v>Palletizing Rack (incl. Pins for creating Jigs)</v>
      </c>
      <c r="T2945">
        <v>0</v>
      </c>
      <c r="U2945">
        <v>63</v>
      </c>
      <c r="V2945">
        <v>58.59</v>
      </c>
      <c r="W2945" t="str">
        <f t="shared" si="739"/>
        <v>rob</v>
      </c>
    </row>
    <row r="2946" spans="1:23">
      <c r="A2946" t="str">
        <f t="shared" si="742"/>
        <v>MTS-ER9P-BM-BT</v>
      </c>
      <c r="B2946" t="str">
        <f>"021182"</f>
        <v>021182</v>
      </c>
      <c r="C2946" t="str">
        <f>"97mm Height Adapter"</f>
        <v>97mm Height Adapter</v>
      </c>
      <c r="D2946">
        <v>2</v>
      </c>
      <c r="E2946" t="str">
        <f t="shared" si="743"/>
        <v>FMS - Scorbot ER9Pro Robot with BenchMill 6000 (4 tool ATC) &amp; BenchTurn 7000 CNC machines</v>
      </c>
      <c r="F2946">
        <v>502</v>
      </c>
      <c r="G2946" t="str">
        <f t="shared" ref="G2946:G3009" si="746">"Y"</f>
        <v>Y</v>
      </c>
      <c r="H2946" t="str">
        <f t="shared" si="744"/>
        <v>EA</v>
      </c>
      <c r="I2946">
        <v>0</v>
      </c>
      <c r="J2946">
        <v>0</v>
      </c>
      <c r="K2946" t="str">
        <f t="shared" ref="K2946:K3009" si="747">"Y"</f>
        <v>Y</v>
      </c>
      <c r="L2946">
        <v>0</v>
      </c>
      <c r="M2946" t="str">
        <f t="shared" si="745"/>
        <v>NIS</v>
      </c>
      <c r="O2946">
        <v>10</v>
      </c>
      <c r="P2946" t="str">
        <f t="shared" si="741"/>
        <v>Active</v>
      </c>
      <c r="Q2946" t="str">
        <f>"97mm Height Adapter -Rack 001110 on formica 28mm"</f>
        <v>97mm Height Adapter -Rack 001110 on formica 28mm</v>
      </c>
      <c r="S2946" t="str">
        <f>"97mm Height Adapter -Rack 001110 on formica 28mm"</f>
        <v>97mm Height Adapter -Rack 001110 on formica 28mm</v>
      </c>
      <c r="T2946">
        <v>0</v>
      </c>
      <c r="U2946">
        <v>7</v>
      </c>
      <c r="V2946">
        <v>5.5</v>
      </c>
      <c r="W2946" t="str">
        <f t="shared" si="739"/>
        <v>rob</v>
      </c>
    </row>
    <row r="2947" spans="1:23">
      <c r="A2947" t="str">
        <f t="shared" si="742"/>
        <v>MTS-ER9P-BM-BT</v>
      </c>
      <c r="B2947" t="str">
        <f>"10-2120-0000"</f>
        <v>10-2120-0000</v>
      </c>
      <c r="C2947" t="str">
        <f>"CNC Interface with BenchMILL 6000"</f>
        <v>CNC Interface with BenchMILL 6000</v>
      </c>
      <c r="D2947">
        <v>1</v>
      </c>
      <c r="E2947" t="str">
        <f t="shared" si="743"/>
        <v>FMS - Scorbot ER9Pro Robot with BenchMill 6000 (4 tool ATC) &amp; BenchTurn 7000 CNC machines</v>
      </c>
      <c r="F2947">
        <v>502</v>
      </c>
      <c r="G2947" t="str">
        <f t="shared" si="746"/>
        <v>Y</v>
      </c>
      <c r="H2947" t="str">
        <f t="shared" si="744"/>
        <v>EA</v>
      </c>
      <c r="I2947">
        <v>0</v>
      </c>
      <c r="J2947">
        <v>0</v>
      </c>
      <c r="K2947" t="str">
        <f t="shared" si="747"/>
        <v>Y</v>
      </c>
      <c r="L2947">
        <v>0</v>
      </c>
      <c r="M2947" t="str">
        <f t="shared" si="745"/>
        <v>NIS</v>
      </c>
      <c r="O2947">
        <v>11</v>
      </c>
      <c r="P2947" t="str">
        <f t="shared" si="741"/>
        <v>Active</v>
      </c>
      <c r="Q2947" t="str">
        <f>"CNC Interface with BenchMILL 6000"</f>
        <v>CNC Interface with BenchMILL 6000</v>
      </c>
      <c r="S2947" t="str">
        <f>"CNC Interface with BenchMILL 6000"</f>
        <v>CNC Interface with BenchMILL 6000</v>
      </c>
      <c r="T2947">
        <v>0</v>
      </c>
      <c r="U2947">
        <v>21</v>
      </c>
      <c r="V2947">
        <v>19.7</v>
      </c>
      <c r="W2947" t="str">
        <f t="shared" si="739"/>
        <v>rob</v>
      </c>
    </row>
    <row r="2948" spans="1:23">
      <c r="A2948" t="str">
        <f t="shared" si="742"/>
        <v>MTS-ER9P-BM-BT</v>
      </c>
      <c r="B2948" t="str">
        <f>"00-5505-0220"</f>
        <v>00-5505-0220</v>
      </c>
      <c r="C2948" t="str">
        <f>"CNC BenchMILL 6000, 220 VAC"</f>
        <v>CNC BenchMILL 6000, 220 VAC</v>
      </c>
      <c r="D2948">
        <v>1</v>
      </c>
      <c r="E2948" t="str">
        <f t="shared" si="743"/>
        <v>FMS - Scorbot ER9Pro Robot with BenchMill 6000 (4 tool ATC) &amp; BenchTurn 7000 CNC machines</v>
      </c>
      <c r="F2948">
        <v>502</v>
      </c>
      <c r="G2948" t="str">
        <f t="shared" si="746"/>
        <v>Y</v>
      </c>
      <c r="H2948" t="str">
        <f t="shared" si="744"/>
        <v>EA</v>
      </c>
      <c r="I2948">
        <v>0</v>
      </c>
      <c r="J2948">
        <v>0</v>
      </c>
      <c r="K2948" t="str">
        <f t="shared" si="747"/>
        <v>Y</v>
      </c>
      <c r="L2948">
        <v>0</v>
      </c>
      <c r="M2948" t="str">
        <f t="shared" si="745"/>
        <v>NIS</v>
      </c>
      <c r="O2948">
        <v>12</v>
      </c>
      <c r="P2948" t="str">
        <f t="shared" si="741"/>
        <v>Active</v>
      </c>
      <c r="Q2948" t="str">
        <f>"CNC BenchMill 6000 220V"</f>
        <v>CNC BenchMill 6000 220V</v>
      </c>
      <c r="S2948" t="str">
        <f>"CNC BenchMILL 6000, 220 VAC"</f>
        <v>CNC BenchMILL 6000, 220 VAC</v>
      </c>
      <c r="T2948">
        <v>0</v>
      </c>
      <c r="U2948" s="44">
        <v>4583</v>
      </c>
      <c r="V2948" s="44">
        <v>4458.34</v>
      </c>
      <c r="W2948" t="str">
        <f t="shared" si="739"/>
        <v>rob</v>
      </c>
    </row>
    <row r="2949" spans="1:23">
      <c r="A2949" t="str">
        <f t="shared" si="742"/>
        <v>MTS-ER9P-BM-BT</v>
      </c>
      <c r="B2949" t="str">
        <f>"63-6001-1000"</f>
        <v>63-6001-1000</v>
      </c>
      <c r="C2949" t="str">
        <f>"-CNCMotion Simulation Sftwr for BenchMill 6000"</f>
        <v>-CNCMotion Simulation Sftwr for BenchMill 6000</v>
      </c>
      <c r="D2949">
        <v>1</v>
      </c>
      <c r="E2949" t="str">
        <f t="shared" si="743"/>
        <v>FMS - Scorbot ER9Pro Robot with BenchMill 6000 (4 tool ATC) &amp; BenchTurn 7000 CNC machines</v>
      </c>
      <c r="F2949">
        <v>502</v>
      </c>
      <c r="G2949" t="str">
        <f t="shared" si="746"/>
        <v>Y</v>
      </c>
      <c r="H2949" t="str">
        <f t="shared" si="744"/>
        <v>EA</v>
      </c>
      <c r="I2949">
        <v>0</v>
      </c>
      <c r="J2949">
        <v>0</v>
      </c>
      <c r="K2949" t="str">
        <f t="shared" si="747"/>
        <v>Y</v>
      </c>
      <c r="L2949">
        <v>0</v>
      </c>
      <c r="M2949" t="str">
        <f t="shared" si="745"/>
        <v>NIS</v>
      </c>
      <c r="O2949">
        <v>13</v>
      </c>
      <c r="P2949" t="str">
        <f t="shared" si="741"/>
        <v>Active</v>
      </c>
      <c r="Q2949" t="str">
        <f>"CNCMotion Sim. Sftwr, BenchMill 6000"</f>
        <v>CNCMotion Sim. Sftwr, BenchMill 6000</v>
      </c>
      <c r="S2949" t="str">
        <f>"CNCMotion Sim. Sftwr, BenchMill 6000"</f>
        <v>CNCMotion Sim. Sftwr, BenchMill 6000</v>
      </c>
      <c r="T2949">
        <v>0</v>
      </c>
      <c r="U2949">
        <v>10</v>
      </c>
      <c r="V2949">
        <v>0</v>
      </c>
      <c r="W2949" t="str">
        <f t="shared" si="739"/>
        <v>rob</v>
      </c>
    </row>
    <row r="2950" spans="1:23">
      <c r="A2950" t="str">
        <f t="shared" si="742"/>
        <v>MTS-ER9P-BM-BT</v>
      </c>
      <c r="B2950" t="str">
        <f>"63-6723-0000"</f>
        <v>63-6723-0000</v>
      </c>
      <c r="C2950" t="str">
        <f>"SpectraCAD Engraver software – Download Only"</f>
        <v>SpectraCAD Engraver software – Download Only</v>
      </c>
      <c r="D2950">
        <v>1</v>
      </c>
      <c r="E2950" t="str">
        <f t="shared" si="743"/>
        <v>FMS - Scorbot ER9Pro Robot with BenchMill 6000 (4 tool ATC) &amp; BenchTurn 7000 CNC machines</v>
      </c>
      <c r="F2950">
        <v>502</v>
      </c>
      <c r="G2950" t="str">
        <f t="shared" si="746"/>
        <v>Y</v>
      </c>
      <c r="H2950" t="str">
        <f t="shared" si="744"/>
        <v>EA</v>
      </c>
      <c r="I2950">
        <v>0</v>
      </c>
      <c r="J2950">
        <v>0</v>
      </c>
      <c r="K2950" t="str">
        <f t="shared" si="747"/>
        <v>Y</v>
      </c>
      <c r="L2950">
        <v>0</v>
      </c>
      <c r="M2950" t="str">
        <f t="shared" si="745"/>
        <v>NIS</v>
      </c>
      <c r="O2950">
        <v>48</v>
      </c>
      <c r="P2950" t="str">
        <f t="shared" si="741"/>
        <v>Active</v>
      </c>
      <c r="Q2950" t="str">
        <f>"SpectraCAD Engraver software – Download Only"</f>
        <v>SpectraCAD Engraver software – Download Only</v>
      </c>
      <c r="S2950" t="str">
        <f>"SpectraCAD Engraver software – Download Only"</f>
        <v>SpectraCAD Engraver software – Download Only</v>
      </c>
      <c r="T2950">
        <v>0</v>
      </c>
      <c r="U2950">
        <v>10</v>
      </c>
      <c r="V2950">
        <v>10.4</v>
      </c>
      <c r="W2950" t="str">
        <f t="shared" si="739"/>
        <v>rob</v>
      </c>
    </row>
    <row r="2951" spans="1:23">
      <c r="A2951" t="str">
        <f t="shared" si="742"/>
        <v>MTS-ER9P-BM-BT</v>
      </c>
      <c r="B2951" t="str">
        <f>"63-6733-0000"</f>
        <v>63-6733-0000</v>
      </c>
      <c r="C2951" t="str">
        <f>"Software, SpectraCAM Milling"</f>
        <v>Software, SpectraCAM Milling</v>
      </c>
      <c r="D2951">
        <v>1</v>
      </c>
      <c r="E2951" t="str">
        <f t="shared" si="743"/>
        <v>FMS - Scorbot ER9Pro Robot with BenchMill 6000 (4 tool ATC) &amp; BenchTurn 7000 CNC machines</v>
      </c>
      <c r="F2951">
        <v>502</v>
      </c>
      <c r="G2951" t="str">
        <f t="shared" si="746"/>
        <v>Y</v>
      </c>
      <c r="H2951" t="str">
        <f t="shared" si="744"/>
        <v>EA</v>
      </c>
      <c r="I2951">
        <v>0</v>
      </c>
      <c r="J2951">
        <v>0</v>
      </c>
      <c r="K2951" t="str">
        <f t="shared" si="747"/>
        <v>Y</v>
      </c>
      <c r="L2951">
        <v>0</v>
      </c>
      <c r="M2951" t="str">
        <f t="shared" si="745"/>
        <v>NIS</v>
      </c>
      <c r="O2951">
        <v>49</v>
      </c>
      <c r="P2951" t="str">
        <f t="shared" si="741"/>
        <v>Active</v>
      </c>
      <c r="Q2951" t="str">
        <f>"Software, SpectraCAM Milling"</f>
        <v>Software, SpectraCAM Milling</v>
      </c>
      <c r="S2951" t="str">
        <f>"Software, SpectraCAM Milling"</f>
        <v>Software, SpectraCAM Milling</v>
      </c>
      <c r="T2951">
        <v>0</v>
      </c>
      <c r="U2951">
        <v>10</v>
      </c>
      <c r="V2951">
        <v>10.4</v>
      </c>
      <c r="W2951" t="str">
        <f t="shared" si="739"/>
        <v>rob</v>
      </c>
    </row>
    <row r="2952" spans="1:23">
      <c r="A2952" t="str">
        <f t="shared" si="742"/>
        <v>MTS-ER9P-BM-BT</v>
      </c>
      <c r="B2952" t="str">
        <f>"10-1110-7000"</f>
        <v>10-1110-7000</v>
      </c>
      <c r="C2952" t="str">
        <f>"--Dual Axis Vise (for FMS)"</f>
        <v>--Dual Axis Vise (for FMS)</v>
      </c>
      <c r="D2952">
        <v>1</v>
      </c>
      <c r="E2952" t="str">
        <f t="shared" si="743"/>
        <v>FMS - Scorbot ER9Pro Robot with BenchMill 6000 (4 tool ATC) &amp; BenchTurn 7000 CNC machines</v>
      </c>
      <c r="F2952">
        <v>502</v>
      </c>
      <c r="G2952" t="str">
        <f t="shared" si="746"/>
        <v>Y</v>
      </c>
      <c r="H2952" t="str">
        <f t="shared" si="744"/>
        <v>EA</v>
      </c>
      <c r="I2952">
        <v>0</v>
      </c>
      <c r="J2952">
        <v>0</v>
      </c>
      <c r="K2952" t="str">
        <f t="shared" si="747"/>
        <v>Y</v>
      </c>
      <c r="L2952">
        <v>0</v>
      </c>
      <c r="M2952" t="str">
        <f t="shared" si="745"/>
        <v>NIS</v>
      </c>
      <c r="O2952">
        <v>14</v>
      </c>
      <c r="P2952" t="str">
        <f t="shared" si="741"/>
        <v>Active</v>
      </c>
      <c r="Q2952" t="str">
        <f>"Dual Axis Vise (BenchMill 6000/ ProMill 8000)"</f>
        <v>Dual Axis Vise (BenchMill 6000/ ProMill 8000)</v>
      </c>
      <c r="S2952" t="str">
        <f>"Dual Axis Vise (BenchMill 6000/ ProMill 8000)"</f>
        <v>Dual Axis Vise (BenchMill 6000/ ProMill 8000)</v>
      </c>
      <c r="T2952">
        <v>0</v>
      </c>
      <c r="U2952">
        <v>239</v>
      </c>
      <c r="V2952">
        <v>219.6</v>
      </c>
      <c r="W2952" t="str">
        <f t="shared" si="739"/>
        <v>rob</v>
      </c>
    </row>
    <row r="2953" spans="1:23">
      <c r="A2953" t="str">
        <f t="shared" si="742"/>
        <v>MTS-ER9P-BM-BT</v>
      </c>
      <c r="B2953" t="str">
        <f>"10-1115-2000"</f>
        <v>10-1115-2000</v>
      </c>
      <c r="C2953" t="str">
        <f>"- Table mounted ATC package"</f>
        <v>- Table mounted ATC package</v>
      </c>
      <c r="D2953">
        <v>1</v>
      </c>
      <c r="E2953" t="str">
        <f t="shared" si="743"/>
        <v>FMS - Scorbot ER9Pro Robot with BenchMill 6000 (4 tool ATC) &amp; BenchTurn 7000 CNC machines</v>
      </c>
      <c r="F2953">
        <v>502</v>
      </c>
      <c r="G2953" t="str">
        <f t="shared" si="746"/>
        <v>Y</v>
      </c>
      <c r="H2953" t="str">
        <f t="shared" si="744"/>
        <v>EA</v>
      </c>
      <c r="I2953">
        <v>0</v>
      </c>
      <c r="J2953">
        <v>0</v>
      </c>
      <c r="K2953" t="str">
        <f t="shared" si="747"/>
        <v>Y</v>
      </c>
      <c r="L2953">
        <v>0</v>
      </c>
      <c r="M2953" t="str">
        <f t="shared" si="745"/>
        <v>NIS</v>
      </c>
      <c r="O2953">
        <v>15</v>
      </c>
      <c r="P2953" t="str">
        <f t="shared" si="741"/>
        <v>Active</v>
      </c>
      <c r="Q2953" t="str">
        <f>"Table mounted ATC package"</f>
        <v>Table mounted ATC package</v>
      </c>
      <c r="S2953" t="str">
        <f>"Table mounted ATC package"</f>
        <v>Table mounted ATC package</v>
      </c>
      <c r="T2953">
        <v>0</v>
      </c>
      <c r="U2953">
        <v>690</v>
      </c>
      <c r="V2953">
        <v>690.59</v>
      </c>
      <c r="W2953" t="str">
        <f t="shared" si="739"/>
        <v>rob</v>
      </c>
    </row>
    <row r="2954" spans="1:23">
      <c r="A2954" t="str">
        <f t="shared" si="742"/>
        <v>MTS-ER9P-BM-BT</v>
      </c>
      <c r="B2954" t="str">
        <f>"10-1115-0000"</f>
        <v>10-1115-0000</v>
      </c>
      <c r="C2954" t="str">
        <f>"ER16 Collet set - 2 x (3,6,8,10mm)"</f>
        <v>ER16 Collet set - 2 x (3,6,8,10mm)</v>
      </c>
      <c r="D2954">
        <v>1</v>
      </c>
      <c r="E2954" t="str">
        <f t="shared" si="743"/>
        <v>FMS - Scorbot ER9Pro Robot with BenchMill 6000 (4 tool ATC) &amp; BenchTurn 7000 CNC machines</v>
      </c>
      <c r="F2954">
        <v>502</v>
      </c>
      <c r="G2954" t="str">
        <f t="shared" si="746"/>
        <v>Y</v>
      </c>
      <c r="H2954" t="str">
        <f t="shared" si="744"/>
        <v>EA</v>
      </c>
      <c r="I2954">
        <v>0</v>
      </c>
      <c r="J2954">
        <v>0</v>
      </c>
      <c r="K2954" t="str">
        <f t="shared" si="747"/>
        <v>Y</v>
      </c>
      <c r="L2954">
        <v>0</v>
      </c>
      <c r="M2954" t="str">
        <f t="shared" si="745"/>
        <v>NIS</v>
      </c>
      <c r="O2954">
        <v>16</v>
      </c>
      <c r="P2954" t="str">
        <f t="shared" si="741"/>
        <v>Active</v>
      </c>
      <c r="Q2954" t="str">
        <f>"ER16 Collet set-8 pieces(2)3,(2)6,(2)8,(2)10mm"</f>
        <v>ER16 Collet set-8 pieces(2)3,(2)6,(2)8,(2)10mm</v>
      </c>
      <c r="S2954" t="str">
        <f>"ER16 Collet set-8 pieces(2)3,(2)6,(2)8,(2)10mm"</f>
        <v>ER16 Collet set-8 pieces(2)3,(2)6,(2)8,(2)10mm</v>
      </c>
      <c r="T2954">
        <v>0</v>
      </c>
      <c r="U2954">
        <v>71</v>
      </c>
      <c r="V2954">
        <v>70.63</v>
      </c>
      <c r="W2954" t="str">
        <f t="shared" si="739"/>
        <v>rob</v>
      </c>
    </row>
    <row r="2955" spans="1:23">
      <c r="A2955" t="str">
        <f t="shared" si="742"/>
        <v>MTS-ER9P-BM-BT</v>
      </c>
      <c r="B2955" t="str">
        <f>"10-1113-4000"</f>
        <v>10-1113-4000</v>
      </c>
      <c r="C2955" t="str">
        <f>"Metric End Mill Package(2X 3,6,8,10End,4,6 Ball)"</f>
        <v>Metric End Mill Package(2X 3,6,8,10End,4,6 Ball)</v>
      </c>
      <c r="D2955">
        <v>1</v>
      </c>
      <c r="E2955" t="str">
        <f t="shared" si="743"/>
        <v>FMS - Scorbot ER9Pro Robot with BenchMill 6000 (4 tool ATC) &amp; BenchTurn 7000 CNC machines</v>
      </c>
      <c r="F2955">
        <v>502</v>
      </c>
      <c r="G2955" t="str">
        <f t="shared" si="746"/>
        <v>Y</v>
      </c>
      <c r="H2955" t="str">
        <f t="shared" si="744"/>
        <v>EA</v>
      </c>
      <c r="I2955">
        <v>0</v>
      </c>
      <c r="J2955">
        <v>0</v>
      </c>
      <c r="K2955" t="str">
        <f t="shared" si="747"/>
        <v>Y</v>
      </c>
      <c r="L2955">
        <v>0</v>
      </c>
      <c r="M2955" t="str">
        <f t="shared" si="745"/>
        <v>NIS</v>
      </c>
      <c r="O2955">
        <v>17</v>
      </c>
      <c r="P2955" t="str">
        <f t="shared" si="741"/>
        <v>Active</v>
      </c>
      <c r="Q2955" t="str">
        <f>"Metric Advanced End Mill Package 5121"</f>
        <v>Metric Advanced End Mill Package 5121</v>
      </c>
      <c r="S2955" t="str">
        <f>"Metric Advanced End Mill Package 5121"</f>
        <v>Metric Advanced End Mill Package 5121</v>
      </c>
      <c r="T2955">
        <v>0</v>
      </c>
      <c r="U2955">
        <v>55</v>
      </c>
      <c r="V2955">
        <v>50.17</v>
      </c>
      <c r="W2955" t="str">
        <f t="shared" si="739"/>
        <v>rob</v>
      </c>
    </row>
    <row r="2956" spans="1:23">
      <c r="A2956" t="str">
        <f t="shared" si="742"/>
        <v>MTS-ER9P-BM-BT</v>
      </c>
      <c r="B2956" t="str">
        <f>"10-1111-1000"</f>
        <v>10-1111-1000</v>
      </c>
      <c r="C2956" t="str">
        <f>"- Handwheel - Manual Control"</f>
        <v>- Handwheel - Manual Control</v>
      </c>
      <c r="D2956">
        <v>1</v>
      </c>
      <c r="E2956" t="str">
        <f t="shared" si="743"/>
        <v>FMS - Scorbot ER9Pro Robot with BenchMill 6000 (4 tool ATC) &amp; BenchTurn 7000 CNC machines</v>
      </c>
      <c r="F2956">
        <v>502</v>
      </c>
      <c r="G2956" t="str">
        <f t="shared" si="746"/>
        <v>Y</v>
      </c>
      <c r="H2956" t="str">
        <f t="shared" si="744"/>
        <v>EA</v>
      </c>
      <c r="I2956">
        <v>0</v>
      </c>
      <c r="J2956">
        <v>0</v>
      </c>
      <c r="K2956" t="str">
        <f t="shared" si="747"/>
        <v>Y</v>
      </c>
      <c r="L2956">
        <v>0</v>
      </c>
      <c r="M2956" t="str">
        <f t="shared" si="745"/>
        <v>NIS</v>
      </c>
      <c r="O2956">
        <v>18</v>
      </c>
      <c r="P2956" t="str">
        <f t="shared" si="741"/>
        <v>Active</v>
      </c>
      <c r="Q2956" t="str">
        <f>"Hand wheel"</f>
        <v>Hand wheel</v>
      </c>
      <c r="S2956" t="str">
        <f>"Jog Pendant Handwheel"</f>
        <v>Jog Pendant Handwheel</v>
      </c>
      <c r="T2956">
        <v>0</v>
      </c>
      <c r="U2956">
        <v>235</v>
      </c>
      <c r="V2956">
        <v>235.03</v>
      </c>
      <c r="W2956" t="str">
        <f t="shared" si="739"/>
        <v>rob</v>
      </c>
    </row>
    <row r="2957" spans="1:23">
      <c r="A2957" t="str">
        <f t="shared" si="742"/>
        <v>MTS-ER9P-BM-BT</v>
      </c>
      <c r="B2957" t="str">
        <f>"10-1111-6000"</f>
        <v>10-1111-6000</v>
      </c>
      <c r="C2957" t="str">
        <f>"4"" Vise"</f>
        <v>4" Vise</v>
      </c>
      <c r="D2957">
        <v>1</v>
      </c>
      <c r="E2957" t="str">
        <f t="shared" si="743"/>
        <v>FMS - Scorbot ER9Pro Robot with BenchMill 6000 (4 tool ATC) &amp; BenchTurn 7000 CNC machines</v>
      </c>
      <c r="F2957">
        <v>502</v>
      </c>
      <c r="G2957" t="str">
        <f t="shared" si="746"/>
        <v>Y</v>
      </c>
      <c r="H2957" t="str">
        <f t="shared" si="744"/>
        <v>EA</v>
      </c>
      <c r="I2957">
        <v>0</v>
      </c>
      <c r="J2957">
        <v>0</v>
      </c>
      <c r="K2957" t="str">
        <f t="shared" si="747"/>
        <v>Y</v>
      </c>
      <c r="L2957">
        <v>0</v>
      </c>
      <c r="M2957" t="str">
        <f t="shared" si="745"/>
        <v>NIS</v>
      </c>
      <c r="N2957" t="str">
        <f t="shared" ref="N2957:N2963" si="748">"Y"</f>
        <v>Y</v>
      </c>
      <c r="O2957">
        <v>19</v>
      </c>
      <c r="P2957" t="str">
        <f t="shared" si="741"/>
        <v>Active</v>
      </c>
      <c r="Q2957" t="str">
        <f>"4"" Precision Maching Vise"</f>
        <v>4" Precision Maching Vise</v>
      </c>
      <c r="S2957" t="str">
        <f>"4"" Precision Maching Vise"</f>
        <v>4" Precision Maching Vise</v>
      </c>
      <c r="T2957">
        <v>0</v>
      </c>
      <c r="U2957">
        <v>53</v>
      </c>
      <c r="V2957">
        <v>49.5</v>
      </c>
      <c r="W2957" t="str">
        <f t="shared" si="739"/>
        <v>rob</v>
      </c>
    </row>
    <row r="2958" spans="1:23">
      <c r="A2958" t="str">
        <f t="shared" si="742"/>
        <v>MTS-ER9P-BM-BT</v>
      </c>
      <c r="B2958" t="str">
        <f>"10-1111-5000"</f>
        <v>10-1111-5000</v>
      </c>
      <c r="C2958" t="str">
        <f>"clamping kit 58 pcs set"</f>
        <v>clamping kit 58 pcs set</v>
      </c>
      <c r="D2958">
        <v>1</v>
      </c>
      <c r="E2958" t="str">
        <f t="shared" si="743"/>
        <v>FMS - Scorbot ER9Pro Robot with BenchMill 6000 (4 tool ATC) &amp; BenchTurn 7000 CNC machines</v>
      </c>
      <c r="F2958">
        <v>502</v>
      </c>
      <c r="G2958" t="str">
        <f t="shared" si="746"/>
        <v>Y</v>
      </c>
      <c r="H2958" t="str">
        <f t="shared" si="744"/>
        <v>EA</v>
      </c>
      <c r="I2958">
        <v>0</v>
      </c>
      <c r="J2958">
        <v>0</v>
      </c>
      <c r="K2958" t="str">
        <f t="shared" si="747"/>
        <v>Y</v>
      </c>
      <c r="L2958">
        <v>0</v>
      </c>
      <c r="M2958" t="str">
        <f t="shared" si="745"/>
        <v>NIS</v>
      </c>
      <c r="N2958" t="str">
        <f t="shared" si="748"/>
        <v>Y</v>
      </c>
      <c r="O2958">
        <v>20</v>
      </c>
      <c r="P2958" t="str">
        <f t="shared" si="741"/>
        <v>Active</v>
      </c>
      <c r="Q2958" t="str">
        <f>"clamping kit 58 pcs set"</f>
        <v>clamping kit 58 pcs set</v>
      </c>
      <c r="S2958" t="str">
        <f>"clamping kit 58 pcs set"</f>
        <v>clamping kit 58 pcs set</v>
      </c>
      <c r="T2958">
        <v>0</v>
      </c>
      <c r="U2958">
        <v>52</v>
      </c>
      <c r="V2958">
        <v>51.72</v>
      </c>
      <c r="W2958" t="str">
        <f t="shared" si="739"/>
        <v>rob</v>
      </c>
    </row>
    <row r="2959" spans="1:23">
      <c r="A2959" t="str">
        <f t="shared" si="742"/>
        <v>MTS-ER9P-BM-BT</v>
      </c>
      <c r="B2959" t="str">
        <f>"10-1108-8000"</f>
        <v>10-1108-8000</v>
      </c>
      <c r="C2959" t="str">
        <f>"- 4th Axis rotary worktable with tailstock"</f>
        <v>- 4th Axis rotary worktable with tailstock</v>
      </c>
      <c r="D2959">
        <v>1</v>
      </c>
      <c r="E2959" t="str">
        <f t="shared" si="743"/>
        <v>FMS - Scorbot ER9Pro Robot with BenchMill 6000 (4 tool ATC) &amp; BenchTurn 7000 CNC machines</v>
      </c>
      <c r="F2959">
        <v>502</v>
      </c>
      <c r="G2959" t="str">
        <f t="shared" si="746"/>
        <v>Y</v>
      </c>
      <c r="H2959" t="str">
        <f t="shared" si="744"/>
        <v>EA</v>
      </c>
      <c r="I2959">
        <v>0</v>
      </c>
      <c r="J2959">
        <v>0</v>
      </c>
      <c r="K2959" t="str">
        <f t="shared" si="747"/>
        <v>Y</v>
      </c>
      <c r="L2959">
        <v>0</v>
      </c>
      <c r="M2959" t="str">
        <f t="shared" si="745"/>
        <v>NIS</v>
      </c>
      <c r="N2959" t="str">
        <f t="shared" si="748"/>
        <v>Y</v>
      </c>
      <c r="O2959">
        <v>21</v>
      </c>
      <c r="P2959" t="str">
        <f t="shared" si="741"/>
        <v>Active</v>
      </c>
      <c r="Q2959" t="str">
        <f>"100mm rotary worktable (4th axis) with tailstock"</f>
        <v>100mm rotary worktable (4th axis) with tailstock</v>
      </c>
      <c r="S2959" t="str">
        <f>"100mm rotary worktable (4th axis) with tailstock"</f>
        <v>100mm rotary worktable (4th axis) with tailstock</v>
      </c>
      <c r="T2959">
        <v>0</v>
      </c>
      <c r="U2959">
        <v>614.64</v>
      </c>
      <c r="V2959">
        <v>594.83000000000004</v>
      </c>
      <c r="W2959" t="str">
        <f t="shared" si="739"/>
        <v>rob</v>
      </c>
    </row>
    <row r="2960" spans="1:23">
      <c r="A2960" t="str">
        <f t="shared" si="742"/>
        <v>MTS-ER9P-BM-BT</v>
      </c>
      <c r="B2960" t="str">
        <f>"10-1109-3000"</f>
        <v>10-1109-3000</v>
      </c>
      <c r="C2960" t="str">
        <f>"- 80mm 3-jaw chuck"</f>
        <v>- 80mm 3-jaw chuck</v>
      </c>
      <c r="D2960">
        <v>1</v>
      </c>
      <c r="E2960" t="str">
        <f t="shared" si="743"/>
        <v>FMS - Scorbot ER9Pro Robot with BenchMill 6000 (4 tool ATC) &amp; BenchTurn 7000 CNC machines</v>
      </c>
      <c r="F2960">
        <v>502</v>
      </c>
      <c r="G2960" t="str">
        <f t="shared" si="746"/>
        <v>Y</v>
      </c>
      <c r="H2960" t="str">
        <f t="shared" si="744"/>
        <v>EA</v>
      </c>
      <c r="I2960">
        <v>0</v>
      </c>
      <c r="J2960">
        <v>0</v>
      </c>
      <c r="K2960" t="str">
        <f t="shared" si="747"/>
        <v>Y</v>
      </c>
      <c r="L2960">
        <v>0</v>
      </c>
      <c r="M2960" t="str">
        <f t="shared" si="745"/>
        <v>NIS</v>
      </c>
      <c r="N2960" t="str">
        <f t="shared" si="748"/>
        <v>Y</v>
      </c>
      <c r="O2960">
        <v>22</v>
      </c>
      <c r="P2960" t="str">
        <f t="shared" si="741"/>
        <v>Active</v>
      </c>
      <c r="Q2960" t="str">
        <f>"80mm 3-jaw chuck"</f>
        <v>80mm 3-jaw chuck</v>
      </c>
      <c r="S2960" t="str">
        <f>"80mm 3-jaw chuck"</f>
        <v>80mm 3-jaw chuck</v>
      </c>
      <c r="T2960">
        <v>0</v>
      </c>
      <c r="U2960">
        <v>53</v>
      </c>
      <c r="V2960">
        <v>52.35</v>
      </c>
      <c r="W2960" t="str">
        <f t="shared" si="739"/>
        <v>rob</v>
      </c>
    </row>
    <row r="2961" spans="1:23">
      <c r="A2961" t="str">
        <f t="shared" si="742"/>
        <v>MTS-ER9P-BM-BT</v>
      </c>
      <c r="B2961" t="str">
        <f>"10-1112-2000"</f>
        <v>10-1112-2000</v>
      </c>
      <c r="C2961" t="str">
        <f>"ER16 Collet set-8 pieces(3,4,5,6,7,8,9 and 10mm)"</f>
        <v>ER16 Collet set-8 pieces(3,4,5,6,7,8,9 and 10mm)</v>
      </c>
      <c r="D2961">
        <v>1</v>
      </c>
      <c r="E2961" t="str">
        <f t="shared" si="743"/>
        <v>FMS - Scorbot ER9Pro Robot with BenchMill 6000 (4 tool ATC) &amp; BenchTurn 7000 CNC machines</v>
      </c>
      <c r="F2961">
        <v>502</v>
      </c>
      <c r="G2961" t="str">
        <f t="shared" si="746"/>
        <v>Y</v>
      </c>
      <c r="H2961" t="str">
        <f t="shared" si="744"/>
        <v>EA</v>
      </c>
      <c r="I2961">
        <v>0</v>
      </c>
      <c r="J2961">
        <v>0</v>
      </c>
      <c r="K2961" t="str">
        <f t="shared" si="747"/>
        <v>Y</v>
      </c>
      <c r="L2961">
        <v>0</v>
      </c>
      <c r="M2961" t="str">
        <f t="shared" si="745"/>
        <v>NIS</v>
      </c>
      <c r="N2961" t="str">
        <f t="shared" si="748"/>
        <v>Y</v>
      </c>
      <c r="O2961">
        <v>23</v>
      </c>
      <c r="P2961" t="str">
        <f t="shared" si="741"/>
        <v>Active</v>
      </c>
      <c r="Q2961" t="str">
        <f>"ER16 Collet set-8 pieces(3,4,5,6,7,8,9 and 10mm)"</f>
        <v>ER16 Collet set-8 pieces(3,4,5,6,7,8,9 and 10mm)</v>
      </c>
      <c r="S2961" t="str">
        <f>"ER16 Collet set-8 pieces(3,4,5,6,7,8,9 and 10mm)"</f>
        <v>ER16 Collet set-8 pieces(3,4,5,6,7,8,9 and 10mm)</v>
      </c>
      <c r="T2961">
        <v>0</v>
      </c>
      <c r="U2961">
        <v>71</v>
      </c>
      <c r="V2961">
        <v>64.84</v>
      </c>
      <c r="W2961" t="str">
        <f t="shared" si="739"/>
        <v>rob</v>
      </c>
    </row>
    <row r="2962" spans="1:23">
      <c r="A2962" t="str">
        <f t="shared" si="742"/>
        <v>MTS-ER9P-BM-BT</v>
      </c>
      <c r="B2962" t="str">
        <f>"10-1108-1220"</f>
        <v>10-1108-1220</v>
      </c>
      <c r="C2962" t="str">
        <f>"- Coolant system 27L -220V"</f>
        <v>- Coolant system 27L -220V</v>
      </c>
      <c r="D2962">
        <v>1</v>
      </c>
      <c r="E2962" t="str">
        <f t="shared" si="743"/>
        <v>FMS - Scorbot ER9Pro Robot with BenchMill 6000 (4 tool ATC) &amp; BenchTurn 7000 CNC machines</v>
      </c>
      <c r="F2962">
        <v>502</v>
      </c>
      <c r="G2962" t="str">
        <f t="shared" si="746"/>
        <v>Y</v>
      </c>
      <c r="H2962" t="str">
        <f t="shared" si="744"/>
        <v>EA</v>
      </c>
      <c r="I2962">
        <v>0</v>
      </c>
      <c r="J2962">
        <v>0</v>
      </c>
      <c r="K2962" t="str">
        <f t="shared" si="747"/>
        <v>Y</v>
      </c>
      <c r="L2962">
        <v>0</v>
      </c>
      <c r="M2962" t="str">
        <f t="shared" si="745"/>
        <v>NIS</v>
      </c>
      <c r="N2962" t="str">
        <f t="shared" si="748"/>
        <v>Y</v>
      </c>
      <c r="O2962">
        <v>24</v>
      </c>
      <c r="P2962" t="str">
        <f t="shared" si="741"/>
        <v>Active</v>
      </c>
      <c r="Q2962" t="str">
        <f>"Coolant system 27L"</f>
        <v>Coolant system 27L</v>
      </c>
      <c r="S2962" t="str">
        <f>"Coolant system 27L - 220V"</f>
        <v>Coolant system 27L - 220V</v>
      </c>
      <c r="T2962">
        <v>0</v>
      </c>
      <c r="U2962">
        <v>117.08</v>
      </c>
      <c r="V2962">
        <v>117.15</v>
      </c>
      <c r="W2962" t="str">
        <f t="shared" si="739"/>
        <v>rob</v>
      </c>
    </row>
    <row r="2963" spans="1:23">
      <c r="A2963" t="str">
        <f t="shared" si="742"/>
        <v>MTS-ER9P-BM-BT</v>
      </c>
      <c r="B2963" t="str">
        <f>"10-1111-9000"</f>
        <v>10-1111-9000</v>
      </c>
      <c r="C2963" t="str">
        <f>"ISO 20 tool holder"</f>
        <v>ISO 20 tool holder</v>
      </c>
      <c r="D2963">
        <v>4</v>
      </c>
      <c r="E2963" t="str">
        <f t="shared" si="743"/>
        <v>FMS - Scorbot ER9Pro Robot with BenchMill 6000 (4 tool ATC) &amp; BenchTurn 7000 CNC machines</v>
      </c>
      <c r="F2963">
        <v>502</v>
      </c>
      <c r="G2963" t="str">
        <f t="shared" si="746"/>
        <v>Y</v>
      </c>
      <c r="H2963" t="str">
        <f t="shared" si="744"/>
        <v>EA</v>
      </c>
      <c r="I2963">
        <v>0</v>
      </c>
      <c r="J2963">
        <v>0</v>
      </c>
      <c r="K2963" t="str">
        <f t="shared" si="747"/>
        <v>Y</v>
      </c>
      <c r="L2963">
        <v>0</v>
      </c>
      <c r="M2963" t="str">
        <f t="shared" si="745"/>
        <v>NIS</v>
      </c>
      <c r="N2963" t="str">
        <f t="shared" si="748"/>
        <v>Y</v>
      </c>
      <c r="O2963">
        <v>25</v>
      </c>
      <c r="P2963" t="str">
        <f t="shared" si="741"/>
        <v>Active</v>
      </c>
      <c r="Q2963" t="str">
        <f>"ISO 20 tool holder with nut"</f>
        <v>ISO 20 tool holder with nut</v>
      </c>
      <c r="S2963" t="str">
        <f>"ISO 20 tool holder with nut"</f>
        <v>ISO 20 tool holder with nut</v>
      </c>
      <c r="T2963">
        <v>0</v>
      </c>
      <c r="U2963">
        <v>103</v>
      </c>
      <c r="V2963">
        <v>103.19</v>
      </c>
      <c r="W2963" t="str">
        <f t="shared" si="739"/>
        <v>rob</v>
      </c>
    </row>
    <row r="2964" spans="1:23">
      <c r="A2964" t="str">
        <f t="shared" si="742"/>
        <v>MTS-ER9P-BM-BT</v>
      </c>
      <c r="B2964" t="str">
        <f>"10-1113-6000"</f>
        <v>10-1113-6000</v>
      </c>
      <c r="C2964" t="str">
        <f>"- Metric Engraving Package (1,1.5,2 mm End mill)"</f>
        <v>- Metric Engraving Package (1,1.5,2 mm End mill)</v>
      </c>
      <c r="D2964">
        <v>1</v>
      </c>
      <c r="E2964" t="str">
        <f t="shared" si="743"/>
        <v>FMS - Scorbot ER9Pro Robot with BenchMill 6000 (4 tool ATC) &amp; BenchTurn 7000 CNC machines</v>
      </c>
      <c r="F2964">
        <v>502</v>
      </c>
      <c r="G2964" t="str">
        <f t="shared" si="746"/>
        <v>Y</v>
      </c>
      <c r="H2964" t="str">
        <f t="shared" si="744"/>
        <v>EA</v>
      </c>
      <c r="I2964">
        <v>0</v>
      </c>
      <c r="J2964">
        <v>0</v>
      </c>
      <c r="K2964" t="str">
        <f t="shared" si="747"/>
        <v>Y</v>
      </c>
      <c r="L2964">
        <v>0</v>
      </c>
      <c r="M2964" t="str">
        <f t="shared" si="745"/>
        <v>NIS</v>
      </c>
      <c r="O2964">
        <v>26</v>
      </c>
      <c r="P2964" t="str">
        <f t="shared" si="741"/>
        <v>Active</v>
      </c>
      <c r="Q2964" t="str">
        <f>"Metric Engraving Package 5711"</f>
        <v>Metric Engraving Package 5711</v>
      </c>
      <c r="S2964" t="str">
        <f>"Metric Engraving Package 5711"</f>
        <v>Metric Engraving Package 5711</v>
      </c>
      <c r="T2964">
        <v>0</v>
      </c>
      <c r="U2964">
        <v>41</v>
      </c>
      <c r="V2964">
        <v>37.909999999999997</v>
      </c>
      <c r="W2964" t="str">
        <f t="shared" si="739"/>
        <v>rob</v>
      </c>
    </row>
    <row r="2965" spans="1:23">
      <c r="A2965" t="str">
        <f t="shared" si="742"/>
        <v>MTS-ER9P-BM-BT</v>
      </c>
      <c r="B2965" t="str">
        <f>"10-1111-3000"</f>
        <v>10-1111-3000</v>
      </c>
      <c r="C2965" t="str">
        <f>"- Fanuc Emulator Panel with software"</f>
        <v>- Fanuc Emulator Panel with software</v>
      </c>
      <c r="D2965">
        <v>1</v>
      </c>
      <c r="E2965" t="str">
        <f t="shared" si="743"/>
        <v>FMS - Scorbot ER9Pro Robot with BenchMill 6000 (4 tool ATC) &amp; BenchTurn 7000 CNC machines</v>
      </c>
      <c r="F2965">
        <v>502</v>
      </c>
      <c r="G2965" t="str">
        <f t="shared" si="746"/>
        <v>Y</v>
      </c>
      <c r="H2965" t="str">
        <f t="shared" si="744"/>
        <v>EA</v>
      </c>
      <c r="I2965">
        <v>0</v>
      </c>
      <c r="J2965">
        <v>0</v>
      </c>
      <c r="K2965" t="str">
        <f t="shared" si="747"/>
        <v>Y</v>
      </c>
      <c r="L2965">
        <v>0</v>
      </c>
      <c r="M2965" t="str">
        <f t="shared" si="745"/>
        <v>NIS</v>
      </c>
      <c r="N2965" t="str">
        <f>"Y"</f>
        <v>Y</v>
      </c>
      <c r="O2965">
        <v>27</v>
      </c>
      <c r="P2965" t="str">
        <f>"Phase Out"</f>
        <v>Phase Out</v>
      </c>
      <c r="Q2965" t="str">
        <f>"Fanuc simulator with software"</f>
        <v>Fanuc simulator with software</v>
      </c>
      <c r="S2965" t="str">
        <f>"Fanuc simulator with software"</f>
        <v>Fanuc simulator with software</v>
      </c>
      <c r="T2965">
        <v>0</v>
      </c>
      <c r="U2965">
        <v>664</v>
      </c>
      <c r="V2965">
        <v>597.4</v>
      </c>
      <c r="W2965" t="str">
        <f t="shared" si="739"/>
        <v>rob</v>
      </c>
    </row>
    <row r="2966" spans="1:23">
      <c r="A2966" t="str">
        <f t="shared" si="742"/>
        <v>MTS-ER9P-BM-BT</v>
      </c>
      <c r="B2966" t="str">
        <f>"10-1108-9000"</f>
        <v>10-1108-9000</v>
      </c>
      <c r="C2966" t="str">
        <f>"- Fanuc panel / Computer stand"</f>
        <v>- Fanuc panel / Computer stand</v>
      </c>
      <c r="D2966">
        <v>1</v>
      </c>
      <c r="E2966" t="str">
        <f t="shared" si="743"/>
        <v>FMS - Scorbot ER9Pro Robot with BenchMill 6000 (4 tool ATC) &amp; BenchTurn 7000 CNC machines</v>
      </c>
      <c r="F2966">
        <v>502</v>
      </c>
      <c r="G2966" t="str">
        <f t="shared" si="746"/>
        <v>Y</v>
      </c>
      <c r="H2966" t="str">
        <f t="shared" si="744"/>
        <v>EA</v>
      </c>
      <c r="I2966">
        <v>0</v>
      </c>
      <c r="J2966">
        <v>0</v>
      </c>
      <c r="K2966" t="str">
        <f t="shared" si="747"/>
        <v>Y</v>
      </c>
      <c r="L2966">
        <v>0</v>
      </c>
      <c r="M2966" t="str">
        <f t="shared" si="745"/>
        <v>NIS</v>
      </c>
      <c r="N2966" t="str">
        <f>"Y"</f>
        <v>Y</v>
      </c>
      <c r="O2966">
        <v>28</v>
      </c>
      <c r="P2966" t="str">
        <f t="shared" ref="P2966:P2980" si="749">"Active"</f>
        <v>Active</v>
      </c>
      <c r="Q2966" t="str">
        <f>"Computer stand"</f>
        <v>Computer stand</v>
      </c>
      <c r="S2966" t="str">
        <f>"Computer stand"</f>
        <v>Computer stand</v>
      </c>
      <c r="T2966">
        <v>0</v>
      </c>
      <c r="U2966">
        <v>128.78</v>
      </c>
      <c r="V2966">
        <v>193.77</v>
      </c>
      <c r="W2966" t="str">
        <f t="shared" si="739"/>
        <v>rob</v>
      </c>
    </row>
    <row r="2967" spans="1:23">
      <c r="A2967" t="str">
        <f t="shared" si="742"/>
        <v>MTS-ER9P-BM-BT</v>
      </c>
      <c r="B2967" t="str">
        <f>"113034"</f>
        <v>113034</v>
      </c>
      <c r="C2967" t="str">
        <f>"Raw Material - Perspex Block"</f>
        <v>Raw Material - Perspex Block</v>
      </c>
      <c r="D2967">
        <v>50</v>
      </c>
      <c r="E2967" t="str">
        <f t="shared" si="743"/>
        <v>FMS - Scorbot ER9Pro Robot with BenchMill 6000 (4 tool ATC) &amp; BenchTurn 7000 CNC machines</v>
      </c>
      <c r="F2967">
        <v>502</v>
      </c>
      <c r="G2967" t="str">
        <f t="shared" si="746"/>
        <v>Y</v>
      </c>
      <c r="H2967" t="str">
        <f t="shared" si="744"/>
        <v>EA</v>
      </c>
      <c r="I2967">
        <v>0</v>
      </c>
      <c r="J2967">
        <v>0</v>
      </c>
      <c r="K2967" t="str">
        <f t="shared" si="747"/>
        <v>Y</v>
      </c>
      <c r="L2967">
        <v>0</v>
      </c>
      <c r="M2967" t="str">
        <f t="shared" si="745"/>
        <v>NIS</v>
      </c>
      <c r="O2967">
        <v>29</v>
      </c>
      <c r="P2967" t="str">
        <f t="shared" si="749"/>
        <v>Active</v>
      </c>
      <c r="Q2967" t="str">
        <f>"Raw Material Stock - Perspex Block"</f>
        <v>Raw Material Stock - Perspex Block</v>
      </c>
      <c r="S2967" t="str">
        <f>"Raw Material Stock - Perspex Block"</f>
        <v>Raw Material Stock - Perspex Block</v>
      </c>
      <c r="T2967">
        <v>0</v>
      </c>
      <c r="U2967">
        <v>1.1000000000000001</v>
      </c>
      <c r="V2967">
        <v>1.0900000000000001</v>
      </c>
      <c r="W2967" t="str">
        <f t="shared" si="739"/>
        <v>rob</v>
      </c>
    </row>
    <row r="2968" spans="1:23">
      <c r="A2968" t="str">
        <f t="shared" si="742"/>
        <v>MTS-ER9P-BM-BT</v>
      </c>
      <c r="B2968" t="str">
        <f>"10-2120-1000"</f>
        <v>10-2120-1000</v>
      </c>
      <c r="C2968" t="str">
        <f>"CNC Interface with BenchTurn 7000"</f>
        <v>CNC Interface with BenchTurn 7000</v>
      </c>
      <c r="D2968">
        <v>1</v>
      </c>
      <c r="E2968" t="str">
        <f t="shared" si="743"/>
        <v>FMS - Scorbot ER9Pro Robot with BenchMill 6000 (4 tool ATC) &amp; BenchTurn 7000 CNC machines</v>
      </c>
      <c r="F2968">
        <v>502</v>
      </c>
      <c r="G2968" t="str">
        <f t="shared" si="746"/>
        <v>Y</v>
      </c>
      <c r="H2968" t="str">
        <f t="shared" si="744"/>
        <v>EA</v>
      </c>
      <c r="I2968">
        <v>0</v>
      </c>
      <c r="J2968">
        <v>0</v>
      </c>
      <c r="K2968" t="str">
        <f t="shared" si="747"/>
        <v>Y</v>
      </c>
      <c r="L2968">
        <v>0</v>
      </c>
      <c r="M2968" t="str">
        <f t="shared" si="745"/>
        <v>NIS</v>
      </c>
      <c r="O2968">
        <v>30</v>
      </c>
      <c r="P2968" t="str">
        <f t="shared" si="749"/>
        <v>Active</v>
      </c>
      <c r="Q2968" t="str">
        <f>"CNC Interface with BenchTurn 7000"</f>
        <v>CNC Interface with BenchTurn 7000</v>
      </c>
      <c r="S2968" t="str">
        <f>"CNC Interface with BenchTurn 7000"</f>
        <v>CNC Interface with BenchTurn 7000</v>
      </c>
      <c r="T2968">
        <v>0</v>
      </c>
      <c r="U2968">
        <v>60</v>
      </c>
      <c r="V2968">
        <v>19.7</v>
      </c>
      <c r="W2968" t="str">
        <f t="shared" si="739"/>
        <v>rob</v>
      </c>
    </row>
    <row r="2969" spans="1:23">
      <c r="A2969" t="str">
        <f t="shared" ref="A2969:A2986" si="750">"MTS-ER9P-BM-BT"</f>
        <v>MTS-ER9P-BM-BT</v>
      </c>
      <c r="B2969" t="str">
        <f>"00-5504-0220"</f>
        <v>00-5504-0220</v>
      </c>
      <c r="C2969" t="str">
        <f>"CNC BenchTurn 7000 220V"</f>
        <v>CNC BenchTurn 7000 220V</v>
      </c>
      <c r="D2969">
        <v>1</v>
      </c>
      <c r="E2969" t="str">
        <f t="shared" ref="E2969:E2986" si="751">"FMS - Scorbot ER9Pro Robot with BenchMill 6000 (4 tool ATC) &amp; BenchTurn 7000 CNC machines"</f>
        <v>FMS - Scorbot ER9Pro Robot with BenchMill 6000 (4 tool ATC) &amp; BenchTurn 7000 CNC machines</v>
      </c>
      <c r="F2969">
        <v>502</v>
      </c>
      <c r="G2969" t="str">
        <f t="shared" si="746"/>
        <v>Y</v>
      </c>
      <c r="H2969" t="str">
        <f t="shared" ref="H2969:H2985" si="752">"EA"</f>
        <v>EA</v>
      </c>
      <c r="I2969">
        <v>0</v>
      </c>
      <c r="J2969">
        <v>0</v>
      </c>
      <c r="K2969" t="str">
        <f t="shared" si="747"/>
        <v>Y</v>
      </c>
      <c r="L2969">
        <v>0</v>
      </c>
      <c r="M2969" t="str">
        <f t="shared" si="745"/>
        <v>NIS</v>
      </c>
      <c r="O2969">
        <v>31</v>
      </c>
      <c r="P2969" t="str">
        <f t="shared" si="749"/>
        <v>Active</v>
      </c>
      <c r="Q2969" t="str">
        <f>"CNC BenchTurn 7000 220V"</f>
        <v>CNC BenchTurn 7000 220V</v>
      </c>
      <c r="S2969" t="str">
        <f>"CNC BenchTurn 7000 220V"</f>
        <v>CNC BenchTurn 7000 220V</v>
      </c>
      <c r="T2969">
        <v>0</v>
      </c>
      <c r="U2969" s="44">
        <v>4600</v>
      </c>
      <c r="V2969" s="44">
        <v>4551.93</v>
      </c>
      <c r="W2969" t="str">
        <f t="shared" si="739"/>
        <v>rob</v>
      </c>
    </row>
    <row r="2970" spans="1:23">
      <c r="A2970" t="str">
        <f t="shared" si="750"/>
        <v>MTS-ER9P-BM-BT</v>
      </c>
      <c r="B2970" t="str">
        <f>"10-1110-5000"</f>
        <v>10-1110-5000</v>
      </c>
      <c r="C2970" t="str">
        <f>"-- Pneumatic Shield (BenchTurn 7000 for FMS))"</f>
        <v>-- Pneumatic Shield (BenchTurn 7000 for FMS))</v>
      </c>
      <c r="D2970">
        <v>1</v>
      </c>
      <c r="E2970" t="str">
        <f t="shared" si="751"/>
        <v>FMS - Scorbot ER9Pro Robot with BenchMill 6000 (4 tool ATC) &amp; BenchTurn 7000 CNC machines</v>
      </c>
      <c r="F2970">
        <v>502</v>
      </c>
      <c r="G2970" t="str">
        <f t="shared" si="746"/>
        <v>Y</v>
      </c>
      <c r="H2970" t="str">
        <f t="shared" si="752"/>
        <v>EA</v>
      </c>
      <c r="I2970">
        <v>0</v>
      </c>
      <c r="J2970">
        <v>0</v>
      </c>
      <c r="K2970" t="str">
        <f t="shared" si="747"/>
        <v>Y</v>
      </c>
      <c r="L2970">
        <v>0</v>
      </c>
      <c r="M2970" t="str">
        <f t="shared" ref="M2970:M2986" si="753">"NIS"</f>
        <v>NIS</v>
      </c>
      <c r="O2970">
        <v>32</v>
      </c>
      <c r="P2970" t="str">
        <f t="shared" si="749"/>
        <v>Active</v>
      </c>
      <c r="Q2970" t="str">
        <f>"Pneumatic Shield with Sensors (BenchTurn 7000)"</f>
        <v>Pneumatic Shield with Sensors (BenchTurn 7000)</v>
      </c>
      <c r="S2970" t="str">
        <f>"Pneumatic Shield with Sensors (BenchTurn 7000)"</f>
        <v>Pneumatic Shield with Sensors (BenchTurn 7000)</v>
      </c>
      <c r="T2970">
        <v>0</v>
      </c>
      <c r="U2970">
        <v>144</v>
      </c>
      <c r="V2970">
        <v>128.55000000000001</v>
      </c>
      <c r="W2970" t="str">
        <f t="shared" si="739"/>
        <v>rob</v>
      </c>
    </row>
    <row r="2971" spans="1:23">
      <c r="A2971" t="str">
        <f t="shared" si="750"/>
        <v>MTS-ER9P-BM-BT</v>
      </c>
      <c r="B2971" t="str">
        <f>"63-6743-0000"</f>
        <v>63-6743-0000</v>
      </c>
      <c r="C2971" t="str">
        <f>"Software, SpectraCAM Turning"</f>
        <v>Software, SpectraCAM Turning</v>
      </c>
      <c r="D2971">
        <v>1</v>
      </c>
      <c r="E2971" t="str">
        <f t="shared" si="751"/>
        <v>FMS - Scorbot ER9Pro Robot with BenchMill 6000 (4 tool ATC) &amp; BenchTurn 7000 CNC machines</v>
      </c>
      <c r="F2971">
        <v>502</v>
      </c>
      <c r="G2971" t="str">
        <f t="shared" si="746"/>
        <v>Y</v>
      </c>
      <c r="H2971" t="str">
        <f t="shared" si="752"/>
        <v>EA</v>
      </c>
      <c r="I2971">
        <v>0</v>
      </c>
      <c r="J2971">
        <v>0</v>
      </c>
      <c r="K2971" t="str">
        <f t="shared" si="747"/>
        <v>Y</v>
      </c>
      <c r="L2971">
        <v>0</v>
      </c>
      <c r="M2971" t="str">
        <f t="shared" si="753"/>
        <v>NIS</v>
      </c>
      <c r="O2971">
        <v>50</v>
      </c>
      <c r="P2971" t="str">
        <f t="shared" si="749"/>
        <v>Active</v>
      </c>
      <c r="Q2971" t="str">
        <f>"Software, SpectraCAM Turning"</f>
        <v>Software, SpectraCAM Turning</v>
      </c>
      <c r="S2971" t="str">
        <f>"Software, SpectraCAM Turning"</f>
        <v>Software, SpectraCAM Turning</v>
      </c>
      <c r="T2971">
        <v>0</v>
      </c>
      <c r="U2971">
        <v>10</v>
      </c>
      <c r="V2971">
        <v>10.4</v>
      </c>
      <c r="W2971" t="str">
        <f t="shared" si="739"/>
        <v>rob</v>
      </c>
    </row>
    <row r="2972" spans="1:23">
      <c r="A2972" t="str">
        <f t="shared" si="750"/>
        <v>MTS-ER9P-BM-BT</v>
      </c>
      <c r="B2972" t="str">
        <f>"10-1110-9000"</f>
        <v>10-1110-9000</v>
      </c>
      <c r="C2972" t="str">
        <f>"-- Pneumatic Chuck (BenchTurn 7000 for FMS)"</f>
        <v>-- Pneumatic Chuck (BenchTurn 7000 for FMS)</v>
      </c>
      <c r="D2972">
        <v>1</v>
      </c>
      <c r="E2972" t="str">
        <f t="shared" si="751"/>
        <v>FMS - Scorbot ER9Pro Robot with BenchMill 6000 (4 tool ATC) &amp; BenchTurn 7000 CNC machines</v>
      </c>
      <c r="F2972">
        <v>502</v>
      </c>
      <c r="G2972" t="str">
        <f t="shared" si="746"/>
        <v>Y</v>
      </c>
      <c r="H2972" t="str">
        <f t="shared" si="752"/>
        <v>EA</v>
      </c>
      <c r="I2972">
        <v>0</v>
      </c>
      <c r="J2972">
        <v>0</v>
      </c>
      <c r="K2972" t="str">
        <f t="shared" si="747"/>
        <v>Y</v>
      </c>
      <c r="L2972">
        <v>0</v>
      </c>
      <c r="M2972" t="str">
        <f t="shared" si="753"/>
        <v>NIS</v>
      </c>
      <c r="O2972">
        <v>33</v>
      </c>
      <c r="P2972" t="str">
        <f t="shared" si="749"/>
        <v>Active</v>
      </c>
      <c r="Q2972" t="str">
        <f>"Pneumatic Chuck (BenchTurn 7000)"</f>
        <v>Pneumatic Chuck (BenchTurn 7000)</v>
      </c>
      <c r="S2972" t="str">
        <f>"Pneumatic Chuck (BenchTurn 7000)"</f>
        <v>Pneumatic Chuck (BenchTurn 7000)</v>
      </c>
      <c r="T2972">
        <v>0</v>
      </c>
      <c r="U2972">
        <v>639</v>
      </c>
      <c r="V2972">
        <v>569.88</v>
      </c>
      <c r="W2972" t="str">
        <f t="shared" si="739"/>
        <v>rob</v>
      </c>
    </row>
    <row r="2973" spans="1:23">
      <c r="A2973" t="str">
        <f t="shared" si="750"/>
        <v>MTS-ER9P-BM-BT</v>
      </c>
      <c r="B2973" t="str">
        <f>"63-7001-1000"</f>
        <v>63-7001-1000</v>
      </c>
      <c r="C2973" t="str">
        <f>"-CNCMotion for BenchTurn 7000"</f>
        <v>-CNCMotion for BenchTurn 7000</v>
      </c>
      <c r="D2973">
        <v>1</v>
      </c>
      <c r="E2973" t="str">
        <f t="shared" si="751"/>
        <v>FMS - Scorbot ER9Pro Robot with BenchMill 6000 (4 tool ATC) &amp; BenchTurn 7000 CNC machines</v>
      </c>
      <c r="F2973">
        <v>502</v>
      </c>
      <c r="G2973" t="str">
        <f t="shared" si="746"/>
        <v>Y</v>
      </c>
      <c r="H2973" t="str">
        <f t="shared" si="752"/>
        <v>EA</v>
      </c>
      <c r="I2973">
        <v>0</v>
      </c>
      <c r="J2973">
        <v>0</v>
      </c>
      <c r="K2973" t="str">
        <f t="shared" si="747"/>
        <v>Y</v>
      </c>
      <c r="L2973">
        <v>0</v>
      </c>
      <c r="M2973" t="str">
        <f t="shared" si="753"/>
        <v>NIS</v>
      </c>
      <c r="O2973">
        <v>34</v>
      </c>
      <c r="P2973" t="str">
        <f t="shared" si="749"/>
        <v>Active</v>
      </c>
      <c r="Q2973" t="str">
        <f>"CNCMotion Sim. Sftwr, BenchTurn 7000"</f>
        <v>CNCMotion Sim. Sftwr, BenchTurn 7000</v>
      </c>
      <c r="S2973" t="str">
        <f>"CNCMotion Sim. Sftwr, BenchTurn 7000"</f>
        <v>CNCMotion Sim. Sftwr, BenchTurn 7000</v>
      </c>
      <c r="T2973">
        <v>0</v>
      </c>
      <c r="U2973">
        <v>10</v>
      </c>
      <c r="V2973">
        <v>0</v>
      </c>
      <c r="W2973" t="str">
        <f t="shared" si="739"/>
        <v>rob</v>
      </c>
    </row>
    <row r="2974" spans="1:23">
      <c r="A2974" t="str">
        <f t="shared" si="750"/>
        <v>MTS-ER9P-BM-BT</v>
      </c>
      <c r="B2974" t="str">
        <f>"10-1110-1000"</f>
        <v>10-1110-1000</v>
      </c>
      <c r="C2974" t="str">
        <f>"10 x 10mm cutter tool holder"</f>
        <v>10 x 10mm cutter tool holder</v>
      </c>
      <c r="D2974">
        <v>1</v>
      </c>
      <c r="E2974" t="str">
        <f t="shared" si="751"/>
        <v>FMS - Scorbot ER9Pro Robot with BenchMill 6000 (4 tool ATC) &amp; BenchTurn 7000 CNC machines</v>
      </c>
      <c r="F2974">
        <v>502</v>
      </c>
      <c r="G2974" t="str">
        <f t="shared" si="746"/>
        <v>Y</v>
      </c>
      <c r="H2974" t="str">
        <f t="shared" si="752"/>
        <v>EA</v>
      </c>
      <c r="I2974">
        <v>0</v>
      </c>
      <c r="J2974">
        <v>0</v>
      </c>
      <c r="K2974" t="str">
        <f t="shared" si="747"/>
        <v>Y</v>
      </c>
      <c r="L2974">
        <v>0</v>
      </c>
      <c r="M2974" t="str">
        <f t="shared" si="753"/>
        <v>NIS</v>
      </c>
      <c r="O2974">
        <v>35</v>
      </c>
      <c r="P2974" t="str">
        <f t="shared" si="749"/>
        <v>Active</v>
      </c>
      <c r="Q2974" t="str">
        <f>"10x10mm TiN coated cutter set (replaceable tip)"</f>
        <v>10x10mm TiN coated cutter set (replaceable tip)</v>
      </c>
      <c r="S2974" t="str">
        <f>"10x10mm TiN coated cutter set (replaceable tip)"</f>
        <v>10x10mm TiN coated cutter set (replaceable tip)</v>
      </c>
      <c r="T2974">
        <v>0</v>
      </c>
      <c r="U2974">
        <v>65</v>
      </c>
      <c r="V2974">
        <v>65.540000000000006</v>
      </c>
      <c r="W2974" t="str">
        <f t="shared" si="739"/>
        <v>rob</v>
      </c>
    </row>
    <row r="2975" spans="1:23">
      <c r="A2975" t="str">
        <f t="shared" si="750"/>
        <v>MTS-ER9P-BM-BT</v>
      </c>
      <c r="B2975" t="str">
        <f>"10-1110-2000"</f>
        <v>10-1110-2000</v>
      </c>
      <c r="C2975" t="str">
        <f>"TiN coated tip for 011101"</f>
        <v>TiN coated tip for 011101</v>
      </c>
      <c r="D2975">
        <v>1</v>
      </c>
      <c r="E2975" t="str">
        <f t="shared" si="751"/>
        <v>FMS - Scorbot ER9Pro Robot with BenchMill 6000 (4 tool ATC) &amp; BenchTurn 7000 CNC machines</v>
      </c>
      <c r="F2975">
        <v>502</v>
      </c>
      <c r="G2975" t="str">
        <f t="shared" si="746"/>
        <v>Y</v>
      </c>
      <c r="H2975" t="str">
        <f t="shared" si="752"/>
        <v>EA</v>
      </c>
      <c r="I2975">
        <v>0</v>
      </c>
      <c r="J2975">
        <v>0</v>
      </c>
      <c r="K2975" t="str">
        <f t="shared" si="747"/>
        <v>Y</v>
      </c>
      <c r="L2975">
        <v>0</v>
      </c>
      <c r="M2975" t="str">
        <f t="shared" si="753"/>
        <v>NIS</v>
      </c>
      <c r="O2975">
        <v>36</v>
      </c>
      <c r="P2975" t="str">
        <f t="shared" si="749"/>
        <v>Active</v>
      </c>
      <c r="Q2975" t="str">
        <f>"TiN coated tip for 011101"</f>
        <v>TiN coated tip for 011101</v>
      </c>
      <c r="S2975" t="str">
        <f>"TiN coated tip for 011101"</f>
        <v>TiN coated tip for 011101</v>
      </c>
      <c r="T2975">
        <v>0</v>
      </c>
      <c r="U2975">
        <v>42</v>
      </c>
      <c r="V2975">
        <v>41.71</v>
      </c>
      <c r="W2975" t="str">
        <f t="shared" si="739"/>
        <v>rob</v>
      </c>
    </row>
    <row r="2976" spans="1:23">
      <c r="A2976" t="str">
        <f t="shared" si="750"/>
        <v>MTS-ER9P-BM-BT</v>
      </c>
      <c r="B2976" t="str">
        <f>"10-1106-6000"</f>
        <v>10-1106-6000</v>
      </c>
      <c r="C2976" t="str">
        <f>"- Rolling center"</f>
        <v>- Rolling center</v>
      </c>
      <c r="D2976">
        <v>1</v>
      </c>
      <c r="E2976" t="str">
        <f t="shared" si="751"/>
        <v>FMS - Scorbot ER9Pro Robot with BenchMill 6000 (4 tool ATC) &amp; BenchTurn 7000 CNC machines</v>
      </c>
      <c r="F2976">
        <v>502</v>
      </c>
      <c r="G2976" t="str">
        <f t="shared" si="746"/>
        <v>Y</v>
      </c>
      <c r="H2976" t="str">
        <f t="shared" si="752"/>
        <v>EA</v>
      </c>
      <c r="I2976">
        <v>0</v>
      </c>
      <c r="J2976">
        <v>0</v>
      </c>
      <c r="K2976" t="str">
        <f t="shared" si="747"/>
        <v>Y</v>
      </c>
      <c r="L2976">
        <v>0</v>
      </c>
      <c r="M2976" t="str">
        <f t="shared" si="753"/>
        <v>NIS</v>
      </c>
      <c r="O2976">
        <v>37</v>
      </c>
      <c r="P2976" t="str">
        <f t="shared" si="749"/>
        <v>Active</v>
      </c>
      <c r="Q2976" t="str">
        <f>"Rolling center"</f>
        <v>Rolling center</v>
      </c>
      <c r="S2976" t="str">
        <f>"Rolling center"</f>
        <v>Rolling center</v>
      </c>
      <c r="T2976">
        <v>0</v>
      </c>
      <c r="U2976">
        <v>23.42</v>
      </c>
      <c r="V2976">
        <v>23.55</v>
      </c>
      <c r="W2976" t="str">
        <f t="shared" si="739"/>
        <v>rob</v>
      </c>
    </row>
    <row r="2977" spans="1:23">
      <c r="A2977" t="str">
        <f t="shared" si="750"/>
        <v>MTS-ER9P-BM-BT</v>
      </c>
      <c r="B2977" t="str">
        <f>"10-1105-7000"</f>
        <v>10-1105-7000</v>
      </c>
      <c r="C2977" t="str">
        <f>"Drill Chuck for Tailstock"</f>
        <v>Drill Chuck for Tailstock</v>
      </c>
      <c r="D2977">
        <v>1</v>
      </c>
      <c r="E2977" t="str">
        <f t="shared" si="751"/>
        <v>FMS - Scorbot ER9Pro Robot with BenchMill 6000 (4 tool ATC) &amp; BenchTurn 7000 CNC machines</v>
      </c>
      <c r="F2977">
        <v>502</v>
      </c>
      <c r="G2977" t="str">
        <f t="shared" si="746"/>
        <v>Y</v>
      </c>
      <c r="H2977" t="str">
        <f t="shared" si="752"/>
        <v>EA</v>
      </c>
      <c r="I2977">
        <v>0</v>
      </c>
      <c r="J2977">
        <v>0</v>
      </c>
      <c r="K2977" t="str">
        <f t="shared" si="747"/>
        <v>Y</v>
      </c>
      <c r="L2977">
        <v>0</v>
      </c>
      <c r="M2977" t="str">
        <f t="shared" si="753"/>
        <v>NIS</v>
      </c>
      <c r="O2977">
        <v>38</v>
      </c>
      <c r="P2977" t="str">
        <f t="shared" si="749"/>
        <v>Active</v>
      </c>
      <c r="Q2977" t="str">
        <f>"Tailstock extender MT2 13mm tailstock chuck"</f>
        <v>Tailstock extender MT2 13mm tailstock chuck</v>
      </c>
      <c r="S2977" t="str">
        <f>"Drill Chuck for Tailstock MT2 13mm"</f>
        <v>Drill Chuck for Tailstock MT2 13mm</v>
      </c>
      <c r="T2977">
        <v>0</v>
      </c>
      <c r="U2977">
        <v>21.07</v>
      </c>
      <c r="V2977">
        <v>23.52</v>
      </c>
      <c r="W2977" t="str">
        <f t="shared" si="739"/>
        <v>rob</v>
      </c>
    </row>
    <row r="2978" spans="1:23">
      <c r="A2978" t="str">
        <f t="shared" si="750"/>
        <v>MTS-ER9P-BM-BT</v>
      </c>
      <c r="B2978" t="str">
        <f>"10-1111-1000"</f>
        <v>10-1111-1000</v>
      </c>
      <c r="C2978" t="str">
        <f>"- Handwheel - Manual Control"</f>
        <v>- Handwheel - Manual Control</v>
      </c>
      <c r="D2978">
        <v>1</v>
      </c>
      <c r="E2978" t="str">
        <f t="shared" si="751"/>
        <v>FMS - Scorbot ER9Pro Robot with BenchMill 6000 (4 tool ATC) &amp; BenchTurn 7000 CNC machines</v>
      </c>
      <c r="F2978">
        <v>502</v>
      </c>
      <c r="G2978" t="str">
        <f t="shared" si="746"/>
        <v>Y</v>
      </c>
      <c r="H2978" t="str">
        <f t="shared" si="752"/>
        <v>EA</v>
      </c>
      <c r="I2978">
        <v>0</v>
      </c>
      <c r="J2978">
        <v>0</v>
      </c>
      <c r="K2978" t="str">
        <f t="shared" si="747"/>
        <v>Y</v>
      </c>
      <c r="L2978">
        <v>0</v>
      </c>
      <c r="M2978" t="str">
        <f t="shared" si="753"/>
        <v>NIS</v>
      </c>
      <c r="O2978">
        <v>39</v>
      </c>
      <c r="P2978" t="str">
        <f t="shared" si="749"/>
        <v>Active</v>
      </c>
      <c r="Q2978" t="str">
        <f>"Hand wheel"</f>
        <v>Hand wheel</v>
      </c>
      <c r="S2978" t="str">
        <f>"Jog Pendant Handwheel"</f>
        <v>Jog Pendant Handwheel</v>
      </c>
      <c r="T2978">
        <v>0</v>
      </c>
      <c r="U2978">
        <v>235</v>
      </c>
      <c r="V2978">
        <v>235.03</v>
      </c>
      <c r="W2978" t="str">
        <f t="shared" ref="W2978:W3041" si="754">"rob"</f>
        <v>rob</v>
      </c>
    </row>
    <row r="2979" spans="1:23">
      <c r="A2979" t="str">
        <f t="shared" si="750"/>
        <v>MTS-ER9P-BM-BT</v>
      </c>
      <c r="B2979" t="str">
        <f>"10-1106-7000"</f>
        <v>10-1106-7000</v>
      </c>
      <c r="C2979" t="str">
        <f>"- 100mm 4 independent jaw chuck"</f>
        <v>- 100mm 4 independent jaw chuck</v>
      </c>
      <c r="D2979">
        <v>1</v>
      </c>
      <c r="E2979" t="str">
        <f t="shared" si="751"/>
        <v>FMS - Scorbot ER9Pro Robot with BenchMill 6000 (4 tool ATC) &amp; BenchTurn 7000 CNC machines</v>
      </c>
      <c r="F2979">
        <v>502</v>
      </c>
      <c r="G2979" t="str">
        <f t="shared" si="746"/>
        <v>Y</v>
      </c>
      <c r="H2979" t="str">
        <f t="shared" si="752"/>
        <v>EA</v>
      </c>
      <c r="I2979">
        <v>0</v>
      </c>
      <c r="J2979">
        <v>0</v>
      </c>
      <c r="K2979" t="str">
        <f t="shared" si="747"/>
        <v>Y</v>
      </c>
      <c r="L2979">
        <v>0</v>
      </c>
      <c r="M2979" t="str">
        <f t="shared" si="753"/>
        <v>NIS</v>
      </c>
      <c r="N2979" t="str">
        <f>"Y"</f>
        <v>Y</v>
      </c>
      <c r="O2979">
        <v>40</v>
      </c>
      <c r="P2979" t="str">
        <f t="shared" si="749"/>
        <v>Active</v>
      </c>
      <c r="Q2979" t="str">
        <f>"100mm 4-jaw chuck (independent)"</f>
        <v>100mm 4-jaw chuck (independent)</v>
      </c>
      <c r="S2979" t="str">
        <f>"100mm 4-jaw chuck (independent)"</f>
        <v>100mm 4-jaw chuck (independent)</v>
      </c>
      <c r="T2979">
        <v>0</v>
      </c>
      <c r="U2979">
        <v>64.39</v>
      </c>
      <c r="V2979">
        <v>67.209999999999994</v>
      </c>
      <c r="W2979" t="str">
        <f t="shared" si="754"/>
        <v>rob</v>
      </c>
    </row>
    <row r="2980" spans="1:23">
      <c r="A2980" t="str">
        <f t="shared" si="750"/>
        <v>MTS-ER9P-BM-BT</v>
      </c>
      <c r="B2980" t="str">
        <f>"10-1108-1220"</f>
        <v>10-1108-1220</v>
      </c>
      <c r="C2980" t="str">
        <f>"- Coolant system 27L -220V"</f>
        <v>- Coolant system 27L -220V</v>
      </c>
      <c r="D2980">
        <v>1</v>
      </c>
      <c r="E2980" t="str">
        <f t="shared" si="751"/>
        <v>FMS - Scorbot ER9Pro Robot with BenchMill 6000 (4 tool ATC) &amp; BenchTurn 7000 CNC machines</v>
      </c>
      <c r="F2980">
        <v>502</v>
      </c>
      <c r="G2980" t="str">
        <f t="shared" si="746"/>
        <v>Y</v>
      </c>
      <c r="H2980" t="str">
        <f t="shared" si="752"/>
        <v>EA</v>
      </c>
      <c r="I2980">
        <v>0</v>
      </c>
      <c r="J2980">
        <v>0</v>
      </c>
      <c r="K2980" t="str">
        <f t="shared" si="747"/>
        <v>Y</v>
      </c>
      <c r="L2980">
        <v>0</v>
      </c>
      <c r="M2980" t="str">
        <f t="shared" si="753"/>
        <v>NIS</v>
      </c>
      <c r="N2980" t="str">
        <f>"Y"</f>
        <v>Y</v>
      </c>
      <c r="O2980">
        <v>41</v>
      </c>
      <c r="P2980" t="str">
        <f t="shared" si="749"/>
        <v>Active</v>
      </c>
      <c r="Q2980" t="str">
        <f>"Coolant system 27L"</f>
        <v>Coolant system 27L</v>
      </c>
      <c r="S2980" t="str">
        <f>"Coolant system 27L - 220V"</f>
        <v>Coolant system 27L - 220V</v>
      </c>
      <c r="T2980">
        <v>0</v>
      </c>
      <c r="U2980">
        <v>117.08</v>
      </c>
      <c r="V2980">
        <v>117.15</v>
      </c>
      <c r="W2980" t="str">
        <f t="shared" si="754"/>
        <v>rob</v>
      </c>
    </row>
    <row r="2981" spans="1:23">
      <c r="A2981" t="str">
        <f t="shared" si="750"/>
        <v>MTS-ER9P-BM-BT</v>
      </c>
      <c r="B2981" t="str">
        <f>"10-1111-3000"</f>
        <v>10-1111-3000</v>
      </c>
      <c r="C2981" t="str">
        <f>"- Fanuc Emulator Panel with software"</f>
        <v>- Fanuc Emulator Panel with software</v>
      </c>
      <c r="D2981">
        <v>1</v>
      </c>
      <c r="E2981" t="str">
        <f t="shared" si="751"/>
        <v>FMS - Scorbot ER9Pro Robot with BenchMill 6000 (4 tool ATC) &amp; BenchTurn 7000 CNC machines</v>
      </c>
      <c r="F2981">
        <v>502</v>
      </c>
      <c r="G2981" t="str">
        <f t="shared" si="746"/>
        <v>Y</v>
      </c>
      <c r="H2981" t="str">
        <f t="shared" si="752"/>
        <v>EA</v>
      </c>
      <c r="I2981">
        <v>0</v>
      </c>
      <c r="J2981">
        <v>0</v>
      </c>
      <c r="K2981" t="str">
        <f t="shared" si="747"/>
        <v>Y</v>
      </c>
      <c r="L2981">
        <v>0</v>
      </c>
      <c r="M2981" t="str">
        <f t="shared" si="753"/>
        <v>NIS</v>
      </c>
      <c r="N2981" t="str">
        <f>"Y"</f>
        <v>Y</v>
      </c>
      <c r="O2981">
        <v>42</v>
      </c>
      <c r="P2981" t="str">
        <f>"Phase Out"</f>
        <v>Phase Out</v>
      </c>
      <c r="Q2981" t="str">
        <f>"Fanuc simulator with software"</f>
        <v>Fanuc simulator with software</v>
      </c>
      <c r="S2981" t="str">
        <f>"Fanuc simulator with software"</f>
        <v>Fanuc simulator with software</v>
      </c>
      <c r="T2981">
        <v>0</v>
      </c>
      <c r="U2981">
        <v>664</v>
      </c>
      <c r="V2981">
        <v>597.4</v>
      </c>
      <c r="W2981" t="str">
        <f t="shared" si="754"/>
        <v>rob</v>
      </c>
    </row>
    <row r="2982" spans="1:23">
      <c r="A2982" t="str">
        <f t="shared" si="750"/>
        <v>MTS-ER9P-BM-BT</v>
      </c>
      <c r="B2982" t="str">
        <f>"10-1108-9000"</f>
        <v>10-1108-9000</v>
      </c>
      <c r="C2982" t="str">
        <f>"- Fanuc panel / Computer stand"</f>
        <v>- Fanuc panel / Computer stand</v>
      </c>
      <c r="D2982">
        <v>1</v>
      </c>
      <c r="E2982" t="str">
        <f t="shared" si="751"/>
        <v>FMS - Scorbot ER9Pro Robot with BenchMill 6000 (4 tool ATC) &amp; BenchTurn 7000 CNC machines</v>
      </c>
      <c r="F2982">
        <v>502</v>
      </c>
      <c r="G2982" t="str">
        <f t="shared" si="746"/>
        <v>Y</v>
      </c>
      <c r="H2982" t="str">
        <f t="shared" si="752"/>
        <v>EA</v>
      </c>
      <c r="I2982">
        <v>0</v>
      </c>
      <c r="J2982">
        <v>0</v>
      </c>
      <c r="K2982" t="str">
        <f t="shared" si="747"/>
        <v>Y</v>
      </c>
      <c r="L2982">
        <v>0</v>
      </c>
      <c r="M2982" t="str">
        <f t="shared" si="753"/>
        <v>NIS</v>
      </c>
      <c r="N2982" t="str">
        <f>"Y"</f>
        <v>Y</v>
      </c>
      <c r="O2982">
        <v>43</v>
      </c>
      <c r="P2982" t="str">
        <f t="shared" ref="P2982:P3045" si="755">"Active"</f>
        <v>Active</v>
      </c>
      <c r="Q2982" t="str">
        <f>"Computer stand"</f>
        <v>Computer stand</v>
      </c>
      <c r="S2982" t="str">
        <f>"Computer stand"</f>
        <v>Computer stand</v>
      </c>
      <c r="T2982">
        <v>0</v>
      </c>
      <c r="U2982">
        <v>128.78</v>
      </c>
      <c r="V2982">
        <v>193.77</v>
      </c>
      <c r="W2982" t="str">
        <f t="shared" si="754"/>
        <v>rob</v>
      </c>
    </row>
    <row r="2983" spans="1:23">
      <c r="A2983" t="str">
        <f t="shared" si="750"/>
        <v>MTS-ER9P-BM-BT</v>
      </c>
      <c r="B2983" t="str">
        <f>"112496"</f>
        <v>112496</v>
      </c>
      <c r="C2983" t="str">
        <f>"Raw Material - Brass  Rod"</f>
        <v>Raw Material - Brass  Rod</v>
      </c>
      <c r="D2983">
        <v>50</v>
      </c>
      <c r="E2983" t="str">
        <f t="shared" si="751"/>
        <v>FMS - Scorbot ER9Pro Robot with BenchMill 6000 (4 tool ATC) &amp; BenchTurn 7000 CNC machines</v>
      </c>
      <c r="F2983">
        <v>502</v>
      </c>
      <c r="G2983" t="str">
        <f t="shared" si="746"/>
        <v>Y</v>
      </c>
      <c r="H2983" t="str">
        <f t="shared" si="752"/>
        <v>EA</v>
      </c>
      <c r="I2983">
        <v>0</v>
      </c>
      <c r="J2983">
        <v>0</v>
      </c>
      <c r="K2983" t="str">
        <f t="shared" si="747"/>
        <v>Y</v>
      </c>
      <c r="L2983">
        <v>0</v>
      </c>
      <c r="M2983" t="str">
        <f t="shared" si="753"/>
        <v>NIS</v>
      </c>
      <c r="O2983">
        <v>44</v>
      </c>
      <c r="P2983" t="str">
        <f t="shared" si="755"/>
        <v>Active</v>
      </c>
      <c r="Q2983" t="str">
        <f>"Raw Material Stock - Brass  Rod"</f>
        <v>Raw Material Stock - Brass  Rod</v>
      </c>
      <c r="S2983" t="str">
        <f>"Raw Material Stock - Brass  Rod"</f>
        <v>Raw Material Stock - Brass  Rod</v>
      </c>
      <c r="T2983">
        <v>0</v>
      </c>
      <c r="U2983">
        <v>3.67</v>
      </c>
      <c r="V2983">
        <v>2.69</v>
      </c>
      <c r="W2983" t="str">
        <f t="shared" si="754"/>
        <v>rob</v>
      </c>
    </row>
    <row r="2984" spans="1:23">
      <c r="A2984" t="str">
        <f t="shared" si="750"/>
        <v>MTS-ER9P-BM-BT</v>
      </c>
      <c r="B2984" t="str">
        <f>"00-1261-0000"</f>
        <v>00-1261-0000</v>
      </c>
      <c r="C2984" t="str">
        <f>"Workbench 1800x900mm (Heavy duty for CNC)"</f>
        <v>Workbench 1800x900mm (Heavy duty for CNC)</v>
      </c>
      <c r="D2984">
        <v>2</v>
      </c>
      <c r="E2984" t="str">
        <f t="shared" si="751"/>
        <v>FMS - Scorbot ER9Pro Robot with BenchMill 6000 (4 tool ATC) &amp; BenchTurn 7000 CNC machines</v>
      </c>
      <c r="F2984">
        <v>502</v>
      </c>
      <c r="G2984" t="str">
        <f t="shared" si="746"/>
        <v>Y</v>
      </c>
      <c r="H2984" t="str">
        <f t="shared" si="752"/>
        <v>EA</v>
      </c>
      <c r="I2984">
        <v>0</v>
      </c>
      <c r="J2984">
        <v>0</v>
      </c>
      <c r="K2984" t="str">
        <f t="shared" si="747"/>
        <v>Y</v>
      </c>
      <c r="L2984">
        <v>0</v>
      </c>
      <c r="M2984" t="str">
        <f t="shared" si="753"/>
        <v>NIS</v>
      </c>
      <c r="O2984">
        <v>45</v>
      </c>
      <c r="P2984" t="str">
        <f t="shared" si="755"/>
        <v>Active</v>
      </c>
      <c r="Q2984" t="str">
        <f>"Workbench 1800x900mm (Heavy duty for CNC)"</f>
        <v>Workbench 1800x900mm (Heavy duty for CNC)</v>
      </c>
      <c r="S2984" t="str">
        <f>"Workbench 1800x900mm (Heavy duty for CNC)"</f>
        <v>Workbench 1800x900mm (Heavy duty for CNC)</v>
      </c>
      <c r="T2984">
        <v>0</v>
      </c>
      <c r="U2984">
        <v>830</v>
      </c>
      <c r="V2984">
        <v>831.14</v>
      </c>
      <c r="W2984" t="str">
        <f t="shared" si="754"/>
        <v>rob</v>
      </c>
    </row>
    <row r="2985" spans="1:23">
      <c r="A2985" t="str">
        <f t="shared" si="750"/>
        <v>MTS-ER9P-BM-BT</v>
      </c>
      <c r="B2985" t="str">
        <f>"00-1265-0000"</f>
        <v>00-1265-0000</v>
      </c>
      <c r="C2985" t="str">
        <f>"PC Extension Shelf  600x900mm"</f>
        <v>PC Extension Shelf  600x900mm</v>
      </c>
      <c r="D2985">
        <v>2</v>
      </c>
      <c r="E2985" t="str">
        <f t="shared" si="751"/>
        <v>FMS - Scorbot ER9Pro Robot with BenchMill 6000 (4 tool ATC) &amp; BenchTurn 7000 CNC machines</v>
      </c>
      <c r="F2985">
        <v>502</v>
      </c>
      <c r="G2985" t="str">
        <f t="shared" si="746"/>
        <v>Y</v>
      </c>
      <c r="H2985" t="str">
        <f t="shared" si="752"/>
        <v>EA</v>
      </c>
      <c r="I2985">
        <v>0</v>
      </c>
      <c r="J2985">
        <v>0</v>
      </c>
      <c r="K2985" t="str">
        <f t="shared" si="747"/>
        <v>Y</v>
      </c>
      <c r="L2985">
        <v>0</v>
      </c>
      <c r="M2985" t="str">
        <f t="shared" si="753"/>
        <v>NIS</v>
      </c>
      <c r="O2985">
        <v>46</v>
      </c>
      <c r="P2985" t="str">
        <f t="shared" si="755"/>
        <v>Active</v>
      </c>
      <c r="Q2985" t="str">
        <f>"PC Extension Shelf  600x900mm"</f>
        <v>PC Extension Shelf  600x900mm</v>
      </c>
      <c r="S2985" t="str">
        <f>"PC Extension Shelf  600x900mm"</f>
        <v>PC Extension Shelf  600x900mm</v>
      </c>
      <c r="T2985">
        <v>0</v>
      </c>
      <c r="U2985">
        <v>211</v>
      </c>
      <c r="V2985">
        <v>198.88</v>
      </c>
      <c r="W2985" t="str">
        <f t="shared" si="754"/>
        <v>rob</v>
      </c>
    </row>
    <row r="2986" spans="1:23">
      <c r="A2986" t="str">
        <f t="shared" si="750"/>
        <v>MTS-ER9P-BM-BT</v>
      </c>
      <c r="B2986" t="str">
        <f>"50-0094-0000"</f>
        <v>50-0094-0000</v>
      </c>
      <c r="C2986" t="str">
        <f>"Pre-Engineering, Design and Testing"</f>
        <v>Pre-Engineering, Design and Testing</v>
      </c>
      <c r="D2986">
        <v>1</v>
      </c>
      <c r="E2986" t="str">
        <f t="shared" si="751"/>
        <v>FMS - Scorbot ER9Pro Robot with BenchMill 6000 (4 tool ATC) &amp; BenchTurn 7000 CNC machines</v>
      </c>
      <c r="F2986">
        <v>502</v>
      </c>
      <c r="G2986" t="str">
        <f t="shared" si="746"/>
        <v>Y</v>
      </c>
      <c r="H2986" t="str">
        <f>"DA"</f>
        <v>DA</v>
      </c>
      <c r="I2986">
        <v>0</v>
      </c>
      <c r="J2986">
        <v>0</v>
      </c>
      <c r="K2986" t="str">
        <f t="shared" si="747"/>
        <v>Y</v>
      </c>
      <c r="L2986">
        <v>0</v>
      </c>
      <c r="M2986" t="str">
        <f t="shared" si="753"/>
        <v>NIS</v>
      </c>
      <c r="O2986">
        <v>47</v>
      </c>
      <c r="P2986" t="str">
        <f t="shared" si="755"/>
        <v>Active</v>
      </c>
      <c r="Q2986" t="str">
        <f>"Pre-Engineering, Design and Testing"</f>
        <v>Pre-Engineering, Design and Testing</v>
      </c>
      <c r="S2986" t="str">
        <f>"Pre-Engineering, Design and Testing"</f>
        <v>Pre-Engineering, Design and Testing</v>
      </c>
      <c r="T2986">
        <v>0</v>
      </c>
      <c r="U2986">
        <v>405</v>
      </c>
      <c r="V2986">
        <v>421.2</v>
      </c>
      <c r="W2986" t="str">
        <f t="shared" si="754"/>
        <v>rob</v>
      </c>
    </row>
    <row r="2987" spans="1:23">
      <c r="A2987" t="str">
        <f t="shared" ref="A2987:A3013" si="756">"MTS-ER9P-BT7000"</f>
        <v>MTS-ER9P-BT7000</v>
      </c>
      <c r="B2987" t="str">
        <f>"00-0430-0000"</f>
        <v>00-0430-0000</v>
      </c>
      <c r="C2987" t="str">
        <f>"SCORBOT-ER9Pro"</f>
        <v>SCORBOT-ER9Pro</v>
      </c>
      <c r="D2987">
        <v>1</v>
      </c>
      <c r="E2987" t="str">
        <f t="shared" ref="E2987:E3013" si="757">"FMS - Scorbot ER9Pro Robot with BenchTurn 7000 CNC Turning machine"</f>
        <v>FMS - Scorbot ER9Pro Robot with BenchTurn 7000 CNC Turning machine</v>
      </c>
      <c r="F2987">
        <v>502</v>
      </c>
      <c r="G2987" t="str">
        <f t="shared" si="746"/>
        <v>Y</v>
      </c>
      <c r="H2987" t="str">
        <f t="shared" ref="H2987:H3012" si="758">"EA"</f>
        <v>EA</v>
      </c>
      <c r="I2987">
        <v>0</v>
      </c>
      <c r="J2987">
        <v>0</v>
      </c>
      <c r="K2987" t="str">
        <f t="shared" si="747"/>
        <v>Y</v>
      </c>
      <c r="L2987">
        <v>0</v>
      </c>
      <c r="M2987" t="str">
        <f>"USD"</f>
        <v>USD</v>
      </c>
      <c r="O2987">
        <v>1</v>
      </c>
      <c r="P2987" t="str">
        <f t="shared" si="755"/>
        <v>Active</v>
      </c>
      <c r="Q2987" t="str">
        <f>"SCORBOT-ER 9Pro (incl. USB-Pro Controller)"</f>
        <v>SCORBOT-ER 9Pro (incl. USB-Pro Controller)</v>
      </c>
      <c r="S2987" t="str">
        <f>"SCORBOT-ER 9Pro (incl. USB-Pro Controller)"</f>
        <v>SCORBOT-ER 9Pro (incl. USB-Pro Controller)</v>
      </c>
      <c r="T2987">
        <v>0</v>
      </c>
      <c r="U2987" s="44">
        <v>10900</v>
      </c>
      <c r="V2987" s="44">
        <v>11661.57</v>
      </c>
      <c r="W2987" t="str">
        <f t="shared" si="754"/>
        <v>rob</v>
      </c>
    </row>
    <row r="2988" spans="1:23">
      <c r="A2988" t="str">
        <f t="shared" si="756"/>
        <v>MTS-ER9P-BT7000</v>
      </c>
      <c r="B2988" t="str">
        <f>"00-0633-0000"</f>
        <v>00-0633-0000</v>
      </c>
      <c r="C2988" t="str">
        <f>"Pneumatic Gripper for ER9-Pro"</f>
        <v>Pneumatic Gripper for ER9-Pro</v>
      </c>
      <c r="D2988">
        <v>1</v>
      </c>
      <c r="E2988" t="str">
        <f t="shared" si="757"/>
        <v>FMS - Scorbot ER9Pro Robot with BenchTurn 7000 CNC Turning machine</v>
      </c>
      <c r="F2988">
        <v>502</v>
      </c>
      <c r="G2988" t="str">
        <f t="shared" si="746"/>
        <v>Y</v>
      </c>
      <c r="H2988" t="str">
        <f t="shared" si="758"/>
        <v>EA</v>
      </c>
      <c r="I2988">
        <v>0</v>
      </c>
      <c r="J2988">
        <v>0</v>
      </c>
      <c r="K2988" t="str">
        <f t="shared" si="747"/>
        <v>Y</v>
      </c>
      <c r="L2988">
        <v>0</v>
      </c>
      <c r="M2988" t="str">
        <f t="shared" ref="M2988:M3019" si="759">"NIS"</f>
        <v>NIS</v>
      </c>
      <c r="O2988">
        <v>2</v>
      </c>
      <c r="P2988" t="str">
        <f t="shared" si="755"/>
        <v>Active</v>
      </c>
      <c r="Q2988" t="str">
        <f>"Pneumatic Gripper for ER 9Pro"</f>
        <v>Pneumatic Gripper for ER 9Pro</v>
      </c>
      <c r="S2988" t="str">
        <f>"Pneumatic Gripper for ER9-Pro"</f>
        <v>Pneumatic Gripper for ER9-Pro</v>
      </c>
      <c r="T2988">
        <v>0</v>
      </c>
      <c r="U2988">
        <v>630</v>
      </c>
      <c r="V2988">
        <v>624.72</v>
      </c>
      <c r="W2988" t="str">
        <f t="shared" si="754"/>
        <v>rob</v>
      </c>
    </row>
    <row r="2989" spans="1:23">
      <c r="A2989" t="str">
        <f t="shared" si="756"/>
        <v>MTS-ER9P-BT7000</v>
      </c>
      <c r="B2989" t="str">
        <f>"00-1710-0000"</f>
        <v>00-1710-0000</v>
      </c>
      <c r="C2989" t="str">
        <f>"Teach Pendant"</f>
        <v>Teach Pendant</v>
      </c>
      <c r="D2989">
        <v>1</v>
      </c>
      <c r="E2989" t="str">
        <f t="shared" si="757"/>
        <v>FMS - Scorbot ER9Pro Robot with BenchTurn 7000 CNC Turning machine</v>
      </c>
      <c r="F2989">
        <v>502</v>
      </c>
      <c r="G2989" t="str">
        <f t="shared" si="746"/>
        <v>Y</v>
      </c>
      <c r="H2989" t="str">
        <f t="shared" si="758"/>
        <v>EA</v>
      </c>
      <c r="I2989">
        <v>0</v>
      </c>
      <c r="J2989">
        <v>0</v>
      </c>
      <c r="K2989" t="str">
        <f t="shared" si="747"/>
        <v>Y</v>
      </c>
      <c r="L2989">
        <v>0</v>
      </c>
      <c r="M2989" t="str">
        <f t="shared" si="759"/>
        <v>NIS</v>
      </c>
      <c r="O2989">
        <v>3</v>
      </c>
      <c r="P2989" t="str">
        <f t="shared" si="755"/>
        <v>Active</v>
      </c>
      <c r="Q2989" t="str">
        <f>"Teach Pendant for USB/USB Pro Controllers"</f>
        <v>Teach Pendant for USB/USB Pro Controllers</v>
      </c>
      <c r="S2989" t="str">
        <f>"Teach Pendant for USB/USB Pro Controllers"</f>
        <v>Teach Pendant for USB/USB Pro Controllers</v>
      </c>
      <c r="T2989">
        <v>0</v>
      </c>
      <c r="U2989">
        <v>160.18</v>
      </c>
      <c r="V2989">
        <v>161.44999999999999</v>
      </c>
      <c r="W2989" t="str">
        <f t="shared" si="754"/>
        <v>rob</v>
      </c>
    </row>
    <row r="2990" spans="1:23">
      <c r="A2990" t="str">
        <f t="shared" si="756"/>
        <v>MTS-ER9P-BT7000</v>
      </c>
      <c r="B2990" t="str">
        <f>"00-1016-0000"</f>
        <v>00-1016-0000</v>
      </c>
      <c r="C2990" t="str">
        <f>"LSB 1.0m, Belt, FM"</f>
        <v>LSB 1.0m, Belt, FM</v>
      </c>
      <c r="D2990">
        <v>1</v>
      </c>
      <c r="E2990" t="str">
        <f t="shared" si="757"/>
        <v>FMS - Scorbot ER9Pro Robot with BenchTurn 7000 CNC Turning machine</v>
      </c>
      <c r="F2990">
        <v>502</v>
      </c>
      <c r="G2990" t="str">
        <f t="shared" si="746"/>
        <v>Y</v>
      </c>
      <c r="H2990" t="str">
        <f t="shared" si="758"/>
        <v>EA</v>
      </c>
      <c r="I2990">
        <v>0</v>
      </c>
      <c r="J2990">
        <v>0</v>
      </c>
      <c r="K2990" t="str">
        <f t="shared" si="747"/>
        <v>Y</v>
      </c>
      <c r="L2990">
        <v>0</v>
      </c>
      <c r="M2990" t="str">
        <f t="shared" si="759"/>
        <v>NIS</v>
      </c>
      <c r="O2990">
        <v>4</v>
      </c>
      <c r="P2990" t="str">
        <f t="shared" si="755"/>
        <v>Active</v>
      </c>
      <c r="Q2990" t="str">
        <f>"LSB 1.0m (Belt, Floor Mounted incl. Stand)"</f>
        <v>LSB 1.0m (Belt, Floor Mounted incl. Stand)</v>
      </c>
      <c r="S2990" t="str">
        <f>"LSB 1.0m, Belt, Floor Mounted incl. Stand"</f>
        <v>LSB 1.0m, Belt, Floor Mounted incl. Stand</v>
      </c>
      <c r="T2990">
        <v>0</v>
      </c>
      <c r="U2990" s="44">
        <v>2336.16</v>
      </c>
      <c r="V2990" s="44">
        <v>2301.0500000000002</v>
      </c>
      <c r="W2990" t="str">
        <f t="shared" si="754"/>
        <v>rob</v>
      </c>
    </row>
    <row r="2991" spans="1:23">
      <c r="A2991" t="str">
        <f t="shared" si="756"/>
        <v>MTS-ER9P-BT7000</v>
      </c>
      <c r="B2991" t="str">
        <f>"034025"</f>
        <v>034025</v>
      </c>
      <c r="C2991" t="str">
        <f>"I/O Interface Box for Controller USB-PRO"</f>
        <v>I/O Interface Box for Controller USB-PRO</v>
      </c>
      <c r="D2991">
        <v>1</v>
      </c>
      <c r="E2991" t="str">
        <f t="shared" si="757"/>
        <v>FMS - Scorbot ER9Pro Robot with BenchTurn 7000 CNC Turning machine</v>
      </c>
      <c r="F2991">
        <v>502</v>
      </c>
      <c r="G2991" t="str">
        <f t="shared" si="746"/>
        <v>Y</v>
      </c>
      <c r="H2991" t="str">
        <f t="shared" si="758"/>
        <v>EA</v>
      </c>
      <c r="I2991">
        <v>0</v>
      </c>
      <c r="J2991">
        <v>0</v>
      </c>
      <c r="K2991" t="str">
        <f t="shared" si="747"/>
        <v>Y</v>
      </c>
      <c r="L2991">
        <v>0</v>
      </c>
      <c r="M2991" t="str">
        <f t="shared" si="759"/>
        <v>NIS</v>
      </c>
      <c r="O2991">
        <v>5</v>
      </c>
      <c r="P2991" t="str">
        <f t="shared" si="755"/>
        <v>Active</v>
      </c>
      <c r="Q2991" t="str">
        <f>"I/O Interface Box for Controller USB-PRO"</f>
        <v>I/O Interface Box for Controller USB-PRO</v>
      </c>
      <c r="S2991" t="str">
        <f>"קופסת 2+Interface Box I/O כבלים לבקר USBPRO"</f>
        <v>קופסת 2+Interface Box I/O כבלים לבקר USBPRO</v>
      </c>
      <c r="T2991">
        <v>0</v>
      </c>
      <c r="U2991">
        <v>470</v>
      </c>
      <c r="V2991">
        <v>463.62</v>
      </c>
      <c r="W2991" t="str">
        <f t="shared" si="754"/>
        <v>rob</v>
      </c>
    </row>
    <row r="2992" spans="1:23">
      <c r="A2992" t="str">
        <f t="shared" si="756"/>
        <v>MTS-ER9P-BT7000</v>
      </c>
      <c r="B2992" t="str">
        <f>"021152"</f>
        <v>021152</v>
      </c>
      <c r="C2992" t="str">
        <f>"Shelf Buffer for CIM conveyor"</f>
        <v>Shelf Buffer for CIM conveyor</v>
      </c>
      <c r="D2992">
        <v>1</v>
      </c>
      <c r="E2992" t="str">
        <f t="shared" si="757"/>
        <v>FMS - Scorbot ER9Pro Robot with BenchTurn 7000 CNC Turning machine</v>
      </c>
      <c r="F2992">
        <v>502</v>
      </c>
      <c r="G2992" t="str">
        <f t="shared" si="746"/>
        <v>Y</v>
      </c>
      <c r="H2992" t="str">
        <f t="shared" si="758"/>
        <v>EA</v>
      </c>
      <c r="I2992">
        <v>0</v>
      </c>
      <c r="J2992">
        <v>0</v>
      </c>
      <c r="K2992" t="str">
        <f t="shared" si="747"/>
        <v>Y</v>
      </c>
      <c r="L2992">
        <v>0</v>
      </c>
      <c r="M2992" t="str">
        <f t="shared" si="759"/>
        <v>NIS</v>
      </c>
      <c r="O2992">
        <v>6</v>
      </c>
      <c r="P2992" t="str">
        <f t="shared" si="755"/>
        <v>Active</v>
      </c>
      <c r="Q2992" t="str">
        <f>"מכלול- מדף בפר סטנדרטי OPEN-CIM"</f>
        <v>מכלול- מדף בפר סטנדרטי OPEN-CIM</v>
      </c>
      <c r="R2992" t="str">
        <f>"1"</f>
        <v>1</v>
      </c>
      <c r="S2992" t="str">
        <f>"מכלול- מדף בפר סטנדרטי OPEN-CIM"</f>
        <v>מכלול- מדף בפר סטנדרטי OPEN-CIM</v>
      </c>
      <c r="T2992">
        <v>0</v>
      </c>
      <c r="U2992">
        <v>83.12</v>
      </c>
      <c r="V2992">
        <v>92.76</v>
      </c>
      <c r="W2992" t="str">
        <f t="shared" si="754"/>
        <v>rob</v>
      </c>
    </row>
    <row r="2993" spans="1:23">
      <c r="A2993" t="str">
        <f t="shared" si="756"/>
        <v>MTS-ER9P-BT7000</v>
      </c>
      <c r="B2993" t="str">
        <f>"10-1007-4000"</f>
        <v>10-1007-4000</v>
      </c>
      <c r="C2993" t="str">
        <f>"Gravity Parts Feeder (with microswitch sensor)"</f>
        <v>Gravity Parts Feeder (with microswitch sensor)</v>
      </c>
      <c r="D2993">
        <v>1</v>
      </c>
      <c r="E2993" t="str">
        <f t="shared" si="757"/>
        <v>FMS - Scorbot ER9Pro Robot with BenchTurn 7000 CNC Turning machine</v>
      </c>
      <c r="F2993">
        <v>502</v>
      </c>
      <c r="G2993" t="str">
        <f t="shared" si="746"/>
        <v>Y</v>
      </c>
      <c r="H2993" t="str">
        <f t="shared" si="758"/>
        <v>EA</v>
      </c>
      <c r="I2993">
        <v>0</v>
      </c>
      <c r="J2993">
        <v>0</v>
      </c>
      <c r="K2993" t="str">
        <f t="shared" si="747"/>
        <v>Y</v>
      </c>
      <c r="L2993">
        <v>0</v>
      </c>
      <c r="M2993" t="str">
        <f t="shared" si="759"/>
        <v>NIS</v>
      </c>
      <c r="O2993">
        <v>7</v>
      </c>
      <c r="P2993" t="str">
        <f t="shared" si="755"/>
        <v>Active</v>
      </c>
      <c r="Q2993" t="str">
        <f>"Gravity Parts Feeder (incl.microswitch sensor)"</f>
        <v>Gravity Parts Feeder (incl.microswitch sensor)</v>
      </c>
      <c r="S2993" t="str">
        <f>"Gravity Parts Feeder (incl.microswitch sensor)"</f>
        <v>Gravity Parts Feeder (incl.microswitch sensor)</v>
      </c>
      <c r="T2993">
        <v>0</v>
      </c>
      <c r="U2993">
        <v>148</v>
      </c>
      <c r="V2993">
        <v>148.26</v>
      </c>
      <c r="W2993" t="str">
        <f t="shared" si="754"/>
        <v>rob</v>
      </c>
    </row>
    <row r="2994" spans="1:23">
      <c r="A2994" t="str">
        <f t="shared" si="756"/>
        <v>MTS-ER9P-BT7000</v>
      </c>
      <c r="B2994" t="str">
        <f>"00-1110-0000"</f>
        <v>00-1110-0000</v>
      </c>
      <c r="C2994" t="str">
        <f>"Palletizing Rack"</f>
        <v>Palletizing Rack</v>
      </c>
      <c r="D2994">
        <v>1</v>
      </c>
      <c r="E2994" t="str">
        <f t="shared" si="757"/>
        <v>FMS - Scorbot ER9Pro Robot with BenchTurn 7000 CNC Turning machine</v>
      </c>
      <c r="F2994">
        <v>502</v>
      </c>
      <c r="G2994" t="str">
        <f t="shared" si="746"/>
        <v>Y</v>
      </c>
      <c r="H2994" t="str">
        <f t="shared" si="758"/>
        <v>EA</v>
      </c>
      <c r="I2994">
        <v>0</v>
      </c>
      <c r="J2994">
        <v>0</v>
      </c>
      <c r="K2994" t="str">
        <f t="shared" si="747"/>
        <v>Y</v>
      </c>
      <c r="L2994">
        <v>0</v>
      </c>
      <c r="M2994" t="str">
        <f t="shared" si="759"/>
        <v>NIS</v>
      </c>
      <c r="O2994">
        <v>8</v>
      </c>
      <c r="P2994" t="str">
        <f t="shared" si="755"/>
        <v>Active</v>
      </c>
      <c r="Q2994" t="str">
        <f>"Palletizing Rack (incl. Pins for creating Jigs)"</f>
        <v>Palletizing Rack (incl. Pins for creating Jigs)</v>
      </c>
      <c r="S2994" t="str">
        <f>"Palletizing Rack (incl. Pins for creating Jigs)"</f>
        <v>Palletizing Rack (incl. Pins for creating Jigs)</v>
      </c>
      <c r="T2994">
        <v>0</v>
      </c>
      <c r="U2994">
        <v>63</v>
      </c>
      <c r="V2994">
        <v>58.59</v>
      </c>
      <c r="W2994" t="str">
        <f t="shared" si="754"/>
        <v>rob</v>
      </c>
    </row>
    <row r="2995" spans="1:23">
      <c r="A2995" t="str">
        <f t="shared" si="756"/>
        <v>MTS-ER9P-BT7000</v>
      </c>
      <c r="B2995" t="str">
        <f>"021182"</f>
        <v>021182</v>
      </c>
      <c r="C2995" t="str">
        <f>"97mm Height Adapter"</f>
        <v>97mm Height Adapter</v>
      </c>
      <c r="D2995">
        <v>1</v>
      </c>
      <c r="E2995" t="str">
        <f t="shared" si="757"/>
        <v>FMS - Scorbot ER9Pro Robot with BenchTurn 7000 CNC Turning machine</v>
      </c>
      <c r="F2995">
        <v>502</v>
      </c>
      <c r="G2995" t="str">
        <f t="shared" si="746"/>
        <v>Y</v>
      </c>
      <c r="H2995" t="str">
        <f t="shared" si="758"/>
        <v>EA</v>
      </c>
      <c r="I2995">
        <v>0</v>
      </c>
      <c r="J2995">
        <v>0</v>
      </c>
      <c r="K2995" t="str">
        <f t="shared" si="747"/>
        <v>Y</v>
      </c>
      <c r="L2995">
        <v>0</v>
      </c>
      <c r="M2995" t="str">
        <f t="shared" si="759"/>
        <v>NIS</v>
      </c>
      <c r="O2995">
        <v>9</v>
      </c>
      <c r="P2995" t="str">
        <f t="shared" si="755"/>
        <v>Active</v>
      </c>
      <c r="Q2995" t="str">
        <f>"97mm Height Adapter -Rack 001110 on formica 28mm"</f>
        <v>97mm Height Adapter -Rack 001110 on formica 28mm</v>
      </c>
      <c r="S2995" t="str">
        <f>"97mm Height Adapter -Rack 001110 on formica 28mm"</f>
        <v>97mm Height Adapter -Rack 001110 on formica 28mm</v>
      </c>
      <c r="T2995">
        <v>0</v>
      </c>
      <c r="U2995">
        <v>7</v>
      </c>
      <c r="V2995">
        <v>5.5</v>
      </c>
      <c r="W2995" t="str">
        <f t="shared" si="754"/>
        <v>rob</v>
      </c>
    </row>
    <row r="2996" spans="1:23">
      <c r="A2996" t="str">
        <f t="shared" si="756"/>
        <v>MTS-ER9P-BT7000</v>
      </c>
      <c r="B2996" t="str">
        <f>"10-2120-1000"</f>
        <v>10-2120-1000</v>
      </c>
      <c r="C2996" t="str">
        <f>"CNC Interface with BenchTurn 7000"</f>
        <v>CNC Interface with BenchTurn 7000</v>
      </c>
      <c r="D2996">
        <v>1</v>
      </c>
      <c r="E2996" t="str">
        <f t="shared" si="757"/>
        <v>FMS - Scorbot ER9Pro Robot with BenchTurn 7000 CNC Turning machine</v>
      </c>
      <c r="F2996">
        <v>502</v>
      </c>
      <c r="G2996" t="str">
        <f t="shared" si="746"/>
        <v>Y</v>
      </c>
      <c r="H2996" t="str">
        <f t="shared" si="758"/>
        <v>EA</v>
      </c>
      <c r="I2996">
        <v>0</v>
      </c>
      <c r="J2996">
        <v>0</v>
      </c>
      <c r="K2996" t="str">
        <f t="shared" si="747"/>
        <v>Y</v>
      </c>
      <c r="L2996">
        <v>0</v>
      </c>
      <c r="M2996" t="str">
        <f t="shared" si="759"/>
        <v>NIS</v>
      </c>
      <c r="O2996">
        <v>10</v>
      </c>
      <c r="P2996" t="str">
        <f t="shared" si="755"/>
        <v>Active</v>
      </c>
      <c r="Q2996" t="str">
        <f>"CNC Interface with BenchTurn 7000"</f>
        <v>CNC Interface with BenchTurn 7000</v>
      </c>
      <c r="S2996" t="str">
        <f>"CNC Interface with BenchTurn 7000"</f>
        <v>CNC Interface with BenchTurn 7000</v>
      </c>
      <c r="T2996">
        <v>0</v>
      </c>
      <c r="U2996">
        <v>60</v>
      </c>
      <c r="V2996">
        <v>19.7</v>
      </c>
      <c r="W2996" t="str">
        <f t="shared" si="754"/>
        <v>rob</v>
      </c>
    </row>
    <row r="2997" spans="1:23">
      <c r="A2997" t="str">
        <f t="shared" si="756"/>
        <v>MTS-ER9P-BT7000</v>
      </c>
      <c r="B2997" t="str">
        <f>"00-5504-0220"</f>
        <v>00-5504-0220</v>
      </c>
      <c r="C2997" t="str">
        <f>"CNC BenchTurn 7000 220V"</f>
        <v>CNC BenchTurn 7000 220V</v>
      </c>
      <c r="D2997">
        <v>1</v>
      </c>
      <c r="E2997" t="str">
        <f t="shared" si="757"/>
        <v>FMS - Scorbot ER9Pro Robot with BenchTurn 7000 CNC Turning machine</v>
      </c>
      <c r="F2997">
        <v>502</v>
      </c>
      <c r="G2997" t="str">
        <f t="shared" si="746"/>
        <v>Y</v>
      </c>
      <c r="H2997" t="str">
        <f t="shared" si="758"/>
        <v>EA</v>
      </c>
      <c r="I2997">
        <v>0</v>
      </c>
      <c r="J2997">
        <v>0</v>
      </c>
      <c r="K2997" t="str">
        <f t="shared" si="747"/>
        <v>Y</v>
      </c>
      <c r="L2997">
        <v>0</v>
      </c>
      <c r="M2997" t="str">
        <f t="shared" si="759"/>
        <v>NIS</v>
      </c>
      <c r="O2997">
        <v>11</v>
      </c>
      <c r="P2997" t="str">
        <f t="shared" si="755"/>
        <v>Active</v>
      </c>
      <c r="Q2997" t="str">
        <f>"CNC BenchTurn 7000 220V"</f>
        <v>CNC BenchTurn 7000 220V</v>
      </c>
      <c r="S2997" t="str">
        <f>"CNC BenchTurn 7000 220V"</f>
        <v>CNC BenchTurn 7000 220V</v>
      </c>
      <c r="T2997">
        <v>0</v>
      </c>
      <c r="U2997" s="44">
        <v>4600</v>
      </c>
      <c r="V2997" s="44">
        <v>4551.93</v>
      </c>
      <c r="W2997" t="str">
        <f t="shared" si="754"/>
        <v>rob</v>
      </c>
    </row>
    <row r="2998" spans="1:23">
      <c r="A2998" t="str">
        <f t="shared" si="756"/>
        <v>MTS-ER9P-BT7000</v>
      </c>
      <c r="B2998" t="str">
        <f>"10-1110-5000"</f>
        <v>10-1110-5000</v>
      </c>
      <c r="C2998" t="str">
        <f>"-- Pneumatic Shield (BenchTurn 7000 for FMS))"</f>
        <v>-- Pneumatic Shield (BenchTurn 7000 for FMS))</v>
      </c>
      <c r="D2998">
        <v>1</v>
      </c>
      <c r="E2998" t="str">
        <f t="shared" si="757"/>
        <v>FMS - Scorbot ER9Pro Robot with BenchTurn 7000 CNC Turning machine</v>
      </c>
      <c r="F2998">
        <v>502</v>
      </c>
      <c r="G2998" t="str">
        <f t="shared" si="746"/>
        <v>Y</v>
      </c>
      <c r="H2998" t="str">
        <f t="shared" si="758"/>
        <v>EA</v>
      </c>
      <c r="I2998">
        <v>0</v>
      </c>
      <c r="J2998">
        <v>0</v>
      </c>
      <c r="K2998" t="str">
        <f t="shared" si="747"/>
        <v>Y</v>
      </c>
      <c r="L2998">
        <v>0</v>
      </c>
      <c r="M2998" t="str">
        <f t="shared" si="759"/>
        <v>NIS</v>
      </c>
      <c r="O2998">
        <v>12</v>
      </c>
      <c r="P2998" t="str">
        <f t="shared" si="755"/>
        <v>Active</v>
      </c>
      <c r="Q2998" t="str">
        <f>"Pneumatic Shield with Sensors (BenchTurn 7000)"</f>
        <v>Pneumatic Shield with Sensors (BenchTurn 7000)</v>
      </c>
      <c r="S2998" t="str">
        <f>"Pneumatic Shield with Sensors (BenchTurn 7000)"</f>
        <v>Pneumatic Shield with Sensors (BenchTurn 7000)</v>
      </c>
      <c r="T2998">
        <v>0</v>
      </c>
      <c r="U2998">
        <v>144</v>
      </c>
      <c r="V2998">
        <v>128.55000000000001</v>
      </c>
      <c r="W2998" t="str">
        <f t="shared" si="754"/>
        <v>rob</v>
      </c>
    </row>
    <row r="2999" spans="1:23">
      <c r="A2999" t="str">
        <f t="shared" si="756"/>
        <v>MTS-ER9P-BT7000</v>
      </c>
      <c r="B2999" t="str">
        <f>"10-1110-9000"</f>
        <v>10-1110-9000</v>
      </c>
      <c r="C2999" t="str">
        <f>"-- Pneumatic Chuck (BenchTurn 7000 for FMS)"</f>
        <v>-- Pneumatic Chuck (BenchTurn 7000 for FMS)</v>
      </c>
      <c r="D2999">
        <v>1</v>
      </c>
      <c r="E2999" t="str">
        <f t="shared" si="757"/>
        <v>FMS - Scorbot ER9Pro Robot with BenchTurn 7000 CNC Turning machine</v>
      </c>
      <c r="F2999">
        <v>502</v>
      </c>
      <c r="G2999" t="str">
        <f t="shared" si="746"/>
        <v>Y</v>
      </c>
      <c r="H2999" t="str">
        <f t="shared" si="758"/>
        <v>EA</v>
      </c>
      <c r="I2999">
        <v>0</v>
      </c>
      <c r="J2999">
        <v>0</v>
      </c>
      <c r="K2999" t="str">
        <f t="shared" si="747"/>
        <v>Y</v>
      </c>
      <c r="L2999">
        <v>0</v>
      </c>
      <c r="M2999" t="str">
        <f t="shared" si="759"/>
        <v>NIS</v>
      </c>
      <c r="O2999">
        <v>13</v>
      </c>
      <c r="P2999" t="str">
        <f t="shared" si="755"/>
        <v>Active</v>
      </c>
      <c r="Q2999" t="str">
        <f>"Pneumatic Chuck (BenchTurn 7000)"</f>
        <v>Pneumatic Chuck (BenchTurn 7000)</v>
      </c>
      <c r="S2999" t="str">
        <f>"Pneumatic Chuck (BenchTurn 7000)"</f>
        <v>Pneumatic Chuck (BenchTurn 7000)</v>
      </c>
      <c r="T2999">
        <v>0</v>
      </c>
      <c r="U2999">
        <v>639</v>
      </c>
      <c r="V2999">
        <v>569.88</v>
      </c>
      <c r="W2999" t="str">
        <f t="shared" si="754"/>
        <v>rob</v>
      </c>
    </row>
    <row r="3000" spans="1:23">
      <c r="A3000" t="str">
        <f t="shared" si="756"/>
        <v>MTS-ER9P-BT7000</v>
      </c>
      <c r="B3000" t="str">
        <f>"10-1106-0000"</f>
        <v>10-1106-0000</v>
      </c>
      <c r="C3000" t="str">
        <f>"- 11pcs Cutter set 10 x 10mmt"</f>
        <v>- 11pcs Cutter set 10 x 10mmt</v>
      </c>
      <c r="D3000">
        <v>1</v>
      </c>
      <c r="E3000" t="str">
        <f t="shared" si="757"/>
        <v>FMS - Scorbot ER9Pro Robot with BenchTurn 7000 CNC Turning machine</v>
      </c>
      <c r="F3000">
        <v>502</v>
      </c>
      <c r="G3000" t="str">
        <f t="shared" si="746"/>
        <v>Y</v>
      </c>
      <c r="H3000" t="str">
        <f t="shared" si="758"/>
        <v>EA</v>
      </c>
      <c r="I3000">
        <v>0</v>
      </c>
      <c r="J3000">
        <v>0</v>
      </c>
      <c r="K3000" t="str">
        <f t="shared" si="747"/>
        <v>Y</v>
      </c>
      <c r="L3000">
        <v>0</v>
      </c>
      <c r="M3000" t="str">
        <f t="shared" si="759"/>
        <v>NIS</v>
      </c>
      <c r="N3000" t="str">
        <f>"Y"</f>
        <v>Y</v>
      </c>
      <c r="O3000">
        <v>14</v>
      </c>
      <c r="P3000" t="str">
        <f t="shared" si="755"/>
        <v>Active</v>
      </c>
      <c r="Q3000" t="str">
        <f>"10 x 10mm cutter 11pcs set"</f>
        <v>10 x 10mm cutter 11pcs set</v>
      </c>
      <c r="S3000" t="str">
        <f>"10 x 10mm cutter 11pcs set"</f>
        <v>10 x 10mm cutter 11pcs set</v>
      </c>
      <c r="T3000">
        <v>0</v>
      </c>
      <c r="U3000">
        <v>36.29</v>
      </c>
      <c r="V3000">
        <v>42.51</v>
      </c>
      <c r="W3000" t="str">
        <f t="shared" si="754"/>
        <v>rob</v>
      </c>
    </row>
    <row r="3001" spans="1:23">
      <c r="A3001" t="str">
        <f t="shared" si="756"/>
        <v>MTS-ER9P-BT7000</v>
      </c>
      <c r="B3001" t="str">
        <f>"10-1110-1000"</f>
        <v>10-1110-1000</v>
      </c>
      <c r="C3001" t="str">
        <f>"10 x 10mm cutter tool holder"</f>
        <v>10 x 10mm cutter tool holder</v>
      </c>
      <c r="D3001">
        <v>1</v>
      </c>
      <c r="E3001" t="str">
        <f t="shared" si="757"/>
        <v>FMS - Scorbot ER9Pro Robot with BenchTurn 7000 CNC Turning machine</v>
      </c>
      <c r="F3001">
        <v>502</v>
      </c>
      <c r="G3001" t="str">
        <f t="shared" si="746"/>
        <v>Y</v>
      </c>
      <c r="H3001" t="str">
        <f t="shared" si="758"/>
        <v>EA</v>
      </c>
      <c r="I3001">
        <v>0</v>
      </c>
      <c r="J3001">
        <v>0</v>
      </c>
      <c r="K3001" t="str">
        <f t="shared" si="747"/>
        <v>Y</v>
      </c>
      <c r="L3001">
        <v>0</v>
      </c>
      <c r="M3001" t="str">
        <f t="shared" si="759"/>
        <v>NIS</v>
      </c>
      <c r="O3001">
        <v>15</v>
      </c>
      <c r="P3001" t="str">
        <f t="shared" si="755"/>
        <v>Active</v>
      </c>
      <c r="Q3001" t="str">
        <f>"10x10mm TiN coated cutter set (replaceable tip)"</f>
        <v>10x10mm TiN coated cutter set (replaceable tip)</v>
      </c>
      <c r="S3001" t="str">
        <f>"10x10mm TiN coated cutter set (replaceable tip)"</f>
        <v>10x10mm TiN coated cutter set (replaceable tip)</v>
      </c>
      <c r="T3001">
        <v>0</v>
      </c>
      <c r="U3001">
        <v>65</v>
      </c>
      <c r="V3001">
        <v>65.540000000000006</v>
      </c>
      <c r="W3001" t="str">
        <f t="shared" si="754"/>
        <v>rob</v>
      </c>
    </row>
    <row r="3002" spans="1:23">
      <c r="A3002" t="str">
        <f t="shared" si="756"/>
        <v>MTS-ER9P-BT7000</v>
      </c>
      <c r="B3002" t="str">
        <f>"10-1110-2000"</f>
        <v>10-1110-2000</v>
      </c>
      <c r="C3002" t="str">
        <f>"TiN coated tip for 011101"</f>
        <v>TiN coated tip for 011101</v>
      </c>
      <c r="D3002">
        <v>1</v>
      </c>
      <c r="E3002" t="str">
        <f t="shared" si="757"/>
        <v>FMS - Scorbot ER9Pro Robot with BenchTurn 7000 CNC Turning machine</v>
      </c>
      <c r="F3002">
        <v>502</v>
      </c>
      <c r="G3002" t="str">
        <f t="shared" si="746"/>
        <v>Y</v>
      </c>
      <c r="H3002" t="str">
        <f t="shared" si="758"/>
        <v>EA</v>
      </c>
      <c r="I3002">
        <v>0</v>
      </c>
      <c r="J3002">
        <v>0</v>
      </c>
      <c r="K3002" t="str">
        <f t="shared" si="747"/>
        <v>Y</v>
      </c>
      <c r="L3002">
        <v>0</v>
      </c>
      <c r="M3002" t="str">
        <f t="shared" si="759"/>
        <v>NIS</v>
      </c>
      <c r="O3002">
        <v>16</v>
      </c>
      <c r="P3002" t="str">
        <f t="shared" si="755"/>
        <v>Active</v>
      </c>
      <c r="Q3002" t="str">
        <f>"TiN coated tip for 011101"</f>
        <v>TiN coated tip for 011101</v>
      </c>
      <c r="S3002" t="str">
        <f>"TiN coated tip for 011101"</f>
        <v>TiN coated tip for 011101</v>
      </c>
      <c r="T3002">
        <v>0</v>
      </c>
      <c r="U3002">
        <v>42</v>
      </c>
      <c r="V3002">
        <v>41.71</v>
      </c>
      <c r="W3002" t="str">
        <f t="shared" si="754"/>
        <v>rob</v>
      </c>
    </row>
    <row r="3003" spans="1:23">
      <c r="A3003" t="str">
        <f t="shared" si="756"/>
        <v>MTS-ER9P-BT7000</v>
      </c>
      <c r="B3003" t="str">
        <f>"10-1106-6000"</f>
        <v>10-1106-6000</v>
      </c>
      <c r="C3003" t="str">
        <f>"- Rolling center"</f>
        <v>- Rolling center</v>
      </c>
      <c r="D3003">
        <v>1</v>
      </c>
      <c r="E3003" t="str">
        <f t="shared" si="757"/>
        <v>FMS - Scorbot ER9Pro Robot with BenchTurn 7000 CNC Turning machine</v>
      </c>
      <c r="F3003">
        <v>502</v>
      </c>
      <c r="G3003" t="str">
        <f t="shared" si="746"/>
        <v>Y</v>
      </c>
      <c r="H3003" t="str">
        <f t="shared" si="758"/>
        <v>EA</v>
      </c>
      <c r="I3003">
        <v>0</v>
      </c>
      <c r="J3003">
        <v>0</v>
      </c>
      <c r="K3003" t="str">
        <f t="shared" si="747"/>
        <v>Y</v>
      </c>
      <c r="L3003">
        <v>0</v>
      </c>
      <c r="M3003" t="str">
        <f t="shared" si="759"/>
        <v>NIS</v>
      </c>
      <c r="O3003">
        <v>17</v>
      </c>
      <c r="P3003" t="str">
        <f t="shared" si="755"/>
        <v>Active</v>
      </c>
      <c r="Q3003" t="str">
        <f>"Rolling center"</f>
        <v>Rolling center</v>
      </c>
      <c r="S3003" t="str">
        <f>"Rolling center"</f>
        <v>Rolling center</v>
      </c>
      <c r="T3003">
        <v>0</v>
      </c>
      <c r="U3003">
        <v>23.42</v>
      </c>
      <c r="V3003">
        <v>23.55</v>
      </c>
      <c r="W3003" t="str">
        <f t="shared" si="754"/>
        <v>rob</v>
      </c>
    </row>
    <row r="3004" spans="1:23">
      <c r="A3004" t="str">
        <f t="shared" si="756"/>
        <v>MTS-ER9P-BT7000</v>
      </c>
      <c r="B3004" t="str">
        <f>"10-1105-7000"</f>
        <v>10-1105-7000</v>
      </c>
      <c r="C3004" t="str">
        <f>"Drill Chuck for Tailstock"</f>
        <v>Drill Chuck for Tailstock</v>
      </c>
      <c r="D3004">
        <v>1</v>
      </c>
      <c r="E3004" t="str">
        <f t="shared" si="757"/>
        <v>FMS - Scorbot ER9Pro Robot with BenchTurn 7000 CNC Turning machine</v>
      </c>
      <c r="F3004">
        <v>502</v>
      </c>
      <c r="G3004" t="str">
        <f t="shared" si="746"/>
        <v>Y</v>
      </c>
      <c r="H3004" t="str">
        <f t="shared" si="758"/>
        <v>EA</v>
      </c>
      <c r="I3004">
        <v>0</v>
      </c>
      <c r="J3004">
        <v>0</v>
      </c>
      <c r="K3004" t="str">
        <f t="shared" si="747"/>
        <v>Y</v>
      </c>
      <c r="L3004">
        <v>0</v>
      </c>
      <c r="M3004" t="str">
        <f t="shared" si="759"/>
        <v>NIS</v>
      </c>
      <c r="O3004">
        <v>18</v>
      </c>
      <c r="P3004" t="str">
        <f t="shared" si="755"/>
        <v>Active</v>
      </c>
      <c r="Q3004" t="str">
        <f>"Tailstock extender MT2 13mm tailstock chuck"</f>
        <v>Tailstock extender MT2 13mm tailstock chuck</v>
      </c>
      <c r="S3004" t="str">
        <f>"Drill Chuck for Tailstock MT2 13mm"</f>
        <v>Drill Chuck for Tailstock MT2 13mm</v>
      </c>
      <c r="T3004">
        <v>0</v>
      </c>
      <c r="U3004">
        <v>21.07</v>
      </c>
      <c r="V3004">
        <v>23.52</v>
      </c>
      <c r="W3004" t="str">
        <f t="shared" si="754"/>
        <v>rob</v>
      </c>
    </row>
    <row r="3005" spans="1:23">
      <c r="A3005" t="str">
        <f t="shared" si="756"/>
        <v>MTS-ER9P-BT7000</v>
      </c>
      <c r="B3005" t="str">
        <f>"10-1111-1000"</f>
        <v>10-1111-1000</v>
      </c>
      <c r="C3005" t="str">
        <f>"- Handwheel - Manual Control"</f>
        <v>- Handwheel - Manual Control</v>
      </c>
      <c r="D3005">
        <v>1</v>
      </c>
      <c r="E3005" t="str">
        <f t="shared" si="757"/>
        <v>FMS - Scorbot ER9Pro Robot with BenchTurn 7000 CNC Turning machine</v>
      </c>
      <c r="F3005">
        <v>502</v>
      </c>
      <c r="G3005" t="str">
        <f t="shared" si="746"/>
        <v>Y</v>
      </c>
      <c r="H3005" t="str">
        <f t="shared" si="758"/>
        <v>EA</v>
      </c>
      <c r="I3005">
        <v>0</v>
      </c>
      <c r="J3005">
        <v>0</v>
      </c>
      <c r="K3005" t="str">
        <f t="shared" si="747"/>
        <v>Y</v>
      </c>
      <c r="L3005">
        <v>0</v>
      </c>
      <c r="M3005" t="str">
        <f t="shared" si="759"/>
        <v>NIS</v>
      </c>
      <c r="O3005">
        <v>19</v>
      </c>
      <c r="P3005" t="str">
        <f t="shared" si="755"/>
        <v>Active</v>
      </c>
      <c r="Q3005" t="str">
        <f>"Hand wheel"</f>
        <v>Hand wheel</v>
      </c>
      <c r="S3005" t="str">
        <f>"Jog Pendant Handwheel"</f>
        <v>Jog Pendant Handwheel</v>
      </c>
      <c r="T3005">
        <v>0</v>
      </c>
      <c r="U3005">
        <v>235</v>
      </c>
      <c r="V3005">
        <v>235.03</v>
      </c>
      <c r="W3005" t="str">
        <f t="shared" si="754"/>
        <v>rob</v>
      </c>
    </row>
    <row r="3006" spans="1:23">
      <c r="A3006" t="str">
        <f t="shared" si="756"/>
        <v>MTS-ER9P-BT7000</v>
      </c>
      <c r="B3006" t="str">
        <f>"10-1106-7000"</f>
        <v>10-1106-7000</v>
      </c>
      <c r="C3006" t="str">
        <f>"- 100mm 4 independent jaw chuck"</f>
        <v>- 100mm 4 independent jaw chuck</v>
      </c>
      <c r="D3006">
        <v>1</v>
      </c>
      <c r="E3006" t="str">
        <f t="shared" si="757"/>
        <v>FMS - Scorbot ER9Pro Robot with BenchTurn 7000 CNC Turning machine</v>
      </c>
      <c r="F3006">
        <v>502</v>
      </c>
      <c r="G3006" t="str">
        <f t="shared" si="746"/>
        <v>Y</v>
      </c>
      <c r="H3006" t="str">
        <f t="shared" si="758"/>
        <v>EA</v>
      </c>
      <c r="I3006">
        <v>0</v>
      </c>
      <c r="J3006">
        <v>0</v>
      </c>
      <c r="K3006" t="str">
        <f t="shared" si="747"/>
        <v>Y</v>
      </c>
      <c r="L3006">
        <v>0</v>
      </c>
      <c r="M3006" t="str">
        <f t="shared" si="759"/>
        <v>NIS</v>
      </c>
      <c r="N3006" t="str">
        <f>"Y"</f>
        <v>Y</v>
      </c>
      <c r="O3006">
        <v>20</v>
      </c>
      <c r="P3006" t="str">
        <f t="shared" si="755"/>
        <v>Active</v>
      </c>
      <c r="Q3006" t="str">
        <f>"100mm 4-jaw chuck (independent)"</f>
        <v>100mm 4-jaw chuck (independent)</v>
      </c>
      <c r="S3006" t="str">
        <f>"100mm 4-jaw chuck (independent)"</f>
        <v>100mm 4-jaw chuck (independent)</v>
      </c>
      <c r="T3006">
        <v>0</v>
      </c>
      <c r="U3006">
        <v>64.39</v>
      </c>
      <c r="V3006">
        <v>67.209999999999994</v>
      </c>
      <c r="W3006" t="str">
        <f t="shared" si="754"/>
        <v>rob</v>
      </c>
    </row>
    <row r="3007" spans="1:23">
      <c r="A3007" t="str">
        <f t="shared" si="756"/>
        <v>MTS-ER9P-BT7000</v>
      </c>
      <c r="B3007" t="str">
        <f>"10-1108-1220"</f>
        <v>10-1108-1220</v>
      </c>
      <c r="C3007" t="str">
        <f>"- Coolant system 27L -220V"</f>
        <v>- Coolant system 27L -220V</v>
      </c>
      <c r="D3007">
        <v>1</v>
      </c>
      <c r="E3007" t="str">
        <f t="shared" si="757"/>
        <v>FMS - Scorbot ER9Pro Robot with BenchTurn 7000 CNC Turning machine</v>
      </c>
      <c r="F3007">
        <v>502</v>
      </c>
      <c r="G3007" t="str">
        <f t="shared" si="746"/>
        <v>Y</v>
      </c>
      <c r="H3007" t="str">
        <f t="shared" si="758"/>
        <v>EA</v>
      </c>
      <c r="I3007">
        <v>0</v>
      </c>
      <c r="J3007">
        <v>0</v>
      </c>
      <c r="K3007" t="str">
        <f t="shared" si="747"/>
        <v>Y</v>
      </c>
      <c r="L3007">
        <v>0</v>
      </c>
      <c r="M3007" t="str">
        <f t="shared" si="759"/>
        <v>NIS</v>
      </c>
      <c r="N3007" t="str">
        <f>"Y"</f>
        <v>Y</v>
      </c>
      <c r="O3007">
        <v>21</v>
      </c>
      <c r="P3007" t="str">
        <f t="shared" si="755"/>
        <v>Active</v>
      </c>
      <c r="Q3007" t="str">
        <f>"Coolant system 27L"</f>
        <v>Coolant system 27L</v>
      </c>
      <c r="S3007" t="str">
        <f>"Coolant system 27L - 220V"</f>
        <v>Coolant system 27L - 220V</v>
      </c>
      <c r="T3007">
        <v>0</v>
      </c>
      <c r="U3007">
        <v>117.08</v>
      </c>
      <c r="V3007">
        <v>117.15</v>
      </c>
      <c r="W3007" t="str">
        <f t="shared" si="754"/>
        <v>rob</v>
      </c>
    </row>
    <row r="3008" spans="1:23">
      <c r="A3008" t="str">
        <f t="shared" si="756"/>
        <v>MTS-ER9P-BT7000</v>
      </c>
      <c r="B3008" t="str">
        <f>"63-7001-1000"</f>
        <v>63-7001-1000</v>
      </c>
      <c r="C3008" t="str">
        <f>"-CNCMotion for BenchTurn 7000"</f>
        <v>-CNCMotion for BenchTurn 7000</v>
      </c>
      <c r="D3008">
        <v>1</v>
      </c>
      <c r="E3008" t="str">
        <f t="shared" si="757"/>
        <v>FMS - Scorbot ER9Pro Robot with BenchTurn 7000 CNC Turning machine</v>
      </c>
      <c r="F3008">
        <v>502</v>
      </c>
      <c r="G3008" t="str">
        <f t="shared" si="746"/>
        <v>Y</v>
      </c>
      <c r="H3008" t="str">
        <f t="shared" si="758"/>
        <v>EA</v>
      </c>
      <c r="I3008">
        <v>0</v>
      </c>
      <c r="J3008">
        <v>0</v>
      </c>
      <c r="K3008" t="str">
        <f t="shared" si="747"/>
        <v>Y</v>
      </c>
      <c r="L3008">
        <v>0</v>
      </c>
      <c r="M3008" t="str">
        <f t="shared" si="759"/>
        <v>NIS</v>
      </c>
      <c r="O3008">
        <v>22</v>
      </c>
      <c r="P3008" t="str">
        <f t="shared" si="755"/>
        <v>Active</v>
      </c>
      <c r="Q3008" t="str">
        <f>"CNCMotion Sim. Sftwr, BenchTurn 7000"</f>
        <v>CNCMotion Sim. Sftwr, BenchTurn 7000</v>
      </c>
      <c r="S3008" t="str">
        <f>"CNCMotion Sim. Sftwr, BenchTurn 7000"</f>
        <v>CNCMotion Sim. Sftwr, BenchTurn 7000</v>
      </c>
      <c r="T3008">
        <v>0</v>
      </c>
      <c r="U3008">
        <v>10</v>
      </c>
      <c r="V3008">
        <v>0</v>
      </c>
      <c r="W3008" t="str">
        <f t="shared" si="754"/>
        <v>rob</v>
      </c>
    </row>
    <row r="3009" spans="1:23">
      <c r="A3009" t="str">
        <f t="shared" si="756"/>
        <v>MTS-ER9P-BT7000</v>
      </c>
      <c r="B3009" t="str">
        <f>"63-6743-0000"</f>
        <v>63-6743-0000</v>
      </c>
      <c r="C3009" t="str">
        <f>"Software, SpectraCAM Turning"</f>
        <v>Software, SpectraCAM Turning</v>
      </c>
      <c r="D3009">
        <v>1</v>
      </c>
      <c r="E3009" t="str">
        <f t="shared" si="757"/>
        <v>FMS - Scorbot ER9Pro Robot with BenchTurn 7000 CNC Turning machine</v>
      </c>
      <c r="F3009">
        <v>502</v>
      </c>
      <c r="G3009" t="str">
        <f t="shared" si="746"/>
        <v>Y</v>
      </c>
      <c r="H3009" t="str">
        <f t="shared" si="758"/>
        <v>EA</v>
      </c>
      <c r="I3009">
        <v>0</v>
      </c>
      <c r="J3009">
        <v>0</v>
      </c>
      <c r="K3009" t="str">
        <f t="shared" si="747"/>
        <v>Y</v>
      </c>
      <c r="L3009">
        <v>0</v>
      </c>
      <c r="M3009" t="str">
        <f t="shared" si="759"/>
        <v>NIS</v>
      </c>
      <c r="O3009">
        <v>23</v>
      </c>
      <c r="P3009" t="str">
        <f t="shared" si="755"/>
        <v>Active</v>
      </c>
      <c r="Q3009" t="str">
        <f>"Software, SpectraCAM Turning"</f>
        <v>Software, SpectraCAM Turning</v>
      </c>
      <c r="S3009" t="str">
        <f>"Software, SpectraCAM Turning"</f>
        <v>Software, SpectraCAM Turning</v>
      </c>
      <c r="T3009">
        <v>0</v>
      </c>
      <c r="U3009">
        <v>10</v>
      </c>
      <c r="V3009">
        <v>10.4</v>
      </c>
      <c r="W3009" t="str">
        <f t="shared" si="754"/>
        <v>rob</v>
      </c>
    </row>
    <row r="3010" spans="1:23">
      <c r="A3010" t="str">
        <f t="shared" si="756"/>
        <v>MTS-ER9P-BT7000</v>
      </c>
      <c r="B3010" t="str">
        <f>"112496"</f>
        <v>112496</v>
      </c>
      <c r="C3010" t="str">
        <f>"Raw Material - Brass  Rod"</f>
        <v>Raw Material - Brass  Rod</v>
      </c>
      <c r="D3010">
        <v>50</v>
      </c>
      <c r="E3010" t="str">
        <f t="shared" si="757"/>
        <v>FMS - Scorbot ER9Pro Robot with BenchTurn 7000 CNC Turning machine</v>
      </c>
      <c r="F3010">
        <v>502</v>
      </c>
      <c r="G3010" t="str">
        <f t="shared" ref="G3010:G3073" si="760">"Y"</f>
        <v>Y</v>
      </c>
      <c r="H3010" t="str">
        <f t="shared" si="758"/>
        <v>EA</v>
      </c>
      <c r="I3010">
        <v>0</v>
      </c>
      <c r="J3010">
        <v>0</v>
      </c>
      <c r="K3010" t="str">
        <f t="shared" ref="K3010:K3073" si="761">"Y"</f>
        <v>Y</v>
      </c>
      <c r="L3010">
        <v>0</v>
      </c>
      <c r="M3010" t="str">
        <f t="shared" si="759"/>
        <v>NIS</v>
      </c>
      <c r="O3010">
        <v>24</v>
      </c>
      <c r="P3010" t="str">
        <f t="shared" si="755"/>
        <v>Active</v>
      </c>
      <c r="Q3010" t="str">
        <f>"Raw Material Stock - Brass  Rod"</f>
        <v>Raw Material Stock - Brass  Rod</v>
      </c>
      <c r="S3010" t="str">
        <f>"Raw Material Stock - Brass  Rod"</f>
        <v>Raw Material Stock - Brass  Rod</v>
      </c>
      <c r="T3010">
        <v>0</v>
      </c>
      <c r="U3010">
        <v>3.67</v>
      </c>
      <c r="V3010">
        <v>2.69</v>
      </c>
      <c r="W3010" t="str">
        <f t="shared" si="754"/>
        <v>rob</v>
      </c>
    </row>
    <row r="3011" spans="1:23">
      <c r="A3011" t="str">
        <f t="shared" si="756"/>
        <v>MTS-ER9P-BT7000</v>
      </c>
      <c r="B3011" t="str">
        <f>"00-1261-0000"</f>
        <v>00-1261-0000</v>
      </c>
      <c r="C3011" t="str">
        <f>"Workbench 1800x900mm (Heavy duty for CNC)"</f>
        <v>Workbench 1800x900mm (Heavy duty for CNC)</v>
      </c>
      <c r="D3011">
        <v>1</v>
      </c>
      <c r="E3011" t="str">
        <f t="shared" si="757"/>
        <v>FMS - Scorbot ER9Pro Robot with BenchTurn 7000 CNC Turning machine</v>
      </c>
      <c r="F3011">
        <v>502</v>
      </c>
      <c r="G3011" t="str">
        <f t="shared" si="760"/>
        <v>Y</v>
      </c>
      <c r="H3011" t="str">
        <f t="shared" si="758"/>
        <v>EA</v>
      </c>
      <c r="I3011">
        <v>0</v>
      </c>
      <c r="J3011">
        <v>0</v>
      </c>
      <c r="K3011" t="str">
        <f t="shared" si="761"/>
        <v>Y</v>
      </c>
      <c r="L3011">
        <v>0</v>
      </c>
      <c r="M3011" t="str">
        <f t="shared" si="759"/>
        <v>NIS</v>
      </c>
      <c r="O3011">
        <v>25</v>
      </c>
      <c r="P3011" t="str">
        <f t="shared" si="755"/>
        <v>Active</v>
      </c>
      <c r="Q3011" t="str">
        <f>"Workbench 1800x900mm (Heavy duty for CNC)"</f>
        <v>Workbench 1800x900mm (Heavy duty for CNC)</v>
      </c>
      <c r="S3011" t="str">
        <f>"Workbench 1800x900mm (Heavy duty for CNC)"</f>
        <v>Workbench 1800x900mm (Heavy duty for CNC)</v>
      </c>
      <c r="T3011">
        <v>0</v>
      </c>
      <c r="U3011">
        <v>830</v>
      </c>
      <c r="V3011">
        <v>831.14</v>
      </c>
      <c r="W3011" t="str">
        <f t="shared" si="754"/>
        <v>rob</v>
      </c>
    </row>
    <row r="3012" spans="1:23">
      <c r="A3012" t="str">
        <f t="shared" si="756"/>
        <v>MTS-ER9P-BT7000</v>
      </c>
      <c r="B3012" t="str">
        <f>"00-1265-0000"</f>
        <v>00-1265-0000</v>
      </c>
      <c r="C3012" t="str">
        <f>"PC Extension Shelf  600x900mm"</f>
        <v>PC Extension Shelf  600x900mm</v>
      </c>
      <c r="D3012">
        <v>1</v>
      </c>
      <c r="E3012" t="str">
        <f t="shared" si="757"/>
        <v>FMS - Scorbot ER9Pro Robot with BenchTurn 7000 CNC Turning machine</v>
      </c>
      <c r="F3012">
        <v>502</v>
      </c>
      <c r="G3012" t="str">
        <f t="shared" si="760"/>
        <v>Y</v>
      </c>
      <c r="H3012" t="str">
        <f t="shared" si="758"/>
        <v>EA</v>
      </c>
      <c r="I3012">
        <v>0</v>
      </c>
      <c r="J3012">
        <v>0</v>
      </c>
      <c r="K3012" t="str">
        <f t="shared" si="761"/>
        <v>Y</v>
      </c>
      <c r="L3012">
        <v>0</v>
      </c>
      <c r="M3012" t="str">
        <f t="shared" si="759"/>
        <v>NIS</v>
      </c>
      <c r="O3012">
        <v>26</v>
      </c>
      <c r="P3012" t="str">
        <f t="shared" si="755"/>
        <v>Active</v>
      </c>
      <c r="Q3012" t="str">
        <f>"PC Extension Shelf  600x900mm"</f>
        <v>PC Extension Shelf  600x900mm</v>
      </c>
      <c r="S3012" t="str">
        <f>"PC Extension Shelf  600x900mm"</f>
        <v>PC Extension Shelf  600x900mm</v>
      </c>
      <c r="T3012">
        <v>0</v>
      </c>
      <c r="U3012">
        <v>211</v>
      </c>
      <c r="V3012">
        <v>198.88</v>
      </c>
      <c r="W3012" t="str">
        <f t="shared" si="754"/>
        <v>rob</v>
      </c>
    </row>
    <row r="3013" spans="1:23">
      <c r="A3013" t="str">
        <f t="shared" si="756"/>
        <v>MTS-ER9P-BT7000</v>
      </c>
      <c r="B3013" t="str">
        <f>"50-0094-0000"</f>
        <v>50-0094-0000</v>
      </c>
      <c r="C3013" t="str">
        <f>"Pre-Engineering, Design and Testing"</f>
        <v>Pre-Engineering, Design and Testing</v>
      </c>
      <c r="D3013">
        <v>1</v>
      </c>
      <c r="E3013" t="str">
        <f t="shared" si="757"/>
        <v>FMS - Scorbot ER9Pro Robot with BenchTurn 7000 CNC Turning machine</v>
      </c>
      <c r="F3013">
        <v>502</v>
      </c>
      <c r="G3013" t="str">
        <f t="shared" si="760"/>
        <v>Y</v>
      </c>
      <c r="H3013" t="str">
        <f>"DA"</f>
        <v>DA</v>
      </c>
      <c r="I3013">
        <v>0</v>
      </c>
      <c r="J3013">
        <v>0</v>
      </c>
      <c r="K3013" t="str">
        <f t="shared" si="761"/>
        <v>Y</v>
      </c>
      <c r="L3013">
        <v>0</v>
      </c>
      <c r="M3013" t="str">
        <f t="shared" si="759"/>
        <v>NIS</v>
      </c>
      <c r="O3013">
        <v>27</v>
      </c>
      <c r="P3013" t="str">
        <f t="shared" si="755"/>
        <v>Active</v>
      </c>
      <c r="Q3013" t="str">
        <f>"Pre-Engineering, Design and Testing"</f>
        <v>Pre-Engineering, Design and Testing</v>
      </c>
      <c r="S3013" t="str">
        <f>"Pre-Engineering, Design and Testing"</f>
        <v>Pre-Engineering, Design and Testing</v>
      </c>
      <c r="T3013">
        <v>0</v>
      </c>
      <c r="U3013">
        <v>405</v>
      </c>
      <c r="V3013">
        <v>421.2</v>
      </c>
      <c r="W3013" t="str">
        <f t="shared" si="754"/>
        <v>rob</v>
      </c>
    </row>
    <row r="3014" spans="1:23">
      <c r="A3014" t="str">
        <f t="shared" ref="A3014:A3028" si="762">"MTS-ER9P-CNC-CM"</f>
        <v>MTS-ER9P-CNC-CM</v>
      </c>
      <c r="B3014" t="str">
        <f>"00-0430-0000"</f>
        <v>00-0430-0000</v>
      </c>
      <c r="C3014" t="str">
        <f>"SCORBOT-ER9Pro"</f>
        <v>SCORBOT-ER9Pro</v>
      </c>
      <c r="D3014">
        <v>1</v>
      </c>
      <c r="E3014" t="str">
        <f t="shared" ref="E3014:E3028" si="763">"FMS - Scorbot ER9Pro Robot for EMCO CNC Milling machine"</f>
        <v>FMS - Scorbot ER9Pro Robot for EMCO CNC Milling machine</v>
      </c>
      <c r="F3014">
        <v>502</v>
      </c>
      <c r="G3014" t="str">
        <f t="shared" si="760"/>
        <v>Y</v>
      </c>
      <c r="H3014" t="str">
        <f t="shared" ref="H3014:H3027" si="764">"EA"</f>
        <v>EA</v>
      </c>
      <c r="I3014">
        <v>0</v>
      </c>
      <c r="J3014">
        <v>0</v>
      </c>
      <c r="K3014" t="str">
        <f t="shared" si="761"/>
        <v>Y</v>
      </c>
      <c r="L3014">
        <v>0</v>
      </c>
      <c r="M3014" t="str">
        <f t="shared" si="759"/>
        <v>NIS</v>
      </c>
      <c r="O3014">
        <v>1</v>
      </c>
      <c r="P3014" t="str">
        <f t="shared" si="755"/>
        <v>Active</v>
      </c>
      <c r="Q3014" t="str">
        <f>"SCORBOT-ER 9Pro (incl. USB-Pro Controller)"</f>
        <v>SCORBOT-ER 9Pro (incl. USB-Pro Controller)</v>
      </c>
      <c r="S3014" t="str">
        <f>"SCORBOT-ER 9Pro (incl. USB-Pro Controller)"</f>
        <v>SCORBOT-ER 9Pro (incl. USB-Pro Controller)</v>
      </c>
      <c r="T3014">
        <v>0</v>
      </c>
      <c r="U3014" s="44">
        <v>10900</v>
      </c>
      <c r="V3014" s="44">
        <v>11661.57</v>
      </c>
      <c r="W3014" t="str">
        <f t="shared" si="754"/>
        <v>rob</v>
      </c>
    </row>
    <row r="3015" spans="1:23">
      <c r="A3015" t="str">
        <f t="shared" si="762"/>
        <v>MTS-ER9P-CNC-CM</v>
      </c>
      <c r="B3015" t="str">
        <f>"00-0633-0000"</f>
        <v>00-0633-0000</v>
      </c>
      <c r="C3015" t="str">
        <f>"Pneumatic Gripper for ER9-Pro"</f>
        <v>Pneumatic Gripper for ER9-Pro</v>
      </c>
      <c r="D3015">
        <v>1</v>
      </c>
      <c r="E3015" t="str">
        <f t="shared" si="763"/>
        <v>FMS - Scorbot ER9Pro Robot for EMCO CNC Milling machine</v>
      </c>
      <c r="F3015">
        <v>502</v>
      </c>
      <c r="G3015" t="str">
        <f t="shared" si="760"/>
        <v>Y</v>
      </c>
      <c r="H3015" t="str">
        <f t="shared" si="764"/>
        <v>EA</v>
      </c>
      <c r="I3015">
        <v>0</v>
      </c>
      <c r="J3015">
        <v>0</v>
      </c>
      <c r="K3015" t="str">
        <f t="shared" si="761"/>
        <v>Y</v>
      </c>
      <c r="L3015">
        <v>0</v>
      </c>
      <c r="M3015" t="str">
        <f t="shared" si="759"/>
        <v>NIS</v>
      </c>
      <c r="O3015">
        <v>2</v>
      </c>
      <c r="P3015" t="str">
        <f t="shared" si="755"/>
        <v>Active</v>
      </c>
      <c r="Q3015" t="str">
        <f>"Pneumatic Gripper for ER 9Pro"</f>
        <v>Pneumatic Gripper for ER 9Pro</v>
      </c>
      <c r="S3015" t="str">
        <f>"Pneumatic Gripper for ER9-Pro"</f>
        <v>Pneumatic Gripper for ER9-Pro</v>
      </c>
      <c r="T3015">
        <v>0</v>
      </c>
      <c r="U3015">
        <v>630</v>
      </c>
      <c r="V3015">
        <v>624.72</v>
      </c>
      <c r="W3015" t="str">
        <f t="shared" si="754"/>
        <v>rob</v>
      </c>
    </row>
    <row r="3016" spans="1:23">
      <c r="A3016" t="str">
        <f t="shared" si="762"/>
        <v>MTS-ER9P-CNC-CM</v>
      </c>
      <c r="B3016" t="str">
        <f>"00-1710-0000"</f>
        <v>00-1710-0000</v>
      </c>
      <c r="C3016" t="str">
        <f>"Teach Pendant"</f>
        <v>Teach Pendant</v>
      </c>
      <c r="D3016">
        <v>1</v>
      </c>
      <c r="E3016" t="str">
        <f t="shared" si="763"/>
        <v>FMS - Scorbot ER9Pro Robot for EMCO CNC Milling machine</v>
      </c>
      <c r="F3016">
        <v>502</v>
      </c>
      <c r="G3016" t="str">
        <f t="shared" si="760"/>
        <v>Y</v>
      </c>
      <c r="H3016" t="str">
        <f t="shared" si="764"/>
        <v>EA</v>
      </c>
      <c r="I3016">
        <v>0</v>
      </c>
      <c r="J3016">
        <v>0</v>
      </c>
      <c r="K3016" t="str">
        <f t="shared" si="761"/>
        <v>Y</v>
      </c>
      <c r="L3016">
        <v>0</v>
      </c>
      <c r="M3016" t="str">
        <f t="shared" si="759"/>
        <v>NIS</v>
      </c>
      <c r="O3016">
        <v>3</v>
      </c>
      <c r="P3016" t="str">
        <f t="shared" si="755"/>
        <v>Active</v>
      </c>
      <c r="Q3016" t="str">
        <f>"Teach Pendant for USB/USB Pro Controllers"</f>
        <v>Teach Pendant for USB/USB Pro Controllers</v>
      </c>
      <c r="S3016" t="str">
        <f>"Teach Pendant for USB/USB Pro Controllers"</f>
        <v>Teach Pendant for USB/USB Pro Controllers</v>
      </c>
      <c r="T3016">
        <v>0</v>
      </c>
      <c r="U3016">
        <v>160.18</v>
      </c>
      <c r="V3016">
        <v>161.44999999999999</v>
      </c>
      <c r="W3016" t="str">
        <f t="shared" si="754"/>
        <v>rob</v>
      </c>
    </row>
    <row r="3017" spans="1:23">
      <c r="A3017" t="str">
        <f t="shared" si="762"/>
        <v>MTS-ER9P-CNC-CM</v>
      </c>
      <c r="B3017" t="str">
        <f>"00-1016-0000"</f>
        <v>00-1016-0000</v>
      </c>
      <c r="C3017" t="str">
        <f>"LSB 1.0m, Belt, FM"</f>
        <v>LSB 1.0m, Belt, FM</v>
      </c>
      <c r="D3017">
        <v>1</v>
      </c>
      <c r="E3017" t="str">
        <f t="shared" si="763"/>
        <v>FMS - Scorbot ER9Pro Robot for EMCO CNC Milling machine</v>
      </c>
      <c r="F3017">
        <v>502</v>
      </c>
      <c r="G3017" t="str">
        <f t="shared" si="760"/>
        <v>Y</v>
      </c>
      <c r="H3017" t="str">
        <f t="shared" si="764"/>
        <v>EA</v>
      </c>
      <c r="I3017">
        <v>0</v>
      </c>
      <c r="J3017">
        <v>0</v>
      </c>
      <c r="K3017" t="str">
        <f t="shared" si="761"/>
        <v>Y</v>
      </c>
      <c r="L3017">
        <v>0</v>
      </c>
      <c r="M3017" t="str">
        <f t="shared" si="759"/>
        <v>NIS</v>
      </c>
      <c r="O3017">
        <v>4</v>
      </c>
      <c r="P3017" t="str">
        <f t="shared" si="755"/>
        <v>Active</v>
      </c>
      <c r="Q3017" t="str">
        <f>"LSB 1.0m (Belt, Floor Mounted incl. Stand)"</f>
        <v>LSB 1.0m (Belt, Floor Mounted incl. Stand)</v>
      </c>
      <c r="S3017" t="str">
        <f>"LSB 1.0m, Belt, Floor Mounted incl. Stand"</f>
        <v>LSB 1.0m, Belt, Floor Mounted incl. Stand</v>
      </c>
      <c r="T3017">
        <v>0</v>
      </c>
      <c r="U3017" s="44">
        <v>2336.16</v>
      </c>
      <c r="V3017" s="44">
        <v>2301.0500000000002</v>
      </c>
      <c r="W3017" t="str">
        <f t="shared" si="754"/>
        <v>rob</v>
      </c>
    </row>
    <row r="3018" spans="1:23">
      <c r="A3018" t="str">
        <f t="shared" si="762"/>
        <v>MTS-ER9P-CNC-CM</v>
      </c>
      <c r="B3018" t="str">
        <f>"00-1110-0000"</f>
        <v>00-1110-0000</v>
      </c>
      <c r="C3018" t="str">
        <f>"Palletizing Rack"</f>
        <v>Palletizing Rack</v>
      </c>
      <c r="D3018">
        <v>1</v>
      </c>
      <c r="E3018" t="str">
        <f t="shared" si="763"/>
        <v>FMS - Scorbot ER9Pro Robot for EMCO CNC Milling machine</v>
      </c>
      <c r="F3018">
        <v>502</v>
      </c>
      <c r="G3018" t="str">
        <f t="shared" si="760"/>
        <v>Y</v>
      </c>
      <c r="H3018" t="str">
        <f t="shared" si="764"/>
        <v>EA</v>
      </c>
      <c r="I3018">
        <v>0</v>
      </c>
      <c r="J3018">
        <v>0</v>
      </c>
      <c r="K3018" t="str">
        <f t="shared" si="761"/>
        <v>Y</v>
      </c>
      <c r="L3018">
        <v>0</v>
      </c>
      <c r="M3018" t="str">
        <f t="shared" si="759"/>
        <v>NIS</v>
      </c>
      <c r="O3018">
        <v>5</v>
      </c>
      <c r="P3018" t="str">
        <f t="shared" si="755"/>
        <v>Active</v>
      </c>
      <c r="Q3018" t="str">
        <f>"Palletizing Rack (incl. Pins for creating Jigs)"</f>
        <v>Palletizing Rack (incl. Pins for creating Jigs)</v>
      </c>
      <c r="S3018" t="str">
        <f>"Palletizing Rack (incl. Pins for creating Jigs)"</f>
        <v>Palletizing Rack (incl. Pins for creating Jigs)</v>
      </c>
      <c r="T3018">
        <v>0</v>
      </c>
      <c r="U3018">
        <v>63</v>
      </c>
      <c r="V3018">
        <v>58.59</v>
      </c>
      <c r="W3018" t="str">
        <f t="shared" si="754"/>
        <v>rob</v>
      </c>
    </row>
    <row r="3019" spans="1:23">
      <c r="A3019" t="str">
        <f t="shared" si="762"/>
        <v>MTS-ER9P-CNC-CM</v>
      </c>
      <c r="B3019" t="str">
        <f>"021182"</f>
        <v>021182</v>
      </c>
      <c r="C3019" t="str">
        <f>"97mm Height Adapter"</f>
        <v>97mm Height Adapter</v>
      </c>
      <c r="D3019">
        <v>1</v>
      </c>
      <c r="E3019" t="str">
        <f t="shared" si="763"/>
        <v>FMS - Scorbot ER9Pro Robot for EMCO CNC Milling machine</v>
      </c>
      <c r="F3019">
        <v>502</v>
      </c>
      <c r="G3019" t="str">
        <f t="shared" si="760"/>
        <v>Y</v>
      </c>
      <c r="H3019" t="str">
        <f t="shared" si="764"/>
        <v>EA</v>
      </c>
      <c r="I3019">
        <v>0</v>
      </c>
      <c r="J3019">
        <v>0</v>
      </c>
      <c r="K3019" t="str">
        <f t="shared" si="761"/>
        <v>Y</v>
      </c>
      <c r="L3019">
        <v>0</v>
      </c>
      <c r="M3019" t="str">
        <f t="shared" si="759"/>
        <v>NIS</v>
      </c>
      <c r="O3019">
        <v>15</v>
      </c>
      <c r="P3019" t="str">
        <f t="shared" si="755"/>
        <v>Active</v>
      </c>
      <c r="Q3019" t="str">
        <f>"97mm Height Adapter -Rack 001110 on formica 28mm"</f>
        <v>97mm Height Adapter -Rack 001110 on formica 28mm</v>
      </c>
      <c r="S3019" t="str">
        <f>"97mm Height Adapter -Rack 001110 on formica 28mm"</f>
        <v>97mm Height Adapter -Rack 001110 on formica 28mm</v>
      </c>
      <c r="T3019">
        <v>0</v>
      </c>
      <c r="U3019">
        <v>7</v>
      </c>
      <c r="V3019">
        <v>5.5</v>
      </c>
      <c r="W3019" t="str">
        <f t="shared" si="754"/>
        <v>rob</v>
      </c>
    </row>
    <row r="3020" spans="1:23">
      <c r="A3020" t="str">
        <f t="shared" si="762"/>
        <v>MTS-ER9P-CNC-CM</v>
      </c>
      <c r="B3020" t="str">
        <f>"10-2521-7000"</f>
        <v>10-2521-7000</v>
      </c>
      <c r="C3020" t="str">
        <f>"Pneumatic Feeder for Rectangular products"</f>
        <v>Pneumatic Feeder for Rectangular products</v>
      </c>
      <c r="D3020">
        <v>1</v>
      </c>
      <c r="E3020" t="str">
        <f t="shared" si="763"/>
        <v>FMS - Scorbot ER9Pro Robot for EMCO CNC Milling machine</v>
      </c>
      <c r="F3020">
        <v>502</v>
      </c>
      <c r="G3020" t="str">
        <f t="shared" si="760"/>
        <v>Y</v>
      </c>
      <c r="H3020" t="str">
        <f t="shared" si="764"/>
        <v>EA</v>
      </c>
      <c r="I3020">
        <v>0</v>
      </c>
      <c r="J3020">
        <v>0</v>
      </c>
      <c r="K3020" t="str">
        <f t="shared" si="761"/>
        <v>Y</v>
      </c>
      <c r="L3020">
        <v>0</v>
      </c>
      <c r="M3020" t="str">
        <f t="shared" ref="M3020:M3051" si="765">"NIS"</f>
        <v>NIS</v>
      </c>
      <c r="O3020">
        <v>6</v>
      </c>
      <c r="P3020" t="str">
        <f t="shared" si="755"/>
        <v>Active</v>
      </c>
      <c r="Q3020" t="str">
        <f>"Pneumatic Feeder for Rectangular Parts"</f>
        <v>Pneumatic Feeder for Rectangular Parts</v>
      </c>
      <c r="S3020" t="str">
        <f>"Pneumatic Feeder for Rectangular Parts"</f>
        <v>Pneumatic Feeder for Rectangular Parts</v>
      </c>
      <c r="T3020">
        <v>0</v>
      </c>
      <c r="U3020">
        <v>595</v>
      </c>
      <c r="V3020">
        <v>555.15</v>
      </c>
      <c r="W3020" t="str">
        <f t="shared" si="754"/>
        <v>rob</v>
      </c>
    </row>
    <row r="3021" spans="1:23">
      <c r="A3021" t="str">
        <f t="shared" si="762"/>
        <v>MTS-ER9P-CNC-CM</v>
      </c>
      <c r="B3021" t="str">
        <f>"034025"</f>
        <v>034025</v>
      </c>
      <c r="C3021" t="str">
        <f>"I/O Interface Box for Controller USB-PRO"</f>
        <v>I/O Interface Box for Controller USB-PRO</v>
      </c>
      <c r="D3021">
        <v>1</v>
      </c>
      <c r="E3021" t="str">
        <f t="shared" si="763"/>
        <v>FMS - Scorbot ER9Pro Robot for EMCO CNC Milling machine</v>
      </c>
      <c r="F3021">
        <v>502</v>
      </c>
      <c r="G3021" t="str">
        <f t="shared" si="760"/>
        <v>Y</v>
      </c>
      <c r="H3021" t="str">
        <f t="shared" si="764"/>
        <v>EA</v>
      </c>
      <c r="I3021">
        <v>0</v>
      </c>
      <c r="J3021">
        <v>0</v>
      </c>
      <c r="K3021" t="str">
        <f t="shared" si="761"/>
        <v>Y</v>
      </c>
      <c r="L3021">
        <v>0</v>
      </c>
      <c r="M3021" t="str">
        <f t="shared" si="765"/>
        <v>NIS</v>
      </c>
      <c r="O3021">
        <v>7</v>
      </c>
      <c r="P3021" t="str">
        <f t="shared" si="755"/>
        <v>Active</v>
      </c>
      <c r="Q3021" t="str">
        <f>"I/O Interface Box for Controller USB-PRO"</f>
        <v>I/O Interface Box for Controller USB-PRO</v>
      </c>
      <c r="S3021" t="str">
        <f>"קופסת 2+Interface Box I/O כבלים לבקר USBPRO"</f>
        <v>קופסת 2+Interface Box I/O כבלים לבקר USBPRO</v>
      </c>
      <c r="T3021">
        <v>0</v>
      </c>
      <c r="U3021">
        <v>470</v>
      </c>
      <c r="V3021">
        <v>463.62</v>
      </c>
      <c r="W3021" t="str">
        <f t="shared" si="754"/>
        <v>rob</v>
      </c>
    </row>
    <row r="3022" spans="1:23">
      <c r="A3022" t="str">
        <f t="shared" si="762"/>
        <v>MTS-ER9P-CNC-CM</v>
      </c>
      <c r="B3022" t="str">
        <f>"10-2118-6000"</f>
        <v>10-2118-6000</v>
      </c>
      <c r="C3022" t="str">
        <f>"CNC Interface with EMCO MILL"</f>
        <v>CNC Interface with EMCO MILL</v>
      </c>
      <c r="D3022">
        <v>1</v>
      </c>
      <c r="E3022" t="str">
        <f t="shared" si="763"/>
        <v>FMS - Scorbot ER9Pro Robot for EMCO CNC Milling machine</v>
      </c>
      <c r="F3022">
        <v>502</v>
      </c>
      <c r="G3022" t="str">
        <f t="shared" si="760"/>
        <v>Y</v>
      </c>
      <c r="H3022" t="str">
        <f t="shared" si="764"/>
        <v>EA</v>
      </c>
      <c r="I3022">
        <v>0</v>
      </c>
      <c r="J3022">
        <v>0</v>
      </c>
      <c r="K3022" t="str">
        <f t="shared" si="761"/>
        <v>Y</v>
      </c>
      <c r="L3022">
        <v>0</v>
      </c>
      <c r="M3022" t="str">
        <f t="shared" si="765"/>
        <v>NIS</v>
      </c>
      <c r="O3022">
        <v>8</v>
      </c>
      <c r="P3022" t="str">
        <f t="shared" si="755"/>
        <v>Active</v>
      </c>
      <c r="Q3022" t="str">
        <f>"CNC Interface with EMCO MILL"</f>
        <v>CNC Interface with EMCO MILL</v>
      </c>
      <c r="S3022" t="str">
        <f>"CNC Interface with EMCO MILL"</f>
        <v>CNC Interface with EMCO MILL</v>
      </c>
      <c r="T3022">
        <v>0</v>
      </c>
      <c r="U3022">
        <v>20.28</v>
      </c>
      <c r="V3022">
        <v>13.85</v>
      </c>
      <c r="W3022" t="str">
        <f t="shared" si="754"/>
        <v>rob</v>
      </c>
    </row>
    <row r="3023" spans="1:23">
      <c r="A3023" t="str">
        <f t="shared" si="762"/>
        <v>MTS-ER9P-CNC-CM</v>
      </c>
      <c r="B3023" t="str">
        <f>"10-2118-8000"</f>
        <v>10-2118-8000</v>
      </c>
      <c r="C3023" t="str">
        <f>"CNC Interface Option Relay Box (5OUT/5IN)"</f>
        <v>CNC Interface Option Relay Box (5OUT/5IN)</v>
      </c>
      <c r="D3023">
        <v>1</v>
      </c>
      <c r="E3023" t="str">
        <f t="shared" si="763"/>
        <v>FMS - Scorbot ER9Pro Robot for EMCO CNC Milling machine</v>
      </c>
      <c r="F3023">
        <v>502</v>
      </c>
      <c r="G3023" t="str">
        <f t="shared" si="760"/>
        <v>Y</v>
      </c>
      <c r="H3023" t="str">
        <f t="shared" si="764"/>
        <v>EA</v>
      </c>
      <c r="I3023">
        <v>0</v>
      </c>
      <c r="J3023">
        <v>0</v>
      </c>
      <c r="K3023" t="str">
        <f t="shared" si="761"/>
        <v>Y</v>
      </c>
      <c r="L3023">
        <v>0</v>
      </c>
      <c r="M3023" t="str">
        <f t="shared" si="765"/>
        <v>NIS</v>
      </c>
      <c r="O3023">
        <v>14</v>
      </c>
      <c r="P3023" t="str">
        <f t="shared" si="755"/>
        <v>Active</v>
      </c>
      <c r="Q3023" t="str">
        <f>"CNC Interface Option USB Relay Box (5OUT/5IN)"</f>
        <v>CNC Interface Option USB Relay Box (5OUT/5IN)</v>
      </c>
      <c r="S3023" t="str">
        <f>"CNC Interface Option Relay Box (5OUT/5IN)"</f>
        <v>CNC Interface Option Relay Box (5OUT/5IN)</v>
      </c>
      <c r="T3023">
        <v>0</v>
      </c>
      <c r="U3023">
        <v>84</v>
      </c>
      <c r="V3023">
        <v>215.62</v>
      </c>
      <c r="W3023" t="str">
        <f t="shared" si="754"/>
        <v>rob</v>
      </c>
    </row>
    <row r="3024" spans="1:23">
      <c r="A3024" t="str">
        <f t="shared" si="762"/>
        <v>MTS-ER9P-CNC-CM</v>
      </c>
      <c r="B3024" t="str">
        <f>"10-2116-2000"</f>
        <v>10-2116-2000</v>
      </c>
      <c r="C3024" t="str">
        <f>"Pneumatic Flip Device for 3rd Party CNC Mill"</f>
        <v>Pneumatic Flip Device for 3rd Party CNC Mill</v>
      </c>
      <c r="D3024">
        <v>1</v>
      </c>
      <c r="E3024" t="str">
        <f t="shared" si="763"/>
        <v>FMS - Scorbot ER9Pro Robot for EMCO CNC Milling machine</v>
      </c>
      <c r="F3024">
        <v>502</v>
      </c>
      <c r="G3024" t="str">
        <f t="shared" si="760"/>
        <v>Y</v>
      </c>
      <c r="H3024" t="str">
        <f t="shared" si="764"/>
        <v>EA</v>
      </c>
      <c r="I3024">
        <v>0</v>
      </c>
      <c r="J3024">
        <v>0</v>
      </c>
      <c r="K3024" t="str">
        <f t="shared" si="761"/>
        <v>Y</v>
      </c>
      <c r="L3024">
        <v>0</v>
      </c>
      <c r="M3024" t="str">
        <f t="shared" si="765"/>
        <v>NIS</v>
      </c>
      <c r="O3024">
        <v>9</v>
      </c>
      <c r="P3024" t="str">
        <f t="shared" si="755"/>
        <v>Active</v>
      </c>
      <c r="Q3024" t="str">
        <f>"Pneumatic Flip Device"</f>
        <v>Pneumatic Flip Device</v>
      </c>
      <c r="S3024" t="str">
        <f>"Pneumatic Flip Device"</f>
        <v>Pneumatic Flip Device</v>
      </c>
      <c r="T3024">
        <v>0</v>
      </c>
      <c r="U3024">
        <v>503.58</v>
      </c>
      <c r="V3024">
        <v>467.47</v>
      </c>
      <c r="W3024" t="str">
        <f t="shared" si="754"/>
        <v>rob</v>
      </c>
    </row>
    <row r="3025" spans="1:23">
      <c r="A3025" t="str">
        <f t="shared" si="762"/>
        <v>MTS-ER9P-CNC-CM</v>
      </c>
      <c r="B3025" t="str">
        <f>"021152"</f>
        <v>021152</v>
      </c>
      <c r="C3025" t="str">
        <f>"Shelf Buffer for CIM conveyor"</f>
        <v>Shelf Buffer for CIM conveyor</v>
      </c>
      <c r="D3025">
        <v>1</v>
      </c>
      <c r="E3025" t="str">
        <f t="shared" si="763"/>
        <v>FMS - Scorbot ER9Pro Robot for EMCO CNC Milling machine</v>
      </c>
      <c r="F3025">
        <v>502</v>
      </c>
      <c r="G3025" t="str">
        <f t="shared" si="760"/>
        <v>Y</v>
      </c>
      <c r="H3025" t="str">
        <f t="shared" si="764"/>
        <v>EA</v>
      </c>
      <c r="I3025">
        <v>0</v>
      </c>
      <c r="J3025">
        <v>0</v>
      </c>
      <c r="K3025" t="str">
        <f t="shared" si="761"/>
        <v>Y</v>
      </c>
      <c r="L3025">
        <v>0</v>
      </c>
      <c r="M3025" t="str">
        <f t="shared" si="765"/>
        <v>NIS</v>
      </c>
      <c r="O3025">
        <v>10</v>
      </c>
      <c r="P3025" t="str">
        <f t="shared" si="755"/>
        <v>Active</v>
      </c>
      <c r="Q3025" t="str">
        <f>"מכלול- מדף בפר סטנדרטי OPEN-CIM"</f>
        <v>מכלול- מדף בפר סטנדרטי OPEN-CIM</v>
      </c>
      <c r="R3025" t="str">
        <f>"1"</f>
        <v>1</v>
      </c>
      <c r="S3025" t="str">
        <f>"מכלול- מדף בפר סטנדרטי OPEN-CIM"</f>
        <v>מכלול- מדף בפר סטנדרטי OPEN-CIM</v>
      </c>
      <c r="T3025">
        <v>0</v>
      </c>
      <c r="U3025">
        <v>83.12</v>
      </c>
      <c r="V3025">
        <v>92.76</v>
      </c>
      <c r="W3025" t="str">
        <f t="shared" si="754"/>
        <v>rob</v>
      </c>
    </row>
    <row r="3026" spans="1:23">
      <c r="A3026" t="str">
        <f t="shared" si="762"/>
        <v>MTS-ER9P-CNC-CM</v>
      </c>
      <c r="B3026" t="str">
        <f>"113034"</f>
        <v>113034</v>
      </c>
      <c r="C3026" t="str">
        <f>"Raw Material - Perspex Block"</f>
        <v>Raw Material - Perspex Block</v>
      </c>
      <c r="D3026">
        <v>50</v>
      </c>
      <c r="E3026" t="str">
        <f t="shared" si="763"/>
        <v>FMS - Scorbot ER9Pro Robot for EMCO CNC Milling machine</v>
      </c>
      <c r="F3026">
        <v>502</v>
      </c>
      <c r="G3026" t="str">
        <f t="shared" si="760"/>
        <v>Y</v>
      </c>
      <c r="H3026" t="str">
        <f t="shared" si="764"/>
        <v>EA</v>
      </c>
      <c r="I3026">
        <v>0</v>
      </c>
      <c r="J3026">
        <v>0</v>
      </c>
      <c r="K3026" t="str">
        <f t="shared" si="761"/>
        <v>Y</v>
      </c>
      <c r="L3026">
        <v>0</v>
      </c>
      <c r="M3026" t="str">
        <f t="shared" si="765"/>
        <v>NIS</v>
      </c>
      <c r="O3026">
        <v>11</v>
      </c>
      <c r="P3026" t="str">
        <f t="shared" si="755"/>
        <v>Active</v>
      </c>
      <c r="Q3026" t="str">
        <f>"Raw Material Stock - Perspex Block"</f>
        <v>Raw Material Stock - Perspex Block</v>
      </c>
      <c r="S3026" t="str">
        <f>"Raw Material Stock - Perspex Block"</f>
        <v>Raw Material Stock - Perspex Block</v>
      </c>
      <c r="T3026">
        <v>0</v>
      </c>
      <c r="U3026">
        <v>1.1000000000000001</v>
      </c>
      <c r="V3026">
        <v>1.0900000000000001</v>
      </c>
      <c r="W3026" t="str">
        <f t="shared" si="754"/>
        <v>rob</v>
      </c>
    </row>
    <row r="3027" spans="1:23">
      <c r="A3027" t="str">
        <f t="shared" si="762"/>
        <v>MTS-ER9P-CNC-CM</v>
      </c>
      <c r="B3027" t="str">
        <f>"00-1251-0000"</f>
        <v>00-1251-0000</v>
      </c>
      <c r="C3027" t="str">
        <f>"Workbench 1500x800mm (Formica Top)"</f>
        <v>Workbench 1500x800mm (Formica Top)</v>
      </c>
      <c r="D3027">
        <v>1</v>
      </c>
      <c r="E3027" t="str">
        <f t="shared" si="763"/>
        <v>FMS - Scorbot ER9Pro Robot for EMCO CNC Milling machine</v>
      </c>
      <c r="F3027">
        <v>502</v>
      </c>
      <c r="G3027" t="str">
        <f t="shared" si="760"/>
        <v>Y</v>
      </c>
      <c r="H3027" t="str">
        <f t="shared" si="764"/>
        <v>EA</v>
      </c>
      <c r="I3027">
        <v>0</v>
      </c>
      <c r="J3027">
        <v>0</v>
      </c>
      <c r="K3027" t="str">
        <f t="shared" si="761"/>
        <v>Y</v>
      </c>
      <c r="L3027">
        <v>0</v>
      </c>
      <c r="M3027" t="str">
        <f t="shared" si="765"/>
        <v>NIS</v>
      </c>
      <c r="O3027">
        <v>12</v>
      </c>
      <c r="P3027" t="str">
        <f t="shared" si="755"/>
        <v>Active</v>
      </c>
      <c r="Q3027" t="str">
        <f>"Workbench 1500x800mm (Formica Top)"</f>
        <v>Workbench 1500x800mm (Formica Top)</v>
      </c>
      <c r="S3027" t="str">
        <f>"Workbench 1500x800mm (Formica Top)"</f>
        <v>Workbench 1500x800mm (Formica Top)</v>
      </c>
      <c r="T3027">
        <v>0</v>
      </c>
      <c r="U3027">
        <v>582</v>
      </c>
      <c r="V3027">
        <v>588.6</v>
      </c>
      <c r="W3027" t="str">
        <f t="shared" si="754"/>
        <v>rob</v>
      </c>
    </row>
    <row r="3028" spans="1:23">
      <c r="A3028" t="str">
        <f t="shared" si="762"/>
        <v>MTS-ER9P-CNC-CM</v>
      </c>
      <c r="B3028" t="str">
        <f>"50-0094-0000"</f>
        <v>50-0094-0000</v>
      </c>
      <c r="C3028" t="str">
        <f>"Pre-Engineering, Design and Testing"</f>
        <v>Pre-Engineering, Design and Testing</v>
      </c>
      <c r="D3028">
        <v>1</v>
      </c>
      <c r="E3028" t="str">
        <f t="shared" si="763"/>
        <v>FMS - Scorbot ER9Pro Robot for EMCO CNC Milling machine</v>
      </c>
      <c r="F3028">
        <v>502</v>
      </c>
      <c r="G3028" t="str">
        <f t="shared" si="760"/>
        <v>Y</v>
      </c>
      <c r="H3028" t="str">
        <f>"DA"</f>
        <v>DA</v>
      </c>
      <c r="I3028">
        <v>0</v>
      </c>
      <c r="J3028">
        <v>0</v>
      </c>
      <c r="K3028" t="str">
        <f t="shared" si="761"/>
        <v>Y</v>
      </c>
      <c r="L3028">
        <v>0</v>
      </c>
      <c r="M3028" t="str">
        <f t="shared" si="765"/>
        <v>NIS</v>
      </c>
      <c r="O3028">
        <v>13</v>
      </c>
      <c r="P3028" t="str">
        <f t="shared" si="755"/>
        <v>Active</v>
      </c>
      <c r="Q3028" t="str">
        <f>"Pre-Engineering, Design and Testing"</f>
        <v>Pre-Engineering, Design and Testing</v>
      </c>
      <c r="S3028" t="str">
        <f>"Pre-Engineering, Design and Testing"</f>
        <v>Pre-Engineering, Design and Testing</v>
      </c>
      <c r="T3028">
        <v>0</v>
      </c>
      <c r="U3028">
        <v>405</v>
      </c>
      <c r="V3028">
        <v>421.2</v>
      </c>
      <c r="W3028" t="str">
        <f t="shared" si="754"/>
        <v>rob</v>
      </c>
    </row>
    <row r="3029" spans="1:23">
      <c r="A3029" t="str">
        <f t="shared" ref="A3029:A3043" si="766">"MTS-ER9P-CNC-CT"</f>
        <v>MTS-ER9P-CNC-CT</v>
      </c>
      <c r="B3029" t="str">
        <f>"00-0430-0000"</f>
        <v>00-0430-0000</v>
      </c>
      <c r="C3029" t="str">
        <f>"SCORBOT-ER9Pro"</f>
        <v>SCORBOT-ER9Pro</v>
      </c>
      <c r="D3029">
        <v>1</v>
      </c>
      <c r="E3029" t="str">
        <f t="shared" ref="E3029:E3043" si="767">"FMS - Scorbot ER9Pro Robot for EMCO CNC Turning machine"</f>
        <v>FMS - Scorbot ER9Pro Robot for EMCO CNC Turning machine</v>
      </c>
      <c r="F3029">
        <v>502</v>
      </c>
      <c r="G3029" t="str">
        <f t="shared" si="760"/>
        <v>Y</v>
      </c>
      <c r="H3029" t="str">
        <f t="shared" ref="H3029:H3041" si="768">"EA"</f>
        <v>EA</v>
      </c>
      <c r="I3029">
        <v>0</v>
      </c>
      <c r="J3029">
        <v>0</v>
      </c>
      <c r="K3029" t="str">
        <f t="shared" si="761"/>
        <v>Y</v>
      </c>
      <c r="L3029">
        <v>0</v>
      </c>
      <c r="M3029" t="str">
        <f t="shared" si="765"/>
        <v>NIS</v>
      </c>
      <c r="O3029">
        <v>1</v>
      </c>
      <c r="P3029" t="str">
        <f t="shared" si="755"/>
        <v>Active</v>
      </c>
      <c r="Q3029" t="str">
        <f>"SCORBOT-ER 9Pro (incl. USB-Pro Controller)"</f>
        <v>SCORBOT-ER 9Pro (incl. USB-Pro Controller)</v>
      </c>
      <c r="S3029" t="str">
        <f>"SCORBOT-ER 9Pro (incl. USB-Pro Controller)"</f>
        <v>SCORBOT-ER 9Pro (incl. USB-Pro Controller)</v>
      </c>
      <c r="T3029">
        <v>0</v>
      </c>
      <c r="U3029" s="44">
        <v>10900</v>
      </c>
      <c r="V3029" s="44">
        <v>11661.57</v>
      </c>
      <c r="W3029" t="str">
        <f t="shared" si="754"/>
        <v>rob</v>
      </c>
    </row>
    <row r="3030" spans="1:23">
      <c r="A3030" t="str">
        <f t="shared" si="766"/>
        <v>MTS-ER9P-CNC-CT</v>
      </c>
      <c r="B3030" t="str">
        <f>"00-0633-0000"</f>
        <v>00-0633-0000</v>
      </c>
      <c r="C3030" t="str">
        <f>"Pneumatic Gripper for ER9-Pro"</f>
        <v>Pneumatic Gripper for ER9-Pro</v>
      </c>
      <c r="D3030">
        <v>1</v>
      </c>
      <c r="E3030" t="str">
        <f t="shared" si="767"/>
        <v>FMS - Scorbot ER9Pro Robot for EMCO CNC Turning machine</v>
      </c>
      <c r="F3030">
        <v>502</v>
      </c>
      <c r="G3030" t="str">
        <f t="shared" si="760"/>
        <v>Y</v>
      </c>
      <c r="H3030" t="str">
        <f t="shared" si="768"/>
        <v>EA</v>
      </c>
      <c r="I3030">
        <v>0</v>
      </c>
      <c r="J3030">
        <v>0</v>
      </c>
      <c r="K3030" t="str">
        <f t="shared" si="761"/>
        <v>Y</v>
      </c>
      <c r="L3030">
        <v>0</v>
      </c>
      <c r="M3030" t="str">
        <f t="shared" si="765"/>
        <v>NIS</v>
      </c>
      <c r="O3030">
        <v>2</v>
      </c>
      <c r="P3030" t="str">
        <f t="shared" si="755"/>
        <v>Active</v>
      </c>
      <c r="Q3030" t="str">
        <f>"Pneumatic Gripper for ER 9Pro"</f>
        <v>Pneumatic Gripper for ER 9Pro</v>
      </c>
      <c r="S3030" t="str">
        <f>"Pneumatic Gripper for ER9-Pro"</f>
        <v>Pneumatic Gripper for ER9-Pro</v>
      </c>
      <c r="T3030">
        <v>0</v>
      </c>
      <c r="U3030">
        <v>630</v>
      </c>
      <c r="V3030">
        <v>624.72</v>
      </c>
      <c r="W3030" t="str">
        <f t="shared" si="754"/>
        <v>rob</v>
      </c>
    </row>
    <row r="3031" spans="1:23">
      <c r="A3031" t="str">
        <f t="shared" si="766"/>
        <v>MTS-ER9P-CNC-CT</v>
      </c>
      <c r="B3031" t="str">
        <f>"00-1710-0000"</f>
        <v>00-1710-0000</v>
      </c>
      <c r="C3031" t="str">
        <f>"Teach Pendant"</f>
        <v>Teach Pendant</v>
      </c>
      <c r="D3031">
        <v>1</v>
      </c>
      <c r="E3031" t="str">
        <f t="shared" si="767"/>
        <v>FMS - Scorbot ER9Pro Robot for EMCO CNC Turning machine</v>
      </c>
      <c r="F3031">
        <v>502</v>
      </c>
      <c r="G3031" t="str">
        <f t="shared" si="760"/>
        <v>Y</v>
      </c>
      <c r="H3031" t="str">
        <f t="shared" si="768"/>
        <v>EA</v>
      </c>
      <c r="I3031">
        <v>0</v>
      </c>
      <c r="J3031">
        <v>0</v>
      </c>
      <c r="K3031" t="str">
        <f t="shared" si="761"/>
        <v>Y</v>
      </c>
      <c r="L3031">
        <v>0</v>
      </c>
      <c r="M3031" t="str">
        <f t="shared" si="765"/>
        <v>NIS</v>
      </c>
      <c r="O3031">
        <v>3</v>
      </c>
      <c r="P3031" t="str">
        <f t="shared" si="755"/>
        <v>Active</v>
      </c>
      <c r="Q3031" t="str">
        <f>"Teach Pendant for USB/USB Pro Controllers"</f>
        <v>Teach Pendant for USB/USB Pro Controllers</v>
      </c>
      <c r="S3031" t="str">
        <f>"Teach Pendant for USB/USB Pro Controllers"</f>
        <v>Teach Pendant for USB/USB Pro Controllers</v>
      </c>
      <c r="T3031">
        <v>0</v>
      </c>
      <c r="U3031">
        <v>160.18</v>
      </c>
      <c r="V3031">
        <v>161.44999999999999</v>
      </c>
      <c r="W3031" t="str">
        <f t="shared" si="754"/>
        <v>rob</v>
      </c>
    </row>
    <row r="3032" spans="1:23">
      <c r="A3032" t="str">
        <f t="shared" si="766"/>
        <v>MTS-ER9P-CNC-CT</v>
      </c>
      <c r="B3032" t="str">
        <f>"00-1016-0000"</f>
        <v>00-1016-0000</v>
      </c>
      <c r="C3032" t="str">
        <f>"LSB 1.0m, Belt, FM"</f>
        <v>LSB 1.0m, Belt, FM</v>
      </c>
      <c r="D3032">
        <v>1</v>
      </c>
      <c r="E3032" t="str">
        <f t="shared" si="767"/>
        <v>FMS - Scorbot ER9Pro Robot for EMCO CNC Turning machine</v>
      </c>
      <c r="F3032">
        <v>502</v>
      </c>
      <c r="G3032" t="str">
        <f t="shared" si="760"/>
        <v>Y</v>
      </c>
      <c r="H3032" t="str">
        <f t="shared" si="768"/>
        <v>EA</v>
      </c>
      <c r="I3032">
        <v>0</v>
      </c>
      <c r="J3032">
        <v>0</v>
      </c>
      <c r="K3032" t="str">
        <f t="shared" si="761"/>
        <v>Y</v>
      </c>
      <c r="L3032">
        <v>0</v>
      </c>
      <c r="M3032" t="str">
        <f t="shared" si="765"/>
        <v>NIS</v>
      </c>
      <c r="O3032">
        <v>4</v>
      </c>
      <c r="P3032" t="str">
        <f t="shared" si="755"/>
        <v>Active</v>
      </c>
      <c r="Q3032" t="str">
        <f>"LSB 1.0m (Belt, Floor Mounted incl. Stand)"</f>
        <v>LSB 1.0m (Belt, Floor Mounted incl. Stand)</v>
      </c>
      <c r="S3032" t="str">
        <f>"LSB 1.0m, Belt, Floor Mounted incl. Stand"</f>
        <v>LSB 1.0m, Belt, Floor Mounted incl. Stand</v>
      </c>
      <c r="T3032">
        <v>0</v>
      </c>
      <c r="U3032" s="44">
        <v>2336.16</v>
      </c>
      <c r="V3032" s="44">
        <v>2301.0500000000002</v>
      </c>
      <c r="W3032" t="str">
        <f t="shared" si="754"/>
        <v>rob</v>
      </c>
    </row>
    <row r="3033" spans="1:23">
      <c r="A3033" t="str">
        <f t="shared" si="766"/>
        <v>MTS-ER9P-CNC-CT</v>
      </c>
      <c r="B3033" t="str">
        <f>"034025"</f>
        <v>034025</v>
      </c>
      <c r="C3033" t="str">
        <f>"I/O Interface Box for Controller USB-PRO"</f>
        <v>I/O Interface Box for Controller USB-PRO</v>
      </c>
      <c r="D3033">
        <v>1</v>
      </c>
      <c r="E3033" t="str">
        <f t="shared" si="767"/>
        <v>FMS - Scorbot ER9Pro Robot for EMCO CNC Turning machine</v>
      </c>
      <c r="F3033">
        <v>502</v>
      </c>
      <c r="G3033" t="str">
        <f t="shared" si="760"/>
        <v>Y</v>
      </c>
      <c r="H3033" t="str">
        <f t="shared" si="768"/>
        <v>EA</v>
      </c>
      <c r="I3033">
        <v>0</v>
      </c>
      <c r="J3033">
        <v>0</v>
      </c>
      <c r="K3033" t="str">
        <f t="shared" si="761"/>
        <v>Y</v>
      </c>
      <c r="L3033">
        <v>0</v>
      </c>
      <c r="M3033" t="str">
        <f t="shared" si="765"/>
        <v>NIS</v>
      </c>
      <c r="O3033">
        <v>102</v>
      </c>
      <c r="P3033" t="str">
        <f t="shared" si="755"/>
        <v>Active</v>
      </c>
      <c r="Q3033" t="str">
        <f>"קופסת 2+Interface Box I/O כבלים לבקר USBPRO"</f>
        <v>קופסת 2+Interface Box I/O כבלים לבקר USBPRO</v>
      </c>
      <c r="S3033" t="str">
        <f>"קופסת 2+Interface Box I/O כבלים לבקר USBPRO"</f>
        <v>קופסת 2+Interface Box I/O כבלים לבקר USBPRO</v>
      </c>
      <c r="T3033">
        <v>0</v>
      </c>
      <c r="U3033">
        <v>470</v>
      </c>
      <c r="V3033">
        <v>463.62</v>
      </c>
      <c r="W3033" t="str">
        <f t="shared" si="754"/>
        <v>rob</v>
      </c>
    </row>
    <row r="3034" spans="1:23">
      <c r="A3034" t="str">
        <f t="shared" si="766"/>
        <v>MTS-ER9P-CNC-CT</v>
      </c>
      <c r="B3034" t="str">
        <f>"10-1007-4000"</f>
        <v>10-1007-4000</v>
      </c>
      <c r="C3034" t="str">
        <f>"Gravity Parts Feeder (with microswitch sensor)"</f>
        <v>Gravity Parts Feeder (with microswitch sensor)</v>
      </c>
      <c r="D3034">
        <v>1</v>
      </c>
      <c r="E3034" t="str">
        <f t="shared" si="767"/>
        <v>FMS - Scorbot ER9Pro Robot for EMCO CNC Turning machine</v>
      </c>
      <c r="F3034">
        <v>502</v>
      </c>
      <c r="G3034" t="str">
        <f t="shared" si="760"/>
        <v>Y</v>
      </c>
      <c r="H3034" t="str">
        <f t="shared" si="768"/>
        <v>EA</v>
      </c>
      <c r="I3034">
        <v>0</v>
      </c>
      <c r="J3034">
        <v>0</v>
      </c>
      <c r="K3034" t="str">
        <f t="shared" si="761"/>
        <v>Y</v>
      </c>
      <c r="L3034">
        <v>0</v>
      </c>
      <c r="M3034" t="str">
        <f t="shared" si="765"/>
        <v>NIS</v>
      </c>
      <c r="O3034">
        <v>5</v>
      </c>
      <c r="P3034" t="str">
        <f t="shared" si="755"/>
        <v>Active</v>
      </c>
      <c r="Q3034" t="str">
        <f>"Gravity Parts Feeder (incl.microswitch sensor)"</f>
        <v>Gravity Parts Feeder (incl.microswitch sensor)</v>
      </c>
      <c r="S3034" t="str">
        <f>"Gravity Parts Feeder (incl.microswitch sensor)"</f>
        <v>Gravity Parts Feeder (incl.microswitch sensor)</v>
      </c>
      <c r="T3034">
        <v>0</v>
      </c>
      <c r="U3034">
        <v>148</v>
      </c>
      <c r="V3034">
        <v>148.26</v>
      </c>
      <c r="W3034" t="str">
        <f t="shared" si="754"/>
        <v>rob</v>
      </c>
    </row>
    <row r="3035" spans="1:23">
      <c r="A3035" t="str">
        <f t="shared" si="766"/>
        <v>MTS-ER9P-CNC-CT</v>
      </c>
      <c r="B3035" t="str">
        <f>"00-1110-0000"</f>
        <v>00-1110-0000</v>
      </c>
      <c r="C3035" t="str">
        <f>"Palletizing Rack"</f>
        <v>Palletizing Rack</v>
      </c>
      <c r="D3035">
        <v>1</v>
      </c>
      <c r="E3035" t="str">
        <f t="shared" si="767"/>
        <v>FMS - Scorbot ER9Pro Robot for EMCO CNC Turning machine</v>
      </c>
      <c r="F3035">
        <v>502</v>
      </c>
      <c r="G3035" t="str">
        <f t="shared" si="760"/>
        <v>Y</v>
      </c>
      <c r="H3035" t="str">
        <f t="shared" si="768"/>
        <v>EA</v>
      </c>
      <c r="I3035">
        <v>0</v>
      </c>
      <c r="J3035">
        <v>0</v>
      </c>
      <c r="K3035" t="str">
        <f t="shared" si="761"/>
        <v>Y</v>
      </c>
      <c r="L3035">
        <v>0</v>
      </c>
      <c r="M3035" t="str">
        <f t="shared" si="765"/>
        <v>NIS</v>
      </c>
      <c r="O3035">
        <v>6</v>
      </c>
      <c r="P3035" t="str">
        <f t="shared" si="755"/>
        <v>Active</v>
      </c>
      <c r="Q3035" t="str">
        <f>"Palletizing Rack (incl. Pins for creating Jigs)"</f>
        <v>Palletizing Rack (incl. Pins for creating Jigs)</v>
      </c>
      <c r="S3035" t="str">
        <f>"Palletizing Rack (incl. Pins for creating Jigs)"</f>
        <v>Palletizing Rack (incl. Pins for creating Jigs)</v>
      </c>
      <c r="T3035">
        <v>0</v>
      </c>
      <c r="U3035">
        <v>63</v>
      </c>
      <c r="V3035">
        <v>58.59</v>
      </c>
      <c r="W3035" t="str">
        <f t="shared" si="754"/>
        <v>rob</v>
      </c>
    </row>
    <row r="3036" spans="1:23">
      <c r="A3036" t="str">
        <f t="shared" si="766"/>
        <v>MTS-ER9P-CNC-CT</v>
      </c>
      <c r="B3036" t="str">
        <f>"021182"</f>
        <v>021182</v>
      </c>
      <c r="C3036" t="str">
        <f>"97mm Height Adapter"</f>
        <v>97mm Height Adapter</v>
      </c>
      <c r="D3036">
        <v>1</v>
      </c>
      <c r="E3036" t="str">
        <f t="shared" si="767"/>
        <v>FMS - Scorbot ER9Pro Robot for EMCO CNC Turning machine</v>
      </c>
      <c r="F3036">
        <v>502</v>
      </c>
      <c r="G3036" t="str">
        <f t="shared" si="760"/>
        <v>Y</v>
      </c>
      <c r="H3036" t="str">
        <f t="shared" si="768"/>
        <v>EA</v>
      </c>
      <c r="I3036">
        <v>0</v>
      </c>
      <c r="J3036">
        <v>0</v>
      </c>
      <c r="K3036" t="str">
        <f t="shared" si="761"/>
        <v>Y</v>
      </c>
      <c r="L3036">
        <v>0</v>
      </c>
      <c r="M3036" t="str">
        <f t="shared" si="765"/>
        <v>NIS</v>
      </c>
      <c r="O3036">
        <v>104</v>
      </c>
      <c r="P3036" t="str">
        <f t="shared" si="755"/>
        <v>Active</v>
      </c>
      <c r="Q3036" t="str">
        <f>"97mm Height Adapter -Rack 001110 on formica 28mm"</f>
        <v>97mm Height Adapter -Rack 001110 on formica 28mm</v>
      </c>
      <c r="S3036" t="str">
        <f>"97mm Height Adapter -Rack 001110 on formica 28mm"</f>
        <v>97mm Height Adapter -Rack 001110 on formica 28mm</v>
      </c>
      <c r="T3036">
        <v>0</v>
      </c>
      <c r="U3036">
        <v>7</v>
      </c>
      <c r="V3036">
        <v>5.5</v>
      </c>
      <c r="W3036" t="str">
        <f t="shared" si="754"/>
        <v>rob</v>
      </c>
    </row>
    <row r="3037" spans="1:23">
      <c r="A3037" t="str">
        <f t="shared" si="766"/>
        <v>MTS-ER9P-CNC-CT</v>
      </c>
      <c r="B3037" t="str">
        <f>"10-2118-7000"</f>
        <v>10-2118-7000</v>
      </c>
      <c r="C3037" t="str">
        <f>"CNC Interface with EMCO TURN"</f>
        <v>CNC Interface with EMCO TURN</v>
      </c>
      <c r="D3037">
        <v>1</v>
      </c>
      <c r="E3037" t="str">
        <f t="shared" si="767"/>
        <v>FMS - Scorbot ER9Pro Robot for EMCO CNC Turning machine</v>
      </c>
      <c r="F3037">
        <v>502</v>
      </c>
      <c r="G3037" t="str">
        <f t="shared" si="760"/>
        <v>Y</v>
      </c>
      <c r="H3037" t="str">
        <f t="shared" si="768"/>
        <v>EA</v>
      </c>
      <c r="I3037">
        <v>0</v>
      </c>
      <c r="J3037">
        <v>0</v>
      </c>
      <c r="K3037" t="str">
        <f t="shared" si="761"/>
        <v>Y</v>
      </c>
      <c r="L3037">
        <v>0</v>
      </c>
      <c r="M3037" t="str">
        <f t="shared" si="765"/>
        <v>NIS</v>
      </c>
      <c r="O3037">
        <v>7</v>
      </c>
      <c r="P3037" t="str">
        <f t="shared" si="755"/>
        <v>Active</v>
      </c>
      <c r="Q3037" t="str">
        <f>"CNC Interface with EMCO TURN"</f>
        <v>CNC Interface with EMCO TURN</v>
      </c>
      <c r="S3037" t="str">
        <f>"CNC Interface with EMCO TURN"</f>
        <v>CNC Interface with EMCO TURN</v>
      </c>
      <c r="T3037">
        <v>0</v>
      </c>
      <c r="U3037">
        <v>20.28</v>
      </c>
      <c r="V3037">
        <v>13.85</v>
      </c>
      <c r="W3037" t="str">
        <f t="shared" si="754"/>
        <v>rob</v>
      </c>
    </row>
    <row r="3038" spans="1:23">
      <c r="A3038" t="str">
        <f t="shared" si="766"/>
        <v>MTS-ER9P-CNC-CT</v>
      </c>
      <c r="B3038" t="str">
        <f>"10-2118-8000"</f>
        <v>10-2118-8000</v>
      </c>
      <c r="C3038" t="str">
        <f>"CNC Interface Option Relay Box (5OUT/5IN)"</f>
        <v>CNC Interface Option Relay Box (5OUT/5IN)</v>
      </c>
      <c r="D3038">
        <v>1</v>
      </c>
      <c r="E3038" t="str">
        <f t="shared" si="767"/>
        <v>FMS - Scorbot ER9Pro Robot for EMCO CNC Turning machine</v>
      </c>
      <c r="F3038">
        <v>502</v>
      </c>
      <c r="G3038" t="str">
        <f t="shared" si="760"/>
        <v>Y</v>
      </c>
      <c r="H3038" t="str">
        <f t="shared" si="768"/>
        <v>EA</v>
      </c>
      <c r="I3038">
        <v>0</v>
      </c>
      <c r="J3038">
        <v>0</v>
      </c>
      <c r="K3038" t="str">
        <f t="shared" si="761"/>
        <v>Y</v>
      </c>
      <c r="L3038">
        <v>0</v>
      </c>
      <c r="M3038" t="str">
        <f t="shared" si="765"/>
        <v>NIS</v>
      </c>
      <c r="O3038">
        <v>103</v>
      </c>
      <c r="P3038" t="str">
        <f t="shared" si="755"/>
        <v>Active</v>
      </c>
      <c r="Q3038" t="str">
        <f>"CNC Interface Option USB Relay Box (5OUT/5IN)"</f>
        <v>CNC Interface Option USB Relay Box (5OUT/5IN)</v>
      </c>
      <c r="S3038" t="str">
        <f>"CNC Interface Option Relay Box (5OUT/5IN)"</f>
        <v>CNC Interface Option Relay Box (5OUT/5IN)</v>
      </c>
      <c r="T3038">
        <v>0</v>
      </c>
      <c r="U3038">
        <v>84</v>
      </c>
      <c r="V3038">
        <v>215.62</v>
      </c>
      <c r="W3038" t="str">
        <f t="shared" si="754"/>
        <v>rob</v>
      </c>
    </row>
    <row r="3039" spans="1:23">
      <c r="A3039" t="str">
        <f t="shared" si="766"/>
        <v>MTS-ER9P-CNC-CT</v>
      </c>
      <c r="B3039" t="str">
        <f>"021152"</f>
        <v>021152</v>
      </c>
      <c r="C3039" t="str">
        <f>"Shelf Buffer for CIM conveyor"</f>
        <v>Shelf Buffer for CIM conveyor</v>
      </c>
      <c r="D3039">
        <v>1</v>
      </c>
      <c r="E3039" t="str">
        <f t="shared" si="767"/>
        <v>FMS - Scorbot ER9Pro Robot for EMCO CNC Turning machine</v>
      </c>
      <c r="F3039">
        <v>502</v>
      </c>
      <c r="G3039" t="str">
        <f t="shared" si="760"/>
        <v>Y</v>
      </c>
      <c r="H3039" t="str">
        <f t="shared" si="768"/>
        <v>EA</v>
      </c>
      <c r="I3039">
        <v>0</v>
      </c>
      <c r="J3039">
        <v>0</v>
      </c>
      <c r="K3039" t="str">
        <f t="shared" si="761"/>
        <v>Y</v>
      </c>
      <c r="L3039">
        <v>0</v>
      </c>
      <c r="M3039" t="str">
        <f t="shared" si="765"/>
        <v>NIS</v>
      </c>
      <c r="O3039">
        <v>8</v>
      </c>
      <c r="P3039" t="str">
        <f t="shared" si="755"/>
        <v>Active</v>
      </c>
      <c r="Q3039" t="str">
        <f>"מכלול- מדף בפר סטנדרטי OPEN-CIM"</f>
        <v>מכלול- מדף בפר סטנדרטי OPEN-CIM</v>
      </c>
      <c r="R3039" t="str">
        <f>"1"</f>
        <v>1</v>
      </c>
      <c r="S3039" t="str">
        <f>"מכלול- מדף בפר סטנדרטי OPEN-CIM"</f>
        <v>מכלול- מדף בפר סטנדרטי OPEN-CIM</v>
      </c>
      <c r="T3039">
        <v>0</v>
      </c>
      <c r="U3039">
        <v>83.12</v>
      </c>
      <c r="V3039">
        <v>92.76</v>
      </c>
      <c r="W3039" t="str">
        <f t="shared" si="754"/>
        <v>rob</v>
      </c>
    </row>
    <row r="3040" spans="1:23">
      <c r="A3040" t="str">
        <f t="shared" si="766"/>
        <v>MTS-ER9P-CNC-CT</v>
      </c>
      <c r="B3040" t="str">
        <f>"112496"</f>
        <v>112496</v>
      </c>
      <c r="C3040" t="str">
        <f>"Raw Material - Brass  Rod"</f>
        <v>Raw Material - Brass  Rod</v>
      </c>
      <c r="D3040">
        <v>50</v>
      </c>
      <c r="E3040" t="str">
        <f t="shared" si="767"/>
        <v>FMS - Scorbot ER9Pro Robot for EMCO CNC Turning machine</v>
      </c>
      <c r="F3040">
        <v>502</v>
      </c>
      <c r="G3040" t="str">
        <f t="shared" si="760"/>
        <v>Y</v>
      </c>
      <c r="H3040" t="str">
        <f t="shared" si="768"/>
        <v>EA</v>
      </c>
      <c r="I3040">
        <v>0</v>
      </c>
      <c r="J3040">
        <v>0</v>
      </c>
      <c r="K3040" t="str">
        <f t="shared" si="761"/>
        <v>Y</v>
      </c>
      <c r="L3040">
        <v>0</v>
      </c>
      <c r="M3040" t="str">
        <f t="shared" si="765"/>
        <v>NIS</v>
      </c>
      <c r="O3040">
        <v>9</v>
      </c>
      <c r="P3040" t="str">
        <f t="shared" si="755"/>
        <v>Active</v>
      </c>
      <c r="Q3040" t="str">
        <f>"Raw Material Stock - Brass  Rod"</f>
        <v>Raw Material Stock - Brass  Rod</v>
      </c>
      <c r="S3040" t="str">
        <f>"Raw Material Stock - Brass  Rod"</f>
        <v>Raw Material Stock - Brass  Rod</v>
      </c>
      <c r="T3040">
        <v>0</v>
      </c>
      <c r="U3040">
        <v>3.67</v>
      </c>
      <c r="V3040">
        <v>2.69</v>
      </c>
      <c r="W3040" t="str">
        <f t="shared" si="754"/>
        <v>rob</v>
      </c>
    </row>
    <row r="3041" spans="1:23">
      <c r="A3041" t="str">
        <f t="shared" si="766"/>
        <v>MTS-ER9P-CNC-CT</v>
      </c>
      <c r="B3041" t="str">
        <f>"00-1251-0000"</f>
        <v>00-1251-0000</v>
      </c>
      <c r="C3041" t="str">
        <f>"Workbench 1500x800mm (Formica Top)"</f>
        <v>Workbench 1500x800mm (Formica Top)</v>
      </c>
      <c r="D3041">
        <v>1</v>
      </c>
      <c r="E3041" t="str">
        <f t="shared" si="767"/>
        <v>FMS - Scorbot ER9Pro Robot for EMCO CNC Turning machine</v>
      </c>
      <c r="F3041">
        <v>502</v>
      </c>
      <c r="G3041" t="str">
        <f t="shared" si="760"/>
        <v>Y</v>
      </c>
      <c r="H3041" t="str">
        <f t="shared" si="768"/>
        <v>EA</v>
      </c>
      <c r="I3041">
        <v>0</v>
      </c>
      <c r="J3041">
        <v>0</v>
      </c>
      <c r="K3041" t="str">
        <f t="shared" si="761"/>
        <v>Y</v>
      </c>
      <c r="L3041">
        <v>0</v>
      </c>
      <c r="M3041" t="str">
        <f t="shared" si="765"/>
        <v>NIS</v>
      </c>
      <c r="O3041">
        <v>10</v>
      </c>
      <c r="P3041" t="str">
        <f t="shared" si="755"/>
        <v>Active</v>
      </c>
      <c r="Q3041" t="str">
        <f>"Workbench 1500x800mm (Formica Top)"</f>
        <v>Workbench 1500x800mm (Formica Top)</v>
      </c>
      <c r="S3041" t="str">
        <f>"Workbench 1500x800mm (Formica Top)"</f>
        <v>Workbench 1500x800mm (Formica Top)</v>
      </c>
      <c r="T3041">
        <v>0</v>
      </c>
      <c r="U3041">
        <v>582</v>
      </c>
      <c r="V3041">
        <v>588.6</v>
      </c>
      <c r="W3041" t="str">
        <f t="shared" si="754"/>
        <v>rob</v>
      </c>
    </row>
    <row r="3042" spans="1:23">
      <c r="A3042" t="str">
        <f t="shared" si="766"/>
        <v>MTS-ER9P-CNC-CT</v>
      </c>
      <c r="B3042" t="str">
        <f>"50-0094-0000"</f>
        <v>50-0094-0000</v>
      </c>
      <c r="C3042" t="str">
        <f>"Pre-Engineering, Design and Testing"</f>
        <v>Pre-Engineering, Design and Testing</v>
      </c>
      <c r="D3042">
        <v>1</v>
      </c>
      <c r="E3042" t="str">
        <f t="shared" si="767"/>
        <v>FMS - Scorbot ER9Pro Robot for EMCO CNC Turning machine</v>
      </c>
      <c r="F3042">
        <v>502</v>
      </c>
      <c r="G3042" t="str">
        <f t="shared" si="760"/>
        <v>Y</v>
      </c>
      <c r="H3042" t="str">
        <f>"DA"</f>
        <v>DA</v>
      </c>
      <c r="I3042">
        <v>0</v>
      </c>
      <c r="J3042">
        <v>0</v>
      </c>
      <c r="K3042" t="str">
        <f t="shared" si="761"/>
        <v>Y</v>
      </c>
      <c r="L3042">
        <v>0</v>
      </c>
      <c r="M3042" t="str">
        <f t="shared" si="765"/>
        <v>NIS</v>
      </c>
      <c r="O3042">
        <v>11</v>
      </c>
      <c r="P3042" t="str">
        <f t="shared" si="755"/>
        <v>Active</v>
      </c>
      <c r="Q3042" t="str">
        <f>"Pre-Engineering, Design and Testing"</f>
        <v>Pre-Engineering, Design and Testing</v>
      </c>
      <c r="S3042" t="str">
        <f>"Pre-Engineering, Design and Testing"</f>
        <v>Pre-Engineering, Design and Testing</v>
      </c>
      <c r="T3042">
        <v>0</v>
      </c>
      <c r="U3042">
        <v>405</v>
      </c>
      <c r="V3042">
        <v>421.2</v>
      </c>
      <c r="W3042" t="str">
        <f t="shared" ref="W3042:W3105" si="769">"rob"</f>
        <v>rob</v>
      </c>
    </row>
    <row r="3043" spans="1:23">
      <c r="A3043" t="str">
        <f t="shared" si="766"/>
        <v>MTS-ER9P-CNC-CT</v>
      </c>
      <c r="B3043" t="str">
        <f>"10-2521-7000"</f>
        <v>10-2521-7000</v>
      </c>
      <c r="C3043" t="str">
        <f>"Pneumatic Feeder for Rectangular products"</f>
        <v>Pneumatic Feeder for Rectangular products</v>
      </c>
      <c r="D3043">
        <v>1</v>
      </c>
      <c r="E3043" t="str">
        <f t="shared" si="767"/>
        <v>FMS - Scorbot ER9Pro Robot for EMCO CNC Turning machine</v>
      </c>
      <c r="F3043">
        <v>502</v>
      </c>
      <c r="G3043" t="str">
        <f t="shared" si="760"/>
        <v>Y</v>
      </c>
      <c r="H3043" t="str">
        <f t="shared" ref="H3043:H3055" si="770">"EA"</f>
        <v>EA</v>
      </c>
      <c r="I3043">
        <v>0</v>
      </c>
      <c r="J3043">
        <v>0</v>
      </c>
      <c r="K3043" t="str">
        <f t="shared" si="761"/>
        <v>Y</v>
      </c>
      <c r="L3043">
        <v>0</v>
      </c>
      <c r="M3043" t="str">
        <f t="shared" si="765"/>
        <v>NIS</v>
      </c>
      <c r="N3043" t="str">
        <f>"Y"</f>
        <v>Y</v>
      </c>
      <c r="O3043">
        <v>101</v>
      </c>
      <c r="P3043" t="str">
        <f t="shared" si="755"/>
        <v>Active</v>
      </c>
      <c r="Q3043" t="str">
        <f>"Pneumatic Feeder for Rectangular Parts"</f>
        <v>Pneumatic Feeder for Rectangular Parts</v>
      </c>
      <c r="S3043" t="str">
        <f>"Pneumatic Feeder for Rectangular Parts"</f>
        <v>Pneumatic Feeder for Rectangular Parts</v>
      </c>
      <c r="T3043">
        <v>0</v>
      </c>
      <c r="U3043">
        <v>595</v>
      </c>
      <c r="V3043">
        <v>555.15</v>
      </c>
      <c r="W3043" t="str">
        <f t="shared" si="769"/>
        <v>rob</v>
      </c>
    </row>
    <row r="3044" spans="1:23">
      <c r="A3044" t="str">
        <f t="shared" ref="A3044:A3056" si="771">"MTS-ER9P-LSREN"</f>
        <v>MTS-ER9P-LSREN</v>
      </c>
      <c r="B3044" t="str">
        <f>"00-0430-0000"</f>
        <v>00-0430-0000</v>
      </c>
      <c r="C3044" t="str">
        <f>"SCORBOT-ER9Pro"</f>
        <v>SCORBOT-ER9Pro</v>
      </c>
      <c r="D3044">
        <v>1</v>
      </c>
      <c r="E3044" t="str">
        <f t="shared" ref="E3044:E3056" si="772">"FMS - Scorbot ER9Pro Robot with Laser Engraver"</f>
        <v>FMS - Scorbot ER9Pro Robot with Laser Engraver</v>
      </c>
      <c r="F3044">
        <v>502</v>
      </c>
      <c r="G3044" t="str">
        <f t="shared" si="760"/>
        <v>Y</v>
      </c>
      <c r="H3044" t="str">
        <f t="shared" si="770"/>
        <v>EA</v>
      </c>
      <c r="I3044">
        <v>0</v>
      </c>
      <c r="J3044">
        <v>0</v>
      </c>
      <c r="K3044" t="str">
        <f t="shared" si="761"/>
        <v>Y</v>
      </c>
      <c r="L3044">
        <v>0</v>
      </c>
      <c r="M3044" t="str">
        <f t="shared" si="765"/>
        <v>NIS</v>
      </c>
      <c r="O3044">
        <v>1</v>
      </c>
      <c r="P3044" t="str">
        <f t="shared" si="755"/>
        <v>Active</v>
      </c>
      <c r="Q3044" t="str">
        <f>"SCORBOT-ER 9Pro (incl. USB-Pro Controller)"</f>
        <v>SCORBOT-ER 9Pro (incl. USB-Pro Controller)</v>
      </c>
      <c r="S3044" t="str">
        <f>"SCORBOT-ER 9Pro (incl. USB-Pro Controller)"</f>
        <v>SCORBOT-ER 9Pro (incl. USB-Pro Controller)</v>
      </c>
      <c r="T3044">
        <v>0</v>
      </c>
      <c r="U3044" s="44">
        <v>10900</v>
      </c>
      <c r="V3044" s="44">
        <v>11661.57</v>
      </c>
      <c r="W3044" t="str">
        <f t="shared" si="769"/>
        <v>rob</v>
      </c>
    </row>
    <row r="3045" spans="1:23">
      <c r="A3045" t="str">
        <f t="shared" si="771"/>
        <v>MTS-ER9P-LSREN</v>
      </c>
      <c r="B3045" t="str">
        <f>"00-0633-0000"</f>
        <v>00-0633-0000</v>
      </c>
      <c r="C3045" t="str">
        <f>"Pneumatic Gripper for ER9-Pro"</f>
        <v>Pneumatic Gripper for ER9-Pro</v>
      </c>
      <c r="D3045">
        <v>1</v>
      </c>
      <c r="E3045" t="str">
        <f t="shared" si="772"/>
        <v>FMS - Scorbot ER9Pro Robot with Laser Engraver</v>
      </c>
      <c r="F3045">
        <v>502</v>
      </c>
      <c r="G3045" t="str">
        <f t="shared" si="760"/>
        <v>Y</v>
      </c>
      <c r="H3045" t="str">
        <f t="shared" si="770"/>
        <v>EA</v>
      </c>
      <c r="I3045">
        <v>0</v>
      </c>
      <c r="J3045">
        <v>0</v>
      </c>
      <c r="K3045" t="str">
        <f t="shared" si="761"/>
        <v>Y</v>
      </c>
      <c r="L3045">
        <v>0</v>
      </c>
      <c r="M3045" t="str">
        <f t="shared" si="765"/>
        <v>NIS</v>
      </c>
      <c r="O3045">
        <v>2</v>
      </c>
      <c r="P3045" t="str">
        <f t="shared" si="755"/>
        <v>Active</v>
      </c>
      <c r="Q3045" t="str">
        <f>"Pneumatic Gripper for ER 9Pro"</f>
        <v>Pneumatic Gripper for ER 9Pro</v>
      </c>
      <c r="S3045" t="str">
        <f>"Pneumatic Gripper for ER9-Pro"</f>
        <v>Pneumatic Gripper for ER9-Pro</v>
      </c>
      <c r="T3045">
        <v>0</v>
      </c>
      <c r="U3045">
        <v>630</v>
      </c>
      <c r="V3045">
        <v>624.72</v>
      </c>
      <c r="W3045" t="str">
        <f t="shared" si="769"/>
        <v>rob</v>
      </c>
    </row>
    <row r="3046" spans="1:23">
      <c r="A3046" t="str">
        <f t="shared" si="771"/>
        <v>MTS-ER9P-LSREN</v>
      </c>
      <c r="B3046" t="str">
        <f>"00-1710-0000"</f>
        <v>00-1710-0000</v>
      </c>
      <c r="C3046" t="str">
        <f>"Teach Pendant"</f>
        <v>Teach Pendant</v>
      </c>
      <c r="D3046">
        <v>1</v>
      </c>
      <c r="E3046" t="str">
        <f t="shared" si="772"/>
        <v>FMS - Scorbot ER9Pro Robot with Laser Engraver</v>
      </c>
      <c r="F3046">
        <v>502</v>
      </c>
      <c r="G3046" t="str">
        <f t="shared" si="760"/>
        <v>Y</v>
      </c>
      <c r="H3046" t="str">
        <f t="shared" si="770"/>
        <v>EA</v>
      </c>
      <c r="I3046">
        <v>0</v>
      </c>
      <c r="J3046">
        <v>0</v>
      </c>
      <c r="K3046" t="str">
        <f t="shared" si="761"/>
        <v>Y</v>
      </c>
      <c r="L3046">
        <v>0</v>
      </c>
      <c r="M3046" t="str">
        <f t="shared" si="765"/>
        <v>NIS</v>
      </c>
      <c r="O3046">
        <v>3</v>
      </c>
      <c r="P3046" t="str">
        <f t="shared" ref="P3046:P3109" si="773">"Active"</f>
        <v>Active</v>
      </c>
      <c r="Q3046" t="str">
        <f>"Teach Pendant for USB/USB Pro Controllers"</f>
        <v>Teach Pendant for USB/USB Pro Controllers</v>
      </c>
      <c r="S3046" t="str">
        <f>"Teach Pendant for USB/USB Pro Controllers"</f>
        <v>Teach Pendant for USB/USB Pro Controllers</v>
      </c>
      <c r="T3046">
        <v>0</v>
      </c>
      <c r="U3046">
        <v>160.18</v>
      </c>
      <c r="V3046">
        <v>161.44999999999999</v>
      </c>
      <c r="W3046" t="str">
        <f t="shared" si="769"/>
        <v>rob</v>
      </c>
    </row>
    <row r="3047" spans="1:23">
      <c r="A3047" t="str">
        <f t="shared" si="771"/>
        <v>MTS-ER9P-LSREN</v>
      </c>
      <c r="B3047" t="str">
        <f>"034025"</f>
        <v>034025</v>
      </c>
      <c r="C3047" t="str">
        <f>"I/O Interface Box for Controller USB-PRO"</f>
        <v>I/O Interface Box for Controller USB-PRO</v>
      </c>
      <c r="D3047">
        <v>1</v>
      </c>
      <c r="E3047" t="str">
        <f t="shared" si="772"/>
        <v>FMS - Scorbot ER9Pro Robot with Laser Engraver</v>
      </c>
      <c r="F3047">
        <v>502</v>
      </c>
      <c r="G3047" t="str">
        <f t="shared" si="760"/>
        <v>Y</v>
      </c>
      <c r="H3047" t="str">
        <f t="shared" si="770"/>
        <v>EA</v>
      </c>
      <c r="I3047">
        <v>0</v>
      </c>
      <c r="J3047">
        <v>0</v>
      </c>
      <c r="K3047" t="str">
        <f t="shared" si="761"/>
        <v>Y</v>
      </c>
      <c r="L3047">
        <v>0</v>
      </c>
      <c r="M3047" t="str">
        <f t="shared" si="765"/>
        <v>NIS</v>
      </c>
      <c r="O3047">
        <v>4</v>
      </c>
      <c r="P3047" t="str">
        <f t="shared" si="773"/>
        <v>Active</v>
      </c>
      <c r="Q3047" t="str">
        <f>"I/O Interface Box for Controller USB-PRO"</f>
        <v>I/O Interface Box for Controller USB-PRO</v>
      </c>
      <c r="S3047" t="str">
        <f>"קופסת 2+Interface Box I/O כבלים לבקר USBPRO"</f>
        <v>קופסת 2+Interface Box I/O כבלים לבקר USBPRO</v>
      </c>
      <c r="T3047">
        <v>0</v>
      </c>
      <c r="U3047">
        <v>470</v>
      </c>
      <c r="V3047">
        <v>463.62</v>
      </c>
      <c r="W3047" t="str">
        <f t="shared" si="769"/>
        <v>rob</v>
      </c>
    </row>
    <row r="3048" spans="1:23">
      <c r="A3048" t="str">
        <f t="shared" si="771"/>
        <v>MTS-ER9P-LSREN</v>
      </c>
      <c r="B3048" t="str">
        <f>"10-2521-7000"</f>
        <v>10-2521-7000</v>
      </c>
      <c r="C3048" t="str">
        <f>"Pneumatic Feeder for Rectangular products"</f>
        <v>Pneumatic Feeder for Rectangular products</v>
      </c>
      <c r="D3048">
        <v>1</v>
      </c>
      <c r="E3048" t="str">
        <f t="shared" si="772"/>
        <v>FMS - Scorbot ER9Pro Robot with Laser Engraver</v>
      </c>
      <c r="F3048">
        <v>502</v>
      </c>
      <c r="G3048" t="str">
        <f t="shared" si="760"/>
        <v>Y</v>
      </c>
      <c r="H3048" t="str">
        <f t="shared" si="770"/>
        <v>EA</v>
      </c>
      <c r="I3048">
        <v>0</v>
      </c>
      <c r="J3048">
        <v>0</v>
      </c>
      <c r="K3048" t="str">
        <f t="shared" si="761"/>
        <v>Y</v>
      </c>
      <c r="L3048">
        <v>0</v>
      </c>
      <c r="M3048" t="str">
        <f t="shared" si="765"/>
        <v>NIS</v>
      </c>
      <c r="O3048">
        <v>5</v>
      </c>
      <c r="P3048" t="str">
        <f t="shared" si="773"/>
        <v>Active</v>
      </c>
      <c r="Q3048" t="str">
        <f>"Pneumatic Feeder for Rectangular Parts"</f>
        <v>Pneumatic Feeder for Rectangular Parts</v>
      </c>
      <c r="S3048" t="str">
        <f>"Pneumatic Feeder for Rectangular Parts"</f>
        <v>Pneumatic Feeder for Rectangular Parts</v>
      </c>
      <c r="T3048">
        <v>0</v>
      </c>
      <c r="U3048">
        <v>595</v>
      </c>
      <c r="V3048">
        <v>555.15</v>
      </c>
      <c r="W3048" t="str">
        <f t="shared" si="769"/>
        <v>rob</v>
      </c>
    </row>
    <row r="3049" spans="1:23">
      <c r="A3049" t="str">
        <f t="shared" si="771"/>
        <v>MTS-ER9P-LSREN</v>
      </c>
      <c r="B3049" t="str">
        <f>"00-1110-0000"</f>
        <v>00-1110-0000</v>
      </c>
      <c r="C3049" t="str">
        <f>"Palletizing Rack"</f>
        <v>Palletizing Rack</v>
      </c>
      <c r="D3049">
        <v>1</v>
      </c>
      <c r="E3049" t="str">
        <f t="shared" si="772"/>
        <v>FMS - Scorbot ER9Pro Robot with Laser Engraver</v>
      </c>
      <c r="F3049">
        <v>502</v>
      </c>
      <c r="G3049" t="str">
        <f t="shared" si="760"/>
        <v>Y</v>
      </c>
      <c r="H3049" t="str">
        <f t="shared" si="770"/>
        <v>EA</v>
      </c>
      <c r="I3049">
        <v>0</v>
      </c>
      <c r="J3049">
        <v>0</v>
      </c>
      <c r="K3049" t="str">
        <f t="shared" si="761"/>
        <v>Y</v>
      </c>
      <c r="L3049">
        <v>0</v>
      </c>
      <c r="M3049" t="str">
        <f t="shared" si="765"/>
        <v>NIS</v>
      </c>
      <c r="O3049">
        <v>6</v>
      </c>
      <c r="P3049" t="str">
        <f t="shared" si="773"/>
        <v>Active</v>
      </c>
      <c r="Q3049" t="str">
        <f>"Palletizing Rack (incl. Pins for creating Jigs)"</f>
        <v>Palletizing Rack (incl. Pins for creating Jigs)</v>
      </c>
      <c r="S3049" t="str">
        <f>"Palletizing Rack (incl. Pins for creating Jigs)"</f>
        <v>Palletizing Rack (incl. Pins for creating Jigs)</v>
      </c>
      <c r="T3049">
        <v>0</v>
      </c>
      <c r="U3049">
        <v>63</v>
      </c>
      <c r="V3049">
        <v>58.59</v>
      </c>
      <c r="W3049" t="str">
        <f t="shared" si="769"/>
        <v>rob</v>
      </c>
    </row>
    <row r="3050" spans="1:23">
      <c r="A3050" t="str">
        <f t="shared" si="771"/>
        <v>MTS-ER9P-LSREN</v>
      </c>
      <c r="B3050" t="str">
        <f>"021181"</f>
        <v>021181</v>
      </c>
      <c r="C3050" t="str">
        <f>"97mm Height Adapter -Rack 001110 on formica 19mm"</f>
        <v>97mm Height Adapter -Rack 001110 on formica 19mm</v>
      </c>
      <c r="D3050">
        <v>1</v>
      </c>
      <c r="E3050" t="str">
        <f t="shared" si="772"/>
        <v>FMS - Scorbot ER9Pro Robot with Laser Engraver</v>
      </c>
      <c r="F3050">
        <v>502</v>
      </c>
      <c r="G3050" t="str">
        <f t="shared" si="760"/>
        <v>Y</v>
      </c>
      <c r="H3050" t="str">
        <f t="shared" si="770"/>
        <v>EA</v>
      </c>
      <c r="I3050">
        <v>0</v>
      </c>
      <c r="J3050">
        <v>0</v>
      </c>
      <c r="K3050" t="str">
        <f t="shared" si="761"/>
        <v>Y</v>
      </c>
      <c r="L3050">
        <v>0</v>
      </c>
      <c r="M3050" t="str">
        <f t="shared" si="765"/>
        <v>NIS</v>
      </c>
      <c r="O3050">
        <v>7</v>
      </c>
      <c r="P3050" t="str">
        <f t="shared" si="773"/>
        <v>Active</v>
      </c>
      <c r="Q3050" t="str">
        <f>"97mm Height Adapter -Rack 001110 on formica 19mm"</f>
        <v>97mm Height Adapter -Rack 001110 on formica 19mm</v>
      </c>
      <c r="S3050" t="str">
        <f>"97mm Height Adapter -Rack 001110 on formica 19mm"</f>
        <v>97mm Height Adapter -Rack 001110 on formica 19mm</v>
      </c>
      <c r="T3050">
        <v>0</v>
      </c>
      <c r="U3050">
        <v>8.0299999999999994</v>
      </c>
      <c r="V3050">
        <v>8.85</v>
      </c>
      <c r="W3050" t="str">
        <f t="shared" si="769"/>
        <v>rob</v>
      </c>
    </row>
    <row r="3051" spans="1:23">
      <c r="A3051" t="str">
        <f t="shared" si="771"/>
        <v>MTS-ER9P-LSREN</v>
      </c>
      <c r="B3051" t="str">
        <f>"113034"</f>
        <v>113034</v>
      </c>
      <c r="C3051" t="str">
        <f>"Raw Material - Perspex Block"</f>
        <v>Raw Material - Perspex Block</v>
      </c>
      <c r="D3051">
        <v>10</v>
      </c>
      <c r="E3051" t="str">
        <f t="shared" si="772"/>
        <v>FMS - Scorbot ER9Pro Robot with Laser Engraver</v>
      </c>
      <c r="F3051">
        <v>502</v>
      </c>
      <c r="G3051" t="str">
        <f t="shared" si="760"/>
        <v>Y</v>
      </c>
      <c r="H3051" t="str">
        <f t="shared" si="770"/>
        <v>EA</v>
      </c>
      <c r="I3051">
        <v>0</v>
      </c>
      <c r="J3051">
        <v>0</v>
      </c>
      <c r="K3051" t="str">
        <f t="shared" si="761"/>
        <v>Y</v>
      </c>
      <c r="L3051">
        <v>0</v>
      </c>
      <c r="M3051" t="str">
        <f t="shared" si="765"/>
        <v>NIS</v>
      </c>
      <c r="O3051">
        <v>8</v>
      </c>
      <c r="P3051" t="str">
        <f t="shared" si="773"/>
        <v>Active</v>
      </c>
      <c r="Q3051" t="str">
        <f>"Raw Material Stock - Perspex Block"</f>
        <v>Raw Material Stock - Perspex Block</v>
      </c>
      <c r="S3051" t="str">
        <f>"Raw Material Stock - Perspex Block"</f>
        <v>Raw Material Stock - Perspex Block</v>
      </c>
      <c r="T3051">
        <v>0</v>
      </c>
      <c r="U3051">
        <v>1.1000000000000001</v>
      </c>
      <c r="V3051">
        <v>1.0900000000000001</v>
      </c>
      <c r="W3051" t="str">
        <f t="shared" si="769"/>
        <v>rob</v>
      </c>
    </row>
    <row r="3052" spans="1:23">
      <c r="A3052" t="str">
        <f t="shared" si="771"/>
        <v>MTS-ER9P-LSREN</v>
      </c>
      <c r="B3052" t="str">
        <f>"00-4040-0000"</f>
        <v>00-4040-0000</v>
      </c>
      <c r="C3052" t="str">
        <f>"Laser Engraver VLS 3.60"</f>
        <v>Laser Engraver VLS 3.60</v>
      </c>
      <c r="D3052">
        <v>1</v>
      </c>
      <c r="E3052" t="str">
        <f t="shared" si="772"/>
        <v>FMS - Scorbot ER9Pro Robot with Laser Engraver</v>
      </c>
      <c r="F3052">
        <v>502</v>
      </c>
      <c r="G3052" t="str">
        <f t="shared" si="760"/>
        <v>Y</v>
      </c>
      <c r="H3052" t="str">
        <f t="shared" si="770"/>
        <v>EA</v>
      </c>
      <c r="I3052">
        <v>0</v>
      </c>
      <c r="J3052">
        <v>0</v>
      </c>
      <c r="K3052" t="str">
        <f t="shared" si="761"/>
        <v>Y</v>
      </c>
      <c r="L3052">
        <v>0</v>
      </c>
      <c r="M3052" t="str">
        <f t="shared" ref="M3052:M3083" si="774">"NIS"</f>
        <v>NIS</v>
      </c>
      <c r="O3052">
        <v>9</v>
      </c>
      <c r="P3052" t="str">
        <f t="shared" si="773"/>
        <v>Active</v>
      </c>
      <c r="Q3052" t="str">
        <f>"Laser Engraver"</f>
        <v>Laser Engraver</v>
      </c>
      <c r="S3052" t="str">
        <f>"Laser Engraver VLS 3.60"</f>
        <v>Laser Engraver VLS 3.60</v>
      </c>
      <c r="T3052">
        <v>0</v>
      </c>
      <c r="U3052" s="44">
        <v>18123.599999999999</v>
      </c>
      <c r="V3052" s="44">
        <v>20117.2</v>
      </c>
      <c r="W3052" t="str">
        <f t="shared" si="769"/>
        <v>rob</v>
      </c>
    </row>
    <row r="3053" spans="1:23">
      <c r="A3053" t="str">
        <f t="shared" si="771"/>
        <v>MTS-ER9P-LSREN</v>
      </c>
      <c r="B3053" t="str">
        <f>"025223"</f>
        <v>025223</v>
      </c>
      <c r="C3053" t="str">
        <f>"Automatic Shield Opener for Laser Engraver, 24V"</f>
        <v>Automatic Shield Opener for Laser Engraver, 24V</v>
      </c>
      <c r="D3053">
        <v>1</v>
      </c>
      <c r="E3053" t="str">
        <f t="shared" si="772"/>
        <v>FMS - Scorbot ER9Pro Robot with Laser Engraver</v>
      </c>
      <c r="F3053">
        <v>502</v>
      </c>
      <c r="G3053" t="str">
        <f t="shared" si="760"/>
        <v>Y</v>
      </c>
      <c r="H3053" t="str">
        <f t="shared" si="770"/>
        <v>EA</v>
      </c>
      <c r="I3053">
        <v>0</v>
      </c>
      <c r="J3053">
        <v>0</v>
      </c>
      <c r="K3053" t="str">
        <f t="shared" si="761"/>
        <v>Y</v>
      </c>
      <c r="L3053">
        <v>0</v>
      </c>
      <c r="M3053" t="str">
        <f t="shared" si="774"/>
        <v>NIS</v>
      </c>
      <c r="O3053">
        <v>13</v>
      </c>
      <c r="P3053" t="str">
        <f t="shared" si="773"/>
        <v>Active</v>
      </c>
      <c r="Q3053" t="str">
        <f>"מכלול-בוכנה דו-כיווני 300mm עם שסתום"</f>
        <v>מכלול-בוכנה דו-כיווני 300mm עם שסתום</v>
      </c>
      <c r="S3053" t="str">
        <f>"Automatic Shield Opener for Laser Engraver, 24V"</f>
        <v>Automatic Shield Opener for Laser Engraver, 24V</v>
      </c>
      <c r="T3053">
        <v>0</v>
      </c>
      <c r="U3053">
        <v>778.12</v>
      </c>
      <c r="V3053">
        <v>428.86</v>
      </c>
      <c r="W3053" t="str">
        <f t="shared" si="769"/>
        <v>rob</v>
      </c>
    </row>
    <row r="3054" spans="1:23">
      <c r="A3054" t="str">
        <f t="shared" si="771"/>
        <v>MTS-ER9P-LSREN</v>
      </c>
      <c r="B3054" t="str">
        <f>"00-1280-0000"</f>
        <v>00-1280-0000</v>
      </c>
      <c r="C3054" t="str">
        <f>"Stand for ER9/ER14 (ITEM Profiles)"</f>
        <v>Stand for ER9/ER14 (ITEM Profiles)</v>
      </c>
      <c r="D3054">
        <v>1</v>
      </c>
      <c r="E3054" t="str">
        <f t="shared" si="772"/>
        <v>FMS - Scorbot ER9Pro Robot with Laser Engraver</v>
      </c>
      <c r="F3054">
        <v>502</v>
      </c>
      <c r="G3054" t="str">
        <f t="shared" si="760"/>
        <v>Y</v>
      </c>
      <c r="H3054" t="str">
        <f t="shared" si="770"/>
        <v>EA</v>
      </c>
      <c r="I3054">
        <v>0</v>
      </c>
      <c r="J3054">
        <v>0</v>
      </c>
      <c r="K3054" t="str">
        <f t="shared" si="761"/>
        <v>Y</v>
      </c>
      <c r="L3054">
        <v>0</v>
      </c>
      <c r="M3054" t="str">
        <f t="shared" si="774"/>
        <v>NIS</v>
      </c>
      <c r="O3054">
        <v>10</v>
      </c>
      <c r="P3054" t="str">
        <f t="shared" si="773"/>
        <v>Active</v>
      </c>
      <c r="Q3054" t="str">
        <f>"Stand for ER9/ER14 (ITEM Profiles)"</f>
        <v>Stand for ER9/ER14 (ITEM Profiles)</v>
      </c>
      <c r="S3054" t="str">
        <f>"Stand for ER9/ER14 (ITEM Profiles)"</f>
        <v>Stand for ER9/ER14 (ITEM Profiles)</v>
      </c>
      <c r="T3054">
        <v>0</v>
      </c>
      <c r="U3054">
        <v>350</v>
      </c>
      <c r="V3054">
        <v>355.31</v>
      </c>
      <c r="W3054" t="str">
        <f t="shared" si="769"/>
        <v>rob</v>
      </c>
    </row>
    <row r="3055" spans="1:23">
      <c r="A3055" t="str">
        <f t="shared" si="771"/>
        <v>MTS-ER9P-LSREN</v>
      </c>
      <c r="B3055" t="str">
        <f>"00-1251-0000"</f>
        <v>00-1251-0000</v>
      </c>
      <c r="C3055" t="str">
        <f>"Workbench 1500x800mm (Formica Top)"</f>
        <v>Workbench 1500x800mm (Formica Top)</v>
      </c>
      <c r="D3055">
        <v>1</v>
      </c>
      <c r="E3055" t="str">
        <f t="shared" si="772"/>
        <v>FMS - Scorbot ER9Pro Robot with Laser Engraver</v>
      </c>
      <c r="F3055">
        <v>502</v>
      </c>
      <c r="G3055" t="str">
        <f t="shared" si="760"/>
        <v>Y</v>
      </c>
      <c r="H3055" t="str">
        <f t="shared" si="770"/>
        <v>EA</v>
      </c>
      <c r="I3055">
        <v>0</v>
      </c>
      <c r="J3055">
        <v>0</v>
      </c>
      <c r="K3055" t="str">
        <f t="shared" si="761"/>
        <v>Y</v>
      </c>
      <c r="L3055">
        <v>0</v>
      </c>
      <c r="M3055" t="str">
        <f t="shared" si="774"/>
        <v>NIS</v>
      </c>
      <c r="O3055">
        <v>11</v>
      </c>
      <c r="P3055" t="str">
        <f t="shared" si="773"/>
        <v>Active</v>
      </c>
      <c r="Q3055" t="str">
        <f>"Workbench 1500x800mm (Formica Top)"</f>
        <v>Workbench 1500x800mm (Formica Top)</v>
      </c>
      <c r="S3055" t="str">
        <f>"Workbench 1500x800mm (Formica Top)"</f>
        <v>Workbench 1500x800mm (Formica Top)</v>
      </c>
      <c r="T3055">
        <v>0</v>
      </c>
      <c r="U3055">
        <v>582</v>
      </c>
      <c r="V3055">
        <v>588.6</v>
      </c>
      <c r="W3055" t="str">
        <f t="shared" si="769"/>
        <v>rob</v>
      </c>
    </row>
    <row r="3056" spans="1:23">
      <c r="A3056" t="str">
        <f t="shared" si="771"/>
        <v>MTS-ER9P-LSREN</v>
      </c>
      <c r="B3056" t="str">
        <f>"50-0094-0000"</f>
        <v>50-0094-0000</v>
      </c>
      <c r="C3056" t="str">
        <f>"Pre-Engineering, Design and Testing"</f>
        <v>Pre-Engineering, Design and Testing</v>
      </c>
      <c r="D3056">
        <v>1</v>
      </c>
      <c r="E3056" t="str">
        <f t="shared" si="772"/>
        <v>FMS - Scorbot ER9Pro Robot with Laser Engraver</v>
      </c>
      <c r="F3056">
        <v>502</v>
      </c>
      <c r="G3056" t="str">
        <f t="shared" si="760"/>
        <v>Y</v>
      </c>
      <c r="H3056" t="str">
        <f>"DA"</f>
        <v>DA</v>
      </c>
      <c r="I3056">
        <v>0</v>
      </c>
      <c r="J3056">
        <v>0</v>
      </c>
      <c r="K3056" t="str">
        <f t="shared" si="761"/>
        <v>Y</v>
      </c>
      <c r="L3056">
        <v>0</v>
      </c>
      <c r="M3056" t="str">
        <f t="shared" si="774"/>
        <v>NIS</v>
      </c>
      <c r="O3056">
        <v>12</v>
      </c>
      <c r="P3056" t="str">
        <f t="shared" si="773"/>
        <v>Active</v>
      </c>
      <c r="Q3056" t="str">
        <f>"Pre-Engineering, Design and Testing"</f>
        <v>Pre-Engineering, Design and Testing</v>
      </c>
      <c r="S3056" t="str">
        <f>"Pre-Engineering, Design and Testing"</f>
        <v>Pre-Engineering, Design and Testing</v>
      </c>
      <c r="T3056">
        <v>0</v>
      </c>
      <c r="U3056">
        <v>405</v>
      </c>
      <c r="V3056">
        <v>421.2</v>
      </c>
      <c r="W3056" t="str">
        <f t="shared" si="769"/>
        <v>rob</v>
      </c>
    </row>
    <row r="3057" spans="1:23">
      <c r="A3057" t="str">
        <f t="shared" ref="A3057:A3071" si="775">"MTS-ER9P-MILL-BF"</f>
        <v>MTS-ER9P-MILL-BF</v>
      </c>
      <c r="B3057" t="str">
        <f>"00-0430-0000"</f>
        <v>00-0430-0000</v>
      </c>
      <c r="C3057" t="str">
        <f>"SCORBOT-ER9Pro"</f>
        <v>SCORBOT-ER9Pro</v>
      </c>
      <c r="D3057">
        <v>1</v>
      </c>
      <c r="E3057" t="str">
        <f t="shared" ref="E3057:E3071" si="776">"FMS - Scorbot ER9Pro Robot for Boxford Mill"</f>
        <v>FMS - Scorbot ER9Pro Robot for Boxford Mill</v>
      </c>
      <c r="F3057">
        <v>502</v>
      </c>
      <c r="G3057" t="str">
        <f t="shared" si="760"/>
        <v>Y</v>
      </c>
      <c r="H3057" t="str">
        <f t="shared" ref="H3057:H3070" si="777">"EA"</f>
        <v>EA</v>
      </c>
      <c r="I3057">
        <v>0</v>
      </c>
      <c r="J3057">
        <v>0</v>
      </c>
      <c r="K3057" t="str">
        <f t="shared" si="761"/>
        <v>Y</v>
      </c>
      <c r="L3057">
        <v>0</v>
      </c>
      <c r="M3057" t="str">
        <f t="shared" si="774"/>
        <v>NIS</v>
      </c>
      <c r="O3057">
        <v>1</v>
      </c>
      <c r="P3057" t="str">
        <f t="shared" si="773"/>
        <v>Active</v>
      </c>
      <c r="Q3057" t="str">
        <f>"SCORBOT-ER 9Pro (incl. USB-Pro Controller)"</f>
        <v>SCORBOT-ER 9Pro (incl. USB-Pro Controller)</v>
      </c>
      <c r="S3057" t="str">
        <f>"SCORBOT-ER 9Pro (incl. USB-Pro Controller)"</f>
        <v>SCORBOT-ER 9Pro (incl. USB-Pro Controller)</v>
      </c>
      <c r="T3057">
        <v>0</v>
      </c>
      <c r="U3057" s="44">
        <v>10900</v>
      </c>
      <c r="V3057" s="44">
        <v>11661.57</v>
      </c>
      <c r="W3057" t="str">
        <f t="shared" si="769"/>
        <v>rob</v>
      </c>
    </row>
    <row r="3058" spans="1:23">
      <c r="A3058" t="str">
        <f t="shared" si="775"/>
        <v>MTS-ER9P-MILL-BF</v>
      </c>
      <c r="B3058" t="str">
        <f>"00-0633-0000"</f>
        <v>00-0633-0000</v>
      </c>
      <c r="C3058" t="str">
        <f>"Pneumatic Gripper for ER9-Pro"</f>
        <v>Pneumatic Gripper for ER9-Pro</v>
      </c>
      <c r="D3058">
        <v>1</v>
      </c>
      <c r="E3058" t="str">
        <f t="shared" si="776"/>
        <v>FMS - Scorbot ER9Pro Robot for Boxford Mill</v>
      </c>
      <c r="F3058">
        <v>502</v>
      </c>
      <c r="G3058" t="str">
        <f t="shared" si="760"/>
        <v>Y</v>
      </c>
      <c r="H3058" t="str">
        <f t="shared" si="777"/>
        <v>EA</v>
      </c>
      <c r="I3058">
        <v>0</v>
      </c>
      <c r="J3058">
        <v>0</v>
      </c>
      <c r="K3058" t="str">
        <f t="shared" si="761"/>
        <v>Y</v>
      </c>
      <c r="L3058">
        <v>0</v>
      </c>
      <c r="M3058" t="str">
        <f t="shared" si="774"/>
        <v>NIS</v>
      </c>
      <c r="O3058">
        <v>2</v>
      </c>
      <c r="P3058" t="str">
        <f t="shared" si="773"/>
        <v>Active</v>
      </c>
      <c r="Q3058" t="str">
        <f>"Pneumatic Gripper for ER9-Pro"</f>
        <v>Pneumatic Gripper for ER9-Pro</v>
      </c>
      <c r="S3058" t="str">
        <f>"Pneumatic Gripper for ER9-Pro"</f>
        <v>Pneumatic Gripper for ER9-Pro</v>
      </c>
      <c r="T3058">
        <v>0</v>
      </c>
      <c r="U3058">
        <v>630</v>
      </c>
      <c r="V3058">
        <v>624.72</v>
      </c>
      <c r="W3058" t="str">
        <f t="shared" si="769"/>
        <v>rob</v>
      </c>
    </row>
    <row r="3059" spans="1:23">
      <c r="A3059" t="str">
        <f t="shared" si="775"/>
        <v>MTS-ER9P-MILL-BF</v>
      </c>
      <c r="B3059" t="str">
        <f>"00-1710-0000"</f>
        <v>00-1710-0000</v>
      </c>
      <c r="C3059" t="str">
        <f>"Teach Pendant"</f>
        <v>Teach Pendant</v>
      </c>
      <c r="D3059">
        <v>1</v>
      </c>
      <c r="E3059" t="str">
        <f t="shared" si="776"/>
        <v>FMS - Scorbot ER9Pro Robot for Boxford Mill</v>
      </c>
      <c r="F3059">
        <v>502</v>
      </c>
      <c r="G3059" t="str">
        <f t="shared" si="760"/>
        <v>Y</v>
      </c>
      <c r="H3059" t="str">
        <f t="shared" si="777"/>
        <v>EA</v>
      </c>
      <c r="I3059">
        <v>0</v>
      </c>
      <c r="J3059">
        <v>0</v>
      </c>
      <c r="K3059" t="str">
        <f t="shared" si="761"/>
        <v>Y</v>
      </c>
      <c r="L3059">
        <v>0</v>
      </c>
      <c r="M3059" t="str">
        <f t="shared" si="774"/>
        <v>NIS</v>
      </c>
      <c r="O3059">
        <v>3</v>
      </c>
      <c r="P3059" t="str">
        <f t="shared" si="773"/>
        <v>Active</v>
      </c>
      <c r="Q3059" t="str">
        <f>"Teach Pendant for USB/USB Pro Controllers"</f>
        <v>Teach Pendant for USB/USB Pro Controllers</v>
      </c>
      <c r="S3059" t="str">
        <f>"Teach Pendant for USB/USB Pro Controllers"</f>
        <v>Teach Pendant for USB/USB Pro Controllers</v>
      </c>
      <c r="T3059">
        <v>0</v>
      </c>
      <c r="U3059">
        <v>160.18</v>
      </c>
      <c r="V3059">
        <v>161.44999999999999</v>
      </c>
      <c r="W3059" t="str">
        <f t="shared" si="769"/>
        <v>rob</v>
      </c>
    </row>
    <row r="3060" spans="1:23">
      <c r="A3060" t="str">
        <f t="shared" si="775"/>
        <v>MTS-ER9P-MILL-BF</v>
      </c>
      <c r="B3060" t="str">
        <f>"00-1016-0000"</f>
        <v>00-1016-0000</v>
      </c>
      <c r="C3060" t="str">
        <f>"LSB 1.0m, Belt, FM"</f>
        <v>LSB 1.0m, Belt, FM</v>
      </c>
      <c r="D3060">
        <v>1</v>
      </c>
      <c r="E3060" t="str">
        <f t="shared" si="776"/>
        <v>FMS - Scorbot ER9Pro Robot for Boxford Mill</v>
      </c>
      <c r="F3060">
        <v>502</v>
      </c>
      <c r="G3060" t="str">
        <f t="shared" si="760"/>
        <v>Y</v>
      </c>
      <c r="H3060" t="str">
        <f t="shared" si="777"/>
        <v>EA</v>
      </c>
      <c r="I3060">
        <v>0</v>
      </c>
      <c r="J3060">
        <v>0</v>
      </c>
      <c r="K3060" t="str">
        <f t="shared" si="761"/>
        <v>Y</v>
      </c>
      <c r="L3060">
        <v>0</v>
      </c>
      <c r="M3060" t="str">
        <f t="shared" si="774"/>
        <v>NIS</v>
      </c>
      <c r="O3060">
        <v>4</v>
      </c>
      <c r="P3060" t="str">
        <f t="shared" si="773"/>
        <v>Active</v>
      </c>
      <c r="Q3060" t="str">
        <f>"LSB 1.0m, Belt, Floor Mounted incl. Stand"</f>
        <v>LSB 1.0m, Belt, Floor Mounted incl. Stand</v>
      </c>
      <c r="S3060" t="str">
        <f>"LSB 1.0m, Belt, Floor Mounted incl. Stand"</f>
        <v>LSB 1.0m, Belt, Floor Mounted incl. Stand</v>
      </c>
      <c r="T3060">
        <v>0</v>
      </c>
      <c r="U3060" s="44">
        <v>2336.16</v>
      </c>
      <c r="V3060" s="44">
        <v>2301.0500000000002</v>
      </c>
      <c r="W3060" t="str">
        <f t="shared" si="769"/>
        <v>rob</v>
      </c>
    </row>
    <row r="3061" spans="1:23">
      <c r="A3061" t="str">
        <f t="shared" si="775"/>
        <v>MTS-ER9P-MILL-BF</v>
      </c>
      <c r="B3061" t="str">
        <f>"00-1110-0000"</f>
        <v>00-1110-0000</v>
      </c>
      <c r="C3061" t="str">
        <f>"Palletizing Rack"</f>
        <v>Palletizing Rack</v>
      </c>
      <c r="D3061">
        <v>1</v>
      </c>
      <c r="E3061" t="str">
        <f t="shared" si="776"/>
        <v>FMS - Scorbot ER9Pro Robot for Boxford Mill</v>
      </c>
      <c r="F3061">
        <v>502</v>
      </c>
      <c r="G3061" t="str">
        <f t="shared" si="760"/>
        <v>Y</v>
      </c>
      <c r="H3061" t="str">
        <f t="shared" si="777"/>
        <v>EA</v>
      </c>
      <c r="I3061">
        <v>0</v>
      </c>
      <c r="J3061">
        <v>0</v>
      </c>
      <c r="K3061" t="str">
        <f t="shared" si="761"/>
        <v>Y</v>
      </c>
      <c r="L3061">
        <v>0</v>
      </c>
      <c r="M3061" t="str">
        <f t="shared" si="774"/>
        <v>NIS</v>
      </c>
      <c r="O3061">
        <v>5</v>
      </c>
      <c r="P3061" t="str">
        <f t="shared" si="773"/>
        <v>Active</v>
      </c>
      <c r="Q3061" t="str">
        <f>"Palletizing Rack (incl. Pins for creating Jigs)"</f>
        <v>Palletizing Rack (incl. Pins for creating Jigs)</v>
      </c>
      <c r="S3061" t="str">
        <f>"Palletizing Rack (incl. Pins for creating Jigs)"</f>
        <v>Palletizing Rack (incl. Pins for creating Jigs)</v>
      </c>
      <c r="T3061">
        <v>0</v>
      </c>
      <c r="U3061">
        <v>63</v>
      </c>
      <c r="V3061">
        <v>58.59</v>
      </c>
      <c r="W3061" t="str">
        <f t="shared" si="769"/>
        <v>rob</v>
      </c>
    </row>
    <row r="3062" spans="1:23">
      <c r="A3062" t="str">
        <f t="shared" si="775"/>
        <v>MTS-ER9P-MILL-BF</v>
      </c>
      <c r="B3062" t="str">
        <f>"021182"</f>
        <v>021182</v>
      </c>
      <c r="C3062" t="str">
        <f>"97mm Height Adapter"</f>
        <v>97mm Height Adapter</v>
      </c>
      <c r="D3062">
        <v>1</v>
      </c>
      <c r="E3062" t="str">
        <f t="shared" si="776"/>
        <v>FMS - Scorbot ER9Pro Robot for Boxford Mill</v>
      </c>
      <c r="F3062">
        <v>502</v>
      </c>
      <c r="G3062" t="str">
        <f t="shared" si="760"/>
        <v>Y</v>
      </c>
      <c r="H3062" t="str">
        <f t="shared" si="777"/>
        <v>EA</v>
      </c>
      <c r="I3062">
        <v>0</v>
      </c>
      <c r="J3062">
        <v>0</v>
      </c>
      <c r="K3062" t="str">
        <f t="shared" si="761"/>
        <v>Y</v>
      </c>
      <c r="L3062">
        <v>0</v>
      </c>
      <c r="M3062" t="str">
        <f t="shared" si="774"/>
        <v>NIS</v>
      </c>
      <c r="O3062">
        <v>15</v>
      </c>
      <c r="P3062" t="str">
        <f t="shared" si="773"/>
        <v>Active</v>
      </c>
      <c r="Q3062" t="str">
        <f>"97mm Height Adapter -Rack 001110 on formica 28mm"</f>
        <v>97mm Height Adapter -Rack 001110 on formica 28mm</v>
      </c>
      <c r="S3062" t="str">
        <f>"97mm Height Adapter -Rack 001110 on formica 28mm"</f>
        <v>97mm Height Adapter -Rack 001110 on formica 28mm</v>
      </c>
      <c r="T3062">
        <v>0</v>
      </c>
      <c r="U3062">
        <v>7</v>
      </c>
      <c r="V3062">
        <v>5.5</v>
      </c>
      <c r="W3062" t="str">
        <f t="shared" si="769"/>
        <v>rob</v>
      </c>
    </row>
    <row r="3063" spans="1:23">
      <c r="A3063" t="str">
        <f t="shared" si="775"/>
        <v>MTS-ER9P-MILL-BF</v>
      </c>
      <c r="B3063" t="str">
        <f>"10-2521-7000"</f>
        <v>10-2521-7000</v>
      </c>
      <c r="C3063" t="str">
        <f>"Pneumatic Feeder for Rectangular products"</f>
        <v>Pneumatic Feeder for Rectangular products</v>
      </c>
      <c r="D3063">
        <v>1</v>
      </c>
      <c r="E3063" t="str">
        <f t="shared" si="776"/>
        <v>FMS - Scorbot ER9Pro Robot for Boxford Mill</v>
      </c>
      <c r="F3063">
        <v>502</v>
      </c>
      <c r="G3063" t="str">
        <f t="shared" si="760"/>
        <v>Y</v>
      </c>
      <c r="H3063" t="str">
        <f t="shared" si="777"/>
        <v>EA</v>
      </c>
      <c r="I3063">
        <v>0</v>
      </c>
      <c r="J3063">
        <v>0</v>
      </c>
      <c r="K3063" t="str">
        <f t="shared" si="761"/>
        <v>Y</v>
      </c>
      <c r="L3063">
        <v>0</v>
      </c>
      <c r="M3063" t="str">
        <f t="shared" si="774"/>
        <v>NIS</v>
      </c>
      <c r="O3063">
        <v>6</v>
      </c>
      <c r="P3063" t="str">
        <f t="shared" si="773"/>
        <v>Active</v>
      </c>
      <c r="Q3063" t="str">
        <f>"Pneumatic Feeder for Rectangular Parts"</f>
        <v>Pneumatic Feeder for Rectangular Parts</v>
      </c>
      <c r="S3063" t="str">
        <f>"Pneumatic Feeder for Rectangular Parts"</f>
        <v>Pneumatic Feeder for Rectangular Parts</v>
      </c>
      <c r="T3063">
        <v>0</v>
      </c>
      <c r="U3063">
        <v>595</v>
      </c>
      <c r="V3063">
        <v>555.15</v>
      </c>
      <c r="W3063" t="str">
        <f t="shared" si="769"/>
        <v>rob</v>
      </c>
    </row>
    <row r="3064" spans="1:23">
      <c r="A3064" t="str">
        <f t="shared" si="775"/>
        <v>MTS-ER9P-MILL-BF</v>
      </c>
      <c r="B3064" t="str">
        <f>"034025"</f>
        <v>034025</v>
      </c>
      <c r="C3064" t="str">
        <f>"I/O Interface Box for Controller USB-PRO"</f>
        <v>I/O Interface Box for Controller USB-PRO</v>
      </c>
      <c r="D3064">
        <v>1</v>
      </c>
      <c r="E3064" t="str">
        <f t="shared" si="776"/>
        <v>FMS - Scorbot ER9Pro Robot for Boxford Mill</v>
      </c>
      <c r="F3064">
        <v>502</v>
      </c>
      <c r="G3064" t="str">
        <f t="shared" si="760"/>
        <v>Y</v>
      </c>
      <c r="H3064" t="str">
        <f t="shared" si="777"/>
        <v>EA</v>
      </c>
      <c r="I3064">
        <v>0</v>
      </c>
      <c r="J3064">
        <v>0</v>
      </c>
      <c r="K3064" t="str">
        <f t="shared" si="761"/>
        <v>Y</v>
      </c>
      <c r="L3064">
        <v>0</v>
      </c>
      <c r="M3064" t="str">
        <f t="shared" si="774"/>
        <v>NIS</v>
      </c>
      <c r="O3064">
        <v>7</v>
      </c>
      <c r="P3064" t="str">
        <f t="shared" si="773"/>
        <v>Active</v>
      </c>
      <c r="Q3064" t="str">
        <f>"קופסת 2+Interface Box I/O כבלים לבקר USBPRO"</f>
        <v>קופסת 2+Interface Box I/O כבלים לבקר USBPRO</v>
      </c>
      <c r="S3064" t="str">
        <f>"קופסת 2+Interface Box I/O כבלים לבקר USBPRO"</f>
        <v>קופסת 2+Interface Box I/O כבלים לבקר USBPRO</v>
      </c>
      <c r="T3064">
        <v>0</v>
      </c>
      <c r="U3064">
        <v>470</v>
      </c>
      <c r="V3064">
        <v>463.62</v>
      </c>
      <c r="W3064" t="str">
        <f t="shared" si="769"/>
        <v>rob</v>
      </c>
    </row>
    <row r="3065" spans="1:23">
      <c r="A3065" t="str">
        <f t="shared" si="775"/>
        <v>MTS-ER9P-MILL-BF</v>
      </c>
      <c r="B3065" t="str">
        <f>"10-2118-4000"</f>
        <v>10-2118-4000</v>
      </c>
      <c r="C3065" t="str">
        <f>"CNC Interface with Boxford Mill"</f>
        <v>CNC Interface with Boxford Mill</v>
      </c>
      <c r="D3065">
        <v>1</v>
      </c>
      <c r="E3065" t="str">
        <f t="shared" si="776"/>
        <v>FMS - Scorbot ER9Pro Robot for Boxford Mill</v>
      </c>
      <c r="F3065">
        <v>502</v>
      </c>
      <c r="G3065" t="str">
        <f t="shared" si="760"/>
        <v>Y</v>
      </c>
      <c r="H3065" t="str">
        <f t="shared" si="777"/>
        <v>EA</v>
      </c>
      <c r="I3065">
        <v>0</v>
      </c>
      <c r="J3065">
        <v>0</v>
      </c>
      <c r="K3065" t="str">
        <f t="shared" si="761"/>
        <v>Y</v>
      </c>
      <c r="L3065">
        <v>0</v>
      </c>
      <c r="M3065" t="str">
        <f t="shared" si="774"/>
        <v>NIS</v>
      </c>
      <c r="O3065">
        <v>8</v>
      </c>
      <c r="P3065" t="str">
        <f t="shared" si="773"/>
        <v>Active</v>
      </c>
      <c r="Q3065" t="str">
        <f>"CNC Interface with Boxford Mill"</f>
        <v>CNC Interface with Boxford Mill</v>
      </c>
      <c r="S3065" t="str">
        <f>"CNC Interface with Boxford Mill"</f>
        <v>CNC Interface with Boxford Mill</v>
      </c>
      <c r="T3065">
        <v>0</v>
      </c>
      <c r="U3065">
        <v>250</v>
      </c>
      <c r="V3065">
        <v>10.130000000000001</v>
      </c>
      <c r="W3065" t="str">
        <f t="shared" si="769"/>
        <v>rob</v>
      </c>
    </row>
    <row r="3066" spans="1:23">
      <c r="A3066" t="str">
        <f t="shared" si="775"/>
        <v>MTS-ER9P-MILL-BF</v>
      </c>
      <c r="B3066" t="str">
        <f>"10-2116-2000"</f>
        <v>10-2116-2000</v>
      </c>
      <c r="C3066" t="str">
        <f>"Pneumatic Flip Device for 3rd Party CNC Mill"</f>
        <v>Pneumatic Flip Device for 3rd Party CNC Mill</v>
      </c>
      <c r="D3066">
        <v>1</v>
      </c>
      <c r="E3066" t="str">
        <f t="shared" si="776"/>
        <v>FMS - Scorbot ER9Pro Robot for Boxford Mill</v>
      </c>
      <c r="F3066">
        <v>502</v>
      </c>
      <c r="G3066" t="str">
        <f t="shared" si="760"/>
        <v>Y</v>
      </c>
      <c r="H3066" t="str">
        <f t="shared" si="777"/>
        <v>EA</v>
      </c>
      <c r="I3066">
        <v>0</v>
      </c>
      <c r="J3066">
        <v>0</v>
      </c>
      <c r="K3066" t="str">
        <f t="shared" si="761"/>
        <v>Y</v>
      </c>
      <c r="L3066">
        <v>0</v>
      </c>
      <c r="M3066" t="str">
        <f t="shared" si="774"/>
        <v>NIS</v>
      </c>
      <c r="O3066">
        <v>9</v>
      </c>
      <c r="P3066" t="str">
        <f t="shared" si="773"/>
        <v>Active</v>
      </c>
      <c r="Q3066" t="str">
        <f>"Pneumatic Flip Device"</f>
        <v>Pneumatic Flip Device</v>
      </c>
      <c r="S3066" t="str">
        <f>"Pneumatic Flip Device"</f>
        <v>Pneumatic Flip Device</v>
      </c>
      <c r="T3066">
        <v>0</v>
      </c>
      <c r="U3066">
        <v>503.58</v>
      </c>
      <c r="V3066">
        <v>467.47</v>
      </c>
      <c r="W3066" t="str">
        <f t="shared" si="769"/>
        <v>rob</v>
      </c>
    </row>
    <row r="3067" spans="1:23">
      <c r="A3067" t="str">
        <f t="shared" si="775"/>
        <v>MTS-ER9P-MILL-BF</v>
      </c>
      <c r="B3067" t="str">
        <f>"021152"</f>
        <v>021152</v>
      </c>
      <c r="C3067" t="str">
        <f>"Shelf Buffer for CIM conveyor"</f>
        <v>Shelf Buffer for CIM conveyor</v>
      </c>
      <c r="D3067">
        <v>2</v>
      </c>
      <c r="E3067" t="str">
        <f t="shared" si="776"/>
        <v>FMS - Scorbot ER9Pro Robot for Boxford Mill</v>
      </c>
      <c r="F3067">
        <v>502</v>
      </c>
      <c r="G3067" t="str">
        <f t="shared" si="760"/>
        <v>Y</v>
      </c>
      <c r="H3067" t="str">
        <f t="shared" si="777"/>
        <v>EA</v>
      </c>
      <c r="I3067">
        <v>0</v>
      </c>
      <c r="J3067">
        <v>0</v>
      </c>
      <c r="K3067" t="str">
        <f t="shared" si="761"/>
        <v>Y</v>
      </c>
      <c r="L3067">
        <v>0</v>
      </c>
      <c r="M3067" t="str">
        <f t="shared" si="774"/>
        <v>NIS</v>
      </c>
      <c r="O3067">
        <v>10</v>
      </c>
      <c r="P3067" t="str">
        <f t="shared" si="773"/>
        <v>Active</v>
      </c>
      <c r="Q3067" t="str">
        <f>"מכלול- מדף בפר סטנדרטי OPEN-CIM"</f>
        <v>מכלול- מדף בפר סטנדרטי OPEN-CIM</v>
      </c>
      <c r="R3067" t="str">
        <f>"1"</f>
        <v>1</v>
      </c>
      <c r="S3067" t="str">
        <f>"מכלול- מדף בפר סטנדרטי OPEN-CIM"</f>
        <v>מכלול- מדף בפר סטנדרטי OPEN-CIM</v>
      </c>
      <c r="T3067">
        <v>0</v>
      </c>
      <c r="U3067">
        <v>83.12</v>
      </c>
      <c r="V3067">
        <v>92.76</v>
      </c>
      <c r="W3067" t="str">
        <f t="shared" si="769"/>
        <v>rob</v>
      </c>
    </row>
    <row r="3068" spans="1:23">
      <c r="A3068" t="str">
        <f t="shared" si="775"/>
        <v>MTS-ER9P-MILL-BF</v>
      </c>
      <c r="B3068" t="str">
        <f>"113034"</f>
        <v>113034</v>
      </c>
      <c r="C3068" t="str">
        <f>"Raw Material - Perspex Block"</f>
        <v>Raw Material - Perspex Block</v>
      </c>
      <c r="D3068">
        <v>50</v>
      </c>
      <c r="E3068" t="str">
        <f t="shared" si="776"/>
        <v>FMS - Scorbot ER9Pro Robot for Boxford Mill</v>
      </c>
      <c r="F3068">
        <v>502</v>
      </c>
      <c r="G3068" t="str">
        <f t="shared" si="760"/>
        <v>Y</v>
      </c>
      <c r="H3068" t="str">
        <f t="shared" si="777"/>
        <v>EA</v>
      </c>
      <c r="I3068">
        <v>0</v>
      </c>
      <c r="J3068">
        <v>0</v>
      </c>
      <c r="K3068" t="str">
        <f t="shared" si="761"/>
        <v>Y</v>
      </c>
      <c r="L3068">
        <v>0</v>
      </c>
      <c r="M3068" t="str">
        <f t="shared" si="774"/>
        <v>NIS</v>
      </c>
      <c r="O3068">
        <v>11</v>
      </c>
      <c r="P3068" t="str">
        <f t="shared" si="773"/>
        <v>Active</v>
      </c>
      <c r="Q3068" t="str">
        <f>"Raw Material Stock - Perspex Block"</f>
        <v>Raw Material Stock - Perspex Block</v>
      </c>
      <c r="S3068" t="str">
        <f>"Raw Material Stock - Perspex Block"</f>
        <v>Raw Material Stock - Perspex Block</v>
      </c>
      <c r="T3068">
        <v>0</v>
      </c>
      <c r="U3068">
        <v>1.1000000000000001</v>
      </c>
      <c r="V3068">
        <v>1.0900000000000001</v>
      </c>
      <c r="W3068" t="str">
        <f t="shared" si="769"/>
        <v>rob</v>
      </c>
    </row>
    <row r="3069" spans="1:23">
      <c r="A3069" t="str">
        <f t="shared" si="775"/>
        <v>MTS-ER9P-MILL-BF</v>
      </c>
      <c r="B3069" t="str">
        <f>"00-1251-0000"</f>
        <v>00-1251-0000</v>
      </c>
      <c r="C3069" t="str">
        <f>"Workbench 1500x800mm (Formica Top)"</f>
        <v>Workbench 1500x800mm (Formica Top)</v>
      </c>
      <c r="D3069">
        <v>1</v>
      </c>
      <c r="E3069" t="str">
        <f t="shared" si="776"/>
        <v>FMS - Scorbot ER9Pro Robot for Boxford Mill</v>
      </c>
      <c r="F3069">
        <v>502</v>
      </c>
      <c r="G3069" t="str">
        <f t="shared" si="760"/>
        <v>Y</v>
      </c>
      <c r="H3069" t="str">
        <f t="shared" si="777"/>
        <v>EA</v>
      </c>
      <c r="I3069">
        <v>0</v>
      </c>
      <c r="J3069">
        <v>0</v>
      </c>
      <c r="K3069" t="str">
        <f t="shared" si="761"/>
        <v>Y</v>
      </c>
      <c r="L3069">
        <v>0</v>
      </c>
      <c r="M3069" t="str">
        <f t="shared" si="774"/>
        <v>NIS</v>
      </c>
      <c r="O3069">
        <v>12</v>
      </c>
      <c r="P3069" t="str">
        <f t="shared" si="773"/>
        <v>Active</v>
      </c>
      <c r="Q3069" t="str">
        <f>"Workbench 1500x800mm (Formica Top)"</f>
        <v>Workbench 1500x800mm (Formica Top)</v>
      </c>
      <c r="S3069" t="str">
        <f>"Workbench 1500x800mm (Formica Top)"</f>
        <v>Workbench 1500x800mm (Formica Top)</v>
      </c>
      <c r="T3069">
        <v>0</v>
      </c>
      <c r="U3069">
        <v>582</v>
      </c>
      <c r="V3069">
        <v>588.6</v>
      </c>
      <c r="W3069" t="str">
        <f t="shared" si="769"/>
        <v>rob</v>
      </c>
    </row>
    <row r="3070" spans="1:23">
      <c r="A3070" t="str">
        <f t="shared" si="775"/>
        <v>MTS-ER9P-MILL-BF</v>
      </c>
      <c r="B3070" t="str">
        <f>"00-1290-0000"</f>
        <v>00-1290-0000</v>
      </c>
      <c r="C3070" t="str">
        <f>"PC Table 630x800mm (with Keyboard Drawer)"</f>
        <v>PC Table 630x800mm (with Keyboard Drawer)</v>
      </c>
      <c r="D3070">
        <v>1</v>
      </c>
      <c r="E3070" t="str">
        <f t="shared" si="776"/>
        <v>FMS - Scorbot ER9Pro Robot for Boxford Mill</v>
      </c>
      <c r="F3070">
        <v>502</v>
      </c>
      <c r="G3070" t="str">
        <f t="shared" si="760"/>
        <v>Y</v>
      </c>
      <c r="H3070" t="str">
        <f t="shared" si="777"/>
        <v>EA</v>
      </c>
      <c r="I3070">
        <v>0</v>
      </c>
      <c r="J3070">
        <v>0</v>
      </c>
      <c r="K3070" t="str">
        <f t="shared" si="761"/>
        <v>Y</v>
      </c>
      <c r="L3070">
        <v>0</v>
      </c>
      <c r="M3070" t="str">
        <f t="shared" si="774"/>
        <v>NIS</v>
      </c>
      <c r="O3070">
        <v>13</v>
      </c>
      <c r="P3070" t="str">
        <f t="shared" si="773"/>
        <v>Active</v>
      </c>
      <c r="Q3070" t="str">
        <f>"PC Table 630x800mm (with Keyboard Drawer)"</f>
        <v>PC Table 630x800mm (with Keyboard Drawer)</v>
      </c>
      <c r="S3070" t="str">
        <f>"PC Table 630x800mm (with Keyboard Drawer)"</f>
        <v>PC Table 630x800mm (with Keyboard Drawer)</v>
      </c>
      <c r="T3070">
        <v>0</v>
      </c>
      <c r="U3070">
        <v>405.86</v>
      </c>
      <c r="V3070">
        <v>329.34</v>
      </c>
      <c r="W3070" t="str">
        <f t="shared" si="769"/>
        <v>rob</v>
      </c>
    </row>
    <row r="3071" spans="1:23">
      <c r="A3071" t="str">
        <f t="shared" si="775"/>
        <v>MTS-ER9P-MILL-BF</v>
      </c>
      <c r="B3071" t="str">
        <f>"50-0094-0000"</f>
        <v>50-0094-0000</v>
      </c>
      <c r="C3071" t="str">
        <f>"Pre-Engineering, Design and Testing"</f>
        <v>Pre-Engineering, Design and Testing</v>
      </c>
      <c r="D3071">
        <v>1</v>
      </c>
      <c r="E3071" t="str">
        <f t="shared" si="776"/>
        <v>FMS - Scorbot ER9Pro Robot for Boxford Mill</v>
      </c>
      <c r="F3071">
        <v>502</v>
      </c>
      <c r="G3071" t="str">
        <f t="shared" si="760"/>
        <v>Y</v>
      </c>
      <c r="H3071" t="str">
        <f>"DA"</f>
        <v>DA</v>
      </c>
      <c r="I3071">
        <v>0</v>
      </c>
      <c r="J3071">
        <v>0</v>
      </c>
      <c r="K3071" t="str">
        <f t="shared" si="761"/>
        <v>Y</v>
      </c>
      <c r="L3071">
        <v>0</v>
      </c>
      <c r="M3071" t="str">
        <f t="shared" si="774"/>
        <v>NIS</v>
      </c>
      <c r="O3071">
        <v>14</v>
      </c>
      <c r="P3071" t="str">
        <f t="shared" si="773"/>
        <v>Active</v>
      </c>
      <c r="Q3071" t="str">
        <f>"Pre-Engineering, Design and Testing"</f>
        <v>Pre-Engineering, Design and Testing</v>
      </c>
      <c r="S3071" t="str">
        <f>"Pre-Engineering, Design and Testing"</f>
        <v>Pre-Engineering, Design and Testing</v>
      </c>
      <c r="T3071">
        <v>0</v>
      </c>
      <c r="U3071">
        <v>405</v>
      </c>
      <c r="V3071">
        <v>421.2</v>
      </c>
      <c r="W3071" t="str">
        <f t="shared" si="769"/>
        <v>rob</v>
      </c>
    </row>
    <row r="3072" spans="1:23">
      <c r="A3072" t="str">
        <f t="shared" ref="A3072:A3118" si="778">"MTS-ER9P-PM&amp;PT"</f>
        <v>MTS-ER9P-PM&amp;PT</v>
      </c>
      <c r="B3072" t="str">
        <f>"00-0430-0000"</f>
        <v>00-0430-0000</v>
      </c>
      <c r="C3072" t="str">
        <f>"SCORBOT-ER9Pro"</f>
        <v>SCORBOT-ER9Pro</v>
      </c>
      <c r="D3072">
        <v>1</v>
      </c>
      <c r="E3072" t="str">
        <f t="shared" ref="E3072:E3118" si="779">"FMS - Scorbot ER9Pro Robot with ProMill 8000 (12 tool ATC) &amp; ProTurn 9000 CNC machines"</f>
        <v>FMS - Scorbot ER9Pro Robot with ProMill 8000 (12 tool ATC) &amp; ProTurn 9000 CNC machines</v>
      </c>
      <c r="F3072">
        <v>502</v>
      </c>
      <c r="G3072" t="str">
        <f t="shared" si="760"/>
        <v>Y</v>
      </c>
      <c r="H3072" t="str">
        <f t="shared" ref="H3072:H3117" si="780">"EA"</f>
        <v>EA</v>
      </c>
      <c r="I3072">
        <v>0</v>
      </c>
      <c r="J3072">
        <v>0</v>
      </c>
      <c r="K3072" t="str">
        <f t="shared" si="761"/>
        <v>Y</v>
      </c>
      <c r="L3072">
        <v>0</v>
      </c>
      <c r="M3072" t="str">
        <f t="shared" si="774"/>
        <v>NIS</v>
      </c>
      <c r="O3072">
        <v>1</v>
      </c>
      <c r="P3072" t="str">
        <f t="shared" si="773"/>
        <v>Active</v>
      </c>
      <c r="Q3072" t="str">
        <f>"SCORBOT-ER 9Pro (incl. USB-Pro Controller)"</f>
        <v>SCORBOT-ER 9Pro (incl. USB-Pro Controller)</v>
      </c>
      <c r="S3072" t="str">
        <f>"SCORBOT-ER 9Pro (incl. USB-Pro Controller)"</f>
        <v>SCORBOT-ER 9Pro (incl. USB-Pro Controller)</v>
      </c>
      <c r="T3072">
        <v>0</v>
      </c>
      <c r="U3072" s="44">
        <v>10900</v>
      </c>
      <c r="V3072" s="44">
        <v>11661.57</v>
      </c>
      <c r="W3072" t="str">
        <f t="shared" si="769"/>
        <v>rob</v>
      </c>
    </row>
    <row r="3073" spans="1:23">
      <c r="A3073" t="str">
        <f t="shared" si="778"/>
        <v>MTS-ER9P-PM&amp;PT</v>
      </c>
      <c r="B3073" t="str">
        <f>"00-0633-0000"</f>
        <v>00-0633-0000</v>
      </c>
      <c r="C3073" t="str">
        <f>"Pneumatic Gripper for ER9-Pro"</f>
        <v>Pneumatic Gripper for ER9-Pro</v>
      </c>
      <c r="D3073">
        <v>1</v>
      </c>
      <c r="E3073" t="str">
        <f t="shared" si="779"/>
        <v>FMS - Scorbot ER9Pro Robot with ProMill 8000 (12 tool ATC) &amp; ProTurn 9000 CNC machines</v>
      </c>
      <c r="F3073">
        <v>502</v>
      </c>
      <c r="G3073" t="str">
        <f t="shared" si="760"/>
        <v>Y</v>
      </c>
      <c r="H3073" t="str">
        <f t="shared" si="780"/>
        <v>EA</v>
      </c>
      <c r="I3073">
        <v>0</v>
      </c>
      <c r="J3073">
        <v>0</v>
      </c>
      <c r="K3073" t="str">
        <f t="shared" si="761"/>
        <v>Y</v>
      </c>
      <c r="L3073">
        <v>0</v>
      </c>
      <c r="M3073" t="str">
        <f t="shared" si="774"/>
        <v>NIS</v>
      </c>
      <c r="O3073">
        <v>2</v>
      </c>
      <c r="P3073" t="str">
        <f t="shared" si="773"/>
        <v>Active</v>
      </c>
      <c r="Q3073" t="str">
        <f>"Pneumatic Gripper for ER 9Pro"</f>
        <v>Pneumatic Gripper for ER 9Pro</v>
      </c>
      <c r="S3073" t="str">
        <f>"Pneumatic Gripper for ER9-Pro"</f>
        <v>Pneumatic Gripper for ER9-Pro</v>
      </c>
      <c r="T3073">
        <v>0</v>
      </c>
      <c r="U3073">
        <v>630</v>
      </c>
      <c r="V3073">
        <v>624.72</v>
      </c>
      <c r="W3073" t="str">
        <f t="shared" si="769"/>
        <v>rob</v>
      </c>
    </row>
    <row r="3074" spans="1:23">
      <c r="A3074" t="str">
        <f t="shared" si="778"/>
        <v>MTS-ER9P-PM&amp;PT</v>
      </c>
      <c r="B3074" t="str">
        <f>"00-1710-0000"</f>
        <v>00-1710-0000</v>
      </c>
      <c r="C3074" t="str">
        <f>"Teach Pendant"</f>
        <v>Teach Pendant</v>
      </c>
      <c r="D3074">
        <v>1</v>
      </c>
      <c r="E3074" t="str">
        <f t="shared" si="779"/>
        <v>FMS - Scorbot ER9Pro Robot with ProMill 8000 (12 tool ATC) &amp; ProTurn 9000 CNC machines</v>
      </c>
      <c r="F3074">
        <v>502</v>
      </c>
      <c r="G3074" t="str">
        <f t="shared" ref="G3074:G3137" si="781">"Y"</f>
        <v>Y</v>
      </c>
      <c r="H3074" t="str">
        <f t="shared" si="780"/>
        <v>EA</v>
      </c>
      <c r="I3074">
        <v>0</v>
      </c>
      <c r="J3074">
        <v>0</v>
      </c>
      <c r="K3074" t="str">
        <f t="shared" ref="K3074:K3137" si="782">"Y"</f>
        <v>Y</v>
      </c>
      <c r="L3074">
        <v>0</v>
      </c>
      <c r="M3074" t="str">
        <f t="shared" si="774"/>
        <v>NIS</v>
      </c>
      <c r="O3074">
        <v>3</v>
      </c>
      <c r="P3074" t="str">
        <f t="shared" si="773"/>
        <v>Active</v>
      </c>
      <c r="Q3074" t="str">
        <f>"Teach Pendant for USB/USB Pro Controllers"</f>
        <v>Teach Pendant for USB/USB Pro Controllers</v>
      </c>
      <c r="S3074" t="str">
        <f>"Teach Pendant for USB/USB Pro Controllers"</f>
        <v>Teach Pendant for USB/USB Pro Controllers</v>
      </c>
      <c r="T3074">
        <v>0</v>
      </c>
      <c r="U3074">
        <v>160.18</v>
      </c>
      <c r="V3074">
        <v>161.44999999999999</v>
      </c>
      <c r="W3074" t="str">
        <f t="shared" si="769"/>
        <v>rob</v>
      </c>
    </row>
    <row r="3075" spans="1:23">
      <c r="A3075" t="str">
        <f t="shared" si="778"/>
        <v>MTS-ER9P-PM&amp;PT</v>
      </c>
      <c r="B3075" t="str">
        <f>"00-1017-0000"</f>
        <v>00-1017-0000</v>
      </c>
      <c r="C3075" t="str">
        <f>"LSB 1.8m, Belt, FM"</f>
        <v>LSB 1.8m, Belt, FM</v>
      </c>
      <c r="D3075">
        <v>1</v>
      </c>
      <c r="E3075" t="str">
        <f t="shared" si="779"/>
        <v>FMS - Scorbot ER9Pro Robot with ProMill 8000 (12 tool ATC) &amp; ProTurn 9000 CNC machines</v>
      </c>
      <c r="F3075">
        <v>502</v>
      </c>
      <c r="G3075" t="str">
        <f t="shared" si="781"/>
        <v>Y</v>
      </c>
      <c r="H3075" t="str">
        <f t="shared" si="780"/>
        <v>EA</v>
      </c>
      <c r="I3075">
        <v>0</v>
      </c>
      <c r="J3075">
        <v>0</v>
      </c>
      <c r="K3075" t="str">
        <f t="shared" si="782"/>
        <v>Y</v>
      </c>
      <c r="L3075">
        <v>0</v>
      </c>
      <c r="M3075" t="str">
        <f t="shared" si="774"/>
        <v>NIS</v>
      </c>
      <c r="O3075">
        <v>4</v>
      </c>
      <c r="P3075" t="str">
        <f t="shared" si="773"/>
        <v>Active</v>
      </c>
      <c r="Q3075" t="str">
        <f>"LSB 1.8m (Belt, Floor Mounted incl. Stand)"</f>
        <v>LSB 1.8m (Belt, Floor Mounted incl. Stand)</v>
      </c>
      <c r="S3075" t="str">
        <f>"LSB 1.8m, Belt, Floor Mounted incl. Stand"</f>
        <v>LSB 1.8m, Belt, Floor Mounted incl. Stand</v>
      </c>
      <c r="T3075">
        <v>0</v>
      </c>
      <c r="U3075" s="44">
        <v>2342.3000000000002</v>
      </c>
      <c r="V3075" s="44">
        <v>2266.2600000000002</v>
      </c>
      <c r="W3075" t="str">
        <f t="shared" si="769"/>
        <v>rob</v>
      </c>
    </row>
    <row r="3076" spans="1:23">
      <c r="A3076" t="str">
        <f t="shared" si="778"/>
        <v>MTS-ER9P-PM&amp;PT</v>
      </c>
      <c r="B3076" t="str">
        <f>"034025"</f>
        <v>034025</v>
      </c>
      <c r="C3076" t="str">
        <f>"I/O Interface Box for Controller USB-PRO"</f>
        <v>I/O Interface Box for Controller USB-PRO</v>
      </c>
      <c r="D3076">
        <v>1</v>
      </c>
      <c r="E3076" t="str">
        <f t="shared" si="779"/>
        <v>FMS - Scorbot ER9Pro Robot with ProMill 8000 (12 tool ATC) &amp; ProTurn 9000 CNC machines</v>
      </c>
      <c r="F3076">
        <v>502</v>
      </c>
      <c r="G3076" t="str">
        <f t="shared" si="781"/>
        <v>Y</v>
      </c>
      <c r="H3076" t="str">
        <f t="shared" si="780"/>
        <v>EA</v>
      </c>
      <c r="I3076">
        <v>0</v>
      </c>
      <c r="J3076">
        <v>0</v>
      </c>
      <c r="K3076" t="str">
        <f t="shared" si="782"/>
        <v>Y</v>
      </c>
      <c r="L3076">
        <v>0</v>
      </c>
      <c r="M3076" t="str">
        <f t="shared" si="774"/>
        <v>NIS</v>
      </c>
      <c r="O3076">
        <v>5</v>
      </c>
      <c r="P3076" t="str">
        <f t="shared" si="773"/>
        <v>Active</v>
      </c>
      <c r="Q3076" t="str">
        <f>"I/O Interface Box for Controller USB-PRO+2cables"</f>
        <v>I/O Interface Box for Controller USB-PRO+2cables</v>
      </c>
      <c r="S3076" t="str">
        <f>"קופסת 2+Interface Box I/O כבלים לבקר USBPRO"</f>
        <v>קופסת 2+Interface Box I/O כבלים לבקר USBPRO</v>
      </c>
      <c r="T3076">
        <v>0</v>
      </c>
      <c r="U3076">
        <v>470</v>
      </c>
      <c r="V3076">
        <v>463.62</v>
      </c>
      <c r="W3076" t="str">
        <f t="shared" si="769"/>
        <v>rob</v>
      </c>
    </row>
    <row r="3077" spans="1:23">
      <c r="A3077" t="str">
        <f t="shared" si="778"/>
        <v>MTS-ER9P-PM&amp;PT</v>
      </c>
      <c r="B3077" t="str">
        <f>"10-2521-7000"</f>
        <v>10-2521-7000</v>
      </c>
      <c r="C3077" t="str">
        <f>"Pneumatic Feeder for Rectangular products"</f>
        <v>Pneumatic Feeder for Rectangular products</v>
      </c>
      <c r="D3077">
        <v>1</v>
      </c>
      <c r="E3077" t="str">
        <f t="shared" si="779"/>
        <v>FMS - Scorbot ER9Pro Robot with ProMill 8000 (12 tool ATC) &amp; ProTurn 9000 CNC machines</v>
      </c>
      <c r="F3077">
        <v>502</v>
      </c>
      <c r="G3077" t="str">
        <f t="shared" si="781"/>
        <v>Y</v>
      </c>
      <c r="H3077" t="str">
        <f t="shared" si="780"/>
        <v>EA</v>
      </c>
      <c r="I3077">
        <v>0</v>
      </c>
      <c r="J3077">
        <v>0</v>
      </c>
      <c r="K3077" t="str">
        <f t="shared" si="782"/>
        <v>Y</v>
      </c>
      <c r="L3077">
        <v>0</v>
      </c>
      <c r="M3077" t="str">
        <f t="shared" si="774"/>
        <v>NIS</v>
      </c>
      <c r="O3077">
        <v>6</v>
      </c>
      <c r="P3077" t="str">
        <f t="shared" si="773"/>
        <v>Active</v>
      </c>
      <c r="Q3077" t="str">
        <f>"Pneumatic Feeder for Rectangular Parts"</f>
        <v>Pneumatic Feeder for Rectangular Parts</v>
      </c>
      <c r="S3077" t="str">
        <f>"Pneumatic Feeder for Rectangular Parts"</f>
        <v>Pneumatic Feeder for Rectangular Parts</v>
      </c>
      <c r="T3077">
        <v>0</v>
      </c>
      <c r="U3077">
        <v>595</v>
      </c>
      <c r="V3077">
        <v>555.15</v>
      </c>
      <c r="W3077" t="str">
        <f t="shared" si="769"/>
        <v>rob</v>
      </c>
    </row>
    <row r="3078" spans="1:23">
      <c r="A3078" t="str">
        <f t="shared" si="778"/>
        <v>MTS-ER9P-PM&amp;PT</v>
      </c>
      <c r="B3078" t="str">
        <f>"10-1007-4000"</f>
        <v>10-1007-4000</v>
      </c>
      <c r="C3078" t="str">
        <f>"Gravity Parts Feeder (with microswitch sensor)"</f>
        <v>Gravity Parts Feeder (with microswitch sensor)</v>
      </c>
      <c r="D3078">
        <v>1</v>
      </c>
      <c r="E3078" t="str">
        <f t="shared" si="779"/>
        <v>FMS - Scorbot ER9Pro Robot with ProMill 8000 (12 tool ATC) &amp; ProTurn 9000 CNC machines</v>
      </c>
      <c r="F3078">
        <v>502</v>
      </c>
      <c r="G3078" t="str">
        <f t="shared" si="781"/>
        <v>Y</v>
      </c>
      <c r="H3078" t="str">
        <f t="shared" si="780"/>
        <v>EA</v>
      </c>
      <c r="I3078">
        <v>0</v>
      </c>
      <c r="J3078">
        <v>0</v>
      </c>
      <c r="K3078" t="str">
        <f t="shared" si="782"/>
        <v>Y</v>
      </c>
      <c r="L3078">
        <v>0</v>
      </c>
      <c r="M3078" t="str">
        <f t="shared" si="774"/>
        <v>NIS</v>
      </c>
      <c r="O3078">
        <v>7</v>
      </c>
      <c r="P3078" t="str">
        <f t="shared" si="773"/>
        <v>Active</v>
      </c>
      <c r="Q3078" t="str">
        <f>"Gravity Parts Feeder (incl.microswitch sensor)"</f>
        <v>Gravity Parts Feeder (incl.microswitch sensor)</v>
      </c>
      <c r="S3078" t="str">
        <f>"Gravity Parts Feeder (incl.microswitch sensor)"</f>
        <v>Gravity Parts Feeder (incl.microswitch sensor)</v>
      </c>
      <c r="T3078">
        <v>0</v>
      </c>
      <c r="U3078">
        <v>148</v>
      </c>
      <c r="V3078">
        <v>148.26</v>
      </c>
      <c r="W3078" t="str">
        <f t="shared" si="769"/>
        <v>rob</v>
      </c>
    </row>
    <row r="3079" spans="1:23">
      <c r="A3079" t="str">
        <f t="shared" si="778"/>
        <v>MTS-ER9P-PM&amp;PT</v>
      </c>
      <c r="B3079" t="str">
        <f>"00-1110-0000"</f>
        <v>00-1110-0000</v>
      </c>
      <c r="C3079" t="str">
        <f>"Palletizing Rack"</f>
        <v>Palletizing Rack</v>
      </c>
      <c r="D3079">
        <v>2</v>
      </c>
      <c r="E3079" t="str">
        <f t="shared" si="779"/>
        <v>FMS - Scorbot ER9Pro Robot with ProMill 8000 (12 tool ATC) &amp; ProTurn 9000 CNC machines</v>
      </c>
      <c r="F3079">
        <v>502</v>
      </c>
      <c r="G3079" t="str">
        <f t="shared" si="781"/>
        <v>Y</v>
      </c>
      <c r="H3079" t="str">
        <f t="shared" si="780"/>
        <v>EA</v>
      </c>
      <c r="I3079">
        <v>0</v>
      </c>
      <c r="J3079">
        <v>0</v>
      </c>
      <c r="K3079" t="str">
        <f t="shared" si="782"/>
        <v>Y</v>
      </c>
      <c r="L3079">
        <v>0</v>
      </c>
      <c r="M3079" t="str">
        <f t="shared" si="774"/>
        <v>NIS</v>
      </c>
      <c r="O3079">
        <v>8</v>
      </c>
      <c r="P3079" t="str">
        <f t="shared" si="773"/>
        <v>Active</v>
      </c>
      <c r="Q3079" t="str">
        <f>"Palletizing Rack (incl. Pins for creating Jigs)"</f>
        <v>Palletizing Rack (incl. Pins for creating Jigs)</v>
      </c>
      <c r="S3079" t="str">
        <f>"Palletizing Rack (incl. Pins for creating Jigs)"</f>
        <v>Palletizing Rack (incl. Pins for creating Jigs)</v>
      </c>
      <c r="T3079">
        <v>0</v>
      </c>
      <c r="U3079">
        <v>63</v>
      </c>
      <c r="V3079">
        <v>58.59</v>
      </c>
      <c r="W3079" t="str">
        <f t="shared" si="769"/>
        <v>rob</v>
      </c>
    </row>
    <row r="3080" spans="1:23">
      <c r="A3080" t="str">
        <f t="shared" si="778"/>
        <v>MTS-ER9P-PM&amp;PT</v>
      </c>
      <c r="B3080" t="str">
        <f>"021182"</f>
        <v>021182</v>
      </c>
      <c r="C3080" t="str">
        <f>"97mm Height Adapter"</f>
        <v>97mm Height Adapter</v>
      </c>
      <c r="D3080">
        <v>2</v>
      </c>
      <c r="E3080" t="str">
        <f t="shared" si="779"/>
        <v>FMS - Scorbot ER9Pro Robot with ProMill 8000 (12 tool ATC) &amp; ProTurn 9000 CNC machines</v>
      </c>
      <c r="F3080">
        <v>502</v>
      </c>
      <c r="G3080" t="str">
        <f t="shared" si="781"/>
        <v>Y</v>
      </c>
      <c r="H3080" t="str">
        <f t="shared" si="780"/>
        <v>EA</v>
      </c>
      <c r="I3080">
        <v>0</v>
      </c>
      <c r="J3080">
        <v>0</v>
      </c>
      <c r="K3080" t="str">
        <f t="shared" si="782"/>
        <v>Y</v>
      </c>
      <c r="L3080">
        <v>0</v>
      </c>
      <c r="M3080" t="str">
        <f t="shared" si="774"/>
        <v>NIS</v>
      </c>
      <c r="O3080">
        <v>47</v>
      </c>
      <c r="P3080" t="str">
        <f t="shared" si="773"/>
        <v>Active</v>
      </c>
      <c r="Q3080" t="str">
        <f>"97mm Height Adapter -Rack 001110 on formica 28mm"</f>
        <v>97mm Height Adapter -Rack 001110 on formica 28mm</v>
      </c>
      <c r="S3080" t="str">
        <f>"97mm Height Adapter -Rack 001110 on formica 28mm"</f>
        <v>97mm Height Adapter -Rack 001110 on formica 28mm</v>
      </c>
      <c r="T3080">
        <v>0</v>
      </c>
      <c r="U3080">
        <v>7</v>
      </c>
      <c r="V3080">
        <v>5.5</v>
      </c>
      <c r="W3080" t="str">
        <f t="shared" si="769"/>
        <v>rob</v>
      </c>
    </row>
    <row r="3081" spans="1:23">
      <c r="A3081" t="str">
        <f t="shared" si="778"/>
        <v>MTS-ER9P-PM&amp;PT</v>
      </c>
      <c r="B3081" t="str">
        <f>"021152"</f>
        <v>021152</v>
      </c>
      <c r="C3081" t="str">
        <f>"Shelf Buffer for CIM conveyor"</f>
        <v>Shelf Buffer for CIM conveyor</v>
      </c>
      <c r="D3081">
        <v>2</v>
      </c>
      <c r="E3081" t="str">
        <f t="shared" si="779"/>
        <v>FMS - Scorbot ER9Pro Robot with ProMill 8000 (12 tool ATC) &amp; ProTurn 9000 CNC machines</v>
      </c>
      <c r="F3081">
        <v>502</v>
      </c>
      <c r="G3081" t="str">
        <f t="shared" si="781"/>
        <v>Y</v>
      </c>
      <c r="H3081" t="str">
        <f t="shared" si="780"/>
        <v>EA</v>
      </c>
      <c r="I3081">
        <v>0</v>
      </c>
      <c r="J3081">
        <v>0</v>
      </c>
      <c r="K3081" t="str">
        <f t="shared" si="782"/>
        <v>Y</v>
      </c>
      <c r="L3081">
        <v>0</v>
      </c>
      <c r="M3081" t="str">
        <f t="shared" si="774"/>
        <v>NIS</v>
      </c>
      <c r="O3081">
        <v>9</v>
      </c>
      <c r="P3081" t="str">
        <f t="shared" si="773"/>
        <v>Active</v>
      </c>
      <c r="Q3081" t="str">
        <f>"מכלול- מדף בפר סטנדרטי OPEN-CIM"</f>
        <v>מכלול- מדף בפר סטנדרטי OPEN-CIM</v>
      </c>
      <c r="R3081" t="str">
        <f>"1"</f>
        <v>1</v>
      </c>
      <c r="S3081" t="str">
        <f>"מכלול- מדף בפר סטנדרטי OPEN-CIM"</f>
        <v>מכלול- מדף בפר סטנדרטי OPEN-CIM</v>
      </c>
      <c r="T3081">
        <v>0</v>
      </c>
      <c r="U3081">
        <v>83.12</v>
      </c>
      <c r="V3081">
        <v>92.76</v>
      </c>
      <c r="W3081" t="str">
        <f t="shared" si="769"/>
        <v>rob</v>
      </c>
    </row>
    <row r="3082" spans="1:23">
      <c r="A3082" t="str">
        <f t="shared" si="778"/>
        <v>MTS-ER9P-PM&amp;PT</v>
      </c>
      <c r="B3082" t="str">
        <f>"10-2120-2000"</f>
        <v>10-2120-2000</v>
      </c>
      <c r="C3082" t="str">
        <f>"CNC Interface with ProMill 8000"</f>
        <v>CNC Interface with ProMill 8000</v>
      </c>
      <c r="D3082">
        <v>1</v>
      </c>
      <c r="E3082" t="str">
        <f t="shared" si="779"/>
        <v>FMS - Scorbot ER9Pro Robot with ProMill 8000 (12 tool ATC) &amp; ProTurn 9000 CNC machines</v>
      </c>
      <c r="F3082">
        <v>502</v>
      </c>
      <c r="G3082" t="str">
        <f t="shared" si="781"/>
        <v>Y</v>
      </c>
      <c r="H3082" t="str">
        <f t="shared" si="780"/>
        <v>EA</v>
      </c>
      <c r="I3082">
        <v>0</v>
      </c>
      <c r="J3082">
        <v>0</v>
      </c>
      <c r="K3082" t="str">
        <f t="shared" si="782"/>
        <v>Y</v>
      </c>
      <c r="L3082">
        <v>0</v>
      </c>
      <c r="M3082" t="str">
        <f t="shared" si="774"/>
        <v>NIS</v>
      </c>
      <c r="O3082">
        <v>10</v>
      </c>
      <c r="P3082" t="str">
        <f t="shared" si="773"/>
        <v>Active</v>
      </c>
      <c r="Q3082" t="str">
        <f>"CNC Interface with ProMill 8000"</f>
        <v>CNC Interface with ProMill 8000</v>
      </c>
      <c r="S3082" t="str">
        <f>"CNC Interface with ProMill 8000"</f>
        <v>CNC Interface with ProMill 8000</v>
      </c>
      <c r="T3082">
        <v>0</v>
      </c>
      <c r="U3082">
        <v>18</v>
      </c>
      <c r="V3082">
        <v>17.690000000000001</v>
      </c>
      <c r="W3082" t="str">
        <f t="shared" si="769"/>
        <v>rob</v>
      </c>
    </row>
    <row r="3083" spans="1:23">
      <c r="A3083" t="str">
        <f t="shared" si="778"/>
        <v>MTS-ER9P-PM&amp;PT</v>
      </c>
      <c r="B3083" t="str">
        <f>"00-5509-0220"</f>
        <v>00-5509-0220</v>
      </c>
      <c r="C3083" t="str">
        <f>"ProMill 8000 AC with 12 Tool ATC"</f>
        <v>ProMill 8000 AC with 12 Tool ATC</v>
      </c>
      <c r="D3083">
        <v>1</v>
      </c>
      <c r="E3083" t="str">
        <f t="shared" si="779"/>
        <v>FMS - Scorbot ER9Pro Robot with ProMill 8000 (12 tool ATC) &amp; ProTurn 9000 CNC machines</v>
      </c>
      <c r="F3083">
        <v>502</v>
      </c>
      <c r="G3083" t="str">
        <f t="shared" si="781"/>
        <v>Y</v>
      </c>
      <c r="H3083" t="str">
        <f t="shared" si="780"/>
        <v>EA</v>
      </c>
      <c r="I3083">
        <v>0</v>
      </c>
      <c r="J3083">
        <v>0</v>
      </c>
      <c r="K3083" t="str">
        <f t="shared" si="782"/>
        <v>Y</v>
      </c>
      <c r="L3083">
        <v>0</v>
      </c>
      <c r="M3083" t="str">
        <f t="shared" si="774"/>
        <v>NIS</v>
      </c>
      <c r="O3083">
        <v>11</v>
      </c>
      <c r="P3083" t="str">
        <f t="shared" si="773"/>
        <v>Active</v>
      </c>
      <c r="Q3083" t="str">
        <f>"ProMill 8000 AC with 12 Tool ATC 220V"</f>
        <v>ProMill 8000 AC with 12 Tool ATC 220V</v>
      </c>
      <c r="S3083" t="str">
        <f>"ProMill 8000 AC with 12 Tool ATC 220V"</f>
        <v>ProMill 8000 AC with 12 Tool ATC 220V</v>
      </c>
      <c r="T3083">
        <v>0</v>
      </c>
      <c r="U3083" s="44">
        <v>7800</v>
      </c>
      <c r="V3083" s="44">
        <v>7781.65</v>
      </c>
      <c r="W3083" t="str">
        <f t="shared" si="769"/>
        <v>rob</v>
      </c>
    </row>
    <row r="3084" spans="1:23">
      <c r="A3084" t="str">
        <f t="shared" si="778"/>
        <v>MTS-ER9P-PM&amp;PT</v>
      </c>
      <c r="B3084" t="str">
        <f>"10-1111-9000"</f>
        <v>10-1111-9000</v>
      </c>
      <c r="C3084" t="str">
        <f>"ISO 20 tool holder"</f>
        <v>ISO 20 tool holder</v>
      </c>
      <c r="D3084">
        <v>12</v>
      </c>
      <c r="E3084" t="str">
        <f t="shared" si="779"/>
        <v>FMS - Scorbot ER9Pro Robot with ProMill 8000 (12 tool ATC) &amp; ProTurn 9000 CNC machines</v>
      </c>
      <c r="F3084">
        <v>502</v>
      </c>
      <c r="G3084" t="str">
        <f t="shared" si="781"/>
        <v>Y</v>
      </c>
      <c r="H3084" t="str">
        <f t="shared" si="780"/>
        <v>EA</v>
      </c>
      <c r="I3084">
        <v>0</v>
      </c>
      <c r="J3084">
        <v>0</v>
      </c>
      <c r="K3084" t="str">
        <f t="shared" si="782"/>
        <v>Y</v>
      </c>
      <c r="L3084">
        <v>0</v>
      </c>
      <c r="M3084" t="str">
        <f t="shared" ref="M3084:M3115" si="783">"NIS"</f>
        <v>NIS</v>
      </c>
      <c r="O3084">
        <v>12</v>
      </c>
      <c r="P3084" t="str">
        <f t="shared" si="773"/>
        <v>Active</v>
      </c>
      <c r="Q3084" t="str">
        <f>"ISO 20 tool holder with nut"</f>
        <v>ISO 20 tool holder with nut</v>
      </c>
      <c r="S3084" t="str">
        <f>"ISO 20 tool holder with nut"</f>
        <v>ISO 20 tool holder with nut</v>
      </c>
      <c r="T3084">
        <v>0</v>
      </c>
      <c r="U3084">
        <v>103</v>
      </c>
      <c r="V3084">
        <v>103.19</v>
      </c>
      <c r="W3084" t="str">
        <f t="shared" si="769"/>
        <v>rob</v>
      </c>
    </row>
    <row r="3085" spans="1:23">
      <c r="A3085" t="str">
        <f t="shared" si="778"/>
        <v>MTS-ER9P-PM&amp;PT</v>
      </c>
      <c r="B3085" t="str">
        <f>"10-1110-4000"</f>
        <v>10-1110-4000</v>
      </c>
      <c r="C3085" t="str">
        <f>"-- Pneumatic Shield (ProMill 8000 for FMS)"</f>
        <v>-- Pneumatic Shield (ProMill 8000 for FMS)</v>
      </c>
      <c r="D3085">
        <v>1</v>
      </c>
      <c r="E3085" t="str">
        <f t="shared" si="779"/>
        <v>FMS - Scorbot ER9Pro Robot with ProMill 8000 (12 tool ATC) &amp; ProTurn 9000 CNC machines</v>
      </c>
      <c r="F3085">
        <v>502</v>
      </c>
      <c r="G3085" t="str">
        <f t="shared" si="781"/>
        <v>Y</v>
      </c>
      <c r="H3085" t="str">
        <f t="shared" si="780"/>
        <v>EA</v>
      </c>
      <c r="I3085">
        <v>0</v>
      </c>
      <c r="J3085">
        <v>0</v>
      </c>
      <c r="K3085" t="str">
        <f t="shared" si="782"/>
        <v>Y</v>
      </c>
      <c r="L3085">
        <v>0</v>
      </c>
      <c r="M3085" t="str">
        <f t="shared" si="783"/>
        <v>NIS</v>
      </c>
      <c r="O3085">
        <v>13</v>
      </c>
      <c r="P3085" t="str">
        <f t="shared" si="773"/>
        <v>Active</v>
      </c>
      <c r="Q3085" t="str">
        <f>"Pneumatic Shield with Sensors (ProMill 8000)"</f>
        <v>Pneumatic Shield with Sensors (ProMill 8000)</v>
      </c>
      <c r="S3085" t="str">
        <f>"Pneumatic Shield with Sensors (ProMill 8000)"</f>
        <v>Pneumatic Shield with Sensors (ProMill 8000)</v>
      </c>
      <c r="T3085">
        <v>0</v>
      </c>
      <c r="U3085">
        <v>390</v>
      </c>
      <c r="V3085">
        <v>390.02</v>
      </c>
      <c r="W3085" t="str">
        <f t="shared" si="769"/>
        <v>rob</v>
      </c>
    </row>
    <row r="3086" spans="1:23">
      <c r="A3086" t="str">
        <f t="shared" si="778"/>
        <v>MTS-ER9P-PM&amp;PT</v>
      </c>
      <c r="B3086" t="str">
        <f>"10-1110-7000"</f>
        <v>10-1110-7000</v>
      </c>
      <c r="C3086" t="str">
        <f>"--Dual Axis Vise (for FMS)"</f>
        <v>--Dual Axis Vise (for FMS)</v>
      </c>
      <c r="D3086">
        <v>1</v>
      </c>
      <c r="E3086" t="str">
        <f t="shared" si="779"/>
        <v>FMS - Scorbot ER9Pro Robot with ProMill 8000 (12 tool ATC) &amp; ProTurn 9000 CNC machines</v>
      </c>
      <c r="F3086">
        <v>502</v>
      </c>
      <c r="G3086" t="str">
        <f t="shared" si="781"/>
        <v>Y</v>
      </c>
      <c r="H3086" t="str">
        <f t="shared" si="780"/>
        <v>EA</v>
      </c>
      <c r="I3086">
        <v>0</v>
      </c>
      <c r="J3086">
        <v>0</v>
      </c>
      <c r="K3086" t="str">
        <f t="shared" si="782"/>
        <v>Y</v>
      </c>
      <c r="L3086">
        <v>0</v>
      </c>
      <c r="M3086" t="str">
        <f t="shared" si="783"/>
        <v>NIS</v>
      </c>
      <c r="O3086">
        <v>14</v>
      </c>
      <c r="P3086" t="str">
        <f t="shared" si="773"/>
        <v>Active</v>
      </c>
      <c r="Q3086" t="str">
        <f>"Dual Axis Vise (BenchMill 6000/ ProMill 8000)"</f>
        <v>Dual Axis Vise (BenchMill 6000/ ProMill 8000)</v>
      </c>
      <c r="S3086" t="str">
        <f>"Dual Axis Vise (BenchMill 6000/ ProMill 8000)"</f>
        <v>Dual Axis Vise (BenchMill 6000/ ProMill 8000)</v>
      </c>
      <c r="T3086">
        <v>0</v>
      </c>
      <c r="U3086">
        <v>239</v>
      </c>
      <c r="V3086">
        <v>219.6</v>
      </c>
      <c r="W3086" t="str">
        <f t="shared" si="769"/>
        <v>rob</v>
      </c>
    </row>
    <row r="3087" spans="1:23">
      <c r="A3087" t="str">
        <f t="shared" si="778"/>
        <v>MTS-ER9P-PM&amp;PT</v>
      </c>
      <c r="B3087" t="str">
        <f>"10-1112-2000"</f>
        <v>10-1112-2000</v>
      </c>
      <c r="C3087" t="str">
        <f>"ER16 Collet set-8 pieces(3,4,5,6,7,8,9 and 10mm)"</f>
        <v>ER16 Collet set-8 pieces(3,4,5,6,7,8,9 and 10mm)</v>
      </c>
      <c r="D3087">
        <v>1</v>
      </c>
      <c r="E3087" t="str">
        <f t="shared" si="779"/>
        <v>FMS - Scorbot ER9Pro Robot with ProMill 8000 (12 tool ATC) &amp; ProTurn 9000 CNC machines</v>
      </c>
      <c r="F3087">
        <v>502</v>
      </c>
      <c r="G3087" t="str">
        <f t="shared" si="781"/>
        <v>Y</v>
      </c>
      <c r="H3087" t="str">
        <f t="shared" si="780"/>
        <v>EA</v>
      </c>
      <c r="I3087">
        <v>0</v>
      </c>
      <c r="J3087">
        <v>0</v>
      </c>
      <c r="K3087" t="str">
        <f t="shared" si="782"/>
        <v>Y</v>
      </c>
      <c r="L3087">
        <v>0</v>
      </c>
      <c r="M3087" t="str">
        <f t="shared" si="783"/>
        <v>NIS</v>
      </c>
      <c r="O3087">
        <v>15</v>
      </c>
      <c r="P3087" t="str">
        <f t="shared" si="773"/>
        <v>Active</v>
      </c>
      <c r="Q3087" t="str">
        <f>"ER16 Collet set-8 pieces(3,4,5,6,7,8,9 and 10mm)"</f>
        <v>ER16 Collet set-8 pieces(3,4,5,6,7,8,9 and 10mm)</v>
      </c>
      <c r="S3087" t="str">
        <f>"ER16 Collet set-8 pieces(3,4,5,6,7,8,9 and 10mm)"</f>
        <v>ER16 Collet set-8 pieces(3,4,5,6,7,8,9 and 10mm)</v>
      </c>
      <c r="T3087">
        <v>0</v>
      </c>
      <c r="U3087">
        <v>71</v>
      </c>
      <c r="V3087">
        <v>64.84</v>
      </c>
      <c r="W3087" t="str">
        <f t="shared" si="769"/>
        <v>rob</v>
      </c>
    </row>
    <row r="3088" spans="1:23">
      <c r="A3088" t="str">
        <f t="shared" si="778"/>
        <v>MTS-ER9P-PM&amp;PT</v>
      </c>
      <c r="B3088" t="str">
        <f>"10-1113-4000"</f>
        <v>10-1113-4000</v>
      </c>
      <c r="C3088" t="str">
        <f>"Metric End Mill Package(2X 3,6,8,10End,4,6 Ball)"</f>
        <v>Metric End Mill Package(2X 3,6,8,10End,4,6 Ball)</v>
      </c>
      <c r="D3088">
        <v>1</v>
      </c>
      <c r="E3088" t="str">
        <f t="shared" si="779"/>
        <v>FMS - Scorbot ER9Pro Robot with ProMill 8000 (12 tool ATC) &amp; ProTurn 9000 CNC machines</v>
      </c>
      <c r="F3088">
        <v>502</v>
      </c>
      <c r="G3088" t="str">
        <f t="shared" si="781"/>
        <v>Y</v>
      </c>
      <c r="H3088" t="str">
        <f t="shared" si="780"/>
        <v>EA</v>
      </c>
      <c r="I3088">
        <v>0</v>
      </c>
      <c r="J3088">
        <v>0</v>
      </c>
      <c r="K3088" t="str">
        <f t="shared" si="782"/>
        <v>Y</v>
      </c>
      <c r="L3088">
        <v>0</v>
      </c>
      <c r="M3088" t="str">
        <f t="shared" si="783"/>
        <v>NIS</v>
      </c>
      <c r="O3088">
        <v>16</v>
      </c>
      <c r="P3088" t="str">
        <f t="shared" si="773"/>
        <v>Active</v>
      </c>
      <c r="Q3088" t="str">
        <f>"Metric Advanced End Mill Package 5121"</f>
        <v>Metric Advanced End Mill Package 5121</v>
      </c>
      <c r="S3088" t="str">
        <f>"Metric Advanced End Mill Package 5121"</f>
        <v>Metric Advanced End Mill Package 5121</v>
      </c>
      <c r="T3088">
        <v>0</v>
      </c>
      <c r="U3088">
        <v>55</v>
      </c>
      <c r="V3088">
        <v>50.17</v>
      </c>
      <c r="W3088" t="str">
        <f t="shared" si="769"/>
        <v>rob</v>
      </c>
    </row>
    <row r="3089" spans="1:23">
      <c r="A3089" t="str">
        <f t="shared" si="778"/>
        <v>MTS-ER9P-PM&amp;PT</v>
      </c>
      <c r="B3089" t="str">
        <f>"10-1113-6000"</f>
        <v>10-1113-6000</v>
      </c>
      <c r="C3089" t="str">
        <f>"- Metric Engraving Package (1,1.5,2 mm End mill)"</f>
        <v>- Metric Engraving Package (1,1.5,2 mm End mill)</v>
      </c>
      <c r="D3089">
        <v>1</v>
      </c>
      <c r="E3089" t="str">
        <f t="shared" si="779"/>
        <v>FMS - Scorbot ER9Pro Robot with ProMill 8000 (12 tool ATC) &amp; ProTurn 9000 CNC machines</v>
      </c>
      <c r="F3089">
        <v>502</v>
      </c>
      <c r="G3089" t="str">
        <f t="shared" si="781"/>
        <v>Y</v>
      </c>
      <c r="H3089" t="str">
        <f t="shared" si="780"/>
        <v>EA</v>
      </c>
      <c r="I3089">
        <v>0</v>
      </c>
      <c r="J3089">
        <v>0</v>
      </c>
      <c r="K3089" t="str">
        <f t="shared" si="782"/>
        <v>Y</v>
      </c>
      <c r="L3089">
        <v>0</v>
      </c>
      <c r="M3089" t="str">
        <f t="shared" si="783"/>
        <v>NIS</v>
      </c>
      <c r="O3089">
        <v>17</v>
      </c>
      <c r="P3089" t="str">
        <f t="shared" si="773"/>
        <v>Active</v>
      </c>
      <c r="Q3089" t="str">
        <f>"Metric Engraving Package 5711"</f>
        <v>Metric Engraving Package 5711</v>
      </c>
      <c r="S3089" t="str">
        <f>"Metric Engraving Package 5711"</f>
        <v>Metric Engraving Package 5711</v>
      </c>
      <c r="T3089">
        <v>0</v>
      </c>
      <c r="U3089">
        <v>41</v>
      </c>
      <c r="V3089">
        <v>37.909999999999997</v>
      </c>
      <c r="W3089" t="str">
        <f t="shared" si="769"/>
        <v>rob</v>
      </c>
    </row>
    <row r="3090" spans="1:23">
      <c r="A3090" t="str">
        <f t="shared" si="778"/>
        <v>MTS-ER9P-PM&amp;PT</v>
      </c>
      <c r="B3090" t="str">
        <f>"10-1111-1000"</f>
        <v>10-1111-1000</v>
      </c>
      <c r="C3090" t="str">
        <f>"- Handwheel - Manual Control"</f>
        <v>- Handwheel - Manual Control</v>
      </c>
      <c r="D3090">
        <v>1</v>
      </c>
      <c r="E3090" t="str">
        <f t="shared" si="779"/>
        <v>FMS - Scorbot ER9Pro Robot with ProMill 8000 (12 tool ATC) &amp; ProTurn 9000 CNC machines</v>
      </c>
      <c r="F3090">
        <v>502</v>
      </c>
      <c r="G3090" t="str">
        <f t="shared" si="781"/>
        <v>Y</v>
      </c>
      <c r="H3090" t="str">
        <f t="shared" si="780"/>
        <v>EA</v>
      </c>
      <c r="I3090">
        <v>0</v>
      </c>
      <c r="J3090">
        <v>0</v>
      </c>
      <c r="K3090" t="str">
        <f t="shared" si="782"/>
        <v>Y</v>
      </c>
      <c r="L3090">
        <v>0</v>
      </c>
      <c r="M3090" t="str">
        <f t="shared" si="783"/>
        <v>NIS</v>
      </c>
      <c r="O3090">
        <v>18</v>
      </c>
      <c r="P3090" t="str">
        <f t="shared" si="773"/>
        <v>Active</v>
      </c>
      <c r="Q3090" t="str">
        <f>"Hand wheel"</f>
        <v>Hand wheel</v>
      </c>
      <c r="S3090" t="str">
        <f>"Jog Pendant Handwheel"</f>
        <v>Jog Pendant Handwheel</v>
      </c>
      <c r="T3090">
        <v>0</v>
      </c>
      <c r="U3090">
        <v>235</v>
      </c>
      <c r="V3090">
        <v>235.03</v>
      </c>
      <c r="W3090" t="str">
        <f t="shared" si="769"/>
        <v>rob</v>
      </c>
    </row>
    <row r="3091" spans="1:23">
      <c r="A3091" t="str">
        <f t="shared" si="778"/>
        <v>MTS-ER9P-PM&amp;PT</v>
      </c>
      <c r="B3091" t="str">
        <f>"10-1105-5000"</f>
        <v>10-1105-5000</v>
      </c>
      <c r="C3091" t="str">
        <f>"Computer and monitor attachment"</f>
        <v>Computer and monitor attachment</v>
      </c>
      <c r="D3091">
        <v>1</v>
      </c>
      <c r="E3091" t="str">
        <f t="shared" si="779"/>
        <v>FMS - Scorbot ER9Pro Robot with ProMill 8000 (12 tool ATC) &amp; ProTurn 9000 CNC machines</v>
      </c>
      <c r="F3091">
        <v>502</v>
      </c>
      <c r="G3091" t="str">
        <f t="shared" si="781"/>
        <v>Y</v>
      </c>
      <c r="H3091" t="str">
        <f t="shared" si="780"/>
        <v>EA</v>
      </c>
      <c r="I3091">
        <v>0</v>
      </c>
      <c r="J3091">
        <v>0</v>
      </c>
      <c r="K3091" t="str">
        <f t="shared" si="782"/>
        <v>Y</v>
      </c>
      <c r="L3091">
        <v>0</v>
      </c>
      <c r="M3091" t="str">
        <f t="shared" si="783"/>
        <v>NIS</v>
      </c>
      <c r="O3091">
        <v>19</v>
      </c>
      <c r="P3091" t="str">
        <f t="shared" si="773"/>
        <v>Active</v>
      </c>
      <c r="Q3091" t="str">
        <f>"Computer and monitor stand (attached to machine)"</f>
        <v>Computer and monitor stand (attached to machine)</v>
      </c>
      <c r="S3091" t="str">
        <f>"Computer and monitor stand (attached to machine)"</f>
        <v>Computer and monitor stand (attached to machine)</v>
      </c>
      <c r="T3091">
        <v>0</v>
      </c>
      <c r="U3091">
        <v>105.36</v>
      </c>
      <c r="V3091">
        <v>103.02</v>
      </c>
      <c r="W3091" t="str">
        <f t="shared" si="769"/>
        <v>rob</v>
      </c>
    </row>
    <row r="3092" spans="1:23">
      <c r="A3092" t="str">
        <f t="shared" si="778"/>
        <v>MTS-ER9P-PM&amp;PT</v>
      </c>
      <c r="B3092" t="str">
        <f>"10-1115-0000"</f>
        <v>10-1115-0000</v>
      </c>
      <c r="C3092" t="str">
        <f>"ER16 Collet set - 2 x (3,6,8,10mm)"</f>
        <v>ER16 Collet set - 2 x (3,6,8,10mm)</v>
      </c>
      <c r="D3092">
        <v>1</v>
      </c>
      <c r="E3092" t="str">
        <f t="shared" si="779"/>
        <v>FMS - Scorbot ER9Pro Robot with ProMill 8000 (12 tool ATC) &amp; ProTurn 9000 CNC machines</v>
      </c>
      <c r="F3092">
        <v>502</v>
      </c>
      <c r="G3092" t="str">
        <f t="shared" si="781"/>
        <v>Y</v>
      </c>
      <c r="H3092" t="str">
        <f t="shared" si="780"/>
        <v>EA</v>
      </c>
      <c r="I3092">
        <v>0</v>
      </c>
      <c r="J3092">
        <v>0</v>
      </c>
      <c r="K3092" t="str">
        <f t="shared" si="782"/>
        <v>Y</v>
      </c>
      <c r="L3092">
        <v>0</v>
      </c>
      <c r="M3092" t="str">
        <f t="shared" si="783"/>
        <v>NIS</v>
      </c>
      <c r="O3092">
        <v>20</v>
      </c>
      <c r="P3092" t="str">
        <f t="shared" si="773"/>
        <v>Active</v>
      </c>
      <c r="Q3092" t="str">
        <f>"ER16 Collet set-8 pieces(2)3,(2)6,(2)8,(2)10mm"</f>
        <v>ER16 Collet set-8 pieces(2)3,(2)6,(2)8,(2)10mm</v>
      </c>
      <c r="S3092" t="str">
        <f>"ER16 Collet set-8 pieces(2)3,(2)6,(2)8,(2)10mm"</f>
        <v>ER16 Collet set-8 pieces(2)3,(2)6,(2)8,(2)10mm</v>
      </c>
      <c r="T3092">
        <v>0</v>
      </c>
      <c r="U3092">
        <v>71</v>
      </c>
      <c r="V3092">
        <v>70.63</v>
      </c>
      <c r="W3092" t="str">
        <f t="shared" si="769"/>
        <v>rob</v>
      </c>
    </row>
    <row r="3093" spans="1:23">
      <c r="A3093" t="str">
        <f t="shared" si="778"/>
        <v>MTS-ER9P-PM&amp;PT</v>
      </c>
      <c r="B3093" t="str">
        <f>"10-1111-6000"</f>
        <v>10-1111-6000</v>
      </c>
      <c r="C3093" t="str">
        <f>"4"" Vise"</f>
        <v>4" Vise</v>
      </c>
      <c r="D3093">
        <v>1</v>
      </c>
      <c r="E3093" t="str">
        <f t="shared" si="779"/>
        <v>FMS - Scorbot ER9Pro Robot with ProMill 8000 (12 tool ATC) &amp; ProTurn 9000 CNC machines</v>
      </c>
      <c r="F3093">
        <v>502</v>
      </c>
      <c r="G3093" t="str">
        <f t="shared" si="781"/>
        <v>Y</v>
      </c>
      <c r="H3093" t="str">
        <f t="shared" si="780"/>
        <v>EA</v>
      </c>
      <c r="I3093">
        <v>0</v>
      </c>
      <c r="J3093">
        <v>0</v>
      </c>
      <c r="K3093" t="str">
        <f t="shared" si="782"/>
        <v>Y</v>
      </c>
      <c r="L3093">
        <v>0</v>
      </c>
      <c r="M3093" t="str">
        <f t="shared" si="783"/>
        <v>NIS</v>
      </c>
      <c r="N3093" t="str">
        <f>"Y"</f>
        <v>Y</v>
      </c>
      <c r="O3093">
        <v>21</v>
      </c>
      <c r="P3093" t="str">
        <f t="shared" si="773"/>
        <v>Active</v>
      </c>
      <c r="Q3093" t="str">
        <f>"4"" Precision Maching Vise"</f>
        <v>4" Precision Maching Vise</v>
      </c>
      <c r="S3093" t="str">
        <f>"4"" Precision Maching Vise"</f>
        <v>4" Precision Maching Vise</v>
      </c>
      <c r="T3093">
        <v>0</v>
      </c>
      <c r="U3093">
        <v>53</v>
      </c>
      <c r="V3093">
        <v>49.5</v>
      </c>
      <c r="W3093" t="str">
        <f t="shared" si="769"/>
        <v>rob</v>
      </c>
    </row>
    <row r="3094" spans="1:23">
      <c r="A3094" t="str">
        <f t="shared" si="778"/>
        <v>MTS-ER9P-PM&amp;PT</v>
      </c>
      <c r="B3094" t="str">
        <f>"10-1111-5000"</f>
        <v>10-1111-5000</v>
      </c>
      <c r="C3094" t="str">
        <f>"clamping kit 58 pcs set"</f>
        <v>clamping kit 58 pcs set</v>
      </c>
      <c r="D3094">
        <v>1</v>
      </c>
      <c r="E3094" t="str">
        <f t="shared" si="779"/>
        <v>FMS - Scorbot ER9Pro Robot with ProMill 8000 (12 tool ATC) &amp; ProTurn 9000 CNC machines</v>
      </c>
      <c r="F3094">
        <v>502</v>
      </c>
      <c r="G3094" t="str">
        <f t="shared" si="781"/>
        <v>Y</v>
      </c>
      <c r="H3094" t="str">
        <f t="shared" si="780"/>
        <v>EA</v>
      </c>
      <c r="I3094">
        <v>0</v>
      </c>
      <c r="J3094">
        <v>0</v>
      </c>
      <c r="K3094" t="str">
        <f t="shared" si="782"/>
        <v>Y</v>
      </c>
      <c r="L3094">
        <v>0</v>
      </c>
      <c r="M3094" t="str">
        <f t="shared" si="783"/>
        <v>NIS</v>
      </c>
      <c r="N3094" t="str">
        <f>"Y"</f>
        <v>Y</v>
      </c>
      <c r="O3094">
        <v>22</v>
      </c>
      <c r="P3094" t="str">
        <f t="shared" si="773"/>
        <v>Active</v>
      </c>
      <c r="Q3094" t="str">
        <f>"clamping kit 58 pcs set"</f>
        <v>clamping kit 58 pcs set</v>
      </c>
      <c r="S3094" t="str">
        <f>"clamping kit 58 pcs set"</f>
        <v>clamping kit 58 pcs set</v>
      </c>
      <c r="T3094">
        <v>0</v>
      </c>
      <c r="U3094">
        <v>52</v>
      </c>
      <c r="V3094">
        <v>51.72</v>
      </c>
      <c r="W3094" t="str">
        <f t="shared" si="769"/>
        <v>rob</v>
      </c>
    </row>
    <row r="3095" spans="1:23">
      <c r="A3095" t="str">
        <f t="shared" si="778"/>
        <v>MTS-ER9P-PM&amp;PT</v>
      </c>
      <c r="B3095" t="str">
        <f>"10-1108-8000"</f>
        <v>10-1108-8000</v>
      </c>
      <c r="C3095" t="str">
        <f>"- 4th Axis rotary worktable with tailstock"</f>
        <v>- 4th Axis rotary worktable with tailstock</v>
      </c>
      <c r="D3095">
        <v>1</v>
      </c>
      <c r="E3095" t="str">
        <f t="shared" si="779"/>
        <v>FMS - Scorbot ER9Pro Robot with ProMill 8000 (12 tool ATC) &amp; ProTurn 9000 CNC machines</v>
      </c>
      <c r="F3095">
        <v>502</v>
      </c>
      <c r="G3095" t="str">
        <f t="shared" si="781"/>
        <v>Y</v>
      </c>
      <c r="H3095" t="str">
        <f t="shared" si="780"/>
        <v>EA</v>
      </c>
      <c r="I3095">
        <v>0</v>
      </c>
      <c r="J3095">
        <v>0</v>
      </c>
      <c r="K3095" t="str">
        <f t="shared" si="782"/>
        <v>Y</v>
      </c>
      <c r="L3095">
        <v>0</v>
      </c>
      <c r="M3095" t="str">
        <f t="shared" si="783"/>
        <v>NIS</v>
      </c>
      <c r="N3095" t="str">
        <f>"Y"</f>
        <v>Y</v>
      </c>
      <c r="O3095">
        <v>23</v>
      </c>
      <c r="P3095" t="str">
        <f t="shared" si="773"/>
        <v>Active</v>
      </c>
      <c r="Q3095" t="str">
        <f>"100mm rotary worktable (4th axis) with tailstock"</f>
        <v>100mm rotary worktable (4th axis) with tailstock</v>
      </c>
      <c r="S3095" t="str">
        <f>"100mm rotary worktable (4th axis) with tailstock"</f>
        <v>100mm rotary worktable (4th axis) with tailstock</v>
      </c>
      <c r="T3095">
        <v>0</v>
      </c>
      <c r="U3095">
        <v>614.64</v>
      </c>
      <c r="V3095">
        <v>594.83000000000004</v>
      </c>
      <c r="W3095" t="str">
        <f t="shared" si="769"/>
        <v>rob</v>
      </c>
    </row>
    <row r="3096" spans="1:23">
      <c r="A3096" t="str">
        <f t="shared" si="778"/>
        <v>MTS-ER9P-PM&amp;PT</v>
      </c>
      <c r="B3096" t="str">
        <f>"10-1109-3000"</f>
        <v>10-1109-3000</v>
      </c>
      <c r="C3096" t="str">
        <f>"- 80mm 3-jaw chuck"</f>
        <v>- 80mm 3-jaw chuck</v>
      </c>
      <c r="D3096">
        <v>1</v>
      </c>
      <c r="E3096" t="str">
        <f t="shared" si="779"/>
        <v>FMS - Scorbot ER9Pro Robot with ProMill 8000 (12 tool ATC) &amp; ProTurn 9000 CNC machines</v>
      </c>
      <c r="F3096">
        <v>502</v>
      </c>
      <c r="G3096" t="str">
        <f t="shared" si="781"/>
        <v>Y</v>
      </c>
      <c r="H3096" t="str">
        <f t="shared" si="780"/>
        <v>EA</v>
      </c>
      <c r="I3096">
        <v>0</v>
      </c>
      <c r="J3096">
        <v>0</v>
      </c>
      <c r="K3096" t="str">
        <f t="shared" si="782"/>
        <v>Y</v>
      </c>
      <c r="L3096">
        <v>0</v>
      </c>
      <c r="M3096" t="str">
        <f t="shared" si="783"/>
        <v>NIS</v>
      </c>
      <c r="N3096" t="str">
        <f>"Y"</f>
        <v>Y</v>
      </c>
      <c r="O3096">
        <v>24</v>
      </c>
      <c r="P3096" t="str">
        <f t="shared" si="773"/>
        <v>Active</v>
      </c>
      <c r="Q3096" t="str">
        <f>"80mm 3-jaw chuck"</f>
        <v>80mm 3-jaw chuck</v>
      </c>
      <c r="S3096" t="str">
        <f>"80mm 3-jaw chuck"</f>
        <v>80mm 3-jaw chuck</v>
      </c>
      <c r="T3096">
        <v>0</v>
      </c>
      <c r="U3096">
        <v>53</v>
      </c>
      <c r="V3096">
        <v>52.35</v>
      </c>
      <c r="W3096" t="str">
        <f t="shared" si="769"/>
        <v>rob</v>
      </c>
    </row>
    <row r="3097" spans="1:23">
      <c r="A3097" t="str">
        <f t="shared" si="778"/>
        <v>MTS-ER9P-PM&amp;PT</v>
      </c>
      <c r="B3097" t="str">
        <f>"63-8001-1000"</f>
        <v>63-8001-1000</v>
      </c>
      <c r="C3097" t="str">
        <f>"-CNCMotion for ProMill 8000"</f>
        <v>-CNCMotion for ProMill 8000</v>
      </c>
      <c r="D3097">
        <v>1</v>
      </c>
      <c r="E3097" t="str">
        <f t="shared" si="779"/>
        <v>FMS - Scorbot ER9Pro Robot with ProMill 8000 (12 tool ATC) &amp; ProTurn 9000 CNC machines</v>
      </c>
      <c r="F3097">
        <v>502</v>
      </c>
      <c r="G3097" t="str">
        <f t="shared" si="781"/>
        <v>Y</v>
      </c>
      <c r="H3097" t="str">
        <f t="shared" si="780"/>
        <v>EA</v>
      </c>
      <c r="I3097">
        <v>0</v>
      </c>
      <c r="J3097">
        <v>0</v>
      </c>
      <c r="K3097" t="str">
        <f t="shared" si="782"/>
        <v>Y</v>
      </c>
      <c r="L3097">
        <v>0</v>
      </c>
      <c r="M3097" t="str">
        <f t="shared" si="783"/>
        <v>NIS</v>
      </c>
      <c r="O3097">
        <v>25</v>
      </c>
      <c r="P3097" t="str">
        <f t="shared" si="773"/>
        <v>Active</v>
      </c>
      <c r="Q3097" t="str">
        <f>"CNCMotion Sim. Sftwr, ProMill 8000"</f>
        <v>CNCMotion Sim. Sftwr, ProMill 8000</v>
      </c>
      <c r="S3097" t="str">
        <f>"CNCMotion Sim. Sftwr, ProMill 8000"</f>
        <v>CNCMotion Sim. Sftwr, ProMill 8000</v>
      </c>
      <c r="T3097">
        <v>0</v>
      </c>
      <c r="U3097">
        <v>0</v>
      </c>
      <c r="V3097">
        <v>0</v>
      </c>
      <c r="W3097" t="str">
        <f t="shared" si="769"/>
        <v>rob</v>
      </c>
    </row>
    <row r="3098" spans="1:23">
      <c r="A3098" t="str">
        <f t="shared" si="778"/>
        <v>MTS-ER9P-PM&amp;PT</v>
      </c>
      <c r="B3098" t="str">
        <f>"63-6723-0000"</f>
        <v>63-6723-0000</v>
      </c>
      <c r="C3098" t="str">
        <f>"SpectraCAD Engraver software – Download Only"</f>
        <v>SpectraCAD Engraver software – Download Only</v>
      </c>
      <c r="D3098">
        <v>1</v>
      </c>
      <c r="E3098" t="str">
        <f t="shared" si="779"/>
        <v>FMS - Scorbot ER9Pro Robot with ProMill 8000 (12 tool ATC) &amp; ProTurn 9000 CNC machines</v>
      </c>
      <c r="F3098">
        <v>502</v>
      </c>
      <c r="G3098" t="str">
        <f t="shared" si="781"/>
        <v>Y</v>
      </c>
      <c r="H3098" t="str">
        <f t="shared" si="780"/>
        <v>EA</v>
      </c>
      <c r="I3098">
        <v>0</v>
      </c>
      <c r="J3098">
        <v>0</v>
      </c>
      <c r="K3098" t="str">
        <f t="shared" si="782"/>
        <v>Y</v>
      </c>
      <c r="L3098">
        <v>0</v>
      </c>
      <c r="M3098" t="str">
        <f t="shared" si="783"/>
        <v>NIS</v>
      </c>
      <c r="O3098">
        <v>26</v>
      </c>
      <c r="P3098" t="str">
        <f t="shared" si="773"/>
        <v>Active</v>
      </c>
      <c r="Q3098" t="str">
        <f>"SpectraCAD Engraver software – Download Only"</f>
        <v>SpectraCAD Engraver software – Download Only</v>
      </c>
      <c r="S3098" t="str">
        <f>"SpectraCAD Engraver software – Download Only"</f>
        <v>SpectraCAD Engraver software – Download Only</v>
      </c>
      <c r="T3098">
        <v>0</v>
      </c>
      <c r="U3098">
        <v>10</v>
      </c>
      <c r="V3098">
        <v>10.4</v>
      </c>
      <c r="W3098" t="str">
        <f t="shared" si="769"/>
        <v>rob</v>
      </c>
    </row>
    <row r="3099" spans="1:23">
      <c r="A3099" t="str">
        <f t="shared" si="778"/>
        <v>MTS-ER9P-PM&amp;PT</v>
      </c>
      <c r="B3099" t="str">
        <f>"63-6733-0000"</f>
        <v>63-6733-0000</v>
      </c>
      <c r="C3099" t="str">
        <f>"Software, SpectraCAM Milling"</f>
        <v>Software, SpectraCAM Milling</v>
      </c>
      <c r="D3099">
        <v>1</v>
      </c>
      <c r="E3099" t="str">
        <f t="shared" si="779"/>
        <v>FMS - Scorbot ER9Pro Robot with ProMill 8000 (12 tool ATC) &amp; ProTurn 9000 CNC machines</v>
      </c>
      <c r="F3099">
        <v>502</v>
      </c>
      <c r="G3099" t="str">
        <f t="shared" si="781"/>
        <v>Y</v>
      </c>
      <c r="H3099" t="str">
        <f t="shared" si="780"/>
        <v>EA</v>
      </c>
      <c r="I3099">
        <v>0</v>
      </c>
      <c r="J3099">
        <v>0</v>
      </c>
      <c r="K3099" t="str">
        <f t="shared" si="782"/>
        <v>Y</v>
      </c>
      <c r="L3099">
        <v>0</v>
      </c>
      <c r="M3099" t="str">
        <f t="shared" si="783"/>
        <v>NIS</v>
      </c>
      <c r="O3099">
        <v>27</v>
      </c>
      <c r="P3099" t="str">
        <f t="shared" si="773"/>
        <v>Active</v>
      </c>
      <c r="Q3099" t="str">
        <f>"Software, SpectraCAM Milling"</f>
        <v>Software, SpectraCAM Milling</v>
      </c>
      <c r="S3099" t="str">
        <f>"Software, SpectraCAM Milling"</f>
        <v>Software, SpectraCAM Milling</v>
      </c>
      <c r="T3099">
        <v>0</v>
      </c>
      <c r="U3099">
        <v>10</v>
      </c>
      <c r="V3099">
        <v>10.4</v>
      </c>
      <c r="W3099" t="str">
        <f t="shared" si="769"/>
        <v>rob</v>
      </c>
    </row>
    <row r="3100" spans="1:23">
      <c r="A3100" t="str">
        <f t="shared" si="778"/>
        <v>MTS-ER9P-PM&amp;PT</v>
      </c>
      <c r="B3100" t="str">
        <f>"113034"</f>
        <v>113034</v>
      </c>
      <c r="C3100" t="str">
        <f>"Raw Material - Perspex Block"</f>
        <v>Raw Material - Perspex Block</v>
      </c>
      <c r="D3100">
        <v>50</v>
      </c>
      <c r="E3100" t="str">
        <f t="shared" si="779"/>
        <v>FMS - Scorbot ER9Pro Robot with ProMill 8000 (12 tool ATC) &amp; ProTurn 9000 CNC machines</v>
      </c>
      <c r="F3100">
        <v>502</v>
      </c>
      <c r="G3100" t="str">
        <f t="shared" si="781"/>
        <v>Y</v>
      </c>
      <c r="H3100" t="str">
        <f t="shared" si="780"/>
        <v>EA</v>
      </c>
      <c r="I3100">
        <v>0</v>
      </c>
      <c r="J3100">
        <v>0</v>
      </c>
      <c r="K3100" t="str">
        <f t="shared" si="782"/>
        <v>Y</v>
      </c>
      <c r="L3100">
        <v>0</v>
      </c>
      <c r="M3100" t="str">
        <f t="shared" si="783"/>
        <v>NIS</v>
      </c>
      <c r="O3100">
        <v>28</v>
      </c>
      <c r="P3100" t="str">
        <f t="shared" si="773"/>
        <v>Active</v>
      </c>
      <c r="Q3100" t="str">
        <f>"Raw Material Stock - Perspex Block"</f>
        <v>Raw Material Stock - Perspex Block</v>
      </c>
      <c r="S3100" t="str">
        <f>"Raw Material Stock - Perspex Block"</f>
        <v>Raw Material Stock - Perspex Block</v>
      </c>
      <c r="T3100">
        <v>0</v>
      </c>
      <c r="U3100">
        <v>1.1000000000000001</v>
      </c>
      <c r="V3100">
        <v>1.0900000000000001</v>
      </c>
      <c r="W3100" t="str">
        <f t="shared" si="769"/>
        <v>rob</v>
      </c>
    </row>
    <row r="3101" spans="1:23">
      <c r="A3101" t="str">
        <f t="shared" si="778"/>
        <v>MTS-ER9P-PM&amp;PT</v>
      </c>
      <c r="B3101" t="str">
        <f>"10-2120-3000"</f>
        <v>10-2120-3000</v>
      </c>
      <c r="C3101" t="str">
        <f>"CNC Interface with ProTurn 9000"</f>
        <v>CNC Interface with ProTurn 9000</v>
      </c>
      <c r="D3101">
        <v>1</v>
      </c>
      <c r="E3101" t="str">
        <f t="shared" si="779"/>
        <v>FMS - Scorbot ER9Pro Robot with ProMill 8000 (12 tool ATC) &amp; ProTurn 9000 CNC machines</v>
      </c>
      <c r="F3101">
        <v>502</v>
      </c>
      <c r="G3101" t="str">
        <f t="shared" si="781"/>
        <v>Y</v>
      </c>
      <c r="H3101" t="str">
        <f t="shared" si="780"/>
        <v>EA</v>
      </c>
      <c r="I3101">
        <v>0</v>
      </c>
      <c r="J3101">
        <v>0</v>
      </c>
      <c r="K3101" t="str">
        <f t="shared" si="782"/>
        <v>Y</v>
      </c>
      <c r="L3101">
        <v>0</v>
      </c>
      <c r="M3101" t="str">
        <f t="shared" si="783"/>
        <v>NIS</v>
      </c>
      <c r="O3101">
        <v>29</v>
      </c>
      <c r="P3101" t="str">
        <f t="shared" si="773"/>
        <v>Active</v>
      </c>
      <c r="Q3101" t="str">
        <f>"CNC Interface with ProTurn 9000"</f>
        <v>CNC Interface with ProTurn 9000</v>
      </c>
      <c r="S3101" t="str">
        <f>"CNC Interface with ProTurn 9000"</f>
        <v>CNC Interface with ProTurn 9000</v>
      </c>
      <c r="T3101">
        <v>0</v>
      </c>
      <c r="U3101">
        <v>18</v>
      </c>
      <c r="V3101">
        <v>17.690000000000001</v>
      </c>
      <c r="W3101" t="str">
        <f t="shared" si="769"/>
        <v>rob</v>
      </c>
    </row>
    <row r="3102" spans="1:23">
      <c r="A3102" t="str">
        <f t="shared" si="778"/>
        <v>MTS-ER9P-PM&amp;PT</v>
      </c>
      <c r="B3102" t="str">
        <f>"00-5501-0220"</f>
        <v>00-5501-0220</v>
      </c>
      <c r="C3102" t="str">
        <f>"CNC ProTurn 9000 AC 220V"</f>
        <v>CNC ProTurn 9000 AC 220V</v>
      </c>
      <c r="D3102">
        <v>1</v>
      </c>
      <c r="E3102" t="str">
        <f t="shared" si="779"/>
        <v>FMS - Scorbot ER9Pro Robot with ProMill 8000 (12 tool ATC) &amp; ProTurn 9000 CNC machines</v>
      </c>
      <c r="F3102">
        <v>502</v>
      </c>
      <c r="G3102" t="str">
        <f t="shared" si="781"/>
        <v>Y</v>
      </c>
      <c r="H3102" t="str">
        <f t="shared" si="780"/>
        <v>EA</v>
      </c>
      <c r="I3102">
        <v>0</v>
      </c>
      <c r="J3102">
        <v>0</v>
      </c>
      <c r="K3102" t="str">
        <f t="shared" si="782"/>
        <v>Y</v>
      </c>
      <c r="L3102">
        <v>0</v>
      </c>
      <c r="M3102" t="str">
        <f t="shared" si="783"/>
        <v>NIS</v>
      </c>
      <c r="O3102">
        <v>30</v>
      </c>
      <c r="P3102" t="str">
        <f t="shared" si="773"/>
        <v>Active</v>
      </c>
      <c r="Q3102" t="str">
        <f>"CNC ProTurn 9000 AC 220V"</f>
        <v>CNC ProTurn 9000 AC 220V</v>
      </c>
      <c r="S3102" t="str">
        <f>"CNC ProTurn 9000 AC 220V"</f>
        <v>CNC ProTurn 9000 AC 220V</v>
      </c>
      <c r="T3102">
        <v>0</v>
      </c>
      <c r="U3102" s="44">
        <v>6204.98</v>
      </c>
      <c r="V3102" s="44">
        <v>6570.68</v>
      </c>
      <c r="W3102" t="str">
        <f t="shared" si="769"/>
        <v>rob</v>
      </c>
    </row>
    <row r="3103" spans="1:23">
      <c r="A3103" t="str">
        <f t="shared" si="778"/>
        <v>MTS-ER9P-PM&amp;PT</v>
      </c>
      <c r="B3103" t="str">
        <f>"10-1110-6000"</f>
        <v>10-1110-6000</v>
      </c>
      <c r="C3103" t="str">
        <f>"-- Pneumatic Shield (ProTurn 9000 for FMS)"</f>
        <v>-- Pneumatic Shield (ProTurn 9000 for FMS)</v>
      </c>
      <c r="D3103">
        <v>1</v>
      </c>
      <c r="E3103" t="str">
        <f t="shared" si="779"/>
        <v>FMS - Scorbot ER9Pro Robot with ProMill 8000 (12 tool ATC) &amp; ProTurn 9000 CNC machines</v>
      </c>
      <c r="F3103">
        <v>502</v>
      </c>
      <c r="G3103" t="str">
        <f t="shared" si="781"/>
        <v>Y</v>
      </c>
      <c r="H3103" t="str">
        <f t="shared" si="780"/>
        <v>EA</v>
      </c>
      <c r="I3103">
        <v>0</v>
      </c>
      <c r="J3103">
        <v>0</v>
      </c>
      <c r="K3103" t="str">
        <f t="shared" si="782"/>
        <v>Y</v>
      </c>
      <c r="L3103">
        <v>0</v>
      </c>
      <c r="M3103" t="str">
        <f t="shared" si="783"/>
        <v>NIS</v>
      </c>
      <c r="O3103">
        <v>31</v>
      </c>
      <c r="P3103" t="str">
        <f t="shared" si="773"/>
        <v>Active</v>
      </c>
      <c r="Q3103" t="str">
        <f>"Pneumatic Shield with Sensors (ProTurn 9000)"</f>
        <v>Pneumatic Shield with Sensors (ProTurn 9000)</v>
      </c>
      <c r="S3103" t="str">
        <f>"Pneumatic Shield with Sensors (ProTurn 9000)"</f>
        <v>Pneumatic Shield with Sensors (ProTurn 9000)</v>
      </c>
      <c r="T3103">
        <v>0</v>
      </c>
      <c r="U3103">
        <v>425</v>
      </c>
      <c r="V3103">
        <v>423.6</v>
      </c>
      <c r="W3103" t="str">
        <f t="shared" si="769"/>
        <v>rob</v>
      </c>
    </row>
    <row r="3104" spans="1:23">
      <c r="A3104" t="str">
        <f t="shared" si="778"/>
        <v>MTS-ER9P-PM&amp;PT</v>
      </c>
      <c r="B3104" t="str">
        <f>"10-1111-0000"</f>
        <v>10-1111-0000</v>
      </c>
      <c r="C3104" t="str">
        <f>"-- Pneumatic Chuck (ProTurn 9000 for FMS)"</f>
        <v>-- Pneumatic Chuck (ProTurn 9000 for FMS)</v>
      </c>
      <c r="D3104">
        <v>1</v>
      </c>
      <c r="E3104" t="str">
        <f t="shared" si="779"/>
        <v>FMS - Scorbot ER9Pro Robot with ProMill 8000 (12 tool ATC) &amp; ProTurn 9000 CNC machines</v>
      </c>
      <c r="F3104">
        <v>502</v>
      </c>
      <c r="G3104" t="str">
        <f t="shared" si="781"/>
        <v>Y</v>
      </c>
      <c r="H3104" t="str">
        <f t="shared" si="780"/>
        <v>EA</v>
      </c>
      <c r="I3104">
        <v>0</v>
      </c>
      <c r="J3104">
        <v>0</v>
      </c>
      <c r="K3104" t="str">
        <f t="shared" si="782"/>
        <v>Y</v>
      </c>
      <c r="L3104">
        <v>0</v>
      </c>
      <c r="M3104" t="str">
        <f t="shared" si="783"/>
        <v>NIS</v>
      </c>
      <c r="O3104">
        <v>32</v>
      </c>
      <c r="P3104" t="str">
        <f t="shared" si="773"/>
        <v>Active</v>
      </c>
      <c r="Q3104" t="str">
        <f>"Pneumatic Chuck (ProTurn 9000)"</f>
        <v>Pneumatic Chuck (ProTurn 9000)</v>
      </c>
      <c r="S3104" t="str">
        <f>"Pneumatic Chuck (ProTurn 9000)"</f>
        <v>Pneumatic Chuck (ProTurn 9000)</v>
      </c>
      <c r="T3104">
        <v>0</v>
      </c>
      <c r="U3104">
        <v>660</v>
      </c>
      <c r="V3104">
        <v>656.57</v>
      </c>
      <c r="W3104" t="str">
        <f t="shared" si="769"/>
        <v>rob</v>
      </c>
    </row>
    <row r="3105" spans="1:23">
      <c r="A3105" t="str">
        <f t="shared" si="778"/>
        <v>MTS-ER9P-PM&amp;PT</v>
      </c>
      <c r="B3105" t="str">
        <f>"10-1110-1000"</f>
        <v>10-1110-1000</v>
      </c>
      <c r="C3105" t="str">
        <f>"10 x 10mm cutter tool holder"</f>
        <v>10 x 10mm cutter tool holder</v>
      </c>
      <c r="D3105">
        <v>1</v>
      </c>
      <c r="E3105" t="str">
        <f t="shared" si="779"/>
        <v>FMS - Scorbot ER9Pro Robot with ProMill 8000 (12 tool ATC) &amp; ProTurn 9000 CNC machines</v>
      </c>
      <c r="F3105">
        <v>502</v>
      </c>
      <c r="G3105" t="str">
        <f t="shared" si="781"/>
        <v>Y</v>
      </c>
      <c r="H3105" t="str">
        <f t="shared" si="780"/>
        <v>EA</v>
      </c>
      <c r="I3105">
        <v>0</v>
      </c>
      <c r="J3105">
        <v>0</v>
      </c>
      <c r="K3105" t="str">
        <f t="shared" si="782"/>
        <v>Y</v>
      </c>
      <c r="L3105">
        <v>0</v>
      </c>
      <c r="M3105" t="str">
        <f t="shared" si="783"/>
        <v>NIS</v>
      </c>
      <c r="O3105">
        <v>33</v>
      </c>
      <c r="P3105" t="str">
        <f t="shared" si="773"/>
        <v>Active</v>
      </c>
      <c r="Q3105" t="str">
        <f>"10x10mm TiN coated cutter set (replaceable tip)"</f>
        <v>10x10mm TiN coated cutter set (replaceable tip)</v>
      </c>
      <c r="S3105" t="str">
        <f>"10x10mm TiN coated cutter set (replaceable tip)"</f>
        <v>10x10mm TiN coated cutter set (replaceable tip)</v>
      </c>
      <c r="T3105">
        <v>0</v>
      </c>
      <c r="U3105">
        <v>65</v>
      </c>
      <c r="V3105">
        <v>65.540000000000006</v>
      </c>
      <c r="W3105" t="str">
        <f t="shared" si="769"/>
        <v>rob</v>
      </c>
    </row>
    <row r="3106" spans="1:23">
      <c r="A3106" t="str">
        <f t="shared" si="778"/>
        <v>MTS-ER9P-PM&amp;PT</v>
      </c>
      <c r="B3106" t="str">
        <f>"10-1105-9000"</f>
        <v>10-1105-9000</v>
      </c>
      <c r="C3106" t="str">
        <f>"- 125mm 4 independent jaw chuck"</f>
        <v>- 125mm 4 independent jaw chuck</v>
      </c>
      <c r="D3106">
        <v>1</v>
      </c>
      <c r="E3106" t="str">
        <f t="shared" si="779"/>
        <v>FMS - Scorbot ER9Pro Robot with ProMill 8000 (12 tool ATC) &amp; ProTurn 9000 CNC machines</v>
      </c>
      <c r="F3106">
        <v>502</v>
      </c>
      <c r="G3106" t="str">
        <f t="shared" si="781"/>
        <v>Y</v>
      </c>
      <c r="H3106" t="str">
        <f t="shared" si="780"/>
        <v>EA</v>
      </c>
      <c r="I3106">
        <v>0</v>
      </c>
      <c r="J3106">
        <v>0</v>
      </c>
      <c r="K3106" t="str">
        <f t="shared" si="782"/>
        <v>Y</v>
      </c>
      <c r="L3106">
        <v>0</v>
      </c>
      <c r="M3106" t="str">
        <f t="shared" si="783"/>
        <v>NIS</v>
      </c>
      <c r="N3106" t="str">
        <f>"Y"</f>
        <v>Y</v>
      </c>
      <c r="O3106">
        <v>34</v>
      </c>
      <c r="P3106" t="str">
        <f t="shared" si="773"/>
        <v>Active</v>
      </c>
      <c r="Q3106" t="str">
        <f>"125mm 4-jaw chuck (independent) with flange"</f>
        <v>125mm 4-jaw chuck (independent) with flange</v>
      </c>
      <c r="S3106" t="str">
        <f>"125mm 4-jaw chuck (independent) with flange"</f>
        <v>125mm 4-jaw chuck (independent) with flange</v>
      </c>
      <c r="T3106">
        <v>0</v>
      </c>
      <c r="U3106">
        <v>70.25</v>
      </c>
      <c r="V3106">
        <v>76.2</v>
      </c>
      <c r="W3106" t="str">
        <f t="shared" ref="W3106:W3169" si="784">"rob"</f>
        <v>rob</v>
      </c>
    </row>
    <row r="3107" spans="1:23">
      <c r="A3107" t="str">
        <f t="shared" si="778"/>
        <v>MTS-ER9P-PM&amp;PT</v>
      </c>
      <c r="B3107" t="str">
        <f>"10-1106-0000"</f>
        <v>10-1106-0000</v>
      </c>
      <c r="C3107" t="str">
        <f>"- 11pcs Cutter set 10 x 10mmt"</f>
        <v>- 11pcs Cutter set 10 x 10mmt</v>
      </c>
      <c r="D3107">
        <v>1</v>
      </c>
      <c r="E3107" t="str">
        <f t="shared" si="779"/>
        <v>FMS - Scorbot ER9Pro Robot with ProMill 8000 (12 tool ATC) &amp; ProTurn 9000 CNC machines</v>
      </c>
      <c r="F3107">
        <v>502</v>
      </c>
      <c r="G3107" t="str">
        <f t="shared" si="781"/>
        <v>Y</v>
      </c>
      <c r="H3107" t="str">
        <f t="shared" si="780"/>
        <v>EA</v>
      </c>
      <c r="I3107">
        <v>0</v>
      </c>
      <c r="J3107">
        <v>0</v>
      </c>
      <c r="K3107" t="str">
        <f t="shared" si="782"/>
        <v>Y</v>
      </c>
      <c r="L3107">
        <v>0</v>
      </c>
      <c r="M3107" t="str">
        <f t="shared" si="783"/>
        <v>NIS</v>
      </c>
      <c r="N3107" t="str">
        <f>"Y"</f>
        <v>Y</v>
      </c>
      <c r="O3107">
        <v>35</v>
      </c>
      <c r="P3107" t="str">
        <f t="shared" si="773"/>
        <v>Active</v>
      </c>
      <c r="Q3107" t="str">
        <f>"10 x 10mm cutter 11pcs set"</f>
        <v>10 x 10mm cutter 11pcs set</v>
      </c>
      <c r="S3107" t="str">
        <f>"10 x 10mm cutter 11pcs set"</f>
        <v>10 x 10mm cutter 11pcs set</v>
      </c>
      <c r="T3107">
        <v>0</v>
      </c>
      <c r="U3107">
        <v>36.29</v>
      </c>
      <c r="V3107">
        <v>42.51</v>
      </c>
      <c r="W3107" t="str">
        <f t="shared" si="784"/>
        <v>rob</v>
      </c>
    </row>
    <row r="3108" spans="1:23">
      <c r="A3108" t="str">
        <f t="shared" si="778"/>
        <v>MTS-ER9P-PM&amp;PT</v>
      </c>
      <c r="B3108" t="str">
        <f>"10-1110-2000"</f>
        <v>10-1110-2000</v>
      </c>
      <c r="C3108" t="str">
        <f>"TiN coated tip for 011101"</f>
        <v>TiN coated tip for 011101</v>
      </c>
      <c r="D3108">
        <v>1</v>
      </c>
      <c r="E3108" t="str">
        <f t="shared" si="779"/>
        <v>FMS - Scorbot ER9Pro Robot with ProMill 8000 (12 tool ATC) &amp; ProTurn 9000 CNC machines</v>
      </c>
      <c r="F3108">
        <v>502</v>
      </c>
      <c r="G3108" t="str">
        <f t="shared" si="781"/>
        <v>Y</v>
      </c>
      <c r="H3108" t="str">
        <f t="shared" si="780"/>
        <v>EA</v>
      </c>
      <c r="I3108">
        <v>0</v>
      </c>
      <c r="J3108">
        <v>0</v>
      </c>
      <c r="K3108" t="str">
        <f t="shared" si="782"/>
        <v>Y</v>
      </c>
      <c r="L3108">
        <v>0</v>
      </c>
      <c r="M3108" t="str">
        <f t="shared" si="783"/>
        <v>NIS</v>
      </c>
      <c r="O3108">
        <v>36</v>
      </c>
      <c r="P3108" t="str">
        <f t="shared" si="773"/>
        <v>Active</v>
      </c>
      <c r="Q3108" t="str">
        <f>"TiN coated tip for 011102"</f>
        <v>TiN coated tip for 011102</v>
      </c>
      <c r="S3108" t="str">
        <f>"TiN coated tip for 011101"</f>
        <v>TiN coated tip for 011101</v>
      </c>
      <c r="T3108">
        <v>0</v>
      </c>
      <c r="U3108">
        <v>42</v>
      </c>
      <c r="V3108">
        <v>41.71</v>
      </c>
      <c r="W3108" t="str">
        <f t="shared" si="784"/>
        <v>rob</v>
      </c>
    </row>
    <row r="3109" spans="1:23">
      <c r="A3109" t="str">
        <f t="shared" si="778"/>
        <v>MTS-ER9P-PM&amp;PT</v>
      </c>
      <c r="B3109" t="str">
        <f>"10-1106-6000"</f>
        <v>10-1106-6000</v>
      </c>
      <c r="C3109" t="str">
        <f>"- Rolling center"</f>
        <v>- Rolling center</v>
      </c>
      <c r="D3109">
        <v>1</v>
      </c>
      <c r="E3109" t="str">
        <f t="shared" si="779"/>
        <v>FMS - Scorbot ER9Pro Robot with ProMill 8000 (12 tool ATC) &amp; ProTurn 9000 CNC machines</v>
      </c>
      <c r="F3109">
        <v>502</v>
      </c>
      <c r="G3109" t="str">
        <f t="shared" si="781"/>
        <v>Y</v>
      </c>
      <c r="H3109" t="str">
        <f t="shared" si="780"/>
        <v>EA</v>
      </c>
      <c r="I3109">
        <v>0</v>
      </c>
      <c r="J3109">
        <v>0</v>
      </c>
      <c r="K3109" t="str">
        <f t="shared" si="782"/>
        <v>Y</v>
      </c>
      <c r="L3109">
        <v>0</v>
      </c>
      <c r="M3109" t="str">
        <f t="shared" si="783"/>
        <v>NIS</v>
      </c>
      <c r="O3109">
        <v>37</v>
      </c>
      <c r="P3109" t="str">
        <f t="shared" si="773"/>
        <v>Active</v>
      </c>
      <c r="Q3109" t="str">
        <f>"Rolling center"</f>
        <v>Rolling center</v>
      </c>
      <c r="S3109" t="str">
        <f>"Rolling center"</f>
        <v>Rolling center</v>
      </c>
      <c r="T3109">
        <v>0</v>
      </c>
      <c r="U3109">
        <v>23.42</v>
      </c>
      <c r="V3109">
        <v>23.55</v>
      </c>
      <c r="W3109" t="str">
        <f t="shared" si="784"/>
        <v>rob</v>
      </c>
    </row>
    <row r="3110" spans="1:23">
      <c r="A3110" t="str">
        <f t="shared" si="778"/>
        <v>MTS-ER9P-PM&amp;PT</v>
      </c>
      <c r="B3110" t="str">
        <f>"10-1105-7000"</f>
        <v>10-1105-7000</v>
      </c>
      <c r="C3110" t="str">
        <f>"Drill Chuck for Tailstock"</f>
        <v>Drill Chuck for Tailstock</v>
      </c>
      <c r="D3110">
        <v>1</v>
      </c>
      <c r="E3110" t="str">
        <f t="shared" si="779"/>
        <v>FMS - Scorbot ER9Pro Robot with ProMill 8000 (12 tool ATC) &amp; ProTurn 9000 CNC machines</v>
      </c>
      <c r="F3110">
        <v>502</v>
      </c>
      <c r="G3110" t="str">
        <f t="shared" si="781"/>
        <v>Y</v>
      </c>
      <c r="H3110" t="str">
        <f t="shared" si="780"/>
        <v>EA</v>
      </c>
      <c r="I3110">
        <v>0</v>
      </c>
      <c r="J3110">
        <v>0</v>
      </c>
      <c r="K3110" t="str">
        <f t="shared" si="782"/>
        <v>Y</v>
      </c>
      <c r="L3110">
        <v>0</v>
      </c>
      <c r="M3110" t="str">
        <f t="shared" si="783"/>
        <v>NIS</v>
      </c>
      <c r="O3110">
        <v>38</v>
      </c>
      <c r="P3110" t="str">
        <f t="shared" ref="P3110:P3173" si="785">"Active"</f>
        <v>Active</v>
      </c>
      <c r="Q3110" t="str">
        <f>"Tailstock extender MT2 13mm tailstock chuck"</f>
        <v>Tailstock extender MT2 13mm tailstock chuck</v>
      </c>
      <c r="S3110" t="str">
        <f>"Drill Chuck for Tailstock MT2 13mm"</f>
        <v>Drill Chuck for Tailstock MT2 13mm</v>
      </c>
      <c r="T3110">
        <v>0</v>
      </c>
      <c r="U3110">
        <v>21.07</v>
      </c>
      <c r="V3110">
        <v>23.52</v>
      </c>
      <c r="W3110" t="str">
        <f t="shared" si="784"/>
        <v>rob</v>
      </c>
    </row>
    <row r="3111" spans="1:23">
      <c r="A3111" t="str">
        <f t="shared" si="778"/>
        <v>MTS-ER9P-PM&amp;PT</v>
      </c>
      <c r="B3111" t="str">
        <f>"10-1108-1220"</f>
        <v>10-1108-1220</v>
      </c>
      <c r="C3111" t="str">
        <f>"- Coolant system 27L -220V"</f>
        <v>- Coolant system 27L -220V</v>
      </c>
      <c r="D3111">
        <v>1</v>
      </c>
      <c r="E3111" t="str">
        <f t="shared" si="779"/>
        <v>FMS - Scorbot ER9Pro Robot with ProMill 8000 (12 tool ATC) &amp; ProTurn 9000 CNC machines</v>
      </c>
      <c r="F3111">
        <v>502</v>
      </c>
      <c r="G3111" t="str">
        <f t="shared" si="781"/>
        <v>Y</v>
      </c>
      <c r="H3111" t="str">
        <f t="shared" si="780"/>
        <v>EA</v>
      </c>
      <c r="I3111">
        <v>0</v>
      </c>
      <c r="J3111">
        <v>0</v>
      </c>
      <c r="K3111" t="str">
        <f t="shared" si="782"/>
        <v>Y</v>
      </c>
      <c r="L3111">
        <v>0</v>
      </c>
      <c r="M3111" t="str">
        <f t="shared" si="783"/>
        <v>NIS</v>
      </c>
      <c r="N3111" t="str">
        <f>"Y"</f>
        <v>Y</v>
      </c>
      <c r="O3111">
        <v>39</v>
      </c>
      <c r="P3111" t="str">
        <f t="shared" si="785"/>
        <v>Active</v>
      </c>
      <c r="Q3111" t="str">
        <f>"Coolant system 27L"</f>
        <v>Coolant system 27L</v>
      </c>
      <c r="S3111" t="str">
        <f>"Coolant system 27L - 220V"</f>
        <v>Coolant system 27L - 220V</v>
      </c>
      <c r="T3111">
        <v>0</v>
      </c>
      <c r="U3111">
        <v>117.08</v>
      </c>
      <c r="V3111">
        <v>117.15</v>
      </c>
      <c r="W3111" t="str">
        <f t="shared" si="784"/>
        <v>rob</v>
      </c>
    </row>
    <row r="3112" spans="1:23">
      <c r="A3112" t="str">
        <f t="shared" si="778"/>
        <v>MTS-ER9P-PM&amp;PT</v>
      </c>
      <c r="B3112" t="str">
        <f>"10-1111-1000"</f>
        <v>10-1111-1000</v>
      </c>
      <c r="C3112" t="str">
        <f>"- Handwheel - Manual Control"</f>
        <v>- Handwheel - Manual Control</v>
      </c>
      <c r="D3112">
        <v>1</v>
      </c>
      <c r="E3112" t="str">
        <f t="shared" si="779"/>
        <v>FMS - Scorbot ER9Pro Robot with ProMill 8000 (12 tool ATC) &amp; ProTurn 9000 CNC machines</v>
      </c>
      <c r="F3112">
        <v>502</v>
      </c>
      <c r="G3112" t="str">
        <f t="shared" si="781"/>
        <v>Y</v>
      </c>
      <c r="H3112" t="str">
        <f t="shared" si="780"/>
        <v>EA</v>
      </c>
      <c r="I3112">
        <v>0</v>
      </c>
      <c r="J3112">
        <v>0</v>
      </c>
      <c r="K3112" t="str">
        <f t="shared" si="782"/>
        <v>Y</v>
      </c>
      <c r="L3112">
        <v>0</v>
      </c>
      <c r="M3112" t="str">
        <f t="shared" si="783"/>
        <v>NIS</v>
      </c>
      <c r="O3112">
        <v>40</v>
      </c>
      <c r="P3112" t="str">
        <f t="shared" si="785"/>
        <v>Active</v>
      </c>
      <c r="Q3112" t="str">
        <f>"Hand wheel"</f>
        <v>Hand wheel</v>
      </c>
      <c r="S3112" t="str">
        <f>"Jog Pendant Handwheel"</f>
        <v>Jog Pendant Handwheel</v>
      </c>
      <c r="T3112">
        <v>0</v>
      </c>
      <c r="U3112">
        <v>235</v>
      </c>
      <c r="V3112">
        <v>235.03</v>
      </c>
      <c r="W3112" t="str">
        <f t="shared" si="784"/>
        <v>rob</v>
      </c>
    </row>
    <row r="3113" spans="1:23">
      <c r="A3113" t="str">
        <f t="shared" si="778"/>
        <v>MTS-ER9P-PM&amp;PT</v>
      </c>
      <c r="B3113" t="str">
        <f>"10-1105-5000"</f>
        <v>10-1105-5000</v>
      </c>
      <c r="C3113" t="str">
        <f>"Computer and monitor attachment"</f>
        <v>Computer and monitor attachment</v>
      </c>
      <c r="D3113">
        <v>1</v>
      </c>
      <c r="E3113" t="str">
        <f t="shared" si="779"/>
        <v>FMS - Scorbot ER9Pro Robot with ProMill 8000 (12 tool ATC) &amp; ProTurn 9000 CNC machines</v>
      </c>
      <c r="F3113">
        <v>502</v>
      </c>
      <c r="G3113" t="str">
        <f t="shared" si="781"/>
        <v>Y</v>
      </c>
      <c r="H3113" t="str">
        <f t="shared" si="780"/>
        <v>EA</v>
      </c>
      <c r="I3113">
        <v>0</v>
      </c>
      <c r="J3113">
        <v>0</v>
      </c>
      <c r="K3113" t="str">
        <f t="shared" si="782"/>
        <v>Y</v>
      </c>
      <c r="L3113">
        <v>0</v>
      </c>
      <c r="M3113" t="str">
        <f t="shared" si="783"/>
        <v>NIS</v>
      </c>
      <c r="O3113">
        <v>41</v>
      </c>
      <c r="P3113" t="str">
        <f t="shared" si="785"/>
        <v>Active</v>
      </c>
      <c r="Q3113" t="str">
        <f>"Computer and monitor stand (attached to machine)"</f>
        <v>Computer and monitor stand (attached to machine)</v>
      </c>
      <c r="S3113" t="str">
        <f>"Computer and monitor stand (attached to machine)"</f>
        <v>Computer and monitor stand (attached to machine)</v>
      </c>
      <c r="T3113">
        <v>0</v>
      </c>
      <c r="U3113">
        <v>105.36</v>
      </c>
      <c r="V3113">
        <v>103.02</v>
      </c>
      <c r="W3113" t="str">
        <f t="shared" si="784"/>
        <v>rob</v>
      </c>
    </row>
    <row r="3114" spans="1:23">
      <c r="A3114" t="str">
        <f t="shared" si="778"/>
        <v>MTS-ER9P-PM&amp;PT</v>
      </c>
      <c r="B3114" t="str">
        <f>"63-9001-1000"</f>
        <v>63-9001-1000</v>
      </c>
      <c r="C3114" t="str">
        <f>"-CNCMotion for ProTurn 9000"</f>
        <v>-CNCMotion for ProTurn 9000</v>
      </c>
      <c r="D3114">
        <v>1</v>
      </c>
      <c r="E3114" t="str">
        <f t="shared" si="779"/>
        <v>FMS - Scorbot ER9Pro Robot with ProMill 8000 (12 tool ATC) &amp; ProTurn 9000 CNC machines</v>
      </c>
      <c r="F3114">
        <v>502</v>
      </c>
      <c r="G3114" t="str">
        <f t="shared" si="781"/>
        <v>Y</v>
      </c>
      <c r="H3114" t="str">
        <f t="shared" si="780"/>
        <v>EA</v>
      </c>
      <c r="I3114">
        <v>0</v>
      </c>
      <c r="J3114">
        <v>0</v>
      </c>
      <c r="K3114" t="str">
        <f t="shared" si="782"/>
        <v>Y</v>
      </c>
      <c r="L3114">
        <v>0</v>
      </c>
      <c r="M3114" t="str">
        <f t="shared" si="783"/>
        <v>NIS</v>
      </c>
      <c r="O3114">
        <v>42</v>
      </c>
      <c r="P3114" t="str">
        <f t="shared" si="785"/>
        <v>Active</v>
      </c>
      <c r="Q3114" t="str">
        <f>"CNCMotion Sim. Sftwr, ProTurn 9000"</f>
        <v>CNCMotion Sim. Sftwr, ProTurn 9000</v>
      </c>
      <c r="S3114" t="str">
        <f>"CNCMotion Sim. Sftwr, ProTurn 9000"</f>
        <v>CNCMotion Sim. Sftwr, ProTurn 9000</v>
      </c>
      <c r="T3114">
        <v>0</v>
      </c>
      <c r="U3114">
        <v>10</v>
      </c>
      <c r="V3114">
        <v>0</v>
      </c>
      <c r="W3114" t="str">
        <f t="shared" si="784"/>
        <v>rob</v>
      </c>
    </row>
    <row r="3115" spans="1:23">
      <c r="A3115" t="str">
        <f t="shared" si="778"/>
        <v>MTS-ER9P-PM&amp;PT</v>
      </c>
      <c r="B3115" t="str">
        <f>"63-6743-0000"</f>
        <v>63-6743-0000</v>
      </c>
      <c r="C3115" t="str">
        <f>"Software, SpectraCAM Turning"</f>
        <v>Software, SpectraCAM Turning</v>
      </c>
      <c r="D3115">
        <v>1</v>
      </c>
      <c r="E3115" t="str">
        <f t="shared" si="779"/>
        <v>FMS - Scorbot ER9Pro Robot with ProMill 8000 (12 tool ATC) &amp; ProTurn 9000 CNC machines</v>
      </c>
      <c r="F3115">
        <v>502</v>
      </c>
      <c r="G3115" t="str">
        <f t="shared" si="781"/>
        <v>Y</v>
      </c>
      <c r="H3115" t="str">
        <f t="shared" si="780"/>
        <v>EA</v>
      </c>
      <c r="I3115">
        <v>0</v>
      </c>
      <c r="J3115">
        <v>0</v>
      </c>
      <c r="K3115" t="str">
        <f t="shared" si="782"/>
        <v>Y</v>
      </c>
      <c r="L3115">
        <v>0</v>
      </c>
      <c r="M3115" t="str">
        <f t="shared" si="783"/>
        <v>NIS</v>
      </c>
      <c r="O3115">
        <v>43</v>
      </c>
      <c r="P3115" t="str">
        <f t="shared" si="785"/>
        <v>Active</v>
      </c>
      <c r="Q3115" t="str">
        <f>"Software, SpectraCAM Turning"</f>
        <v>Software, SpectraCAM Turning</v>
      </c>
      <c r="S3115" t="str">
        <f>"Software, SpectraCAM Turning"</f>
        <v>Software, SpectraCAM Turning</v>
      </c>
      <c r="T3115">
        <v>0</v>
      </c>
      <c r="U3115">
        <v>10</v>
      </c>
      <c r="V3115">
        <v>10.4</v>
      </c>
      <c r="W3115" t="str">
        <f t="shared" si="784"/>
        <v>rob</v>
      </c>
    </row>
    <row r="3116" spans="1:23">
      <c r="A3116" t="str">
        <f t="shared" si="778"/>
        <v>MTS-ER9P-PM&amp;PT</v>
      </c>
      <c r="B3116" t="str">
        <f>"112496"</f>
        <v>112496</v>
      </c>
      <c r="C3116" t="str">
        <f>"Raw Material - Brass  Rod"</f>
        <v>Raw Material - Brass  Rod</v>
      </c>
      <c r="D3116">
        <v>50</v>
      </c>
      <c r="E3116" t="str">
        <f t="shared" si="779"/>
        <v>FMS - Scorbot ER9Pro Robot with ProMill 8000 (12 tool ATC) &amp; ProTurn 9000 CNC machines</v>
      </c>
      <c r="F3116">
        <v>502</v>
      </c>
      <c r="G3116" t="str">
        <f t="shared" si="781"/>
        <v>Y</v>
      </c>
      <c r="H3116" t="str">
        <f t="shared" si="780"/>
        <v>EA</v>
      </c>
      <c r="I3116">
        <v>0</v>
      </c>
      <c r="J3116">
        <v>0</v>
      </c>
      <c r="K3116" t="str">
        <f t="shared" si="782"/>
        <v>Y</v>
      </c>
      <c r="L3116">
        <v>0</v>
      </c>
      <c r="M3116" t="str">
        <f t="shared" ref="M3116:M3148" si="786">"NIS"</f>
        <v>NIS</v>
      </c>
      <c r="O3116">
        <v>44</v>
      </c>
      <c r="P3116" t="str">
        <f t="shared" si="785"/>
        <v>Active</v>
      </c>
      <c r="Q3116" t="str">
        <f>"Raw Material Stock - Brass  Rod"</f>
        <v>Raw Material Stock - Brass  Rod</v>
      </c>
      <c r="S3116" t="str">
        <f>"Raw Material Stock - Brass  Rod"</f>
        <v>Raw Material Stock - Brass  Rod</v>
      </c>
      <c r="T3116">
        <v>0</v>
      </c>
      <c r="U3116">
        <v>3.67</v>
      </c>
      <c r="V3116">
        <v>2.69</v>
      </c>
      <c r="W3116" t="str">
        <f t="shared" si="784"/>
        <v>rob</v>
      </c>
    </row>
    <row r="3117" spans="1:23">
      <c r="A3117" t="str">
        <f t="shared" si="778"/>
        <v>MTS-ER9P-PM&amp;PT</v>
      </c>
      <c r="B3117" t="str">
        <f>"00-1251-0000"</f>
        <v>00-1251-0000</v>
      </c>
      <c r="C3117" t="str">
        <f>"Workbench 1500x800mm (Formica Top)"</f>
        <v>Workbench 1500x800mm (Formica Top)</v>
      </c>
      <c r="D3117">
        <v>1</v>
      </c>
      <c r="E3117" t="str">
        <f t="shared" si="779"/>
        <v>FMS - Scorbot ER9Pro Robot with ProMill 8000 (12 tool ATC) &amp; ProTurn 9000 CNC machines</v>
      </c>
      <c r="F3117">
        <v>502</v>
      </c>
      <c r="G3117" t="str">
        <f t="shared" si="781"/>
        <v>Y</v>
      </c>
      <c r="H3117" t="str">
        <f t="shared" si="780"/>
        <v>EA</v>
      </c>
      <c r="I3117">
        <v>0</v>
      </c>
      <c r="J3117">
        <v>0</v>
      </c>
      <c r="K3117" t="str">
        <f t="shared" si="782"/>
        <v>Y</v>
      </c>
      <c r="L3117">
        <v>0</v>
      </c>
      <c r="M3117" t="str">
        <f t="shared" si="786"/>
        <v>NIS</v>
      </c>
      <c r="O3117">
        <v>45</v>
      </c>
      <c r="P3117" t="str">
        <f t="shared" si="785"/>
        <v>Active</v>
      </c>
      <c r="Q3117" t="str">
        <f>"Workbench 1500x800mm (Formica Top)"</f>
        <v>Workbench 1500x800mm (Formica Top)</v>
      </c>
      <c r="S3117" t="str">
        <f>"Workbench 1500x800mm (Formica Top)"</f>
        <v>Workbench 1500x800mm (Formica Top)</v>
      </c>
      <c r="T3117">
        <v>0</v>
      </c>
      <c r="U3117">
        <v>582</v>
      </c>
      <c r="V3117">
        <v>588.6</v>
      </c>
      <c r="W3117" t="str">
        <f t="shared" si="784"/>
        <v>rob</v>
      </c>
    </row>
    <row r="3118" spans="1:23">
      <c r="A3118" t="str">
        <f t="shared" si="778"/>
        <v>MTS-ER9P-PM&amp;PT</v>
      </c>
      <c r="B3118" t="str">
        <f>"50-0094-0000"</f>
        <v>50-0094-0000</v>
      </c>
      <c r="C3118" t="str">
        <f>"Pre-Engineering, Design and Testing"</f>
        <v>Pre-Engineering, Design and Testing</v>
      </c>
      <c r="D3118">
        <v>1</v>
      </c>
      <c r="E3118" t="str">
        <f t="shared" si="779"/>
        <v>FMS - Scorbot ER9Pro Robot with ProMill 8000 (12 tool ATC) &amp; ProTurn 9000 CNC machines</v>
      </c>
      <c r="F3118">
        <v>502</v>
      </c>
      <c r="G3118" t="str">
        <f t="shared" si="781"/>
        <v>Y</v>
      </c>
      <c r="H3118" t="str">
        <f>"DA"</f>
        <v>DA</v>
      </c>
      <c r="I3118">
        <v>0</v>
      </c>
      <c r="J3118">
        <v>0</v>
      </c>
      <c r="K3118" t="str">
        <f t="shared" si="782"/>
        <v>Y</v>
      </c>
      <c r="L3118">
        <v>0</v>
      </c>
      <c r="M3118" t="str">
        <f t="shared" si="786"/>
        <v>NIS</v>
      </c>
      <c r="O3118">
        <v>46</v>
      </c>
      <c r="P3118" t="str">
        <f t="shared" si="785"/>
        <v>Active</v>
      </c>
      <c r="Q3118" t="str">
        <f>"Pre-Engineering, Design and Testing"</f>
        <v>Pre-Engineering, Design and Testing</v>
      </c>
      <c r="S3118" t="str">
        <f>"Pre-Engineering, Design and Testing"</f>
        <v>Pre-Engineering, Design and Testing</v>
      </c>
      <c r="T3118">
        <v>0</v>
      </c>
      <c r="U3118">
        <v>405</v>
      </c>
      <c r="V3118">
        <v>421.2</v>
      </c>
      <c r="W3118" t="str">
        <f t="shared" si="784"/>
        <v>rob</v>
      </c>
    </row>
    <row r="3119" spans="1:23">
      <c r="A3119" t="str">
        <f t="shared" ref="A3119:A3148" si="787">"MTS-ER9P-PM8000"</f>
        <v>MTS-ER9P-PM8000</v>
      </c>
      <c r="B3119" t="str">
        <f>"00-0430-0000"</f>
        <v>00-0430-0000</v>
      </c>
      <c r="C3119" t="str">
        <f>"SCORBOT-ER9Pro"</f>
        <v>SCORBOT-ER9Pro</v>
      </c>
      <c r="D3119">
        <v>1</v>
      </c>
      <c r="E3119" t="str">
        <f t="shared" ref="E3119:E3148" si="788">"FMS - Scorbot ER9Pro Robot with ProMill 8000 (12 tool ATC) CNC Milling machine"</f>
        <v>FMS - Scorbot ER9Pro Robot with ProMill 8000 (12 tool ATC) CNC Milling machine</v>
      </c>
      <c r="F3119">
        <v>502</v>
      </c>
      <c r="G3119" t="str">
        <f t="shared" si="781"/>
        <v>Y</v>
      </c>
      <c r="H3119" t="str">
        <f t="shared" ref="H3119:H3147" si="789">"EA"</f>
        <v>EA</v>
      </c>
      <c r="I3119">
        <v>0</v>
      </c>
      <c r="J3119">
        <v>0</v>
      </c>
      <c r="K3119" t="str">
        <f t="shared" si="782"/>
        <v>Y</v>
      </c>
      <c r="L3119">
        <v>0</v>
      </c>
      <c r="M3119" t="str">
        <f t="shared" si="786"/>
        <v>NIS</v>
      </c>
      <c r="O3119">
        <v>1</v>
      </c>
      <c r="P3119" t="str">
        <f t="shared" si="785"/>
        <v>Active</v>
      </c>
      <c r="Q3119" t="str">
        <f>"SCORBOT-ER 9Pro (incl. USB-Pro Controller)"</f>
        <v>SCORBOT-ER 9Pro (incl. USB-Pro Controller)</v>
      </c>
      <c r="S3119" t="str">
        <f>"SCORBOT-ER 9Pro (incl. USB-Pro Controller)"</f>
        <v>SCORBOT-ER 9Pro (incl. USB-Pro Controller)</v>
      </c>
      <c r="T3119">
        <v>0</v>
      </c>
      <c r="U3119" s="44">
        <v>10900</v>
      </c>
      <c r="V3119" s="44">
        <v>11661.57</v>
      </c>
      <c r="W3119" t="str">
        <f t="shared" si="784"/>
        <v>rob</v>
      </c>
    </row>
    <row r="3120" spans="1:23">
      <c r="A3120" t="str">
        <f t="shared" si="787"/>
        <v>MTS-ER9P-PM8000</v>
      </c>
      <c r="B3120" t="str">
        <f>"00-0633-0000"</f>
        <v>00-0633-0000</v>
      </c>
      <c r="C3120" t="str">
        <f>"Pneumatic Gripper for ER9-Pro"</f>
        <v>Pneumatic Gripper for ER9-Pro</v>
      </c>
      <c r="D3120">
        <v>1</v>
      </c>
      <c r="E3120" t="str">
        <f t="shared" si="788"/>
        <v>FMS - Scorbot ER9Pro Robot with ProMill 8000 (12 tool ATC) CNC Milling machine</v>
      </c>
      <c r="F3120">
        <v>502</v>
      </c>
      <c r="G3120" t="str">
        <f t="shared" si="781"/>
        <v>Y</v>
      </c>
      <c r="H3120" t="str">
        <f t="shared" si="789"/>
        <v>EA</v>
      </c>
      <c r="I3120">
        <v>0</v>
      </c>
      <c r="J3120">
        <v>0</v>
      </c>
      <c r="K3120" t="str">
        <f t="shared" si="782"/>
        <v>Y</v>
      </c>
      <c r="L3120">
        <v>0</v>
      </c>
      <c r="M3120" t="str">
        <f t="shared" si="786"/>
        <v>NIS</v>
      </c>
      <c r="O3120">
        <v>2</v>
      </c>
      <c r="P3120" t="str">
        <f t="shared" si="785"/>
        <v>Active</v>
      </c>
      <c r="Q3120" t="str">
        <f>"Pneumatic Gripper for ER 9Pro"</f>
        <v>Pneumatic Gripper for ER 9Pro</v>
      </c>
      <c r="S3120" t="str">
        <f>"Pneumatic Gripper for ER9-Pro"</f>
        <v>Pneumatic Gripper for ER9-Pro</v>
      </c>
      <c r="T3120">
        <v>0</v>
      </c>
      <c r="U3120">
        <v>630</v>
      </c>
      <c r="V3120">
        <v>624.72</v>
      </c>
      <c r="W3120" t="str">
        <f t="shared" si="784"/>
        <v>rob</v>
      </c>
    </row>
    <row r="3121" spans="1:23">
      <c r="A3121" t="str">
        <f t="shared" si="787"/>
        <v>MTS-ER9P-PM8000</v>
      </c>
      <c r="B3121" t="str">
        <f>"00-1710-0000"</f>
        <v>00-1710-0000</v>
      </c>
      <c r="C3121" t="str">
        <f>"Teach Pendant"</f>
        <v>Teach Pendant</v>
      </c>
      <c r="D3121">
        <v>1</v>
      </c>
      <c r="E3121" t="str">
        <f t="shared" si="788"/>
        <v>FMS - Scorbot ER9Pro Robot with ProMill 8000 (12 tool ATC) CNC Milling machine</v>
      </c>
      <c r="F3121">
        <v>502</v>
      </c>
      <c r="G3121" t="str">
        <f t="shared" si="781"/>
        <v>Y</v>
      </c>
      <c r="H3121" t="str">
        <f t="shared" si="789"/>
        <v>EA</v>
      </c>
      <c r="I3121">
        <v>0</v>
      </c>
      <c r="J3121">
        <v>0</v>
      </c>
      <c r="K3121" t="str">
        <f t="shared" si="782"/>
        <v>Y</v>
      </c>
      <c r="L3121">
        <v>0</v>
      </c>
      <c r="M3121" t="str">
        <f t="shared" si="786"/>
        <v>NIS</v>
      </c>
      <c r="O3121">
        <v>3</v>
      </c>
      <c r="P3121" t="str">
        <f t="shared" si="785"/>
        <v>Active</v>
      </c>
      <c r="Q3121" t="str">
        <f>"Teach Pendant for USB/USB Pro Controllers"</f>
        <v>Teach Pendant for USB/USB Pro Controllers</v>
      </c>
      <c r="S3121" t="str">
        <f>"Teach Pendant for USB/USB Pro Controllers"</f>
        <v>Teach Pendant for USB/USB Pro Controllers</v>
      </c>
      <c r="T3121">
        <v>0</v>
      </c>
      <c r="U3121">
        <v>160.18</v>
      </c>
      <c r="V3121">
        <v>161.44999999999999</v>
      </c>
      <c r="W3121" t="str">
        <f t="shared" si="784"/>
        <v>rob</v>
      </c>
    </row>
    <row r="3122" spans="1:23">
      <c r="A3122" t="str">
        <f t="shared" si="787"/>
        <v>MTS-ER9P-PM8000</v>
      </c>
      <c r="B3122" t="str">
        <f>"00-1016-0000"</f>
        <v>00-1016-0000</v>
      </c>
      <c r="C3122" t="str">
        <f>"LSB 1.0m, Belt, FM"</f>
        <v>LSB 1.0m, Belt, FM</v>
      </c>
      <c r="D3122">
        <v>1</v>
      </c>
      <c r="E3122" t="str">
        <f t="shared" si="788"/>
        <v>FMS - Scorbot ER9Pro Robot with ProMill 8000 (12 tool ATC) CNC Milling machine</v>
      </c>
      <c r="F3122">
        <v>502</v>
      </c>
      <c r="G3122" t="str">
        <f t="shared" si="781"/>
        <v>Y</v>
      </c>
      <c r="H3122" t="str">
        <f t="shared" si="789"/>
        <v>EA</v>
      </c>
      <c r="I3122">
        <v>0</v>
      </c>
      <c r="J3122">
        <v>0</v>
      </c>
      <c r="K3122" t="str">
        <f t="shared" si="782"/>
        <v>Y</v>
      </c>
      <c r="L3122">
        <v>0</v>
      </c>
      <c r="M3122" t="str">
        <f t="shared" si="786"/>
        <v>NIS</v>
      </c>
      <c r="O3122">
        <v>4</v>
      </c>
      <c r="P3122" t="str">
        <f t="shared" si="785"/>
        <v>Active</v>
      </c>
      <c r="Q3122" t="str">
        <f>"LSB 1.0m (Belt, Floor Mounted incl. Stand)"</f>
        <v>LSB 1.0m (Belt, Floor Mounted incl. Stand)</v>
      </c>
      <c r="S3122" t="str">
        <f>"LSB 1.0m, Belt, Floor Mounted incl. Stand"</f>
        <v>LSB 1.0m, Belt, Floor Mounted incl. Stand</v>
      </c>
      <c r="T3122">
        <v>0</v>
      </c>
      <c r="U3122" s="44">
        <v>2336.16</v>
      </c>
      <c r="V3122" s="44">
        <v>2301.0500000000002</v>
      </c>
      <c r="W3122" t="str">
        <f t="shared" si="784"/>
        <v>rob</v>
      </c>
    </row>
    <row r="3123" spans="1:23">
      <c r="A3123" t="str">
        <f t="shared" si="787"/>
        <v>MTS-ER9P-PM8000</v>
      </c>
      <c r="B3123" t="str">
        <f>"034025"</f>
        <v>034025</v>
      </c>
      <c r="C3123" t="str">
        <f>"I/O Interface Box for Controller USB-PRO"</f>
        <v>I/O Interface Box for Controller USB-PRO</v>
      </c>
      <c r="D3123">
        <v>1</v>
      </c>
      <c r="E3123" t="str">
        <f t="shared" si="788"/>
        <v>FMS - Scorbot ER9Pro Robot with ProMill 8000 (12 tool ATC) CNC Milling machine</v>
      </c>
      <c r="F3123">
        <v>502</v>
      </c>
      <c r="G3123" t="str">
        <f t="shared" si="781"/>
        <v>Y</v>
      </c>
      <c r="H3123" t="str">
        <f t="shared" si="789"/>
        <v>EA</v>
      </c>
      <c r="I3123">
        <v>0</v>
      </c>
      <c r="J3123">
        <v>0</v>
      </c>
      <c r="K3123" t="str">
        <f t="shared" si="782"/>
        <v>Y</v>
      </c>
      <c r="L3123">
        <v>0</v>
      </c>
      <c r="M3123" t="str">
        <f t="shared" si="786"/>
        <v>NIS</v>
      </c>
      <c r="O3123">
        <v>28</v>
      </c>
      <c r="P3123" t="str">
        <f t="shared" si="785"/>
        <v>Active</v>
      </c>
      <c r="Q3123" t="str">
        <f>"I/O Interface Box for Controller USB-PRO+2cables"</f>
        <v>I/O Interface Box for Controller USB-PRO+2cables</v>
      </c>
      <c r="S3123" t="str">
        <f>"קופסת 2+Interface Box I/O כבלים לבקר USBPRO"</f>
        <v>קופסת 2+Interface Box I/O כבלים לבקר USBPRO</v>
      </c>
      <c r="T3123">
        <v>0</v>
      </c>
      <c r="U3123">
        <v>470</v>
      </c>
      <c r="V3123">
        <v>463.62</v>
      </c>
      <c r="W3123" t="str">
        <f t="shared" si="784"/>
        <v>rob</v>
      </c>
    </row>
    <row r="3124" spans="1:23">
      <c r="A3124" t="str">
        <f t="shared" si="787"/>
        <v>MTS-ER9P-PM8000</v>
      </c>
      <c r="B3124" t="str">
        <f>"10-2521-7000"</f>
        <v>10-2521-7000</v>
      </c>
      <c r="C3124" t="str">
        <f>"Pneumatic Feeder for Rectangular products"</f>
        <v>Pneumatic Feeder for Rectangular products</v>
      </c>
      <c r="D3124">
        <v>1</v>
      </c>
      <c r="E3124" t="str">
        <f t="shared" si="788"/>
        <v>FMS - Scorbot ER9Pro Robot with ProMill 8000 (12 tool ATC) CNC Milling machine</v>
      </c>
      <c r="F3124">
        <v>502</v>
      </c>
      <c r="G3124" t="str">
        <f t="shared" si="781"/>
        <v>Y</v>
      </c>
      <c r="H3124" t="str">
        <f t="shared" si="789"/>
        <v>EA</v>
      </c>
      <c r="I3124">
        <v>0</v>
      </c>
      <c r="J3124">
        <v>0</v>
      </c>
      <c r="K3124" t="str">
        <f t="shared" si="782"/>
        <v>Y</v>
      </c>
      <c r="L3124">
        <v>0</v>
      </c>
      <c r="M3124" t="str">
        <f t="shared" si="786"/>
        <v>NIS</v>
      </c>
      <c r="O3124">
        <v>5</v>
      </c>
      <c r="P3124" t="str">
        <f t="shared" si="785"/>
        <v>Active</v>
      </c>
      <c r="Q3124" t="str">
        <f>"Pneumatic Feeder for Rectangular Parts"</f>
        <v>Pneumatic Feeder for Rectangular Parts</v>
      </c>
      <c r="S3124" t="str">
        <f>"Pneumatic Feeder for Rectangular Parts"</f>
        <v>Pneumatic Feeder for Rectangular Parts</v>
      </c>
      <c r="T3124">
        <v>0</v>
      </c>
      <c r="U3124">
        <v>595</v>
      </c>
      <c r="V3124">
        <v>555.15</v>
      </c>
      <c r="W3124" t="str">
        <f t="shared" si="784"/>
        <v>rob</v>
      </c>
    </row>
    <row r="3125" spans="1:23">
      <c r="A3125" t="str">
        <f t="shared" si="787"/>
        <v>MTS-ER9P-PM8000</v>
      </c>
      <c r="B3125" t="str">
        <f>"00-1110-0000"</f>
        <v>00-1110-0000</v>
      </c>
      <c r="C3125" t="str">
        <f>"Palletizing Rack"</f>
        <v>Palletizing Rack</v>
      </c>
      <c r="D3125">
        <v>1</v>
      </c>
      <c r="E3125" t="str">
        <f t="shared" si="788"/>
        <v>FMS - Scorbot ER9Pro Robot with ProMill 8000 (12 tool ATC) CNC Milling machine</v>
      </c>
      <c r="F3125">
        <v>502</v>
      </c>
      <c r="G3125" t="str">
        <f t="shared" si="781"/>
        <v>Y</v>
      </c>
      <c r="H3125" t="str">
        <f t="shared" si="789"/>
        <v>EA</v>
      </c>
      <c r="I3125">
        <v>0</v>
      </c>
      <c r="J3125">
        <v>0</v>
      </c>
      <c r="K3125" t="str">
        <f t="shared" si="782"/>
        <v>Y</v>
      </c>
      <c r="L3125">
        <v>0</v>
      </c>
      <c r="M3125" t="str">
        <f t="shared" si="786"/>
        <v>NIS</v>
      </c>
      <c r="O3125">
        <v>6</v>
      </c>
      <c r="P3125" t="str">
        <f t="shared" si="785"/>
        <v>Active</v>
      </c>
      <c r="Q3125" t="str">
        <f>"Palletizing Rack (incl. Pins for creating Jigs)"</f>
        <v>Palletizing Rack (incl. Pins for creating Jigs)</v>
      </c>
      <c r="S3125" t="str">
        <f>"Palletizing Rack (incl. Pins for creating Jigs)"</f>
        <v>Palletizing Rack (incl. Pins for creating Jigs)</v>
      </c>
      <c r="T3125">
        <v>0</v>
      </c>
      <c r="U3125">
        <v>63</v>
      </c>
      <c r="V3125">
        <v>58.59</v>
      </c>
      <c r="W3125" t="str">
        <f t="shared" si="784"/>
        <v>rob</v>
      </c>
    </row>
    <row r="3126" spans="1:23">
      <c r="A3126" t="str">
        <f t="shared" si="787"/>
        <v>MTS-ER9P-PM8000</v>
      </c>
      <c r="B3126" t="str">
        <f>"021182"</f>
        <v>021182</v>
      </c>
      <c r="C3126" t="str">
        <f>"97mm Height Adapter"</f>
        <v>97mm Height Adapter</v>
      </c>
      <c r="D3126">
        <v>1</v>
      </c>
      <c r="E3126" t="str">
        <f t="shared" si="788"/>
        <v>FMS - Scorbot ER9Pro Robot with ProMill 8000 (12 tool ATC) CNC Milling machine</v>
      </c>
      <c r="F3126">
        <v>502</v>
      </c>
      <c r="G3126" t="str">
        <f t="shared" si="781"/>
        <v>Y</v>
      </c>
      <c r="H3126" t="str">
        <f t="shared" si="789"/>
        <v>EA</v>
      </c>
      <c r="I3126">
        <v>0</v>
      </c>
      <c r="J3126">
        <v>0</v>
      </c>
      <c r="K3126" t="str">
        <f t="shared" si="782"/>
        <v>Y</v>
      </c>
      <c r="L3126">
        <v>0</v>
      </c>
      <c r="M3126" t="str">
        <f t="shared" si="786"/>
        <v>NIS</v>
      </c>
      <c r="O3126">
        <v>30</v>
      </c>
      <c r="P3126" t="str">
        <f t="shared" si="785"/>
        <v>Active</v>
      </c>
      <c r="Q3126" t="str">
        <f>"97mm Height Adapter -Rack 001110 on formica 28mm"</f>
        <v>97mm Height Adapter -Rack 001110 on formica 28mm</v>
      </c>
      <c r="S3126" t="str">
        <f>"97mm Height Adapter -Rack 001110 on formica 28mm"</f>
        <v>97mm Height Adapter -Rack 001110 on formica 28mm</v>
      </c>
      <c r="T3126">
        <v>0</v>
      </c>
      <c r="U3126">
        <v>7</v>
      </c>
      <c r="V3126">
        <v>5.5</v>
      </c>
      <c r="W3126" t="str">
        <f t="shared" si="784"/>
        <v>rob</v>
      </c>
    </row>
    <row r="3127" spans="1:23">
      <c r="A3127" t="str">
        <f t="shared" si="787"/>
        <v>MTS-ER9P-PM8000</v>
      </c>
      <c r="B3127" t="str">
        <f>"021152"</f>
        <v>021152</v>
      </c>
      <c r="C3127" t="str">
        <f>"Shelf Buffer for CIM conveyor"</f>
        <v>Shelf Buffer for CIM conveyor</v>
      </c>
      <c r="D3127">
        <v>1</v>
      </c>
      <c r="E3127" t="str">
        <f t="shared" si="788"/>
        <v>FMS - Scorbot ER9Pro Robot with ProMill 8000 (12 tool ATC) CNC Milling machine</v>
      </c>
      <c r="F3127">
        <v>502</v>
      </c>
      <c r="G3127" t="str">
        <f t="shared" si="781"/>
        <v>Y</v>
      </c>
      <c r="H3127" t="str">
        <f t="shared" si="789"/>
        <v>EA</v>
      </c>
      <c r="I3127">
        <v>0</v>
      </c>
      <c r="J3127">
        <v>0</v>
      </c>
      <c r="K3127" t="str">
        <f t="shared" si="782"/>
        <v>Y</v>
      </c>
      <c r="L3127">
        <v>0</v>
      </c>
      <c r="M3127" t="str">
        <f t="shared" si="786"/>
        <v>NIS</v>
      </c>
      <c r="O3127">
        <v>29</v>
      </c>
      <c r="P3127" t="str">
        <f t="shared" si="785"/>
        <v>Active</v>
      </c>
      <c r="Q3127" t="str">
        <f>"מכלול- מדף בפר סטנדרטי OPEN-CIM"</f>
        <v>מכלול- מדף בפר סטנדרטי OPEN-CIM</v>
      </c>
      <c r="R3127" t="str">
        <f>"1"</f>
        <v>1</v>
      </c>
      <c r="S3127" t="str">
        <f>"מכלול- מדף בפר סטנדרטי OPEN-CIM"</f>
        <v>מכלול- מדף בפר סטנדרטי OPEN-CIM</v>
      </c>
      <c r="T3127">
        <v>0</v>
      </c>
      <c r="U3127">
        <v>83.12</v>
      </c>
      <c r="V3127">
        <v>92.76</v>
      </c>
      <c r="W3127" t="str">
        <f t="shared" si="784"/>
        <v>rob</v>
      </c>
    </row>
    <row r="3128" spans="1:23">
      <c r="A3128" t="str">
        <f t="shared" si="787"/>
        <v>MTS-ER9P-PM8000</v>
      </c>
      <c r="B3128" t="str">
        <f>"10-2120-2000"</f>
        <v>10-2120-2000</v>
      </c>
      <c r="C3128" t="str">
        <f>"CNC Interface with ProMill 8000"</f>
        <v>CNC Interface with ProMill 8000</v>
      </c>
      <c r="D3128">
        <v>1</v>
      </c>
      <c r="E3128" t="str">
        <f t="shared" si="788"/>
        <v>FMS - Scorbot ER9Pro Robot with ProMill 8000 (12 tool ATC) CNC Milling machine</v>
      </c>
      <c r="F3128">
        <v>502</v>
      </c>
      <c r="G3128" t="str">
        <f t="shared" si="781"/>
        <v>Y</v>
      </c>
      <c r="H3128" t="str">
        <f t="shared" si="789"/>
        <v>EA</v>
      </c>
      <c r="I3128">
        <v>0</v>
      </c>
      <c r="J3128">
        <v>0</v>
      </c>
      <c r="K3128" t="str">
        <f t="shared" si="782"/>
        <v>Y</v>
      </c>
      <c r="L3128">
        <v>0</v>
      </c>
      <c r="M3128" t="str">
        <f t="shared" si="786"/>
        <v>NIS</v>
      </c>
      <c r="O3128">
        <v>7</v>
      </c>
      <c r="P3128" t="str">
        <f t="shared" si="785"/>
        <v>Active</v>
      </c>
      <c r="Q3128" t="str">
        <f>"CNC Interface with ProMill 8000"</f>
        <v>CNC Interface with ProMill 8000</v>
      </c>
      <c r="S3128" t="str">
        <f>"CNC Interface with ProMill 8000"</f>
        <v>CNC Interface with ProMill 8000</v>
      </c>
      <c r="T3128">
        <v>0</v>
      </c>
      <c r="U3128">
        <v>18</v>
      </c>
      <c r="V3128">
        <v>17.690000000000001</v>
      </c>
      <c r="W3128" t="str">
        <f t="shared" si="784"/>
        <v>rob</v>
      </c>
    </row>
    <row r="3129" spans="1:23">
      <c r="A3129" t="str">
        <f t="shared" si="787"/>
        <v>MTS-ER9P-PM8000</v>
      </c>
      <c r="B3129" t="str">
        <f>"00-5509-0220"</f>
        <v>00-5509-0220</v>
      </c>
      <c r="C3129" t="str">
        <f>"ProMill 8000 AC with 12 Tool ATC"</f>
        <v>ProMill 8000 AC with 12 Tool ATC</v>
      </c>
      <c r="D3129">
        <v>1</v>
      </c>
      <c r="E3129" t="str">
        <f t="shared" si="788"/>
        <v>FMS - Scorbot ER9Pro Robot with ProMill 8000 (12 tool ATC) CNC Milling machine</v>
      </c>
      <c r="F3129">
        <v>502</v>
      </c>
      <c r="G3129" t="str">
        <f t="shared" si="781"/>
        <v>Y</v>
      </c>
      <c r="H3129" t="str">
        <f t="shared" si="789"/>
        <v>EA</v>
      </c>
      <c r="I3129">
        <v>0</v>
      </c>
      <c r="J3129">
        <v>0</v>
      </c>
      <c r="K3129" t="str">
        <f t="shared" si="782"/>
        <v>Y</v>
      </c>
      <c r="L3129">
        <v>0</v>
      </c>
      <c r="M3129" t="str">
        <f t="shared" si="786"/>
        <v>NIS</v>
      </c>
      <c r="O3129">
        <v>8</v>
      </c>
      <c r="P3129" t="str">
        <f t="shared" si="785"/>
        <v>Active</v>
      </c>
      <c r="Q3129" t="str">
        <f>"ProMill 8000 AC with 12 Tool ATC 220V"</f>
        <v>ProMill 8000 AC with 12 Tool ATC 220V</v>
      </c>
      <c r="S3129" t="str">
        <f>"ProMill 8000 AC with 12 Tool ATC 220V"</f>
        <v>ProMill 8000 AC with 12 Tool ATC 220V</v>
      </c>
      <c r="T3129">
        <v>0</v>
      </c>
      <c r="U3129" s="44">
        <v>7800</v>
      </c>
      <c r="V3129" s="44">
        <v>7781.65</v>
      </c>
      <c r="W3129" t="str">
        <f t="shared" si="784"/>
        <v>rob</v>
      </c>
    </row>
    <row r="3130" spans="1:23">
      <c r="A3130" t="str">
        <f t="shared" si="787"/>
        <v>MTS-ER9P-PM8000</v>
      </c>
      <c r="B3130" t="str">
        <f>"10-1111-9000"</f>
        <v>10-1111-9000</v>
      </c>
      <c r="C3130" t="str">
        <f>"ISO 20 tool holder"</f>
        <v>ISO 20 tool holder</v>
      </c>
      <c r="D3130">
        <v>12</v>
      </c>
      <c r="E3130" t="str">
        <f t="shared" si="788"/>
        <v>FMS - Scorbot ER9Pro Robot with ProMill 8000 (12 tool ATC) CNC Milling machine</v>
      </c>
      <c r="F3130">
        <v>502</v>
      </c>
      <c r="G3130" t="str">
        <f t="shared" si="781"/>
        <v>Y</v>
      </c>
      <c r="H3130" t="str">
        <f t="shared" si="789"/>
        <v>EA</v>
      </c>
      <c r="I3130">
        <v>0</v>
      </c>
      <c r="J3130">
        <v>0</v>
      </c>
      <c r="K3130" t="str">
        <f t="shared" si="782"/>
        <v>Y</v>
      </c>
      <c r="L3130">
        <v>0</v>
      </c>
      <c r="M3130" t="str">
        <f t="shared" si="786"/>
        <v>NIS</v>
      </c>
      <c r="O3130">
        <v>9</v>
      </c>
      <c r="P3130" t="str">
        <f t="shared" si="785"/>
        <v>Active</v>
      </c>
      <c r="Q3130" t="str">
        <f>"ISO 20 tool holder with nut"</f>
        <v>ISO 20 tool holder with nut</v>
      </c>
      <c r="S3130" t="str">
        <f>"ISO 20 tool holder with nut"</f>
        <v>ISO 20 tool holder with nut</v>
      </c>
      <c r="T3130">
        <v>0</v>
      </c>
      <c r="U3130">
        <v>103</v>
      </c>
      <c r="V3130">
        <v>103.19</v>
      </c>
      <c r="W3130" t="str">
        <f t="shared" si="784"/>
        <v>rob</v>
      </c>
    </row>
    <row r="3131" spans="1:23">
      <c r="A3131" t="str">
        <f t="shared" si="787"/>
        <v>MTS-ER9P-PM8000</v>
      </c>
      <c r="B3131" t="str">
        <f>"10-1110-4000"</f>
        <v>10-1110-4000</v>
      </c>
      <c r="C3131" t="str">
        <f>"-- Pneumatic Shield (ProMill 8000 for FMS)"</f>
        <v>-- Pneumatic Shield (ProMill 8000 for FMS)</v>
      </c>
      <c r="D3131">
        <v>1</v>
      </c>
      <c r="E3131" t="str">
        <f t="shared" si="788"/>
        <v>FMS - Scorbot ER9Pro Robot with ProMill 8000 (12 tool ATC) CNC Milling machine</v>
      </c>
      <c r="F3131">
        <v>502</v>
      </c>
      <c r="G3131" t="str">
        <f t="shared" si="781"/>
        <v>Y</v>
      </c>
      <c r="H3131" t="str">
        <f t="shared" si="789"/>
        <v>EA</v>
      </c>
      <c r="I3131">
        <v>0</v>
      </c>
      <c r="J3131">
        <v>0</v>
      </c>
      <c r="K3131" t="str">
        <f t="shared" si="782"/>
        <v>Y</v>
      </c>
      <c r="L3131">
        <v>0</v>
      </c>
      <c r="M3131" t="str">
        <f t="shared" si="786"/>
        <v>NIS</v>
      </c>
      <c r="O3131">
        <v>10</v>
      </c>
      <c r="P3131" t="str">
        <f t="shared" si="785"/>
        <v>Active</v>
      </c>
      <c r="Q3131" t="str">
        <f>"Pneumatic Shield with Sensors (ProMill 8000)"</f>
        <v>Pneumatic Shield with Sensors (ProMill 8000)</v>
      </c>
      <c r="S3131" t="str">
        <f>"Pneumatic Shield with Sensors (ProMill 8000)"</f>
        <v>Pneumatic Shield with Sensors (ProMill 8000)</v>
      </c>
      <c r="T3131">
        <v>0</v>
      </c>
      <c r="U3131">
        <v>390</v>
      </c>
      <c r="V3131">
        <v>390.02</v>
      </c>
      <c r="W3131" t="str">
        <f t="shared" si="784"/>
        <v>rob</v>
      </c>
    </row>
    <row r="3132" spans="1:23">
      <c r="A3132" t="str">
        <f t="shared" si="787"/>
        <v>MTS-ER9P-PM8000</v>
      </c>
      <c r="B3132" t="str">
        <f>"10-1110-7000"</f>
        <v>10-1110-7000</v>
      </c>
      <c r="C3132" t="str">
        <f>"--Dual Axis Vise (for FMS)"</f>
        <v>--Dual Axis Vise (for FMS)</v>
      </c>
      <c r="D3132">
        <v>1</v>
      </c>
      <c r="E3132" t="str">
        <f t="shared" si="788"/>
        <v>FMS - Scorbot ER9Pro Robot with ProMill 8000 (12 tool ATC) CNC Milling machine</v>
      </c>
      <c r="F3132">
        <v>502</v>
      </c>
      <c r="G3132" t="str">
        <f t="shared" si="781"/>
        <v>Y</v>
      </c>
      <c r="H3132" t="str">
        <f t="shared" si="789"/>
        <v>EA</v>
      </c>
      <c r="I3132">
        <v>0</v>
      </c>
      <c r="J3132">
        <v>0</v>
      </c>
      <c r="K3132" t="str">
        <f t="shared" si="782"/>
        <v>Y</v>
      </c>
      <c r="L3132">
        <v>0</v>
      </c>
      <c r="M3132" t="str">
        <f t="shared" si="786"/>
        <v>NIS</v>
      </c>
      <c r="O3132">
        <v>11</v>
      </c>
      <c r="P3132" t="str">
        <f t="shared" si="785"/>
        <v>Active</v>
      </c>
      <c r="Q3132" t="str">
        <f>"Dual Axis Vise (BenchMill 6000/ ProMill 8000)"</f>
        <v>Dual Axis Vise (BenchMill 6000/ ProMill 8000)</v>
      </c>
      <c r="S3132" t="str">
        <f>"Dual Axis Vise (BenchMill 6000/ ProMill 8000)"</f>
        <v>Dual Axis Vise (BenchMill 6000/ ProMill 8000)</v>
      </c>
      <c r="T3132">
        <v>0</v>
      </c>
      <c r="U3132">
        <v>239</v>
      </c>
      <c r="V3132">
        <v>219.6</v>
      </c>
      <c r="W3132" t="str">
        <f t="shared" si="784"/>
        <v>rob</v>
      </c>
    </row>
    <row r="3133" spans="1:23">
      <c r="A3133" t="str">
        <f t="shared" si="787"/>
        <v>MTS-ER9P-PM8000</v>
      </c>
      <c r="B3133" t="str">
        <f>"10-1112-2000"</f>
        <v>10-1112-2000</v>
      </c>
      <c r="C3133" t="str">
        <f>"ER16 Collet set-8 pieces(3,4,5,6,7,8,9 and 10mm)"</f>
        <v>ER16 Collet set-8 pieces(3,4,5,6,7,8,9 and 10mm)</v>
      </c>
      <c r="D3133">
        <v>1</v>
      </c>
      <c r="E3133" t="str">
        <f t="shared" si="788"/>
        <v>FMS - Scorbot ER9Pro Robot with ProMill 8000 (12 tool ATC) CNC Milling machine</v>
      </c>
      <c r="F3133">
        <v>502</v>
      </c>
      <c r="G3133" t="str">
        <f t="shared" si="781"/>
        <v>Y</v>
      </c>
      <c r="H3133" t="str">
        <f t="shared" si="789"/>
        <v>EA</v>
      </c>
      <c r="I3133">
        <v>0</v>
      </c>
      <c r="J3133">
        <v>0</v>
      </c>
      <c r="K3133" t="str">
        <f t="shared" si="782"/>
        <v>Y</v>
      </c>
      <c r="L3133">
        <v>0</v>
      </c>
      <c r="M3133" t="str">
        <f t="shared" si="786"/>
        <v>NIS</v>
      </c>
      <c r="O3133">
        <v>12</v>
      </c>
      <c r="P3133" t="str">
        <f t="shared" si="785"/>
        <v>Active</v>
      </c>
      <c r="Q3133" t="str">
        <f>"ER16 Collet set-8 pieces(3,4,5,6,7,8,9 and 10mm)"</f>
        <v>ER16 Collet set-8 pieces(3,4,5,6,7,8,9 and 10mm)</v>
      </c>
      <c r="S3133" t="str">
        <f>"ER16 Collet set-8 pieces(3,4,5,6,7,8,9 and 10mm)"</f>
        <v>ER16 Collet set-8 pieces(3,4,5,6,7,8,9 and 10mm)</v>
      </c>
      <c r="T3133">
        <v>0</v>
      </c>
      <c r="U3133">
        <v>71</v>
      </c>
      <c r="V3133">
        <v>64.84</v>
      </c>
      <c r="W3133" t="str">
        <f t="shared" si="784"/>
        <v>rob</v>
      </c>
    </row>
    <row r="3134" spans="1:23">
      <c r="A3134" t="str">
        <f t="shared" si="787"/>
        <v>MTS-ER9P-PM8000</v>
      </c>
      <c r="B3134" t="str">
        <f>"10-1113-4000"</f>
        <v>10-1113-4000</v>
      </c>
      <c r="C3134" t="str">
        <f>"Metric End Mill Package(2X 3,6,8,10End,4,6 Ball)"</f>
        <v>Metric End Mill Package(2X 3,6,8,10End,4,6 Ball)</v>
      </c>
      <c r="D3134">
        <v>1</v>
      </c>
      <c r="E3134" t="str">
        <f t="shared" si="788"/>
        <v>FMS - Scorbot ER9Pro Robot with ProMill 8000 (12 tool ATC) CNC Milling machine</v>
      </c>
      <c r="F3134">
        <v>502</v>
      </c>
      <c r="G3134" t="str">
        <f t="shared" si="781"/>
        <v>Y</v>
      </c>
      <c r="H3134" t="str">
        <f t="shared" si="789"/>
        <v>EA</v>
      </c>
      <c r="I3134">
        <v>0</v>
      </c>
      <c r="J3134">
        <v>0</v>
      </c>
      <c r="K3134" t="str">
        <f t="shared" si="782"/>
        <v>Y</v>
      </c>
      <c r="L3134">
        <v>0</v>
      </c>
      <c r="M3134" t="str">
        <f t="shared" si="786"/>
        <v>NIS</v>
      </c>
      <c r="O3134">
        <v>13</v>
      </c>
      <c r="P3134" t="str">
        <f t="shared" si="785"/>
        <v>Active</v>
      </c>
      <c r="Q3134" t="str">
        <f>"Metric Advanced End Mill Package 5121"</f>
        <v>Metric Advanced End Mill Package 5121</v>
      </c>
      <c r="S3134" t="str">
        <f>"Metric Advanced End Mill Package 5121"</f>
        <v>Metric Advanced End Mill Package 5121</v>
      </c>
      <c r="T3134">
        <v>0</v>
      </c>
      <c r="U3134">
        <v>55</v>
      </c>
      <c r="V3134">
        <v>50.17</v>
      </c>
      <c r="W3134" t="str">
        <f t="shared" si="784"/>
        <v>rob</v>
      </c>
    </row>
    <row r="3135" spans="1:23">
      <c r="A3135" t="str">
        <f t="shared" si="787"/>
        <v>MTS-ER9P-PM8000</v>
      </c>
      <c r="B3135" t="str">
        <f>"10-1113-6000"</f>
        <v>10-1113-6000</v>
      </c>
      <c r="C3135" t="str">
        <f>"- Metric Engraving Package (1,1.5,2 mm End mill)"</f>
        <v>- Metric Engraving Package (1,1.5,2 mm End mill)</v>
      </c>
      <c r="D3135">
        <v>1</v>
      </c>
      <c r="E3135" t="str">
        <f t="shared" si="788"/>
        <v>FMS - Scorbot ER9Pro Robot with ProMill 8000 (12 tool ATC) CNC Milling machine</v>
      </c>
      <c r="F3135">
        <v>502</v>
      </c>
      <c r="G3135" t="str">
        <f t="shared" si="781"/>
        <v>Y</v>
      </c>
      <c r="H3135" t="str">
        <f t="shared" si="789"/>
        <v>EA</v>
      </c>
      <c r="I3135">
        <v>0</v>
      </c>
      <c r="J3135">
        <v>0</v>
      </c>
      <c r="K3135" t="str">
        <f t="shared" si="782"/>
        <v>Y</v>
      </c>
      <c r="L3135">
        <v>0</v>
      </c>
      <c r="M3135" t="str">
        <f t="shared" si="786"/>
        <v>NIS</v>
      </c>
      <c r="O3135">
        <v>14</v>
      </c>
      <c r="P3135" t="str">
        <f t="shared" si="785"/>
        <v>Active</v>
      </c>
      <c r="Q3135" t="str">
        <f>"Metric Engraving Package 5711"</f>
        <v>Metric Engraving Package 5711</v>
      </c>
      <c r="S3135" t="str">
        <f>"Metric Engraving Package 5711"</f>
        <v>Metric Engraving Package 5711</v>
      </c>
      <c r="T3135">
        <v>0</v>
      </c>
      <c r="U3135">
        <v>41</v>
      </c>
      <c r="V3135">
        <v>37.909999999999997</v>
      </c>
      <c r="W3135" t="str">
        <f t="shared" si="784"/>
        <v>rob</v>
      </c>
    </row>
    <row r="3136" spans="1:23">
      <c r="A3136" t="str">
        <f t="shared" si="787"/>
        <v>MTS-ER9P-PM8000</v>
      </c>
      <c r="B3136" t="str">
        <f>"10-1111-1000"</f>
        <v>10-1111-1000</v>
      </c>
      <c r="C3136" t="str">
        <f>"- Handwheel - Manual Control"</f>
        <v>- Handwheel - Manual Control</v>
      </c>
      <c r="D3136">
        <v>1</v>
      </c>
      <c r="E3136" t="str">
        <f t="shared" si="788"/>
        <v>FMS - Scorbot ER9Pro Robot with ProMill 8000 (12 tool ATC) CNC Milling machine</v>
      </c>
      <c r="F3136">
        <v>502</v>
      </c>
      <c r="G3136" t="str">
        <f t="shared" si="781"/>
        <v>Y</v>
      </c>
      <c r="H3136" t="str">
        <f t="shared" si="789"/>
        <v>EA</v>
      </c>
      <c r="I3136">
        <v>0</v>
      </c>
      <c r="J3136">
        <v>0</v>
      </c>
      <c r="K3136" t="str">
        <f t="shared" si="782"/>
        <v>Y</v>
      </c>
      <c r="L3136">
        <v>0</v>
      </c>
      <c r="M3136" t="str">
        <f t="shared" si="786"/>
        <v>NIS</v>
      </c>
      <c r="O3136">
        <v>15</v>
      </c>
      <c r="P3136" t="str">
        <f t="shared" si="785"/>
        <v>Active</v>
      </c>
      <c r="Q3136" t="str">
        <f>"Hand wheel"</f>
        <v>Hand wheel</v>
      </c>
      <c r="S3136" t="str">
        <f>"Jog Pendant Handwheel"</f>
        <v>Jog Pendant Handwheel</v>
      </c>
      <c r="T3136">
        <v>0</v>
      </c>
      <c r="U3136">
        <v>235</v>
      </c>
      <c r="V3136">
        <v>235.03</v>
      </c>
      <c r="W3136" t="str">
        <f t="shared" si="784"/>
        <v>rob</v>
      </c>
    </row>
    <row r="3137" spans="1:23">
      <c r="A3137" t="str">
        <f t="shared" si="787"/>
        <v>MTS-ER9P-PM8000</v>
      </c>
      <c r="B3137" t="str">
        <f>"10-1105-5000"</f>
        <v>10-1105-5000</v>
      </c>
      <c r="C3137" t="str">
        <f>"Computer and monitor attachment"</f>
        <v>Computer and monitor attachment</v>
      </c>
      <c r="D3137">
        <v>1</v>
      </c>
      <c r="E3137" t="str">
        <f t="shared" si="788"/>
        <v>FMS - Scorbot ER9Pro Robot with ProMill 8000 (12 tool ATC) CNC Milling machine</v>
      </c>
      <c r="F3137">
        <v>502</v>
      </c>
      <c r="G3137" t="str">
        <f t="shared" si="781"/>
        <v>Y</v>
      </c>
      <c r="H3137" t="str">
        <f t="shared" si="789"/>
        <v>EA</v>
      </c>
      <c r="I3137">
        <v>0</v>
      </c>
      <c r="J3137">
        <v>0</v>
      </c>
      <c r="K3137" t="str">
        <f t="shared" si="782"/>
        <v>Y</v>
      </c>
      <c r="L3137">
        <v>0</v>
      </c>
      <c r="M3137" t="str">
        <f t="shared" si="786"/>
        <v>NIS</v>
      </c>
      <c r="O3137">
        <v>16</v>
      </c>
      <c r="P3137" t="str">
        <f t="shared" si="785"/>
        <v>Active</v>
      </c>
      <c r="Q3137" t="str">
        <f>"Computer and monitor stand (attached to machine)"</f>
        <v>Computer and monitor stand (attached to machine)</v>
      </c>
      <c r="S3137" t="str">
        <f>"Computer and monitor stand (attached to machine)"</f>
        <v>Computer and monitor stand (attached to machine)</v>
      </c>
      <c r="T3137">
        <v>0</v>
      </c>
      <c r="U3137">
        <v>105.36</v>
      </c>
      <c r="V3137">
        <v>103.02</v>
      </c>
      <c r="W3137" t="str">
        <f t="shared" si="784"/>
        <v>rob</v>
      </c>
    </row>
    <row r="3138" spans="1:23">
      <c r="A3138" t="str">
        <f t="shared" si="787"/>
        <v>MTS-ER9P-PM8000</v>
      </c>
      <c r="B3138" t="str">
        <f>"10-1115-0000"</f>
        <v>10-1115-0000</v>
      </c>
      <c r="C3138" t="str">
        <f>"ER16 Collet set - 2 x (3,6,8,10mm)"</f>
        <v>ER16 Collet set - 2 x (3,6,8,10mm)</v>
      </c>
      <c r="D3138">
        <v>1</v>
      </c>
      <c r="E3138" t="str">
        <f t="shared" si="788"/>
        <v>FMS - Scorbot ER9Pro Robot with ProMill 8000 (12 tool ATC) CNC Milling machine</v>
      </c>
      <c r="F3138">
        <v>502</v>
      </c>
      <c r="G3138" t="str">
        <f t="shared" ref="G3138:G3201" si="790">"Y"</f>
        <v>Y</v>
      </c>
      <c r="H3138" t="str">
        <f t="shared" si="789"/>
        <v>EA</v>
      </c>
      <c r="I3138">
        <v>0</v>
      </c>
      <c r="J3138">
        <v>0</v>
      </c>
      <c r="K3138" t="str">
        <f t="shared" ref="K3138:K3201" si="791">"Y"</f>
        <v>Y</v>
      </c>
      <c r="L3138">
        <v>0</v>
      </c>
      <c r="M3138" t="str">
        <f t="shared" si="786"/>
        <v>NIS</v>
      </c>
      <c r="O3138">
        <v>17</v>
      </c>
      <c r="P3138" t="str">
        <f t="shared" si="785"/>
        <v>Active</v>
      </c>
      <c r="Q3138" t="str">
        <f>"ER16 Collet set-8 pieces(2)3,(2)6,(2)8,(2)10mm"</f>
        <v>ER16 Collet set-8 pieces(2)3,(2)6,(2)8,(2)10mm</v>
      </c>
      <c r="S3138" t="str">
        <f>"ER16 Collet set-8 pieces(2)3,(2)6,(2)8,(2)10mm"</f>
        <v>ER16 Collet set-8 pieces(2)3,(2)6,(2)8,(2)10mm</v>
      </c>
      <c r="T3138">
        <v>0</v>
      </c>
      <c r="U3138">
        <v>71</v>
      </c>
      <c r="V3138">
        <v>70.63</v>
      </c>
      <c r="W3138" t="str">
        <f t="shared" si="784"/>
        <v>rob</v>
      </c>
    </row>
    <row r="3139" spans="1:23">
      <c r="A3139" t="str">
        <f t="shared" si="787"/>
        <v>MTS-ER9P-PM8000</v>
      </c>
      <c r="B3139" t="str">
        <f>"10-1111-6000"</f>
        <v>10-1111-6000</v>
      </c>
      <c r="C3139" t="str">
        <f>"4"" Vise"</f>
        <v>4" Vise</v>
      </c>
      <c r="D3139">
        <v>1</v>
      </c>
      <c r="E3139" t="str">
        <f t="shared" si="788"/>
        <v>FMS - Scorbot ER9Pro Robot with ProMill 8000 (12 tool ATC) CNC Milling machine</v>
      </c>
      <c r="F3139">
        <v>502</v>
      </c>
      <c r="G3139" t="str">
        <f t="shared" si="790"/>
        <v>Y</v>
      </c>
      <c r="H3139" t="str">
        <f t="shared" si="789"/>
        <v>EA</v>
      </c>
      <c r="I3139">
        <v>0</v>
      </c>
      <c r="J3139">
        <v>0</v>
      </c>
      <c r="K3139" t="str">
        <f t="shared" si="791"/>
        <v>Y</v>
      </c>
      <c r="L3139">
        <v>0</v>
      </c>
      <c r="M3139" t="str">
        <f t="shared" si="786"/>
        <v>NIS</v>
      </c>
      <c r="N3139" t="str">
        <f>"Y"</f>
        <v>Y</v>
      </c>
      <c r="O3139">
        <v>18</v>
      </c>
      <c r="P3139" t="str">
        <f t="shared" si="785"/>
        <v>Active</v>
      </c>
      <c r="Q3139" t="str">
        <f>"4"" Precision Maching Vise"</f>
        <v>4" Precision Maching Vise</v>
      </c>
      <c r="S3139" t="str">
        <f>"4"" Precision Maching Vise"</f>
        <v>4" Precision Maching Vise</v>
      </c>
      <c r="T3139">
        <v>0</v>
      </c>
      <c r="U3139">
        <v>53</v>
      </c>
      <c r="V3139">
        <v>49.5</v>
      </c>
      <c r="W3139" t="str">
        <f t="shared" si="784"/>
        <v>rob</v>
      </c>
    </row>
    <row r="3140" spans="1:23">
      <c r="A3140" t="str">
        <f t="shared" si="787"/>
        <v>MTS-ER9P-PM8000</v>
      </c>
      <c r="B3140" t="str">
        <f>"10-1111-5000"</f>
        <v>10-1111-5000</v>
      </c>
      <c r="C3140" t="str">
        <f>"clamping kit 58 pcs set"</f>
        <v>clamping kit 58 pcs set</v>
      </c>
      <c r="D3140">
        <v>1</v>
      </c>
      <c r="E3140" t="str">
        <f t="shared" si="788"/>
        <v>FMS - Scorbot ER9Pro Robot with ProMill 8000 (12 tool ATC) CNC Milling machine</v>
      </c>
      <c r="F3140">
        <v>502</v>
      </c>
      <c r="G3140" t="str">
        <f t="shared" si="790"/>
        <v>Y</v>
      </c>
      <c r="H3140" t="str">
        <f t="shared" si="789"/>
        <v>EA</v>
      </c>
      <c r="I3140">
        <v>0</v>
      </c>
      <c r="J3140">
        <v>0</v>
      </c>
      <c r="K3140" t="str">
        <f t="shared" si="791"/>
        <v>Y</v>
      </c>
      <c r="L3140">
        <v>0</v>
      </c>
      <c r="M3140" t="str">
        <f t="shared" si="786"/>
        <v>NIS</v>
      </c>
      <c r="N3140" t="str">
        <f>"Y"</f>
        <v>Y</v>
      </c>
      <c r="O3140">
        <v>19</v>
      </c>
      <c r="P3140" t="str">
        <f t="shared" si="785"/>
        <v>Active</v>
      </c>
      <c r="Q3140" t="str">
        <f>"clamping kit 58 pcs set"</f>
        <v>clamping kit 58 pcs set</v>
      </c>
      <c r="S3140" t="str">
        <f>"clamping kit 58 pcs set"</f>
        <v>clamping kit 58 pcs set</v>
      </c>
      <c r="T3140">
        <v>0</v>
      </c>
      <c r="U3140">
        <v>52</v>
      </c>
      <c r="V3140">
        <v>51.72</v>
      </c>
      <c r="W3140" t="str">
        <f t="shared" si="784"/>
        <v>rob</v>
      </c>
    </row>
    <row r="3141" spans="1:23">
      <c r="A3141" t="str">
        <f t="shared" si="787"/>
        <v>MTS-ER9P-PM8000</v>
      </c>
      <c r="B3141" t="str">
        <f>"10-1108-8000"</f>
        <v>10-1108-8000</v>
      </c>
      <c r="C3141" t="str">
        <f>"- 4th Axis rotary worktable with tailstock"</f>
        <v>- 4th Axis rotary worktable with tailstock</v>
      </c>
      <c r="D3141">
        <v>1</v>
      </c>
      <c r="E3141" t="str">
        <f t="shared" si="788"/>
        <v>FMS - Scorbot ER9Pro Robot with ProMill 8000 (12 tool ATC) CNC Milling machine</v>
      </c>
      <c r="F3141">
        <v>502</v>
      </c>
      <c r="G3141" t="str">
        <f t="shared" si="790"/>
        <v>Y</v>
      </c>
      <c r="H3141" t="str">
        <f t="shared" si="789"/>
        <v>EA</v>
      </c>
      <c r="I3141">
        <v>0</v>
      </c>
      <c r="J3141">
        <v>0</v>
      </c>
      <c r="K3141" t="str">
        <f t="shared" si="791"/>
        <v>Y</v>
      </c>
      <c r="L3141">
        <v>0</v>
      </c>
      <c r="M3141" t="str">
        <f t="shared" si="786"/>
        <v>NIS</v>
      </c>
      <c r="N3141" t="str">
        <f>"Y"</f>
        <v>Y</v>
      </c>
      <c r="O3141">
        <v>20</v>
      </c>
      <c r="P3141" t="str">
        <f t="shared" si="785"/>
        <v>Active</v>
      </c>
      <c r="Q3141" t="str">
        <f>"100mm rotary worktable (4th axis) with tailstock"</f>
        <v>100mm rotary worktable (4th axis) with tailstock</v>
      </c>
      <c r="S3141" t="str">
        <f>"100mm rotary worktable (4th axis) with tailstock"</f>
        <v>100mm rotary worktable (4th axis) with tailstock</v>
      </c>
      <c r="T3141">
        <v>0</v>
      </c>
      <c r="U3141">
        <v>614.64</v>
      </c>
      <c r="V3141">
        <v>594.83000000000004</v>
      </c>
      <c r="W3141" t="str">
        <f t="shared" si="784"/>
        <v>rob</v>
      </c>
    </row>
    <row r="3142" spans="1:23">
      <c r="A3142" t="str">
        <f t="shared" si="787"/>
        <v>MTS-ER9P-PM8000</v>
      </c>
      <c r="B3142" t="str">
        <f>"10-1109-3000"</f>
        <v>10-1109-3000</v>
      </c>
      <c r="C3142" t="str">
        <f>"- 80mm 3-jaw chuck"</f>
        <v>- 80mm 3-jaw chuck</v>
      </c>
      <c r="D3142">
        <v>1</v>
      </c>
      <c r="E3142" t="str">
        <f t="shared" si="788"/>
        <v>FMS - Scorbot ER9Pro Robot with ProMill 8000 (12 tool ATC) CNC Milling machine</v>
      </c>
      <c r="F3142">
        <v>502</v>
      </c>
      <c r="G3142" t="str">
        <f t="shared" si="790"/>
        <v>Y</v>
      </c>
      <c r="H3142" t="str">
        <f t="shared" si="789"/>
        <v>EA</v>
      </c>
      <c r="I3142">
        <v>0</v>
      </c>
      <c r="J3142">
        <v>0</v>
      </c>
      <c r="K3142" t="str">
        <f t="shared" si="791"/>
        <v>Y</v>
      </c>
      <c r="L3142">
        <v>0</v>
      </c>
      <c r="M3142" t="str">
        <f t="shared" si="786"/>
        <v>NIS</v>
      </c>
      <c r="N3142" t="str">
        <f>"Y"</f>
        <v>Y</v>
      </c>
      <c r="O3142">
        <v>21</v>
      </c>
      <c r="P3142" t="str">
        <f t="shared" si="785"/>
        <v>Active</v>
      </c>
      <c r="Q3142" t="str">
        <f>"80mm 3-jaw chuck"</f>
        <v>80mm 3-jaw chuck</v>
      </c>
      <c r="S3142" t="str">
        <f>"80mm 3-jaw chuck"</f>
        <v>80mm 3-jaw chuck</v>
      </c>
      <c r="T3142">
        <v>0</v>
      </c>
      <c r="U3142">
        <v>53</v>
      </c>
      <c r="V3142">
        <v>52.35</v>
      </c>
      <c r="W3142" t="str">
        <f t="shared" si="784"/>
        <v>rob</v>
      </c>
    </row>
    <row r="3143" spans="1:23">
      <c r="A3143" t="str">
        <f t="shared" si="787"/>
        <v>MTS-ER9P-PM8000</v>
      </c>
      <c r="B3143" t="str">
        <f>"63-8001-1000"</f>
        <v>63-8001-1000</v>
      </c>
      <c r="C3143" t="str">
        <f>"-CNCMotion for ProMill 8000"</f>
        <v>-CNCMotion for ProMill 8000</v>
      </c>
      <c r="D3143">
        <v>1</v>
      </c>
      <c r="E3143" t="str">
        <f t="shared" si="788"/>
        <v>FMS - Scorbot ER9Pro Robot with ProMill 8000 (12 tool ATC) CNC Milling machine</v>
      </c>
      <c r="F3143">
        <v>502</v>
      </c>
      <c r="G3143" t="str">
        <f t="shared" si="790"/>
        <v>Y</v>
      </c>
      <c r="H3143" t="str">
        <f t="shared" si="789"/>
        <v>EA</v>
      </c>
      <c r="I3143">
        <v>0</v>
      </c>
      <c r="J3143">
        <v>0</v>
      </c>
      <c r="K3143" t="str">
        <f t="shared" si="791"/>
        <v>Y</v>
      </c>
      <c r="L3143">
        <v>0</v>
      </c>
      <c r="M3143" t="str">
        <f t="shared" si="786"/>
        <v>NIS</v>
      </c>
      <c r="O3143">
        <v>22</v>
      </c>
      <c r="P3143" t="str">
        <f t="shared" si="785"/>
        <v>Active</v>
      </c>
      <c r="Q3143" t="str">
        <f>"CNCMotion Sim. Sftwr, ProMill 8000"</f>
        <v>CNCMotion Sim. Sftwr, ProMill 8000</v>
      </c>
      <c r="S3143" t="str">
        <f>"CNCMotion Sim. Sftwr, ProMill 8000"</f>
        <v>CNCMotion Sim. Sftwr, ProMill 8000</v>
      </c>
      <c r="T3143">
        <v>0</v>
      </c>
      <c r="U3143">
        <v>0</v>
      </c>
      <c r="V3143">
        <v>0</v>
      </c>
      <c r="W3143" t="str">
        <f t="shared" si="784"/>
        <v>rob</v>
      </c>
    </row>
    <row r="3144" spans="1:23">
      <c r="A3144" t="str">
        <f t="shared" si="787"/>
        <v>MTS-ER9P-PM8000</v>
      </c>
      <c r="B3144" t="str">
        <f>"63-6723-0000"</f>
        <v>63-6723-0000</v>
      </c>
      <c r="C3144" t="str">
        <f>"SpectraCAD Engraver software – Download Only"</f>
        <v>SpectraCAD Engraver software – Download Only</v>
      </c>
      <c r="D3144">
        <v>1</v>
      </c>
      <c r="E3144" t="str">
        <f t="shared" si="788"/>
        <v>FMS - Scorbot ER9Pro Robot with ProMill 8000 (12 tool ATC) CNC Milling machine</v>
      </c>
      <c r="F3144">
        <v>502</v>
      </c>
      <c r="G3144" t="str">
        <f t="shared" si="790"/>
        <v>Y</v>
      </c>
      <c r="H3144" t="str">
        <f t="shared" si="789"/>
        <v>EA</v>
      </c>
      <c r="I3144">
        <v>0</v>
      </c>
      <c r="J3144">
        <v>0</v>
      </c>
      <c r="K3144" t="str">
        <f t="shared" si="791"/>
        <v>Y</v>
      </c>
      <c r="L3144">
        <v>0</v>
      </c>
      <c r="M3144" t="str">
        <f t="shared" si="786"/>
        <v>NIS</v>
      </c>
      <c r="O3144">
        <v>23</v>
      </c>
      <c r="P3144" t="str">
        <f t="shared" si="785"/>
        <v>Active</v>
      </c>
      <c r="Q3144" t="str">
        <f>"SpectraCAD Engraver software – Download Only"</f>
        <v>SpectraCAD Engraver software – Download Only</v>
      </c>
      <c r="S3144" t="str">
        <f>"SpectraCAD Engraver software – Download Only"</f>
        <v>SpectraCAD Engraver software – Download Only</v>
      </c>
      <c r="T3144">
        <v>0</v>
      </c>
      <c r="U3144">
        <v>10</v>
      </c>
      <c r="V3144">
        <v>10.4</v>
      </c>
      <c r="W3144" t="str">
        <f t="shared" si="784"/>
        <v>rob</v>
      </c>
    </row>
    <row r="3145" spans="1:23">
      <c r="A3145" t="str">
        <f t="shared" si="787"/>
        <v>MTS-ER9P-PM8000</v>
      </c>
      <c r="B3145" t="str">
        <f>"63-6733-0000"</f>
        <v>63-6733-0000</v>
      </c>
      <c r="C3145" t="str">
        <f>"Software, SpectraCAM Milling"</f>
        <v>Software, SpectraCAM Milling</v>
      </c>
      <c r="D3145">
        <v>1</v>
      </c>
      <c r="E3145" t="str">
        <f t="shared" si="788"/>
        <v>FMS - Scorbot ER9Pro Robot with ProMill 8000 (12 tool ATC) CNC Milling machine</v>
      </c>
      <c r="F3145">
        <v>502</v>
      </c>
      <c r="G3145" t="str">
        <f t="shared" si="790"/>
        <v>Y</v>
      </c>
      <c r="H3145" t="str">
        <f t="shared" si="789"/>
        <v>EA</v>
      </c>
      <c r="I3145">
        <v>0</v>
      </c>
      <c r="J3145">
        <v>0</v>
      </c>
      <c r="K3145" t="str">
        <f t="shared" si="791"/>
        <v>Y</v>
      </c>
      <c r="L3145">
        <v>0</v>
      </c>
      <c r="M3145" t="str">
        <f t="shared" si="786"/>
        <v>NIS</v>
      </c>
      <c r="O3145">
        <v>24</v>
      </c>
      <c r="P3145" t="str">
        <f t="shared" si="785"/>
        <v>Active</v>
      </c>
      <c r="Q3145" t="str">
        <f>"Software, SpectraCAM Milling"</f>
        <v>Software, SpectraCAM Milling</v>
      </c>
      <c r="S3145" t="str">
        <f>"Software, SpectraCAM Milling"</f>
        <v>Software, SpectraCAM Milling</v>
      </c>
      <c r="T3145">
        <v>0</v>
      </c>
      <c r="U3145">
        <v>10</v>
      </c>
      <c r="V3145">
        <v>10.4</v>
      </c>
      <c r="W3145" t="str">
        <f t="shared" si="784"/>
        <v>rob</v>
      </c>
    </row>
    <row r="3146" spans="1:23">
      <c r="A3146" t="str">
        <f t="shared" si="787"/>
        <v>MTS-ER9P-PM8000</v>
      </c>
      <c r="B3146" t="str">
        <f>"113034"</f>
        <v>113034</v>
      </c>
      <c r="C3146" t="str">
        <f>"Raw Material - Perspex Block"</f>
        <v>Raw Material - Perspex Block</v>
      </c>
      <c r="D3146">
        <v>50</v>
      </c>
      <c r="E3146" t="str">
        <f t="shared" si="788"/>
        <v>FMS - Scorbot ER9Pro Robot with ProMill 8000 (12 tool ATC) CNC Milling machine</v>
      </c>
      <c r="F3146">
        <v>502</v>
      </c>
      <c r="G3146" t="str">
        <f t="shared" si="790"/>
        <v>Y</v>
      </c>
      <c r="H3146" t="str">
        <f t="shared" si="789"/>
        <v>EA</v>
      </c>
      <c r="I3146">
        <v>0</v>
      </c>
      <c r="J3146">
        <v>0</v>
      </c>
      <c r="K3146" t="str">
        <f t="shared" si="791"/>
        <v>Y</v>
      </c>
      <c r="L3146">
        <v>0</v>
      </c>
      <c r="M3146" t="str">
        <f t="shared" si="786"/>
        <v>NIS</v>
      </c>
      <c r="O3146">
        <v>25</v>
      </c>
      <c r="P3146" t="str">
        <f t="shared" si="785"/>
        <v>Active</v>
      </c>
      <c r="Q3146" t="str">
        <f>"Raw Material Stock - Perspex Block"</f>
        <v>Raw Material Stock - Perspex Block</v>
      </c>
      <c r="S3146" t="str">
        <f>"Raw Material Stock - Perspex Block"</f>
        <v>Raw Material Stock - Perspex Block</v>
      </c>
      <c r="T3146">
        <v>0</v>
      </c>
      <c r="U3146">
        <v>1.1000000000000001</v>
      </c>
      <c r="V3146">
        <v>1.0900000000000001</v>
      </c>
      <c r="W3146" t="str">
        <f t="shared" si="784"/>
        <v>rob</v>
      </c>
    </row>
    <row r="3147" spans="1:23">
      <c r="A3147" t="str">
        <f t="shared" si="787"/>
        <v>MTS-ER9P-PM8000</v>
      </c>
      <c r="B3147" t="str">
        <f>"00-1251-0000"</f>
        <v>00-1251-0000</v>
      </c>
      <c r="C3147" t="str">
        <f>"Workbench 1500x800mm (Formica Top)"</f>
        <v>Workbench 1500x800mm (Formica Top)</v>
      </c>
      <c r="D3147">
        <v>1</v>
      </c>
      <c r="E3147" t="str">
        <f t="shared" si="788"/>
        <v>FMS - Scorbot ER9Pro Robot with ProMill 8000 (12 tool ATC) CNC Milling machine</v>
      </c>
      <c r="F3147">
        <v>502</v>
      </c>
      <c r="G3147" t="str">
        <f t="shared" si="790"/>
        <v>Y</v>
      </c>
      <c r="H3147" t="str">
        <f t="shared" si="789"/>
        <v>EA</v>
      </c>
      <c r="I3147">
        <v>0</v>
      </c>
      <c r="J3147">
        <v>0</v>
      </c>
      <c r="K3147" t="str">
        <f t="shared" si="791"/>
        <v>Y</v>
      </c>
      <c r="L3147">
        <v>0</v>
      </c>
      <c r="M3147" t="str">
        <f t="shared" si="786"/>
        <v>NIS</v>
      </c>
      <c r="O3147">
        <v>26</v>
      </c>
      <c r="P3147" t="str">
        <f t="shared" si="785"/>
        <v>Active</v>
      </c>
      <c r="Q3147" t="str">
        <f>"Workbench 1500x800mm (Formica Top)"</f>
        <v>Workbench 1500x800mm (Formica Top)</v>
      </c>
      <c r="S3147" t="str">
        <f>"Workbench 1500x800mm (Formica Top)"</f>
        <v>Workbench 1500x800mm (Formica Top)</v>
      </c>
      <c r="T3147">
        <v>0</v>
      </c>
      <c r="U3147">
        <v>582</v>
      </c>
      <c r="V3147">
        <v>588.6</v>
      </c>
      <c r="W3147" t="str">
        <f t="shared" si="784"/>
        <v>rob</v>
      </c>
    </row>
    <row r="3148" spans="1:23">
      <c r="A3148" t="str">
        <f t="shared" si="787"/>
        <v>MTS-ER9P-PM8000</v>
      </c>
      <c r="B3148" t="str">
        <f>"50-0094-0000"</f>
        <v>50-0094-0000</v>
      </c>
      <c r="C3148" t="str">
        <f>"Pre-Engineering, Design and Testing"</f>
        <v>Pre-Engineering, Design and Testing</v>
      </c>
      <c r="D3148">
        <v>1</v>
      </c>
      <c r="E3148" t="str">
        <f t="shared" si="788"/>
        <v>FMS - Scorbot ER9Pro Robot with ProMill 8000 (12 tool ATC) CNC Milling machine</v>
      </c>
      <c r="F3148">
        <v>502</v>
      </c>
      <c r="G3148" t="str">
        <f t="shared" si="790"/>
        <v>Y</v>
      </c>
      <c r="H3148" t="str">
        <f>"DA"</f>
        <v>DA</v>
      </c>
      <c r="I3148">
        <v>0</v>
      </c>
      <c r="J3148">
        <v>0</v>
      </c>
      <c r="K3148" t="str">
        <f t="shared" si="791"/>
        <v>Y</v>
      </c>
      <c r="L3148">
        <v>0</v>
      </c>
      <c r="M3148" t="str">
        <f t="shared" si="786"/>
        <v>NIS</v>
      </c>
      <c r="O3148">
        <v>27</v>
      </c>
      <c r="P3148" t="str">
        <f t="shared" si="785"/>
        <v>Active</v>
      </c>
      <c r="Q3148" t="str">
        <f>"Pre-Engineering, Design and Testing"</f>
        <v>Pre-Engineering, Design and Testing</v>
      </c>
      <c r="S3148" t="str">
        <f>"Pre-Engineering, Design and Testing"</f>
        <v>Pre-Engineering, Design and Testing</v>
      </c>
      <c r="T3148">
        <v>0</v>
      </c>
      <c r="U3148">
        <v>405</v>
      </c>
      <c r="V3148">
        <v>421.2</v>
      </c>
      <c r="W3148" t="str">
        <f t="shared" si="784"/>
        <v>rob</v>
      </c>
    </row>
    <row r="3149" spans="1:23">
      <c r="A3149" t="str">
        <f t="shared" ref="A3149:A3172" si="792">"MTS-ER9P-PT9000"</f>
        <v>MTS-ER9P-PT9000</v>
      </c>
      <c r="B3149" t="str">
        <f>"00-0430-0000"</f>
        <v>00-0430-0000</v>
      </c>
      <c r="C3149" t="str">
        <f>"SCORBOT-ER9Pro"</f>
        <v>SCORBOT-ER9Pro</v>
      </c>
      <c r="D3149">
        <v>1</v>
      </c>
      <c r="E3149" t="str">
        <f t="shared" ref="E3149:E3172" si="793">"FMS - Scorbot ER9Pro Robot with ProTurn 9000 CNC Turning machine"</f>
        <v>FMS - Scorbot ER9Pro Robot with ProTurn 9000 CNC Turning machine</v>
      </c>
      <c r="F3149">
        <v>502</v>
      </c>
      <c r="G3149" t="str">
        <f t="shared" si="790"/>
        <v>Y</v>
      </c>
      <c r="H3149" t="str">
        <f t="shared" ref="H3149:H3171" si="794">"EA"</f>
        <v>EA</v>
      </c>
      <c r="I3149">
        <v>0</v>
      </c>
      <c r="J3149">
        <v>0</v>
      </c>
      <c r="K3149" t="str">
        <f t="shared" si="791"/>
        <v>Y</v>
      </c>
      <c r="L3149">
        <v>0</v>
      </c>
      <c r="M3149" t="str">
        <f>"USD"</f>
        <v>USD</v>
      </c>
      <c r="O3149">
        <v>1</v>
      </c>
      <c r="P3149" t="str">
        <f t="shared" si="785"/>
        <v>Active</v>
      </c>
      <c r="Q3149" t="str">
        <f>"SCORBOT-ER 9Pro (incl. USB-Pro Controller)"</f>
        <v>SCORBOT-ER 9Pro (incl. USB-Pro Controller)</v>
      </c>
      <c r="S3149" t="str">
        <f>"SCORBOT-ER 9Pro (incl. USB-Pro Controller)"</f>
        <v>SCORBOT-ER 9Pro (incl. USB-Pro Controller)</v>
      </c>
      <c r="T3149">
        <v>0</v>
      </c>
      <c r="U3149" s="44">
        <v>10900</v>
      </c>
      <c r="V3149" s="44">
        <v>11661.57</v>
      </c>
      <c r="W3149" t="str">
        <f t="shared" si="784"/>
        <v>rob</v>
      </c>
    </row>
    <row r="3150" spans="1:23">
      <c r="A3150" t="str">
        <f t="shared" si="792"/>
        <v>MTS-ER9P-PT9000</v>
      </c>
      <c r="B3150" t="str">
        <f>"00-0633-0000"</f>
        <v>00-0633-0000</v>
      </c>
      <c r="C3150" t="str">
        <f>"Pneumatic Gripper for ER9-Pro"</f>
        <v>Pneumatic Gripper for ER9-Pro</v>
      </c>
      <c r="D3150">
        <v>1</v>
      </c>
      <c r="E3150" t="str">
        <f t="shared" si="793"/>
        <v>FMS - Scorbot ER9Pro Robot with ProTurn 9000 CNC Turning machine</v>
      </c>
      <c r="F3150">
        <v>502</v>
      </c>
      <c r="G3150" t="str">
        <f t="shared" si="790"/>
        <v>Y</v>
      </c>
      <c r="H3150" t="str">
        <f t="shared" si="794"/>
        <v>EA</v>
      </c>
      <c r="I3150">
        <v>0</v>
      </c>
      <c r="J3150">
        <v>0</v>
      </c>
      <c r="K3150" t="str">
        <f t="shared" si="791"/>
        <v>Y</v>
      </c>
      <c r="L3150">
        <v>0</v>
      </c>
      <c r="M3150" t="str">
        <f t="shared" ref="M3150:M3213" si="795">"NIS"</f>
        <v>NIS</v>
      </c>
      <c r="O3150">
        <v>2</v>
      </c>
      <c r="P3150" t="str">
        <f t="shared" si="785"/>
        <v>Active</v>
      </c>
      <c r="Q3150" t="str">
        <f>"Pneumatic Gripper for ER 9Pro"</f>
        <v>Pneumatic Gripper for ER 9Pro</v>
      </c>
      <c r="S3150" t="str">
        <f>"Pneumatic Gripper for ER9-Pro"</f>
        <v>Pneumatic Gripper for ER9-Pro</v>
      </c>
      <c r="T3150">
        <v>0</v>
      </c>
      <c r="U3150">
        <v>630</v>
      </c>
      <c r="V3150">
        <v>624.72</v>
      </c>
      <c r="W3150" t="str">
        <f t="shared" si="784"/>
        <v>rob</v>
      </c>
    </row>
    <row r="3151" spans="1:23">
      <c r="A3151" t="str">
        <f t="shared" si="792"/>
        <v>MTS-ER9P-PT9000</v>
      </c>
      <c r="B3151" t="str">
        <f>"00-1710-0000"</f>
        <v>00-1710-0000</v>
      </c>
      <c r="C3151" t="str">
        <f>"Teach Pendant"</f>
        <v>Teach Pendant</v>
      </c>
      <c r="D3151">
        <v>1</v>
      </c>
      <c r="E3151" t="str">
        <f t="shared" si="793"/>
        <v>FMS - Scorbot ER9Pro Robot with ProTurn 9000 CNC Turning machine</v>
      </c>
      <c r="F3151">
        <v>502</v>
      </c>
      <c r="G3151" t="str">
        <f t="shared" si="790"/>
        <v>Y</v>
      </c>
      <c r="H3151" t="str">
        <f t="shared" si="794"/>
        <v>EA</v>
      </c>
      <c r="I3151">
        <v>0</v>
      </c>
      <c r="J3151">
        <v>0</v>
      </c>
      <c r="K3151" t="str">
        <f t="shared" si="791"/>
        <v>Y</v>
      </c>
      <c r="L3151">
        <v>0</v>
      </c>
      <c r="M3151" t="str">
        <f t="shared" si="795"/>
        <v>NIS</v>
      </c>
      <c r="O3151">
        <v>3</v>
      </c>
      <c r="P3151" t="str">
        <f t="shared" si="785"/>
        <v>Active</v>
      </c>
      <c r="Q3151" t="str">
        <f>"Teach Pendant for USB/USB Pro Controllers"</f>
        <v>Teach Pendant for USB/USB Pro Controllers</v>
      </c>
      <c r="S3151" t="str">
        <f>"Teach Pendant for USB/USB Pro Controllers"</f>
        <v>Teach Pendant for USB/USB Pro Controllers</v>
      </c>
      <c r="T3151">
        <v>0</v>
      </c>
      <c r="U3151">
        <v>160.18</v>
      </c>
      <c r="V3151">
        <v>161.44999999999999</v>
      </c>
      <c r="W3151" t="str">
        <f t="shared" si="784"/>
        <v>rob</v>
      </c>
    </row>
    <row r="3152" spans="1:23">
      <c r="A3152" t="str">
        <f t="shared" si="792"/>
        <v>MTS-ER9P-PT9000</v>
      </c>
      <c r="B3152" t="str">
        <f>"00-1016-0000"</f>
        <v>00-1016-0000</v>
      </c>
      <c r="C3152" t="str">
        <f>"LSB 1.0m, Belt, FM"</f>
        <v>LSB 1.0m, Belt, FM</v>
      </c>
      <c r="D3152">
        <v>1</v>
      </c>
      <c r="E3152" t="str">
        <f t="shared" si="793"/>
        <v>FMS - Scorbot ER9Pro Robot with ProTurn 9000 CNC Turning machine</v>
      </c>
      <c r="F3152">
        <v>502</v>
      </c>
      <c r="G3152" t="str">
        <f t="shared" si="790"/>
        <v>Y</v>
      </c>
      <c r="H3152" t="str">
        <f t="shared" si="794"/>
        <v>EA</v>
      </c>
      <c r="I3152">
        <v>0</v>
      </c>
      <c r="J3152">
        <v>0</v>
      </c>
      <c r="K3152" t="str">
        <f t="shared" si="791"/>
        <v>Y</v>
      </c>
      <c r="L3152">
        <v>0</v>
      </c>
      <c r="M3152" t="str">
        <f t="shared" si="795"/>
        <v>NIS</v>
      </c>
      <c r="O3152">
        <v>4</v>
      </c>
      <c r="P3152" t="str">
        <f t="shared" si="785"/>
        <v>Active</v>
      </c>
      <c r="Q3152" t="str">
        <f>"LSB 1.0m (Belt, Floor Mounted incl. Stand)"</f>
        <v>LSB 1.0m (Belt, Floor Mounted incl. Stand)</v>
      </c>
      <c r="S3152" t="str">
        <f>"LSB 1.0m, Belt, Floor Mounted incl. Stand"</f>
        <v>LSB 1.0m, Belt, Floor Mounted incl. Stand</v>
      </c>
      <c r="T3152">
        <v>0</v>
      </c>
      <c r="U3152" s="44">
        <v>2336.16</v>
      </c>
      <c r="V3152" s="44">
        <v>2301.0500000000002</v>
      </c>
      <c r="W3152" t="str">
        <f t="shared" si="784"/>
        <v>rob</v>
      </c>
    </row>
    <row r="3153" spans="1:23">
      <c r="A3153" t="str">
        <f t="shared" si="792"/>
        <v>MTS-ER9P-PT9000</v>
      </c>
      <c r="B3153" t="str">
        <f>"10-1007-4000"</f>
        <v>10-1007-4000</v>
      </c>
      <c r="C3153" t="str">
        <f>"Gravity Parts Feeder (with microswitch sensor)"</f>
        <v>Gravity Parts Feeder (with microswitch sensor)</v>
      </c>
      <c r="D3153">
        <v>1</v>
      </c>
      <c r="E3153" t="str">
        <f t="shared" si="793"/>
        <v>FMS - Scorbot ER9Pro Robot with ProTurn 9000 CNC Turning machine</v>
      </c>
      <c r="F3153">
        <v>502</v>
      </c>
      <c r="G3153" t="str">
        <f t="shared" si="790"/>
        <v>Y</v>
      </c>
      <c r="H3153" t="str">
        <f t="shared" si="794"/>
        <v>EA</v>
      </c>
      <c r="I3153">
        <v>0</v>
      </c>
      <c r="J3153">
        <v>0</v>
      </c>
      <c r="K3153" t="str">
        <f t="shared" si="791"/>
        <v>Y</v>
      </c>
      <c r="L3153">
        <v>0</v>
      </c>
      <c r="M3153" t="str">
        <f t="shared" si="795"/>
        <v>NIS</v>
      </c>
      <c r="O3153">
        <v>5</v>
      </c>
      <c r="P3153" t="str">
        <f t="shared" si="785"/>
        <v>Active</v>
      </c>
      <c r="Q3153" t="str">
        <f>"Gravity Parts Feeder (incl.microswitch sensor)"</f>
        <v>Gravity Parts Feeder (incl.microswitch sensor)</v>
      </c>
      <c r="S3153" t="str">
        <f>"Gravity Parts Feeder (incl.microswitch sensor)"</f>
        <v>Gravity Parts Feeder (incl.microswitch sensor)</v>
      </c>
      <c r="T3153">
        <v>0</v>
      </c>
      <c r="U3153">
        <v>148</v>
      </c>
      <c r="V3153">
        <v>148.26</v>
      </c>
      <c r="W3153" t="str">
        <f t="shared" si="784"/>
        <v>rob</v>
      </c>
    </row>
    <row r="3154" spans="1:23">
      <c r="A3154" t="str">
        <f t="shared" si="792"/>
        <v>MTS-ER9P-PT9000</v>
      </c>
      <c r="B3154" t="str">
        <f>"00-1110-0000"</f>
        <v>00-1110-0000</v>
      </c>
      <c r="C3154" t="str">
        <f>"Palletizing Rack"</f>
        <v>Palletizing Rack</v>
      </c>
      <c r="D3154">
        <v>1</v>
      </c>
      <c r="E3154" t="str">
        <f t="shared" si="793"/>
        <v>FMS - Scorbot ER9Pro Robot with ProTurn 9000 CNC Turning machine</v>
      </c>
      <c r="F3154">
        <v>502</v>
      </c>
      <c r="G3154" t="str">
        <f t="shared" si="790"/>
        <v>Y</v>
      </c>
      <c r="H3154" t="str">
        <f t="shared" si="794"/>
        <v>EA</v>
      </c>
      <c r="I3154">
        <v>0</v>
      </c>
      <c r="J3154">
        <v>0</v>
      </c>
      <c r="K3154" t="str">
        <f t="shared" si="791"/>
        <v>Y</v>
      </c>
      <c r="L3154">
        <v>0</v>
      </c>
      <c r="M3154" t="str">
        <f t="shared" si="795"/>
        <v>NIS</v>
      </c>
      <c r="O3154">
        <v>6</v>
      </c>
      <c r="P3154" t="str">
        <f t="shared" si="785"/>
        <v>Active</v>
      </c>
      <c r="Q3154" t="str">
        <f>"Palletizing Rack (incl. Pins for creating Jigs)"</f>
        <v>Palletizing Rack (incl. Pins for creating Jigs)</v>
      </c>
      <c r="S3154" t="str">
        <f>"Palletizing Rack (incl. Pins for creating Jigs)"</f>
        <v>Palletizing Rack (incl. Pins for creating Jigs)</v>
      </c>
      <c r="T3154">
        <v>0</v>
      </c>
      <c r="U3154">
        <v>63</v>
      </c>
      <c r="V3154">
        <v>58.59</v>
      </c>
      <c r="W3154" t="str">
        <f t="shared" si="784"/>
        <v>rob</v>
      </c>
    </row>
    <row r="3155" spans="1:23">
      <c r="A3155" t="str">
        <f t="shared" si="792"/>
        <v>MTS-ER9P-PT9000</v>
      </c>
      <c r="B3155" t="str">
        <f>"021182"</f>
        <v>021182</v>
      </c>
      <c r="C3155" t="str">
        <f>"97mm Height Adapter"</f>
        <v>97mm Height Adapter</v>
      </c>
      <c r="D3155">
        <v>1</v>
      </c>
      <c r="E3155" t="str">
        <f t="shared" si="793"/>
        <v>FMS - Scorbot ER9Pro Robot with ProTurn 9000 CNC Turning machine</v>
      </c>
      <c r="F3155">
        <v>502</v>
      </c>
      <c r="G3155" t="str">
        <f t="shared" si="790"/>
        <v>Y</v>
      </c>
      <c r="H3155" t="str">
        <f t="shared" si="794"/>
        <v>EA</v>
      </c>
      <c r="I3155">
        <v>0</v>
      </c>
      <c r="J3155">
        <v>0</v>
      </c>
      <c r="K3155" t="str">
        <f t="shared" si="791"/>
        <v>Y</v>
      </c>
      <c r="L3155">
        <v>0</v>
      </c>
      <c r="M3155" t="str">
        <f t="shared" si="795"/>
        <v>NIS</v>
      </c>
      <c r="O3155">
        <v>24</v>
      </c>
      <c r="P3155" t="str">
        <f t="shared" si="785"/>
        <v>Active</v>
      </c>
      <c r="Q3155" t="str">
        <f>"97mm Height Adapter -Rack 001110 on formica 28mm"</f>
        <v>97mm Height Adapter -Rack 001110 on formica 28mm</v>
      </c>
      <c r="S3155" t="str">
        <f>"97mm Height Adapter -Rack 001110 on formica 28mm"</f>
        <v>97mm Height Adapter -Rack 001110 on formica 28mm</v>
      </c>
      <c r="T3155">
        <v>0</v>
      </c>
      <c r="U3155">
        <v>7</v>
      </c>
      <c r="V3155">
        <v>5.5</v>
      </c>
      <c r="W3155" t="str">
        <f t="shared" si="784"/>
        <v>rob</v>
      </c>
    </row>
    <row r="3156" spans="1:23">
      <c r="A3156" t="str">
        <f t="shared" si="792"/>
        <v>MTS-ER9P-PT9000</v>
      </c>
      <c r="B3156" t="str">
        <f>"034025"</f>
        <v>034025</v>
      </c>
      <c r="C3156" t="str">
        <f>"I/O Interface Box for Controller USB-PRO"</f>
        <v>I/O Interface Box for Controller USB-PRO</v>
      </c>
      <c r="D3156">
        <v>1</v>
      </c>
      <c r="E3156" t="str">
        <f t="shared" si="793"/>
        <v>FMS - Scorbot ER9Pro Robot with ProTurn 9000 CNC Turning machine</v>
      </c>
      <c r="F3156">
        <v>502</v>
      </c>
      <c r="G3156" t="str">
        <f t="shared" si="790"/>
        <v>Y</v>
      </c>
      <c r="H3156" t="str">
        <f t="shared" si="794"/>
        <v>EA</v>
      </c>
      <c r="I3156">
        <v>0</v>
      </c>
      <c r="J3156">
        <v>0</v>
      </c>
      <c r="K3156" t="str">
        <f t="shared" si="791"/>
        <v>Y</v>
      </c>
      <c r="L3156">
        <v>0</v>
      </c>
      <c r="M3156" t="str">
        <f t="shared" si="795"/>
        <v>NIS</v>
      </c>
      <c r="O3156">
        <v>7</v>
      </c>
      <c r="P3156" t="str">
        <f t="shared" si="785"/>
        <v>Active</v>
      </c>
      <c r="Q3156" t="str">
        <f>"I/O Interface Box for Controller USB-PRO"</f>
        <v>I/O Interface Box for Controller USB-PRO</v>
      </c>
      <c r="S3156" t="str">
        <f>"קופסת 2+Interface Box I/O כבלים לבקר USBPRO"</f>
        <v>קופסת 2+Interface Box I/O כבלים לבקר USBPRO</v>
      </c>
      <c r="T3156">
        <v>0</v>
      </c>
      <c r="U3156">
        <v>470</v>
      </c>
      <c r="V3156">
        <v>463.62</v>
      </c>
      <c r="W3156" t="str">
        <f t="shared" si="784"/>
        <v>rob</v>
      </c>
    </row>
    <row r="3157" spans="1:23">
      <c r="A3157" t="str">
        <f t="shared" si="792"/>
        <v>MTS-ER9P-PT9000</v>
      </c>
      <c r="B3157" t="str">
        <f>"021152"</f>
        <v>021152</v>
      </c>
      <c r="C3157" t="str">
        <f>"Shelf Buffer for CIM conveyor"</f>
        <v>Shelf Buffer for CIM conveyor</v>
      </c>
      <c r="D3157">
        <v>1</v>
      </c>
      <c r="E3157" t="str">
        <f t="shared" si="793"/>
        <v>FMS - Scorbot ER9Pro Robot with ProTurn 9000 CNC Turning machine</v>
      </c>
      <c r="F3157">
        <v>502</v>
      </c>
      <c r="G3157" t="str">
        <f t="shared" si="790"/>
        <v>Y</v>
      </c>
      <c r="H3157" t="str">
        <f t="shared" si="794"/>
        <v>EA</v>
      </c>
      <c r="I3157">
        <v>0</v>
      </c>
      <c r="J3157">
        <v>0</v>
      </c>
      <c r="K3157" t="str">
        <f t="shared" si="791"/>
        <v>Y</v>
      </c>
      <c r="L3157">
        <v>0</v>
      </c>
      <c r="M3157" t="str">
        <f t="shared" si="795"/>
        <v>NIS</v>
      </c>
      <c r="O3157">
        <v>8</v>
      </c>
      <c r="P3157" t="str">
        <f t="shared" si="785"/>
        <v>Active</v>
      </c>
      <c r="Q3157" t="str">
        <f>"מכלול- מדף בפר סטנדרטי OPEN-CIM"</f>
        <v>מכלול- מדף בפר סטנדרטי OPEN-CIM</v>
      </c>
      <c r="R3157" t="str">
        <f>"1"</f>
        <v>1</v>
      </c>
      <c r="S3157" t="str">
        <f>"מכלול- מדף בפר סטנדרטי OPEN-CIM"</f>
        <v>מכלול- מדף בפר סטנדרטי OPEN-CIM</v>
      </c>
      <c r="T3157">
        <v>0</v>
      </c>
      <c r="U3157">
        <v>83.12</v>
      </c>
      <c r="V3157">
        <v>92.76</v>
      </c>
      <c r="W3157" t="str">
        <f t="shared" si="784"/>
        <v>rob</v>
      </c>
    </row>
    <row r="3158" spans="1:23">
      <c r="A3158" t="str">
        <f t="shared" si="792"/>
        <v>MTS-ER9P-PT9000</v>
      </c>
      <c r="B3158" t="str">
        <f>"10-2120-3000"</f>
        <v>10-2120-3000</v>
      </c>
      <c r="C3158" t="str">
        <f>"CNC Interface with ProTurn 9000"</f>
        <v>CNC Interface with ProTurn 9000</v>
      </c>
      <c r="D3158">
        <v>1</v>
      </c>
      <c r="E3158" t="str">
        <f t="shared" si="793"/>
        <v>FMS - Scorbot ER9Pro Robot with ProTurn 9000 CNC Turning machine</v>
      </c>
      <c r="F3158">
        <v>502</v>
      </c>
      <c r="G3158" t="str">
        <f t="shared" si="790"/>
        <v>Y</v>
      </c>
      <c r="H3158" t="str">
        <f t="shared" si="794"/>
        <v>EA</v>
      </c>
      <c r="I3158">
        <v>0</v>
      </c>
      <c r="J3158">
        <v>0</v>
      </c>
      <c r="K3158" t="str">
        <f t="shared" si="791"/>
        <v>Y</v>
      </c>
      <c r="L3158">
        <v>0</v>
      </c>
      <c r="M3158" t="str">
        <f t="shared" si="795"/>
        <v>NIS</v>
      </c>
      <c r="O3158">
        <v>9</v>
      </c>
      <c r="P3158" t="str">
        <f t="shared" si="785"/>
        <v>Active</v>
      </c>
      <c r="Q3158" t="str">
        <f>"CNC Interface with ProTurn 9000"</f>
        <v>CNC Interface with ProTurn 9000</v>
      </c>
      <c r="S3158" t="str">
        <f>"CNC Interface with ProTurn 9000"</f>
        <v>CNC Interface with ProTurn 9000</v>
      </c>
      <c r="T3158">
        <v>0</v>
      </c>
      <c r="U3158">
        <v>18</v>
      </c>
      <c r="V3158">
        <v>17.690000000000001</v>
      </c>
      <c r="W3158" t="str">
        <f t="shared" si="784"/>
        <v>rob</v>
      </c>
    </row>
    <row r="3159" spans="1:23">
      <c r="A3159" t="str">
        <f t="shared" si="792"/>
        <v>MTS-ER9P-PT9000</v>
      </c>
      <c r="B3159" t="str">
        <f>"00-5501-0220"</f>
        <v>00-5501-0220</v>
      </c>
      <c r="C3159" t="str">
        <f>"CNC ProTurn 9000 AC 220V"</f>
        <v>CNC ProTurn 9000 AC 220V</v>
      </c>
      <c r="D3159">
        <v>1</v>
      </c>
      <c r="E3159" t="str">
        <f t="shared" si="793"/>
        <v>FMS - Scorbot ER9Pro Robot with ProTurn 9000 CNC Turning machine</v>
      </c>
      <c r="F3159">
        <v>502</v>
      </c>
      <c r="G3159" t="str">
        <f t="shared" si="790"/>
        <v>Y</v>
      </c>
      <c r="H3159" t="str">
        <f t="shared" si="794"/>
        <v>EA</v>
      </c>
      <c r="I3159">
        <v>0</v>
      </c>
      <c r="J3159">
        <v>0</v>
      </c>
      <c r="K3159" t="str">
        <f t="shared" si="791"/>
        <v>Y</v>
      </c>
      <c r="L3159">
        <v>0</v>
      </c>
      <c r="M3159" t="str">
        <f t="shared" si="795"/>
        <v>NIS</v>
      </c>
      <c r="O3159">
        <v>10</v>
      </c>
      <c r="P3159" t="str">
        <f t="shared" si="785"/>
        <v>Active</v>
      </c>
      <c r="Q3159" t="str">
        <f>"CNC ProTurn 9000 AC 220V"</f>
        <v>CNC ProTurn 9000 AC 220V</v>
      </c>
      <c r="S3159" t="str">
        <f>"CNC ProTurn 9000 AC 220V"</f>
        <v>CNC ProTurn 9000 AC 220V</v>
      </c>
      <c r="T3159">
        <v>0</v>
      </c>
      <c r="U3159" s="44">
        <v>6204.98</v>
      </c>
      <c r="V3159" s="44">
        <v>6570.68</v>
      </c>
      <c r="W3159" t="str">
        <f t="shared" si="784"/>
        <v>rob</v>
      </c>
    </row>
    <row r="3160" spans="1:23">
      <c r="A3160" t="str">
        <f t="shared" si="792"/>
        <v>MTS-ER9P-PT9000</v>
      </c>
      <c r="B3160" t="str">
        <f>"10-1110-6000"</f>
        <v>10-1110-6000</v>
      </c>
      <c r="C3160" t="str">
        <f>"-- Pneumatic Shield (ProTurn 9000 for FMS)"</f>
        <v>-- Pneumatic Shield (ProTurn 9000 for FMS)</v>
      </c>
      <c r="D3160">
        <v>1</v>
      </c>
      <c r="E3160" t="str">
        <f t="shared" si="793"/>
        <v>FMS - Scorbot ER9Pro Robot with ProTurn 9000 CNC Turning machine</v>
      </c>
      <c r="F3160">
        <v>502</v>
      </c>
      <c r="G3160" t="str">
        <f t="shared" si="790"/>
        <v>Y</v>
      </c>
      <c r="H3160" t="str">
        <f t="shared" si="794"/>
        <v>EA</v>
      </c>
      <c r="I3160">
        <v>0</v>
      </c>
      <c r="J3160">
        <v>0</v>
      </c>
      <c r="K3160" t="str">
        <f t="shared" si="791"/>
        <v>Y</v>
      </c>
      <c r="L3160">
        <v>0</v>
      </c>
      <c r="M3160" t="str">
        <f t="shared" si="795"/>
        <v>NIS</v>
      </c>
      <c r="O3160">
        <v>11</v>
      </c>
      <c r="P3160" t="str">
        <f t="shared" si="785"/>
        <v>Active</v>
      </c>
      <c r="Q3160" t="str">
        <f>"Pneumatic Shield with Sensors (ProTurn 9000)"</f>
        <v>Pneumatic Shield with Sensors (ProTurn 9000)</v>
      </c>
      <c r="S3160" t="str">
        <f>"Pneumatic Shield with Sensors (ProTurn 9000)"</f>
        <v>Pneumatic Shield with Sensors (ProTurn 9000)</v>
      </c>
      <c r="T3160">
        <v>0</v>
      </c>
      <c r="U3160">
        <v>425</v>
      </c>
      <c r="V3160">
        <v>423.6</v>
      </c>
      <c r="W3160" t="str">
        <f t="shared" si="784"/>
        <v>rob</v>
      </c>
    </row>
    <row r="3161" spans="1:23">
      <c r="A3161" t="str">
        <f t="shared" si="792"/>
        <v>MTS-ER9P-PT9000</v>
      </c>
      <c r="B3161" t="str">
        <f>"10-1111-0000"</f>
        <v>10-1111-0000</v>
      </c>
      <c r="C3161" t="str">
        <f>"-- Pneumatic Chuck (ProTurn 9000 for FMS)"</f>
        <v>-- Pneumatic Chuck (ProTurn 9000 for FMS)</v>
      </c>
      <c r="D3161">
        <v>1</v>
      </c>
      <c r="E3161" t="str">
        <f t="shared" si="793"/>
        <v>FMS - Scorbot ER9Pro Robot with ProTurn 9000 CNC Turning machine</v>
      </c>
      <c r="F3161">
        <v>502</v>
      </c>
      <c r="G3161" t="str">
        <f t="shared" si="790"/>
        <v>Y</v>
      </c>
      <c r="H3161" t="str">
        <f t="shared" si="794"/>
        <v>EA</v>
      </c>
      <c r="I3161">
        <v>0</v>
      </c>
      <c r="J3161">
        <v>0</v>
      </c>
      <c r="K3161" t="str">
        <f t="shared" si="791"/>
        <v>Y</v>
      </c>
      <c r="L3161">
        <v>0</v>
      </c>
      <c r="M3161" t="str">
        <f t="shared" si="795"/>
        <v>NIS</v>
      </c>
      <c r="O3161">
        <v>12</v>
      </c>
      <c r="P3161" t="str">
        <f t="shared" si="785"/>
        <v>Active</v>
      </c>
      <c r="Q3161" t="str">
        <f>"Pneumatic Chuck (ProTurn 9000)"</f>
        <v>Pneumatic Chuck (ProTurn 9000)</v>
      </c>
      <c r="S3161" t="str">
        <f>"Pneumatic Chuck (ProTurn 9000)"</f>
        <v>Pneumatic Chuck (ProTurn 9000)</v>
      </c>
      <c r="T3161">
        <v>0</v>
      </c>
      <c r="U3161">
        <v>660</v>
      </c>
      <c r="V3161">
        <v>656.57</v>
      </c>
      <c r="W3161" t="str">
        <f t="shared" si="784"/>
        <v>rob</v>
      </c>
    </row>
    <row r="3162" spans="1:23">
      <c r="A3162" t="str">
        <f t="shared" si="792"/>
        <v>MTS-ER9P-PT9000</v>
      </c>
      <c r="B3162" t="str">
        <f>"63-9001-1000"</f>
        <v>63-9001-1000</v>
      </c>
      <c r="C3162" t="str">
        <f>"-CNCMotion for ProTurn 9000"</f>
        <v>-CNCMotion for ProTurn 9000</v>
      </c>
      <c r="D3162">
        <v>1</v>
      </c>
      <c r="E3162" t="str">
        <f t="shared" si="793"/>
        <v>FMS - Scorbot ER9Pro Robot with ProTurn 9000 CNC Turning machine</v>
      </c>
      <c r="F3162">
        <v>502</v>
      </c>
      <c r="G3162" t="str">
        <f t="shared" si="790"/>
        <v>Y</v>
      </c>
      <c r="H3162" t="str">
        <f t="shared" si="794"/>
        <v>EA</v>
      </c>
      <c r="I3162">
        <v>0</v>
      </c>
      <c r="J3162">
        <v>0</v>
      </c>
      <c r="K3162" t="str">
        <f t="shared" si="791"/>
        <v>Y</v>
      </c>
      <c r="L3162">
        <v>0</v>
      </c>
      <c r="M3162" t="str">
        <f t="shared" si="795"/>
        <v>NIS</v>
      </c>
      <c r="O3162">
        <v>13</v>
      </c>
      <c r="P3162" t="str">
        <f t="shared" si="785"/>
        <v>Active</v>
      </c>
      <c r="Q3162" t="str">
        <f>"CNCMotion Sim. Sftwr, ProTurn 9000"</f>
        <v>CNCMotion Sim. Sftwr, ProTurn 9000</v>
      </c>
      <c r="S3162" t="str">
        <f>"CNCMotion Sim. Sftwr, ProTurn 9000"</f>
        <v>CNCMotion Sim. Sftwr, ProTurn 9000</v>
      </c>
      <c r="T3162">
        <v>0</v>
      </c>
      <c r="U3162">
        <v>10</v>
      </c>
      <c r="V3162">
        <v>0</v>
      </c>
      <c r="W3162" t="str">
        <f t="shared" si="784"/>
        <v>rob</v>
      </c>
    </row>
    <row r="3163" spans="1:23">
      <c r="A3163" t="str">
        <f t="shared" si="792"/>
        <v>MTS-ER9P-PT9000</v>
      </c>
      <c r="B3163" t="str">
        <f>"63-6743-0000"</f>
        <v>63-6743-0000</v>
      </c>
      <c r="C3163" t="str">
        <f>"Software, SpectraCAM Turning"</f>
        <v>Software, SpectraCAM Turning</v>
      </c>
      <c r="D3163">
        <v>1</v>
      </c>
      <c r="E3163" t="str">
        <f t="shared" si="793"/>
        <v>FMS - Scorbot ER9Pro Robot with ProTurn 9000 CNC Turning machine</v>
      </c>
      <c r="F3163">
        <v>502</v>
      </c>
      <c r="G3163" t="str">
        <f t="shared" si="790"/>
        <v>Y</v>
      </c>
      <c r="H3163" t="str">
        <f t="shared" si="794"/>
        <v>EA</v>
      </c>
      <c r="I3163">
        <v>0</v>
      </c>
      <c r="J3163">
        <v>0</v>
      </c>
      <c r="K3163" t="str">
        <f t="shared" si="791"/>
        <v>Y</v>
      </c>
      <c r="L3163">
        <v>0</v>
      </c>
      <c r="M3163" t="str">
        <f t="shared" si="795"/>
        <v>NIS</v>
      </c>
      <c r="O3163">
        <v>14</v>
      </c>
      <c r="P3163" t="str">
        <f t="shared" si="785"/>
        <v>Active</v>
      </c>
      <c r="Q3163" t="str">
        <f>"Software, SpectraCAM Turning"</f>
        <v>Software, SpectraCAM Turning</v>
      </c>
      <c r="S3163" t="str">
        <f>"Software, SpectraCAM Turning"</f>
        <v>Software, SpectraCAM Turning</v>
      </c>
      <c r="T3163">
        <v>0</v>
      </c>
      <c r="U3163">
        <v>10</v>
      </c>
      <c r="V3163">
        <v>10.4</v>
      </c>
      <c r="W3163" t="str">
        <f t="shared" si="784"/>
        <v>rob</v>
      </c>
    </row>
    <row r="3164" spans="1:23">
      <c r="A3164" t="str">
        <f t="shared" si="792"/>
        <v>MTS-ER9P-PT9000</v>
      </c>
      <c r="B3164" t="str">
        <f>"10-1110-1000"</f>
        <v>10-1110-1000</v>
      </c>
      <c r="C3164" t="str">
        <f>"10 x 10mm cutter tool holder"</f>
        <v>10 x 10mm cutter tool holder</v>
      </c>
      <c r="D3164">
        <v>1</v>
      </c>
      <c r="E3164" t="str">
        <f t="shared" si="793"/>
        <v>FMS - Scorbot ER9Pro Robot with ProTurn 9000 CNC Turning machine</v>
      </c>
      <c r="F3164">
        <v>502</v>
      </c>
      <c r="G3164" t="str">
        <f t="shared" si="790"/>
        <v>Y</v>
      </c>
      <c r="H3164" t="str">
        <f t="shared" si="794"/>
        <v>EA</v>
      </c>
      <c r="I3164">
        <v>0</v>
      </c>
      <c r="J3164">
        <v>0</v>
      </c>
      <c r="K3164" t="str">
        <f t="shared" si="791"/>
        <v>Y</v>
      </c>
      <c r="L3164">
        <v>0</v>
      </c>
      <c r="M3164" t="str">
        <f t="shared" si="795"/>
        <v>NIS</v>
      </c>
      <c r="O3164">
        <v>15</v>
      </c>
      <c r="P3164" t="str">
        <f t="shared" si="785"/>
        <v>Active</v>
      </c>
      <c r="Q3164" t="str">
        <f>"10x10mm TiN coated cutter set (replaceable tip)"</f>
        <v>10x10mm TiN coated cutter set (replaceable tip)</v>
      </c>
      <c r="S3164" t="str">
        <f>"10x10mm TiN coated cutter set (replaceable tip)"</f>
        <v>10x10mm TiN coated cutter set (replaceable tip)</v>
      </c>
      <c r="T3164">
        <v>0</v>
      </c>
      <c r="U3164">
        <v>65</v>
      </c>
      <c r="V3164">
        <v>65.540000000000006</v>
      </c>
      <c r="W3164" t="str">
        <f t="shared" si="784"/>
        <v>rob</v>
      </c>
    </row>
    <row r="3165" spans="1:23">
      <c r="A3165" t="str">
        <f t="shared" si="792"/>
        <v>MTS-ER9P-PT9000</v>
      </c>
      <c r="B3165" t="str">
        <f>"10-1110-2000"</f>
        <v>10-1110-2000</v>
      </c>
      <c r="C3165" t="str">
        <f>"TiN coated tip for 011101"</f>
        <v>TiN coated tip for 011101</v>
      </c>
      <c r="D3165">
        <v>1</v>
      </c>
      <c r="E3165" t="str">
        <f t="shared" si="793"/>
        <v>FMS - Scorbot ER9Pro Robot with ProTurn 9000 CNC Turning machine</v>
      </c>
      <c r="F3165">
        <v>502</v>
      </c>
      <c r="G3165" t="str">
        <f t="shared" si="790"/>
        <v>Y</v>
      </c>
      <c r="H3165" t="str">
        <f t="shared" si="794"/>
        <v>EA</v>
      </c>
      <c r="I3165">
        <v>0</v>
      </c>
      <c r="J3165">
        <v>0</v>
      </c>
      <c r="K3165" t="str">
        <f t="shared" si="791"/>
        <v>Y</v>
      </c>
      <c r="L3165">
        <v>0</v>
      </c>
      <c r="M3165" t="str">
        <f t="shared" si="795"/>
        <v>NIS</v>
      </c>
      <c r="O3165">
        <v>16</v>
      </c>
      <c r="P3165" t="str">
        <f t="shared" si="785"/>
        <v>Active</v>
      </c>
      <c r="Q3165" t="str">
        <f>"TiN coated tip for 011102"</f>
        <v>TiN coated tip for 011102</v>
      </c>
      <c r="S3165" t="str">
        <f>"TiN coated tip for 011101"</f>
        <v>TiN coated tip for 011101</v>
      </c>
      <c r="T3165">
        <v>0</v>
      </c>
      <c r="U3165">
        <v>42</v>
      </c>
      <c r="V3165">
        <v>41.71</v>
      </c>
      <c r="W3165" t="str">
        <f t="shared" si="784"/>
        <v>rob</v>
      </c>
    </row>
    <row r="3166" spans="1:23">
      <c r="A3166" t="str">
        <f t="shared" si="792"/>
        <v>MTS-ER9P-PT9000</v>
      </c>
      <c r="B3166" t="str">
        <f>"10-1106-6000"</f>
        <v>10-1106-6000</v>
      </c>
      <c r="C3166" t="str">
        <f>"- Rolling center"</f>
        <v>- Rolling center</v>
      </c>
      <c r="D3166">
        <v>1</v>
      </c>
      <c r="E3166" t="str">
        <f t="shared" si="793"/>
        <v>FMS - Scorbot ER9Pro Robot with ProTurn 9000 CNC Turning machine</v>
      </c>
      <c r="F3166">
        <v>502</v>
      </c>
      <c r="G3166" t="str">
        <f t="shared" si="790"/>
        <v>Y</v>
      </c>
      <c r="H3166" t="str">
        <f t="shared" si="794"/>
        <v>EA</v>
      </c>
      <c r="I3166">
        <v>0</v>
      </c>
      <c r="J3166">
        <v>0</v>
      </c>
      <c r="K3166" t="str">
        <f t="shared" si="791"/>
        <v>Y</v>
      </c>
      <c r="L3166">
        <v>0</v>
      </c>
      <c r="M3166" t="str">
        <f t="shared" si="795"/>
        <v>NIS</v>
      </c>
      <c r="O3166">
        <v>17</v>
      </c>
      <c r="P3166" t="str">
        <f t="shared" si="785"/>
        <v>Active</v>
      </c>
      <c r="Q3166" t="str">
        <f>"Rolling center"</f>
        <v>Rolling center</v>
      </c>
      <c r="S3166" t="str">
        <f>"Rolling center"</f>
        <v>Rolling center</v>
      </c>
      <c r="T3166">
        <v>0</v>
      </c>
      <c r="U3166">
        <v>23.42</v>
      </c>
      <c r="V3166">
        <v>23.55</v>
      </c>
      <c r="W3166" t="str">
        <f t="shared" si="784"/>
        <v>rob</v>
      </c>
    </row>
    <row r="3167" spans="1:23">
      <c r="A3167" t="str">
        <f t="shared" si="792"/>
        <v>MTS-ER9P-PT9000</v>
      </c>
      <c r="B3167" t="str">
        <f>"10-1105-7000"</f>
        <v>10-1105-7000</v>
      </c>
      <c r="C3167" t="str">
        <f>"Drill Chuck for Tailstock"</f>
        <v>Drill Chuck for Tailstock</v>
      </c>
      <c r="D3167">
        <v>1</v>
      </c>
      <c r="E3167" t="str">
        <f t="shared" si="793"/>
        <v>FMS - Scorbot ER9Pro Robot with ProTurn 9000 CNC Turning machine</v>
      </c>
      <c r="F3167">
        <v>502</v>
      </c>
      <c r="G3167" t="str">
        <f t="shared" si="790"/>
        <v>Y</v>
      </c>
      <c r="H3167" t="str">
        <f t="shared" si="794"/>
        <v>EA</v>
      </c>
      <c r="I3167">
        <v>0</v>
      </c>
      <c r="J3167">
        <v>0</v>
      </c>
      <c r="K3167" t="str">
        <f t="shared" si="791"/>
        <v>Y</v>
      </c>
      <c r="L3167">
        <v>0</v>
      </c>
      <c r="M3167" t="str">
        <f t="shared" si="795"/>
        <v>NIS</v>
      </c>
      <c r="O3167">
        <v>18</v>
      </c>
      <c r="P3167" t="str">
        <f t="shared" si="785"/>
        <v>Active</v>
      </c>
      <c r="Q3167" t="str">
        <f>"Tailstock extender MT2 13mm tailstock chuck"</f>
        <v>Tailstock extender MT2 13mm tailstock chuck</v>
      </c>
      <c r="S3167" t="str">
        <f>"Drill Chuck for Tailstock MT2 13mm"</f>
        <v>Drill Chuck for Tailstock MT2 13mm</v>
      </c>
      <c r="T3167">
        <v>0</v>
      </c>
      <c r="U3167">
        <v>21.07</v>
      </c>
      <c r="V3167">
        <v>23.52</v>
      </c>
      <c r="W3167" t="str">
        <f t="shared" si="784"/>
        <v>rob</v>
      </c>
    </row>
    <row r="3168" spans="1:23">
      <c r="A3168" t="str">
        <f t="shared" si="792"/>
        <v>MTS-ER9P-PT9000</v>
      </c>
      <c r="B3168" t="str">
        <f>"10-1108-1220"</f>
        <v>10-1108-1220</v>
      </c>
      <c r="C3168" t="str">
        <f>"- Coolant system 27L -220V"</f>
        <v>- Coolant system 27L -220V</v>
      </c>
      <c r="D3168">
        <v>1</v>
      </c>
      <c r="E3168" t="str">
        <f t="shared" si="793"/>
        <v>FMS - Scorbot ER9Pro Robot with ProTurn 9000 CNC Turning machine</v>
      </c>
      <c r="F3168">
        <v>502</v>
      </c>
      <c r="G3168" t="str">
        <f t="shared" si="790"/>
        <v>Y</v>
      </c>
      <c r="H3168" t="str">
        <f t="shared" si="794"/>
        <v>EA</v>
      </c>
      <c r="I3168">
        <v>0</v>
      </c>
      <c r="J3168">
        <v>0</v>
      </c>
      <c r="K3168" t="str">
        <f t="shared" si="791"/>
        <v>Y</v>
      </c>
      <c r="L3168">
        <v>0</v>
      </c>
      <c r="M3168" t="str">
        <f t="shared" si="795"/>
        <v>NIS</v>
      </c>
      <c r="N3168" t="str">
        <f>"Y"</f>
        <v>Y</v>
      </c>
      <c r="O3168">
        <v>19</v>
      </c>
      <c r="P3168" t="str">
        <f t="shared" si="785"/>
        <v>Active</v>
      </c>
      <c r="Q3168" t="str">
        <f>"Coolant system 27L"</f>
        <v>Coolant system 27L</v>
      </c>
      <c r="S3168" t="str">
        <f>"Coolant system 27L - 220V"</f>
        <v>Coolant system 27L - 220V</v>
      </c>
      <c r="T3168">
        <v>0</v>
      </c>
      <c r="U3168">
        <v>117.08</v>
      </c>
      <c r="V3168">
        <v>117.15</v>
      </c>
      <c r="W3168" t="str">
        <f t="shared" si="784"/>
        <v>rob</v>
      </c>
    </row>
    <row r="3169" spans="1:23">
      <c r="A3169" t="str">
        <f t="shared" si="792"/>
        <v>MTS-ER9P-PT9000</v>
      </c>
      <c r="B3169" t="str">
        <f>"10-1111-1000"</f>
        <v>10-1111-1000</v>
      </c>
      <c r="C3169" t="str">
        <f>"- Handwheel - Manual Control"</f>
        <v>- Handwheel - Manual Control</v>
      </c>
      <c r="D3169">
        <v>1</v>
      </c>
      <c r="E3169" t="str">
        <f t="shared" si="793"/>
        <v>FMS - Scorbot ER9Pro Robot with ProTurn 9000 CNC Turning machine</v>
      </c>
      <c r="F3169">
        <v>502</v>
      </c>
      <c r="G3169" t="str">
        <f t="shared" si="790"/>
        <v>Y</v>
      </c>
      <c r="H3169" t="str">
        <f t="shared" si="794"/>
        <v>EA</v>
      </c>
      <c r="I3169">
        <v>0</v>
      </c>
      <c r="J3169">
        <v>0</v>
      </c>
      <c r="K3169" t="str">
        <f t="shared" si="791"/>
        <v>Y</v>
      </c>
      <c r="L3169">
        <v>0</v>
      </c>
      <c r="M3169" t="str">
        <f t="shared" si="795"/>
        <v>NIS</v>
      </c>
      <c r="O3169">
        <v>20</v>
      </c>
      <c r="P3169" t="str">
        <f t="shared" si="785"/>
        <v>Active</v>
      </c>
      <c r="Q3169" t="str">
        <f>"Hand wheel"</f>
        <v>Hand wheel</v>
      </c>
      <c r="S3169" t="str">
        <f>"Jog Pendant Handwheel"</f>
        <v>Jog Pendant Handwheel</v>
      </c>
      <c r="T3169">
        <v>0</v>
      </c>
      <c r="U3169">
        <v>235</v>
      </c>
      <c r="V3169">
        <v>235.03</v>
      </c>
      <c r="W3169" t="str">
        <f t="shared" si="784"/>
        <v>rob</v>
      </c>
    </row>
    <row r="3170" spans="1:23">
      <c r="A3170" t="str">
        <f t="shared" si="792"/>
        <v>MTS-ER9P-PT9000</v>
      </c>
      <c r="B3170" t="str">
        <f>"112496"</f>
        <v>112496</v>
      </c>
      <c r="C3170" t="str">
        <f>"Raw Material - Brass  Rod"</f>
        <v>Raw Material - Brass  Rod</v>
      </c>
      <c r="D3170">
        <v>1</v>
      </c>
      <c r="E3170" t="str">
        <f t="shared" si="793"/>
        <v>FMS - Scorbot ER9Pro Robot with ProTurn 9000 CNC Turning machine</v>
      </c>
      <c r="F3170">
        <v>502</v>
      </c>
      <c r="G3170" t="str">
        <f t="shared" si="790"/>
        <v>Y</v>
      </c>
      <c r="H3170" t="str">
        <f t="shared" si="794"/>
        <v>EA</v>
      </c>
      <c r="I3170">
        <v>0</v>
      </c>
      <c r="J3170">
        <v>0</v>
      </c>
      <c r="K3170" t="str">
        <f t="shared" si="791"/>
        <v>Y</v>
      </c>
      <c r="L3170">
        <v>0</v>
      </c>
      <c r="M3170" t="str">
        <f t="shared" si="795"/>
        <v>NIS</v>
      </c>
      <c r="O3170">
        <v>21</v>
      </c>
      <c r="P3170" t="str">
        <f t="shared" si="785"/>
        <v>Active</v>
      </c>
      <c r="Q3170" t="str">
        <f>"Raw Material Stock - Brass  Rod"</f>
        <v>Raw Material Stock - Brass  Rod</v>
      </c>
      <c r="S3170" t="str">
        <f>"Raw Material Stock - Brass  Rod"</f>
        <v>Raw Material Stock - Brass  Rod</v>
      </c>
      <c r="T3170">
        <v>0</v>
      </c>
      <c r="U3170">
        <v>3.67</v>
      </c>
      <c r="V3170">
        <v>2.69</v>
      </c>
      <c r="W3170" t="str">
        <f t="shared" ref="W3170:W3233" si="796">"rob"</f>
        <v>rob</v>
      </c>
    </row>
    <row r="3171" spans="1:23">
      <c r="A3171" t="str">
        <f t="shared" si="792"/>
        <v>MTS-ER9P-PT9000</v>
      </c>
      <c r="B3171" t="str">
        <f>"00-1251-0000"</f>
        <v>00-1251-0000</v>
      </c>
      <c r="C3171" t="str">
        <f>"Workbench 1500x800mm (Formica Top)"</f>
        <v>Workbench 1500x800mm (Formica Top)</v>
      </c>
      <c r="D3171">
        <v>1</v>
      </c>
      <c r="E3171" t="str">
        <f t="shared" si="793"/>
        <v>FMS - Scorbot ER9Pro Robot with ProTurn 9000 CNC Turning machine</v>
      </c>
      <c r="F3171">
        <v>502</v>
      </c>
      <c r="G3171" t="str">
        <f t="shared" si="790"/>
        <v>Y</v>
      </c>
      <c r="H3171" t="str">
        <f t="shared" si="794"/>
        <v>EA</v>
      </c>
      <c r="I3171">
        <v>0</v>
      </c>
      <c r="J3171">
        <v>0</v>
      </c>
      <c r="K3171" t="str">
        <f t="shared" si="791"/>
        <v>Y</v>
      </c>
      <c r="L3171">
        <v>0</v>
      </c>
      <c r="M3171" t="str">
        <f t="shared" si="795"/>
        <v>NIS</v>
      </c>
      <c r="O3171">
        <v>22</v>
      </c>
      <c r="P3171" t="str">
        <f t="shared" si="785"/>
        <v>Active</v>
      </c>
      <c r="Q3171" t="str">
        <f>"Workbench 1500x800mm (Formica Top)"</f>
        <v>Workbench 1500x800mm (Formica Top)</v>
      </c>
      <c r="S3171" t="str">
        <f>"Workbench 1500x800mm (Formica Top)"</f>
        <v>Workbench 1500x800mm (Formica Top)</v>
      </c>
      <c r="T3171">
        <v>0</v>
      </c>
      <c r="U3171">
        <v>582</v>
      </c>
      <c r="V3171">
        <v>588.6</v>
      </c>
      <c r="W3171" t="str">
        <f t="shared" si="796"/>
        <v>rob</v>
      </c>
    </row>
    <row r="3172" spans="1:23">
      <c r="A3172" t="str">
        <f t="shared" si="792"/>
        <v>MTS-ER9P-PT9000</v>
      </c>
      <c r="B3172" t="str">
        <f>"50-0094-0000"</f>
        <v>50-0094-0000</v>
      </c>
      <c r="C3172" t="str">
        <f>"Pre-Engineering, Design and Testing"</f>
        <v>Pre-Engineering, Design and Testing</v>
      </c>
      <c r="D3172">
        <v>1</v>
      </c>
      <c r="E3172" t="str">
        <f t="shared" si="793"/>
        <v>FMS - Scorbot ER9Pro Robot with ProTurn 9000 CNC Turning machine</v>
      </c>
      <c r="F3172">
        <v>502</v>
      </c>
      <c r="G3172" t="str">
        <f t="shared" si="790"/>
        <v>Y</v>
      </c>
      <c r="H3172" t="str">
        <f>"DA"</f>
        <v>DA</v>
      </c>
      <c r="I3172">
        <v>0</v>
      </c>
      <c r="J3172">
        <v>0</v>
      </c>
      <c r="K3172" t="str">
        <f t="shared" si="791"/>
        <v>Y</v>
      </c>
      <c r="L3172">
        <v>0</v>
      </c>
      <c r="M3172" t="str">
        <f t="shared" si="795"/>
        <v>NIS</v>
      </c>
      <c r="O3172">
        <v>23</v>
      </c>
      <c r="P3172" t="str">
        <f t="shared" si="785"/>
        <v>Active</v>
      </c>
      <c r="Q3172" t="str">
        <f>"Pre-Engineering, Design and Testing"</f>
        <v>Pre-Engineering, Design and Testing</v>
      </c>
      <c r="S3172" t="str">
        <f>"Pre-Engineering, Design and Testing"</f>
        <v>Pre-Engineering, Design and Testing</v>
      </c>
      <c r="T3172">
        <v>0</v>
      </c>
      <c r="U3172">
        <v>405</v>
      </c>
      <c r="V3172">
        <v>421.2</v>
      </c>
      <c r="W3172" t="str">
        <f t="shared" si="796"/>
        <v>rob</v>
      </c>
    </row>
    <row r="3173" spans="1:23">
      <c r="A3173" t="str">
        <f t="shared" ref="A3173:A3186" si="797">"MTS-ER9P-TURN-BF"</f>
        <v>MTS-ER9P-TURN-BF</v>
      </c>
      <c r="B3173" t="str">
        <f>"00-0430-0000"</f>
        <v>00-0430-0000</v>
      </c>
      <c r="C3173" t="str">
        <f>"SCORBOT-ER9Pro"</f>
        <v>SCORBOT-ER9Pro</v>
      </c>
      <c r="D3173">
        <v>1</v>
      </c>
      <c r="E3173" t="str">
        <f t="shared" ref="E3173:E3186" si="798">"FMS - Scorbot ER9Pro Robot for Boxford Turn"</f>
        <v>FMS - Scorbot ER9Pro Robot for Boxford Turn</v>
      </c>
      <c r="F3173">
        <v>502</v>
      </c>
      <c r="G3173" t="str">
        <f t="shared" si="790"/>
        <v>Y</v>
      </c>
      <c r="H3173" t="str">
        <f t="shared" ref="H3173:H3185" si="799">"EA"</f>
        <v>EA</v>
      </c>
      <c r="I3173">
        <v>0</v>
      </c>
      <c r="J3173">
        <v>0</v>
      </c>
      <c r="K3173" t="str">
        <f t="shared" si="791"/>
        <v>Y</v>
      </c>
      <c r="L3173">
        <v>0</v>
      </c>
      <c r="M3173" t="str">
        <f t="shared" si="795"/>
        <v>NIS</v>
      </c>
      <c r="O3173">
        <v>1</v>
      </c>
      <c r="P3173" t="str">
        <f t="shared" si="785"/>
        <v>Active</v>
      </c>
      <c r="Q3173" t="str">
        <f>"SCORBOT-ER 9Pro (incl. USB-Pro Controller)"</f>
        <v>SCORBOT-ER 9Pro (incl. USB-Pro Controller)</v>
      </c>
      <c r="S3173" t="str">
        <f>"SCORBOT-ER 9Pro (incl. USB-Pro Controller)"</f>
        <v>SCORBOT-ER 9Pro (incl. USB-Pro Controller)</v>
      </c>
      <c r="T3173">
        <v>0</v>
      </c>
      <c r="U3173" s="44">
        <v>10900</v>
      </c>
      <c r="V3173" s="44">
        <v>11661.57</v>
      </c>
      <c r="W3173" t="str">
        <f t="shared" si="796"/>
        <v>rob</v>
      </c>
    </row>
    <row r="3174" spans="1:23">
      <c r="A3174" t="str">
        <f t="shared" si="797"/>
        <v>MTS-ER9P-TURN-BF</v>
      </c>
      <c r="B3174" t="str">
        <f>"00-0633-0000"</f>
        <v>00-0633-0000</v>
      </c>
      <c r="C3174" t="str">
        <f>"Pneumatic Gripper for ER9-Pro"</f>
        <v>Pneumatic Gripper for ER9-Pro</v>
      </c>
      <c r="D3174">
        <v>1</v>
      </c>
      <c r="E3174" t="str">
        <f t="shared" si="798"/>
        <v>FMS - Scorbot ER9Pro Robot for Boxford Turn</v>
      </c>
      <c r="F3174">
        <v>502</v>
      </c>
      <c r="G3174" t="str">
        <f t="shared" si="790"/>
        <v>Y</v>
      </c>
      <c r="H3174" t="str">
        <f t="shared" si="799"/>
        <v>EA</v>
      </c>
      <c r="I3174">
        <v>0</v>
      </c>
      <c r="J3174">
        <v>0</v>
      </c>
      <c r="K3174" t="str">
        <f t="shared" si="791"/>
        <v>Y</v>
      </c>
      <c r="L3174">
        <v>0</v>
      </c>
      <c r="M3174" t="str">
        <f t="shared" si="795"/>
        <v>NIS</v>
      </c>
      <c r="O3174">
        <v>2</v>
      </c>
      <c r="P3174" t="str">
        <f t="shared" ref="P3174:P3187" si="800">"Active"</f>
        <v>Active</v>
      </c>
      <c r="Q3174" t="str">
        <f>"Pneumatic Gripper for ER9-Pro"</f>
        <v>Pneumatic Gripper for ER9-Pro</v>
      </c>
      <c r="S3174" t="str">
        <f>"Pneumatic Gripper for ER9-Pro"</f>
        <v>Pneumatic Gripper for ER9-Pro</v>
      </c>
      <c r="T3174">
        <v>0</v>
      </c>
      <c r="U3174">
        <v>630</v>
      </c>
      <c r="V3174">
        <v>624.72</v>
      </c>
      <c r="W3174" t="str">
        <f t="shared" si="796"/>
        <v>rob</v>
      </c>
    </row>
    <row r="3175" spans="1:23">
      <c r="A3175" t="str">
        <f t="shared" si="797"/>
        <v>MTS-ER9P-TURN-BF</v>
      </c>
      <c r="B3175" t="str">
        <f>"00-1710-0000"</f>
        <v>00-1710-0000</v>
      </c>
      <c r="C3175" t="str">
        <f>"Teach Pendant"</f>
        <v>Teach Pendant</v>
      </c>
      <c r="D3175">
        <v>1</v>
      </c>
      <c r="E3175" t="str">
        <f t="shared" si="798"/>
        <v>FMS - Scorbot ER9Pro Robot for Boxford Turn</v>
      </c>
      <c r="F3175">
        <v>502</v>
      </c>
      <c r="G3175" t="str">
        <f t="shared" si="790"/>
        <v>Y</v>
      </c>
      <c r="H3175" t="str">
        <f t="shared" si="799"/>
        <v>EA</v>
      </c>
      <c r="I3175">
        <v>0</v>
      </c>
      <c r="J3175">
        <v>0</v>
      </c>
      <c r="K3175" t="str">
        <f t="shared" si="791"/>
        <v>Y</v>
      </c>
      <c r="L3175">
        <v>0</v>
      </c>
      <c r="M3175" t="str">
        <f t="shared" si="795"/>
        <v>NIS</v>
      </c>
      <c r="O3175">
        <v>3</v>
      </c>
      <c r="P3175" t="str">
        <f t="shared" si="800"/>
        <v>Active</v>
      </c>
      <c r="Q3175" t="str">
        <f>"Teach Pendant for USB/USB Pro Controllers"</f>
        <v>Teach Pendant for USB/USB Pro Controllers</v>
      </c>
      <c r="S3175" t="str">
        <f>"Teach Pendant for USB/USB Pro Controllers"</f>
        <v>Teach Pendant for USB/USB Pro Controllers</v>
      </c>
      <c r="T3175">
        <v>0</v>
      </c>
      <c r="U3175">
        <v>160.18</v>
      </c>
      <c r="V3175">
        <v>161.44999999999999</v>
      </c>
      <c r="W3175" t="str">
        <f t="shared" si="796"/>
        <v>rob</v>
      </c>
    </row>
    <row r="3176" spans="1:23">
      <c r="A3176" t="str">
        <f t="shared" si="797"/>
        <v>MTS-ER9P-TURN-BF</v>
      </c>
      <c r="B3176" t="str">
        <f>"00-1016-0000"</f>
        <v>00-1016-0000</v>
      </c>
      <c r="C3176" t="str">
        <f>"LSB 1.0m, Belt, FM"</f>
        <v>LSB 1.0m, Belt, FM</v>
      </c>
      <c r="D3176">
        <v>1</v>
      </c>
      <c r="E3176" t="str">
        <f t="shared" si="798"/>
        <v>FMS - Scorbot ER9Pro Robot for Boxford Turn</v>
      </c>
      <c r="F3176">
        <v>502</v>
      </c>
      <c r="G3176" t="str">
        <f t="shared" si="790"/>
        <v>Y</v>
      </c>
      <c r="H3176" t="str">
        <f t="shared" si="799"/>
        <v>EA</v>
      </c>
      <c r="I3176">
        <v>0</v>
      </c>
      <c r="J3176">
        <v>0</v>
      </c>
      <c r="K3176" t="str">
        <f t="shared" si="791"/>
        <v>Y</v>
      </c>
      <c r="L3176">
        <v>0</v>
      </c>
      <c r="M3176" t="str">
        <f t="shared" si="795"/>
        <v>NIS</v>
      </c>
      <c r="O3176">
        <v>4</v>
      </c>
      <c r="P3176" t="str">
        <f t="shared" si="800"/>
        <v>Active</v>
      </c>
      <c r="Q3176" t="str">
        <f>"LSB 1.0m, Belt, Floor Mounted incl. Stand"</f>
        <v>LSB 1.0m, Belt, Floor Mounted incl. Stand</v>
      </c>
      <c r="S3176" t="str">
        <f>"LSB 1.0m, Belt, Floor Mounted incl. Stand"</f>
        <v>LSB 1.0m, Belt, Floor Mounted incl. Stand</v>
      </c>
      <c r="T3176">
        <v>0</v>
      </c>
      <c r="U3176" s="44">
        <v>2336.16</v>
      </c>
      <c r="V3176" s="44">
        <v>2301.0500000000002</v>
      </c>
      <c r="W3176" t="str">
        <f t="shared" si="796"/>
        <v>rob</v>
      </c>
    </row>
    <row r="3177" spans="1:23">
      <c r="A3177" t="str">
        <f t="shared" si="797"/>
        <v>MTS-ER9P-TURN-BF</v>
      </c>
      <c r="B3177" t="str">
        <f>"00-1110-0000"</f>
        <v>00-1110-0000</v>
      </c>
      <c r="C3177" t="str">
        <f>"Palletizing Rack"</f>
        <v>Palletizing Rack</v>
      </c>
      <c r="D3177">
        <v>1</v>
      </c>
      <c r="E3177" t="str">
        <f t="shared" si="798"/>
        <v>FMS - Scorbot ER9Pro Robot for Boxford Turn</v>
      </c>
      <c r="F3177">
        <v>502</v>
      </c>
      <c r="G3177" t="str">
        <f t="shared" si="790"/>
        <v>Y</v>
      </c>
      <c r="H3177" t="str">
        <f t="shared" si="799"/>
        <v>EA</v>
      </c>
      <c r="I3177">
        <v>0</v>
      </c>
      <c r="J3177">
        <v>0</v>
      </c>
      <c r="K3177" t="str">
        <f t="shared" si="791"/>
        <v>Y</v>
      </c>
      <c r="L3177">
        <v>0</v>
      </c>
      <c r="M3177" t="str">
        <f t="shared" si="795"/>
        <v>NIS</v>
      </c>
      <c r="O3177">
        <v>5</v>
      </c>
      <c r="P3177" t="str">
        <f t="shared" si="800"/>
        <v>Active</v>
      </c>
      <c r="Q3177" t="str">
        <f>"Palletizing Rack (incl. Pins for creating Jigs)"</f>
        <v>Palletizing Rack (incl. Pins for creating Jigs)</v>
      </c>
      <c r="S3177" t="str">
        <f>"Palletizing Rack (incl. Pins for creating Jigs)"</f>
        <v>Palletizing Rack (incl. Pins for creating Jigs)</v>
      </c>
      <c r="T3177">
        <v>0</v>
      </c>
      <c r="U3177">
        <v>63</v>
      </c>
      <c r="V3177">
        <v>58.59</v>
      </c>
      <c r="W3177" t="str">
        <f t="shared" si="796"/>
        <v>rob</v>
      </c>
    </row>
    <row r="3178" spans="1:23">
      <c r="A3178" t="str">
        <f t="shared" si="797"/>
        <v>MTS-ER9P-TURN-BF</v>
      </c>
      <c r="B3178" t="str">
        <f>"021182"</f>
        <v>021182</v>
      </c>
      <c r="C3178" t="str">
        <f>"97mm Height Adapter"</f>
        <v>97mm Height Adapter</v>
      </c>
      <c r="D3178">
        <v>1</v>
      </c>
      <c r="E3178" t="str">
        <f t="shared" si="798"/>
        <v>FMS - Scorbot ER9Pro Robot for Boxford Turn</v>
      </c>
      <c r="F3178">
        <v>502</v>
      </c>
      <c r="G3178" t="str">
        <f t="shared" si="790"/>
        <v>Y</v>
      </c>
      <c r="H3178" t="str">
        <f t="shared" si="799"/>
        <v>EA</v>
      </c>
      <c r="I3178">
        <v>0</v>
      </c>
      <c r="J3178">
        <v>0</v>
      </c>
      <c r="K3178" t="str">
        <f t="shared" si="791"/>
        <v>Y</v>
      </c>
      <c r="L3178">
        <v>0</v>
      </c>
      <c r="M3178" t="str">
        <f t="shared" si="795"/>
        <v>NIS</v>
      </c>
      <c r="O3178">
        <v>14</v>
      </c>
      <c r="P3178" t="str">
        <f t="shared" si="800"/>
        <v>Active</v>
      </c>
      <c r="Q3178" t="str">
        <f>"97mm Height Adapter -Rack 001110 on formica 28mm"</f>
        <v>97mm Height Adapter -Rack 001110 on formica 28mm</v>
      </c>
      <c r="S3178" t="str">
        <f>"97mm Height Adapter -Rack 001110 on formica 28mm"</f>
        <v>97mm Height Adapter -Rack 001110 on formica 28mm</v>
      </c>
      <c r="T3178">
        <v>0</v>
      </c>
      <c r="U3178">
        <v>7</v>
      </c>
      <c r="V3178">
        <v>5.5</v>
      </c>
      <c r="W3178" t="str">
        <f t="shared" si="796"/>
        <v>rob</v>
      </c>
    </row>
    <row r="3179" spans="1:23">
      <c r="A3179" t="str">
        <f t="shared" si="797"/>
        <v>MTS-ER9P-TURN-BF</v>
      </c>
      <c r="B3179" t="str">
        <f>"10-1007-4000"</f>
        <v>10-1007-4000</v>
      </c>
      <c r="C3179" t="str">
        <f>"Gravity Parts Feeder (with microswitch sensor)"</f>
        <v>Gravity Parts Feeder (with microswitch sensor)</v>
      </c>
      <c r="D3179">
        <v>1</v>
      </c>
      <c r="E3179" t="str">
        <f t="shared" si="798"/>
        <v>FMS - Scorbot ER9Pro Robot for Boxford Turn</v>
      </c>
      <c r="F3179">
        <v>502</v>
      </c>
      <c r="G3179" t="str">
        <f t="shared" si="790"/>
        <v>Y</v>
      </c>
      <c r="H3179" t="str">
        <f t="shared" si="799"/>
        <v>EA</v>
      </c>
      <c r="I3179">
        <v>0</v>
      </c>
      <c r="J3179">
        <v>0</v>
      </c>
      <c r="K3179" t="str">
        <f t="shared" si="791"/>
        <v>Y</v>
      </c>
      <c r="L3179">
        <v>0</v>
      </c>
      <c r="M3179" t="str">
        <f t="shared" si="795"/>
        <v>NIS</v>
      </c>
      <c r="O3179">
        <v>6</v>
      </c>
      <c r="P3179" t="str">
        <f t="shared" si="800"/>
        <v>Active</v>
      </c>
      <c r="Q3179" t="str">
        <f>"Gravity Parts Feeder (incl.microswitch sensor)"</f>
        <v>Gravity Parts Feeder (incl.microswitch sensor)</v>
      </c>
      <c r="S3179" t="str">
        <f>"Gravity Parts Feeder (incl.microswitch sensor)"</f>
        <v>Gravity Parts Feeder (incl.microswitch sensor)</v>
      </c>
      <c r="T3179">
        <v>0</v>
      </c>
      <c r="U3179">
        <v>148</v>
      </c>
      <c r="V3179">
        <v>148.26</v>
      </c>
      <c r="W3179" t="str">
        <f t="shared" si="796"/>
        <v>rob</v>
      </c>
    </row>
    <row r="3180" spans="1:23">
      <c r="A3180" t="str">
        <f t="shared" si="797"/>
        <v>MTS-ER9P-TURN-BF</v>
      </c>
      <c r="B3180" t="str">
        <f>"034025"</f>
        <v>034025</v>
      </c>
      <c r="C3180" t="str">
        <f>"I/O Interface Box for Controller USB-PRO"</f>
        <v>I/O Interface Box for Controller USB-PRO</v>
      </c>
      <c r="D3180">
        <v>1</v>
      </c>
      <c r="E3180" t="str">
        <f t="shared" si="798"/>
        <v>FMS - Scorbot ER9Pro Robot for Boxford Turn</v>
      </c>
      <c r="F3180">
        <v>502</v>
      </c>
      <c r="G3180" t="str">
        <f t="shared" si="790"/>
        <v>Y</v>
      </c>
      <c r="H3180" t="str">
        <f t="shared" si="799"/>
        <v>EA</v>
      </c>
      <c r="I3180">
        <v>0</v>
      </c>
      <c r="J3180">
        <v>0</v>
      </c>
      <c r="K3180" t="str">
        <f t="shared" si="791"/>
        <v>Y</v>
      </c>
      <c r="L3180">
        <v>0</v>
      </c>
      <c r="M3180" t="str">
        <f t="shared" si="795"/>
        <v>NIS</v>
      </c>
      <c r="O3180">
        <v>7</v>
      </c>
      <c r="P3180" t="str">
        <f t="shared" si="800"/>
        <v>Active</v>
      </c>
      <c r="Q3180" t="str">
        <f>"קופסת 2+Interface Box I/O כבלים לבקר USBPRO"</f>
        <v>קופסת 2+Interface Box I/O כבלים לבקר USBPRO</v>
      </c>
      <c r="S3180" t="str">
        <f>"קופסת 2+Interface Box I/O כבלים לבקר USBPRO"</f>
        <v>קופסת 2+Interface Box I/O כבלים לבקר USBPRO</v>
      </c>
      <c r="T3180">
        <v>0</v>
      </c>
      <c r="U3180">
        <v>470</v>
      </c>
      <c r="V3180">
        <v>463.62</v>
      </c>
      <c r="W3180" t="str">
        <f t="shared" si="796"/>
        <v>rob</v>
      </c>
    </row>
    <row r="3181" spans="1:23">
      <c r="A3181" t="str">
        <f t="shared" si="797"/>
        <v>MTS-ER9P-TURN-BF</v>
      </c>
      <c r="B3181" t="str">
        <f>"10-2118-5000"</f>
        <v>10-2118-5000</v>
      </c>
      <c r="C3181" t="str">
        <f>"CNC Interface with Boxford Turn"</f>
        <v>CNC Interface with Boxford Turn</v>
      </c>
      <c r="D3181">
        <v>1</v>
      </c>
      <c r="E3181" t="str">
        <f t="shared" si="798"/>
        <v>FMS - Scorbot ER9Pro Robot for Boxford Turn</v>
      </c>
      <c r="F3181">
        <v>502</v>
      </c>
      <c r="G3181" t="str">
        <f t="shared" si="790"/>
        <v>Y</v>
      </c>
      <c r="H3181" t="str">
        <f t="shared" si="799"/>
        <v>EA</v>
      </c>
      <c r="I3181">
        <v>0</v>
      </c>
      <c r="J3181">
        <v>0</v>
      </c>
      <c r="K3181" t="str">
        <f t="shared" si="791"/>
        <v>Y</v>
      </c>
      <c r="L3181">
        <v>0</v>
      </c>
      <c r="M3181" t="str">
        <f t="shared" si="795"/>
        <v>NIS</v>
      </c>
      <c r="O3181">
        <v>8</v>
      </c>
      <c r="P3181" t="str">
        <f t="shared" si="800"/>
        <v>Active</v>
      </c>
      <c r="Q3181" t="str">
        <f>"CNC Interface with Boxford Turn"</f>
        <v>CNC Interface with Boxford Turn</v>
      </c>
      <c r="S3181" t="str">
        <f>"CNC Interface with Boxford Turn"</f>
        <v>CNC Interface with Boxford Turn</v>
      </c>
      <c r="T3181">
        <v>0</v>
      </c>
      <c r="U3181">
        <v>15.96</v>
      </c>
      <c r="V3181">
        <v>10.130000000000001</v>
      </c>
      <c r="W3181" t="str">
        <f t="shared" si="796"/>
        <v>rob</v>
      </c>
    </row>
    <row r="3182" spans="1:23">
      <c r="A3182" t="str">
        <f t="shared" si="797"/>
        <v>MTS-ER9P-TURN-BF</v>
      </c>
      <c r="B3182" t="str">
        <f>"021152"</f>
        <v>021152</v>
      </c>
      <c r="C3182" t="str">
        <f>"Shelf Buffer for CIM conveyor"</f>
        <v>Shelf Buffer for CIM conveyor</v>
      </c>
      <c r="D3182">
        <v>2</v>
      </c>
      <c r="E3182" t="str">
        <f t="shared" si="798"/>
        <v>FMS - Scorbot ER9Pro Robot for Boxford Turn</v>
      </c>
      <c r="F3182">
        <v>502</v>
      </c>
      <c r="G3182" t="str">
        <f t="shared" si="790"/>
        <v>Y</v>
      </c>
      <c r="H3182" t="str">
        <f t="shared" si="799"/>
        <v>EA</v>
      </c>
      <c r="I3182">
        <v>0</v>
      </c>
      <c r="J3182">
        <v>0</v>
      </c>
      <c r="K3182" t="str">
        <f t="shared" si="791"/>
        <v>Y</v>
      </c>
      <c r="L3182">
        <v>0</v>
      </c>
      <c r="M3182" t="str">
        <f t="shared" si="795"/>
        <v>NIS</v>
      </c>
      <c r="O3182">
        <v>9</v>
      </c>
      <c r="P3182" t="str">
        <f t="shared" si="800"/>
        <v>Active</v>
      </c>
      <c r="Q3182" t="str">
        <f>"מכלול- מדף בפר סטנדרטי OPEN-CIM"</f>
        <v>מכלול- מדף בפר סטנדרטי OPEN-CIM</v>
      </c>
      <c r="R3182" t="str">
        <f>"1"</f>
        <v>1</v>
      </c>
      <c r="S3182" t="str">
        <f>"מכלול- מדף בפר סטנדרטי OPEN-CIM"</f>
        <v>מכלול- מדף בפר סטנדרטי OPEN-CIM</v>
      </c>
      <c r="T3182">
        <v>0</v>
      </c>
      <c r="U3182">
        <v>83.12</v>
      </c>
      <c r="V3182">
        <v>92.76</v>
      </c>
      <c r="W3182" t="str">
        <f t="shared" si="796"/>
        <v>rob</v>
      </c>
    </row>
    <row r="3183" spans="1:23">
      <c r="A3183" t="str">
        <f t="shared" si="797"/>
        <v>MTS-ER9P-TURN-BF</v>
      </c>
      <c r="B3183" t="str">
        <f>"112496"</f>
        <v>112496</v>
      </c>
      <c r="C3183" t="str">
        <f>"Raw Material - Brass  Rod"</f>
        <v>Raw Material - Brass  Rod</v>
      </c>
      <c r="D3183">
        <v>50</v>
      </c>
      <c r="E3183" t="str">
        <f t="shared" si="798"/>
        <v>FMS - Scorbot ER9Pro Robot for Boxford Turn</v>
      </c>
      <c r="F3183">
        <v>502</v>
      </c>
      <c r="G3183" t="str">
        <f t="shared" si="790"/>
        <v>Y</v>
      </c>
      <c r="H3183" t="str">
        <f t="shared" si="799"/>
        <v>EA</v>
      </c>
      <c r="I3183">
        <v>0</v>
      </c>
      <c r="J3183">
        <v>0</v>
      </c>
      <c r="K3183" t="str">
        <f t="shared" si="791"/>
        <v>Y</v>
      </c>
      <c r="L3183">
        <v>0</v>
      </c>
      <c r="M3183" t="str">
        <f t="shared" si="795"/>
        <v>NIS</v>
      </c>
      <c r="O3183">
        <v>10</v>
      </c>
      <c r="P3183" t="str">
        <f t="shared" si="800"/>
        <v>Active</v>
      </c>
      <c r="Q3183" t="str">
        <f>"Raw Material Stock - Brass  Rod"</f>
        <v>Raw Material Stock - Brass  Rod</v>
      </c>
      <c r="S3183" t="str">
        <f>"Raw Material Stock - Brass  Rod"</f>
        <v>Raw Material Stock - Brass  Rod</v>
      </c>
      <c r="T3183">
        <v>0</v>
      </c>
      <c r="U3183">
        <v>3.67</v>
      </c>
      <c r="V3183">
        <v>2.69</v>
      </c>
      <c r="W3183" t="str">
        <f t="shared" si="796"/>
        <v>rob</v>
      </c>
    </row>
    <row r="3184" spans="1:23">
      <c r="A3184" t="str">
        <f t="shared" si="797"/>
        <v>MTS-ER9P-TURN-BF</v>
      </c>
      <c r="B3184" t="str">
        <f>"00-1251-0000"</f>
        <v>00-1251-0000</v>
      </c>
      <c r="C3184" t="str">
        <f>"Workbench 1500x800mm (Formica Top)"</f>
        <v>Workbench 1500x800mm (Formica Top)</v>
      </c>
      <c r="D3184">
        <v>1</v>
      </c>
      <c r="E3184" t="str">
        <f t="shared" si="798"/>
        <v>FMS - Scorbot ER9Pro Robot for Boxford Turn</v>
      </c>
      <c r="F3184">
        <v>502</v>
      </c>
      <c r="G3184" t="str">
        <f t="shared" si="790"/>
        <v>Y</v>
      </c>
      <c r="H3184" t="str">
        <f t="shared" si="799"/>
        <v>EA</v>
      </c>
      <c r="I3184">
        <v>0</v>
      </c>
      <c r="J3184">
        <v>0</v>
      </c>
      <c r="K3184" t="str">
        <f t="shared" si="791"/>
        <v>Y</v>
      </c>
      <c r="L3184">
        <v>0</v>
      </c>
      <c r="M3184" t="str">
        <f t="shared" si="795"/>
        <v>NIS</v>
      </c>
      <c r="O3184">
        <v>11</v>
      </c>
      <c r="P3184" t="str">
        <f t="shared" si="800"/>
        <v>Active</v>
      </c>
      <c r="Q3184" t="str">
        <f>"Workbench 1500x800mm (Formica Top)"</f>
        <v>Workbench 1500x800mm (Formica Top)</v>
      </c>
      <c r="S3184" t="str">
        <f>"Workbench 1500x800mm (Formica Top)"</f>
        <v>Workbench 1500x800mm (Formica Top)</v>
      </c>
      <c r="T3184">
        <v>0</v>
      </c>
      <c r="U3184">
        <v>582</v>
      </c>
      <c r="V3184">
        <v>588.6</v>
      </c>
      <c r="W3184" t="str">
        <f t="shared" si="796"/>
        <v>rob</v>
      </c>
    </row>
    <row r="3185" spans="1:23">
      <c r="A3185" t="str">
        <f t="shared" si="797"/>
        <v>MTS-ER9P-TURN-BF</v>
      </c>
      <c r="B3185" t="str">
        <f>"00-1290-0000"</f>
        <v>00-1290-0000</v>
      </c>
      <c r="C3185" t="str">
        <f>"PC Table 630x800mm (with Keyboard Drawer)"</f>
        <v>PC Table 630x800mm (with Keyboard Drawer)</v>
      </c>
      <c r="D3185">
        <v>1</v>
      </c>
      <c r="E3185" t="str">
        <f t="shared" si="798"/>
        <v>FMS - Scorbot ER9Pro Robot for Boxford Turn</v>
      </c>
      <c r="F3185">
        <v>502</v>
      </c>
      <c r="G3185" t="str">
        <f t="shared" si="790"/>
        <v>Y</v>
      </c>
      <c r="H3185" t="str">
        <f t="shared" si="799"/>
        <v>EA</v>
      </c>
      <c r="I3185">
        <v>0</v>
      </c>
      <c r="J3185">
        <v>0</v>
      </c>
      <c r="K3185" t="str">
        <f t="shared" si="791"/>
        <v>Y</v>
      </c>
      <c r="L3185">
        <v>0</v>
      </c>
      <c r="M3185" t="str">
        <f t="shared" si="795"/>
        <v>NIS</v>
      </c>
      <c r="O3185">
        <v>12</v>
      </c>
      <c r="P3185" t="str">
        <f t="shared" si="800"/>
        <v>Active</v>
      </c>
      <c r="Q3185" t="str">
        <f>"PC Table 630x800mm (with Keyboard Drawer)"</f>
        <v>PC Table 630x800mm (with Keyboard Drawer)</v>
      </c>
      <c r="S3185" t="str">
        <f>"PC Table 630x800mm (with Keyboard Drawer)"</f>
        <v>PC Table 630x800mm (with Keyboard Drawer)</v>
      </c>
      <c r="T3185">
        <v>0</v>
      </c>
      <c r="U3185">
        <v>405.86</v>
      </c>
      <c r="V3185">
        <v>329.34</v>
      </c>
      <c r="W3185" t="str">
        <f t="shared" si="796"/>
        <v>rob</v>
      </c>
    </row>
    <row r="3186" spans="1:23">
      <c r="A3186" t="str">
        <f t="shared" si="797"/>
        <v>MTS-ER9P-TURN-BF</v>
      </c>
      <c r="B3186" t="str">
        <f>"50-0094-0000"</f>
        <v>50-0094-0000</v>
      </c>
      <c r="C3186" t="str">
        <f>"Pre-Engineering, Design and Testing"</f>
        <v>Pre-Engineering, Design and Testing</v>
      </c>
      <c r="D3186">
        <v>1</v>
      </c>
      <c r="E3186" t="str">
        <f t="shared" si="798"/>
        <v>FMS - Scorbot ER9Pro Robot for Boxford Turn</v>
      </c>
      <c r="F3186">
        <v>502</v>
      </c>
      <c r="G3186" t="str">
        <f t="shared" si="790"/>
        <v>Y</v>
      </c>
      <c r="H3186" t="str">
        <f>"DA"</f>
        <v>DA</v>
      </c>
      <c r="I3186">
        <v>0</v>
      </c>
      <c r="J3186">
        <v>0</v>
      </c>
      <c r="K3186" t="str">
        <f t="shared" si="791"/>
        <v>Y</v>
      </c>
      <c r="L3186">
        <v>0</v>
      </c>
      <c r="M3186" t="str">
        <f t="shared" si="795"/>
        <v>NIS</v>
      </c>
      <c r="O3186">
        <v>13</v>
      </c>
      <c r="P3186" t="str">
        <f t="shared" si="800"/>
        <v>Active</v>
      </c>
      <c r="Q3186" t="str">
        <f>"Pre-Engineering, Design and Testing"</f>
        <v>Pre-Engineering, Design and Testing</v>
      </c>
      <c r="S3186" t="str">
        <f>"Pre-Engineering, Design and Testing"</f>
        <v>Pre-Engineering, Design and Testing</v>
      </c>
      <c r="T3186">
        <v>0</v>
      </c>
      <c r="U3186">
        <v>405</v>
      </c>
      <c r="V3186">
        <v>421.2</v>
      </c>
      <c r="W3186" t="str">
        <f t="shared" si="796"/>
        <v>rob</v>
      </c>
    </row>
    <row r="3187" spans="1:23">
      <c r="A3187" t="str">
        <f t="shared" ref="A3187:A3200" si="801">"MTS-IROBH-IM&amp;IT"</f>
        <v>MTS-IROBH-IM&amp;IT</v>
      </c>
      <c r="B3187" t="str">
        <f>"10-2119-9000"</f>
        <v>10-2119-9000</v>
      </c>
      <c r="C3187" t="str">
        <f>"Interface with industrial robot"</f>
        <v>Interface with industrial robot</v>
      </c>
      <c r="D3187">
        <v>1</v>
      </c>
      <c r="E3187" t="str">
        <f t="shared" ref="E3187:E3200" si="802">"FMS - for heavy industrial robot &amp; for industrial Mill&amp;Turn"</f>
        <v>FMS - for heavy industrial robot &amp; for industrial Mill&amp;Turn</v>
      </c>
      <c r="F3187">
        <v>502</v>
      </c>
      <c r="G3187" t="str">
        <f t="shared" si="790"/>
        <v>Y</v>
      </c>
      <c r="H3187" t="str">
        <f t="shared" ref="H3187:H3199" si="803">"EA"</f>
        <v>EA</v>
      </c>
      <c r="I3187">
        <v>0</v>
      </c>
      <c r="J3187">
        <v>0</v>
      </c>
      <c r="K3187" t="str">
        <f t="shared" si="791"/>
        <v>Y</v>
      </c>
      <c r="L3187">
        <v>0</v>
      </c>
      <c r="M3187" t="str">
        <f t="shared" si="795"/>
        <v>NIS</v>
      </c>
      <c r="O3187">
        <v>1</v>
      </c>
      <c r="P3187" t="str">
        <f t="shared" si="800"/>
        <v>Active</v>
      </c>
      <c r="Q3187" t="str">
        <f>"Interface with industrial robot"</f>
        <v>Interface with industrial robot</v>
      </c>
      <c r="S3187" t="str">
        <f>"Interface with industrial robot"</f>
        <v>Interface with industrial robot</v>
      </c>
      <c r="T3187">
        <v>0</v>
      </c>
      <c r="U3187" s="44">
        <v>2000</v>
      </c>
      <c r="V3187" s="44">
        <v>2220</v>
      </c>
      <c r="W3187" t="str">
        <f t="shared" si="796"/>
        <v>rob</v>
      </c>
    </row>
    <row r="3188" spans="1:23">
      <c r="A3188" t="str">
        <f t="shared" si="801"/>
        <v>MTS-IROBH-IM&amp;IT</v>
      </c>
      <c r="B3188" t="str">
        <f>"00-0647-0000"</f>
        <v>00-0647-0000</v>
      </c>
      <c r="C3188" t="str">
        <f>"Pneumatic Gripper for 3rd party robots"</f>
        <v>Pneumatic Gripper for 3rd party robots</v>
      </c>
      <c r="D3188">
        <v>1</v>
      </c>
      <c r="E3188" t="str">
        <f t="shared" si="802"/>
        <v>FMS - for heavy industrial robot &amp; for industrial Mill&amp;Turn</v>
      </c>
      <c r="F3188">
        <v>502</v>
      </c>
      <c r="G3188" t="str">
        <f t="shared" si="790"/>
        <v>Y</v>
      </c>
      <c r="H3188" t="str">
        <f t="shared" si="803"/>
        <v>EA</v>
      </c>
      <c r="I3188">
        <v>0</v>
      </c>
      <c r="J3188">
        <v>0</v>
      </c>
      <c r="K3188" t="str">
        <f t="shared" si="791"/>
        <v>Y</v>
      </c>
      <c r="L3188">
        <v>0</v>
      </c>
      <c r="M3188" t="str">
        <f t="shared" si="795"/>
        <v>NIS</v>
      </c>
      <c r="O3188">
        <v>2</v>
      </c>
      <c r="P3188" t="str">
        <f>"ECO-N2Buy"</f>
        <v>ECO-N2Buy</v>
      </c>
      <c r="Q3188" t="str">
        <f>"Pneumatic Gripper for small industrial robots"</f>
        <v>Pneumatic Gripper for small industrial robots</v>
      </c>
      <c r="S3188" t="str">
        <f>"Pneumatic Gripper for small industrial robots"</f>
        <v>Pneumatic Gripper for small industrial robots</v>
      </c>
      <c r="T3188">
        <v>0</v>
      </c>
      <c r="U3188" s="44">
        <v>1000</v>
      </c>
      <c r="V3188">
        <v>646.62</v>
      </c>
      <c r="W3188" t="str">
        <f t="shared" si="796"/>
        <v>rob</v>
      </c>
    </row>
    <row r="3189" spans="1:23">
      <c r="A3189" t="str">
        <f t="shared" si="801"/>
        <v>MTS-IROBH-IM&amp;IT</v>
      </c>
      <c r="B3189" t="str">
        <f>"00-1034-0000"</f>
        <v>00-1034-0000</v>
      </c>
      <c r="C3189" t="str">
        <f>"LSB 4.5m, Belt, UG, XD, for ind. robot &lt; 150kg"</f>
        <v>LSB 4.5m, Belt, UG, XD, for ind. robot &lt; 150kg</v>
      </c>
      <c r="D3189">
        <v>1</v>
      </c>
      <c r="E3189" t="str">
        <f t="shared" si="802"/>
        <v>FMS - for heavy industrial robot &amp; for industrial Mill&amp;Turn</v>
      </c>
      <c r="F3189">
        <v>502</v>
      </c>
      <c r="G3189" t="str">
        <f t="shared" si="790"/>
        <v>Y</v>
      </c>
      <c r="H3189" t="str">
        <f t="shared" si="803"/>
        <v>EA</v>
      </c>
      <c r="I3189">
        <v>0</v>
      </c>
      <c r="J3189">
        <v>0</v>
      </c>
      <c r="K3189" t="str">
        <f t="shared" si="791"/>
        <v>Y</v>
      </c>
      <c r="L3189">
        <v>0</v>
      </c>
      <c r="M3189" t="str">
        <f t="shared" si="795"/>
        <v>NIS</v>
      </c>
      <c r="O3189">
        <v>3</v>
      </c>
      <c r="P3189" t="str">
        <f>"ECO-N2Buy"</f>
        <v>ECO-N2Buy</v>
      </c>
      <c r="Q3189" t="str">
        <f>"LSB 4.5m,Belt,Under ground &amp;XDrive08 for Fanuc10"</f>
        <v>LSB 4.5m,Belt,Under ground &amp;XDrive08 for Fanuc10</v>
      </c>
      <c r="S3189" t="str">
        <f>"LSB 4.5m, Belt, UnderG, XD, for ind. robot&lt;150kg"</f>
        <v>LSB 4.5m, Belt, UnderG, XD, for ind. robot&lt;150kg</v>
      </c>
      <c r="T3189">
        <v>0</v>
      </c>
      <c r="U3189" s="44">
        <v>30600</v>
      </c>
      <c r="V3189" s="44">
        <v>22129.97</v>
      </c>
      <c r="W3189" t="str">
        <f t="shared" si="796"/>
        <v>rob</v>
      </c>
    </row>
    <row r="3190" spans="1:23">
      <c r="A3190" t="str">
        <f t="shared" si="801"/>
        <v>MTS-IROBH-IM&amp;IT</v>
      </c>
      <c r="B3190" t="str">
        <f>"00-1110-0000"</f>
        <v>00-1110-0000</v>
      </c>
      <c r="C3190" t="str">
        <f>"Palletizing Rack"</f>
        <v>Palletizing Rack</v>
      </c>
      <c r="D3190">
        <v>2</v>
      </c>
      <c r="E3190" t="str">
        <f t="shared" si="802"/>
        <v>FMS - for heavy industrial robot &amp; for industrial Mill&amp;Turn</v>
      </c>
      <c r="F3190">
        <v>502</v>
      </c>
      <c r="G3190" t="str">
        <f t="shared" si="790"/>
        <v>Y</v>
      </c>
      <c r="H3190" t="str">
        <f t="shared" si="803"/>
        <v>EA</v>
      </c>
      <c r="I3190">
        <v>0</v>
      </c>
      <c r="J3190">
        <v>0</v>
      </c>
      <c r="K3190" t="str">
        <f t="shared" si="791"/>
        <v>Y</v>
      </c>
      <c r="L3190">
        <v>0</v>
      </c>
      <c r="M3190" t="str">
        <f t="shared" si="795"/>
        <v>NIS</v>
      </c>
      <c r="O3190">
        <v>4</v>
      </c>
      <c r="P3190" t="str">
        <f t="shared" ref="P3190:P3201" si="804">"Active"</f>
        <v>Active</v>
      </c>
      <c r="Q3190" t="str">
        <f>"Palletizing Rack (incl. Pins for creating Jigs)"</f>
        <v>Palletizing Rack (incl. Pins for creating Jigs)</v>
      </c>
      <c r="S3190" t="str">
        <f>"Palletizing Rack (incl. Pins for creating Jigs)"</f>
        <v>Palletizing Rack (incl. Pins for creating Jigs)</v>
      </c>
      <c r="T3190">
        <v>0</v>
      </c>
      <c r="U3190">
        <v>63</v>
      </c>
      <c r="V3190">
        <v>58.59</v>
      </c>
      <c r="W3190" t="str">
        <f t="shared" si="796"/>
        <v>rob</v>
      </c>
    </row>
    <row r="3191" spans="1:23">
      <c r="A3191" t="str">
        <f t="shared" si="801"/>
        <v>MTS-IROBH-IM&amp;IT</v>
      </c>
      <c r="B3191" t="str">
        <f>"10-1007-4000"</f>
        <v>10-1007-4000</v>
      </c>
      <c r="C3191" t="str">
        <f>"Gravity Parts Feeder (with microswitch sensor)"</f>
        <v>Gravity Parts Feeder (with microswitch sensor)</v>
      </c>
      <c r="D3191">
        <v>1</v>
      </c>
      <c r="E3191" t="str">
        <f t="shared" si="802"/>
        <v>FMS - for heavy industrial robot &amp; for industrial Mill&amp;Turn</v>
      </c>
      <c r="F3191">
        <v>502</v>
      </c>
      <c r="G3191" t="str">
        <f t="shared" si="790"/>
        <v>Y</v>
      </c>
      <c r="H3191" t="str">
        <f t="shared" si="803"/>
        <v>EA</v>
      </c>
      <c r="I3191">
        <v>0</v>
      </c>
      <c r="J3191">
        <v>0</v>
      </c>
      <c r="K3191" t="str">
        <f t="shared" si="791"/>
        <v>Y</v>
      </c>
      <c r="L3191">
        <v>0</v>
      </c>
      <c r="M3191" t="str">
        <f t="shared" si="795"/>
        <v>NIS</v>
      </c>
      <c r="O3191">
        <v>5</v>
      </c>
      <c r="P3191" t="str">
        <f t="shared" si="804"/>
        <v>Active</v>
      </c>
      <c r="Q3191" t="str">
        <f>"Gravity Parts Feeder (incl.microswitch sensor)"</f>
        <v>Gravity Parts Feeder (incl.microswitch sensor)</v>
      </c>
      <c r="S3191" t="str">
        <f>"Gravity Parts Feeder (incl.microswitch sensor)"</f>
        <v>Gravity Parts Feeder (incl.microswitch sensor)</v>
      </c>
      <c r="T3191">
        <v>0</v>
      </c>
      <c r="U3191">
        <v>148</v>
      </c>
      <c r="V3191">
        <v>148.26</v>
      </c>
      <c r="W3191" t="str">
        <f t="shared" si="796"/>
        <v>rob</v>
      </c>
    </row>
    <row r="3192" spans="1:23">
      <c r="A3192" t="str">
        <f t="shared" si="801"/>
        <v>MTS-IROBH-IM&amp;IT</v>
      </c>
      <c r="B3192" t="str">
        <f>"10-2521-7000"</f>
        <v>10-2521-7000</v>
      </c>
      <c r="C3192" t="str">
        <f>"Pneumatic Feeder for Rectangular products"</f>
        <v>Pneumatic Feeder for Rectangular products</v>
      </c>
      <c r="D3192">
        <v>1</v>
      </c>
      <c r="E3192" t="str">
        <f t="shared" si="802"/>
        <v>FMS - for heavy industrial robot &amp; for industrial Mill&amp;Turn</v>
      </c>
      <c r="F3192">
        <v>502</v>
      </c>
      <c r="G3192" t="str">
        <f t="shared" si="790"/>
        <v>Y</v>
      </c>
      <c r="H3192" t="str">
        <f t="shared" si="803"/>
        <v>EA</v>
      </c>
      <c r="I3192">
        <v>0</v>
      </c>
      <c r="J3192">
        <v>0</v>
      </c>
      <c r="K3192" t="str">
        <f t="shared" si="791"/>
        <v>Y</v>
      </c>
      <c r="L3192">
        <v>0</v>
      </c>
      <c r="M3192" t="str">
        <f t="shared" si="795"/>
        <v>NIS</v>
      </c>
      <c r="O3192">
        <v>6</v>
      </c>
      <c r="P3192" t="str">
        <f t="shared" si="804"/>
        <v>Active</v>
      </c>
      <c r="Q3192" t="str">
        <f>"Pneumatic Feeder for Rectangular Parts"</f>
        <v>Pneumatic Feeder for Rectangular Parts</v>
      </c>
      <c r="S3192" t="str">
        <f>"Pneumatic Feeder for Rectangular Parts"</f>
        <v>Pneumatic Feeder for Rectangular Parts</v>
      </c>
      <c r="T3192">
        <v>0</v>
      </c>
      <c r="U3192">
        <v>595</v>
      </c>
      <c r="V3192">
        <v>555.15</v>
      </c>
      <c r="W3192" t="str">
        <f t="shared" si="796"/>
        <v>rob</v>
      </c>
    </row>
    <row r="3193" spans="1:23">
      <c r="A3193" t="str">
        <f t="shared" si="801"/>
        <v>MTS-IROBH-IM&amp;IT</v>
      </c>
      <c r="B3193" t="str">
        <f>"021152"</f>
        <v>021152</v>
      </c>
      <c r="C3193" t="str">
        <f>"Shelf Buffer for CIM conveyor"</f>
        <v>Shelf Buffer for CIM conveyor</v>
      </c>
      <c r="D3193">
        <v>2</v>
      </c>
      <c r="E3193" t="str">
        <f t="shared" si="802"/>
        <v>FMS - for heavy industrial robot &amp; for industrial Mill&amp;Turn</v>
      </c>
      <c r="F3193">
        <v>502</v>
      </c>
      <c r="G3193" t="str">
        <f t="shared" si="790"/>
        <v>Y</v>
      </c>
      <c r="H3193" t="str">
        <f t="shared" si="803"/>
        <v>EA</v>
      </c>
      <c r="I3193">
        <v>0</v>
      </c>
      <c r="J3193">
        <v>0</v>
      </c>
      <c r="K3193" t="str">
        <f t="shared" si="791"/>
        <v>Y</v>
      </c>
      <c r="L3193">
        <v>0</v>
      </c>
      <c r="M3193" t="str">
        <f t="shared" si="795"/>
        <v>NIS</v>
      </c>
      <c r="O3193">
        <v>7</v>
      </c>
      <c r="P3193" t="str">
        <f t="shared" si="804"/>
        <v>Active</v>
      </c>
      <c r="Q3193" t="str">
        <f>"מכלול- מדף בפר סטנדרטי OPEN-CIM"</f>
        <v>מכלול- מדף בפר סטנדרטי OPEN-CIM</v>
      </c>
      <c r="R3193" t="str">
        <f>"1"</f>
        <v>1</v>
      </c>
      <c r="S3193" t="str">
        <f>"מכלול- מדף בפר סטנדרטי OPEN-CIM"</f>
        <v>מכלול- מדף בפר סטנדרטי OPEN-CIM</v>
      </c>
      <c r="T3193">
        <v>0</v>
      </c>
      <c r="U3193">
        <v>83.12</v>
      </c>
      <c r="V3193">
        <v>92.76</v>
      </c>
      <c r="W3193" t="str">
        <f t="shared" si="796"/>
        <v>rob</v>
      </c>
    </row>
    <row r="3194" spans="1:23">
      <c r="A3194" t="str">
        <f t="shared" si="801"/>
        <v>MTS-IROBH-IM&amp;IT</v>
      </c>
      <c r="B3194" t="str">
        <f>"50-0092-0000"</f>
        <v>50-0092-0000</v>
      </c>
      <c r="C3194" t="str">
        <f>"Interface Programming for 3rd Party CNC Machine"</f>
        <v>Interface Programming for 3rd Party CNC Machine</v>
      </c>
      <c r="D3194">
        <v>2</v>
      </c>
      <c r="E3194" t="str">
        <f t="shared" si="802"/>
        <v>FMS - for heavy industrial robot &amp; for industrial Mill&amp;Turn</v>
      </c>
      <c r="F3194">
        <v>502</v>
      </c>
      <c r="G3194" t="str">
        <f t="shared" si="790"/>
        <v>Y</v>
      </c>
      <c r="H3194" t="str">
        <f t="shared" si="803"/>
        <v>EA</v>
      </c>
      <c r="I3194">
        <v>0</v>
      </c>
      <c r="J3194">
        <v>0</v>
      </c>
      <c r="K3194" t="str">
        <f t="shared" si="791"/>
        <v>Y</v>
      </c>
      <c r="L3194">
        <v>0</v>
      </c>
      <c r="M3194" t="str">
        <f t="shared" si="795"/>
        <v>NIS</v>
      </c>
      <c r="O3194">
        <v>8</v>
      </c>
      <c r="P3194" t="str">
        <f t="shared" si="804"/>
        <v>Active</v>
      </c>
      <c r="Q3194" t="str">
        <f>"Interface Programming for 3rd Party CNC Machine"</f>
        <v>Interface Programming for 3rd Party CNC Machine</v>
      </c>
      <c r="S3194" t="str">
        <f>"Interface Programming for 3rd Party CNC Machine"</f>
        <v>Interface Programming for 3rd Party CNC Machine</v>
      </c>
      <c r="T3194">
        <v>0</v>
      </c>
      <c r="U3194" s="44">
        <v>1000</v>
      </c>
      <c r="V3194" s="44">
        <v>1000</v>
      </c>
      <c r="W3194" t="str">
        <f t="shared" si="796"/>
        <v>rob</v>
      </c>
    </row>
    <row r="3195" spans="1:23">
      <c r="A3195" t="str">
        <f t="shared" si="801"/>
        <v>MTS-IROBH-IM&amp;IT</v>
      </c>
      <c r="B3195" t="str">
        <f>"10-2118-8000"</f>
        <v>10-2118-8000</v>
      </c>
      <c r="C3195" t="str">
        <f>"CNC Interface Option Relay Box (5OUT/5IN)"</f>
        <v>CNC Interface Option Relay Box (5OUT/5IN)</v>
      </c>
      <c r="D3195">
        <v>2</v>
      </c>
      <c r="E3195" t="str">
        <f t="shared" si="802"/>
        <v>FMS - for heavy industrial robot &amp; for industrial Mill&amp;Turn</v>
      </c>
      <c r="F3195">
        <v>502</v>
      </c>
      <c r="G3195" t="str">
        <f t="shared" si="790"/>
        <v>Y</v>
      </c>
      <c r="H3195" t="str">
        <f t="shared" si="803"/>
        <v>EA</v>
      </c>
      <c r="I3195">
        <v>0</v>
      </c>
      <c r="J3195">
        <v>0</v>
      </c>
      <c r="K3195" t="str">
        <f t="shared" si="791"/>
        <v>Y</v>
      </c>
      <c r="L3195">
        <v>0</v>
      </c>
      <c r="M3195" t="str">
        <f t="shared" si="795"/>
        <v>NIS</v>
      </c>
      <c r="O3195">
        <v>14</v>
      </c>
      <c r="P3195" t="str">
        <f t="shared" si="804"/>
        <v>Active</v>
      </c>
      <c r="Q3195" t="str">
        <f>"CNC Interface Option USB Relay Box (5OUT/5IN)"</f>
        <v>CNC Interface Option USB Relay Box (5OUT/5IN)</v>
      </c>
      <c r="S3195" t="str">
        <f>"CNC Interface Option Relay Box (5OUT/5IN)"</f>
        <v>CNC Interface Option Relay Box (5OUT/5IN)</v>
      </c>
      <c r="T3195">
        <v>0</v>
      </c>
      <c r="U3195">
        <v>84</v>
      </c>
      <c r="V3195">
        <v>215.62</v>
      </c>
      <c r="W3195" t="str">
        <f t="shared" si="796"/>
        <v>rob</v>
      </c>
    </row>
    <row r="3196" spans="1:23">
      <c r="A3196" t="str">
        <f t="shared" si="801"/>
        <v>MTS-IROBH-IM&amp;IT</v>
      </c>
      <c r="B3196" t="str">
        <f>"113034"</f>
        <v>113034</v>
      </c>
      <c r="C3196" t="str">
        <f>"Raw Material - Perspex Block"</f>
        <v>Raw Material - Perspex Block</v>
      </c>
      <c r="D3196">
        <v>50</v>
      </c>
      <c r="E3196" t="str">
        <f t="shared" si="802"/>
        <v>FMS - for heavy industrial robot &amp; for industrial Mill&amp;Turn</v>
      </c>
      <c r="F3196">
        <v>502</v>
      </c>
      <c r="G3196" t="str">
        <f t="shared" si="790"/>
        <v>Y</v>
      </c>
      <c r="H3196" t="str">
        <f t="shared" si="803"/>
        <v>EA</v>
      </c>
      <c r="I3196">
        <v>0</v>
      </c>
      <c r="J3196">
        <v>0</v>
      </c>
      <c r="K3196" t="str">
        <f t="shared" si="791"/>
        <v>Y</v>
      </c>
      <c r="L3196">
        <v>0</v>
      </c>
      <c r="M3196" t="str">
        <f t="shared" si="795"/>
        <v>NIS</v>
      </c>
      <c r="O3196">
        <v>9</v>
      </c>
      <c r="P3196" t="str">
        <f t="shared" si="804"/>
        <v>Active</v>
      </c>
      <c r="Q3196" t="str">
        <f>"Raw Material Stock - Perspex Block"</f>
        <v>Raw Material Stock - Perspex Block</v>
      </c>
      <c r="S3196" t="str">
        <f>"Raw Material Stock - Perspex Block"</f>
        <v>Raw Material Stock - Perspex Block</v>
      </c>
      <c r="T3196">
        <v>0</v>
      </c>
      <c r="U3196">
        <v>1.1000000000000001</v>
      </c>
      <c r="V3196">
        <v>1.0900000000000001</v>
      </c>
      <c r="W3196" t="str">
        <f t="shared" si="796"/>
        <v>rob</v>
      </c>
    </row>
    <row r="3197" spans="1:23">
      <c r="A3197" t="str">
        <f t="shared" si="801"/>
        <v>MTS-IROBH-IM&amp;IT</v>
      </c>
      <c r="B3197" t="str">
        <f>"112496"</f>
        <v>112496</v>
      </c>
      <c r="C3197" t="str">
        <f>"Raw Material - Brass  Rod"</f>
        <v>Raw Material - Brass  Rod</v>
      </c>
      <c r="D3197">
        <v>50</v>
      </c>
      <c r="E3197" t="str">
        <f t="shared" si="802"/>
        <v>FMS - for heavy industrial robot &amp; for industrial Mill&amp;Turn</v>
      </c>
      <c r="F3197">
        <v>502</v>
      </c>
      <c r="G3197" t="str">
        <f t="shared" si="790"/>
        <v>Y</v>
      </c>
      <c r="H3197" t="str">
        <f t="shared" si="803"/>
        <v>EA</v>
      </c>
      <c r="I3197">
        <v>0</v>
      </c>
      <c r="J3197">
        <v>0</v>
      </c>
      <c r="K3197" t="str">
        <f t="shared" si="791"/>
        <v>Y</v>
      </c>
      <c r="L3197">
        <v>0</v>
      </c>
      <c r="M3197" t="str">
        <f t="shared" si="795"/>
        <v>NIS</v>
      </c>
      <c r="O3197">
        <v>10</v>
      </c>
      <c r="P3197" t="str">
        <f t="shared" si="804"/>
        <v>Active</v>
      </c>
      <c r="Q3197" t="str">
        <f>"Raw Material Stock - Brass  Rod"</f>
        <v>Raw Material Stock - Brass  Rod</v>
      </c>
      <c r="S3197" t="str">
        <f>"Raw Material Stock - Brass  Rod"</f>
        <v>Raw Material Stock - Brass  Rod</v>
      </c>
      <c r="T3197">
        <v>0</v>
      </c>
      <c r="U3197">
        <v>3.67</v>
      </c>
      <c r="V3197">
        <v>2.69</v>
      </c>
      <c r="W3197" t="str">
        <f t="shared" si="796"/>
        <v>rob</v>
      </c>
    </row>
    <row r="3198" spans="1:23">
      <c r="A3198" t="str">
        <f t="shared" si="801"/>
        <v>MTS-IROBH-IM&amp;IT</v>
      </c>
      <c r="B3198" t="str">
        <f>"00-1251-0000"</f>
        <v>00-1251-0000</v>
      </c>
      <c r="C3198" t="str">
        <f>"Workbench 1500x800mm (Formica Top)"</f>
        <v>Workbench 1500x800mm (Formica Top)</v>
      </c>
      <c r="D3198">
        <v>1</v>
      </c>
      <c r="E3198" t="str">
        <f t="shared" si="802"/>
        <v>FMS - for heavy industrial robot &amp; for industrial Mill&amp;Turn</v>
      </c>
      <c r="F3198">
        <v>502</v>
      </c>
      <c r="G3198" t="str">
        <f t="shared" si="790"/>
        <v>Y</v>
      </c>
      <c r="H3198" t="str">
        <f t="shared" si="803"/>
        <v>EA</v>
      </c>
      <c r="I3198">
        <v>0</v>
      </c>
      <c r="J3198">
        <v>0</v>
      </c>
      <c r="K3198" t="str">
        <f t="shared" si="791"/>
        <v>Y</v>
      </c>
      <c r="L3198">
        <v>0</v>
      </c>
      <c r="M3198" t="str">
        <f t="shared" si="795"/>
        <v>NIS</v>
      </c>
      <c r="O3198">
        <v>11</v>
      </c>
      <c r="P3198" t="str">
        <f t="shared" si="804"/>
        <v>Active</v>
      </c>
      <c r="Q3198" t="str">
        <f>"Workbench 1500x800mm (Formica Top)"</f>
        <v>Workbench 1500x800mm (Formica Top)</v>
      </c>
      <c r="S3198" t="str">
        <f>"Workbench 1500x800mm (Formica Top)"</f>
        <v>Workbench 1500x800mm (Formica Top)</v>
      </c>
      <c r="T3198">
        <v>0</v>
      </c>
      <c r="U3198">
        <v>582</v>
      </c>
      <c r="V3198">
        <v>588.6</v>
      </c>
      <c r="W3198" t="str">
        <f t="shared" si="796"/>
        <v>rob</v>
      </c>
    </row>
    <row r="3199" spans="1:23">
      <c r="A3199" t="str">
        <f t="shared" si="801"/>
        <v>MTS-IROBH-IM&amp;IT</v>
      </c>
      <c r="B3199" t="str">
        <f>"00-1290-0000"</f>
        <v>00-1290-0000</v>
      </c>
      <c r="C3199" t="str">
        <f>"PC Table 630x800mm (with Keyboard Drawer)"</f>
        <v>PC Table 630x800mm (with Keyboard Drawer)</v>
      </c>
      <c r="D3199">
        <v>1</v>
      </c>
      <c r="E3199" t="str">
        <f t="shared" si="802"/>
        <v>FMS - for heavy industrial robot &amp; for industrial Mill&amp;Turn</v>
      </c>
      <c r="F3199">
        <v>502</v>
      </c>
      <c r="G3199" t="str">
        <f t="shared" si="790"/>
        <v>Y</v>
      </c>
      <c r="H3199" t="str">
        <f t="shared" si="803"/>
        <v>EA</v>
      </c>
      <c r="I3199">
        <v>0</v>
      </c>
      <c r="J3199">
        <v>0</v>
      </c>
      <c r="K3199" t="str">
        <f t="shared" si="791"/>
        <v>Y</v>
      </c>
      <c r="L3199">
        <v>0</v>
      </c>
      <c r="M3199" t="str">
        <f t="shared" si="795"/>
        <v>NIS</v>
      </c>
      <c r="O3199">
        <v>12</v>
      </c>
      <c r="P3199" t="str">
        <f t="shared" si="804"/>
        <v>Active</v>
      </c>
      <c r="Q3199" t="str">
        <f>"PC Table 630x800mm (with Keyboard Drawer)"</f>
        <v>PC Table 630x800mm (with Keyboard Drawer)</v>
      </c>
      <c r="S3199" t="str">
        <f>"PC Table 630x800mm (with Keyboard Drawer)"</f>
        <v>PC Table 630x800mm (with Keyboard Drawer)</v>
      </c>
      <c r="T3199">
        <v>0</v>
      </c>
      <c r="U3199">
        <v>405.86</v>
      </c>
      <c r="V3199">
        <v>329.34</v>
      </c>
      <c r="W3199" t="str">
        <f t="shared" si="796"/>
        <v>rob</v>
      </c>
    </row>
    <row r="3200" spans="1:23">
      <c r="A3200" t="str">
        <f t="shared" si="801"/>
        <v>MTS-IROBH-IM&amp;IT</v>
      </c>
      <c r="B3200" t="str">
        <f>"50-0094-0000"</f>
        <v>50-0094-0000</v>
      </c>
      <c r="C3200" t="str">
        <f>"Pre-Engineering, Design and Testing"</f>
        <v>Pre-Engineering, Design and Testing</v>
      </c>
      <c r="D3200">
        <v>1</v>
      </c>
      <c r="E3200" t="str">
        <f t="shared" si="802"/>
        <v>FMS - for heavy industrial robot &amp; for industrial Mill&amp;Turn</v>
      </c>
      <c r="F3200">
        <v>502</v>
      </c>
      <c r="G3200" t="str">
        <f t="shared" si="790"/>
        <v>Y</v>
      </c>
      <c r="H3200" t="str">
        <f>"DA"</f>
        <v>DA</v>
      </c>
      <c r="I3200">
        <v>0</v>
      </c>
      <c r="J3200">
        <v>0</v>
      </c>
      <c r="K3200" t="str">
        <f t="shared" si="791"/>
        <v>Y</v>
      </c>
      <c r="L3200">
        <v>0</v>
      </c>
      <c r="M3200" t="str">
        <f t="shared" si="795"/>
        <v>NIS</v>
      </c>
      <c r="O3200">
        <v>13</v>
      </c>
      <c r="P3200" t="str">
        <f t="shared" si="804"/>
        <v>Active</v>
      </c>
      <c r="Q3200" t="str">
        <f>"Pre-Engineering, Design and Testing"</f>
        <v>Pre-Engineering, Design and Testing</v>
      </c>
      <c r="S3200" t="str">
        <f>"Pre-Engineering, Design and Testing"</f>
        <v>Pre-Engineering, Design and Testing</v>
      </c>
      <c r="T3200">
        <v>0</v>
      </c>
      <c r="U3200">
        <v>405</v>
      </c>
      <c r="V3200">
        <v>421.2</v>
      </c>
      <c r="W3200" t="str">
        <f t="shared" si="796"/>
        <v>rob</v>
      </c>
    </row>
    <row r="3201" spans="1:23">
      <c r="A3201" t="str">
        <f t="shared" ref="A3201:A3212" si="805">"MTS-IROB-IM"</f>
        <v>MTS-IROB-IM</v>
      </c>
      <c r="B3201" t="str">
        <f>"10-2119-9000"</f>
        <v>10-2119-9000</v>
      </c>
      <c r="C3201" t="str">
        <f>"Interface with industrial robot"</f>
        <v>Interface with industrial robot</v>
      </c>
      <c r="D3201">
        <v>1</v>
      </c>
      <c r="E3201" t="str">
        <f t="shared" ref="E3201:E3212" si="806">"FMS - for industrial robot &amp; for industrial Mill"</f>
        <v>FMS - for industrial robot &amp; for industrial Mill</v>
      </c>
      <c r="F3201">
        <v>502</v>
      </c>
      <c r="G3201" t="str">
        <f t="shared" si="790"/>
        <v>Y</v>
      </c>
      <c r="H3201" t="str">
        <f t="shared" ref="H3201:H3211" si="807">"EA"</f>
        <v>EA</v>
      </c>
      <c r="I3201">
        <v>0</v>
      </c>
      <c r="J3201">
        <v>0</v>
      </c>
      <c r="K3201" t="str">
        <f t="shared" si="791"/>
        <v>Y</v>
      </c>
      <c r="L3201">
        <v>0</v>
      </c>
      <c r="M3201" t="str">
        <f t="shared" si="795"/>
        <v>NIS</v>
      </c>
      <c r="O3201">
        <v>1</v>
      </c>
      <c r="P3201" t="str">
        <f t="shared" si="804"/>
        <v>Active</v>
      </c>
      <c r="Q3201" t="str">
        <f>"Interface with industrial robot"</f>
        <v>Interface with industrial robot</v>
      </c>
      <c r="S3201" t="str">
        <f>"Interface with industrial robot"</f>
        <v>Interface with industrial robot</v>
      </c>
      <c r="T3201">
        <v>0</v>
      </c>
      <c r="U3201" s="44">
        <v>2000</v>
      </c>
      <c r="V3201" s="44">
        <v>2220</v>
      </c>
      <c r="W3201" t="str">
        <f t="shared" si="796"/>
        <v>rob</v>
      </c>
    </row>
    <row r="3202" spans="1:23">
      <c r="A3202" t="str">
        <f t="shared" si="805"/>
        <v>MTS-IROB-IM</v>
      </c>
      <c r="B3202" t="str">
        <f>"00-0647-0000"</f>
        <v>00-0647-0000</v>
      </c>
      <c r="C3202" t="str">
        <f>"Pneumatic Gripper for 3rd party robots"</f>
        <v>Pneumatic Gripper for 3rd party robots</v>
      </c>
      <c r="D3202">
        <v>1</v>
      </c>
      <c r="E3202" t="str">
        <f t="shared" si="806"/>
        <v>FMS - for industrial robot &amp; for industrial Mill</v>
      </c>
      <c r="F3202">
        <v>502</v>
      </c>
      <c r="G3202" t="str">
        <f t="shared" ref="G3202:G3265" si="808">"Y"</f>
        <v>Y</v>
      </c>
      <c r="H3202" t="str">
        <f t="shared" si="807"/>
        <v>EA</v>
      </c>
      <c r="I3202">
        <v>0</v>
      </c>
      <c r="J3202">
        <v>0</v>
      </c>
      <c r="K3202" t="str">
        <f t="shared" ref="K3202:K3265" si="809">"Y"</f>
        <v>Y</v>
      </c>
      <c r="L3202">
        <v>0</v>
      </c>
      <c r="M3202" t="str">
        <f t="shared" si="795"/>
        <v>NIS</v>
      </c>
      <c r="O3202">
        <v>2</v>
      </c>
      <c r="P3202" t="str">
        <f>"ECO-N2Buy"</f>
        <v>ECO-N2Buy</v>
      </c>
      <c r="Q3202" t="str">
        <f>"Pneumatic Gripper for small industrial robots"</f>
        <v>Pneumatic Gripper for small industrial robots</v>
      </c>
      <c r="S3202" t="str">
        <f>"Pneumatic Gripper for small industrial robots"</f>
        <v>Pneumatic Gripper for small industrial robots</v>
      </c>
      <c r="T3202">
        <v>0</v>
      </c>
      <c r="U3202" s="44">
        <v>1000</v>
      </c>
      <c r="V3202">
        <v>646.62</v>
      </c>
      <c r="W3202" t="str">
        <f t="shared" si="796"/>
        <v>rob</v>
      </c>
    </row>
    <row r="3203" spans="1:23">
      <c r="A3203" t="str">
        <f t="shared" si="805"/>
        <v>MTS-IROB-IM</v>
      </c>
      <c r="B3203" t="str">
        <f>"00-1027-0000"</f>
        <v>00-1027-0000</v>
      </c>
      <c r="C3203" t="str">
        <f>"LSB 1.8m, Belt, USB-Pro, for ind. robot &lt; 35kg)"</f>
        <v>LSB 1.8m, Belt, USB-Pro, for ind. robot &lt; 35kg)</v>
      </c>
      <c r="D3203">
        <v>1</v>
      </c>
      <c r="E3203" t="str">
        <f t="shared" si="806"/>
        <v>FMS - for industrial robot &amp; for industrial Mill</v>
      </c>
      <c r="F3203">
        <v>502</v>
      </c>
      <c r="G3203" t="str">
        <f t="shared" si="808"/>
        <v>Y</v>
      </c>
      <c r="H3203" t="str">
        <f t="shared" si="807"/>
        <v>EA</v>
      </c>
      <c r="I3203">
        <v>0</v>
      </c>
      <c r="J3203">
        <v>0</v>
      </c>
      <c r="K3203" t="str">
        <f t="shared" si="809"/>
        <v>Y</v>
      </c>
      <c r="L3203">
        <v>0</v>
      </c>
      <c r="M3203" t="str">
        <f t="shared" si="795"/>
        <v>NIS</v>
      </c>
      <c r="O3203">
        <v>3</v>
      </c>
      <c r="P3203" t="str">
        <f t="shared" ref="P3203:P3213" si="810">"Active"</f>
        <v>Active</v>
      </c>
      <c r="Q3203" t="str">
        <f>"LSB 1.8m incl. USB-Pro(Industr. robot max. 50kg)"</f>
        <v>LSB 1.8m incl. USB-Pro(Industr. robot max. 50kg)</v>
      </c>
      <c r="S3203" t="str">
        <f>"LSB 1.8m, Belt, USB-Pro, for ind. robot &lt; 35kg"</f>
        <v>LSB 1.8m, Belt, USB-Pro, for ind. robot &lt; 35kg</v>
      </c>
      <c r="T3203">
        <v>0</v>
      </c>
      <c r="U3203" s="44">
        <v>5000</v>
      </c>
      <c r="V3203" s="44">
        <v>4687.0200000000004</v>
      </c>
      <c r="W3203" t="str">
        <f t="shared" si="796"/>
        <v>rob</v>
      </c>
    </row>
    <row r="3204" spans="1:23">
      <c r="A3204" t="str">
        <f t="shared" si="805"/>
        <v>MTS-IROB-IM</v>
      </c>
      <c r="B3204" t="str">
        <f>"00-1110-0000"</f>
        <v>00-1110-0000</v>
      </c>
      <c r="C3204" t="str">
        <f>"Palletizing Rack"</f>
        <v>Palletizing Rack</v>
      </c>
      <c r="D3204">
        <v>1</v>
      </c>
      <c r="E3204" t="str">
        <f t="shared" si="806"/>
        <v>FMS - for industrial robot &amp; for industrial Mill</v>
      </c>
      <c r="F3204">
        <v>502</v>
      </c>
      <c r="G3204" t="str">
        <f t="shared" si="808"/>
        <v>Y</v>
      </c>
      <c r="H3204" t="str">
        <f t="shared" si="807"/>
        <v>EA</v>
      </c>
      <c r="I3204">
        <v>0</v>
      </c>
      <c r="J3204">
        <v>0</v>
      </c>
      <c r="K3204" t="str">
        <f t="shared" si="809"/>
        <v>Y</v>
      </c>
      <c r="L3204">
        <v>0</v>
      </c>
      <c r="M3204" t="str">
        <f t="shared" si="795"/>
        <v>NIS</v>
      </c>
      <c r="O3204">
        <v>4</v>
      </c>
      <c r="P3204" t="str">
        <f t="shared" si="810"/>
        <v>Active</v>
      </c>
      <c r="Q3204" t="str">
        <f>"Palletizing Rack (incl. Pins for creating Jigs)"</f>
        <v>Palletizing Rack (incl. Pins for creating Jigs)</v>
      </c>
      <c r="S3204" t="str">
        <f>"Palletizing Rack (incl. Pins for creating Jigs)"</f>
        <v>Palletizing Rack (incl. Pins for creating Jigs)</v>
      </c>
      <c r="T3204">
        <v>0</v>
      </c>
      <c r="U3204">
        <v>63</v>
      </c>
      <c r="V3204">
        <v>58.59</v>
      </c>
      <c r="W3204" t="str">
        <f t="shared" si="796"/>
        <v>rob</v>
      </c>
    </row>
    <row r="3205" spans="1:23">
      <c r="A3205" t="str">
        <f t="shared" si="805"/>
        <v>MTS-IROB-IM</v>
      </c>
      <c r="B3205" t="str">
        <f>"10-2521-7000"</f>
        <v>10-2521-7000</v>
      </c>
      <c r="C3205" t="str">
        <f>"Pneumatic Feeder for Rectangular products"</f>
        <v>Pneumatic Feeder for Rectangular products</v>
      </c>
      <c r="D3205">
        <v>1</v>
      </c>
      <c r="E3205" t="str">
        <f t="shared" si="806"/>
        <v>FMS - for industrial robot &amp; for industrial Mill</v>
      </c>
      <c r="F3205">
        <v>502</v>
      </c>
      <c r="G3205" t="str">
        <f t="shared" si="808"/>
        <v>Y</v>
      </c>
      <c r="H3205" t="str">
        <f t="shared" si="807"/>
        <v>EA</v>
      </c>
      <c r="I3205">
        <v>0</v>
      </c>
      <c r="J3205">
        <v>0</v>
      </c>
      <c r="K3205" t="str">
        <f t="shared" si="809"/>
        <v>Y</v>
      </c>
      <c r="L3205">
        <v>0</v>
      </c>
      <c r="M3205" t="str">
        <f t="shared" si="795"/>
        <v>NIS</v>
      </c>
      <c r="O3205">
        <v>5</v>
      </c>
      <c r="P3205" t="str">
        <f t="shared" si="810"/>
        <v>Active</v>
      </c>
      <c r="Q3205" t="str">
        <f>"Pneumatic Feeder for Rectangular Parts"</f>
        <v>Pneumatic Feeder for Rectangular Parts</v>
      </c>
      <c r="S3205" t="str">
        <f>"Pneumatic Feeder for Rectangular Parts"</f>
        <v>Pneumatic Feeder for Rectangular Parts</v>
      </c>
      <c r="T3205">
        <v>0</v>
      </c>
      <c r="U3205">
        <v>595</v>
      </c>
      <c r="V3205">
        <v>555.15</v>
      </c>
      <c r="W3205" t="str">
        <f t="shared" si="796"/>
        <v>rob</v>
      </c>
    </row>
    <row r="3206" spans="1:23">
      <c r="A3206" t="str">
        <f t="shared" si="805"/>
        <v>MTS-IROB-IM</v>
      </c>
      <c r="B3206" t="str">
        <f>"021152"</f>
        <v>021152</v>
      </c>
      <c r="C3206" t="str">
        <f>"Shelf Buffer for CIM conveyor"</f>
        <v>Shelf Buffer for CIM conveyor</v>
      </c>
      <c r="D3206">
        <v>1</v>
      </c>
      <c r="E3206" t="str">
        <f t="shared" si="806"/>
        <v>FMS - for industrial robot &amp; for industrial Mill</v>
      </c>
      <c r="F3206">
        <v>502</v>
      </c>
      <c r="G3206" t="str">
        <f t="shared" si="808"/>
        <v>Y</v>
      </c>
      <c r="H3206" t="str">
        <f t="shared" si="807"/>
        <v>EA</v>
      </c>
      <c r="I3206">
        <v>0</v>
      </c>
      <c r="J3206">
        <v>0</v>
      </c>
      <c r="K3206" t="str">
        <f t="shared" si="809"/>
        <v>Y</v>
      </c>
      <c r="L3206">
        <v>0</v>
      </c>
      <c r="M3206" t="str">
        <f t="shared" si="795"/>
        <v>NIS</v>
      </c>
      <c r="O3206">
        <v>6</v>
      </c>
      <c r="P3206" t="str">
        <f t="shared" si="810"/>
        <v>Active</v>
      </c>
      <c r="Q3206" t="str">
        <f>"מכלול- מדף בפר סטנדרטי OPEN-CIM"</f>
        <v>מכלול- מדף בפר סטנדרטי OPEN-CIM</v>
      </c>
      <c r="R3206" t="str">
        <f>"1"</f>
        <v>1</v>
      </c>
      <c r="S3206" t="str">
        <f>"מכלול- מדף בפר סטנדרטי OPEN-CIM"</f>
        <v>מכלול- מדף בפר סטנדרטי OPEN-CIM</v>
      </c>
      <c r="T3206">
        <v>0</v>
      </c>
      <c r="U3206">
        <v>83.12</v>
      </c>
      <c r="V3206">
        <v>92.76</v>
      </c>
      <c r="W3206" t="str">
        <f t="shared" si="796"/>
        <v>rob</v>
      </c>
    </row>
    <row r="3207" spans="1:23">
      <c r="A3207" t="str">
        <f t="shared" si="805"/>
        <v>MTS-IROB-IM</v>
      </c>
      <c r="B3207" t="str">
        <f>"50-0092-0000"</f>
        <v>50-0092-0000</v>
      </c>
      <c r="C3207" t="str">
        <f>"Interface Programming for 3rd Party CNC Machine"</f>
        <v>Interface Programming for 3rd Party CNC Machine</v>
      </c>
      <c r="D3207">
        <v>1</v>
      </c>
      <c r="E3207" t="str">
        <f t="shared" si="806"/>
        <v>FMS - for industrial robot &amp; for industrial Mill</v>
      </c>
      <c r="F3207">
        <v>502</v>
      </c>
      <c r="G3207" t="str">
        <f t="shared" si="808"/>
        <v>Y</v>
      </c>
      <c r="H3207" t="str">
        <f t="shared" si="807"/>
        <v>EA</v>
      </c>
      <c r="I3207">
        <v>0</v>
      </c>
      <c r="J3207">
        <v>0</v>
      </c>
      <c r="K3207" t="str">
        <f t="shared" si="809"/>
        <v>Y</v>
      </c>
      <c r="L3207">
        <v>0</v>
      </c>
      <c r="M3207" t="str">
        <f t="shared" si="795"/>
        <v>NIS</v>
      </c>
      <c r="O3207">
        <v>7</v>
      </c>
      <c r="P3207" t="str">
        <f t="shared" si="810"/>
        <v>Active</v>
      </c>
      <c r="Q3207" t="str">
        <f>"Interface Programming for 3rd Party CNC Machine"</f>
        <v>Interface Programming for 3rd Party CNC Machine</v>
      </c>
      <c r="S3207" t="str">
        <f>"Interface Programming for 3rd Party CNC Machine"</f>
        <v>Interface Programming for 3rd Party CNC Machine</v>
      </c>
      <c r="T3207">
        <v>0</v>
      </c>
      <c r="U3207" s="44">
        <v>1000</v>
      </c>
      <c r="V3207" s="44">
        <v>1000</v>
      </c>
      <c r="W3207" t="str">
        <f t="shared" si="796"/>
        <v>rob</v>
      </c>
    </row>
    <row r="3208" spans="1:23">
      <c r="A3208" t="str">
        <f t="shared" si="805"/>
        <v>MTS-IROB-IM</v>
      </c>
      <c r="B3208" t="str">
        <f>"10-2118-8000"</f>
        <v>10-2118-8000</v>
      </c>
      <c r="C3208" t="str">
        <f>"CNC Interface Option Relay Box (5OUT/5IN)"</f>
        <v>CNC Interface Option Relay Box (5OUT/5IN)</v>
      </c>
      <c r="D3208">
        <v>1</v>
      </c>
      <c r="E3208" t="str">
        <f t="shared" si="806"/>
        <v>FMS - for industrial robot &amp; for industrial Mill</v>
      </c>
      <c r="F3208">
        <v>502</v>
      </c>
      <c r="G3208" t="str">
        <f t="shared" si="808"/>
        <v>Y</v>
      </c>
      <c r="H3208" t="str">
        <f t="shared" si="807"/>
        <v>EA</v>
      </c>
      <c r="I3208">
        <v>0</v>
      </c>
      <c r="J3208">
        <v>0</v>
      </c>
      <c r="K3208" t="str">
        <f t="shared" si="809"/>
        <v>Y</v>
      </c>
      <c r="L3208">
        <v>0</v>
      </c>
      <c r="M3208" t="str">
        <f t="shared" si="795"/>
        <v>NIS</v>
      </c>
      <c r="O3208">
        <v>12</v>
      </c>
      <c r="P3208" t="str">
        <f t="shared" si="810"/>
        <v>Active</v>
      </c>
      <c r="Q3208" t="str">
        <f>"CNC Interface Option USB Relay Box (5OUT/5IN)"</f>
        <v>CNC Interface Option USB Relay Box (5OUT/5IN)</v>
      </c>
      <c r="S3208" t="str">
        <f>"CNC Interface Option Relay Box (5OUT/5IN)"</f>
        <v>CNC Interface Option Relay Box (5OUT/5IN)</v>
      </c>
      <c r="T3208">
        <v>0</v>
      </c>
      <c r="U3208">
        <v>84</v>
      </c>
      <c r="V3208">
        <v>215.62</v>
      </c>
      <c r="W3208" t="str">
        <f t="shared" si="796"/>
        <v>rob</v>
      </c>
    </row>
    <row r="3209" spans="1:23">
      <c r="A3209" t="str">
        <f t="shared" si="805"/>
        <v>MTS-IROB-IM</v>
      </c>
      <c r="B3209" t="str">
        <f>"113034"</f>
        <v>113034</v>
      </c>
      <c r="C3209" t="str">
        <f>"Raw Material - Perspex Block"</f>
        <v>Raw Material - Perspex Block</v>
      </c>
      <c r="D3209">
        <v>50</v>
      </c>
      <c r="E3209" t="str">
        <f t="shared" si="806"/>
        <v>FMS - for industrial robot &amp; for industrial Mill</v>
      </c>
      <c r="F3209">
        <v>502</v>
      </c>
      <c r="G3209" t="str">
        <f t="shared" si="808"/>
        <v>Y</v>
      </c>
      <c r="H3209" t="str">
        <f t="shared" si="807"/>
        <v>EA</v>
      </c>
      <c r="I3209">
        <v>0</v>
      </c>
      <c r="J3209">
        <v>0</v>
      </c>
      <c r="K3209" t="str">
        <f t="shared" si="809"/>
        <v>Y</v>
      </c>
      <c r="L3209">
        <v>0</v>
      </c>
      <c r="M3209" t="str">
        <f t="shared" si="795"/>
        <v>NIS</v>
      </c>
      <c r="O3209">
        <v>8</v>
      </c>
      <c r="P3209" t="str">
        <f t="shared" si="810"/>
        <v>Active</v>
      </c>
      <c r="Q3209" t="str">
        <f>"Raw Material Stock - Perspex Block"</f>
        <v>Raw Material Stock - Perspex Block</v>
      </c>
      <c r="S3209" t="str">
        <f>"Raw Material Stock - Perspex Block"</f>
        <v>Raw Material Stock - Perspex Block</v>
      </c>
      <c r="T3209">
        <v>0</v>
      </c>
      <c r="U3209">
        <v>1.1000000000000001</v>
      </c>
      <c r="V3209">
        <v>1.0900000000000001</v>
      </c>
      <c r="W3209" t="str">
        <f t="shared" si="796"/>
        <v>rob</v>
      </c>
    </row>
    <row r="3210" spans="1:23">
      <c r="A3210" t="str">
        <f t="shared" si="805"/>
        <v>MTS-IROB-IM</v>
      </c>
      <c r="B3210" t="str">
        <f>"00-1251-0000"</f>
        <v>00-1251-0000</v>
      </c>
      <c r="C3210" t="str">
        <f>"Workbench 1500x800mm (Formica Top)"</f>
        <v>Workbench 1500x800mm (Formica Top)</v>
      </c>
      <c r="D3210">
        <v>1</v>
      </c>
      <c r="E3210" t="str">
        <f t="shared" si="806"/>
        <v>FMS - for industrial robot &amp; for industrial Mill</v>
      </c>
      <c r="F3210">
        <v>502</v>
      </c>
      <c r="G3210" t="str">
        <f t="shared" si="808"/>
        <v>Y</v>
      </c>
      <c r="H3210" t="str">
        <f t="shared" si="807"/>
        <v>EA</v>
      </c>
      <c r="I3210">
        <v>0</v>
      </c>
      <c r="J3210">
        <v>0</v>
      </c>
      <c r="K3210" t="str">
        <f t="shared" si="809"/>
        <v>Y</v>
      </c>
      <c r="L3210">
        <v>0</v>
      </c>
      <c r="M3210" t="str">
        <f t="shared" si="795"/>
        <v>NIS</v>
      </c>
      <c r="O3210">
        <v>9</v>
      </c>
      <c r="P3210" t="str">
        <f t="shared" si="810"/>
        <v>Active</v>
      </c>
      <c r="Q3210" t="str">
        <f>"Workbench 1500x800mm (Formica Top)"</f>
        <v>Workbench 1500x800mm (Formica Top)</v>
      </c>
      <c r="S3210" t="str">
        <f>"Workbench 1500x800mm (Formica Top)"</f>
        <v>Workbench 1500x800mm (Formica Top)</v>
      </c>
      <c r="T3210">
        <v>0</v>
      </c>
      <c r="U3210">
        <v>582</v>
      </c>
      <c r="V3210">
        <v>588.6</v>
      </c>
      <c r="W3210" t="str">
        <f t="shared" si="796"/>
        <v>rob</v>
      </c>
    </row>
    <row r="3211" spans="1:23">
      <c r="A3211" t="str">
        <f t="shared" si="805"/>
        <v>MTS-IROB-IM</v>
      </c>
      <c r="B3211" t="str">
        <f>"00-1290-0000"</f>
        <v>00-1290-0000</v>
      </c>
      <c r="C3211" t="str">
        <f>"PC Table 630x800mm (with Keyboard Drawer)"</f>
        <v>PC Table 630x800mm (with Keyboard Drawer)</v>
      </c>
      <c r="D3211">
        <v>1</v>
      </c>
      <c r="E3211" t="str">
        <f t="shared" si="806"/>
        <v>FMS - for industrial robot &amp; for industrial Mill</v>
      </c>
      <c r="F3211">
        <v>502</v>
      </c>
      <c r="G3211" t="str">
        <f t="shared" si="808"/>
        <v>Y</v>
      </c>
      <c r="H3211" t="str">
        <f t="shared" si="807"/>
        <v>EA</v>
      </c>
      <c r="I3211">
        <v>0</v>
      </c>
      <c r="J3211">
        <v>0</v>
      </c>
      <c r="K3211" t="str">
        <f t="shared" si="809"/>
        <v>Y</v>
      </c>
      <c r="L3211">
        <v>0</v>
      </c>
      <c r="M3211" t="str">
        <f t="shared" si="795"/>
        <v>NIS</v>
      </c>
      <c r="O3211">
        <v>10</v>
      </c>
      <c r="P3211" t="str">
        <f t="shared" si="810"/>
        <v>Active</v>
      </c>
      <c r="Q3211" t="str">
        <f>"PC Table 630x800mm (with Keyboard Drawer)"</f>
        <v>PC Table 630x800mm (with Keyboard Drawer)</v>
      </c>
      <c r="S3211" t="str">
        <f>"PC Table 630x800mm (with Keyboard Drawer)"</f>
        <v>PC Table 630x800mm (with Keyboard Drawer)</v>
      </c>
      <c r="T3211">
        <v>0</v>
      </c>
      <c r="U3211">
        <v>405.86</v>
      </c>
      <c r="V3211">
        <v>329.34</v>
      </c>
      <c r="W3211" t="str">
        <f t="shared" si="796"/>
        <v>rob</v>
      </c>
    </row>
    <row r="3212" spans="1:23">
      <c r="A3212" t="str">
        <f t="shared" si="805"/>
        <v>MTS-IROB-IM</v>
      </c>
      <c r="B3212" t="str">
        <f>"50-0094-0000"</f>
        <v>50-0094-0000</v>
      </c>
      <c r="C3212" t="str">
        <f>"Pre-Engineering, Design and Testing"</f>
        <v>Pre-Engineering, Design and Testing</v>
      </c>
      <c r="D3212">
        <v>1</v>
      </c>
      <c r="E3212" t="str">
        <f t="shared" si="806"/>
        <v>FMS - for industrial robot &amp; for industrial Mill</v>
      </c>
      <c r="F3212">
        <v>502</v>
      </c>
      <c r="G3212" t="str">
        <f t="shared" si="808"/>
        <v>Y</v>
      </c>
      <c r="H3212" t="str">
        <f>"DA"</f>
        <v>DA</v>
      </c>
      <c r="I3212">
        <v>0</v>
      </c>
      <c r="J3212">
        <v>0</v>
      </c>
      <c r="K3212" t="str">
        <f t="shared" si="809"/>
        <v>Y</v>
      </c>
      <c r="L3212">
        <v>0</v>
      </c>
      <c r="M3212" t="str">
        <f t="shared" si="795"/>
        <v>NIS</v>
      </c>
      <c r="O3212">
        <v>11</v>
      </c>
      <c r="P3212" t="str">
        <f t="shared" si="810"/>
        <v>Active</v>
      </c>
      <c r="Q3212" t="str">
        <f>"Pre-Engineering, Design and Testing"</f>
        <v>Pre-Engineering, Design and Testing</v>
      </c>
      <c r="S3212" t="str">
        <f>"Pre-Engineering, Design and Testing"</f>
        <v>Pre-Engineering, Design and Testing</v>
      </c>
      <c r="T3212">
        <v>0</v>
      </c>
      <c r="U3212">
        <v>405</v>
      </c>
      <c r="V3212">
        <v>421.2</v>
      </c>
      <c r="W3212" t="str">
        <f t="shared" si="796"/>
        <v>rob</v>
      </c>
    </row>
    <row r="3213" spans="1:23">
      <c r="A3213" t="str">
        <f t="shared" ref="A3213:A3226" si="811">"MTS-IROB-IM&amp;IT"</f>
        <v>MTS-IROB-IM&amp;IT</v>
      </c>
      <c r="B3213" t="str">
        <f>"10-2119-9000"</f>
        <v>10-2119-9000</v>
      </c>
      <c r="C3213" t="str">
        <f>"Interface with industrial robot"</f>
        <v>Interface with industrial robot</v>
      </c>
      <c r="D3213">
        <v>1</v>
      </c>
      <c r="E3213" t="str">
        <f t="shared" ref="E3213:E3226" si="812">"FMS - for industrial robot &amp; for industrial Mill&amp;Turn"</f>
        <v>FMS - for industrial robot &amp; for industrial Mill&amp;Turn</v>
      </c>
      <c r="F3213">
        <v>502</v>
      </c>
      <c r="G3213" t="str">
        <f t="shared" si="808"/>
        <v>Y</v>
      </c>
      <c r="H3213" t="str">
        <f t="shared" ref="H3213:H3225" si="813">"EA"</f>
        <v>EA</v>
      </c>
      <c r="I3213">
        <v>0</v>
      </c>
      <c r="J3213">
        <v>0</v>
      </c>
      <c r="K3213" t="str">
        <f t="shared" si="809"/>
        <v>Y</v>
      </c>
      <c r="L3213">
        <v>0</v>
      </c>
      <c r="M3213" t="str">
        <f t="shared" si="795"/>
        <v>NIS</v>
      </c>
      <c r="O3213">
        <v>1</v>
      </c>
      <c r="P3213" t="str">
        <f t="shared" si="810"/>
        <v>Active</v>
      </c>
      <c r="Q3213" t="str">
        <f>"Interface with industrial robot"</f>
        <v>Interface with industrial robot</v>
      </c>
      <c r="S3213" t="str">
        <f>"Interface with industrial robot"</f>
        <v>Interface with industrial robot</v>
      </c>
      <c r="T3213">
        <v>0</v>
      </c>
      <c r="U3213" s="44">
        <v>2000</v>
      </c>
      <c r="V3213" s="44">
        <v>2220</v>
      </c>
      <c r="W3213" t="str">
        <f t="shared" si="796"/>
        <v>rob</v>
      </c>
    </row>
    <row r="3214" spans="1:23">
      <c r="A3214" t="str">
        <f t="shared" si="811"/>
        <v>MTS-IROB-IM&amp;IT</v>
      </c>
      <c r="B3214" t="str">
        <f>"00-0647-0000"</f>
        <v>00-0647-0000</v>
      </c>
      <c r="C3214" t="str">
        <f>"Pneumatic Gripper for 3rd party robots"</f>
        <v>Pneumatic Gripper for 3rd party robots</v>
      </c>
      <c r="D3214">
        <v>1</v>
      </c>
      <c r="E3214" t="str">
        <f t="shared" si="812"/>
        <v>FMS - for industrial robot &amp; for industrial Mill&amp;Turn</v>
      </c>
      <c r="F3214">
        <v>502</v>
      </c>
      <c r="G3214" t="str">
        <f t="shared" si="808"/>
        <v>Y</v>
      </c>
      <c r="H3214" t="str">
        <f t="shared" si="813"/>
        <v>EA</v>
      </c>
      <c r="I3214">
        <v>0</v>
      </c>
      <c r="J3214">
        <v>0</v>
      </c>
      <c r="K3214" t="str">
        <f t="shared" si="809"/>
        <v>Y</v>
      </c>
      <c r="L3214">
        <v>0</v>
      </c>
      <c r="M3214" t="str">
        <f t="shared" ref="M3214:M3277" si="814">"NIS"</f>
        <v>NIS</v>
      </c>
      <c r="O3214">
        <v>2</v>
      </c>
      <c r="P3214" t="str">
        <f>"ECO-N2Buy"</f>
        <v>ECO-N2Buy</v>
      </c>
      <c r="Q3214" t="str">
        <f>"Pneumatic Gripper for small industrial robots"</f>
        <v>Pneumatic Gripper for small industrial robots</v>
      </c>
      <c r="S3214" t="str">
        <f>"Pneumatic Gripper for small industrial robots"</f>
        <v>Pneumatic Gripper for small industrial robots</v>
      </c>
      <c r="T3214">
        <v>0</v>
      </c>
      <c r="U3214" s="44">
        <v>1000</v>
      </c>
      <c r="V3214">
        <v>646.62</v>
      </c>
      <c r="W3214" t="str">
        <f t="shared" si="796"/>
        <v>rob</v>
      </c>
    </row>
    <row r="3215" spans="1:23">
      <c r="A3215" t="str">
        <f t="shared" si="811"/>
        <v>MTS-IROB-IM&amp;IT</v>
      </c>
      <c r="B3215" t="str">
        <f>"00-1027-0000"</f>
        <v>00-1027-0000</v>
      </c>
      <c r="C3215" t="str">
        <f>"LSB 1.8m, Belt, USB-Pro, for ind. robot &lt; 35kg)"</f>
        <v>LSB 1.8m, Belt, USB-Pro, for ind. robot &lt; 35kg)</v>
      </c>
      <c r="D3215">
        <v>1</v>
      </c>
      <c r="E3215" t="str">
        <f t="shared" si="812"/>
        <v>FMS - for industrial robot &amp; for industrial Mill&amp;Turn</v>
      </c>
      <c r="F3215">
        <v>502</v>
      </c>
      <c r="G3215" t="str">
        <f t="shared" si="808"/>
        <v>Y</v>
      </c>
      <c r="H3215" t="str">
        <f t="shared" si="813"/>
        <v>EA</v>
      </c>
      <c r="I3215">
        <v>0</v>
      </c>
      <c r="J3215">
        <v>0</v>
      </c>
      <c r="K3215" t="str">
        <f t="shared" si="809"/>
        <v>Y</v>
      </c>
      <c r="L3215">
        <v>0</v>
      </c>
      <c r="M3215" t="str">
        <f t="shared" si="814"/>
        <v>NIS</v>
      </c>
      <c r="O3215">
        <v>3</v>
      </c>
      <c r="P3215" t="str">
        <f t="shared" ref="P3215:P3227" si="815">"Active"</f>
        <v>Active</v>
      </c>
      <c r="Q3215" t="str">
        <f>"LSB 1.8m incl. USB-Pro(Industr. robot max. 50kg)"</f>
        <v>LSB 1.8m incl. USB-Pro(Industr. robot max. 50kg)</v>
      </c>
      <c r="S3215" t="str">
        <f>"LSB 1.8m, Belt, USB-Pro, for ind. robot &lt; 35kg"</f>
        <v>LSB 1.8m, Belt, USB-Pro, for ind. robot &lt; 35kg</v>
      </c>
      <c r="T3215">
        <v>0</v>
      </c>
      <c r="U3215" s="44">
        <v>5000</v>
      </c>
      <c r="V3215" s="44">
        <v>4687.0200000000004</v>
      </c>
      <c r="W3215" t="str">
        <f t="shared" si="796"/>
        <v>rob</v>
      </c>
    </row>
    <row r="3216" spans="1:23">
      <c r="A3216" t="str">
        <f t="shared" si="811"/>
        <v>MTS-IROB-IM&amp;IT</v>
      </c>
      <c r="B3216" t="str">
        <f>"00-1110-0000"</f>
        <v>00-1110-0000</v>
      </c>
      <c r="C3216" t="str">
        <f>"Palletizing Rack"</f>
        <v>Palletizing Rack</v>
      </c>
      <c r="D3216">
        <v>2</v>
      </c>
      <c r="E3216" t="str">
        <f t="shared" si="812"/>
        <v>FMS - for industrial robot &amp; for industrial Mill&amp;Turn</v>
      </c>
      <c r="F3216">
        <v>502</v>
      </c>
      <c r="G3216" t="str">
        <f t="shared" si="808"/>
        <v>Y</v>
      </c>
      <c r="H3216" t="str">
        <f t="shared" si="813"/>
        <v>EA</v>
      </c>
      <c r="I3216">
        <v>0</v>
      </c>
      <c r="J3216">
        <v>0</v>
      </c>
      <c r="K3216" t="str">
        <f t="shared" si="809"/>
        <v>Y</v>
      </c>
      <c r="L3216">
        <v>0</v>
      </c>
      <c r="M3216" t="str">
        <f t="shared" si="814"/>
        <v>NIS</v>
      </c>
      <c r="O3216">
        <v>4</v>
      </c>
      <c r="P3216" t="str">
        <f t="shared" si="815"/>
        <v>Active</v>
      </c>
      <c r="Q3216" t="str">
        <f>"Palletizing Rack (incl. Pins for creating Jigs)"</f>
        <v>Palletizing Rack (incl. Pins for creating Jigs)</v>
      </c>
      <c r="S3216" t="str">
        <f>"Palletizing Rack (incl. Pins for creating Jigs)"</f>
        <v>Palletizing Rack (incl. Pins for creating Jigs)</v>
      </c>
      <c r="T3216">
        <v>0</v>
      </c>
      <c r="U3216">
        <v>63</v>
      </c>
      <c r="V3216">
        <v>58.59</v>
      </c>
      <c r="W3216" t="str">
        <f t="shared" si="796"/>
        <v>rob</v>
      </c>
    </row>
    <row r="3217" spans="1:23">
      <c r="A3217" t="str">
        <f t="shared" si="811"/>
        <v>MTS-IROB-IM&amp;IT</v>
      </c>
      <c r="B3217" t="str">
        <f>"10-1007-4000"</f>
        <v>10-1007-4000</v>
      </c>
      <c r="C3217" t="str">
        <f>"Gravity Parts Feeder (with microswitch sensor)"</f>
        <v>Gravity Parts Feeder (with microswitch sensor)</v>
      </c>
      <c r="D3217">
        <v>1</v>
      </c>
      <c r="E3217" t="str">
        <f t="shared" si="812"/>
        <v>FMS - for industrial robot &amp; for industrial Mill&amp;Turn</v>
      </c>
      <c r="F3217">
        <v>502</v>
      </c>
      <c r="G3217" t="str">
        <f t="shared" si="808"/>
        <v>Y</v>
      </c>
      <c r="H3217" t="str">
        <f t="shared" si="813"/>
        <v>EA</v>
      </c>
      <c r="I3217">
        <v>0</v>
      </c>
      <c r="J3217">
        <v>0</v>
      </c>
      <c r="K3217" t="str">
        <f t="shared" si="809"/>
        <v>Y</v>
      </c>
      <c r="L3217">
        <v>0</v>
      </c>
      <c r="M3217" t="str">
        <f t="shared" si="814"/>
        <v>NIS</v>
      </c>
      <c r="O3217">
        <v>5</v>
      </c>
      <c r="P3217" t="str">
        <f t="shared" si="815"/>
        <v>Active</v>
      </c>
      <c r="Q3217" t="str">
        <f>"Gravity Parts Feeder (incl.microswitch sensor)"</f>
        <v>Gravity Parts Feeder (incl.microswitch sensor)</v>
      </c>
      <c r="S3217" t="str">
        <f>"Gravity Parts Feeder (incl.microswitch sensor)"</f>
        <v>Gravity Parts Feeder (incl.microswitch sensor)</v>
      </c>
      <c r="T3217">
        <v>0</v>
      </c>
      <c r="U3217">
        <v>148</v>
      </c>
      <c r="V3217">
        <v>148.26</v>
      </c>
      <c r="W3217" t="str">
        <f t="shared" si="796"/>
        <v>rob</v>
      </c>
    </row>
    <row r="3218" spans="1:23">
      <c r="A3218" t="str">
        <f t="shared" si="811"/>
        <v>MTS-IROB-IM&amp;IT</v>
      </c>
      <c r="B3218" t="str">
        <f>"10-2521-7000"</f>
        <v>10-2521-7000</v>
      </c>
      <c r="C3218" t="str">
        <f>"Pneumatic Feeder for Rectangular products"</f>
        <v>Pneumatic Feeder for Rectangular products</v>
      </c>
      <c r="D3218">
        <v>1</v>
      </c>
      <c r="E3218" t="str">
        <f t="shared" si="812"/>
        <v>FMS - for industrial robot &amp; for industrial Mill&amp;Turn</v>
      </c>
      <c r="F3218">
        <v>502</v>
      </c>
      <c r="G3218" t="str">
        <f t="shared" si="808"/>
        <v>Y</v>
      </c>
      <c r="H3218" t="str">
        <f t="shared" si="813"/>
        <v>EA</v>
      </c>
      <c r="I3218">
        <v>0</v>
      </c>
      <c r="J3218">
        <v>0</v>
      </c>
      <c r="K3218" t="str">
        <f t="shared" si="809"/>
        <v>Y</v>
      </c>
      <c r="L3218">
        <v>0</v>
      </c>
      <c r="M3218" t="str">
        <f t="shared" si="814"/>
        <v>NIS</v>
      </c>
      <c r="O3218">
        <v>6</v>
      </c>
      <c r="P3218" t="str">
        <f t="shared" si="815"/>
        <v>Active</v>
      </c>
      <c r="Q3218" t="str">
        <f>"Pneumatic Feeder for Rectangular Parts"</f>
        <v>Pneumatic Feeder for Rectangular Parts</v>
      </c>
      <c r="S3218" t="str">
        <f>"Pneumatic Feeder for Rectangular Parts"</f>
        <v>Pneumatic Feeder for Rectangular Parts</v>
      </c>
      <c r="T3218">
        <v>0</v>
      </c>
      <c r="U3218">
        <v>595</v>
      </c>
      <c r="V3218">
        <v>555.15</v>
      </c>
      <c r="W3218" t="str">
        <f t="shared" si="796"/>
        <v>rob</v>
      </c>
    </row>
    <row r="3219" spans="1:23">
      <c r="A3219" t="str">
        <f t="shared" si="811"/>
        <v>MTS-IROB-IM&amp;IT</v>
      </c>
      <c r="B3219" t="str">
        <f>"021152"</f>
        <v>021152</v>
      </c>
      <c r="C3219" t="str">
        <f>"Shelf Buffer for CIM conveyor"</f>
        <v>Shelf Buffer for CIM conveyor</v>
      </c>
      <c r="D3219">
        <v>2</v>
      </c>
      <c r="E3219" t="str">
        <f t="shared" si="812"/>
        <v>FMS - for industrial robot &amp; for industrial Mill&amp;Turn</v>
      </c>
      <c r="F3219">
        <v>502</v>
      </c>
      <c r="G3219" t="str">
        <f t="shared" si="808"/>
        <v>Y</v>
      </c>
      <c r="H3219" t="str">
        <f t="shared" si="813"/>
        <v>EA</v>
      </c>
      <c r="I3219">
        <v>0</v>
      </c>
      <c r="J3219">
        <v>0</v>
      </c>
      <c r="K3219" t="str">
        <f t="shared" si="809"/>
        <v>Y</v>
      </c>
      <c r="L3219">
        <v>0</v>
      </c>
      <c r="M3219" t="str">
        <f t="shared" si="814"/>
        <v>NIS</v>
      </c>
      <c r="O3219">
        <v>7</v>
      </c>
      <c r="P3219" t="str">
        <f t="shared" si="815"/>
        <v>Active</v>
      </c>
      <c r="Q3219" t="str">
        <f>"מכלול- מדף בפר סטנדרטי OPEN-CIM"</f>
        <v>מכלול- מדף בפר סטנדרטי OPEN-CIM</v>
      </c>
      <c r="R3219" t="str">
        <f>"1"</f>
        <v>1</v>
      </c>
      <c r="S3219" t="str">
        <f>"מכלול- מדף בפר סטנדרטי OPEN-CIM"</f>
        <v>מכלול- מדף בפר סטנדרטי OPEN-CIM</v>
      </c>
      <c r="T3219">
        <v>0</v>
      </c>
      <c r="U3219">
        <v>83.12</v>
      </c>
      <c r="V3219">
        <v>92.76</v>
      </c>
      <c r="W3219" t="str">
        <f t="shared" si="796"/>
        <v>rob</v>
      </c>
    </row>
    <row r="3220" spans="1:23">
      <c r="A3220" t="str">
        <f t="shared" si="811"/>
        <v>MTS-IROB-IM&amp;IT</v>
      </c>
      <c r="B3220" t="str">
        <f>"50-0092-0000"</f>
        <v>50-0092-0000</v>
      </c>
      <c r="C3220" t="str">
        <f>"Interface Programming for 3rd Party CNC Machine"</f>
        <v>Interface Programming for 3rd Party CNC Machine</v>
      </c>
      <c r="D3220">
        <v>2</v>
      </c>
      <c r="E3220" t="str">
        <f t="shared" si="812"/>
        <v>FMS - for industrial robot &amp; for industrial Mill&amp;Turn</v>
      </c>
      <c r="F3220">
        <v>502</v>
      </c>
      <c r="G3220" t="str">
        <f t="shared" si="808"/>
        <v>Y</v>
      </c>
      <c r="H3220" t="str">
        <f t="shared" si="813"/>
        <v>EA</v>
      </c>
      <c r="I3220">
        <v>0</v>
      </c>
      <c r="J3220">
        <v>0</v>
      </c>
      <c r="K3220" t="str">
        <f t="shared" si="809"/>
        <v>Y</v>
      </c>
      <c r="L3220">
        <v>0</v>
      </c>
      <c r="M3220" t="str">
        <f t="shared" si="814"/>
        <v>NIS</v>
      </c>
      <c r="O3220">
        <v>8</v>
      </c>
      <c r="P3220" t="str">
        <f t="shared" si="815"/>
        <v>Active</v>
      </c>
      <c r="Q3220" t="str">
        <f>"Interface Programming for 3rd Party CNC Machine"</f>
        <v>Interface Programming for 3rd Party CNC Machine</v>
      </c>
      <c r="S3220" t="str">
        <f>"Interface Programming for 3rd Party CNC Machine"</f>
        <v>Interface Programming for 3rd Party CNC Machine</v>
      </c>
      <c r="T3220">
        <v>0</v>
      </c>
      <c r="U3220" s="44">
        <v>1000</v>
      </c>
      <c r="V3220" s="44">
        <v>1000</v>
      </c>
      <c r="W3220" t="str">
        <f t="shared" si="796"/>
        <v>rob</v>
      </c>
    </row>
    <row r="3221" spans="1:23">
      <c r="A3221" t="str">
        <f t="shared" si="811"/>
        <v>MTS-IROB-IM&amp;IT</v>
      </c>
      <c r="B3221" t="str">
        <f>"10-2118-8000"</f>
        <v>10-2118-8000</v>
      </c>
      <c r="C3221" t="str">
        <f>"CNC Interface Option Relay Box (5OUT/5IN)"</f>
        <v>CNC Interface Option Relay Box (5OUT/5IN)</v>
      </c>
      <c r="D3221">
        <v>2</v>
      </c>
      <c r="E3221" t="str">
        <f t="shared" si="812"/>
        <v>FMS - for industrial robot &amp; for industrial Mill&amp;Turn</v>
      </c>
      <c r="F3221">
        <v>502</v>
      </c>
      <c r="G3221" t="str">
        <f t="shared" si="808"/>
        <v>Y</v>
      </c>
      <c r="H3221" t="str">
        <f t="shared" si="813"/>
        <v>EA</v>
      </c>
      <c r="I3221">
        <v>0</v>
      </c>
      <c r="J3221">
        <v>0</v>
      </c>
      <c r="K3221" t="str">
        <f t="shared" si="809"/>
        <v>Y</v>
      </c>
      <c r="L3221">
        <v>0</v>
      </c>
      <c r="M3221" t="str">
        <f t="shared" si="814"/>
        <v>NIS</v>
      </c>
      <c r="O3221">
        <v>14</v>
      </c>
      <c r="P3221" t="str">
        <f t="shared" si="815"/>
        <v>Active</v>
      </c>
      <c r="Q3221" t="str">
        <f>"CNC Interface Option USB Relay Box (5OUT/5IN)"</f>
        <v>CNC Interface Option USB Relay Box (5OUT/5IN)</v>
      </c>
      <c r="S3221" t="str">
        <f>"CNC Interface Option Relay Box (5OUT/5IN)"</f>
        <v>CNC Interface Option Relay Box (5OUT/5IN)</v>
      </c>
      <c r="T3221">
        <v>0</v>
      </c>
      <c r="U3221">
        <v>84</v>
      </c>
      <c r="V3221">
        <v>215.62</v>
      </c>
      <c r="W3221" t="str">
        <f t="shared" si="796"/>
        <v>rob</v>
      </c>
    </row>
    <row r="3222" spans="1:23">
      <c r="A3222" t="str">
        <f t="shared" si="811"/>
        <v>MTS-IROB-IM&amp;IT</v>
      </c>
      <c r="B3222" t="str">
        <f>"113034"</f>
        <v>113034</v>
      </c>
      <c r="C3222" t="str">
        <f>"Raw Material - Perspex Block"</f>
        <v>Raw Material - Perspex Block</v>
      </c>
      <c r="D3222">
        <v>50</v>
      </c>
      <c r="E3222" t="str">
        <f t="shared" si="812"/>
        <v>FMS - for industrial robot &amp; for industrial Mill&amp;Turn</v>
      </c>
      <c r="F3222">
        <v>502</v>
      </c>
      <c r="G3222" t="str">
        <f t="shared" si="808"/>
        <v>Y</v>
      </c>
      <c r="H3222" t="str">
        <f t="shared" si="813"/>
        <v>EA</v>
      </c>
      <c r="I3222">
        <v>0</v>
      </c>
      <c r="J3222">
        <v>0</v>
      </c>
      <c r="K3222" t="str">
        <f t="shared" si="809"/>
        <v>Y</v>
      </c>
      <c r="L3222">
        <v>0</v>
      </c>
      <c r="M3222" t="str">
        <f t="shared" si="814"/>
        <v>NIS</v>
      </c>
      <c r="O3222">
        <v>9</v>
      </c>
      <c r="P3222" t="str">
        <f t="shared" si="815"/>
        <v>Active</v>
      </c>
      <c r="Q3222" t="str">
        <f>"Raw Material Stock - Perspex Block"</f>
        <v>Raw Material Stock - Perspex Block</v>
      </c>
      <c r="S3222" t="str">
        <f>"Raw Material Stock - Perspex Block"</f>
        <v>Raw Material Stock - Perspex Block</v>
      </c>
      <c r="T3222">
        <v>0</v>
      </c>
      <c r="U3222">
        <v>1.1000000000000001</v>
      </c>
      <c r="V3222">
        <v>1.0900000000000001</v>
      </c>
      <c r="W3222" t="str">
        <f t="shared" si="796"/>
        <v>rob</v>
      </c>
    </row>
    <row r="3223" spans="1:23">
      <c r="A3223" t="str">
        <f t="shared" si="811"/>
        <v>MTS-IROB-IM&amp;IT</v>
      </c>
      <c r="B3223" t="str">
        <f>"112496"</f>
        <v>112496</v>
      </c>
      <c r="C3223" t="str">
        <f>"Raw Material - Brass  Rod"</f>
        <v>Raw Material - Brass  Rod</v>
      </c>
      <c r="D3223">
        <v>50</v>
      </c>
      <c r="E3223" t="str">
        <f t="shared" si="812"/>
        <v>FMS - for industrial robot &amp; for industrial Mill&amp;Turn</v>
      </c>
      <c r="F3223">
        <v>502</v>
      </c>
      <c r="G3223" t="str">
        <f t="shared" si="808"/>
        <v>Y</v>
      </c>
      <c r="H3223" t="str">
        <f t="shared" si="813"/>
        <v>EA</v>
      </c>
      <c r="I3223">
        <v>0</v>
      </c>
      <c r="J3223">
        <v>0</v>
      </c>
      <c r="K3223" t="str">
        <f t="shared" si="809"/>
        <v>Y</v>
      </c>
      <c r="L3223">
        <v>0</v>
      </c>
      <c r="M3223" t="str">
        <f t="shared" si="814"/>
        <v>NIS</v>
      </c>
      <c r="O3223">
        <v>10</v>
      </c>
      <c r="P3223" t="str">
        <f t="shared" si="815"/>
        <v>Active</v>
      </c>
      <c r="Q3223" t="str">
        <f>"Raw Material Stock - Brass  Rod"</f>
        <v>Raw Material Stock - Brass  Rod</v>
      </c>
      <c r="S3223" t="str">
        <f>"Raw Material Stock - Brass  Rod"</f>
        <v>Raw Material Stock - Brass  Rod</v>
      </c>
      <c r="T3223">
        <v>0</v>
      </c>
      <c r="U3223">
        <v>3.67</v>
      </c>
      <c r="V3223">
        <v>2.69</v>
      </c>
      <c r="W3223" t="str">
        <f t="shared" si="796"/>
        <v>rob</v>
      </c>
    </row>
    <row r="3224" spans="1:23">
      <c r="A3224" t="str">
        <f t="shared" si="811"/>
        <v>MTS-IROB-IM&amp;IT</v>
      </c>
      <c r="B3224" t="str">
        <f>"00-1251-0000"</f>
        <v>00-1251-0000</v>
      </c>
      <c r="C3224" t="str">
        <f>"Workbench 1500x800mm (Formica Top)"</f>
        <v>Workbench 1500x800mm (Formica Top)</v>
      </c>
      <c r="D3224">
        <v>1</v>
      </c>
      <c r="E3224" t="str">
        <f t="shared" si="812"/>
        <v>FMS - for industrial robot &amp; for industrial Mill&amp;Turn</v>
      </c>
      <c r="F3224">
        <v>502</v>
      </c>
      <c r="G3224" t="str">
        <f t="shared" si="808"/>
        <v>Y</v>
      </c>
      <c r="H3224" t="str">
        <f t="shared" si="813"/>
        <v>EA</v>
      </c>
      <c r="I3224">
        <v>0</v>
      </c>
      <c r="J3224">
        <v>0</v>
      </c>
      <c r="K3224" t="str">
        <f t="shared" si="809"/>
        <v>Y</v>
      </c>
      <c r="L3224">
        <v>0</v>
      </c>
      <c r="M3224" t="str">
        <f t="shared" si="814"/>
        <v>NIS</v>
      </c>
      <c r="O3224">
        <v>11</v>
      </c>
      <c r="P3224" t="str">
        <f t="shared" si="815"/>
        <v>Active</v>
      </c>
      <c r="Q3224" t="str">
        <f>"Workbench 1500x800mm (Formica Top)"</f>
        <v>Workbench 1500x800mm (Formica Top)</v>
      </c>
      <c r="S3224" t="str">
        <f>"Workbench 1500x800mm (Formica Top)"</f>
        <v>Workbench 1500x800mm (Formica Top)</v>
      </c>
      <c r="T3224">
        <v>0</v>
      </c>
      <c r="U3224">
        <v>582</v>
      </c>
      <c r="V3224">
        <v>588.6</v>
      </c>
      <c r="W3224" t="str">
        <f t="shared" si="796"/>
        <v>rob</v>
      </c>
    </row>
    <row r="3225" spans="1:23">
      <c r="A3225" t="str">
        <f t="shared" si="811"/>
        <v>MTS-IROB-IM&amp;IT</v>
      </c>
      <c r="B3225" t="str">
        <f>"00-1290-0000"</f>
        <v>00-1290-0000</v>
      </c>
      <c r="C3225" t="str">
        <f>"PC Table 630x800mm (with Keyboard Drawer)"</f>
        <v>PC Table 630x800mm (with Keyboard Drawer)</v>
      </c>
      <c r="D3225">
        <v>1</v>
      </c>
      <c r="E3225" t="str">
        <f t="shared" si="812"/>
        <v>FMS - for industrial robot &amp; for industrial Mill&amp;Turn</v>
      </c>
      <c r="F3225">
        <v>502</v>
      </c>
      <c r="G3225" t="str">
        <f t="shared" si="808"/>
        <v>Y</v>
      </c>
      <c r="H3225" t="str">
        <f t="shared" si="813"/>
        <v>EA</v>
      </c>
      <c r="I3225">
        <v>0</v>
      </c>
      <c r="J3225">
        <v>0</v>
      </c>
      <c r="K3225" t="str">
        <f t="shared" si="809"/>
        <v>Y</v>
      </c>
      <c r="L3225">
        <v>0</v>
      </c>
      <c r="M3225" t="str">
        <f t="shared" si="814"/>
        <v>NIS</v>
      </c>
      <c r="O3225">
        <v>12</v>
      </c>
      <c r="P3225" t="str">
        <f t="shared" si="815"/>
        <v>Active</v>
      </c>
      <c r="Q3225" t="str">
        <f>"PC Table 630x800mm (with Keyboard Drawer)"</f>
        <v>PC Table 630x800mm (with Keyboard Drawer)</v>
      </c>
      <c r="S3225" t="str">
        <f>"PC Table 630x800mm (with Keyboard Drawer)"</f>
        <v>PC Table 630x800mm (with Keyboard Drawer)</v>
      </c>
      <c r="T3225">
        <v>0</v>
      </c>
      <c r="U3225">
        <v>405.86</v>
      </c>
      <c r="V3225">
        <v>329.34</v>
      </c>
      <c r="W3225" t="str">
        <f t="shared" si="796"/>
        <v>rob</v>
      </c>
    </row>
    <row r="3226" spans="1:23">
      <c r="A3226" t="str">
        <f t="shared" si="811"/>
        <v>MTS-IROB-IM&amp;IT</v>
      </c>
      <c r="B3226" t="str">
        <f>"50-0094-0000"</f>
        <v>50-0094-0000</v>
      </c>
      <c r="C3226" t="str">
        <f>"Pre-Engineering, Design and Testing"</f>
        <v>Pre-Engineering, Design and Testing</v>
      </c>
      <c r="D3226">
        <v>1</v>
      </c>
      <c r="E3226" t="str">
        <f t="shared" si="812"/>
        <v>FMS - for industrial robot &amp; for industrial Mill&amp;Turn</v>
      </c>
      <c r="F3226">
        <v>502</v>
      </c>
      <c r="G3226" t="str">
        <f t="shared" si="808"/>
        <v>Y</v>
      </c>
      <c r="H3226" t="str">
        <f>"DA"</f>
        <v>DA</v>
      </c>
      <c r="I3226">
        <v>0</v>
      </c>
      <c r="J3226">
        <v>0</v>
      </c>
      <c r="K3226" t="str">
        <f t="shared" si="809"/>
        <v>Y</v>
      </c>
      <c r="L3226">
        <v>0</v>
      </c>
      <c r="M3226" t="str">
        <f t="shared" si="814"/>
        <v>NIS</v>
      </c>
      <c r="O3226">
        <v>13</v>
      </c>
      <c r="P3226" t="str">
        <f t="shared" si="815"/>
        <v>Active</v>
      </c>
      <c r="Q3226" t="str">
        <f>"Pre-Engineering, Design and Testing"</f>
        <v>Pre-Engineering, Design and Testing</v>
      </c>
      <c r="S3226" t="str">
        <f>"Pre-Engineering, Design and Testing"</f>
        <v>Pre-Engineering, Design and Testing</v>
      </c>
      <c r="T3226">
        <v>0</v>
      </c>
      <c r="U3226">
        <v>405</v>
      </c>
      <c r="V3226">
        <v>421.2</v>
      </c>
      <c r="W3226" t="str">
        <f t="shared" si="796"/>
        <v>rob</v>
      </c>
    </row>
    <row r="3227" spans="1:23">
      <c r="A3227" t="str">
        <f t="shared" ref="A3227:A3238" si="816">"MTS-IROB-IT"</f>
        <v>MTS-IROB-IT</v>
      </c>
      <c r="B3227" t="str">
        <f>"10-2119-9000"</f>
        <v>10-2119-9000</v>
      </c>
      <c r="C3227" t="str">
        <f>"Interface with industrial robot"</f>
        <v>Interface with industrial robot</v>
      </c>
      <c r="D3227">
        <v>1</v>
      </c>
      <c r="E3227" t="str">
        <f t="shared" ref="E3227:E3238" si="817">"FMS - for industrial robot &amp; for industrial Turn"</f>
        <v>FMS - for industrial robot &amp; for industrial Turn</v>
      </c>
      <c r="F3227">
        <v>502</v>
      </c>
      <c r="G3227" t="str">
        <f t="shared" si="808"/>
        <v>Y</v>
      </c>
      <c r="H3227" t="str">
        <f t="shared" ref="H3227:H3237" si="818">"EA"</f>
        <v>EA</v>
      </c>
      <c r="I3227">
        <v>0</v>
      </c>
      <c r="J3227">
        <v>0</v>
      </c>
      <c r="K3227" t="str">
        <f t="shared" si="809"/>
        <v>Y</v>
      </c>
      <c r="L3227">
        <v>0</v>
      </c>
      <c r="M3227" t="str">
        <f t="shared" si="814"/>
        <v>NIS</v>
      </c>
      <c r="O3227">
        <v>1</v>
      </c>
      <c r="P3227" t="str">
        <f t="shared" si="815"/>
        <v>Active</v>
      </c>
      <c r="Q3227" t="str">
        <f>"Interface with industrial robot"</f>
        <v>Interface with industrial robot</v>
      </c>
      <c r="S3227" t="str">
        <f>"Interface with industrial robot"</f>
        <v>Interface with industrial robot</v>
      </c>
      <c r="T3227">
        <v>0</v>
      </c>
      <c r="U3227" s="44">
        <v>2000</v>
      </c>
      <c r="V3227" s="44">
        <v>2220</v>
      </c>
      <c r="W3227" t="str">
        <f t="shared" si="796"/>
        <v>rob</v>
      </c>
    </row>
    <row r="3228" spans="1:23">
      <c r="A3228" t="str">
        <f t="shared" si="816"/>
        <v>MTS-IROB-IT</v>
      </c>
      <c r="B3228" t="str">
        <f>"00-0647-0000"</f>
        <v>00-0647-0000</v>
      </c>
      <c r="C3228" t="str">
        <f>"Pneumatic Gripper for 3rd party robots"</f>
        <v>Pneumatic Gripper for 3rd party robots</v>
      </c>
      <c r="D3228">
        <v>1</v>
      </c>
      <c r="E3228" t="str">
        <f t="shared" si="817"/>
        <v>FMS - for industrial robot &amp; for industrial Turn</v>
      </c>
      <c r="F3228">
        <v>502</v>
      </c>
      <c r="G3228" t="str">
        <f t="shared" si="808"/>
        <v>Y</v>
      </c>
      <c r="H3228" t="str">
        <f t="shared" si="818"/>
        <v>EA</v>
      </c>
      <c r="I3228">
        <v>0</v>
      </c>
      <c r="J3228">
        <v>0</v>
      </c>
      <c r="K3228" t="str">
        <f t="shared" si="809"/>
        <v>Y</v>
      </c>
      <c r="L3228">
        <v>0</v>
      </c>
      <c r="M3228" t="str">
        <f t="shared" si="814"/>
        <v>NIS</v>
      </c>
      <c r="O3228">
        <v>2</v>
      </c>
      <c r="P3228" t="str">
        <f>"ECO-N2Buy"</f>
        <v>ECO-N2Buy</v>
      </c>
      <c r="Q3228" t="str">
        <f>"Pneumatic Gripper for small industrial robots"</f>
        <v>Pneumatic Gripper for small industrial robots</v>
      </c>
      <c r="S3228" t="str">
        <f>"Pneumatic Gripper for small industrial robots"</f>
        <v>Pneumatic Gripper for small industrial robots</v>
      </c>
      <c r="T3228">
        <v>0</v>
      </c>
      <c r="U3228" s="44">
        <v>1000</v>
      </c>
      <c r="V3228">
        <v>646.62</v>
      </c>
      <c r="W3228" t="str">
        <f t="shared" si="796"/>
        <v>rob</v>
      </c>
    </row>
    <row r="3229" spans="1:23">
      <c r="A3229" t="str">
        <f t="shared" si="816"/>
        <v>MTS-IROB-IT</v>
      </c>
      <c r="B3229" t="str">
        <f>"00-1027-0000"</f>
        <v>00-1027-0000</v>
      </c>
      <c r="C3229" t="str">
        <f>"LSB 1.8m, Belt, USB-Pro, for ind. robot &lt; 35kg)"</f>
        <v>LSB 1.8m, Belt, USB-Pro, for ind. robot &lt; 35kg)</v>
      </c>
      <c r="D3229">
        <v>1</v>
      </c>
      <c r="E3229" t="str">
        <f t="shared" si="817"/>
        <v>FMS - for industrial robot &amp; for industrial Turn</v>
      </c>
      <c r="F3229">
        <v>502</v>
      </c>
      <c r="G3229" t="str">
        <f t="shared" si="808"/>
        <v>Y</v>
      </c>
      <c r="H3229" t="str">
        <f t="shared" si="818"/>
        <v>EA</v>
      </c>
      <c r="I3229">
        <v>0</v>
      </c>
      <c r="J3229">
        <v>0</v>
      </c>
      <c r="K3229" t="str">
        <f t="shared" si="809"/>
        <v>Y</v>
      </c>
      <c r="L3229">
        <v>0</v>
      </c>
      <c r="M3229" t="str">
        <f t="shared" si="814"/>
        <v>NIS</v>
      </c>
      <c r="O3229">
        <v>3</v>
      </c>
      <c r="P3229" t="str">
        <f t="shared" ref="P3229:P3239" si="819">"Active"</f>
        <v>Active</v>
      </c>
      <c r="Q3229" t="str">
        <f>"LSB 1.8m incl. USB-Pro(Industr. robot max. 50kg)"</f>
        <v>LSB 1.8m incl. USB-Pro(Industr. robot max. 50kg)</v>
      </c>
      <c r="S3229" t="str">
        <f>"LSB 1.8m, Belt, USB-Pro, for ind. robot &lt; 35kg"</f>
        <v>LSB 1.8m, Belt, USB-Pro, for ind. robot &lt; 35kg</v>
      </c>
      <c r="T3229">
        <v>0</v>
      </c>
      <c r="U3229" s="44">
        <v>5000</v>
      </c>
      <c r="V3229" s="44">
        <v>4687.0200000000004</v>
      </c>
      <c r="W3229" t="str">
        <f t="shared" si="796"/>
        <v>rob</v>
      </c>
    </row>
    <row r="3230" spans="1:23">
      <c r="A3230" t="str">
        <f t="shared" si="816"/>
        <v>MTS-IROB-IT</v>
      </c>
      <c r="B3230" t="str">
        <f>"00-1110-0000"</f>
        <v>00-1110-0000</v>
      </c>
      <c r="C3230" t="str">
        <f>"Palletizing Rack"</f>
        <v>Palletizing Rack</v>
      </c>
      <c r="D3230">
        <v>1</v>
      </c>
      <c r="E3230" t="str">
        <f t="shared" si="817"/>
        <v>FMS - for industrial robot &amp; for industrial Turn</v>
      </c>
      <c r="F3230">
        <v>502</v>
      </c>
      <c r="G3230" t="str">
        <f t="shared" si="808"/>
        <v>Y</v>
      </c>
      <c r="H3230" t="str">
        <f t="shared" si="818"/>
        <v>EA</v>
      </c>
      <c r="I3230">
        <v>0</v>
      </c>
      <c r="J3230">
        <v>0</v>
      </c>
      <c r="K3230" t="str">
        <f t="shared" si="809"/>
        <v>Y</v>
      </c>
      <c r="L3230">
        <v>0</v>
      </c>
      <c r="M3230" t="str">
        <f t="shared" si="814"/>
        <v>NIS</v>
      </c>
      <c r="O3230">
        <v>4</v>
      </c>
      <c r="P3230" t="str">
        <f t="shared" si="819"/>
        <v>Active</v>
      </c>
      <c r="Q3230" t="str">
        <f>"Palletizing Rack (incl. Pins for creating Jigs)"</f>
        <v>Palletizing Rack (incl. Pins for creating Jigs)</v>
      </c>
      <c r="S3230" t="str">
        <f>"Palletizing Rack (incl. Pins for creating Jigs)"</f>
        <v>Palletizing Rack (incl. Pins for creating Jigs)</v>
      </c>
      <c r="T3230">
        <v>0</v>
      </c>
      <c r="U3230">
        <v>63</v>
      </c>
      <c r="V3230">
        <v>58.59</v>
      </c>
      <c r="W3230" t="str">
        <f t="shared" si="796"/>
        <v>rob</v>
      </c>
    </row>
    <row r="3231" spans="1:23">
      <c r="A3231" t="str">
        <f t="shared" si="816"/>
        <v>MTS-IROB-IT</v>
      </c>
      <c r="B3231" t="str">
        <f>"10-1007-4000"</f>
        <v>10-1007-4000</v>
      </c>
      <c r="C3231" t="str">
        <f>"Gravity Parts Feeder (with microswitch sensor)"</f>
        <v>Gravity Parts Feeder (with microswitch sensor)</v>
      </c>
      <c r="D3231">
        <v>1</v>
      </c>
      <c r="E3231" t="str">
        <f t="shared" si="817"/>
        <v>FMS - for industrial robot &amp; for industrial Turn</v>
      </c>
      <c r="F3231">
        <v>502</v>
      </c>
      <c r="G3231" t="str">
        <f t="shared" si="808"/>
        <v>Y</v>
      </c>
      <c r="H3231" t="str">
        <f t="shared" si="818"/>
        <v>EA</v>
      </c>
      <c r="I3231">
        <v>0</v>
      </c>
      <c r="J3231">
        <v>0</v>
      </c>
      <c r="K3231" t="str">
        <f t="shared" si="809"/>
        <v>Y</v>
      </c>
      <c r="L3231">
        <v>0</v>
      </c>
      <c r="M3231" t="str">
        <f t="shared" si="814"/>
        <v>NIS</v>
      </c>
      <c r="O3231">
        <v>5</v>
      </c>
      <c r="P3231" t="str">
        <f t="shared" si="819"/>
        <v>Active</v>
      </c>
      <c r="Q3231" t="str">
        <f>"Gravity Parts Feeder (incl.microswitch sensor)"</f>
        <v>Gravity Parts Feeder (incl.microswitch sensor)</v>
      </c>
      <c r="S3231" t="str">
        <f>"Gravity Parts Feeder (incl.microswitch sensor)"</f>
        <v>Gravity Parts Feeder (incl.microswitch sensor)</v>
      </c>
      <c r="T3231">
        <v>0</v>
      </c>
      <c r="U3231">
        <v>148</v>
      </c>
      <c r="V3231">
        <v>148.26</v>
      </c>
      <c r="W3231" t="str">
        <f t="shared" si="796"/>
        <v>rob</v>
      </c>
    </row>
    <row r="3232" spans="1:23">
      <c r="A3232" t="str">
        <f t="shared" si="816"/>
        <v>MTS-IROB-IT</v>
      </c>
      <c r="B3232" t="str">
        <f>"021152"</f>
        <v>021152</v>
      </c>
      <c r="C3232" t="str">
        <f>"Shelf Buffer for CIM conveyor"</f>
        <v>Shelf Buffer for CIM conveyor</v>
      </c>
      <c r="D3232">
        <v>1</v>
      </c>
      <c r="E3232" t="str">
        <f t="shared" si="817"/>
        <v>FMS - for industrial robot &amp; for industrial Turn</v>
      </c>
      <c r="F3232">
        <v>502</v>
      </c>
      <c r="G3232" t="str">
        <f t="shared" si="808"/>
        <v>Y</v>
      </c>
      <c r="H3232" t="str">
        <f t="shared" si="818"/>
        <v>EA</v>
      </c>
      <c r="I3232">
        <v>0</v>
      </c>
      <c r="J3232">
        <v>0</v>
      </c>
      <c r="K3232" t="str">
        <f t="shared" si="809"/>
        <v>Y</v>
      </c>
      <c r="L3232">
        <v>0</v>
      </c>
      <c r="M3232" t="str">
        <f t="shared" si="814"/>
        <v>NIS</v>
      </c>
      <c r="O3232">
        <v>6</v>
      </c>
      <c r="P3232" t="str">
        <f t="shared" si="819"/>
        <v>Active</v>
      </c>
      <c r="Q3232" t="str">
        <f>"מכלול- מדף בפר סטנדרטי OPEN-CIM"</f>
        <v>מכלול- מדף בפר סטנדרטי OPEN-CIM</v>
      </c>
      <c r="R3232" t="str">
        <f>"1"</f>
        <v>1</v>
      </c>
      <c r="S3232" t="str">
        <f>"מכלול- מדף בפר סטנדרטי OPEN-CIM"</f>
        <v>מכלול- מדף בפר סטנדרטי OPEN-CIM</v>
      </c>
      <c r="T3232">
        <v>0</v>
      </c>
      <c r="U3232">
        <v>83.12</v>
      </c>
      <c r="V3232">
        <v>92.76</v>
      </c>
      <c r="W3232" t="str">
        <f t="shared" si="796"/>
        <v>rob</v>
      </c>
    </row>
    <row r="3233" spans="1:23">
      <c r="A3233" t="str">
        <f t="shared" si="816"/>
        <v>MTS-IROB-IT</v>
      </c>
      <c r="B3233" t="str">
        <f>"50-0092-0000"</f>
        <v>50-0092-0000</v>
      </c>
      <c r="C3233" t="str">
        <f>"Interface Programming for 3rd Party CNC Machine"</f>
        <v>Interface Programming for 3rd Party CNC Machine</v>
      </c>
      <c r="D3233">
        <v>1</v>
      </c>
      <c r="E3233" t="str">
        <f t="shared" si="817"/>
        <v>FMS - for industrial robot &amp; for industrial Turn</v>
      </c>
      <c r="F3233">
        <v>502</v>
      </c>
      <c r="G3233" t="str">
        <f t="shared" si="808"/>
        <v>Y</v>
      </c>
      <c r="H3233" t="str">
        <f t="shared" si="818"/>
        <v>EA</v>
      </c>
      <c r="I3233">
        <v>0</v>
      </c>
      <c r="J3233">
        <v>0</v>
      </c>
      <c r="K3233" t="str">
        <f t="shared" si="809"/>
        <v>Y</v>
      </c>
      <c r="L3233">
        <v>0</v>
      </c>
      <c r="M3233" t="str">
        <f t="shared" si="814"/>
        <v>NIS</v>
      </c>
      <c r="O3233">
        <v>7</v>
      </c>
      <c r="P3233" t="str">
        <f t="shared" si="819"/>
        <v>Active</v>
      </c>
      <c r="Q3233" t="str">
        <f>"Interface Programming for 3rd Party CNC Machine"</f>
        <v>Interface Programming for 3rd Party CNC Machine</v>
      </c>
      <c r="S3233" t="str">
        <f>"Interface Programming for 3rd Party CNC Machine"</f>
        <v>Interface Programming for 3rd Party CNC Machine</v>
      </c>
      <c r="T3233">
        <v>0</v>
      </c>
      <c r="U3233" s="44">
        <v>1000</v>
      </c>
      <c r="V3233" s="44">
        <v>1000</v>
      </c>
      <c r="W3233" t="str">
        <f t="shared" si="796"/>
        <v>rob</v>
      </c>
    </row>
    <row r="3234" spans="1:23">
      <c r="A3234" t="str">
        <f t="shared" si="816"/>
        <v>MTS-IROB-IT</v>
      </c>
      <c r="B3234" t="str">
        <f>"10-2118-8000"</f>
        <v>10-2118-8000</v>
      </c>
      <c r="C3234" t="str">
        <f>"CNC Interface Option Relay Box (5OUT/5IN)"</f>
        <v>CNC Interface Option Relay Box (5OUT/5IN)</v>
      </c>
      <c r="D3234">
        <v>1</v>
      </c>
      <c r="E3234" t="str">
        <f t="shared" si="817"/>
        <v>FMS - for industrial robot &amp; for industrial Turn</v>
      </c>
      <c r="F3234">
        <v>502</v>
      </c>
      <c r="G3234" t="str">
        <f t="shared" si="808"/>
        <v>Y</v>
      </c>
      <c r="H3234" t="str">
        <f t="shared" si="818"/>
        <v>EA</v>
      </c>
      <c r="I3234">
        <v>0</v>
      </c>
      <c r="J3234">
        <v>0</v>
      </c>
      <c r="K3234" t="str">
        <f t="shared" si="809"/>
        <v>Y</v>
      </c>
      <c r="L3234">
        <v>0</v>
      </c>
      <c r="M3234" t="str">
        <f t="shared" si="814"/>
        <v>NIS</v>
      </c>
      <c r="O3234">
        <v>12</v>
      </c>
      <c r="P3234" t="str">
        <f t="shared" si="819"/>
        <v>Active</v>
      </c>
      <c r="Q3234" t="str">
        <f>"CNC Interface Option USB Relay Box (5OUT/5IN)"</f>
        <v>CNC Interface Option USB Relay Box (5OUT/5IN)</v>
      </c>
      <c r="S3234" t="str">
        <f>"CNC Interface Option Relay Box (5OUT/5IN)"</f>
        <v>CNC Interface Option Relay Box (5OUT/5IN)</v>
      </c>
      <c r="T3234">
        <v>0</v>
      </c>
      <c r="U3234">
        <v>84</v>
      </c>
      <c r="V3234">
        <v>215.62</v>
      </c>
      <c r="W3234" t="str">
        <f t="shared" ref="W3234:W3297" si="820">"rob"</f>
        <v>rob</v>
      </c>
    </row>
    <row r="3235" spans="1:23">
      <c r="A3235" t="str">
        <f t="shared" si="816"/>
        <v>MTS-IROB-IT</v>
      </c>
      <c r="B3235" t="str">
        <f>"112496"</f>
        <v>112496</v>
      </c>
      <c r="C3235" t="str">
        <f>"Raw Material - Brass  Rod"</f>
        <v>Raw Material - Brass  Rod</v>
      </c>
      <c r="D3235">
        <v>50</v>
      </c>
      <c r="E3235" t="str">
        <f t="shared" si="817"/>
        <v>FMS - for industrial robot &amp; for industrial Turn</v>
      </c>
      <c r="F3235">
        <v>502</v>
      </c>
      <c r="G3235" t="str">
        <f t="shared" si="808"/>
        <v>Y</v>
      </c>
      <c r="H3235" t="str">
        <f t="shared" si="818"/>
        <v>EA</v>
      </c>
      <c r="I3235">
        <v>0</v>
      </c>
      <c r="J3235">
        <v>0</v>
      </c>
      <c r="K3235" t="str">
        <f t="shared" si="809"/>
        <v>Y</v>
      </c>
      <c r="L3235">
        <v>0</v>
      </c>
      <c r="M3235" t="str">
        <f t="shared" si="814"/>
        <v>NIS</v>
      </c>
      <c r="O3235">
        <v>8</v>
      </c>
      <c r="P3235" t="str">
        <f t="shared" si="819"/>
        <v>Active</v>
      </c>
      <c r="Q3235" t="str">
        <f>"Raw Material Stock - Brass  Rod"</f>
        <v>Raw Material Stock - Brass  Rod</v>
      </c>
      <c r="S3235" t="str">
        <f>"Raw Material Stock - Brass  Rod"</f>
        <v>Raw Material Stock - Brass  Rod</v>
      </c>
      <c r="T3235">
        <v>0</v>
      </c>
      <c r="U3235">
        <v>3.67</v>
      </c>
      <c r="V3235">
        <v>2.69</v>
      </c>
      <c r="W3235" t="str">
        <f t="shared" si="820"/>
        <v>rob</v>
      </c>
    </row>
    <row r="3236" spans="1:23">
      <c r="A3236" t="str">
        <f t="shared" si="816"/>
        <v>MTS-IROB-IT</v>
      </c>
      <c r="B3236" t="str">
        <f>"00-1251-0000"</f>
        <v>00-1251-0000</v>
      </c>
      <c r="C3236" t="str">
        <f>"Workbench 1500x800mm (Formica Top)"</f>
        <v>Workbench 1500x800mm (Formica Top)</v>
      </c>
      <c r="D3236">
        <v>1</v>
      </c>
      <c r="E3236" t="str">
        <f t="shared" si="817"/>
        <v>FMS - for industrial robot &amp; for industrial Turn</v>
      </c>
      <c r="F3236">
        <v>502</v>
      </c>
      <c r="G3236" t="str">
        <f t="shared" si="808"/>
        <v>Y</v>
      </c>
      <c r="H3236" t="str">
        <f t="shared" si="818"/>
        <v>EA</v>
      </c>
      <c r="I3236">
        <v>0</v>
      </c>
      <c r="J3236">
        <v>0</v>
      </c>
      <c r="K3236" t="str">
        <f t="shared" si="809"/>
        <v>Y</v>
      </c>
      <c r="L3236">
        <v>0</v>
      </c>
      <c r="M3236" t="str">
        <f t="shared" si="814"/>
        <v>NIS</v>
      </c>
      <c r="O3236">
        <v>9</v>
      </c>
      <c r="P3236" t="str">
        <f t="shared" si="819"/>
        <v>Active</v>
      </c>
      <c r="Q3236" t="str">
        <f>"Workbench 1500x800mm (Formica Top)"</f>
        <v>Workbench 1500x800mm (Formica Top)</v>
      </c>
      <c r="S3236" t="str">
        <f>"Workbench 1500x800mm (Formica Top)"</f>
        <v>Workbench 1500x800mm (Formica Top)</v>
      </c>
      <c r="T3236">
        <v>0</v>
      </c>
      <c r="U3236">
        <v>582</v>
      </c>
      <c r="V3236">
        <v>588.6</v>
      </c>
      <c r="W3236" t="str">
        <f t="shared" si="820"/>
        <v>rob</v>
      </c>
    </row>
    <row r="3237" spans="1:23">
      <c r="A3237" t="str">
        <f t="shared" si="816"/>
        <v>MTS-IROB-IT</v>
      </c>
      <c r="B3237" t="str">
        <f>"00-1290-0000"</f>
        <v>00-1290-0000</v>
      </c>
      <c r="C3237" t="str">
        <f>"PC Table 630x800mm (with Keyboard Drawer)"</f>
        <v>PC Table 630x800mm (with Keyboard Drawer)</v>
      </c>
      <c r="D3237">
        <v>1</v>
      </c>
      <c r="E3237" t="str">
        <f t="shared" si="817"/>
        <v>FMS - for industrial robot &amp; for industrial Turn</v>
      </c>
      <c r="F3237">
        <v>502</v>
      </c>
      <c r="G3237" t="str">
        <f t="shared" si="808"/>
        <v>Y</v>
      </c>
      <c r="H3237" t="str">
        <f t="shared" si="818"/>
        <v>EA</v>
      </c>
      <c r="I3237">
        <v>0</v>
      </c>
      <c r="J3237">
        <v>0</v>
      </c>
      <c r="K3237" t="str">
        <f t="shared" si="809"/>
        <v>Y</v>
      </c>
      <c r="L3237">
        <v>0</v>
      </c>
      <c r="M3237" t="str">
        <f t="shared" si="814"/>
        <v>NIS</v>
      </c>
      <c r="O3237">
        <v>10</v>
      </c>
      <c r="P3237" t="str">
        <f t="shared" si="819"/>
        <v>Active</v>
      </c>
      <c r="Q3237" t="str">
        <f>"PC Table 630x800mm (with Keyboard Drawer)"</f>
        <v>PC Table 630x800mm (with Keyboard Drawer)</v>
      </c>
      <c r="S3237" t="str">
        <f>"PC Table 630x800mm (with Keyboard Drawer)"</f>
        <v>PC Table 630x800mm (with Keyboard Drawer)</v>
      </c>
      <c r="T3237">
        <v>0</v>
      </c>
      <c r="U3237">
        <v>405.86</v>
      </c>
      <c r="V3237">
        <v>329.34</v>
      </c>
      <c r="W3237" t="str">
        <f t="shared" si="820"/>
        <v>rob</v>
      </c>
    </row>
    <row r="3238" spans="1:23">
      <c r="A3238" t="str">
        <f t="shared" si="816"/>
        <v>MTS-IROB-IT</v>
      </c>
      <c r="B3238" t="str">
        <f>"50-0094-0000"</f>
        <v>50-0094-0000</v>
      </c>
      <c r="C3238" t="str">
        <f>"Pre-Engineering, Design and Testing"</f>
        <v>Pre-Engineering, Design and Testing</v>
      </c>
      <c r="D3238">
        <v>1</v>
      </c>
      <c r="E3238" t="str">
        <f t="shared" si="817"/>
        <v>FMS - for industrial robot &amp; for industrial Turn</v>
      </c>
      <c r="F3238">
        <v>502</v>
      </c>
      <c r="G3238" t="str">
        <f t="shared" si="808"/>
        <v>Y</v>
      </c>
      <c r="H3238" t="str">
        <f>"DA"</f>
        <v>DA</v>
      </c>
      <c r="I3238">
        <v>0</v>
      </c>
      <c r="J3238">
        <v>0</v>
      </c>
      <c r="K3238" t="str">
        <f t="shared" si="809"/>
        <v>Y</v>
      </c>
      <c r="L3238">
        <v>0</v>
      </c>
      <c r="M3238" t="str">
        <f t="shared" si="814"/>
        <v>NIS</v>
      </c>
      <c r="O3238">
        <v>11</v>
      </c>
      <c r="P3238" t="str">
        <f t="shared" si="819"/>
        <v>Active</v>
      </c>
      <c r="Q3238" t="str">
        <f>"Pre-Engineering, Design and Testing"</f>
        <v>Pre-Engineering, Design and Testing</v>
      </c>
      <c r="S3238" t="str">
        <f>"Pre-Engineering, Design and Testing"</f>
        <v>Pre-Engineering, Design and Testing</v>
      </c>
      <c r="T3238">
        <v>0</v>
      </c>
      <c r="U3238">
        <v>405</v>
      </c>
      <c r="V3238">
        <v>421.2</v>
      </c>
      <c r="W3238" t="str">
        <f t="shared" si="820"/>
        <v>rob</v>
      </c>
    </row>
    <row r="3239" spans="1:23">
      <c r="A3239" t="str">
        <f t="shared" ref="A3239:A3253" si="821">"MTS-KUKA-CM&amp;CT"</f>
        <v>MTS-KUKA-CM&amp;CT</v>
      </c>
      <c r="B3239" t="str">
        <f>"10-2119-9000"</f>
        <v>10-2119-9000</v>
      </c>
      <c r="C3239" t="str">
        <f>"Interface with industrial robot"</f>
        <v>Interface with industrial robot</v>
      </c>
      <c r="D3239">
        <v>1</v>
      </c>
      <c r="E3239" t="str">
        <f t="shared" ref="E3239:E3253" si="822">"FMS - for KUKA robot &amp; for EMCO CONCEPT Mill&amp;Turn"</f>
        <v>FMS - for KUKA robot &amp; for EMCO CONCEPT Mill&amp;Turn</v>
      </c>
      <c r="F3239">
        <v>502</v>
      </c>
      <c r="G3239" t="str">
        <f t="shared" si="808"/>
        <v>Y</v>
      </c>
      <c r="H3239" t="str">
        <f t="shared" ref="H3239:H3251" si="823">"EA"</f>
        <v>EA</v>
      </c>
      <c r="I3239">
        <v>0</v>
      </c>
      <c r="J3239">
        <v>0</v>
      </c>
      <c r="K3239" t="str">
        <f t="shared" si="809"/>
        <v>Y</v>
      </c>
      <c r="L3239">
        <v>0</v>
      </c>
      <c r="M3239" t="str">
        <f t="shared" si="814"/>
        <v>NIS</v>
      </c>
      <c r="O3239">
        <v>1</v>
      </c>
      <c r="P3239" t="str">
        <f t="shared" si="819"/>
        <v>Active</v>
      </c>
      <c r="Q3239" t="str">
        <f>"Interface with industrial robot"</f>
        <v>Interface with industrial robot</v>
      </c>
      <c r="S3239" t="str">
        <f>"Interface with industrial robot"</f>
        <v>Interface with industrial robot</v>
      </c>
      <c r="T3239">
        <v>0</v>
      </c>
      <c r="U3239" s="44">
        <v>2000</v>
      </c>
      <c r="V3239" s="44">
        <v>2220</v>
      </c>
      <c r="W3239" t="str">
        <f t="shared" si="820"/>
        <v>rob</v>
      </c>
    </row>
    <row r="3240" spans="1:23">
      <c r="A3240" t="str">
        <f t="shared" si="821"/>
        <v>MTS-KUKA-CM&amp;CT</v>
      </c>
      <c r="B3240" t="str">
        <f>"00-0647-0000"</f>
        <v>00-0647-0000</v>
      </c>
      <c r="C3240" t="str">
        <f>"Pneumatic Gripper for 3rd party robots"</f>
        <v>Pneumatic Gripper for 3rd party robots</v>
      </c>
      <c r="D3240">
        <v>1</v>
      </c>
      <c r="E3240" t="str">
        <f t="shared" si="822"/>
        <v>FMS - for KUKA robot &amp; for EMCO CONCEPT Mill&amp;Turn</v>
      </c>
      <c r="F3240">
        <v>502</v>
      </c>
      <c r="G3240" t="str">
        <f t="shared" si="808"/>
        <v>Y</v>
      </c>
      <c r="H3240" t="str">
        <f t="shared" si="823"/>
        <v>EA</v>
      </c>
      <c r="I3240">
        <v>0</v>
      </c>
      <c r="J3240">
        <v>0</v>
      </c>
      <c r="K3240" t="str">
        <f t="shared" si="809"/>
        <v>Y</v>
      </c>
      <c r="L3240">
        <v>0</v>
      </c>
      <c r="M3240" t="str">
        <f t="shared" si="814"/>
        <v>NIS</v>
      </c>
      <c r="O3240">
        <v>2</v>
      </c>
      <c r="P3240" t="str">
        <f>"ECO-N2Buy"</f>
        <v>ECO-N2Buy</v>
      </c>
      <c r="Q3240" t="str">
        <f>"Pneum.Gripper for small industrial Robots"</f>
        <v>Pneum.Gripper for small industrial Robots</v>
      </c>
      <c r="S3240" t="str">
        <f>"Pneumatic Gripper for small industrial robots"</f>
        <v>Pneumatic Gripper for small industrial robots</v>
      </c>
      <c r="T3240">
        <v>0</v>
      </c>
      <c r="U3240" s="44">
        <v>1000</v>
      </c>
      <c r="V3240">
        <v>646.62</v>
      </c>
      <c r="W3240" t="str">
        <f t="shared" si="820"/>
        <v>rob</v>
      </c>
    </row>
    <row r="3241" spans="1:23">
      <c r="A3241" t="str">
        <f t="shared" si="821"/>
        <v>MTS-KUKA-CM&amp;CT</v>
      </c>
      <c r="B3241" t="str">
        <f>"00-1110-0000"</f>
        <v>00-1110-0000</v>
      </c>
      <c r="C3241" t="str">
        <f>"Palletizing Rack"</f>
        <v>Palletizing Rack</v>
      </c>
      <c r="D3241">
        <v>2</v>
      </c>
      <c r="E3241" t="str">
        <f t="shared" si="822"/>
        <v>FMS - for KUKA robot &amp; for EMCO CONCEPT Mill&amp;Turn</v>
      </c>
      <c r="F3241">
        <v>502</v>
      </c>
      <c r="G3241" t="str">
        <f t="shared" si="808"/>
        <v>Y</v>
      </c>
      <c r="H3241" t="str">
        <f t="shared" si="823"/>
        <v>EA</v>
      </c>
      <c r="I3241">
        <v>0</v>
      </c>
      <c r="J3241">
        <v>0</v>
      </c>
      <c r="K3241" t="str">
        <f t="shared" si="809"/>
        <v>Y</v>
      </c>
      <c r="L3241">
        <v>0</v>
      </c>
      <c r="M3241" t="str">
        <f t="shared" si="814"/>
        <v>NIS</v>
      </c>
      <c r="O3241">
        <v>3</v>
      </c>
      <c r="P3241" t="str">
        <f t="shared" ref="P3241:P3254" si="824">"Active"</f>
        <v>Active</v>
      </c>
      <c r="Q3241" t="str">
        <f>"Palletizing Rack (incl. Pins for creating Jigs)"</f>
        <v>Palletizing Rack (incl. Pins for creating Jigs)</v>
      </c>
      <c r="S3241" t="str">
        <f>"Palletizing Rack (incl. Pins for creating Jigs)"</f>
        <v>Palletizing Rack (incl. Pins for creating Jigs)</v>
      </c>
      <c r="T3241">
        <v>0</v>
      </c>
      <c r="U3241">
        <v>63</v>
      </c>
      <c r="V3241">
        <v>58.59</v>
      </c>
      <c r="W3241" t="str">
        <f t="shared" si="820"/>
        <v>rob</v>
      </c>
    </row>
    <row r="3242" spans="1:23">
      <c r="A3242" t="str">
        <f t="shared" si="821"/>
        <v>MTS-KUKA-CM&amp;CT</v>
      </c>
      <c r="B3242" t="str">
        <f>"10-1007-4000"</f>
        <v>10-1007-4000</v>
      </c>
      <c r="C3242" t="str">
        <f>"Gravity Parts Feeder (with microswitch sensor)"</f>
        <v>Gravity Parts Feeder (with microswitch sensor)</v>
      </c>
      <c r="D3242">
        <v>1</v>
      </c>
      <c r="E3242" t="str">
        <f t="shared" si="822"/>
        <v>FMS - for KUKA robot &amp; for EMCO CONCEPT Mill&amp;Turn</v>
      </c>
      <c r="F3242">
        <v>502</v>
      </c>
      <c r="G3242" t="str">
        <f t="shared" si="808"/>
        <v>Y</v>
      </c>
      <c r="H3242" t="str">
        <f t="shared" si="823"/>
        <v>EA</v>
      </c>
      <c r="I3242">
        <v>0</v>
      </c>
      <c r="J3242">
        <v>0</v>
      </c>
      <c r="K3242" t="str">
        <f t="shared" si="809"/>
        <v>Y</v>
      </c>
      <c r="L3242">
        <v>0</v>
      </c>
      <c r="M3242" t="str">
        <f t="shared" si="814"/>
        <v>NIS</v>
      </c>
      <c r="O3242">
        <v>4</v>
      </c>
      <c r="P3242" t="str">
        <f t="shared" si="824"/>
        <v>Active</v>
      </c>
      <c r="Q3242" t="str">
        <f>"Gravity Parts Feeder (incl.microswitch sensor)"</f>
        <v>Gravity Parts Feeder (incl.microswitch sensor)</v>
      </c>
      <c r="S3242" t="str">
        <f>"Gravity Parts Feeder (incl.microswitch sensor)"</f>
        <v>Gravity Parts Feeder (incl.microswitch sensor)</v>
      </c>
      <c r="T3242">
        <v>0</v>
      </c>
      <c r="U3242">
        <v>148</v>
      </c>
      <c r="V3242">
        <v>148.26</v>
      </c>
      <c r="W3242" t="str">
        <f t="shared" si="820"/>
        <v>rob</v>
      </c>
    </row>
    <row r="3243" spans="1:23">
      <c r="A3243" t="str">
        <f t="shared" si="821"/>
        <v>MTS-KUKA-CM&amp;CT</v>
      </c>
      <c r="B3243" t="str">
        <f>"10-2521-7000"</f>
        <v>10-2521-7000</v>
      </c>
      <c r="C3243" t="str">
        <f>"Pneumatic Feeder for Rectangular products"</f>
        <v>Pneumatic Feeder for Rectangular products</v>
      </c>
      <c r="D3243">
        <v>1</v>
      </c>
      <c r="E3243" t="str">
        <f t="shared" si="822"/>
        <v>FMS - for KUKA robot &amp; for EMCO CONCEPT Mill&amp;Turn</v>
      </c>
      <c r="F3243">
        <v>502</v>
      </c>
      <c r="G3243" t="str">
        <f t="shared" si="808"/>
        <v>Y</v>
      </c>
      <c r="H3243" t="str">
        <f t="shared" si="823"/>
        <v>EA</v>
      </c>
      <c r="I3243">
        <v>0</v>
      </c>
      <c r="J3243">
        <v>0</v>
      </c>
      <c r="K3243" t="str">
        <f t="shared" si="809"/>
        <v>Y</v>
      </c>
      <c r="L3243">
        <v>0</v>
      </c>
      <c r="M3243" t="str">
        <f t="shared" si="814"/>
        <v>NIS</v>
      </c>
      <c r="O3243">
        <v>5</v>
      </c>
      <c r="P3243" t="str">
        <f t="shared" si="824"/>
        <v>Active</v>
      </c>
      <c r="Q3243" t="str">
        <f>"Pneumatic Feeder for Rectangular Parts"</f>
        <v>Pneumatic Feeder for Rectangular Parts</v>
      </c>
      <c r="S3243" t="str">
        <f>"Pneumatic Feeder for Rectangular Parts"</f>
        <v>Pneumatic Feeder for Rectangular Parts</v>
      </c>
      <c r="T3243">
        <v>0</v>
      </c>
      <c r="U3243">
        <v>595</v>
      </c>
      <c r="V3243">
        <v>555.15</v>
      </c>
      <c r="W3243" t="str">
        <f t="shared" si="820"/>
        <v>rob</v>
      </c>
    </row>
    <row r="3244" spans="1:23">
      <c r="A3244" t="str">
        <f t="shared" si="821"/>
        <v>MTS-KUKA-CM&amp;CT</v>
      </c>
      <c r="B3244" t="str">
        <f>"10-2118-6000"</f>
        <v>10-2118-6000</v>
      </c>
      <c r="C3244" t="str">
        <f>"CNC Interface with EMCO MILL"</f>
        <v>CNC Interface with EMCO MILL</v>
      </c>
      <c r="D3244">
        <v>1</v>
      </c>
      <c r="E3244" t="str">
        <f t="shared" si="822"/>
        <v>FMS - for KUKA robot &amp; for EMCO CONCEPT Mill&amp;Turn</v>
      </c>
      <c r="F3244">
        <v>502</v>
      </c>
      <c r="G3244" t="str">
        <f t="shared" si="808"/>
        <v>Y</v>
      </c>
      <c r="H3244" t="str">
        <f t="shared" si="823"/>
        <v>EA</v>
      </c>
      <c r="I3244">
        <v>0</v>
      </c>
      <c r="J3244">
        <v>0</v>
      </c>
      <c r="K3244" t="str">
        <f t="shared" si="809"/>
        <v>Y</v>
      </c>
      <c r="L3244">
        <v>0</v>
      </c>
      <c r="M3244" t="str">
        <f t="shared" si="814"/>
        <v>NIS</v>
      </c>
      <c r="O3244">
        <v>6</v>
      </c>
      <c r="P3244" t="str">
        <f t="shared" si="824"/>
        <v>Active</v>
      </c>
      <c r="Q3244" t="str">
        <f>"CNC Interface with EMCO MILL"</f>
        <v>CNC Interface with EMCO MILL</v>
      </c>
      <c r="S3244" t="str">
        <f>"CNC Interface with EMCO MILL"</f>
        <v>CNC Interface with EMCO MILL</v>
      </c>
      <c r="T3244">
        <v>0</v>
      </c>
      <c r="U3244">
        <v>20.28</v>
      </c>
      <c r="V3244">
        <v>13.85</v>
      </c>
      <c r="W3244" t="str">
        <f t="shared" si="820"/>
        <v>rob</v>
      </c>
    </row>
    <row r="3245" spans="1:23">
      <c r="A3245" t="str">
        <f t="shared" si="821"/>
        <v>MTS-KUKA-CM&amp;CT</v>
      </c>
      <c r="B3245" t="str">
        <f>"10-2118-7000"</f>
        <v>10-2118-7000</v>
      </c>
      <c r="C3245" t="str">
        <f>"CNC Interface with EMCO TURN"</f>
        <v>CNC Interface with EMCO TURN</v>
      </c>
      <c r="D3245">
        <v>1</v>
      </c>
      <c r="E3245" t="str">
        <f t="shared" si="822"/>
        <v>FMS - for KUKA robot &amp; for EMCO CONCEPT Mill&amp;Turn</v>
      </c>
      <c r="F3245">
        <v>502</v>
      </c>
      <c r="G3245" t="str">
        <f t="shared" si="808"/>
        <v>Y</v>
      </c>
      <c r="H3245" t="str">
        <f t="shared" si="823"/>
        <v>EA</v>
      </c>
      <c r="I3245">
        <v>0</v>
      </c>
      <c r="J3245">
        <v>0</v>
      </c>
      <c r="K3245" t="str">
        <f t="shared" si="809"/>
        <v>Y</v>
      </c>
      <c r="L3245">
        <v>0</v>
      </c>
      <c r="M3245" t="str">
        <f t="shared" si="814"/>
        <v>NIS</v>
      </c>
      <c r="O3245">
        <v>7</v>
      </c>
      <c r="P3245" t="str">
        <f t="shared" si="824"/>
        <v>Active</v>
      </c>
      <c r="Q3245" t="str">
        <f>"CNC Interface with EMCO TURN"</f>
        <v>CNC Interface with EMCO TURN</v>
      </c>
      <c r="S3245" t="str">
        <f>"CNC Interface with EMCO TURN"</f>
        <v>CNC Interface with EMCO TURN</v>
      </c>
      <c r="T3245">
        <v>0</v>
      </c>
      <c r="U3245">
        <v>20.28</v>
      </c>
      <c r="V3245">
        <v>13.85</v>
      </c>
      <c r="W3245" t="str">
        <f t="shared" si="820"/>
        <v>rob</v>
      </c>
    </row>
    <row r="3246" spans="1:23">
      <c r="A3246" t="str">
        <f t="shared" si="821"/>
        <v>MTS-KUKA-CM&amp;CT</v>
      </c>
      <c r="B3246" t="str">
        <f>"10-2118-8000"</f>
        <v>10-2118-8000</v>
      </c>
      <c r="C3246" t="str">
        <f>"CNC Interface Option Relay Box (5OUT/5IN)"</f>
        <v>CNC Interface Option Relay Box (5OUT/5IN)</v>
      </c>
      <c r="D3246">
        <v>2</v>
      </c>
      <c r="E3246" t="str">
        <f t="shared" si="822"/>
        <v>FMS - for KUKA robot &amp; for EMCO CONCEPT Mill&amp;Turn</v>
      </c>
      <c r="F3246">
        <v>502</v>
      </c>
      <c r="G3246" t="str">
        <f t="shared" si="808"/>
        <v>Y</v>
      </c>
      <c r="H3246" t="str">
        <f t="shared" si="823"/>
        <v>EA</v>
      </c>
      <c r="I3246">
        <v>0</v>
      </c>
      <c r="J3246">
        <v>0</v>
      </c>
      <c r="K3246" t="str">
        <f t="shared" si="809"/>
        <v>Y</v>
      </c>
      <c r="L3246">
        <v>0</v>
      </c>
      <c r="M3246" t="str">
        <f t="shared" si="814"/>
        <v>NIS</v>
      </c>
      <c r="O3246">
        <v>102</v>
      </c>
      <c r="P3246" t="str">
        <f t="shared" si="824"/>
        <v>Active</v>
      </c>
      <c r="Q3246" t="str">
        <f>"CNC Interface Option USB Relay Box (5OUT/5IN)"</f>
        <v>CNC Interface Option USB Relay Box (5OUT/5IN)</v>
      </c>
      <c r="S3246" t="str">
        <f>"CNC Interface Option Relay Box (5OUT/5IN)"</f>
        <v>CNC Interface Option Relay Box (5OUT/5IN)</v>
      </c>
      <c r="T3246">
        <v>0</v>
      </c>
      <c r="U3246">
        <v>84</v>
      </c>
      <c r="V3246">
        <v>215.62</v>
      </c>
      <c r="W3246" t="str">
        <f t="shared" si="820"/>
        <v>rob</v>
      </c>
    </row>
    <row r="3247" spans="1:23">
      <c r="A3247" t="str">
        <f t="shared" si="821"/>
        <v>MTS-KUKA-CM&amp;CT</v>
      </c>
      <c r="B3247" t="str">
        <f>"021152"</f>
        <v>021152</v>
      </c>
      <c r="C3247" t="str">
        <f>"Shelf Buffer for CIM conveyor"</f>
        <v>Shelf Buffer for CIM conveyor</v>
      </c>
      <c r="D3247">
        <v>2</v>
      </c>
      <c r="E3247" t="str">
        <f t="shared" si="822"/>
        <v>FMS - for KUKA robot &amp; for EMCO CONCEPT Mill&amp;Turn</v>
      </c>
      <c r="F3247">
        <v>502</v>
      </c>
      <c r="G3247" t="str">
        <f t="shared" si="808"/>
        <v>Y</v>
      </c>
      <c r="H3247" t="str">
        <f t="shared" si="823"/>
        <v>EA</v>
      </c>
      <c r="I3247">
        <v>0</v>
      </c>
      <c r="J3247">
        <v>0</v>
      </c>
      <c r="K3247" t="str">
        <f t="shared" si="809"/>
        <v>Y</v>
      </c>
      <c r="L3247">
        <v>0</v>
      </c>
      <c r="M3247" t="str">
        <f t="shared" si="814"/>
        <v>NIS</v>
      </c>
      <c r="O3247">
        <v>8</v>
      </c>
      <c r="P3247" t="str">
        <f t="shared" si="824"/>
        <v>Active</v>
      </c>
      <c r="Q3247" t="str">
        <f>"מכלול- מדף בפר סטנדרטי OPEN-CIM"</f>
        <v>מכלול- מדף בפר סטנדרטי OPEN-CIM</v>
      </c>
      <c r="R3247" t="str">
        <f>"1"</f>
        <v>1</v>
      </c>
      <c r="S3247" t="str">
        <f>"מכלול- מדף בפר סטנדרטי OPEN-CIM"</f>
        <v>מכלול- מדף בפר סטנדרטי OPEN-CIM</v>
      </c>
      <c r="T3247">
        <v>0</v>
      </c>
      <c r="U3247">
        <v>83.12</v>
      </c>
      <c r="V3247">
        <v>92.76</v>
      </c>
      <c r="W3247" t="str">
        <f t="shared" si="820"/>
        <v>rob</v>
      </c>
    </row>
    <row r="3248" spans="1:23">
      <c r="A3248" t="str">
        <f t="shared" si="821"/>
        <v>MTS-KUKA-CM&amp;CT</v>
      </c>
      <c r="B3248" t="str">
        <f>"113034"</f>
        <v>113034</v>
      </c>
      <c r="C3248" t="str">
        <f>"Raw Material - Perspex Block"</f>
        <v>Raw Material - Perspex Block</v>
      </c>
      <c r="D3248">
        <v>50</v>
      </c>
      <c r="E3248" t="str">
        <f t="shared" si="822"/>
        <v>FMS - for KUKA robot &amp; for EMCO CONCEPT Mill&amp;Turn</v>
      </c>
      <c r="F3248">
        <v>502</v>
      </c>
      <c r="G3248" t="str">
        <f t="shared" si="808"/>
        <v>Y</v>
      </c>
      <c r="H3248" t="str">
        <f t="shared" si="823"/>
        <v>EA</v>
      </c>
      <c r="I3248">
        <v>0</v>
      </c>
      <c r="J3248">
        <v>0</v>
      </c>
      <c r="K3248" t="str">
        <f t="shared" si="809"/>
        <v>Y</v>
      </c>
      <c r="L3248">
        <v>0</v>
      </c>
      <c r="M3248" t="str">
        <f t="shared" si="814"/>
        <v>NIS</v>
      </c>
      <c r="O3248">
        <v>9</v>
      </c>
      <c r="P3248" t="str">
        <f t="shared" si="824"/>
        <v>Active</v>
      </c>
      <c r="Q3248" t="str">
        <f>"Raw Material Stock - Perspex Block"</f>
        <v>Raw Material Stock - Perspex Block</v>
      </c>
      <c r="S3248" t="str">
        <f>"Raw Material Stock - Perspex Block"</f>
        <v>Raw Material Stock - Perspex Block</v>
      </c>
      <c r="T3248">
        <v>0</v>
      </c>
      <c r="U3248">
        <v>1.1000000000000001</v>
      </c>
      <c r="V3248">
        <v>1.0900000000000001</v>
      </c>
      <c r="W3248" t="str">
        <f t="shared" si="820"/>
        <v>rob</v>
      </c>
    </row>
    <row r="3249" spans="1:23">
      <c r="A3249" t="str">
        <f t="shared" si="821"/>
        <v>MTS-KUKA-CM&amp;CT</v>
      </c>
      <c r="B3249" t="str">
        <f>"112496"</f>
        <v>112496</v>
      </c>
      <c r="C3249" t="str">
        <f>"Raw Material - Brass  Rod"</f>
        <v>Raw Material - Brass  Rod</v>
      </c>
      <c r="D3249">
        <v>50</v>
      </c>
      <c r="E3249" t="str">
        <f t="shared" si="822"/>
        <v>FMS - for KUKA robot &amp; for EMCO CONCEPT Mill&amp;Turn</v>
      </c>
      <c r="F3249">
        <v>502</v>
      </c>
      <c r="G3249" t="str">
        <f t="shared" si="808"/>
        <v>Y</v>
      </c>
      <c r="H3249" t="str">
        <f t="shared" si="823"/>
        <v>EA</v>
      </c>
      <c r="I3249">
        <v>0</v>
      </c>
      <c r="J3249">
        <v>0</v>
      </c>
      <c r="K3249" t="str">
        <f t="shared" si="809"/>
        <v>Y</v>
      </c>
      <c r="L3249">
        <v>0</v>
      </c>
      <c r="M3249" t="str">
        <f t="shared" si="814"/>
        <v>NIS</v>
      </c>
      <c r="O3249">
        <v>10</v>
      </c>
      <c r="P3249" t="str">
        <f t="shared" si="824"/>
        <v>Active</v>
      </c>
      <c r="Q3249" t="str">
        <f>"Raw Material Stock - Brass  Rod"</f>
        <v>Raw Material Stock - Brass  Rod</v>
      </c>
      <c r="S3249" t="str">
        <f>"Raw Material Stock - Brass  Rod"</f>
        <v>Raw Material Stock - Brass  Rod</v>
      </c>
      <c r="T3249">
        <v>0</v>
      </c>
      <c r="U3249">
        <v>3.67</v>
      </c>
      <c r="V3249">
        <v>2.69</v>
      </c>
      <c r="W3249" t="str">
        <f t="shared" si="820"/>
        <v>rob</v>
      </c>
    </row>
    <row r="3250" spans="1:23">
      <c r="A3250" t="str">
        <f t="shared" si="821"/>
        <v>MTS-KUKA-CM&amp;CT</v>
      </c>
      <c r="B3250" t="str">
        <f>"00-1251-0000"</f>
        <v>00-1251-0000</v>
      </c>
      <c r="C3250" t="str">
        <f>"Workbench 1500x800mm (Formica Top)"</f>
        <v>Workbench 1500x800mm (Formica Top)</v>
      </c>
      <c r="D3250">
        <v>1</v>
      </c>
      <c r="E3250" t="str">
        <f t="shared" si="822"/>
        <v>FMS - for KUKA robot &amp; for EMCO CONCEPT Mill&amp;Turn</v>
      </c>
      <c r="F3250">
        <v>502</v>
      </c>
      <c r="G3250" t="str">
        <f t="shared" si="808"/>
        <v>Y</v>
      </c>
      <c r="H3250" t="str">
        <f t="shared" si="823"/>
        <v>EA</v>
      </c>
      <c r="I3250">
        <v>0</v>
      </c>
      <c r="J3250">
        <v>0</v>
      </c>
      <c r="K3250" t="str">
        <f t="shared" si="809"/>
        <v>Y</v>
      </c>
      <c r="L3250">
        <v>0</v>
      </c>
      <c r="M3250" t="str">
        <f t="shared" si="814"/>
        <v>NIS</v>
      </c>
      <c r="O3250">
        <v>11</v>
      </c>
      <c r="P3250" t="str">
        <f t="shared" si="824"/>
        <v>Active</v>
      </c>
      <c r="Q3250" t="str">
        <f>"Workbench 1500x800mm (Formica Top)"</f>
        <v>Workbench 1500x800mm (Formica Top)</v>
      </c>
      <c r="S3250" t="str">
        <f>"Workbench 1500x800mm (Formica Top)"</f>
        <v>Workbench 1500x800mm (Formica Top)</v>
      </c>
      <c r="T3250">
        <v>0</v>
      </c>
      <c r="U3250">
        <v>582</v>
      </c>
      <c r="V3250">
        <v>588.6</v>
      </c>
      <c r="W3250" t="str">
        <f t="shared" si="820"/>
        <v>rob</v>
      </c>
    </row>
    <row r="3251" spans="1:23">
      <c r="A3251" t="str">
        <f t="shared" si="821"/>
        <v>MTS-KUKA-CM&amp;CT</v>
      </c>
      <c r="B3251" t="str">
        <f>"00-1290-0000"</f>
        <v>00-1290-0000</v>
      </c>
      <c r="C3251" t="str">
        <f>"PC Table 630x800mm (with Keyboard Drawer)"</f>
        <v>PC Table 630x800mm (with Keyboard Drawer)</v>
      </c>
      <c r="D3251">
        <v>1</v>
      </c>
      <c r="E3251" t="str">
        <f t="shared" si="822"/>
        <v>FMS - for KUKA robot &amp; for EMCO CONCEPT Mill&amp;Turn</v>
      </c>
      <c r="F3251">
        <v>502</v>
      </c>
      <c r="G3251" t="str">
        <f t="shared" si="808"/>
        <v>Y</v>
      </c>
      <c r="H3251" t="str">
        <f t="shared" si="823"/>
        <v>EA</v>
      </c>
      <c r="I3251">
        <v>0</v>
      </c>
      <c r="J3251">
        <v>0</v>
      </c>
      <c r="K3251" t="str">
        <f t="shared" si="809"/>
        <v>Y</v>
      </c>
      <c r="L3251">
        <v>0</v>
      </c>
      <c r="M3251" t="str">
        <f t="shared" si="814"/>
        <v>NIS</v>
      </c>
      <c r="O3251">
        <v>12</v>
      </c>
      <c r="P3251" t="str">
        <f t="shared" si="824"/>
        <v>Active</v>
      </c>
      <c r="Q3251" t="str">
        <f>"PC Table 630x800mm (with Keyboard Drawer)"</f>
        <v>PC Table 630x800mm (with Keyboard Drawer)</v>
      </c>
      <c r="S3251" t="str">
        <f>"PC Table 630x800mm (with Keyboard Drawer)"</f>
        <v>PC Table 630x800mm (with Keyboard Drawer)</v>
      </c>
      <c r="T3251">
        <v>0</v>
      </c>
      <c r="U3251">
        <v>405.86</v>
      </c>
      <c r="V3251">
        <v>329.34</v>
      </c>
      <c r="W3251" t="str">
        <f t="shared" si="820"/>
        <v>rob</v>
      </c>
    </row>
    <row r="3252" spans="1:23">
      <c r="A3252" t="str">
        <f t="shared" si="821"/>
        <v>MTS-KUKA-CM&amp;CT</v>
      </c>
      <c r="B3252" t="str">
        <f>"50-0094-0000"</f>
        <v>50-0094-0000</v>
      </c>
      <c r="C3252" t="str">
        <f>"Pre-Engineering, Design and Testing"</f>
        <v>Pre-Engineering, Design and Testing</v>
      </c>
      <c r="D3252">
        <v>1</v>
      </c>
      <c r="E3252" t="str">
        <f t="shared" si="822"/>
        <v>FMS - for KUKA robot &amp; for EMCO CONCEPT Mill&amp;Turn</v>
      </c>
      <c r="F3252">
        <v>502</v>
      </c>
      <c r="G3252" t="str">
        <f t="shared" si="808"/>
        <v>Y</v>
      </c>
      <c r="H3252" t="str">
        <f>"DA"</f>
        <v>DA</v>
      </c>
      <c r="I3252">
        <v>0</v>
      </c>
      <c r="J3252">
        <v>0</v>
      </c>
      <c r="K3252" t="str">
        <f t="shared" si="809"/>
        <v>Y</v>
      </c>
      <c r="L3252">
        <v>0</v>
      </c>
      <c r="M3252" t="str">
        <f t="shared" si="814"/>
        <v>NIS</v>
      </c>
      <c r="O3252">
        <v>13</v>
      </c>
      <c r="P3252" t="str">
        <f t="shared" si="824"/>
        <v>Active</v>
      </c>
      <c r="Q3252" t="str">
        <f>"Pre-Engineering, Design and Testing"</f>
        <v>Pre-Engineering, Design and Testing</v>
      </c>
      <c r="S3252" t="str">
        <f>"Pre-Engineering, Design and Testing"</f>
        <v>Pre-Engineering, Design and Testing</v>
      </c>
      <c r="T3252">
        <v>0</v>
      </c>
      <c r="U3252">
        <v>405</v>
      </c>
      <c r="V3252">
        <v>421.2</v>
      </c>
      <c r="W3252" t="str">
        <f t="shared" si="820"/>
        <v>rob</v>
      </c>
    </row>
    <row r="3253" spans="1:23">
      <c r="A3253" t="str">
        <f t="shared" si="821"/>
        <v>MTS-KUKA-CM&amp;CT</v>
      </c>
      <c r="B3253" t="str">
        <f>"00-0633-0000"</f>
        <v>00-0633-0000</v>
      </c>
      <c r="C3253" t="str">
        <f>"Pneumatic Gripper for ER9-Pro"</f>
        <v>Pneumatic Gripper for ER9-Pro</v>
      </c>
      <c r="D3253">
        <v>1</v>
      </c>
      <c r="E3253" t="str">
        <f t="shared" si="822"/>
        <v>FMS - for KUKA robot &amp; for EMCO CONCEPT Mill&amp;Turn</v>
      </c>
      <c r="F3253">
        <v>502</v>
      </c>
      <c r="G3253" t="str">
        <f t="shared" si="808"/>
        <v>Y</v>
      </c>
      <c r="H3253" t="str">
        <f t="shared" ref="H3253:H3262" si="825">"EA"</f>
        <v>EA</v>
      </c>
      <c r="I3253">
        <v>0</v>
      </c>
      <c r="J3253">
        <v>0</v>
      </c>
      <c r="K3253" t="str">
        <f t="shared" si="809"/>
        <v>Y</v>
      </c>
      <c r="L3253">
        <v>0</v>
      </c>
      <c r="M3253" t="str">
        <f t="shared" si="814"/>
        <v>NIS</v>
      </c>
      <c r="N3253" t="str">
        <f>"Y"</f>
        <v>Y</v>
      </c>
      <c r="O3253">
        <v>101</v>
      </c>
      <c r="P3253" t="str">
        <f t="shared" si="824"/>
        <v>Active</v>
      </c>
      <c r="Q3253" t="str">
        <f>"Pneumatic Gripper for ER 9Pro"</f>
        <v>Pneumatic Gripper for ER 9Pro</v>
      </c>
      <c r="S3253" t="str">
        <f>"Pneumatic Gripper for ER9-Pro"</f>
        <v>Pneumatic Gripper for ER9-Pro</v>
      </c>
      <c r="T3253">
        <v>0</v>
      </c>
      <c r="U3253">
        <v>630</v>
      </c>
      <c r="V3253">
        <v>624.72</v>
      </c>
      <c r="W3253" t="str">
        <f t="shared" si="820"/>
        <v>rob</v>
      </c>
    </row>
    <row r="3254" spans="1:23">
      <c r="A3254" t="str">
        <f t="shared" ref="A3254:A3263" si="826">"MTS-KUKA-LSREN"</f>
        <v>MTS-KUKA-LSREN</v>
      </c>
      <c r="B3254" t="str">
        <f>"10-2119-9000"</f>
        <v>10-2119-9000</v>
      </c>
      <c r="C3254" t="str">
        <f>"Interface with industrial robot"</f>
        <v>Interface with industrial robot</v>
      </c>
      <c r="D3254">
        <v>1</v>
      </c>
      <c r="E3254" t="str">
        <f t="shared" ref="E3254:E3263" si="827">"FMS - for KUKA robot with Laser Engraver"</f>
        <v>FMS - for KUKA robot with Laser Engraver</v>
      </c>
      <c r="F3254">
        <v>502</v>
      </c>
      <c r="G3254" t="str">
        <f t="shared" si="808"/>
        <v>Y</v>
      </c>
      <c r="H3254" t="str">
        <f t="shared" si="825"/>
        <v>EA</v>
      </c>
      <c r="I3254">
        <v>0</v>
      </c>
      <c r="J3254">
        <v>0</v>
      </c>
      <c r="K3254" t="str">
        <f t="shared" si="809"/>
        <v>Y</v>
      </c>
      <c r="L3254">
        <v>0</v>
      </c>
      <c r="M3254" t="str">
        <f t="shared" si="814"/>
        <v>NIS</v>
      </c>
      <c r="O3254">
        <v>1</v>
      </c>
      <c r="P3254" t="str">
        <f t="shared" si="824"/>
        <v>Active</v>
      </c>
      <c r="Q3254" t="str">
        <f>"Interface with industrial robot"</f>
        <v>Interface with industrial robot</v>
      </c>
      <c r="S3254" t="str">
        <f>"Interface with industrial robot"</f>
        <v>Interface with industrial robot</v>
      </c>
      <c r="T3254">
        <v>0</v>
      </c>
      <c r="U3254" s="44">
        <v>2000</v>
      </c>
      <c r="V3254" s="44">
        <v>2220</v>
      </c>
      <c r="W3254" t="str">
        <f t="shared" si="820"/>
        <v>rob</v>
      </c>
    </row>
    <row r="3255" spans="1:23">
      <c r="A3255" t="str">
        <f t="shared" si="826"/>
        <v>MTS-KUKA-LSREN</v>
      </c>
      <c r="B3255" t="str">
        <f>"00-0647-0000"</f>
        <v>00-0647-0000</v>
      </c>
      <c r="C3255" t="str">
        <f>"Pneumatic Gripper for 3rd party robots"</f>
        <v>Pneumatic Gripper for 3rd party robots</v>
      </c>
      <c r="D3255">
        <v>1</v>
      </c>
      <c r="E3255" t="str">
        <f t="shared" si="827"/>
        <v>FMS - for KUKA robot with Laser Engraver</v>
      </c>
      <c r="F3255">
        <v>502</v>
      </c>
      <c r="G3255" t="str">
        <f t="shared" si="808"/>
        <v>Y</v>
      </c>
      <c r="H3255" t="str">
        <f t="shared" si="825"/>
        <v>EA</v>
      </c>
      <c r="I3255">
        <v>0</v>
      </c>
      <c r="J3255">
        <v>0</v>
      </c>
      <c r="K3255" t="str">
        <f t="shared" si="809"/>
        <v>Y</v>
      </c>
      <c r="L3255">
        <v>0</v>
      </c>
      <c r="M3255" t="str">
        <f t="shared" si="814"/>
        <v>NIS</v>
      </c>
      <c r="O3255">
        <v>2</v>
      </c>
      <c r="P3255" t="str">
        <f>"ECO-N2Buy"</f>
        <v>ECO-N2Buy</v>
      </c>
      <c r="Q3255" t="str">
        <f>"Pneum.Gripper for small industrial Robots"</f>
        <v>Pneum.Gripper for small industrial Robots</v>
      </c>
      <c r="S3255" t="str">
        <f>"Pneumatic Gripper for small industrial robots"</f>
        <v>Pneumatic Gripper for small industrial robots</v>
      </c>
      <c r="T3255">
        <v>0</v>
      </c>
      <c r="U3255" s="44">
        <v>1000</v>
      </c>
      <c r="V3255">
        <v>646.62</v>
      </c>
      <c r="W3255" t="str">
        <f t="shared" si="820"/>
        <v>rob</v>
      </c>
    </row>
    <row r="3256" spans="1:23">
      <c r="A3256" t="str">
        <f t="shared" si="826"/>
        <v>MTS-KUKA-LSREN</v>
      </c>
      <c r="B3256" t="str">
        <f>"10-2521-7000"</f>
        <v>10-2521-7000</v>
      </c>
      <c r="C3256" t="str">
        <f>"Pneumatic Feeder for Rectangular products"</f>
        <v>Pneumatic Feeder for Rectangular products</v>
      </c>
      <c r="D3256">
        <v>1</v>
      </c>
      <c r="E3256" t="str">
        <f t="shared" si="827"/>
        <v>FMS - for KUKA robot with Laser Engraver</v>
      </c>
      <c r="F3256">
        <v>502</v>
      </c>
      <c r="G3256" t="str">
        <f t="shared" si="808"/>
        <v>Y</v>
      </c>
      <c r="H3256" t="str">
        <f t="shared" si="825"/>
        <v>EA</v>
      </c>
      <c r="I3256">
        <v>0</v>
      </c>
      <c r="J3256">
        <v>0</v>
      </c>
      <c r="K3256" t="str">
        <f t="shared" si="809"/>
        <v>Y</v>
      </c>
      <c r="L3256">
        <v>0</v>
      </c>
      <c r="M3256" t="str">
        <f t="shared" si="814"/>
        <v>NIS</v>
      </c>
      <c r="O3256">
        <v>3</v>
      </c>
      <c r="P3256" t="str">
        <f t="shared" ref="P3256:P3287" si="828">"Active"</f>
        <v>Active</v>
      </c>
      <c r="Q3256" t="str">
        <f>"Pneumatic Feeder for Rectangular Parts"</f>
        <v>Pneumatic Feeder for Rectangular Parts</v>
      </c>
      <c r="S3256" t="str">
        <f>"Pneumatic Feeder for Rectangular Parts"</f>
        <v>Pneumatic Feeder for Rectangular Parts</v>
      </c>
      <c r="T3256">
        <v>0</v>
      </c>
      <c r="U3256">
        <v>595</v>
      </c>
      <c r="V3256">
        <v>555.15</v>
      </c>
      <c r="W3256" t="str">
        <f t="shared" si="820"/>
        <v>rob</v>
      </c>
    </row>
    <row r="3257" spans="1:23">
      <c r="A3257" t="str">
        <f t="shared" si="826"/>
        <v>MTS-KUKA-LSREN</v>
      </c>
      <c r="B3257" t="str">
        <f>"00-1110-0000"</f>
        <v>00-1110-0000</v>
      </c>
      <c r="C3257" t="str">
        <f>"Palletizing Rack"</f>
        <v>Palletizing Rack</v>
      </c>
      <c r="D3257">
        <v>1</v>
      </c>
      <c r="E3257" t="str">
        <f t="shared" si="827"/>
        <v>FMS - for KUKA robot with Laser Engraver</v>
      </c>
      <c r="F3257">
        <v>502</v>
      </c>
      <c r="G3257" t="str">
        <f t="shared" si="808"/>
        <v>Y</v>
      </c>
      <c r="H3257" t="str">
        <f t="shared" si="825"/>
        <v>EA</v>
      </c>
      <c r="I3257">
        <v>0</v>
      </c>
      <c r="J3257">
        <v>0</v>
      </c>
      <c r="K3257" t="str">
        <f t="shared" si="809"/>
        <v>Y</v>
      </c>
      <c r="L3257">
        <v>0</v>
      </c>
      <c r="M3257" t="str">
        <f t="shared" si="814"/>
        <v>NIS</v>
      </c>
      <c r="O3257">
        <v>4</v>
      </c>
      <c r="P3257" t="str">
        <f t="shared" si="828"/>
        <v>Active</v>
      </c>
      <c r="Q3257" t="str">
        <f>"Palletizing Rack (incl. Pins for creating Jigs)"</f>
        <v>Palletizing Rack (incl. Pins for creating Jigs)</v>
      </c>
      <c r="S3257" t="str">
        <f>"Palletizing Rack (incl. Pins for creating Jigs)"</f>
        <v>Palletizing Rack (incl. Pins for creating Jigs)</v>
      </c>
      <c r="T3257">
        <v>0</v>
      </c>
      <c r="U3257">
        <v>63</v>
      </c>
      <c r="V3257">
        <v>58.59</v>
      </c>
      <c r="W3257" t="str">
        <f t="shared" si="820"/>
        <v>rob</v>
      </c>
    </row>
    <row r="3258" spans="1:23">
      <c r="A3258" t="str">
        <f t="shared" si="826"/>
        <v>MTS-KUKA-LSREN</v>
      </c>
      <c r="B3258" t="str">
        <f>"113034"</f>
        <v>113034</v>
      </c>
      <c r="C3258" t="str">
        <f>"Raw Material - Perspex Block"</f>
        <v>Raw Material - Perspex Block</v>
      </c>
      <c r="D3258">
        <v>20</v>
      </c>
      <c r="E3258" t="str">
        <f t="shared" si="827"/>
        <v>FMS - for KUKA robot with Laser Engraver</v>
      </c>
      <c r="F3258">
        <v>502</v>
      </c>
      <c r="G3258" t="str">
        <f t="shared" si="808"/>
        <v>Y</v>
      </c>
      <c r="H3258" t="str">
        <f t="shared" si="825"/>
        <v>EA</v>
      </c>
      <c r="I3258">
        <v>0</v>
      </c>
      <c r="J3258">
        <v>0</v>
      </c>
      <c r="K3258" t="str">
        <f t="shared" si="809"/>
        <v>Y</v>
      </c>
      <c r="L3258">
        <v>0</v>
      </c>
      <c r="M3258" t="str">
        <f t="shared" si="814"/>
        <v>NIS</v>
      </c>
      <c r="O3258">
        <v>5</v>
      </c>
      <c r="P3258" t="str">
        <f t="shared" si="828"/>
        <v>Active</v>
      </c>
      <c r="Q3258" t="str">
        <f>"Raw Material Stock - Perspex Block"</f>
        <v>Raw Material Stock - Perspex Block</v>
      </c>
      <c r="S3258" t="str">
        <f>"Raw Material Stock - Perspex Block"</f>
        <v>Raw Material Stock - Perspex Block</v>
      </c>
      <c r="T3258">
        <v>0</v>
      </c>
      <c r="U3258">
        <v>1.1000000000000001</v>
      </c>
      <c r="V3258">
        <v>1.0900000000000001</v>
      </c>
      <c r="W3258" t="str">
        <f t="shared" si="820"/>
        <v>rob</v>
      </c>
    </row>
    <row r="3259" spans="1:23">
      <c r="A3259" t="str">
        <f t="shared" si="826"/>
        <v>MTS-KUKA-LSREN</v>
      </c>
      <c r="B3259" t="str">
        <f>"50-0092-0000"</f>
        <v>50-0092-0000</v>
      </c>
      <c r="C3259" t="str">
        <f>"Interface Programming for 3rd Party CNC Machine"</f>
        <v>Interface Programming for 3rd Party CNC Machine</v>
      </c>
      <c r="D3259">
        <v>1</v>
      </c>
      <c r="E3259" t="str">
        <f t="shared" si="827"/>
        <v>FMS - for KUKA robot with Laser Engraver</v>
      </c>
      <c r="F3259">
        <v>502</v>
      </c>
      <c r="G3259" t="str">
        <f t="shared" si="808"/>
        <v>Y</v>
      </c>
      <c r="H3259" t="str">
        <f t="shared" si="825"/>
        <v>EA</v>
      </c>
      <c r="I3259">
        <v>0</v>
      </c>
      <c r="J3259">
        <v>0</v>
      </c>
      <c r="K3259" t="str">
        <f t="shared" si="809"/>
        <v>Y</v>
      </c>
      <c r="L3259">
        <v>0</v>
      </c>
      <c r="M3259" t="str">
        <f t="shared" si="814"/>
        <v>NIS</v>
      </c>
      <c r="O3259">
        <v>6</v>
      </c>
      <c r="P3259" t="str">
        <f t="shared" si="828"/>
        <v>Active</v>
      </c>
      <c r="Q3259" t="str">
        <f>"Interface Programming for 3rd Party CNC Machine"</f>
        <v>Interface Programming for 3rd Party CNC Machine</v>
      </c>
      <c r="S3259" t="str">
        <f>"Interface Programming for 3rd Party CNC Machine"</f>
        <v>Interface Programming for 3rd Party CNC Machine</v>
      </c>
      <c r="T3259">
        <v>0</v>
      </c>
      <c r="U3259" s="44">
        <v>1000</v>
      </c>
      <c r="V3259" s="44">
        <v>1000</v>
      </c>
      <c r="W3259" t="str">
        <f t="shared" si="820"/>
        <v>rob</v>
      </c>
    </row>
    <row r="3260" spans="1:23">
      <c r="A3260" t="str">
        <f t="shared" si="826"/>
        <v>MTS-KUKA-LSREN</v>
      </c>
      <c r="B3260" t="str">
        <f>"00-4040-0000"</f>
        <v>00-4040-0000</v>
      </c>
      <c r="C3260" t="str">
        <f>"Laser Engraver VLS 3.60"</f>
        <v>Laser Engraver VLS 3.60</v>
      </c>
      <c r="D3260">
        <v>1</v>
      </c>
      <c r="E3260" t="str">
        <f t="shared" si="827"/>
        <v>FMS - for KUKA robot with Laser Engraver</v>
      </c>
      <c r="F3260">
        <v>502</v>
      </c>
      <c r="G3260" t="str">
        <f t="shared" si="808"/>
        <v>Y</v>
      </c>
      <c r="H3260" t="str">
        <f t="shared" si="825"/>
        <v>EA</v>
      </c>
      <c r="I3260">
        <v>0</v>
      </c>
      <c r="J3260">
        <v>0</v>
      </c>
      <c r="K3260" t="str">
        <f t="shared" si="809"/>
        <v>Y</v>
      </c>
      <c r="L3260">
        <v>0</v>
      </c>
      <c r="M3260" t="str">
        <f t="shared" si="814"/>
        <v>NIS</v>
      </c>
      <c r="O3260">
        <v>7</v>
      </c>
      <c r="P3260" t="str">
        <f t="shared" si="828"/>
        <v>Active</v>
      </c>
      <c r="Q3260" t="str">
        <f>"Laser Engraver"</f>
        <v>Laser Engraver</v>
      </c>
      <c r="S3260" t="str">
        <f>"Laser Engraver VLS 3.60"</f>
        <v>Laser Engraver VLS 3.60</v>
      </c>
      <c r="T3260">
        <v>0</v>
      </c>
      <c r="U3260" s="44">
        <v>18123.599999999999</v>
      </c>
      <c r="V3260" s="44">
        <v>20117.2</v>
      </c>
      <c r="W3260" t="str">
        <f t="shared" si="820"/>
        <v>rob</v>
      </c>
    </row>
    <row r="3261" spans="1:23">
      <c r="A3261" t="str">
        <f t="shared" si="826"/>
        <v>MTS-KUKA-LSREN</v>
      </c>
      <c r="B3261" t="str">
        <f>"025223"</f>
        <v>025223</v>
      </c>
      <c r="C3261" t="str">
        <f>"Automatic Shield Opener for Laser Engraver, 24V"</f>
        <v>Automatic Shield Opener for Laser Engraver, 24V</v>
      </c>
      <c r="D3261">
        <v>1</v>
      </c>
      <c r="E3261" t="str">
        <f t="shared" si="827"/>
        <v>FMS - for KUKA robot with Laser Engraver</v>
      </c>
      <c r="F3261">
        <v>502</v>
      </c>
      <c r="G3261" t="str">
        <f t="shared" si="808"/>
        <v>Y</v>
      </c>
      <c r="H3261" t="str">
        <f t="shared" si="825"/>
        <v>EA</v>
      </c>
      <c r="I3261">
        <v>0</v>
      </c>
      <c r="J3261">
        <v>0</v>
      </c>
      <c r="K3261" t="str">
        <f t="shared" si="809"/>
        <v>Y</v>
      </c>
      <c r="L3261">
        <v>0</v>
      </c>
      <c r="M3261" t="str">
        <f t="shared" si="814"/>
        <v>NIS</v>
      </c>
      <c r="O3261">
        <v>10</v>
      </c>
      <c r="P3261" t="str">
        <f t="shared" si="828"/>
        <v>Active</v>
      </c>
      <c r="Q3261" t="str">
        <f>"מכלול-בוכנה דו-כיווני 300mm עם שסתום"</f>
        <v>מכלול-בוכנה דו-כיווני 300mm עם שסתום</v>
      </c>
      <c r="S3261" t="str">
        <f>"Automatic Shield Opener for Laser Engraver, 24V"</f>
        <v>Automatic Shield Opener for Laser Engraver, 24V</v>
      </c>
      <c r="T3261">
        <v>0</v>
      </c>
      <c r="U3261">
        <v>778.12</v>
      </c>
      <c r="V3261">
        <v>428.86</v>
      </c>
      <c r="W3261" t="str">
        <f t="shared" si="820"/>
        <v>rob</v>
      </c>
    </row>
    <row r="3262" spans="1:23">
      <c r="A3262" t="str">
        <f t="shared" si="826"/>
        <v>MTS-KUKA-LSREN</v>
      </c>
      <c r="B3262" t="str">
        <f>"00-1251-0000"</f>
        <v>00-1251-0000</v>
      </c>
      <c r="C3262" t="str">
        <f>"Workbench 1500x800mm (Formica Top)"</f>
        <v>Workbench 1500x800mm (Formica Top)</v>
      </c>
      <c r="D3262">
        <v>1</v>
      </c>
      <c r="E3262" t="str">
        <f t="shared" si="827"/>
        <v>FMS - for KUKA robot with Laser Engraver</v>
      </c>
      <c r="F3262">
        <v>502</v>
      </c>
      <c r="G3262" t="str">
        <f t="shared" si="808"/>
        <v>Y</v>
      </c>
      <c r="H3262" t="str">
        <f t="shared" si="825"/>
        <v>EA</v>
      </c>
      <c r="I3262">
        <v>0</v>
      </c>
      <c r="J3262">
        <v>0</v>
      </c>
      <c r="K3262" t="str">
        <f t="shared" si="809"/>
        <v>Y</v>
      </c>
      <c r="L3262">
        <v>0</v>
      </c>
      <c r="M3262" t="str">
        <f t="shared" si="814"/>
        <v>NIS</v>
      </c>
      <c r="O3262">
        <v>8</v>
      </c>
      <c r="P3262" t="str">
        <f t="shared" si="828"/>
        <v>Active</v>
      </c>
      <c r="Q3262" t="str">
        <f>"Workbench 1500x800mm (Formica Top)"</f>
        <v>Workbench 1500x800mm (Formica Top)</v>
      </c>
      <c r="S3262" t="str">
        <f>"Workbench 1500x800mm (Formica Top)"</f>
        <v>Workbench 1500x800mm (Formica Top)</v>
      </c>
      <c r="T3262">
        <v>0</v>
      </c>
      <c r="U3262">
        <v>582</v>
      </c>
      <c r="V3262">
        <v>588.6</v>
      </c>
      <c r="W3262" t="str">
        <f t="shared" si="820"/>
        <v>rob</v>
      </c>
    </row>
    <row r="3263" spans="1:23">
      <c r="A3263" t="str">
        <f t="shared" si="826"/>
        <v>MTS-KUKA-LSREN</v>
      </c>
      <c r="B3263" t="str">
        <f>"50-0094-0000"</f>
        <v>50-0094-0000</v>
      </c>
      <c r="C3263" t="str">
        <f>"Pre-Engineering, Design and Testing"</f>
        <v>Pre-Engineering, Design and Testing</v>
      </c>
      <c r="D3263">
        <v>1</v>
      </c>
      <c r="E3263" t="str">
        <f t="shared" si="827"/>
        <v>FMS - for KUKA robot with Laser Engraver</v>
      </c>
      <c r="F3263">
        <v>502</v>
      </c>
      <c r="G3263" t="str">
        <f t="shared" si="808"/>
        <v>Y</v>
      </c>
      <c r="H3263" t="str">
        <f>"DA"</f>
        <v>DA</v>
      </c>
      <c r="I3263">
        <v>0</v>
      </c>
      <c r="J3263">
        <v>0</v>
      </c>
      <c r="K3263" t="str">
        <f t="shared" si="809"/>
        <v>Y</v>
      </c>
      <c r="L3263">
        <v>0</v>
      </c>
      <c r="M3263" t="str">
        <f t="shared" si="814"/>
        <v>NIS</v>
      </c>
      <c r="O3263">
        <v>9</v>
      </c>
      <c r="P3263" t="str">
        <f t="shared" si="828"/>
        <v>Active</v>
      </c>
      <c r="Q3263" t="str">
        <f>"Pre-Engineering, Design and Testing"</f>
        <v>Pre-Engineering, Design and Testing</v>
      </c>
      <c r="S3263" t="str">
        <f>"Pre-Engineering, Design and Testing"</f>
        <v>Pre-Engineering, Design and Testing</v>
      </c>
      <c r="T3263">
        <v>0</v>
      </c>
      <c r="U3263">
        <v>405</v>
      </c>
      <c r="V3263">
        <v>421.2</v>
      </c>
      <c r="W3263" t="str">
        <f t="shared" si="820"/>
        <v>rob</v>
      </c>
    </row>
    <row r="3264" spans="1:23">
      <c r="A3264" t="str">
        <f t="shared" ref="A3264:A3280" si="829">"MTS-MH5F-2CNC-EM"</f>
        <v>MTS-MH5F-2CNC-EM</v>
      </c>
      <c r="B3264" t="str">
        <f>"00-0436-0000"</f>
        <v>00-0436-0000</v>
      </c>
      <c r="C3264" t="str">
        <f>"MH5F compact high-speed 6-axis Robot"</f>
        <v>MH5F compact high-speed 6-axis Robot</v>
      </c>
      <c r="D3264">
        <v>1</v>
      </c>
      <c r="E3264" t="str">
        <f t="shared" ref="E3264:E3280" si="830">"FMS - MOTOMAN MH5F robot for EMCO CNC Mill &amp; Turn"</f>
        <v>FMS - MOTOMAN MH5F robot for EMCO CNC Mill &amp; Turn</v>
      </c>
      <c r="F3264">
        <v>502</v>
      </c>
      <c r="G3264" t="str">
        <f t="shared" si="808"/>
        <v>Y</v>
      </c>
      <c r="H3264" t="str">
        <f t="shared" ref="H3264:H3279" si="831">"EA"</f>
        <v>EA</v>
      </c>
      <c r="I3264">
        <v>0</v>
      </c>
      <c r="J3264">
        <v>0</v>
      </c>
      <c r="K3264" t="str">
        <f t="shared" si="809"/>
        <v>Y</v>
      </c>
      <c r="L3264">
        <v>0</v>
      </c>
      <c r="M3264" t="str">
        <f t="shared" si="814"/>
        <v>NIS</v>
      </c>
      <c r="O3264">
        <v>1</v>
      </c>
      <c r="P3264" t="str">
        <f t="shared" si="828"/>
        <v>Active</v>
      </c>
      <c r="Q3264" t="str">
        <f>"MH5F compact high-speed 6-axis Robot"</f>
        <v>MH5F compact high-speed 6-axis Robot</v>
      </c>
      <c r="S3264" t="str">
        <f>"MH5F compact high-speed 6-axis Robot"</f>
        <v>MH5F compact high-speed 6-axis Robot</v>
      </c>
      <c r="T3264">
        <v>0</v>
      </c>
      <c r="U3264" s="44">
        <v>23500</v>
      </c>
      <c r="V3264" s="44">
        <v>16049.14</v>
      </c>
      <c r="W3264" t="str">
        <f t="shared" si="820"/>
        <v>rob</v>
      </c>
    </row>
    <row r="3265" spans="1:23">
      <c r="A3265" t="str">
        <f t="shared" si="829"/>
        <v>MTS-MH5F-2CNC-EM</v>
      </c>
      <c r="B3265" t="str">
        <f>"00-0646-0000"</f>
        <v>00-0646-0000</v>
      </c>
      <c r="C3265" t="str">
        <f>"Pneumatic Gripper with I/O Box for Motoman MH5F"</f>
        <v>Pneumatic Gripper with I/O Box for Motoman MH5F</v>
      </c>
      <c r="D3265">
        <v>1</v>
      </c>
      <c r="E3265" t="str">
        <f t="shared" si="830"/>
        <v>FMS - MOTOMAN MH5F robot for EMCO CNC Mill &amp; Turn</v>
      </c>
      <c r="F3265">
        <v>502</v>
      </c>
      <c r="G3265" t="str">
        <f t="shared" si="808"/>
        <v>Y</v>
      </c>
      <c r="H3265" t="str">
        <f t="shared" si="831"/>
        <v>EA</v>
      </c>
      <c r="I3265">
        <v>0</v>
      </c>
      <c r="J3265">
        <v>0</v>
      </c>
      <c r="K3265" t="str">
        <f t="shared" si="809"/>
        <v>Y</v>
      </c>
      <c r="L3265">
        <v>0</v>
      </c>
      <c r="M3265" t="str">
        <f t="shared" si="814"/>
        <v>NIS</v>
      </c>
      <c r="O3265">
        <v>2</v>
      </c>
      <c r="P3265" t="str">
        <f t="shared" si="828"/>
        <v>Active</v>
      </c>
      <c r="Q3265" t="str">
        <f>"Pneumatic Gripper with I/O Box for Motoman MH5F"</f>
        <v>Pneumatic Gripper with I/O Box for Motoman MH5F</v>
      </c>
      <c r="S3265" t="str">
        <f>"Pneumatic Gripper with I/O Box for Motoman MH5F"</f>
        <v>Pneumatic Gripper with I/O Box for Motoman MH5F</v>
      </c>
      <c r="T3265">
        <v>0</v>
      </c>
      <c r="U3265" s="44">
        <v>1500</v>
      </c>
      <c r="V3265" s="44">
        <v>1238.52</v>
      </c>
      <c r="W3265" t="str">
        <f t="shared" si="820"/>
        <v>rob</v>
      </c>
    </row>
    <row r="3266" spans="1:23">
      <c r="A3266" t="str">
        <f t="shared" si="829"/>
        <v>MTS-MH5F-2CNC-EM</v>
      </c>
      <c r="B3266" t="str">
        <f>"00-1027-0000"</f>
        <v>00-1027-0000</v>
      </c>
      <c r="C3266" t="str">
        <f>"LSB 1.8m, Belt, USB-Pro, for ind. robot &lt; 35kg)"</f>
        <v>LSB 1.8m, Belt, USB-Pro, for ind. robot &lt; 35kg)</v>
      </c>
      <c r="D3266">
        <v>1</v>
      </c>
      <c r="E3266" t="str">
        <f t="shared" si="830"/>
        <v>FMS - MOTOMAN MH5F robot for EMCO CNC Mill &amp; Turn</v>
      </c>
      <c r="F3266">
        <v>502</v>
      </c>
      <c r="G3266" t="str">
        <f t="shared" ref="G3266:G3329" si="832">"Y"</f>
        <v>Y</v>
      </c>
      <c r="H3266" t="str">
        <f t="shared" si="831"/>
        <v>EA</v>
      </c>
      <c r="I3266">
        <v>0</v>
      </c>
      <c r="J3266">
        <v>0</v>
      </c>
      <c r="K3266" t="str">
        <f t="shared" ref="K3266:K3329" si="833">"Y"</f>
        <v>Y</v>
      </c>
      <c r="L3266">
        <v>0</v>
      </c>
      <c r="M3266" t="str">
        <f t="shared" si="814"/>
        <v>NIS</v>
      </c>
      <c r="O3266">
        <v>3</v>
      </c>
      <c r="P3266" t="str">
        <f t="shared" si="828"/>
        <v>Active</v>
      </c>
      <c r="Q3266" t="str">
        <f>"LSB 1.8m, Belt, USB-Pro, for ind. robot &lt; 35kg"</f>
        <v>LSB 1.8m, Belt, USB-Pro, for ind. robot &lt; 35kg</v>
      </c>
      <c r="S3266" t="str">
        <f>"LSB 1.8m, Belt, USB-Pro, for ind. robot &lt; 35kg"</f>
        <v>LSB 1.8m, Belt, USB-Pro, for ind. robot &lt; 35kg</v>
      </c>
      <c r="T3266">
        <v>0</v>
      </c>
      <c r="U3266" s="44">
        <v>5000</v>
      </c>
      <c r="V3266" s="44">
        <v>4687.0200000000004</v>
      </c>
      <c r="W3266" t="str">
        <f t="shared" si="820"/>
        <v>rob</v>
      </c>
    </row>
    <row r="3267" spans="1:23">
      <c r="A3267" t="str">
        <f t="shared" si="829"/>
        <v>MTS-MH5F-2CNC-EM</v>
      </c>
      <c r="B3267" t="str">
        <f>"021152"</f>
        <v>021152</v>
      </c>
      <c r="C3267" t="str">
        <f>"Shelf Buffer for CIM conveyor"</f>
        <v>Shelf Buffer for CIM conveyor</v>
      </c>
      <c r="D3267">
        <v>2</v>
      </c>
      <c r="E3267" t="str">
        <f t="shared" si="830"/>
        <v>FMS - MOTOMAN MH5F robot for EMCO CNC Mill &amp; Turn</v>
      </c>
      <c r="F3267">
        <v>502</v>
      </c>
      <c r="G3267" t="str">
        <f t="shared" si="832"/>
        <v>Y</v>
      </c>
      <c r="H3267" t="str">
        <f t="shared" si="831"/>
        <v>EA</v>
      </c>
      <c r="I3267">
        <v>0</v>
      </c>
      <c r="J3267">
        <v>0</v>
      </c>
      <c r="K3267" t="str">
        <f t="shared" si="833"/>
        <v>Y</v>
      </c>
      <c r="L3267">
        <v>0</v>
      </c>
      <c r="M3267" t="str">
        <f t="shared" si="814"/>
        <v>NIS</v>
      </c>
      <c r="O3267">
        <v>4</v>
      </c>
      <c r="P3267" t="str">
        <f t="shared" si="828"/>
        <v>Active</v>
      </c>
      <c r="Q3267" t="str">
        <f>"מכלול- מדף בפר סטנדרטי OPEN-CIM"</f>
        <v>מכלול- מדף בפר סטנדרטי OPEN-CIM</v>
      </c>
      <c r="R3267" t="str">
        <f>"1"</f>
        <v>1</v>
      </c>
      <c r="S3267" t="str">
        <f>"מכלול- מדף בפר סטנדרטי OPEN-CIM"</f>
        <v>מכלול- מדף בפר סטנדרטי OPEN-CIM</v>
      </c>
      <c r="T3267">
        <v>0</v>
      </c>
      <c r="U3267">
        <v>83.12</v>
      </c>
      <c r="V3267">
        <v>92.76</v>
      </c>
      <c r="W3267" t="str">
        <f t="shared" si="820"/>
        <v>rob</v>
      </c>
    </row>
    <row r="3268" spans="1:23">
      <c r="A3268" t="str">
        <f t="shared" si="829"/>
        <v>MTS-MH5F-2CNC-EM</v>
      </c>
      <c r="B3268" t="str">
        <f>"00-1110-0000"</f>
        <v>00-1110-0000</v>
      </c>
      <c r="C3268" t="str">
        <f>"Palletizing Rack"</f>
        <v>Palletizing Rack</v>
      </c>
      <c r="D3268">
        <v>2</v>
      </c>
      <c r="E3268" t="str">
        <f t="shared" si="830"/>
        <v>FMS - MOTOMAN MH5F robot for EMCO CNC Mill &amp; Turn</v>
      </c>
      <c r="F3268">
        <v>502</v>
      </c>
      <c r="G3268" t="str">
        <f t="shared" si="832"/>
        <v>Y</v>
      </c>
      <c r="H3268" t="str">
        <f t="shared" si="831"/>
        <v>EA</v>
      </c>
      <c r="I3268">
        <v>0</v>
      </c>
      <c r="J3268">
        <v>0</v>
      </c>
      <c r="K3268" t="str">
        <f t="shared" si="833"/>
        <v>Y</v>
      </c>
      <c r="L3268">
        <v>0</v>
      </c>
      <c r="M3268" t="str">
        <f t="shared" si="814"/>
        <v>NIS</v>
      </c>
      <c r="O3268">
        <v>5</v>
      </c>
      <c r="P3268" t="str">
        <f t="shared" si="828"/>
        <v>Active</v>
      </c>
      <c r="Q3268" t="str">
        <f>"Palletizing Rack (incl. Pins for creating Jigs)"</f>
        <v>Palletizing Rack (incl. Pins for creating Jigs)</v>
      </c>
      <c r="S3268" t="str">
        <f>"Palletizing Rack (incl. Pins for creating Jigs)"</f>
        <v>Palletizing Rack (incl. Pins for creating Jigs)</v>
      </c>
      <c r="T3268">
        <v>0</v>
      </c>
      <c r="U3268">
        <v>63</v>
      </c>
      <c r="V3268">
        <v>58.59</v>
      </c>
      <c r="W3268" t="str">
        <f t="shared" si="820"/>
        <v>rob</v>
      </c>
    </row>
    <row r="3269" spans="1:23">
      <c r="A3269" t="str">
        <f t="shared" si="829"/>
        <v>MTS-MH5F-2CNC-EM</v>
      </c>
      <c r="B3269" t="str">
        <f>"10-1007-4000"</f>
        <v>10-1007-4000</v>
      </c>
      <c r="C3269" t="str">
        <f>"Gravity Parts Feeder (with microswitch sensor)"</f>
        <v>Gravity Parts Feeder (with microswitch sensor)</v>
      </c>
      <c r="D3269">
        <v>1</v>
      </c>
      <c r="E3269" t="str">
        <f t="shared" si="830"/>
        <v>FMS - MOTOMAN MH5F robot for EMCO CNC Mill &amp; Turn</v>
      </c>
      <c r="F3269">
        <v>502</v>
      </c>
      <c r="G3269" t="str">
        <f t="shared" si="832"/>
        <v>Y</v>
      </c>
      <c r="H3269" t="str">
        <f t="shared" si="831"/>
        <v>EA</v>
      </c>
      <c r="I3269">
        <v>0</v>
      </c>
      <c r="J3269">
        <v>0</v>
      </c>
      <c r="K3269" t="str">
        <f t="shared" si="833"/>
        <v>Y</v>
      </c>
      <c r="L3269">
        <v>0</v>
      </c>
      <c r="M3269" t="str">
        <f t="shared" si="814"/>
        <v>NIS</v>
      </c>
      <c r="O3269">
        <v>6</v>
      </c>
      <c r="P3269" t="str">
        <f t="shared" si="828"/>
        <v>Active</v>
      </c>
      <c r="Q3269" t="str">
        <f>"Gravity Parts Feeder (incl.microswitch sensor)"</f>
        <v>Gravity Parts Feeder (incl.microswitch sensor)</v>
      </c>
      <c r="S3269" t="str">
        <f>"Gravity Parts Feeder (incl.microswitch sensor)"</f>
        <v>Gravity Parts Feeder (incl.microswitch sensor)</v>
      </c>
      <c r="T3269">
        <v>0</v>
      </c>
      <c r="U3269">
        <v>148</v>
      </c>
      <c r="V3269">
        <v>148.26</v>
      </c>
      <c r="W3269" t="str">
        <f t="shared" si="820"/>
        <v>rob</v>
      </c>
    </row>
    <row r="3270" spans="1:23">
      <c r="A3270" t="str">
        <f t="shared" si="829"/>
        <v>MTS-MH5F-2CNC-EM</v>
      </c>
      <c r="B3270" t="str">
        <f>"10-2521-7000"</f>
        <v>10-2521-7000</v>
      </c>
      <c r="C3270" t="str">
        <f>"Pneumatic Feeder for Rectangular products"</f>
        <v>Pneumatic Feeder for Rectangular products</v>
      </c>
      <c r="D3270">
        <v>1</v>
      </c>
      <c r="E3270" t="str">
        <f t="shared" si="830"/>
        <v>FMS - MOTOMAN MH5F robot for EMCO CNC Mill &amp; Turn</v>
      </c>
      <c r="F3270">
        <v>502</v>
      </c>
      <c r="G3270" t="str">
        <f t="shared" si="832"/>
        <v>Y</v>
      </c>
      <c r="H3270" t="str">
        <f t="shared" si="831"/>
        <v>EA</v>
      </c>
      <c r="I3270">
        <v>0</v>
      </c>
      <c r="J3270">
        <v>0</v>
      </c>
      <c r="K3270" t="str">
        <f t="shared" si="833"/>
        <v>Y</v>
      </c>
      <c r="L3270">
        <v>0</v>
      </c>
      <c r="M3270" t="str">
        <f t="shared" si="814"/>
        <v>NIS</v>
      </c>
      <c r="O3270">
        <v>7</v>
      </c>
      <c r="P3270" t="str">
        <f t="shared" si="828"/>
        <v>Active</v>
      </c>
      <c r="Q3270" t="str">
        <f>"Pneumatic Feeder for Rectangular Parts"</f>
        <v>Pneumatic Feeder for Rectangular Parts</v>
      </c>
      <c r="S3270" t="str">
        <f>"Pneumatic Feeder for Rectangular Parts"</f>
        <v>Pneumatic Feeder for Rectangular Parts</v>
      </c>
      <c r="T3270">
        <v>0</v>
      </c>
      <c r="U3270">
        <v>595</v>
      </c>
      <c r="V3270">
        <v>555.15</v>
      </c>
      <c r="W3270" t="str">
        <f t="shared" si="820"/>
        <v>rob</v>
      </c>
    </row>
    <row r="3271" spans="1:23">
      <c r="A3271" t="str">
        <f t="shared" si="829"/>
        <v>MTS-MH5F-2CNC-EM</v>
      </c>
      <c r="B3271" t="str">
        <f>"034025"</f>
        <v>034025</v>
      </c>
      <c r="C3271" t="str">
        <f>"I/O Interface Box for Controller USB-PRO"</f>
        <v>I/O Interface Box for Controller USB-PRO</v>
      </c>
      <c r="D3271">
        <v>1</v>
      </c>
      <c r="E3271" t="str">
        <f t="shared" si="830"/>
        <v>FMS - MOTOMAN MH5F robot for EMCO CNC Mill &amp; Turn</v>
      </c>
      <c r="F3271">
        <v>502</v>
      </c>
      <c r="G3271" t="str">
        <f t="shared" si="832"/>
        <v>Y</v>
      </c>
      <c r="H3271" t="str">
        <f t="shared" si="831"/>
        <v>EA</v>
      </c>
      <c r="I3271">
        <v>0</v>
      </c>
      <c r="J3271">
        <v>0</v>
      </c>
      <c r="K3271" t="str">
        <f t="shared" si="833"/>
        <v>Y</v>
      </c>
      <c r="L3271">
        <v>0</v>
      </c>
      <c r="M3271" t="str">
        <f t="shared" si="814"/>
        <v>NIS</v>
      </c>
      <c r="O3271">
        <v>8</v>
      </c>
      <c r="P3271" t="str">
        <f t="shared" si="828"/>
        <v>Active</v>
      </c>
      <c r="Q3271" t="str">
        <f>"קופסת 2+Interface Box I/O כבלים לבקר USBPRO"</f>
        <v>קופסת 2+Interface Box I/O כבלים לבקר USBPRO</v>
      </c>
      <c r="S3271" t="str">
        <f>"קופסת 2+Interface Box I/O כבלים לבקר USBPRO"</f>
        <v>קופסת 2+Interface Box I/O כבלים לבקר USBPRO</v>
      </c>
      <c r="T3271">
        <v>0</v>
      </c>
      <c r="U3271">
        <v>470</v>
      </c>
      <c r="V3271">
        <v>463.62</v>
      </c>
      <c r="W3271" t="str">
        <f t="shared" si="820"/>
        <v>rob</v>
      </c>
    </row>
    <row r="3272" spans="1:23">
      <c r="A3272" t="str">
        <f t="shared" si="829"/>
        <v>MTS-MH5F-2CNC-EM</v>
      </c>
      <c r="B3272" t="str">
        <f>"10-2118-6000"</f>
        <v>10-2118-6000</v>
      </c>
      <c r="C3272" t="str">
        <f>"CNC Interface with EMCO MILL"</f>
        <v>CNC Interface with EMCO MILL</v>
      </c>
      <c r="D3272">
        <v>1</v>
      </c>
      <c r="E3272" t="str">
        <f t="shared" si="830"/>
        <v>FMS - MOTOMAN MH5F robot for EMCO CNC Mill &amp; Turn</v>
      </c>
      <c r="F3272">
        <v>502</v>
      </c>
      <c r="G3272" t="str">
        <f t="shared" si="832"/>
        <v>Y</v>
      </c>
      <c r="H3272" t="str">
        <f t="shared" si="831"/>
        <v>EA</v>
      </c>
      <c r="I3272">
        <v>0</v>
      </c>
      <c r="J3272">
        <v>0</v>
      </c>
      <c r="K3272" t="str">
        <f t="shared" si="833"/>
        <v>Y</v>
      </c>
      <c r="L3272">
        <v>0</v>
      </c>
      <c r="M3272" t="str">
        <f t="shared" si="814"/>
        <v>NIS</v>
      </c>
      <c r="O3272">
        <v>9</v>
      </c>
      <c r="P3272" t="str">
        <f t="shared" si="828"/>
        <v>Active</v>
      </c>
      <c r="Q3272" t="str">
        <f>"CNC Interface with EMCO MILL"</f>
        <v>CNC Interface with EMCO MILL</v>
      </c>
      <c r="S3272" t="str">
        <f>"CNC Interface with EMCO MILL"</f>
        <v>CNC Interface with EMCO MILL</v>
      </c>
      <c r="T3272">
        <v>0</v>
      </c>
      <c r="U3272">
        <v>20.28</v>
      </c>
      <c r="V3272">
        <v>13.85</v>
      </c>
      <c r="W3272" t="str">
        <f t="shared" si="820"/>
        <v>rob</v>
      </c>
    </row>
    <row r="3273" spans="1:23">
      <c r="A3273" t="str">
        <f t="shared" si="829"/>
        <v>MTS-MH5F-2CNC-EM</v>
      </c>
      <c r="B3273" t="str">
        <f>"10-2118-7000"</f>
        <v>10-2118-7000</v>
      </c>
      <c r="C3273" t="str">
        <f>"CNC Interface with EMCO TURN"</f>
        <v>CNC Interface with EMCO TURN</v>
      </c>
      <c r="D3273">
        <v>1</v>
      </c>
      <c r="E3273" t="str">
        <f t="shared" si="830"/>
        <v>FMS - MOTOMAN MH5F robot for EMCO CNC Mill &amp; Turn</v>
      </c>
      <c r="F3273">
        <v>502</v>
      </c>
      <c r="G3273" t="str">
        <f t="shared" si="832"/>
        <v>Y</v>
      </c>
      <c r="H3273" t="str">
        <f t="shared" si="831"/>
        <v>EA</v>
      </c>
      <c r="I3273">
        <v>0</v>
      </c>
      <c r="J3273">
        <v>0</v>
      </c>
      <c r="K3273" t="str">
        <f t="shared" si="833"/>
        <v>Y</v>
      </c>
      <c r="L3273">
        <v>0</v>
      </c>
      <c r="M3273" t="str">
        <f t="shared" si="814"/>
        <v>NIS</v>
      </c>
      <c r="O3273">
        <v>10</v>
      </c>
      <c r="P3273" t="str">
        <f t="shared" si="828"/>
        <v>Active</v>
      </c>
      <c r="Q3273" t="str">
        <f>"CNC Interface with EMCO TURN"</f>
        <v>CNC Interface with EMCO TURN</v>
      </c>
      <c r="S3273" t="str">
        <f>"CNC Interface with EMCO TURN"</f>
        <v>CNC Interface with EMCO TURN</v>
      </c>
      <c r="T3273">
        <v>0</v>
      </c>
      <c r="U3273">
        <v>20.28</v>
      </c>
      <c r="V3273">
        <v>13.85</v>
      </c>
      <c r="W3273" t="str">
        <f t="shared" si="820"/>
        <v>rob</v>
      </c>
    </row>
    <row r="3274" spans="1:23">
      <c r="A3274" t="str">
        <f t="shared" si="829"/>
        <v>MTS-MH5F-2CNC-EM</v>
      </c>
      <c r="B3274" t="str">
        <f>"10-2118-8000"</f>
        <v>10-2118-8000</v>
      </c>
      <c r="C3274" t="str">
        <f>"CNC Interface Option Relay Box (5OUT/5IN)"</f>
        <v>CNC Interface Option Relay Box (5OUT/5IN)</v>
      </c>
      <c r="D3274">
        <v>2</v>
      </c>
      <c r="E3274" t="str">
        <f t="shared" si="830"/>
        <v>FMS - MOTOMAN MH5F robot for EMCO CNC Mill &amp; Turn</v>
      </c>
      <c r="F3274">
        <v>502</v>
      </c>
      <c r="G3274" t="str">
        <f t="shared" si="832"/>
        <v>Y</v>
      </c>
      <c r="H3274" t="str">
        <f t="shared" si="831"/>
        <v>EA</v>
      </c>
      <c r="I3274">
        <v>0</v>
      </c>
      <c r="J3274">
        <v>0</v>
      </c>
      <c r="K3274" t="str">
        <f t="shared" si="833"/>
        <v>Y</v>
      </c>
      <c r="L3274">
        <v>0</v>
      </c>
      <c r="M3274" t="str">
        <f t="shared" si="814"/>
        <v>NIS</v>
      </c>
      <c r="O3274">
        <v>11</v>
      </c>
      <c r="P3274" t="str">
        <f t="shared" si="828"/>
        <v>Active</v>
      </c>
      <c r="Q3274" t="str">
        <f>"CNC Interface Option USB Relay Box (5OUT/5IN)"</f>
        <v>CNC Interface Option USB Relay Box (5OUT/5IN)</v>
      </c>
      <c r="S3274" t="str">
        <f>"CNC Interface Option Relay Box (5OUT/5IN)"</f>
        <v>CNC Interface Option Relay Box (5OUT/5IN)</v>
      </c>
      <c r="T3274">
        <v>0</v>
      </c>
      <c r="U3274">
        <v>84</v>
      </c>
      <c r="V3274">
        <v>215.62</v>
      </c>
      <c r="W3274" t="str">
        <f t="shared" si="820"/>
        <v>rob</v>
      </c>
    </row>
    <row r="3275" spans="1:23">
      <c r="A3275" t="str">
        <f t="shared" si="829"/>
        <v>MTS-MH5F-2CNC-EM</v>
      </c>
      <c r="B3275" t="str">
        <f>"10-2116-2000"</f>
        <v>10-2116-2000</v>
      </c>
      <c r="C3275" t="str">
        <f>"Pneumatic Flip Device for 3rd Party CNC Mill"</f>
        <v>Pneumatic Flip Device for 3rd Party CNC Mill</v>
      </c>
      <c r="D3275">
        <v>1</v>
      </c>
      <c r="E3275" t="str">
        <f t="shared" si="830"/>
        <v>FMS - MOTOMAN MH5F robot for EMCO CNC Mill &amp; Turn</v>
      </c>
      <c r="F3275">
        <v>502</v>
      </c>
      <c r="G3275" t="str">
        <f t="shared" si="832"/>
        <v>Y</v>
      </c>
      <c r="H3275" t="str">
        <f t="shared" si="831"/>
        <v>EA</v>
      </c>
      <c r="I3275">
        <v>0</v>
      </c>
      <c r="J3275">
        <v>0</v>
      </c>
      <c r="K3275" t="str">
        <f t="shared" si="833"/>
        <v>Y</v>
      </c>
      <c r="L3275">
        <v>0</v>
      </c>
      <c r="M3275" t="str">
        <f t="shared" si="814"/>
        <v>NIS</v>
      </c>
      <c r="O3275">
        <v>12</v>
      </c>
      <c r="P3275" t="str">
        <f t="shared" si="828"/>
        <v>Active</v>
      </c>
      <c r="Q3275" t="str">
        <f>"Pneumatic Flip Device"</f>
        <v>Pneumatic Flip Device</v>
      </c>
      <c r="S3275" t="str">
        <f>"Pneumatic Flip Device"</f>
        <v>Pneumatic Flip Device</v>
      </c>
      <c r="T3275">
        <v>0</v>
      </c>
      <c r="U3275">
        <v>503.58</v>
      </c>
      <c r="V3275">
        <v>467.47</v>
      </c>
      <c r="W3275" t="str">
        <f t="shared" si="820"/>
        <v>rob</v>
      </c>
    </row>
    <row r="3276" spans="1:23">
      <c r="A3276" t="str">
        <f t="shared" si="829"/>
        <v>MTS-MH5F-2CNC-EM</v>
      </c>
      <c r="B3276" t="str">
        <f>"113034"</f>
        <v>113034</v>
      </c>
      <c r="C3276" t="str">
        <f>"Raw Material - Perspex Block"</f>
        <v>Raw Material - Perspex Block</v>
      </c>
      <c r="D3276">
        <v>50</v>
      </c>
      <c r="E3276" t="str">
        <f t="shared" si="830"/>
        <v>FMS - MOTOMAN MH5F robot for EMCO CNC Mill &amp; Turn</v>
      </c>
      <c r="F3276">
        <v>502</v>
      </c>
      <c r="G3276" t="str">
        <f t="shared" si="832"/>
        <v>Y</v>
      </c>
      <c r="H3276" t="str">
        <f t="shared" si="831"/>
        <v>EA</v>
      </c>
      <c r="I3276">
        <v>0</v>
      </c>
      <c r="J3276">
        <v>0</v>
      </c>
      <c r="K3276" t="str">
        <f t="shared" si="833"/>
        <v>Y</v>
      </c>
      <c r="L3276">
        <v>0</v>
      </c>
      <c r="M3276" t="str">
        <f t="shared" si="814"/>
        <v>NIS</v>
      </c>
      <c r="O3276">
        <v>13</v>
      </c>
      <c r="P3276" t="str">
        <f t="shared" si="828"/>
        <v>Active</v>
      </c>
      <c r="Q3276" t="str">
        <f>"Raw Material Stock - Perspex Block"</f>
        <v>Raw Material Stock - Perspex Block</v>
      </c>
      <c r="S3276" t="str">
        <f>"Raw Material Stock - Perspex Block"</f>
        <v>Raw Material Stock - Perspex Block</v>
      </c>
      <c r="T3276">
        <v>0</v>
      </c>
      <c r="U3276">
        <v>1.1000000000000001</v>
      </c>
      <c r="V3276">
        <v>1.0900000000000001</v>
      </c>
      <c r="W3276" t="str">
        <f t="shared" si="820"/>
        <v>rob</v>
      </c>
    </row>
    <row r="3277" spans="1:23">
      <c r="A3277" t="str">
        <f t="shared" si="829"/>
        <v>MTS-MH5F-2CNC-EM</v>
      </c>
      <c r="B3277" t="str">
        <f>"112496"</f>
        <v>112496</v>
      </c>
      <c r="C3277" t="str">
        <f>"Raw Material - Brass  Rod"</f>
        <v>Raw Material - Brass  Rod</v>
      </c>
      <c r="D3277">
        <v>50</v>
      </c>
      <c r="E3277" t="str">
        <f t="shared" si="830"/>
        <v>FMS - MOTOMAN MH5F robot for EMCO CNC Mill &amp; Turn</v>
      </c>
      <c r="F3277">
        <v>502</v>
      </c>
      <c r="G3277" t="str">
        <f t="shared" si="832"/>
        <v>Y</v>
      </c>
      <c r="H3277" t="str">
        <f t="shared" si="831"/>
        <v>EA</v>
      </c>
      <c r="I3277">
        <v>0</v>
      </c>
      <c r="J3277">
        <v>0</v>
      </c>
      <c r="K3277" t="str">
        <f t="shared" si="833"/>
        <v>Y</v>
      </c>
      <c r="L3277">
        <v>0</v>
      </c>
      <c r="M3277" t="str">
        <f t="shared" si="814"/>
        <v>NIS</v>
      </c>
      <c r="O3277">
        <v>14</v>
      </c>
      <c r="P3277" t="str">
        <f t="shared" si="828"/>
        <v>Active</v>
      </c>
      <c r="Q3277" t="str">
        <f>"Raw Material Stock - Brass  Rod"</f>
        <v>Raw Material Stock - Brass  Rod</v>
      </c>
      <c r="S3277" t="str">
        <f>"Raw Material Stock - Brass  Rod"</f>
        <v>Raw Material Stock - Brass  Rod</v>
      </c>
      <c r="T3277">
        <v>0</v>
      </c>
      <c r="U3277">
        <v>3.67</v>
      </c>
      <c r="V3277">
        <v>2.69</v>
      </c>
      <c r="W3277" t="str">
        <f t="shared" si="820"/>
        <v>rob</v>
      </c>
    </row>
    <row r="3278" spans="1:23">
      <c r="A3278" t="str">
        <f t="shared" si="829"/>
        <v>MTS-MH5F-2CNC-EM</v>
      </c>
      <c r="B3278" t="str">
        <f>"00-1251-0000"</f>
        <v>00-1251-0000</v>
      </c>
      <c r="C3278" t="str">
        <f>"Workbench 1500x800mm (Formica Top)"</f>
        <v>Workbench 1500x800mm (Formica Top)</v>
      </c>
      <c r="D3278">
        <v>1</v>
      </c>
      <c r="E3278" t="str">
        <f t="shared" si="830"/>
        <v>FMS - MOTOMAN MH5F robot for EMCO CNC Mill &amp; Turn</v>
      </c>
      <c r="F3278">
        <v>502</v>
      </c>
      <c r="G3278" t="str">
        <f t="shared" si="832"/>
        <v>Y</v>
      </c>
      <c r="H3278" t="str">
        <f t="shared" si="831"/>
        <v>EA</v>
      </c>
      <c r="I3278">
        <v>0</v>
      </c>
      <c r="J3278">
        <v>0</v>
      </c>
      <c r="K3278" t="str">
        <f t="shared" si="833"/>
        <v>Y</v>
      </c>
      <c r="L3278">
        <v>0</v>
      </c>
      <c r="M3278" t="str">
        <f t="shared" ref="M3278:M3341" si="834">"NIS"</f>
        <v>NIS</v>
      </c>
      <c r="O3278">
        <v>15</v>
      </c>
      <c r="P3278" t="str">
        <f t="shared" si="828"/>
        <v>Active</v>
      </c>
      <c r="Q3278" t="str">
        <f>"Workbench 1500x800mm (Formica Top)"</f>
        <v>Workbench 1500x800mm (Formica Top)</v>
      </c>
      <c r="S3278" t="str">
        <f>"Workbench 1500x800mm (Formica Top)"</f>
        <v>Workbench 1500x800mm (Formica Top)</v>
      </c>
      <c r="T3278">
        <v>0</v>
      </c>
      <c r="U3278">
        <v>582</v>
      </c>
      <c r="V3278">
        <v>588.6</v>
      </c>
      <c r="W3278" t="str">
        <f t="shared" si="820"/>
        <v>rob</v>
      </c>
    </row>
    <row r="3279" spans="1:23">
      <c r="A3279" t="str">
        <f t="shared" si="829"/>
        <v>MTS-MH5F-2CNC-EM</v>
      </c>
      <c r="B3279" t="str">
        <f>"00-1290-0000"</f>
        <v>00-1290-0000</v>
      </c>
      <c r="C3279" t="str">
        <f>"PC Table 630x800mm (with Keyboard Drawer)"</f>
        <v>PC Table 630x800mm (with Keyboard Drawer)</v>
      </c>
      <c r="D3279">
        <v>1</v>
      </c>
      <c r="E3279" t="str">
        <f t="shared" si="830"/>
        <v>FMS - MOTOMAN MH5F robot for EMCO CNC Mill &amp; Turn</v>
      </c>
      <c r="F3279">
        <v>502</v>
      </c>
      <c r="G3279" t="str">
        <f t="shared" si="832"/>
        <v>Y</v>
      </c>
      <c r="H3279" t="str">
        <f t="shared" si="831"/>
        <v>EA</v>
      </c>
      <c r="I3279">
        <v>0</v>
      </c>
      <c r="J3279">
        <v>0</v>
      </c>
      <c r="K3279" t="str">
        <f t="shared" si="833"/>
        <v>Y</v>
      </c>
      <c r="L3279">
        <v>0</v>
      </c>
      <c r="M3279" t="str">
        <f t="shared" si="834"/>
        <v>NIS</v>
      </c>
      <c r="O3279">
        <v>16</v>
      </c>
      <c r="P3279" t="str">
        <f t="shared" si="828"/>
        <v>Active</v>
      </c>
      <c r="Q3279" t="str">
        <f>"PC Table 630x800mm (with Keyboard Drawer)"</f>
        <v>PC Table 630x800mm (with Keyboard Drawer)</v>
      </c>
      <c r="S3279" t="str">
        <f>"PC Table 630x800mm (with Keyboard Drawer)"</f>
        <v>PC Table 630x800mm (with Keyboard Drawer)</v>
      </c>
      <c r="T3279">
        <v>0</v>
      </c>
      <c r="U3279">
        <v>405.86</v>
      </c>
      <c r="V3279">
        <v>329.34</v>
      </c>
      <c r="W3279" t="str">
        <f t="shared" si="820"/>
        <v>rob</v>
      </c>
    </row>
    <row r="3280" spans="1:23">
      <c r="A3280" t="str">
        <f t="shared" si="829"/>
        <v>MTS-MH5F-2CNC-EM</v>
      </c>
      <c r="B3280" t="str">
        <f>"50-0094-0000"</f>
        <v>50-0094-0000</v>
      </c>
      <c r="C3280" t="str">
        <f>"Pre-Engineering, Design and Testing"</f>
        <v>Pre-Engineering, Design and Testing</v>
      </c>
      <c r="D3280">
        <v>1</v>
      </c>
      <c r="E3280" t="str">
        <f t="shared" si="830"/>
        <v>FMS - MOTOMAN MH5F robot for EMCO CNC Mill &amp; Turn</v>
      </c>
      <c r="F3280">
        <v>502</v>
      </c>
      <c r="G3280" t="str">
        <f t="shared" si="832"/>
        <v>Y</v>
      </c>
      <c r="H3280" t="str">
        <f>"DA"</f>
        <v>DA</v>
      </c>
      <c r="I3280">
        <v>0</v>
      </c>
      <c r="J3280">
        <v>0</v>
      </c>
      <c r="K3280" t="str">
        <f t="shared" si="833"/>
        <v>Y</v>
      </c>
      <c r="L3280">
        <v>0</v>
      </c>
      <c r="M3280" t="str">
        <f t="shared" si="834"/>
        <v>NIS</v>
      </c>
      <c r="O3280">
        <v>17</v>
      </c>
      <c r="P3280" t="str">
        <f t="shared" si="828"/>
        <v>Active</v>
      </c>
      <c r="Q3280" t="str">
        <f>"Pre-Engineering, Design and Testing"</f>
        <v>Pre-Engineering, Design and Testing</v>
      </c>
      <c r="S3280" t="str">
        <f>"Pre-Engineering, Design and Testing"</f>
        <v>Pre-Engineering, Design and Testing</v>
      </c>
      <c r="T3280">
        <v>0</v>
      </c>
      <c r="U3280">
        <v>405</v>
      </c>
      <c r="V3280">
        <v>421.2</v>
      </c>
      <c r="W3280" t="str">
        <f t="shared" si="820"/>
        <v>rob</v>
      </c>
    </row>
    <row r="3281" spans="1:23">
      <c r="A3281" t="str">
        <f t="shared" ref="A3281:A3293" si="835">"MTS-MH5F-3rd-MIL"</f>
        <v>MTS-MH5F-3rd-MIL</v>
      </c>
      <c r="B3281" t="str">
        <f>"00-0436-0000"</f>
        <v>00-0436-0000</v>
      </c>
      <c r="C3281" t="str">
        <f>"MH5F compact high-speed 6-axis Robot"</f>
        <v>MH5F compact high-speed 6-axis Robot</v>
      </c>
      <c r="D3281">
        <v>1</v>
      </c>
      <c r="E3281" t="str">
        <f t="shared" ref="E3281:E3293" si="836">"FMS - MOTOMAN MH5F robot for 3rd Party Mill"</f>
        <v>FMS - MOTOMAN MH5F robot for 3rd Party Mill</v>
      </c>
      <c r="F3281">
        <v>502</v>
      </c>
      <c r="G3281" t="str">
        <f t="shared" si="832"/>
        <v>Y</v>
      </c>
      <c r="H3281" t="str">
        <f t="shared" ref="H3281:H3292" si="837">"EA"</f>
        <v>EA</v>
      </c>
      <c r="I3281">
        <v>0</v>
      </c>
      <c r="J3281">
        <v>0</v>
      </c>
      <c r="K3281" t="str">
        <f t="shared" si="833"/>
        <v>Y</v>
      </c>
      <c r="L3281">
        <v>0</v>
      </c>
      <c r="M3281" t="str">
        <f t="shared" si="834"/>
        <v>NIS</v>
      </c>
      <c r="O3281">
        <v>1</v>
      </c>
      <c r="P3281" t="str">
        <f t="shared" si="828"/>
        <v>Active</v>
      </c>
      <c r="Q3281" t="str">
        <f>"MH5F compact high-speed 6-axis Robot"</f>
        <v>MH5F compact high-speed 6-axis Robot</v>
      </c>
      <c r="S3281" t="str">
        <f>"MH5F compact high-speed 6-axis Robot"</f>
        <v>MH5F compact high-speed 6-axis Robot</v>
      </c>
      <c r="T3281">
        <v>0</v>
      </c>
      <c r="U3281" s="44">
        <v>23500</v>
      </c>
      <c r="V3281" s="44">
        <v>16049.14</v>
      </c>
      <c r="W3281" t="str">
        <f t="shared" si="820"/>
        <v>rob</v>
      </c>
    </row>
    <row r="3282" spans="1:23">
      <c r="A3282" t="str">
        <f t="shared" si="835"/>
        <v>MTS-MH5F-3rd-MIL</v>
      </c>
      <c r="B3282" t="str">
        <f>"00-0646-0000"</f>
        <v>00-0646-0000</v>
      </c>
      <c r="C3282" t="str">
        <f>"Pneumatic Gripper with I/O Box for Motoman MH5F"</f>
        <v>Pneumatic Gripper with I/O Box for Motoman MH5F</v>
      </c>
      <c r="D3282">
        <v>1</v>
      </c>
      <c r="E3282" t="str">
        <f t="shared" si="836"/>
        <v>FMS - MOTOMAN MH5F robot for 3rd Party Mill</v>
      </c>
      <c r="F3282">
        <v>502</v>
      </c>
      <c r="G3282" t="str">
        <f t="shared" si="832"/>
        <v>Y</v>
      </c>
      <c r="H3282" t="str">
        <f t="shared" si="837"/>
        <v>EA</v>
      </c>
      <c r="I3282">
        <v>0</v>
      </c>
      <c r="J3282">
        <v>0</v>
      </c>
      <c r="K3282" t="str">
        <f t="shared" si="833"/>
        <v>Y</v>
      </c>
      <c r="L3282">
        <v>0</v>
      </c>
      <c r="M3282" t="str">
        <f t="shared" si="834"/>
        <v>NIS</v>
      </c>
      <c r="O3282">
        <v>2</v>
      </c>
      <c r="P3282" t="str">
        <f t="shared" si="828"/>
        <v>Active</v>
      </c>
      <c r="Q3282" t="str">
        <f>"Pneumatic Gripper with I/O Box for Motoman MH5F"</f>
        <v>Pneumatic Gripper with I/O Box for Motoman MH5F</v>
      </c>
      <c r="S3282" t="str">
        <f>"Pneumatic Gripper with I/O Box for Motoman MH5F"</f>
        <v>Pneumatic Gripper with I/O Box for Motoman MH5F</v>
      </c>
      <c r="T3282">
        <v>0</v>
      </c>
      <c r="U3282" s="44">
        <v>1500</v>
      </c>
      <c r="V3282" s="44">
        <v>1238.52</v>
      </c>
      <c r="W3282" t="str">
        <f t="shared" si="820"/>
        <v>rob</v>
      </c>
    </row>
    <row r="3283" spans="1:23">
      <c r="A3283" t="str">
        <f t="shared" si="835"/>
        <v>MTS-MH5F-3rd-MIL</v>
      </c>
      <c r="B3283" t="str">
        <f>"00-1027-0000"</f>
        <v>00-1027-0000</v>
      </c>
      <c r="C3283" t="str">
        <f>"LSB 1.8m, Belt, USB-Pro, for ind. robot &lt; 35kg)"</f>
        <v>LSB 1.8m, Belt, USB-Pro, for ind. robot &lt; 35kg)</v>
      </c>
      <c r="D3283">
        <v>1</v>
      </c>
      <c r="E3283" t="str">
        <f t="shared" si="836"/>
        <v>FMS - MOTOMAN MH5F robot for 3rd Party Mill</v>
      </c>
      <c r="F3283">
        <v>502</v>
      </c>
      <c r="G3283" t="str">
        <f t="shared" si="832"/>
        <v>Y</v>
      </c>
      <c r="H3283" t="str">
        <f t="shared" si="837"/>
        <v>EA</v>
      </c>
      <c r="I3283">
        <v>0</v>
      </c>
      <c r="J3283">
        <v>0</v>
      </c>
      <c r="K3283" t="str">
        <f t="shared" si="833"/>
        <v>Y</v>
      </c>
      <c r="L3283">
        <v>0</v>
      </c>
      <c r="M3283" t="str">
        <f t="shared" si="834"/>
        <v>NIS</v>
      </c>
      <c r="O3283">
        <v>3</v>
      </c>
      <c r="P3283" t="str">
        <f t="shared" si="828"/>
        <v>Active</v>
      </c>
      <c r="Q3283" t="str">
        <f>"LSB 1.8m incl. USB-Pro(Industr. robot max. 50kg)"</f>
        <v>LSB 1.8m incl. USB-Pro(Industr. robot max. 50kg)</v>
      </c>
      <c r="S3283" t="str">
        <f>"LSB 1.8m, Belt, USB-Pro, for ind. robot &lt; 35kg"</f>
        <v>LSB 1.8m, Belt, USB-Pro, for ind. robot &lt; 35kg</v>
      </c>
      <c r="T3283">
        <v>0</v>
      </c>
      <c r="U3283" s="44">
        <v>5000</v>
      </c>
      <c r="V3283" s="44">
        <v>4687.0200000000004</v>
      </c>
      <c r="W3283" t="str">
        <f t="shared" si="820"/>
        <v>rob</v>
      </c>
    </row>
    <row r="3284" spans="1:23">
      <c r="A3284" t="str">
        <f t="shared" si="835"/>
        <v>MTS-MH5F-3rd-MIL</v>
      </c>
      <c r="B3284" t="str">
        <f>"00-1110-0000"</f>
        <v>00-1110-0000</v>
      </c>
      <c r="C3284" t="str">
        <f>"Palletizing Rack"</f>
        <v>Palletizing Rack</v>
      </c>
      <c r="D3284">
        <v>1</v>
      </c>
      <c r="E3284" t="str">
        <f t="shared" si="836"/>
        <v>FMS - MOTOMAN MH5F robot for 3rd Party Mill</v>
      </c>
      <c r="F3284">
        <v>502</v>
      </c>
      <c r="G3284" t="str">
        <f t="shared" si="832"/>
        <v>Y</v>
      </c>
      <c r="H3284" t="str">
        <f t="shared" si="837"/>
        <v>EA</v>
      </c>
      <c r="I3284">
        <v>0</v>
      </c>
      <c r="J3284">
        <v>0</v>
      </c>
      <c r="K3284" t="str">
        <f t="shared" si="833"/>
        <v>Y</v>
      </c>
      <c r="L3284">
        <v>0</v>
      </c>
      <c r="M3284" t="str">
        <f t="shared" si="834"/>
        <v>NIS</v>
      </c>
      <c r="O3284">
        <v>4</v>
      </c>
      <c r="P3284" t="str">
        <f t="shared" si="828"/>
        <v>Active</v>
      </c>
      <c r="Q3284" t="str">
        <f>"Palletizing Rack (incl. Pins for creating Jigs)"</f>
        <v>Palletizing Rack (incl. Pins for creating Jigs)</v>
      </c>
      <c r="S3284" t="str">
        <f>"Palletizing Rack (incl. Pins for creating Jigs)"</f>
        <v>Palletizing Rack (incl. Pins for creating Jigs)</v>
      </c>
      <c r="T3284">
        <v>0</v>
      </c>
      <c r="U3284">
        <v>63</v>
      </c>
      <c r="V3284">
        <v>58.59</v>
      </c>
      <c r="W3284" t="str">
        <f t="shared" si="820"/>
        <v>rob</v>
      </c>
    </row>
    <row r="3285" spans="1:23">
      <c r="A3285" t="str">
        <f t="shared" si="835"/>
        <v>MTS-MH5F-3rd-MIL</v>
      </c>
      <c r="B3285" t="str">
        <f>"10-2521-7000"</f>
        <v>10-2521-7000</v>
      </c>
      <c r="C3285" t="str">
        <f>"Pneumatic Feeder for Rectangular products"</f>
        <v>Pneumatic Feeder for Rectangular products</v>
      </c>
      <c r="D3285">
        <v>1</v>
      </c>
      <c r="E3285" t="str">
        <f t="shared" si="836"/>
        <v>FMS - MOTOMAN MH5F robot for 3rd Party Mill</v>
      </c>
      <c r="F3285">
        <v>502</v>
      </c>
      <c r="G3285" t="str">
        <f t="shared" si="832"/>
        <v>Y</v>
      </c>
      <c r="H3285" t="str">
        <f t="shared" si="837"/>
        <v>EA</v>
      </c>
      <c r="I3285">
        <v>0</v>
      </c>
      <c r="J3285">
        <v>0</v>
      </c>
      <c r="K3285" t="str">
        <f t="shared" si="833"/>
        <v>Y</v>
      </c>
      <c r="L3285">
        <v>0</v>
      </c>
      <c r="M3285" t="str">
        <f t="shared" si="834"/>
        <v>NIS</v>
      </c>
      <c r="O3285">
        <v>5</v>
      </c>
      <c r="P3285" t="str">
        <f t="shared" si="828"/>
        <v>Active</v>
      </c>
      <c r="Q3285" t="str">
        <f>"Pneumatic Feeder for Rectangular Parts"</f>
        <v>Pneumatic Feeder for Rectangular Parts</v>
      </c>
      <c r="S3285" t="str">
        <f>"Pneumatic Feeder for Rectangular Parts"</f>
        <v>Pneumatic Feeder for Rectangular Parts</v>
      </c>
      <c r="T3285">
        <v>0</v>
      </c>
      <c r="U3285">
        <v>595</v>
      </c>
      <c r="V3285">
        <v>555.15</v>
      </c>
      <c r="W3285" t="str">
        <f t="shared" si="820"/>
        <v>rob</v>
      </c>
    </row>
    <row r="3286" spans="1:23">
      <c r="A3286" t="str">
        <f t="shared" si="835"/>
        <v>MTS-MH5F-3rd-MIL</v>
      </c>
      <c r="B3286" t="str">
        <f>"50-0092-0000"</f>
        <v>50-0092-0000</v>
      </c>
      <c r="C3286" t="str">
        <f>"Interface Programming for 3rd Party CNC Machine"</f>
        <v>Interface Programming for 3rd Party CNC Machine</v>
      </c>
      <c r="D3286">
        <v>2</v>
      </c>
      <c r="E3286" t="str">
        <f t="shared" si="836"/>
        <v>FMS - MOTOMAN MH5F robot for 3rd Party Mill</v>
      </c>
      <c r="F3286">
        <v>502</v>
      </c>
      <c r="G3286" t="str">
        <f t="shared" si="832"/>
        <v>Y</v>
      </c>
      <c r="H3286" t="str">
        <f t="shared" si="837"/>
        <v>EA</v>
      </c>
      <c r="I3286">
        <v>0</v>
      </c>
      <c r="J3286">
        <v>0</v>
      </c>
      <c r="K3286" t="str">
        <f t="shared" si="833"/>
        <v>Y</v>
      </c>
      <c r="L3286">
        <v>0</v>
      </c>
      <c r="M3286" t="str">
        <f t="shared" si="834"/>
        <v>NIS</v>
      </c>
      <c r="O3286">
        <v>6</v>
      </c>
      <c r="P3286" t="str">
        <f t="shared" si="828"/>
        <v>Active</v>
      </c>
      <c r="Q3286" t="str">
        <f>"Interface Programming for 3rd Party CNC Machine"</f>
        <v>Interface Programming for 3rd Party CNC Machine</v>
      </c>
      <c r="S3286" t="str">
        <f>"Interface Programming for 3rd Party CNC Machine"</f>
        <v>Interface Programming for 3rd Party CNC Machine</v>
      </c>
      <c r="T3286">
        <v>0</v>
      </c>
      <c r="U3286" s="44">
        <v>1000</v>
      </c>
      <c r="V3286" s="44">
        <v>1000</v>
      </c>
      <c r="W3286" t="str">
        <f t="shared" si="820"/>
        <v>rob</v>
      </c>
    </row>
    <row r="3287" spans="1:23">
      <c r="A3287" t="str">
        <f t="shared" si="835"/>
        <v>MTS-MH5F-3rd-MIL</v>
      </c>
      <c r="B3287" t="str">
        <f>"10-2118-8000"</f>
        <v>10-2118-8000</v>
      </c>
      <c r="C3287" t="str">
        <f>"CNC Interface Option Relay Box (5OUT/5IN)"</f>
        <v>CNC Interface Option Relay Box (5OUT/5IN)</v>
      </c>
      <c r="D3287">
        <v>1</v>
      </c>
      <c r="E3287" t="str">
        <f t="shared" si="836"/>
        <v>FMS - MOTOMAN MH5F robot for 3rd Party Mill</v>
      </c>
      <c r="F3287">
        <v>502</v>
      </c>
      <c r="G3287" t="str">
        <f t="shared" si="832"/>
        <v>Y</v>
      </c>
      <c r="H3287" t="str">
        <f t="shared" si="837"/>
        <v>EA</v>
      </c>
      <c r="I3287">
        <v>0</v>
      </c>
      <c r="J3287">
        <v>0</v>
      </c>
      <c r="K3287" t="str">
        <f t="shared" si="833"/>
        <v>Y</v>
      </c>
      <c r="L3287">
        <v>0</v>
      </c>
      <c r="M3287" t="str">
        <f t="shared" si="834"/>
        <v>NIS</v>
      </c>
      <c r="O3287">
        <v>7</v>
      </c>
      <c r="P3287" t="str">
        <f t="shared" si="828"/>
        <v>Active</v>
      </c>
      <c r="Q3287" t="str">
        <f>"CNC Interface Option USB Relay Box (5OUT/5IN)"</f>
        <v>CNC Interface Option USB Relay Box (5OUT/5IN)</v>
      </c>
      <c r="S3287" t="str">
        <f>"CNC Interface Option Relay Box (5OUT/5IN)"</f>
        <v>CNC Interface Option Relay Box (5OUT/5IN)</v>
      </c>
      <c r="T3287">
        <v>0</v>
      </c>
      <c r="U3287">
        <v>84</v>
      </c>
      <c r="V3287">
        <v>215.62</v>
      </c>
      <c r="W3287" t="str">
        <f t="shared" si="820"/>
        <v>rob</v>
      </c>
    </row>
    <row r="3288" spans="1:23">
      <c r="A3288" t="str">
        <f t="shared" si="835"/>
        <v>MTS-MH5F-3rd-MIL</v>
      </c>
      <c r="B3288" t="str">
        <f>"10-2116-2000"</f>
        <v>10-2116-2000</v>
      </c>
      <c r="C3288" t="str">
        <f>"Pneumatic Flip Device for 3rd Party CNC Mill"</f>
        <v>Pneumatic Flip Device for 3rd Party CNC Mill</v>
      </c>
      <c r="D3288">
        <v>1</v>
      </c>
      <c r="E3288" t="str">
        <f t="shared" si="836"/>
        <v>FMS - MOTOMAN MH5F robot for 3rd Party Mill</v>
      </c>
      <c r="F3288">
        <v>502</v>
      </c>
      <c r="G3288" t="str">
        <f t="shared" si="832"/>
        <v>Y</v>
      </c>
      <c r="H3288" t="str">
        <f t="shared" si="837"/>
        <v>EA</v>
      </c>
      <c r="I3288">
        <v>0</v>
      </c>
      <c r="J3288">
        <v>0</v>
      </c>
      <c r="K3288" t="str">
        <f t="shared" si="833"/>
        <v>Y</v>
      </c>
      <c r="L3288">
        <v>0</v>
      </c>
      <c r="M3288" t="str">
        <f t="shared" si="834"/>
        <v>NIS</v>
      </c>
      <c r="O3288">
        <v>8</v>
      </c>
      <c r="P3288" t="str">
        <f t="shared" ref="P3288:P3319" si="838">"Active"</f>
        <v>Active</v>
      </c>
      <c r="Q3288" t="str">
        <f>"Pneumatic Flip Device"</f>
        <v>Pneumatic Flip Device</v>
      </c>
      <c r="S3288" t="str">
        <f>"Pneumatic Flip Device"</f>
        <v>Pneumatic Flip Device</v>
      </c>
      <c r="T3288">
        <v>0</v>
      </c>
      <c r="U3288">
        <v>503.58</v>
      </c>
      <c r="V3288">
        <v>467.47</v>
      </c>
      <c r="W3288" t="str">
        <f t="shared" si="820"/>
        <v>rob</v>
      </c>
    </row>
    <row r="3289" spans="1:23">
      <c r="A3289" t="str">
        <f t="shared" si="835"/>
        <v>MTS-MH5F-3rd-MIL</v>
      </c>
      <c r="B3289" t="str">
        <f>"113034"</f>
        <v>113034</v>
      </c>
      <c r="C3289" t="str">
        <f>"Raw Material - Perspex Block"</f>
        <v>Raw Material - Perspex Block</v>
      </c>
      <c r="D3289">
        <v>50</v>
      </c>
      <c r="E3289" t="str">
        <f t="shared" si="836"/>
        <v>FMS - MOTOMAN MH5F robot for 3rd Party Mill</v>
      </c>
      <c r="F3289">
        <v>502</v>
      </c>
      <c r="G3289" t="str">
        <f t="shared" si="832"/>
        <v>Y</v>
      </c>
      <c r="H3289" t="str">
        <f t="shared" si="837"/>
        <v>EA</v>
      </c>
      <c r="I3289">
        <v>0</v>
      </c>
      <c r="J3289">
        <v>0</v>
      </c>
      <c r="K3289" t="str">
        <f t="shared" si="833"/>
        <v>Y</v>
      </c>
      <c r="L3289">
        <v>0</v>
      </c>
      <c r="M3289" t="str">
        <f t="shared" si="834"/>
        <v>NIS</v>
      </c>
      <c r="O3289">
        <v>9</v>
      </c>
      <c r="P3289" t="str">
        <f t="shared" si="838"/>
        <v>Active</v>
      </c>
      <c r="Q3289" t="str">
        <f>"Raw Material Stock - Perspex Block"</f>
        <v>Raw Material Stock - Perspex Block</v>
      </c>
      <c r="S3289" t="str">
        <f>"Raw Material Stock - Perspex Block"</f>
        <v>Raw Material Stock - Perspex Block</v>
      </c>
      <c r="T3289">
        <v>0</v>
      </c>
      <c r="U3289">
        <v>1.1000000000000001</v>
      </c>
      <c r="V3289">
        <v>1.0900000000000001</v>
      </c>
      <c r="W3289" t="str">
        <f t="shared" si="820"/>
        <v>rob</v>
      </c>
    </row>
    <row r="3290" spans="1:23">
      <c r="A3290" t="str">
        <f t="shared" si="835"/>
        <v>MTS-MH5F-3rd-MIL</v>
      </c>
      <c r="B3290" t="str">
        <f>"021152"</f>
        <v>021152</v>
      </c>
      <c r="C3290" t="str">
        <f>"Shelf Buffer for CIM conveyor"</f>
        <v>Shelf Buffer for CIM conveyor</v>
      </c>
      <c r="D3290">
        <v>1</v>
      </c>
      <c r="E3290" t="str">
        <f t="shared" si="836"/>
        <v>FMS - MOTOMAN MH5F robot for 3rd Party Mill</v>
      </c>
      <c r="F3290">
        <v>502</v>
      </c>
      <c r="G3290" t="str">
        <f t="shared" si="832"/>
        <v>Y</v>
      </c>
      <c r="H3290" t="str">
        <f t="shared" si="837"/>
        <v>EA</v>
      </c>
      <c r="I3290">
        <v>0</v>
      </c>
      <c r="J3290">
        <v>0</v>
      </c>
      <c r="K3290" t="str">
        <f t="shared" si="833"/>
        <v>Y</v>
      </c>
      <c r="L3290">
        <v>0</v>
      </c>
      <c r="M3290" t="str">
        <f t="shared" si="834"/>
        <v>NIS</v>
      </c>
      <c r="O3290">
        <v>10</v>
      </c>
      <c r="P3290" t="str">
        <f t="shared" si="838"/>
        <v>Active</v>
      </c>
      <c r="Q3290" t="str">
        <f>"מכלול- מדף בפר סטנדרטי OPEN-CIM"</f>
        <v>מכלול- מדף בפר סטנדרטי OPEN-CIM</v>
      </c>
      <c r="R3290" t="str">
        <f>"1"</f>
        <v>1</v>
      </c>
      <c r="S3290" t="str">
        <f>"מכלול- מדף בפר סטנדרטי OPEN-CIM"</f>
        <v>מכלול- מדף בפר סטנדרטי OPEN-CIM</v>
      </c>
      <c r="T3290">
        <v>0</v>
      </c>
      <c r="U3290">
        <v>83.12</v>
      </c>
      <c r="V3290">
        <v>92.76</v>
      </c>
      <c r="W3290" t="str">
        <f t="shared" si="820"/>
        <v>rob</v>
      </c>
    </row>
    <row r="3291" spans="1:23">
      <c r="A3291" t="str">
        <f t="shared" si="835"/>
        <v>MTS-MH5F-3rd-MIL</v>
      </c>
      <c r="B3291" t="str">
        <f>"00-1251-0000"</f>
        <v>00-1251-0000</v>
      </c>
      <c r="C3291" t="str">
        <f>"Workbench 1500x800mm (Formica Top)"</f>
        <v>Workbench 1500x800mm (Formica Top)</v>
      </c>
      <c r="D3291">
        <v>1</v>
      </c>
      <c r="E3291" t="str">
        <f t="shared" si="836"/>
        <v>FMS - MOTOMAN MH5F robot for 3rd Party Mill</v>
      </c>
      <c r="F3291">
        <v>502</v>
      </c>
      <c r="G3291" t="str">
        <f t="shared" si="832"/>
        <v>Y</v>
      </c>
      <c r="H3291" t="str">
        <f t="shared" si="837"/>
        <v>EA</v>
      </c>
      <c r="I3291">
        <v>0</v>
      </c>
      <c r="J3291">
        <v>0</v>
      </c>
      <c r="K3291" t="str">
        <f t="shared" si="833"/>
        <v>Y</v>
      </c>
      <c r="L3291">
        <v>0</v>
      </c>
      <c r="M3291" t="str">
        <f t="shared" si="834"/>
        <v>NIS</v>
      </c>
      <c r="O3291">
        <v>11</v>
      </c>
      <c r="P3291" t="str">
        <f t="shared" si="838"/>
        <v>Active</v>
      </c>
      <c r="Q3291" t="str">
        <f>"Workbench 1500x800mm (Formica Top)"</f>
        <v>Workbench 1500x800mm (Formica Top)</v>
      </c>
      <c r="S3291" t="str">
        <f>"Workbench 1500x800mm (Formica Top)"</f>
        <v>Workbench 1500x800mm (Formica Top)</v>
      </c>
      <c r="T3291">
        <v>0</v>
      </c>
      <c r="U3291">
        <v>582</v>
      </c>
      <c r="V3291">
        <v>588.6</v>
      </c>
      <c r="W3291" t="str">
        <f t="shared" si="820"/>
        <v>rob</v>
      </c>
    </row>
    <row r="3292" spans="1:23">
      <c r="A3292" t="str">
        <f t="shared" si="835"/>
        <v>MTS-MH5F-3rd-MIL</v>
      </c>
      <c r="B3292" t="str">
        <f>"00-1290-0000"</f>
        <v>00-1290-0000</v>
      </c>
      <c r="C3292" t="str">
        <f>"PC Table 630x800mm (with Keyboard Drawer)"</f>
        <v>PC Table 630x800mm (with Keyboard Drawer)</v>
      </c>
      <c r="D3292">
        <v>1</v>
      </c>
      <c r="E3292" t="str">
        <f t="shared" si="836"/>
        <v>FMS - MOTOMAN MH5F robot for 3rd Party Mill</v>
      </c>
      <c r="F3292">
        <v>502</v>
      </c>
      <c r="G3292" t="str">
        <f t="shared" si="832"/>
        <v>Y</v>
      </c>
      <c r="H3292" t="str">
        <f t="shared" si="837"/>
        <v>EA</v>
      </c>
      <c r="I3292">
        <v>0</v>
      </c>
      <c r="J3292">
        <v>0</v>
      </c>
      <c r="K3292" t="str">
        <f t="shared" si="833"/>
        <v>Y</v>
      </c>
      <c r="L3292">
        <v>0</v>
      </c>
      <c r="M3292" t="str">
        <f t="shared" si="834"/>
        <v>NIS</v>
      </c>
      <c r="O3292">
        <v>12</v>
      </c>
      <c r="P3292" t="str">
        <f t="shared" si="838"/>
        <v>Active</v>
      </c>
      <c r="Q3292" t="str">
        <f>"PC Table 630x800mm (with Keyboard Drawer)"</f>
        <v>PC Table 630x800mm (with Keyboard Drawer)</v>
      </c>
      <c r="S3292" t="str">
        <f>"PC Table 630x800mm (with Keyboard Drawer)"</f>
        <v>PC Table 630x800mm (with Keyboard Drawer)</v>
      </c>
      <c r="T3292">
        <v>0</v>
      </c>
      <c r="U3292">
        <v>405.86</v>
      </c>
      <c r="V3292">
        <v>329.34</v>
      </c>
      <c r="W3292" t="str">
        <f t="shared" si="820"/>
        <v>rob</v>
      </c>
    </row>
    <row r="3293" spans="1:23">
      <c r="A3293" t="str">
        <f t="shared" si="835"/>
        <v>MTS-MH5F-3rd-MIL</v>
      </c>
      <c r="B3293" t="str">
        <f>"50-0094-0000"</f>
        <v>50-0094-0000</v>
      </c>
      <c r="C3293" t="str">
        <f>"Pre-Engineering, Design and Testing"</f>
        <v>Pre-Engineering, Design and Testing</v>
      </c>
      <c r="D3293">
        <v>1</v>
      </c>
      <c r="E3293" t="str">
        <f t="shared" si="836"/>
        <v>FMS - MOTOMAN MH5F robot for 3rd Party Mill</v>
      </c>
      <c r="F3293">
        <v>502</v>
      </c>
      <c r="G3293" t="str">
        <f t="shared" si="832"/>
        <v>Y</v>
      </c>
      <c r="H3293" t="str">
        <f>"DA"</f>
        <v>DA</v>
      </c>
      <c r="I3293">
        <v>0</v>
      </c>
      <c r="J3293">
        <v>0</v>
      </c>
      <c r="K3293" t="str">
        <f t="shared" si="833"/>
        <v>Y</v>
      </c>
      <c r="L3293">
        <v>0</v>
      </c>
      <c r="M3293" t="str">
        <f t="shared" si="834"/>
        <v>NIS</v>
      </c>
      <c r="O3293">
        <v>13</v>
      </c>
      <c r="P3293" t="str">
        <f t="shared" si="838"/>
        <v>Active</v>
      </c>
      <c r="Q3293" t="str">
        <f>"Pre-Engineering, Design and Testing"</f>
        <v>Pre-Engineering, Design and Testing</v>
      </c>
      <c r="S3293" t="str">
        <f>"Pre-Engineering, Design and Testing"</f>
        <v>Pre-Engineering, Design and Testing</v>
      </c>
      <c r="T3293">
        <v>0</v>
      </c>
      <c r="U3293">
        <v>405</v>
      </c>
      <c r="V3293">
        <v>421.2</v>
      </c>
      <c r="W3293" t="str">
        <f t="shared" si="820"/>
        <v>rob</v>
      </c>
    </row>
    <row r="3294" spans="1:23">
      <c r="A3294" t="str">
        <f t="shared" ref="A3294:A3308" si="839">"MTS-MH5F-3rd-PMT"</f>
        <v>MTS-MH5F-3rd-PMT</v>
      </c>
      <c r="B3294" t="str">
        <f>"00-0436-0000"</f>
        <v>00-0436-0000</v>
      </c>
      <c r="C3294" t="str">
        <f>"MH5F compact high-speed 6-axis Robot"</f>
        <v>MH5F compact high-speed 6-axis Robot</v>
      </c>
      <c r="D3294">
        <v>1</v>
      </c>
      <c r="E3294" t="str">
        <f t="shared" ref="E3294:E3308" si="840">"FMS - MOTOMAN MH5F robot for 3rd Party Mill &amp; Turn"</f>
        <v>FMS - MOTOMAN MH5F robot for 3rd Party Mill &amp; Turn</v>
      </c>
      <c r="F3294">
        <v>502</v>
      </c>
      <c r="G3294" t="str">
        <f t="shared" si="832"/>
        <v>Y</v>
      </c>
      <c r="H3294" t="str">
        <f t="shared" ref="H3294:H3307" si="841">"EA"</f>
        <v>EA</v>
      </c>
      <c r="I3294">
        <v>0</v>
      </c>
      <c r="J3294">
        <v>0</v>
      </c>
      <c r="K3294" t="str">
        <f t="shared" si="833"/>
        <v>Y</v>
      </c>
      <c r="L3294">
        <v>0</v>
      </c>
      <c r="M3294" t="str">
        <f t="shared" si="834"/>
        <v>NIS</v>
      </c>
      <c r="O3294">
        <v>1</v>
      </c>
      <c r="P3294" t="str">
        <f t="shared" si="838"/>
        <v>Active</v>
      </c>
      <c r="Q3294" t="str">
        <f>"MH5F compact high-speed 6-axis Robot"</f>
        <v>MH5F compact high-speed 6-axis Robot</v>
      </c>
      <c r="S3294" t="str">
        <f>"MH5F compact high-speed 6-axis Robot"</f>
        <v>MH5F compact high-speed 6-axis Robot</v>
      </c>
      <c r="T3294">
        <v>0</v>
      </c>
      <c r="U3294" s="44">
        <v>23500</v>
      </c>
      <c r="V3294" s="44">
        <v>16049.14</v>
      </c>
      <c r="W3294" t="str">
        <f t="shared" si="820"/>
        <v>rob</v>
      </c>
    </row>
    <row r="3295" spans="1:23">
      <c r="A3295" t="str">
        <f t="shared" si="839"/>
        <v>MTS-MH5F-3rd-PMT</v>
      </c>
      <c r="B3295" t="str">
        <f>"00-0646-0000"</f>
        <v>00-0646-0000</v>
      </c>
      <c r="C3295" t="str">
        <f>"Pneumatic Gripper with I/O Box for Motoman MH5F"</f>
        <v>Pneumatic Gripper with I/O Box for Motoman MH5F</v>
      </c>
      <c r="D3295">
        <v>1</v>
      </c>
      <c r="E3295" t="str">
        <f t="shared" si="840"/>
        <v>FMS - MOTOMAN MH5F robot for 3rd Party Mill &amp; Turn</v>
      </c>
      <c r="F3295">
        <v>502</v>
      </c>
      <c r="G3295" t="str">
        <f t="shared" si="832"/>
        <v>Y</v>
      </c>
      <c r="H3295" t="str">
        <f t="shared" si="841"/>
        <v>EA</v>
      </c>
      <c r="I3295">
        <v>0</v>
      </c>
      <c r="J3295">
        <v>0</v>
      </c>
      <c r="K3295" t="str">
        <f t="shared" si="833"/>
        <v>Y</v>
      </c>
      <c r="L3295">
        <v>0</v>
      </c>
      <c r="M3295" t="str">
        <f t="shared" si="834"/>
        <v>NIS</v>
      </c>
      <c r="O3295">
        <v>2</v>
      </c>
      <c r="P3295" t="str">
        <f t="shared" si="838"/>
        <v>Active</v>
      </c>
      <c r="Q3295" t="str">
        <f>"Pneumatic Gripper with I/O Box for Motoman MH5F"</f>
        <v>Pneumatic Gripper with I/O Box for Motoman MH5F</v>
      </c>
      <c r="S3295" t="str">
        <f>"Pneumatic Gripper with I/O Box for Motoman MH5F"</f>
        <v>Pneumatic Gripper with I/O Box for Motoman MH5F</v>
      </c>
      <c r="T3295">
        <v>0</v>
      </c>
      <c r="U3295" s="44">
        <v>1500</v>
      </c>
      <c r="V3295" s="44">
        <v>1238.52</v>
      </c>
      <c r="W3295" t="str">
        <f t="shared" si="820"/>
        <v>rob</v>
      </c>
    </row>
    <row r="3296" spans="1:23">
      <c r="A3296" t="str">
        <f t="shared" si="839"/>
        <v>MTS-MH5F-3rd-PMT</v>
      </c>
      <c r="B3296" t="str">
        <f>"00-1027-0000"</f>
        <v>00-1027-0000</v>
      </c>
      <c r="C3296" t="str">
        <f>"LSB 1.8m, Belt, USB-Pro, for ind. robot &lt; 35kg)"</f>
        <v>LSB 1.8m, Belt, USB-Pro, for ind. robot &lt; 35kg)</v>
      </c>
      <c r="D3296">
        <v>1</v>
      </c>
      <c r="E3296" t="str">
        <f t="shared" si="840"/>
        <v>FMS - MOTOMAN MH5F robot for 3rd Party Mill &amp; Turn</v>
      </c>
      <c r="F3296">
        <v>502</v>
      </c>
      <c r="G3296" t="str">
        <f t="shared" si="832"/>
        <v>Y</v>
      </c>
      <c r="H3296" t="str">
        <f t="shared" si="841"/>
        <v>EA</v>
      </c>
      <c r="I3296">
        <v>0</v>
      </c>
      <c r="J3296">
        <v>0</v>
      </c>
      <c r="K3296" t="str">
        <f t="shared" si="833"/>
        <v>Y</v>
      </c>
      <c r="L3296">
        <v>0</v>
      </c>
      <c r="M3296" t="str">
        <f t="shared" si="834"/>
        <v>NIS</v>
      </c>
      <c r="O3296">
        <v>3</v>
      </c>
      <c r="P3296" t="str">
        <f t="shared" si="838"/>
        <v>Active</v>
      </c>
      <c r="Q3296" t="str">
        <f>"LSB 1.8m incl. USB-Pro(Industr. robot max. 50kg)"</f>
        <v>LSB 1.8m incl. USB-Pro(Industr. robot max. 50kg)</v>
      </c>
      <c r="S3296" t="str">
        <f>"LSB 1.8m, Belt, USB-Pro, for ind. robot &lt; 35kg"</f>
        <v>LSB 1.8m, Belt, USB-Pro, for ind. robot &lt; 35kg</v>
      </c>
      <c r="T3296">
        <v>0</v>
      </c>
      <c r="U3296" s="44">
        <v>5000</v>
      </c>
      <c r="V3296" s="44">
        <v>4687.0200000000004</v>
      </c>
      <c r="W3296" t="str">
        <f t="shared" si="820"/>
        <v>rob</v>
      </c>
    </row>
    <row r="3297" spans="1:23">
      <c r="A3297" t="str">
        <f t="shared" si="839"/>
        <v>MTS-MH5F-3rd-PMT</v>
      </c>
      <c r="B3297" t="str">
        <f>"00-1110-0000"</f>
        <v>00-1110-0000</v>
      </c>
      <c r="C3297" t="str">
        <f>"Palletizing Rack"</f>
        <v>Palletizing Rack</v>
      </c>
      <c r="D3297">
        <v>2</v>
      </c>
      <c r="E3297" t="str">
        <f t="shared" si="840"/>
        <v>FMS - MOTOMAN MH5F robot for 3rd Party Mill &amp; Turn</v>
      </c>
      <c r="F3297">
        <v>502</v>
      </c>
      <c r="G3297" t="str">
        <f t="shared" si="832"/>
        <v>Y</v>
      </c>
      <c r="H3297" t="str">
        <f t="shared" si="841"/>
        <v>EA</v>
      </c>
      <c r="I3297">
        <v>0</v>
      </c>
      <c r="J3297">
        <v>0</v>
      </c>
      <c r="K3297" t="str">
        <f t="shared" si="833"/>
        <v>Y</v>
      </c>
      <c r="L3297">
        <v>0</v>
      </c>
      <c r="M3297" t="str">
        <f t="shared" si="834"/>
        <v>NIS</v>
      </c>
      <c r="O3297">
        <v>4</v>
      </c>
      <c r="P3297" t="str">
        <f t="shared" si="838"/>
        <v>Active</v>
      </c>
      <c r="Q3297" t="str">
        <f>"Palletizing Rack (incl. Pins for creating Jigs)"</f>
        <v>Palletizing Rack (incl. Pins for creating Jigs)</v>
      </c>
      <c r="S3297" t="str">
        <f>"Palletizing Rack (incl. Pins for creating Jigs)"</f>
        <v>Palletizing Rack (incl. Pins for creating Jigs)</v>
      </c>
      <c r="T3297">
        <v>0</v>
      </c>
      <c r="U3297">
        <v>63</v>
      </c>
      <c r="V3297">
        <v>58.59</v>
      </c>
      <c r="W3297" t="str">
        <f t="shared" si="820"/>
        <v>rob</v>
      </c>
    </row>
    <row r="3298" spans="1:23">
      <c r="A3298" t="str">
        <f t="shared" si="839"/>
        <v>MTS-MH5F-3rd-PMT</v>
      </c>
      <c r="B3298" t="str">
        <f>"10-1007-4000"</f>
        <v>10-1007-4000</v>
      </c>
      <c r="C3298" t="str">
        <f>"Gravity Parts Feeder (with microswitch sensor)"</f>
        <v>Gravity Parts Feeder (with microswitch sensor)</v>
      </c>
      <c r="D3298">
        <v>1</v>
      </c>
      <c r="E3298" t="str">
        <f t="shared" si="840"/>
        <v>FMS - MOTOMAN MH5F robot for 3rd Party Mill &amp; Turn</v>
      </c>
      <c r="F3298">
        <v>502</v>
      </c>
      <c r="G3298" t="str">
        <f t="shared" si="832"/>
        <v>Y</v>
      </c>
      <c r="H3298" t="str">
        <f t="shared" si="841"/>
        <v>EA</v>
      </c>
      <c r="I3298">
        <v>0</v>
      </c>
      <c r="J3298">
        <v>0</v>
      </c>
      <c r="K3298" t="str">
        <f t="shared" si="833"/>
        <v>Y</v>
      </c>
      <c r="L3298">
        <v>0</v>
      </c>
      <c r="M3298" t="str">
        <f t="shared" si="834"/>
        <v>NIS</v>
      </c>
      <c r="O3298">
        <v>5</v>
      </c>
      <c r="P3298" t="str">
        <f t="shared" si="838"/>
        <v>Active</v>
      </c>
      <c r="Q3298" t="str">
        <f>"Gravity Parts Feeder (incl.microswitch sensor)"</f>
        <v>Gravity Parts Feeder (incl.microswitch sensor)</v>
      </c>
      <c r="S3298" t="str">
        <f>"Gravity Parts Feeder (incl.microswitch sensor)"</f>
        <v>Gravity Parts Feeder (incl.microswitch sensor)</v>
      </c>
      <c r="T3298">
        <v>0</v>
      </c>
      <c r="U3298">
        <v>148</v>
      </c>
      <c r="V3298">
        <v>148.26</v>
      </c>
      <c r="W3298" t="str">
        <f t="shared" ref="W3298:W3361" si="842">"rob"</f>
        <v>rob</v>
      </c>
    </row>
    <row r="3299" spans="1:23">
      <c r="A3299" t="str">
        <f t="shared" si="839"/>
        <v>MTS-MH5F-3rd-PMT</v>
      </c>
      <c r="B3299" t="str">
        <f>"10-2521-7000"</f>
        <v>10-2521-7000</v>
      </c>
      <c r="C3299" t="str">
        <f>"Pneumatic Feeder for Rectangular products"</f>
        <v>Pneumatic Feeder for Rectangular products</v>
      </c>
      <c r="D3299">
        <v>1</v>
      </c>
      <c r="E3299" t="str">
        <f t="shared" si="840"/>
        <v>FMS - MOTOMAN MH5F robot for 3rd Party Mill &amp; Turn</v>
      </c>
      <c r="F3299">
        <v>502</v>
      </c>
      <c r="G3299" t="str">
        <f t="shared" si="832"/>
        <v>Y</v>
      </c>
      <c r="H3299" t="str">
        <f t="shared" si="841"/>
        <v>EA</v>
      </c>
      <c r="I3299">
        <v>0</v>
      </c>
      <c r="J3299">
        <v>0</v>
      </c>
      <c r="K3299" t="str">
        <f t="shared" si="833"/>
        <v>Y</v>
      </c>
      <c r="L3299">
        <v>0</v>
      </c>
      <c r="M3299" t="str">
        <f t="shared" si="834"/>
        <v>NIS</v>
      </c>
      <c r="O3299">
        <v>6</v>
      </c>
      <c r="P3299" t="str">
        <f t="shared" si="838"/>
        <v>Active</v>
      </c>
      <c r="Q3299" t="str">
        <f>"Pneumatic Feeder for Rectangular Parts"</f>
        <v>Pneumatic Feeder for Rectangular Parts</v>
      </c>
      <c r="S3299" t="str">
        <f>"Pneumatic Feeder for Rectangular Parts"</f>
        <v>Pneumatic Feeder for Rectangular Parts</v>
      </c>
      <c r="T3299">
        <v>0</v>
      </c>
      <c r="U3299">
        <v>595</v>
      </c>
      <c r="V3299">
        <v>555.15</v>
      </c>
      <c r="W3299" t="str">
        <f t="shared" si="842"/>
        <v>rob</v>
      </c>
    </row>
    <row r="3300" spans="1:23">
      <c r="A3300" t="str">
        <f t="shared" si="839"/>
        <v>MTS-MH5F-3rd-PMT</v>
      </c>
      <c r="B3300" t="str">
        <f>"50-0092-0000"</f>
        <v>50-0092-0000</v>
      </c>
      <c r="C3300" t="str">
        <f>"Interface Programming for 3rd Party CNC Machine"</f>
        <v>Interface Programming for 3rd Party CNC Machine</v>
      </c>
      <c r="D3300">
        <v>2</v>
      </c>
      <c r="E3300" t="str">
        <f t="shared" si="840"/>
        <v>FMS - MOTOMAN MH5F robot for 3rd Party Mill &amp; Turn</v>
      </c>
      <c r="F3300">
        <v>502</v>
      </c>
      <c r="G3300" t="str">
        <f t="shared" si="832"/>
        <v>Y</v>
      </c>
      <c r="H3300" t="str">
        <f t="shared" si="841"/>
        <v>EA</v>
      </c>
      <c r="I3300">
        <v>0</v>
      </c>
      <c r="J3300">
        <v>0</v>
      </c>
      <c r="K3300" t="str">
        <f t="shared" si="833"/>
        <v>Y</v>
      </c>
      <c r="L3300">
        <v>0</v>
      </c>
      <c r="M3300" t="str">
        <f t="shared" si="834"/>
        <v>NIS</v>
      </c>
      <c r="O3300">
        <v>7</v>
      </c>
      <c r="P3300" t="str">
        <f t="shared" si="838"/>
        <v>Active</v>
      </c>
      <c r="Q3300" t="str">
        <f>"Interface Programming for 3rd Party CNC Machine"</f>
        <v>Interface Programming for 3rd Party CNC Machine</v>
      </c>
      <c r="S3300" t="str">
        <f>"Interface Programming for 3rd Party CNC Machine"</f>
        <v>Interface Programming for 3rd Party CNC Machine</v>
      </c>
      <c r="T3300">
        <v>0</v>
      </c>
      <c r="U3300" s="44">
        <v>1000</v>
      </c>
      <c r="V3300" s="44">
        <v>1000</v>
      </c>
      <c r="W3300" t="str">
        <f t="shared" si="842"/>
        <v>rob</v>
      </c>
    </row>
    <row r="3301" spans="1:23">
      <c r="A3301" t="str">
        <f t="shared" si="839"/>
        <v>MTS-MH5F-3rd-PMT</v>
      </c>
      <c r="B3301" t="str">
        <f>"10-2118-8000"</f>
        <v>10-2118-8000</v>
      </c>
      <c r="C3301" t="str">
        <f>"CNC Interface Option Relay Box (5OUT/5IN)"</f>
        <v>CNC Interface Option Relay Box (5OUT/5IN)</v>
      </c>
      <c r="D3301">
        <v>2</v>
      </c>
      <c r="E3301" t="str">
        <f t="shared" si="840"/>
        <v>FMS - MOTOMAN MH5F robot for 3rd Party Mill &amp; Turn</v>
      </c>
      <c r="F3301">
        <v>502</v>
      </c>
      <c r="G3301" t="str">
        <f t="shared" si="832"/>
        <v>Y</v>
      </c>
      <c r="H3301" t="str">
        <f t="shared" si="841"/>
        <v>EA</v>
      </c>
      <c r="I3301">
        <v>0</v>
      </c>
      <c r="J3301">
        <v>0</v>
      </c>
      <c r="K3301" t="str">
        <f t="shared" si="833"/>
        <v>Y</v>
      </c>
      <c r="L3301">
        <v>0</v>
      </c>
      <c r="M3301" t="str">
        <f t="shared" si="834"/>
        <v>NIS</v>
      </c>
      <c r="O3301">
        <v>8</v>
      </c>
      <c r="P3301" t="str">
        <f t="shared" si="838"/>
        <v>Active</v>
      </c>
      <c r="Q3301" t="str">
        <f>"CNC Interface Option USB Relay Box (5OUT/5IN)"</f>
        <v>CNC Interface Option USB Relay Box (5OUT/5IN)</v>
      </c>
      <c r="S3301" t="str">
        <f>"CNC Interface Option Relay Box (5OUT/5IN)"</f>
        <v>CNC Interface Option Relay Box (5OUT/5IN)</v>
      </c>
      <c r="T3301">
        <v>0</v>
      </c>
      <c r="U3301">
        <v>84</v>
      </c>
      <c r="V3301">
        <v>215.62</v>
      </c>
      <c r="W3301" t="str">
        <f t="shared" si="842"/>
        <v>rob</v>
      </c>
    </row>
    <row r="3302" spans="1:23">
      <c r="A3302" t="str">
        <f t="shared" si="839"/>
        <v>MTS-MH5F-3rd-PMT</v>
      </c>
      <c r="B3302" t="str">
        <f>"10-2116-2000"</f>
        <v>10-2116-2000</v>
      </c>
      <c r="C3302" t="str">
        <f>"Pneumatic Flip Device for 3rd Party CNC Mill"</f>
        <v>Pneumatic Flip Device for 3rd Party CNC Mill</v>
      </c>
      <c r="D3302">
        <v>1</v>
      </c>
      <c r="E3302" t="str">
        <f t="shared" si="840"/>
        <v>FMS - MOTOMAN MH5F robot for 3rd Party Mill &amp; Turn</v>
      </c>
      <c r="F3302">
        <v>502</v>
      </c>
      <c r="G3302" t="str">
        <f t="shared" si="832"/>
        <v>Y</v>
      </c>
      <c r="H3302" t="str">
        <f t="shared" si="841"/>
        <v>EA</v>
      </c>
      <c r="I3302">
        <v>0</v>
      </c>
      <c r="J3302">
        <v>0</v>
      </c>
      <c r="K3302" t="str">
        <f t="shared" si="833"/>
        <v>Y</v>
      </c>
      <c r="L3302">
        <v>0</v>
      </c>
      <c r="M3302" t="str">
        <f t="shared" si="834"/>
        <v>NIS</v>
      </c>
      <c r="O3302">
        <v>9</v>
      </c>
      <c r="P3302" t="str">
        <f t="shared" si="838"/>
        <v>Active</v>
      </c>
      <c r="Q3302" t="str">
        <f>"Pneumatic Flip Device"</f>
        <v>Pneumatic Flip Device</v>
      </c>
      <c r="S3302" t="str">
        <f>"Pneumatic Flip Device"</f>
        <v>Pneumatic Flip Device</v>
      </c>
      <c r="T3302">
        <v>0</v>
      </c>
      <c r="U3302">
        <v>503.58</v>
      </c>
      <c r="V3302">
        <v>467.47</v>
      </c>
      <c r="W3302" t="str">
        <f t="shared" si="842"/>
        <v>rob</v>
      </c>
    </row>
    <row r="3303" spans="1:23">
      <c r="A3303" t="str">
        <f t="shared" si="839"/>
        <v>MTS-MH5F-3rd-PMT</v>
      </c>
      <c r="B3303" t="str">
        <f>"113034"</f>
        <v>113034</v>
      </c>
      <c r="C3303" t="str">
        <f>"Raw Material - Perspex Block"</f>
        <v>Raw Material - Perspex Block</v>
      </c>
      <c r="D3303">
        <v>50</v>
      </c>
      <c r="E3303" t="str">
        <f t="shared" si="840"/>
        <v>FMS - MOTOMAN MH5F robot for 3rd Party Mill &amp; Turn</v>
      </c>
      <c r="F3303">
        <v>502</v>
      </c>
      <c r="G3303" t="str">
        <f t="shared" si="832"/>
        <v>Y</v>
      </c>
      <c r="H3303" t="str">
        <f t="shared" si="841"/>
        <v>EA</v>
      </c>
      <c r="I3303">
        <v>0</v>
      </c>
      <c r="J3303">
        <v>0</v>
      </c>
      <c r="K3303" t="str">
        <f t="shared" si="833"/>
        <v>Y</v>
      </c>
      <c r="L3303">
        <v>0</v>
      </c>
      <c r="M3303" t="str">
        <f t="shared" si="834"/>
        <v>NIS</v>
      </c>
      <c r="O3303">
        <v>10</v>
      </c>
      <c r="P3303" t="str">
        <f t="shared" si="838"/>
        <v>Active</v>
      </c>
      <c r="Q3303" t="str">
        <f>"Raw Material Stock - Perspex Block"</f>
        <v>Raw Material Stock - Perspex Block</v>
      </c>
      <c r="S3303" t="str">
        <f>"Raw Material Stock - Perspex Block"</f>
        <v>Raw Material Stock - Perspex Block</v>
      </c>
      <c r="T3303">
        <v>0</v>
      </c>
      <c r="U3303">
        <v>1.1000000000000001</v>
      </c>
      <c r="V3303">
        <v>1.0900000000000001</v>
      </c>
      <c r="W3303" t="str">
        <f t="shared" si="842"/>
        <v>rob</v>
      </c>
    </row>
    <row r="3304" spans="1:23">
      <c r="A3304" t="str">
        <f t="shared" si="839"/>
        <v>MTS-MH5F-3rd-PMT</v>
      </c>
      <c r="B3304" t="str">
        <f>"112496"</f>
        <v>112496</v>
      </c>
      <c r="C3304" t="str">
        <f>"Raw Material - Brass  Rod"</f>
        <v>Raw Material - Brass  Rod</v>
      </c>
      <c r="D3304">
        <v>50</v>
      </c>
      <c r="E3304" t="str">
        <f t="shared" si="840"/>
        <v>FMS - MOTOMAN MH5F robot for 3rd Party Mill &amp; Turn</v>
      </c>
      <c r="F3304">
        <v>502</v>
      </c>
      <c r="G3304" t="str">
        <f t="shared" si="832"/>
        <v>Y</v>
      </c>
      <c r="H3304" t="str">
        <f t="shared" si="841"/>
        <v>EA</v>
      </c>
      <c r="I3304">
        <v>0</v>
      </c>
      <c r="J3304">
        <v>0</v>
      </c>
      <c r="K3304" t="str">
        <f t="shared" si="833"/>
        <v>Y</v>
      </c>
      <c r="L3304">
        <v>0</v>
      </c>
      <c r="M3304" t="str">
        <f t="shared" si="834"/>
        <v>NIS</v>
      </c>
      <c r="O3304">
        <v>11</v>
      </c>
      <c r="P3304" t="str">
        <f t="shared" si="838"/>
        <v>Active</v>
      </c>
      <c r="Q3304" t="str">
        <f>"Raw Material Stock - Brass  Rod"</f>
        <v>Raw Material Stock - Brass  Rod</v>
      </c>
      <c r="S3304" t="str">
        <f>"Raw Material Stock - Brass  Rod"</f>
        <v>Raw Material Stock - Brass  Rod</v>
      </c>
      <c r="T3304">
        <v>0</v>
      </c>
      <c r="U3304">
        <v>3.67</v>
      </c>
      <c r="V3304">
        <v>2.69</v>
      </c>
      <c r="W3304" t="str">
        <f t="shared" si="842"/>
        <v>rob</v>
      </c>
    </row>
    <row r="3305" spans="1:23">
      <c r="A3305" t="str">
        <f t="shared" si="839"/>
        <v>MTS-MH5F-3rd-PMT</v>
      </c>
      <c r="B3305" t="str">
        <f>"021152"</f>
        <v>021152</v>
      </c>
      <c r="C3305" t="str">
        <f>"Shelf Buffer for CIM conveyor"</f>
        <v>Shelf Buffer for CIM conveyor</v>
      </c>
      <c r="D3305">
        <v>2</v>
      </c>
      <c r="E3305" t="str">
        <f t="shared" si="840"/>
        <v>FMS - MOTOMAN MH5F robot for 3rd Party Mill &amp; Turn</v>
      </c>
      <c r="F3305">
        <v>502</v>
      </c>
      <c r="G3305" t="str">
        <f t="shared" si="832"/>
        <v>Y</v>
      </c>
      <c r="H3305" t="str">
        <f t="shared" si="841"/>
        <v>EA</v>
      </c>
      <c r="I3305">
        <v>0</v>
      </c>
      <c r="J3305">
        <v>0</v>
      </c>
      <c r="K3305" t="str">
        <f t="shared" si="833"/>
        <v>Y</v>
      </c>
      <c r="L3305">
        <v>0</v>
      </c>
      <c r="M3305" t="str">
        <f t="shared" si="834"/>
        <v>NIS</v>
      </c>
      <c r="O3305">
        <v>12</v>
      </c>
      <c r="P3305" t="str">
        <f t="shared" si="838"/>
        <v>Active</v>
      </c>
      <c r="Q3305" t="str">
        <f>"מכלול- מדף בפר סטנדרטי OPEN-CIM"</f>
        <v>מכלול- מדף בפר סטנדרטי OPEN-CIM</v>
      </c>
      <c r="R3305" t="str">
        <f>"1"</f>
        <v>1</v>
      </c>
      <c r="S3305" t="str">
        <f>"מכלול- מדף בפר סטנדרטי OPEN-CIM"</f>
        <v>מכלול- מדף בפר סטנדרטי OPEN-CIM</v>
      </c>
      <c r="T3305">
        <v>0</v>
      </c>
      <c r="U3305">
        <v>83.12</v>
      </c>
      <c r="V3305">
        <v>92.76</v>
      </c>
      <c r="W3305" t="str">
        <f t="shared" si="842"/>
        <v>rob</v>
      </c>
    </row>
    <row r="3306" spans="1:23">
      <c r="A3306" t="str">
        <f t="shared" si="839"/>
        <v>MTS-MH5F-3rd-PMT</v>
      </c>
      <c r="B3306" t="str">
        <f>"00-1251-0000"</f>
        <v>00-1251-0000</v>
      </c>
      <c r="C3306" t="str">
        <f>"Workbench 1500x800mm (Formica Top)"</f>
        <v>Workbench 1500x800mm (Formica Top)</v>
      </c>
      <c r="D3306">
        <v>1</v>
      </c>
      <c r="E3306" t="str">
        <f t="shared" si="840"/>
        <v>FMS - MOTOMAN MH5F robot for 3rd Party Mill &amp; Turn</v>
      </c>
      <c r="F3306">
        <v>502</v>
      </c>
      <c r="G3306" t="str">
        <f t="shared" si="832"/>
        <v>Y</v>
      </c>
      <c r="H3306" t="str">
        <f t="shared" si="841"/>
        <v>EA</v>
      </c>
      <c r="I3306">
        <v>0</v>
      </c>
      <c r="J3306">
        <v>0</v>
      </c>
      <c r="K3306" t="str">
        <f t="shared" si="833"/>
        <v>Y</v>
      </c>
      <c r="L3306">
        <v>0</v>
      </c>
      <c r="M3306" t="str">
        <f t="shared" si="834"/>
        <v>NIS</v>
      </c>
      <c r="O3306">
        <v>13</v>
      </c>
      <c r="P3306" t="str">
        <f t="shared" si="838"/>
        <v>Active</v>
      </c>
      <c r="Q3306" t="str">
        <f>"Workbench 1500x800mm (Formica Top)"</f>
        <v>Workbench 1500x800mm (Formica Top)</v>
      </c>
      <c r="S3306" t="str">
        <f>"Workbench 1500x800mm (Formica Top)"</f>
        <v>Workbench 1500x800mm (Formica Top)</v>
      </c>
      <c r="T3306">
        <v>0</v>
      </c>
      <c r="U3306">
        <v>582</v>
      </c>
      <c r="V3306">
        <v>588.6</v>
      </c>
      <c r="W3306" t="str">
        <f t="shared" si="842"/>
        <v>rob</v>
      </c>
    </row>
    <row r="3307" spans="1:23">
      <c r="A3307" t="str">
        <f t="shared" si="839"/>
        <v>MTS-MH5F-3rd-PMT</v>
      </c>
      <c r="B3307" t="str">
        <f>"00-1290-0000"</f>
        <v>00-1290-0000</v>
      </c>
      <c r="C3307" t="str">
        <f>"PC Table 630x800mm (with Keyboard Drawer)"</f>
        <v>PC Table 630x800mm (with Keyboard Drawer)</v>
      </c>
      <c r="D3307">
        <v>1</v>
      </c>
      <c r="E3307" t="str">
        <f t="shared" si="840"/>
        <v>FMS - MOTOMAN MH5F robot for 3rd Party Mill &amp; Turn</v>
      </c>
      <c r="F3307">
        <v>502</v>
      </c>
      <c r="G3307" t="str">
        <f t="shared" si="832"/>
        <v>Y</v>
      </c>
      <c r="H3307" t="str">
        <f t="shared" si="841"/>
        <v>EA</v>
      </c>
      <c r="I3307">
        <v>0</v>
      </c>
      <c r="J3307">
        <v>0</v>
      </c>
      <c r="K3307" t="str">
        <f t="shared" si="833"/>
        <v>Y</v>
      </c>
      <c r="L3307">
        <v>0</v>
      </c>
      <c r="M3307" t="str">
        <f t="shared" si="834"/>
        <v>NIS</v>
      </c>
      <c r="O3307">
        <v>14</v>
      </c>
      <c r="P3307" t="str">
        <f t="shared" si="838"/>
        <v>Active</v>
      </c>
      <c r="Q3307" t="str">
        <f>"PC Table 630x800mm (with Keyboard Drawer)"</f>
        <v>PC Table 630x800mm (with Keyboard Drawer)</v>
      </c>
      <c r="S3307" t="str">
        <f>"PC Table 630x800mm (with Keyboard Drawer)"</f>
        <v>PC Table 630x800mm (with Keyboard Drawer)</v>
      </c>
      <c r="T3307">
        <v>0</v>
      </c>
      <c r="U3307">
        <v>405.86</v>
      </c>
      <c r="V3307">
        <v>329.34</v>
      </c>
      <c r="W3307" t="str">
        <f t="shared" si="842"/>
        <v>rob</v>
      </c>
    </row>
    <row r="3308" spans="1:23">
      <c r="A3308" t="str">
        <f t="shared" si="839"/>
        <v>MTS-MH5F-3rd-PMT</v>
      </c>
      <c r="B3308" t="str">
        <f>"50-0094-0000"</f>
        <v>50-0094-0000</v>
      </c>
      <c r="C3308" t="str">
        <f>"Pre-Engineering, Design and Testing"</f>
        <v>Pre-Engineering, Design and Testing</v>
      </c>
      <c r="D3308">
        <v>1</v>
      </c>
      <c r="E3308" t="str">
        <f t="shared" si="840"/>
        <v>FMS - MOTOMAN MH5F robot for 3rd Party Mill &amp; Turn</v>
      </c>
      <c r="F3308">
        <v>502</v>
      </c>
      <c r="G3308" t="str">
        <f t="shared" si="832"/>
        <v>Y</v>
      </c>
      <c r="H3308" t="str">
        <f>"DA"</f>
        <v>DA</v>
      </c>
      <c r="I3308">
        <v>0</v>
      </c>
      <c r="J3308">
        <v>0</v>
      </c>
      <c r="K3308" t="str">
        <f t="shared" si="833"/>
        <v>Y</v>
      </c>
      <c r="L3308">
        <v>0</v>
      </c>
      <c r="M3308" t="str">
        <f t="shared" si="834"/>
        <v>NIS</v>
      </c>
      <c r="O3308">
        <v>15</v>
      </c>
      <c r="P3308" t="str">
        <f t="shared" si="838"/>
        <v>Active</v>
      </c>
      <c r="Q3308" t="str">
        <f>"Pre-Engineering, Design and Testing"</f>
        <v>Pre-Engineering, Design and Testing</v>
      </c>
      <c r="S3308" t="str">
        <f>"Pre-Engineering, Design and Testing"</f>
        <v>Pre-Engineering, Design and Testing</v>
      </c>
      <c r="T3308">
        <v>0</v>
      </c>
      <c r="U3308">
        <v>405</v>
      </c>
      <c r="V3308">
        <v>421.2</v>
      </c>
      <c r="W3308" t="str">
        <f t="shared" si="842"/>
        <v>rob</v>
      </c>
    </row>
    <row r="3309" spans="1:23">
      <c r="A3309" t="str">
        <f t="shared" ref="A3309:A3320" si="843">"MTS-MH5F-3rd-TRN"</f>
        <v>MTS-MH5F-3rd-TRN</v>
      </c>
      <c r="B3309" t="str">
        <f>"00-0436-0000"</f>
        <v>00-0436-0000</v>
      </c>
      <c r="C3309" t="str">
        <f>"MH5F compact high-speed 6-axis Robot"</f>
        <v>MH5F compact high-speed 6-axis Robot</v>
      </c>
      <c r="D3309">
        <v>1</v>
      </c>
      <c r="E3309" t="str">
        <f t="shared" ref="E3309:E3320" si="844">"FMS - MOTOMAN MH5F robot for 3rd Party Turn"</f>
        <v>FMS - MOTOMAN MH5F robot for 3rd Party Turn</v>
      </c>
      <c r="F3309">
        <v>502</v>
      </c>
      <c r="G3309" t="str">
        <f t="shared" si="832"/>
        <v>Y</v>
      </c>
      <c r="H3309" t="str">
        <f t="shared" ref="H3309:H3319" si="845">"EA"</f>
        <v>EA</v>
      </c>
      <c r="I3309">
        <v>0</v>
      </c>
      <c r="J3309">
        <v>0</v>
      </c>
      <c r="K3309" t="str">
        <f t="shared" si="833"/>
        <v>Y</v>
      </c>
      <c r="L3309">
        <v>0</v>
      </c>
      <c r="M3309" t="str">
        <f t="shared" si="834"/>
        <v>NIS</v>
      </c>
      <c r="O3309">
        <v>1</v>
      </c>
      <c r="P3309" t="str">
        <f t="shared" si="838"/>
        <v>Active</v>
      </c>
      <c r="Q3309" t="str">
        <f>"MH5F compact high-speed 6-axis Robot"</f>
        <v>MH5F compact high-speed 6-axis Robot</v>
      </c>
      <c r="S3309" t="str">
        <f>"MH5F compact high-speed 6-axis Robot"</f>
        <v>MH5F compact high-speed 6-axis Robot</v>
      </c>
      <c r="T3309">
        <v>0</v>
      </c>
      <c r="U3309" s="44">
        <v>23500</v>
      </c>
      <c r="V3309" s="44">
        <v>16049.14</v>
      </c>
      <c r="W3309" t="str">
        <f t="shared" si="842"/>
        <v>rob</v>
      </c>
    </row>
    <row r="3310" spans="1:23">
      <c r="A3310" t="str">
        <f t="shared" si="843"/>
        <v>MTS-MH5F-3rd-TRN</v>
      </c>
      <c r="B3310" t="str">
        <f>"00-0646-0000"</f>
        <v>00-0646-0000</v>
      </c>
      <c r="C3310" t="str">
        <f>"Pneumatic Gripper with I/O Box for Motoman MH5F"</f>
        <v>Pneumatic Gripper with I/O Box for Motoman MH5F</v>
      </c>
      <c r="D3310">
        <v>1</v>
      </c>
      <c r="E3310" t="str">
        <f t="shared" si="844"/>
        <v>FMS - MOTOMAN MH5F robot for 3rd Party Turn</v>
      </c>
      <c r="F3310">
        <v>502</v>
      </c>
      <c r="G3310" t="str">
        <f t="shared" si="832"/>
        <v>Y</v>
      </c>
      <c r="H3310" t="str">
        <f t="shared" si="845"/>
        <v>EA</v>
      </c>
      <c r="I3310">
        <v>0</v>
      </c>
      <c r="J3310">
        <v>0</v>
      </c>
      <c r="K3310" t="str">
        <f t="shared" si="833"/>
        <v>Y</v>
      </c>
      <c r="L3310">
        <v>0</v>
      </c>
      <c r="M3310" t="str">
        <f t="shared" si="834"/>
        <v>NIS</v>
      </c>
      <c r="O3310">
        <v>2</v>
      </c>
      <c r="P3310" t="str">
        <f t="shared" si="838"/>
        <v>Active</v>
      </c>
      <c r="Q3310" t="str">
        <f>"Pneumatic Gripper with I/O Box for Motoman MH5F"</f>
        <v>Pneumatic Gripper with I/O Box for Motoman MH5F</v>
      </c>
      <c r="S3310" t="str">
        <f>"Pneumatic Gripper with I/O Box for Motoman MH5F"</f>
        <v>Pneumatic Gripper with I/O Box for Motoman MH5F</v>
      </c>
      <c r="T3310">
        <v>0</v>
      </c>
      <c r="U3310" s="44">
        <v>1500</v>
      </c>
      <c r="V3310" s="44">
        <v>1238.52</v>
      </c>
      <c r="W3310" t="str">
        <f t="shared" si="842"/>
        <v>rob</v>
      </c>
    </row>
    <row r="3311" spans="1:23">
      <c r="A3311" t="str">
        <f t="shared" si="843"/>
        <v>MTS-MH5F-3rd-TRN</v>
      </c>
      <c r="B3311" t="str">
        <f>"00-1027-0000"</f>
        <v>00-1027-0000</v>
      </c>
      <c r="C3311" t="str">
        <f>"LSB 1.8m, Belt, USB-Pro, for ind. robot &lt; 35kg)"</f>
        <v>LSB 1.8m, Belt, USB-Pro, for ind. robot &lt; 35kg)</v>
      </c>
      <c r="D3311">
        <v>1</v>
      </c>
      <c r="E3311" t="str">
        <f t="shared" si="844"/>
        <v>FMS - MOTOMAN MH5F robot for 3rd Party Turn</v>
      </c>
      <c r="F3311">
        <v>502</v>
      </c>
      <c r="G3311" t="str">
        <f t="shared" si="832"/>
        <v>Y</v>
      </c>
      <c r="H3311" t="str">
        <f t="shared" si="845"/>
        <v>EA</v>
      </c>
      <c r="I3311">
        <v>0</v>
      </c>
      <c r="J3311">
        <v>0</v>
      </c>
      <c r="K3311" t="str">
        <f t="shared" si="833"/>
        <v>Y</v>
      </c>
      <c r="L3311">
        <v>0</v>
      </c>
      <c r="M3311" t="str">
        <f t="shared" si="834"/>
        <v>NIS</v>
      </c>
      <c r="O3311">
        <v>3</v>
      </c>
      <c r="P3311" t="str">
        <f t="shared" si="838"/>
        <v>Active</v>
      </c>
      <c r="Q3311" t="str">
        <f>"LSB 1.8m incl. USB-Pro(Industr. robot max. 50kg)"</f>
        <v>LSB 1.8m incl. USB-Pro(Industr. robot max. 50kg)</v>
      </c>
      <c r="S3311" t="str">
        <f>"LSB 1.8m, Belt, USB-Pro, for ind. robot &lt; 35kg"</f>
        <v>LSB 1.8m, Belt, USB-Pro, for ind. robot &lt; 35kg</v>
      </c>
      <c r="T3311">
        <v>0</v>
      </c>
      <c r="U3311" s="44">
        <v>5000</v>
      </c>
      <c r="V3311" s="44">
        <v>4687.0200000000004</v>
      </c>
      <c r="W3311" t="str">
        <f t="shared" si="842"/>
        <v>rob</v>
      </c>
    </row>
    <row r="3312" spans="1:23">
      <c r="A3312" t="str">
        <f t="shared" si="843"/>
        <v>MTS-MH5F-3rd-TRN</v>
      </c>
      <c r="B3312" t="str">
        <f>"00-1110-0000"</f>
        <v>00-1110-0000</v>
      </c>
      <c r="C3312" t="str">
        <f>"Palletizing Rack"</f>
        <v>Palletizing Rack</v>
      </c>
      <c r="D3312">
        <v>1</v>
      </c>
      <c r="E3312" t="str">
        <f t="shared" si="844"/>
        <v>FMS - MOTOMAN MH5F robot for 3rd Party Turn</v>
      </c>
      <c r="F3312">
        <v>502</v>
      </c>
      <c r="G3312" t="str">
        <f t="shared" si="832"/>
        <v>Y</v>
      </c>
      <c r="H3312" t="str">
        <f t="shared" si="845"/>
        <v>EA</v>
      </c>
      <c r="I3312">
        <v>0</v>
      </c>
      <c r="J3312">
        <v>0</v>
      </c>
      <c r="K3312" t="str">
        <f t="shared" si="833"/>
        <v>Y</v>
      </c>
      <c r="L3312">
        <v>0</v>
      </c>
      <c r="M3312" t="str">
        <f t="shared" si="834"/>
        <v>NIS</v>
      </c>
      <c r="O3312">
        <v>4</v>
      </c>
      <c r="P3312" t="str">
        <f t="shared" si="838"/>
        <v>Active</v>
      </c>
      <c r="Q3312" t="str">
        <f>"Palletizing Rack (incl. Pins for creating Jigs)"</f>
        <v>Palletizing Rack (incl. Pins for creating Jigs)</v>
      </c>
      <c r="S3312" t="str">
        <f>"Palletizing Rack (incl. Pins for creating Jigs)"</f>
        <v>Palletizing Rack (incl. Pins for creating Jigs)</v>
      </c>
      <c r="T3312">
        <v>0</v>
      </c>
      <c r="U3312">
        <v>63</v>
      </c>
      <c r="V3312">
        <v>58.59</v>
      </c>
      <c r="W3312" t="str">
        <f t="shared" si="842"/>
        <v>rob</v>
      </c>
    </row>
    <row r="3313" spans="1:23">
      <c r="A3313" t="str">
        <f t="shared" si="843"/>
        <v>MTS-MH5F-3rd-TRN</v>
      </c>
      <c r="B3313" t="str">
        <f>"10-1007-4000"</f>
        <v>10-1007-4000</v>
      </c>
      <c r="C3313" t="str">
        <f>"Gravity Parts Feeder (with microswitch sensor)"</f>
        <v>Gravity Parts Feeder (with microswitch sensor)</v>
      </c>
      <c r="D3313">
        <v>1</v>
      </c>
      <c r="E3313" t="str">
        <f t="shared" si="844"/>
        <v>FMS - MOTOMAN MH5F robot for 3rd Party Turn</v>
      </c>
      <c r="F3313">
        <v>502</v>
      </c>
      <c r="G3313" t="str">
        <f t="shared" si="832"/>
        <v>Y</v>
      </c>
      <c r="H3313" t="str">
        <f t="shared" si="845"/>
        <v>EA</v>
      </c>
      <c r="I3313">
        <v>0</v>
      </c>
      <c r="J3313">
        <v>0</v>
      </c>
      <c r="K3313" t="str">
        <f t="shared" si="833"/>
        <v>Y</v>
      </c>
      <c r="L3313">
        <v>0</v>
      </c>
      <c r="M3313" t="str">
        <f t="shared" si="834"/>
        <v>NIS</v>
      </c>
      <c r="O3313">
        <v>5</v>
      </c>
      <c r="P3313" t="str">
        <f t="shared" si="838"/>
        <v>Active</v>
      </c>
      <c r="Q3313" t="str">
        <f>"Gravity Parts Feeder (incl.microswitch sensor)"</f>
        <v>Gravity Parts Feeder (incl.microswitch sensor)</v>
      </c>
      <c r="S3313" t="str">
        <f>"Gravity Parts Feeder (incl.microswitch sensor)"</f>
        <v>Gravity Parts Feeder (incl.microswitch sensor)</v>
      </c>
      <c r="T3313">
        <v>0</v>
      </c>
      <c r="U3313">
        <v>148</v>
      </c>
      <c r="V3313">
        <v>148.26</v>
      </c>
      <c r="W3313" t="str">
        <f t="shared" si="842"/>
        <v>rob</v>
      </c>
    </row>
    <row r="3314" spans="1:23">
      <c r="A3314" t="str">
        <f t="shared" si="843"/>
        <v>MTS-MH5F-3rd-TRN</v>
      </c>
      <c r="B3314" t="str">
        <f>"50-0092-0000"</f>
        <v>50-0092-0000</v>
      </c>
      <c r="C3314" t="str">
        <f>"Interface Programming for 3rd Party CNC Machine"</f>
        <v>Interface Programming for 3rd Party CNC Machine</v>
      </c>
      <c r="D3314">
        <v>1</v>
      </c>
      <c r="E3314" t="str">
        <f t="shared" si="844"/>
        <v>FMS - MOTOMAN MH5F robot for 3rd Party Turn</v>
      </c>
      <c r="F3314">
        <v>502</v>
      </c>
      <c r="G3314" t="str">
        <f t="shared" si="832"/>
        <v>Y</v>
      </c>
      <c r="H3314" t="str">
        <f t="shared" si="845"/>
        <v>EA</v>
      </c>
      <c r="I3314">
        <v>0</v>
      </c>
      <c r="J3314">
        <v>0</v>
      </c>
      <c r="K3314" t="str">
        <f t="shared" si="833"/>
        <v>Y</v>
      </c>
      <c r="L3314">
        <v>0</v>
      </c>
      <c r="M3314" t="str">
        <f t="shared" si="834"/>
        <v>NIS</v>
      </c>
      <c r="O3314">
        <v>6</v>
      </c>
      <c r="P3314" t="str">
        <f t="shared" si="838"/>
        <v>Active</v>
      </c>
      <c r="Q3314" t="str">
        <f>"Interface Programming for 3rd Party CNC Machine"</f>
        <v>Interface Programming for 3rd Party CNC Machine</v>
      </c>
      <c r="S3314" t="str">
        <f>"Interface Programming for 3rd Party CNC Machine"</f>
        <v>Interface Programming for 3rd Party CNC Machine</v>
      </c>
      <c r="T3314">
        <v>0</v>
      </c>
      <c r="U3314" s="44">
        <v>1000</v>
      </c>
      <c r="V3314" s="44">
        <v>1000</v>
      </c>
      <c r="W3314" t="str">
        <f t="shared" si="842"/>
        <v>rob</v>
      </c>
    </row>
    <row r="3315" spans="1:23">
      <c r="A3315" t="str">
        <f t="shared" si="843"/>
        <v>MTS-MH5F-3rd-TRN</v>
      </c>
      <c r="B3315" t="str">
        <f>"10-2118-8000"</f>
        <v>10-2118-8000</v>
      </c>
      <c r="C3315" t="str">
        <f>"CNC Interface Option Relay Box (5OUT/5IN)"</f>
        <v>CNC Interface Option Relay Box (5OUT/5IN)</v>
      </c>
      <c r="D3315">
        <v>1</v>
      </c>
      <c r="E3315" t="str">
        <f t="shared" si="844"/>
        <v>FMS - MOTOMAN MH5F robot for 3rd Party Turn</v>
      </c>
      <c r="F3315">
        <v>502</v>
      </c>
      <c r="G3315" t="str">
        <f t="shared" si="832"/>
        <v>Y</v>
      </c>
      <c r="H3315" t="str">
        <f t="shared" si="845"/>
        <v>EA</v>
      </c>
      <c r="I3315">
        <v>0</v>
      </c>
      <c r="J3315">
        <v>0</v>
      </c>
      <c r="K3315" t="str">
        <f t="shared" si="833"/>
        <v>Y</v>
      </c>
      <c r="L3315">
        <v>0</v>
      </c>
      <c r="M3315" t="str">
        <f t="shared" si="834"/>
        <v>NIS</v>
      </c>
      <c r="O3315">
        <v>7</v>
      </c>
      <c r="P3315" t="str">
        <f t="shared" si="838"/>
        <v>Active</v>
      </c>
      <c r="Q3315" t="str">
        <f>"CNC Interface Option USB Relay Box (5OUT/5IN)"</f>
        <v>CNC Interface Option USB Relay Box (5OUT/5IN)</v>
      </c>
      <c r="S3315" t="str">
        <f>"CNC Interface Option Relay Box (5OUT/5IN)"</f>
        <v>CNC Interface Option Relay Box (5OUT/5IN)</v>
      </c>
      <c r="T3315">
        <v>0</v>
      </c>
      <c r="U3315">
        <v>84</v>
      </c>
      <c r="V3315">
        <v>215.62</v>
      </c>
      <c r="W3315" t="str">
        <f t="shared" si="842"/>
        <v>rob</v>
      </c>
    </row>
    <row r="3316" spans="1:23">
      <c r="A3316" t="str">
        <f t="shared" si="843"/>
        <v>MTS-MH5F-3rd-TRN</v>
      </c>
      <c r="B3316" t="str">
        <f>"112496"</f>
        <v>112496</v>
      </c>
      <c r="C3316" t="str">
        <f>"Raw Material - Brass  Rod"</f>
        <v>Raw Material - Brass  Rod</v>
      </c>
      <c r="D3316">
        <v>50</v>
      </c>
      <c r="E3316" t="str">
        <f t="shared" si="844"/>
        <v>FMS - MOTOMAN MH5F robot for 3rd Party Turn</v>
      </c>
      <c r="F3316">
        <v>502</v>
      </c>
      <c r="G3316" t="str">
        <f t="shared" si="832"/>
        <v>Y</v>
      </c>
      <c r="H3316" t="str">
        <f t="shared" si="845"/>
        <v>EA</v>
      </c>
      <c r="I3316">
        <v>0</v>
      </c>
      <c r="J3316">
        <v>0</v>
      </c>
      <c r="K3316" t="str">
        <f t="shared" si="833"/>
        <v>Y</v>
      </c>
      <c r="L3316">
        <v>0</v>
      </c>
      <c r="M3316" t="str">
        <f t="shared" si="834"/>
        <v>NIS</v>
      </c>
      <c r="O3316">
        <v>8</v>
      </c>
      <c r="P3316" t="str">
        <f t="shared" si="838"/>
        <v>Active</v>
      </c>
      <c r="Q3316" t="str">
        <f>"Raw Material Stock - Brass  Rod"</f>
        <v>Raw Material Stock - Brass  Rod</v>
      </c>
      <c r="S3316" t="str">
        <f>"Raw Material Stock - Brass  Rod"</f>
        <v>Raw Material Stock - Brass  Rod</v>
      </c>
      <c r="T3316">
        <v>0</v>
      </c>
      <c r="U3316">
        <v>3.67</v>
      </c>
      <c r="V3316">
        <v>2.69</v>
      </c>
      <c r="W3316" t="str">
        <f t="shared" si="842"/>
        <v>rob</v>
      </c>
    </row>
    <row r="3317" spans="1:23">
      <c r="A3317" t="str">
        <f t="shared" si="843"/>
        <v>MTS-MH5F-3rd-TRN</v>
      </c>
      <c r="B3317" t="str">
        <f>"021152"</f>
        <v>021152</v>
      </c>
      <c r="C3317" t="str">
        <f>"Shelf Buffer for CIM conveyor"</f>
        <v>Shelf Buffer for CIM conveyor</v>
      </c>
      <c r="D3317">
        <v>1</v>
      </c>
      <c r="E3317" t="str">
        <f t="shared" si="844"/>
        <v>FMS - MOTOMAN MH5F robot for 3rd Party Turn</v>
      </c>
      <c r="F3317">
        <v>502</v>
      </c>
      <c r="G3317" t="str">
        <f t="shared" si="832"/>
        <v>Y</v>
      </c>
      <c r="H3317" t="str">
        <f t="shared" si="845"/>
        <v>EA</v>
      </c>
      <c r="I3317">
        <v>0</v>
      </c>
      <c r="J3317">
        <v>0</v>
      </c>
      <c r="K3317" t="str">
        <f t="shared" si="833"/>
        <v>Y</v>
      </c>
      <c r="L3317">
        <v>0</v>
      </c>
      <c r="M3317" t="str">
        <f t="shared" si="834"/>
        <v>NIS</v>
      </c>
      <c r="O3317">
        <v>9</v>
      </c>
      <c r="P3317" t="str">
        <f t="shared" si="838"/>
        <v>Active</v>
      </c>
      <c r="Q3317" t="str">
        <f>"מכלול- מדף בפר סטנדרטי OPEN-CIM"</f>
        <v>מכלול- מדף בפר סטנדרטי OPEN-CIM</v>
      </c>
      <c r="R3317" t="str">
        <f>"1"</f>
        <v>1</v>
      </c>
      <c r="S3317" t="str">
        <f>"מכלול- מדף בפר סטנדרטי OPEN-CIM"</f>
        <v>מכלול- מדף בפר סטנדרטי OPEN-CIM</v>
      </c>
      <c r="T3317">
        <v>0</v>
      </c>
      <c r="U3317">
        <v>83.12</v>
      </c>
      <c r="V3317">
        <v>92.76</v>
      </c>
      <c r="W3317" t="str">
        <f t="shared" si="842"/>
        <v>rob</v>
      </c>
    </row>
    <row r="3318" spans="1:23">
      <c r="A3318" t="str">
        <f t="shared" si="843"/>
        <v>MTS-MH5F-3rd-TRN</v>
      </c>
      <c r="B3318" t="str">
        <f>"00-1251-0000"</f>
        <v>00-1251-0000</v>
      </c>
      <c r="C3318" t="str">
        <f>"Workbench 1500x800mm (Formica Top)"</f>
        <v>Workbench 1500x800mm (Formica Top)</v>
      </c>
      <c r="D3318">
        <v>1</v>
      </c>
      <c r="E3318" t="str">
        <f t="shared" si="844"/>
        <v>FMS - MOTOMAN MH5F robot for 3rd Party Turn</v>
      </c>
      <c r="F3318">
        <v>502</v>
      </c>
      <c r="G3318" t="str">
        <f t="shared" si="832"/>
        <v>Y</v>
      </c>
      <c r="H3318" t="str">
        <f t="shared" si="845"/>
        <v>EA</v>
      </c>
      <c r="I3318">
        <v>0</v>
      </c>
      <c r="J3318">
        <v>0</v>
      </c>
      <c r="K3318" t="str">
        <f t="shared" si="833"/>
        <v>Y</v>
      </c>
      <c r="L3318">
        <v>0</v>
      </c>
      <c r="M3318" t="str">
        <f t="shared" si="834"/>
        <v>NIS</v>
      </c>
      <c r="O3318">
        <v>10</v>
      </c>
      <c r="P3318" t="str">
        <f t="shared" si="838"/>
        <v>Active</v>
      </c>
      <c r="Q3318" t="str">
        <f>"Workbench 1500x800mm (Formica Top)"</f>
        <v>Workbench 1500x800mm (Formica Top)</v>
      </c>
      <c r="S3318" t="str">
        <f>"Workbench 1500x800mm (Formica Top)"</f>
        <v>Workbench 1500x800mm (Formica Top)</v>
      </c>
      <c r="T3318">
        <v>0</v>
      </c>
      <c r="U3318">
        <v>582</v>
      </c>
      <c r="V3318">
        <v>588.6</v>
      </c>
      <c r="W3318" t="str">
        <f t="shared" si="842"/>
        <v>rob</v>
      </c>
    </row>
    <row r="3319" spans="1:23">
      <c r="A3319" t="str">
        <f t="shared" si="843"/>
        <v>MTS-MH5F-3rd-TRN</v>
      </c>
      <c r="B3319" t="str">
        <f>"00-1290-0000"</f>
        <v>00-1290-0000</v>
      </c>
      <c r="C3319" t="str">
        <f>"PC Table 630x800mm (with Keyboard Drawer)"</f>
        <v>PC Table 630x800mm (with Keyboard Drawer)</v>
      </c>
      <c r="D3319">
        <v>1</v>
      </c>
      <c r="E3319" t="str">
        <f t="shared" si="844"/>
        <v>FMS - MOTOMAN MH5F robot for 3rd Party Turn</v>
      </c>
      <c r="F3319">
        <v>502</v>
      </c>
      <c r="G3319" t="str">
        <f t="shared" si="832"/>
        <v>Y</v>
      </c>
      <c r="H3319" t="str">
        <f t="shared" si="845"/>
        <v>EA</v>
      </c>
      <c r="I3319">
        <v>0</v>
      </c>
      <c r="J3319">
        <v>0</v>
      </c>
      <c r="K3319" t="str">
        <f t="shared" si="833"/>
        <v>Y</v>
      </c>
      <c r="L3319">
        <v>0</v>
      </c>
      <c r="M3319" t="str">
        <f t="shared" si="834"/>
        <v>NIS</v>
      </c>
      <c r="O3319">
        <v>11</v>
      </c>
      <c r="P3319" t="str">
        <f t="shared" si="838"/>
        <v>Active</v>
      </c>
      <c r="Q3319" t="str">
        <f>"PC Table 630x800mm (with Keyboard Drawer)"</f>
        <v>PC Table 630x800mm (with Keyboard Drawer)</v>
      </c>
      <c r="S3319" t="str">
        <f>"PC Table 630x800mm (with Keyboard Drawer)"</f>
        <v>PC Table 630x800mm (with Keyboard Drawer)</v>
      </c>
      <c r="T3319">
        <v>0</v>
      </c>
      <c r="U3319">
        <v>405.86</v>
      </c>
      <c r="V3319">
        <v>329.34</v>
      </c>
      <c r="W3319" t="str">
        <f t="shared" si="842"/>
        <v>rob</v>
      </c>
    </row>
    <row r="3320" spans="1:23">
      <c r="A3320" t="str">
        <f t="shared" si="843"/>
        <v>MTS-MH5F-3rd-TRN</v>
      </c>
      <c r="B3320" t="str">
        <f>"50-0094-0000"</f>
        <v>50-0094-0000</v>
      </c>
      <c r="C3320" t="str">
        <f>"Pre-Engineering, Design and Testing"</f>
        <v>Pre-Engineering, Design and Testing</v>
      </c>
      <c r="D3320">
        <v>1</v>
      </c>
      <c r="E3320" t="str">
        <f t="shared" si="844"/>
        <v>FMS - MOTOMAN MH5F robot for 3rd Party Turn</v>
      </c>
      <c r="F3320">
        <v>502</v>
      </c>
      <c r="G3320" t="str">
        <f t="shared" si="832"/>
        <v>Y</v>
      </c>
      <c r="H3320" t="str">
        <f>"DA"</f>
        <v>DA</v>
      </c>
      <c r="I3320">
        <v>0</v>
      </c>
      <c r="J3320">
        <v>0</v>
      </c>
      <c r="K3320" t="str">
        <f t="shared" si="833"/>
        <v>Y</v>
      </c>
      <c r="L3320">
        <v>0</v>
      </c>
      <c r="M3320" t="str">
        <f t="shared" si="834"/>
        <v>NIS</v>
      </c>
      <c r="O3320">
        <v>12</v>
      </c>
      <c r="P3320" t="str">
        <f t="shared" ref="P3320:P3351" si="846">"Active"</f>
        <v>Active</v>
      </c>
      <c r="Q3320" t="str">
        <f>"Pre-Engineering, Design and Testing"</f>
        <v>Pre-Engineering, Design and Testing</v>
      </c>
      <c r="S3320" t="str">
        <f>"Pre-Engineering, Design and Testing"</f>
        <v>Pre-Engineering, Design and Testing</v>
      </c>
      <c r="T3320">
        <v>0</v>
      </c>
      <c r="U3320">
        <v>405</v>
      </c>
      <c r="V3320">
        <v>421.2</v>
      </c>
      <c r="W3320" t="str">
        <f t="shared" si="842"/>
        <v>rob</v>
      </c>
    </row>
    <row r="3321" spans="1:23">
      <c r="A3321" t="str">
        <f t="shared" ref="A3321:A3356" si="847">"MTS-MH5F-BM&amp;PT"</f>
        <v>MTS-MH5F-BM&amp;PT</v>
      </c>
      <c r="B3321" t="str">
        <f>"00-0436-0000"</f>
        <v>00-0436-0000</v>
      </c>
      <c r="C3321" t="str">
        <f>"MH5F compact high-speed 6-axis Robot"</f>
        <v>MH5F compact high-speed 6-axis Robot</v>
      </c>
      <c r="D3321">
        <v>1</v>
      </c>
      <c r="E3321" t="str">
        <f t="shared" ref="E3321:E3356" si="848">"FMS - MOTOMAN MH5F Robot with BenchMill 6000 (4 tool ATC) &amp; ProTurn 9000 CNC machines"</f>
        <v>FMS - MOTOMAN MH5F Robot with BenchMill 6000 (4 tool ATC) &amp; ProTurn 9000 CNC machines</v>
      </c>
      <c r="F3321">
        <v>502</v>
      </c>
      <c r="G3321" t="str">
        <f t="shared" si="832"/>
        <v>Y</v>
      </c>
      <c r="H3321" t="str">
        <f t="shared" ref="H3321:H3355" si="849">"EA"</f>
        <v>EA</v>
      </c>
      <c r="I3321">
        <v>0</v>
      </c>
      <c r="J3321">
        <v>0</v>
      </c>
      <c r="K3321" t="str">
        <f t="shared" si="833"/>
        <v>Y</v>
      </c>
      <c r="L3321">
        <v>0</v>
      </c>
      <c r="M3321" t="str">
        <f t="shared" si="834"/>
        <v>NIS</v>
      </c>
      <c r="O3321">
        <v>1</v>
      </c>
      <c r="P3321" t="str">
        <f t="shared" si="846"/>
        <v>Active</v>
      </c>
      <c r="Q3321" t="str">
        <f>"MH5F compact high-speed 6-axis Robot"</f>
        <v>MH5F compact high-speed 6-axis Robot</v>
      </c>
      <c r="S3321" t="str">
        <f>"MH5F compact high-speed 6-axis Robot"</f>
        <v>MH5F compact high-speed 6-axis Robot</v>
      </c>
      <c r="T3321">
        <v>0</v>
      </c>
      <c r="U3321" s="44">
        <v>23500</v>
      </c>
      <c r="V3321" s="44">
        <v>16049.14</v>
      </c>
      <c r="W3321" t="str">
        <f t="shared" si="842"/>
        <v>rob</v>
      </c>
    </row>
    <row r="3322" spans="1:23">
      <c r="A3322" t="str">
        <f t="shared" si="847"/>
        <v>MTS-MH5F-BM&amp;PT</v>
      </c>
      <c r="B3322" t="str">
        <f>"00-0646-0000"</f>
        <v>00-0646-0000</v>
      </c>
      <c r="C3322" t="str">
        <f>"Pneumatic Gripper with I/O Box for Motoman MH5F"</f>
        <v>Pneumatic Gripper with I/O Box for Motoman MH5F</v>
      </c>
      <c r="D3322">
        <v>1</v>
      </c>
      <c r="E3322" t="str">
        <f t="shared" si="848"/>
        <v>FMS - MOTOMAN MH5F Robot with BenchMill 6000 (4 tool ATC) &amp; ProTurn 9000 CNC machines</v>
      </c>
      <c r="F3322">
        <v>502</v>
      </c>
      <c r="G3322" t="str">
        <f t="shared" si="832"/>
        <v>Y</v>
      </c>
      <c r="H3322" t="str">
        <f t="shared" si="849"/>
        <v>EA</v>
      </c>
      <c r="I3322">
        <v>0</v>
      </c>
      <c r="J3322">
        <v>0</v>
      </c>
      <c r="K3322" t="str">
        <f t="shared" si="833"/>
        <v>Y</v>
      </c>
      <c r="L3322">
        <v>0</v>
      </c>
      <c r="M3322" t="str">
        <f t="shared" si="834"/>
        <v>NIS</v>
      </c>
      <c r="O3322">
        <v>2</v>
      </c>
      <c r="P3322" t="str">
        <f t="shared" si="846"/>
        <v>Active</v>
      </c>
      <c r="Q3322" t="str">
        <f>"Pneumatic Gripper with I/O Box for Motoman MH5F"</f>
        <v>Pneumatic Gripper with I/O Box for Motoman MH5F</v>
      </c>
      <c r="S3322" t="str">
        <f>"Pneumatic Gripper with I/O Box for Motoman MH5F"</f>
        <v>Pneumatic Gripper with I/O Box for Motoman MH5F</v>
      </c>
      <c r="T3322">
        <v>0</v>
      </c>
      <c r="U3322" s="44">
        <v>1500</v>
      </c>
      <c r="V3322" s="44">
        <v>1238.52</v>
      </c>
      <c r="W3322" t="str">
        <f t="shared" si="842"/>
        <v>rob</v>
      </c>
    </row>
    <row r="3323" spans="1:23">
      <c r="A3323" t="str">
        <f t="shared" si="847"/>
        <v>MTS-MH5F-BM&amp;PT</v>
      </c>
      <c r="B3323" t="str">
        <f>"00-1027-0000"</f>
        <v>00-1027-0000</v>
      </c>
      <c r="C3323" t="str">
        <f>"LSB 1.8m, Belt, USB-Pro, for ind. robot &lt; 35kg)"</f>
        <v>LSB 1.8m, Belt, USB-Pro, for ind. robot &lt; 35kg)</v>
      </c>
      <c r="D3323">
        <v>1</v>
      </c>
      <c r="E3323" t="str">
        <f t="shared" si="848"/>
        <v>FMS - MOTOMAN MH5F Robot with BenchMill 6000 (4 tool ATC) &amp; ProTurn 9000 CNC machines</v>
      </c>
      <c r="F3323">
        <v>502</v>
      </c>
      <c r="G3323" t="str">
        <f t="shared" si="832"/>
        <v>Y</v>
      </c>
      <c r="H3323" t="str">
        <f t="shared" si="849"/>
        <v>EA</v>
      </c>
      <c r="I3323">
        <v>0</v>
      </c>
      <c r="J3323">
        <v>0</v>
      </c>
      <c r="K3323" t="str">
        <f t="shared" si="833"/>
        <v>Y</v>
      </c>
      <c r="L3323">
        <v>0</v>
      </c>
      <c r="M3323" t="str">
        <f t="shared" si="834"/>
        <v>NIS</v>
      </c>
      <c r="O3323">
        <v>3</v>
      </c>
      <c r="P3323" t="str">
        <f t="shared" si="846"/>
        <v>Active</v>
      </c>
      <c r="Q3323" t="str">
        <f>"LSB 1.8m, Belt, USB-Pro, for ind. robot &lt; 35kg"</f>
        <v>LSB 1.8m, Belt, USB-Pro, for ind. robot &lt; 35kg</v>
      </c>
      <c r="S3323" t="str">
        <f>"LSB 1.8m, Belt, USB-Pro, for ind. robot &lt; 35kg"</f>
        <v>LSB 1.8m, Belt, USB-Pro, for ind. robot &lt; 35kg</v>
      </c>
      <c r="T3323">
        <v>0</v>
      </c>
      <c r="U3323" s="44">
        <v>5000</v>
      </c>
      <c r="V3323" s="44">
        <v>4687.0200000000004</v>
      </c>
      <c r="W3323" t="str">
        <f t="shared" si="842"/>
        <v>rob</v>
      </c>
    </row>
    <row r="3324" spans="1:23">
      <c r="A3324" t="str">
        <f t="shared" si="847"/>
        <v>MTS-MH5F-BM&amp;PT</v>
      </c>
      <c r="B3324" t="str">
        <f>"10-2521-7000"</f>
        <v>10-2521-7000</v>
      </c>
      <c r="C3324" t="str">
        <f>"Pneumatic Feeder for Rectangular products"</f>
        <v>Pneumatic Feeder for Rectangular products</v>
      </c>
      <c r="D3324">
        <v>1</v>
      </c>
      <c r="E3324" t="str">
        <f t="shared" si="848"/>
        <v>FMS - MOTOMAN MH5F Robot with BenchMill 6000 (4 tool ATC) &amp; ProTurn 9000 CNC machines</v>
      </c>
      <c r="F3324">
        <v>502</v>
      </c>
      <c r="G3324" t="str">
        <f t="shared" si="832"/>
        <v>Y</v>
      </c>
      <c r="H3324" t="str">
        <f t="shared" si="849"/>
        <v>EA</v>
      </c>
      <c r="I3324">
        <v>0</v>
      </c>
      <c r="J3324">
        <v>0</v>
      </c>
      <c r="K3324" t="str">
        <f t="shared" si="833"/>
        <v>Y</v>
      </c>
      <c r="L3324">
        <v>0</v>
      </c>
      <c r="M3324" t="str">
        <f t="shared" si="834"/>
        <v>NIS</v>
      </c>
      <c r="O3324">
        <v>4</v>
      </c>
      <c r="P3324" t="str">
        <f t="shared" si="846"/>
        <v>Active</v>
      </c>
      <c r="Q3324" t="str">
        <f>"Pneumatic Feeder for Rectangular Parts"</f>
        <v>Pneumatic Feeder for Rectangular Parts</v>
      </c>
      <c r="S3324" t="str">
        <f>"Pneumatic Feeder for Rectangular Parts"</f>
        <v>Pneumatic Feeder for Rectangular Parts</v>
      </c>
      <c r="T3324">
        <v>0</v>
      </c>
      <c r="U3324">
        <v>595</v>
      </c>
      <c r="V3324">
        <v>555.15</v>
      </c>
      <c r="W3324" t="str">
        <f t="shared" si="842"/>
        <v>rob</v>
      </c>
    </row>
    <row r="3325" spans="1:23">
      <c r="A3325" t="str">
        <f t="shared" si="847"/>
        <v>MTS-MH5F-BM&amp;PT</v>
      </c>
      <c r="B3325" t="str">
        <f>"10-1007-4000"</f>
        <v>10-1007-4000</v>
      </c>
      <c r="C3325" t="str">
        <f>"Gravity Parts Feeder (with microswitch sensor)"</f>
        <v>Gravity Parts Feeder (with microswitch sensor)</v>
      </c>
      <c r="D3325">
        <v>1</v>
      </c>
      <c r="E3325" t="str">
        <f t="shared" si="848"/>
        <v>FMS - MOTOMAN MH5F Robot with BenchMill 6000 (4 tool ATC) &amp; ProTurn 9000 CNC machines</v>
      </c>
      <c r="F3325">
        <v>502</v>
      </c>
      <c r="G3325" t="str">
        <f t="shared" si="832"/>
        <v>Y</v>
      </c>
      <c r="H3325" t="str">
        <f t="shared" si="849"/>
        <v>EA</v>
      </c>
      <c r="I3325">
        <v>0</v>
      </c>
      <c r="J3325">
        <v>0</v>
      </c>
      <c r="K3325" t="str">
        <f t="shared" si="833"/>
        <v>Y</v>
      </c>
      <c r="L3325">
        <v>0</v>
      </c>
      <c r="M3325" t="str">
        <f t="shared" si="834"/>
        <v>NIS</v>
      </c>
      <c r="O3325">
        <v>5</v>
      </c>
      <c r="P3325" t="str">
        <f t="shared" si="846"/>
        <v>Active</v>
      </c>
      <c r="Q3325" t="str">
        <f>"Gravity Parts Feeder (incl.microswitch sensor)"</f>
        <v>Gravity Parts Feeder (incl.microswitch sensor)</v>
      </c>
      <c r="S3325" t="str">
        <f>"Gravity Parts Feeder (incl.microswitch sensor)"</f>
        <v>Gravity Parts Feeder (incl.microswitch sensor)</v>
      </c>
      <c r="T3325">
        <v>0</v>
      </c>
      <c r="U3325">
        <v>148</v>
      </c>
      <c r="V3325">
        <v>148.26</v>
      </c>
      <c r="W3325" t="str">
        <f t="shared" si="842"/>
        <v>rob</v>
      </c>
    </row>
    <row r="3326" spans="1:23">
      <c r="A3326" t="str">
        <f t="shared" si="847"/>
        <v>MTS-MH5F-BM&amp;PT</v>
      </c>
      <c r="B3326" t="str">
        <f>"00-1110-0000"</f>
        <v>00-1110-0000</v>
      </c>
      <c r="C3326" t="str">
        <f>"Palletizing Rack"</f>
        <v>Palletizing Rack</v>
      </c>
      <c r="D3326">
        <v>2</v>
      </c>
      <c r="E3326" t="str">
        <f t="shared" si="848"/>
        <v>FMS - MOTOMAN MH5F Robot with BenchMill 6000 (4 tool ATC) &amp; ProTurn 9000 CNC machines</v>
      </c>
      <c r="F3326">
        <v>502</v>
      </c>
      <c r="G3326" t="str">
        <f t="shared" si="832"/>
        <v>Y</v>
      </c>
      <c r="H3326" t="str">
        <f t="shared" si="849"/>
        <v>EA</v>
      </c>
      <c r="I3326">
        <v>0</v>
      </c>
      <c r="J3326">
        <v>0</v>
      </c>
      <c r="K3326" t="str">
        <f t="shared" si="833"/>
        <v>Y</v>
      </c>
      <c r="L3326">
        <v>0</v>
      </c>
      <c r="M3326" t="str">
        <f t="shared" si="834"/>
        <v>NIS</v>
      </c>
      <c r="O3326">
        <v>6</v>
      </c>
      <c r="P3326" t="str">
        <f t="shared" si="846"/>
        <v>Active</v>
      </c>
      <c r="Q3326" t="str">
        <f>"Palletizing Rack (incl. Pins for creating Jigs)"</f>
        <v>Palletizing Rack (incl. Pins for creating Jigs)</v>
      </c>
      <c r="S3326" t="str">
        <f>"Palletizing Rack (incl. Pins for creating Jigs)"</f>
        <v>Palletizing Rack (incl. Pins for creating Jigs)</v>
      </c>
      <c r="T3326">
        <v>0</v>
      </c>
      <c r="U3326">
        <v>63</v>
      </c>
      <c r="V3326">
        <v>58.59</v>
      </c>
      <c r="W3326" t="str">
        <f t="shared" si="842"/>
        <v>rob</v>
      </c>
    </row>
    <row r="3327" spans="1:23">
      <c r="A3327" t="str">
        <f t="shared" si="847"/>
        <v>MTS-MH5F-BM&amp;PT</v>
      </c>
      <c r="B3327" t="str">
        <f>"021182"</f>
        <v>021182</v>
      </c>
      <c r="C3327" t="str">
        <f>"97mm Height Adapter"</f>
        <v>97mm Height Adapter</v>
      </c>
      <c r="D3327">
        <v>2</v>
      </c>
      <c r="E3327" t="str">
        <f t="shared" si="848"/>
        <v>FMS - MOTOMAN MH5F Robot with BenchMill 6000 (4 tool ATC) &amp; ProTurn 9000 CNC machines</v>
      </c>
      <c r="F3327">
        <v>502</v>
      </c>
      <c r="G3327" t="str">
        <f t="shared" si="832"/>
        <v>Y</v>
      </c>
      <c r="H3327" t="str">
        <f t="shared" si="849"/>
        <v>EA</v>
      </c>
      <c r="I3327">
        <v>0</v>
      </c>
      <c r="J3327">
        <v>0</v>
      </c>
      <c r="K3327" t="str">
        <f t="shared" si="833"/>
        <v>Y</v>
      </c>
      <c r="L3327">
        <v>0</v>
      </c>
      <c r="M3327" t="str">
        <f t="shared" si="834"/>
        <v>NIS</v>
      </c>
      <c r="O3327">
        <v>7</v>
      </c>
      <c r="P3327" t="str">
        <f t="shared" si="846"/>
        <v>Active</v>
      </c>
      <c r="Q3327" t="str">
        <f>"97mm Height Adapter -Rack 001110 on formica 28mm"</f>
        <v>97mm Height Adapter -Rack 001110 on formica 28mm</v>
      </c>
      <c r="S3327" t="str">
        <f>"97mm Height Adapter -Rack 001110 on formica 28mm"</f>
        <v>97mm Height Adapter -Rack 001110 on formica 28mm</v>
      </c>
      <c r="T3327">
        <v>0</v>
      </c>
      <c r="U3327">
        <v>7</v>
      </c>
      <c r="V3327">
        <v>5.5</v>
      </c>
      <c r="W3327" t="str">
        <f t="shared" si="842"/>
        <v>rob</v>
      </c>
    </row>
    <row r="3328" spans="1:23">
      <c r="A3328" t="str">
        <f t="shared" si="847"/>
        <v>MTS-MH5F-BM&amp;PT</v>
      </c>
      <c r="B3328" t="str">
        <f>"021152"</f>
        <v>021152</v>
      </c>
      <c r="C3328" t="str">
        <f>"Shelf Buffer for CIM conveyor"</f>
        <v>Shelf Buffer for CIM conveyor</v>
      </c>
      <c r="D3328">
        <v>2</v>
      </c>
      <c r="E3328" t="str">
        <f t="shared" si="848"/>
        <v>FMS - MOTOMAN MH5F Robot with BenchMill 6000 (4 tool ATC) &amp; ProTurn 9000 CNC machines</v>
      </c>
      <c r="F3328">
        <v>502</v>
      </c>
      <c r="G3328" t="str">
        <f t="shared" si="832"/>
        <v>Y</v>
      </c>
      <c r="H3328" t="str">
        <f t="shared" si="849"/>
        <v>EA</v>
      </c>
      <c r="I3328">
        <v>0</v>
      </c>
      <c r="J3328">
        <v>0</v>
      </c>
      <c r="K3328" t="str">
        <f t="shared" si="833"/>
        <v>Y</v>
      </c>
      <c r="L3328">
        <v>0</v>
      </c>
      <c r="M3328" t="str">
        <f t="shared" si="834"/>
        <v>NIS</v>
      </c>
      <c r="O3328">
        <v>8</v>
      </c>
      <c r="P3328" t="str">
        <f t="shared" si="846"/>
        <v>Active</v>
      </c>
      <c r="Q3328" t="str">
        <f>"מכלול- מדף בפר סטנדרטי OPEN-CIM"</f>
        <v>מכלול- מדף בפר סטנדרטי OPEN-CIM</v>
      </c>
      <c r="R3328" t="str">
        <f>"1"</f>
        <v>1</v>
      </c>
      <c r="S3328" t="str">
        <f>"מכלול- מדף בפר סטנדרטי OPEN-CIM"</f>
        <v>מכלול- מדף בפר סטנדרטי OPEN-CIM</v>
      </c>
      <c r="T3328">
        <v>0</v>
      </c>
      <c r="U3328">
        <v>83.12</v>
      </c>
      <c r="V3328">
        <v>92.76</v>
      </c>
      <c r="W3328" t="str">
        <f t="shared" si="842"/>
        <v>rob</v>
      </c>
    </row>
    <row r="3329" spans="1:23">
      <c r="A3329" t="str">
        <f t="shared" si="847"/>
        <v>MTS-MH5F-BM&amp;PT</v>
      </c>
      <c r="B3329" t="str">
        <f>"10-2120-0000"</f>
        <v>10-2120-0000</v>
      </c>
      <c r="C3329" t="str">
        <f>"CNC Interface with BenchMILL 6000"</f>
        <v>CNC Interface with BenchMILL 6000</v>
      </c>
      <c r="D3329">
        <v>1</v>
      </c>
      <c r="E3329" t="str">
        <f t="shared" si="848"/>
        <v>FMS - MOTOMAN MH5F Robot with BenchMill 6000 (4 tool ATC) &amp; ProTurn 9000 CNC machines</v>
      </c>
      <c r="F3329">
        <v>502</v>
      </c>
      <c r="G3329" t="str">
        <f t="shared" si="832"/>
        <v>Y</v>
      </c>
      <c r="H3329" t="str">
        <f t="shared" si="849"/>
        <v>EA</v>
      </c>
      <c r="I3329">
        <v>0</v>
      </c>
      <c r="J3329">
        <v>0</v>
      </c>
      <c r="K3329" t="str">
        <f t="shared" si="833"/>
        <v>Y</v>
      </c>
      <c r="L3329">
        <v>0</v>
      </c>
      <c r="M3329" t="str">
        <f t="shared" si="834"/>
        <v>NIS</v>
      </c>
      <c r="O3329">
        <v>9</v>
      </c>
      <c r="P3329" t="str">
        <f t="shared" si="846"/>
        <v>Active</v>
      </c>
      <c r="Q3329" t="str">
        <f>"CNC Interface with BenchMILL 6000"</f>
        <v>CNC Interface with BenchMILL 6000</v>
      </c>
      <c r="S3329" t="str">
        <f>"CNC Interface with BenchMILL 6000"</f>
        <v>CNC Interface with BenchMILL 6000</v>
      </c>
      <c r="T3329">
        <v>0</v>
      </c>
      <c r="U3329">
        <v>21</v>
      </c>
      <c r="V3329">
        <v>19.7</v>
      </c>
      <c r="W3329" t="str">
        <f t="shared" si="842"/>
        <v>rob</v>
      </c>
    </row>
    <row r="3330" spans="1:23">
      <c r="A3330" t="str">
        <f t="shared" si="847"/>
        <v>MTS-MH5F-BM&amp;PT</v>
      </c>
      <c r="B3330" t="str">
        <f>"00-5505-0220"</f>
        <v>00-5505-0220</v>
      </c>
      <c r="C3330" t="str">
        <f>"CNC BenchMILL 6000, 220 VAC"</f>
        <v>CNC BenchMILL 6000, 220 VAC</v>
      </c>
      <c r="D3330">
        <v>1</v>
      </c>
      <c r="E3330" t="str">
        <f t="shared" si="848"/>
        <v>FMS - MOTOMAN MH5F Robot with BenchMill 6000 (4 tool ATC) &amp; ProTurn 9000 CNC machines</v>
      </c>
      <c r="F3330">
        <v>502</v>
      </c>
      <c r="G3330" t="str">
        <f t="shared" ref="G3330:G3393" si="850">"Y"</f>
        <v>Y</v>
      </c>
      <c r="H3330" t="str">
        <f t="shared" si="849"/>
        <v>EA</v>
      </c>
      <c r="I3330">
        <v>0</v>
      </c>
      <c r="J3330">
        <v>0</v>
      </c>
      <c r="K3330" t="str">
        <f t="shared" ref="K3330:K3393" si="851">"Y"</f>
        <v>Y</v>
      </c>
      <c r="L3330">
        <v>0</v>
      </c>
      <c r="M3330" t="str">
        <f t="shared" si="834"/>
        <v>NIS</v>
      </c>
      <c r="O3330">
        <v>10</v>
      </c>
      <c r="P3330" t="str">
        <f t="shared" si="846"/>
        <v>Active</v>
      </c>
      <c r="Q3330" t="str">
        <f>"CNC BenchMILL 6000, 220 VAC"</f>
        <v>CNC BenchMILL 6000, 220 VAC</v>
      </c>
      <c r="S3330" t="str">
        <f>"CNC BenchMILL 6000, 220 VAC"</f>
        <v>CNC BenchMILL 6000, 220 VAC</v>
      </c>
      <c r="T3330">
        <v>0</v>
      </c>
      <c r="U3330" s="44">
        <v>4583</v>
      </c>
      <c r="V3330" s="44">
        <v>4458.34</v>
      </c>
      <c r="W3330" t="str">
        <f t="shared" si="842"/>
        <v>rob</v>
      </c>
    </row>
    <row r="3331" spans="1:23">
      <c r="A3331" t="str">
        <f t="shared" si="847"/>
        <v>MTS-MH5F-BM&amp;PT</v>
      </c>
      <c r="B3331" t="str">
        <f>"10-1110-7000"</f>
        <v>10-1110-7000</v>
      </c>
      <c r="C3331" t="str">
        <f>"--Dual Axis Vise (for FMS)"</f>
        <v>--Dual Axis Vise (for FMS)</v>
      </c>
      <c r="D3331">
        <v>1</v>
      </c>
      <c r="E3331" t="str">
        <f t="shared" si="848"/>
        <v>FMS - MOTOMAN MH5F Robot with BenchMill 6000 (4 tool ATC) &amp; ProTurn 9000 CNC machines</v>
      </c>
      <c r="F3331">
        <v>502</v>
      </c>
      <c r="G3331" t="str">
        <f t="shared" si="850"/>
        <v>Y</v>
      </c>
      <c r="H3331" t="str">
        <f t="shared" si="849"/>
        <v>EA</v>
      </c>
      <c r="I3331">
        <v>0</v>
      </c>
      <c r="J3331">
        <v>0</v>
      </c>
      <c r="K3331" t="str">
        <f t="shared" si="851"/>
        <v>Y</v>
      </c>
      <c r="L3331">
        <v>0</v>
      </c>
      <c r="M3331" t="str">
        <f t="shared" si="834"/>
        <v>NIS</v>
      </c>
      <c r="O3331">
        <v>11</v>
      </c>
      <c r="P3331" t="str">
        <f t="shared" si="846"/>
        <v>Active</v>
      </c>
      <c r="Q3331" t="str">
        <f>"Dual Axis Vise (BenchMill 6000/ ProMill 8000)"</f>
        <v>Dual Axis Vise (BenchMill 6000/ ProMill 8000)</v>
      </c>
      <c r="S3331" t="str">
        <f>"Dual Axis Vise (BenchMill 6000/ ProMill 8000)"</f>
        <v>Dual Axis Vise (BenchMill 6000/ ProMill 8000)</v>
      </c>
      <c r="T3331">
        <v>0</v>
      </c>
      <c r="U3331">
        <v>239</v>
      </c>
      <c r="V3331">
        <v>219.6</v>
      </c>
      <c r="W3331" t="str">
        <f t="shared" si="842"/>
        <v>rob</v>
      </c>
    </row>
    <row r="3332" spans="1:23">
      <c r="A3332" t="str">
        <f t="shared" si="847"/>
        <v>MTS-MH5F-BM&amp;PT</v>
      </c>
      <c r="B3332" t="str">
        <f>"10-1115-2000"</f>
        <v>10-1115-2000</v>
      </c>
      <c r="C3332" t="str">
        <f>"- Table mounted ATC package"</f>
        <v>- Table mounted ATC package</v>
      </c>
      <c r="D3332">
        <v>1</v>
      </c>
      <c r="E3332" t="str">
        <f t="shared" si="848"/>
        <v>FMS - MOTOMAN MH5F Robot with BenchMill 6000 (4 tool ATC) &amp; ProTurn 9000 CNC machines</v>
      </c>
      <c r="F3332">
        <v>502</v>
      </c>
      <c r="G3332" t="str">
        <f t="shared" si="850"/>
        <v>Y</v>
      </c>
      <c r="H3332" t="str">
        <f t="shared" si="849"/>
        <v>EA</v>
      </c>
      <c r="I3332">
        <v>0</v>
      </c>
      <c r="J3332">
        <v>0</v>
      </c>
      <c r="K3332" t="str">
        <f t="shared" si="851"/>
        <v>Y</v>
      </c>
      <c r="L3332">
        <v>0</v>
      </c>
      <c r="M3332" t="str">
        <f t="shared" si="834"/>
        <v>NIS</v>
      </c>
      <c r="O3332">
        <v>12</v>
      </c>
      <c r="P3332" t="str">
        <f t="shared" si="846"/>
        <v>Active</v>
      </c>
      <c r="Q3332" t="str">
        <f>"Table mounted ATC package"</f>
        <v>Table mounted ATC package</v>
      </c>
      <c r="S3332" t="str">
        <f>"Table mounted ATC package"</f>
        <v>Table mounted ATC package</v>
      </c>
      <c r="T3332">
        <v>0</v>
      </c>
      <c r="U3332">
        <v>690</v>
      </c>
      <c r="V3332">
        <v>690.59</v>
      </c>
      <c r="W3332" t="str">
        <f t="shared" si="842"/>
        <v>rob</v>
      </c>
    </row>
    <row r="3333" spans="1:23">
      <c r="A3333" t="str">
        <f t="shared" si="847"/>
        <v>MTS-MH5F-BM&amp;PT</v>
      </c>
      <c r="B3333" t="str">
        <f>"10-1115-0000"</f>
        <v>10-1115-0000</v>
      </c>
      <c r="C3333" t="str">
        <f>"ER16 Collet set - 2 x (3,6,8,10mm)"</f>
        <v>ER16 Collet set - 2 x (3,6,8,10mm)</v>
      </c>
      <c r="D3333">
        <v>1</v>
      </c>
      <c r="E3333" t="str">
        <f t="shared" si="848"/>
        <v>FMS - MOTOMAN MH5F Robot with BenchMill 6000 (4 tool ATC) &amp; ProTurn 9000 CNC machines</v>
      </c>
      <c r="F3333">
        <v>502</v>
      </c>
      <c r="G3333" t="str">
        <f t="shared" si="850"/>
        <v>Y</v>
      </c>
      <c r="H3333" t="str">
        <f t="shared" si="849"/>
        <v>EA</v>
      </c>
      <c r="I3333">
        <v>0</v>
      </c>
      <c r="J3333">
        <v>0</v>
      </c>
      <c r="K3333" t="str">
        <f t="shared" si="851"/>
        <v>Y</v>
      </c>
      <c r="L3333">
        <v>0</v>
      </c>
      <c r="M3333" t="str">
        <f t="shared" si="834"/>
        <v>NIS</v>
      </c>
      <c r="O3333">
        <v>13</v>
      </c>
      <c r="P3333" t="str">
        <f t="shared" si="846"/>
        <v>Active</v>
      </c>
      <c r="Q3333" t="str">
        <f>"ER16 Collet set-8 pieces(2)3,(2)6,(2)8,(2)10mm"</f>
        <v>ER16 Collet set-8 pieces(2)3,(2)6,(2)8,(2)10mm</v>
      </c>
      <c r="S3333" t="str">
        <f>"ER16 Collet set-8 pieces(2)3,(2)6,(2)8,(2)10mm"</f>
        <v>ER16 Collet set-8 pieces(2)3,(2)6,(2)8,(2)10mm</v>
      </c>
      <c r="T3333">
        <v>0</v>
      </c>
      <c r="U3333">
        <v>71</v>
      </c>
      <c r="V3333">
        <v>70.63</v>
      </c>
      <c r="W3333" t="str">
        <f t="shared" si="842"/>
        <v>rob</v>
      </c>
    </row>
    <row r="3334" spans="1:23">
      <c r="A3334" t="str">
        <f t="shared" si="847"/>
        <v>MTS-MH5F-BM&amp;PT</v>
      </c>
      <c r="B3334" t="str">
        <f>"10-1113-4000"</f>
        <v>10-1113-4000</v>
      </c>
      <c r="C3334" t="str">
        <f>"Metric End Mill Package(2X 3,6,8,10End,4,6 Ball)"</f>
        <v>Metric End Mill Package(2X 3,6,8,10End,4,6 Ball)</v>
      </c>
      <c r="D3334">
        <v>1</v>
      </c>
      <c r="E3334" t="str">
        <f t="shared" si="848"/>
        <v>FMS - MOTOMAN MH5F Robot with BenchMill 6000 (4 tool ATC) &amp; ProTurn 9000 CNC machines</v>
      </c>
      <c r="F3334">
        <v>502</v>
      </c>
      <c r="G3334" t="str">
        <f t="shared" si="850"/>
        <v>Y</v>
      </c>
      <c r="H3334" t="str">
        <f t="shared" si="849"/>
        <v>EA</v>
      </c>
      <c r="I3334">
        <v>0</v>
      </c>
      <c r="J3334">
        <v>0</v>
      </c>
      <c r="K3334" t="str">
        <f t="shared" si="851"/>
        <v>Y</v>
      </c>
      <c r="L3334">
        <v>0</v>
      </c>
      <c r="M3334" t="str">
        <f t="shared" si="834"/>
        <v>NIS</v>
      </c>
      <c r="O3334">
        <v>14</v>
      </c>
      <c r="P3334" t="str">
        <f t="shared" si="846"/>
        <v>Active</v>
      </c>
      <c r="Q3334" t="str">
        <f>"Metric Advanced End Mill Package 5121"</f>
        <v>Metric Advanced End Mill Package 5121</v>
      </c>
      <c r="S3334" t="str">
        <f>"Metric Advanced End Mill Package 5121"</f>
        <v>Metric Advanced End Mill Package 5121</v>
      </c>
      <c r="T3334">
        <v>0</v>
      </c>
      <c r="U3334">
        <v>55</v>
      </c>
      <c r="V3334">
        <v>50.17</v>
      </c>
      <c r="W3334" t="str">
        <f t="shared" si="842"/>
        <v>rob</v>
      </c>
    </row>
    <row r="3335" spans="1:23">
      <c r="A3335" t="str">
        <f t="shared" si="847"/>
        <v>MTS-MH5F-BM&amp;PT</v>
      </c>
      <c r="B3335" t="str">
        <f>"10-1111-1000"</f>
        <v>10-1111-1000</v>
      </c>
      <c r="C3335" t="str">
        <f>"- Handwheel - Manual Control"</f>
        <v>- Handwheel - Manual Control</v>
      </c>
      <c r="D3335">
        <v>1</v>
      </c>
      <c r="E3335" t="str">
        <f t="shared" si="848"/>
        <v>FMS - MOTOMAN MH5F Robot with BenchMill 6000 (4 tool ATC) &amp; ProTurn 9000 CNC machines</v>
      </c>
      <c r="F3335">
        <v>502</v>
      </c>
      <c r="G3335" t="str">
        <f t="shared" si="850"/>
        <v>Y</v>
      </c>
      <c r="H3335" t="str">
        <f t="shared" si="849"/>
        <v>EA</v>
      </c>
      <c r="I3335">
        <v>0</v>
      </c>
      <c r="J3335">
        <v>0</v>
      </c>
      <c r="K3335" t="str">
        <f t="shared" si="851"/>
        <v>Y</v>
      </c>
      <c r="L3335">
        <v>0</v>
      </c>
      <c r="M3335" t="str">
        <f t="shared" si="834"/>
        <v>NIS</v>
      </c>
      <c r="O3335">
        <v>15</v>
      </c>
      <c r="P3335" t="str">
        <f t="shared" si="846"/>
        <v>Active</v>
      </c>
      <c r="Q3335" t="str">
        <f>"Jog Pendant Handwheel"</f>
        <v>Jog Pendant Handwheel</v>
      </c>
      <c r="S3335" t="str">
        <f>"Jog Pendant Handwheel"</f>
        <v>Jog Pendant Handwheel</v>
      </c>
      <c r="T3335">
        <v>0</v>
      </c>
      <c r="U3335">
        <v>235</v>
      </c>
      <c r="V3335">
        <v>235.03</v>
      </c>
      <c r="W3335" t="str">
        <f t="shared" si="842"/>
        <v>rob</v>
      </c>
    </row>
    <row r="3336" spans="1:23">
      <c r="A3336" t="str">
        <f t="shared" si="847"/>
        <v>MTS-MH5F-BM&amp;PT</v>
      </c>
      <c r="B3336" t="str">
        <f>"10-1113-6000"</f>
        <v>10-1113-6000</v>
      </c>
      <c r="C3336" t="str">
        <f>"- Metric Engraving Package (1,1.5,2 mm End mill)"</f>
        <v>- Metric Engraving Package (1,1.5,2 mm End mill)</v>
      </c>
      <c r="D3336">
        <v>1</v>
      </c>
      <c r="E3336" t="str">
        <f t="shared" si="848"/>
        <v>FMS - MOTOMAN MH5F Robot with BenchMill 6000 (4 tool ATC) &amp; ProTurn 9000 CNC machines</v>
      </c>
      <c r="F3336">
        <v>502</v>
      </c>
      <c r="G3336" t="str">
        <f t="shared" si="850"/>
        <v>Y</v>
      </c>
      <c r="H3336" t="str">
        <f t="shared" si="849"/>
        <v>EA</v>
      </c>
      <c r="I3336">
        <v>0</v>
      </c>
      <c r="J3336">
        <v>0</v>
      </c>
      <c r="K3336" t="str">
        <f t="shared" si="851"/>
        <v>Y</v>
      </c>
      <c r="L3336">
        <v>0</v>
      </c>
      <c r="M3336" t="str">
        <f t="shared" si="834"/>
        <v>NIS</v>
      </c>
      <c r="O3336">
        <v>16</v>
      </c>
      <c r="P3336" t="str">
        <f t="shared" si="846"/>
        <v>Active</v>
      </c>
      <c r="Q3336" t="str">
        <f>"Metric Engraving Package 5711"</f>
        <v>Metric Engraving Package 5711</v>
      </c>
      <c r="S3336" t="str">
        <f>"Metric Engraving Package 5711"</f>
        <v>Metric Engraving Package 5711</v>
      </c>
      <c r="T3336">
        <v>0</v>
      </c>
      <c r="U3336">
        <v>41</v>
      </c>
      <c r="V3336">
        <v>37.909999999999997</v>
      </c>
      <c r="W3336" t="str">
        <f t="shared" si="842"/>
        <v>rob</v>
      </c>
    </row>
    <row r="3337" spans="1:23">
      <c r="A3337" t="str">
        <f t="shared" si="847"/>
        <v>MTS-MH5F-BM&amp;PT</v>
      </c>
      <c r="B3337" t="str">
        <f>"63-6001-1000"</f>
        <v>63-6001-1000</v>
      </c>
      <c r="C3337" t="str">
        <f>"-CNCMotion Simulation Sftwr for BenchMill 6000"</f>
        <v>-CNCMotion Simulation Sftwr for BenchMill 6000</v>
      </c>
      <c r="D3337">
        <v>1</v>
      </c>
      <c r="E3337" t="str">
        <f t="shared" si="848"/>
        <v>FMS - MOTOMAN MH5F Robot with BenchMill 6000 (4 tool ATC) &amp; ProTurn 9000 CNC machines</v>
      </c>
      <c r="F3337">
        <v>502</v>
      </c>
      <c r="G3337" t="str">
        <f t="shared" si="850"/>
        <v>Y</v>
      </c>
      <c r="H3337" t="str">
        <f t="shared" si="849"/>
        <v>EA</v>
      </c>
      <c r="I3337">
        <v>0</v>
      </c>
      <c r="J3337">
        <v>0</v>
      </c>
      <c r="K3337" t="str">
        <f t="shared" si="851"/>
        <v>Y</v>
      </c>
      <c r="L3337">
        <v>0</v>
      </c>
      <c r="M3337" t="str">
        <f t="shared" si="834"/>
        <v>NIS</v>
      </c>
      <c r="O3337">
        <v>17</v>
      </c>
      <c r="P3337" t="str">
        <f t="shared" si="846"/>
        <v>Active</v>
      </c>
      <c r="Q3337" t="str">
        <f>"CNCMotion Sim. Sftwr, BenchMill 6000"</f>
        <v>CNCMotion Sim. Sftwr, BenchMill 6000</v>
      </c>
      <c r="S3337" t="str">
        <f>"CNCMotion Sim. Sftwr, BenchMill 6000"</f>
        <v>CNCMotion Sim. Sftwr, BenchMill 6000</v>
      </c>
      <c r="T3337">
        <v>0</v>
      </c>
      <c r="U3337">
        <v>10</v>
      </c>
      <c r="V3337">
        <v>0</v>
      </c>
      <c r="W3337" t="str">
        <f t="shared" si="842"/>
        <v>rob</v>
      </c>
    </row>
    <row r="3338" spans="1:23">
      <c r="A3338" t="str">
        <f t="shared" si="847"/>
        <v>MTS-MH5F-BM&amp;PT</v>
      </c>
      <c r="B3338" t="str">
        <f>"63-6723-0000"</f>
        <v>63-6723-0000</v>
      </c>
      <c r="C3338" t="str">
        <f>"SpectraCAD Engraver software – Download Only"</f>
        <v>SpectraCAD Engraver software – Download Only</v>
      </c>
      <c r="D3338">
        <v>1</v>
      </c>
      <c r="E3338" t="str">
        <f t="shared" si="848"/>
        <v>FMS - MOTOMAN MH5F Robot with BenchMill 6000 (4 tool ATC) &amp; ProTurn 9000 CNC machines</v>
      </c>
      <c r="F3338">
        <v>502</v>
      </c>
      <c r="G3338" t="str">
        <f t="shared" si="850"/>
        <v>Y</v>
      </c>
      <c r="H3338" t="str">
        <f t="shared" si="849"/>
        <v>EA</v>
      </c>
      <c r="I3338">
        <v>0</v>
      </c>
      <c r="J3338">
        <v>0</v>
      </c>
      <c r="K3338" t="str">
        <f t="shared" si="851"/>
        <v>Y</v>
      </c>
      <c r="L3338">
        <v>0</v>
      </c>
      <c r="M3338" t="str">
        <f t="shared" si="834"/>
        <v>NIS</v>
      </c>
      <c r="O3338">
        <v>18</v>
      </c>
      <c r="P3338" t="str">
        <f t="shared" si="846"/>
        <v>Active</v>
      </c>
      <c r="Q3338" t="str">
        <f>"SpectraCAD Engraver software – Download Only"</f>
        <v>SpectraCAD Engraver software – Download Only</v>
      </c>
      <c r="S3338" t="str">
        <f>"SpectraCAD Engraver software – Download Only"</f>
        <v>SpectraCAD Engraver software – Download Only</v>
      </c>
      <c r="T3338">
        <v>0</v>
      </c>
      <c r="U3338">
        <v>10</v>
      </c>
      <c r="V3338">
        <v>10.4</v>
      </c>
      <c r="W3338" t="str">
        <f t="shared" si="842"/>
        <v>rob</v>
      </c>
    </row>
    <row r="3339" spans="1:23">
      <c r="A3339" t="str">
        <f t="shared" si="847"/>
        <v>MTS-MH5F-BM&amp;PT</v>
      </c>
      <c r="B3339" t="str">
        <f>"63-6733-0000"</f>
        <v>63-6733-0000</v>
      </c>
      <c r="C3339" t="str">
        <f>"Software, SpectraCAM Milling"</f>
        <v>Software, SpectraCAM Milling</v>
      </c>
      <c r="D3339">
        <v>1</v>
      </c>
      <c r="E3339" t="str">
        <f t="shared" si="848"/>
        <v>FMS - MOTOMAN MH5F Robot with BenchMill 6000 (4 tool ATC) &amp; ProTurn 9000 CNC machines</v>
      </c>
      <c r="F3339">
        <v>502</v>
      </c>
      <c r="G3339" t="str">
        <f t="shared" si="850"/>
        <v>Y</v>
      </c>
      <c r="H3339" t="str">
        <f t="shared" si="849"/>
        <v>EA</v>
      </c>
      <c r="I3339">
        <v>0</v>
      </c>
      <c r="J3339">
        <v>0</v>
      </c>
      <c r="K3339" t="str">
        <f t="shared" si="851"/>
        <v>Y</v>
      </c>
      <c r="L3339">
        <v>0</v>
      </c>
      <c r="M3339" t="str">
        <f t="shared" si="834"/>
        <v>NIS</v>
      </c>
      <c r="O3339">
        <v>19</v>
      </c>
      <c r="P3339" t="str">
        <f t="shared" si="846"/>
        <v>Active</v>
      </c>
      <c r="Q3339" t="str">
        <f>"Software, SpectraCAM Milling"</f>
        <v>Software, SpectraCAM Milling</v>
      </c>
      <c r="S3339" t="str">
        <f>"Software, SpectraCAM Milling"</f>
        <v>Software, SpectraCAM Milling</v>
      </c>
      <c r="T3339">
        <v>0</v>
      </c>
      <c r="U3339">
        <v>10</v>
      </c>
      <c r="V3339">
        <v>10.4</v>
      </c>
      <c r="W3339" t="str">
        <f t="shared" si="842"/>
        <v>rob</v>
      </c>
    </row>
    <row r="3340" spans="1:23">
      <c r="A3340" t="str">
        <f t="shared" si="847"/>
        <v>MTS-MH5F-BM&amp;PT</v>
      </c>
      <c r="B3340" t="str">
        <f>"113034"</f>
        <v>113034</v>
      </c>
      <c r="C3340" t="str">
        <f>"Raw Material - Perspex Block"</f>
        <v>Raw Material - Perspex Block</v>
      </c>
      <c r="D3340">
        <v>50</v>
      </c>
      <c r="E3340" t="str">
        <f t="shared" si="848"/>
        <v>FMS - MOTOMAN MH5F Robot with BenchMill 6000 (4 tool ATC) &amp; ProTurn 9000 CNC machines</v>
      </c>
      <c r="F3340">
        <v>502</v>
      </c>
      <c r="G3340" t="str">
        <f t="shared" si="850"/>
        <v>Y</v>
      </c>
      <c r="H3340" t="str">
        <f t="shared" si="849"/>
        <v>EA</v>
      </c>
      <c r="I3340">
        <v>0</v>
      </c>
      <c r="J3340">
        <v>0</v>
      </c>
      <c r="K3340" t="str">
        <f t="shared" si="851"/>
        <v>Y</v>
      </c>
      <c r="L3340">
        <v>0</v>
      </c>
      <c r="M3340" t="str">
        <f t="shared" si="834"/>
        <v>NIS</v>
      </c>
      <c r="O3340">
        <v>20</v>
      </c>
      <c r="P3340" t="str">
        <f t="shared" si="846"/>
        <v>Active</v>
      </c>
      <c r="Q3340" t="str">
        <f>"Raw Material Stock - Perspex Block"</f>
        <v>Raw Material Stock - Perspex Block</v>
      </c>
      <c r="S3340" t="str">
        <f>"Raw Material Stock - Perspex Block"</f>
        <v>Raw Material Stock - Perspex Block</v>
      </c>
      <c r="T3340">
        <v>0</v>
      </c>
      <c r="U3340">
        <v>1.1000000000000001</v>
      </c>
      <c r="V3340">
        <v>1.0900000000000001</v>
      </c>
      <c r="W3340" t="str">
        <f t="shared" si="842"/>
        <v>rob</v>
      </c>
    </row>
    <row r="3341" spans="1:23">
      <c r="A3341" t="str">
        <f t="shared" si="847"/>
        <v>MTS-MH5F-BM&amp;PT</v>
      </c>
      <c r="B3341" t="str">
        <f>"10-2120-3000"</f>
        <v>10-2120-3000</v>
      </c>
      <c r="C3341" t="str">
        <f>"CNC Interface with ProTurn 9000"</f>
        <v>CNC Interface with ProTurn 9000</v>
      </c>
      <c r="D3341">
        <v>1</v>
      </c>
      <c r="E3341" t="str">
        <f t="shared" si="848"/>
        <v>FMS - MOTOMAN MH5F Robot with BenchMill 6000 (4 tool ATC) &amp; ProTurn 9000 CNC machines</v>
      </c>
      <c r="F3341">
        <v>502</v>
      </c>
      <c r="G3341" t="str">
        <f t="shared" si="850"/>
        <v>Y</v>
      </c>
      <c r="H3341" t="str">
        <f t="shared" si="849"/>
        <v>EA</v>
      </c>
      <c r="I3341">
        <v>0</v>
      </c>
      <c r="J3341">
        <v>0</v>
      </c>
      <c r="K3341" t="str">
        <f t="shared" si="851"/>
        <v>Y</v>
      </c>
      <c r="L3341">
        <v>0</v>
      </c>
      <c r="M3341" t="str">
        <f t="shared" si="834"/>
        <v>NIS</v>
      </c>
      <c r="O3341">
        <v>21</v>
      </c>
      <c r="P3341" t="str">
        <f t="shared" si="846"/>
        <v>Active</v>
      </c>
      <c r="Q3341" t="str">
        <f>"CNC Interface with ProTurn 9000"</f>
        <v>CNC Interface with ProTurn 9000</v>
      </c>
      <c r="S3341" t="str">
        <f>"CNC Interface with ProTurn 9000"</f>
        <v>CNC Interface with ProTurn 9000</v>
      </c>
      <c r="T3341">
        <v>0</v>
      </c>
      <c r="U3341">
        <v>18</v>
      </c>
      <c r="V3341">
        <v>17.690000000000001</v>
      </c>
      <c r="W3341" t="str">
        <f t="shared" si="842"/>
        <v>rob</v>
      </c>
    </row>
    <row r="3342" spans="1:23">
      <c r="A3342" t="str">
        <f t="shared" si="847"/>
        <v>MTS-MH5F-BM&amp;PT</v>
      </c>
      <c r="B3342" t="str">
        <f>"00-5501-0220"</f>
        <v>00-5501-0220</v>
      </c>
      <c r="C3342" t="str">
        <f>"CNC ProTurn 9000 AC 220V"</f>
        <v>CNC ProTurn 9000 AC 220V</v>
      </c>
      <c r="D3342">
        <v>1</v>
      </c>
      <c r="E3342" t="str">
        <f t="shared" si="848"/>
        <v>FMS - MOTOMAN MH5F Robot with BenchMill 6000 (4 tool ATC) &amp; ProTurn 9000 CNC machines</v>
      </c>
      <c r="F3342">
        <v>502</v>
      </c>
      <c r="G3342" t="str">
        <f t="shared" si="850"/>
        <v>Y</v>
      </c>
      <c r="H3342" t="str">
        <f t="shared" si="849"/>
        <v>EA</v>
      </c>
      <c r="I3342">
        <v>0</v>
      </c>
      <c r="J3342">
        <v>0</v>
      </c>
      <c r="K3342" t="str">
        <f t="shared" si="851"/>
        <v>Y</v>
      </c>
      <c r="L3342">
        <v>0</v>
      </c>
      <c r="M3342" t="str">
        <f t="shared" ref="M3342:M3405" si="852">"NIS"</f>
        <v>NIS</v>
      </c>
      <c r="O3342">
        <v>22</v>
      </c>
      <c r="P3342" t="str">
        <f t="shared" si="846"/>
        <v>Active</v>
      </c>
      <c r="Q3342" t="str">
        <f>"CNC ProTurn 9000 AC 220V"</f>
        <v>CNC ProTurn 9000 AC 220V</v>
      </c>
      <c r="S3342" t="str">
        <f>"CNC ProTurn 9000 AC 220V"</f>
        <v>CNC ProTurn 9000 AC 220V</v>
      </c>
      <c r="T3342">
        <v>0</v>
      </c>
      <c r="U3342" s="44">
        <v>6204.98</v>
      </c>
      <c r="V3342" s="44">
        <v>6570.68</v>
      </c>
      <c r="W3342" t="str">
        <f t="shared" si="842"/>
        <v>rob</v>
      </c>
    </row>
    <row r="3343" spans="1:23">
      <c r="A3343" t="str">
        <f t="shared" si="847"/>
        <v>MTS-MH5F-BM&amp;PT</v>
      </c>
      <c r="B3343" t="str">
        <f>"10-1110-6000"</f>
        <v>10-1110-6000</v>
      </c>
      <c r="C3343" t="str">
        <f>"-- Pneumatic Shield (ProTurn 9000 for FMS)"</f>
        <v>-- Pneumatic Shield (ProTurn 9000 for FMS)</v>
      </c>
      <c r="D3343">
        <v>1</v>
      </c>
      <c r="E3343" t="str">
        <f t="shared" si="848"/>
        <v>FMS - MOTOMAN MH5F Robot with BenchMill 6000 (4 tool ATC) &amp; ProTurn 9000 CNC machines</v>
      </c>
      <c r="F3343">
        <v>502</v>
      </c>
      <c r="G3343" t="str">
        <f t="shared" si="850"/>
        <v>Y</v>
      </c>
      <c r="H3343" t="str">
        <f t="shared" si="849"/>
        <v>EA</v>
      </c>
      <c r="I3343">
        <v>0</v>
      </c>
      <c r="J3343">
        <v>0</v>
      </c>
      <c r="K3343" t="str">
        <f t="shared" si="851"/>
        <v>Y</v>
      </c>
      <c r="L3343">
        <v>0</v>
      </c>
      <c r="M3343" t="str">
        <f t="shared" si="852"/>
        <v>NIS</v>
      </c>
      <c r="O3343">
        <v>23</v>
      </c>
      <c r="P3343" t="str">
        <f t="shared" si="846"/>
        <v>Active</v>
      </c>
      <c r="Q3343" t="str">
        <f>"Pneumatic Shield with Sensors (ProTurn 9000)"</f>
        <v>Pneumatic Shield with Sensors (ProTurn 9000)</v>
      </c>
      <c r="S3343" t="str">
        <f>"Pneumatic Shield with Sensors (ProTurn 9000)"</f>
        <v>Pneumatic Shield with Sensors (ProTurn 9000)</v>
      </c>
      <c r="T3343">
        <v>0</v>
      </c>
      <c r="U3343">
        <v>425</v>
      </c>
      <c r="V3343">
        <v>423.6</v>
      </c>
      <c r="W3343" t="str">
        <f t="shared" si="842"/>
        <v>rob</v>
      </c>
    </row>
    <row r="3344" spans="1:23">
      <c r="A3344" t="str">
        <f t="shared" si="847"/>
        <v>MTS-MH5F-BM&amp;PT</v>
      </c>
      <c r="B3344" t="str">
        <f>"10-1111-0000"</f>
        <v>10-1111-0000</v>
      </c>
      <c r="C3344" t="str">
        <f>"-- Pneumatic Chuck (ProTurn 9000 for FMS)"</f>
        <v>-- Pneumatic Chuck (ProTurn 9000 for FMS)</v>
      </c>
      <c r="D3344">
        <v>1</v>
      </c>
      <c r="E3344" t="str">
        <f t="shared" si="848"/>
        <v>FMS - MOTOMAN MH5F Robot with BenchMill 6000 (4 tool ATC) &amp; ProTurn 9000 CNC machines</v>
      </c>
      <c r="F3344">
        <v>502</v>
      </c>
      <c r="G3344" t="str">
        <f t="shared" si="850"/>
        <v>Y</v>
      </c>
      <c r="H3344" t="str">
        <f t="shared" si="849"/>
        <v>EA</v>
      </c>
      <c r="I3344">
        <v>0</v>
      </c>
      <c r="J3344">
        <v>0</v>
      </c>
      <c r="K3344" t="str">
        <f t="shared" si="851"/>
        <v>Y</v>
      </c>
      <c r="L3344">
        <v>0</v>
      </c>
      <c r="M3344" t="str">
        <f t="shared" si="852"/>
        <v>NIS</v>
      </c>
      <c r="O3344">
        <v>24</v>
      </c>
      <c r="P3344" t="str">
        <f t="shared" si="846"/>
        <v>Active</v>
      </c>
      <c r="Q3344" t="str">
        <f>"Pneumatic Chuck (ProTurn 9000)"</f>
        <v>Pneumatic Chuck (ProTurn 9000)</v>
      </c>
      <c r="S3344" t="str">
        <f>"Pneumatic Chuck (ProTurn 9000)"</f>
        <v>Pneumatic Chuck (ProTurn 9000)</v>
      </c>
      <c r="T3344">
        <v>0</v>
      </c>
      <c r="U3344">
        <v>660</v>
      </c>
      <c r="V3344">
        <v>656.57</v>
      </c>
      <c r="W3344" t="str">
        <f t="shared" si="842"/>
        <v>rob</v>
      </c>
    </row>
    <row r="3345" spans="1:23">
      <c r="A3345" t="str">
        <f t="shared" si="847"/>
        <v>MTS-MH5F-BM&amp;PT</v>
      </c>
      <c r="B3345" t="str">
        <f>"10-1110-1000"</f>
        <v>10-1110-1000</v>
      </c>
      <c r="C3345" t="str">
        <f>"10 x 10mm cutter tool holder"</f>
        <v>10 x 10mm cutter tool holder</v>
      </c>
      <c r="D3345">
        <v>1</v>
      </c>
      <c r="E3345" t="str">
        <f t="shared" si="848"/>
        <v>FMS - MOTOMAN MH5F Robot with BenchMill 6000 (4 tool ATC) &amp; ProTurn 9000 CNC machines</v>
      </c>
      <c r="F3345">
        <v>502</v>
      </c>
      <c r="G3345" t="str">
        <f t="shared" si="850"/>
        <v>Y</v>
      </c>
      <c r="H3345" t="str">
        <f t="shared" si="849"/>
        <v>EA</v>
      </c>
      <c r="I3345">
        <v>0</v>
      </c>
      <c r="J3345">
        <v>0</v>
      </c>
      <c r="K3345" t="str">
        <f t="shared" si="851"/>
        <v>Y</v>
      </c>
      <c r="L3345">
        <v>0</v>
      </c>
      <c r="M3345" t="str">
        <f t="shared" si="852"/>
        <v>NIS</v>
      </c>
      <c r="O3345">
        <v>25</v>
      </c>
      <c r="P3345" t="str">
        <f t="shared" si="846"/>
        <v>Active</v>
      </c>
      <c r="Q3345" t="str">
        <f>"10x10mm TiN coated cutter set (replaceable tip)"</f>
        <v>10x10mm TiN coated cutter set (replaceable tip)</v>
      </c>
      <c r="S3345" t="str">
        <f>"10x10mm TiN coated cutter set (replaceable tip)"</f>
        <v>10x10mm TiN coated cutter set (replaceable tip)</v>
      </c>
      <c r="T3345">
        <v>0</v>
      </c>
      <c r="U3345">
        <v>65</v>
      </c>
      <c r="V3345">
        <v>65.540000000000006</v>
      </c>
      <c r="W3345" t="str">
        <f t="shared" si="842"/>
        <v>rob</v>
      </c>
    </row>
    <row r="3346" spans="1:23">
      <c r="A3346" t="str">
        <f t="shared" si="847"/>
        <v>MTS-MH5F-BM&amp;PT</v>
      </c>
      <c r="B3346" t="str">
        <f>"10-1110-2000"</f>
        <v>10-1110-2000</v>
      </c>
      <c r="C3346" t="str">
        <f>"TiN coated tip for 011101"</f>
        <v>TiN coated tip for 011101</v>
      </c>
      <c r="D3346">
        <v>1</v>
      </c>
      <c r="E3346" t="str">
        <f t="shared" si="848"/>
        <v>FMS - MOTOMAN MH5F Robot with BenchMill 6000 (4 tool ATC) &amp; ProTurn 9000 CNC machines</v>
      </c>
      <c r="F3346">
        <v>502</v>
      </c>
      <c r="G3346" t="str">
        <f t="shared" si="850"/>
        <v>Y</v>
      </c>
      <c r="H3346" t="str">
        <f t="shared" si="849"/>
        <v>EA</v>
      </c>
      <c r="I3346">
        <v>0</v>
      </c>
      <c r="J3346">
        <v>0</v>
      </c>
      <c r="K3346" t="str">
        <f t="shared" si="851"/>
        <v>Y</v>
      </c>
      <c r="L3346">
        <v>0</v>
      </c>
      <c r="M3346" t="str">
        <f t="shared" si="852"/>
        <v>NIS</v>
      </c>
      <c r="O3346">
        <v>26</v>
      </c>
      <c r="P3346" t="str">
        <f t="shared" si="846"/>
        <v>Active</v>
      </c>
      <c r="Q3346" t="str">
        <f>"TiN coated tip for 011101"</f>
        <v>TiN coated tip for 011101</v>
      </c>
      <c r="S3346" t="str">
        <f>"TiN coated tip for 011101"</f>
        <v>TiN coated tip for 011101</v>
      </c>
      <c r="T3346">
        <v>0</v>
      </c>
      <c r="U3346">
        <v>42</v>
      </c>
      <c r="V3346">
        <v>41.71</v>
      </c>
      <c r="W3346" t="str">
        <f t="shared" si="842"/>
        <v>rob</v>
      </c>
    </row>
    <row r="3347" spans="1:23">
      <c r="A3347" t="str">
        <f t="shared" si="847"/>
        <v>MTS-MH5F-BM&amp;PT</v>
      </c>
      <c r="B3347" t="str">
        <f>"10-1106-6000"</f>
        <v>10-1106-6000</v>
      </c>
      <c r="C3347" t="str">
        <f>"- Rolling center"</f>
        <v>- Rolling center</v>
      </c>
      <c r="D3347">
        <v>1</v>
      </c>
      <c r="E3347" t="str">
        <f t="shared" si="848"/>
        <v>FMS - MOTOMAN MH5F Robot with BenchMill 6000 (4 tool ATC) &amp; ProTurn 9000 CNC machines</v>
      </c>
      <c r="F3347">
        <v>502</v>
      </c>
      <c r="G3347" t="str">
        <f t="shared" si="850"/>
        <v>Y</v>
      </c>
      <c r="H3347" t="str">
        <f t="shared" si="849"/>
        <v>EA</v>
      </c>
      <c r="I3347">
        <v>0</v>
      </c>
      <c r="J3347">
        <v>0</v>
      </c>
      <c r="K3347" t="str">
        <f t="shared" si="851"/>
        <v>Y</v>
      </c>
      <c r="L3347">
        <v>0</v>
      </c>
      <c r="M3347" t="str">
        <f t="shared" si="852"/>
        <v>NIS</v>
      </c>
      <c r="O3347">
        <v>27</v>
      </c>
      <c r="P3347" t="str">
        <f t="shared" si="846"/>
        <v>Active</v>
      </c>
      <c r="Q3347" t="str">
        <f>"Rolling center"</f>
        <v>Rolling center</v>
      </c>
      <c r="S3347" t="str">
        <f>"Rolling center"</f>
        <v>Rolling center</v>
      </c>
      <c r="T3347">
        <v>0</v>
      </c>
      <c r="U3347">
        <v>23.42</v>
      </c>
      <c r="V3347">
        <v>23.55</v>
      </c>
      <c r="W3347" t="str">
        <f t="shared" si="842"/>
        <v>rob</v>
      </c>
    </row>
    <row r="3348" spans="1:23">
      <c r="A3348" t="str">
        <f t="shared" si="847"/>
        <v>MTS-MH5F-BM&amp;PT</v>
      </c>
      <c r="B3348" t="str">
        <f>"10-1105-7000"</f>
        <v>10-1105-7000</v>
      </c>
      <c r="C3348" t="str">
        <f>"Drill Chuck for Tailstock"</f>
        <v>Drill Chuck for Tailstock</v>
      </c>
      <c r="D3348">
        <v>1</v>
      </c>
      <c r="E3348" t="str">
        <f t="shared" si="848"/>
        <v>FMS - MOTOMAN MH5F Robot with BenchMill 6000 (4 tool ATC) &amp; ProTurn 9000 CNC machines</v>
      </c>
      <c r="F3348">
        <v>502</v>
      </c>
      <c r="G3348" t="str">
        <f t="shared" si="850"/>
        <v>Y</v>
      </c>
      <c r="H3348" t="str">
        <f t="shared" si="849"/>
        <v>EA</v>
      </c>
      <c r="I3348">
        <v>0</v>
      </c>
      <c r="J3348">
        <v>0</v>
      </c>
      <c r="K3348" t="str">
        <f t="shared" si="851"/>
        <v>Y</v>
      </c>
      <c r="L3348">
        <v>0</v>
      </c>
      <c r="M3348" t="str">
        <f t="shared" si="852"/>
        <v>NIS</v>
      </c>
      <c r="O3348">
        <v>28</v>
      </c>
      <c r="P3348" t="str">
        <f t="shared" si="846"/>
        <v>Active</v>
      </c>
      <c r="Q3348" t="str">
        <f>"Drill Chuck for Tailstock MT2 13mm"</f>
        <v>Drill Chuck for Tailstock MT2 13mm</v>
      </c>
      <c r="S3348" t="str">
        <f>"Drill Chuck for Tailstock MT2 13mm"</f>
        <v>Drill Chuck for Tailstock MT2 13mm</v>
      </c>
      <c r="T3348">
        <v>0</v>
      </c>
      <c r="U3348">
        <v>21.07</v>
      </c>
      <c r="V3348">
        <v>23.52</v>
      </c>
      <c r="W3348" t="str">
        <f t="shared" si="842"/>
        <v>rob</v>
      </c>
    </row>
    <row r="3349" spans="1:23">
      <c r="A3349" t="str">
        <f t="shared" si="847"/>
        <v>MTS-MH5F-BM&amp;PT</v>
      </c>
      <c r="B3349" t="str">
        <f>"10-1105-5000"</f>
        <v>10-1105-5000</v>
      </c>
      <c r="C3349" t="str">
        <f>"Computer and monitor attachment"</f>
        <v>Computer and monitor attachment</v>
      </c>
      <c r="D3349">
        <v>1</v>
      </c>
      <c r="E3349" t="str">
        <f t="shared" si="848"/>
        <v>FMS - MOTOMAN MH5F Robot with BenchMill 6000 (4 tool ATC) &amp; ProTurn 9000 CNC machines</v>
      </c>
      <c r="F3349">
        <v>502</v>
      </c>
      <c r="G3349" t="str">
        <f t="shared" si="850"/>
        <v>Y</v>
      </c>
      <c r="H3349" t="str">
        <f t="shared" si="849"/>
        <v>EA</v>
      </c>
      <c r="I3349">
        <v>0</v>
      </c>
      <c r="J3349">
        <v>0</v>
      </c>
      <c r="K3349" t="str">
        <f t="shared" si="851"/>
        <v>Y</v>
      </c>
      <c r="L3349">
        <v>0</v>
      </c>
      <c r="M3349" t="str">
        <f t="shared" si="852"/>
        <v>NIS</v>
      </c>
      <c r="O3349">
        <v>29</v>
      </c>
      <c r="P3349" t="str">
        <f t="shared" si="846"/>
        <v>Active</v>
      </c>
      <c r="Q3349" t="str">
        <f>"Computer and monitor stand (attached to machine)"</f>
        <v>Computer and monitor stand (attached to machine)</v>
      </c>
      <c r="S3349" t="str">
        <f>"Computer and monitor stand (attached to machine)"</f>
        <v>Computer and monitor stand (attached to machine)</v>
      </c>
      <c r="T3349">
        <v>0</v>
      </c>
      <c r="U3349">
        <v>105.36</v>
      </c>
      <c r="V3349">
        <v>103.02</v>
      </c>
      <c r="W3349" t="str">
        <f t="shared" si="842"/>
        <v>rob</v>
      </c>
    </row>
    <row r="3350" spans="1:23">
      <c r="A3350" t="str">
        <f t="shared" si="847"/>
        <v>MTS-MH5F-BM&amp;PT</v>
      </c>
      <c r="B3350" t="str">
        <f>"63-9001-1000"</f>
        <v>63-9001-1000</v>
      </c>
      <c r="C3350" t="str">
        <f>"-CNCMotion for ProTurn 9000"</f>
        <v>-CNCMotion for ProTurn 9000</v>
      </c>
      <c r="D3350">
        <v>1</v>
      </c>
      <c r="E3350" t="str">
        <f t="shared" si="848"/>
        <v>FMS - MOTOMAN MH5F Robot with BenchMill 6000 (4 tool ATC) &amp; ProTurn 9000 CNC machines</v>
      </c>
      <c r="F3350">
        <v>502</v>
      </c>
      <c r="G3350" t="str">
        <f t="shared" si="850"/>
        <v>Y</v>
      </c>
      <c r="H3350" t="str">
        <f t="shared" si="849"/>
        <v>EA</v>
      </c>
      <c r="I3350">
        <v>0</v>
      </c>
      <c r="J3350">
        <v>0</v>
      </c>
      <c r="K3350" t="str">
        <f t="shared" si="851"/>
        <v>Y</v>
      </c>
      <c r="L3350">
        <v>0</v>
      </c>
      <c r="M3350" t="str">
        <f t="shared" si="852"/>
        <v>NIS</v>
      </c>
      <c r="O3350">
        <v>30</v>
      </c>
      <c r="P3350" t="str">
        <f t="shared" si="846"/>
        <v>Active</v>
      </c>
      <c r="Q3350" t="str">
        <f>"CNCMotion Sim. Sftwr, ProTurn 9000"</f>
        <v>CNCMotion Sim. Sftwr, ProTurn 9000</v>
      </c>
      <c r="S3350" t="str">
        <f>"CNCMotion Sim. Sftwr, ProTurn 9000"</f>
        <v>CNCMotion Sim. Sftwr, ProTurn 9000</v>
      </c>
      <c r="T3350">
        <v>0</v>
      </c>
      <c r="U3350">
        <v>10</v>
      </c>
      <c r="V3350">
        <v>0</v>
      </c>
      <c r="W3350" t="str">
        <f t="shared" si="842"/>
        <v>rob</v>
      </c>
    </row>
    <row r="3351" spans="1:23">
      <c r="A3351" t="str">
        <f t="shared" si="847"/>
        <v>MTS-MH5F-BM&amp;PT</v>
      </c>
      <c r="B3351" t="str">
        <f>"63-6743-0000"</f>
        <v>63-6743-0000</v>
      </c>
      <c r="C3351" t="str">
        <f>"Software, SpectraCAM Turning"</f>
        <v>Software, SpectraCAM Turning</v>
      </c>
      <c r="D3351">
        <v>1</v>
      </c>
      <c r="E3351" t="str">
        <f t="shared" si="848"/>
        <v>FMS - MOTOMAN MH5F Robot with BenchMill 6000 (4 tool ATC) &amp; ProTurn 9000 CNC machines</v>
      </c>
      <c r="F3351">
        <v>502</v>
      </c>
      <c r="G3351" t="str">
        <f t="shared" si="850"/>
        <v>Y</v>
      </c>
      <c r="H3351" t="str">
        <f t="shared" si="849"/>
        <v>EA</v>
      </c>
      <c r="I3351">
        <v>0</v>
      </c>
      <c r="J3351">
        <v>0</v>
      </c>
      <c r="K3351" t="str">
        <f t="shared" si="851"/>
        <v>Y</v>
      </c>
      <c r="L3351">
        <v>0</v>
      </c>
      <c r="M3351" t="str">
        <f t="shared" si="852"/>
        <v>NIS</v>
      </c>
      <c r="O3351">
        <v>31</v>
      </c>
      <c r="P3351" t="str">
        <f t="shared" si="846"/>
        <v>Active</v>
      </c>
      <c r="Q3351" t="str">
        <f>"Software, SpectraCAM Turning"</f>
        <v>Software, SpectraCAM Turning</v>
      </c>
      <c r="S3351" t="str">
        <f>"Software, SpectraCAM Turning"</f>
        <v>Software, SpectraCAM Turning</v>
      </c>
      <c r="T3351">
        <v>0</v>
      </c>
      <c r="U3351">
        <v>10</v>
      </c>
      <c r="V3351">
        <v>10.4</v>
      </c>
      <c r="W3351" t="str">
        <f t="shared" si="842"/>
        <v>rob</v>
      </c>
    </row>
    <row r="3352" spans="1:23">
      <c r="A3352" t="str">
        <f t="shared" si="847"/>
        <v>MTS-MH5F-BM&amp;PT</v>
      </c>
      <c r="B3352" t="str">
        <f>"112496"</f>
        <v>112496</v>
      </c>
      <c r="C3352" t="str">
        <f>"Raw Material - Brass  Rod"</f>
        <v>Raw Material - Brass  Rod</v>
      </c>
      <c r="D3352">
        <v>50</v>
      </c>
      <c r="E3352" t="str">
        <f t="shared" si="848"/>
        <v>FMS - MOTOMAN MH5F Robot with BenchMill 6000 (4 tool ATC) &amp; ProTurn 9000 CNC machines</v>
      </c>
      <c r="F3352">
        <v>502</v>
      </c>
      <c r="G3352" t="str">
        <f t="shared" si="850"/>
        <v>Y</v>
      </c>
      <c r="H3352" t="str">
        <f t="shared" si="849"/>
        <v>EA</v>
      </c>
      <c r="I3352">
        <v>0</v>
      </c>
      <c r="J3352">
        <v>0</v>
      </c>
      <c r="K3352" t="str">
        <f t="shared" si="851"/>
        <v>Y</v>
      </c>
      <c r="L3352">
        <v>0</v>
      </c>
      <c r="M3352" t="str">
        <f t="shared" si="852"/>
        <v>NIS</v>
      </c>
      <c r="O3352">
        <v>32</v>
      </c>
      <c r="P3352" t="str">
        <f t="shared" ref="P3352:P3358" si="853">"Active"</f>
        <v>Active</v>
      </c>
      <c r="Q3352" t="str">
        <f>"Raw Material Stock - Brass  Rod"</f>
        <v>Raw Material Stock - Brass  Rod</v>
      </c>
      <c r="S3352" t="str">
        <f>"Raw Material Stock - Brass  Rod"</f>
        <v>Raw Material Stock - Brass  Rod</v>
      </c>
      <c r="T3352">
        <v>0</v>
      </c>
      <c r="U3352">
        <v>3.67</v>
      </c>
      <c r="V3352">
        <v>2.69</v>
      </c>
      <c r="W3352" t="str">
        <f t="shared" si="842"/>
        <v>rob</v>
      </c>
    </row>
    <row r="3353" spans="1:23">
      <c r="A3353" t="str">
        <f t="shared" si="847"/>
        <v>MTS-MH5F-BM&amp;PT</v>
      </c>
      <c r="B3353" t="str">
        <f>"00-1261-0000"</f>
        <v>00-1261-0000</v>
      </c>
      <c r="C3353" t="str">
        <f>"Workbench 1800x900mm (Heavy duty for CNC)"</f>
        <v>Workbench 1800x900mm (Heavy duty for CNC)</v>
      </c>
      <c r="D3353">
        <v>1</v>
      </c>
      <c r="E3353" t="str">
        <f t="shared" si="848"/>
        <v>FMS - MOTOMAN MH5F Robot with BenchMill 6000 (4 tool ATC) &amp; ProTurn 9000 CNC machines</v>
      </c>
      <c r="F3353">
        <v>502</v>
      </c>
      <c r="G3353" t="str">
        <f t="shared" si="850"/>
        <v>Y</v>
      </c>
      <c r="H3353" t="str">
        <f t="shared" si="849"/>
        <v>EA</v>
      </c>
      <c r="I3353">
        <v>0</v>
      </c>
      <c r="J3353">
        <v>0</v>
      </c>
      <c r="K3353" t="str">
        <f t="shared" si="851"/>
        <v>Y</v>
      </c>
      <c r="L3353">
        <v>0</v>
      </c>
      <c r="M3353" t="str">
        <f t="shared" si="852"/>
        <v>NIS</v>
      </c>
      <c r="O3353">
        <v>33</v>
      </c>
      <c r="P3353" t="str">
        <f t="shared" si="853"/>
        <v>Active</v>
      </c>
      <c r="Q3353" t="str">
        <f>"Workbench 1800x900mm (Heavy duty for CNC)"</f>
        <v>Workbench 1800x900mm (Heavy duty for CNC)</v>
      </c>
      <c r="S3353" t="str">
        <f>"Workbench 1800x900mm (Heavy duty for CNC)"</f>
        <v>Workbench 1800x900mm (Heavy duty for CNC)</v>
      </c>
      <c r="T3353">
        <v>0</v>
      </c>
      <c r="U3353">
        <v>830</v>
      </c>
      <c r="V3353">
        <v>831.14</v>
      </c>
      <c r="W3353" t="str">
        <f t="shared" si="842"/>
        <v>rob</v>
      </c>
    </row>
    <row r="3354" spans="1:23">
      <c r="A3354" t="str">
        <f t="shared" si="847"/>
        <v>MTS-MH5F-BM&amp;PT</v>
      </c>
      <c r="B3354" t="str">
        <f>"00-1265-0000"</f>
        <v>00-1265-0000</v>
      </c>
      <c r="C3354" t="str">
        <f>"PC Extension Shelf  600x900mm"</f>
        <v>PC Extension Shelf  600x900mm</v>
      </c>
      <c r="D3354">
        <v>1</v>
      </c>
      <c r="E3354" t="str">
        <f t="shared" si="848"/>
        <v>FMS - MOTOMAN MH5F Robot with BenchMill 6000 (4 tool ATC) &amp; ProTurn 9000 CNC machines</v>
      </c>
      <c r="F3354">
        <v>502</v>
      </c>
      <c r="G3354" t="str">
        <f t="shared" si="850"/>
        <v>Y</v>
      </c>
      <c r="H3354" t="str">
        <f t="shared" si="849"/>
        <v>EA</v>
      </c>
      <c r="I3354">
        <v>0</v>
      </c>
      <c r="J3354">
        <v>0</v>
      </c>
      <c r="K3354" t="str">
        <f t="shared" si="851"/>
        <v>Y</v>
      </c>
      <c r="L3354">
        <v>0</v>
      </c>
      <c r="M3354" t="str">
        <f t="shared" si="852"/>
        <v>NIS</v>
      </c>
      <c r="O3354">
        <v>34</v>
      </c>
      <c r="P3354" t="str">
        <f t="shared" si="853"/>
        <v>Active</v>
      </c>
      <c r="Q3354" t="str">
        <f>"PC Extension Shelf  600x900mm"</f>
        <v>PC Extension Shelf  600x900mm</v>
      </c>
      <c r="S3354" t="str">
        <f>"PC Extension Shelf  600x900mm"</f>
        <v>PC Extension Shelf  600x900mm</v>
      </c>
      <c r="T3354">
        <v>0</v>
      </c>
      <c r="U3354">
        <v>211</v>
      </c>
      <c r="V3354">
        <v>198.88</v>
      </c>
      <c r="W3354" t="str">
        <f t="shared" si="842"/>
        <v>rob</v>
      </c>
    </row>
    <row r="3355" spans="1:23">
      <c r="A3355" t="str">
        <f t="shared" si="847"/>
        <v>MTS-MH5F-BM&amp;PT</v>
      </c>
      <c r="B3355" t="str">
        <f>"00-1251-0000"</f>
        <v>00-1251-0000</v>
      </c>
      <c r="C3355" t="str">
        <f>"Workbench 1500x800mm (Formica Top)"</f>
        <v>Workbench 1500x800mm (Formica Top)</v>
      </c>
      <c r="D3355">
        <v>1</v>
      </c>
      <c r="E3355" t="str">
        <f t="shared" si="848"/>
        <v>FMS - MOTOMAN MH5F Robot with BenchMill 6000 (4 tool ATC) &amp; ProTurn 9000 CNC machines</v>
      </c>
      <c r="F3355">
        <v>502</v>
      </c>
      <c r="G3355" t="str">
        <f t="shared" si="850"/>
        <v>Y</v>
      </c>
      <c r="H3355" t="str">
        <f t="shared" si="849"/>
        <v>EA</v>
      </c>
      <c r="I3355">
        <v>0</v>
      </c>
      <c r="J3355">
        <v>0</v>
      </c>
      <c r="K3355" t="str">
        <f t="shared" si="851"/>
        <v>Y</v>
      </c>
      <c r="L3355">
        <v>0</v>
      </c>
      <c r="M3355" t="str">
        <f t="shared" si="852"/>
        <v>NIS</v>
      </c>
      <c r="O3355">
        <v>35</v>
      </c>
      <c r="P3355" t="str">
        <f t="shared" si="853"/>
        <v>Active</v>
      </c>
      <c r="Q3355" t="str">
        <f>"Workbench 1500x800mm (Formica Top)"</f>
        <v>Workbench 1500x800mm (Formica Top)</v>
      </c>
      <c r="S3355" t="str">
        <f>"Workbench 1500x800mm (Formica Top)"</f>
        <v>Workbench 1500x800mm (Formica Top)</v>
      </c>
      <c r="T3355">
        <v>0</v>
      </c>
      <c r="U3355">
        <v>582</v>
      </c>
      <c r="V3355">
        <v>588.6</v>
      </c>
      <c r="W3355" t="str">
        <f t="shared" si="842"/>
        <v>rob</v>
      </c>
    </row>
    <row r="3356" spans="1:23">
      <c r="A3356" t="str">
        <f t="shared" si="847"/>
        <v>MTS-MH5F-BM&amp;PT</v>
      </c>
      <c r="B3356" t="str">
        <f>"50-0094-0000"</f>
        <v>50-0094-0000</v>
      </c>
      <c r="C3356" t="str">
        <f>"Pre-Engineering, Design and Testing"</f>
        <v>Pre-Engineering, Design and Testing</v>
      </c>
      <c r="D3356">
        <v>1</v>
      </c>
      <c r="E3356" t="str">
        <f t="shared" si="848"/>
        <v>FMS - MOTOMAN MH5F Robot with BenchMill 6000 (4 tool ATC) &amp; ProTurn 9000 CNC machines</v>
      </c>
      <c r="F3356">
        <v>502</v>
      </c>
      <c r="G3356" t="str">
        <f t="shared" si="850"/>
        <v>Y</v>
      </c>
      <c r="H3356" t="str">
        <f>"DA"</f>
        <v>DA</v>
      </c>
      <c r="I3356">
        <v>0</v>
      </c>
      <c r="J3356">
        <v>0</v>
      </c>
      <c r="K3356" t="str">
        <f t="shared" si="851"/>
        <v>Y</v>
      </c>
      <c r="L3356">
        <v>0</v>
      </c>
      <c r="M3356" t="str">
        <f t="shared" si="852"/>
        <v>NIS</v>
      </c>
      <c r="O3356">
        <v>36</v>
      </c>
      <c r="P3356" t="str">
        <f t="shared" si="853"/>
        <v>Active</v>
      </c>
      <c r="Q3356" t="str">
        <f>"Pre-Engineering, Design and Testing"</f>
        <v>Pre-Engineering, Design and Testing</v>
      </c>
      <c r="S3356" t="str">
        <f>"Pre-Engineering, Design and Testing"</f>
        <v>Pre-Engineering, Design and Testing</v>
      </c>
      <c r="T3356">
        <v>0</v>
      </c>
      <c r="U3356">
        <v>405</v>
      </c>
      <c r="V3356">
        <v>421.2</v>
      </c>
      <c r="W3356" t="str">
        <f t="shared" si="842"/>
        <v>rob</v>
      </c>
    </row>
    <row r="3357" spans="1:23">
      <c r="A3357" t="str">
        <f t="shared" ref="A3357:A3385" si="854">"MTS-MH5F-BM6000"</f>
        <v>MTS-MH5F-BM6000</v>
      </c>
      <c r="B3357" t="str">
        <f>"00-0436-0000"</f>
        <v>00-0436-0000</v>
      </c>
      <c r="C3357" t="str">
        <f>"MH5F compact high-speed 6-axis Robot"</f>
        <v>MH5F compact high-speed 6-axis Robot</v>
      </c>
      <c r="D3357">
        <v>1</v>
      </c>
      <c r="E3357" t="str">
        <f t="shared" ref="E3357:E3385" si="855">"FMS - MOTOMAN MH5F robot with BenchMill 6000 (4 tool ATC) CNC machine"</f>
        <v>FMS - MOTOMAN MH5F robot with BenchMill 6000 (4 tool ATC) CNC machine</v>
      </c>
      <c r="F3357">
        <v>502</v>
      </c>
      <c r="G3357" t="str">
        <f t="shared" si="850"/>
        <v>Y</v>
      </c>
      <c r="H3357" t="str">
        <f t="shared" ref="H3357:H3384" si="856">"EA"</f>
        <v>EA</v>
      </c>
      <c r="I3357">
        <v>0</v>
      </c>
      <c r="J3357">
        <v>0</v>
      </c>
      <c r="K3357" t="str">
        <f t="shared" si="851"/>
        <v>Y</v>
      </c>
      <c r="L3357">
        <v>0</v>
      </c>
      <c r="M3357" t="str">
        <f t="shared" si="852"/>
        <v>NIS</v>
      </c>
      <c r="O3357">
        <v>1</v>
      </c>
      <c r="P3357" t="str">
        <f t="shared" si="853"/>
        <v>Active</v>
      </c>
      <c r="Q3357" t="str">
        <f>"MH5F compact high-speed 6-axis Robot"</f>
        <v>MH5F compact high-speed 6-axis Robot</v>
      </c>
      <c r="S3357" t="str">
        <f>"MH5F compact high-speed 6-axis Robot"</f>
        <v>MH5F compact high-speed 6-axis Robot</v>
      </c>
      <c r="T3357">
        <v>0</v>
      </c>
      <c r="U3357" s="44">
        <v>23500</v>
      </c>
      <c r="V3357" s="44">
        <v>16049.14</v>
      </c>
      <c r="W3357" t="str">
        <f t="shared" si="842"/>
        <v>rob</v>
      </c>
    </row>
    <row r="3358" spans="1:23">
      <c r="A3358" t="str">
        <f t="shared" si="854"/>
        <v>MTS-MH5F-BM6000</v>
      </c>
      <c r="B3358" t="str">
        <f>"00-0646-0000"</f>
        <v>00-0646-0000</v>
      </c>
      <c r="C3358" t="str">
        <f>"Pneumatic Gripper with I/O Box for Motoman MH5F"</f>
        <v>Pneumatic Gripper with I/O Box for Motoman MH5F</v>
      </c>
      <c r="D3358">
        <v>1</v>
      </c>
      <c r="E3358" t="str">
        <f t="shared" si="855"/>
        <v>FMS - MOTOMAN MH5F robot with BenchMill 6000 (4 tool ATC) CNC machine</v>
      </c>
      <c r="F3358">
        <v>502</v>
      </c>
      <c r="G3358" t="str">
        <f t="shared" si="850"/>
        <v>Y</v>
      </c>
      <c r="H3358" t="str">
        <f t="shared" si="856"/>
        <v>EA</v>
      </c>
      <c r="I3358">
        <v>0</v>
      </c>
      <c r="J3358">
        <v>0</v>
      </c>
      <c r="K3358" t="str">
        <f t="shared" si="851"/>
        <v>Y</v>
      </c>
      <c r="L3358">
        <v>0</v>
      </c>
      <c r="M3358" t="str">
        <f t="shared" si="852"/>
        <v>NIS</v>
      </c>
      <c r="O3358">
        <v>2</v>
      </c>
      <c r="P3358" t="str">
        <f t="shared" si="853"/>
        <v>Active</v>
      </c>
      <c r="Q3358" t="str">
        <f>"Pneumatic Gripper with I/O Box for Motoman MH5F"</f>
        <v>Pneumatic Gripper with I/O Box for Motoman MH5F</v>
      </c>
      <c r="S3358" t="str">
        <f>"Pneumatic Gripper with I/O Box for Motoman MH5F"</f>
        <v>Pneumatic Gripper with I/O Box for Motoman MH5F</v>
      </c>
      <c r="T3358">
        <v>0</v>
      </c>
      <c r="U3358" s="44">
        <v>1500</v>
      </c>
      <c r="V3358" s="44">
        <v>1238.52</v>
      </c>
      <c r="W3358" t="str">
        <f t="shared" si="842"/>
        <v>rob</v>
      </c>
    </row>
    <row r="3359" spans="1:23">
      <c r="A3359" t="str">
        <f t="shared" si="854"/>
        <v>MTS-MH5F-BM6000</v>
      </c>
      <c r="B3359" t="str">
        <f>"00-1026-0000"</f>
        <v>00-1026-0000</v>
      </c>
      <c r="C3359" t="str">
        <f>"LSB 1.0m, Belt, USB-Pro, for ind. robot &lt; 35kg"</f>
        <v>LSB 1.0m, Belt, USB-Pro, for ind. robot &lt; 35kg</v>
      </c>
      <c r="D3359">
        <v>1</v>
      </c>
      <c r="E3359" t="str">
        <f t="shared" si="855"/>
        <v>FMS - MOTOMAN MH5F robot with BenchMill 6000 (4 tool ATC) CNC machine</v>
      </c>
      <c r="F3359">
        <v>502</v>
      </c>
      <c r="G3359" t="str">
        <f t="shared" si="850"/>
        <v>Y</v>
      </c>
      <c r="H3359" t="str">
        <f t="shared" si="856"/>
        <v>EA</v>
      </c>
      <c r="I3359">
        <v>0</v>
      </c>
      <c r="J3359">
        <v>0</v>
      </c>
      <c r="K3359" t="str">
        <f t="shared" si="851"/>
        <v>Y</v>
      </c>
      <c r="L3359">
        <v>0</v>
      </c>
      <c r="M3359" t="str">
        <f t="shared" si="852"/>
        <v>NIS</v>
      </c>
      <c r="O3359">
        <v>3</v>
      </c>
      <c r="P3359" t="str">
        <f>"Phase Out"</f>
        <v>Phase Out</v>
      </c>
      <c r="Q3359" t="str">
        <f>"LSB 1m incl. USB-Pro(Industr. robot max. 50kg)"</f>
        <v>LSB 1m incl. USB-Pro(Industr. robot max. 50kg)</v>
      </c>
      <c r="S3359" t="str">
        <f>"LSB 1.0m, Belt, USB-Pro, for ind. robot &lt; 35kg"</f>
        <v>LSB 1.0m, Belt, USB-Pro, for ind. robot &lt; 35kg</v>
      </c>
      <c r="T3359">
        <v>0</v>
      </c>
      <c r="U3359" s="44">
        <v>5000</v>
      </c>
      <c r="V3359" s="44">
        <v>4567.24</v>
      </c>
      <c r="W3359" t="str">
        <f t="shared" si="842"/>
        <v>rob</v>
      </c>
    </row>
    <row r="3360" spans="1:23">
      <c r="A3360" t="str">
        <f t="shared" si="854"/>
        <v>MTS-MH5F-BM6000</v>
      </c>
      <c r="B3360" t="str">
        <f>"021152"</f>
        <v>021152</v>
      </c>
      <c r="C3360" t="str">
        <f>"Shelf Buffer for CIM conveyor"</f>
        <v>Shelf Buffer for CIM conveyor</v>
      </c>
      <c r="D3360">
        <v>1</v>
      </c>
      <c r="E3360" t="str">
        <f t="shared" si="855"/>
        <v>FMS - MOTOMAN MH5F robot with BenchMill 6000 (4 tool ATC) CNC machine</v>
      </c>
      <c r="F3360">
        <v>502</v>
      </c>
      <c r="G3360" t="str">
        <f t="shared" si="850"/>
        <v>Y</v>
      </c>
      <c r="H3360" t="str">
        <f t="shared" si="856"/>
        <v>EA</v>
      </c>
      <c r="I3360">
        <v>0</v>
      </c>
      <c r="J3360">
        <v>0</v>
      </c>
      <c r="K3360" t="str">
        <f t="shared" si="851"/>
        <v>Y</v>
      </c>
      <c r="L3360">
        <v>0</v>
      </c>
      <c r="M3360" t="str">
        <f t="shared" si="852"/>
        <v>NIS</v>
      </c>
      <c r="O3360">
        <v>4</v>
      </c>
      <c r="P3360" t="str">
        <f t="shared" ref="P3360:P3391" si="857">"Active"</f>
        <v>Active</v>
      </c>
      <c r="Q3360" t="str">
        <f>"מכלול- מדף בפר סטנדרטי OPEN-CIM"</f>
        <v>מכלול- מדף בפר סטנדרטי OPEN-CIM</v>
      </c>
      <c r="R3360" t="str">
        <f>"1"</f>
        <v>1</v>
      </c>
      <c r="S3360" t="str">
        <f>"מכלול- מדף בפר סטנדרטי OPEN-CIM"</f>
        <v>מכלול- מדף בפר סטנדרטי OPEN-CIM</v>
      </c>
      <c r="T3360">
        <v>0</v>
      </c>
      <c r="U3360">
        <v>83.12</v>
      </c>
      <c r="V3360">
        <v>92.76</v>
      </c>
      <c r="W3360" t="str">
        <f t="shared" si="842"/>
        <v>rob</v>
      </c>
    </row>
    <row r="3361" spans="1:23">
      <c r="A3361" t="str">
        <f t="shared" si="854"/>
        <v>MTS-MH5F-BM6000</v>
      </c>
      <c r="B3361" t="str">
        <f>"10-2521-7000"</f>
        <v>10-2521-7000</v>
      </c>
      <c r="C3361" t="str">
        <f>"Pneumatic Feeder for Rectangular products"</f>
        <v>Pneumatic Feeder for Rectangular products</v>
      </c>
      <c r="D3361">
        <v>1</v>
      </c>
      <c r="E3361" t="str">
        <f t="shared" si="855"/>
        <v>FMS - MOTOMAN MH5F robot with BenchMill 6000 (4 tool ATC) CNC machine</v>
      </c>
      <c r="F3361">
        <v>502</v>
      </c>
      <c r="G3361" t="str">
        <f t="shared" si="850"/>
        <v>Y</v>
      </c>
      <c r="H3361" t="str">
        <f t="shared" si="856"/>
        <v>EA</v>
      </c>
      <c r="I3361">
        <v>0</v>
      </c>
      <c r="J3361">
        <v>0</v>
      </c>
      <c r="K3361" t="str">
        <f t="shared" si="851"/>
        <v>Y</v>
      </c>
      <c r="L3361">
        <v>0</v>
      </c>
      <c r="M3361" t="str">
        <f t="shared" si="852"/>
        <v>NIS</v>
      </c>
      <c r="O3361">
        <v>5</v>
      </c>
      <c r="P3361" t="str">
        <f t="shared" si="857"/>
        <v>Active</v>
      </c>
      <c r="Q3361" t="str">
        <f>"Pneumatic Feeder for Rectangular Parts"</f>
        <v>Pneumatic Feeder for Rectangular Parts</v>
      </c>
      <c r="S3361" t="str">
        <f>"Pneumatic Feeder for Rectangular Parts"</f>
        <v>Pneumatic Feeder for Rectangular Parts</v>
      </c>
      <c r="T3361">
        <v>0</v>
      </c>
      <c r="U3361">
        <v>595</v>
      </c>
      <c r="V3361">
        <v>555.15</v>
      </c>
      <c r="W3361" t="str">
        <f t="shared" si="842"/>
        <v>rob</v>
      </c>
    </row>
    <row r="3362" spans="1:23">
      <c r="A3362" t="str">
        <f t="shared" si="854"/>
        <v>MTS-MH5F-BM6000</v>
      </c>
      <c r="B3362" t="str">
        <f>"00-1110-0000"</f>
        <v>00-1110-0000</v>
      </c>
      <c r="C3362" t="str">
        <f>"Palletizing Rack"</f>
        <v>Palletizing Rack</v>
      </c>
      <c r="D3362">
        <v>1</v>
      </c>
      <c r="E3362" t="str">
        <f t="shared" si="855"/>
        <v>FMS - MOTOMAN MH5F robot with BenchMill 6000 (4 tool ATC) CNC machine</v>
      </c>
      <c r="F3362">
        <v>502</v>
      </c>
      <c r="G3362" t="str">
        <f t="shared" si="850"/>
        <v>Y</v>
      </c>
      <c r="H3362" t="str">
        <f t="shared" si="856"/>
        <v>EA</v>
      </c>
      <c r="I3362">
        <v>0</v>
      </c>
      <c r="J3362">
        <v>0</v>
      </c>
      <c r="K3362" t="str">
        <f t="shared" si="851"/>
        <v>Y</v>
      </c>
      <c r="L3362">
        <v>0</v>
      </c>
      <c r="M3362" t="str">
        <f t="shared" si="852"/>
        <v>NIS</v>
      </c>
      <c r="O3362">
        <v>6</v>
      </c>
      <c r="P3362" t="str">
        <f t="shared" si="857"/>
        <v>Active</v>
      </c>
      <c r="Q3362" t="str">
        <f>"Palletizing Rack (incl. Pins for creating Jigs)"</f>
        <v>Palletizing Rack (incl. Pins for creating Jigs)</v>
      </c>
      <c r="S3362" t="str">
        <f>"Palletizing Rack (incl. Pins for creating Jigs)"</f>
        <v>Palletizing Rack (incl. Pins for creating Jigs)</v>
      </c>
      <c r="T3362">
        <v>0</v>
      </c>
      <c r="U3362">
        <v>63</v>
      </c>
      <c r="V3362">
        <v>58.59</v>
      </c>
      <c r="W3362" t="str">
        <f t="shared" ref="W3362:W3425" si="858">"rob"</f>
        <v>rob</v>
      </c>
    </row>
    <row r="3363" spans="1:23">
      <c r="A3363" t="str">
        <f t="shared" si="854"/>
        <v>MTS-MH5F-BM6000</v>
      </c>
      <c r="B3363" t="str">
        <f>"021182"</f>
        <v>021182</v>
      </c>
      <c r="C3363" t="str">
        <f>"97mm Height Adapter"</f>
        <v>97mm Height Adapter</v>
      </c>
      <c r="D3363">
        <v>1</v>
      </c>
      <c r="E3363" t="str">
        <f t="shared" si="855"/>
        <v>FMS - MOTOMAN MH5F robot with BenchMill 6000 (4 tool ATC) CNC machine</v>
      </c>
      <c r="F3363">
        <v>502</v>
      </c>
      <c r="G3363" t="str">
        <f t="shared" si="850"/>
        <v>Y</v>
      </c>
      <c r="H3363" t="str">
        <f t="shared" si="856"/>
        <v>EA</v>
      </c>
      <c r="I3363">
        <v>0</v>
      </c>
      <c r="J3363">
        <v>0</v>
      </c>
      <c r="K3363" t="str">
        <f t="shared" si="851"/>
        <v>Y</v>
      </c>
      <c r="L3363">
        <v>0</v>
      </c>
      <c r="M3363" t="str">
        <f t="shared" si="852"/>
        <v>NIS</v>
      </c>
      <c r="O3363">
        <v>7</v>
      </c>
      <c r="P3363" t="str">
        <f t="shared" si="857"/>
        <v>Active</v>
      </c>
      <c r="Q3363" t="str">
        <f>"97mm Height Adapter -Rack 001110 on formica 28mm"</f>
        <v>97mm Height Adapter -Rack 001110 on formica 28mm</v>
      </c>
      <c r="S3363" t="str">
        <f>"97mm Height Adapter -Rack 001110 on formica 28mm"</f>
        <v>97mm Height Adapter -Rack 001110 on formica 28mm</v>
      </c>
      <c r="T3363">
        <v>0</v>
      </c>
      <c r="U3363">
        <v>7</v>
      </c>
      <c r="V3363">
        <v>5.5</v>
      </c>
      <c r="W3363" t="str">
        <f t="shared" si="858"/>
        <v>rob</v>
      </c>
    </row>
    <row r="3364" spans="1:23">
      <c r="A3364" t="str">
        <f t="shared" si="854"/>
        <v>MTS-MH5F-BM6000</v>
      </c>
      <c r="B3364" t="str">
        <f>"10-2120-0000"</f>
        <v>10-2120-0000</v>
      </c>
      <c r="C3364" t="str">
        <f>"CNC Interface with BenchMILL 6000"</f>
        <v>CNC Interface with BenchMILL 6000</v>
      </c>
      <c r="D3364">
        <v>1</v>
      </c>
      <c r="E3364" t="str">
        <f t="shared" si="855"/>
        <v>FMS - MOTOMAN MH5F robot with BenchMill 6000 (4 tool ATC) CNC machine</v>
      </c>
      <c r="F3364">
        <v>502</v>
      </c>
      <c r="G3364" t="str">
        <f t="shared" si="850"/>
        <v>Y</v>
      </c>
      <c r="H3364" t="str">
        <f t="shared" si="856"/>
        <v>EA</v>
      </c>
      <c r="I3364">
        <v>0</v>
      </c>
      <c r="J3364">
        <v>0</v>
      </c>
      <c r="K3364" t="str">
        <f t="shared" si="851"/>
        <v>Y</v>
      </c>
      <c r="L3364">
        <v>0</v>
      </c>
      <c r="M3364" t="str">
        <f t="shared" si="852"/>
        <v>NIS</v>
      </c>
      <c r="O3364">
        <v>8</v>
      </c>
      <c r="P3364" t="str">
        <f t="shared" si="857"/>
        <v>Active</v>
      </c>
      <c r="Q3364" t="str">
        <f>"CNC Interface with BenchMILL 6000"</f>
        <v>CNC Interface with BenchMILL 6000</v>
      </c>
      <c r="S3364" t="str">
        <f>"CNC Interface with BenchMILL 6000"</f>
        <v>CNC Interface with BenchMILL 6000</v>
      </c>
      <c r="T3364">
        <v>0</v>
      </c>
      <c r="U3364">
        <v>21</v>
      </c>
      <c r="V3364">
        <v>19.7</v>
      </c>
      <c r="W3364" t="str">
        <f t="shared" si="858"/>
        <v>rob</v>
      </c>
    </row>
    <row r="3365" spans="1:23">
      <c r="A3365" t="str">
        <f t="shared" si="854"/>
        <v>MTS-MH5F-BM6000</v>
      </c>
      <c r="B3365" t="str">
        <f>"00-5505-0220"</f>
        <v>00-5505-0220</v>
      </c>
      <c r="C3365" t="str">
        <f>"CNC BenchMILL 6000, 220 VAC"</f>
        <v>CNC BenchMILL 6000, 220 VAC</v>
      </c>
      <c r="D3365">
        <v>1</v>
      </c>
      <c r="E3365" t="str">
        <f t="shared" si="855"/>
        <v>FMS - MOTOMAN MH5F robot with BenchMill 6000 (4 tool ATC) CNC machine</v>
      </c>
      <c r="F3365">
        <v>502</v>
      </c>
      <c r="G3365" t="str">
        <f t="shared" si="850"/>
        <v>Y</v>
      </c>
      <c r="H3365" t="str">
        <f t="shared" si="856"/>
        <v>EA</v>
      </c>
      <c r="I3365">
        <v>0</v>
      </c>
      <c r="J3365">
        <v>0</v>
      </c>
      <c r="K3365" t="str">
        <f t="shared" si="851"/>
        <v>Y</v>
      </c>
      <c r="L3365">
        <v>0</v>
      </c>
      <c r="M3365" t="str">
        <f t="shared" si="852"/>
        <v>NIS</v>
      </c>
      <c r="O3365">
        <v>9</v>
      </c>
      <c r="P3365" t="str">
        <f t="shared" si="857"/>
        <v>Active</v>
      </c>
      <c r="Q3365" t="str">
        <f>"CNC BenchMill 6000 220V"</f>
        <v>CNC BenchMill 6000 220V</v>
      </c>
      <c r="S3365" t="str">
        <f>"CNC BenchMILL 6000, 220 VAC"</f>
        <v>CNC BenchMILL 6000, 220 VAC</v>
      </c>
      <c r="T3365">
        <v>0</v>
      </c>
      <c r="U3365" s="44">
        <v>4583</v>
      </c>
      <c r="V3365" s="44">
        <v>4458.34</v>
      </c>
      <c r="W3365" t="str">
        <f t="shared" si="858"/>
        <v>rob</v>
      </c>
    </row>
    <row r="3366" spans="1:23">
      <c r="A3366" t="str">
        <f t="shared" si="854"/>
        <v>MTS-MH5F-BM6000</v>
      </c>
      <c r="B3366" t="str">
        <f>"10-1110-3000"</f>
        <v>10-1110-3000</v>
      </c>
      <c r="C3366" t="str">
        <f>"-- Pneumatic Shield with Sensors (BenchMill 6000"</f>
        <v>-- Pneumatic Shield with Sensors (BenchMill 6000</v>
      </c>
      <c r="D3366">
        <v>1</v>
      </c>
      <c r="E3366" t="str">
        <f t="shared" si="855"/>
        <v>FMS - MOTOMAN MH5F robot with BenchMill 6000 (4 tool ATC) CNC machine</v>
      </c>
      <c r="F3366">
        <v>502</v>
      </c>
      <c r="G3366" t="str">
        <f t="shared" si="850"/>
        <v>Y</v>
      </c>
      <c r="H3366" t="str">
        <f t="shared" si="856"/>
        <v>EA</v>
      </c>
      <c r="I3366">
        <v>0</v>
      </c>
      <c r="J3366">
        <v>0</v>
      </c>
      <c r="K3366" t="str">
        <f t="shared" si="851"/>
        <v>Y</v>
      </c>
      <c r="L3366">
        <v>0</v>
      </c>
      <c r="M3366" t="str">
        <f t="shared" si="852"/>
        <v>NIS</v>
      </c>
      <c r="N3366" t="str">
        <f>"Y"</f>
        <v>Y</v>
      </c>
      <c r="O3366">
        <v>10</v>
      </c>
      <c r="P3366" t="str">
        <f t="shared" si="857"/>
        <v>Active</v>
      </c>
      <c r="Q3366" t="str">
        <f>"Pneumatic Shield with Sensors (BenchMill 6000)"</f>
        <v>Pneumatic Shield with Sensors (BenchMill 6000)</v>
      </c>
      <c r="S3366" t="str">
        <f>"Pneumatic Shield with Sensors (BenchMill 6000)"</f>
        <v>Pneumatic Shield with Sensors (BenchMill 6000)</v>
      </c>
      <c r="T3366">
        <v>0</v>
      </c>
      <c r="U3366">
        <v>398.06</v>
      </c>
      <c r="V3366">
        <v>343.2</v>
      </c>
      <c r="W3366" t="str">
        <f t="shared" si="858"/>
        <v>rob</v>
      </c>
    </row>
    <row r="3367" spans="1:23">
      <c r="A3367" t="str">
        <f t="shared" si="854"/>
        <v>MTS-MH5F-BM6000</v>
      </c>
      <c r="B3367" t="str">
        <f>"10-1110-7000"</f>
        <v>10-1110-7000</v>
      </c>
      <c r="C3367" t="str">
        <f>"--Dual Axis Vise (for FMS)"</f>
        <v>--Dual Axis Vise (for FMS)</v>
      </c>
      <c r="D3367">
        <v>1</v>
      </c>
      <c r="E3367" t="str">
        <f t="shared" si="855"/>
        <v>FMS - MOTOMAN MH5F robot with BenchMill 6000 (4 tool ATC) CNC machine</v>
      </c>
      <c r="F3367">
        <v>502</v>
      </c>
      <c r="G3367" t="str">
        <f t="shared" si="850"/>
        <v>Y</v>
      </c>
      <c r="H3367" t="str">
        <f t="shared" si="856"/>
        <v>EA</v>
      </c>
      <c r="I3367">
        <v>0</v>
      </c>
      <c r="J3367">
        <v>0</v>
      </c>
      <c r="K3367" t="str">
        <f t="shared" si="851"/>
        <v>Y</v>
      </c>
      <c r="L3367">
        <v>0</v>
      </c>
      <c r="M3367" t="str">
        <f t="shared" si="852"/>
        <v>NIS</v>
      </c>
      <c r="O3367">
        <v>11</v>
      </c>
      <c r="P3367" t="str">
        <f t="shared" si="857"/>
        <v>Active</v>
      </c>
      <c r="Q3367" t="str">
        <f>"Dual Axis Vise (BenchMill 6000/ ProMill 8000)"</f>
        <v>Dual Axis Vise (BenchMill 6000/ ProMill 8000)</v>
      </c>
      <c r="S3367" t="str">
        <f>"Dual Axis Vise (BenchMill 6000/ ProMill 8000)"</f>
        <v>Dual Axis Vise (BenchMill 6000/ ProMill 8000)</v>
      </c>
      <c r="T3367">
        <v>0</v>
      </c>
      <c r="U3367">
        <v>239</v>
      </c>
      <c r="V3367">
        <v>219.6</v>
      </c>
      <c r="W3367" t="str">
        <f t="shared" si="858"/>
        <v>rob</v>
      </c>
    </row>
    <row r="3368" spans="1:23">
      <c r="A3368" t="str">
        <f t="shared" si="854"/>
        <v>MTS-MH5F-BM6000</v>
      </c>
      <c r="B3368" t="str">
        <f>"10-1115-2000"</f>
        <v>10-1115-2000</v>
      </c>
      <c r="C3368" t="str">
        <f>"- Table mounted ATC package"</f>
        <v>- Table mounted ATC package</v>
      </c>
      <c r="D3368">
        <v>1</v>
      </c>
      <c r="E3368" t="str">
        <f t="shared" si="855"/>
        <v>FMS - MOTOMAN MH5F robot with BenchMill 6000 (4 tool ATC) CNC machine</v>
      </c>
      <c r="F3368">
        <v>502</v>
      </c>
      <c r="G3368" t="str">
        <f t="shared" si="850"/>
        <v>Y</v>
      </c>
      <c r="H3368" t="str">
        <f t="shared" si="856"/>
        <v>EA</v>
      </c>
      <c r="I3368">
        <v>0</v>
      </c>
      <c r="J3368">
        <v>0</v>
      </c>
      <c r="K3368" t="str">
        <f t="shared" si="851"/>
        <v>Y</v>
      </c>
      <c r="L3368">
        <v>0</v>
      </c>
      <c r="M3368" t="str">
        <f t="shared" si="852"/>
        <v>NIS</v>
      </c>
      <c r="O3368">
        <v>12</v>
      </c>
      <c r="P3368" t="str">
        <f t="shared" si="857"/>
        <v>Active</v>
      </c>
      <c r="Q3368" t="str">
        <f>"Table mounted ATC package"</f>
        <v>Table mounted ATC package</v>
      </c>
      <c r="S3368" t="str">
        <f>"Table mounted ATC package"</f>
        <v>Table mounted ATC package</v>
      </c>
      <c r="T3368">
        <v>0</v>
      </c>
      <c r="U3368">
        <v>690</v>
      </c>
      <c r="V3368">
        <v>690.59</v>
      </c>
      <c r="W3368" t="str">
        <f t="shared" si="858"/>
        <v>rob</v>
      </c>
    </row>
    <row r="3369" spans="1:23">
      <c r="A3369" t="str">
        <f t="shared" si="854"/>
        <v>MTS-MH5F-BM6000</v>
      </c>
      <c r="B3369" t="str">
        <f>"10-1115-0000"</f>
        <v>10-1115-0000</v>
      </c>
      <c r="C3369" t="str">
        <f>"ER16 Collet set - 2 x (3,6,8,10mm)"</f>
        <v>ER16 Collet set - 2 x (3,6,8,10mm)</v>
      </c>
      <c r="D3369">
        <v>1</v>
      </c>
      <c r="E3369" t="str">
        <f t="shared" si="855"/>
        <v>FMS - MOTOMAN MH5F robot with BenchMill 6000 (4 tool ATC) CNC machine</v>
      </c>
      <c r="F3369">
        <v>502</v>
      </c>
      <c r="G3369" t="str">
        <f t="shared" si="850"/>
        <v>Y</v>
      </c>
      <c r="H3369" t="str">
        <f t="shared" si="856"/>
        <v>EA</v>
      </c>
      <c r="I3369">
        <v>0</v>
      </c>
      <c r="J3369">
        <v>0</v>
      </c>
      <c r="K3369" t="str">
        <f t="shared" si="851"/>
        <v>Y</v>
      </c>
      <c r="L3369">
        <v>0</v>
      </c>
      <c r="M3369" t="str">
        <f t="shared" si="852"/>
        <v>NIS</v>
      </c>
      <c r="O3369">
        <v>13</v>
      </c>
      <c r="P3369" t="str">
        <f t="shared" si="857"/>
        <v>Active</v>
      </c>
      <c r="Q3369" t="str">
        <f>"ER16 Collet set-8 pieces(2)3,(2)6,(2)8,(2)10mm"</f>
        <v>ER16 Collet set-8 pieces(2)3,(2)6,(2)8,(2)10mm</v>
      </c>
      <c r="S3369" t="str">
        <f>"ER16 Collet set-8 pieces(2)3,(2)6,(2)8,(2)10mm"</f>
        <v>ER16 Collet set-8 pieces(2)3,(2)6,(2)8,(2)10mm</v>
      </c>
      <c r="T3369">
        <v>0</v>
      </c>
      <c r="U3369">
        <v>71</v>
      </c>
      <c r="V3369">
        <v>70.63</v>
      </c>
      <c r="W3369" t="str">
        <f t="shared" si="858"/>
        <v>rob</v>
      </c>
    </row>
    <row r="3370" spans="1:23">
      <c r="A3370" t="str">
        <f t="shared" si="854"/>
        <v>MTS-MH5F-BM6000</v>
      </c>
      <c r="B3370" t="str">
        <f>"10-1113-4000"</f>
        <v>10-1113-4000</v>
      </c>
      <c r="C3370" t="str">
        <f>"Metric End Mill Package(2X 3,6,8,10End,4,6 Ball)"</f>
        <v>Metric End Mill Package(2X 3,6,8,10End,4,6 Ball)</v>
      </c>
      <c r="D3370">
        <v>1</v>
      </c>
      <c r="E3370" t="str">
        <f t="shared" si="855"/>
        <v>FMS - MOTOMAN MH5F robot with BenchMill 6000 (4 tool ATC) CNC machine</v>
      </c>
      <c r="F3370">
        <v>502</v>
      </c>
      <c r="G3370" t="str">
        <f t="shared" si="850"/>
        <v>Y</v>
      </c>
      <c r="H3370" t="str">
        <f t="shared" si="856"/>
        <v>EA</v>
      </c>
      <c r="I3370">
        <v>0</v>
      </c>
      <c r="J3370">
        <v>0</v>
      </c>
      <c r="K3370" t="str">
        <f t="shared" si="851"/>
        <v>Y</v>
      </c>
      <c r="L3370">
        <v>0</v>
      </c>
      <c r="M3370" t="str">
        <f t="shared" si="852"/>
        <v>NIS</v>
      </c>
      <c r="O3370">
        <v>14</v>
      </c>
      <c r="P3370" t="str">
        <f t="shared" si="857"/>
        <v>Active</v>
      </c>
      <c r="Q3370" t="str">
        <f>"Metric Advanced End Mill Package 5121"</f>
        <v>Metric Advanced End Mill Package 5121</v>
      </c>
      <c r="S3370" t="str">
        <f>"Metric Advanced End Mill Package 5121"</f>
        <v>Metric Advanced End Mill Package 5121</v>
      </c>
      <c r="T3370">
        <v>0</v>
      </c>
      <c r="U3370">
        <v>55</v>
      </c>
      <c r="V3370">
        <v>50.17</v>
      </c>
      <c r="W3370" t="str">
        <f t="shared" si="858"/>
        <v>rob</v>
      </c>
    </row>
    <row r="3371" spans="1:23">
      <c r="A3371" t="str">
        <f t="shared" si="854"/>
        <v>MTS-MH5F-BM6000</v>
      </c>
      <c r="B3371" t="str">
        <f>"10-1111-1000"</f>
        <v>10-1111-1000</v>
      </c>
      <c r="C3371" t="str">
        <f>"- Handwheel - Manual Control"</f>
        <v>- Handwheel - Manual Control</v>
      </c>
      <c r="D3371">
        <v>1</v>
      </c>
      <c r="E3371" t="str">
        <f t="shared" si="855"/>
        <v>FMS - MOTOMAN MH5F robot with BenchMill 6000 (4 tool ATC) CNC machine</v>
      </c>
      <c r="F3371">
        <v>502</v>
      </c>
      <c r="G3371" t="str">
        <f t="shared" si="850"/>
        <v>Y</v>
      </c>
      <c r="H3371" t="str">
        <f t="shared" si="856"/>
        <v>EA</v>
      </c>
      <c r="I3371">
        <v>0</v>
      </c>
      <c r="J3371">
        <v>0</v>
      </c>
      <c r="K3371" t="str">
        <f t="shared" si="851"/>
        <v>Y</v>
      </c>
      <c r="L3371">
        <v>0</v>
      </c>
      <c r="M3371" t="str">
        <f t="shared" si="852"/>
        <v>NIS</v>
      </c>
      <c r="O3371">
        <v>15</v>
      </c>
      <c r="P3371" t="str">
        <f t="shared" si="857"/>
        <v>Active</v>
      </c>
      <c r="Q3371" t="str">
        <f>"Hand wheel"</f>
        <v>Hand wheel</v>
      </c>
      <c r="S3371" t="str">
        <f>"Jog Pendant Handwheel"</f>
        <v>Jog Pendant Handwheel</v>
      </c>
      <c r="T3371">
        <v>0</v>
      </c>
      <c r="U3371">
        <v>235</v>
      </c>
      <c r="V3371">
        <v>235.03</v>
      </c>
      <c r="W3371" t="str">
        <f t="shared" si="858"/>
        <v>rob</v>
      </c>
    </row>
    <row r="3372" spans="1:23">
      <c r="A3372" t="str">
        <f t="shared" si="854"/>
        <v>MTS-MH5F-BM6000</v>
      </c>
      <c r="B3372" t="str">
        <f>"10-1111-6000"</f>
        <v>10-1111-6000</v>
      </c>
      <c r="C3372" t="str">
        <f>"4"" Vise"</f>
        <v>4" Vise</v>
      </c>
      <c r="D3372">
        <v>1</v>
      </c>
      <c r="E3372" t="str">
        <f t="shared" si="855"/>
        <v>FMS - MOTOMAN MH5F robot with BenchMill 6000 (4 tool ATC) CNC machine</v>
      </c>
      <c r="F3372">
        <v>502</v>
      </c>
      <c r="G3372" t="str">
        <f t="shared" si="850"/>
        <v>Y</v>
      </c>
      <c r="H3372" t="str">
        <f t="shared" si="856"/>
        <v>EA</v>
      </c>
      <c r="I3372">
        <v>0</v>
      </c>
      <c r="J3372">
        <v>0</v>
      </c>
      <c r="K3372" t="str">
        <f t="shared" si="851"/>
        <v>Y</v>
      </c>
      <c r="L3372">
        <v>0</v>
      </c>
      <c r="M3372" t="str">
        <f t="shared" si="852"/>
        <v>NIS</v>
      </c>
      <c r="N3372" t="str">
        <f>"Y"</f>
        <v>Y</v>
      </c>
      <c r="O3372">
        <v>16</v>
      </c>
      <c r="P3372" t="str">
        <f t="shared" si="857"/>
        <v>Active</v>
      </c>
      <c r="Q3372" t="str">
        <f>"4"" Precision Maching Vise"</f>
        <v>4" Precision Maching Vise</v>
      </c>
      <c r="S3372" t="str">
        <f>"4"" Precision Maching Vise"</f>
        <v>4" Precision Maching Vise</v>
      </c>
      <c r="T3372">
        <v>0</v>
      </c>
      <c r="U3372">
        <v>53</v>
      </c>
      <c r="V3372">
        <v>49.5</v>
      </c>
      <c r="W3372" t="str">
        <f t="shared" si="858"/>
        <v>rob</v>
      </c>
    </row>
    <row r="3373" spans="1:23">
      <c r="A3373" t="str">
        <f t="shared" si="854"/>
        <v>MTS-MH5F-BM6000</v>
      </c>
      <c r="B3373" t="str">
        <f>"10-1111-5000"</f>
        <v>10-1111-5000</v>
      </c>
      <c r="C3373" t="str">
        <f>"clamping kit 58 pcs set"</f>
        <v>clamping kit 58 pcs set</v>
      </c>
      <c r="D3373">
        <v>1</v>
      </c>
      <c r="E3373" t="str">
        <f t="shared" si="855"/>
        <v>FMS - MOTOMAN MH5F robot with BenchMill 6000 (4 tool ATC) CNC machine</v>
      </c>
      <c r="F3373">
        <v>502</v>
      </c>
      <c r="G3373" t="str">
        <f t="shared" si="850"/>
        <v>Y</v>
      </c>
      <c r="H3373" t="str">
        <f t="shared" si="856"/>
        <v>EA</v>
      </c>
      <c r="I3373">
        <v>0</v>
      </c>
      <c r="J3373">
        <v>0</v>
      </c>
      <c r="K3373" t="str">
        <f t="shared" si="851"/>
        <v>Y</v>
      </c>
      <c r="L3373">
        <v>0</v>
      </c>
      <c r="M3373" t="str">
        <f t="shared" si="852"/>
        <v>NIS</v>
      </c>
      <c r="N3373" t="str">
        <f>"Y"</f>
        <v>Y</v>
      </c>
      <c r="O3373">
        <v>17</v>
      </c>
      <c r="P3373" t="str">
        <f t="shared" si="857"/>
        <v>Active</v>
      </c>
      <c r="Q3373" t="str">
        <f>"clamping kit 58 pcs set"</f>
        <v>clamping kit 58 pcs set</v>
      </c>
      <c r="S3373" t="str">
        <f>"clamping kit 58 pcs set"</f>
        <v>clamping kit 58 pcs set</v>
      </c>
      <c r="T3373">
        <v>0</v>
      </c>
      <c r="U3373">
        <v>52</v>
      </c>
      <c r="V3373">
        <v>51.72</v>
      </c>
      <c r="W3373" t="str">
        <f t="shared" si="858"/>
        <v>rob</v>
      </c>
    </row>
    <row r="3374" spans="1:23">
      <c r="A3374" t="str">
        <f t="shared" si="854"/>
        <v>MTS-MH5F-BM6000</v>
      </c>
      <c r="B3374" t="str">
        <f>"10-1108-8000"</f>
        <v>10-1108-8000</v>
      </c>
      <c r="C3374" t="str">
        <f>"- 4th Axis rotary worktable with tailstock"</f>
        <v>- 4th Axis rotary worktable with tailstock</v>
      </c>
      <c r="D3374">
        <v>1</v>
      </c>
      <c r="E3374" t="str">
        <f t="shared" si="855"/>
        <v>FMS - MOTOMAN MH5F robot with BenchMill 6000 (4 tool ATC) CNC machine</v>
      </c>
      <c r="F3374">
        <v>502</v>
      </c>
      <c r="G3374" t="str">
        <f t="shared" si="850"/>
        <v>Y</v>
      </c>
      <c r="H3374" t="str">
        <f t="shared" si="856"/>
        <v>EA</v>
      </c>
      <c r="I3374">
        <v>0</v>
      </c>
      <c r="J3374">
        <v>0</v>
      </c>
      <c r="K3374" t="str">
        <f t="shared" si="851"/>
        <v>Y</v>
      </c>
      <c r="L3374">
        <v>0</v>
      </c>
      <c r="M3374" t="str">
        <f t="shared" si="852"/>
        <v>NIS</v>
      </c>
      <c r="N3374" t="str">
        <f>"Y"</f>
        <v>Y</v>
      </c>
      <c r="O3374">
        <v>18</v>
      </c>
      <c r="P3374" t="str">
        <f t="shared" si="857"/>
        <v>Active</v>
      </c>
      <c r="Q3374" t="str">
        <f>"100mm rotary worktable (4th axis) with tailstock"</f>
        <v>100mm rotary worktable (4th axis) with tailstock</v>
      </c>
      <c r="S3374" t="str">
        <f>"100mm rotary worktable (4th axis) with tailstock"</f>
        <v>100mm rotary worktable (4th axis) with tailstock</v>
      </c>
      <c r="T3374">
        <v>0</v>
      </c>
      <c r="U3374">
        <v>614.64</v>
      </c>
      <c r="V3374">
        <v>594.83000000000004</v>
      </c>
      <c r="W3374" t="str">
        <f t="shared" si="858"/>
        <v>rob</v>
      </c>
    </row>
    <row r="3375" spans="1:23">
      <c r="A3375" t="str">
        <f t="shared" si="854"/>
        <v>MTS-MH5F-BM6000</v>
      </c>
      <c r="B3375" t="str">
        <f>"63-6001-1000"</f>
        <v>63-6001-1000</v>
      </c>
      <c r="C3375" t="str">
        <f>"-CNCMotion Simulation Sftwr for BenchMill 6000"</f>
        <v>-CNCMotion Simulation Sftwr for BenchMill 6000</v>
      </c>
      <c r="D3375">
        <v>1</v>
      </c>
      <c r="E3375" t="str">
        <f t="shared" si="855"/>
        <v>FMS - MOTOMAN MH5F robot with BenchMill 6000 (4 tool ATC) CNC machine</v>
      </c>
      <c r="F3375">
        <v>502</v>
      </c>
      <c r="G3375" t="str">
        <f t="shared" si="850"/>
        <v>Y</v>
      </c>
      <c r="H3375" t="str">
        <f t="shared" si="856"/>
        <v>EA</v>
      </c>
      <c r="I3375">
        <v>0</v>
      </c>
      <c r="J3375">
        <v>0</v>
      </c>
      <c r="K3375" t="str">
        <f t="shared" si="851"/>
        <v>Y</v>
      </c>
      <c r="L3375">
        <v>0</v>
      </c>
      <c r="M3375" t="str">
        <f t="shared" si="852"/>
        <v>NIS</v>
      </c>
      <c r="O3375">
        <v>19</v>
      </c>
      <c r="P3375" t="str">
        <f t="shared" si="857"/>
        <v>Active</v>
      </c>
      <c r="Q3375" t="str">
        <f>"CNCMotion Sim. Sftwr, BenchMill 6000"</f>
        <v>CNCMotion Sim. Sftwr, BenchMill 6000</v>
      </c>
      <c r="S3375" t="str">
        <f>"CNCMotion Sim. Sftwr, BenchMill 6000"</f>
        <v>CNCMotion Sim. Sftwr, BenchMill 6000</v>
      </c>
      <c r="T3375">
        <v>0</v>
      </c>
      <c r="U3375">
        <v>10</v>
      </c>
      <c r="V3375">
        <v>0</v>
      </c>
      <c r="W3375" t="str">
        <f t="shared" si="858"/>
        <v>rob</v>
      </c>
    </row>
    <row r="3376" spans="1:23">
      <c r="A3376" t="str">
        <f t="shared" si="854"/>
        <v>MTS-MH5F-BM6000</v>
      </c>
      <c r="B3376" t="str">
        <f>"63-6723-0000"</f>
        <v>63-6723-0000</v>
      </c>
      <c r="C3376" t="str">
        <f>"SpectraCAD Engraver software – Download Only"</f>
        <v>SpectraCAD Engraver software – Download Only</v>
      </c>
      <c r="D3376">
        <v>1</v>
      </c>
      <c r="E3376" t="str">
        <f t="shared" si="855"/>
        <v>FMS - MOTOMAN MH5F robot with BenchMill 6000 (4 tool ATC) CNC machine</v>
      </c>
      <c r="F3376">
        <v>502</v>
      </c>
      <c r="G3376" t="str">
        <f t="shared" si="850"/>
        <v>Y</v>
      </c>
      <c r="H3376" t="str">
        <f t="shared" si="856"/>
        <v>EA</v>
      </c>
      <c r="I3376">
        <v>0</v>
      </c>
      <c r="J3376">
        <v>0</v>
      </c>
      <c r="K3376" t="str">
        <f t="shared" si="851"/>
        <v>Y</v>
      </c>
      <c r="L3376">
        <v>0</v>
      </c>
      <c r="M3376" t="str">
        <f t="shared" si="852"/>
        <v>NIS</v>
      </c>
      <c r="O3376">
        <v>20</v>
      </c>
      <c r="P3376" t="str">
        <f t="shared" si="857"/>
        <v>Active</v>
      </c>
      <c r="Q3376" t="str">
        <f>"SpectraCAD Engraver software – Download Only"</f>
        <v>SpectraCAD Engraver software – Download Only</v>
      </c>
      <c r="S3376" t="str">
        <f>"SpectraCAD Engraver software – Download Only"</f>
        <v>SpectraCAD Engraver software – Download Only</v>
      </c>
      <c r="T3376">
        <v>0</v>
      </c>
      <c r="U3376">
        <v>10</v>
      </c>
      <c r="V3376">
        <v>10.4</v>
      </c>
      <c r="W3376" t="str">
        <f t="shared" si="858"/>
        <v>rob</v>
      </c>
    </row>
    <row r="3377" spans="1:23">
      <c r="A3377" t="str">
        <f t="shared" si="854"/>
        <v>MTS-MH5F-BM6000</v>
      </c>
      <c r="B3377" t="str">
        <f>"63-6733-0000"</f>
        <v>63-6733-0000</v>
      </c>
      <c r="C3377" t="str">
        <f>"Software, SpectraCAM Milling"</f>
        <v>Software, SpectraCAM Milling</v>
      </c>
      <c r="D3377">
        <v>1</v>
      </c>
      <c r="E3377" t="str">
        <f t="shared" si="855"/>
        <v>FMS - MOTOMAN MH5F robot with BenchMill 6000 (4 tool ATC) CNC machine</v>
      </c>
      <c r="F3377">
        <v>502</v>
      </c>
      <c r="G3377" t="str">
        <f t="shared" si="850"/>
        <v>Y</v>
      </c>
      <c r="H3377" t="str">
        <f t="shared" si="856"/>
        <v>EA</v>
      </c>
      <c r="I3377">
        <v>0</v>
      </c>
      <c r="J3377">
        <v>0</v>
      </c>
      <c r="K3377" t="str">
        <f t="shared" si="851"/>
        <v>Y</v>
      </c>
      <c r="L3377">
        <v>0</v>
      </c>
      <c r="M3377" t="str">
        <f t="shared" si="852"/>
        <v>NIS</v>
      </c>
      <c r="O3377">
        <v>21</v>
      </c>
      <c r="P3377" t="str">
        <f t="shared" si="857"/>
        <v>Active</v>
      </c>
      <c r="Q3377" t="str">
        <f>"Software, SpectraCAM Milling"</f>
        <v>Software, SpectraCAM Milling</v>
      </c>
      <c r="S3377" t="str">
        <f>"Software, SpectraCAM Milling"</f>
        <v>Software, SpectraCAM Milling</v>
      </c>
      <c r="T3377">
        <v>0</v>
      </c>
      <c r="U3377">
        <v>10</v>
      </c>
      <c r="V3377">
        <v>10.4</v>
      </c>
      <c r="W3377" t="str">
        <f t="shared" si="858"/>
        <v>rob</v>
      </c>
    </row>
    <row r="3378" spans="1:23">
      <c r="A3378" t="str">
        <f t="shared" si="854"/>
        <v>MTS-MH5F-BM6000</v>
      </c>
      <c r="B3378" t="str">
        <f>"10-1112-2000"</f>
        <v>10-1112-2000</v>
      </c>
      <c r="C3378" t="str">
        <f>"ER16 Collet set-8 pieces(3,4,5,6,7,8,9 and 10mm)"</f>
        <v>ER16 Collet set-8 pieces(3,4,5,6,7,8,9 and 10mm)</v>
      </c>
      <c r="D3378">
        <v>1</v>
      </c>
      <c r="E3378" t="str">
        <f t="shared" si="855"/>
        <v>FMS - MOTOMAN MH5F robot with BenchMill 6000 (4 tool ATC) CNC machine</v>
      </c>
      <c r="F3378">
        <v>502</v>
      </c>
      <c r="G3378" t="str">
        <f t="shared" si="850"/>
        <v>Y</v>
      </c>
      <c r="H3378" t="str">
        <f t="shared" si="856"/>
        <v>EA</v>
      </c>
      <c r="I3378">
        <v>0</v>
      </c>
      <c r="J3378">
        <v>0</v>
      </c>
      <c r="K3378" t="str">
        <f t="shared" si="851"/>
        <v>Y</v>
      </c>
      <c r="L3378">
        <v>0</v>
      </c>
      <c r="M3378" t="str">
        <f t="shared" si="852"/>
        <v>NIS</v>
      </c>
      <c r="N3378" t="str">
        <f>"Y"</f>
        <v>Y</v>
      </c>
      <c r="O3378">
        <v>22</v>
      </c>
      <c r="P3378" t="str">
        <f t="shared" si="857"/>
        <v>Active</v>
      </c>
      <c r="Q3378" t="str">
        <f>"ER16 Collet set-8 pieces(3,4,5,6,7,8,9 and 10mm)"</f>
        <v>ER16 Collet set-8 pieces(3,4,5,6,7,8,9 and 10mm)</v>
      </c>
      <c r="S3378" t="str">
        <f>"ER16 Collet set-8 pieces(3,4,5,6,7,8,9 and 10mm)"</f>
        <v>ER16 Collet set-8 pieces(3,4,5,6,7,8,9 and 10mm)</v>
      </c>
      <c r="T3378">
        <v>0</v>
      </c>
      <c r="U3378">
        <v>71</v>
      </c>
      <c r="V3378">
        <v>64.84</v>
      </c>
      <c r="W3378" t="str">
        <f t="shared" si="858"/>
        <v>rob</v>
      </c>
    </row>
    <row r="3379" spans="1:23">
      <c r="A3379" t="str">
        <f t="shared" si="854"/>
        <v>MTS-MH5F-BM6000</v>
      </c>
      <c r="B3379" t="str">
        <f>"10-1108-1220"</f>
        <v>10-1108-1220</v>
      </c>
      <c r="C3379" t="str">
        <f>"- Coolant system 27L -220V"</f>
        <v>- Coolant system 27L -220V</v>
      </c>
      <c r="D3379">
        <v>1</v>
      </c>
      <c r="E3379" t="str">
        <f t="shared" si="855"/>
        <v>FMS - MOTOMAN MH5F robot with BenchMill 6000 (4 tool ATC) CNC machine</v>
      </c>
      <c r="F3379">
        <v>502</v>
      </c>
      <c r="G3379" t="str">
        <f t="shared" si="850"/>
        <v>Y</v>
      </c>
      <c r="H3379" t="str">
        <f t="shared" si="856"/>
        <v>EA</v>
      </c>
      <c r="I3379">
        <v>0</v>
      </c>
      <c r="J3379">
        <v>0</v>
      </c>
      <c r="K3379" t="str">
        <f t="shared" si="851"/>
        <v>Y</v>
      </c>
      <c r="L3379">
        <v>0</v>
      </c>
      <c r="M3379" t="str">
        <f t="shared" si="852"/>
        <v>NIS</v>
      </c>
      <c r="N3379" t="str">
        <f>"Y"</f>
        <v>Y</v>
      </c>
      <c r="O3379">
        <v>23</v>
      </c>
      <c r="P3379" t="str">
        <f t="shared" si="857"/>
        <v>Active</v>
      </c>
      <c r="Q3379" t="str">
        <f>"Coolant system 27L - 220V"</f>
        <v>Coolant system 27L - 220V</v>
      </c>
      <c r="S3379" t="str">
        <f>"Coolant system 27L - 220V"</f>
        <v>Coolant system 27L - 220V</v>
      </c>
      <c r="T3379">
        <v>0</v>
      </c>
      <c r="U3379">
        <v>117.08</v>
      </c>
      <c r="V3379">
        <v>117.15</v>
      </c>
      <c r="W3379" t="str">
        <f t="shared" si="858"/>
        <v>rob</v>
      </c>
    </row>
    <row r="3380" spans="1:23">
      <c r="A3380" t="str">
        <f t="shared" si="854"/>
        <v>MTS-MH5F-BM6000</v>
      </c>
      <c r="B3380" t="str">
        <f>"10-1111-9000"</f>
        <v>10-1111-9000</v>
      </c>
      <c r="C3380" t="str">
        <f>"ISO 20 tool holder"</f>
        <v>ISO 20 tool holder</v>
      </c>
      <c r="D3380">
        <v>4</v>
      </c>
      <c r="E3380" t="str">
        <f t="shared" si="855"/>
        <v>FMS - MOTOMAN MH5F robot with BenchMill 6000 (4 tool ATC) CNC machine</v>
      </c>
      <c r="F3380">
        <v>502</v>
      </c>
      <c r="G3380" t="str">
        <f t="shared" si="850"/>
        <v>Y</v>
      </c>
      <c r="H3380" t="str">
        <f t="shared" si="856"/>
        <v>EA</v>
      </c>
      <c r="I3380">
        <v>0</v>
      </c>
      <c r="J3380">
        <v>0</v>
      </c>
      <c r="K3380" t="str">
        <f t="shared" si="851"/>
        <v>Y</v>
      </c>
      <c r="L3380">
        <v>0</v>
      </c>
      <c r="M3380" t="str">
        <f t="shared" si="852"/>
        <v>NIS</v>
      </c>
      <c r="N3380" t="str">
        <f>"Y"</f>
        <v>Y</v>
      </c>
      <c r="O3380">
        <v>24</v>
      </c>
      <c r="P3380" t="str">
        <f t="shared" si="857"/>
        <v>Active</v>
      </c>
      <c r="Q3380" t="str">
        <f>"ISO 20 tool holder with nut"</f>
        <v>ISO 20 tool holder with nut</v>
      </c>
      <c r="S3380" t="str">
        <f>"ISO 20 tool holder with nut"</f>
        <v>ISO 20 tool holder with nut</v>
      </c>
      <c r="T3380">
        <v>0</v>
      </c>
      <c r="U3380">
        <v>103</v>
      </c>
      <c r="V3380">
        <v>103.19</v>
      </c>
      <c r="W3380" t="str">
        <f t="shared" si="858"/>
        <v>rob</v>
      </c>
    </row>
    <row r="3381" spans="1:23">
      <c r="A3381" t="str">
        <f t="shared" si="854"/>
        <v>MTS-MH5F-BM6000</v>
      </c>
      <c r="B3381" t="str">
        <f>"10-1113-6000"</f>
        <v>10-1113-6000</v>
      </c>
      <c r="C3381" t="str">
        <f>"- Metric Engraving Package (1,1.5,2 mm End mill)"</f>
        <v>- Metric Engraving Package (1,1.5,2 mm End mill)</v>
      </c>
      <c r="D3381">
        <v>1</v>
      </c>
      <c r="E3381" t="str">
        <f t="shared" si="855"/>
        <v>FMS - MOTOMAN MH5F robot with BenchMill 6000 (4 tool ATC) CNC machine</v>
      </c>
      <c r="F3381">
        <v>502</v>
      </c>
      <c r="G3381" t="str">
        <f t="shared" si="850"/>
        <v>Y</v>
      </c>
      <c r="H3381" t="str">
        <f t="shared" si="856"/>
        <v>EA</v>
      </c>
      <c r="I3381">
        <v>0</v>
      </c>
      <c r="J3381">
        <v>0</v>
      </c>
      <c r="K3381" t="str">
        <f t="shared" si="851"/>
        <v>Y</v>
      </c>
      <c r="L3381">
        <v>0</v>
      </c>
      <c r="M3381" t="str">
        <f t="shared" si="852"/>
        <v>NIS</v>
      </c>
      <c r="O3381">
        <v>25</v>
      </c>
      <c r="P3381" t="str">
        <f t="shared" si="857"/>
        <v>Active</v>
      </c>
      <c r="Q3381" t="str">
        <f>"Metric Engraving Package 5711"</f>
        <v>Metric Engraving Package 5711</v>
      </c>
      <c r="S3381" t="str">
        <f>"Metric Engraving Package 5711"</f>
        <v>Metric Engraving Package 5711</v>
      </c>
      <c r="T3381">
        <v>0</v>
      </c>
      <c r="U3381">
        <v>41</v>
      </c>
      <c r="V3381">
        <v>37.909999999999997</v>
      </c>
      <c r="W3381" t="str">
        <f t="shared" si="858"/>
        <v>rob</v>
      </c>
    </row>
    <row r="3382" spans="1:23">
      <c r="A3382" t="str">
        <f t="shared" si="854"/>
        <v>MTS-MH5F-BM6000</v>
      </c>
      <c r="B3382" t="str">
        <f>"113034"</f>
        <v>113034</v>
      </c>
      <c r="C3382" t="str">
        <f>"Raw Material - Perspex Block"</f>
        <v>Raw Material - Perspex Block</v>
      </c>
      <c r="D3382">
        <v>1</v>
      </c>
      <c r="E3382" t="str">
        <f t="shared" si="855"/>
        <v>FMS - MOTOMAN MH5F robot with BenchMill 6000 (4 tool ATC) CNC machine</v>
      </c>
      <c r="F3382">
        <v>502</v>
      </c>
      <c r="G3382" t="str">
        <f t="shared" si="850"/>
        <v>Y</v>
      </c>
      <c r="H3382" t="str">
        <f t="shared" si="856"/>
        <v>EA</v>
      </c>
      <c r="I3382">
        <v>0</v>
      </c>
      <c r="J3382">
        <v>0</v>
      </c>
      <c r="K3382" t="str">
        <f t="shared" si="851"/>
        <v>Y</v>
      </c>
      <c r="L3382">
        <v>0</v>
      </c>
      <c r="M3382" t="str">
        <f t="shared" si="852"/>
        <v>NIS</v>
      </c>
      <c r="O3382">
        <v>26</v>
      </c>
      <c r="P3382" t="str">
        <f t="shared" si="857"/>
        <v>Active</v>
      </c>
      <c r="Q3382" t="str">
        <f>"Raw Material Stock - Perspex Block"</f>
        <v>Raw Material Stock - Perspex Block</v>
      </c>
      <c r="S3382" t="str">
        <f>"Raw Material Stock - Perspex Block"</f>
        <v>Raw Material Stock - Perspex Block</v>
      </c>
      <c r="T3382">
        <v>0</v>
      </c>
      <c r="U3382">
        <v>1.1000000000000001</v>
      </c>
      <c r="V3382">
        <v>1.0900000000000001</v>
      </c>
      <c r="W3382" t="str">
        <f t="shared" si="858"/>
        <v>rob</v>
      </c>
    </row>
    <row r="3383" spans="1:23">
      <c r="A3383" t="str">
        <f t="shared" si="854"/>
        <v>MTS-MH5F-BM6000</v>
      </c>
      <c r="B3383" t="str">
        <f>"00-1261-0000"</f>
        <v>00-1261-0000</v>
      </c>
      <c r="C3383" t="str">
        <f>"Workbench 1800x900mm (Heavy duty for CNC)"</f>
        <v>Workbench 1800x900mm (Heavy duty for CNC)</v>
      </c>
      <c r="D3383">
        <v>1</v>
      </c>
      <c r="E3383" t="str">
        <f t="shared" si="855"/>
        <v>FMS - MOTOMAN MH5F robot with BenchMill 6000 (4 tool ATC) CNC machine</v>
      </c>
      <c r="F3383">
        <v>502</v>
      </c>
      <c r="G3383" t="str">
        <f t="shared" si="850"/>
        <v>Y</v>
      </c>
      <c r="H3383" t="str">
        <f t="shared" si="856"/>
        <v>EA</v>
      </c>
      <c r="I3383">
        <v>0</v>
      </c>
      <c r="J3383">
        <v>0</v>
      </c>
      <c r="K3383" t="str">
        <f t="shared" si="851"/>
        <v>Y</v>
      </c>
      <c r="L3383">
        <v>0</v>
      </c>
      <c r="M3383" t="str">
        <f t="shared" si="852"/>
        <v>NIS</v>
      </c>
      <c r="O3383">
        <v>27</v>
      </c>
      <c r="P3383" t="str">
        <f t="shared" si="857"/>
        <v>Active</v>
      </c>
      <c r="Q3383" t="str">
        <f>"Workbench 1800x900mm (Heavy duty for CNC)"</f>
        <v>Workbench 1800x900mm (Heavy duty for CNC)</v>
      </c>
      <c r="S3383" t="str">
        <f>"Workbench 1800x900mm (Heavy duty for CNC)"</f>
        <v>Workbench 1800x900mm (Heavy duty for CNC)</v>
      </c>
      <c r="T3383">
        <v>0</v>
      </c>
      <c r="U3383">
        <v>830</v>
      </c>
      <c r="V3383">
        <v>831.14</v>
      </c>
      <c r="W3383" t="str">
        <f t="shared" si="858"/>
        <v>rob</v>
      </c>
    </row>
    <row r="3384" spans="1:23">
      <c r="A3384" t="str">
        <f t="shared" si="854"/>
        <v>MTS-MH5F-BM6000</v>
      </c>
      <c r="B3384" t="str">
        <f>"00-1265-0000"</f>
        <v>00-1265-0000</v>
      </c>
      <c r="C3384" t="str">
        <f>"PC Extension Shelf  600x900mm"</f>
        <v>PC Extension Shelf  600x900mm</v>
      </c>
      <c r="D3384">
        <v>1</v>
      </c>
      <c r="E3384" t="str">
        <f t="shared" si="855"/>
        <v>FMS - MOTOMAN MH5F robot with BenchMill 6000 (4 tool ATC) CNC machine</v>
      </c>
      <c r="F3384">
        <v>502</v>
      </c>
      <c r="G3384" t="str">
        <f t="shared" si="850"/>
        <v>Y</v>
      </c>
      <c r="H3384" t="str">
        <f t="shared" si="856"/>
        <v>EA</v>
      </c>
      <c r="I3384">
        <v>0</v>
      </c>
      <c r="J3384">
        <v>0</v>
      </c>
      <c r="K3384" t="str">
        <f t="shared" si="851"/>
        <v>Y</v>
      </c>
      <c r="L3384">
        <v>0</v>
      </c>
      <c r="M3384" t="str">
        <f t="shared" si="852"/>
        <v>NIS</v>
      </c>
      <c r="O3384">
        <v>28</v>
      </c>
      <c r="P3384" t="str">
        <f t="shared" si="857"/>
        <v>Active</v>
      </c>
      <c r="Q3384" t="str">
        <f>"PC Extension Shelf  600x900mm"</f>
        <v>PC Extension Shelf  600x900mm</v>
      </c>
      <c r="S3384" t="str">
        <f>"PC Extension Shelf  600x900mm"</f>
        <v>PC Extension Shelf  600x900mm</v>
      </c>
      <c r="T3384">
        <v>0</v>
      </c>
      <c r="U3384">
        <v>211</v>
      </c>
      <c r="V3384">
        <v>198.88</v>
      </c>
      <c r="W3384" t="str">
        <f t="shared" si="858"/>
        <v>rob</v>
      </c>
    </row>
    <row r="3385" spans="1:23">
      <c r="A3385" t="str">
        <f t="shared" si="854"/>
        <v>MTS-MH5F-BM6000</v>
      </c>
      <c r="B3385" t="str">
        <f>"50-0094-0000"</f>
        <v>50-0094-0000</v>
      </c>
      <c r="C3385" t="str">
        <f>"Pre-Engineering, Design and Testing"</f>
        <v>Pre-Engineering, Design and Testing</v>
      </c>
      <c r="D3385">
        <v>1</v>
      </c>
      <c r="E3385" t="str">
        <f t="shared" si="855"/>
        <v>FMS - MOTOMAN MH5F robot with BenchMill 6000 (4 tool ATC) CNC machine</v>
      </c>
      <c r="F3385">
        <v>502</v>
      </c>
      <c r="G3385" t="str">
        <f t="shared" si="850"/>
        <v>Y</v>
      </c>
      <c r="H3385" t="str">
        <f>"DA"</f>
        <v>DA</v>
      </c>
      <c r="I3385">
        <v>0</v>
      </c>
      <c r="J3385">
        <v>0</v>
      </c>
      <c r="K3385" t="str">
        <f t="shared" si="851"/>
        <v>Y</v>
      </c>
      <c r="L3385">
        <v>0</v>
      </c>
      <c r="M3385" t="str">
        <f t="shared" si="852"/>
        <v>NIS</v>
      </c>
      <c r="O3385">
        <v>29</v>
      </c>
      <c r="P3385" t="str">
        <f t="shared" si="857"/>
        <v>Active</v>
      </c>
      <c r="Q3385" t="str">
        <f>"Pre-Engineering, Design and Testing"</f>
        <v>Pre-Engineering, Design and Testing</v>
      </c>
      <c r="S3385" t="str">
        <f>"Pre-Engineering, Design and Testing"</f>
        <v>Pre-Engineering, Design and Testing</v>
      </c>
      <c r="T3385">
        <v>0</v>
      </c>
      <c r="U3385">
        <v>405</v>
      </c>
      <c r="V3385">
        <v>421.2</v>
      </c>
      <c r="W3385" t="str">
        <f t="shared" si="858"/>
        <v>rob</v>
      </c>
    </row>
    <row r="3386" spans="1:23">
      <c r="A3386" t="str">
        <f t="shared" ref="A3386:A3433" si="859">"MTS-MH5F-BM-BT"</f>
        <v>MTS-MH5F-BM-BT</v>
      </c>
      <c r="B3386" t="str">
        <f>"00-0436-0000"</f>
        <v>00-0436-0000</v>
      </c>
      <c r="C3386" t="str">
        <f>"MH5F compact high-speed 6-axis Robot"</f>
        <v>MH5F compact high-speed 6-axis Robot</v>
      </c>
      <c r="D3386">
        <v>1</v>
      </c>
      <c r="E3386" t="str">
        <f t="shared" ref="E3386:E3433" si="860">"FMS - Motoman MH5F Robot with BenchMill 6000 (4 tool ATC) &amp; BenchTurn 7000 CNC machines"</f>
        <v>FMS - Motoman MH5F Robot with BenchMill 6000 (4 tool ATC) &amp; BenchTurn 7000 CNC machines</v>
      </c>
      <c r="F3386">
        <v>502</v>
      </c>
      <c r="G3386" t="str">
        <f t="shared" si="850"/>
        <v>Y</v>
      </c>
      <c r="H3386" t="str">
        <f t="shared" ref="H3386:H3432" si="861">"EA"</f>
        <v>EA</v>
      </c>
      <c r="I3386">
        <v>0</v>
      </c>
      <c r="J3386">
        <v>0</v>
      </c>
      <c r="K3386" t="str">
        <f t="shared" si="851"/>
        <v>Y</v>
      </c>
      <c r="L3386">
        <v>0</v>
      </c>
      <c r="M3386" t="str">
        <f t="shared" si="852"/>
        <v>NIS</v>
      </c>
      <c r="O3386">
        <v>1</v>
      </c>
      <c r="P3386" t="str">
        <f t="shared" si="857"/>
        <v>Active</v>
      </c>
      <c r="Q3386" t="str">
        <f>"MH5F compact high-speed 6-axis Robot"</f>
        <v>MH5F compact high-speed 6-axis Robot</v>
      </c>
      <c r="S3386" t="str">
        <f>"MH5F compact high-speed 6-axis Robot"</f>
        <v>MH5F compact high-speed 6-axis Robot</v>
      </c>
      <c r="T3386">
        <v>0</v>
      </c>
      <c r="U3386" s="44">
        <v>23500</v>
      </c>
      <c r="V3386" s="44">
        <v>16049.14</v>
      </c>
      <c r="W3386" t="str">
        <f t="shared" si="858"/>
        <v>rob</v>
      </c>
    </row>
    <row r="3387" spans="1:23">
      <c r="A3387" t="str">
        <f t="shared" si="859"/>
        <v>MTS-MH5F-BM-BT</v>
      </c>
      <c r="B3387" t="str">
        <f>"00-0646-0000"</f>
        <v>00-0646-0000</v>
      </c>
      <c r="C3387" t="str">
        <f>"Pneumatic Gripper with I/O Box for Motoman MH5F"</f>
        <v>Pneumatic Gripper with I/O Box for Motoman MH5F</v>
      </c>
      <c r="D3387">
        <v>1</v>
      </c>
      <c r="E3387" t="str">
        <f t="shared" si="860"/>
        <v>FMS - Motoman MH5F Robot with BenchMill 6000 (4 tool ATC) &amp; BenchTurn 7000 CNC machines</v>
      </c>
      <c r="F3387">
        <v>502</v>
      </c>
      <c r="G3387" t="str">
        <f t="shared" si="850"/>
        <v>Y</v>
      </c>
      <c r="H3387" t="str">
        <f t="shared" si="861"/>
        <v>EA</v>
      </c>
      <c r="I3387">
        <v>0</v>
      </c>
      <c r="J3387">
        <v>0</v>
      </c>
      <c r="K3387" t="str">
        <f t="shared" si="851"/>
        <v>Y</v>
      </c>
      <c r="L3387">
        <v>0</v>
      </c>
      <c r="M3387" t="str">
        <f t="shared" si="852"/>
        <v>NIS</v>
      </c>
      <c r="O3387">
        <v>2</v>
      </c>
      <c r="P3387" t="str">
        <f t="shared" si="857"/>
        <v>Active</v>
      </c>
      <c r="Q3387" t="str">
        <f>"Pneumatic Gripper with I/O Box for Motoman MH5F"</f>
        <v>Pneumatic Gripper with I/O Box for Motoman MH5F</v>
      </c>
      <c r="S3387" t="str">
        <f>"Pneumatic Gripper with I/O Box for Motoman MH5F"</f>
        <v>Pneumatic Gripper with I/O Box for Motoman MH5F</v>
      </c>
      <c r="T3387">
        <v>0</v>
      </c>
      <c r="U3387" s="44">
        <v>1500</v>
      </c>
      <c r="V3387" s="44">
        <v>1238.52</v>
      </c>
      <c r="W3387" t="str">
        <f t="shared" si="858"/>
        <v>rob</v>
      </c>
    </row>
    <row r="3388" spans="1:23">
      <c r="A3388" t="str">
        <f t="shared" si="859"/>
        <v>MTS-MH5F-BM-BT</v>
      </c>
      <c r="B3388" t="str">
        <f>"00-1027-0000"</f>
        <v>00-1027-0000</v>
      </c>
      <c r="C3388" t="str">
        <f>"LSB 1.8m, Belt, USB-Pro, for ind. robot &lt; 35kg)"</f>
        <v>LSB 1.8m, Belt, USB-Pro, for ind. robot &lt; 35kg)</v>
      </c>
      <c r="D3388">
        <v>1</v>
      </c>
      <c r="E3388" t="str">
        <f t="shared" si="860"/>
        <v>FMS - Motoman MH5F Robot with BenchMill 6000 (4 tool ATC) &amp; BenchTurn 7000 CNC machines</v>
      </c>
      <c r="F3388">
        <v>502</v>
      </c>
      <c r="G3388" t="str">
        <f t="shared" si="850"/>
        <v>Y</v>
      </c>
      <c r="H3388" t="str">
        <f t="shared" si="861"/>
        <v>EA</v>
      </c>
      <c r="I3388">
        <v>0</v>
      </c>
      <c r="J3388">
        <v>0</v>
      </c>
      <c r="K3388" t="str">
        <f t="shared" si="851"/>
        <v>Y</v>
      </c>
      <c r="L3388">
        <v>0</v>
      </c>
      <c r="M3388" t="str">
        <f t="shared" si="852"/>
        <v>NIS</v>
      </c>
      <c r="O3388">
        <v>3</v>
      </c>
      <c r="P3388" t="str">
        <f t="shared" si="857"/>
        <v>Active</v>
      </c>
      <c r="Q3388" t="str">
        <f>"LSB 1.8m incl. USB-Pro(Industr. robot max. 50kg)"</f>
        <v>LSB 1.8m incl. USB-Pro(Industr. robot max. 50kg)</v>
      </c>
      <c r="S3388" t="str">
        <f>"LSB 1.8m, Belt, USB-Pro, for ind. robot &lt; 35kg"</f>
        <v>LSB 1.8m, Belt, USB-Pro, for ind. robot &lt; 35kg</v>
      </c>
      <c r="T3388">
        <v>0</v>
      </c>
      <c r="U3388" s="44">
        <v>5000</v>
      </c>
      <c r="V3388" s="44">
        <v>4687.0200000000004</v>
      </c>
      <c r="W3388" t="str">
        <f t="shared" si="858"/>
        <v>rob</v>
      </c>
    </row>
    <row r="3389" spans="1:23">
      <c r="A3389" t="str">
        <f t="shared" si="859"/>
        <v>MTS-MH5F-BM-BT</v>
      </c>
      <c r="B3389" t="str">
        <f>"021152"</f>
        <v>021152</v>
      </c>
      <c r="C3389" t="str">
        <f>"Shelf Buffer for CIM conveyor"</f>
        <v>Shelf Buffer for CIM conveyor</v>
      </c>
      <c r="D3389">
        <v>2</v>
      </c>
      <c r="E3389" t="str">
        <f t="shared" si="860"/>
        <v>FMS - Motoman MH5F Robot with BenchMill 6000 (4 tool ATC) &amp; BenchTurn 7000 CNC machines</v>
      </c>
      <c r="F3389">
        <v>502</v>
      </c>
      <c r="G3389" t="str">
        <f t="shared" si="850"/>
        <v>Y</v>
      </c>
      <c r="H3389" t="str">
        <f t="shared" si="861"/>
        <v>EA</v>
      </c>
      <c r="I3389">
        <v>0</v>
      </c>
      <c r="J3389">
        <v>0</v>
      </c>
      <c r="K3389" t="str">
        <f t="shared" si="851"/>
        <v>Y</v>
      </c>
      <c r="L3389">
        <v>0</v>
      </c>
      <c r="M3389" t="str">
        <f t="shared" si="852"/>
        <v>NIS</v>
      </c>
      <c r="O3389">
        <v>4</v>
      </c>
      <c r="P3389" t="str">
        <f t="shared" si="857"/>
        <v>Active</v>
      </c>
      <c r="Q3389" t="str">
        <f>"מכלול- מדף בפר סטנדרטי OPEN-CIM"</f>
        <v>מכלול- מדף בפר סטנדרטי OPEN-CIM</v>
      </c>
      <c r="R3389" t="str">
        <f>"1"</f>
        <v>1</v>
      </c>
      <c r="S3389" t="str">
        <f>"מכלול- מדף בפר סטנדרטי OPEN-CIM"</f>
        <v>מכלול- מדף בפר סטנדרטי OPEN-CIM</v>
      </c>
      <c r="T3389">
        <v>0</v>
      </c>
      <c r="U3389">
        <v>83.12</v>
      </c>
      <c r="V3389">
        <v>92.76</v>
      </c>
      <c r="W3389" t="str">
        <f t="shared" si="858"/>
        <v>rob</v>
      </c>
    </row>
    <row r="3390" spans="1:23">
      <c r="A3390" t="str">
        <f t="shared" si="859"/>
        <v>MTS-MH5F-BM-BT</v>
      </c>
      <c r="B3390" t="str">
        <f>"10-2521-7000"</f>
        <v>10-2521-7000</v>
      </c>
      <c r="C3390" t="str">
        <f>"Pneumatic Feeder for Rectangular products"</f>
        <v>Pneumatic Feeder for Rectangular products</v>
      </c>
      <c r="D3390">
        <v>1</v>
      </c>
      <c r="E3390" t="str">
        <f t="shared" si="860"/>
        <v>FMS - Motoman MH5F Robot with BenchMill 6000 (4 tool ATC) &amp; BenchTurn 7000 CNC machines</v>
      </c>
      <c r="F3390">
        <v>502</v>
      </c>
      <c r="G3390" t="str">
        <f t="shared" si="850"/>
        <v>Y</v>
      </c>
      <c r="H3390" t="str">
        <f t="shared" si="861"/>
        <v>EA</v>
      </c>
      <c r="I3390">
        <v>0</v>
      </c>
      <c r="J3390">
        <v>0</v>
      </c>
      <c r="K3390" t="str">
        <f t="shared" si="851"/>
        <v>Y</v>
      </c>
      <c r="L3390">
        <v>0</v>
      </c>
      <c r="M3390" t="str">
        <f t="shared" si="852"/>
        <v>NIS</v>
      </c>
      <c r="O3390">
        <v>5</v>
      </c>
      <c r="P3390" t="str">
        <f t="shared" si="857"/>
        <v>Active</v>
      </c>
      <c r="Q3390" t="str">
        <f>"Pneumatic Feeder for Rectangular Parts"</f>
        <v>Pneumatic Feeder for Rectangular Parts</v>
      </c>
      <c r="S3390" t="str">
        <f>"Pneumatic Feeder for Rectangular Parts"</f>
        <v>Pneumatic Feeder for Rectangular Parts</v>
      </c>
      <c r="T3390">
        <v>0</v>
      </c>
      <c r="U3390">
        <v>595</v>
      </c>
      <c r="V3390">
        <v>555.15</v>
      </c>
      <c r="W3390" t="str">
        <f t="shared" si="858"/>
        <v>rob</v>
      </c>
    </row>
    <row r="3391" spans="1:23">
      <c r="A3391" t="str">
        <f t="shared" si="859"/>
        <v>MTS-MH5F-BM-BT</v>
      </c>
      <c r="B3391" t="str">
        <f>"10-1007-4000"</f>
        <v>10-1007-4000</v>
      </c>
      <c r="C3391" t="str">
        <f>"Gravity Parts Feeder (with microswitch sensor)"</f>
        <v>Gravity Parts Feeder (with microswitch sensor)</v>
      </c>
      <c r="D3391">
        <v>1</v>
      </c>
      <c r="E3391" t="str">
        <f t="shared" si="860"/>
        <v>FMS - Motoman MH5F Robot with BenchMill 6000 (4 tool ATC) &amp; BenchTurn 7000 CNC machines</v>
      </c>
      <c r="F3391">
        <v>502</v>
      </c>
      <c r="G3391" t="str">
        <f t="shared" si="850"/>
        <v>Y</v>
      </c>
      <c r="H3391" t="str">
        <f t="shared" si="861"/>
        <v>EA</v>
      </c>
      <c r="I3391">
        <v>0</v>
      </c>
      <c r="J3391">
        <v>0</v>
      </c>
      <c r="K3391" t="str">
        <f t="shared" si="851"/>
        <v>Y</v>
      </c>
      <c r="L3391">
        <v>0</v>
      </c>
      <c r="M3391" t="str">
        <f t="shared" si="852"/>
        <v>NIS</v>
      </c>
      <c r="O3391">
        <v>6</v>
      </c>
      <c r="P3391" t="str">
        <f t="shared" si="857"/>
        <v>Active</v>
      </c>
      <c r="Q3391" t="str">
        <f>"Gravity Parts Feeder (incl.microswitch sensor)"</f>
        <v>Gravity Parts Feeder (incl.microswitch sensor)</v>
      </c>
      <c r="S3391" t="str">
        <f>"Gravity Parts Feeder (incl.microswitch sensor)"</f>
        <v>Gravity Parts Feeder (incl.microswitch sensor)</v>
      </c>
      <c r="T3391">
        <v>0</v>
      </c>
      <c r="U3391">
        <v>148</v>
      </c>
      <c r="V3391">
        <v>148.26</v>
      </c>
      <c r="W3391" t="str">
        <f t="shared" si="858"/>
        <v>rob</v>
      </c>
    </row>
    <row r="3392" spans="1:23">
      <c r="A3392" t="str">
        <f t="shared" si="859"/>
        <v>MTS-MH5F-BM-BT</v>
      </c>
      <c r="B3392" t="str">
        <f>"00-1110-0000"</f>
        <v>00-1110-0000</v>
      </c>
      <c r="C3392" t="str">
        <f>"Palletizing Rack"</f>
        <v>Palletizing Rack</v>
      </c>
      <c r="D3392">
        <v>2</v>
      </c>
      <c r="E3392" t="str">
        <f t="shared" si="860"/>
        <v>FMS - Motoman MH5F Robot with BenchMill 6000 (4 tool ATC) &amp; BenchTurn 7000 CNC machines</v>
      </c>
      <c r="F3392">
        <v>502</v>
      </c>
      <c r="G3392" t="str">
        <f t="shared" si="850"/>
        <v>Y</v>
      </c>
      <c r="H3392" t="str">
        <f t="shared" si="861"/>
        <v>EA</v>
      </c>
      <c r="I3392">
        <v>0</v>
      </c>
      <c r="J3392">
        <v>0</v>
      </c>
      <c r="K3392" t="str">
        <f t="shared" si="851"/>
        <v>Y</v>
      </c>
      <c r="L3392">
        <v>0</v>
      </c>
      <c r="M3392" t="str">
        <f t="shared" si="852"/>
        <v>NIS</v>
      </c>
      <c r="O3392">
        <v>7</v>
      </c>
      <c r="P3392" t="str">
        <f t="shared" ref="P3392:P3411" si="862">"Active"</f>
        <v>Active</v>
      </c>
      <c r="Q3392" t="str">
        <f>"Palletizing Rack (incl. Pins for creating Jigs)"</f>
        <v>Palletizing Rack (incl. Pins for creating Jigs)</v>
      </c>
      <c r="S3392" t="str">
        <f>"Palletizing Rack (incl. Pins for creating Jigs)"</f>
        <v>Palletizing Rack (incl. Pins for creating Jigs)</v>
      </c>
      <c r="T3392">
        <v>0</v>
      </c>
      <c r="U3392">
        <v>63</v>
      </c>
      <c r="V3392">
        <v>58.59</v>
      </c>
      <c r="W3392" t="str">
        <f t="shared" si="858"/>
        <v>rob</v>
      </c>
    </row>
    <row r="3393" spans="1:23">
      <c r="A3393" t="str">
        <f t="shared" si="859"/>
        <v>MTS-MH5F-BM-BT</v>
      </c>
      <c r="B3393" t="str">
        <f>"021182"</f>
        <v>021182</v>
      </c>
      <c r="C3393" t="str">
        <f>"97mm Height Adapter"</f>
        <v>97mm Height Adapter</v>
      </c>
      <c r="D3393">
        <v>2</v>
      </c>
      <c r="E3393" t="str">
        <f t="shared" si="860"/>
        <v>FMS - Motoman MH5F Robot with BenchMill 6000 (4 tool ATC) &amp; BenchTurn 7000 CNC machines</v>
      </c>
      <c r="F3393">
        <v>502</v>
      </c>
      <c r="G3393" t="str">
        <f t="shared" si="850"/>
        <v>Y</v>
      </c>
      <c r="H3393" t="str">
        <f t="shared" si="861"/>
        <v>EA</v>
      </c>
      <c r="I3393">
        <v>0</v>
      </c>
      <c r="J3393">
        <v>0</v>
      </c>
      <c r="K3393" t="str">
        <f t="shared" si="851"/>
        <v>Y</v>
      </c>
      <c r="L3393">
        <v>0</v>
      </c>
      <c r="M3393" t="str">
        <f t="shared" si="852"/>
        <v>NIS</v>
      </c>
      <c r="O3393">
        <v>8</v>
      </c>
      <c r="P3393" t="str">
        <f t="shared" si="862"/>
        <v>Active</v>
      </c>
      <c r="Q3393" t="str">
        <f>"97mm Height Adapter -Rack 001110 on formica 28mm"</f>
        <v>97mm Height Adapter -Rack 001110 on formica 28mm</v>
      </c>
      <c r="S3393" t="str">
        <f>"97mm Height Adapter -Rack 001110 on formica 28mm"</f>
        <v>97mm Height Adapter -Rack 001110 on formica 28mm</v>
      </c>
      <c r="T3393">
        <v>0</v>
      </c>
      <c r="U3393">
        <v>7</v>
      </c>
      <c r="V3393">
        <v>5.5</v>
      </c>
      <c r="W3393" t="str">
        <f t="shared" si="858"/>
        <v>rob</v>
      </c>
    </row>
    <row r="3394" spans="1:23">
      <c r="A3394" t="str">
        <f t="shared" si="859"/>
        <v>MTS-MH5F-BM-BT</v>
      </c>
      <c r="B3394" t="str">
        <f>"10-2120-0000"</f>
        <v>10-2120-0000</v>
      </c>
      <c r="C3394" t="str">
        <f>"CNC Interface with BenchMILL 6000"</f>
        <v>CNC Interface with BenchMILL 6000</v>
      </c>
      <c r="D3394">
        <v>1</v>
      </c>
      <c r="E3394" t="str">
        <f t="shared" si="860"/>
        <v>FMS - Motoman MH5F Robot with BenchMill 6000 (4 tool ATC) &amp; BenchTurn 7000 CNC machines</v>
      </c>
      <c r="F3394">
        <v>502</v>
      </c>
      <c r="G3394" t="str">
        <f t="shared" ref="G3394:G3457" si="863">"Y"</f>
        <v>Y</v>
      </c>
      <c r="H3394" t="str">
        <f t="shared" si="861"/>
        <v>EA</v>
      </c>
      <c r="I3394">
        <v>0</v>
      </c>
      <c r="J3394">
        <v>0</v>
      </c>
      <c r="K3394" t="str">
        <f t="shared" ref="K3394:K3457" si="864">"Y"</f>
        <v>Y</v>
      </c>
      <c r="L3394">
        <v>0</v>
      </c>
      <c r="M3394" t="str">
        <f t="shared" si="852"/>
        <v>NIS</v>
      </c>
      <c r="O3394">
        <v>9</v>
      </c>
      <c r="P3394" t="str">
        <f t="shared" si="862"/>
        <v>Active</v>
      </c>
      <c r="Q3394" t="str">
        <f>"CNC Interface with BenchMILL 6000"</f>
        <v>CNC Interface with BenchMILL 6000</v>
      </c>
      <c r="S3394" t="str">
        <f>"CNC Interface with BenchMILL 6000"</f>
        <v>CNC Interface with BenchMILL 6000</v>
      </c>
      <c r="T3394">
        <v>0</v>
      </c>
      <c r="U3394">
        <v>21</v>
      </c>
      <c r="V3394">
        <v>19.7</v>
      </c>
      <c r="W3394" t="str">
        <f t="shared" si="858"/>
        <v>rob</v>
      </c>
    </row>
    <row r="3395" spans="1:23">
      <c r="A3395" t="str">
        <f t="shared" si="859"/>
        <v>MTS-MH5F-BM-BT</v>
      </c>
      <c r="B3395" t="str">
        <f>"00-5505-0220"</f>
        <v>00-5505-0220</v>
      </c>
      <c r="C3395" t="str">
        <f>"CNC BenchMILL 6000, 220 VAC"</f>
        <v>CNC BenchMILL 6000, 220 VAC</v>
      </c>
      <c r="D3395">
        <v>1</v>
      </c>
      <c r="E3395" t="str">
        <f t="shared" si="860"/>
        <v>FMS - Motoman MH5F Robot with BenchMill 6000 (4 tool ATC) &amp; BenchTurn 7000 CNC machines</v>
      </c>
      <c r="F3395">
        <v>502</v>
      </c>
      <c r="G3395" t="str">
        <f t="shared" si="863"/>
        <v>Y</v>
      </c>
      <c r="H3395" t="str">
        <f t="shared" si="861"/>
        <v>EA</v>
      </c>
      <c r="I3395">
        <v>0</v>
      </c>
      <c r="J3395">
        <v>0</v>
      </c>
      <c r="K3395" t="str">
        <f t="shared" si="864"/>
        <v>Y</v>
      </c>
      <c r="L3395">
        <v>0</v>
      </c>
      <c r="M3395" t="str">
        <f t="shared" si="852"/>
        <v>NIS</v>
      </c>
      <c r="O3395">
        <v>10</v>
      </c>
      <c r="P3395" t="str">
        <f t="shared" si="862"/>
        <v>Active</v>
      </c>
      <c r="Q3395" t="str">
        <f>"CNC BenchMill 6000 220V"</f>
        <v>CNC BenchMill 6000 220V</v>
      </c>
      <c r="S3395" t="str">
        <f>"CNC BenchMILL 6000, 220 VAC"</f>
        <v>CNC BenchMILL 6000, 220 VAC</v>
      </c>
      <c r="T3395">
        <v>0</v>
      </c>
      <c r="U3395" s="44">
        <v>4583</v>
      </c>
      <c r="V3395" s="44">
        <v>4458.34</v>
      </c>
      <c r="W3395" t="str">
        <f t="shared" si="858"/>
        <v>rob</v>
      </c>
    </row>
    <row r="3396" spans="1:23">
      <c r="A3396" t="str">
        <f t="shared" si="859"/>
        <v>MTS-MH5F-BM-BT</v>
      </c>
      <c r="B3396" t="str">
        <f>"63-6001-1000"</f>
        <v>63-6001-1000</v>
      </c>
      <c r="C3396" t="str">
        <f>"-CNCMotion Simulation Sftwr for BenchMill 6000"</f>
        <v>-CNCMotion Simulation Sftwr for BenchMill 6000</v>
      </c>
      <c r="D3396">
        <v>1</v>
      </c>
      <c r="E3396" t="str">
        <f t="shared" si="860"/>
        <v>FMS - Motoman MH5F Robot with BenchMill 6000 (4 tool ATC) &amp; BenchTurn 7000 CNC machines</v>
      </c>
      <c r="F3396">
        <v>502</v>
      </c>
      <c r="G3396" t="str">
        <f t="shared" si="863"/>
        <v>Y</v>
      </c>
      <c r="H3396" t="str">
        <f t="shared" si="861"/>
        <v>EA</v>
      </c>
      <c r="I3396">
        <v>0</v>
      </c>
      <c r="J3396">
        <v>0</v>
      </c>
      <c r="K3396" t="str">
        <f t="shared" si="864"/>
        <v>Y</v>
      </c>
      <c r="L3396">
        <v>0</v>
      </c>
      <c r="M3396" t="str">
        <f t="shared" si="852"/>
        <v>NIS</v>
      </c>
      <c r="O3396">
        <v>11</v>
      </c>
      <c r="P3396" t="str">
        <f t="shared" si="862"/>
        <v>Active</v>
      </c>
      <c r="Q3396" t="str">
        <f>"CNCMotion Sim. Sftwr, BenchMill 6000"</f>
        <v>CNCMotion Sim. Sftwr, BenchMill 6000</v>
      </c>
      <c r="S3396" t="str">
        <f>"CNCMotion Sim. Sftwr, BenchMill 6000"</f>
        <v>CNCMotion Sim. Sftwr, BenchMill 6000</v>
      </c>
      <c r="T3396">
        <v>0</v>
      </c>
      <c r="U3396">
        <v>10</v>
      </c>
      <c r="V3396">
        <v>0</v>
      </c>
      <c r="W3396" t="str">
        <f t="shared" si="858"/>
        <v>rob</v>
      </c>
    </row>
    <row r="3397" spans="1:23">
      <c r="A3397" t="str">
        <f t="shared" si="859"/>
        <v>MTS-MH5F-BM-BT</v>
      </c>
      <c r="B3397" t="str">
        <f>"63-6723-0000"</f>
        <v>63-6723-0000</v>
      </c>
      <c r="C3397" t="str">
        <f>"SpectraCAD Engraver software – Download Only"</f>
        <v>SpectraCAD Engraver software – Download Only</v>
      </c>
      <c r="D3397">
        <v>1</v>
      </c>
      <c r="E3397" t="str">
        <f t="shared" si="860"/>
        <v>FMS - Motoman MH5F Robot with BenchMill 6000 (4 tool ATC) &amp; BenchTurn 7000 CNC machines</v>
      </c>
      <c r="F3397">
        <v>502</v>
      </c>
      <c r="G3397" t="str">
        <f t="shared" si="863"/>
        <v>Y</v>
      </c>
      <c r="H3397" t="str">
        <f t="shared" si="861"/>
        <v>EA</v>
      </c>
      <c r="I3397">
        <v>0</v>
      </c>
      <c r="J3397">
        <v>0</v>
      </c>
      <c r="K3397" t="str">
        <f t="shared" si="864"/>
        <v>Y</v>
      </c>
      <c r="L3397">
        <v>0</v>
      </c>
      <c r="M3397" t="str">
        <f t="shared" si="852"/>
        <v>NIS</v>
      </c>
      <c r="O3397">
        <v>12</v>
      </c>
      <c r="P3397" t="str">
        <f t="shared" si="862"/>
        <v>Active</v>
      </c>
      <c r="Q3397" t="str">
        <f>"SpectraCAD Engraver software – Download Only"</f>
        <v>SpectraCAD Engraver software – Download Only</v>
      </c>
      <c r="S3397" t="str">
        <f>"SpectraCAD Engraver software – Download Only"</f>
        <v>SpectraCAD Engraver software – Download Only</v>
      </c>
      <c r="T3397">
        <v>0</v>
      </c>
      <c r="U3397">
        <v>10</v>
      </c>
      <c r="V3397">
        <v>10.4</v>
      </c>
      <c r="W3397" t="str">
        <f t="shared" si="858"/>
        <v>rob</v>
      </c>
    </row>
    <row r="3398" spans="1:23">
      <c r="A3398" t="str">
        <f t="shared" si="859"/>
        <v>MTS-MH5F-BM-BT</v>
      </c>
      <c r="B3398" t="str">
        <f>"63-6733-0000"</f>
        <v>63-6733-0000</v>
      </c>
      <c r="C3398" t="str">
        <f>"Software, SpectraCAM Milling"</f>
        <v>Software, SpectraCAM Milling</v>
      </c>
      <c r="D3398">
        <v>1</v>
      </c>
      <c r="E3398" t="str">
        <f t="shared" si="860"/>
        <v>FMS - Motoman MH5F Robot with BenchMill 6000 (4 tool ATC) &amp; BenchTurn 7000 CNC machines</v>
      </c>
      <c r="F3398">
        <v>502</v>
      </c>
      <c r="G3398" t="str">
        <f t="shared" si="863"/>
        <v>Y</v>
      </c>
      <c r="H3398" t="str">
        <f t="shared" si="861"/>
        <v>EA</v>
      </c>
      <c r="I3398">
        <v>0</v>
      </c>
      <c r="J3398">
        <v>0</v>
      </c>
      <c r="K3398" t="str">
        <f t="shared" si="864"/>
        <v>Y</v>
      </c>
      <c r="L3398">
        <v>0</v>
      </c>
      <c r="M3398" t="str">
        <f t="shared" si="852"/>
        <v>NIS</v>
      </c>
      <c r="O3398">
        <v>13</v>
      </c>
      <c r="P3398" t="str">
        <f t="shared" si="862"/>
        <v>Active</v>
      </c>
      <c r="Q3398" t="str">
        <f>"Software, SpectraCAM Milling"</f>
        <v>Software, SpectraCAM Milling</v>
      </c>
      <c r="S3398" t="str">
        <f>"Software, SpectraCAM Milling"</f>
        <v>Software, SpectraCAM Milling</v>
      </c>
      <c r="T3398">
        <v>0</v>
      </c>
      <c r="U3398">
        <v>10</v>
      </c>
      <c r="V3398">
        <v>10.4</v>
      </c>
      <c r="W3398" t="str">
        <f t="shared" si="858"/>
        <v>rob</v>
      </c>
    </row>
    <row r="3399" spans="1:23">
      <c r="A3399" t="str">
        <f t="shared" si="859"/>
        <v>MTS-MH5F-BM-BT</v>
      </c>
      <c r="B3399" t="str">
        <f>"10-1110-7000"</f>
        <v>10-1110-7000</v>
      </c>
      <c r="C3399" t="str">
        <f>"--Dual Axis Vise (for FMS)"</f>
        <v>--Dual Axis Vise (for FMS)</v>
      </c>
      <c r="D3399">
        <v>1</v>
      </c>
      <c r="E3399" t="str">
        <f t="shared" si="860"/>
        <v>FMS - Motoman MH5F Robot with BenchMill 6000 (4 tool ATC) &amp; BenchTurn 7000 CNC machines</v>
      </c>
      <c r="F3399">
        <v>502</v>
      </c>
      <c r="G3399" t="str">
        <f t="shared" si="863"/>
        <v>Y</v>
      </c>
      <c r="H3399" t="str">
        <f t="shared" si="861"/>
        <v>EA</v>
      </c>
      <c r="I3399">
        <v>0</v>
      </c>
      <c r="J3399">
        <v>0</v>
      </c>
      <c r="K3399" t="str">
        <f t="shared" si="864"/>
        <v>Y</v>
      </c>
      <c r="L3399">
        <v>0</v>
      </c>
      <c r="M3399" t="str">
        <f t="shared" si="852"/>
        <v>NIS</v>
      </c>
      <c r="O3399">
        <v>14</v>
      </c>
      <c r="P3399" t="str">
        <f t="shared" si="862"/>
        <v>Active</v>
      </c>
      <c r="Q3399" t="str">
        <f>"Dual Axis Vise (BenchMill 6000/ ProMill 8000)"</f>
        <v>Dual Axis Vise (BenchMill 6000/ ProMill 8000)</v>
      </c>
      <c r="S3399" t="str">
        <f>"Dual Axis Vise (BenchMill 6000/ ProMill 8000)"</f>
        <v>Dual Axis Vise (BenchMill 6000/ ProMill 8000)</v>
      </c>
      <c r="T3399">
        <v>0</v>
      </c>
      <c r="U3399">
        <v>239</v>
      </c>
      <c r="V3399">
        <v>219.6</v>
      </c>
      <c r="W3399" t="str">
        <f t="shared" si="858"/>
        <v>rob</v>
      </c>
    </row>
    <row r="3400" spans="1:23">
      <c r="A3400" t="str">
        <f t="shared" si="859"/>
        <v>MTS-MH5F-BM-BT</v>
      </c>
      <c r="B3400" t="str">
        <f>"10-1115-2000"</f>
        <v>10-1115-2000</v>
      </c>
      <c r="C3400" t="str">
        <f>"- Table mounted ATC package"</f>
        <v>- Table mounted ATC package</v>
      </c>
      <c r="D3400">
        <v>1</v>
      </c>
      <c r="E3400" t="str">
        <f t="shared" si="860"/>
        <v>FMS - Motoman MH5F Robot with BenchMill 6000 (4 tool ATC) &amp; BenchTurn 7000 CNC machines</v>
      </c>
      <c r="F3400">
        <v>502</v>
      </c>
      <c r="G3400" t="str">
        <f t="shared" si="863"/>
        <v>Y</v>
      </c>
      <c r="H3400" t="str">
        <f t="shared" si="861"/>
        <v>EA</v>
      </c>
      <c r="I3400">
        <v>0</v>
      </c>
      <c r="J3400">
        <v>0</v>
      </c>
      <c r="K3400" t="str">
        <f t="shared" si="864"/>
        <v>Y</v>
      </c>
      <c r="L3400">
        <v>0</v>
      </c>
      <c r="M3400" t="str">
        <f t="shared" si="852"/>
        <v>NIS</v>
      </c>
      <c r="O3400">
        <v>15</v>
      </c>
      <c r="P3400" t="str">
        <f t="shared" si="862"/>
        <v>Active</v>
      </c>
      <c r="Q3400" t="str">
        <f>"Table mounted ATC package"</f>
        <v>Table mounted ATC package</v>
      </c>
      <c r="S3400" t="str">
        <f>"Table mounted ATC package"</f>
        <v>Table mounted ATC package</v>
      </c>
      <c r="T3400">
        <v>0</v>
      </c>
      <c r="U3400">
        <v>690</v>
      </c>
      <c r="V3400">
        <v>690.59</v>
      </c>
      <c r="W3400" t="str">
        <f t="shared" si="858"/>
        <v>rob</v>
      </c>
    </row>
    <row r="3401" spans="1:23">
      <c r="A3401" t="str">
        <f t="shared" si="859"/>
        <v>MTS-MH5F-BM-BT</v>
      </c>
      <c r="B3401" t="str">
        <f>"10-1115-0000"</f>
        <v>10-1115-0000</v>
      </c>
      <c r="C3401" t="str">
        <f>"ER16 Collet set - 2 x (3,6,8,10mm)"</f>
        <v>ER16 Collet set - 2 x (3,6,8,10mm)</v>
      </c>
      <c r="D3401">
        <v>1</v>
      </c>
      <c r="E3401" t="str">
        <f t="shared" si="860"/>
        <v>FMS - Motoman MH5F Robot with BenchMill 6000 (4 tool ATC) &amp; BenchTurn 7000 CNC machines</v>
      </c>
      <c r="F3401">
        <v>502</v>
      </c>
      <c r="G3401" t="str">
        <f t="shared" si="863"/>
        <v>Y</v>
      </c>
      <c r="H3401" t="str">
        <f t="shared" si="861"/>
        <v>EA</v>
      </c>
      <c r="I3401">
        <v>0</v>
      </c>
      <c r="J3401">
        <v>0</v>
      </c>
      <c r="K3401" t="str">
        <f t="shared" si="864"/>
        <v>Y</v>
      </c>
      <c r="L3401">
        <v>0</v>
      </c>
      <c r="M3401" t="str">
        <f t="shared" si="852"/>
        <v>NIS</v>
      </c>
      <c r="O3401">
        <v>16</v>
      </c>
      <c r="P3401" t="str">
        <f t="shared" si="862"/>
        <v>Active</v>
      </c>
      <c r="Q3401" t="str">
        <f>"ER16 Collet set-8 pieces(2)3,(2)6,(2)8,(2)10mm"</f>
        <v>ER16 Collet set-8 pieces(2)3,(2)6,(2)8,(2)10mm</v>
      </c>
      <c r="S3401" t="str">
        <f>"ER16 Collet set-8 pieces(2)3,(2)6,(2)8,(2)10mm"</f>
        <v>ER16 Collet set-8 pieces(2)3,(2)6,(2)8,(2)10mm</v>
      </c>
      <c r="T3401">
        <v>0</v>
      </c>
      <c r="U3401">
        <v>71</v>
      </c>
      <c r="V3401">
        <v>70.63</v>
      </c>
      <c r="W3401" t="str">
        <f t="shared" si="858"/>
        <v>rob</v>
      </c>
    </row>
    <row r="3402" spans="1:23">
      <c r="A3402" t="str">
        <f t="shared" si="859"/>
        <v>MTS-MH5F-BM-BT</v>
      </c>
      <c r="B3402" t="str">
        <f>"10-1113-4000"</f>
        <v>10-1113-4000</v>
      </c>
      <c r="C3402" t="str">
        <f>"Metric End Mill Package(2X 3,6,8,10End,4,6 Ball)"</f>
        <v>Metric End Mill Package(2X 3,6,8,10End,4,6 Ball)</v>
      </c>
      <c r="D3402">
        <v>1</v>
      </c>
      <c r="E3402" t="str">
        <f t="shared" si="860"/>
        <v>FMS - Motoman MH5F Robot with BenchMill 6000 (4 tool ATC) &amp; BenchTurn 7000 CNC machines</v>
      </c>
      <c r="F3402">
        <v>502</v>
      </c>
      <c r="G3402" t="str">
        <f t="shared" si="863"/>
        <v>Y</v>
      </c>
      <c r="H3402" t="str">
        <f t="shared" si="861"/>
        <v>EA</v>
      </c>
      <c r="I3402">
        <v>0</v>
      </c>
      <c r="J3402">
        <v>0</v>
      </c>
      <c r="K3402" t="str">
        <f t="shared" si="864"/>
        <v>Y</v>
      </c>
      <c r="L3402">
        <v>0</v>
      </c>
      <c r="M3402" t="str">
        <f t="shared" si="852"/>
        <v>NIS</v>
      </c>
      <c r="O3402">
        <v>17</v>
      </c>
      <c r="P3402" t="str">
        <f t="shared" si="862"/>
        <v>Active</v>
      </c>
      <c r="Q3402" t="str">
        <f>"Metric Advanced End Mill Package 5121"</f>
        <v>Metric Advanced End Mill Package 5121</v>
      </c>
      <c r="S3402" t="str">
        <f>"Metric Advanced End Mill Package 5121"</f>
        <v>Metric Advanced End Mill Package 5121</v>
      </c>
      <c r="T3402">
        <v>0</v>
      </c>
      <c r="U3402">
        <v>55</v>
      </c>
      <c r="V3402">
        <v>50.17</v>
      </c>
      <c r="W3402" t="str">
        <f t="shared" si="858"/>
        <v>rob</v>
      </c>
    </row>
    <row r="3403" spans="1:23">
      <c r="A3403" t="str">
        <f t="shared" si="859"/>
        <v>MTS-MH5F-BM-BT</v>
      </c>
      <c r="B3403" t="str">
        <f>"10-1111-1000"</f>
        <v>10-1111-1000</v>
      </c>
      <c r="C3403" t="str">
        <f>"- Handwheel - Manual Control"</f>
        <v>- Handwheel - Manual Control</v>
      </c>
      <c r="D3403">
        <v>1</v>
      </c>
      <c r="E3403" t="str">
        <f t="shared" si="860"/>
        <v>FMS - Motoman MH5F Robot with BenchMill 6000 (4 tool ATC) &amp; BenchTurn 7000 CNC machines</v>
      </c>
      <c r="F3403">
        <v>502</v>
      </c>
      <c r="G3403" t="str">
        <f t="shared" si="863"/>
        <v>Y</v>
      </c>
      <c r="H3403" t="str">
        <f t="shared" si="861"/>
        <v>EA</v>
      </c>
      <c r="I3403">
        <v>0</v>
      </c>
      <c r="J3403">
        <v>0</v>
      </c>
      <c r="K3403" t="str">
        <f t="shared" si="864"/>
        <v>Y</v>
      </c>
      <c r="L3403">
        <v>0</v>
      </c>
      <c r="M3403" t="str">
        <f t="shared" si="852"/>
        <v>NIS</v>
      </c>
      <c r="O3403">
        <v>18</v>
      </c>
      <c r="P3403" t="str">
        <f t="shared" si="862"/>
        <v>Active</v>
      </c>
      <c r="Q3403" t="str">
        <f>"Jog Pendant Handwheel"</f>
        <v>Jog Pendant Handwheel</v>
      </c>
      <c r="S3403" t="str">
        <f>"Jog Pendant Handwheel"</f>
        <v>Jog Pendant Handwheel</v>
      </c>
      <c r="T3403">
        <v>0</v>
      </c>
      <c r="U3403">
        <v>235</v>
      </c>
      <c r="V3403">
        <v>235.03</v>
      </c>
      <c r="W3403" t="str">
        <f t="shared" si="858"/>
        <v>rob</v>
      </c>
    </row>
    <row r="3404" spans="1:23">
      <c r="A3404" t="str">
        <f t="shared" si="859"/>
        <v>MTS-MH5F-BM-BT</v>
      </c>
      <c r="B3404" t="str">
        <f>"10-1111-6000"</f>
        <v>10-1111-6000</v>
      </c>
      <c r="C3404" t="str">
        <f>"4"" Vise"</f>
        <v>4" Vise</v>
      </c>
      <c r="D3404">
        <v>1</v>
      </c>
      <c r="E3404" t="str">
        <f t="shared" si="860"/>
        <v>FMS - Motoman MH5F Robot with BenchMill 6000 (4 tool ATC) &amp; BenchTurn 7000 CNC machines</v>
      </c>
      <c r="F3404">
        <v>502</v>
      </c>
      <c r="G3404" t="str">
        <f t="shared" si="863"/>
        <v>Y</v>
      </c>
      <c r="H3404" t="str">
        <f t="shared" si="861"/>
        <v>EA</v>
      </c>
      <c r="I3404">
        <v>0</v>
      </c>
      <c r="J3404">
        <v>0</v>
      </c>
      <c r="K3404" t="str">
        <f t="shared" si="864"/>
        <v>Y</v>
      </c>
      <c r="L3404">
        <v>0</v>
      </c>
      <c r="M3404" t="str">
        <f t="shared" si="852"/>
        <v>NIS</v>
      </c>
      <c r="N3404" t="str">
        <f>"Y"</f>
        <v>Y</v>
      </c>
      <c r="O3404">
        <v>19</v>
      </c>
      <c r="P3404" t="str">
        <f t="shared" si="862"/>
        <v>Active</v>
      </c>
      <c r="Q3404" t="str">
        <f>"4"" Precision Maching Vise"</f>
        <v>4" Precision Maching Vise</v>
      </c>
      <c r="S3404" t="str">
        <f>"4"" Precision Maching Vise"</f>
        <v>4" Precision Maching Vise</v>
      </c>
      <c r="T3404">
        <v>0</v>
      </c>
      <c r="U3404">
        <v>53</v>
      </c>
      <c r="V3404">
        <v>49.5</v>
      </c>
      <c r="W3404" t="str">
        <f t="shared" si="858"/>
        <v>rob</v>
      </c>
    </row>
    <row r="3405" spans="1:23">
      <c r="A3405" t="str">
        <f t="shared" si="859"/>
        <v>MTS-MH5F-BM-BT</v>
      </c>
      <c r="B3405" t="str">
        <f>"10-1111-5000"</f>
        <v>10-1111-5000</v>
      </c>
      <c r="C3405" t="str">
        <f>"clamping kit 58 pcs set"</f>
        <v>clamping kit 58 pcs set</v>
      </c>
      <c r="D3405">
        <v>1</v>
      </c>
      <c r="E3405" t="str">
        <f t="shared" si="860"/>
        <v>FMS - Motoman MH5F Robot with BenchMill 6000 (4 tool ATC) &amp; BenchTurn 7000 CNC machines</v>
      </c>
      <c r="F3405">
        <v>502</v>
      </c>
      <c r="G3405" t="str">
        <f t="shared" si="863"/>
        <v>Y</v>
      </c>
      <c r="H3405" t="str">
        <f t="shared" si="861"/>
        <v>EA</v>
      </c>
      <c r="I3405">
        <v>0</v>
      </c>
      <c r="J3405">
        <v>0</v>
      </c>
      <c r="K3405" t="str">
        <f t="shared" si="864"/>
        <v>Y</v>
      </c>
      <c r="L3405">
        <v>0</v>
      </c>
      <c r="M3405" t="str">
        <f t="shared" si="852"/>
        <v>NIS</v>
      </c>
      <c r="N3405" t="str">
        <f>"Y"</f>
        <v>Y</v>
      </c>
      <c r="O3405">
        <v>20</v>
      </c>
      <c r="P3405" t="str">
        <f t="shared" si="862"/>
        <v>Active</v>
      </c>
      <c r="Q3405" t="str">
        <f>"clamping kit 58 pcs set"</f>
        <v>clamping kit 58 pcs set</v>
      </c>
      <c r="S3405" t="str">
        <f>"clamping kit 58 pcs set"</f>
        <v>clamping kit 58 pcs set</v>
      </c>
      <c r="T3405">
        <v>0</v>
      </c>
      <c r="U3405">
        <v>52</v>
      </c>
      <c r="V3405">
        <v>51.72</v>
      </c>
      <c r="W3405" t="str">
        <f t="shared" si="858"/>
        <v>rob</v>
      </c>
    </row>
    <row r="3406" spans="1:23">
      <c r="A3406" t="str">
        <f t="shared" si="859"/>
        <v>MTS-MH5F-BM-BT</v>
      </c>
      <c r="B3406" t="str">
        <f>"10-1108-8000"</f>
        <v>10-1108-8000</v>
      </c>
      <c r="C3406" t="str">
        <f>"- 4th Axis rotary worktable with tailstock"</f>
        <v>- 4th Axis rotary worktable with tailstock</v>
      </c>
      <c r="D3406">
        <v>1</v>
      </c>
      <c r="E3406" t="str">
        <f t="shared" si="860"/>
        <v>FMS - Motoman MH5F Robot with BenchMill 6000 (4 tool ATC) &amp; BenchTurn 7000 CNC machines</v>
      </c>
      <c r="F3406">
        <v>502</v>
      </c>
      <c r="G3406" t="str">
        <f t="shared" si="863"/>
        <v>Y</v>
      </c>
      <c r="H3406" t="str">
        <f t="shared" si="861"/>
        <v>EA</v>
      </c>
      <c r="I3406">
        <v>0</v>
      </c>
      <c r="J3406">
        <v>0</v>
      </c>
      <c r="K3406" t="str">
        <f t="shared" si="864"/>
        <v>Y</v>
      </c>
      <c r="L3406">
        <v>0</v>
      </c>
      <c r="M3406" t="str">
        <f t="shared" ref="M3406:M3469" si="865">"NIS"</f>
        <v>NIS</v>
      </c>
      <c r="N3406" t="str">
        <f>"Y"</f>
        <v>Y</v>
      </c>
      <c r="O3406">
        <v>21</v>
      </c>
      <c r="P3406" t="str">
        <f t="shared" si="862"/>
        <v>Active</v>
      </c>
      <c r="Q3406" t="str">
        <f>"100mm rotary worktable (4th axis) with tailstock"</f>
        <v>100mm rotary worktable (4th axis) with tailstock</v>
      </c>
      <c r="S3406" t="str">
        <f>"100mm rotary worktable (4th axis) with tailstock"</f>
        <v>100mm rotary worktable (4th axis) with tailstock</v>
      </c>
      <c r="T3406">
        <v>0</v>
      </c>
      <c r="U3406">
        <v>614.64</v>
      </c>
      <c r="V3406">
        <v>594.83000000000004</v>
      </c>
      <c r="W3406" t="str">
        <f t="shared" si="858"/>
        <v>rob</v>
      </c>
    </row>
    <row r="3407" spans="1:23">
      <c r="A3407" t="str">
        <f t="shared" si="859"/>
        <v>MTS-MH5F-BM-BT</v>
      </c>
      <c r="B3407" t="str">
        <f>"10-1109-3000"</f>
        <v>10-1109-3000</v>
      </c>
      <c r="C3407" t="str">
        <f>"- 80mm 3-jaw chuck"</f>
        <v>- 80mm 3-jaw chuck</v>
      </c>
      <c r="D3407">
        <v>1</v>
      </c>
      <c r="E3407" t="str">
        <f t="shared" si="860"/>
        <v>FMS - Motoman MH5F Robot with BenchMill 6000 (4 tool ATC) &amp; BenchTurn 7000 CNC machines</v>
      </c>
      <c r="F3407">
        <v>502</v>
      </c>
      <c r="G3407" t="str">
        <f t="shared" si="863"/>
        <v>Y</v>
      </c>
      <c r="H3407" t="str">
        <f t="shared" si="861"/>
        <v>EA</v>
      </c>
      <c r="I3407">
        <v>0</v>
      </c>
      <c r="J3407">
        <v>0</v>
      </c>
      <c r="K3407" t="str">
        <f t="shared" si="864"/>
        <v>Y</v>
      </c>
      <c r="L3407">
        <v>0</v>
      </c>
      <c r="M3407" t="str">
        <f t="shared" si="865"/>
        <v>NIS</v>
      </c>
      <c r="N3407" t="str">
        <f>"Y"</f>
        <v>Y</v>
      </c>
      <c r="O3407">
        <v>22</v>
      </c>
      <c r="P3407" t="str">
        <f t="shared" si="862"/>
        <v>Active</v>
      </c>
      <c r="Q3407" t="str">
        <f>"80mm 3-jaw chuck"</f>
        <v>80mm 3-jaw chuck</v>
      </c>
      <c r="S3407" t="str">
        <f>"80mm 3-jaw chuck"</f>
        <v>80mm 3-jaw chuck</v>
      </c>
      <c r="T3407">
        <v>0</v>
      </c>
      <c r="U3407">
        <v>53</v>
      </c>
      <c r="V3407">
        <v>52.35</v>
      </c>
      <c r="W3407" t="str">
        <f t="shared" si="858"/>
        <v>rob</v>
      </c>
    </row>
    <row r="3408" spans="1:23">
      <c r="A3408" t="str">
        <f t="shared" si="859"/>
        <v>MTS-MH5F-BM-BT</v>
      </c>
      <c r="B3408" t="str">
        <f>"10-1112-2000"</f>
        <v>10-1112-2000</v>
      </c>
      <c r="C3408" t="str">
        <f>"ER16 Collet set-8 pieces(3,4,5,6,7,8,9 and 10mm)"</f>
        <v>ER16 Collet set-8 pieces(3,4,5,6,7,8,9 and 10mm)</v>
      </c>
      <c r="D3408">
        <v>1</v>
      </c>
      <c r="E3408" t="str">
        <f t="shared" si="860"/>
        <v>FMS - Motoman MH5F Robot with BenchMill 6000 (4 tool ATC) &amp; BenchTurn 7000 CNC machines</v>
      </c>
      <c r="F3408">
        <v>502</v>
      </c>
      <c r="G3408" t="str">
        <f t="shared" si="863"/>
        <v>Y</v>
      </c>
      <c r="H3408" t="str">
        <f t="shared" si="861"/>
        <v>EA</v>
      </c>
      <c r="I3408">
        <v>0</v>
      </c>
      <c r="J3408">
        <v>0</v>
      </c>
      <c r="K3408" t="str">
        <f t="shared" si="864"/>
        <v>Y</v>
      </c>
      <c r="L3408">
        <v>0</v>
      </c>
      <c r="M3408" t="str">
        <f t="shared" si="865"/>
        <v>NIS</v>
      </c>
      <c r="O3408">
        <v>23</v>
      </c>
      <c r="P3408" t="str">
        <f t="shared" si="862"/>
        <v>Active</v>
      </c>
      <c r="Q3408" t="str">
        <f>"ER16 Collet set-8 pieces(3,4,5,6,7,8,9 and 10mm)"</f>
        <v>ER16 Collet set-8 pieces(3,4,5,6,7,8,9 and 10mm)</v>
      </c>
      <c r="S3408" t="str">
        <f>"ER16 Collet set-8 pieces(3,4,5,6,7,8,9 and 10mm)"</f>
        <v>ER16 Collet set-8 pieces(3,4,5,6,7,8,9 and 10mm)</v>
      </c>
      <c r="T3408">
        <v>0</v>
      </c>
      <c r="U3408">
        <v>71</v>
      </c>
      <c r="V3408">
        <v>64.84</v>
      </c>
      <c r="W3408" t="str">
        <f t="shared" si="858"/>
        <v>rob</v>
      </c>
    </row>
    <row r="3409" spans="1:23">
      <c r="A3409" t="str">
        <f t="shared" si="859"/>
        <v>MTS-MH5F-BM-BT</v>
      </c>
      <c r="B3409" t="str">
        <f>"10-1108-1220"</f>
        <v>10-1108-1220</v>
      </c>
      <c r="C3409" t="str">
        <f>"- Coolant system 27L -220V"</f>
        <v>- Coolant system 27L -220V</v>
      </c>
      <c r="D3409">
        <v>1</v>
      </c>
      <c r="E3409" t="str">
        <f t="shared" si="860"/>
        <v>FMS - Motoman MH5F Robot with BenchMill 6000 (4 tool ATC) &amp; BenchTurn 7000 CNC machines</v>
      </c>
      <c r="F3409">
        <v>502</v>
      </c>
      <c r="G3409" t="str">
        <f t="shared" si="863"/>
        <v>Y</v>
      </c>
      <c r="H3409" t="str">
        <f t="shared" si="861"/>
        <v>EA</v>
      </c>
      <c r="I3409">
        <v>0</v>
      </c>
      <c r="J3409">
        <v>0</v>
      </c>
      <c r="K3409" t="str">
        <f t="shared" si="864"/>
        <v>Y</v>
      </c>
      <c r="L3409">
        <v>0</v>
      </c>
      <c r="M3409" t="str">
        <f t="shared" si="865"/>
        <v>NIS</v>
      </c>
      <c r="N3409" t="str">
        <f>"Y"</f>
        <v>Y</v>
      </c>
      <c r="O3409">
        <v>24</v>
      </c>
      <c r="P3409" t="str">
        <f t="shared" si="862"/>
        <v>Active</v>
      </c>
      <c r="Q3409" t="str">
        <f>"Coolant system 27L - 220V"</f>
        <v>Coolant system 27L - 220V</v>
      </c>
      <c r="S3409" t="str">
        <f>"Coolant system 27L - 220V"</f>
        <v>Coolant system 27L - 220V</v>
      </c>
      <c r="T3409">
        <v>0</v>
      </c>
      <c r="U3409">
        <v>117.08</v>
      </c>
      <c r="V3409">
        <v>117.15</v>
      </c>
      <c r="W3409" t="str">
        <f t="shared" si="858"/>
        <v>rob</v>
      </c>
    </row>
    <row r="3410" spans="1:23">
      <c r="A3410" t="str">
        <f t="shared" si="859"/>
        <v>MTS-MH5F-BM-BT</v>
      </c>
      <c r="B3410" t="str">
        <f>"10-1111-9000"</f>
        <v>10-1111-9000</v>
      </c>
      <c r="C3410" t="str">
        <f>"ISO 20 tool holder"</f>
        <v>ISO 20 tool holder</v>
      </c>
      <c r="D3410">
        <v>4</v>
      </c>
      <c r="E3410" t="str">
        <f t="shared" si="860"/>
        <v>FMS - Motoman MH5F Robot with BenchMill 6000 (4 tool ATC) &amp; BenchTurn 7000 CNC machines</v>
      </c>
      <c r="F3410">
        <v>502</v>
      </c>
      <c r="G3410" t="str">
        <f t="shared" si="863"/>
        <v>Y</v>
      </c>
      <c r="H3410" t="str">
        <f t="shared" si="861"/>
        <v>EA</v>
      </c>
      <c r="I3410">
        <v>0</v>
      </c>
      <c r="J3410">
        <v>0</v>
      </c>
      <c r="K3410" t="str">
        <f t="shared" si="864"/>
        <v>Y</v>
      </c>
      <c r="L3410">
        <v>0</v>
      </c>
      <c r="M3410" t="str">
        <f t="shared" si="865"/>
        <v>NIS</v>
      </c>
      <c r="O3410">
        <v>25</v>
      </c>
      <c r="P3410" t="str">
        <f t="shared" si="862"/>
        <v>Active</v>
      </c>
      <c r="Q3410" t="str">
        <f>"ISO 20 tool holder with nut"</f>
        <v>ISO 20 tool holder with nut</v>
      </c>
      <c r="S3410" t="str">
        <f>"ISO 20 tool holder with nut"</f>
        <v>ISO 20 tool holder with nut</v>
      </c>
      <c r="T3410">
        <v>0</v>
      </c>
      <c r="U3410">
        <v>103</v>
      </c>
      <c r="V3410">
        <v>103.19</v>
      </c>
      <c r="W3410" t="str">
        <f t="shared" si="858"/>
        <v>rob</v>
      </c>
    </row>
    <row r="3411" spans="1:23">
      <c r="A3411" t="str">
        <f t="shared" si="859"/>
        <v>MTS-MH5F-BM-BT</v>
      </c>
      <c r="B3411" t="str">
        <f>"10-1113-6000"</f>
        <v>10-1113-6000</v>
      </c>
      <c r="C3411" t="str">
        <f>"- Metric Engraving Package (1,1.5,2 mm End mill)"</f>
        <v>- Metric Engraving Package (1,1.5,2 mm End mill)</v>
      </c>
      <c r="D3411">
        <v>1</v>
      </c>
      <c r="E3411" t="str">
        <f t="shared" si="860"/>
        <v>FMS - Motoman MH5F Robot with BenchMill 6000 (4 tool ATC) &amp; BenchTurn 7000 CNC machines</v>
      </c>
      <c r="F3411">
        <v>502</v>
      </c>
      <c r="G3411" t="str">
        <f t="shared" si="863"/>
        <v>Y</v>
      </c>
      <c r="H3411" t="str">
        <f t="shared" si="861"/>
        <v>EA</v>
      </c>
      <c r="I3411">
        <v>0</v>
      </c>
      <c r="J3411">
        <v>0</v>
      </c>
      <c r="K3411" t="str">
        <f t="shared" si="864"/>
        <v>Y</v>
      </c>
      <c r="L3411">
        <v>0</v>
      </c>
      <c r="M3411" t="str">
        <f t="shared" si="865"/>
        <v>NIS</v>
      </c>
      <c r="O3411">
        <v>26</v>
      </c>
      <c r="P3411" t="str">
        <f t="shared" si="862"/>
        <v>Active</v>
      </c>
      <c r="Q3411" t="str">
        <f>"Metric Engraving Package 5711"</f>
        <v>Metric Engraving Package 5711</v>
      </c>
      <c r="S3411" t="str">
        <f>"Metric Engraving Package 5711"</f>
        <v>Metric Engraving Package 5711</v>
      </c>
      <c r="T3411">
        <v>0</v>
      </c>
      <c r="U3411">
        <v>41</v>
      </c>
      <c r="V3411">
        <v>37.909999999999997</v>
      </c>
      <c r="W3411" t="str">
        <f t="shared" si="858"/>
        <v>rob</v>
      </c>
    </row>
    <row r="3412" spans="1:23">
      <c r="A3412" t="str">
        <f t="shared" si="859"/>
        <v>MTS-MH5F-BM-BT</v>
      </c>
      <c r="B3412" t="str">
        <f>"10-1111-3000"</f>
        <v>10-1111-3000</v>
      </c>
      <c r="C3412" t="str">
        <f>"- Fanuc Emulator Panel with software"</f>
        <v>- Fanuc Emulator Panel with software</v>
      </c>
      <c r="D3412">
        <v>1</v>
      </c>
      <c r="E3412" t="str">
        <f t="shared" si="860"/>
        <v>FMS - Motoman MH5F Robot with BenchMill 6000 (4 tool ATC) &amp; BenchTurn 7000 CNC machines</v>
      </c>
      <c r="F3412">
        <v>502</v>
      </c>
      <c r="G3412" t="str">
        <f t="shared" si="863"/>
        <v>Y</v>
      </c>
      <c r="H3412" t="str">
        <f t="shared" si="861"/>
        <v>EA</v>
      </c>
      <c r="I3412">
        <v>0</v>
      </c>
      <c r="J3412">
        <v>0</v>
      </c>
      <c r="K3412" t="str">
        <f t="shared" si="864"/>
        <v>Y</v>
      </c>
      <c r="L3412">
        <v>0</v>
      </c>
      <c r="M3412" t="str">
        <f t="shared" si="865"/>
        <v>NIS</v>
      </c>
      <c r="N3412" t="str">
        <f>"Y"</f>
        <v>Y</v>
      </c>
      <c r="O3412">
        <v>27</v>
      </c>
      <c r="P3412" t="str">
        <f>"Phase Out"</f>
        <v>Phase Out</v>
      </c>
      <c r="Q3412" t="str">
        <f>"Fanuc simulator with software"</f>
        <v>Fanuc simulator with software</v>
      </c>
      <c r="S3412" t="str">
        <f>"Fanuc simulator with software"</f>
        <v>Fanuc simulator with software</v>
      </c>
      <c r="T3412">
        <v>0</v>
      </c>
      <c r="U3412">
        <v>664</v>
      </c>
      <c r="V3412">
        <v>597.4</v>
      </c>
      <c r="W3412" t="str">
        <f t="shared" si="858"/>
        <v>rob</v>
      </c>
    </row>
    <row r="3413" spans="1:23">
      <c r="A3413" t="str">
        <f t="shared" si="859"/>
        <v>MTS-MH5F-BM-BT</v>
      </c>
      <c r="B3413" t="str">
        <f>"10-1108-9000"</f>
        <v>10-1108-9000</v>
      </c>
      <c r="C3413" t="str">
        <f>"- Fanuc panel / Computer stand"</f>
        <v>- Fanuc panel / Computer stand</v>
      </c>
      <c r="D3413">
        <v>1</v>
      </c>
      <c r="E3413" t="str">
        <f t="shared" si="860"/>
        <v>FMS - Motoman MH5F Robot with BenchMill 6000 (4 tool ATC) &amp; BenchTurn 7000 CNC machines</v>
      </c>
      <c r="F3413">
        <v>502</v>
      </c>
      <c r="G3413" t="str">
        <f t="shared" si="863"/>
        <v>Y</v>
      </c>
      <c r="H3413" t="str">
        <f t="shared" si="861"/>
        <v>EA</v>
      </c>
      <c r="I3413">
        <v>0</v>
      </c>
      <c r="J3413">
        <v>0</v>
      </c>
      <c r="K3413" t="str">
        <f t="shared" si="864"/>
        <v>Y</v>
      </c>
      <c r="L3413">
        <v>0</v>
      </c>
      <c r="M3413" t="str">
        <f t="shared" si="865"/>
        <v>NIS</v>
      </c>
      <c r="N3413" t="str">
        <f>"Y"</f>
        <v>Y</v>
      </c>
      <c r="O3413">
        <v>28</v>
      </c>
      <c r="P3413" t="str">
        <f t="shared" ref="P3413:P3427" si="866">"Active"</f>
        <v>Active</v>
      </c>
      <c r="Q3413" t="str">
        <f>"Computer stand"</f>
        <v>Computer stand</v>
      </c>
      <c r="S3413" t="str">
        <f>"Computer stand"</f>
        <v>Computer stand</v>
      </c>
      <c r="T3413">
        <v>0</v>
      </c>
      <c r="U3413">
        <v>128.78</v>
      </c>
      <c r="V3413">
        <v>193.77</v>
      </c>
      <c r="W3413" t="str">
        <f t="shared" si="858"/>
        <v>rob</v>
      </c>
    </row>
    <row r="3414" spans="1:23">
      <c r="A3414" t="str">
        <f t="shared" si="859"/>
        <v>MTS-MH5F-BM-BT</v>
      </c>
      <c r="B3414" t="str">
        <f>"113034"</f>
        <v>113034</v>
      </c>
      <c r="C3414" t="str">
        <f>"Raw Material - Perspex Block"</f>
        <v>Raw Material - Perspex Block</v>
      </c>
      <c r="D3414">
        <v>50</v>
      </c>
      <c r="E3414" t="str">
        <f t="shared" si="860"/>
        <v>FMS - Motoman MH5F Robot with BenchMill 6000 (4 tool ATC) &amp; BenchTurn 7000 CNC machines</v>
      </c>
      <c r="F3414">
        <v>502</v>
      </c>
      <c r="G3414" t="str">
        <f t="shared" si="863"/>
        <v>Y</v>
      </c>
      <c r="H3414" t="str">
        <f t="shared" si="861"/>
        <v>EA</v>
      </c>
      <c r="I3414">
        <v>0</v>
      </c>
      <c r="J3414">
        <v>0</v>
      </c>
      <c r="K3414" t="str">
        <f t="shared" si="864"/>
        <v>Y</v>
      </c>
      <c r="L3414">
        <v>0</v>
      </c>
      <c r="M3414" t="str">
        <f t="shared" si="865"/>
        <v>NIS</v>
      </c>
      <c r="O3414">
        <v>29</v>
      </c>
      <c r="P3414" t="str">
        <f t="shared" si="866"/>
        <v>Active</v>
      </c>
      <c r="Q3414" t="str">
        <f>"Raw Material Stock - Perspex Block"</f>
        <v>Raw Material Stock - Perspex Block</v>
      </c>
      <c r="S3414" t="str">
        <f>"Raw Material Stock - Perspex Block"</f>
        <v>Raw Material Stock - Perspex Block</v>
      </c>
      <c r="T3414">
        <v>0</v>
      </c>
      <c r="U3414">
        <v>1.1000000000000001</v>
      </c>
      <c r="V3414">
        <v>1.0900000000000001</v>
      </c>
      <c r="W3414" t="str">
        <f t="shared" si="858"/>
        <v>rob</v>
      </c>
    </row>
    <row r="3415" spans="1:23">
      <c r="A3415" t="str">
        <f t="shared" si="859"/>
        <v>MTS-MH5F-BM-BT</v>
      </c>
      <c r="B3415" t="str">
        <f>"10-2120-1000"</f>
        <v>10-2120-1000</v>
      </c>
      <c r="C3415" t="str">
        <f>"CNC Interface with BenchTurn 7000"</f>
        <v>CNC Interface with BenchTurn 7000</v>
      </c>
      <c r="D3415">
        <v>1</v>
      </c>
      <c r="E3415" t="str">
        <f t="shared" si="860"/>
        <v>FMS - Motoman MH5F Robot with BenchMill 6000 (4 tool ATC) &amp; BenchTurn 7000 CNC machines</v>
      </c>
      <c r="F3415">
        <v>502</v>
      </c>
      <c r="G3415" t="str">
        <f t="shared" si="863"/>
        <v>Y</v>
      </c>
      <c r="H3415" t="str">
        <f t="shared" si="861"/>
        <v>EA</v>
      </c>
      <c r="I3415">
        <v>0</v>
      </c>
      <c r="J3415">
        <v>0</v>
      </c>
      <c r="K3415" t="str">
        <f t="shared" si="864"/>
        <v>Y</v>
      </c>
      <c r="L3415">
        <v>0</v>
      </c>
      <c r="M3415" t="str">
        <f t="shared" si="865"/>
        <v>NIS</v>
      </c>
      <c r="O3415">
        <v>30</v>
      </c>
      <c r="P3415" t="str">
        <f t="shared" si="866"/>
        <v>Active</v>
      </c>
      <c r="Q3415" t="str">
        <f>"CNC Interface with BenchTurn 7000"</f>
        <v>CNC Interface with BenchTurn 7000</v>
      </c>
      <c r="S3415" t="str">
        <f>"CNC Interface with BenchTurn 7000"</f>
        <v>CNC Interface with BenchTurn 7000</v>
      </c>
      <c r="T3415">
        <v>0</v>
      </c>
      <c r="U3415">
        <v>60</v>
      </c>
      <c r="V3415">
        <v>19.7</v>
      </c>
      <c r="W3415" t="str">
        <f t="shared" si="858"/>
        <v>rob</v>
      </c>
    </row>
    <row r="3416" spans="1:23">
      <c r="A3416" t="str">
        <f t="shared" si="859"/>
        <v>MTS-MH5F-BM-BT</v>
      </c>
      <c r="B3416" t="str">
        <f>"00-5504-0220"</f>
        <v>00-5504-0220</v>
      </c>
      <c r="C3416" t="str">
        <f>"CNC BenchTurn 7000 220V"</f>
        <v>CNC BenchTurn 7000 220V</v>
      </c>
      <c r="D3416">
        <v>1</v>
      </c>
      <c r="E3416" t="str">
        <f t="shared" si="860"/>
        <v>FMS - Motoman MH5F Robot with BenchMill 6000 (4 tool ATC) &amp; BenchTurn 7000 CNC machines</v>
      </c>
      <c r="F3416">
        <v>502</v>
      </c>
      <c r="G3416" t="str">
        <f t="shared" si="863"/>
        <v>Y</v>
      </c>
      <c r="H3416" t="str">
        <f t="shared" si="861"/>
        <v>EA</v>
      </c>
      <c r="I3416">
        <v>0</v>
      </c>
      <c r="J3416">
        <v>0</v>
      </c>
      <c r="K3416" t="str">
        <f t="shared" si="864"/>
        <v>Y</v>
      </c>
      <c r="L3416">
        <v>0</v>
      </c>
      <c r="M3416" t="str">
        <f t="shared" si="865"/>
        <v>NIS</v>
      </c>
      <c r="O3416">
        <v>31</v>
      </c>
      <c r="P3416" t="str">
        <f t="shared" si="866"/>
        <v>Active</v>
      </c>
      <c r="Q3416" t="str">
        <f>"CNC BenchTurn 7000 220V"</f>
        <v>CNC BenchTurn 7000 220V</v>
      </c>
      <c r="S3416" t="str">
        <f>"CNC BenchTurn 7000 220V"</f>
        <v>CNC BenchTurn 7000 220V</v>
      </c>
      <c r="T3416">
        <v>0</v>
      </c>
      <c r="U3416" s="44">
        <v>4600</v>
      </c>
      <c r="V3416" s="44">
        <v>4551.93</v>
      </c>
      <c r="W3416" t="str">
        <f t="shared" si="858"/>
        <v>rob</v>
      </c>
    </row>
    <row r="3417" spans="1:23">
      <c r="A3417" t="str">
        <f t="shared" si="859"/>
        <v>MTS-MH5F-BM-BT</v>
      </c>
      <c r="B3417" t="str">
        <f>"10-1110-5000"</f>
        <v>10-1110-5000</v>
      </c>
      <c r="C3417" t="str">
        <f>"-- Pneumatic Shield (BenchTurn 7000 for FMS))"</f>
        <v>-- Pneumatic Shield (BenchTurn 7000 for FMS))</v>
      </c>
      <c r="D3417">
        <v>1</v>
      </c>
      <c r="E3417" t="str">
        <f t="shared" si="860"/>
        <v>FMS - Motoman MH5F Robot with BenchMill 6000 (4 tool ATC) &amp; BenchTurn 7000 CNC machines</v>
      </c>
      <c r="F3417">
        <v>502</v>
      </c>
      <c r="G3417" t="str">
        <f t="shared" si="863"/>
        <v>Y</v>
      </c>
      <c r="H3417" t="str">
        <f t="shared" si="861"/>
        <v>EA</v>
      </c>
      <c r="I3417">
        <v>0</v>
      </c>
      <c r="J3417">
        <v>0</v>
      </c>
      <c r="K3417" t="str">
        <f t="shared" si="864"/>
        <v>Y</v>
      </c>
      <c r="L3417">
        <v>0</v>
      </c>
      <c r="M3417" t="str">
        <f t="shared" si="865"/>
        <v>NIS</v>
      </c>
      <c r="O3417">
        <v>32</v>
      </c>
      <c r="P3417" t="str">
        <f t="shared" si="866"/>
        <v>Active</v>
      </c>
      <c r="Q3417" t="str">
        <f>"Pneumatic Shield with Sensors (BenchTurn 7000)"</f>
        <v>Pneumatic Shield with Sensors (BenchTurn 7000)</v>
      </c>
      <c r="S3417" t="str">
        <f>"Pneumatic Shield with Sensors (BenchTurn 7000)"</f>
        <v>Pneumatic Shield with Sensors (BenchTurn 7000)</v>
      </c>
      <c r="T3417">
        <v>0</v>
      </c>
      <c r="U3417">
        <v>144</v>
      </c>
      <c r="V3417">
        <v>128.55000000000001</v>
      </c>
      <c r="W3417" t="str">
        <f t="shared" si="858"/>
        <v>rob</v>
      </c>
    </row>
    <row r="3418" spans="1:23">
      <c r="A3418" t="str">
        <f t="shared" si="859"/>
        <v>MTS-MH5F-BM-BT</v>
      </c>
      <c r="B3418" t="str">
        <f>"63-6743-0000"</f>
        <v>63-6743-0000</v>
      </c>
      <c r="C3418" t="str">
        <f>"Software, SpectraCAM Turning"</f>
        <v>Software, SpectraCAM Turning</v>
      </c>
      <c r="D3418">
        <v>1</v>
      </c>
      <c r="E3418" t="str">
        <f t="shared" si="860"/>
        <v>FMS - Motoman MH5F Robot with BenchMill 6000 (4 tool ATC) &amp; BenchTurn 7000 CNC machines</v>
      </c>
      <c r="F3418">
        <v>502</v>
      </c>
      <c r="G3418" t="str">
        <f t="shared" si="863"/>
        <v>Y</v>
      </c>
      <c r="H3418" t="str">
        <f t="shared" si="861"/>
        <v>EA</v>
      </c>
      <c r="I3418">
        <v>0</v>
      </c>
      <c r="J3418">
        <v>0</v>
      </c>
      <c r="K3418" t="str">
        <f t="shared" si="864"/>
        <v>Y</v>
      </c>
      <c r="L3418">
        <v>0</v>
      </c>
      <c r="M3418" t="str">
        <f t="shared" si="865"/>
        <v>NIS</v>
      </c>
      <c r="O3418">
        <v>33</v>
      </c>
      <c r="P3418" t="str">
        <f t="shared" si="866"/>
        <v>Active</v>
      </c>
      <c r="Q3418" t="str">
        <f>"Software, SpectraCAM Turning"</f>
        <v>Software, SpectraCAM Turning</v>
      </c>
      <c r="S3418" t="str">
        <f>"Software, SpectraCAM Turning"</f>
        <v>Software, SpectraCAM Turning</v>
      </c>
      <c r="T3418">
        <v>0</v>
      </c>
      <c r="U3418">
        <v>10</v>
      </c>
      <c r="V3418">
        <v>10.4</v>
      </c>
      <c r="W3418" t="str">
        <f t="shared" si="858"/>
        <v>rob</v>
      </c>
    </row>
    <row r="3419" spans="1:23">
      <c r="A3419" t="str">
        <f t="shared" si="859"/>
        <v>MTS-MH5F-BM-BT</v>
      </c>
      <c r="B3419" t="str">
        <f>"10-1110-9000"</f>
        <v>10-1110-9000</v>
      </c>
      <c r="C3419" t="str">
        <f>"-- Pneumatic Chuck (BenchTurn 7000 for FMS)"</f>
        <v>-- Pneumatic Chuck (BenchTurn 7000 for FMS)</v>
      </c>
      <c r="D3419">
        <v>1</v>
      </c>
      <c r="E3419" t="str">
        <f t="shared" si="860"/>
        <v>FMS - Motoman MH5F Robot with BenchMill 6000 (4 tool ATC) &amp; BenchTurn 7000 CNC machines</v>
      </c>
      <c r="F3419">
        <v>502</v>
      </c>
      <c r="G3419" t="str">
        <f t="shared" si="863"/>
        <v>Y</v>
      </c>
      <c r="H3419" t="str">
        <f t="shared" si="861"/>
        <v>EA</v>
      </c>
      <c r="I3419">
        <v>0</v>
      </c>
      <c r="J3419">
        <v>0</v>
      </c>
      <c r="K3419" t="str">
        <f t="shared" si="864"/>
        <v>Y</v>
      </c>
      <c r="L3419">
        <v>0</v>
      </c>
      <c r="M3419" t="str">
        <f t="shared" si="865"/>
        <v>NIS</v>
      </c>
      <c r="O3419">
        <v>34</v>
      </c>
      <c r="P3419" t="str">
        <f t="shared" si="866"/>
        <v>Active</v>
      </c>
      <c r="Q3419" t="str">
        <f>"Pneumatic Chuck (BenchTurn 7000)"</f>
        <v>Pneumatic Chuck (BenchTurn 7000)</v>
      </c>
      <c r="S3419" t="str">
        <f>"Pneumatic Chuck (BenchTurn 7000)"</f>
        <v>Pneumatic Chuck (BenchTurn 7000)</v>
      </c>
      <c r="T3419">
        <v>0</v>
      </c>
      <c r="U3419">
        <v>639</v>
      </c>
      <c r="V3419">
        <v>569.88</v>
      </c>
      <c r="W3419" t="str">
        <f t="shared" si="858"/>
        <v>rob</v>
      </c>
    </row>
    <row r="3420" spans="1:23">
      <c r="A3420" t="str">
        <f t="shared" si="859"/>
        <v>MTS-MH5F-BM-BT</v>
      </c>
      <c r="B3420" t="str">
        <f>"63-7001-1000"</f>
        <v>63-7001-1000</v>
      </c>
      <c r="C3420" t="str">
        <f>"-CNCMotion for BenchTurn 7000"</f>
        <v>-CNCMotion for BenchTurn 7000</v>
      </c>
      <c r="D3420">
        <v>1</v>
      </c>
      <c r="E3420" t="str">
        <f t="shared" si="860"/>
        <v>FMS - Motoman MH5F Robot with BenchMill 6000 (4 tool ATC) &amp; BenchTurn 7000 CNC machines</v>
      </c>
      <c r="F3420">
        <v>502</v>
      </c>
      <c r="G3420" t="str">
        <f t="shared" si="863"/>
        <v>Y</v>
      </c>
      <c r="H3420" t="str">
        <f t="shared" si="861"/>
        <v>EA</v>
      </c>
      <c r="I3420">
        <v>0</v>
      </c>
      <c r="J3420">
        <v>0</v>
      </c>
      <c r="K3420" t="str">
        <f t="shared" si="864"/>
        <v>Y</v>
      </c>
      <c r="L3420">
        <v>0</v>
      </c>
      <c r="M3420" t="str">
        <f t="shared" si="865"/>
        <v>NIS</v>
      </c>
      <c r="O3420">
        <v>35</v>
      </c>
      <c r="P3420" t="str">
        <f t="shared" si="866"/>
        <v>Active</v>
      </c>
      <c r="Q3420" t="str">
        <f>"CNCMotion Sim. Sftwr, BenchTurn 7000"</f>
        <v>CNCMotion Sim. Sftwr, BenchTurn 7000</v>
      </c>
      <c r="S3420" t="str">
        <f>"CNCMotion Sim. Sftwr, BenchTurn 7000"</f>
        <v>CNCMotion Sim. Sftwr, BenchTurn 7000</v>
      </c>
      <c r="T3420">
        <v>0</v>
      </c>
      <c r="U3420">
        <v>10</v>
      </c>
      <c r="V3420">
        <v>0</v>
      </c>
      <c r="W3420" t="str">
        <f t="shared" si="858"/>
        <v>rob</v>
      </c>
    </row>
    <row r="3421" spans="1:23">
      <c r="A3421" t="str">
        <f t="shared" si="859"/>
        <v>MTS-MH5F-BM-BT</v>
      </c>
      <c r="B3421" t="str">
        <f>"10-1110-1000"</f>
        <v>10-1110-1000</v>
      </c>
      <c r="C3421" t="str">
        <f>"10 x 10mm cutter tool holder"</f>
        <v>10 x 10mm cutter tool holder</v>
      </c>
      <c r="D3421">
        <v>1</v>
      </c>
      <c r="E3421" t="str">
        <f t="shared" si="860"/>
        <v>FMS - Motoman MH5F Robot with BenchMill 6000 (4 tool ATC) &amp; BenchTurn 7000 CNC machines</v>
      </c>
      <c r="F3421">
        <v>502</v>
      </c>
      <c r="G3421" t="str">
        <f t="shared" si="863"/>
        <v>Y</v>
      </c>
      <c r="H3421" t="str">
        <f t="shared" si="861"/>
        <v>EA</v>
      </c>
      <c r="I3421">
        <v>0</v>
      </c>
      <c r="J3421">
        <v>0</v>
      </c>
      <c r="K3421" t="str">
        <f t="shared" si="864"/>
        <v>Y</v>
      </c>
      <c r="L3421">
        <v>0</v>
      </c>
      <c r="M3421" t="str">
        <f t="shared" si="865"/>
        <v>NIS</v>
      </c>
      <c r="O3421">
        <v>36</v>
      </c>
      <c r="P3421" t="str">
        <f t="shared" si="866"/>
        <v>Active</v>
      </c>
      <c r="Q3421" t="str">
        <f>"10x10mm TiN coated cutter set (replaceable tip)"</f>
        <v>10x10mm TiN coated cutter set (replaceable tip)</v>
      </c>
      <c r="S3421" t="str">
        <f>"10x10mm TiN coated cutter set (replaceable tip)"</f>
        <v>10x10mm TiN coated cutter set (replaceable tip)</v>
      </c>
      <c r="T3421">
        <v>0</v>
      </c>
      <c r="U3421">
        <v>65</v>
      </c>
      <c r="V3421">
        <v>65.540000000000006</v>
      </c>
      <c r="W3421" t="str">
        <f t="shared" si="858"/>
        <v>rob</v>
      </c>
    </row>
    <row r="3422" spans="1:23">
      <c r="A3422" t="str">
        <f t="shared" si="859"/>
        <v>MTS-MH5F-BM-BT</v>
      </c>
      <c r="B3422" t="str">
        <f>"10-1110-2000"</f>
        <v>10-1110-2000</v>
      </c>
      <c r="C3422" t="str">
        <f>"TiN coated tip for 011101"</f>
        <v>TiN coated tip for 011101</v>
      </c>
      <c r="D3422">
        <v>1</v>
      </c>
      <c r="E3422" t="str">
        <f t="shared" si="860"/>
        <v>FMS - Motoman MH5F Robot with BenchMill 6000 (4 tool ATC) &amp; BenchTurn 7000 CNC machines</v>
      </c>
      <c r="F3422">
        <v>502</v>
      </c>
      <c r="G3422" t="str">
        <f t="shared" si="863"/>
        <v>Y</v>
      </c>
      <c r="H3422" t="str">
        <f t="shared" si="861"/>
        <v>EA</v>
      </c>
      <c r="I3422">
        <v>0</v>
      </c>
      <c r="J3422">
        <v>0</v>
      </c>
      <c r="K3422" t="str">
        <f t="shared" si="864"/>
        <v>Y</v>
      </c>
      <c r="L3422">
        <v>0</v>
      </c>
      <c r="M3422" t="str">
        <f t="shared" si="865"/>
        <v>NIS</v>
      </c>
      <c r="O3422">
        <v>37</v>
      </c>
      <c r="P3422" t="str">
        <f t="shared" si="866"/>
        <v>Active</v>
      </c>
      <c r="Q3422" t="str">
        <f>"TiN coated tip for 011101"</f>
        <v>TiN coated tip for 011101</v>
      </c>
      <c r="S3422" t="str">
        <f>"TiN coated tip for 011101"</f>
        <v>TiN coated tip for 011101</v>
      </c>
      <c r="T3422">
        <v>0</v>
      </c>
      <c r="U3422">
        <v>42</v>
      </c>
      <c r="V3422">
        <v>41.71</v>
      </c>
      <c r="W3422" t="str">
        <f t="shared" si="858"/>
        <v>rob</v>
      </c>
    </row>
    <row r="3423" spans="1:23">
      <c r="A3423" t="str">
        <f t="shared" si="859"/>
        <v>MTS-MH5F-BM-BT</v>
      </c>
      <c r="B3423" t="str">
        <f>"10-1106-6000"</f>
        <v>10-1106-6000</v>
      </c>
      <c r="C3423" t="str">
        <f>"- Rolling center"</f>
        <v>- Rolling center</v>
      </c>
      <c r="D3423">
        <v>1</v>
      </c>
      <c r="E3423" t="str">
        <f t="shared" si="860"/>
        <v>FMS - Motoman MH5F Robot with BenchMill 6000 (4 tool ATC) &amp; BenchTurn 7000 CNC machines</v>
      </c>
      <c r="F3423">
        <v>502</v>
      </c>
      <c r="G3423" t="str">
        <f t="shared" si="863"/>
        <v>Y</v>
      </c>
      <c r="H3423" t="str">
        <f t="shared" si="861"/>
        <v>EA</v>
      </c>
      <c r="I3423">
        <v>0</v>
      </c>
      <c r="J3423">
        <v>0</v>
      </c>
      <c r="K3423" t="str">
        <f t="shared" si="864"/>
        <v>Y</v>
      </c>
      <c r="L3423">
        <v>0</v>
      </c>
      <c r="M3423" t="str">
        <f t="shared" si="865"/>
        <v>NIS</v>
      </c>
      <c r="O3423">
        <v>38</v>
      </c>
      <c r="P3423" t="str">
        <f t="shared" si="866"/>
        <v>Active</v>
      </c>
      <c r="Q3423" t="str">
        <f>"Rolling center"</f>
        <v>Rolling center</v>
      </c>
      <c r="S3423" t="str">
        <f>"Rolling center"</f>
        <v>Rolling center</v>
      </c>
      <c r="T3423">
        <v>0</v>
      </c>
      <c r="U3423">
        <v>23.42</v>
      </c>
      <c r="V3423">
        <v>23.55</v>
      </c>
      <c r="W3423" t="str">
        <f t="shared" si="858"/>
        <v>rob</v>
      </c>
    </row>
    <row r="3424" spans="1:23">
      <c r="A3424" t="str">
        <f t="shared" si="859"/>
        <v>MTS-MH5F-BM-BT</v>
      </c>
      <c r="B3424" t="str">
        <f>"10-1105-7000"</f>
        <v>10-1105-7000</v>
      </c>
      <c r="C3424" t="str">
        <f>"Drill Chuck for Tailstock"</f>
        <v>Drill Chuck for Tailstock</v>
      </c>
      <c r="D3424">
        <v>1</v>
      </c>
      <c r="E3424" t="str">
        <f t="shared" si="860"/>
        <v>FMS - Motoman MH5F Robot with BenchMill 6000 (4 tool ATC) &amp; BenchTurn 7000 CNC machines</v>
      </c>
      <c r="F3424">
        <v>502</v>
      </c>
      <c r="G3424" t="str">
        <f t="shared" si="863"/>
        <v>Y</v>
      </c>
      <c r="H3424" t="str">
        <f t="shared" si="861"/>
        <v>EA</v>
      </c>
      <c r="I3424">
        <v>0</v>
      </c>
      <c r="J3424">
        <v>0</v>
      </c>
      <c r="K3424" t="str">
        <f t="shared" si="864"/>
        <v>Y</v>
      </c>
      <c r="L3424">
        <v>0</v>
      </c>
      <c r="M3424" t="str">
        <f t="shared" si="865"/>
        <v>NIS</v>
      </c>
      <c r="O3424">
        <v>39</v>
      </c>
      <c r="P3424" t="str">
        <f t="shared" si="866"/>
        <v>Active</v>
      </c>
      <c r="Q3424" t="str">
        <f>"Tailstock extender MT2 13mm tailstock chuck"</f>
        <v>Tailstock extender MT2 13mm tailstock chuck</v>
      </c>
      <c r="S3424" t="str">
        <f>"Drill Chuck for Tailstock MT2 13mm"</f>
        <v>Drill Chuck for Tailstock MT2 13mm</v>
      </c>
      <c r="T3424">
        <v>0</v>
      </c>
      <c r="U3424">
        <v>21.07</v>
      </c>
      <c r="V3424">
        <v>23.52</v>
      </c>
      <c r="W3424" t="str">
        <f t="shared" si="858"/>
        <v>rob</v>
      </c>
    </row>
    <row r="3425" spans="1:23">
      <c r="A3425" t="str">
        <f t="shared" si="859"/>
        <v>MTS-MH5F-BM-BT</v>
      </c>
      <c r="B3425" t="str">
        <f>"10-1111-1000"</f>
        <v>10-1111-1000</v>
      </c>
      <c r="C3425" t="str">
        <f>"- Handwheel - Manual Control"</f>
        <v>- Handwheel - Manual Control</v>
      </c>
      <c r="D3425">
        <v>1</v>
      </c>
      <c r="E3425" t="str">
        <f t="shared" si="860"/>
        <v>FMS - Motoman MH5F Robot with BenchMill 6000 (4 tool ATC) &amp; BenchTurn 7000 CNC machines</v>
      </c>
      <c r="F3425">
        <v>502</v>
      </c>
      <c r="G3425" t="str">
        <f t="shared" si="863"/>
        <v>Y</v>
      </c>
      <c r="H3425" t="str">
        <f t="shared" si="861"/>
        <v>EA</v>
      </c>
      <c r="I3425">
        <v>0</v>
      </c>
      <c r="J3425">
        <v>0</v>
      </c>
      <c r="K3425" t="str">
        <f t="shared" si="864"/>
        <v>Y</v>
      </c>
      <c r="L3425">
        <v>0</v>
      </c>
      <c r="M3425" t="str">
        <f t="shared" si="865"/>
        <v>NIS</v>
      </c>
      <c r="O3425">
        <v>40</v>
      </c>
      <c r="P3425" t="str">
        <f t="shared" si="866"/>
        <v>Active</v>
      </c>
      <c r="Q3425" t="str">
        <f>"Jog Pendant Handwheel"</f>
        <v>Jog Pendant Handwheel</v>
      </c>
      <c r="S3425" t="str">
        <f>"Jog Pendant Handwheel"</f>
        <v>Jog Pendant Handwheel</v>
      </c>
      <c r="T3425">
        <v>0</v>
      </c>
      <c r="U3425">
        <v>235</v>
      </c>
      <c r="V3425">
        <v>235.03</v>
      </c>
      <c r="W3425" t="str">
        <f t="shared" si="858"/>
        <v>rob</v>
      </c>
    </row>
    <row r="3426" spans="1:23">
      <c r="A3426" t="str">
        <f t="shared" si="859"/>
        <v>MTS-MH5F-BM-BT</v>
      </c>
      <c r="B3426" t="str">
        <f>"10-1106-7000"</f>
        <v>10-1106-7000</v>
      </c>
      <c r="C3426" t="str">
        <f>"- 100mm 4 independent jaw chuck"</f>
        <v>- 100mm 4 independent jaw chuck</v>
      </c>
      <c r="D3426">
        <v>1</v>
      </c>
      <c r="E3426" t="str">
        <f t="shared" si="860"/>
        <v>FMS - Motoman MH5F Robot with BenchMill 6000 (4 tool ATC) &amp; BenchTurn 7000 CNC machines</v>
      </c>
      <c r="F3426">
        <v>502</v>
      </c>
      <c r="G3426" t="str">
        <f t="shared" si="863"/>
        <v>Y</v>
      </c>
      <c r="H3426" t="str">
        <f t="shared" si="861"/>
        <v>EA</v>
      </c>
      <c r="I3426">
        <v>0</v>
      </c>
      <c r="J3426">
        <v>0</v>
      </c>
      <c r="K3426" t="str">
        <f t="shared" si="864"/>
        <v>Y</v>
      </c>
      <c r="L3426">
        <v>0</v>
      </c>
      <c r="M3426" t="str">
        <f t="shared" si="865"/>
        <v>NIS</v>
      </c>
      <c r="N3426" t="str">
        <f>"Y"</f>
        <v>Y</v>
      </c>
      <c r="O3426">
        <v>41</v>
      </c>
      <c r="P3426" t="str">
        <f t="shared" si="866"/>
        <v>Active</v>
      </c>
      <c r="Q3426" t="str">
        <f>"100mm 4-jaw chuck (independent)"</f>
        <v>100mm 4-jaw chuck (independent)</v>
      </c>
      <c r="S3426" t="str">
        <f>"100mm 4-jaw chuck (independent)"</f>
        <v>100mm 4-jaw chuck (independent)</v>
      </c>
      <c r="T3426">
        <v>0</v>
      </c>
      <c r="U3426">
        <v>64.39</v>
      </c>
      <c r="V3426">
        <v>67.209999999999994</v>
      </c>
      <c r="W3426" t="str">
        <f t="shared" ref="W3426:W3489" si="867">"rob"</f>
        <v>rob</v>
      </c>
    </row>
    <row r="3427" spans="1:23">
      <c r="A3427" t="str">
        <f t="shared" si="859"/>
        <v>MTS-MH5F-BM-BT</v>
      </c>
      <c r="B3427" t="str">
        <f>"10-1108-1220"</f>
        <v>10-1108-1220</v>
      </c>
      <c r="C3427" t="str">
        <f>"- Coolant system 27L -220V"</f>
        <v>- Coolant system 27L -220V</v>
      </c>
      <c r="D3427">
        <v>1</v>
      </c>
      <c r="E3427" t="str">
        <f t="shared" si="860"/>
        <v>FMS - Motoman MH5F Robot with BenchMill 6000 (4 tool ATC) &amp; BenchTurn 7000 CNC machines</v>
      </c>
      <c r="F3427">
        <v>502</v>
      </c>
      <c r="G3427" t="str">
        <f t="shared" si="863"/>
        <v>Y</v>
      </c>
      <c r="H3427" t="str">
        <f t="shared" si="861"/>
        <v>EA</v>
      </c>
      <c r="I3427">
        <v>0</v>
      </c>
      <c r="J3427">
        <v>0</v>
      </c>
      <c r="K3427" t="str">
        <f t="shared" si="864"/>
        <v>Y</v>
      </c>
      <c r="L3427">
        <v>0</v>
      </c>
      <c r="M3427" t="str">
        <f t="shared" si="865"/>
        <v>NIS</v>
      </c>
      <c r="N3427" t="str">
        <f>"Y"</f>
        <v>Y</v>
      </c>
      <c r="O3427">
        <v>42</v>
      </c>
      <c r="P3427" t="str">
        <f t="shared" si="866"/>
        <v>Active</v>
      </c>
      <c r="Q3427" t="str">
        <f>"Coolant system 27L - 220V"</f>
        <v>Coolant system 27L - 220V</v>
      </c>
      <c r="S3427" t="str">
        <f>"Coolant system 27L - 220V"</f>
        <v>Coolant system 27L - 220V</v>
      </c>
      <c r="T3427">
        <v>0</v>
      </c>
      <c r="U3427">
        <v>117.08</v>
      </c>
      <c r="V3427">
        <v>117.15</v>
      </c>
      <c r="W3427" t="str">
        <f t="shared" si="867"/>
        <v>rob</v>
      </c>
    </row>
    <row r="3428" spans="1:23">
      <c r="A3428" t="str">
        <f t="shared" si="859"/>
        <v>MTS-MH5F-BM-BT</v>
      </c>
      <c r="B3428" t="str">
        <f>"10-1111-3000"</f>
        <v>10-1111-3000</v>
      </c>
      <c r="C3428" t="str">
        <f>"- Fanuc Emulator Panel with software"</f>
        <v>- Fanuc Emulator Panel with software</v>
      </c>
      <c r="D3428">
        <v>1</v>
      </c>
      <c r="E3428" t="str">
        <f t="shared" si="860"/>
        <v>FMS - Motoman MH5F Robot with BenchMill 6000 (4 tool ATC) &amp; BenchTurn 7000 CNC machines</v>
      </c>
      <c r="F3428">
        <v>502</v>
      </c>
      <c r="G3428" t="str">
        <f t="shared" si="863"/>
        <v>Y</v>
      </c>
      <c r="H3428" t="str">
        <f t="shared" si="861"/>
        <v>EA</v>
      </c>
      <c r="I3428">
        <v>0</v>
      </c>
      <c r="J3428">
        <v>0</v>
      </c>
      <c r="K3428" t="str">
        <f t="shared" si="864"/>
        <v>Y</v>
      </c>
      <c r="L3428">
        <v>0</v>
      </c>
      <c r="M3428" t="str">
        <f t="shared" si="865"/>
        <v>NIS</v>
      </c>
      <c r="N3428" t="str">
        <f>"Y"</f>
        <v>Y</v>
      </c>
      <c r="O3428">
        <v>43</v>
      </c>
      <c r="P3428" t="str">
        <f>"Phase Out"</f>
        <v>Phase Out</v>
      </c>
      <c r="Q3428" t="str">
        <f>"Fanuc simulator with software"</f>
        <v>Fanuc simulator with software</v>
      </c>
      <c r="S3428" t="str">
        <f>"Fanuc simulator with software"</f>
        <v>Fanuc simulator with software</v>
      </c>
      <c r="T3428">
        <v>0</v>
      </c>
      <c r="U3428">
        <v>664</v>
      </c>
      <c r="V3428">
        <v>597.4</v>
      </c>
      <c r="W3428" t="str">
        <f t="shared" si="867"/>
        <v>rob</v>
      </c>
    </row>
    <row r="3429" spans="1:23">
      <c r="A3429" t="str">
        <f t="shared" si="859"/>
        <v>MTS-MH5F-BM-BT</v>
      </c>
      <c r="B3429" t="str">
        <f>"10-1108-9000"</f>
        <v>10-1108-9000</v>
      </c>
      <c r="C3429" t="str">
        <f>"- Fanuc panel / Computer stand"</f>
        <v>- Fanuc panel / Computer stand</v>
      </c>
      <c r="D3429">
        <v>1</v>
      </c>
      <c r="E3429" t="str">
        <f t="shared" si="860"/>
        <v>FMS - Motoman MH5F Robot with BenchMill 6000 (4 tool ATC) &amp; BenchTurn 7000 CNC machines</v>
      </c>
      <c r="F3429">
        <v>502</v>
      </c>
      <c r="G3429" t="str">
        <f t="shared" si="863"/>
        <v>Y</v>
      </c>
      <c r="H3429" t="str">
        <f t="shared" si="861"/>
        <v>EA</v>
      </c>
      <c r="I3429">
        <v>0</v>
      </c>
      <c r="J3429">
        <v>0</v>
      </c>
      <c r="K3429" t="str">
        <f t="shared" si="864"/>
        <v>Y</v>
      </c>
      <c r="L3429">
        <v>0</v>
      </c>
      <c r="M3429" t="str">
        <f t="shared" si="865"/>
        <v>NIS</v>
      </c>
      <c r="N3429" t="str">
        <f>"Y"</f>
        <v>Y</v>
      </c>
      <c r="O3429">
        <v>44</v>
      </c>
      <c r="P3429" t="str">
        <f t="shared" ref="P3429:P3435" si="868">"Active"</f>
        <v>Active</v>
      </c>
      <c r="Q3429" t="str">
        <f>"Computer stand"</f>
        <v>Computer stand</v>
      </c>
      <c r="S3429" t="str">
        <f>"Computer stand"</f>
        <v>Computer stand</v>
      </c>
      <c r="T3429">
        <v>0</v>
      </c>
      <c r="U3429">
        <v>128.78</v>
      </c>
      <c r="V3429">
        <v>193.77</v>
      </c>
      <c r="W3429" t="str">
        <f t="shared" si="867"/>
        <v>rob</v>
      </c>
    </row>
    <row r="3430" spans="1:23">
      <c r="A3430" t="str">
        <f t="shared" si="859"/>
        <v>MTS-MH5F-BM-BT</v>
      </c>
      <c r="B3430" t="str">
        <f>"112496"</f>
        <v>112496</v>
      </c>
      <c r="C3430" t="str">
        <f>"Raw Material - Brass  Rod"</f>
        <v>Raw Material - Brass  Rod</v>
      </c>
      <c r="D3430">
        <v>50</v>
      </c>
      <c r="E3430" t="str">
        <f t="shared" si="860"/>
        <v>FMS - Motoman MH5F Robot with BenchMill 6000 (4 tool ATC) &amp; BenchTurn 7000 CNC machines</v>
      </c>
      <c r="F3430">
        <v>502</v>
      </c>
      <c r="G3430" t="str">
        <f t="shared" si="863"/>
        <v>Y</v>
      </c>
      <c r="H3430" t="str">
        <f t="shared" si="861"/>
        <v>EA</v>
      </c>
      <c r="I3430">
        <v>0</v>
      </c>
      <c r="J3430">
        <v>0</v>
      </c>
      <c r="K3430" t="str">
        <f t="shared" si="864"/>
        <v>Y</v>
      </c>
      <c r="L3430">
        <v>0</v>
      </c>
      <c r="M3430" t="str">
        <f t="shared" si="865"/>
        <v>NIS</v>
      </c>
      <c r="O3430">
        <v>45</v>
      </c>
      <c r="P3430" t="str">
        <f t="shared" si="868"/>
        <v>Active</v>
      </c>
      <c r="Q3430" t="str">
        <f>"Raw Material Stock - Brass  Rod"</f>
        <v>Raw Material Stock - Brass  Rod</v>
      </c>
      <c r="S3430" t="str">
        <f>"Raw Material Stock - Brass  Rod"</f>
        <v>Raw Material Stock - Brass  Rod</v>
      </c>
      <c r="T3430">
        <v>0</v>
      </c>
      <c r="U3430">
        <v>3.67</v>
      </c>
      <c r="V3430">
        <v>2.69</v>
      </c>
      <c r="W3430" t="str">
        <f t="shared" si="867"/>
        <v>rob</v>
      </c>
    </row>
    <row r="3431" spans="1:23">
      <c r="A3431" t="str">
        <f t="shared" si="859"/>
        <v>MTS-MH5F-BM-BT</v>
      </c>
      <c r="B3431" t="str">
        <f>"00-1261-0000"</f>
        <v>00-1261-0000</v>
      </c>
      <c r="C3431" t="str">
        <f>"Workbench 1800x900mm (Heavy duty for CNC)"</f>
        <v>Workbench 1800x900mm (Heavy duty for CNC)</v>
      </c>
      <c r="D3431">
        <v>2</v>
      </c>
      <c r="E3431" t="str">
        <f t="shared" si="860"/>
        <v>FMS - Motoman MH5F Robot with BenchMill 6000 (4 tool ATC) &amp; BenchTurn 7000 CNC machines</v>
      </c>
      <c r="F3431">
        <v>502</v>
      </c>
      <c r="G3431" t="str">
        <f t="shared" si="863"/>
        <v>Y</v>
      </c>
      <c r="H3431" t="str">
        <f t="shared" si="861"/>
        <v>EA</v>
      </c>
      <c r="I3431">
        <v>0</v>
      </c>
      <c r="J3431">
        <v>0</v>
      </c>
      <c r="K3431" t="str">
        <f t="shared" si="864"/>
        <v>Y</v>
      </c>
      <c r="L3431">
        <v>0</v>
      </c>
      <c r="M3431" t="str">
        <f t="shared" si="865"/>
        <v>NIS</v>
      </c>
      <c r="O3431">
        <v>46</v>
      </c>
      <c r="P3431" t="str">
        <f t="shared" si="868"/>
        <v>Active</v>
      </c>
      <c r="Q3431" t="str">
        <f>"Workbench 1800x900mm (Heavy duty for CNC)"</f>
        <v>Workbench 1800x900mm (Heavy duty for CNC)</v>
      </c>
      <c r="S3431" t="str">
        <f>"Workbench 1800x900mm (Heavy duty for CNC)"</f>
        <v>Workbench 1800x900mm (Heavy duty for CNC)</v>
      </c>
      <c r="T3431">
        <v>0</v>
      </c>
      <c r="U3431">
        <v>830</v>
      </c>
      <c r="V3431">
        <v>831.14</v>
      </c>
      <c r="W3431" t="str">
        <f t="shared" si="867"/>
        <v>rob</v>
      </c>
    </row>
    <row r="3432" spans="1:23">
      <c r="A3432" t="str">
        <f t="shared" si="859"/>
        <v>MTS-MH5F-BM-BT</v>
      </c>
      <c r="B3432" t="str">
        <f>"00-1265-0000"</f>
        <v>00-1265-0000</v>
      </c>
      <c r="C3432" t="str">
        <f>"PC Extension Shelf  600x900mm"</f>
        <v>PC Extension Shelf  600x900mm</v>
      </c>
      <c r="D3432">
        <v>2</v>
      </c>
      <c r="E3432" t="str">
        <f t="shared" si="860"/>
        <v>FMS - Motoman MH5F Robot with BenchMill 6000 (4 tool ATC) &amp; BenchTurn 7000 CNC machines</v>
      </c>
      <c r="F3432">
        <v>502</v>
      </c>
      <c r="G3432" t="str">
        <f t="shared" si="863"/>
        <v>Y</v>
      </c>
      <c r="H3432" t="str">
        <f t="shared" si="861"/>
        <v>EA</v>
      </c>
      <c r="I3432">
        <v>0</v>
      </c>
      <c r="J3432">
        <v>0</v>
      </c>
      <c r="K3432" t="str">
        <f t="shared" si="864"/>
        <v>Y</v>
      </c>
      <c r="L3432">
        <v>0</v>
      </c>
      <c r="M3432" t="str">
        <f t="shared" si="865"/>
        <v>NIS</v>
      </c>
      <c r="O3432">
        <v>47</v>
      </c>
      <c r="P3432" t="str">
        <f t="shared" si="868"/>
        <v>Active</v>
      </c>
      <c r="Q3432" t="str">
        <f>"PC Extension Shelf  600x900mm"</f>
        <v>PC Extension Shelf  600x900mm</v>
      </c>
      <c r="S3432" t="str">
        <f>"PC Extension Shelf  600x900mm"</f>
        <v>PC Extension Shelf  600x900mm</v>
      </c>
      <c r="T3432">
        <v>0</v>
      </c>
      <c r="U3432">
        <v>211</v>
      </c>
      <c r="V3432">
        <v>198.88</v>
      </c>
      <c r="W3432" t="str">
        <f t="shared" si="867"/>
        <v>rob</v>
      </c>
    </row>
    <row r="3433" spans="1:23">
      <c r="A3433" t="str">
        <f t="shared" si="859"/>
        <v>MTS-MH5F-BM-BT</v>
      </c>
      <c r="B3433" t="str">
        <f>"50-0094-0000"</f>
        <v>50-0094-0000</v>
      </c>
      <c r="C3433" t="str">
        <f>"Pre-Engineering, Design and Testing"</f>
        <v>Pre-Engineering, Design and Testing</v>
      </c>
      <c r="D3433">
        <v>1</v>
      </c>
      <c r="E3433" t="str">
        <f t="shared" si="860"/>
        <v>FMS - Motoman MH5F Robot with BenchMill 6000 (4 tool ATC) &amp; BenchTurn 7000 CNC machines</v>
      </c>
      <c r="F3433">
        <v>502</v>
      </c>
      <c r="G3433" t="str">
        <f t="shared" si="863"/>
        <v>Y</v>
      </c>
      <c r="H3433" t="str">
        <f>"DA"</f>
        <v>DA</v>
      </c>
      <c r="I3433">
        <v>0</v>
      </c>
      <c r="J3433">
        <v>0</v>
      </c>
      <c r="K3433" t="str">
        <f t="shared" si="864"/>
        <v>Y</v>
      </c>
      <c r="L3433">
        <v>0</v>
      </c>
      <c r="M3433" t="str">
        <f t="shared" si="865"/>
        <v>NIS</v>
      </c>
      <c r="O3433">
        <v>48</v>
      </c>
      <c r="P3433" t="str">
        <f t="shared" si="868"/>
        <v>Active</v>
      </c>
      <c r="Q3433" t="str">
        <f>"Pre-Engineering, Design and Testing"</f>
        <v>Pre-Engineering, Design and Testing</v>
      </c>
      <c r="S3433" t="str">
        <f>"Pre-Engineering, Design and Testing"</f>
        <v>Pre-Engineering, Design and Testing</v>
      </c>
      <c r="T3433">
        <v>0</v>
      </c>
      <c r="U3433">
        <v>405</v>
      </c>
      <c r="V3433">
        <v>421.2</v>
      </c>
      <c r="W3433" t="str">
        <f t="shared" si="867"/>
        <v>rob</v>
      </c>
    </row>
    <row r="3434" spans="1:23">
      <c r="A3434" t="str">
        <f t="shared" ref="A3434:A3458" si="869">"MTS-MH5F-BT7000"</f>
        <v>MTS-MH5F-BT7000</v>
      </c>
      <c r="B3434" t="str">
        <f>"00-0436-0000"</f>
        <v>00-0436-0000</v>
      </c>
      <c r="C3434" t="str">
        <f>"MH5F compact high-speed 6-axis Robot"</f>
        <v>MH5F compact high-speed 6-axis Robot</v>
      </c>
      <c r="D3434">
        <v>1</v>
      </c>
      <c r="E3434" t="str">
        <f t="shared" ref="E3434:E3458" si="870">"FMS - Motoman MH5F Robot with BenchTurn 7000 CNC Turning machine"</f>
        <v>FMS - Motoman MH5F Robot with BenchTurn 7000 CNC Turning machine</v>
      </c>
      <c r="F3434">
        <v>502</v>
      </c>
      <c r="G3434" t="str">
        <f t="shared" si="863"/>
        <v>Y</v>
      </c>
      <c r="H3434" t="str">
        <f t="shared" ref="H3434:H3457" si="871">"EA"</f>
        <v>EA</v>
      </c>
      <c r="I3434">
        <v>0</v>
      </c>
      <c r="J3434">
        <v>0</v>
      </c>
      <c r="K3434" t="str">
        <f t="shared" si="864"/>
        <v>Y</v>
      </c>
      <c r="L3434">
        <v>0</v>
      </c>
      <c r="M3434" t="str">
        <f t="shared" si="865"/>
        <v>NIS</v>
      </c>
      <c r="O3434">
        <v>1</v>
      </c>
      <c r="P3434" t="str">
        <f t="shared" si="868"/>
        <v>Active</v>
      </c>
      <c r="Q3434" t="str">
        <f>"MH5F compact high-speed 6-axis Robot"</f>
        <v>MH5F compact high-speed 6-axis Robot</v>
      </c>
      <c r="S3434" t="str">
        <f>"MH5F compact high-speed 6-axis Robot"</f>
        <v>MH5F compact high-speed 6-axis Robot</v>
      </c>
      <c r="T3434">
        <v>0</v>
      </c>
      <c r="U3434" s="44">
        <v>23500</v>
      </c>
      <c r="V3434" s="44">
        <v>16049.14</v>
      </c>
      <c r="W3434" t="str">
        <f t="shared" si="867"/>
        <v>rob</v>
      </c>
    </row>
    <row r="3435" spans="1:23">
      <c r="A3435" t="str">
        <f t="shared" si="869"/>
        <v>MTS-MH5F-BT7000</v>
      </c>
      <c r="B3435" t="str">
        <f>"00-0646-0000"</f>
        <v>00-0646-0000</v>
      </c>
      <c r="C3435" t="str">
        <f>"Pneumatic Gripper with I/O Box for Motoman MH5F"</f>
        <v>Pneumatic Gripper with I/O Box for Motoman MH5F</v>
      </c>
      <c r="D3435">
        <v>1</v>
      </c>
      <c r="E3435" t="str">
        <f t="shared" si="870"/>
        <v>FMS - Motoman MH5F Robot with BenchTurn 7000 CNC Turning machine</v>
      </c>
      <c r="F3435">
        <v>502</v>
      </c>
      <c r="G3435" t="str">
        <f t="shared" si="863"/>
        <v>Y</v>
      </c>
      <c r="H3435" t="str">
        <f t="shared" si="871"/>
        <v>EA</v>
      </c>
      <c r="I3435">
        <v>0</v>
      </c>
      <c r="J3435">
        <v>0</v>
      </c>
      <c r="K3435" t="str">
        <f t="shared" si="864"/>
        <v>Y</v>
      </c>
      <c r="L3435">
        <v>0</v>
      </c>
      <c r="M3435" t="str">
        <f t="shared" si="865"/>
        <v>NIS</v>
      </c>
      <c r="O3435">
        <v>2</v>
      </c>
      <c r="P3435" t="str">
        <f t="shared" si="868"/>
        <v>Active</v>
      </c>
      <c r="Q3435" t="str">
        <f>"Pneumatic Gripper with I/O Box for Motoman MH5F"</f>
        <v>Pneumatic Gripper with I/O Box for Motoman MH5F</v>
      </c>
      <c r="S3435" t="str">
        <f>"Pneumatic Gripper with I/O Box for Motoman MH5F"</f>
        <v>Pneumatic Gripper with I/O Box for Motoman MH5F</v>
      </c>
      <c r="T3435">
        <v>0</v>
      </c>
      <c r="U3435" s="44">
        <v>1500</v>
      </c>
      <c r="V3435" s="44">
        <v>1238.52</v>
      </c>
      <c r="W3435" t="str">
        <f t="shared" si="867"/>
        <v>rob</v>
      </c>
    </row>
    <row r="3436" spans="1:23">
      <c r="A3436" t="str">
        <f t="shared" si="869"/>
        <v>MTS-MH5F-BT7000</v>
      </c>
      <c r="B3436" t="str">
        <f>"00-1026-0000"</f>
        <v>00-1026-0000</v>
      </c>
      <c r="C3436" t="str">
        <f>"LSB 1.0m, Belt, USB-Pro, for ind. robot &lt; 35kg"</f>
        <v>LSB 1.0m, Belt, USB-Pro, for ind. robot &lt; 35kg</v>
      </c>
      <c r="D3436">
        <v>1</v>
      </c>
      <c r="E3436" t="str">
        <f t="shared" si="870"/>
        <v>FMS - Motoman MH5F Robot with BenchTurn 7000 CNC Turning machine</v>
      </c>
      <c r="F3436">
        <v>502</v>
      </c>
      <c r="G3436" t="str">
        <f t="shared" si="863"/>
        <v>Y</v>
      </c>
      <c r="H3436" t="str">
        <f t="shared" si="871"/>
        <v>EA</v>
      </c>
      <c r="I3436">
        <v>0</v>
      </c>
      <c r="J3436">
        <v>0</v>
      </c>
      <c r="K3436" t="str">
        <f t="shared" si="864"/>
        <v>Y</v>
      </c>
      <c r="L3436">
        <v>0</v>
      </c>
      <c r="M3436" t="str">
        <f t="shared" si="865"/>
        <v>NIS</v>
      </c>
      <c r="O3436">
        <v>3</v>
      </c>
      <c r="P3436" t="str">
        <f>"Phase Out"</f>
        <v>Phase Out</v>
      </c>
      <c r="Q3436" t="str">
        <f>"LSB 1m incl. USB-Pro(Industr. robot max. 50kg)"</f>
        <v>LSB 1m incl. USB-Pro(Industr. robot max. 50kg)</v>
      </c>
      <c r="S3436" t="str">
        <f>"LSB 1.0m, Belt, USB-Pro, for ind. robot &lt; 35kg"</f>
        <v>LSB 1.0m, Belt, USB-Pro, for ind. robot &lt; 35kg</v>
      </c>
      <c r="T3436">
        <v>0</v>
      </c>
      <c r="U3436" s="44">
        <v>5000</v>
      </c>
      <c r="V3436" s="44">
        <v>4567.24</v>
      </c>
      <c r="W3436" t="str">
        <f t="shared" si="867"/>
        <v>rob</v>
      </c>
    </row>
    <row r="3437" spans="1:23">
      <c r="A3437" t="str">
        <f t="shared" si="869"/>
        <v>MTS-MH5F-BT7000</v>
      </c>
      <c r="B3437" t="str">
        <f>"021152"</f>
        <v>021152</v>
      </c>
      <c r="C3437" t="str">
        <f>"Shelf Buffer for CIM conveyor"</f>
        <v>Shelf Buffer for CIM conveyor</v>
      </c>
      <c r="D3437">
        <v>1</v>
      </c>
      <c r="E3437" t="str">
        <f t="shared" si="870"/>
        <v>FMS - Motoman MH5F Robot with BenchTurn 7000 CNC Turning machine</v>
      </c>
      <c r="F3437">
        <v>502</v>
      </c>
      <c r="G3437" t="str">
        <f t="shared" si="863"/>
        <v>Y</v>
      </c>
      <c r="H3437" t="str">
        <f t="shared" si="871"/>
        <v>EA</v>
      </c>
      <c r="I3437">
        <v>0</v>
      </c>
      <c r="J3437">
        <v>0</v>
      </c>
      <c r="K3437" t="str">
        <f t="shared" si="864"/>
        <v>Y</v>
      </c>
      <c r="L3437">
        <v>0</v>
      </c>
      <c r="M3437" t="str">
        <f t="shared" si="865"/>
        <v>NIS</v>
      </c>
      <c r="O3437">
        <v>4</v>
      </c>
      <c r="P3437" t="str">
        <f t="shared" ref="P3437:P3468" si="872">"Active"</f>
        <v>Active</v>
      </c>
      <c r="Q3437" t="str">
        <f>"מכלול- מדף בפר סטנדרטי OPEN-CIM"</f>
        <v>מכלול- מדף בפר סטנדרטי OPEN-CIM</v>
      </c>
      <c r="R3437" t="str">
        <f>"1"</f>
        <v>1</v>
      </c>
      <c r="S3437" t="str">
        <f>"מכלול- מדף בפר סטנדרטי OPEN-CIM"</f>
        <v>מכלול- מדף בפר סטנדרטי OPEN-CIM</v>
      </c>
      <c r="T3437">
        <v>0</v>
      </c>
      <c r="U3437">
        <v>83.12</v>
      </c>
      <c r="V3437">
        <v>92.76</v>
      </c>
      <c r="W3437" t="str">
        <f t="shared" si="867"/>
        <v>rob</v>
      </c>
    </row>
    <row r="3438" spans="1:23">
      <c r="A3438" t="str">
        <f t="shared" si="869"/>
        <v>MTS-MH5F-BT7000</v>
      </c>
      <c r="B3438" t="str">
        <f>"10-1007-4000"</f>
        <v>10-1007-4000</v>
      </c>
      <c r="C3438" t="str">
        <f>"Gravity Parts Feeder (with microswitch sensor)"</f>
        <v>Gravity Parts Feeder (with microswitch sensor)</v>
      </c>
      <c r="D3438">
        <v>1</v>
      </c>
      <c r="E3438" t="str">
        <f t="shared" si="870"/>
        <v>FMS - Motoman MH5F Robot with BenchTurn 7000 CNC Turning machine</v>
      </c>
      <c r="F3438">
        <v>502</v>
      </c>
      <c r="G3438" t="str">
        <f t="shared" si="863"/>
        <v>Y</v>
      </c>
      <c r="H3438" t="str">
        <f t="shared" si="871"/>
        <v>EA</v>
      </c>
      <c r="I3438">
        <v>0</v>
      </c>
      <c r="J3438">
        <v>0</v>
      </c>
      <c r="K3438" t="str">
        <f t="shared" si="864"/>
        <v>Y</v>
      </c>
      <c r="L3438">
        <v>0</v>
      </c>
      <c r="M3438" t="str">
        <f t="shared" si="865"/>
        <v>NIS</v>
      </c>
      <c r="O3438">
        <v>5</v>
      </c>
      <c r="P3438" t="str">
        <f t="shared" si="872"/>
        <v>Active</v>
      </c>
      <c r="Q3438" t="str">
        <f>"Gravity Parts Feeder (incl.microswitch sensor)"</f>
        <v>Gravity Parts Feeder (incl.microswitch sensor)</v>
      </c>
      <c r="S3438" t="str">
        <f>"Gravity Parts Feeder (incl.microswitch sensor)"</f>
        <v>Gravity Parts Feeder (incl.microswitch sensor)</v>
      </c>
      <c r="T3438">
        <v>0</v>
      </c>
      <c r="U3438">
        <v>148</v>
      </c>
      <c r="V3438">
        <v>148.26</v>
      </c>
      <c r="W3438" t="str">
        <f t="shared" si="867"/>
        <v>rob</v>
      </c>
    </row>
    <row r="3439" spans="1:23">
      <c r="A3439" t="str">
        <f t="shared" si="869"/>
        <v>MTS-MH5F-BT7000</v>
      </c>
      <c r="B3439" t="str">
        <f>"00-1110-0000"</f>
        <v>00-1110-0000</v>
      </c>
      <c r="C3439" t="str">
        <f>"Palletizing Rack"</f>
        <v>Palletizing Rack</v>
      </c>
      <c r="D3439">
        <v>1</v>
      </c>
      <c r="E3439" t="str">
        <f t="shared" si="870"/>
        <v>FMS - Motoman MH5F Robot with BenchTurn 7000 CNC Turning machine</v>
      </c>
      <c r="F3439">
        <v>502</v>
      </c>
      <c r="G3439" t="str">
        <f t="shared" si="863"/>
        <v>Y</v>
      </c>
      <c r="H3439" t="str">
        <f t="shared" si="871"/>
        <v>EA</v>
      </c>
      <c r="I3439">
        <v>0</v>
      </c>
      <c r="J3439">
        <v>0</v>
      </c>
      <c r="K3439" t="str">
        <f t="shared" si="864"/>
        <v>Y</v>
      </c>
      <c r="L3439">
        <v>0</v>
      </c>
      <c r="M3439" t="str">
        <f t="shared" si="865"/>
        <v>NIS</v>
      </c>
      <c r="O3439">
        <v>6</v>
      </c>
      <c r="P3439" t="str">
        <f t="shared" si="872"/>
        <v>Active</v>
      </c>
      <c r="Q3439" t="str">
        <f>"Palletizing Rack (incl. Pins for creating Jigs)"</f>
        <v>Palletizing Rack (incl. Pins for creating Jigs)</v>
      </c>
      <c r="S3439" t="str">
        <f>"Palletizing Rack (incl. Pins for creating Jigs)"</f>
        <v>Palletizing Rack (incl. Pins for creating Jigs)</v>
      </c>
      <c r="T3439">
        <v>0</v>
      </c>
      <c r="U3439">
        <v>63</v>
      </c>
      <c r="V3439">
        <v>58.59</v>
      </c>
      <c r="W3439" t="str">
        <f t="shared" si="867"/>
        <v>rob</v>
      </c>
    </row>
    <row r="3440" spans="1:23">
      <c r="A3440" t="str">
        <f t="shared" si="869"/>
        <v>MTS-MH5F-BT7000</v>
      </c>
      <c r="B3440" t="str">
        <f>"021182"</f>
        <v>021182</v>
      </c>
      <c r="C3440" t="str">
        <f>"97mm Height Adapter"</f>
        <v>97mm Height Adapter</v>
      </c>
      <c r="D3440">
        <v>1</v>
      </c>
      <c r="E3440" t="str">
        <f t="shared" si="870"/>
        <v>FMS - Motoman MH5F Robot with BenchTurn 7000 CNC Turning machine</v>
      </c>
      <c r="F3440">
        <v>502</v>
      </c>
      <c r="G3440" t="str">
        <f t="shared" si="863"/>
        <v>Y</v>
      </c>
      <c r="H3440" t="str">
        <f t="shared" si="871"/>
        <v>EA</v>
      </c>
      <c r="I3440">
        <v>0</v>
      </c>
      <c r="J3440">
        <v>0</v>
      </c>
      <c r="K3440" t="str">
        <f t="shared" si="864"/>
        <v>Y</v>
      </c>
      <c r="L3440">
        <v>0</v>
      </c>
      <c r="M3440" t="str">
        <f t="shared" si="865"/>
        <v>NIS</v>
      </c>
      <c r="O3440">
        <v>7</v>
      </c>
      <c r="P3440" t="str">
        <f t="shared" si="872"/>
        <v>Active</v>
      </c>
      <c r="Q3440" t="str">
        <f>"97mm Height Adapter -Rack 001110 on formica 28mm"</f>
        <v>97mm Height Adapter -Rack 001110 on formica 28mm</v>
      </c>
      <c r="S3440" t="str">
        <f>"97mm Height Adapter -Rack 001110 on formica 28mm"</f>
        <v>97mm Height Adapter -Rack 001110 on formica 28mm</v>
      </c>
      <c r="T3440">
        <v>0</v>
      </c>
      <c r="U3440">
        <v>7</v>
      </c>
      <c r="V3440">
        <v>5.5</v>
      </c>
      <c r="W3440" t="str">
        <f t="shared" si="867"/>
        <v>rob</v>
      </c>
    </row>
    <row r="3441" spans="1:23">
      <c r="A3441" t="str">
        <f t="shared" si="869"/>
        <v>MTS-MH5F-BT7000</v>
      </c>
      <c r="B3441" t="str">
        <f>"10-2120-1000"</f>
        <v>10-2120-1000</v>
      </c>
      <c r="C3441" t="str">
        <f>"CNC Interface with BenchTurn 7000"</f>
        <v>CNC Interface with BenchTurn 7000</v>
      </c>
      <c r="D3441">
        <v>1</v>
      </c>
      <c r="E3441" t="str">
        <f t="shared" si="870"/>
        <v>FMS - Motoman MH5F Robot with BenchTurn 7000 CNC Turning machine</v>
      </c>
      <c r="F3441">
        <v>502</v>
      </c>
      <c r="G3441" t="str">
        <f t="shared" si="863"/>
        <v>Y</v>
      </c>
      <c r="H3441" t="str">
        <f t="shared" si="871"/>
        <v>EA</v>
      </c>
      <c r="I3441">
        <v>0</v>
      </c>
      <c r="J3441">
        <v>0</v>
      </c>
      <c r="K3441" t="str">
        <f t="shared" si="864"/>
        <v>Y</v>
      </c>
      <c r="L3441">
        <v>0</v>
      </c>
      <c r="M3441" t="str">
        <f t="shared" si="865"/>
        <v>NIS</v>
      </c>
      <c r="O3441">
        <v>8</v>
      </c>
      <c r="P3441" t="str">
        <f t="shared" si="872"/>
        <v>Active</v>
      </c>
      <c r="Q3441" t="str">
        <f>"CNC Interface with BenchTurn 7000"</f>
        <v>CNC Interface with BenchTurn 7000</v>
      </c>
      <c r="S3441" t="str">
        <f>"CNC Interface with BenchTurn 7000"</f>
        <v>CNC Interface with BenchTurn 7000</v>
      </c>
      <c r="T3441">
        <v>0</v>
      </c>
      <c r="U3441">
        <v>60</v>
      </c>
      <c r="V3441">
        <v>19.7</v>
      </c>
      <c r="W3441" t="str">
        <f t="shared" si="867"/>
        <v>rob</v>
      </c>
    </row>
    <row r="3442" spans="1:23">
      <c r="A3442" t="str">
        <f t="shared" si="869"/>
        <v>MTS-MH5F-BT7000</v>
      </c>
      <c r="B3442" t="str">
        <f>"00-5504-0220"</f>
        <v>00-5504-0220</v>
      </c>
      <c r="C3442" t="str">
        <f>"CNC BenchTurn 7000 220V"</f>
        <v>CNC BenchTurn 7000 220V</v>
      </c>
      <c r="D3442">
        <v>1</v>
      </c>
      <c r="E3442" t="str">
        <f t="shared" si="870"/>
        <v>FMS - Motoman MH5F Robot with BenchTurn 7000 CNC Turning machine</v>
      </c>
      <c r="F3442">
        <v>502</v>
      </c>
      <c r="G3442" t="str">
        <f t="shared" si="863"/>
        <v>Y</v>
      </c>
      <c r="H3442" t="str">
        <f t="shared" si="871"/>
        <v>EA</v>
      </c>
      <c r="I3442">
        <v>0</v>
      </c>
      <c r="J3442">
        <v>0</v>
      </c>
      <c r="K3442" t="str">
        <f t="shared" si="864"/>
        <v>Y</v>
      </c>
      <c r="L3442">
        <v>0</v>
      </c>
      <c r="M3442" t="str">
        <f t="shared" si="865"/>
        <v>NIS</v>
      </c>
      <c r="O3442">
        <v>9</v>
      </c>
      <c r="P3442" t="str">
        <f t="shared" si="872"/>
        <v>Active</v>
      </c>
      <c r="Q3442" t="str">
        <f>"CNC BenchTurn 7000 220V"</f>
        <v>CNC BenchTurn 7000 220V</v>
      </c>
      <c r="S3442" t="str">
        <f>"CNC BenchTurn 7000 220V"</f>
        <v>CNC BenchTurn 7000 220V</v>
      </c>
      <c r="T3442">
        <v>0</v>
      </c>
      <c r="U3442" s="44">
        <v>4600</v>
      </c>
      <c r="V3442" s="44">
        <v>4551.93</v>
      </c>
      <c r="W3442" t="str">
        <f t="shared" si="867"/>
        <v>rob</v>
      </c>
    </row>
    <row r="3443" spans="1:23">
      <c r="A3443" t="str">
        <f t="shared" si="869"/>
        <v>MTS-MH5F-BT7000</v>
      </c>
      <c r="B3443" t="str">
        <f>"10-1110-5000"</f>
        <v>10-1110-5000</v>
      </c>
      <c r="C3443" t="str">
        <f>"-- Pneumatic Shield (BenchTurn 7000 for FMS))"</f>
        <v>-- Pneumatic Shield (BenchTurn 7000 for FMS))</v>
      </c>
      <c r="D3443">
        <v>1</v>
      </c>
      <c r="E3443" t="str">
        <f t="shared" si="870"/>
        <v>FMS - Motoman MH5F Robot with BenchTurn 7000 CNC Turning machine</v>
      </c>
      <c r="F3443">
        <v>502</v>
      </c>
      <c r="G3443" t="str">
        <f t="shared" si="863"/>
        <v>Y</v>
      </c>
      <c r="H3443" t="str">
        <f t="shared" si="871"/>
        <v>EA</v>
      </c>
      <c r="I3443">
        <v>0</v>
      </c>
      <c r="J3443">
        <v>0</v>
      </c>
      <c r="K3443" t="str">
        <f t="shared" si="864"/>
        <v>Y</v>
      </c>
      <c r="L3443">
        <v>0</v>
      </c>
      <c r="M3443" t="str">
        <f t="shared" si="865"/>
        <v>NIS</v>
      </c>
      <c r="O3443">
        <v>10</v>
      </c>
      <c r="P3443" t="str">
        <f t="shared" si="872"/>
        <v>Active</v>
      </c>
      <c r="Q3443" t="str">
        <f>"Pneumatic Shield with Sensors (BenchTurn 7000)"</f>
        <v>Pneumatic Shield with Sensors (BenchTurn 7000)</v>
      </c>
      <c r="S3443" t="str">
        <f>"Pneumatic Shield with Sensors (BenchTurn 7000)"</f>
        <v>Pneumatic Shield with Sensors (BenchTurn 7000)</v>
      </c>
      <c r="T3443">
        <v>0</v>
      </c>
      <c r="U3443">
        <v>144</v>
      </c>
      <c r="V3443">
        <v>128.55000000000001</v>
      </c>
      <c r="W3443" t="str">
        <f t="shared" si="867"/>
        <v>rob</v>
      </c>
    </row>
    <row r="3444" spans="1:23">
      <c r="A3444" t="str">
        <f t="shared" si="869"/>
        <v>MTS-MH5F-BT7000</v>
      </c>
      <c r="B3444" t="str">
        <f>"10-1110-9000"</f>
        <v>10-1110-9000</v>
      </c>
      <c r="C3444" t="str">
        <f>"-- Pneumatic Chuck (BenchTurn 7000 for FMS)"</f>
        <v>-- Pneumatic Chuck (BenchTurn 7000 for FMS)</v>
      </c>
      <c r="D3444">
        <v>1</v>
      </c>
      <c r="E3444" t="str">
        <f t="shared" si="870"/>
        <v>FMS - Motoman MH5F Robot with BenchTurn 7000 CNC Turning machine</v>
      </c>
      <c r="F3444">
        <v>502</v>
      </c>
      <c r="G3444" t="str">
        <f t="shared" si="863"/>
        <v>Y</v>
      </c>
      <c r="H3444" t="str">
        <f t="shared" si="871"/>
        <v>EA</v>
      </c>
      <c r="I3444">
        <v>0</v>
      </c>
      <c r="J3444">
        <v>0</v>
      </c>
      <c r="K3444" t="str">
        <f t="shared" si="864"/>
        <v>Y</v>
      </c>
      <c r="L3444">
        <v>0</v>
      </c>
      <c r="M3444" t="str">
        <f t="shared" si="865"/>
        <v>NIS</v>
      </c>
      <c r="O3444">
        <v>11</v>
      </c>
      <c r="P3444" t="str">
        <f t="shared" si="872"/>
        <v>Active</v>
      </c>
      <c r="Q3444" t="str">
        <f>"Pneumatic Chuck (BenchTurn 7000)"</f>
        <v>Pneumatic Chuck (BenchTurn 7000)</v>
      </c>
      <c r="S3444" t="str">
        <f>"Pneumatic Chuck (BenchTurn 7000)"</f>
        <v>Pneumatic Chuck (BenchTurn 7000)</v>
      </c>
      <c r="T3444">
        <v>0</v>
      </c>
      <c r="U3444">
        <v>639</v>
      </c>
      <c r="V3444">
        <v>569.88</v>
      </c>
      <c r="W3444" t="str">
        <f t="shared" si="867"/>
        <v>rob</v>
      </c>
    </row>
    <row r="3445" spans="1:23">
      <c r="A3445" t="str">
        <f t="shared" si="869"/>
        <v>MTS-MH5F-BT7000</v>
      </c>
      <c r="B3445" t="str">
        <f>"10-1106-0000"</f>
        <v>10-1106-0000</v>
      </c>
      <c r="C3445" t="str">
        <f>"- 11pcs Cutter set 10 x 10mmt"</f>
        <v>- 11pcs Cutter set 10 x 10mmt</v>
      </c>
      <c r="D3445">
        <v>1</v>
      </c>
      <c r="E3445" t="str">
        <f t="shared" si="870"/>
        <v>FMS - Motoman MH5F Robot with BenchTurn 7000 CNC Turning machine</v>
      </c>
      <c r="F3445">
        <v>502</v>
      </c>
      <c r="G3445" t="str">
        <f t="shared" si="863"/>
        <v>Y</v>
      </c>
      <c r="H3445" t="str">
        <f t="shared" si="871"/>
        <v>EA</v>
      </c>
      <c r="I3445">
        <v>0</v>
      </c>
      <c r="J3445">
        <v>0</v>
      </c>
      <c r="K3445" t="str">
        <f t="shared" si="864"/>
        <v>Y</v>
      </c>
      <c r="L3445">
        <v>0</v>
      </c>
      <c r="M3445" t="str">
        <f t="shared" si="865"/>
        <v>NIS</v>
      </c>
      <c r="N3445" t="str">
        <f>"Y"</f>
        <v>Y</v>
      </c>
      <c r="O3445">
        <v>12</v>
      </c>
      <c r="P3445" t="str">
        <f t="shared" si="872"/>
        <v>Active</v>
      </c>
      <c r="Q3445" t="str">
        <f>"10 x 10mm cutter 11pcs set"</f>
        <v>10 x 10mm cutter 11pcs set</v>
      </c>
      <c r="S3445" t="str">
        <f>"10 x 10mm cutter 11pcs set"</f>
        <v>10 x 10mm cutter 11pcs set</v>
      </c>
      <c r="T3445">
        <v>0</v>
      </c>
      <c r="U3445">
        <v>36.29</v>
      </c>
      <c r="V3445">
        <v>42.51</v>
      </c>
      <c r="W3445" t="str">
        <f t="shared" si="867"/>
        <v>rob</v>
      </c>
    </row>
    <row r="3446" spans="1:23">
      <c r="A3446" t="str">
        <f t="shared" si="869"/>
        <v>MTS-MH5F-BT7000</v>
      </c>
      <c r="B3446" t="str">
        <f>"10-1110-1000"</f>
        <v>10-1110-1000</v>
      </c>
      <c r="C3446" t="str">
        <f>"10 x 10mm cutter tool holder"</f>
        <v>10 x 10mm cutter tool holder</v>
      </c>
      <c r="D3446">
        <v>1</v>
      </c>
      <c r="E3446" t="str">
        <f t="shared" si="870"/>
        <v>FMS - Motoman MH5F Robot with BenchTurn 7000 CNC Turning machine</v>
      </c>
      <c r="F3446">
        <v>502</v>
      </c>
      <c r="G3446" t="str">
        <f t="shared" si="863"/>
        <v>Y</v>
      </c>
      <c r="H3446" t="str">
        <f t="shared" si="871"/>
        <v>EA</v>
      </c>
      <c r="I3446">
        <v>0</v>
      </c>
      <c r="J3446">
        <v>0</v>
      </c>
      <c r="K3446" t="str">
        <f t="shared" si="864"/>
        <v>Y</v>
      </c>
      <c r="L3446">
        <v>0</v>
      </c>
      <c r="M3446" t="str">
        <f t="shared" si="865"/>
        <v>NIS</v>
      </c>
      <c r="O3446">
        <v>13</v>
      </c>
      <c r="P3446" t="str">
        <f t="shared" si="872"/>
        <v>Active</v>
      </c>
      <c r="Q3446" t="str">
        <f>"10x10mm TiN coated cutter set (replaceable tip)"</f>
        <v>10x10mm TiN coated cutter set (replaceable tip)</v>
      </c>
      <c r="S3446" t="str">
        <f>"10x10mm TiN coated cutter set (replaceable tip)"</f>
        <v>10x10mm TiN coated cutter set (replaceable tip)</v>
      </c>
      <c r="T3446">
        <v>0</v>
      </c>
      <c r="U3446">
        <v>65</v>
      </c>
      <c r="V3446">
        <v>65.540000000000006</v>
      </c>
      <c r="W3446" t="str">
        <f t="shared" si="867"/>
        <v>rob</v>
      </c>
    </row>
    <row r="3447" spans="1:23">
      <c r="A3447" t="str">
        <f t="shared" si="869"/>
        <v>MTS-MH5F-BT7000</v>
      </c>
      <c r="B3447" t="str">
        <f>"10-1110-2000"</f>
        <v>10-1110-2000</v>
      </c>
      <c r="C3447" t="str">
        <f>"TiN coated tip for 011101"</f>
        <v>TiN coated tip for 011101</v>
      </c>
      <c r="D3447">
        <v>1</v>
      </c>
      <c r="E3447" t="str">
        <f t="shared" si="870"/>
        <v>FMS - Motoman MH5F Robot with BenchTurn 7000 CNC Turning machine</v>
      </c>
      <c r="F3447">
        <v>502</v>
      </c>
      <c r="G3447" t="str">
        <f t="shared" si="863"/>
        <v>Y</v>
      </c>
      <c r="H3447" t="str">
        <f t="shared" si="871"/>
        <v>EA</v>
      </c>
      <c r="I3447">
        <v>0</v>
      </c>
      <c r="J3447">
        <v>0</v>
      </c>
      <c r="K3447" t="str">
        <f t="shared" si="864"/>
        <v>Y</v>
      </c>
      <c r="L3447">
        <v>0</v>
      </c>
      <c r="M3447" t="str">
        <f t="shared" si="865"/>
        <v>NIS</v>
      </c>
      <c r="O3447">
        <v>14</v>
      </c>
      <c r="P3447" t="str">
        <f t="shared" si="872"/>
        <v>Active</v>
      </c>
      <c r="Q3447" t="str">
        <f>"TiN coated tip for 011101"</f>
        <v>TiN coated tip for 011101</v>
      </c>
      <c r="S3447" t="str">
        <f>"TiN coated tip for 011101"</f>
        <v>TiN coated tip for 011101</v>
      </c>
      <c r="T3447">
        <v>0</v>
      </c>
      <c r="U3447">
        <v>42</v>
      </c>
      <c r="V3447">
        <v>41.71</v>
      </c>
      <c r="W3447" t="str">
        <f t="shared" si="867"/>
        <v>rob</v>
      </c>
    </row>
    <row r="3448" spans="1:23">
      <c r="A3448" t="str">
        <f t="shared" si="869"/>
        <v>MTS-MH5F-BT7000</v>
      </c>
      <c r="B3448" t="str">
        <f>"10-1106-6000"</f>
        <v>10-1106-6000</v>
      </c>
      <c r="C3448" t="str">
        <f>"- Rolling center"</f>
        <v>- Rolling center</v>
      </c>
      <c r="D3448">
        <v>1</v>
      </c>
      <c r="E3448" t="str">
        <f t="shared" si="870"/>
        <v>FMS - Motoman MH5F Robot with BenchTurn 7000 CNC Turning machine</v>
      </c>
      <c r="F3448">
        <v>502</v>
      </c>
      <c r="G3448" t="str">
        <f t="shared" si="863"/>
        <v>Y</v>
      </c>
      <c r="H3448" t="str">
        <f t="shared" si="871"/>
        <v>EA</v>
      </c>
      <c r="I3448">
        <v>0</v>
      </c>
      <c r="J3448">
        <v>0</v>
      </c>
      <c r="K3448" t="str">
        <f t="shared" si="864"/>
        <v>Y</v>
      </c>
      <c r="L3448">
        <v>0</v>
      </c>
      <c r="M3448" t="str">
        <f t="shared" si="865"/>
        <v>NIS</v>
      </c>
      <c r="O3448">
        <v>15</v>
      </c>
      <c r="P3448" t="str">
        <f t="shared" si="872"/>
        <v>Active</v>
      </c>
      <c r="Q3448" t="str">
        <f>"Rolling center"</f>
        <v>Rolling center</v>
      </c>
      <c r="S3448" t="str">
        <f>"Rolling center"</f>
        <v>Rolling center</v>
      </c>
      <c r="T3448">
        <v>0</v>
      </c>
      <c r="U3448">
        <v>23.42</v>
      </c>
      <c r="V3448">
        <v>23.55</v>
      </c>
      <c r="W3448" t="str">
        <f t="shared" si="867"/>
        <v>rob</v>
      </c>
    </row>
    <row r="3449" spans="1:23">
      <c r="A3449" t="str">
        <f t="shared" si="869"/>
        <v>MTS-MH5F-BT7000</v>
      </c>
      <c r="B3449" t="str">
        <f>"10-1105-7000"</f>
        <v>10-1105-7000</v>
      </c>
      <c r="C3449" t="str">
        <f>"Drill Chuck for Tailstock"</f>
        <v>Drill Chuck for Tailstock</v>
      </c>
      <c r="D3449">
        <v>1</v>
      </c>
      <c r="E3449" t="str">
        <f t="shared" si="870"/>
        <v>FMS - Motoman MH5F Robot with BenchTurn 7000 CNC Turning machine</v>
      </c>
      <c r="F3449">
        <v>502</v>
      </c>
      <c r="G3449" t="str">
        <f t="shared" si="863"/>
        <v>Y</v>
      </c>
      <c r="H3449" t="str">
        <f t="shared" si="871"/>
        <v>EA</v>
      </c>
      <c r="I3449">
        <v>0</v>
      </c>
      <c r="J3449">
        <v>0</v>
      </c>
      <c r="K3449" t="str">
        <f t="shared" si="864"/>
        <v>Y</v>
      </c>
      <c r="L3449">
        <v>0</v>
      </c>
      <c r="M3449" t="str">
        <f t="shared" si="865"/>
        <v>NIS</v>
      </c>
      <c r="O3449">
        <v>16</v>
      </c>
      <c r="P3449" t="str">
        <f t="shared" si="872"/>
        <v>Active</v>
      </c>
      <c r="Q3449" t="str">
        <f>"Tailstock extender MT2 13mm tailstock chuck"</f>
        <v>Tailstock extender MT2 13mm tailstock chuck</v>
      </c>
      <c r="S3449" t="str">
        <f>"Drill Chuck for Tailstock MT2 13mm"</f>
        <v>Drill Chuck for Tailstock MT2 13mm</v>
      </c>
      <c r="T3449">
        <v>0</v>
      </c>
      <c r="U3449">
        <v>21.07</v>
      </c>
      <c r="V3449">
        <v>23.52</v>
      </c>
      <c r="W3449" t="str">
        <f t="shared" si="867"/>
        <v>rob</v>
      </c>
    </row>
    <row r="3450" spans="1:23">
      <c r="A3450" t="str">
        <f t="shared" si="869"/>
        <v>MTS-MH5F-BT7000</v>
      </c>
      <c r="B3450" t="str">
        <f>"10-1111-1000"</f>
        <v>10-1111-1000</v>
      </c>
      <c r="C3450" t="str">
        <f>"- Handwheel - Manual Control"</f>
        <v>- Handwheel - Manual Control</v>
      </c>
      <c r="D3450">
        <v>1</v>
      </c>
      <c r="E3450" t="str">
        <f t="shared" si="870"/>
        <v>FMS - Motoman MH5F Robot with BenchTurn 7000 CNC Turning machine</v>
      </c>
      <c r="F3450">
        <v>502</v>
      </c>
      <c r="G3450" t="str">
        <f t="shared" si="863"/>
        <v>Y</v>
      </c>
      <c r="H3450" t="str">
        <f t="shared" si="871"/>
        <v>EA</v>
      </c>
      <c r="I3450">
        <v>0</v>
      </c>
      <c r="J3450">
        <v>0</v>
      </c>
      <c r="K3450" t="str">
        <f t="shared" si="864"/>
        <v>Y</v>
      </c>
      <c r="L3450">
        <v>0</v>
      </c>
      <c r="M3450" t="str">
        <f t="shared" si="865"/>
        <v>NIS</v>
      </c>
      <c r="O3450">
        <v>17</v>
      </c>
      <c r="P3450" t="str">
        <f t="shared" si="872"/>
        <v>Active</v>
      </c>
      <c r="Q3450" t="str">
        <f>"Jog Pendant Handwheel"</f>
        <v>Jog Pendant Handwheel</v>
      </c>
      <c r="S3450" t="str">
        <f>"Jog Pendant Handwheel"</f>
        <v>Jog Pendant Handwheel</v>
      </c>
      <c r="T3450">
        <v>0</v>
      </c>
      <c r="U3450">
        <v>235</v>
      </c>
      <c r="V3450">
        <v>235.03</v>
      </c>
      <c r="W3450" t="str">
        <f t="shared" si="867"/>
        <v>rob</v>
      </c>
    </row>
    <row r="3451" spans="1:23">
      <c r="A3451" t="str">
        <f t="shared" si="869"/>
        <v>MTS-MH5F-BT7000</v>
      </c>
      <c r="B3451" t="str">
        <f>"10-1106-7000"</f>
        <v>10-1106-7000</v>
      </c>
      <c r="C3451" t="str">
        <f>"- 100mm 4 independent jaw chuck"</f>
        <v>- 100mm 4 independent jaw chuck</v>
      </c>
      <c r="D3451">
        <v>1</v>
      </c>
      <c r="E3451" t="str">
        <f t="shared" si="870"/>
        <v>FMS - Motoman MH5F Robot with BenchTurn 7000 CNC Turning machine</v>
      </c>
      <c r="F3451">
        <v>502</v>
      </c>
      <c r="G3451" t="str">
        <f t="shared" si="863"/>
        <v>Y</v>
      </c>
      <c r="H3451" t="str">
        <f t="shared" si="871"/>
        <v>EA</v>
      </c>
      <c r="I3451">
        <v>0</v>
      </c>
      <c r="J3451">
        <v>0</v>
      </c>
      <c r="K3451" t="str">
        <f t="shared" si="864"/>
        <v>Y</v>
      </c>
      <c r="L3451">
        <v>0</v>
      </c>
      <c r="M3451" t="str">
        <f t="shared" si="865"/>
        <v>NIS</v>
      </c>
      <c r="N3451" t="str">
        <f>"Y"</f>
        <v>Y</v>
      </c>
      <c r="O3451">
        <v>18</v>
      </c>
      <c r="P3451" t="str">
        <f t="shared" si="872"/>
        <v>Active</v>
      </c>
      <c r="Q3451" t="str">
        <f>"100mm 4-jaw chuck (independent)"</f>
        <v>100mm 4-jaw chuck (independent)</v>
      </c>
      <c r="S3451" t="str">
        <f>"100mm 4-jaw chuck (independent)"</f>
        <v>100mm 4-jaw chuck (independent)</v>
      </c>
      <c r="T3451">
        <v>0</v>
      </c>
      <c r="U3451">
        <v>64.39</v>
      </c>
      <c r="V3451">
        <v>67.209999999999994</v>
      </c>
      <c r="W3451" t="str">
        <f t="shared" si="867"/>
        <v>rob</v>
      </c>
    </row>
    <row r="3452" spans="1:23">
      <c r="A3452" t="str">
        <f t="shared" si="869"/>
        <v>MTS-MH5F-BT7000</v>
      </c>
      <c r="B3452" t="str">
        <f>"10-1108-1220"</f>
        <v>10-1108-1220</v>
      </c>
      <c r="C3452" t="str">
        <f>"- Coolant system 27L -220V"</f>
        <v>- Coolant system 27L -220V</v>
      </c>
      <c r="D3452">
        <v>1</v>
      </c>
      <c r="E3452" t="str">
        <f t="shared" si="870"/>
        <v>FMS - Motoman MH5F Robot with BenchTurn 7000 CNC Turning machine</v>
      </c>
      <c r="F3452">
        <v>502</v>
      </c>
      <c r="G3452" t="str">
        <f t="shared" si="863"/>
        <v>Y</v>
      </c>
      <c r="H3452" t="str">
        <f t="shared" si="871"/>
        <v>EA</v>
      </c>
      <c r="I3452">
        <v>0</v>
      </c>
      <c r="J3452">
        <v>0</v>
      </c>
      <c r="K3452" t="str">
        <f t="shared" si="864"/>
        <v>Y</v>
      </c>
      <c r="L3452">
        <v>0</v>
      </c>
      <c r="M3452" t="str">
        <f t="shared" si="865"/>
        <v>NIS</v>
      </c>
      <c r="N3452" t="str">
        <f>"Y"</f>
        <v>Y</v>
      </c>
      <c r="O3452">
        <v>19</v>
      </c>
      <c r="P3452" t="str">
        <f t="shared" si="872"/>
        <v>Active</v>
      </c>
      <c r="Q3452" t="str">
        <f>"Coolant system 27L - 220V"</f>
        <v>Coolant system 27L - 220V</v>
      </c>
      <c r="S3452" t="str">
        <f>"Coolant system 27L - 220V"</f>
        <v>Coolant system 27L - 220V</v>
      </c>
      <c r="T3452">
        <v>0</v>
      </c>
      <c r="U3452">
        <v>117.08</v>
      </c>
      <c r="V3452">
        <v>117.15</v>
      </c>
      <c r="W3452" t="str">
        <f t="shared" si="867"/>
        <v>rob</v>
      </c>
    </row>
    <row r="3453" spans="1:23">
      <c r="A3453" t="str">
        <f t="shared" si="869"/>
        <v>MTS-MH5F-BT7000</v>
      </c>
      <c r="B3453" t="str">
        <f>"63-7001-1000"</f>
        <v>63-7001-1000</v>
      </c>
      <c r="C3453" t="str">
        <f>"-CNCMotion for BenchTurn 7000"</f>
        <v>-CNCMotion for BenchTurn 7000</v>
      </c>
      <c r="D3453">
        <v>1</v>
      </c>
      <c r="E3453" t="str">
        <f t="shared" si="870"/>
        <v>FMS - Motoman MH5F Robot with BenchTurn 7000 CNC Turning machine</v>
      </c>
      <c r="F3453">
        <v>502</v>
      </c>
      <c r="G3453" t="str">
        <f t="shared" si="863"/>
        <v>Y</v>
      </c>
      <c r="H3453" t="str">
        <f t="shared" si="871"/>
        <v>EA</v>
      </c>
      <c r="I3453">
        <v>0</v>
      </c>
      <c r="J3453">
        <v>0</v>
      </c>
      <c r="K3453" t="str">
        <f t="shared" si="864"/>
        <v>Y</v>
      </c>
      <c r="L3453">
        <v>0</v>
      </c>
      <c r="M3453" t="str">
        <f t="shared" si="865"/>
        <v>NIS</v>
      </c>
      <c r="O3453">
        <v>20</v>
      </c>
      <c r="P3453" t="str">
        <f t="shared" si="872"/>
        <v>Active</v>
      </c>
      <c r="Q3453" t="str">
        <f>"CNCMotion Sim. Sftwr, BenchTurn 7000"</f>
        <v>CNCMotion Sim. Sftwr, BenchTurn 7000</v>
      </c>
      <c r="S3453" t="str">
        <f>"CNCMotion Sim. Sftwr, BenchTurn 7000"</f>
        <v>CNCMotion Sim. Sftwr, BenchTurn 7000</v>
      </c>
      <c r="T3453">
        <v>0</v>
      </c>
      <c r="U3453">
        <v>10</v>
      </c>
      <c r="V3453">
        <v>0</v>
      </c>
      <c r="W3453" t="str">
        <f t="shared" si="867"/>
        <v>rob</v>
      </c>
    </row>
    <row r="3454" spans="1:23">
      <c r="A3454" t="str">
        <f t="shared" si="869"/>
        <v>MTS-MH5F-BT7000</v>
      </c>
      <c r="B3454" t="str">
        <f>"63-6743-0000"</f>
        <v>63-6743-0000</v>
      </c>
      <c r="C3454" t="str">
        <f>"Software, SpectraCAM Turning"</f>
        <v>Software, SpectraCAM Turning</v>
      </c>
      <c r="D3454">
        <v>1</v>
      </c>
      <c r="E3454" t="str">
        <f t="shared" si="870"/>
        <v>FMS - Motoman MH5F Robot with BenchTurn 7000 CNC Turning machine</v>
      </c>
      <c r="F3454">
        <v>502</v>
      </c>
      <c r="G3454" t="str">
        <f t="shared" si="863"/>
        <v>Y</v>
      </c>
      <c r="H3454" t="str">
        <f t="shared" si="871"/>
        <v>EA</v>
      </c>
      <c r="I3454">
        <v>0</v>
      </c>
      <c r="J3454">
        <v>0</v>
      </c>
      <c r="K3454" t="str">
        <f t="shared" si="864"/>
        <v>Y</v>
      </c>
      <c r="L3454">
        <v>0</v>
      </c>
      <c r="M3454" t="str">
        <f t="shared" si="865"/>
        <v>NIS</v>
      </c>
      <c r="O3454">
        <v>21</v>
      </c>
      <c r="P3454" t="str">
        <f t="shared" si="872"/>
        <v>Active</v>
      </c>
      <c r="Q3454" t="str">
        <f>"Software, SpectraCAM Turning"</f>
        <v>Software, SpectraCAM Turning</v>
      </c>
      <c r="S3454" t="str">
        <f>"Software, SpectraCAM Turning"</f>
        <v>Software, SpectraCAM Turning</v>
      </c>
      <c r="T3454">
        <v>0</v>
      </c>
      <c r="U3454">
        <v>10</v>
      </c>
      <c r="V3454">
        <v>10.4</v>
      </c>
      <c r="W3454" t="str">
        <f t="shared" si="867"/>
        <v>rob</v>
      </c>
    </row>
    <row r="3455" spans="1:23">
      <c r="A3455" t="str">
        <f t="shared" si="869"/>
        <v>MTS-MH5F-BT7000</v>
      </c>
      <c r="B3455" t="str">
        <f>"112496"</f>
        <v>112496</v>
      </c>
      <c r="C3455" t="str">
        <f>"Raw Material - Brass  Rod"</f>
        <v>Raw Material - Brass  Rod</v>
      </c>
      <c r="D3455">
        <v>50</v>
      </c>
      <c r="E3455" t="str">
        <f t="shared" si="870"/>
        <v>FMS - Motoman MH5F Robot with BenchTurn 7000 CNC Turning machine</v>
      </c>
      <c r="F3455">
        <v>502</v>
      </c>
      <c r="G3455" t="str">
        <f t="shared" si="863"/>
        <v>Y</v>
      </c>
      <c r="H3455" t="str">
        <f t="shared" si="871"/>
        <v>EA</v>
      </c>
      <c r="I3455">
        <v>0</v>
      </c>
      <c r="J3455">
        <v>0</v>
      </c>
      <c r="K3455" t="str">
        <f t="shared" si="864"/>
        <v>Y</v>
      </c>
      <c r="L3455">
        <v>0</v>
      </c>
      <c r="M3455" t="str">
        <f t="shared" si="865"/>
        <v>NIS</v>
      </c>
      <c r="O3455">
        <v>22</v>
      </c>
      <c r="P3455" t="str">
        <f t="shared" si="872"/>
        <v>Active</v>
      </c>
      <c r="Q3455" t="str">
        <f>"Raw Material Stock - Brass  Rod"</f>
        <v>Raw Material Stock - Brass  Rod</v>
      </c>
      <c r="S3455" t="str">
        <f>"Raw Material Stock - Brass  Rod"</f>
        <v>Raw Material Stock - Brass  Rod</v>
      </c>
      <c r="T3455">
        <v>0</v>
      </c>
      <c r="U3455">
        <v>3.67</v>
      </c>
      <c r="V3455">
        <v>2.69</v>
      </c>
      <c r="W3455" t="str">
        <f t="shared" si="867"/>
        <v>rob</v>
      </c>
    </row>
    <row r="3456" spans="1:23">
      <c r="A3456" t="str">
        <f t="shared" si="869"/>
        <v>MTS-MH5F-BT7000</v>
      </c>
      <c r="B3456" t="str">
        <f>"00-1261-0000"</f>
        <v>00-1261-0000</v>
      </c>
      <c r="C3456" t="str">
        <f>"Workbench 1800x900mm (Heavy duty for CNC)"</f>
        <v>Workbench 1800x900mm (Heavy duty for CNC)</v>
      </c>
      <c r="D3456">
        <v>1</v>
      </c>
      <c r="E3456" t="str">
        <f t="shared" si="870"/>
        <v>FMS - Motoman MH5F Robot with BenchTurn 7000 CNC Turning machine</v>
      </c>
      <c r="F3456">
        <v>502</v>
      </c>
      <c r="G3456" t="str">
        <f t="shared" si="863"/>
        <v>Y</v>
      </c>
      <c r="H3456" t="str">
        <f t="shared" si="871"/>
        <v>EA</v>
      </c>
      <c r="I3456">
        <v>0</v>
      </c>
      <c r="J3456">
        <v>0</v>
      </c>
      <c r="K3456" t="str">
        <f t="shared" si="864"/>
        <v>Y</v>
      </c>
      <c r="L3456">
        <v>0</v>
      </c>
      <c r="M3456" t="str">
        <f t="shared" si="865"/>
        <v>NIS</v>
      </c>
      <c r="O3456">
        <v>23</v>
      </c>
      <c r="P3456" t="str">
        <f t="shared" si="872"/>
        <v>Active</v>
      </c>
      <c r="Q3456" t="str">
        <f>"Workbench 1800x900mm (Heavy duty for CNC)"</f>
        <v>Workbench 1800x900mm (Heavy duty for CNC)</v>
      </c>
      <c r="S3456" t="str">
        <f>"Workbench 1800x900mm (Heavy duty for CNC)"</f>
        <v>Workbench 1800x900mm (Heavy duty for CNC)</v>
      </c>
      <c r="T3456">
        <v>0</v>
      </c>
      <c r="U3456">
        <v>830</v>
      </c>
      <c r="V3456">
        <v>831.14</v>
      </c>
      <c r="W3456" t="str">
        <f t="shared" si="867"/>
        <v>rob</v>
      </c>
    </row>
    <row r="3457" spans="1:23">
      <c r="A3457" t="str">
        <f t="shared" si="869"/>
        <v>MTS-MH5F-BT7000</v>
      </c>
      <c r="B3457" t="str">
        <f>"00-1265-0000"</f>
        <v>00-1265-0000</v>
      </c>
      <c r="C3457" t="str">
        <f>"PC Extension Shelf  600x900mm"</f>
        <v>PC Extension Shelf  600x900mm</v>
      </c>
      <c r="D3457">
        <v>1</v>
      </c>
      <c r="E3457" t="str">
        <f t="shared" si="870"/>
        <v>FMS - Motoman MH5F Robot with BenchTurn 7000 CNC Turning machine</v>
      </c>
      <c r="F3457">
        <v>502</v>
      </c>
      <c r="G3457" t="str">
        <f t="shared" si="863"/>
        <v>Y</v>
      </c>
      <c r="H3457" t="str">
        <f t="shared" si="871"/>
        <v>EA</v>
      </c>
      <c r="I3457">
        <v>0</v>
      </c>
      <c r="J3457">
        <v>0</v>
      </c>
      <c r="K3457" t="str">
        <f t="shared" si="864"/>
        <v>Y</v>
      </c>
      <c r="L3457">
        <v>0</v>
      </c>
      <c r="M3457" t="str">
        <f t="shared" si="865"/>
        <v>NIS</v>
      </c>
      <c r="O3457">
        <v>24</v>
      </c>
      <c r="P3457" t="str">
        <f t="shared" si="872"/>
        <v>Active</v>
      </c>
      <c r="Q3457" t="str">
        <f>"PC Extension Shelf  600x900mm"</f>
        <v>PC Extension Shelf  600x900mm</v>
      </c>
      <c r="S3457" t="str">
        <f>"PC Extension Shelf  600x900mm"</f>
        <v>PC Extension Shelf  600x900mm</v>
      </c>
      <c r="T3457">
        <v>0</v>
      </c>
      <c r="U3457">
        <v>211</v>
      </c>
      <c r="V3457">
        <v>198.88</v>
      </c>
      <c r="W3457" t="str">
        <f t="shared" si="867"/>
        <v>rob</v>
      </c>
    </row>
    <row r="3458" spans="1:23">
      <c r="A3458" t="str">
        <f t="shared" si="869"/>
        <v>MTS-MH5F-BT7000</v>
      </c>
      <c r="B3458" t="str">
        <f>"50-0094-0000"</f>
        <v>50-0094-0000</v>
      </c>
      <c r="C3458" t="str">
        <f>"Pre-Engineering, Design and Testing"</f>
        <v>Pre-Engineering, Design and Testing</v>
      </c>
      <c r="D3458">
        <v>1</v>
      </c>
      <c r="E3458" t="str">
        <f t="shared" si="870"/>
        <v>FMS - Motoman MH5F Robot with BenchTurn 7000 CNC Turning machine</v>
      </c>
      <c r="F3458">
        <v>502</v>
      </c>
      <c r="G3458" t="str">
        <f t="shared" ref="G3458:G3521" si="873">"Y"</f>
        <v>Y</v>
      </c>
      <c r="H3458" t="str">
        <f>"DA"</f>
        <v>DA</v>
      </c>
      <c r="I3458">
        <v>0</v>
      </c>
      <c r="J3458">
        <v>0</v>
      </c>
      <c r="K3458" t="str">
        <f t="shared" ref="K3458:K3521" si="874">"Y"</f>
        <v>Y</v>
      </c>
      <c r="L3458">
        <v>0</v>
      </c>
      <c r="M3458" t="str">
        <f t="shared" si="865"/>
        <v>NIS</v>
      </c>
      <c r="O3458">
        <v>25</v>
      </c>
      <c r="P3458" t="str">
        <f t="shared" si="872"/>
        <v>Active</v>
      </c>
      <c r="Q3458" t="str">
        <f>"Pre-Engineering, Design and Testing"</f>
        <v>Pre-Engineering, Design and Testing</v>
      </c>
      <c r="S3458" t="str">
        <f>"Pre-Engineering, Design and Testing"</f>
        <v>Pre-Engineering, Design and Testing</v>
      </c>
      <c r="T3458">
        <v>0</v>
      </c>
      <c r="U3458">
        <v>405</v>
      </c>
      <c r="V3458">
        <v>421.2</v>
      </c>
      <c r="W3458" t="str">
        <f t="shared" si="867"/>
        <v>rob</v>
      </c>
    </row>
    <row r="3459" spans="1:23">
      <c r="A3459" t="str">
        <f t="shared" ref="A3459:A3469" si="875">"MTS-MH5F-LSREN"</f>
        <v>MTS-MH5F-LSREN</v>
      </c>
      <c r="B3459" t="str">
        <f>"00-0436-0000"</f>
        <v>00-0436-0000</v>
      </c>
      <c r="C3459" t="str">
        <f>"MH5F compact high-speed 6-axis Robot"</f>
        <v>MH5F compact high-speed 6-axis Robot</v>
      </c>
      <c r="D3459">
        <v>1</v>
      </c>
      <c r="E3459" t="str">
        <f t="shared" ref="E3459:E3469" si="876">"FMS - MOTOMAN MH5F robot with Laser Engraver"</f>
        <v>FMS - MOTOMAN MH5F robot with Laser Engraver</v>
      </c>
      <c r="F3459">
        <v>502</v>
      </c>
      <c r="G3459" t="str">
        <f t="shared" si="873"/>
        <v>Y</v>
      </c>
      <c r="H3459" t="str">
        <f t="shared" ref="H3459:H3468" si="877">"EA"</f>
        <v>EA</v>
      </c>
      <c r="I3459">
        <v>0</v>
      </c>
      <c r="J3459">
        <v>0</v>
      </c>
      <c r="K3459" t="str">
        <f t="shared" si="874"/>
        <v>Y</v>
      </c>
      <c r="L3459">
        <v>0</v>
      </c>
      <c r="M3459" t="str">
        <f t="shared" si="865"/>
        <v>NIS</v>
      </c>
      <c r="O3459">
        <v>1</v>
      </c>
      <c r="P3459" t="str">
        <f t="shared" si="872"/>
        <v>Active</v>
      </c>
      <c r="Q3459" t="str">
        <f>"MH5F compact high-speed 6-axis Robot"</f>
        <v>MH5F compact high-speed 6-axis Robot</v>
      </c>
      <c r="S3459" t="str">
        <f>"MH5F compact high-speed 6-axis Robot"</f>
        <v>MH5F compact high-speed 6-axis Robot</v>
      </c>
      <c r="T3459">
        <v>0</v>
      </c>
      <c r="U3459" s="44">
        <v>23500</v>
      </c>
      <c r="V3459" s="44">
        <v>16049.14</v>
      </c>
      <c r="W3459" t="str">
        <f t="shared" si="867"/>
        <v>rob</v>
      </c>
    </row>
    <row r="3460" spans="1:23">
      <c r="A3460" t="str">
        <f t="shared" si="875"/>
        <v>MTS-MH5F-LSREN</v>
      </c>
      <c r="B3460" t="str">
        <f>"00-0646-0000"</f>
        <v>00-0646-0000</v>
      </c>
      <c r="C3460" t="str">
        <f>"Pneumatic Gripper with I/O Box for Motoman MH5F"</f>
        <v>Pneumatic Gripper with I/O Box for Motoman MH5F</v>
      </c>
      <c r="D3460">
        <v>1</v>
      </c>
      <c r="E3460" t="str">
        <f t="shared" si="876"/>
        <v>FMS - MOTOMAN MH5F robot with Laser Engraver</v>
      </c>
      <c r="F3460">
        <v>502</v>
      </c>
      <c r="G3460" t="str">
        <f t="shared" si="873"/>
        <v>Y</v>
      </c>
      <c r="H3460" t="str">
        <f t="shared" si="877"/>
        <v>EA</v>
      </c>
      <c r="I3460">
        <v>0</v>
      </c>
      <c r="J3460">
        <v>0</v>
      </c>
      <c r="K3460" t="str">
        <f t="shared" si="874"/>
        <v>Y</v>
      </c>
      <c r="L3460">
        <v>0</v>
      </c>
      <c r="M3460" t="str">
        <f t="shared" si="865"/>
        <v>NIS</v>
      </c>
      <c r="O3460">
        <v>2</v>
      </c>
      <c r="P3460" t="str">
        <f t="shared" si="872"/>
        <v>Active</v>
      </c>
      <c r="Q3460" t="str">
        <f>"Pneumatic Gripper with I/O Box for Motoman MH5F"</f>
        <v>Pneumatic Gripper with I/O Box for Motoman MH5F</v>
      </c>
      <c r="S3460" t="str">
        <f>"Pneumatic Gripper with I/O Box for Motoman MH5F"</f>
        <v>Pneumatic Gripper with I/O Box for Motoman MH5F</v>
      </c>
      <c r="T3460">
        <v>0</v>
      </c>
      <c r="U3460" s="44">
        <v>1500</v>
      </c>
      <c r="V3460" s="44">
        <v>1238.52</v>
      </c>
      <c r="W3460" t="str">
        <f t="shared" si="867"/>
        <v>rob</v>
      </c>
    </row>
    <row r="3461" spans="1:23">
      <c r="A3461" t="str">
        <f t="shared" si="875"/>
        <v>MTS-MH5F-LSREN</v>
      </c>
      <c r="B3461" t="str">
        <f>"10-2521-7000"</f>
        <v>10-2521-7000</v>
      </c>
      <c r="C3461" t="str">
        <f>"Pneumatic Feeder for Rectangular products"</f>
        <v>Pneumatic Feeder for Rectangular products</v>
      </c>
      <c r="D3461">
        <v>1</v>
      </c>
      <c r="E3461" t="str">
        <f t="shared" si="876"/>
        <v>FMS - MOTOMAN MH5F robot with Laser Engraver</v>
      </c>
      <c r="F3461">
        <v>502</v>
      </c>
      <c r="G3461" t="str">
        <f t="shared" si="873"/>
        <v>Y</v>
      </c>
      <c r="H3461" t="str">
        <f t="shared" si="877"/>
        <v>EA</v>
      </c>
      <c r="I3461">
        <v>0</v>
      </c>
      <c r="J3461">
        <v>0</v>
      </c>
      <c r="K3461" t="str">
        <f t="shared" si="874"/>
        <v>Y</v>
      </c>
      <c r="L3461">
        <v>0</v>
      </c>
      <c r="M3461" t="str">
        <f t="shared" si="865"/>
        <v>NIS</v>
      </c>
      <c r="O3461">
        <v>3</v>
      </c>
      <c r="P3461" t="str">
        <f t="shared" si="872"/>
        <v>Active</v>
      </c>
      <c r="Q3461" t="str">
        <f>"Pneumatic Feeder for Rectangular Parts"</f>
        <v>Pneumatic Feeder for Rectangular Parts</v>
      </c>
      <c r="S3461" t="str">
        <f>"Pneumatic Feeder for Rectangular Parts"</f>
        <v>Pneumatic Feeder for Rectangular Parts</v>
      </c>
      <c r="T3461">
        <v>0</v>
      </c>
      <c r="U3461">
        <v>595</v>
      </c>
      <c r="V3461">
        <v>555.15</v>
      </c>
      <c r="W3461" t="str">
        <f t="shared" si="867"/>
        <v>rob</v>
      </c>
    </row>
    <row r="3462" spans="1:23">
      <c r="A3462" t="str">
        <f t="shared" si="875"/>
        <v>MTS-MH5F-LSREN</v>
      </c>
      <c r="B3462" t="str">
        <f>"00-1110-0000"</f>
        <v>00-1110-0000</v>
      </c>
      <c r="C3462" t="str">
        <f>"Palletizing Rack"</f>
        <v>Palletizing Rack</v>
      </c>
      <c r="D3462">
        <v>1</v>
      </c>
      <c r="E3462" t="str">
        <f t="shared" si="876"/>
        <v>FMS - MOTOMAN MH5F robot with Laser Engraver</v>
      </c>
      <c r="F3462">
        <v>502</v>
      </c>
      <c r="G3462" t="str">
        <f t="shared" si="873"/>
        <v>Y</v>
      </c>
      <c r="H3462" t="str">
        <f t="shared" si="877"/>
        <v>EA</v>
      </c>
      <c r="I3462">
        <v>0</v>
      </c>
      <c r="J3462">
        <v>0</v>
      </c>
      <c r="K3462" t="str">
        <f t="shared" si="874"/>
        <v>Y</v>
      </c>
      <c r="L3462">
        <v>0</v>
      </c>
      <c r="M3462" t="str">
        <f t="shared" si="865"/>
        <v>NIS</v>
      </c>
      <c r="O3462">
        <v>4</v>
      </c>
      <c r="P3462" t="str">
        <f t="shared" si="872"/>
        <v>Active</v>
      </c>
      <c r="Q3462" t="str">
        <f>"Palletizing Rack (incl. Pins for creating Jigs)"</f>
        <v>Palletizing Rack (incl. Pins for creating Jigs)</v>
      </c>
      <c r="S3462" t="str">
        <f>"Palletizing Rack (incl. Pins for creating Jigs)"</f>
        <v>Palletizing Rack (incl. Pins for creating Jigs)</v>
      </c>
      <c r="T3462">
        <v>0</v>
      </c>
      <c r="U3462">
        <v>63</v>
      </c>
      <c r="V3462">
        <v>58.59</v>
      </c>
      <c r="W3462" t="str">
        <f t="shared" si="867"/>
        <v>rob</v>
      </c>
    </row>
    <row r="3463" spans="1:23">
      <c r="A3463" t="str">
        <f t="shared" si="875"/>
        <v>MTS-MH5F-LSREN</v>
      </c>
      <c r="B3463" t="str">
        <f>"021181"</f>
        <v>021181</v>
      </c>
      <c r="C3463" t="str">
        <f>"97mm Height Adapter -Rack 001110 on formica 19mm"</f>
        <v>97mm Height Adapter -Rack 001110 on formica 19mm</v>
      </c>
      <c r="D3463">
        <v>1</v>
      </c>
      <c r="E3463" t="str">
        <f t="shared" si="876"/>
        <v>FMS - MOTOMAN MH5F robot with Laser Engraver</v>
      </c>
      <c r="F3463">
        <v>502</v>
      </c>
      <c r="G3463" t="str">
        <f t="shared" si="873"/>
        <v>Y</v>
      </c>
      <c r="H3463" t="str">
        <f t="shared" si="877"/>
        <v>EA</v>
      </c>
      <c r="I3463">
        <v>0</v>
      </c>
      <c r="J3463">
        <v>0</v>
      </c>
      <c r="K3463" t="str">
        <f t="shared" si="874"/>
        <v>Y</v>
      </c>
      <c r="L3463">
        <v>0</v>
      </c>
      <c r="M3463" t="str">
        <f t="shared" si="865"/>
        <v>NIS</v>
      </c>
      <c r="O3463">
        <v>5</v>
      </c>
      <c r="P3463" t="str">
        <f t="shared" si="872"/>
        <v>Active</v>
      </c>
      <c r="Q3463" t="str">
        <f>"97mm Height Adapter -Rack 001110 on formica 19mm"</f>
        <v>97mm Height Adapter -Rack 001110 on formica 19mm</v>
      </c>
      <c r="S3463" t="str">
        <f>"97mm Height Adapter -Rack 001110 on formica 19mm"</f>
        <v>97mm Height Adapter -Rack 001110 on formica 19mm</v>
      </c>
      <c r="T3463">
        <v>0</v>
      </c>
      <c r="U3463">
        <v>8.0299999999999994</v>
      </c>
      <c r="V3463">
        <v>8.85</v>
      </c>
      <c r="W3463" t="str">
        <f t="shared" si="867"/>
        <v>rob</v>
      </c>
    </row>
    <row r="3464" spans="1:23">
      <c r="A3464" t="str">
        <f t="shared" si="875"/>
        <v>MTS-MH5F-LSREN</v>
      </c>
      <c r="B3464" t="str">
        <f>"113034"</f>
        <v>113034</v>
      </c>
      <c r="C3464" t="str">
        <f>"Raw Material - Perspex Block"</f>
        <v>Raw Material - Perspex Block</v>
      </c>
      <c r="D3464">
        <v>50</v>
      </c>
      <c r="E3464" t="str">
        <f t="shared" si="876"/>
        <v>FMS - MOTOMAN MH5F robot with Laser Engraver</v>
      </c>
      <c r="F3464">
        <v>502</v>
      </c>
      <c r="G3464" t="str">
        <f t="shared" si="873"/>
        <v>Y</v>
      </c>
      <c r="H3464" t="str">
        <f t="shared" si="877"/>
        <v>EA</v>
      </c>
      <c r="I3464">
        <v>0</v>
      </c>
      <c r="J3464">
        <v>0</v>
      </c>
      <c r="K3464" t="str">
        <f t="shared" si="874"/>
        <v>Y</v>
      </c>
      <c r="L3464">
        <v>0</v>
      </c>
      <c r="M3464" t="str">
        <f t="shared" si="865"/>
        <v>NIS</v>
      </c>
      <c r="O3464">
        <v>6</v>
      </c>
      <c r="P3464" t="str">
        <f t="shared" si="872"/>
        <v>Active</v>
      </c>
      <c r="Q3464" t="str">
        <f>"Raw Material Stock - Perspex Block"</f>
        <v>Raw Material Stock - Perspex Block</v>
      </c>
      <c r="S3464" t="str">
        <f>"Raw Material Stock - Perspex Block"</f>
        <v>Raw Material Stock - Perspex Block</v>
      </c>
      <c r="T3464">
        <v>0</v>
      </c>
      <c r="U3464">
        <v>1.1000000000000001</v>
      </c>
      <c r="V3464">
        <v>1.0900000000000001</v>
      </c>
      <c r="W3464" t="str">
        <f t="shared" si="867"/>
        <v>rob</v>
      </c>
    </row>
    <row r="3465" spans="1:23">
      <c r="A3465" t="str">
        <f t="shared" si="875"/>
        <v>MTS-MH5F-LSREN</v>
      </c>
      <c r="B3465" t="str">
        <f>"00-4040-0000"</f>
        <v>00-4040-0000</v>
      </c>
      <c r="C3465" t="str">
        <f>"Laser Engraver VLS 3.60"</f>
        <v>Laser Engraver VLS 3.60</v>
      </c>
      <c r="D3465">
        <v>1</v>
      </c>
      <c r="E3465" t="str">
        <f t="shared" si="876"/>
        <v>FMS - MOTOMAN MH5F robot with Laser Engraver</v>
      </c>
      <c r="F3465">
        <v>502</v>
      </c>
      <c r="G3465" t="str">
        <f t="shared" si="873"/>
        <v>Y</v>
      </c>
      <c r="H3465" t="str">
        <f t="shared" si="877"/>
        <v>EA</v>
      </c>
      <c r="I3465">
        <v>0</v>
      </c>
      <c r="J3465">
        <v>0</v>
      </c>
      <c r="K3465" t="str">
        <f t="shared" si="874"/>
        <v>Y</v>
      </c>
      <c r="L3465">
        <v>0</v>
      </c>
      <c r="M3465" t="str">
        <f t="shared" si="865"/>
        <v>NIS</v>
      </c>
      <c r="O3465">
        <v>7</v>
      </c>
      <c r="P3465" t="str">
        <f t="shared" si="872"/>
        <v>Active</v>
      </c>
      <c r="Q3465" t="str">
        <f>"Laser Engraver"</f>
        <v>Laser Engraver</v>
      </c>
      <c r="S3465" t="str">
        <f>"Laser Engraver VLS 3.60"</f>
        <v>Laser Engraver VLS 3.60</v>
      </c>
      <c r="T3465">
        <v>0</v>
      </c>
      <c r="U3465" s="44">
        <v>18123.599999999999</v>
      </c>
      <c r="V3465" s="44">
        <v>20117.2</v>
      </c>
      <c r="W3465" t="str">
        <f t="shared" si="867"/>
        <v>rob</v>
      </c>
    </row>
    <row r="3466" spans="1:23">
      <c r="A3466" t="str">
        <f t="shared" si="875"/>
        <v>MTS-MH5F-LSREN</v>
      </c>
      <c r="B3466" t="str">
        <f>"025223"</f>
        <v>025223</v>
      </c>
      <c r="C3466" t="str">
        <f>"Automatic Shield Opener for Laser Engraver, 24V"</f>
        <v>Automatic Shield Opener for Laser Engraver, 24V</v>
      </c>
      <c r="D3466">
        <v>1</v>
      </c>
      <c r="E3466" t="str">
        <f t="shared" si="876"/>
        <v>FMS - MOTOMAN MH5F robot with Laser Engraver</v>
      </c>
      <c r="F3466">
        <v>502</v>
      </c>
      <c r="G3466" t="str">
        <f t="shared" si="873"/>
        <v>Y</v>
      </c>
      <c r="H3466" t="str">
        <f t="shared" si="877"/>
        <v>EA</v>
      </c>
      <c r="I3466">
        <v>0</v>
      </c>
      <c r="J3466">
        <v>0</v>
      </c>
      <c r="K3466" t="str">
        <f t="shared" si="874"/>
        <v>Y</v>
      </c>
      <c r="L3466">
        <v>0</v>
      </c>
      <c r="M3466" t="str">
        <f t="shared" si="865"/>
        <v>NIS</v>
      </c>
      <c r="O3466">
        <v>8</v>
      </c>
      <c r="P3466" t="str">
        <f t="shared" si="872"/>
        <v>Active</v>
      </c>
      <c r="Q3466" t="str">
        <f>"מכלול-בוכנה דו-כיווני 300mm עם שסתום"</f>
        <v>מכלול-בוכנה דו-כיווני 300mm עם שסתום</v>
      </c>
      <c r="S3466" t="str">
        <f>"Automatic Shield Opener for Laser Engraver, 24V"</f>
        <v>Automatic Shield Opener for Laser Engraver, 24V</v>
      </c>
      <c r="T3466">
        <v>0</v>
      </c>
      <c r="U3466">
        <v>778.12</v>
      </c>
      <c r="V3466">
        <v>428.86</v>
      </c>
      <c r="W3466" t="str">
        <f t="shared" si="867"/>
        <v>rob</v>
      </c>
    </row>
    <row r="3467" spans="1:23">
      <c r="A3467" t="str">
        <f t="shared" si="875"/>
        <v>MTS-MH5F-LSREN</v>
      </c>
      <c r="B3467" t="str">
        <f>"00-1284-0000"</f>
        <v>00-1284-0000</v>
      </c>
      <c r="C3467" t="str">
        <f>"Robot Pedestal Welded for ER9/14Pro&amp;MH5"</f>
        <v>Robot Pedestal Welded for ER9/14Pro&amp;MH5</v>
      </c>
      <c r="D3467">
        <v>1</v>
      </c>
      <c r="E3467" t="str">
        <f t="shared" si="876"/>
        <v>FMS - MOTOMAN MH5F robot with Laser Engraver</v>
      </c>
      <c r="F3467">
        <v>502</v>
      </c>
      <c r="G3467" t="str">
        <f t="shared" si="873"/>
        <v>Y</v>
      </c>
      <c r="H3467" t="str">
        <f t="shared" si="877"/>
        <v>EA</v>
      </c>
      <c r="I3467">
        <v>0</v>
      </c>
      <c r="J3467">
        <v>0</v>
      </c>
      <c r="K3467" t="str">
        <f t="shared" si="874"/>
        <v>Y</v>
      </c>
      <c r="L3467">
        <v>0</v>
      </c>
      <c r="M3467" t="str">
        <f t="shared" si="865"/>
        <v>NIS</v>
      </c>
      <c r="O3467">
        <v>9</v>
      </c>
      <c r="P3467" t="str">
        <f t="shared" si="872"/>
        <v>Active</v>
      </c>
      <c r="Q3467" t="str">
        <f>"Robot Pedestal Welded for ER9/14Pro&amp;MH5"</f>
        <v>Robot Pedestal Welded for ER9/14Pro&amp;MH5</v>
      </c>
      <c r="S3467" t="str">
        <f>"Robot Pedestal Welded for ER9/14Pro&amp;MH5"</f>
        <v>Robot Pedestal Welded for ER9/14Pro&amp;MH5</v>
      </c>
      <c r="T3467">
        <v>0</v>
      </c>
      <c r="U3467">
        <v>723.91</v>
      </c>
      <c r="V3467">
        <v>671.12</v>
      </c>
      <c r="W3467" t="str">
        <f t="shared" si="867"/>
        <v>rob</v>
      </c>
    </row>
    <row r="3468" spans="1:23">
      <c r="A3468" t="str">
        <f t="shared" si="875"/>
        <v>MTS-MH5F-LSREN</v>
      </c>
      <c r="B3468" t="str">
        <f>"00-1251-0000"</f>
        <v>00-1251-0000</v>
      </c>
      <c r="C3468" t="str">
        <f>"Workbench 1500x800mm (Formica Top)"</f>
        <v>Workbench 1500x800mm (Formica Top)</v>
      </c>
      <c r="D3468">
        <v>1</v>
      </c>
      <c r="E3468" t="str">
        <f t="shared" si="876"/>
        <v>FMS - MOTOMAN MH5F robot with Laser Engraver</v>
      </c>
      <c r="F3468">
        <v>502</v>
      </c>
      <c r="G3468" t="str">
        <f t="shared" si="873"/>
        <v>Y</v>
      </c>
      <c r="H3468" t="str">
        <f t="shared" si="877"/>
        <v>EA</v>
      </c>
      <c r="I3468">
        <v>0</v>
      </c>
      <c r="J3468">
        <v>0</v>
      </c>
      <c r="K3468" t="str">
        <f t="shared" si="874"/>
        <v>Y</v>
      </c>
      <c r="L3468">
        <v>0</v>
      </c>
      <c r="M3468" t="str">
        <f t="shared" si="865"/>
        <v>NIS</v>
      </c>
      <c r="O3468">
        <v>10</v>
      </c>
      <c r="P3468" t="str">
        <f t="shared" si="872"/>
        <v>Active</v>
      </c>
      <c r="Q3468" t="str">
        <f>"Workbench 1500x800mm (Formica Top)"</f>
        <v>Workbench 1500x800mm (Formica Top)</v>
      </c>
      <c r="S3468" t="str">
        <f>"Workbench 1500x800mm (Formica Top)"</f>
        <v>Workbench 1500x800mm (Formica Top)</v>
      </c>
      <c r="T3468">
        <v>0</v>
      </c>
      <c r="U3468">
        <v>582</v>
      </c>
      <c r="V3468">
        <v>588.6</v>
      </c>
      <c r="W3468" t="str">
        <f t="shared" si="867"/>
        <v>rob</v>
      </c>
    </row>
    <row r="3469" spans="1:23">
      <c r="A3469" t="str">
        <f t="shared" si="875"/>
        <v>MTS-MH5F-LSREN</v>
      </c>
      <c r="B3469" t="str">
        <f>"50-0094-0000"</f>
        <v>50-0094-0000</v>
      </c>
      <c r="C3469" t="str">
        <f>"Pre-Engineering, Design and Testing"</f>
        <v>Pre-Engineering, Design and Testing</v>
      </c>
      <c r="D3469">
        <v>1</v>
      </c>
      <c r="E3469" t="str">
        <f t="shared" si="876"/>
        <v>FMS - MOTOMAN MH5F robot with Laser Engraver</v>
      </c>
      <c r="F3469">
        <v>502</v>
      </c>
      <c r="G3469" t="str">
        <f t="shared" si="873"/>
        <v>Y</v>
      </c>
      <c r="H3469" t="str">
        <f>"DA"</f>
        <v>DA</v>
      </c>
      <c r="I3469">
        <v>0</v>
      </c>
      <c r="J3469">
        <v>0</v>
      </c>
      <c r="K3469" t="str">
        <f t="shared" si="874"/>
        <v>Y</v>
      </c>
      <c r="L3469">
        <v>0</v>
      </c>
      <c r="M3469" t="str">
        <f t="shared" si="865"/>
        <v>NIS</v>
      </c>
      <c r="O3469">
        <v>11</v>
      </c>
      <c r="P3469" t="str">
        <f t="shared" ref="P3469:P3500" si="878">"Active"</f>
        <v>Active</v>
      </c>
      <c r="Q3469" t="str">
        <f>"Pre-Engineering, Design and Testing"</f>
        <v>Pre-Engineering, Design and Testing</v>
      </c>
      <c r="S3469" t="str">
        <f>"Pre-Engineering, Design and Testing"</f>
        <v>Pre-Engineering, Design and Testing</v>
      </c>
      <c r="T3469">
        <v>0</v>
      </c>
      <c r="U3469">
        <v>405</v>
      </c>
      <c r="V3469">
        <v>421.2</v>
      </c>
      <c r="W3469" t="str">
        <f t="shared" si="867"/>
        <v>rob</v>
      </c>
    </row>
    <row r="3470" spans="1:23">
      <c r="A3470" t="str">
        <f t="shared" ref="A3470:A3513" si="879">"MTS-MH5F-PM&amp;PT"</f>
        <v>MTS-MH5F-PM&amp;PT</v>
      </c>
      <c r="B3470" t="str">
        <f>"00-0436-0000"</f>
        <v>00-0436-0000</v>
      </c>
      <c r="C3470" t="str">
        <f>"MH5F compact high-speed 6-axis Robot"</f>
        <v>MH5F compact high-speed 6-axis Robot</v>
      </c>
      <c r="D3470">
        <v>1</v>
      </c>
      <c r="E3470" t="str">
        <f t="shared" ref="E3470:E3513" si="880">"FMS - MOTOMAN MH5F robot with ProMill 8000(12 tool ATC) &amp; ProTurn 9000 CNC machines"</f>
        <v>FMS - MOTOMAN MH5F robot with ProMill 8000(12 tool ATC) &amp; ProTurn 9000 CNC machines</v>
      </c>
      <c r="F3470">
        <v>502</v>
      </c>
      <c r="G3470" t="str">
        <f t="shared" si="873"/>
        <v>Y</v>
      </c>
      <c r="H3470" t="str">
        <f t="shared" ref="H3470:H3512" si="881">"EA"</f>
        <v>EA</v>
      </c>
      <c r="I3470">
        <v>0</v>
      </c>
      <c r="J3470">
        <v>0</v>
      </c>
      <c r="K3470" t="str">
        <f t="shared" si="874"/>
        <v>Y</v>
      </c>
      <c r="L3470">
        <v>0</v>
      </c>
      <c r="M3470" t="str">
        <f t="shared" ref="M3470:M3533" si="882">"NIS"</f>
        <v>NIS</v>
      </c>
      <c r="O3470">
        <v>1</v>
      </c>
      <c r="P3470" t="str">
        <f t="shared" si="878"/>
        <v>Active</v>
      </c>
      <c r="Q3470" t="str">
        <f>"MH5F compact high-speed 6-axis Robot"</f>
        <v>MH5F compact high-speed 6-axis Robot</v>
      </c>
      <c r="S3470" t="str">
        <f>"MH5F compact high-speed 6-axis Robot"</f>
        <v>MH5F compact high-speed 6-axis Robot</v>
      </c>
      <c r="T3470">
        <v>0</v>
      </c>
      <c r="U3470" s="44">
        <v>23500</v>
      </c>
      <c r="V3470" s="44">
        <v>16049.14</v>
      </c>
      <c r="W3470" t="str">
        <f t="shared" si="867"/>
        <v>rob</v>
      </c>
    </row>
    <row r="3471" spans="1:23">
      <c r="A3471" t="str">
        <f t="shared" si="879"/>
        <v>MTS-MH5F-PM&amp;PT</v>
      </c>
      <c r="B3471" t="str">
        <f>"00-0646-0000"</f>
        <v>00-0646-0000</v>
      </c>
      <c r="C3471" t="str">
        <f>"Pneumatic Gripper with I/O Box for Motoman MH5F"</f>
        <v>Pneumatic Gripper with I/O Box for Motoman MH5F</v>
      </c>
      <c r="D3471">
        <v>1</v>
      </c>
      <c r="E3471" t="str">
        <f t="shared" si="880"/>
        <v>FMS - MOTOMAN MH5F robot with ProMill 8000(12 tool ATC) &amp; ProTurn 9000 CNC machines</v>
      </c>
      <c r="F3471">
        <v>502</v>
      </c>
      <c r="G3471" t="str">
        <f t="shared" si="873"/>
        <v>Y</v>
      </c>
      <c r="H3471" t="str">
        <f t="shared" si="881"/>
        <v>EA</v>
      </c>
      <c r="I3471">
        <v>0</v>
      </c>
      <c r="J3471">
        <v>0</v>
      </c>
      <c r="K3471" t="str">
        <f t="shared" si="874"/>
        <v>Y</v>
      </c>
      <c r="L3471">
        <v>0</v>
      </c>
      <c r="M3471" t="str">
        <f t="shared" si="882"/>
        <v>NIS</v>
      </c>
      <c r="O3471">
        <v>2</v>
      </c>
      <c r="P3471" t="str">
        <f t="shared" si="878"/>
        <v>Active</v>
      </c>
      <c r="Q3471" t="str">
        <f>"Pneumatic Gripper with I/O Box for Motoman MH5F"</f>
        <v>Pneumatic Gripper with I/O Box for Motoman MH5F</v>
      </c>
      <c r="S3471" t="str">
        <f>"Pneumatic Gripper with I/O Box for Motoman MH5F"</f>
        <v>Pneumatic Gripper with I/O Box for Motoman MH5F</v>
      </c>
      <c r="T3471">
        <v>0</v>
      </c>
      <c r="U3471" s="44">
        <v>1500</v>
      </c>
      <c r="V3471" s="44">
        <v>1238.52</v>
      </c>
      <c r="W3471" t="str">
        <f t="shared" si="867"/>
        <v>rob</v>
      </c>
    </row>
    <row r="3472" spans="1:23">
      <c r="A3472" t="str">
        <f t="shared" si="879"/>
        <v>MTS-MH5F-PM&amp;PT</v>
      </c>
      <c r="B3472" t="str">
        <f>"00-1027-0000"</f>
        <v>00-1027-0000</v>
      </c>
      <c r="C3472" t="str">
        <f>"LSB 1.8m, Belt, USB-Pro, for ind. robot &lt; 35kg)"</f>
        <v>LSB 1.8m, Belt, USB-Pro, for ind. robot &lt; 35kg)</v>
      </c>
      <c r="D3472">
        <v>1</v>
      </c>
      <c r="E3472" t="str">
        <f t="shared" si="880"/>
        <v>FMS - MOTOMAN MH5F robot with ProMill 8000(12 tool ATC) &amp; ProTurn 9000 CNC machines</v>
      </c>
      <c r="F3472">
        <v>502</v>
      </c>
      <c r="G3472" t="str">
        <f t="shared" si="873"/>
        <v>Y</v>
      </c>
      <c r="H3472" t="str">
        <f t="shared" si="881"/>
        <v>EA</v>
      </c>
      <c r="I3472">
        <v>0</v>
      </c>
      <c r="J3472">
        <v>0</v>
      </c>
      <c r="K3472" t="str">
        <f t="shared" si="874"/>
        <v>Y</v>
      </c>
      <c r="L3472">
        <v>0</v>
      </c>
      <c r="M3472" t="str">
        <f t="shared" si="882"/>
        <v>NIS</v>
      </c>
      <c r="O3472">
        <v>3</v>
      </c>
      <c r="P3472" t="str">
        <f t="shared" si="878"/>
        <v>Active</v>
      </c>
      <c r="Q3472" t="str">
        <f>"LSB 1.8m incl. USB-Pro(Industr. robot max. 50kg)"</f>
        <v>LSB 1.8m incl. USB-Pro(Industr. robot max. 50kg)</v>
      </c>
      <c r="S3472" t="str">
        <f>"LSB 1.8m, Belt, USB-Pro, for ind. robot &lt; 35kg"</f>
        <v>LSB 1.8m, Belt, USB-Pro, for ind. robot &lt; 35kg</v>
      </c>
      <c r="T3472">
        <v>0</v>
      </c>
      <c r="U3472" s="44">
        <v>5000</v>
      </c>
      <c r="V3472" s="44">
        <v>4687.0200000000004</v>
      </c>
      <c r="W3472" t="str">
        <f t="shared" si="867"/>
        <v>rob</v>
      </c>
    </row>
    <row r="3473" spans="1:23">
      <c r="A3473" t="str">
        <f t="shared" si="879"/>
        <v>MTS-MH5F-PM&amp;PT</v>
      </c>
      <c r="B3473" t="str">
        <f>"00-1110-0000"</f>
        <v>00-1110-0000</v>
      </c>
      <c r="C3473" t="str">
        <f>"Palletizing Rack"</f>
        <v>Palletizing Rack</v>
      </c>
      <c r="D3473">
        <v>2</v>
      </c>
      <c r="E3473" t="str">
        <f t="shared" si="880"/>
        <v>FMS - MOTOMAN MH5F robot with ProMill 8000(12 tool ATC) &amp; ProTurn 9000 CNC machines</v>
      </c>
      <c r="F3473">
        <v>502</v>
      </c>
      <c r="G3473" t="str">
        <f t="shared" si="873"/>
        <v>Y</v>
      </c>
      <c r="H3473" t="str">
        <f t="shared" si="881"/>
        <v>EA</v>
      </c>
      <c r="I3473">
        <v>0</v>
      </c>
      <c r="J3473">
        <v>0</v>
      </c>
      <c r="K3473" t="str">
        <f t="shared" si="874"/>
        <v>Y</v>
      </c>
      <c r="L3473">
        <v>0</v>
      </c>
      <c r="M3473" t="str">
        <f t="shared" si="882"/>
        <v>NIS</v>
      </c>
      <c r="O3473">
        <v>4</v>
      </c>
      <c r="P3473" t="str">
        <f t="shared" si="878"/>
        <v>Active</v>
      </c>
      <c r="Q3473" t="str">
        <f>"Palletizing Rack (incl. Pins for creating Jigs)"</f>
        <v>Palletizing Rack (incl. Pins for creating Jigs)</v>
      </c>
      <c r="S3473" t="str">
        <f>"Palletizing Rack (incl. Pins for creating Jigs)"</f>
        <v>Palletizing Rack (incl. Pins for creating Jigs)</v>
      </c>
      <c r="T3473">
        <v>0</v>
      </c>
      <c r="U3473">
        <v>63</v>
      </c>
      <c r="V3473">
        <v>58.59</v>
      </c>
      <c r="W3473" t="str">
        <f t="shared" si="867"/>
        <v>rob</v>
      </c>
    </row>
    <row r="3474" spans="1:23">
      <c r="A3474" t="str">
        <f t="shared" si="879"/>
        <v>MTS-MH5F-PM&amp;PT</v>
      </c>
      <c r="B3474" t="str">
        <f>"10-2521-7000"</f>
        <v>10-2521-7000</v>
      </c>
      <c r="C3474" t="str">
        <f>"Pneumatic Feeder for Rectangular products"</f>
        <v>Pneumatic Feeder for Rectangular products</v>
      </c>
      <c r="D3474">
        <v>1</v>
      </c>
      <c r="E3474" t="str">
        <f t="shared" si="880"/>
        <v>FMS - MOTOMAN MH5F robot with ProMill 8000(12 tool ATC) &amp; ProTurn 9000 CNC machines</v>
      </c>
      <c r="F3474">
        <v>502</v>
      </c>
      <c r="G3474" t="str">
        <f t="shared" si="873"/>
        <v>Y</v>
      </c>
      <c r="H3474" t="str">
        <f t="shared" si="881"/>
        <v>EA</v>
      </c>
      <c r="I3474">
        <v>0</v>
      </c>
      <c r="J3474">
        <v>0</v>
      </c>
      <c r="K3474" t="str">
        <f t="shared" si="874"/>
        <v>Y</v>
      </c>
      <c r="L3474">
        <v>0</v>
      </c>
      <c r="M3474" t="str">
        <f t="shared" si="882"/>
        <v>NIS</v>
      </c>
      <c r="O3474">
        <v>5</v>
      </c>
      <c r="P3474" t="str">
        <f t="shared" si="878"/>
        <v>Active</v>
      </c>
      <c r="Q3474" t="str">
        <f>"Pneumatic Feeder for Rectangular Parts"</f>
        <v>Pneumatic Feeder for Rectangular Parts</v>
      </c>
      <c r="S3474" t="str">
        <f>"Pneumatic Feeder for Rectangular Parts"</f>
        <v>Pneumatic Feeder for Rectangular Parts</v>
      </c>
      <c r="T3474">
        <v>0</v>
      </c>
      <c r="U3474">
        <v>595</v>
      </c>
      <c r="V3474">
        <v>555.15</v>
      </c>
      <c r="W3474" t="str">
        <f t="shared" si="867"/>
        <v>rob</v>
      </c>
    </row>
    <row r="3475" spans="1:23">
      <c r="A3475" t="str">
        <f t="shared" si="879"/>
        <v>MTS-MH5F-PM&amp;PT</v>
      </c>
      <c r="B3475" t="str">
        <f>"10-1007-4000"</f>
        <v>10-1007-4000</v>
      </c>
      <c r="C3475" t="str">
        <f>"Gravity Parts Feeder (with microswitch sensor)"</f>
        <v>Gravity Parts Feeder (with microswitch sensor)</v>
      </c>
      <c r="D3475">
        <v>1</v>
      </c>
      <c r="E3475" t="str">
        <f t="shared" si="880"/>
        <v>FMS - MOTOMAN MH5F robot with ProMill 8000(12 tool ATC) &amp; ProTurn 9000 CNC machines</v>
      </c>
      <c r="F3475">
        <v>502</v>
      </c>
      <c r="G3475" t="str">
        <f t="shared" si="873"/>
        <v>Y</v>
      </c>
      <c r="H3475" t="str">
        <f t="shared" si="881"/>
        <v>EA</v>
      </c>
      <c r="I3475">
        <v>0</v>
      </c>
      <c r="J3475">
        <v>0</v>
      </c>
      <c r="K3475" t="str">
        <f t="shared" si="874"/>
        <v>Y</v>
      </c>
      <c r="L3475">
        <v>0</v>
      </c>
      <c r="M3475" t="str">
        <f t="shared" si="882"/>
        <v>NIS</v>
      </c>
      <c r="O3475">
        <v>6</v>
      </c>
      <c r="P3475" t="str">
        <f t="shared" si="878"/>
        <v>Active</v>
      </c>
      <c r="Q3475" t="str">
        <f>"Gravity Parts Feeder (incl.microswitch sensor)"</f>
        <v>Gravity Parts Feeder (incl.microswitch sensor)</v>
      </c>
      <c r="S3475" t="str">
        <f>"Gravity Parts Feeder (incl.microswitch sensor)"</f>
        <v>Gravity Parts Feeder (incl.microswitch sensor)</v>
      </c>
      <c r="T3475">
        <v>0</v>
      </c>
      <c r="U3475">
        <v>148</v>
      </c>
      <c r="V3475">
        <v>148.26</v>
      </c>
      <c r="W3475" t="str">
        <f t="shared" si="867"/>
        <v>rob</v>
      </c>
    </row>
    <row r="3476" spans="1:23">
      <c r="A3476" t="str">
        <f t="shared" si="879"/>
        <v>MTS-MH5F-PM&amp;PT</v>
      </c>
      <c r="B3476" t="str">
        <f>"021152"</f>
        <v>021152</v>
      </c>
      <c r="C3476" t="str">
        <f>"Shelf Buffer for CIM conveyor"</f>
        <v>Shelf Buffer for CIM conveyor</v>
      </c>
      <c r="D3476">
        <v>2</v>
      </c>
      <c r="E3476" t="str">
        <f t="shared" si="880"/>
        <v>FMS - MOTOMAN MH5F robot with ProMill 8000(12 tool ATC) &amp; ProTurn 9000 CNC machines</v>
      </c>
      <c r="F3476">
        <v>502</v>
      </c>
      <c r="G3476" t="str">
        <f t="shared" si="873"/>
        <v>Y</v>
      </c>
      <c r="H3476" t="str">
        <f t="shared" si="881"/>
        <v>EA</v>
      </c>
      <c r="I3476">
        <v>0</v>
      </c>
      <c r="J3476">
        <v>0</v>
      </c>
      <c r="K3476" t="str">
        <f t="shared" si="874"/>
        <v>Y</v>
      </c>
      <c r="L3476">
        <v>0</v>
      </c>
      <c r="M3476" t="str">
        <f t="shared" si="882"/>
        <v>NIS</v>
      </c>
      <c r="O3476">
        <v>44</v>
      </c>
      <c r="P3476" t="str">
        <f t="shared" si="878"/>
        <v>Active</v>
      </c>
      <c r="Q3476" t="str">
        <f>"מכלול- מדף בפר סטנדרטי OPEN-CIM"</f>
        <v>מכלול- מדף בפר סטנדרטי OPEN-CIM</v>
      </c>
      <c r="R3476" t="str">
        <f>"1"</f>
        <v>1</v>
      </c>
      <c r="S3476" t="str">
        <f>"מכלול- מדף בפר סטנדרטי OPEN-CIM"</f>
        <v>מכלול- מדף בפר סטנדרטי OPEN-CIM</v>
      </c>
      <c r="T3476">
        <v>0</v>
      </c>
      <c r="U3476">
        <v>83.12</v>
      </c>
      <c r="V3476">
        <v>92.76</v>
      </c>
      <c r="W3476" t="str">
        <f t="shared" si="867"/>
        <v>rob</v>
      </c>
    </row>
    <row r="3477" spans="1:23">
      <c r="A3477" t="str">
        <f t="shared" si="879"/>
        <v>MTS-MH5F-PM&amp;PT</v>
      </c>
      <c r="B3477" t="str">
        <f>"10-2120-2000"</f>
        <v>10-2120-2000</v>
      </c>
      <c r="C3477" t="str">
        <f>"CNC Interface with ProMill 8000"</f>
        <v>CNC Interface with ProMill 8000</v>
      </c>
      <c r="D3477">
        <v>1</v>
      </c>
      <c r="E3477" t="str">
        <f t="shared" si="880"/>
        <v>FMS - MOTOMAN MH5F robot with ProMill 8000(12 tool ATC) &amp; ProTurn 9000 CNC machines</v>
      </c>
      <c r="F3477">
        <v>502</v>
      </c>
      <c r="G3477" t="str">
        <f t="shared" si="873"/>
        <v>Y</v>
      </c>
      <c r="H3477" t="str">
        <f t="shared" si="881"/>
        <v>EA</v>
      </c>
      <c r="I3477">
        <v>0</v>
      </c>
      <c r="J3477">
        <v>0</v>
      </c>
      <c r="K3477" t="str">
        <f t="shared" si="874"/>
        <v>Y</v>
      </c>
      <c r="L3477">
        <v>0</v>
      </c>
      <c r="M3477" t="str">
        <f t="shared" si="882"/>
        <v>NIS</v>
      </c>
      <c r="O3477">
        <v>7</v>
      </c>
      <c r="P3477" t="str">
        <f t="shared" si="878"/>
        <v>Active</v>
      </c>
      <c r="Q3477" t="str">
        <f>"CNC Interface with ProMill 8000"</f>
        <v>CNC Interface with ProMill 8000</v>
      </c>
      <c r="S3477" t="str">
        <f>"CNC Interface with ProMill 8000"</f>
        <v>CNC Interface with ProMill 8000</v>
      </c>
      <c r="T3477">
        <v>0</v>
      </c>
      <c r="U3477">
        <v>18</v>
      </c>
      <c r="V3477">
        <v>17.690000000000001</v>
      </c>
      <c r="W3477" t="str">
        <f t="shared" si="867"/>
        <v>rob</v>
      </c>
    </row>
    <row r="3478" spans="1:23">
      <c r="A3478" t="str">
        <f t="shared" si="879"/>
        <v>MTS-MH5F-PM&amp;PT</v>
      </c>
      <c r="B3478" t="str">
        <f>"00-5509-0220"</f>
        <v>00-5509-0220</v>
      </c>
      <c r="C3478" t="str">
        <f>"ProMill 8000 AC with 12 Tool ATC"</f>
        <v>ProMill 8000 AC with 12 Tool ATC</v>
      </c>
      <c r="D3478">
        <v>1</v>
      </c>
      <c r="E3478" t="str">
        <f t="shared" si="880"/>
        <v>FMS - MOTOMAN MH5F robot with ProMill 8000(12 tool ATC) &amp; ProTurn 9000 CNC machines</v>
      </c>
      <c r="F3478">
        <v>502</v>
      </c>
      <c r="G3478" t="str">
        <f t="shared" si="873"/>
        <v>Y</v>
      </c>
      <c r="H3478" t="str">
        <f t="shared" si="881"/>
        <v>EA</v>
      </c>
      <c r="I3478">
        <v>0</v>
      </c>
      <c r="J3478">
        <v>0</v>
      </c>
      <c r="K3478" t="str">
        <f t="shared" si="874"/>
        <v>Y</v>
      </c>
      <c r="L3478">
        <v>0</v>
      </c>
      <c r="M3478" t="str">
        <f t="shared" si="882"/>
        <v>NIS</v>
      </c>
      <c r="O3478">
        <v>8</v>
      </c>
      <c r="P3478" t="str">
        <f t="shared" si="878"/>
        <v>Active</v>
      </c>
      <c r="Q3478" t="str">
        <f>"ProMill 8000 AC with 12 Tool ATC 220V"</f>
        <v>ProMill 8000 AC with 12 Tool ATC 220V</v>
      </c>
      <c r="S3478" t="str">
        <f>"ProMill 8000 AC with 12 Tool ATC 220V"</f>
        <v>ProMill 8000 AC with 12 Tool ATC 220V</v>
      </c>
      <c r="T3478">
        <v>0</v>
      </c>
      <c r="U3478" s="44">
        <v>7800</v>
      </c>
      <c r="V3478" s="44">
        <v>7781.65</v>
      </c>
      <c r="W3478" t="str">
        <f t="shared" si="867"/>
        <v>rob</v>
      </c>
    </row>
    <row r="3479" spans="1:23">
      <c r="A3479" t="str">
        <f t="shared" si="879"/>
        <v>MTS-MH5F-PM&amp;PT</v>
      </c>
      <c r="B3479" t="str">
        <f>"10-1111-9000"</f>
        <v>10-1111-9000</v>
      </c>
      <c r="C3479" t="str">
        <f>"ISO 20 tool holder"</f>
        <v>ISO 20 tool holder</v>
      </c>
      <c r="D3479">
        <v>12</v>
      </c>
      <c r="E3479" t="str">
        <f t="shared" si="880"/>
        <v>FMS - MOTOMAN MH5F robot with ProMill 8000(12 tool ATC) &amp; ProTurn 9000 CNC machines</v>
      </c>
      <c r="F3479">
        <v>502</v>
      </c>
      <c r="G3479" t="str">
        <f t="shared" si="873"/>
        <v>Y</v>
      </c>
      <c r="H3479" t="str">
        <f t="shared" si="881"/>
        <v>EA</v>
      </c>
      <c r="I3479">
        <v>0</v>
      </c>
      <c r="J3479">
        <v>0</v>
      </c>
      <c r="K3479" t="str">
        <f t="shared" si="874"/>
        <v>Y</v>
      </c>
      <c r="L3479">
        <v>0</v>
      </c>
      <c r="M3479" t="str">
        <f t="shared" si="882"/>
        <v>NIS</v>
      </c>
      <c r="O3479">
        <v>9</v>
      </c>
      <c r="P3479" t="str">
        <f t="shared" si="878"/>
        <v>Active</v>
      </c>
      <c r="Q3479" t="str">
        <f>"ISO 20 tool holder with nut"</f>
        <v>ISO 20 tool holder with nut</v>
      </c>
      <c r="S3479" t="str">
        <f>"ISO 20 tool holder with nut"</f>
        <v>ISO 20 tool holder with nut</v>
      </c>
      <c r="T3479">
        <v>0</v>
      </c>
      <c r="U3479">
        <v>103</v>
      </c>
      <c r="V3479">
        <v>103.19</v>
      </c>
      <c r="W3479" t="str">
        <f t="shared" si="867"/>
        <v>rob</v>
      </c>
    </row>
    <row r="3480" spans="1:23">
      <c r="A3480" t="str">
        <f t="shared" si="879"/>
        <v>MTS-MH5F-PM&amp;PT</v>
      </c>
      <c r="B3480" t="str">
        <f>"10-1110-4000"</f>
        <v>10-1110-4000</v>
      </c>
      <c r="C3480" t="str">
        <f>"-- Pneumatic Shield (ProMill 8000 for FMS)"</f>
        <v>-- Pneumatic Shield (ProMill 8000 for FMS)</v>
      </c>
      <c r="D3480">
        <v>1</v>
      </c>
      <c r="E3480" t="str">
        <f t="shared" si="880"/>
        <v>FMS - MOTOMAN MH5F robot with ProMill 8000(12 tool ATC) &amp; ProTurn 9000 CNC machines</v>
      </c>
      <c r="F3480">
        <v>502</v>
      </c>
      <c r="G3480" t="str">
        <f t="shared" si="873"/>
        <v>Y</v>
      </c>
      <c r="H3480" t="str">
        <f t="shared" si="881"/>
        <v>EA</v>
      </c>
      <c r="I3480">
        <v>0</v>
      </c>
      <c r="J3480">
        <v>0</v>
      </c>
      <c r="K3480" t="str">
        <f t="shared" si="874"/>
        <v>Y</v>
      </c>
      <c r="L3480">
        <v>0</v>
      </c>
      <c r="M3480" t="str">
        <f t="shared" si="882"/>
        <v>NIS</v>
      </c>
      <c r="O3480">
        <v>10</v>
      </c>
      <c r="P3480" t="str">
        <f t="shared" si="878"/>
        <v>Active</v>
      </c>
      <c r="Q3480" t="str">
        <f>"Pneumatic Shield with Sensors (ProMill 8000)"</f>
        <v>Pneumatic Shield with Sensors (ProMill 8000)</v>
      </c>
      <c r="S3480" t="str">
        <f>"Pneumatic Shield with Sensors (ProMill 8000)"</f>
        <v>Pneumatic Shield with Sensors (ProMill 8000)</v>
      </c>
      <c r="T3480">
        <v>0</v>
      </c>
      <c r="U3480">
        <v>390</v>
      </c>
      <c r="V3480">
        <v>390.02</v>
      </c>
      <c r="W3480" t="str">
        <f t="shared" si="867"/>
        <v>rob</v>
      </c>
    </row>
    <row r="3481" spans="1:23">
      <c r="A3481" t="str">
        <f t="shared" si="879"/>
        <v>MTS-MH5F-PM&amp;PT</v>
      </c>
      <c r="B3481" t="str">
        <f>"10-1110-7000"</f>
        <v>10-1110-7000</v>
      </c>
      <c r="C3481" t="str">
        <f>"--Dual Axis Vise (for FMS)"</f>
        <v>--Dual Axis Vise (for FMS)</v>
      </c>
      <c r="D3481">
        <v>1</v>
      </c>
      <c r="E3481" t="str">
        <f t="shared" si="880"/>
        <v>FMS - MOTOMAN MH5F robot with ProMill 8000(12 tool ATC) &amp; ProTurn 9000 CNC machines</v>
      </c>
      <c r="F3481">
        <v>502</v>
      </c>
      <c r="G3481" t="str">
        <f t="shared" si="873"/>
        <v>Y</v>
      </c>
      <c r="H3481" t="str">
        <f t="shared" si="881"/>
        <v>EA</v>
      </c>
      <c r="I3481">
        <v>0</v>
      </c>
      <c r="J3481">
        <v>0</v>
      </c>
      <c r="K3481" t="str">
        <f t="shared" si="874"/>
        <v>Y</v>
      </c>
      <c r="L3481">
        <v>0</v>
      </c>
      <c r="M3481" t="str">
        <f t="shared" si="882"/>
        <v>NIS</v>
      </c>
      <c r="O3481">
        <v>11</v>
      </c>
      <c r="P3481" t="str">
        <f t="shared" si="878"/>
        <v>Active</v>
      </c>
      <c r="Q3481" t="str">
        <f>"Dual Axis Vise (BenchMill 6000/ ProMill 8000)"</f>
        <v>Dual Axis Vise (BenchMill 6000/ ProMill 8000)</v>
      </c>
      <c r="S3481" t="str">
        <f>"Dual Axis Vise (BenchMill 6000/ ProMill 8000)"</f>
        <v>Dual Axis Vise (BenchMill 6000/ ProMill 8000)</v>
      </c>
      <c r="T3481">
        <v>0</v>
      </c>
      <c r="U3481">
        <v>239</v>
      </c>
      <c r="V3481">
        <v>219.6</v>
      </c>
      <c r="W3481" t="str">
        <f t="shared" si="867"/>
        <v>rob</v>
      </c>
    </row>
    <row r="3482" spans="1:23">
      <c r="A3482" t="str">
        <f t="shared" si="879"/>
        <v>MTS-MH5F-PM&amp;PT</v>
      </c>
      <c r="B3482" t="str">
        <f>"10-1112-2000"</f>
        <v>10-1112-2000</v>
      </c>
      <c r="C3482" t="str">
        <f>"ER16 Collet set-8 pieces(3,4,5,6,7,8,9 and 10mm)"</f>
        <v>ER16 Collet set-8 pieces(3,4,5,6,7,8,9 and 10mm)</v>
      </c>
      <c r="D3482">
        <v>1</v>
      </c>
      <c r="E3482" t="str">
        <f t="shared" si="880"/>
        <v>FMS - MOTOMAN MH5F robot with ProMill 8000(12 tool ATC) &amp; ProTurn 9000 CNC machines</v>
      </c>
      <c r="F3482">
        <v>502</v>
      </c>
      <c r="G3482" t="str">
        <f t="shared" si="873"/>
        <v>Y</v>
      </c>
      <c r="H3482" t="str">
        <f t="shared" si="881"/>
        <v>EA</v>
      </c>
      <c r="I3482">
        <v>0</v>
      </c>
      <c r="J3482">
        <v>0</v>
      </c>
      <c r="K3482" t="str">
        <f t="shared" si="874"/>
        <v>Y</v>
      </c>
      <c r="L3482">
        <v>0</v>
      </c>
      <c r="M3482" t="str">
        <f t="shared" si="882"/>
        <v>NIS</v>
      </c>
      <c r="O3482">
        <v>12</v>
      </c>
      <c r="P3482" t="str">
        <f t="shared" si="878"/>
        <v>Active</v>
      </c>
      <c r="Q3482" t="str">
        <f>"ER16 Collet set-8 pieces(3,4,5,6,7,8,9 and 10mm)"</f>
        <v>ER16 Collet set-8 pieces(3,4,5,6,7,8,9 and 10mm)</v>
      </c>
      <c r="S3482" t="str">
        <f>"ER16 Collet set-8 pieces(3,4,5,6,7,8,9 and 10mm)"</f>
        <v>ER16 Collet set-8 pieces(3,4,5,6,7,8,9 and 10mm)</v>
      </c>
      <c r="T3482">
        <v>0</v>
      </c>
      <c r="U3482">
        <v>71</v>
      </c>
      <c r="V3482">
        <v>64.84</v>
      </c>
      <c r="W3482" t="str">
        <f t="shared" si="867"/>
        <v>rob</v>
      </c>
    </row>
    <row r="3483" spans="1:23">
      <c r="A3483" t="str">
        <f t="shared" si="879"/>
        <v>MTS-MH5F-PM&amp;PT</v>
      </c>
      <c r="B3483" t="str">
        <f>"10-1113-4000"</f>
        <v>10-1113-4000</v>
      </c>
      <c r="C3483" t="str">
        <f>"Metric End Mill Package(2X 3,6,8,10End,4,6 Ball)"</f>
        <v>Metric End Mill Package(2X 3,6,8,10End,4,6 Ball)</v>
      </c>
      <c r="D3483">
        <v>1</v>
      </c>
      <c r="E3483" t="str">
        <f t="shared" si="880"/>
        <v>FMS - MOTOMAN MH5F robot with ProMill 8000(12 tool ATC) &amp; ProTurn 9000 CNC machines</v>
      </c>
      <c r="F3483">
        <v>502</v>
      </c>
      <c r="G3483" t="str">
        <f t="shared" si="873"/>
        <v>Y</v>
      </c>
      <c r="H3483" t="str">
        <f t="shared" si="881"/>
        <v>EA</v>
      </c>
      <c r="I3483">
        <v>0</v>
      </c>
      <c r="J3483">
        <v>0</v>
      </c>
      <c r="K3483" t="str">
        <f t="shared" si="874"/>
        <v>Y</v>
      </c>
      <c r="L3483">
        <v>0</v>
      </c>
      <c r="M3483" t="str">
        <f t="shared" si="882"/>
        <v>NIS</v>
      </c>
      <c r="O3483">
        <v>13</v>
      </c>
      <c r="P3483" t="str">
        <f t="shared" si="878"/>
        <v>Active</v>
      </c>
      <c r="Q3483" t="str">
        <f>"Metric Advanced End Mill Package 5121"</f>
        <v>Metric Advanced End Mill Package 5121</v>
      </c>
      <c r="S3483" t="str">
        <f>"Metric Advanced End Mill Package 5121"</f>
        <v>Metric Advanced End Mill Package 5121</v>
      </c>
      <c r="T3483">
        <v>0</v>
      </c>
      <c r="U3483">
        <v>55</v>
      </c>
      <c r="V3483">
        <v>50.17</v>
      </c>
      <c r="W3483" t="str">
        <f t="shared" si="867"/>
        <v>rob</v>
      </c>
    </row>
    <row r="3484" spans="1:23">
      <c r="A3484" t="str">
        <f t="shared" si="879"/>
        <v>MTS-MH5F-PM&amp;PT</v>
      </c>
      <c r="B3484" t="str">
        <f>"10-1113-6000"</f>
        <v>10-1113-6000</v>
      </c>
      <c r="C3484" t="str">
        <f>"- Metric Engraving Package (1,1.5,2 mm End mill)"</f>
        <v>- Metric Engraving Package (1,1.5,2 mm End mill)</v>
      </c>
      <c r="D3484">
        <v>1</v>
      </c>
      <c r="E3484" t="str">
        <f t="shared" si="880"/>
        <v>FMS - MOTOMAN MH5F robot with ProMill 8000(12 tool ATC) &amp; ProTurn 9000 CNC machines</v>
      </c>
      <c r="F3484">
        <v>502</v>
      </c>
      <c r="G3484" t="str">
        <f t="shared" si="873"/>
        <v>Y</v>
      </c>
      <c r="H3484" t="str">
        <f t="shared" si="881"/>
        <v>EA</v>
      </c>
      <c r="I3484">
        <v>0</v>
      </c>
      <c r="J3484">
        <v>0</v>
      </c>
      <c r="K3484" t="str">
        <f t="shared" si="874"/>
        <v>Y</v>
      </c>
      <c r="L3484">
        <v>0</v>
      </c>
      <c r="M3484" t="str">
        <f t="shared" si="882"/>
        <v>NIS</v>
      </c>
      <c r="O3484">
        <v>14</v>
      </c>
      <c r="P3484" t="str">
        <f t="shared" si="878"/>
        <v>Active</v>
      </c>
      <c r="Q3484" t="str">
        <f>"Metric Engraving Package 5711"</f>
        <v>Metric Engraving Package 5711</v>
      </c>
      <c r="S3484" t="str">
        <f>"Metric Engraving Package 5711"</f>
        <v>Metric Engraving Package 5711</v>
      </c>
      <c r="T3484">
        <v>0</v>
      </c>
      <c r="U3484">
        <v>41</v>
      </c>
      <c r="V3484">
        <v>37.909999999999997</v>
      </c>
      <c r="W3484" t="str">
        <f t="shared" si="867"/>
        <v>rob</v>
      </c>
    </row>
    <row r="3485" spans="1:23">
      <c r="A3485" t="str">
        <f t="shared" si="879"/>
        <v>MTS-MH5F-PM&amp;PT</v>
      </c>
      <c r="B3485" t="str">
        <f>"10-1111-1000"</f>
        <v>10-1111-1000</v>
      </c>
      <c r="C3485" t="str">
        <f>"- Handwheel - Manual Control"</f>
        <v>- Handwheel - Manual Control</v>
      </c>
      <c r="D3485">
        <v>1</v>
      </c>
      <c r="E3485" t="str">
        <f t="shared" si="880"/>
        <v>FMS - MOTOMAN MH5F robot with ProMill 8000(12 tool ATC) &amp; ProTurn 9000 CNC machines</v>
      </c>
      <c r="F3485">
        <v>502</v>
      </c>
      <c r="G3485" t="str">
        <f t="shared" si="873"/>
        <v>Y</v>
      </c>
      <c r="H3485" t="str">
        <f t="shared" si="881"/>
        <v>EA</v>
      </c>
      <c r="I3485">
        <v>0</v>
      </c>
      <c r="J3485">
        <v>0</v>
      </c>
      <c r="K3485" t="str">
        <f t="shared" si="874"/>
        <v>Y</v>
      </c>
      <c r="L3485">
        <v>0</v>
      </c>
      <c r="M3485" t="str">
        <f t="shared" si="882"/>
        <v>NIS</v>
      </c>
      <c r="O3485">
        <v>15</v>
      </c>
      <c r="P3485" t="str">
        <f t="shared" si="878"/>
        <v>Active</v>
      </c>
      <c r="Q3485" t="str">
        <f>"Hand wheel"</f>
        <v>Hand wheel</v>
      </c>
      <c r="S3485" t="str">
        <f>"Jog Pendant Handwheel"</f>
        <v>Jog Pendant Handwheel</v>
      </c>
      <c r="T3485">
        <v>0</v>
      </c>
      <c r="U3485">
        <v>235</v>
      </c>
      <c r="V3485">
        <v>235.03</v>
      </c>
      <c r="W3485" t="str">
        <f t="shared" si="867"/>
        <v>rob</v>
      </c>
    </row>
    <row r="3486" spans="1:23">
      <c r="A3486" t="str">
        <f t="shared" si="879"/>
        <v>MTS-MH5F-PM&amp;PT</v>
      </c>
      <c r="B3486" t="str">
        <f>"10-1105-5000"</f>
        <v>10-1105-5000</v>
      </c>
      <c r="C3486" t="str">
        <f>"Computer and monitor attachment"</f>
        <v>Computer and monitor attachment</v>
      </c>
      <c r="D3486">
        <v>1</v>
      </c>
      <c r="E3486" t="str">
        <f t="shared" si="880"/>
        <v>FMS - MOTOMAN MH5F robot with ProMill 8000(12 tool ATC) &amp; ProTurn 9000 CNC machines</v>
      </c>
      <c r="F3486">
        <v>502</v>
      </c>
      <c r="G3486" t="str">
        <f t="shared" si="873"/>
        <v>Y</v>
      </c>
      <c r="H3486" t="str">
        <f t="shared" si="881"/>
        <v>EA</v>
      </c>
      <c r="I3486">
        <v>0</v>
      </c>
      <c r="J3486">
        <v>0</v>
      </c>
      <c r="K3486" t="str">
        <f t="shared" si="874"/>
        <v>Y</v>
      </c>
      <c r="L3486">
        <v>0</v>
      </c>
      <c r="M3486" t="str">
        <f t="shared" si="882"/>
        <v>NIS</v>
      </c>
      <c r="O3486">
        <v>16</v>
      </c>
      <c r="P3486" t="str">
        <f t="shared" si="878"/>
        <v>Active</v>
      </c>
      <c r="Q3486" t="str">
        <f>"Computer and monitor stand (attached to machine)"</f>
        <v>Computer and monitor stand (attached to machine)</v>
      </c>
      <c r="S3486" t="str">
        <f>"Computer and monitor stand (attached to machine)"</f>
        <v>Computer and monitor stand (attached to machine)</v>
      </c>
      <c r="T3486">
        <v>0</v>
      </c>
      <c r="U3486">
        <v>105.36</v>
      </c>
      <c r="V3486">
        <v>103.02</v>
      </c>
      <c r="W3486" t="str">
        <f t="shared" si="867"/>
        <v>rob</v>
      </c>
    </row>
    <row r="3487" spans="1:23">
      <c r="A3487" t="str">
        <f t="shared" si="879"/>
        <v>MTS-MH5F-PM&amp;PT</v>
      </c>
      <c r="B3487" t="str">
        <f>"10-1115-0000"</f>
        <v>10-1115-0000</v>
      </c>
      <c r="C3487" t="str">
        <f>"ER16 Collet set - 2 x (3,6,8,10mm)"</f>
        <v>ER16 Collet set - 2 x (3,6,8,10mm)</v>
      </c>
      <c r="D3487">
        <v>1</v>
      </c>
      <c r="E3487" t="str">
        <f t="shared" si="880"/>
        <v>FMS - MOTOMAN MH5F robot with ProMill 8000(12 tool ATC) &amp; ProTurn 9000 CNC machines</v>
      </c>
      <c r="F3487">
        <v>502</v>
      </c>
      <c r="G3487" t="str">
        <f t="shared" si="873"/>
        <v>Y</v>
      </c>
      <c r="H3487" t="str">
        <f t="shared" si="881"/>
        <v>EA</v>
      </c>
      <c r="I3487">
        <v>0</v>
      </c>
      <c r="J3487">
        <v>0</v>
      </c>
      <c r="K3487" t="str">
        <f t="shared" si="874"/>
        <v>Y</v>
      </c>
      <c r="L3487">
        <v>0</v>
      </c>
      <c r="M3487" t="str">
        <f t="shared" si="882"/>
        <v>NIS</v>
      </c>
      <c r="O3487">
        <v>17</v>
      </c>
      <c r="P3487" t="str">
        <f t="shared" si="878"/>
        <v>Active</v>
      </c>
      <c r="Q3487" t="str">
        <f>"ER16 Collet set-8 pieces(2)3,(2)6,(2)8,(2)10mm"</f>
        <v>ER16 Collet set-8 pieces(2)3,(2)6,(2)8,(2)10mm</v>
      </c>
      <c r="S3487" t="str">
        <f>"ER16 Collet set-8 pieces(2)3,(2)6,(2)8,(2)10mm"</f>
        <v>ER16 Collet set-8 pieces(2)3,(2)6,(2)8,(2)10mm</v>
      </c>
      <c r="T3487">
        <v>0</v>
      </c>
      <c r="U3487">
        <v>71</v>
      </c>
      <c r="V3487">
        <v>70.63</v>
      </c>
      <c r="W3487" t="str">
        <f t="shared" si="867"/>
        <v>rob</v>
      </c>
    </row>
    <row r="3488" spans="1:23">
      <c r="A3488" t="str">
        <f t="shared" si="879"/>
        <v>MTS-MH5F-PM&amp;PT</v>
      </c>
      <c r="B3488" t="str">
        <f>"10-1111-6000"</f>
        <v>10-1111-6000</v>
      </c>
      <c r="C3488" t="str">
        <f>"4"" Vise"</f>
        <v>4" Vise</v>
      </c>
      <c r="D3488">
        <v>1</v>
      </c>
      <c r="E3488" t="str">
        <f t="shared" si="880"/>
        <v>FMS - MOTOMAN MH5F robot with ProMill 8000(12 tool ATC) &amp; ProTurn 9000 CNC machines</v>
      </c>
      <c r="F3488">
        <v>502</v>
      </c>
      <c r="G3488" t="str">
        <f t="shared" si="873"/>
        <v>Y</v>
      </c>
      <c r="H3488" t="str">
        <f t="shared" si="881"/>
        <v>EA</v>
      </c>
      <c r="I3488">
        <v>0</v>
      </c>
      <c r="J3488">
        <v>0</v>
      </c>
      <c r="K3488" t="str">
        <f t="shared" si="874"/>
        <v>Y</v>
      </c>
      <c r="L3488">
        <v>0</v>
      </c>
      <c r="M3488" t="str">
        <f t="shared" si="882"/>
        <v>NIS</v>
      </c>
      <c r="N3488" t="str">
        <f>"Y"</f>
        <v>Y</v>
      </c>
      <c r="O3488">
        <v>18</v>
      </c>
      <c r="P3488" t="str">
        <f t="shared" si="878"/>
        <v>Active</v>
      </c>
      <c r="Q3488" t="str">
        <f>"4"" Precision Maching Vise"</f>
        <v>4" Precision Maching Vise</v>
      </c>
      <c r="S3488" t="str">
        <f>"4"" Precision Maching Vise"</f>
        <v>4" Precision Maching Vise</v>
      </c>
      <c r="T3488">
        <v>0</v>
      </c>
      <c r="U3488">
        <v>53</v>
      </c>
      <c r="V3488">
        <v>49.5</v>
      </c>
      <c r="W3488" t="str">
        <f t="shared" si="867"/>
        <v>rob</v>
      </c>
    </row>
    <row r="3489" spans="1:23">
      <c r="A3489" t="str">
        <f t="shared" si="879"/>
        <v>MTS-MH5F-PM&amp;PT</v>
      </c>
      <c r="B3489" t="str">
        <f>"10-1111-5000"</f>
        <v>10-1111-5000</v>
      </c>
      <c r="C3489" t="str">
        <f>"clamping kit 58 pcs set"</f>
        <v>clamping kit 58 pcs set</v>
      </c>
      <c r="D3489">
        <v>1</v>
      </c>
      <c r="E3489" t="str">
        <f t="shared" si="880"/>
        <v>FMS - MOTOMAN MH5F robot with ProMill 8000(12 tool ATC) &amp; ProTurn 9000 CNC machines</v>
      </c>
      <c r="F3489">
        <v>502</v>
      </c>
      <c r="G3489" t="str">
        <f t="shared" si="873"/>
        <v>Y</v>
      </c>
      <c r="H3489" t="str">
        <f t="shared" si="881"/>
        <v>EA</v>
      </c>
      <c r="I3489">
        <v>0</v>
      </c>
      <c r="J3489">
        <v>0</v>
      </c>
      <c r="K3489" t="str">
        <f t="shared" si="874"/>
        <v>Y</v>
      </c>
      <c r="L3489">
        <v>0</v>
      </c>
      <c r="M3489" t="str">
        <f t="shared" si="882"/>
        <v>NIS</v>
      </c>
      <c r="N3489" t="str">
        <f>"Y"</f>
        <v>Y</v>
      </c>
      <c r="O3489">
        <v>19</v>
      </c>
      <c r="P3489" t="str">
        <f t="shared" si="878"/>
        <v>Active</v>
      </c>
      <c r="Q3489" t="str">
        <f>"clamping kit 58 pcs set"</f>
        <v>clamping kit 58 pcs set</v>
      </c>
      <c r="S3489" t="str">
        <f>"clamping kit 58 pcs set"</f>
        <v>clamping kit 58 pcs set</v>
      </c>
      <c r="T3489">
        <v>0</v>
      </c>
      <c r="U3489">
        <v>52</v>
      </c>
      <c r="V3489">
        <v>51.72</v>
      </c>
      <c r="W3489" t="str">
        <f t="shared" si="867"/>
        <v>rob</v>
      </c>
    </row>
    <row r="3490" spans="1:23">
      <c r="A3490" t="str">
        <f t="shared" si="879"/>
        <v>MTS-MH5F-PM&amp;PT</v>
      </c>
      <c r="B3490" t="str">
        <f>"10-1108-8000"</f>
        <v>10-1108-8000</v>
      </c>
      <c r="C3490" t="str">
        <f>"- 4th Axis rotary worktable with tailstock"</f>
        <v>- 4th Axis rotary worktable with tailstock</v>
      </c>
      <c r="D3490">
        <v>1</v>
      </c>
      <c r="E3490" t="str">
        <f t="shared" si="880"/>
        <v>FMS - MOTOMAN MH5F robot with ProMill 8000(12 tool ATC) &amp; ProTurn 9000 CNC machines</v>
      </c>
      <c r="F3490">
        <v>502</v>
      </c>
      <c r="G3490" t="str">
        <f t="shared" si="873"/>
        <v>Y</v>
      </c>
      <c r="H3490" t="str">
        <f t="shared" si="881"/>
        <v>EA</v>
      </c>
      <c r="I3490">
        <v>0</v>
      </c>
      <c r="J3490">
        <v>0</v>
      </c>
      <c r="K3490" t="str">
        <f t="shared" si="874"/>
        <v>Y</v>
      </c>
      <c r="L3490">
        <v>0</v>
      </c>
      <c r="M3490" t="str">
        <f t="shared" si="882"/>
        <v>NIS</v>
      </c>
      <c r="N3490" t="str">
        <f>"Y"</f>
        <v>Y</v>
      </c>
      <c r="O3490">
        <v>20</v>
      </c>
      <c r="P3490" t="str">
        <f t="shared" si="878"/>
        <v>Active</v>
      </c>
      <c r="Q3490" t="str">
        <f>"100mm rotary worktable (4th axis) with tailstock"</f>
        <v>100mm rotary worktable (4th axis) with tailstock</v>
      </c>
      <c r="S3490" t="str">
        <f>"100mm rotary worktable (4th axis) with tailstock"</f>
        <v>100mm rotary worktable (4th axis) with tailstock</v>
      </c>
      <c r="T3490">
        <v>0</v>
      </c>
      <c r="U3490">
        <v>614.64</v>
      </c>
      <c r="V3490">
        <v>594.83000000000004</v>
      </c>
      <c r="W3490" t="str">
        <f t="shared" ref="W3490:W3553" si="883">"rob"</f>
        <v>rob</v>
      </c>
    </row>
    <row r="3491" spans="1:23">
      <c r="A3491" t="str">
        <f t="shared" si="879"/>
        <v>MTS-MH5F-PM&amp;PT</v>
      </c>
      <c r="B3491" t="str">
        <f>"10-1109-3000"</f>
        <v>10-1109-3000</v>
      </c>
      <c r="C3491" t="str">
        <f>"- 80mm 3-jaw chuck"</f>
        <v>- 80mm 3-jaw chuck</v>
      </c>
      <c r="D3491">
        <v>1</v>
      </c>
      <c r="E3491" t="str">
        <f t="shared" si="880"/>
        <v>FMS - MOTOMAN MH5F robot with ProMill 8000(12 tool ATC) &amp; ProTurn 9000 CNC machines</v>
      </c>
      <c r="F3491">
        <v>502</v>
      </c>
      <c r="G3491" t="str">
        <f t="shared" si="873"/>
        <v>Y</v>
      </c>
      <c r="H3491" t="str">
        <f t="shared" si="881"/>
        <v>EA</v>
      </c>
      <c r="I3491">
        <v>0</v>
      </c>
      <c r="J3491">
        <v>0</v>
      </c>
      <c r="K3491" t="str">
        <f t="shared" si="874"/>
        <v>Y</v>
      </c>
      <c r="L3491">
        <v>0</v>
      </c>
      <c r="M3491" t="str">
        <f t="shared" si="882"/>
        <v>NIS</v>
      </c>
      <c r="N3491" t="str">
        <f>"Y"</f>
        <v>Y</v>
      </c>
      <c r="O3491">
        <v>21</v>
      </c>
      <c r="P3491" t="str">
        <f t="shared" si="878"/>
        <v>Active</v>
      </c>
      <c r="Q3491" t="str">
        <f>"80mm 3-jaw chuck"</f>
        <v>80mm 3-jaw chuck</v>
      </c>
      <c r="S3491" t="str">
        <f>"80mm 3-jaw chuck"</f>
        <v>80mm 3-jaw chuck</v>
      </c>
      <c r="T3491">
        <v>0</v>
      </c>
      <c r="U3491">
        <v>53</v>
      </c>
      <c r="V3491">
        <v>52.35</v>
      </c>
      <c r="W3491" t="str">
        <f t="shared" si="883"/>
        <v>rob</v>
      </c>
    </row>
    <row r="3492" spans="1:23">
      <c r="A3492" t="str">
        <f t="shared" si="879"/>
        <v>MTS-MH5F-PM&amp;PT</v>
      </c>
      <c r="B3492" t="str">
        <f>"63-8001-1000"</f>
        <v>63-8001-1000</v>
      </c>
      <c r="C3492" t="str">
        <f>"-CNCMotion for ProMill 8000"</f>
        <v>-CNCMotion for ProMill 8000</v>
      </c>
      <c r="D3492">
        <v>1</v>
      </c>
      <c r="E3492" t="str">
        <f t="shared" si="880"/>
        <v>FMS - MOTOMAN MH5F robot with ProMill 8000(12 tool ATC) &amp; ProTurn 9000 CNC machines</v>
      </c>
      <c r="F3492">
        <v>502</v>
      </c>
      <c r="G3492" t="str">
        <f t="shared" si="873"/>
        <v>Y</v>
      </c>
      <c r="H3492" t="str">
        <f t="shared" si="881"/>
        <v>EA</v>
      </c>
      <c r="I3492">
        <v>0</v>
      </c>
      <c r="J3492">
        <v>0</v>
      </c>
      <c r="K3492" t="str">
        <f t="shared" si="874"/>
        <v>Y</v>
      </c>
      <c r="L3492">
        <v>0</v>
      </c>
      <c r="M3492" t="str">
        <f t="shared" si="882"/>
        <v>NIS</v>
      </c>
      <c r="O3492">
        <v>22</v>
      </c>
      <c r="P3492" t="str">
        <f t="shared" si="878"/>
        <v>Active</v>
      </c>
      <c r="Q3492" t="str">
        <f>"CNCMotion Sim. Sftwr, ProMill 8000"</f>
        <v>CNCMotion Sim. Sftwr, ProMill 8000</v>
      </c>
      <c r="S3492" t="str">
        <f>"CNCMotion Sim. Sftwr, ProMill 8000"</f>
        <v>CNCMotion Sim. Sftwr, ProMill 8000</v>
      </c>
      <c r="T3492">
        <v>0</v>
      </c>
      <c r="U3492">
        <v>0</v>
      </c>
      <c r="V3492">
        <v>0</v>
      </c>
      <c r="W3492" t="str">
        <f t="shared" si="883"/>
        <v>rob</v>
      </c>
    </row>
    <row r="3493" spans="1:23">
      <c r="A3493" t="str">
        <f t="shared" si="879"/>
        <v>MTS-MH5F-PM&amp;PT</v>
      </c>
      <c r="B3493" t="str">
        <f>"63-6723-0000"</f>
        <v>63-6723-0000</v>
      </c>
      <c r="C3493" t="str">
        <f>"SpectraCAD Engraver software – Download Only"</f>
        <v>SpectraCAD Engraver software – Download Only</v>
      </c>
      <c r="D3493">
        <v>1</v>
      </c>
      <c r="E3493" t="str">
        <f t="shared" si="880"/>
        <v>FMS - MOTOMAN MH5F robot with ProMill 8000(12 tool ATC) &amp; ProTurn 9000 CNC machines</v>
      </c>
      <c r="F3493">
        <v>502</v>
      </c>
      <c r="G3493" t="str">
        <f t="shared" si="873"/>
        <v>Y</v>
      </c>
      <c r="H3493" t="str">
        <f t="shared" si="881"/>
        <v>EA</v>
      </c>
      <c r="I3493">
        <v>0</v>
      </c>
      <c r="J3493">
        <v>0</v>
      </c>
      <c r="K3493" t="str">
        <f t="shared" si="874"/>
        <v>Y</v>
      </c>
      <c r="L3493">
        <v>0</v>
      </c>
      <c r="M3493" t="str">
        <f t="shared" si="882"/>
        <v>NIS</v>
      </c>
      <c r="O3493">
        <v>23</v>
      </c>
      <c r="P3493" t="str">
        <f t="shared" si="878"/>
        <v>Active</v>
      </c>
      <c r="Q3493" t="str">
        <f>"SpectraCAD Engraver software – Download Only"</f>
        <v>SpectraCAD Engraver software – Download Only</v>
      </c>
      <c r="S3493" t="str">
        <f>"SpectraCAD Engraver software – Download Only"</f>
        <v>SpectraCAD Engraver software – Download Only</v>
      </c>
      <c r="T3493">
        <v>0</v>
      </c>
      <c r="U3493">
        <v>10</v>
      </c>
      <c r="V3493">
        <v>10.4</v>
      </c>
      <c r="W3493" t="str">
        <f t="shared" si="883"/>
        <v>rob</v>
      </c>
    </row>
    <row r="3494" spans="1:23">
      <c r="A3494" t="str">
        <f t="shared" si="879"/>
        <v>MTS-MH5F-PM&amp;PT</v>
      </c>
      <c r="B3494" t="str">
        <f>"63-6733-0000"</f>
        <v>63-6733-0000</v>
      </c>
      <c r="C3494" t="str">
        <f>"Software, SpectraCAM Milling"</f>
        <v>Software, SpectraCAM Milling</v>
      </c>
      <c r="D3494">
        <v>1</v>
      </c>
      <c r="E3494" t="str">
        <f t="shared" si="880"/>
        <v>FMS - MOTOMAN MH5F robot with ProMill 8000(12 tool ATC) &amp; ProTurn 9000 CNC machines</v>
      </c>
      <c r="F3494">
        <v>502</v>
      </c>
      <c r="G3494" t="str">
        <f t="shared" si="873"/>
        <v>Y</v>
      </c>
      <c r="H3494" t="str">
        <f t="shared" si="881"/>
        <v>EA</v>
      </c>
      <c r="I3494">
        <v>0</v>
      </c>
      <c r="J3494">
        <v>0</v>
      </c>
      <c r="K3494" t="str">
        <f t="shared" si="874"/>
        <v>Y</v>
      </c>
      <c r="L3494">
        <v>0</v>
      </c>
      <c r="M3494" t="str">
        <f t="shared" si="882"/>
        <v>NIS</v>
      </c>
      <c r="O3494">
        <v>24</v>
      </c>
      <c r="P3494" t="str">
        <f t="shared" si="878"/>
        <v>Active</v>
      </c>
      <c r="Q3494" t="str">
        <f>"Software, SpectraCAM Milling"</f>
        <v>Software, SpectraCAM Milling</v>
      </c>
      <c r="S3494" t="str">
        <f>"Software, SpectraCAM Milling"</f>
        <v>Software, SpectraCAM Milling</v>
      </c>
      <c r="T3494">
        <v>0</v>
      </c>
      <c r="U3494">
        <v>10</v>
      </c>
      <c r="V3494">
        <v>10.4</v>
      </c>
      <c r="W3494" t="str">
        <f t="shared" si="883"/>
        <v>rob</v>
      </c>
    </row>
    <row r="3495" spans="1:23">
      <c r="A3495" t="str">
        <f t="shared" si="879"/>
        <v>MTS-MH5F-PM&amp;PT</v>
      </c>
      <c r="B3495" t="str">
        <f>"113034"</f>
        <v>113034</v>
      </c>
      <c r="C3495" t="str">
        <f>"Raw Material - Perspex Block"</f>
        <v>Raw Material - Perspex Block</v>
      </c>
      <c r="D3495">
        <v>50</v>
      </c>
      <c r="E3495" t="str">
        <f t="shared" si="880"/>
        <v>FMS - MOTOMAN MH5F robot with ProMill 8000(12 tool ATC) &amp; ProTurn 9000 CNC machines</v>
      </c>
      <c r="F3495">
        <v>502</v>
      </c>
      <c r="G3495" t="str">
        <f t="shared" si="873"/>
        <v>Y</v>
      </c>
      <c r="H3495" t="str">
        <f t="shared" si="881"/>
        <v>EA</v>
      </c>
      <c r="I3495">
        <v>0</v>
      </c>
      <c r="J3495">
        <v>0</v>
      </c>
      <c r="K3495" t="str">
        <f t="shared" si="874"/>
        <v>Y</v>
      </c>
      <c r="L3495">
        <v>0</v>
      </c>
      <c r="M3495" t="str">
        <f t="shared" si="882"/>
        <v>NIS</v>
      </c>
      <c r="O3495">
        <v>25</v>
      </c>
      <c r="P3495" t="str">
        <f t="shared" si="878"/>
        <v>Active</v>
      </c>
      <c r="Q3495" t="str">
        <f>"Raw Material Stock - Perspex Block"</f>
        <v>Raw Material Stock - Perspex Block</v>
      </c>
      <c r="S3495" t="str">
        <f>"Raw Material Stock - Perspex Block"</f>
        <v>Raw Material Stock - Perspex Block</v>
      </c>
      <c r="T3495">
        <v>0</v>
      </c>
      <c r="U3495">
        <v>1.1000000000000001</v>
      </c>
      <c r="V3495">
        <v>1.0900000000000001</v>
      </c>
      <c r="W3495" t="str">
        <f t="shared" si="883"/>
        <v>rob</v>
      </c>
    </row>
    <row r="3496" spans="1:23">
      <c r="A3496" t="str">
        <f t="shared" si="879"/>
        <v>MTS-MH5F-PM&amp;PT</v>
      </c>
      <c r="B3496" t="str">
        <f>"10-2120-3000"</f>
        <v>10-2120-3000</v>
      </c>
      <c r="C3496" t="str">
        <f>"CNC Interface with ProTurn 9000"</f>
        <v>CNC Interface with ProTurn 9000</v>
      </c>
      <c r="D3496">
        <v>1</v>
      </c>
      <c r="E3496" t="str">
        <f t="shared" si="880"/>
        <v>FMS - MOTOMAN MH5F robot with ProMill 8000(12 tool ATC) &amp; ProTurn 9000 CNC machines</v>
      </c>
      <c r="F3496">
        <v>502</v>
      </c>
      <c r="G3496" t="str">
        <f t="shared" si="873"/>
        <v>Y</v>
      </c>
      <c r="H3496" t="str">
        <f t="shared" si="881"/>
        <v>EA</v>
      </c>
      <c r="I3496">
        <v>0</v>
      </c>
      <c r="J3496">
        <v>0</v>
      </c>
      <c r="K3496" t="str">
        <f t="shared" si="874"/>
        <v>Y</v>
      </c>
      <c r="L3496">
        <v>0</v>
      </c>
      <c r="M3496" t="str">
        <f t="shared" si="882"/>
        <v>NIS</v>
      </c>
      <c r="O3496">
        <v>26</v>
      </c>
      <c r="P3496" t="str">
        <f t="shared" si="878"/>
        <v>Active</v>
      </c>
      <c r="Q3496" t="str">
        <f>"CNC Interface with ProTurn 9000"</f>
        <v>CNC Interface with ProTurn 9000</v>
      </c>
      <c r="S3496" t="str">
        <f>"CNC Interface with ProTurn 9000"</f>
        <v>CNC Interface with ProTurn 9000</v>
      </c>
      <c r="T3496">
        <v>0</v>
      </c>
      <c r="U3496">
        <v>18</v>
      </c>
      <c r="V3496">
        <v>17.690000000000001</v>
      </c>
      <c r="W3496" t="str">
        <f t="shared" si="883"/>
        <v>rob</v>
      </c>
    </row>
    <row r="3497" spans="1:23">
      <c r="A3497" t="str">
        <f t="shared" si="879"/>
        <v>MTS-MH5F-PM&amp;PT</v>
      </c>
      <c r="B3497" t="str">
        <f>"00-5501-0220"</f>
        <v>00-5501-0220</v>
      </c>
      <c r="C3497" t="str">
        <f>"CNC ProTurn 9000 AC 220V"</f>
        <v>CNC ProTurn 9000 AC 220V</v>
      </c>
      <c r="D3497">
        <v>1</v>
      </c>
      <c r="E3497" t="str">
        <f t="shared" si="880"/>
        <v>FMS - MOTOMAN MH5F robot with ProMill 8000(12 tool ATC) &amp; ProTurn 9000 CNC machines</v>
      </c>
      <c r="F3497">
        <v>502</v>
      </c>
      <c r="G3497" t="str">
        <f t="shared" si="873"/>
        <v>Y</v>
      </c>
      <c r="H3497" t="str">
        <f t="shared" si="881"/>
        <v>EA</v>
      </c>
      <c r="I3497">
        <v>0</v>
      </c>
      <c r="J3497">
        <v>0</v>
      </c>
      <c r="K3497" t="str">
        <f t="shared" si="874"/>
        <v>Y</v>
      </c>
      <c r="L3497">
        <v>0</v>
      </c>
      <c r="M3497" t="str">
        <f t="shared" si="882"/>
        <v>NIS</v>
      </c>
      <c r="O3497">
        <v>27</v>
      </c>
      <c r="P3497" t="str">
        <f t="shared" si="878"/>
        <v>Active</v>
      </c>
      <c r="Q3497" t="str">
        <f>"CNC ProTurn 9000 AC 220V"</f>
        <v>CNC ProTurn 9000 AC 220V</v>
      </c>
      <c r="S3497" t="str">
        <f>"CNC ProTurn 9000 AC 220V"</f>
        <v>CNC ProTurn 9000 AC 220V</v>
      </c>
      <c r="T3497">
        <v>0</v>
      </c>
      <c r="U3497" s="44">
        <v>6204.98</v>
      </c>
      <c r="V3497" s="44">
        <v>6570.68</v>
      </c>
      <c r="W3497" t="str">
        <f t="shared" si="883"/>
        <v>rob</v>
      </c>
    </row>
    <row r="3498" spans="1:23">
      <c r="A3498" t="str">
        <f t="shared" si="879"/>
        <v>MTS-MH5F-PM&amp;PT</v>
      </c>
      <c r="B3498" t="str">
        <f>"10-1110-6000"</f>
        <v>10-1110-6000</v>
      </c>
      <c r="C3498" t="str">
        <f>"-- Pneumatic Shield (ProTurn 9000 for FMS)"</f>
        <v>-- Pneumatic Shield (ProTurn 9000 for FMS)</v>
      </c>
      <c r="D3498">
        <v>1</v>
      </c>
      <c r="E3498" t="str">
        <f t="shared" si="880"/>
        <v>FMS - MOTOMAN MH5F robot with ProMill 8000(12 tool ATC) &amp; ProTurn 9000 CNC machines</v>
      </c>
      <c r="F3498">
        <v>502</v>
      </c>
      <c r="G3498" t="str">
        <f t="shared" si="873"/>
        <v>Y</v>
      </c>
      <c r="H3498" t="str">
        <f t="shared" si="881"/>
        <v>EA</v>
      </c>
      <c r="I3498">
        <v>0</v>
      </c>
      <c r="J3498">
        <v>0</v>
      </c>
      <c r="K3498" t="str">
        <f t="shared" si="874"/>
        <v>Y</v>
      </c>
      <c r="L3498">
        <v>0</v>
      </c>
      <c r="M3498" t="str">
        <f t="shared" si="882"/>
        <v>NIS</v>
      </c>
      <c r="O3498">
        <v>28</v>
      </c>
      <c r="P3498" t="str">
        <f t="shared" si="878"/>
        <v>Active</v>
      </c>
      <c r="Q3498" t="str">
        <f>"Pneumatic Shield with Sensors (ProTurn 9000)"</f>
        <v>Pneumatic Shield with Sensors (ProTurn 9000)</v>
      </c>
      <c r="S3498" t="str">
        <f>"Pneumatic Shield with Sensors (ProTurn 9000)"</f>
        <v>Pneumatic Shield with Sensors (ProTurn 9000)</v>
      </c>
      <c r="T3498">
        <v>0</v>
      </c>
      <c r="U3498">
        <v>425</v>
      </c>
      <c r="V3498">
        <v>423.6</v>
      </c>
      <c r="W3498" t="str">
        <f t="shared" si="883"/>
        <v>rob</v>
      </c>
    </row>
    <row r="3499" spans="1:23">
      <c r="A3499" t="str">
        <f t="shared" si="879"/>
        <v>MTS-MH5F-PM&amp;PT</v>
      </c>
      <c r="B3499" t="str">
        <f>"10-1111-0000"</f>
        <v>10-1111-0000</v>
      </c>
      <c r="C3499" t="str">
        <f>"-- Pneumatic Chuck (ProTurn 9000 for FMS)"</f>
        <v>-- Pneumatic Chuck (ProTurn 9000 for FMS)</v>
      </c>
      <c r="D3499">
        <v>1</v>
      </c>
      <c r="E3499" t="str">
        <f t="shared" si="880"/>
        <v>FMS - MOTOMAN MH5F robot with ProMill 8000(12 tool ATC) &amp; ProTurn 9000 CNC machines</v>
      </c>
      <c r="F3499">
        <v>502</v>
      </c>
      <c r="G3499" t="str">
        <f t="shared" si="873"/>
        <v>Y</v>
      </c>
      <c r="H3499" t="str">
        <f t="shared" si="881"/>
        <v>EA</v>
      </c>
      <c r="I3499">
        <v>0</v>
      </c>
      <c r="J3499">
        <v>0</v>
      </c>
      <c r="K3499" t="str">
        <f t="shared" si="874"/>
        <v>Y</v>
      </c>
      <c r="L3499">
        <v>0</v>
      </c>
      <c r="M3499" t="str">
        <f t="shared" si="882"/>
        <v>NIS</v>
      </c>
      <c r="O3499">
        <v>29</v>
      </c>
      <c r="P3499" t="str">
        <f t="shared" si="878"/>
        <v>Active</v>
      </c>
      <c r="Q3499" t="str">
        <f>"Pneumatic Chuck (ProTurn 9000)"</f>
        <v>Pneumatic Chuck (ProTurn 9000)</v>
      </c>
      <c r="S3499" t="str">
        <f>"Pneumatic Chuck (ProTurn 9000)"</f>
        <v>Pneumatic Chuck (ProTurn 9000)</v>
      </c>
      <c r="T3499">
        <v>0</v>
      </c>
      <c r="U3499">
        <v>660</v>
      </c>
      <c r="V3499">
        <v>656.57</v>
      </c>
      <c r="W3499" t="str">
        <f t="shared" si="883"/>
        <v>rob</v>
      </c>
    </row>
    <row r="3500" spans="1:23">
      <c r="A3500" t="str">
        <f t="shared" si="879"/>
        <v>MTS-MH5F-PM&amp;PT</v>
      </c>
      <c r="B3500" t="str">
        <f>"10-1105-9000"</f>
        <v>10-1105-9000</v>
      </c>
      <c r="C3500" t="str">
        <f>"- 125mm 4 independent jaw chuck"</f>
        <v>- 125mm 4 independent jaw chuck</v>
      </c>
      <c r="D3500">
        <v>1</v>
      </c>
      <c r="E3500" t="str">
        <f t="shared" si="880"/>
        <v>FMS - MOTOMAN MH5F robot with ProMill 8000(12 tool ATC) &amp; ProTurn 9000 CNC machines</v>
      </c>
      <c r="F3500">
        <v>502</v>
      </c>
      <c r="G3500" t="str">
        <f t="shared" si="873"/>
        <v>Y</v>
      </c>
      <c r="H3500" t="str">
        <f t="shared" si="881"/>
        <v>EA</v>
      </c>
      <c r="I3500">
        <v>0</v>
      </c>
      <c r="J3500">
        <v>0</v>
      </c>
      <c r="K3500" t="str">
        <f t="shared" si="874"/>
        <v>Y</v>
      </c>
      <c r="L3500">
        <v>0</v>
      </c>
      <c r="M3500" t="str">
        <f t="shared" si="882"/>
        <v>NIS</v>
      </c>
      <c r="N3500" t="str">
        <f>"Y"</f>
        <v>Y</v>
      </c>
      <c r="O3500">
        <v>30</v>
      </c>
      <c r="P3500" t="str">
        <f t="shared" si="878"/>
        <v>Active</v>
      </c>
      <c r="Q3500" t="str">
        <f>"125mm 4-jaw chuck (independent) with flange"</f>
        <v>125mm 4-jaw chuck (independent) with flange</v>
      </c>
      <c r="S3500" t="str">
        <f>"125mm 4-jaw chuck (independent) with flange"</f>
        <v>125mm 4-jaw chuck (independent) with flange</v>
      </c>
      <c r="T3500">
        <v>0</v>
      </c>
      <c r="U3500">
        <v>70.25</v>
      </c>
      <c r="V3500">
        <v>76.2</v>
      </c>
      <c r="W3500" t="str">
        <f t="shared" si="883"/>
        <v>rob</v>
      </c>
    </row>
    <row r="3501" spans="1:23">
      <c r="A3501" t="str">
        <f t="shared" si="879"/>
        <v>MTS-MH5F-PM&amp;PT</v>
      </c>
      <c r="B3501" t="str">
        <f>"10-1106-0000"</f>
        <v>10-1106-0000</v>
      </c>
      <c r="C3501" t="str">
        <f>"- 11pcs Cutter set 10 x 10mmt"</f>
        <v>- 11pcs Cutter set 10 x 10mmt</v>
      </c>
      <c r="D3501">
        <v>1</v>
      </c>
      <c r="E3501" t="str">
        <f t="shared" si="880"/>
        <v>FMS - MOTOMAN MH5F robot with ProMill 8000(12 tool ATC) &amp; ProTurn 9000 CNC machines</v>
      </c>
      <c r="F3501">
        <v>502</v>
      </c>
      <c r="G3501" t="str">
        <f t="shared" si="873"/>
        <v>Y</v>
      </c>
      <c r="H3501" t="str">
        <f t="shared" si="881"/>
        <v>EA</v>
      </c>
      <c r="I3501">
        <v>0</v>
      </c>
      <c r="J3501">
        <v>0</v>
      </c>
      <c r="K3501" t="str">
        <f t="shared" si="874"/>
        <v>Y</v>
      </c>
      <c r="L3501">
        <v>0</v>
      </c>
      <c r="M3501" t="str">
        <f t="shared" si="882"/>
        <v>NIS</v>
      </c>
      <c r="N3501" t="str">
        <f>"Y"</f>
        <v>Y</v>
      </c>
      <c r="O3501">
        <v>31</v>
      </c>
      <c r="P3501" t="str">
        <f t="shared" ref="P3501:P3532" si="884">"Active"</f>
        <v>Active</v>
      </c>
      <c r="Q3501" t="str">
        <f>"10 x 10mm cutter 11pcs set"</f>
        <v>10 x 10mm cutter 11pcs set</v>
      </c>
      <c r="S3501" t="str">
        <f>"10 x 10mm cutter 11pcs set"</f>
        <v>10 x 10mm cutter 11pcs set</v>
      </c>
      <c r="T3501">
        <v>0</v>
      </c>
      <c r="U3501">
        <v>36.29</v>
      </c>
      <c r="V3501">
        <v>42.51</v>
      </c>
      <c r="W3501" t="str">
        <f t="shared" si="883"/>
        <v>rob</v>
      </c>
    </row>
    <row r="3502" spans="1:23">
      <c r="A3502" t="str">
        <f t="shared" si="879"/>
        <v>MTS-MH5F-PM&amp;PT</v>
      </c>
      <c r="B3502" t="str">
        <f>"10-1110-1000"</f>
        <v>10-1110-1000</v>
      </c>
      <c r="C3502" t="str">
        <f>"10 x 10mm cutter tool holder"</f>
        <v>10 x 10mm cutter tool holder</v>
      </c>
      <c r="D3502">
        <v>1</v>
      </c>
      <c r="E3502" t="str">
        <f t="shared" si="880"/>
        <v>FMS - MOTOMAN MH5F robot with ProMill 8000(12 tool ATC) &amp; ProTurn 9000 CNC machines</v>
      </c>
      <c r="F3502">
        <v>502</v>
      </c>
      <c r="G3502" t="str">
        <f t="shared" si="873"/>
        <v>Y</v>
      </c>
      <c r="H3502" t="str">
        <f t="shared" si="881"/>
        <v>EA</v>
      </c>
      <c r="I3502">
        <v>0</v>
      </c>
      <c r="J3502">
        <v>0</v>
      </c>
      <c r="K3502" t="str">
        <f t="shared" si="874"/>
        <v>Y</v>
      </c>
      <c r="L3502">
        <v>0</v>
      </c>
      <c r="M3502" t="str">
        <f t="shared" si="882"/>
        <v>NIS</v>
      </c>
      <c r="O3502">
        <v>32</v>
      </c>
      <c r="P3502" t="str">
        <f t="shared" si="884"/>
        <v>Active</v>
      </c>
      <c r="Q3502" t="str">
        <f>"10x10mm TiN coated cutter set (replaceable tip)"</f>
        <v>10x10mm TiN coated cutter set (replaceable tip)</v>
      </c>
      <c r="S3502" t="str">
        <f>"10x10mm TiN coated cutter set (replaceable tip)"</f>
        <v>10x10mm TiN coated cutter set (replaceable tip)</v>
      </c>
      <c r="T3502">
        <v>0</v>
      </c>
      <c r="U3502">
        <v>65</v>
      </c>
      <c r="V3502">
        <v>65.540000000000006</v>
      </c>
      <c r="W3502" t="str">
        <f t="shared" si="883"/>
        <v>rob</v>
      </c>
    </row>
    <row r="3503" spans="1:23">
      <c r="A3503" t="str">
        <f t="shared" si="879"/>
        <v>MTS-MH5F-PM&amp;PT</v>
      </c>
      <c r="B3503" t="str">
        <f>"10-1110-2000"</f>
        <v>10-1110-2000</v>
      </c>
      <c r="C3503" t="str">
        <f>"TiN coated tip for 011101"</f>
        <v>TiN coated tip for 011101</v>
      </c>
      <c r="D3503">
        <v>1</v>
      </c>
      <c r="E3503" t="str">
        <f t="shared" si="880"/>
        <v>FMS - MOTOMAN MH5F robot with ProMill 8000(12 tool ATC) &amp; ProTurn 9000 CNC machines</v>
      </c>
      <c r="F3503">
        <v>502</v>
      </c>
      <c r="G3503" t="str">
        <f t="shared" si="873"/>
        <v>Y</v>
      </c>
      <c r="H3503" t="str">
        <f t="shared" si="881"/>
        <v>EA</v>
      </c>
      <c r="I3503">
        <v>0</v>
      </c>
      <c r="J3503">
        <v>0</v>
      </c>
      <c r="K3503" t="str">
        <f t="shared" si="874"/>
        <v>Y</v>
      </c>
      <c r="L3503">
        <v>0</v>
      </c>
      <c r="M3503" t="str">
        <f t="shared" si="882"/>
        <v>NIS</v>
      </c>
      <c r="O3503">
        <v>33</v>
      </c>
      <c r="P3503" t="str">
        <f t="shared" si="884"/>
        <v>Active</v>
      </c>
      <c r="Q3503" t="str">
        <f>"TiN coated tip for 011102"</f>
        <v>TiN coated tip for 011102</v>
      </c>
      <c r="S3503" t="str">
        <f>"TiN coated tip for 011101"</f>
        <v>TiN coated tip for 011101</v>
      </c>
      <c r="T3503">
        <v>0</v>
      </c>
      <c r="U3503">
        <v>42</v>
      </c>
      <c r="V3503">
        <v>41.71</v>
      </c>
      <c r="W3503" t="str">
        <f t="shared" si="883"/>
        <v>rob</v>
      </c>
    </row>
    <row r="3504" spans="1:23">
      <c r="A3504" t="str">
        <f t="shared" si="879"/>
        <v>MTS-MH5F-PM&amp;PT</v>
      </c>
      <c r="B3504" t="str">
        <f>"10-1106-6000"</f>
        <v>10-1106-6000</v>
      </c>
      <c r="C3504" t="str">
        <f>"- Rolling center"</f>
        <v>- Rolling center</v>
      </c>
      <c r="D3504">
        <v>1</v>
      </c>
      <c r="E3504" t="str">
        <f t="shared" si="880"/>
        <v>FMS - MOTOMAN MH5F robot with ProMill 8000(12 tool ATC) &amp; ProTurn 9000 CNC machines</v>
      </c>
      <c r="F3504">
        <v>502</v>
      </c>
      <c r="G3504" t="str">
        <f t="shared" si="873"/>
        <v>Y</v>
      </c>
      <c r="H3504" t="str">
        <f t="shared" si="881"/>
        <v>EA</v>
      </c>
      <c r="I3504">
        <v>0</v>
      </c>
      <c r="J3504">
        <v>0</v>
      </c>
      <c r="K3504" t="str">
        <f t="shared" si="874"/>
        <v>Y</v>
      </c>
      <c r="L3504">
        <v>0</v>
      </c>
      <c r="M3504" t="str">
        <f t="shared" si="882"/>
        <v>NIS</v>
      </c>
      <c r="O3504">
        <v>34</v>
      </c>
      <c r="P3504" t="str">
        <f t="shared" si="884"/>
        <v>Active</v>
      </c>
      <c r="Q3504" t="str">
        <f>"Rolling center"</f>
        <v>Rolling center</v>
      </c>
      <c r="S3504" t="str">
        <f>"Rolling center"</f>
        <v>Rolling center</v>
      </c>
      <c r="T3504">
        <v>0</v>
      </c>
      <c r="U3504">
        <v>23.42</v>
      </c>
      <c r="V3504">
        <v>23.55</v>
      </c>
      <c r="W3504" t="str">
        <f t="shared" si="883"/>
        <v>rob</v>
      </c>
    </row>
    <row r="3505" spans="1:23">
      <c r="A3505" t="str">
        <f t="shared" si="879"/>
        <v>MTS-MH5F-PM&amp;PT</v>
      </c>
      <c r="B3505" t="str">
        <f>"10-1105-7000"</f>
        <v>10-1105-7000</v>
      </c>
      <c r="C3505" t="str">
        <f>"Drill Chuck for Tailstock"</f>
        <v>Drill Chuck for Tailstock</v>
      </c>
      <c r="D3505">
        <v>1</v>
      </c>
      <c r="E3505" t="str">
        <f t="shared" si="880"/>
        <v>FMS - MOTOMAN MH5F robot with ProMill 8000(12 tool ATC) &amp; ProTurn 9000 CNC machines</v>
      </c>
      <c r="F3505">
        <v>502</v>
      </c>
      <c r="G3505" t="str">
        <f t="shared" si="873"/>
        <v>Y</v>
      </c>
      <c r="H3505" t="str">
        <f t="shared" si="881"/>
        <v>EA</v>
      </c>
      <c r="I3505">
        <v>0</v>
      </c>
      <c r="J3505">
        <v>0</v>
      </c>
      <c r="K3505" t="str">
        <f t="shared" si="874"/>
        <v>Y</v>
      </c>
      <c r="L3505">
        <v>0</v>
      </c>
      <c r="M3505" t="str">
        <f t="shared" si="882"/>
        <v>NIS</v>
      </c>
      <c r="O3505">
        <v>35</v>
      </c>
      <c r="P3505" t="str">
        <f t="shared" si="884"/>
        <v>Active</v>
      </c>
      <c r="Q3505" t="str">
        <f>"Tailstock extender MT2 13mm tailstock chuck"</f>
        <v>Tailstock extender MT2 13mm tailstock chuck</v>
      </c>
      <c r="S3505" t="str">
        <f>"Drill Chuck for Tailstock MT2 13mm"</f>
        <v>Drill Chuck for Tailstock MT2 13mm</v>
      </c>
      <c r="T3505">
        <v>0</v>
      </c>
      <c r="U3505">
        <v>21.07</v>
      </c>
      <c r="V3505">
        <v>23.52</v>
      </c>
      <c r="W3505" t="str">
        <f t="shared" si="883"/>
        <v>rob</v>
      </c>
    </row>
    <row r="3506" spans="1:23">
      <c r="A3506" t="str">
        <f t="shared" si="879"/>
        <v>MTS-MH5F-PM&amp;PT</v>
      </c>
      <c r="B3506" t="str">
        <f>"10-1108-1220"</f>
        <v>10-1108-1220</v>
      </c>
      <c r="C3506" t="str">
        <f>"- Coolant system 27L -220V"</f>
        <v>- Coolant system 27L -220V</v>
      </c>
      <c r="D3506">
        <v>1</v>
      </c>
      <c r="E3506" t="str">
        <f t="shared" si="880"/>
        <v>FMS - MOTOMAN MH5F robot with ProMill 8000(12 tool ATC) &amp; ProTurn 9000 CNC machines</v>
      </c>
      <c r="F3506">
        <v>502</v>
      </c>
      <c r="G3506" t="str">
        <f t="shared" si="873"/>
        <v>Y</v>
      </c>
      <c r="H3506" t="str">
        <f t="shared" si="881"/>
        <v>EA</v>
      </c>
      <c r="I3506">
        <v>0</v>
      </c>
      <c r="J3506">
        <v>0</v>
      </c>
      <c r="K3506" t="str">
        <f t="shared" si="874"/>
        <v>Y</v>
      </c>
      <c r="L3506">
        <v>0</v>
      </c>
      <c r="M3506" t="str">
        <f t="shared" si="882"/>
        <v>NIS</v>
      </c>
      <c r="N3506" t="str">
        <f>"Y"</f>
        <v>Y</v>
      </c>
      <c r="O3506">
        <v>36</v>
      </c>
      <c r="P3506" t="str">
        <f t="shared" si="884"/>
        <v>Active</v>
      </c>
      <c r="Q3506" t="str">
        <f>"Coolant system 27L"</f>
        <v>Coolant system 27L</v>
      </c>
      <c r="S3506" t="str">
        <f>"Coolant system 27L - 220V"</f>
        <v>Coolant system 27L - 220V</v>
      </c>
      <c r="T3506">
        <v>0</v>
      </c>
      <c r="U3506">
        <v>117.08</v>
      </c>
      <c r="V3506">
        <v>117.15</v>
      </c>
      <c r="W3506" t="str">
        <f t="shared" si="883"/>
        <v>rob</v>
      </c>
    </row>
    <row r="3507" spans="1:23">
      <c r="A3507" t="str">
        <f t="shared" si="879"/>
        <v>MTS-MH5F-PM&amp;PT</v>
      </c>
      <c r="B3507" t="str">
        <f>"10-1111-1000"</f>
        <v>10-1111-1000</v>
      </c>
      <c r="C3507" t="str">
        <f>"- Handwheel - Manual Control"</f>
        <v>- Handwheel - Manual Control</v>
      </c>
      <c r="D3507">
        <v>1</v>
      </c>
      <c r="E3507" t="str">
        <f t="shared" si="880"/>
        <v>FMS - MOTOMAN MH5F robot with ProMill 8000(12 tool ATC) &amp; ProTurn 9000 CNC machines</v>
      </c>
      <c r="F3507">
        <v>502</v>
      </c>
      <c r="G3507" t="str">
        <f t="shared" si="873"/>
        <v>Y</v>
      </c>
      <c r="H3507" t="str">
        <f t="shared" si="881"/>
        <v>EA</v>
      </c>
      <c r="I3507">
        <v>0</v>
      </c>
      <c r="J3507">
        <v>0</v>
      </c>
      <c r="K3507" t="str">
        <f t="shared" si="874"/>
        <v>Y</v>
      </c>
      <c r="L3507">
        <v>0</v>
      </c>
      <c r="M3507" t="str">
        <f t="shared" si="882"/>
        <v>NIS</v>
      </c>
      <c r="O3507">
        <v>37</v>
      </c>
      <c r="P3507" t="str">
        <f t="shared" si="884"/>
        <v>Active</v>
      </c>
      <c r="Q3507" t="str">
        <f>"Hand wheel"</f>
        <v>Hand wheel</v>
      </c>
      <c r="S3507" t="str">
        <f>"Jog Pendant Handwheel"</f>
        <v>Jog Pendant Handwheel</v>
      </c>
      <c r="T3507">
        <v>0</v>
      </c>
      <c r="U3507">
        <v>235</v>
      </c>
      <c r="V3507">
        <v>235.03</v>
      </c>
      <c r="W3507" t="str">
        <f t="shared" si="883"/>
        <v>rob</v>
      </c>
    </row>
    <row r="3508" spans="1:23">
      <c r="A3508" t="str">
        <f t="shared" si="879"/>
        <v>MTS-MH5F-PM&amp;PT</v>
      </c>
      <c r="B3508" t="str">
        <f>"10-1105-5000"</f>
        <v>10-1105-5000</v>
      </c>
      <c r="C3508" t="str">
        <f>"Computer and monitor attachment"</f>
        <v>Computer and monitor attachment</v>
      </c>
      <c r="D3508">
        <v>1</v>
      </c>
      <c r="E3508" t="str">
        <f t="shared" si="880"/>
        <v>FMS - MOTOMAN MH5F robot with ProMill 8000(12 tool ATC) &amp; ProTurn 9000 CNC machines</v>
      </c>
      <c r="F3508">
        <v>502</v>
      </c>
      <c r="G3508" t="str">
        <f t="shared" si="873"/>
        <v>Y</v>
      </c>
      <c r="H3508" t="str">
        <f t="shared" si="881"/>
        <v>EA</v>
      </c>
      <c r="I3508">
        <v>0</v>
      </c>
      <c r="J3508">
        <v>0</v>
      </c>
      <c r="K3508" t="str">
        <f t="shared" si="874"/>
        <v>Y</v>
      </c>
      <c r="L3508">
        <v>0</v>
      </c>
      <c r="M3508" t="str">
        <f t="shared" si="882"/>
        <v>NIS</v>
      </c>
      <c r="O3508">
        <v>38</v>
      </c>
      <c r="P3508" t="str">
        <f t="shared" si="884"/>
        <v>Active</v>
      </c>
      <c r="Q3508" t="str">
        <f>"Computer and monitor stand (attached to machine)"</f>
        <v>Computer and monitor stand (attached to machine)</v>
      </c>
      <c r="S3508" t="str">
        <f>"Computer and monitor stand (attached to machine)"</f>
        <v>Computer and monitor stand (attached to machine)</v>
      </c>
      <c r="T3508">
        <v>0</v>
      </c>
      <c r="U3508">
        <v>105.36</v>
      </c>
      <c r="V3508">
        <v>103.02</v>
      </c>
      <c r="W3508" t="str">
        <f t="shared" si="883"/>
        <v>rob</v>
      </c>
    </row>
    <row r="3509" spans="1:23">
      <c r="A3509" t="str">
        <f t="shared" si="879"/>
        <v>MTS-MH5F-PM&amp;PT</v>
      </c>
      <c r="B3509" t="str">
        <f>"63-9001-1000"</f>
        <v>63-9001-1000</v>
      </c>
      <c r="C3509" t="str">
        <f>"-CNCMotion for ProTurn 9000"</f>
        <v>-CNCMotion for ProTurn 9000</v>
      </c>
      <c r="D3509">
        <v>1</v>
      </c>
      <c r="E3509" t="str">
        <f t="shared" si="880"/>
        <v>FMS - MOTOMAN MH5F robot with ProMill 8000(12 tool ATC) &amp; ProTurn 9000 CNC machines</v>
      </c>
      <c r="F3509">
        <v>502</v>
      </c>
      <c r="G3509" t="str">
        <f t="shared" si="873"/>
        <v>Y</v>
      </c>
      <c r="H3509" t="str">
        <f t="shared" si="881"/>
        <v>EA</v>
      </c>
      <c r="I3509">
        <v>0</v>
      </c>
      <c r="J3509">
        <v>0</v>
      </c>
      <c r="K3509" t="str">
        <f t="shared" si="874"/>
        <v>Y</v>
      </c>
      <c r="L3509">
        <v>0</v>
      </c>
      <c r="M3509" t="str">
        <f t="shared" si="882"/>
        <v>NIS</v>
      </c>
      <c r="O3509">
        <v>39</v>
      </c>
      <c r="P3509" t="str">
        <f t="shared" si="884"/>
        <v>Active</v>
      </c>
      <c r="Q3509" t="str">
        <f>"CNCMotion Sim. Sftwr, ProTurn 9000"</f>
        <v>CNCMotion Sim. Sftwr, ProTurn 9000</v>
      </c>
      <c r="S3509" t="str">
        <f>"CNCMotion Sim. Sftwr, ProTurn 9000"</f>
        <v>CNCMotion Sim. Sftwr, ProTurn 9000</v>
      </c>
      <c r="T3509">
        <v>0</v>
      </c>
      <c r="U3509">
        <v>10</v>
      </c>
      <c r="V3509">
        <v>0</v>
      </c>
      <c r="W3509" t="str">
        <f t="shared" si="883"/>
        <v>rob</v>
      </c>
    </row>
    <row r="3510" spans="1:23">
      <c r="A3510" t="str">
        <f t="shared" si="879"/>
        <v>MTS-MH5F-PM&amp;PT</v>
      </c>
      <c r="B3510" t="str">
        <f>"63-6743-0000"</f>
        <v>63-6743-0000</v>
      </c>
      <c r="C3510" t="str">
        <f>"Software, SpectraCAM Turning"</f>
        <v>Software, SpectraCAM Turning</v>
      </c>
      <c r="D3510">
        <v>1</v>
      </c>
      <c r="E3510" t="str">
        <f t="shared" si="880"/>
        <v>FMS - MOTOMAN MH5F robot with ProMill 8000(12 tool ATC) &amp; ProTurn 9000 CNC machines</v>
      </c>
      <c r="F3510">
        <v>502</v>
      </c>
      <c r="G3510" t="str">
        <f t="shared" si="873"/>
        <v>Y</v>
      </c>
      <c r="H3510" t="str">
        <f t="shared" si="881"/>
        <v>EA</v>
      </c>
      <c r="I3510">
        <v>0</v>
      </c>
      <c r="J3510">
        <v>0</v>
      </c>
      <c r="K3510" t="str">
        <f t="shared" si="874"/>
        <v>Y</v>
      </c>
      <c r="L3510">
        <v>0</v>
      </c>
      <c r="M3510" t="str">
        <f t="shared" si="882"/>
        <v>NIS</v>
      </c>
      <c r="O3510">
        <v>40</v>
      </c>
      <c r="P3510" t="str">
        <f t="shared" si="884"/>
        <v>Active</v>
      </c>
      <c r="Q3510" t="str">
        <f>"Software, SpectraCAM Turning"</f>
        <v>Software, SpectraCAM Turning</v>
      </c>
      <c r="S3510" t="str">
        <f>"Software, SpectraCAM Turning"</f>
        <v>Software, SpectraCAM Turning</v>
      </c>
      <c r="T3510">
        <v>0</v>
      </c>
      <c r="U3510">
        <v>10</v>
      </c>
      <c r="V3510">
        <v>10.4</v>
      </c>
      <c r="W3510" t="str">
        <f t="shared" si="883"/>
        <v>rob</v>
      </c>
    </row>
    <row r="3511" spans="1:23">
      <c r="A3511" t="str">
        <f t="shared" si="879"/>
        <v>MTS-MH5F-PM&amp;PT</v>
      </c>
      <c r="B3511" t="str">
        <f>"112496"</f>
        <v>112496</v>
      </c>
      <c r="C3511" t="str">
        <f>"Raw Material - Brass  Rod"</f>
        <v>Raw Material - Brass  Rod</v>
      </c>
      <c r="D3511">
        <v>50</v>
      </c>
      <c r="E3511" t="str">
        <f t="shared" si="880"/>
        <v>FMS - MOTOMAN MH5F robot with ProMill 8000(12 tool ATC) &amp; ProTurn 9000 CNC machines</v>
      </c>
      <c r="F3511">
        <v>502</v>
      </c>
      <c r="G3511" t="str">
        <f t="shared" si="873"/>
        <v>Y</v>
      </c>
      <c r="H3511" t="str">
        <f t="shared" si="881"/>
        <v>EA</v>
      </c>
      <c r="I3511">
        <v>0</v>
      </c>
      <c r="J3511">
        <v>0</v>
      </c>
      <c r="K3511" t="str">
        <f t="shared" si="874"/>
        <v>Y</v>
      </c>
      <c r="L3511">
        <v>0</v>
      </c>
      <c r="M3511" t="str">
        <f t="shared" si="882"/>
        <v>NIS</v>
      </c>
      <c r="O3511">
        <v>41</v>
      </c>
      <c r="P3511" t="str">
        <f t="shared" si="884"/>
        <v>Active</v>
      </c>
      <c r="Q3511" t="str">
        <f>"Raw Material Stock - Brass  Rod"</f>
        <v>Raw Material Stock - Brass  Rod</v>
      </c>
      <c r="S3511" t="str">
        <f>"Raw Material Stock - Brass  Rod"</f>
        <v>Raw Material Stock - Brass  Rod</v>
      </c>
      <c r="T3511">
        <v>0</v>
      </c>
      <c r="U3511">
        <v>3.67</v>
      </c>
      <c r="V3511">
        <v>2.69</v>
      </c>
      <c r="W3511" t="str">
        <f t="shared" si="883"/>
        <v>rob</v>
      </c>
    </row>
    <row r="3512" spans="1:23">
      <c r="A3512" t="str">
        <f t="shared" si="879"/>
        <v>MTS-MH5F-PM&amp;PT</v>
      </c>
      <c r="B3512" t="str">
        <f>"00-1251-0000"</f>
        <v>00-1251-0000</v>
      </c>
      <c r="C3512" t="str">
        <f>"Workbench 1500x800mm (Formica Top)"</f>
        <v>Workbench 1500x800mm (Formica Top)</v>
      </c>
      <c r="D3512">
        <v>1</v>
      </c>
      <c r="E3512" t="str">
        <f t="shared" si="880"/>
        <v>FMS - MOTOMAN MH5F robot with ProMill 8000(12 tool ATC) &amp; ProTurn 9000 CNC machines</v>
      </c>
      <c r="F3512">
        <v>502</v>
      </c>
      <c r="G3512" t="str">
        <f t="shared" si="873"/>
        <v>Y</v>
      </c>
      <c r="H3512" t="str">
        <f t="shared" si="881"/>
        <v>EA</v>
      </c>
      <c r="I3512">
        <v>0</v>
      </c>
      <c r="J3512">
        <v>0</v>
      </c>
      <c r="K3512" t="str">
        <f t="shared" si="874"/>
        <v>Y</v>
      </c>
      <c r="L3512">
        <v>0</v>
      </c>
      <c r="M3512" t="str">
        <f t="shared" si="882"/>
        <v>NIS</v>
      </c>
      <c r="O3512">
        <v>42</v>
      </c>
      <c r="P3512" t="str">
        <f t="shared" si="884"/>
        <v>Active</v>
      </c>
      <c r="Q3512" t="str">
        <f>"Workbench 1500x800mm (Formica Top)"</f>
        <v>Workbench 1500x800mm (Formica Top)</v>
      </c>
      <c r="S3512" t="str">
        <f>"Workbench 1500x800mm (Formica Top)"</f>
        <v>Workbench 1500x800mm (Formica Top)</v>
      </c>
      <c r="T3512">
        <v>0</v>
      </c>
      <c r="U3512">
        <v>582</v>
      </c>
      <c r="V3512">
        <v>588.6</v>
      </c>
      <c r="W3512" t="str">
        <f t="shared" si="883"/>
        <v>rob</v>
      </c>
    </row>
    <row r="3513" spans="1:23">
      <c r="A3513" t="str">
        <f t="shared" si="879"/>
        <v>MTS-MH5F-PM&amp;PT</v>
      </c>
      <c r="B3513" t="str">
        <f>"50-0094-0000"</f>
        <v>50-0094-0000</v>
      </c>
      <c r="C3513" t="str">
        <f>"Pre-Engineering, Design and Testing"</f>
        <v>Pre-Engineering, Design and Testing</v>
      </c>
      <c r="D3513">
        <v>1</v>
      </c>
      <c r="E3513" t="str">
        <f t="shared" si="880"/>
        <v>FMS - MOTOMAN MH5F robot with ProMill 8000(12 tool ATC) &amp; ProTurn 9000 CNC machines</v>
      </c>
      <c r="F3513">
        <v>502</v>
      </c>
      <c r="G3513" t="str">
        <f t="shared" si="873"/>
        <v>Y</v>
      </c>
      <c r="H3513" t="str">
        <f>"DA"</f>
        <v>DA</v>
      </c>
      <c r="I3513">
        <v>0</v>
      </c>
      <c r="J3513">
        <v>0</v>
      </c>
      <c r="K3513" t="str">
        <f t="shared" si="874"/>
        <v>Y</v>
      </c>
      <c r="L3513">
        <v>0</v>
      </c>
      <c r="M3513" t="str">
        <f t="shared" si="882"/>
        <v>NIS</v>
      </c>
      <c r="O3513">
        <v>43</v>
      </c>
      <c r="P3513" t="str">
        <f t="shared" si="884"/>
        <v>Active</v>
      </c>
      <c r="Q3513" t="str">
        <f>"Pre-Engineering, Design and Testing"</f>
        <v>Pre-Engineering, Design and Testing</v>
      </c>
      <c r="S3513" t="str">
        <f>"Pre-Engineering, Design and Testing"</f>
        <v>Pre-Engineering, Design and Testing</v>
      </c>
      <c r="T3513">
        <v>0</v>
      </c>
      <c r="U3513">
        <v>405</v>
      </c>
      <c r="V3513">
        <v>421.2</v>
      </c>
      <c r="W3513" t="str">
        <f t="shared" si="883"/>
        <v>rob</v>
      </c>
    </row>
    <row r="3514" spans="1:23">
      <c r="A3514" t="str">
        <f t="shared" ref="A3514:A3540" si="885">"MTS-MH5F-PM-12T"</f>
        <v>MTS-MH5F-PM-12T</v>
      </c>
      <c r="B3514" t="str">
        <f>"00-0436-0000"</f>
        <v>00-0436-0000</v>
      </c>
      <c r="C3514" t="str">
        <f>"MH5F compact high-speed 6-axis Robot"</f>
        <v>MH5F compact high-speed 6-axis Robot</v>
      </c>
      <c r="D3514">
        <v>1</v>
      </c>
      <c r="E3514" t="str">
        <f t="shared" ref="E3514:E3540" si="886">"FMS - MOTOMAN MH5F robot with ProMill 8000 (12 tool ATC) CNC machine"</f>
        <v>FMS - MOTOMAN MH5F robot with ProMill 8000 (12 tool ATC) CNC machine</v>
      </c>
      <c r="F3514">
        <v>502</v>
      </c>
      <c r="G3514" t="str">
        <f t="shared" si="873"/>
        <v>Y</v>
      </c>
      <c r="H3514" t="str">
        <f t="shared" ref="H3514:H3539" si="887">"EA"</f>
        <v>EA</v>
      </c>
      <c r="I3514">
        <v>0</v>
      </c>
      <c r="J3514">
        <v>0</v>
      </c>
      <c r="K3514" t="str">
        <f t="shared" si="874"/>
        <v>Y</v>
      </c>
      <c r="L3514">
        <v>0</v>
      </c>
      <c r="M3514" t="str">
        <f t="shared" si="882"/>
        <v>NIS</v>
      </c>
      <c r="O3514">
        <v>1</v>
      </c>
      <c r="P3514" t="str">
        <f t="shared" si="884"/>
        <v>Active</v>
      </c>
      <c r="Q3514" t="str">
        <f>"MH5F compact high-speed 6-axis Robot"</f>
        <v>MH5F compact high-speed 6-axis Robot</v>
      </c>
      <c r="S3514" t="str">
        <f>"MH5F compact high-speed 6-axis Robot"</f>
        <v>MH5F compact high-speed 6-axis Robot</v>
      </c>
      <c r="T3514">
        <v>0</v>
      </c>
      <c r="U3514" s="44">
        <v>23500</v>
      </c>
      <c r="V3514" s="44">
        <v>16049.14</v>
      </c>
      <c r="W3514" t="str">
        <f t="shared" si="883"/>
        <v>rob</v>
      </c>
    </row>
    <row r="3515" spans="1:23">
      <c r="A3515" t="str">
        <f t="shared" si="885"/>
        <v>MTS-MH5F-PM-12T</v>
      </c>
      <c r="B3515" t="str">
        <f>"00-0646-0000"</f>
        <v>00-0646-0000</v>
      </c>
      <c r="C3515" t="str">
        <f>"Pneumatic Gripper with I/O Box for Motoman MH5F"</f>
        <v>Pneumatic Gripper with I/O Box for Motoman MH5F</v>
      </c>
      <c r="D3515">
        <v>1</v>
      </c>
      <c r="E3515" t="str">
        <f t="shared" si="886"/>
        <v>FMS - MOTOMAN MH5F robot with ProMill 8000 (12 tool ATC) CNC machine</v>
      </c>
      <c r="F3515">
        <v>502</v>
      </c>
      <c r="G3515" t="str">
        <f t="shared" si="873"/>
        <v>Y</v>
      </c>
      <c r="H3515" t="str">
        <f t="shared" si="887"/>
        <v>EA</v>
      </c>
      <c r="I3515">
        <v>0</v>
      </c>
      <c r="J3515">
        <v>0</v>
      </c>
      <c r="K3515" t="str">
        <f t="shared" si="874"/>
        <v>Y</v>
      </c>
      <c r="L3515">
        <v>0</v>
      </c>
      <c r="M3515" t="str">
        <f t="shared" si="882"/>
        <v>NIS</v>
      </c>
      <c r="O3515">
        <v>2</v>
      </c>
      <c r="P3515" t="str">
        <f t="shared" si="884"/>
        <v>Active</v>
      </c>
      <c r="Q3515" t="str">
        <f>"Pneumatic Gripper with I/O Box for Motoman MH5F"</f>
        <v>Pneumatic Gripper with I/O Box for Motoman MH5F</v>
      </c>
      <c r="S3515" t="str">
        <f>"Pneumatic Gripper with I/O Box for Motoman MH5F"</f>
        <v>Pneumatic Gripper with I/O Box for Motoman MH5F</v>
      </c>
      <c r="T3515">
        <v>0</v>
      </c>
      <c r="U3515" s="44">
        <v>1500</v>
      </c>
      <c r="V3515" s="44">
        <v>1238.52</v>
      </c>
      <c r="W3515" t="str">
        <f t="shared" si="883"/>
        <v>rob</v>
      </c>
    </row>
    <row r="3516" spans="1:23">
      <c r="A3516" t="str">
        <f t="shared" si="885"/>
        <v>MTS-MH5F-PM-12T</v>
      </c>
      <c r="B3516" t="str">
        <f>"00-1284-0000"</f>
        <v>00-1284-0000</v>
      </c>
      <c r="C3516" t="str">
        <f>"Robot Pedestal Welded for ER9/14Pro&amp;MH5"</f>
        <v>Robot Pedestal Welded for ER9/14Pro&amp;MH5</v>
      </c>
      <c r="D3516">
        <v>1</v>
      </c>
      <c r="E3516" t="str">
        <f t="shared" si="886"/>
        <v>FMS - MOTOMAN MH5F robot with ProMill 8000 (12 tool ATC) CNC machine</v>
      </c>
      <c r="F3516">
        <v>502</v>
      </c>
      <c r="G3516" t="str">
        <f t="shared" si="873"/>
        <v>Y</v>
      </c>
      <c r="H3516" t="str">
        <f t="shared" si="887"/>
        <v>EA</v>
      </c>
      <c r="I3516">
        <v>0</v>
      </c>
      <c r="J3516">
        <v>0</v>
      </c>
      <c r="K3516" t="str">
        <f t="shared" si="874"/>
        <v>Y</v>
      </c>
      <c r="L3516">
        <v>0</v>
      </c>
      <c r="M3516" t="str">
        <f t="shared" si="882"/>
        <v>NIS</v>
      </c>
      <c r="O3516">
        <v>3</v>
      </c>
      <c r="P3516" t="str">
        <f t="shared" si="884"/>
        <v>Active</v>
      </c>
      <c r="Q3516" t="str">
        <f>"Robot Pedestal Welded for ER9/14Pro&amp;MH5"</f>
        <v>Robot Pedestal Welded for ER9/14Pro&amp;MH5</v>
      </c>
      <c r="S3516" t="str">
        <f>"Robot Pedestal Welded for ER9/14Pro&amp;MH5"</f>
        <v>Robot Pedestal Welded for ER9/14Pro&amp;MH5</v>
      </c>
      <c r="T3516">
        <v>0</v>
      </c>
      <c r="U3516">
        <v>723.91</v>
      </c>
      <c r="V3516">
        <v>671.12</v>
      </c>
      <c r="W3516" t="str">
        <f t="shared" si="883"/>
        <v>rob</v>
      </c>
    </row>
    <row r="3517" spans="1:23">
      <c r="A3517" t="str">
        <f t="shared" si="885"/>
        <v>MTS-MH5F-PM-12T</v>
      </c>
      <c r="B3517" t="str">
        <f>"00-1110-0000"</f>
        <v>00-1110-0000</v>
      </c>
      <c r="C3517" t="str">
        <f>"Palletizing Rack"</f>
        <v>Palletizing Rack</v>
      </c>
      <c r="D3517">
        <v>1</v>
      </c>
      <c r="E3517" t="str">
        <f t="shared" si="886"/>
        <v>FMS - MOTOMAN MH5F robot with ProMill 8000 (12 tool ATC) CNC machine</v>
      </c>
      <c r="F3517">
        <v>502</v>
      </c>
      <c r="G3517" t="str">
        <f t="shared" si="873"/>
        <v>Y</v>
      </c>
      <c r="H3517" t="str">
        <f t="shared" si="887"/>
        <v>EA</v>
      </c>
      <c r="I3517">
        <v>0</v>
      </c>
      <c r="J3517">
        <v>0</v>
      </c>
      <c r="K3517" t="str">
        <f t="shared" si="874"/>
        <v>Y</v>
      </c>
      <c r="L3517">
        <v>0</v>
      </c>
      <c r="M3517" t="str">
        <f t="shared" si="882"/>
        <v>NIS</v>
      </c>
      <c r="O3517">
        <v>4</v>
      </c>
      <c r="P3517" t="str">
        <f t="shared" si="884"/>
        <v>Active</v>
      </c>
      <c r="Q3517" t="str">
        <f>"Palletizing Rack (incl. Pins for creating Jigs)"</f>
        <v>Palletizing Rack (incl. Pins for creating Jigs)</v>
      </c>
      <c r="S3517" t="str">
        <f>"Palletizing Rack (incl. Pins for creating Jigs)"</f>
        <v>Palletizing Rack (incl. Pins for creating Jigs)</v>
      </c>
      <c r="T3517">
        <v>0</v>
      </c>
      <c r="U3517">
        <v>63</v>
      </c>
      <c r="V3517">
        <v>58.59</v>
      </c>
      <c r="W3517" t="str">
        <f t="shared" si="883"/>
        <v>rob</v>
      </c>
    </row>
    <row r="3518" spans="1:23">
      <c r="A3518" t="str">
        <f t="shared" si="885"/>
        <v>MTS-MH5F-PM-12T</v>
      </c>
      <c r="B3518" t="str">
        <f>"10-2521-7000"</f>
        <v>10-2521-7000</v>
      </c>
      <c r="C3518" t="str">
        <f>"Pneumatic Feeder for Rectangular products"</f>
        <v>Pneumatic Feeder for Rectangular products</v>
      </c>
      <c r="D3518">
        <v>1</v>
      </c>
      <c r="E3518" t="str">
        <f t="shared" si="886"/>
        <v>FMS - MOTOMAN MH5F robot with ProMill 8000 (12 tool ATC) CNC machine</v>
      </c>
      <c r="F3518">
        <v>502</v>
      </c>
      <c r="G3518" t="str">
        <f t="shared" si="873"/>
        <v>Y</v>
      </c>
      <c r="H3518" t="str">
        <f t="shared" si="887"/>
        <v>EA</v>
      </c>
      <c r="I3518">
        <v>0</v>
      </c>
      <c r="J3518">
        <v>0</v>
      </c>
      <c r="K3518" t="str">
        <f t="shared" si="874"/>
        <v>Y</v>
      </c>
      <c r="L3518">
        <v>0</v>
      </c>
      <c r="M3518" t="str">
        <f t="shared" si="882"/>
        <v>NIS</v>
      </c>
      <c r="O3518">
        <v>5</v>
      </c>
      <c r="P3518" t="str">
        <f t="shared" si="884"/>
        <v>Active</v>
      </c>
      <c r="Q3518" t="str">
        <f>"Pneumatic Feeder for Rectangular Parts"</f>
        <v>Pneumatic Feeder for Rectangular Parts</v>
      </c>
      <c r="S3518" t="str">
        <f>"Pneumatic Feeder for Rectangular Parts"</f>
        <v>Pneumatic Feeder for Rectangular Parts</v>
      </c>
      <c r="T3518">
        <v>0</v>
      </c>
      <c r="U3518">
        <v>595</v>
      </c>
      <c r="V3518">
        <v>555.15</v>
      </c>
      <c r="W3518" t="str">
        <f t="shared" si="883"/>
        <v>rob</v>
      </c>
    </row>
    <row r="3519" spans="1:23">
      <c r="A3519" t="str">
        <f t="shared" si="885"/>
        <v>MTS-MH5F-PM-12T</v>
      </c>
      <c r="B3519" t="str">
        <f>"021152"</f>
        <v>021152</v>
      </c>
      <c r="C3519" t="str">
        <f>"Shelf Buffer for CIM conveyor"</f>
        <v>Shelf Buffer for CIM conveyor</v>
      </c>
      <c r="D3519">
        <v>1</v>
      </c>
      <c r="E3519" t="str">
        <f t="shared" si="886"/>
        <v>FMS - MOTOMAN MH5F robot with ProMill 8000 (12 tool ATC) CNC machine</v>
      </c>
      <c r="F3519">
        <v>502</v>
      </c>
      <c r="G3519" t="str">
        <f t="shared" si="873"/>
        <v>Y</v>
      </c>
      <c r="H3519" t="str">
        <f t="shared" si="887"/>
        <v>EA</v>
      </c>
      <c r="I3519">
        <v>0</v>
      </c>
      <c r="J3519">
        <v>0</v>
      </c>
      <c r="K3519" t="str">
        <f t="shared" si="874"/>
        <v>Y</v>
      </c>
      <c r="L3519">
        <v>0</v>
      </c>
      <c r="M3519" t="str">
        <f t="shared" si="882"/>
        <v>NIS</v>
      </c>
      <c r="O3519">
        <v>27</v>
      </c>
      <c r="P3519" t="str">
        <f t="shared" si="884"/>
        <v>Active</v>
      </c>
      <c r="Q3519" t="str">
        <f>"מכלול- מדף בפר סטנדרטי OPEN-CIM"</f>
        <v>מכלול- מדף בפר סטנדרטי OPEN-CIM</v>
      </c>
      <c r="R3519" t="str">
        <f>"1"</f>
        <v>1</v>
      </c>
      <c r="S3519" t="str">
        <f>"מכלול- מדף בפר סטנדרטי OPEN-CIM"</f>
        <v>מכלול- מדף בפר סטנדרטי OPEN-CIM</v>
      </c>
      <c r="T3519">
        <v>0</v>
      </c>
      <c r="U3519">
        <v>83.12</v>
      </c>
      <c r="V3519">
        <v>92.76</v>
      </c>
      <c r="W3519" t="str">
        <f t="shared" si="883"/>
        <v>rob</v>
      </c>
    </row>
    <row r="3520" spans="1:23">
      <c r="A3520" t="str">
        <f t="shared" si="885"/>
        <v>MTS-MH5F-PM-12T</v>
      </c>
      <c r="B3520" t="str">
        <f>"10-2120-2000"</f>
        <v>10-2120-2000</v>
      </c>
      <c r="C3520" t="str">
        <f>"CNC Interface with ProMill 8000"</f>
        <v>CNC Interface with ProMill 8000</v>
      </c>
      <c r="D3520">
        <v>1</v>
      </c>
      <c r="E3520" t="str">
        <f t="shared" si="886"/>
        <v>FMS - MOTOMAN MH5F robot with ProMill 8000 (12 tool ATC) CNC machine</v>
      </c>
      <c r="F3520">
        <v>502</v>
      </c>
      <c r="G3520" t="str">
        <f t="shared" si="873"/>
        <v>Y</v>
      </c>
      <c r="H3520" t="str">
        <f t="shared" si="887"/>
        <v>EA</v>
      </c>
      <c r="I3520">
        <v>0</v>
      </c>
      <c r="J3520">
        <v>0</v>
      </c>
      <c r="K3520" t="str">
        <f t="shared" si="874"/>
        <v>Y</v>
      </c>
      <c r="L3520">
        <v>0</v>
      </c>
      <c r="M3520" t="str">
        <f t="shared" si="882"/>
        <v>NIS</v>
      </c>
      <c r="O3520">
        <v>6</v>
      </c>
      <c r="P3520" t="str">
        <f t="shared" si="884"/>
        <v>Active</v>
      </c>
      <c r="Q3520" t="str">
        <f>"CNC Interface with ProMill 8000"</f>
        <v>CNC Interface with ProMill 8000</v>
      </c>
      <c r="S3520" t="str">
        <f>"CNC Interface with ProMill 8000"</f>
        <v>CNC Interface with ProMill 8000</v>
      </c>
      <c r="T3520">
        <v>0</v>
      </c>
      <c r="U3520">
        <v>18</v>
      </c>
      <c r="V3520">
        <v>17.690000000000001</v>
      </c>
      <c r="W3520" t="str">
        <f t="shared" si="883"/>
        <v>rob</v>
      </c>
    </row>
    <row r="3521" spans="1:23">
      <c r="A3521" t="str">
        <f t="shared" si="885"/>
        <v>MTS-MH5F-PM-12T</v>
      </c>
      <c r="B3521" t="str">
        <f>"00-5509-0220"</f>
        <v>00-5509-0220</v>
      </c>
      <c r="C3521" t="str">
        <f>"ProMill 8000 AC with 12 Tool ATC"</f>
        <v>ProMill 8000 AC with 12 Tool ATC</v>
      </c>
      <c r="D3521">
        <v>1</v>
      </c>
      <c r="E3521" t="str">
        <f t="shared" si="886"/>
        <v>FMS - MOTOMAN MH5F robot with ProMill 8000 (12 tool ATC) CNC machine</v>
      </c>
      <c r="F3521">
        <v>502</v>
      </c>
      <c r="G3521" t="str">
        <f t="shared" si="873"/>
        <v>Y</v>
      </c>
      <c r="H3521" t="str">
        <f t="shared" si="887"/>
        <v>EA</v>
      </c>
      <c r="I3521">
        <v>0</v>
      </c>
      <c r="J3521">
        <v>0</v>
      </c>
      <c r="K3521" t="str">
        <f t="shared" si="874"/>
        <v>Y</v>
      </c>
      <c r="L3521">
        <v>0</v>
      </c>
      <c r="M3521" t="str">
        <f t="shared" si="882"/>
        <v>NIS</v>
      </c>
      <c r="O3521">
        <v>7</v>
      </c>
      <c r="P3521" t="str">
        <f t="shared" si="884"/>
        <v>Active</v>
      </c>
      <c r="Q3521" t="str">
        <f>"ProMill 8000 AC with 12 Tool ATC 220V"</f>
        <v>ProMill 8000 AC with 12 Tool ATC 220V</v>
      </c>
      <c r="S3521" t="str">
        <f>"ProMill 8000 AC with 12 Tool ATC 220V"</f>
        <v>ProMill 8000 AC with 12 Tool ATC 220V</v>
      </c>
      <c r="T3521">
        <v>0</v>
      </c>
      <c r="U3521" s="44">
        <v>7800</v>
      </c>
      <c r="V3521" s="44">
        <v>7781.65</v>
      </c>
      <c r="W3521" t="str">
        <f t="shared" si="883"/>
        <v>rob</v>
      </c>
    </row>
    <row r="3522" spans="1:23">
      <c r="A3522" t="str">
        <f t="shared" si="885"/>
        <v>MTS-MH5F-PM-12T</v>
      </c>
      <c r="B3522" t="str">
        <f>"10-1111-9000"</f>
        <v>10-1111-9000</v>
      </c>
      <c r="C3522" t="str">
        <f>"ISO 20 tool holder"</f>
        <v>ISO 20 tool holder</v>
      </c>
      <c r="D3522">
        <v>12</v>
      </c>
      <c r="E3522" t="str">
        <f t="shared" si="886"/>
        <v>FMS - MOTOMAN MH5F robot with ProMill 8000 (12 tool ATC) CNC machine</v>
      </c>
      <c r="F3522">
        <v>502</v>
      </c>
      <c r="G3522" t="str">
        <f t="shared" ref="G3522:G3585" si="888">"Y"</f>
        <v>Y</v>
      </c>
      <c r="H3522" t="str">
        <f t="shared" si="887"/>
        <v>EA</v>
      </c>
      <c r="I3522">
        <v>0</v>
      </c>
      <c r="J3522">
        <v>0</v>
      </c>
      <c r="K3522" t="str">
        <f t="shared" ref="K3522:K3585" si="889">"Y"</f>
        <v>Y</v>
      </c>
      <c r="L3522">
        <v>0</v>
      </c>
      <c r="M3522" t="str">
        <f t="shared" si="882"/>
        <v>NIS</v>
      </c>
      <c r="O3522">
        <v>8</v>
      </c>
      <c r="P3522" t="str">
        <f t="shared" si="884"/>
        <v>Active</v>
      </c>
      <c r="Q3522" t="str">
        <f>"ISO 20 tool holder with nut"</f>
        <v>ISO 20 tool holder with nut</v>
      </c>
      <c r="S3522" t="str">
        <f>"ISO 20 tool holder with nut"</f>
        <v>ISO 20 tool holder with nut</v>
      </c>
      <c r="T3522">
        <v>0</v>
      </c>
      <c r="U3522">
        <v>103</v>
      </c>
      <c r="V3522">
        <v>103.19</v>
      </c>
      <c r="W3522" t="str">
        <f t="shared" si="883"/>
        <v>rob</v>
      </c>
    </row>
    <row r="3523" spans="1:23">
      <c r="A3523" t="str">
        <f t="shared" si="885"/>
        <v>MTS-MH5F-PM-12T</v>
      </c>
      <c r="B3523" t="str">
        <f>"10-1110-4000"</f>
        <v>10-1110-4000</v>
      </c>
      <c r="C3523" t="str">
        <f>"-- Pneumatic Shield (ProMill 8000 for FMS)"</f>
        <v>-- Pneumatic Shield (ProMill 8000 for FMS)</v>
      </c>
      <c r="D3523">
        <v>1</v>
      </c>
      <c r="E3523" t="str">
        <f t="shared" si="886"/>
        <v>FMS - MOTOMAN MH5F robot with ProMill 8000 (12 tool ATC) CNC machine</v>
      </c>
      <c r="F3523">
        <v>502</v>
      </c>
      <c r="G3523" t="str">
        <f t="shared" si="888"/>
        <v>Y</v>
      </c>
      <c r="H3523" t="str">
        <f t="shared" si="887"/>
        <v>EA</v>
      </c>
      <c r="I3523">
        <v>0</v>
      </c>
      <c r="J3523">
        <v>0</v>
      </c>
      <c r="K3523" t="str">
        <f t="shared" si="889"/>
        <v>Y</v>
      </c>
      <c r="L3523">
        <v>0</v>
      </c>
      <c r="M3523" t="str">
        <f t="shared" si="882"/>
        <v>NIS</v>
      </c>
      <c r="O3523">
        <v>9</v>
      </c>
      <c r="P3523" t="str">
        <f t="shared" si="884"/>
        <v>Active</v>
      </c>
      <c r="Q3523" t="str">
        <f>"Pneumatic Shield with Sensors (ProMill 8000)"</f>
        <v>Pneumatic Shield with Sensors (ProMill 8000)</v>
      </c>
      <c r="S3523" t="str">
        <f>"Pneumatic Shield with Sensors (ProMill 8000)"</f>
        <v>Pneumatic Shield with Sensors (ProMill 8000)</v>
      </c>
      <c r="T3523">
        <v>0</v>
      </c>
      <c r="U3523">
        <v>390</v>
      </c>
      <c r="V3523">
        <v>390.02</v>
      </c>
      <c r="W3523" t="str">
        <f t="shared" si="883"/>
        <v>rob</v>
      </c>
    </row>
    <row r="3524" spans="1:23">
      <c r="A3524" t="str">
        <f t="shared" si="885"/>
        <v>MTS-MH5F-PM-12T</v>
      </c>
      <c r="B3524" t="str">
        <f>"10-1110-7000"</f>
        <v>10-1110-7000</v>
      </c>
      <c r="C3524" t="str">
        <f>"--Dual Axis Vise (for FMS)"</f>
        <v>--Dual Axis Vise (for FMS)</v>
      </c>
      <c r="D3524">
        <v>1</v>
      </c>
      <c r="E3524" t="str">
        <f t="shared" si="886"/>
        <v>FMS - MOTOMAN MH5F robot with ProMill 8000 (12 tool ATC) CNC machine</v>
      </c>
      <c r="F3524">
        <v>502</v>
      </c>
      <c r="G3524" t="str">
        <f t="shared" si="888"/>
        <v>Y</v>
      </c>
      <c r="H3524" t="str">
        <f t="shared" si="887"/>
        <v>EA</v>
      </c>
      <c r="I3524">
        <v>0</v>
      </c>
      <c r="J3524">
        <v>0</v>
      </c>
      <c r="K3524" t="str">
        <f t="shared" si="889"/>
        <v>Y</v>
      </c>
      <c r="L3524">
        <v>0</v>
      </c>
      <c r="M3524" t="str">
        <f t="shared" si="882"/>
        <v>NIS</v>
      </c>
      <c r="O3524">
        <v>10</v>
      </c>
      <c r="P3524" t="str">
        <f t="shared" si="884"/>
        <v>Active</v>
      </c>
      <c r="Q3524" t="str">
        <f>"Dual Axis Vise (BenchMill 6000/ ProMill 8000)"</f>
        <v>Dual Axis Vise (BenchMill 6000/ ProMill 8000)</v>
      </c>
      <c r="S3524" t="str">
        <f>"Dual Axis Vise (BenchMill 6000/ ProMill 8000)"</f>
        <v>Dual Axis Vise (BenchMill 6000/ ProMill 8000)</v>
      </c>
      <c r="T3524">
        <v>0</v>
      </c>
      <c r="U3524">
        <v>239</v>
      </c>
      <c r="V3524">
        <v>219.6</v>
      </c>
      <c r="W3524" t="str">
        <f t="shared" si="883"/>
        <v>rob</v>
      </c>
    </row>
    <row r="3525" spans="1:23">
      <c r="A3525" t="str">
        <f t="shared" si="885"/>
        <v>MTS-MH5F-PM-12T</v>
      </c>
      <c r="B3525" t="str">
        <f>"10-1115-0000"</f>
        <v>10-1115-0000</v>
      </c>
      <c r="C3525" t="str">
        <f>"ER16 Collet set - 2 x (3,6,8,10mm)"</f>
        <v>ER16 Collet set - 2 x (3,6,8,10mm)</v>
      </c>
      <c r="D3525">
        <v>1</v>
      </c>
      <c r="E3525" t="str">
        <f t="shared" si="886"/>
        <v>FMS - MOTOMAN MH5F robot with ProMill 8000 (12 tool ATC) CNC machine</v>
      </c>
      <c r="F3525">
        <v>502</v>
      </c>
      <c r="G3525" t="str">
        <f t="shared" si="888"/>
        <v>Y</v>
      </c>
      <c r="H3525" t="str">
        <f t="shared" si="887"/>
        <v>EA</v>
      </c>
      <c r="I3525">
        <v>0</v>
      </c>
      <c r="J3525">
        <v>0</v>
      </c>
      <c r="K3525" t="str">
        <f t="shared" si="889"/>
        <v>Y</v>
      </c>
      <c r="L3525">
        <v>0</v>
      </c>
      <c r="M3525" t="str">
        <f t="shared" si="882"/>
        <v>NIS</v>
      </c>
      <c r="O3525">
        <v>11</v>
      </c>
      <c r="P3525" t="str">
        <f t="shared" si="884"/>
        <v>Active</v>
      </c>
      <c r="Q3525" t="str">
        <f>"ER16 Collet set-8 pieces(2)3,(2)6,(2)8,(2)10mm"</f>
        <v>ER16 Collet set-8 pieces(2)3,(2)6,(2)8,(2)10mm</v>
      </c>
      <c r="S3525" t="str">
        <f>"ER16 Collet set-8 pieces(2)3,(2)6,(2)8,(2)10mm"</f>
        <v>ER16 Collet set-8 pieces(2)3,(2)6,(2)8,(2)10mm</v>
      </c>
      <c r="T3525">
        <v>0</v>
      </c>
      <c r="U3525">
        <v>71</v>
      </c>
      <c r="V3525">
        <v>70.63</v>
      </c>
      <c r="W3525" t="str">
        <f t="shared" si="883"/>
        <v>rob</v>
      </c>
    </row>
    <row r="3526" spans="1:23">
      <c r="A3526" t="str">
        <f t="shared" si="885"/>
        <v>MTS-MH5F-PM-12T</v>
      </c>
      <c r="B3526" t="str">
        <f>"10-1113-4000"</f>
        <v>10-1113-4000</v>
      </c>
      <c r="C3526" t="str">
        <f>"Metric End Mill Package(2X 3,6,8,10End,4,6 Ball)"</f>
        <v>Metric End Mill Package(2X 3,6,8,10End,4,6 Ball)</v>
      </c>
      <c r="D3526">
        <v>1</v>
      </c>
      <c r="E3526" t="str">
        <f t="shared" si="886"/>
        <v>FMS - MOTOMAN MH5F robot with ProMill 8000 (12 tool ATC) CNC machine</v>
      </c>
      <c r="F3526">
        <v>502</v>
      </c>
      <c r="G3526" t="str">
        <f t="shared" si="888"/>
        <v>Y</v>
      </c>
      <c r="H3526" t="str">
        <f t="shared" si="887"/>
        <v>EA</v>
      </c>
      <c r="I3526">
        <v>0</v>
      </c>
      <c r="J3526">
        <v>0</v>
      </c>
      <c r="K3526" t="str">
        <f t="shared" si="889"/>
        <v>Y</v>
      </c>
      <c r="L3526">
        <v>0</v>
      </c>
      <c r="M3526" t="str">
        <f t="shared" si="882"/>
        <v>NIS</v>
      </c>
      <c r="O3526">
        <v>12</v>
      </c>
      <c r="P3526" t="str">
        <f t="shared" si="884"/>
        <v>Active</v>
      </c>
      <c r="Q3526" t="str">
        <f>"Metric Advanced End Mill Package 5121"</f>
        <v>Metric Advanced End Mill Package 5121</v>
      </c>
      <c r="S3526" t="str">
        <f>"Metric Advanced End Mill Package 5121"</f>
        <v>Metric Advanced End Mill Package 5121</v>
      </c>
      <c r="T3526">
        <v>0</v>
      </c>
      <c r="U3526">
        <v>55</v>
      </c>
      <c r="V3526">
        <v>50.17</v>
      </c>
      <c r="W3526" t="str">
        <f t="shared" si="883"/>
        <v>rob</v>
      </c>
    </row>
    <row r="3527" spans="1:23">
      <c r="A3527" t="str">
        <f t="shared" si="885"/>
        <v>MTS-MH5F-PM-12T</v>
      </c>
      <c r="B3527" t="str">
        <f>"10-1113-6000"</f>
        <v>10-1113-6000</v>
      </c>
      <c r="C3527" t="str">
        <f>"- Metric Engraving Package (1,1.5,2 mm End mill)"</f>
        <v>- Metric Engraving Package (1,1.5,2 mm End mill)</v>
      </c>
      <c r="D3527">
        <v>1</v>
      </c>
      <c r="E3527" t="str">
        <f t="shared" si="886"/>
        <v>FMS - MOTOMAN MH5F robot with ProMill 8000 (12 tool ATC) CNC machine</v>
      </c>
      <c r="F3527">
        <v>502</v>
      </c>
      <c r="G3527" t="str">
        <f t="shared" si="888"/>
        <v>Y</v>
      </c>
      <c r="H3527" t="str">
        <f t="shared" si="887"/>
        <v>EA</v>
      </c>
      <c r="I3527">
        <v>0</v>
      </c>
      <c r="J3527">
        <v>0</v>
      </c>
      <c r="K3527" t="str">
        <f t="shared" si="889"/>
        <v>Y</v>
      </c>
      <c r="L3527">
        <v>0</v>
      </c>
      <c r="M3527" t="str">
        <f t="shared" si="882"/>
        <v>NIS</v>
      </c>
      <c r="O3527">
        <v>13</v>
      </c>
      <c r="P3527" t="str">
        <f t="shared" si="884"/>
        <v>Active</v>
      </c>
      <c r="Q3527" t="str">
        <f>"Metric Engraving Package 5711"</f>
        <v>Metric Engraving Package 5711</v>
      </c>
      <c r="S3527" t="str">
        <f>"Metric Engraving Package 5711"</f>
        <v>Metric Engraving Package 5711</v>
      </c>
      <c r="T3527">
        <v>0</v>
      </c>
      <c r="U3527">
        <v>41</v>
      </c>
      <c r="V3527">
        <v>37.909999999999997</v>
      </c>
      <c r="W3527" t="str">
        <f t="shared" si="883"/>
        <v>rob</v>
      </c>
    </row>
    <row r="3528" spans="1:23">
      <c r="A3528" t="str">
        <f t="shared" si="885"/>
        <v>MTS-MH5F-PM-12T</v>
      </c>
      <c r="B3528" t="str">
        <f>"10-1111-1000"</f>
        <v>10-1111-1000</v>
      </c>
      <c r="C3528" t="str">
        <f>"- Handwheel - Manual Control"</f>
        <v>- Handwheel - Manual Control</v>
      </c>
      <c r="D3528">
        <v>1</v>
      </c>
      <c r="E3528" t="str">
        <f t="shared" si="886"/>
        <v>FMS - MOTOMAN MH5F robot with ProMill 8000 (12 tool ATC) CNC machine</v>
      </c>
      <c r="F3528">
        <v>502</v>
      </c>
      <c r="G3528" t="str">
        <f t="shared" si="888"/>
        <v>Y</v>
      </c>
      <c r="H3528" t="str">
        <f t="shared" si="887"/>
        <v>EA</v>
      </c>
      <c r="I3528">
        <v>0</v>
      </c>
      <c r="J3528">
        <v>0</v>
      </c>
      <c r="K3528" t="str">
        <f t="shared" si="889"/>
        <v>Y</v>
      </c>
      <c r="L3528">
        <v>0</v>
      </c>
      <c r="M3528" t="str">
        <f t="shared" si="882"/>
        <v>NIS</v>
      </c>
      <c r="O3528">
        <v>14</v>
      </c>
      <c r="P3528" t="str">
        <f t="shared" si="884"/>
        <v>Active</v>
      </c>
      <c r="Q3528" t="str">
        <f>"Hand wheel"</f>
        <v>Hand wheel</v>
      </c>
      <c r="S3528" t="str">
        <f>"Jog Pendant Handwheel"</f>
        <v>Jog Pendant Handwheel</v>
      </c>
      <c r="T3528">
        <v>0</v>
      </c>
      <c r="U3528">
        <v>235</v>
      </c>
      <c r="V3528">
        <v>235.03</v>
      </c>
      <c r="W3528" t="str">
        <f t="shared" si="883"/>
        <v>rob</v>
      </c>
    </row>
    <row r="3529" spans="1:23">
      <c r="A3529" t="str">
        <f t="shared" si="885"/>
        <v>MTS-MH5F-PM-12T</v>
      </c>
      <c r="B3529" t="str">
        <f>"10-1105-5000"</f>
        <v>10-1105-5000</v>
      </c>
      <c r="C3529" t="str">
        <f>"Computer and monitor attachment"</f>
        <v>Computer and monitor attachment</v>
      </c>
      <c r="D3529">
        <v>1</v>
      </c>
      <c r="E3529" t="str">
        <f t="shared" si="886"/>
        <v>FMS - MOTOMAN MH5F robot with ProMill 8000 (12 tool ATC) CNC machine</v>
      </c>
      <c r="F3529">
        <v>502</v>
      </c>
      <c r="G3529" t="str">
        <f t="shared" si="888"/>
        <v>Y</v>
      </c>
      <c r="H3529" t="str">
        <f t="shared" si="887"/>
        <v>EA</v>
      </c>
      <c r="I3529">
        <v>0</v>
      </c>
      <c r="J3529">
        <v>0</v>
      </c>
      <c r="K3529" t="str">
        <f t="shared" si="889"/>
        <v>Y</v>
      </c>
      <c r="L3529">
        <v>0</v>
      </c>
      <c r="M3529" t="str">
        <f t="shared" si="882"/>
        <v>NIS</v>
      </c>
      <c r="O3529">
        <v>15</v>
      </c>
      <c r="P3529" t="str">
        <f t="shared" si="884"/>
        <v>Active</v>
      </c>
      <c r="Q3529" t="str">
        <f>"Computer and monitor stand (attached to machine)"</f>
        <v>Computer and monitor stand (attached to machine)</v>
      </c>
      <c r="S3529" t="str">
        <f>"Computer and monitor stand (attached to machine)"</f>
        <v>Computer and monitor stand (attached to machine)</v>
      </c>
      <c r="T3529">
        <v>0</v>
      </c>
      <c r="U3529">
        <v>105.36</v>
      </c>
      <c r="V3529">
        <v>103.02</v>
      </c>
      <c r="W3529" t="str">
        <f t="shared" si="883"/>
        <v>rob</v>
      </c>
    </row>
    <row r="3530" spans="1:23">
      <c r="A3530" t="str">
        <f t="shared" si="885"/>
        <v>MTS-MH5F-PM-12T</v>
      </c>
      <c r="B3530" t="str">
        <f>"10-1112-2000"</f>
        <v>10-1112-2000</v>
      </c>
      <c r="C3530" t="str">
        <f>"ER16 Collet set-8 pieces(3,4,5,6,7,8,9 and 10mm)"</f>
        <v>ER16 Collet set-8 pieces(3,4,5,6,7,8,9 and 10mm)</v>
      </c>
      <c r="D3530">
        <v>1</v>
      </c>
      <c r="E3530" t="str">
        <f t="shared" si="886"/>
        <v>FMS - MOTOMAN MH5F robot with ProMill 8000 (12 tool ATC) CNC machine</v>
      </c>
      <c r="F3530">
        <v>502</v>
      </c>
      <c r="G3530" t="str">
        <f t="shared" si="888"/>
        <v>Y</v>
      </c>
      <c r="H3530" t="str">
        <f t="shared" si="887"/>
        <v>EA</v>
      </c>
      <c r="I3530">
        <v>0</v>
      </c>
      <c r="J3530">
        <v>0</v>
      </c>
      <c r="K3530" t="str">
        <f t="shared" si="889"/>
        <v>Y</v>
      </c>
      <c r="L3530">
        <v>0</v>
      </c>
      <c r="M3530" t="str">
        <f t="shared" si="882"/>
        <v>NIS</v>
      </c>
      <c r="O3530">
        <v>16</v>
      </c>
      <c r="P3530" t="str">
        <f t="shared" si="884"/>
        <v>Active</v>
      </c>
      <c r="Q3530" t="str">
        <f>"ER16 Collet set-8 pieces(3,4,5,6,7,8,9 and 10mm)"</f>
        <v>ER16 Collet set-8 pieces(3,4,5,6,7,8,9 and 10mm)</v>
      </c>
      <c r="S3530" t="str">
        <f>"ER16 Collet set-8 pieces(3,4,5,6,7,8,9 and 10mm)"</f>
        <v>ER16 Collet set-8 pieces(3,4,5,6,7,8,9 and 10mm)</v>
      </c>
      <c r="T3530">
        <v>0</v>
      </c>
      <c r="U3530">
        <v>71</v>
      </c>
      <c r="V3530">
        <v>64.84</v>
      </c>
      <c r="W3530" t="str">
        <f t="shared" si="883"/>
        <v>rob</v>
      </c>
    </row>
    <row r="3531" spans="1:23">
      <c r="A3531" t="str">
        <f t="shared" si="885"/>
        <v>MTS-MH5F-PM-12T</v>
      </c>
      <c r="B3531" t="str">
        <f>"10-1111-6000"</f>
        <v>10-1111-6000</v>
      </c>
      <c r="C3531" t="str">
        <f>"4"" Vise"</f>
        <v>4" Vise</v>
      </c>
      <c r="D3531">
        <v>1</v>
      </c>
      <c r="E3531" t="str">
        <f t="shared" si="886"/>
        <v>FMS - MOTOMAN MH5F robot with ProMill 8000 (12 tool ATC) CNC machine</v>
      </c>
      <c r="F3531">
        <v>502</v>
      </c>
      <c r="G3531" t="str">
        <f t="shared" si="888"/>
        <v>Y</v>
      </c>
      <c r="H3531" t="str">
        <f t="shared" si="887"/>
        <v>EA</v>
      </c>
      <c r="I3531">
        <v>0</v>
      </c>
      <c r="J3531">
        <v>0</v>
      </c>
      <c r="K3531" t="str">
        <f t="shared" si="889"/>
        <v>Y</v>
      </c>
      <c r="L3531">
        <v>0</v>
      </c>
      <c r="M3531" t="str">
        <f t="shared" si="882"/>
        <v>NIS</v>
      </c>
      <c r="N3531" t="str">
        <f>"Y"</f>
        <v>Y</v>
      </c>
      <c r="O3531">
        <v>17</v>
      </c>
      <c r="P3531" t="str">
        <f t="shared" si="884"/>
        <v>Active</v>
      </c>
      <c r="Q3531" t="str">
        <f>"4"" Precision Maching Vise"</f>
        <v>4" Precision Maching Vise</v>
      </c>
      <c r="S3531" t="str">
        <f>"4"" Precision Maching Vise"</f>
        <v>4" Precision Maching Vise</v>
      </c>
      <c r="T3531">
        <v>0</v>
      </c>
      <c r="U3531">
        <v>53</v>
      </c>
      <c r="V3531">
        <v>49.5</v>
      </c>
      <c r="W3531" t="str">
        <f t="shared" si="883"/>
        <v>rob</v>
      </c>
    </row>
    <row r="3532" spans="1:23">
      <c r="A3532" t="str">
        <f t="shared" si="885"/>
        <v>MTS-MH5F-PM-12T</v>
      </c>
      <c r="B3532" t="str">
        <f>"10-1111-5000"</f>
        <v>10-1111-5000</v>
      </c>
      <c r="C3532" t="str">
        <f>"clamping kit 58 pcs set"</f>
        <v>clamping kit 58 pcs set</v>
      </c>
      <c r="D3532">
        <v>1</v>
      </c>
      <c r="E3532" t="str">
        <f t="shared" si="886"/>
        <v>FMS - MOTOMAN MH5F robot with ProMill 8000 (12 tool ATC) CNC machine</v>
      </c>
      <c r="F3532">
        <v>502</v>
      </c>
      <c r="G3532" t="str">
        <f t="shared" si="888"/>
        <v>Y</v>
      </c>
      <c r="H3532" t="str">
        <f t="shared" si="887"/>
        <v>EA</v>
      </c>
      <c r="I3532">
        <v>0</v>
      </c>
      <c r="J3532">
        <v>0</v>
      </c>
      <c r="K3532" t="str">
        <f t="shared" si="889"/>
        <v>Y</v>
      </c>
      <c r="L3532">
        <v>0</v>
      </c>
      <c r="M3532" t="str">
        <f t="shared" si="882"/>
        <v>NIS</v>
      </c>
      <c r="N3532" t="str">
        <f>"Y"</f>
        <v>Y</v>
      </c>
      <c r="O3532">
        <v>18</v>
      </c>
      <c r="P3532" t="str">
        <f t="shared" si="884"/>
        <v>Active</v>
      </c>
      <c r="Q3532" t="str">
        <f>"clamping kit 58 pcs set"</f>
        <v>clamping kit 58 pcs set</v>
      </c>
      <c r="S3532" t="str">
        <f>"clamping kit 58 pcs set"</f>
        <v>clamping kit 58 pcs set</v>
      </c>
      <c r="T3532">
        <v>0</v>
      </c>
      <c r="U3532">
        <v>52</v>
      </c>
      <c r="V3532">
        <v>51.72</v>
      </c>
      <c r="W3532" t="str">
        <f t="shared" si="883"/>
        <v>rob</v>
      </c>
    </row>
    <row r="3533" spans="1:23">
      <c r="A3533" t="str">
        <f t="shared" si="885"/>
        <v>MTS-MH5F-PM-12T</v>
      </c>
      <c r="B3533" t="str">
        <f>"10-1108-8000"</f>
        <v>10-1108-8000</v>
      </c>
      <c r="C3533" t="str">
        <f>"- 4th Axis rotary worktable with tailstock"</f>
        <v>- 4th Axis rotary worktable with tailstock</v>
      </c>
      <c r="D3533">
        <v>1</v>
      </c>
      <c r="E3533" t="str">
        <f t="shared" si="886"/>
        <v>FMS - MOTOMAN MH5F robot with ProMill 8000 (12 tool ATC) CNC machine</v>
      </c>
      <c r="F3533">
        <v>502</v>
      </c>
      <c r="G3533" t="str">
        <f t="shared" si="888"/>
        <v>Y</v>
      </c>
      <c r="H3533" t="str">
        <f t="shared" si="887"/>
        <v>EA</v>
      </c>
      <c r="I3533">
        <v>0</v>
      </c>
      <c r="J3533">
        <v>0</v>
      </c>
      <c r="K3533" t="str">
        <f t="shared" si="889"/>
        <v>Y</v>
      </c>
      <c r="L3533">
        <v>0</v>
      </c>
      <c r="M3533" t="str">
        <f t="shared" si="882"/>
        <v>NIS</v>
      </c>
      <c r="N3533" t="str">
        <f>"Y"</f>
        <v>Y</v>
      </c>
      <c r="O3533">
        <v>19</v>
      </c>
      <c r="P3533" t="str">
        <f t="shared" ref="P3533:P3564" si="890">"Active"</f>
        <v>Active</v>
      </c>
      <c r="Q3533" t="str">
        <f>"100mm rotary worktable (4th axis) with tailstock"</f>
        <v>100mm rotary worktable (4th axis) with tailstock</v>
      </c>
      <c r="S3533" t="str">
        <f>"100mm rotary worktable (4th axis) with tailstock"</f>
        <v>100mm rotary worktable (4th axis) with tailstock</v>
      </c>
      <c r="T3533">
        <v>0</v>
      </c>
      <c r="U3533">
        <v>614.64</v>
      </c>
      <c r="V3533">
        <v>594.83000000000004</v>
      </c>
      <c r="W3533" t="str">
        <f t="shared" si="883"/>
        <v>rob</v>
      </c>
    </row>
    <row r="3534" spans="1:23">
      <c r="A3534" t="str">
        <f t="shared" si="885"/>
        <v>MTS-MH5F-PM-12T</v>
      </c>
      <c r="B3534" t="str">
        <f>"10-1109-3000"</f>
        <v>10-1109-3000</v>
      </c>
      <c r="C3534" t="str">
        <f>"- 80mm 3-jaw chuck"</f>
        <v>- 80mm 3-jaw chuck</v>
      </c>
      <c r="D3534">
        <v>1</v>
      </c>
      <c r="E3534" t="str">
        <f t="shared" si="886"/>
        <v>FMS - MOTOMAN MH5F robot with ProMill 8000 (12 tool ATC) CNC machine</v>
      </c>
      <c r="F3534">
        <v>502</v>
      </c>
      <c r="G3534" t="str">
        <f t="shared" si="888"/>
        <v>Y</v>
      </c>
      <c r="H3534" t="str">
        <f t="shared" si="887"/>
        <v>EA</v>
      </c>
      <c r="I3534">
        <v>0</v>
      </c>
      <c r="J3534">
        <v>0</v>
      </c>
      <c r="K3534" t="str">
        <f t="shared" si="889"/>
        <v>Y</v>
      </c>
      <c r="L3534">
        <v>0</v>
      </c>
      <c r="M3534" t="str">
        <f t="shared" ref="M3534:M3597" si="891">"NIS"</f>
        <v>NIS</v>
      </c>
      <c r="N3534" t="str">
        <f>"Y"</f>
        <v>Y</v>
      </c>
      <c r="O3534">
        <v>20</v>
      </c>
      <c r="P3534" t="str">
        <f t="shared" si="890"/>
        <v>Active</v>
      </c>
      <c r="Q3534" t="str">
        <f>"80mm 3-jaw chuck"</f>
        <v>80mm 3-jaw chuck</v>
      </c>
      <c r="S3534" t="str">
        <f>"80mm 3-jaw chuck"</f>
        <v>80mm 3-jaw chuck</v>
      </c>
      <c r="T3534">
        <v>0</v>
      </c>
      <c r="U3534">
        <v>53</v>
      </c>
      <c r="V3534">
        <v>52.35</v>
      </c>
      <c r="W3534" t="str">
        <f t="shared" si="883"/>
        <v>rob</v>
      </c>
    </row>
    <row r="3535" spans="1:23">
      <c r="A3535" t="str">
        <f t="shared" si="885"/>
        <v>MTS-MH5F-PM-12T</v>
      </c>
      <c r="B3535" t="str">
        <f>"63-8001-1000"</f>
        <v>63-8001-1000</v>
      </c>
      <c r="C3535" t="str">
        <f>"-CNCMotion for ProMill 8000"</f>
        <v>-CNCMotion for ProMill 8000</v>
      </c>
      <c r="D3535">
        <v>1</v>
      </c>
      <c r="E3535" t="str">
        <f t="shared" si="886"/>
        <v>FMS - MOTOMAN MH5F robot with ProMill 8000 (12 tool ATC) CNC machine</v>
      </c>
      <c r="F3535">
        <v>502</v>
      </c>
      <c r="G3535" t="str">
        <f t="shared" si="888"/>
        <v>Y</v>
      </c>
      <c r="H3535" t="str">
        <f t="shared" si="887"/>
        <v>EA</v>
      </c>
      <c r="I3535">
        <v>0</v>
      </c>
      <c r="J3535">
        <v>0</v>
      </c>
      <c r="K3535" t="str">
        <f t="shared" si="889"/>
        <v>Y</v>
      </c>
      <c r="L3535">
        <v>0</v>
      </c>
      <c r="M3535" t="str">
        <f t="shared" si="891"/>
        <v>NIS</v>
      </c>
      <c r="O3535">
        <v>21</v>
      </c>
      <c r="P3535" t="str">
        <f t="shared" si="890"/>
        <v>Active</v>
      </c>
      <c r="Q3535" t="str">
        <f>"CNCMotion Sim. Sftwr, ProMill 8000"</f>
        <v>CNCMotion Sim. Sftwr, ProMill 8000</v>
      </c>
      <c r="S3535" t="str">
        <f>"CNCMotion Sim. Sftwr, ProMill 8000"</f>
        <v>CNCMotion Sim. Sftwr, ProMill 8000</v>
      </c>
      <c r="T3535">
        <v>0</v>
      </c>
      <c r="U3535">
        <v>0</v>
      </c>
      <c r="V3535">
        <v>0</v>
      </c>
      <c r="W3535" t="str">
        <f t="shared" si="883"/>
        <v>rob</v>
      </c>
    </row>
    <row r="3536" spans="1:23">
      <c r="A3536" t="str">
        <f t="shared" si="885"/>
        <v>MTS-MH5F-PM-12T</v>
      </c>
      <c r="B3536" t="str">
        <f>"63-6723-0000"</f>
        <v>63-6723-0000</v>
      </c>
      <c r="C3536" t="str">
        <f>"SpectraCAD Engraver software – Download Only"</f>
        <v>SpectraCAD Engraver software – Download Only</v>
      </c>
      <c r="D3536">
        <v>1</v>
      </c>
      <c r="E3536" t="str">
        <f t="shared" si="886"/>
        <v>FMS - MOTOMAN MH5F robot with ProMill 8000 (12 tool ATC) CNC machine</v>
      </c>
      <c r="F3536">
        <v>502</v>
      </c>
      <c r="G3536" t="str">
        <f t="shared" si="888"/>
        <v>Y</v>
      </c>
      <c r="H3536" t="str">
        <f t="shared" si="887"/>
        <v>EA</v>
      </c>
      <c r="I3536">
        <v>0</v>
      </c>
      <c r="J3536">
        <v>0</v>
      </c>
      <c r="K3536" t="str">
        <f t="shared" si="889"/>
        <v>Y</v>
      </c>
      <c r="L3536">
        <v>0</v>
      </c>
      <c r="M3536" t="str">
        <f t="shared" si="891"/>
        <v>NIS</v>
      </c>
      <c r="O3536">
        <v>22</v>
      </c>
      <c r="P3536" t="str">
        <f t="shared" si="890"/>
        <v>Active</v>
      </c>
      <c r="Q3536" t="str">
        <f>"SpectraCAD Engraver software – Download Only"</f>
        <v>SpectraCAD Engraver software – Download Only</v>
      </c>
      <c r="S3536" t="str">
        <f>"SpectraCAD Engraver software – Download Only"</f>
        <v>SpectraCAD Engraver software – Download Only</v>
      </c>
      <c r="T3536">
        <v>0</v>
      </c>
      <c r="U3536">
        <v>10</v>
      </c>
      <c r="V3536">
        <v>10.4</v>
      </c>
      <c r="W3536" t="str">
        <f t="shared" si="883"/>
        <v>rob</v>
      </c>
    </row>
    <row r="3537" spans="1:23">
      <c r="A3537" t="str">
        <f t="shared" si="885"/>
        <v>MTS-MH5F-PM-12T</v>
      </c>
      <c r="B3537" t="str">
        <f>"63-6733-0000"</f>
        <v>63-6733-0000</v>
      </c>
      <c r="C3537" t="str">
        <f>"Software, SpectraCAM Milling"</f>
        <v>Software, SpectraCAM Milling</v>
      </c>
      <c r="D3537">
        <v>1</v>
      </c>
      <c r="E3537" t="str">
        <f t="shared" si="886"/>
        <v>FMS - MOTOMAN MH5F robot with ProMill 8000 (12 tool ATC) CNC machine</v>
      </c>
      <c r="F3537">
        <v>502</v>
      </c>
      <c r="G3537" t="str">
        <f t="shared" si="888"/>
        <v>Y</v>
      </c>
      <c r="H3537" t="str">
        <f t="shared" si="887"/>
        <v>EA</v>
      </c>
      <c r="I3537">
        <v>0</v>
      </c>
      <c r="J3537">
        <v>0</v>
      </c>
      <c r="K3537" t="str">
        <f t="shared" si="889"/>
        <v>Y</v>
      </c>
      <c r="L3537">
        <v>0</v>
      </c>
      <c r="M3537" t="str">
        <f t="shared" si="891"/>
        <v>NIS</v>
      </c>
      <c r="O3537">
        <v>23</v>
      </c>
      <c r="P3537" t="str">
        <f t="shared" si="890"/>
        <v>Active</v>
      </c>
      <c r="Q3537" t="str">
        <f>"Software, SpectraCAM Milling"</f>
        <v>Software, SpectraCAM Milling</v>
      </c>
      <c r="S3537" t="str">
        <f>"Software, SpectraCAM Milling"</f>
        <v>Software, SpectraCAM Milling</v>
      </c>
      <c r="T3537">
        <v>0</v>
      </c>
      <c r="U3537">
        <v>10</v>
      </c>
      <c r="V3537">
        <v>10.4</v>
      </c>
      <c r="W3537" t="str">
        <f t="shared" si="883"/>
        <v>rob</v>
      </c>
    </row>
    <row r="3538" spans="1:23">
      <c r="A3538" t="str">
        <f t="shared" si="885"/>
        <v>MTS-MH5F-PM-12T</v>
      </c>
      <c r="B3538" t="str">
        <f>"113034"</f>
        <v>113034</v>
      </c>
      <c r="C3538" t="str">
        <f>"Raw Material - Perspex Block"</f>
        <v>Raw Material - Perspex Block</v>
      </c>
      <c r="D3538">
        <v>50</v>
      </c>
      <c r="E3538" t="str">
        <f t="shared" si="886"/>
        <v>FMS - MOTOMAN MH5F robot with ProMill 8000 (12 tool ATC) CNC machine</v>
      </c>
      <c r="F3538">
        <v>502</v>
      </c>
      <c r="G3538" t="str">
        <f t="shared" si="888"/>
        <v>Y</v>
      </c>
      <c r="H3538" t="str">
        <f t="shared" si="887"/>
        <v>EA</v>
      </c>
      <c r="I3538">
        <v>0</v>
      </c>
      <c r="J3538">
        <v>0</v>
      </c>
      <c r="K3538" t="str">
        <f t="shared" si="889"/>
        <v>Y</v>
      </c>
      <c r="L3538">
        <v>0</v>
      </c>
      <c r="M3538" t="str">
        <f t="shared" si="891"/>
        <v>NIS</v>
      </c>
      <c r="O3538">
        <v>24</v>
      </c>
      <c r="P3538" t="str">
        <f t="shared" si="890"/>
        <v>Active</v>
      </c>
      <c r="Q3538" t="str">
        <f>"Raw Material Stock - Perspex Block"</f>
        <v>Raw Material Stock - Perspex Block</v>
      </c>
      <c r="S3538" t="str">
        <f>"Raw Material Stock - Perspex Block"</f>
        <v>Raw Material Stock - Perspex Block</v>
      </c>
      <c r="T3538">
        <v>0</v>
      </c>
      <c r="U3538">
        <v>1.1000000000000001</v>
      </c>
      <c r="V3538">
        <v>1.0900000000000001</v>
      </c>
      <c r="W3538" t="str">
        <f t="shared" si="883"/>
        <v>rob</v>
      </c>
    </row>
    <row r="3539" spans="1:23">
      <c r="A3539" t="str">
        <f t="shared" si="885"/>
        <v>MTS-MH5F-PM-12T</v>
      </c>
      <c r="B3539" t="str">
        <f>"00-1251-0000"</f>
        <v>00-1251-0000</v>
      </c>
      <c r="C3539" t="str">
        <f>"Workbench 1500x800mm (Formica Top)"</f>
        <v>Workbench 1500x800mm (Formica Top)</v>
      </c>
      <c r="D3539">
        <v>1</v>
      </c>
      <c r="E3539" t="str">
        <f t="shared" si="886"/>
        <v>FMS - MOTOMAN MH5F robot with ProMill 8000 (12 tool ATC) CNC machine</v>
      </c>
      <c r="F3539">
        <v>502</v>
      </c>
      <c r="G3539" t="str">
        <f t="shared" si="888"/>
        <v>Y</v>
      </c>
      <c r="H3539" t="str">
        <f t="shared" si="887"/>
        <v>EA</v>
      </c>
      <c r="I3539">
        <v>0</v>
      </c>
      <c r="J3539">
        <v>0</v>
      </c>
      <c r="K3539" t="str">
        <f t="shared" si="889"/>
        <v>Y</v>
      </c>
      <c r="L3539">
        <v>0</v>
      </c>
      <c r="M3539" t="str">
        <f t="shared" si="891"/>
        <v>NIS</v>
      </c>
      <c r="O3539">
        <v>25</v>
      </c>
      <c r="P3539" t="str">
        <f t="shared" si="890"/>
        <v>Active</v>
      </c>
      <c r="Q3539" t="str">
        <f>"Workbench 1500x800mm (Formica Top)"</f>
        <v>Workbench 1500x800mm (Formica Top)</v>
      </c>
      <c r="S3539" t="str">
        <f>"Workbench 1500x800mm (Formica Top)"</f>
        <v>Workbench 1500x800mm (Formica Top)</v>
      </c>
      <c r="T3539">
        <v>0</v>
      </c>
      <c r="U3539">
        <v>582</v>
      </c>
      <c r="V3539">
        <v>588.6</v>
      </c>
      <c r="W3539" t="str">
        <f t="shared" si="883"/>
        <v>rob</v>
      </c>
    </row>
    <row r="3540" spans="1:23">
      <c r="A3540" t="str">
        <f t="shared" si="885"/>
        <v>MTS-MH5F-PM-12T</v>
      </c>
      <c r="B3540" t="str">
        <f>"50-0094-0000"</f>
        <v>50-0094-0000</v>
      </c>
      <c r="C3540" t="str">
        <f>"Pre-Engineering, Design and Testing"</f>
        <v>Pre-Engineering, Design and Testing</v>
      </c>
      <c r="D3540">
        <v>1</v>
      </c>
      <c r="E3540" t="str">
        <f t="shared" si="886"/>
        <v>FMS - MOTOMAN MH5F robot with ProMill 8000 (12 tool ATC) CNC machine</v>
      </c>
      <c r="F3540">
        <v>502</v>
      </c>
      <c r="G3540" t="str">
        <f t="shared" si="888"/>
        <v>Y</v>
      </c>
      <c r="H3540" t="str">
        <f>"DA"</f>
        <v>DA</v>
      </c>
      <c r="I3540">
        <v>0</v>
      </c>
      <c r="J3540">
        <v>0</v>
      </c>
      <c r="K3540" t="str">
        <f t="shared" si="889"/>
        <v>Y</v>
      </c>
      <c r="L3540">
        <v>0</v>
      </c>
      <c r="M3540" t="str">
        <f t="shared" si="891"/>
        <v>NIS</v>
      </c>
      <c r="O3540">
        <v>26</v>
      </c>
      <c r="P3540" t="str">
        <f t="shared" si="890"/>
        <v>Active</v>
      </c>
      <c r="Q3540" t="str">
        <f>"Pre-Engineering, Design and Testing"</f>
        <v>Pre-Engineering, Design and Testing</v>
      </c>
      <c r="S3540" t="str">
        <f>"Pre-Engineering, Design and Testing"</f>
        <v>Pre-Engineering, Design and Testing</v>
      </c>
      <c r="T3540">
        <v>0</v>
      </c>
      <c r="U3540">
        <v>405</v>
      </c>
      <c r="V3540">
        <v>421.2</v>
      </c>
      <c r="W3540" t="str">
        <f t="shared" si="883"/>
        <v>rob</v>
      </c>
    </row>
    <row r="3541" spans="1:23">
      <c r="A3541" t="str">
        <f t="shared" ref="A3541:A3564" si="892">"MTS-MH5F-PT9000"</f>
        <v>MTS-MH5F-PT9000</v>
      </c>
      <c r="B3541" t="str">
        <f>"00-0436-0000"</f>
        <v>00-0436-0000</v>
      </c>
      <c r="C3541" t="str">
        <f>"MH5F compact high-speed 6-axis Robot"</f>
        <v>MH5F compact high-speed 6-axis Robot</v>
      </c>
      <c r="D3541">
        <v>1</v>
      </c>
      <c r="E3541" t="str">
        <f t="shared" ref="E3541:E3564" si="893">"FMS - MOTOMAN MH5F robot with ProTurn 9000 CNC machine"</f>
        <v>FMS - MOTOMAN MH5F robot with ProTurn 9000 CNC machine</v>
      </c>
      <c r="F3541">
        <v>502</v>
      </c>
      <c r="G3541" t="str">
        <f t="shared" si="888"/>
        <v>Y</v>
      </c>
      <c r="H3541" t="str">
        <f t="shared" ref="H3541:H3563" si="894">"EA"</f>
        <v>EA</v>
      </c>
      <c r="I3541">
        <v>0</v>
      </c>
      <c r="J3541">
        <v>0</v>
      </c>
      <c r="K3541" t="str">
        <f t="shared" si="889"/>
        <v>Y</v>
      </c>
      <c r="L3541">
        <v>0</v>
      </c>
      <c r="M3541" t="str">
        <f t="shared" si="891"/>
        <v>NIS</v>
      </c>
      <c r="O3541">
        <v>1</v>
      </c>
      <c r="P3541" t="str">
        <f t="shared" si="890"/>
        <v>Active</v>
      </c>
      <c r="Q3541" t="str">
        <f>"MH5F compact high-speed 6-axis Robot"</f>
        <v>MH5F compact high-speed 6-axis Robot</v>
      </c>
      <c r="S3541" t="str">
        <f>"MH5F compact high-speed 6-axis Robot"</f>
        <v>MH5F compact high-speed 6-axis Robot</v>
      </c>
      <c r="T3541">
        <v>0</v>
      </c>
      <c r="U3541" s="44">
        <v>23500</v>
      </c>
      <c r="V3541" s="44">
        <v>16049.14</v>
      </c>
      <c r="W3541" t="str">
        <f t="shared" si="883"/>
        <v>rob</v>
      </c>
    </row>
    <row r="3542" spans="1:23">
      <c r="A3542" t="str">
        <f t="shared" si="892"/>
        <v>MTS-MH5F-PT9000</v>
      </c>
      <c r="B3542" t="str">
        <f>"00-0646-0000"</f>
        <v>00-0646-0000</v>
      </c>
      <c r="C3542" t="str">
        <f>"Pneumatic Gripper with I/O Box for Motoman MH5F"</f>
        <v>Pneumatic Gripper with I/O Box for Motoman MH5F</v>
      </c>
      <c r="D3542">
        <v>1</v>
      </c>
      <c r="E3542" t="str">
        <f t="shared" si="893"/>
        <v>FMS - MOTOMAN MH5F robot with ProTurn 9000 CNC machine</v>
      </c>
      <c r="F3542">
        <v>502</v>
      </c>
      <c r="G3542" t="str">
        <f t="shared" si="888"/>
        <v>Y</v>
      </c>
      <c r="H3542" t="str">
        <f t="shared" si="894"/>
        <v>EA</v>
      </c>
      <c r="I3542">
        <v>0</v>
      </c>
      <c r="J3542">
        <v>0</v>
      </c>
      <c r="K3542" t="str">
        <f t="shared" si="889"/>
        <v>Y</v>
      </c>
      <c r="L3542">
        <v>0</v>
      </c>
      <c r="M3542" t="str">
        <f t="shared" si="891"/>
        <v>NIS</v>
      </c>
      <c r="O3542">
        <v>2</v>
      </c>
      <c r="P3542" t="str">
        <f t="shared" si="890"/>
        <v>Active</v>
      </c>
      <c r="Q3542" t="str">
        <f>"Pneumatic Gripper with I/O Box for Motoman MH5F"</f>
        <v>Pneumatic Gripper with I/O Box for Motoman MH5F</v>
      </c>
      <c r="S3542" t="str">
        <f>"Pneumatic Gripper with I/O Box for Motoman MH5F"</f>
        <v>Pneumatic Gripper with I/O Box for Motoman MH5F</v>
      </c>
      <c r="T3542">
        <v>0</v>
      </c>
      <c r="U3542" s="44">
        <v>1500</v>
      </c>
      <c r="V3542" s="44">
        <v>1238.52</v>
      </c>
      <c r="W3542" t="str">
        <f t="shared" si="883"/>
        <v>rob</v>
      </c>
    </row>
    <row r="3543" spans="1:23">
      <c r="A3543" t="str">
        <f t="shared" si="892"/>
        <v>MTS-MH5F-PT9000</v>
      </c>
      <c r="B3543" t="str">
        <f>"00-1027-0000"</f>
        <v>00-1027-0000</v>
      </c>
      <c r="C3543" t="str">
        <f>"LSB 1.8m, Belt, USB-Pro, for ind. robot &lt; 35kg)"</f>
        <v>LSB 1.8m, Belt, USB-Pro, for ind. robot &lt; 35kg)</v>
      </c>
      <c r="D3543">
        <v>1</v>
      </c>
      <c r="E3543" t="str">
        <f t="shared" si="893"/>
        <v>FMS - MOTOMAN MH5F robot with ProTurn 9000 CNC machine</v>
      </c>
      <c r="F3543">
        <v>502</v>
      </c>
      <c r="G3543" t="str">
        <f t="shared" si="888"/>
        <v>Y</v>
      </c>
      <c r="H3543" t="str">
        <f t="shared" si="894"/>
        <v>EA</v>
      </c>
      <c r="I3543">
        <v>0</v>
      </c>
      <c r="J3543">
        <v>0</v>
      </c>
      <c r="K3543" t="str">
        <f t="shared" si="889"/>
        <v>Y</v>
      </c>
      <c r="L3543">
        <v>0</v>
      </c>
      <c r="M3543" t="str">
        <f t="shared" si="891"/>
        <v>NIS</v>
      </c>
      <c r="O3543">
        <v>3</v>
      </c>
      <c r="P3543" t="str">
        <f t="shared" si="890"/>
        <v>Active</v>
      </c>
      <c r="Q3543" t="str">
        <f>"LSB 1.8m incl. USB-Pro(Industr. robot max. 50kg)"</f>
        <v>LSB 1.8m incl. USB-Pro(Industr. robot max. 50kg)</v>
      </c>
      <c r="S3543" t="str">
        <f>"LSB 1.8m, Belt, USB-Pro, for ind. robot &lt; 35kg"</f>
        <v>LSB 1.8m, Belt, USB-Pro, for ind. robot &lt; 35kg</v>
      </c>
      <c r="T3543">
        <v>0</v>
      </c>
      <c r="U3543" s="44">
        <v>5000</v>
      </c>
      <c r="V3543" s="44">
        <v>4687.0200000000004</v>
      </c>
      <c r="W3543" t="str">
        <f t="shared" si="883"/>
        <v>rob</v>
      </c>
    </row>
    <row r="3544" spans="1:23">
      <c r="A3544" t="str">
        <f t="shared" si="892"/>
        <v>MTS-MH5F-PT9000</v>
      </c>
      <c r="B3544" t="str">
        <f>"00-1110-0000"</f>
        <v>00-1110-0000</v>
      </c>
      <c r="C3544" t="str">
        <f>"Palletizing Rack"</f>
        <v>Palletizing Rack</v>
      </c>
      <c r="D3544">
        <v>1</v>
      </c>
      <c r="E3544" t="str">
        <f t="shared" si="893"/>
        <v>FMS - MOTOMAN MH5F robot with ProTurn 9000 CNC machine</v>
      </c>
      <c r="F3544">
        <v>502</v>
      </c>
      <c r="G3544" t="str">
        <f t="shared" si="888"/>
        <v>Y</v>
      </c>
      <c r="H3544" t="str">
        <f t="shared" si="894"/>
        <v>EA</v>
      </c>
      <c r="I3544">
        <v>0</v>
      </c>
      <c r="J3544">
        <v>0</v>
      </c>
      <c r="K3544" t="str">
        <f t="shared" si="889"/>
        <v>Y</v>
      </c>
      <c r="L3544">
        <v>0</v>
      </c>
      <c r="M3544" t="str">
        <f t="shared" si="891"/>
        <v>NIS</v>
      </c>
      <c r="O3544">
        <v>4</v>
      </c>
      <c r="P3544" t="str">
        <f t="shared" si="890"/>
        <v>Active</v>
      </c>
      <c r="Q3544" t="str">
        <f>"Palletizing Rack (incl. Pins for creating Jigs)"</f>
        <v>Palletizing Rack (incl. Pins for creating Jigs)</v>
      </c>
      <c r="S3544" t="str">
        <f>"Palletizing Rack (incl. Pins for creating Jigs)"</f>
        <v>Palletizing Rack (incl. Pins for creating Jigs)</v>
      </c>
      <c r="T3544">
        <v>0</v>
      </c>
      <c r="U3544">
        <v>63</v>
      </c>
      <c r="V3544">
        <v>58.59</v>
      </c>
      <c r="W3544" t="str">
        <f t="shared" si="883"/>
        <v>rob</v>
      </c>
    </row>
    <row r="3545" spans="1:23">
      <c r="A3545" t="str">
        <f t="shared" si="892"/>
        <v>MTS-MH5F-PT9000</v>
      </c>
      <c r="B3545" t="str">
        <f>"10-1007-4000"</f>
        <v>10-1007-4000</v>
      </c>
      <c r="C3545" t="str">
        <f>"Gravity Parts Feeder (with microswitch sensor)"</f>
        <v>Gravity Parts Feeder (with microswitch sensor)</v>
      </c>
      <c r="D3545">
        <v>1</v>
      </c>
      <c r="E3545" t="str">
        <f t="shared" si="893"/>
        <v>FMS - MOTOMAN MH5F robot with ProTurn 9000 CNC machine</v>
      </c>
      <c r="F3545">
        <v>502</v>
      </c>
      <c r="G3545" t="str">
        <f t="shared" si="888"/>
        <v>Y</v>
      </c>
      <c r="H3545" t="str">
        <f t="shared" si="894"/>
        <v>EA</v>
      </c>
      <c r="I3545">
        <v>0</v>
      </c>
      <c r="J3545">
        <v>0</v>
      </c>
      <c r="K3545" t="str">
        <f t="shared" si="889"/>
        <v>Y</v>
      </c>
      <c r="L3545">
        <v>0</v>
      </c>
      <c r="M3545" t="str">
        <f t="shared" si="891"/>
        <v>NIS</v>
      </c>
      <c r="O3545">
        <v>5</v>
      </c>
      <c r="P3545" t="str">
        <f t="shared" si="890"/>
        <v>Active</v>
      </c>
      <c r="Q3545" t="str">
        <f>"Gravity Parts Feeder (incl.microswitch sensor)"</f>
        <v>Gravity Parts Feeder (incl.microswitch sensor)</v>
      </c>
      <c r="S3545" t="str">
        <f>"Gravity Parts Feeder (incl.microswitch sensor)"</f>
        <v>Gravity Parts Feeder (incl.microswitch sensor)</v>
      </c>
      <c r="T3545">
        <v>0</v>
      </c>
      <c r="U3545">
        <v>148</v>
      </c>
      <c r="V3545">
        <v>148.26</v>
      </c>
      <c r="W3545" t="str">
        <f t="shared" si="883"/>
        <v>rob</v>
      </c>
    </row>
    <row r="3546" spans="1:23">
      <c r="A3546" t="str">
        <f t="shared" si="892"/>
        <v>MTS-MH5F-PT9000</v>
      </c>
      <c r="B3546" t="str">
        <f>"021152"</f>
        <v>021152</v>
      </c>
      <c r="C3546" t="str">
        <f>"Shelf Buffer for CIM conveyor"</f>
        <v>Shelf Buffer for CIM conveyor</v>
      </c>
      <c r="D3546">
        <v>1</v>
      </c>
      <c r="E3546" t="str">
        <f t="shared" si="893"/>
        <v>FMS - MOTOMAN MH5F robot with ProTurn 9000 CNC machine</v>
      </c>
      <c r="F3546">
        <v>502</v>
      </c>
      <c r="G3546" t="str">
        <f t="shared" si="888"/>
        <v>Y</v>
      </c>
      <c r="H3546" t="str">
        <f t="shared" si="894"/>
        <v>EA</v>
      </c>
      <c r="I3546">
        <v>0</v>
      </c>
      <c r="J3546">
        <v>0</v>
      </c>
      <c r="K3546" t="str">
        <f t="shared" si="889"/>
        <v>Y</v>
      </c>
      <c r="L3546">
        <v>0</v>
      </c>
      <c r="M3546" t="str">
        <f t="shared" si="891"/>
        <v>NIS</v>
      </c>
      <c r="O3546">
        <v>24</v>
      </c>
      <c r="P3546" t="str">
        <f t="shared" si="890"/>
        <v>Active</v>
      </c>
      <c r="Q3546" t="str">
        <f>"מכלול- מדף בפר סטנדרטי OPEN-CIM"</f>
        <v>מכלול- מדף בפר סטנדרטי OPEN-CIM</v>
      </c>
      <c r="R3546" t="str">
        <f>"1"</f>
        <v>1</v>
      </c>
      <c r="S3546" t="str">
        <f>"מכלול- מדף בפר סטנדרטי OPEN-CIM"</f>
        <v>מכלול- מדף בפר סטנדרטי OPEN-CIM</v>
      </c>
      <c r="T3546">
        <v>0</v>
      </c>
      <c r="U3546">
        <v>83.12</v>
      </c>
      <c r="V3546">
        <v>92.76</v>
      </c>
      <c r="W3546" t="str">
        <f t="shared" si="883"/>
        <v>rob</v>
      </c>
    </row>
    <row r="3547" spans="1:23">
      <c r="A3547" t="str">
        <f t="shared" si="892"/>
        <v>MTS-MH5F-PT9000</v>
      </c>
      <c r="B3547" t="str">
        <f>"10-2120-3000"</f>
        <v>10-2120-3000</v>
      </c>
      <c r="C3547" t="str">
        <f>"CNC Interface with ProTurn 9000"</f>
        <v>CNC Interface with ProTurn 9000</v>
      </c>
      <c r="D3547">
        <v>1</v>
      </c>
      <c r="E3547" t="str">
        <f t="shared" si="893"/>
        <v>FMS - MOTOMAN MH5F robot with ProTurn 9000 CNC machine</v>
      </c>
      <c r="F3547">
        <v>502</v>
      </c>
      <c r="G3547" t="str">
        <f t="shared" si="888"/>
        <v>Y</v>
      </c>
      <c r="H3547" t="str">
        <f t="shared" si="894"/>
        <v>EA</v>
      </c>
      <c r="I3547">
        <v>0</v>
      </c>
      <c r="J3547">
        <v>0</v>
      </c>
      <c r="K3547" t="str">
        <f t="shared" si="889"/>
        <v>Y</v>
      </c>
      <c r="L3547">
        <v>0</v>
      </c>
      <c r="M3547" t="str">
        <f t="shared" si="891"/>
        <v>NIS</v>
      </c>
      <c r="O3547">
        <v>6</v>
      </c>
      <c r="P3547" t="str">
        <f t="shared" si="890"/>
        <v>Active</v>
      </c>
      <c r="Q3547" t="str">
        <f>"CNC Interface with ProTurn 9000"</f>
        <v>CNC Interface with ProTurn 9000</v>
      </c>
      <c r="S3547" t="str">
        <f>"CNC Interface with ProTurn 9000"</f>
        <v>CNC Interface with ProTurn 9000</v>
      </c>
      <c r="T3547">
        <v>0</v>
      </c>
      <c r="U3547">
        <v>18</v>
      </c>
      <c r="V3547">
        <v>17.690000000000001</v>
      </c>
      <c r="W3547" t="str">
        <f t="shared" si="883"/>
        <v>rob</v>
      </c>
    </row>
    <row r="3548" spans="1:23">
      <c r="A3548" t="str">
        <f t="shared" si="892"/>
        <v>MTS-MH5F-PT9000</v>
      </c>
      <c r="B3548" t="str">
        <f>"00-5501-0220"</f>
        <v>00-5501-0220</v>
      </c>
      <c r="C3548" t="str">
        <f>"CNC ProTurn 9000 AC 220V"</f>
        <v>CNC ProTurn 9000 AC 220V</v>
      </c>
      <c r="D3548">
        <v>1</v>
      </c>
      <c r="E3548" t="str">
        <f t="shared" si="893"/>
        <v>FMS - MOTOMAN MH5F robot with ProTurn 9000 CNC machine</v>
      </c>
      <c r="F3548">
        <v>502</v>
      </c>
      <c r="G3548" t="str">
        <f t="shared" si="888"/>
        <v>Y</v>
      </c>
      <c r="H3548" t="str">
        <f t="shared" si="894"/>
        <v>EA</v>
      </c>
      <c r="I3548">
        <v>0</v>
      </c>
      <c r="J3548">
        <v>0</v>
      </c>
      <c r="K3548" t="str">
        <f t="shared" si="889"/>
        <v>Y</v>
      </c>
      <c r="L3548">
        <v>0</v>
      </c>
      <c r="M3548" t="str">
        <f t="shared" si="891"/>
        <v>NIS</v>
      </c>
      <c r="O3548">
        <v>7</v>
      </c>
      <c r="P3548" t="str">
        <f t="shared" si="890"/>
        <v>Active</v>
      </c>
      <c r="Q3548" t="str">
        <f>"CNC ProTurn 9000 AC 220V"</f>
        <v>CNC ProTurn 9000 AC 220V</v>
      </c>
      <c r="S3548" t="str">
        <f>"CNC ProTurn 9000 AC 220V"</f>
        <v>CNC ProTurn 9000 AC 220V</v>
      </c>
      <c r="T3548">
        <v>0</v>
      </c>
      <c r="U3548" s="44">
        <v>6204.98</v>
      </c>
      <c r="V3548" s="44">
        <v>6570.68</v>
      </c>
      <c r="W3548" t="str">
        <f t="shared" si="883"/>
        <v>rob</v>
      </c>
    </row>
    <row r="3549" spans="1:23">
      <c r="A3549" t="str">
        <f t="shared" si="892"/>
        <v>MTS-MH5F-PT9000</v>
      </c>
      <c r="B3549" t="str">
        <f>"10-1110-6000"</f>
        <v>10-1110-6000</v>
      </c>
      <c r="C3549" t="str">
        <f>"-- Pneumatic Shield (ProTurn 9000 for FMS)"</f>
        <v>-- Pneumatic Shield (ProTurn 9000 for FMS)</v>
      </c>
      <c r="D3549">
        <v>1</v>
      </c>
      <c r="E3549" t="str">
        <f t="shared" si="893"/>
        <v>FMS - MOTOMAN MH5F robot with ProTurn 9000 CNC machine</v>
      </c>
      <c r="F3549">
        <v>502</v>
      </c>
      <c r="G3549" t="str">
        <f t="shared" si="888"/>
        <v>Y</v>
      </c>
      <c r="H3549" t="str">
        <f t="shared" si="894"/>
        <v>EA</v>
      </c>
      <c r="I3549">
        <v>0</v>
      </c>
      <c r="J3549">
        <v>0</v>
      </c>
      <c r="K3549" t="str">
        <f t="shared" si="889"/>
        <v>Y</v>
      </c>
      <c r="L3549">
        <v>0</v>
      </c>
      <c r="M3549" t="str">
        <f t="shared" si="891"/>
        <v>NIS</v>
      </c>
      <c r="O3549">
        <v>8</v>
      </c>
      <c r="P3549" t="str">
        <f t="shared" si="890"/>
        <v>Active</v>
      </c>
      <c r="Q3549" t="str">
        <f>"Pneumatic Shield with Sensors (ProTurn 9000)"</f>
        <v>Pneumatic Shield with Sensors (ProTurn 9000)</v>
      </c>
      <c r="S3549" t="str">
        <f>"Pneumatic Shield with Sensors (ProTurn 9000)"</f>
        <v>Pneumatic Shield with Sensors (ProTurn 9000)</v>
      </c>
      <c r="T3549">
        <v>0</v>
      </c>
      <c r="U3549">
        <v>425</v>
      </c>
      <c r="V3549">
        <v>423.6</v>
      </c>
      <c r="W3549" t="str">
        <f t="shared" si="883"/>
        <v>rob</v>
      </c>
    </row>
    <row r="3550" spans="1:23">
      <c r="A3550" t="str">
        <f t="shared" si="892"/>
        <v>MTS-MH5F-PT9000</v>
      </c>
      <c r="B3550" t="str">
        <f>"10-1111-0000"</f>
        <v>10-1111-0000</v>
      </c>
      <c r="C3550" t="str">
        <f>"-- Pneumatic Chuck (ProTurn 9000 for FMS)"</f>
        <v>-- Pneumatic Chuck (ProTurn 9000 for FMS)</v>
      </c>
      <c r="D3550">
        <v>1</v>
      </c>
      <c r="E3550" t="str">
        <f t="shared" si="893"/>
        <v>FMS - MOTOMAN MH5F robot with ProTurn 9000 CNC machine</v>
      </c>
      <c r="F3550">
        <v>502</v>
      </c>
      <c r="G3550" t="str">
        <f t="shared" si="888"/>
        <v>Y</v>
      </c>
      <c r="H3550" t="str">
        <f t="shared" si="894"/>
        <v>EA</v>
      </c>
      <c r="I3550">
        <v>0</v>
      </c>
      <c r="J3550">
        <v>0</v>
      </c>
      <c r="K3550" t="str">
        <f t="shared" si="889"/>
        <v>Y</v>
      </c>
      <c r="L3550">
        <v>0</v>
      </c>
      <c r="M3550" t="str">
        <f t="shared" si="891"/>
        <v>NIS</v>
      </c>
      <c r="O3550">
        <v>9</v>
      </c>
      <c r="P3550" t="str">
        <f t="shared" si="890"/>
        <v>Active</v>
      </c>
      <c r="Q3550" t="str">
        <f>"Pneumatic Chuck (ProTurn 9000)"</f>
        <v>Pneumatic Chuck (ProTurn 9000)</v>
      </c>
      <c r="S3550" t="str">
        <f>"Pneumatic Chuck (ProTurn 9000)"</f>
        <v>Pneumatic Chuck (ProTurn 9000)</v>
      </c>
      <c r="T3550">
        <v>0</v>
      </c>
      <c r="U3550">
        <v>660</v>
      </c>
      <c r="V3550">
        <v>656.57</v>
      </c>
      <c r="W3550" t="str">
        <f t="shared" si="883"/>
        <v>rob</v>
      </c>
    </row>
    <row r="3551" spans="1:23">
      <c r="A3551" t="str">
        <f t="shared" si="892"/>
        <v>MTS-MH5F-PT9000</v>
      </c>
      <c r="B3551" t="str">
        <f>"10-1105-9000"</f>
        <v>10-1105-9000</v>
      </c>
      <c r="C3551" t="str">
        <f>"- 125mm 4 independent jaw chuck"</f>
        <v>- 125mm 4 independent jaw chuck</v>
      </c>
      <c r="D3551">
        <v>1</v>
      </c>
      <c r="E3551" t="str">
        <f t="shared" si="893"/>
        <v>FMS - MOTOMAN MH5F robot with ProTurn 9000 CNC machine</v>
      </c>
      <c r="F3551">
        <v>502</v>
      </c>
      <c r="G3551" t="str">
        <f t="shared" si="888"/>
        <v>Y</v>
      </c>
      <c r="H3551" t="str">
        <f t="shared" si="894"/>
        <v>EA</v>
      </c>
      <c r="I3551">
        <v>0</v>
      </c>
      <c r="J3551">
        <v>0</v>
      </c>
      <c r="K3551" t="str">
        <f t="shared" si="889"/>
        <v>Y</v>
      </c>
      <c r="L3551">
        <v>0</v>
      </c>
      <c r="M3551" t="str">
        <f t="shared" si="891"/>
        <v>NIS</v>
      </c>
      <c r="N3551" t="str">
        <f>"Y"</f>
        <v>Y</v>
      </c>
      <c r="O3551">
        <v>10</v>
      </c>
      <c r="P3551" t="str">
        <f t="shared" si="890"/>
        <v>Active</v>
      </c>
      <c r="Q3551" t="str">
        <f>"125mm 4-jaw chuck (independent) with flange"</f>
        <v>125mm 4-jaw chuck (independent) with flange</v>
      </c>
      <c r="S3551" t="str">
        <f>"125mm 4-jaw chuck (independent) with flange"</f>
        <v>125mm 4-jaw chuck (independent) with flange</v>
      </c>
      <c r="T3551">
        <v>0</v>
      </c>
      <c r="U3551">
        <v>70.25</v>
      </c>
      <c r="V3551">
        <v>76.2</v>
      </c>
      <c r="W3551" t="str">
        <f t="shared" si="883"/>
        <v>rob</v>
      </c>
    </row>
    <row r="3552" spans="1:23">
      <c r="A3552" t="str">
        <f t="shared" si="892"/>
        <v>MTS-MH5F-PT9000</v>
      </c>
      <c r="B3552" t="str">
        <f>"10-1106-0000"</f>
        <v>10-1106-0000</v>
      </c>
      <c r="C3552" t="str">
        <f>"- 11pcs Cutter set 10 x 10mmt"</f>
        <v>- 11pcs Cutter set 10 x 10mmt</v>
      </c>
      <c r="D3552">
        <v>1</v>
      </c>
      <c r="E3552" t="str">
        <f t="shared" si="893"/>
        <v>FMS - MOTOMAN MH5F robot with ProTurn 9000 CNC machine</v>
      </c>
      <c r="F3552">
        <v>502</v>
      </c>
      <c r="G3552" t="str">
        <f t="shared" si="888"/>
        <v>Y</v>
      </c>
      <c r="H3552" t="str">
        <f t="shared" si="894"/>
        <v>EA</v>
      </c>
      <c r="I3552">
        <v>0</v>
      </c>
      <c r="J3552">
        <v>0</v>
      </c>
      <c r="K3552" t="str">
        <f t="shared" si="889"/>
        <v>Y</v>
      </c>
      <c r="L3552">
        <v>0</v>
      </c>
      <c r="M3552" t="str">
        <f t="shared" si="891"/>
        <v>NIS</v>
      </c>
      <c r="N3552" t="str">
        <f>"Y"</f>
        <v>Y</v>
      </c>
      <c r="O3552">
        <v>11</v>
      </c>
      <c r="P3552" t="str">
        <f t="shared" si="890"/>
        <v>Active</v>
      </c>
      <c r="Q3552" t="str">
        <f>"10 x 10mm cutter 11pcs set"</f>
        <v>10 x 10mm cutter 11pcs set</v>
      </c>
      <c r="S3552" t="str">
        <f>"10 x 10mm cutter 11pcs set"</f>
        <v>10 x 10mm cutter 11pcs set</v>
      </c>
      <c r="T3552">
        <v>0</v>
      </c>
      <c r="U3552">
        <v>36.29</v>
      </c>
      <c r="V3552">
        <v>42.51</v>
      </c>
      <c r="W3552" t="str">
        <f t="shared" si="883"/>
        <v>rob</v>
      </c>
    </row>
    <row r="3553" spans="1:23">
      <c r="A3553" t="str">
        <f t="shared" si="892"/>
        <v>MTS-MH5F-PT9000</v>
      </c>
      <c r="B3553" t="str">
        <f>"10-1110-1000"</f>
        <v>10-1110-1000</v>
      </c>
      <c r="C3553" t="str">
        <f>"10 x 10mm cutter tool holder"</f>
        <v>10 x 10mm cutter tool holder</v>
      </c>
      <c r="D3553">
        <v>1</v>
      </c>
      <c r="E3553" t="str">
        <f t="shared" si="893"/>
        <v>FMS - MOTOMAN MH5F robot with ProTurn 9000 CNC machine</v>
      </c>
      <c r="F3553">
        <v>502</v>
      </c>
      <c r="G3553" t="str">
        <f t="shared" si="888"/>
        <v>Y</v>
      </c>
      <c r="H3553" t="str">
        <f t="shared" si="894"/>
        <v>EA</v>
      </c>
      <c r="I3553">
        <v>0</v>
      </c>
      <c r="J3553">
        <v>0</v>
      </c>
      <c r="K3553" t="str">
        <f t="shared" si="889"/>
        <v>Y</v>
      </c>
      <c r="L3553">
        <v>0</v>
      </c>
      <c r="M3553" t="str">
        <f t="shared" si="891"/>
        <v>NIS</v>
      </c>
      <c r="O3553">
        <v>12</v>
      </c>
      <c r="P3553" t="str">
        <f t="shared" si="890"/>
        <v>Active</v>
      </c>
      <c r="Q3553" t="str">
        <f>"10x10mm TiN coated cutter set (replaceable tip)"</f>
        <v>10x10mm TiN coated cutter set (replaceable tip)</v>
      </c>
      <c r="S3553" t="str">
        <f>"10x10mm TiN coated cutter set (replaceable tip)"</f>
        <v>10x10mm TiN coated cutter set (replaceable tip)</v>
      </c>
      <c r="T3553">
        <v>0</v>
      </c>
      <c r="U3553">
        <v>65</v>
      </c>
      <c r="V3553">
        <v>65.540000000000006</v>
      </c>
      <c r="W3553" t="str">
        <f t="shared" si="883"/>
        <v>rob</v>
      </c>
    </row>
    <row r="3554" spans="1:23">
      <c r="A3554" t="str">
        <f t="shared" si="892"/>
        <v>MTS-MH5F-PT9000</v>
      </c>
      <c r="B3554" t="str">
        <f>"10-1110-2000"</f>
        <v>10-1110-2000</v>
      </c>
      <c r="C3554" t="str">
        <f>"TiN coated tip for 011101"</f>
        <v>TiN coated tip for 011101</v>
      </c>
      <c r="D3554">
        <v>1</v>
      </c>
      <c r="E3554" t="str">
        <f t="shared" si="893"/>
        <v>FMS - MOTOMAN MH5F robot with ProTurn 9000 CNC machine</v>
      </c>
      <c r="F3554">
        <v>502</v>
      </c>
      <c r="G3554" t="str">
        <f t="shared" si="888"/>
        <v>Y</v>
      </c>
      <c r="H3554" t="str">
        <f t="shared" si="894"/>
        <v>EA</v>
      </c>
      <c r="I3554">
        <v>0</v>
      </c>
      <c r="J3554">
        <v>0</v>
      </c>
      <c r="K3554" t="str">
        <f t="shared" si="889"/>
        <v>Y</v>
      </c>
      <c r="L3554">
        <v>0</v>
      </c>
      <c r="M3554" t="str">
        <f t="shared" si="891"/>
        <v>NIS</v>
      </c>
      <c r="O3554">
        <v>13</v>
      </c>
      <c r="P3554" t="str">
        <f t="shared" si="890"/>
        <v>Active</v>
      </c>
      <c r="Q3554" t="str">
        <f>"TiN coated tip for 011102"</f>
        <v>TiN coated tip for 011102</v>
      </c>
      <c r="S3554" t="str">
        <f>"TiN coated tip for 011101"</f>
        <v>TiN coated tip for 011101</v>
      </c>
      <c r="T3554">
        <v>0</v>
      </c>
      <c r="U3554">
        <v>42</v>
      </c>
      <c r="V3554">
        <v>41.71</v>
      </c>
      <c r="W3554" t="str">
        <f t="shared" ref="W3554:W3617" si="895">"rob"</f>
        <v>rob</v>
      </c>
    </row>
    <row r="3555" spans="1:23">
      <c r="A3555" t="str">
        <f t="shared" si="892"/>
        <v>MTS-MH5F-PT9000</v>
      </c>
      <c r="B3555" t="str">
        <f>"10-1106-6000"</f>
        <v>10-1106-6000</v>
      </c>
      <c r="C3555" t="str">
        <f>"- Rolling center"</f>
        <v>- Rolling center</v>
      </c>
      <c r="D3555">
        <v>1</v>
      </c>
      <c r="E3555" t="str">
        <f t="shared" si="893"/>
        <v>FMS - MOTOMAN MH5F robot with ProTurn 9000 CNC machine</v>
      </c>
      <c r="F3555">
        <v>502</v>
      </c>
      <c r="G3555" t="str">
        <f t="shared" si="888"/>
        <v>Y</v>
      </c>
      <c r="H3555" t="str">
        <f t="shared" si="894"/>
        <v>EA</v>
      </c>
      <c r="I3555">
        <v>0</v>
      </c>
      <c r="J3555">
        <v>0</v>
      </c>
      <c r="K3555" t="str">
        <f t="shared" si="889"/>
        <v>Y</v>
      </c>
      <c r="L3555">
        <v>0</v>
      </c>
      <c r="M3555" t="str">
        <f t="shared" si="891"/>
        <v>NIS</v>
      </c>
      <c r="O3555">
        <v>14</v>
      </c>
      <c r="P3555" t="str">
        <f t="shared" si="890"/>
        <v>Active</v>
      </c>
      <c r="Q3555" t="str">
        <f>"Rolling center"</f>
        <v>Rolling center</v>
      </c>
      <c r="S3555" t="str">
        <f>"Rolling center"</f>
        <v>Rolling center</v>
      </c>
      <c r="T3555">
        <v>0</v>
      </c>
      <c r="U3555">
        <v>23.42</v>
      </c>
      <c r="V3555">
        <v>23.55</v>
      </c>
      <c r="W3555" t="str">
        <f t="shared" si="895"/>
        <v>rob</v>
      </c>
    </row>
    <row r="3556" spans="1:23">
      <c r="A3556" t="str">
        <f t="shared" si="892"/>
        <v>MTS-MH5F-PT9000</v>
      </c>
      <c r="B3556" t="str">
        <f>"10-1105-7000"</f>
        <v>10-1105-7000</v>
      </c>
      <c r="C3556" t="str">
        <f>"Drill Chuck for Tailstock"</f>
        <v>Drill Chuck for Tailstock</v>
      </c>
      <c r="D3556">
        <v>1</v>
      </c>
      <c r="E3556" t="str">
        <f t="shared" si="893"/>
        <v>FMS - MOTOMAN MH5F robot with ProTurn 9000 CNC machine</v>
      </c>
      <c r="F3556">
        <v>502</v>
      </c>
      <c r="G3556" t="str">
        <f t="shared" si="888"/>
        <v>Y</v>
      </c>
      <c r="H3556" t="str">
        <f t="shared" si="894"/>
        <v>EA</v>
      </c>
      <c r="I3556">
        <v>0</v>
      </c>
      <c r="J3556">
        <v>0</v>
      </c>
      <c r="K3556" t="str">
        <f t="shared" si="889"/>
        <v>Y</v>
      </c>
      <c r="L3556">
        <v>0</v>
      </c>
      <c r="M3556" t="str">
        <f t="shared" si="891"/>
        <v>NIS</v>
      </c>
      <c r="O3556">
        <v>15</v>
      </c>
      <c r="P3556" t="str">
        <f t="shared" si="890"/>
        <v>Active</v>
      </c>
      <c r="Q3556" t="str">
        <f>"Tailstock extender MT2 13mm tailstock chuck"</f>
        <v>Tailstock extender MT2 13mm tailstock chuck</v>
      </c>
      <c r="S3556" t="str">
        <f>"Drill Chuck for Tailstock MT2 13mm"</f>
        <v>Drill Chuck for Tailstock MT2 13mm</v>
      </c>
      <c r="T3556">
        <v>0</v>
      </c>
      <c r="U3556">
        <v>21.07</v>
      </c>
      <c r="V3556">
        <v>23.52</v>
      </c>
      <c r="W3556" t="str">
        <f t="shared" si="895"/>
        <v>rob</v>
      </c>
    </row>
    <row r="3557" spans="1:23">
      <c r="A3557" t="str">
        <f t="shared" si="892"/>
        <v>MTS-MH5F-PT9000</v>
      </c>
      <c r="B3557" t="str">
        <f>"10-1108-1220"</f>
        <v>10-1108-1220</v>
      </c>
      <c r="C3557" t="str">
        <f>"- Coolant system 27L -220V"</f>
        <v>- Coolant system 27L -220V</v>
      </c>
      <c r="D3557">
        <v>1</v>
      </c>
      <c r="E3557" t="str">
        <f t="shared" si="893"/>
        <v>FMS - MOTOMAN MH5F robot with ProTurn 9000 CNC machine</v>
      </c>
      <c r="F3557">
        <v>502</v>
      </c>
      <c r="G3557" t="str">
        <f t="shared" si="888"/>
        <v>Y</v>
      </c>
      <c r="H3557" t="str">
        <f t="shared" si="894"/>
        <v>EA</v>
      </c>
      <c r="I3557">
        <v>0</v>
      </c>
      <c r="J3557">
        <v>0</v>
      </c>
      <c r="K3557" t="str">
        <f t="shared" si="889"/>
        <v>Y</v>
      </c>
      <c r="L3557">
        <v>0</v>
      </c>
      <c r="M3557" t="str">
        <f t="shared" si="891"/>
        <v>NIS</v>
      </c>
      <c r="N3557" t="str">
        <f>"Y"</f>
        <v>Y</v>
      </c>
      <c r="O3557">
        <v>16</v>
      </c>
      <c r="P3557" t="str">
        <f t="shared" si="890"/>
        <v>Active</v>
      </c>
      <c r="Q3557" t="str">
        <f>"Coolant system 27L"</f>
        <v>Coolant system 27L</v>
      </c>
      <c r="S3557" t="str">
        <f>"Coolant system 27L - 220V"</f>
        <v>Coolant system 27L - 220V</v>
      </c>
      <c r="T3557">
        <v>0</v>
      </c>
      <c r="U3557">
        <v>117.08</v>
      </c>
      <c r="V3557">
        <v>117.15</v>
      </c>
      <c r="W3557" t="str">
        <f t="shared" si="895"/>
        <v>rob</v>
      </c>
    </row>
    <row r="3558" spans="1:23">
      <c r="A3558" t="str">
        <f t="shared" si="892"/>
        <v>MTS-MH5F-PT9000</v>
      </c>
      <c r="B3558" t="str">
        <f>"10-1111-1000"</f>
        <v>10-1111-1000</v>
      </c>
      <c r="C3558" t="str">
        <f>"- Handwheel - Manual Control"</f>
        <v>- Handwheel - Manual Control</v>
      </c>
      <c r="D3558">
        <v>1</v>
      </c>
      <c r="E3558" t="str">
        <f t="shared" si="893"/>
        <v>FMS - MOTOMAN MH5F robot with ProTurn 9000 CNC machine</v>
      </c>
      <c r="F3558">
        <v>502</v>
      </c>
      <c r="G3558" t="str">
        <f t="shared" si="888"/>
        <v>Y</v>
      </c>
      <c r="H3558" t="str">
        <f t="shared" si="894"/>
        <v>EA</v>
      </c>
      <c r="I3558">
        <v>0</v>
      </c>
      <c r="J3558">
        <v>0</v>
      </c>
      <c r="K3558" t="str">
        <f t="shared" si="889"/>
        <v>Y</v>
      </c>
      <c r="L3558">
        <v>0</v>
      </c>
      <c r="M3558" t="str">
        <f t="shared" si="891"/>
        <v>NIS</v>
      </c>
      <c r="O3558">
        <v>17</v>
      </c>
      <c r="P3558" t="str">
        <f t="shared" si="890"/>
        <v>Active</v>
      </c>
      <c r="Q3558" t="str">
        <f>"Hand wheel"</f>
        <v>Hand wheel</v>
      </c>
      <c r="S3558" t="str">
        <f>"Jog Pendant Handwheel"</f>
        <v>Jog Pendant Handwheel</v>
      </c>
      <c r="T3558">
        <v>0</v>
      </c>
      <c r="U3558">
        <v>235</v>
      </c>
      <c r="V3558">
        <v>235.03</v>
      </c>
      <c r="W3558" t="str">
        <f t="shared" si="895"/>
        <v>rob</v>
      </c>
    </row>
    <row r="3559" spans="1:23">
      <c r="A3559" t="str">
        <f t="shared" si="892"/>
        <v>MTS-MH5F-PT9000</v>
      </c>
      <c r="B3559" t="str">
        <f>"10-1105-5000"</f>
        <v>10-1105-5000</v>
      </c>
      <c r="C3559" t="str">
        <f>"Computer and monitor attachment"</f>
        <v>Computer and monitor attachment</v>
      </c>
      <c r="D3559">
        <v>1</v>
      </c>
      <c r="E3559" t="str">
        <f t="shared" si="893"/>
        <v>FMS - MOTOMAN MH5F robot with ProTurn 9000 CNC machine</v>
      </c>
      <c r="F3559">
        <v>502</v>
      </c>
      <c r="G3559" t="str">
        <f t="shared" si="888"/>
        <v>Y</v>
      </c>
      <c r="H3559" t="str">
        <f t="shared" si="894"/>
        <v>EA</v>
      </c>
      <c r="I3559">
        <v>0</v>
      </c>
      <c r="J3559">
        <v>0</v>
      </c>
      <c r="K3559" t="str">
        <f t="shared" si="889"/>
        <v>Y</v>
      </c>
      <c r="L3559">
        <v>0</v>
      </c>
      <c r="M3559" t="str">
        <f t="shared" si="891"/>
        <v>NIS</v>
      </c>
      <c r="O3559">
        <v>18</v>
      </c>
      <c r="P3559" t="str">
        <f t="shared" si="890"/>
        <v>Active</v>
      </c>
      <c r="Q3559" t="str">
        <f>"Computer and monitor stand (attached to machine)"</f>
        <v>Computer and monitor stand (attached to machine)</v>
      </c>
      <c r="S3559" t="str">
        <f>"Computer and monitor stand (attached to machine)"</f>
        <v>Computer and monitor stand (attached to machine)</v>
      </c>
      <c r="T3559">
        <v>0</v>
      </c>
      <c r="U3559">
        <v>105.36</v>
      </c>
      <c r="V3559">
        <v>103.02</v>
      </c>
      <c r="W3559" t="str">
        <f t="shared" si="895"/>
        <v>rob</v>
      </c>
    </row>
    <row r="3560" spans="1:23">
      <c r="A3560" t="str">
        <f t="shared" si="892"/>
        <v>MTS-MH5F-PT9000</v>
      </c>
      <c r="B3560" t="str">
        <f>"63-9001-1000"</f>
        <v>63-9001-1000</v>
      </c>
      <c r="C3560" t="str">
        <f>"-CNCMotion for ProTurn 9000"</f>
        <v>-CNCMotion for ProTurn 9000</v>
      </c>
      <c r="D3560">
        <v>1</v>
      </c>
      <c r="E3560" t="str">
        <f t="shared" si="893"/>
        <v>FMS - MOTOMAN MH5F robot with ProTurn 9000 CNC machine</v>
      </c>
      <c r="F3560">
        <v>502</v>
      </c>
      <c r="G3560" t="str">
        <f t="shared" si="888"/>
        <v>Y</v>
      </c>
      <c r="H3560" t="str">
        <f t="shared" si="894"/>
        <v>EA</v>
      </c>
      <c r="I3560">
        <v>0</v>
      </c>
      <c r="J3560">
        <v>0</v>
      </c>
      <c r="K3560" t="str">
        <f t="shared" si="889"/>
        <v>Y</v>
      </c>
      <c r="L3560">
        <v>0</v>
      </c>
      <c r="M3560" t="str">
        <f t="shared" si="891"/>
        <v>NIS</v>
      </c>
      <c r="O3560">
        <v>19</v>
      </c>
      <c r="P3560" t="str">
        <f t="shared" si="890"/>
        <v>Active</v>
      </c>
      <c r="Q3560" t="str">
        <f>"CNCMotion Sim. Sftwr, ProTurn 9000"</f>
        <v>CNCMotion Sim. Sftwr, ProTurn 9000</v>
      </c>
      <c r="S3560" t="str">
        <f>"CNCMotion Sim. Sftwr, ProTurn 9000"</f>
        <v>CNCMotion Sim. Sftwr, ProTurn 9000</v>
      </c>
      <c r="T3560">
        <v>0</v>
      </c>
      <c r="U3560">
        <v>10</v>
      </c>
      <c r="V3560">
        <v>0</v>
      </c>
      <c r="W3560" t="str">
        <f t="shared" si="895"/>
        <v>rob</v>
      </c>
    </row>
    <row r="3561" spans="1:23">
      <c r="A3561" t="str">
        <f t="shared" si="892"/>
        <v>MTS-MH5F-PT9000</v>
      </c>
      <c r="B3561" t="str">
        <f>"63-6743-0000"</f>
        <v>63-6743-0000</v>
      </c>
      <c r="C3561" t="str">
        <f>"Software, SpectraCAM Turning"</f>
        <v>Software, SpectraCAM Turning</v>
      </c>
      <c r="D3561">
        <v>1</v>
      </c>
      <c r="E3561" t="str">
        <f t="shared" si="893"/>
        <v>FMS - MOTOMAN MH5F robot with ProTurn 9000 CNC machine</v>
      </c>
      <c r="F3561">
        <v>502</v>
      </c>
      <c r="G3561" t="str">
        <f t="shared" si="888"/>
        <v>Y</v>
      </c>
      <c r="H3561" t="str">
        <f t="shared" si="894"/>
        <v>EA</v>
      </c>
      <c r="I3561">
        <v>0</v>
      </c>
      <c r="J3561">
        <v>0</v>
      </c>
      <c r="K3561" t="str">
        <f t="shared" si="889"/>
        <v>Y</v>
      </c>
      <c r="L3561">
        <v>0</v>
      </c>
      <c r="M3561" t="str">
        <f t="shared" si="891"/>
        <v>NIS</v>
      </c>
      <c r="O3561">
        <v>20</v>
      </c>
      <c r="P3561" t="str">
        <f t="shared" si="890"/>
        <v>Active</v>
      </c>
      <c r="Q3561" t="str">
        <f>"Software, SpectraCAM Turning"</f>
        <v>Software, SpectraCAM Turning</v>
      </c>
      <c r="S3561" t="str">
        <f>"Software, SpectraCAM Turning"</f>
        <v>Software, SpectraCAM Turning</v>
      </c>
      <c r="T3561">
        <v>0</v>
      </c>
      <c r="U3561">
        <v>10</v>
      </c>
      <c r="V3561">
        <v>10.4</v>
      </c>
      <c r="W3561" t="str">
        <f t="shared" si="895"/>
        <v>rob</v>
      </c>
    </row>
    <row r="3562" spans="1:23">
      <c r="A3562" t="str">
        <f t="shared" si="892"/>
        <v>MTS-MH5F-PT9000</v>
      </c>
      <c r="B3562" t="str">
        <f>"112496"</f>
        <v>112496</v>
      </c>
      <c r="C3562" t="str">
        <f>"Raw Material - Brass  Rod"</f>
        <v>Raw Material - Brass  Rod</v>
      </c>
      <c r="D3562">
        <v>50</v>
      </c>
      <c r="E3562" t="str">
        <f t="shared" si="893"/>
        <v>FMS - MOTOMAN MH5F robot with ProTurn 9000 CNC machine</v>
      </c>
      <c r="F3562">
        <v>502</v>
      </c>
      <c r="G3562" t="str">
        <f t="shared" si="888"/>
        <v>Y</v>
      </c>
      <c r="H3562" t="str">
        <f t="shared" si="894"/>
        <v>EA</v>
      </c>
      <c r="I3562">
        <v>0</v>
      </c>
      <c r="J3562">
        <v>0</v>
      </c>
      <c r="K3562" t="str">
        <f t="shared" si="889"/>
        <v>Y</v>
      </c>
      <c r="L3562">
        <v>0</v>
      </c>
      <c r="M3562" t="str">
        <f t="shared" si="891"/>
        <v>NIS</v>
      </c>
      <c r="O3562">
        <v>21</v>
      </c>
      <c r="P3562" t="str">
        <f t="shared" si="890"/>
        <v>Active</v>
      </c>
      <c r="Q3562" t="str">
        <f>"Raw Material Stock - Brass  Rod"</f>
        <v>Raw Material Stock - Brass  Rod</v>
      </c>
      <c r="S3562" t="str">
        <f>"Raw Material Stock - Brass  Rod"</f>
        <v>Raw Material Stock - Brass  Rod</v>
      </c>
      <c r="T3562">
        <v>0</v>
      </c>
      <c r="U3562">
        <v>3.67</v>
      </c>
      <c r="V3562">
        <v>2.69</v>
      </c>
      <c r="W3562" t="str">
        <f t="shared" si="895"/>
        <v>rob</v>
      </c>
    </row>
    <row r="3563" spans="1:23">
      <c r="A3563" t="str">
        <f t="shared" si="892"/>
        <v>MTS-MH5F-PT9000</v>
      </c>
      <c r="B3563" t="str">
        <f>"00-1251-0000"</f>
        <v>00-1251-0000</v>
      </c>
      <c r="C3563" t="str">
        <f>"Workbench 1500x800mm (Formica Top)"</f>
        <v>Workbench 1500x800mm (Formica Top)</v>
      </c>
      <c r="D3563">
        <v>1</v>
      </c>
      <c r="E3563" t="str">
        <f t="shared" si="893"/>
        <v>FMS - MOTOMAN MH5F robot with ProTurn 9000 CNC machine</v>
      </c>
      <c r="F3563">
        <v>502</v>
      </c>
      <c r="G3563" t="str">
        <f t="shared" si="888"/>
        <v>Y</v>
      </c>
      <c r="H3563" t="str">
        <f t="shared" si="894"/>
        <v>EA</v>
      </c>
      <c r="I3563">
        <v>0</v>
      </c>
      <c r="J3563">
        <v>0</v>
      </c>
      <c r="K3563" t="str">
        <f t="shared" si="889"/>
        <v>Y</v>
      </c>
      <c r="L3563">
        <v>0</v>
      </c>
      <c r="M3563" t="str">
        <f t="shared" si="891"/>
        <v>NIS</v>
      </c>
      <c r="O3563">
        <v>22</v>
      </c>
      <c r="P3563" t="str">
        <f t="shared" si="890"/>
        <v>Active</v>
      </c>
      <c r="Q3563" t="str">
        <f>"Workbench 1500x800mm (Formica Top)"</f>
        <v>Workbench 1500x800mm (Formica Top)</v>
      </c>
      <c r="S3563" t="str">
        <f>"Workbench 1500x800mm (Formica Top)"</f>
        <v>Workbench 1500x800mm (Formica Top)</v>
      </c>
      <c r="T3563">
        <v>0</v>
      </c>
      <c r="U3563">
        <v>582</v>
      </c>
      <c r="V3563">
        <v>588.6</v>
      </c>
      <c r="W3563" t="str">
        <f t="shared" si="895"/>
        <v>rob</v>
      </c>
    </row>
    <row r="3564" spans="1:23">
      <c r="A3564" t="str">
        <f t="shared" si="892"/>
        <v>MTS-MH5F-PT9000</v>
      </c>
      <c r="B3564" t="str">
        <f>"50-0094-0000"</f>
        <v>50-0094-0000</v>
      </c>
      <c r="C3564" t="str">
        <f>"Pre-Engineering, Design and Testing"</f>
        <v>Pre-Engineering, Design and Testing</v>
      </c>
      <c r="D3564">
        <v>1</v>
      </c>
      <c r="E3564" t="str">
        <f t="shared" si="893"/>
        <v>FMS - MOTOMAN MH5F robot with ProTurn 9000 CNC machine</v>
      </c>
      <c r="F3564">
        <v>502</v>
      </c>
      <c r="G3564" t="str">
        <f t="shared" si="888"/>
        <v>Y</v>
      </c>
      <c r="H3564" t="str">
        <f>"DA"</f>
        <v>DA</v>
      </c>
      <c r="I3564">
        <v>0</v>
      </c>
      <c r="J3564">
        <v>0</v>
      </c>
      <c r="K3564" t="str">
        <f t="shared" si="889"/>
        <v>Y</v>
      </c>
      <c r="L3564">
        <v>0</v>
      </c>
      <c r="M3564" t="str">
        <f t="shared" si="891"/>
        <v>NIS</v>
      </c>
      <c r="O3564">
        <v>23</v>
      </c>
      <c r="P3564" t="str">
        <f t="shared" si="890"/>
        <v>Active</v>
      </c>
      <c r="Q3564" t="str">
        <f>"Pre-Engineering, Design and Testing"</f>
        <v>Pre-Engineering, Design and Testing</v>
      </c>
      <c r="S3564" t="str">
        <f>"Pre-Engineering, Design and Testing"</f>
        <v>Pre-Engineering, Design and Testing</v>
      </c>
      <c r="T3564">
        <v>0</v>
      </c>
      <c r="U3564">
        <v>405</v>
      </c>
      <c r="V3564">
        <v>421.2</v>
      </c>
      <c r="W3564" t="str">
        <f t="shared" si="895"/>
        <v>rob</v>
      </c>
    </row>
    <row r="3565" spans="1:23">
      <c r="A3565" t="str">
        <f t="shared" ref="A3565:A3577" si="896">"MTS-S-ER4U-BM"</f>
        <v>MTS-S-ER4U-BM</v>
      </c>
      <c r="B3565" t="str">
        <f>"00-0413-0000"</f>
        <v>00-0413-0000</v>
      </c>
      <c r="C3565" t="str">
        <f>"SCORBOT-ER 4u"</f>
        <v>SCORBOT-ER 4u</v>
      </c>
      <c r="D3565">
        <v>1</v>
      </c>
      <c r="E3565" t="str">
        <f t="shared" ref="E3565:E3577" si="897">"FMS - Scorbot ER4U robot for BenchMill 6000 CNC machine"</f>
        <v>FMS - Scorbot ER4U robot for BenchMill 6000 CNC machine</v>
      </c>
      <c r="F3565">
        <v>502</v>
      </c>
      <c r="G3565" t="str">
        <f t="shared" si="888"/>
        <v>Y</v>
      </c>
      <c r="H3565" t="str">
        <f t="shared" ref="H3565:H3576" si="898">"EA"</f>
        <v>EA</v>
      </c>
      <c r="I3565">
        <v>0</v>
      </c>
      <c r="J3565">
        <v>0</v>
      </c>
      <c r="K3565" t="str">
        <f t="shared" si="889"/>
        <v>Y</v>
      </c>
      <c r="L3565">
        <v>0</v>
      </c>
      <c r="M3565" t="str">
        <f t="shared" si="891"/>
        <v>NIS</v>
      </c>
      <c r="O3565">
        <v>1</v>
      </c>
      <c r="P3565" t="str">
        <f t="shared" ref="P3565:P3596" si="899">"Active"</f>
        <v>Active</v>
      </c>
      <c r="Q3565" t="str">
        <f>"SCORBOT-ER 4u (Package)"</f>
        <v>SCORBOT-ER 4u (Package)</v>
      </c>
      <c r="S3565" t="str">
        <f>"SCORBOT-ER 4u (Package)"</f>
        <v>SCORBOT-ER 4u (Package)</v>
      </c>
      <c r="T3565">
        <v>0</v>
      </c>
      <c r="U3565" s="44">
        <v>3200</v>
      </c>
      <c r="V3565" s="44">
        <v>3390.7</v>
      </c>
      <c r="W3565" t="str">
        <f t="shared" si="895"/>
        <v>rob</v>
      </c>
    </row>
    <row r="3566" spans="1:23">
      <c r="A3566" t="str">
        <f t="shared" si="896"/>
        <v>MTS-S-ER4U-BM</v>
      </c>
      <c r="B3566" t="str">
        <f>"00-0609-0000"</f>
        <v>00-0609-0000</v>
      </c>
      <c r="C3566" t="str">
        <f>"Gripper attachment for round and square parts"</f>
        <v>Gripper attachment for round and square parts</v>
      </c>
      <c r="D3566">
        <v>1</v>
      </c>
      <c r="E3566" t="str">
        <f t="shared" si="897"/>
        <v>FMS - Scorbot ER4U robot for BenchMill 6000 CNC machine</v>
      </c>
      <c r="F3566">
        <v>502</v>
      </c>
      <c r="G3566" t="str">
        <f t="shared" si="888"/>
        <v>Y</v>
      </c>
      <c r="H3566" t="str">
        <f t="shared" si="898"/>
        <v>EA</v>
      </c>
      <c r="I3566">
        <v>0</v>
      </c>
      <c r="J3566">
        <v>0</v>
      </c>
      <c r="K3566" t="str">
        <f t="shared" si="889"/>
        <v>Y</v>
      </c>
      <c r="L3566">
        <v>0</v>
      </c>
      <c r="M3566" t="str">
        <f t="shared" si="891"/>
        <v>NIS</v>
      </c>
      <c r="O3566">
        <v>2</v>
      </c>
      <c r="P3566" t="str">
        <f t="shared" si="899"/>
        <v>Active</v>
      </c>
      <c r="Q3566" t="str">
        <f>"End Effector Attachment for ER4U Gripper"</f>
        <v>End Effector Attachment for ER4U Gripper</v>
      </c>
      <c r="S3566" t="str">
        <f>"End Effector Attachment for ER4U Gripper"</f>
        <v>End Effector Attachment for ER4U Gripper</v>
      </c>
      <c r="T3566">
        <v>0</v>
      </c>
      <c r="U3566">
        <v>25.59</v>
      </c>
      <c r="V3566">
        <v>25.11</v>
      </c>
      <c r="W3566" t="str">
        <f t="shared" si="895"/>
        <v>rob</v>
      </c>
    </row>
    <row r="3567" spans="1:23">
      <c r="A3567" t="str">
        <f t="shared" si="896"/>
        <v>MTS-S-ER4U-BM</v>
      </c>
      <c r="B3567" t="str">
        <f>"00-1710-0000"</f>
        <v>00-1710-0000</v>
      </c>
      <c r="C3567" t="str">
        <f>"Teach Pendant"</f>
        <v>Teach Pendant</v>
      </c>
      <c r="D3567">
        <v>1</v>
      </c>
      <c r="E3567" t="str">
        <f t="shared" si="897"/>
        <v>FMS - Scorbot ER4U robot for BenchMill 6000 CNC machine</v>
      </c>
      <c r="F3567">
        <v>502</v>
      </c>
      <c r="G3567" t="str">
        <f t="shared" si="888"/>
        <v>Y</v>
      </c>
      <c r="H3567" t="str">
        <f t="shared" si="898"/>
        <v>EA</v>
      </c>
      <c r="I3567">
        <v>0</v>
      </c>
      <c r="J3567">
        <v>0</v>
      </c>
      <c r="K3567" t="str">
        <f t="shared" si="889"/>
        <v>Y</v>
      </c>
      <c r="L3567">
        <v>0</v>
      </c>
      <c r="M3567" t="str">
        <f t="shared" si="891"/>
        <v>NIS</v>
      </c>
      <c r="O3567">
        <v>3</v>
      </c>
      <c r="P3567" t="str">
        <f t="shared" si="899"/>
        <v>Active</v>
      </c>
      <c r="Q3567" t="str">
        <f>"Teach Pendant for USB/USB Pro Controllers"</f>
        <v>Teach Pendant for USB/USB Pro Controllers</v>
      </c>
      <c r="S3567" t="str">
        <f>"Teach Pendant for USB/USB Pro Controllers"</f>
        <v>Teach Pendant for USB/USB Pro Controllers</v>
      </c>
      <c r="T3567">
        <v>0</v>
      </c>
      <c r="U3567">
        <v>160.18</v>
      </c>
      <c r="V3567">
        <v>161.44999999999999</v>
      </c>
      <c r="W3567" t="str">
        <f t="shared" si="895"/>
        <v>rob</v>
      </c>
    </row>
    <row r="3568" spans="1:23">
      <c r="A3568" t="str">
        <f t="shared" si="896"/>
        <v>MTS-S-ER4U-BM</v>
      </c>
      <c r="B3568" t="str">
        <f>"00-1020-0000"</f>
        <v>00-1020-0000</v>
      </c>
      <c r="C3568" t="str">
        <f>"LSB 1.0m, Belt, TT"</f>
        <v>LSB 1.0m, Belt, TT</v>
      </c>
      <c r="D3568">
        <v>1</v>
      </c>
      <c r="E3568" t="str">
        <f t="shared" si="897"/>
        <v>FMS - Scorbot ER4U robot for BenchMill 6000 CNC machine</v>
      </c>
      <c r="F3568">
        <v>502</v>
      </c>
      <c r="G3568" t="str">
        <f t="shared" si="888"/>
        <v>Y</v>
      </c>
      <c r="H3568" t="str">
        <f t="shared" si="898"/>
        <v>EA</v>
      </c>
      <c r="I3568">
        <v>0</v>
      </c>
      <c r="J3568">
        <v>0</v>
      </c>
      <c r="K3568" t="str">
        <f t="shared" si="889"/>
        <v>Y</v>
      </c>
      <c r="L3568">
        <v>0</v>
      </c>
      <c r="M3568" t="str">
        <f t="shared" si="891"/>
        <v>NIS</v>
      </c>
      <c r="O3568">
        <v>4</v>
      </c>
      <c r="P3568" t="str">
        <f t="shared" si="899"/>
        <v>Active</v>
      </c>
      <c r="Q3568" t="str">
        <f>"LSB 1.0m (Belt, Table-Top)"</f>
        <v>LSB 1.0m (Belt, Table-Top)</v>
      </c>
      <c r="S3568" t="str">
        <f>"LSB 1.0m, Belt, Table-Top"</f>
        <v>LSB 1.0m, Belt, Table-Top</v>
      </c>
      <c r="T3568">
        <v>0</v>
      </c>
      <c r="U3568" s="44">
        <v>1850</v>
      </c>
      <c r="V3568" s="44">
        <v>1739.55</v>
      </c>
      <c r="W3568" t="str">
        <f t="shared" si="895"/>
        <v>rob</v>
      </c>
    </row>
    <row r="3569" spans="1:23">
      <c r="A3569" t="str">
        <f t="shared" si="896"/>
        <v>MTS-S-ER4U-BM</v>
      </c>
      <c r="B3569" t="str">
        <f>"10-1003-8000"</f>
        <v>10-1003-8000</v>
      </c>
      <c r="C3569" t="str">
        <f>"Stand for table's LSB"</f>
        <v>Stand for table's LSB</v>
      </c>
      <c r="D3569">
        <v>1</v>
      </c>
      <c r="E3569" t="str">
        <f t="shared" si="897"/>
        <v>FMS - Scorbot ER4U robot for BenchMill 6000 CNC machine</v>
      </c>
      <c r="F3569">
        <v>502</v>
      </c>
      <c r="G3569" t="str">
        <f t="shared" si="888"/>
        <v>Y</v>
      </c>
      <c r="H3569" t="str">
        <f t="shared" si="898"/>
        <v>EA</v>
      </c>
      <c r="I3569">
        <v>0</v>
      </c>
      <c r="J3569">
        <v>0</v>
      </c>
      <c r="K3569" t="str">
        <f t="shared" si="889"/>
        <v>Y</v>
      </c>
      <c r="L3569">
        <v>0</v>
      </c>
      <c r="M3569" t="str">
        <f t="shared" si="891"/>
        <v>NIS</v>
      </c>
      <c r="O3569">
        <v>5</v>
      </c>
      <c r="P3569" t="str">
        <f t="shared" si="899"/>
        <v>Active</v>
      </c>
      <c r="Q3569" t="str">
        <f>"Stand for table's LSB"</f>
        <v>Stand for table's LSB</v>
      </c>
      <c r="S3569" t="str">
        <f>"Stand for table's LSB"</f>
        <v>Stand for table's LSB</v>
      </c>
      <c r="T3569">
        <v>0</v>
      </c>
      <c r="U3569">
        <v>233</v>
      </c>
      <c r="V3569">
        <v>237.29</v>
      </c>
      <c r="W3569" t="str">
        <f t="shared" si="895"/>
        <v>rob</v>
      </c>
    </row>
    <row r="3570" spans="1:23">
      <c r="A3570" t="str">
        <f t="shared" si="896"/>
        <v>MTS-S-ER4U-BM</v>
      </c>
      <c r="B3570" t="str">
        <f>"021152"</f>
        <v>021152</v>
      </c>
      <c r="C3570" t="str">
        <f>"Shelf Buffer for CIM conveyor"</f>
        <v>Shelf Buffer for CIM conveyor</v>
      </c>
      <c r="D3570">
        <v>1</v>
      </c>
      <c r="E3570" t="str">
        <f t="shared" si="897"/>
        <v>FMS - Scorbot ER4U robot for BenchMill 6000 CNC machine</v>
      </c>
      <c r="F3570">
        <v>502</v>
      </c>
      <c r="G3570" t="str">
        <f t="shared" si="888"/>
        <v>Y</v>
      </c>
      <c r="H3570" t="str">
        <f t="shared" si="898"/>
        <v>EA</v>
      </c>
      <c r="I3570">
        <v>0</v>
      </c>
      <c r="J3570">
        <v>0</v>
      </c>
      <c r="K3570" t="str">
        <f t="shared" si="889"/>
        <v>Y</v>
      </c>
      <c r="L3570">
        <v>0</v>
      </c>
      <c r="M3570" t="str">
        <f t="shared" si="891"/>
        <v>NIS</v>
      </c>
      <c r="O3570">
        <v>6</v>
      </c>
      <c r="P3570" t="str">
        <f t="shared" si="899"/>
        <v>Active</v>
      </c>
      <c r="Q3570" t="str">
        <f>"מכלול- מדף בפר סטנדרטי OPEN-CIM"</f>
        <v>מכלול- מדף בפר סטנדרטי OPEN-CIM</v>
      </c>
      <c r="R3570" t="str">
        <f>"1"</f>
        <v>1</v>
      </c>
      <c r="S3570" t="str">
        <f>"מכלול- מדף בפר סטנדרטי OPEN-CIM"</f>
        <v>מכלול- מדף בפר סטנדרטי OPEN-CIM</v>
      </c>
      <c r="T3570">
        <v>0</v>
      </c>
      <c r="U3570">
        <v>83.12</v>
      </c>
      <c r="V3570">
        <v>92.76</v>
      </c>
      <c r="W3570" t="str">
        <f t="shared" si="895"/>
        <v>rob</v>
      </c>
    </row>
    <row r="3571" spans="1:23">
      <c r="A3571" t="str">
        <f t="shared" si="896"/>
        <v>MTS-S-ER4U-BM</v>
      </c>
      <c r="B3571" t="str">
        <f>"10-2521-7000"</f>
        <v>10-2521-7000</v>
      </c>
      <c r="C3571" t="str">
        <f>"Pneumatic Feeder for Rectangular products"</f>
        <v>Pneumatic Feeder for Rectangular products</v>
      </c>
      <c r="D3571">
        <v>1</v>
      </c>
      <c r="E3571" t="str">
        <f t="shared" si="897"/>
        <v>FMS - Scorbot ER4U robot for BenchMill 6000 CNC machine</v>
      </c>
      <c r="F3571">
        <v>502</v>
      </c>
      <c r="G3571" t="str">
        <f t="shared" si="888"/>
        <v>Y</v>
      </c>
      <c r="H3571" t="str">
        <f t="shared" si="898"/>
        <v>EA</v>
      </c>
      <c r="I3571">
        <v>0</v>
      </c>
      <c r="J3571">
        <v>0</v>
      </c>
      <c r="K3571" t="str">
        <f t="shared" si="889"/>
        <v>Y</v>
      </c>
      <c r="L3571">
        <v>0</v>
      </c>
      <c r="M3571" t="str">
        <f t="shared" si="891"/>
        <v>NIS</v>
      </c>
      <c r="O3571">
        <v>7</v>
      </c>
      <c r="P3571" t="str">
        <f t="shared" si="899"/>
        <v>Active</v>
      </c>
      <c r="Q3571" t="str">
        <f>"Pneumatic Feeder for Rectangular Parts"</f>
        <v>Pneumatic Feeder for Rectangular Parts</v>
      </c>
      <c r="S3571" t="str">
        <f>"Pneumatic Feeder for Rectangular Parts"</f>
        <v>Pneumatic Feeder for Rectangular Parts</v>
      </c>
      <c r="T3571">
        <v>0</v>
      </c>
      <c r="U3571">
        <v>595</v>
      </c>
      <c r="V3571">
        <v>555.15</v>
      </c>
      <c r="W3571" t="str">
        <f t="shared" si="895"/>
        <v>rob</v>
      </c>
    </row>
    <row r="3572" spans="1:23">
      <c r="A3572" t="str">
        <f t="shared" si="896"/>
        <v>MTS-S-ER4U-BM</v>
      </c>
      <c r="B3572" t="str">
        <f>"00-1110-0000"</f>
        <v>00-1110-0000</v>
      </c>
      <c r="C3572" t="str">
        <f>"Palletizing Rack"</f>
        <v>Palletizing Rack</v>
      </c>
      <c r="D3572">
        <v>1</v>
      </c>
      <c r="E3572" t="str">
        <f t="shared" si="897"/>
        <v>FMS - Scorbot ER4U robot for BenchMill 6000 CNC machine</v>
      </c>
      <c r="F3572">
        <v>502</v>
      </c>
      <c r="G3572" t="str">
        <f t="shared" si="888"/>
        <v>Y</v>
      </c>
      <c r="H3572" t="str">
        <f t="shared" si="898"/>
        <v>EA</v>
      </c>
      <c r="I3572">
        <v>0</v>
      </c>
      <c r="J3572">
        <v>0</v>
      </c>
      <c r="K3572" t="str">
        <f t="shared" si="889"/>
        <v>Y</v>
      </c>
      <c r="L3572">
        <v>0</v>
      </c>
      <c r="M3572" t="str">
        <f t="shared" si="891"/>
        <v>NIS</v>
      </c>
      <c r="O3572">
        <v>8</v>
      </c>
      <c r="P3572" t="str">
        <f t="shared" si="899"/>
        <v>Active</v>
      </c>
      <c r="Q3572" t="str">
        <f>"Palletizing Rack (incl. Pins for creating Jigs)"</f>
        <v>Palletizing Rack (incl. Pins for creating Jigs)</v>
      </c>
      <c r="S3572" t="str">
        <f>"Palletizing Rack (incl. Pins for creating Jigs)"</f>
        <v>Palletizing Rack (incl. Pins for creating Jigs)</v>
      </c>
      <c r="T3572">
        <v>0</v>
      </c>
      <c r="U3572">
        <v>63</v>
      </c>
      <c r="V3572">
        <v>58.59</v>
      </c>
      <c r="W3572" t="str">
        <f t="shared" si="895"/>
        <v>rob</v>
      </c>
    </row>
    <row r="3573" spans="1:23">
      <c r="A3573" t="str">
        <f t="shared" si="896"/>
        <v>MTS-S-ER4U-BM</v>
      </c>
      <c r="B3573" t="str">
        <f>"021182"</f>
        <v>021182</v>
      </c>
      <c r="C3573" t="str">
        <f>"97mm Height Adapter"</f>
        <v>97mm Height Adapter</v>
      </c>
      <c r="D3573">
        <v>1</v>
      </c>
      <c r="E3573" t="str">
        <f t="shared" si="897"/>
        <v>FMS - Scorbot ER4U robot for BenchMill 6000 CNC machine</v>
      </c>
      <c r="F3573">
        <v>502</v>
      </c>
      <c r="G3573" t="str">
        <f t="shared" si="888"/>
        <v>Y</v>
      </c>
      <c r="H3573" t="str">
        <f t="shared" si="898"/>
        <v>EA</v>
      </c>
      <c r="I3573">
        <v>0</v>
      </c>
      <c r="J3573">
        <v>0</v>
      </c>
      <c r="K3573" t="str">
        <f t="shared" si="889"/>
        <v>Y</v>
      </c>
      <c r="L3573">
        <v>0</v>
      </c>
      <c r="M3573" t="str">
        <f t="shared" si="891"/>
        <v>NIS</v>
      </c>
      <c r="O3573">
        <v>9</v>
      </c>
      <c r="P3573" t="str">
        <f t="shared" si="899"/>
        <v>Active</v>
      </c>
      <c r="Q3573" t="str">
        <f>"97mm Height Adapter -Rack 001110 on formica 28mm"</f>
        <v>97mm Height Adapter -Rack 001110 on formica 28mm</v>
      </c>
      <c r="S3573" t="str">
        <f>"97mm Height Adapter -Rack 001110 on formica 28mm"</f>
        <v>97mm Height Adapter -Rack 001110 on formica 28mm</v>
      </c>
      <c r="T3573">
        <v>0</v>
      </c>
      <c r="U3573">
        <v>7</v>
      </c>
      <c r="V3573">
        <v>5.5</v>
      </c>
      <c r="W3573" t="str">
        <f t="shared" si="895"/>
        <v>rob</v>
      </c>
    </row>
    <row r="3574" spans="1:23">
      <c r="A3574" t="str">
        <f t="shared" si="896"/>
        <v>MTS-S-ER4U-BM</v>
      </c>
      <c r="B3574" t="str">
        <f>"10-2120-0000"</f>
        <v>10-2120-0000</v>
      </c>
      <c r="C3574" t="str">
        <f>"CNC Interface with BenchMILL 6000"</f>
        <v>CNC Interface with BenchMILL 6000</v>
      </c>
      <c r="D3574">
        <v>1</v>
      </c>
      <c r="E3574" t="str">
        <f t="shared" si="897"/>
        <v>FMS - Scorbot ER4U robot for BenchMill 6000 CNC machine</v>
      </c>
      <c r="F3574">
        <v>502</v>
      </c>
      <c r="G3574" t="str">
        <f t="shared" si="888"/>
        <v>Y</v>
      </c>
      <c r="H3574" t="str">
        <f t="shared" si="898"/>
        <v>EA</v>
      </c>
      <c r="I3574">
        <v>0</v>
      </c>
      <c r="J3574">
        <v>0</v>
      </c>
      <c r="K3574" t="str">
        <f t="shared" si="889"/>
        <v>Y</v>
      </c>
      <c r="L3574">
        <v>0</v>
      </c>
      <c r="M3574" t="str">
        <f t="shared" si="891"/>
        <v>NIS</v>
      </c>
      <c r="O3574">
        <v>10</v>
      </c>
      <c r="P3574" t="str">
        <f t="shared" si="899"/>
        <v>Active</v>
      </c>
      <c r="Q3574" t="str">
        <f>"CNC Interface with BenchMILL 6000"</f>
        <v>CNC Interface with BenchMILL 6000</v>
      </c>
      <c r="S3574" t="str">
        <f>"CNC Interface with BenchMILL 6000"</f>
        <v>CNC Interface with BenchMILL 6000</v>
      </c>
      <c r="T3574">
        <v>0</v>
      </c>
      <c r="U3574">
        <v>21</v>
      </c>
      <c r="V3574">
        <v>19.7</v>
      </c>
      <c r="W3574" t="str">
        <f t="shared" si="895"/>
        <v>rob</v>
      </c>
    </row>
    <row r="3575" spans="1:23">
      <c r="A3575" t="str">
        <f t="shared" si="896"/>
        <v>MTS-S-ER4U-BM</v>
      </c>
      <c r="B3575" t="str">
        <f>"00-1261-0000"</f>
        <v>00-1261-0000</v>
      </c>
      <c r="C3575" t="str">
        <f>"Workbench 1800x900mm (Heavy duty for CNC)"</f>
        <v>Workbench 1800x900mm (Heavy duty for CNC)</v>
      </c>
      <c r="D3575">
        <v>1</v>
      </c>
      <c r="E3575" t="str">
        <f t="shared" si="897"/>
        <v>FMS - Scorbot ER4U robot for BenchMill 6000 CNC machine</v>
      </c>
      <c r="F3575">
        <v>502</v>
      </c>
      <c r="G3575" t="str">
        <f t="shared" si="888"/>
        <v>Y</v>
      </c>
      <c r="H3575" t="str">
        <f t="shared" si="898"/>
        <v>EA</v>
      </c>
      <c r="I3575">
        <v>0</v>
      </c>
      <c r="J3575">
        <v>0</v>
      </c>
      <c r="K3575" t="str">
        <f t="shared" si="889"/>
        <v>Y</v>
      </c>
      <c r="L3575">
        <v>0</v>
      </c>
      <c r="M3575" t="str">
        <f t="shared" si="891"/>
        <v>NIS</v>
      </c>
      <c r="O3575">
        <v>11</v>
      </c>
      <c r="P3575" t="str">
        <f t="shared" si="899"/>
        <v>Active</v>
      </c>
      <c r="Q3575" t="str">
        <f>"Workbench 1800x900mm (Heavy duty for CNC)"</f>
        <v>Workbench 1800x900mm (Heavy duty for CNC)</v>
      </c>
      <c r="S3575" t="str">
        <f>"Workbench 1800x900mm (Heavy duty for CNC)"</f>
        <v>Workbench 1800x900mm (Heavy duty for CNC)</v>
      </c>
      <c r="T3575">
        <v>0</v>
      </c>
      <c r="U3575">
        <v>830</v>
      </c>
      <c r="V3575">
        <v>831.14</v>
      </c>
      <c r="W3575" t="str">
        <f t="shared" si="895"/>
        <v>rob</v>
      </c>
    </row>
    <row r="3576" spans="1:23">
      <c r="A3576" t="str">
        <f t="shared" si="896"/>
        <v>MTS-S-ER4U-BM</v>
      </c>
      <c r="B3576" t="str">
        <f>"00-1265-0000"</f>
        <v>00-1265-0000</v>
      </c>
      <c r="C3576" t="str">
        <f>"PC Extension Shelf  600x900mm"</f>
        <v>PC Extension Shelf  600x900mm</v>
      </c>
      <c r="D3576">
        <v>1</v>
      </c>
      <c r="E3576" t="str">
        <f t="shared" si="897"/>
        <v>FMS - Scorbot ER4U robot for BenchMill 6000 CNC machine</v>
      </c>
      <c r="F3576">
        <v>502</v>
      </c>
      <c r="G3576" t="str">
        <f t="shared" si="888"/>
        <v>Y</v>
      </c>
      <c r="H3576" t="str">
        <f t="shared" si="898"/>
        <v>EA</v>
      </c>
      <c r="I3576">
        <v>0</v>
      </c>
      <c r="J3576">
        <v>0</v>
      </c>
      <c r="K3576" t="str">
        <f t="shared" si="889"/>
        <v>Y</v>
      </c>
      <c r="L3576">
        <v>0</v>
      </c>
      <c r="M3576" t="str">
        <f t="shared" si="891"/>
        <v>NIS</v>
      </c>
      <c r="O3576">
        <v>12</v>
      </c>
      <c r="P3576" t="str">
        <f t="shared" si="899"/>
        <v>Active</v>
      </c>
      <c r="Q3576" t="str">
        <f>"PC Extension Shelf  600x900mm"</f>
        <v>PC Extension Shelf  600x900mm</v>
      </c>
      <c r="S3576" t="str">
        <f>"PC Extension Shelf  600x900mm"</f>
        <v>PC Extension Shelf  600x900mm</v>
      </c>
      <c r="T3576">
        <v>0</v>
      </c>
      <c r="U3576">
        <v>211</v>
      </c>
      <c r="V3576">
        <v>198.88</v>
      </c>
      <c r="W3576" t="str">
        <f t="shared" si="895"/>
        <v>rob</v>
      </c>
    </row>
    <row r="3577" spans="1:23">
      <c r="A3577" t="str">
        <f t="shared" si="896"/>
        <v>MTS-S-ER4U-BM</v>
      </c>
      <c r="B3577" t="str">
        <f>"50-0094-0000"</f>
        <v>50-0094-0000</v>
      </c>
      <c r="C3577" t="str">
        <f>"Pre-Engineering, Design and Testing"</f>
        <v>Pre-Engineering, Design and Testing</v>
      </c>
      <c r="D3577">
        <v>1</v>
      </c>
      <c r="E3577" t="str">
        <f t="shared" si="897"/>
        <v>FMS - Scorbot ER4U robot for BenchMill 6000 CNC machine</v>
      </c>
      <c r="F3577">
        <v>502</v>
      </c>
      <c r="G3577" t="str">
        <f t="shared" si="888"/>
        <v>Y</v>
      </c>
      <c r="H3577" t="str">
        <f>"DA"</f>
        <v>DA</v>
      </c>
      <c r="I3577">
        <v>0</v>
      </c>
      <c r="J3577">
        <v>0</v>
      </c>
      <c r="K3577" t="str">
        <f t="shared" si="889"/>
        <v>Y</v>
      </c>
      <c r="L3577">
        <v>0</v>
      </c>
      <c r="M3577" t="str">
        <f t="shared" si="891"/>
        <v>NIS</v>
      </c>
      <c r="O3577">
        <v>13</v>
      </c>
      <c r="P3577" t="str">
        <f t="shared" si="899"/>
        <v>Active</v>
      </c>
      <c r="Q3577" t="str">
        <f>"Pre-Engineering, Design and Testing"</f>
        <v>Pre-Engineering, Design and Testing</v>
      </c>
      <c r="S3577" t="str">
        <f>"Pre-Engineering, Design and Testing"</f>
        <v>Pre-Engineering, Design and Testing</v>
      </c>
      <c r="T3577">
        <v>0</v>
      </c>
      <c r="U3577">
        <v>405</v>
      </c>
      <c r="V3577">
        <v>421.2</v>
      </c>
      <c r="W3577" t="str">
        <f t="shared" si="895"/>
        <v>rob</v>
      </c>
    </row>
    <row r="3578" spans="1:23">
      <c r="A3578" t="str">
        <f t="shared" ref="A3578:A3592" si="900">"MTS-S-ER4U-BM-BT"</f>
        <v>MTS-S-ER4U-BM-BT</v>
      </c>
      <c r="B3578" t="str">
        <f>"00-0413-0000"</f>
        <v>00-0413-0000</v>
      </c>
      <c r="C3578" t="str">
        <f>"SCORBOT-ER 4u"</f>
        <v>SCORBOT-ER 4u</v>
      </c>
      <c r="D3578">
        <v>1</v>
      </c>
      <c r="E3578" t="str">
        <f t="shared" ref="E3578:E3592" si="901">"FMS - Scorbot ER4U robot for BenchMill 6000 &amp; BenchTurn 7000 CNC machines"</f>
        <v>FMS - Scorbot ER4U robot for BenchMill 6000 &amp; BenchTurn 7000 CNC machines</v>
      </c>
      <c r="F3578">
        <v>502</v>
      </c>
      <c r="G3578" t="str">
        <f t="shared" si="888"/>
        <v>Y</v>
      </c>
      <c r="H3578" t="str">
        <f t="shared" ref="H3578:H3591" si="902">"EA"</f>
        <v>EA</v>
      </c>
      <c r="I3578">
        <v>0</v>
      </c>
      <c r="J3578">
        <v>0</v>
      </c>
      <c r="K3578" t="str">
        <f t="shared" si="889"/>
        <v>Y</v>
      </c>
      <c r="L3578">
        <v>0</v>
      </c>
      <c r="M3578" t="str">
        <f t="shared" si="891"/>
        <v>NIS</v>
      </c>
      <c r="O3578">
        <v>1</v>
      </c>
      <c r="P3578" t="str">
        <f t="shared" si="899"/>
        <v>Active</v>
      </c>
      <c r="Q3578" t="str">
        <f>"SCORBOT-ER 4u (Package)"</f>
        <v>SCORBOT-ER 4u (Package)</v>
      </c>
      <c r="S3578" t="str">
        <f>"SCORBOT-ER 4u (Package)"</f>
        <v>SCORBOT-ER 4u (Package)</v>
      </c>
      <c r="T3578">
        <v>0</v>
      </c>
      <c r="U3578" s="44">
        <v>3200</v>
      </c>
      <c r="V3578" s="44">
        <v>3390.7</v>
      </c>
      <c r="W3578" t="str">
        <f t="shared" si="895"/>
        <v>rob</v>
      </c>
    </row>
    <row r="3579" spans="1:23">
      <c r="A3579" t="str">
        <f t="shared" si="900"/>
        <v>MTS-S-ER4U-BM-BT</v>
      </c>
      <c r="B3579" t="str">
        <f>"00-0609-0000"</f>
        <v>00-0609-0000</v>
      </c>
      <c r="C3579" t="str">
        <f>"Gripper attachment for round and square parts"</f>
        <v>Gripper attachment for round and square parts</v>
      </c>
      <c r="D3579">
        <v>1</v>
      </c>
      <c r="E3579" t="str">
        <f t="shared" si="901"/>
        <v>FMS - Scorbot ER4U robot for BenchMill 6000 &amp; BenchTurn 7000 CNC machines</v>
      </c>
      <c r="F3579">
        <v>502</v>
      </c>
      <c r="G3579" t="str">
        <f t="shared" si="888"/>
        <v>Y</v>
      </c>
      <c r="H3579" t="str">
        <f t="shared" si="902"/>
        <v>EA</v>
      </c>
      <c r="I3579">
        <v>0</v>
      </c>
      <c r="J3579">
        <v>0</v>
      </c>
      <c r="K3579" t="str">
        <f t="shared" si="889"/>
        <v>Y</v>
      </c>
      <c r="L3579">
        <v>0</v>
      </c>
      <c r="M3579" t="str">
        <f t="shared" si="891"/>
        <v>NIS</v>
      </c>
      <c r="O3579">
        <v>2</v>
      </c>
      <c r="P3579" t="str">
        <f t="shared" si="899"/>
        <v>Active</v>
      </c>
      <c r="Q3579" t="str">
        <f>"End Effector Attachment for ER4U Gripper"</f>
        <v>End Effector Attachment for ER4U Gripper</v>
      </c>
      <c r="S3579" t="str">
        <f>"End Effector Attachment for ER4U Gripper"</f>
        <v>End Effector Attachment for ER4U Gripper</v>
      </c>
      <c r="T3579">
        <v>0</v>
      </c>
      <c r="U3579">
        <v>25.59</v>
      </c>
      <c r="V3579">
        <v>25.11</v>
      </c>
      <c r="W3579" t="str">
        <f t="shared" si="895"/>
        <v>rob</v>
      </c>
    </row>
    <row r="3580" spans="1:23">
      <c r="A3580" t="str">
        <f t="shared" si="900"/>
        <v>MTS-S-ER4U-BM-BT</v>
      </c>
      <c r="B3580" t="str">
        <f>"00-1710-0000"</f>
        <v>00-1710-0000</v>
      </c>
      <c r="C3580" t="str">
        <f>"Teach Pendant"</f>
        <v>Teach Pendant</v>
      </c>
      <c r="D3580">
        <v>1</v>
      </c>
      <c r="E3580" t="str">
        <f t="shared" si="901"/>
        <v>FMS - Scorbot ER4U robot for BenchMill 6000 &amp; BenchTurn 7000 CNC machines</v>
      </c>
      <c r="F3580">
        <v>502</v>
      </c>
      <c r="G3580" t="str">
        <f t="shared" si="888"/>
        <v>Y</v>
      </c>
      <c r="H3580" t="str">
        <f t="shared" si="902"/>
        <v>EA</v>
      </c>
      <c r="I3580">
        <v>0</v>
      </c>
      <c r="J3580">
        <v>0</v>
      </c>
      <c r="K3580" t="str">
        <f t="shared" si="889"/>
        <v>Y</v>
      </c>
      <c r="L3580">
        <v>0</v>
      </c>
      <c r="M3580" t="str">
        <f t="shared" si="891"/>
        <v>NIS</v>
      </c>
      <c r="O3580">
        <v>3</v>
      </c>
      <c r="P3580" t="str">
        <f t="shared" si="899"/>
        <v>Active</v>
      </c>
      <c r="Q3580" t="str">
        <f>"Teach Pendant for USB/USB Pro Controllers"</f>
        <v>Teach Pendant for USB/USB Pro Controllers</v>
      </c>
      <c r="S3580" t="str">
        <f>"Teach Pendant for USB/USB Pro Controllers"</f>
        <v>Teach Pendant for USB/USB Pro Controllers</v>
      </c>
      <c r="T3580">
        <v>0</v>
      </c>
      <c r="U3580">
        <v>160.18</v>
      </c>
      <c r="V3580">
        <v>161.44999999999999</v>
      </c>
      <c r="W3580" t="str">
        <f t="shared" si="895"/>
        <v>rob</v>
      </c>
    </row>
    <row r="3581" spans="1:23">
      <c r="A3581" t="str">
        <f t="shared" si="900"/>
        <v>MTS-S-ER4U-BM-BT</v>
      </c>
      <c r="B3581" t="str">
        <f>"00-1021-0000"</f>
        <v>00-1021-0000</v>
      </c>
      <c r="C3581" t="str">
        <f>"LSB 1.8m, Belt, TT"</f>
        <v>LSB 1.8m, Belt, TT</v>
      </c>
      <c r="D3581">
        <v>1</v>
      </c>
      <c r="E3581" t="str">
        <f t="shared" si="901"/>
        <v>FMS - Scorbot ER4U robot for BenchMill 6000 &amp; BenchTurn 7000 CNC machines</v>
      </c>
      <c r="F3581">
        <v>502</v>
      </c>
      <c r="G3581" t="str">
        <f t="shared" si="888"/>
        <v>Y</v>
      </c>
      <c r="H3581" t="str">
        <f t="shared" si="902"/>
        <v>EA</v>
      </c>
      <c r="I3581">
        <v>0</v>
      </c>
      <c r="J3581">
        <v>0</v>
      </c>
      <c r="K3581" t="str">
        <f t="shared" si="889"/>
        <v>Y</v>
      </c>
      <c r="L3581">
        <v>0</v>
      </c>
      <c r="M3581" t="str">
        <f t="shared" si="891"/>
        <v>NIS</v>
      </c>
      <c r="O3581">
        <v>4</v>
      </c>
      <c r="P3581" t="str">
        <f t="shared" si="899"/>
        <v>Active</v>
      </c>
      <c r="Q3581" t="str">
        <f>"LSB 1.8 m (Belt, Table-Top)"</f>
        <v>LSB 1.8 m (Belt, Table-Top)</v>
      </c>
      <c r="S3581" t="str">
        <f>"LSB 1.8m, Belt, Table-Top"</f>
        <v>LSB 1.8m, Belt, Table-Top</v>
      </c>
      <c r="T3581">
        <v>0</v>
      </c>
      <c r="U3581" s="44">
        <v>2056.5700000000002</v>
      </c>
      <c r="V3581" s="44">
        <v>1953.96</v>
      </c>
      <c r="W3581" t="str">
        <f t="shared" si="895"/>
        <v>rob</v>
      </c>
    </row>
    <row r="3582" spans="1:23">
      <c r="A3582" t="str">
        <f t="shared" si="900"/>
        <v>MTS-S-ER4U-BM-BT</v>
      </c>
      <c r="B3582" t="str">
        <f>"10-1003-8000"</f>
        <v>10-1003-8000</v>
      </c>
      <c r="C3582" t="str">
        <f>"Stand for table's LSB"</f>
        <v>Stand for table's LSB</v>
      </c>
      <c r="D3582">
        <v>1</v>
      </c>
      <c r="E3582" t="str">
        <f t="shared" si="901"/>
        <v>FMS - Scorbot ER4U robot for BenchMill 6000 &amp; BenchTurn 7000 CNC machines</v>
      </c>
      <c r="F3582">
        <v>502</v>
      </c>
      <c r="G3582" t="str">
        <f t="shared" si="888"/>
        <v>Y</v>
      </c>
      <c r="H3582" t="str">
        <f t="shared" si="902"/>
        <v>EA</v>
      </c>
      <c r="I3582">
        <v>0</v>
      </c>
      <c r="J3582">
        <v>0</v>
      </c>
      <c r="K3582" t="str">
        <f t="shared" si="889"/>
        <v>Y</v>
      </c>
      <c r="L3582">
        <v>0</v>
      </c>
      <c r="M3582" t="str">
        <f t="shared" si="891"/>
        <v>NIS</v>
      </c>
      <c r="O3582">
        <v>5</v>
      </c>
      <c r="P3582" t="str">
        <f t="shared" si="899"/>
        <v>Active</v>
      </c>
      <c r="Q3582" t="str">
        <f>"Stand for table's LSB"</f>
        <v>Stand for table's LSB</v>
      </c>
      <c r="S3582" t="str">
        <f>"Stand for table's LSB"</f>
        <v>Stand for table's LSB</v>
      </c>
      <c r="T3582">
        <v>0</v>
      </c>
      <c r="U3582">
        <v>233</v>
      </c>
      <c r="V3582">
        <v>237.29</v>
      </c>
      <c r="W3582" t="str">
        <f t="shared" si="895"/>
        <v>rob</v>
      </c>
    </row>
    <row r="3583" spans="1:23">
      <c r="A3583" t="str">
        <f t="shared" si="900"/>
        <v>MTS-S-ER4U-BM-BT</v>
      </c>
      <c r="B3583" t="str">
        <f>"021152"</f>
        <v>021152</v>
      </c>
      <c r="C3583" t="str">
        <f>"Shelf Buffer for CIM conveyor"</f>
        <v>Shelf Buffer for CIM conveyor</v>
      </c>
      <c r="D3583">
        <v>1</v>
      </c>
      <c r="E3583" t="str">
        <f t="shared" si="901"/>
        <v>FMS - Scorbot ER4U robot for BenchMill 6000 &amp; BenchTurn 7000 CNC machines</v>
      </c>
      <c r="F3583">
        <v>502</v>
      </c>
      <c r="G3583" t="str">
        <f t="shared" si="888"/>
        <v>Y</v>
      </c>
      <c r="H3583" t="str">
        <f t="shared" si="902"/>
        <v>EA</v>
      </c>
      <c r="I3583">
        <v>0</v>
      </c>
      <c r="J3583">
        <v>0</v>
      </c>
      <c r="K3583" t="str">
        <f t="shared" si="889"/>
        <v>Y</v>
      </c>
      <c r="L3583">
        <v>0</v>
      </c>
      <c r="M3583" t="str">
        <f t="shared" si="891"/>
        <v>NIS</v>
      </c>
      <c r="O3583">
        <v>6</v>
      </c>
      <c r="P3583" t="str">
        <f t="shared" si="899"/>
        <v>Active</v>
      </c>
      <c r="Q3583" t="str">
        <f>"מכלול- מדף בפר סטנדרטי OPEN-CIM"</f>
        <v>מכלול- מדף בפר סטנדרטי OPEN-CIM</v>
      </c>
      <c r="R3583" t="str">
        <f>"1"</f>
        <v>1</v>
      </c>
      <c r="S3583" t="str">
        <f>"מכלול- מדף בפר סטנדרטי OPEN-CIM"</f>
        <v>מכלול- מדף בפר סטנדרטי OPEN-CIM</v>
      </c>
      <c r="T3583">
        <v>0</v>
      </c>
      <c r="U3583">
        <v>83.12</v>
      </c>
      <c r="V3583">
        <v>92.76</v>
      </c>
      <c r="W3583" t="str">
        <f t="shared" si="895"/>
        <v>rob</v>
      </c>
    </row>
    <row r="3584" spans="1:23">
      <c r="A3584" t="str">
        <f t="shared" si="900"/>
        <v>MTS-S-ER4U-BM-BT</v>
      </c>
      <c r="B3584" t="str">
        <f>"10-2521-7000"</f>
        <v>10-2521-7000</v>
      </c>
      <c r="C3584" t="str">
        <f>"Pneumatic Feeder for Rectangular products"</f>
        <v>Pneumatic Feeder for Rectangular products</v>
      </c>
      <c r="D3584">
        <v>1</v>
      </c>
      <c r="E3584" t="str">
        <f t="shared" si="901"/>
        <v>FMS - Scorbot ER4U robot for BenchMill 6000 &amp; BenchTurn 7000 CNC machines</v>
      </c>
      <c r="F3584">
        <v>502</v>
      </c>
      <c r="G3584" t="str">
        <f t="shared" si="888"/>
        <v>Y</v>
      </c>
      <c r="H3584" t="str">
        <f t="shared" si="902"/>
        <v>EA</v>
      </c>
      <c r="I3584">
        <v>0</v>
      </c>
      <c r="J3584">
        <v>0</v>
      </c>
      <c r="K3584" t="str">
        <f t="shared" si="889"/>
        <v>Y</v>
      </c>
      <c r="L3584">
        <v>0</v>
      </c>
      <c r="M3584" t="str">
        <f t="shared" si="891"/>
        <v>NIS</v>
      </c>
      <c r="O3584">
        <v>7</v>
      </c>
      <c r="P3584" t="str">
        <f t="shared" si="899"/>
        <v>Active</v>
      </c>
      <c r="Q3584" t="str">
        <f>"Pneumatic Feeder for Rectangular Parts"</f>
        <v>Pneumatic Feeder for Rectangular Parts</v>
      </c>
      <c r="S3584" t="str">
        <f>"Pneumatic Feeder for Rectangular Parts"</f>
        <v>Pneumatic Feeder for Rectangular Parts</v>
      </c>
      <c r="T3584">
        <v>0</v>
      </c>
      <c r="U3584">
        <v>595</v>
      </c>
      <c r="V3584">
        <v>555.15</v>
      </c>
      <c r="W3584" t="str">
        <f t="shared" si="895"/>
        <v>rob</v>
      </c>
    </row>
    <row r="3585" spans="1:23">
      <c r="A3585" t="str">
        <f t="shared" si="900"/>
        <v>MTS-S-ER4U-BM-BT</v>
      </c>
      <c r="B3585" t="str">
        <f>"10-1007-4000"</f>
        <v>10-1007-4000</v>
      </c>
      <c r="C3585" t="str">
        <f>"Gravity Parts Feeder (with microswitch sensor)"</f>
        <v>Gravity Parts Feeder (with microswitch sensor)</v>
      </c>
      <c r="D3585">
        <v>1</v>
      </c>
      <c r="E3585" t="str">
        <f t="shared" si="901"/>
        <v>FMS - Scorbot ER4U robot for BenchMill 6000 &amp; BenchTurn 7000 CNC machines</v>
      </c>
      <c r="F3585">
        <v>502</v>
      </c>
      <c r="G3585" t="str">
        <f t="shared" si="888"/>
        <v>Y</v>
      </c>
      <c r="H3585" t="str">
        <f t="shared" si="902"/>
        <v>EA</v>
      </c>
      <c r="I3585">
        <v>0</v>
      </c>
      <c r="J3585">
        <v>0</v>
      </c>
      <c r="K3585" t="str">
        <f t="shared" si="889"/>
        <v>Y</v>
      </c>
      <c r="L3585">
        <v>0</v>
      </c>
      <c r="M3585" t="str">
        <f t="shared" si="891"/>
        <v>NIS</v>
      </c>
      <c r="O3585">
        <v>8</v>
      </c>
      <c r="P3585" t="str">
        <f t="shared" si="899"/>
        <v>Active</v>
      </c>
      <c r="Q3585" t="str">
        <f>"Gravity Parts Feeder (incl.microswitch sensor)"</f>
        <v>Gravity Parts Feeder (incl.microswitch sensor)</v>
      </c>
      <c r="S3585" t="str">
        <f>"Gravity Parts Feeder (incl.microswitch sensor)"</f>
        <v>Gravity Parts Feeder (incl.microswitch sensor)</v>
      </c>
      <c r="T3585">
        <v>0</v>
      </c>
      <c r="U3585">
        <v>148</v>
      </c>
      <c r="V3585">
        <v>148.26</v>
      </c>
      <c r="W3585" t="str">
        <f t="shared" si="895"/>
        <v>rob</v>
      </c>
    </row>
    <row r="3586" spans="1:23">
      <c r="A3586" t="str">
        <f t="shared" si="900"/>
        <v>MTS-S-ER4U-BM-BT</v>
      </c>
      <c r="B3586" t="str">
        <f>"021182"</f>
        <v>021182</v>
      </c>
      <c r="C3586" t="str">
        <f>"97mm Height Adapter"</f>
        <v>97mm Height Adapter</v>
      </c>
      <c r="D3586">
        <v>2</v>
      </c>
      <c r="E3586" t="str">
        <f t="shared" si="901"/>
        <v>FMS - Scorbot ER4U robot for BenchMill 6000 &amp; BenchTurn 7000 CNC machines</v>
      </c>
      <c r="F3586">
        <v>502</v>
      </c>
      <c r="G3586" t="str">
        <f t="shared" ref="G3586:G3649" si="903">"Y"</f>
        <v>Y</v>
      </c>
      <c r="H3586" t="str">
        <f t="shared" si="902"/>
        <v>EA</v>
      </c>
      <c r="I3586">
        <v>0</v>
      </c>
      <c r="J3586">
        <v>0</v>
      </c>
      <c r="K3586" t="str">
        <f t="shared" ref="K3586:K3649" si="904">"Y"</f>
        <v>Y</v>
      </c>
      <c r="L3586">
        <v>0</v>
      </c>
      <c r="M3586" t="str">
        <f t="shared" si="891"/>
        <v>NIS</v>
      </c>
      <c r="O3586">
        <v>9</v>
      </c>
      <c r="P3586" t="str">
        <f t="shared" si="899"/>
        <v>Active</v>
      </c>
      <c r="Q3586" t="str">
        <f>"97mm Height Adapter -Rack 001110 on formica 28mm"</f>
        <v>97mm Height Adapter -Rack 001110 on formica 28mm</v>
      </c>
      <c r="S3586" t="str">
        <f>"97mm Height Adapter -Rack 001110 on formica 28mm"</f>
        <v>97mm Height Adapter -Rack 001110 on formica 28mm</v>
      </c>
      <c r="T3586">
        <v>0</v>
      </c>
      <c r="U3586">
        <v>7</v>
      </c>
      <c r="V3586">
        <v>5.5</v>
      </c>
      <c r="W3586" t="str">
        <f t="shared" si="895"/>
        <v>rob</v>
      </c>
    </row>
    <row r="3587" spans="1:23">
      <c r="A3587" t="str">
        <f t="shared" si="900"/>
        <v>MTS-S-ER4U-BM-BT</v>
      </c>
      <c r="B3587" t="str">
        <f>"00-1110-0000"</f>
        <v>00-1110-0000</v>
      </c>
      <c r="C3587" t="str">
        <f>"Palletizing Rack"</f>
        <v>Palletizing Rack</v>
      </c>
      <c r="D3587">
        <v>2</v>
      </c>
      <c r="E3587" t="str">
        <f t="shared" si="901"/>
        <v>FMS - Scorbot ER4U robot for BenchMill 6000 &amp; BenchTurn 7000 CNC machines</v>
      </c>
      <c r="F3587">
        <v>502</v>
      </c>
      <c r="G3587" t="str">
        <f t="shared" si="903"/>
        <v>Y</v>
      </c>
      <c r="H3587" t="str">
        <f t="shared" si="902"/>
        <v>EA</v>
      </c>
      <c r="I3587">
        <v>0</v>
      </c>
      <c r="J3587">
        <v>0</v>
      </c>
      <c r="K3587" t="str">
        <f t="shared" si="904"/>
        <v>Y</v>
      </c>
      <c r="L3587">
        <v>0</v>
      </c>
      <c r="M3587" t="str">
        <f t="shared" si="891"/>
        <v>NIS</v>
      </c>
      <c r="O3587">
        <v>10</v>
      </c>
      <c r="P3587" t="str">
        <f t="shared" si="899"/>
        <v>Active</v>
      </c>
      <c r="Q3587" t="str">
        <f>"Palletizing Rack (incl. Pins for creating Jigs)"</f>
        <v>Palletizing Rack (incl. Pins for creating Jigs)</v>
      </c>
      <c r="S3587" t="str">
        <f>"Palletizing Rack (incl. Pins for creating Jigs)"</f>
        <v>Palletizing Rack (incl. Pins for creating Jigs)</v>
      </c>
      <c r="T3587">
        <v>0</v>
      </c>
      <c r="U3587">
        <v>63</v>
      </c>
      <c r="V3587">
        <v>58.59</v>
      </c>
      <c r="W3587" t="str">
        <f t="shared" si="895"/>
        <v>rob</v>
      </c>
    </row>
    <row r="3588" spans="1:23">
      <c r="A3588" t="str">
        <f t="shared" si="900"/>
        <v>MTS-S-ER4U-BM-BT</v>
      </c>
      <c r="B3588" t="str">
        <f>"10-2120-0000"</f>
        <v>10-2120-0000</v>
      </c>
      <c r="C3588" t="str">
        <f>"CNC Interface with BenchMILL 6000"</f>
        <v>CNC Interface with BenchMILL 6000</v>
      </c>
      <c r="D3588">
        <v>1</v>
      </c>
      <c r="E3588" t="str">
        <f t="shared" si="901"/>
        <v>FMS - Scorbot ER4U robot for BenchMill 6000 &amp; BenchTurn 7000 CNC machines</v>
      </c>
      <c r="F3588">
        <v>502</v>
      </c>
      <c r="G3588" t="str">
        <f t="shared" si="903"/>
        <v>Y</v>
      </c>
      <c r="H3588" t="str">
        <f t="shared" si="902"/>
        <v>EA</v>
      </c>
      <c r="I3588">
        <v>0</v>
      </c>
      <c r="J3588">
        <v>0</v>
      </c>
      <c r="K3588" t="str">
        <f t="shared" si="904"/>
        <v>Y</v>
      </c>
      <c r="L3588">
        <v>0</v>
      </c>
      <c r="M3588" t="str">
        <f t="shared" si="891"/>
        <v>NIS</v>
      </c>
      <c r="O3588">
        <v>11</v>
      </c>
      <c r="P3588" t="str">
        <f t="shared" si="899"/>
        <v>Active</v>
      </c>
      <c r="Q3588" t="str">
        <f>"CNC Interface with BenchMILL 6000"</f>
        <v>CNC Interface with BenchMILL 6000</v>
      </c>
      <c r="S3588" t="str">
        <f>"CNC Interface with BenchMILL 6000"</f>
        <v>CNC Interface with BenchMILL 6000</v>
      </c>
      <c r="T3588">
        <v>0</v>
      </c>
      <c r="U3588">
        <v>21</v>
      </c>
      <c r="V3588">
        <v>19.7</v>
      </c>
      <c r="W3588" t="str">
        <f t="shared" si="895"/>
        <v>rob</v>
      </c>
    </row>
    <row r="3589" spans="1:23">
      <c r="A3589" t="str">
        <f t="shared" si="900"/>
        <v>MTS-S-ER4U-BM-BT</v>
      </c>
      <c r="B3589" t="str">
        <f>"10-2120-1000"</f>
        <v>10-2120-1000</v>
      </c>
      <c r="C3589" t="str">
        <f>"CNC Interface with BenchTurn 7000"</f>
        <v>CNC Interface with BenchTurn 7000</v>
      </c>
      <c r="D3589">
        <v>1</v>
      </c>
      <c r="E3589" t="str">
        <f t="shared" si="901"/>
        <v>FMS - Scorbot ER4U robot for BenchMill 6000 &amp; BenchTurn 7000 CNC machines</v>
      </c>
      <c r="F3589">
        <v>502</v>
      </c>
      <c r="G3589" t="str">
        <f t="shared" si="903"/>
        <v>Y</v>
      </c>
      <c r="H3589" t="str">
        <f t="shared" si="902"/>
        <v>EA</v>
      </c>
      <c r="I3589">
        <v>0</v>
      </c>
      <c r="J3589">
        <v>0</v>
      </c>
      <c r="K3589" t="str">
        <f t="shared" si="904"/>
        <v>Y</v>
      </c>
      <c r="L3589">
        <v>0</v>
      </c>
      <c r="M3589" t="str">
        <f t="shared" si="891"/>
        <v>NIS</v>
      </c>
      <c r="O3589">
        <v>12</v>
      </c>
      <c r="P3589" t="str">
        <f t="shared" si="899"/>
        <v>Active</v>
      </c>
      <c r="Q3589" t="str">
        <f>"CNC Interface with BenchTurn 7000"</f>
        <v>CNC Interface with BenchTurn 7000</v>
      </c>
      <c r="S3589" t="str">
        <f>"CNC Interface with BenchTurn 7000"</f>
        <v>CNC Interface with BenchTurn 7000</v>
      </c>
      <c r="T3589">
        <v>0</v>
      </c>
      <c r="U3589">
        <v>60</v>
      </c>
      <c r="V3589">
        <v>19.7</v>
      </c>
      <c r="W3589" t="str">
        <f t="shared" si="895"/>
        <v>rob</v>
      </c>
    </row>
    <row r="3590" spans="1:23">
      <c r="A3590" t="str">
        <f t="shared" si="900"/>
        <v>MTS-S-ER4U-BM-BT</v>
      </c>
      <c r="B3590" t="str">
        <f>"00-1261-0000"</f>
        <v>00-1261-0000</v>
      </c>
      <c r="C3590" t="str">
        <f>"Workbench 1800x900mm (Heavy duty for CNC)"</f>
        <v>Workbench 1800x900mm (Heavy duty for CNC)</v>
      </c>
      <c r="D3590">
        <v>2</v>
      </c>
      <c r="E3590" t="str">
        <f t="shared" si="901"/>
        <v>FMS - Scorbot ER4U robot for BenchMill 6000 &amp; BenchTurn 7000 CNC machines</v>
      </c>
      <c r="F3590">
        <v>502</v>
      </c>
      <c r="G3590" t="str">
        <f t="shared" si="903"/>
        <v>Y</v>
      </c>
      <c r="H3590" t="str">
        <f t="shared" si="902"/>
        <v>EA</v>
      </c>
      <c r="I3590">
        <v>0</v>
      </c>
      <c r="J3590">
        <v>0</v>
      </c>
      <c r="K3590" t="str">
        <f t="shared" si="904"/>
        <v>Y</v>
      </c>
      <c r="L3590">
        <v>0</v>
      </c>
      <c r="M3590" t="str">
        <f t="shared" si="891"/>
        <v>NIS</v>
      </c>
      <c r="O3590">
        <v>13</v>
      </c>
      <c r="P3590" t="str">
        <f t="shared" si="899"/>
        <v>Active</v>
      </c>
      <c r="Q3590" t="str">
        <f>"Workbench 1800x900mm (Heavy duty for CNC)"</f>
        <v>Workbench 1800x900mm (Heavy duty for CNC)</v>
      </c>
      <c r="S3590" t="str">
        <f>"Workbench 1800x900mm (Heavy duty for CNC)"</f>
        <v>Workbench 1800x900mm (Heavy duty for CNC)</v>
      </c>
      <c r="T3590">
        <v>0</v>
      </c>
      <c r="U3590">
        <v>830</v>
      </c>
      <c r="V3590">
        <v>831.14</v>
      </c>
      <c r="W3590" t="str">
        <f t="shared" si="895"/>
        <v>rob</v>
      </c>
    </row>
    <row r="3591" spans="1:23">
      <c r="A3591" t="str">
        <f t="shared" si="900"/>
        <v>MTS-S-ER4U-BM-BT</v>
      </c>
      <c r="B3591" t="str">
        <f>"00-1265-0000"</f>
        <v>00-1265-0000</v>
      </c>
      <c r="C3591" t="str">
        <f>"PC Extension Shelf  600x900mm"</f>
        <v>PC Extension Shelf  600x900mm</v>
      </c>
      <c r="D3591">
        <v>1</v>
      </c>
      <c r="E3591" t="str">
        <f t="shared" si="901"/>
        <v>FMS - Scorbot ER4U robot for BenchMill 6000 &amp; BenchTurn 7000 CNC machines</v>
      </c>
      <c r="F3591">
        <v>502</v>
      </c>
      <c r="G3591" t="str">
        <f t="shared" si="903"/>
        <v>Y</v>
      </c>
      <c r="H3591" t="str">
        <f t="shared" si="902"/>
        <v>EA</v>
      </c>
      <c r="I3591">
        <v>0</v>
      </c>
      <c r="J3591">
        <v>0</v>
      </c>
      <c r="K3591" t="str">
        <f t="shared" si="904"/>
        <v>Y</v>
      </c>
      <c r="L3591">
        <v>0</v>
      </c>
      <c r="M3591" t="str">
        <f t="shared" si="891"/>
        <v>NIS</v>
      </c>
      <c r="O3591">
        <v>14</v>
      </c>
      <c r="P3591" t="str">
        <f t="shared" si="899"/>
        <v>Active</v>
      </c>
      <c r="Q3591" t="str">
        <f>"PC Extension Shelf  600x900mm"</f>
        <v>PC Extension Shelf  600x900mm</v>
      </c>
      <c r="S3591" t="str">
        <f>"PC Extension Shelf  600x900mm"</f>
        <v>PC Extension Shelf  600x900mm</v>
      </c>
      <c r="T3591">
        <v>0</v>
      </c>
      <c r="U3591">
        <v>211</v>
      </c>
      <c r="V3591">
        <v>198.88</v>
      </c>
      <c r="W3591" t="str">
        <f t="shared" si="895"/>
        <v>rob</v>
      </c>
    </row>
    <row r="3592" spans="1:23">
      <c r="A3592" t="str">
        <f t="shared" si="900"/>
        <v>MTS-S-ER4U-BM-BT</v>
      </c>
      <c r="B3592" t="str">
        <f>"50-0094-0000"</f>
        <v>50-0094-0000</v>
      </c>
      <c r="C3592" t="str">
        <f>"Pre-Engineering, Design and Testing"</f>
        <v>Pre-Engineering, Design and Testing</v>
      </c>
      <c r="D3592">
        <v>1</v>
      </c>
      <c r="E3592" t="str">
        <f t="shared" si="901"/>
        <v>FMS - Scorbot ER4U robot for BenchMill 6000 &amp; BenchTurn 7000 CNC machines</v>
      </c>
      <c r="F3592">
        <v>502</v>
      </c>
      <c r="G3592" t="str">
        <f t="shared" si="903"/>
        <v>Y</v>
      </c>
      <c r="H3592" t="str">
        <f>"DA"</f>
        <v>DA</v>
      </c>
      <c r="I3592">
        <v>0</v>
      </c>
      <c r="J3592">
        <v>0</v>
      </c>
      <c r="K3592" t="str">
        <f t="shared" si="904"/>
        <v>Y</v>
      </c>
      <c r="L3592">
        <v>0</v>
      </c>
      <c r="M3592" t="str">
        <f t="shared" si="891"/>
        <v>NIS</v>
      </c>
      <c r="O3592">
        <v>15</v>
      </c>
      <c r="P3592" t="str">
        <f t="shared" si="899"/>
        <v>Active</v>
      </c>
      <c r="Q3592" t="str">
        <f>"Pre-Engineering, Design and Testing"</f>
        <v>Pre-Engineering, Design and Testing</v>
      </c>
      <c r="S3592" t="str">
        <f>"Pre-Engineering, Design and Testing"</f>
        <v>Pre-Engineering, Design and Testing</v>
      </c>
      <c r="T3592">
        <v>0</v>
      </c>
      <c r="U3592">
        <v>405</v>
      </c>
      <c r="V3592">
        <v>421.2</v>
      </c>
      <c r="W3592" t="str">
        <f t="shared" si="895"/>
        <v>rob</v>
      </c>
    </row>
    <row r="3593" spans="1:23">
      <c r="A3593" t="str">
        <f t="shared" ref="A3593:A3605" si="905">"MTS-S-ER4U-BT"</f>
        <v>MTS-S-ER4U-BT</v>
      </c>
      <c r="B3593" t="str">
        <f>"00-0413-0000"</f>
        <v>00-0413-0000</v>
      </c>
      <c r="C3593" t="str">
        <f>"SCORBOT-ER 4u"</f>
        <v>SCORBOT-ER 4u</v>
      </c>
      <c r="D3593">
        <v>1</v>
      </c>
      <c r="E3593" t="str">
        <f t="shared" ref="E3593:E3605" si="906">"FMS - Scorbot ER4U Robot for BenchTurn 7000 CNC machine"</f>
        <v>FMS - Scorbot ER4U Robot for BenchTurn 7000 CNC machine</v>
      </c>
      <c r="F3593">
        <v>502</v>
      </c>
      <c r="G3593" t="str">
        <f t="shared" si="903"/>
        <v>Y</v>
      </c>
      <c r="H3593" t="str">
        <f t="shared" ref="H3593:H3604" si="907">"EA"</f>
        <v>EA</v>
      </c>
      <c r="I3593">
        <v>0</v>
      </c>
      <c r="J3593">
        <v>0</v>
      </c>
      <c r="K3593" t="str">
        <f t="shared" si="904"/>
        <v>Y</v>
      </c>
      <c r="L3593">
        <v>0</v>
      </c>
      <c r="M3593" t="str">
        <f t="shared" si="891"/>
        <v>NIS</v>
      </c>
      <c r="O3593">
        <v>1</v>
      </c>
      <c r="P3593" t="str">
        <f t="shared" si="899"/>
        <v>Active</v>
      </c>
      <c r="Q3593" t="str">
        <f>"SCORBOT-ER 4u (Package)"</f>
        <v>SCORBOT-ER 4u (Package)</v>
      </c>
      <c r="S3593" t="str">
        <f>"SCORBOT-ER 4u (Package)"</f>
        <v>SCORBOT-ER 4u (Package)</v>
      </c>
      <c r="T3593">
        <v>0</v>
      </c>
      <c r="U3593" s="44">
        <v>3200</v>
      </c>
      <c r="V3593" s="44">
        <v>3390.7</v>
      </c>
      <c r="W3593" t="str">
        <f t="shared" si="895"/>
        <v>rob</v>
      </c>
    </row>
    <row r="3594" spans="1:23">
      <c r="A3594" t="str">
        <f t="shared" si="905"/>
        <v>MTS-S-ER4U-BT</v>
      </c>
      <c r="B3594" t="str">
        <f>"00-0609-0000"</f>
        <v>00-0609-0000</v>
      </c>
      <c r="C3594" t="str">
        <f>"Gripper attachment for round and square parts"</f>
        <v>Gripper attachment for round and square parts</v>
      </c>
      <c r="D3594">
        <v>1</v>
      </c>
      <c r="E3594" t="str">
        <f t="shared" si="906"/>
        <v>FMS - Scorbot ER4U Robot for BenchTurn 7000 CNC machine</v>
      </c>
      <c r="F3594">
        <v>502</v>
      </c>
      <c r="G3594" t="str">
        <f t="shared" si="903"/>
        <v>Y</v>
      </c>
      <c r="H3594" t="str">
        <f t="shared" si="907"/>
        <v>EA</v>
      </c>
      <c r="I3594">
        <v>0</v>
      </c>
      <c r="J3594">
        <v>0</v>
      </c>
      <c r="K3594" t="str">
        <f t="shared" si="904"/>
        <v>Y</v>
      </c>
      <c r="L3594">
        <v>0</v>
      </c>
      <c r="M3594" t="str">
        <f t="shared" si="891"/>
        <v>NIS</v>
      </c>
      <c r="O3594">
        <v>2</v>
      </c>
      <c r="P3594" t="str">
        <f t="shared" si="899"/>
        <v>Active</v>
      </c>
      <c r="Q3594" t="str">
        <f>"End Effector Attachment for ER4U Gripper"</f>
        <v>End Effector Attachment for ER4U Gripper</v>
      </c>
      <c r="S3594" t="str">
        <f>"End Effector Attachment for ER4U Gripper"</f>
        <v>End Effector Attachment for ER4U Gripper</v>
      </c>
      <c r="T3594">
        <v>0</v>
      </c>
      <c r="U3594">
        <v>25.59</v>
      </c>
      <c r="V3594">
        <v>25.11</v>
      </c>
      <c r="W3594" t="str">
        <f t="shared" si="895"/>
        <v>rob</v>
      </c>
    </row>
    <row r="3595" spans="1:23">
      <c r="A3595" t="str">
        <f t="shared" si="905"/>
        <v>MTS-S-ER4U-BT</v>
      </c>
      <c r="B3595" t="str">
        <f>"00-1710-0000"</f>
        <v>00-1710-0000</v>
      </c>
      <c r="C3595" t="str">
        <f>"Teach Pendant"</f>
        <v>Teach Pendant</v>
      </c>
      <c r="D3595">
        <v>1</v>
      </c>
      <c r="E3595" t="str">
        <f t="shared" si="906"/>
        <v>FMS - Scorbot ER4U Robot for BenchTurn 7000 CNC machine</v>
      </c>
      <c r="F3595">
        <v>502</v>
      </c>
      <c r="G3595" t="str">
        <f t="shared" si="903"/>
        <v>Y</v>
      </c>
      <c r="H3595" t="str">
        <f t="shared" si="907"/>
        <v>EA</v>
      </c>
      <c r="I3595">
        <v>0</v>
      </c>
      <c r="J3595">
        <v>0</v>
      </c>
      <c r="K3595" t="str">
        <f t="shared" si="904"/>
        <v>Y</v>
      </c>
      <c r="L3595">
        <v>0</v>
      </c>
      <c r="M3595" t="str">
        <f t="shared" si="891"/>
        <v>NIS</v>
      </c>
      <c r="O3595">
        <v>3</v>
      </c>
      <c r="P3595" t="str">
        <f t="shared" si="899"/>
        <v>Active</v>
      </c>
      <c r="Q3595" t="str">
        <f>"Teach Pendant for USB/USB Pro Controllers"</f>
        <v>Teach Pendant for USB/USB Pro Controllers</v>
      </c>
      <c r="S3595" t="str">
        <f>"Teach Pendant for USB/USB Pro Controllers"</f>
        <v>Teach Pendant for USB/USB Pro Controllers</v>
      </c>
      <c r="T3595">
        <v>0</v>
      </c>
      <c r="U3595">
        <v>160.18</v>
      </c>
      <c r="V3595">
        <v>161.44999999999999</v>
      </c>
      <c r="W3595" t="str">
        <f t="shared" si="895"/>
        <v>rob</v>
      </c>
    </row>
    <row r="3596" spans="1:23">
      <c r="A3596" t="str">
        <f t="shared" si="905"/>
        <v>MTS-S-ER4U-BT</v>
      </c>
      <c r="B3596" t="str">
        <f>"00-1020-0000"</f>
        <v>00-1020-0000</v>
      </c>
      <c r="C3596" t="str">
        <f>"LSB 1.0m, Belt, TT"</f>
        <v>LSB 1.0m, Belt, TT</v>
      </c>
      <c r="D3596">
        <v>1</v>
      </c>
      <c r="E3596" t="str">
        <f t="shared" si="906"/>
        <v>FMS - Scorbot ER4U Robot for BenchTurn 7000 CNC machine</v>
      </c>
      <c r="F3596">
        <v>502</v>
      </c>
      <c r="G3596" t="str">
        <f t="shared" si="903"/>
        <v>Y</v>
      </c>
      <c r="H3596" t="str">
        <f t="shared" si="907"/>
        <v>EA</v>
      </c>
      <c r="I3596">
        <v>0</v>
      </c>
      <c r="J3596">
        <v>0</v>
      </c>
      <c r="K3596" t="str">
        <f t="shared" si="904"/>
        <v>Y</v>
      </c>
      <c r="L3596">
        <v>0</v>
      </c>
      <c r="M3596" t="str">
        <f t="shared" si="891"/>
        <v>NIS</v>
      </c>
      <c r="O3596">
        <v>4</v>
      </c>
      <c r="P3596" t="str">
        <f t="shared" si="899"/>
        <v>Active</v>
      </c>
      <c r="Q3596" t="str">
        <f>"LSB 1.0m (Belt, Table-Top)"</f>
        <v>LSB 1.0m (Belt, Table-Top)</v>
      </c>
      <c r="S3596" t="str">
        <f>"LSB 1.0m, Belt, Table-Top"</f>
        <v>LSB 1.0m, Belt, Table-Top</v>
      </c>
      <c r="T3596">
        <v>0</v>
      </c>
      <c r="U3596" s="44">
        <v>1850</v>
      </c>
      <c r="V3596" s="44">
        <v>1739.55</v>
      </c>
      <c r="W3596" t="str">
        <f t="shared" si="895"/>
        <v>rob</v>
      </c>
    </row>
    <row r="3597" spans="1:23">
      <c r="A3597" t="str">
        <f t="shared" si="905"/>
        <v>MTS-S-ER4U-BT</v>
      </c>
      <c r="B3597" t="str">
        <f>"10-1003-8000"</f>
        <v>10-1003-8000</v>
      </c>
      <c r="C3597" t="str">
        <f>"Stand for table's LSB"</f>
        <v>Stand for table's LSB</v>
      </c>
      <c r="D3597">
        <v>1</v>
      </c>
      <c r="E3597" t="str">
        <f t="shared" si="906"/>
        <v>FMS - Scorbot ER4U Robot for BenchTurn 7000 CNC machine</v>
      </c>
      <c r="F3597">
        <v>502</v>
      </c>
      <c r="G3597" t="str">
        <f t="shared" si="903"/>
        <v>Y</v>
      </c>
      <c r="H3597" t="str">
        <f t="shared" si="907"/>
        <v>EA</v>
      </c>
      <c r="I3597">
        <v>0</v>
      </c>
      <c r="J3597">
        <v>0</v>
      </c>
      <c r="K3597" t="str">
        <f t="shared" si="904"/>
        <v>Y</v>
      </c>
      <c r="L3597">
        <v>0</v>
      </c>
      <c r="M3597" t="str">
        <f t="shared" si="891"/>
        <v>NIS</v>
      </c>
      <c r="O3597">
        <v>5</v>
      </c>
      <c r="P3597" t="str">
        <f t="shared" ref="P3597:P3616" si="908">"Active"</f>
        <v>Active</v>
      </c>
      <c r="Q3597" t="str">
        <f>"Stand for table's LSB"</f>
        <v>Stand for table's LSB</v>
      </c>
      <c r="S3597" t="str">
        <f>"Stand for table's LSB"</f>
        <v>Stand for table's LSB</v>
      </c>
      <c r="T3597">
        <v>0</v>
      </c>
      <c r="U3597">
        <v>233</v>
      </c>
      <c r="V3597">
        <v>237.29</v>
      </c>
      <c r="W3597" t="str">
        <f t="shared" si="895"/>
        <v>rob</v>
      </c>
    </row>
    <row r="3598" spans="1:23">
      <c r="A3598" t="str">
        <f t="shared" si="905"/>
        <v>MTS-S-ER4U-BT</v>
      </c>
      <c r="B3598" t="str">
        <f>"021152"</f>
        <v>021152</v>
      </c>
      <c r="C3598" t="str">
        <f>"Shelf Buffer for CIM conveyor"</f>
        <v>Shelf Buffer for CIM conveyor</v>
      </c>
      <c r="D3598">
        <v>1</v>
      </c>
      <c r="E3598" t="str">
        <f t="shared" si="906"/>
        <v>FMS - Scorbot ER4U Robot for BenchTurn 7000 CNC machine</v>
      </c>
      <c r="F3598">
        <v>502</v>
      </c>
      <c r="G3598" t="str">
        <f t="shared" si="903"/>
        <v>Y</v>
      </c>
      <c r="H3598" t="str">
        <f t="shared" si="907"/>
        <v>EA</v>
      </c>
      <c r="I3598">
        <v>0</v>
      </c>
      <c r="J3598">
        <v>0</v>
      </c>
      <c r="K3598" t="str">
        <f t="shared" si="904"/>
        <v>Y</v>
      </c>
      <c r="L3598">
        <v>0</v>
      </c>
      <c r="M3598" t="str">
        <f t="shared" ref="M3598:M3637" si="909">"NIS"</f>
        <v>NIS</v>
      </c>
      <c r="O3598">
        <v>6</v>
      </c>
      <c r="P3598" t="str">
        <f t="shared" si="908"/>
        <v>Active</v>
      </c>
      <c r="Q3598" t="str">
        <f>"מכלול- מדף בפר סטנדרטי OPEN-CIM"</f>
        <v>מכלול- מדף בפר סטנדרטי OPEN-CIM</v>
      </c>
      <c r="R3598" t="str">
        <f>"1"</f>
        <v>1</v>
      </c>
      <c r="S3598" t="str">
        <f>"מכלול- מדף בפר סטנדרטי OPEN-CIM"</f>
        <v>מכלול- מדף בפר סטנדרטי OPEN-CIM</v>
      </c>
      <c r="T3598">
        <v>0</v>
      </c>
      <c r="U3598">
        <v>83.12</v>
      </c>
      <c r="V3598">
        <v>92.76</v>
      </c>
      <c r="W3598" t="str">
        <f t="shared" si="895"/>
        <v>rob</v>
      </c>
    </row>
    <row r="3599" spans="1:23">
      <c r="A3599" t="str">
        <f t="shared" si="905"/>
        <v>MTS-S-ER4U-BT</v>
      </c>
      <c r="B3599" t="str">
        <f>"10-1007-4000"</f>
        <v>10-1007-4000</v>
      </c>
      <c r="C3599" t="str">
        <f>"Gravity Parts Feeder (with microswitch sensor)"</f>
        <v>Gravity Parts Feeder (with microswitch sensor)</v>
      </c>
      <c r="D3599">
        <v>1</v>
      </c>
      <c r="E3599" t="str">
        <f t="shared" si="906"/>
        <v>FMS - Scorbot ER4U Robot for BenchTurn 7000 CNC machine</v>
      </c>
      <c r="F3599">
        <v>502</v>
      </c>
      <c r="G3599" t="str">
        <f t="shared" si="903"/>
        <v>Y</v>
      </c>
      <c r="H3599" t="str">
        <f t="shared" si="907"/>
        <v>EA</v>
      </c>
      <c r="I3599">
        <v>0</v>
      </c>
      <c r="J3599">
        <v>0</v>
      </c>
      <c r="K3599" t="str">
        <f t="shared" si="904"/>
        <v>Y</v>
      </c>
      <c r="L3599">
        <v>0</v>
      </c>
      <c r="M3599" t="str">
        <f t="shared" si="909"/>
        <v>NIS</v>
      </c>
      <c r="O3599">
        <v>7</v>
      </c>
      <c r="P3599" t="str">
        <f t="shared" si="908"/>
        <v>Active</v>
      </c>
      <c r="Q3599" t="str">
        <f>"Gravity Parts Feeder (incl.microswitch sensor)"</f>
        <v>Gravity Parts Feeder (incl.microswitch sensor)</v>
      </c>
      <c r="S3599" t="str">
        <f>"Gravity Parts Feeder (incl.microswitch sensor)"</f>
        <v>Gravity Parts Feeder (incl.microswitch sensor)</v>
      </c>
      <c r="T3599">
        <v>0</v>
      </c>
      <c r="U3599">
        <v>148</v>
      </c>
      <c r="V3599">
        <v>148.26</v>
      </c>
      <c r="W3599" t="str">
        <f t="shared" si="895"/>
        <v>rob</v>
      </c>
    </row>
    <row r="3600" spans="1:23">
      <c r="A3600" t="str">
        <f t="shared" si="905"/>
        <v>MTS-S-ER4U-BT</v>
      </c>
      <c r="B3600" t="str">
        <f>"00-1110-0000"</f>
        <v>00-1110-0000</v>
      </c>
      <c r="C3600" t="str">
        <f>"Palletizing Rack"</f>
        <v>Palletizing Rack</v>
      </c>
      <c r="D3600">
        <v>1</v>
      </c>
      <c r="E3600" t="str">
        <f t="shared" si="906"/>
        <v>FMS - Scorbot ER4U Robot for BenchTurn 7000 CNC machine</v>
      </c>
      <c r="F3600">
        <v>502</v>
      </c>
      <c r="G3600" t="str">
        <f t="shared" si="903"/>
        <v>Y</v>
      </c>
      <c r="H3600" t="str">
        <f t="shared" si="907"/>
        <v>EA</v>
      </c>
      <c r="I3600">
        <v>0</v>
      </c>
      <c r="J3600">
        <v>0</v>
      </c>
      <c r="K3600" t="str">
        <f t="shared" si="904"/>
        <v>Y</v>
      </c>
      <c r="L3600">
        <v>0</v>
      </c>
      <c r="M3600" t="str">
        <f t="shared" si="909"/>
        <v>NIS</v>
      </c>
      <c r="O3600">
        <v>8</v>
      </c>
      <c r="P3600" t="str">
        <f t="shared" si="908"/>
        <v>Active</v>
      </c>
      <c r="Q3600" t="str">
        <f>"Palletizing Rack (incl. Pins for creating Jigs)"</f>
        <v>Palletizing Rack (incl. Pins for creating Jigs)</v>
      </c>
      <c r="S3600" t="str">
        <f>"Palletizing Rack (incl. Pins for creating Jigs)"</f>
        <v>Palletizing Rack (incl. Pins for creating Jigs)</v>
      </c>
      <c r="T3600">
        <v>0</v>
      </c>
      <c r="U3600">
        <v>63</v>
      </c>
      <c r="V3600">
        <v>58.59</v>
      </c>
      <c r="W3600" t="str">
        <f t="shared" si="895"/>
        <v>rob</v>
      </c>
    </row>
    <row r="3601" spans="1:23">
      <c r="A3601" t="str">
        <f t="shared" si="905"/>
        <v>MTS-S-ER4U-BT</v>
      </c>
      <c r="B3601" t="str">
        <f>"021182"</f>
        <v>021182</v>
      </c>
      <c r="C3601" t="str">
        <f>"97mm Height Adapter"</f>
        <v>97mm Height Adapter</v>
      </c>
      <c r="D3601">
        <v>1</v>
      </c>
      <c r="E3601" t="str">
        <f t="shared" si="906"/>
        <v>FMS - Scorbot ER4U Robot for BenchTurn 7000 CNC machine</v>
      </c>
      <c r="F3601">
        <v>502</v>
      </c>
      <c r="G3601" t="str">
        <f t="shared" si="903"/>
        <v>Y</v>
      </c>
      <c r="H3601" t="str">
        <f t="shared" si="907"/>
        <v>EA</v>
      </c>
      <c r="I3601">
        <v>0</v>
      </c>
      <c r="J3601">
        <v>0</v>
      </c>
      <c r="K3601" t="str">
        <f t="shared" si="904"/>
        <v>Y</v>
      </c>
      <c r="L3601">
        <v>0</v>
      </c>
      <c r="M3601" t="str">
        <f t="shared" si="909"/>
        <v>NIS</v>
      </c>
      <c r="O3601">
        <v>9</v>
      </c>
      <c r="P3601" t="str">
        <f t="shared" si="908"/>
        <v>Active</v>
      </c>
      <c r="Q3601" t="str">
        <f>"97mm Height Adapter -Rack 001110 on formica 28mm"</f>
        <v>97mm Height Adapter -Rack 001110 on formica 28mm</v>
      </c>
      <c r="S3601" t="str">
        <f>"97mm Height Adapter -Rack 001110 on formica 28mm"</f>
        <v>97mm Height Adapter -Rack 001110 on formica 28mm</v>
      </c>
      <c r="T3601">
        <v>0</v>
      </c>
      <c r="U3601">
        <v>7</v>
      </c>
      <c r="V3601">
        <v>5.5</v>
      </c>
      <c r="W3601" t="str">
        <f t="shared" si="895"/>
        <v>rob</v>
      </c>
    </row>
    <row r="3602" spans="1:23">
      <c r="A3602" t="str">
        <f t="shared" si="905"/>
        <v>MTS-S-ER4U-BT</v>
      </c>
      <c r="B3602" t="str">
        <f>"10-2120-1000"</f>
        <v>10-2120-1000</v>
      </c>
      <c r="C3602" t="str">
        <f>"CNC Interface with BenchTurn 7000"</f>
        <v>CNC Interface with BenchTurn 7000</v>
      </c>
      <c r="D3602">
        <v>1</v>
      </c>
      <c r="E3602" t="str">
        <f t="shared" si="906"/>
        <v>FMS - Scorbot ER4U Robot for BenchTurn 7000 CNC machine</v>
      </c>
      <c r="F3602">
        <v>502</v>
      </c>
      <c r="G3602" t="str">
        <f t="shared" si="903"/>
        <v>Y</v>
      </c>
      <c r="H3602" t="str">
        <f t="shared" si="907"/>
        <v>EA</v>
      </c>
      <c r="I3602">
        <v>0</v>
      </c>
      <c r="J3602">
        <v>0</v>
      </c>
      <c r="K3602" t="str">
        <f t="shared" si="904"/>
        <v>Y</v>
      </c>
      <c r="L3602">
        <v>0</v>
      </c>
      <c r="M3602" t="str">
        <f t="shared" si="909"/>
        <v>NIS</v>
      </c>
      <c r="O3602">
        <v>10</v>
      </c>
      <c r="P3602" t="str">
        <f t="shared" si="908"/>
        <v>Active</v>
      </c>
      <c r="Q3602" t="str">
        <f>"CNC Interface with BenchTurn 7000"</f>
        <v>CNC Interface with BenchTurn 7000</v>
      </c>
      <c r="S3602" t="str">
        <f>"CNC Interface with BenchTurn 7000"</f>
        <v>CNC Interface with BenchTurn 7000</v>
      </c>
      <c r="T3602">
        <v>0</v>
      </c>
      <c r="U3602">
        <v>60</v>
      </c>
      <c r="V3602">
        <v>19.7</v>
      </c>
      <c r="W3602" t="str">
        <f t="shared" si="895"/>
        <v>rob</v>
      </c>
    </row>
    <row r="3603" spans="1:23">
      <c r="A3603" t="str">
        <f t="shared" si="905"/>
        <v>MTS-S-ER4U-BT</v>
      </c>
      <c r="B3603" t="str">
        <f>"00-1261-0000"</f>
        <v>00-1261-0000</v>
      </c>
      <c r="C3603" t="str">
        <f>"Workbench 1800x900mm (Heavy duty for CNC)"</f>
        <v>Workbench 1800x900mm (Heavy duty for CNC)</v>
      </c>
      <c r="D3603">
        <v>1</v>
      </c>
      <c r="E3603" t="str">
        <f t="shared" si="906"/>
        <v>FMS - Scorbot ER4U Robot for BenchTurn 7000 CNC machine</v>
      </c>
      <c r="F3603">
        <v>502</v>
      </c>
      <c r="G3603" t="str">
        <f t="shared" si="903"/>
        <v>Y</v>
      </c>
      <c r="H3603" t="str">
        <f t="shared" si="907"/>
        <v>EA</v>
      </c>
      <c r="I3603">
        <v>0</v>
      </c>
      <c r="J3603">
        <v>0</v>
      </c>
      <c r="K3603" t="str">
        <f t="shared" si="904"/>
        <v>Y</v>
      </c>
      <c r="L3603">
        <v>0</v>
      </c>
      <c r="M3603" t="str">
        <f t="shared" si="909"/>
        <v>NIS</v>
      </c>
      <c r="O3603">
        <v>11</v>
      </c>
      <c r="P3603" t="str">
        <f t="shared" si="908"/>
        <v>Active</v>
      </c>
      <c r="Q3603" t="str">
        <f>"Workbench 1800x900mm (Heavy duty for CNC)"</f>
        <v>Workbench 1800x900mm (Heavy duty for CNC)</v>
      </c>
      <c r="S3603" t="str">
        <f>"Workbench 1800x900mm (Heavy duty for CNC)"</f>
        <v>Workbench 1800x900mm (Heavy duty for CNC)</v>
      </c>
      <c r="T3603">
        <v>0</v>
      </c>
      <c r="U3603">
        <v>830</v>
      </c>
      <c r="V3603">
        <v>831.14</v>
      </c>
      <c r="W3603" t="str">
        <f t="shared" si="895"/>
        <v>rob</v>
      </c>
    </row>
    <row r="3604" spans="1:23">
      <c r="A3604" t="str">
        <f t="shared" si="905"/>
        <v>MTS-S-ER4U-BT</v>
      </c>
      <c r="B3604" t="str">
        <f>"00-1265-0000"</f>
        <v>00-1265-0000</v>
      </c>
      <c r="C3604" t="str">
        <f>"PC Extension Shelf  600x900mm"</f>
        <v>PC Extension Shelf  600x900mm</v>
      </c>
      <c r="D3604">
        <v>1</v>
      </c>
      <c r="E3604" t="str">
        <f t="shared" si="906"/>
        <v>FMS - Scorbot ER4U Robot for BenchTurn 7000 CNC machine</v>
      </c>
      <c r="F3604">
        <v>502</v>
      </c>
      <c r="G3604" t="str">
        <f t="shared" si="903"/>
        <v>Y</v>
      </c>
      <c r="H3604" t="str">
        <f t="shared" si="907"/>
        <v>EA</v>
      </c>
      <c r="I3604">
        <v>0</v>
      </c>
      <c r="J3604">
        <v>0</v>
      </c>
      <c r="K3604" t="str">
        <f t="shared" si="904"/>
        <v>Y</v>
      </c>
      <c r="L3604">
        <v>0</v>
      </c>
      <c r="M3604" t="str">
        <f t="shared" si="909"/>
        <v>NIS</v>
      </c>
      <c r="O3604">
        <v>12</v>
      </c>
      <c r="P3604" t="str">
        <f t="shared" si="908"/>
        <v>Active</v>
      </c>
      <c r="Q3604" t="str">
        <f>"PC Extension Shelf  600x900mm"</f>
        <v>PC Extension Shelf  600x900mm</v>
      </c>
      <c r="S3604" t="str">
        <f>"PC Extension Shelf  600x900mm"</f>
        <v>PC Extension Shelf  600x900mm</v>
      </c>
      <c r="T3604">
        <v>0</v>
      </c>
      <c r="U3604">
        <v>211</v>
      </c>
      <c r="V3604">
        <v>198.88</v>
      </c>
      <c r="W3604" t="str">
        <f t="shared" si="895"/>
        <v>rob</v>
      </c>
    </row>
    <row r="3605" spans="1:23">
      <c r="A3605" t="str">
        <f t="shared" si="905"/>
        <v>MTS-S-ER4U-BT</v>
      </c>
      <c r="B3605" t="str">
        <f>"50-0094-0000"</f>
        <v>50-0094-0000</v>
      </c>
      <c r="C3605" t="str">
        <f>"Pre-Engineering, Design and Testing"</f>
        <v>Pre-Engineering, Design and Testing</v>
      </c>
      <c r="D3605">
        <v>1</v>
      </c>
      <c r="E3605" t="str">
        <f t="shared" si="906"/>
        <v>FMS - Scorbot ER4U Robot for BenchTurn 7000 CNC machine</v>
      </c>
      <c r="F3605">
        <v>502</v>
      </c>
      <c r="G3605" t="str">
        <f t="shared" si="903"/>
        <v>Y</v>
      </c>
      <c r="H3605" t="str">
        <f>"DA"</f>
        <v>DA</v>
      </c>
      <c r="I3605">
        <v>0</v>
      </c>
      <c r="J3605">
        <v>0</v>
      </c>
      <c r="K3605" t="str">
        <f t="shared" si="904"/>
        <v>Y</v>
      </c>
      <c r="L3605">
        <v>0</v>
      </c>
      <c r="M3605" t="str">
        <f t="shared" si="909"/>
        <v>NIS</v>
      </c>
      <c r="O3605">
        <v>13</v>
      </c>
      <c r="P3605" t="str">
        <f t="shared" si="908"/>
        <v>Active</v>
      </c>
      <c r="Q3605" t="str">
        <f>"Pre-Engineering, Design and Testing"</f>
        <v>Pre-Engineering, Design and Testing</v>
      </c>
      <c r="S3605" t="str">
        <f>"Pre-Engineering, Design and Testing"</f>
        <v>Pre-Engineering, Design and Testing</v>
      </c>
      <c r="T3605">
        <v>0</v>
      </c>
      <c r="U3605">
        <v>405</v>
      </c>
      <c r="V3605">
        <v>421.2</v>
      </c>
      <c r="W3605" t="str">
        <f t="shared" si="895"/>
        <v>rob</v>
      </c>
    </row>
    <row r="3606" spans="1:23">
      <c r="A3606" t="str">
        <f t="shared" ref="A3606:A3621" si="910">"MTS-S-ER9P-BM"</f>
        <v>MTS-S-ER9P-BM</v>
      </c>
      <c r="B3606" t="str">
        <f>"00-0430-0000"</f>
        <v>00-0430-0000</v>
      </c>
      <c r="C3606" t="str">
        <f>"SCORBOT-ER9Pro"</f>
        <v>SCORBOT-ER9Pro</v>
      </c>
      <c r="D3606">
        <v>1</v>
      </c>
      <c r="E3606" t="str">
        <f t="shared" ref="E3606:E3621" si="911">"FMS - Scorbot ER9Pro Robot for BenchMill 6000 (4 tool ATC) CNC Milling machine"</f>
        <v>FMS - Scorbot ER9Pro Robot for BenchMill 6000 (4 tool ATC) CNC Milling machine</v>
      </c>
      <c r="F3606">
        <v>502</v>
      </c>
      <c r="G3606" t="str">
        <f t="shared" si="903"/>
        <v>Y</v>
      </c>
      <c r="H3606" t="str">
        <f t="shared" ref="H3606:H3620" si="912">"EA"</f>
        <v>EA</v>
      </c>
      <c r="I3606">
        <v>0</v>
      </c>
      <c r="J3606">
        <v>0</v>
      </c>
      <c r="K3606" t="str">
        <f t="shared" si="904"/>
        <v>Y</v>
      </c>
      <c r="L3606">
        <v>0</v>
      </c>
      <c r="M3606" t="str">
        <f t="shared" si="909"/>
        <v>NIS</v>
      </c>
      <c r="O3606">
        <v>1</v>
      </c>
      <c r="P3606" t="str">
        <f t="shared" si="908"/>
        <v>Active</v>
      </c>
      <c r="Q3606" t="str">
        <f>"SCORBOT-ER 9Pro (incl. USB-Pro Controller)"</f>
        <v>SCORBOT-ER 9Pro (incl. USB-Pro Controller)</v>
      </c>
      <c r="S3606" t="str">
        <f>"SCORBOT-ER 9Pro (incl. USB-Pro Controller)"</f>
        <v>SCORBOT-ER 9Pro (incl. USB-Pro Controller)</v>
      </c>
      <c r="T3606">
        <v>0</v>
      </c>
      <c r="U3606" s="44">
        <v>10900</v>
      </c>
      <c r="V3606" s="44">
        <v>11661.57</v>
      </c>
      <c r="W3606" t="str">
        <f t="shared" si="895"/>
        <v>rob</v>
      </c>
    </row>
    <row r="3607" spans="1:23">
      <c r="A3607" t="str">
        <f t="shared" si="910"/>
        <v>MTS-S-ER9P-BM</v>
      </c>
      <c r="B3607" t="str">
        <f>"00-0633-0000"</f>
        <v>00-0633-0000</v>
      </c>
      <c r="C3607" t="str">
        <f>"Pneumatic Gripper for ER9-Pro"</f>
        <v>Pneumatic Gripper for ER9-Pro</v>
      </c>
      <c r="D3607">
        <v>1</v>
      </c>
      <c r="E3607" t="str">
        <f t="shared" si="911"/>
        <v>FMS - Scorbot ER9Pro Robot for BenchMill 6000 (4 tool ATC) CNC Milling machine</v>
      </c>
      <c r="F3607">
        <v>502</v>
      </c>
      <c r="G3607" t="str">
        <f t="shared" si="903"/>
        <v>Y</v>
      </c>
      <c r="H3607" t="str">
        <f t="shared" si="912"/>
        <v>EA</v>
      </c>
      <c r="I3607">
        <v>0</v>
      </c>
      <c r="J3607">
        <v>0</v>
      </c>
      <c r="K3607" t="str">
        <f t="shared" si="904"/>
        <v>Y</v>
      </c>
      <c r="L3607">
        <v>0</v>
      </c>
      <c r="M3607" t="str">
        <f t="shared" si="909"/>
        <v>NIS</v>
      </c>
      <c r="O3607">
        <v>2</v>
      </c>
      <c r="P3607" t="str">
        <f t="shared" si="908"/>
        <v>Active</v>
      </c>
      <c r="Q3607" t="str">
        <f>"Pneumatic Gripper for ER9-Pro"</f>
        <v>Pneumatic Gripper for ER9-Pro</v>
      </c>
      <c r="S3607" t="str">
        <f>"Pneumatic Gripper for ER9-Pro"</f>
        <v>Pneumatic Gripper for ER9-Pro</v>
      </c>
      <c r="T3607">
        <v>0</v>
      </c>
      <c r="U3607">
        <v>630</v>
      </c>
      <c r="V3607">
        <v>624.72</v>
      </c>
      <c r="W3607" t="str">
        <f t="shared" si="895"/>
        <v>rob</v>
      </c>
    </row>
    <row r="3608" spans="1:23">
      <c r="A3608" t="str">
        <f t="shared" si="910"/>
        <v>MTS-S-ER9P-BM</v>
      </c>
      <c r="B3608" t="str">
        <f>"00-1710-0000"</f>
        <v>00-1710-0000</v>
      </c>
      <c r="C3608" t="str">
        <f>"Teach Pendant"</f>
        <v>Teach Pendant</v>
      </c>
      <c r="D3608">
        <v>1</v>
      </c>
      <c r="E3608" t="str">
        <f t="shared" si="911"/>
        <v>FMS - Scorbot ER9Pro Robot for BenchMill 6000 (4 tool ATC) CNC Milling machine</v>
      </c>
      <c r="F3608">
        <v>502</v>
      </c>
      <c r="G3608" t="str">
        <f t="shared" si="903"/>
        <v>Y</v>
      </c>
      <c r="H3608" t="str">
        <f t="shared" si="912"/>
        <v>EA</v>
      </c>
      <c r="I3608">
        <v>0</v>
      </c>
      <c r="J3608">
        <v>0</v>
      </c>
      <c r="K3608" t="str">
        <f t="shared" si="904"/>
        <v>Y</v>
      </c>
      <c r="L3608">
        <v>0</v>
      </c>
      <c r="M3608" t="str">
        <f t="shared" si="909"/>
        <v>NIS</v>
      </c>
      <c r="O3608">
        <v>3</v>
      </c>
      <c r="P3608" t="str">
        <f t="shared" si="908"/>
        <v>Active</v>
      </c>
      <c r="Q3608" t="str">
        <f>"Teach Pendant for USB/USB Pro Controllers"</f>
        <v>Teach Pendant for USB/USB Pro Controllers</v>
      </c>
      <c r="S3608" t="str">
        <f>"Teach Pendant for USB/USB Pro Controllers"</f>
        <v>Teach Pendant for USB/USB Pro Controllers</v>
      </c>
      <c r="T3608">
        <v>0</v>
      </c>
      <c r="U3608">
        <v>160.18</v>
      </c>
      <c r="V3608">
        <v>161.44999999999999</v>
      </c>
      <c r="W3608" t="str">
        <f t="shared" si="895"/>
        <v>rob</v>
      </c>
    </row>
    <row r="3609" spans="1:23">
      <c r="A3609" t="str">
        <f t="shared" si="910"/>
        <v>MTS-S-ER9P-BM</v>
      </c>
      <c r="B3609" t="str">
        <f>"00-1016-0000"</f>
        <v>00-1016-0000</v>
      </c>
      <c r="C3609" t="str">
        <f>"LSB 1.0m, Belt, FM"</f>
        <v>LSB 1.0m, Belt, FM</v>
      </c>
      <c r="D3609">
        <v>1</v>
      </c>
      <c r="E3609" t="str">
        <f t="shared" si="911"/>
        <v>FMS - Scorbot ER9Pro Robot for BenchMill 6000 (4 tool ATC) CNC Milling machine</v>
      </c>
      <c r="F3609">
        <v>502</v>
      </c>
      <c r="G3609" t="str">
        <f t="shared" si="903"/>
        <v>Y</v>
      </c>
      <c r="H3609" t="str">
        <f t="shared" si="912"/>
        <v>EA</v>
      </c>
      <c r="I3609">
        <v>0</v>
      </c>
      <c r="J3609">
        <v>0</v>
      </c>
      <c r="K3609" t="str">
        <f t="shared" si="904"/>
        <v>Y</v>
      </c>
      <c r="L3609">
        <v>0</v>
      </c>
      <c r="M3609" t="str">
        <f t="shared" si="909"/>
        <v>NIS</v>
      </c>
      <c r="O3609">
        <v>4</v>
      </c>
      <c r="P3609" t="str">
        <f t="shared" si="908"/>
        <v>Active</v>
      </c>
      <c r="Q3609" t="str">
        <f>"LSB 1.0m (Belt, Floor Mounted incl. Stand)"</f>
        <v>LSB 1.0m (Belt, Floor Mounted incl. Stand)</v>
      </c>
      <c r="S3609" t="str">
        <f>"LSB 1.0m, Belt, Floor Mounted incl. Stand"</f>
        <v>LSB 1.0m, Belt, Floor Mounted incl. Stand</v>
      </c>
      <c r="T3609">
        <v>0</v>
      </c>
      <c r="U3609" s="44">
        <v>2336.16</v>
      </c>
      <c r="V3609" s="44">
        <v>2301.0500000000002</v>
      </c>
      <c r="W3609" t="str">
        <f t="shared" si="895"/>
        <v>rob</v>
      </c>
    </row>
    <row r="3610" spans="1:23">
      <c r="A3610" t="str">
        <f t="shared" si="910"/>
        <v>MTS-S-ER9P-BM</v>
      </c>
      <c r="B3610" t="str">
        <f>"021152"</f>
        <v>021152</v>
      </c>
      <c r="C3610" t="str">
        <f>"Shelf Buffer for CIM conveyor"</f>
        <v>Shelf Buffer for CIM conveyor</v>
      </c>
      <c r="D3610">
        <v>1</v>
      </c>
      <c r="E3610" t="str">
        <f t="shared" si="911"/>
        <v>FMS - Scorbot ER9Pro Robot for BenchMill 6000 (4 tool ATC) CNC Milling machine</v>
      </c>
      <c r="F3610">
        <v>502</v>
      </c>
      <c r="G3610" t="str">
        <f t="shared" si="903"/>
        <v>Y</v>
      </c>
      <c r="H3610" t="str">
        <f t="shared" si="912"/>
        <v>EA</v>
      </c>
      <c r="I3610">
        <v>0</v>
      </c>
      <c r="J3610">
        <v>0</v>
      </c>
      <c r="K3610" t="str">
        <f t="shared" si="904"/>
        <v>Y</v>
      </c>
      <c r="L3610">
        <v>0</v>
      </c>
      <c r="M3610" t="str">
        <f t="shared" si="909"/>
        <v>NIS</v>
      </c>
      <c r="O3610">
        <v>5</v>
      </c>
      <c r="P3610" t="str">
        <f t="shared" si="908"/>
        <v>Active</v>
      </c>
      <c r="Q3610" t="str">
        <f>"מכלול- מדף בפר סטנדרטי OPEN-CIM"</f>
        <v>מכלול- מדף בפר סטנדרטי OPEN-CIM</v>
      </c>
      <c r="R3610" t="str">
        <f>"1"</f>
        <v>1</v>
      </c>
      <c r="S3610" t="str">
        <f>"מכלול- מדף בפר סטנדרטי OPEN-CIM"</f>
        <v>מכלול- מדף בפר סטנדרטי OPEN-CIM</v>
      </c>
      <c r="T3610">
        <v>0</v>
      </c>
      <c r="U3610">
        <v>83.12</v>
      </c>
      <c r="V3610">
        <v>92.76</v>
      </c>
      <c r="W3610" t="str">
        <f t="shared" si="895"/>
        <v>rob</v>
      </c>
    </row>
    <row r="3611" spans="1:23">
      <c r="A3611" t="str">
        <f t="shared" si="910"/>
        <v>MTS-S-ER9P-BM</v>
      </c>
      <c r="B3611" t="str">
        <f>"10-2521-7000"</f>
        <v>10-2521-7000</v>
      </c>
      <c r="C3611" t="str">
        <f>"Pneumatic Feeder for Rectangular products"</f>
        <v>Pneumatic Feeder for Rectangular products</v>
      </c>
      <c r="D3611">
        <v>1</v>
      </c>
      <c r="E3611" t="str">
        <f t="shared" si="911"/>
        <v>FMS - Scorbot ER9Pro Robot for BenchMill 6000 (4 tool ATC) CNC Milling machine</v>
      </c>
      <c r="F3611">
        <v>502</v>
      </c>
      <c r="G3611" t="str">
        <f t="shared" si="903"/>
        <v>Y</v>
      </c>
      <c r="H3611" t="str">
        <f t="shared" si="912"/>
        <v>EA</v>
      </c>
      <c r="I3611">
        <v>0</v>
      </c>
      <c r="J3611">
        <v>0</v>
      </c>
      <c r="K3611" t="str">
        <f t="shared" si="904"/>
        <v>Y</v>
      </c>
      <c r="L3611">
        <v>0</v>
      </c>
      <c r="M3611" t="str">
        <f t="shared" si="909"/>
        <v>NIS</v>
      </c>
      <c r="O3611">
        <v>6</v>
      </c>
      <c r="P3611" t="str">
        <f t="shared" si="908"/>
        <v>Active</v>
      </c>
      <c r="Q3611" t="str">
        <f>"Pneumatic Feeder for Rectangular Parts"</f>
        <v>Pneumatic Feeder for Rectangular Parts</v>
      </c>
      <c r="S3611" t="str">
        <f>"Pneumatic Feeder for Rectangular Parts"</f>
        <v>Pneumatic Feeder for Rectangular Parts</v>
      </c>
      <c r="T3611">
        <v>0</v>
      </c>
      <c r="U3611">
        <v>595</v>
      </c>
      <c r="V3611">
        <v>555.15</v>
      </c>
      <c r="W3611" t="str">
        <f t="shared" si="895"/>
        <v>rob</v>
      </c>
    </row>
    <row r="3612" spans="1:23">
      <c r="A3612" t="str">
        <f t="shared" si="910"/>
        <v>MTS-S-ER9P-BM</v>
      </c>
      <c r="B3612" t="str">
        <f>"00-1110-0000"</f>
        <v>00-1110-0000</v>
      </c>
      <c r="C3612" t="str">
        <f>"Palletizing Rack"</f>
        <v>Palletizing Rack</v>
      </c>
      <c r="D3612">
        <v>1</v>
      </c>
      <c r="E3612" t="str">
        <f t="shared" si="911"/>
        <v>FMS - Scorbot ER9Pro Robot for BenchMill 6000 (4 tool ATC) CNC Milling machine</v>
      </c>
      <c r="F3612">
        <v>502</v>
      </c>
      <c r="G3612" t="str">
        <f t="shared" si="903"/>
        <v>Y</v>
      </c>
      <c r="H3612" t="str">
        <f t="shared" si="912"/>
        <v>EA</v>
      </c>
      <c r="I3612">
        <v>0</v>
      </c>
      <c r="J3612">
        <v>0</v>
      </c>
      <c r="K3612" t="str">
        <f t="shared" si="904"/>
        <v>Y</v>
      </c>
      <c r="L3612">
        <v>0</v>
      </c>
      <c r="M3612" t="str">
        <f t="shared" si="909"/>
        <v>NIS</v>
      </c>
      <c r="O3612">
        <v>7</v>
      </c>
      <c r="P3612" t="str">
        <f t="shared" si="908"/>
        <v>Active</v>
      </c>
      <c r="Q3612" t="str">
        <f>"Palletizing Rack (incl. Pins for creating Jigs)"</f>
        <v>Palletizing Rack (incl. Pins for creating Jigs)</v>
      </c>
      <c r="S3612" t="str">
        <f>"Palletizing Rack (incl. Pins for creating Jigs)"</f>
        <v>Palletizing Rack (incl. Pins for creating Jigs)</v>
      </c>
      <c r="T3612">
        <v>0</v>
      </c>
      <c r="U3612">
        <v>63</v>
      </c>
      <c r="V3612">
        <v>58.59</v>
      </c>
      <c r="W3612" t="str">
        <f t="shared" si="895"/>
        <v>rob</v>
      </c>
    </row>
    <row r="3613" spans="1:23">
      <c r="A3613" t="str">
        <f t="shared" si="910"/>
        <v>MTS-S-ER9P-BM</v>
      </c>
      <c r="B3613" t="str">
        <f>"021182"</f>
        <v>021182</v>
      </c>
      <c r="C3613" t="str">
        <f>"97mm Height Adapter"</f>
        <v>97mm Height Adapter</v>
      </c>
      <c r="D3613">
        <v>1</v>
      </c>
      <c r="E3613" t="str">
        <f t="shared" si="911"/>
        <v>FMS - Scorbot ER9Pro Robot for BenchMill 6000 (4 tool ATC) CNC Milling machine</v>
      </c>
      <c r="F3613">
        <v>502</v>
      </c>
      <c r="G3613" t="str">
        <f t="shared" si="903"/>
        <v>Y</v>
      </c>
      <c r="H3613" t="str">
        <f t="shared" si="912"/>
        <v>EA</v>
      </c>
      <c r="I3613">
        <v>0</v>
      </c>
      <c r="J3613">
        <v>0</v>
      </c>
      <c r="K3613" t="str">
        <f t="shared" si="904"/>
        <v>Y</v>
      </c>
      <c r="L3613">
        <v>0</v>
      </c>
      <c r="M3613" t="str">
        <f t="shared" si="909"/>
        <v>NIS</v>
      </c>
      <c r="O3613">
        <v>8</v>
      </c>
      <c r="P3613" t="str">
        <f t="shared" si="908"/>
        <v>Active</v>
      </c>
      <c r="Q3613" t="str">
        <f>"97mm Height Adapter -Rack 001110 on formica 28mm"</f>
        <v>97mm Height Adapter -Rack 001110 on formica 28mm</v>
      </c>
      <c r="S3613" t="str">
        <f>"97mm Height Adapter -Rack 001110 on formica 28mm"</f>
        <v>97mm Height Adapter -Rack 001110 on formica 28mm</v>
      </c>
      <c r="T3613">
        <v>0</v>
      </c>
      <c r="U3613">
        <v>7</v>
      </c>
      <c r="V3613">
        <v>5.5</v>
      </c>
      <c r="W3613" t="str">
        <f t="shared" si="895"/>
        <v>rob</v>
      </c>
    </row>
    <row r="3614" spans="1:23">
      <c r="A3614" t="str">
        <f t="shared" si="910"/>
        <v>MTS-S-ER9P-BM</v>
      </c>
      <c r="B3614" t="str">
        <f>"10-2120-0000"</f>
        <v>10-2120-0000</v>
      </c>
      <c r="C3614" t="str">
        <f>"CNC Interface with BenchMILL 6000"</f>
        <v>CNC Interface with BenchMILL 6000</v>
      </c>
      <c r="D3614">
        <v>1</v>
      </c>
      <c r="E3614" t="str">
        <f t="shared" si="911"/>
        <v>FMS - Scorbot ER9Pro Robot for BenchMill 6000 (4 tool ATC) CNC Milling machine</v>
      </c>
      <c r="F3614">
        <v>502</v>
      </c>
      <c r="G3614" t="str">
        <f t="shared" si="903"/>
        <v>Y</v>
      </c>
      <c r="H3614" t="str">
        <f t="shared" si="912"/>
        <v>EA</v>
      </c>
      <c r="I3614">
        <v>0</v>
      </c>
      <c r="J3614">
        <v>0</v>
      </c>
      <c r="K3614" t="str">
        <f t="shared" si="904"/>
        <v>Y</v>
      </c>
      <c r="L3614">
        <v>0</v>
      </c>
      <c r="M3614" t="str">
        <f t="shared" si="909"/>
        <v>NIS</v>
      </c>
      <c r="O3614">
        <v>9</v>
      </c>
      <c r="P3614" t="str">
        <f t="shared" si="908"/>
        <v>Active</v>
      </c>
      <c r="Q3614" t="str">
        <f>"CNC Interface with BenchMILL 6000"</f>
        <v>CNC Interface with BenchMILL 6000</v>
      </c>
      <c r="S3614" t="str">
        <f>"CNC Interface with BenchMILL 6000"</f>
        <v>CNC Interface with BenchMILL 6000</v>
      </c>
      <c r="T3614">
        <v>0</v>
      </c>
      <c r="U3614">
        <v>21</v>
      </c>
      <c r="V3614">
        <v>19.7</v>
      </c>
      <c r="W3614" t="str">
        <f t="shared" si="895"/>
        <v>rob</v>
      </c>
    </row>
    <row r="3615" spans="1:23">
      <c r="A3615" t="str">
        <f t="shared" si="910"/>
        <v>MTS-S-ER9P-BM</v>
      </c>
      <c r="B3615" t="str">
        <f>"63-6001-1000"</f>
        <v>63-6001-1000</v>
      </c>
      <c r="C3615" t="str">
        <f>"-CNCMotion Simulation Sftwr for BenchMill 6000"</f>
        <v>-CNCMotion Simulation Sftwr for BenchMill 6000</v>
      </c>
      <c r="D3615">
        <v>1</v>
      </c>
      <c r="E3615" t="str">
        <f t="shared" si="911"/>
        <v>FMS - Scorbot ER9Pro Robot for BenchMill 6000 (4 tool ATC) CNC Milling machine</v>
      </c>
      <c r="F3615">
        <v>502</v>
      </c>
      <c r="G3615" t="str">
        <f t="shared" si="903"/>
        <v>Y</v>
      </c>
      <c r="H3615" t="str">
        <f t="shared" si="912"/>
        <v>EA</v>
      </c>
      <c r="I3615">
        <v>0</v>
      </c>
      <c r="J3615">
        <v>0</v>
      </c>
      <c r="K3615" t="str">
        <f t="shared" si="904"/>
        <v>Y</v>
      </c>
      <c r="L3615">
        <v>0</v>
      </c>
      <c r="M3615" t="str">
        <f t="shared" si="909"/>
        <v>NIS</v>
      </c>
      <c r="O3615">
        <v>10</v>
      </c>
      <c r="P3615" t="str">
        <f t="shared" si="908"/>
        <v>Active</v>
      </c>
      <c r="Q3615" t="str">
        <f>"CNCMotion Sim. Sftwr, BenchMill 6000"</f>
        <v>CNCMotion Sim. Sftwr, BenchMill 6000</v>
      </c>
      <c r="S3615" t="str">
        <f>"CNCMotion Sim. Sftwr, BenchMill 6000"</f>
        <v>CNCMotion Sim. Sftwr, BenchMill 6000</v>
      </c>
      <c r="T3615">
        <v>0</v>
      </c>
      <c r="U3615">
        <v>10</v>
      </c>
      <c r="V3615">
        <v>0</v>
      </c>
      <c r="W3615" t="str">
        <f t="shared" si="895"/>
        <v>rob</v>
      </c>
    </row>
    <row r="3616" spans="1:23">
      <c r="A3616" t="str">
        <f t="shared" si="910"/>
        <v>MTS-S-ER9P-BM</v>
      </c>
      <c r="B3616" t="str">
        <f>"63-6723-0000"</f>
        <v>63-6723-0000</v>
      </c>
      <c r="C3616" t="str">
        <f>"SpectraCAD Engraver software – Download Only"</f>
        <v>SpectraCAD Engraver software – Download Only</v>
      </c>
      <c r="D3616">
        <v>1</v>
      </c>
      <c r="E3616" t="str">
        <f t="shared" si="911"/>
        <v>FMS - Scorbot ER9Pro Robot for BenchMill 6000 (4 tool ATC) CNC Milling machine</v>
      </c>
      <c r="F3616">
        <v>502</v>
      </c>
      <c r="G3616" t="str">
        <f t="shared" si="903"/>
        <v>Y</v>
      </c>
      <c r="H3616" t="str">
        <f t="shared" si="912"/>
        <v>EA</v>
      </c>
      <c r="I3616">
        <v>0</v>
      </c>
      <c r="J3616">
        <v>0</v>
      </c>
      <c r="K3616" t="str">
        <f t="shared" si="904"/>
        <v>Y</v>
      </c>
      <c r="L3616">
        <v>0</v>
      </c>
      <c r="M3616" t="str">
        <f t="shared" si="909"/>
        <v>NIS</v>
      </c>
      <c r="O3616">
        <v>11</v>
      </c>
      <c r="P3616" t="str">
        <f t="shared" si="908"/>
        <v>Active</v>
      </c>
      <c r="Q3616" t="str">
        <f>"SpectraCAD Engraver software – Download Only"</f>
        <v>SpectraCAD Engraver software – Download Only</v>
      </c>
      <c r="S3616" t="str">
        <f>"SpectraCAD Engraver software – Download Only"</f>
        <v>SpectraCAD Engraver software – Download Only</v>
      </c>
      <c r="T3616">
        <v>0</v>
      </c>
      <c r="U3616">
        <v>10</v>
      </c>
      <c r="V3616">
        <v>10.4</v>
      </c>
      <c r="W3616" t="str">
        <f t="shared" si="895"/>
        <v>rob</v>
      </c>
    </row>
    <row r="3617" spans="1:23">
      <c r="A3617" t="str">
        <f t="shared" si="910"/>
        <v>MTS-S-ER9P-BM</v>
      </c>
      <c r="B3617" t="str">
        <f>"10-6721-0000"</f>
        <v>10-6721-0000</v>
      </c>
      <c r="C3617" t="str">
        <f>"spectraCAM Milling, First Copy"</f>
        <v>spectraCAM Milling, First Copy</v>
      </c>
      <c r="D3617">
        <v>1</v>
      </c>
      <c r="E3617" t="str">
        <f t="shared" si="911"/>
        <v>FMS - Scorbot ER9Pro Robot for BenchMill 6000 (4 tool ATC) CNC Milling machine</v>
      </c>
      <c r="F3617">
        <v>502</v>
      </c>
      <c r="G3617" t="str">
        <f t="shared" si="903"/>
        <v>Y</v>
      </c>
      <c r="H3617" t="str">
        <f t="shared" si="912"/>
        <v>EA</v>
      </c>
      <c r="I3617">
        <v>0</v>
      </c>
      <c r="J3617">
        <v>0</v>
      </c>
      <c r="K3617" t="str">
        <f t="shared" si="904"/>
        <v>Y</v>
      </c>
      <c r="L3617">
        <v>0</v>
      </c>
      <c r="M3617" t="str">
        <f t="shared" si="909"/>
        <v>NIS</v>
      </c>
      <c r="O3617">
        <v>12</v>
      </c>
      <c r="P3617" t="str">
        <f>"Inactive"</f>
        <v>Inactive</v>
      </c>
      <c r="Q3617" t="str">
        <f>"spectraCAM Milling, First Copy"</f>
        <v>spectraCAM Milling, First Copy</v>
      </c>
      <c r="S3617" t="str">
        <f>"spectraCAM Milling, First Copy"</f>
        <v>spectraCAM Milling, First Copy</v>
      </c>
      <c r="T3617">
        <v>48.97</v>
      </c>
      <c r="U3617">
        <v>41.31</v>
      </c>
      <c r="V3617">
        <v>42.55</v>
      </c>
      <c r="W3617" t="str">
        <f t="shared" si="895"/>
        <v>rob</v>
      </c>
    </row>
    <row r="3618" spans="1:23">
      <c r="A3618" t="str">
        <f t="shared" si="910"/>
        <v>MTS-S-ER9P-BM</v>
      </c>
      <c r="B3618" t="str">
        <f>"113034"</f>
        <v>113034</v>
      </c>
      <c r="C3618" t="str">
        <f>"Raw Material - Perspex Block"</f>
        <v>Raw Material - Perspex Block</v>
      </c>
      <c r="D3618">
        <v>50</v>
      </c>
      <c r="E3618" t="str">
        <f t="shared" si="911"/>
        <v>FMS - Scorbot ER9Pro Robot for BenchMill 6000 (4 tool ATC) CNC Milling machine</v>
      </c>
      <c r="F3618">
        <v>502</v>
      </c>
      <c r="G3618" t="str">
        <f t="shared" si="903"/>
        <v>Y</v>
      </c>
      <c r="H3618" t="str">
        <f t="shared" si="912"/>
        <v>EA</v>
      </c>
      <c r="I3618">
        <v>0</v>
      </c>
      <c r="J3618">
        <v>0</v>
      </c>
      <c r="K3618" t="str">
        <f t="shared" si="904"/>
        <v>Y</v>
      </c>
      <c r="L3618">
        <v>0</v>
      </c>
      <c r="M3618" t="str">
        <f t="shared" si="909"/>
        <v>NIS</v>
      </c>
      <c r="O3618">
        <v>13</v>
      </c>
      <c r="P3618" t="str">
        <f t="shared" ref="P3618:P3632" si="913">"Active"</f>
        <v>Active</v>
      </c>
      <c r="Q3618" t="str">
        <f>"Raw Material Stock - Perspex Block"</f>
        <v>Raw Material Stock - Perspex Block</v>
      </c>
      <c r="S3618" t="str">
        <f>"Raw Material Stock - Perspex Block"</f>
        <v>Raw Material Stock - Perspex Block</v>
      </c>
      <c r="T3618">
        <v>0</v>
      </c>
      <c r="U3618">
        <v>1.1000000000000001</v>
      </c>
      <c r="V3618">
        <v>1.0900000000000001</v>
      </c>
      <c r="W3618" t="str">
        <f t="shared" ref="W3618:W3681" si="914">"rob"</f>
        <v>rob</v>
      </c>
    </row>
    <row r="3619" spans="1:23">
      <c r="A3619" t="str">
        <f t="shared" si="910"/>
        <v>MTS-S-ER9P-BM</v>
      </c>
      <c r="B3619" t="str">
        <f>"00-1261-0000"</f>
        <v>00-1261-0000</v>
      </c>
      <c r="C3619" t="str">
        <f>"Workbench 1800x900mm (Heavy duty for CNC)"</f>
        <v>Workbench 1800x900mm (Heavy duty for CNC)</v>
      </c>
      <c r="D3619">
        <v>1</v>
      </c>
      <c r="E3619" t="str">
        <f t="shared" si="911"/>
        <v>FMS - Scorbot ER9Pro Robot for BenchMill 6000 (4 tool ATC) CNC Milling machine</v>
      </c>
      <c r="F3619">
        <v>502</v>
      </c>
      <c r="G3619" t="str">
        <f t="shared" si="903"/>
        <v>Y</v>
      </c>
      <c r="H3619" t="str">
        <f t="shared" si="912"/>
        <v>EA</v>
      </c>
      <c r="I3619">
        <v>0</v>
      </c>
      <c r="J3619">
        <v>0</v>
      </c>
      <c r="K3619" t="str">
        <f t="shared" si="904"/>
        <v>Y</v>
      </c>
      <c r="L3619">
        <v>0</v>
      </c>
      <c r="M3619" t="str">
        <f t="shared" si="909"/>
        <v>NIS</v>
      </c>
      <c r="O3619">
        <v>14</v>
      </c>
      <c r="P3619" t="str">
        <f t="shared" si="913"/>
        <v>Active</v>
      </c>
      <c r="Q3619" t="str">
        <f>"Workbench 1800x900mm (Heavy duty for CNC)"</f>
        <v>Workbench 1800x900mm (Heavy duty for CNC)</v>
      </c>
      <c r="S3619" t="str">
        <f>"Workbench 1800x900mm (Heavy duty for CNC)"</f>
        <v>Workbench 1800x900mm (Heavy duty for CNC)</v>
      </c>
      <c r="T3619">
        <v>0</v>
      </c>
      <c r="U3619">
        <v>830</v>
      </c>
      <c r="V3619">
        <v>831.14</v>
      </c>
      <c r="W3619" t="str">
        <f t="shared" si="914"/>
        <v>rob</v>
      </c>
    </row>
    <row r="3620" spans="1:23">
      <c r="A3620" t="str">
        <f t="shared" si="910"/>
        <v>MTS-S-ER9P-BM</v>
      </c>
      <c r="B3620" t="str">
        <f>"00-1265-0000"</f>
        <v>00-1265-0000</v>
      </c>
      <c r="C3620" t="str">
        <f>"PC Extension Shelf  600x900mm"</f>
        <v>PC Extension Shelf  600x900mm</v>
      </c>
      <c r="D3620">
        <v>1</v>
      </c>
      <c r="E3620" t="str">
        <f t="shared" si="911"/>
        <v>FMS - Scorbot ER9Pro Robot for BenchMill 6000 (4 tool ATC) CNC Milling machine</v>
      </c>
      <c r="F3620">
        <v>502</v>
      </c>
      <c r="G3620" t="str">
        <f t="shared" si="903"/>
        <v>Y</v>
      </c>
      <c r="H3620" t="str">
        <f t="shared" si="912"/>
        <v>EA</v>
      </c>
      <c r="I3620">
        <v>0</v>
      </c>
      <c r="J3620">
        <v>0</v>
      </c>
      <c r="K3620" t="str">
        <f t="shared" si="904"/>
        <v>Y</v>
      </c>
      <c r="L3620">
        <v>0</v>
      </c>
      <c r="M3620" t="str">
        <f t="shared" si="909"/>
        <v>NIS</v>
      </c>
      <c r="O3620">
        <v>15</v>
      </c>
      <c r="P3620" t="str">
        <f t="shared" si="913"/>
        <v>Active</v>
      </c>
      <c r="Q3620" t="str">
        <f>"PC Extension Shelf  600x900mm"</f>
        <v>PC Extension Shelf  600x900mm</v>
      </c>
      <c r="S3620" t="str">
        <f>"PC Extension Shelf  600x900mm"</f>
        <v>PC Extension Shelf  600x900mm</v>
      </c>
      <c r="T3620">
        <v>0</v>
      </c>
      <c r="U3620">
        <v>211</v>
      </c>
      <c r="V3620">
        <v>198.88</v>
      </c>
      <c r="W3620" t="str">
        <f t="shared" si="914"/>
        <v>rob</v>
      </c>
    </row>
    <row r="3621" spans="1:23">
      <c r="A3621" t="str">
        <f t="shared" si="910"/>
        <v>MTS-S-ER9P-BM</v>
      </c>
      <c r="B3621" t="str">
        <f>"50-0094-0000"</f>
        <v>50-0094-0000</v>
      </c>
      <c r="C3621" t="str">
        <f>"Pre-Engineering, Design and Testing"</f>
        <v>Pre-Engineering, Design and Testing</v>
      </c>
      <c r="D3621">
        <v>1</v>
      </c>
      <c r="E3621" t="str">
        <f t="shared" si="911"/>
        <v>FMS - Scorbot ER9Pro Robot for BenchMill 6000 (4 tool ATC) CNC Milling machine</v>
      </c>
      <c r="F3621">
        <v>502</v>
      </c>
      <c r="G3621" t="str">
        <f t="shared" si="903"/>
        <v>Y</v>
      </c>
      <c r="H3621" t="str">
        <f>"DA"</f>
        <v>DA</v>
      </c>
      <c r="I3621">
        <v>0</v>
      </c>
      <c r="J3621">
        <v>0</v>
      </c>
      <c r="K3621" t="str">
        <f t="shared" si="904"/>
        <v>Y</v>
      </c>
      <c r="L3621">
        <v>0</v>
      </c>
      <c r="M3621" t="str">
        <f t="shared" si="909"/>
        <v>NIS</v>
      </c>
      <c r="O3621">
        <v>16</v>
      </c>
      <c r="P3621" t="str">
        <f t="shared" si="913"/>
        <v>Active</v>
      </c>
      <c r="Q3621" t="str">
        <f>"Pre-Engineering, Design and Testing"</f>
        <v>Pre-Engineering, Design and Testing</v>
      </c>
      <c r="S3621" t="str">
        <f>"Pre-Engineering, Design and Testing"</f>
        <v>Pre-Engineering, Design and Testing</v>
      </c>
      <c r="T3621">
        <v>0</v>
      </c>
      <c r="U3621">
        <v>405</v>
      </c>
      <c r="V3621">
        <v>421.2</v>
      </c>
      <c r="W3621" t="str">
        <f t="shared" si="914"/>
        <v>rob</v>
      </c>
    </row>
    <row r="3622" spans="1:23">
      <c r="A3622" t="str">
        <f t="shared" ref="A3622:A3637" si="915">"MTS-S-ER9P-BT"</f>
        <v>MTS-S-ER9P-BT</v>
      </c>
      <c r="B3622" t="str">
        <f>"00-0430-0000"</f>
        <v>00-0430-0000</v>
      </c>
      <c r="C3622" t="str">
        <f>"SCORBOT-ER9Pro"</f>
        <v>SCORBOT-ER9Pro</v>
      </c>
      <c r="D3622">
        <v>1</v>
      </c>
      <c r="E3622" t="str">
        <f t="shared" ref="E3622:E3637" si="916">"FMS - Scorbot ER9Pro Robot for BenchTurn 7000 CNC Turning machine"</f>
        <v>FMS - Scorbot ER9Pro Robot for BenchTurn 7000 CNC Turning machine</v>
      </c>
      <c r="F3622">
        <v>502</v>
      </c>
      <c r="G3622" t="str">
        <f t="shared" si="903"/>
        <v>Y</v>
      </c>
      <c r="H3622" t="str">
        <f t="shared" ref="H3622:H3636" si="917">"EA"</f>
        <v>EA</v>
      </c>
      <c r="I3622">
        <v>0</v>
      </c>
      <c r="J3622">
        <v>0</v>
      </c>
      <c r="K3622" t="str">
        <f t="shared" si="904"/>
        <v>Y</v>
      </c>
      <c r="L3622">
        <v>0</v>
      </c>
      <c r="M3622" t="str">
        <f t="shared" si="909"/>
        <v>NIS</v>
      </c>
      <c r="O3622">
        <v>1</v>
      </c>
      <c r="P3622" t="str">
        <f t="shared" si="913"/>
        <v>Active</v>
      </c>
      <c r="Q3622" t="str">
        <f>"SCORBOT-ER 9Pro (incl. USB-Pro Controller)"</f>
        <v>SCORBOT-ER 9Pro (incl. USB-Pro Controller)</v>
      </c>
      <c r="S3622" t="str">
        <f>"SCORBOT-ER 9Pro (incl. USB-Pro Controller)"</f>
        <v>SCORBOT-ER 9Pro (incl. USB-Pro Controller)</v>
      </c>
      <c r="T3622">
        <v>0</v>
      </c>
      <c r="U3622" s="44">
        <v>10900</v>
      </c>
      <c r="V3622" s="44">
        <v>11661.57</v>
      </c>
      <c r="W3622" t="str">
        <f t="shared" si="914"/>
        <v>rob</v>
      </c>
    </row>
    <row r="3623" spans="1:23">
      <c r="A3623" t="str">
        <f t="shared" si="915"/>
        <v>MTS-S-ER9P-BT</v>
      </c>
      <c r="B3623" t="str">
        <f>"00-0633-0000"</f>
        <v>00-0633-0000</v>
      </c>
      <c r="C3623" t="str">
        <f>"Pneumatic Gripper for ER9-Pro"</f>
        <v>Pneumatic Gripper for ER9-Pro</v>
      </c>
      <c r="D3623">
        <v>1</v>
      </c>
      <c r="E3623" t="str">
        <f t="shared" si="916"/>
        <v>FMS - Scorbot ER9Pro Robot for BenchTurn 7000 CNC Turning machine</v>
      </c>
      <c r="F3623">
        <v>502</v>
      </c>
      <c r="G3623" t="str">
        <f t="shared" si="903"/>
        <v>Y</v>
      </c>
      <c r="H3623" t="str">
        <f t="shared" si="917"/>
        <v>EA</v>
      </c>
      <c r="I3623">
        <v>0</v>
      </c>
      <c r="J3623">
        <v>0</v>
      </c>
      <c r="K3623" t="str">
        <f t="shared" si="904"/>
        <v>Y</v>
      </c>
      <c r="L3623">
        <v>0</v>
      </c>
      <c r="M3623" t="str">
        <f t="shared" si="909"/>
        <v>NIS</v>
      </c>
      <c r="O3623">
        <v>2</v>
      </c>
      <c r="P3623" t="str">
        <f t="shared" si="913"/>
        <v>Active</v>
      </c>
      <c r="Q3623" t="str">
        <f>"Pneumatic Gripper for ER9-Pro"</f>
        <v>Pneumatic Gripper for ER9-Pro</v>
      </c>
      <c r="S3623" t="str">
        <f>"Pneumatic Gripper for ER9-Pro"</f>
        <v>Pneumatic Gripper for ER9-Pro</v>
      </c>
      <c r="T3623">
        <v>0</v>
      </c>
      <c r="U3623">
        <v>630</v>
      </c>
      <c r="V3623">
        <v>624.72</v>
      </c>
      <c r="W3623" t="str">
        <f t="shared" si="914"/>
        <v>rob</v>
      </c>
    </row>
    <row r="3624" spans="1:23">
      <c r="A3624" t="str">
        <f t="shared" si="915"/>
        <v>MTS-S-ER9P-BT</v>
      </c>
      <c r="B3624" t="str">
        <f>"00-1710-0000"</f>
        <v>00-1710-0000</v>
      </c>
      <c r="C3624" t="str">
        <f>"Teach Pendant"</f>
        <v>Teach Pendant</v>
      </c>
      <c r="D3624">
        <v>1</v>
      </c>
      <c r="E3624" t="str">
        <f t="shared" si="916"/>
        <v>FMS - Scorbot ER9Pro Robot for BenchTurn 7000 CNC Turning machine</v>
      </c>
      <c r="F3624">
        <v>502</v>
      </c>
      <c r="G3624" t="str">
        <f t="shared" si="903"/>
        <v>Y</v>
      </c>
      <c r="H3624" t="str">
        <f t="shared" si="917"/>
        <v>EA</v>
      </c>
      <c r="I3624">
        <v>0</v>
      </c>
      <c r="J3624">
        <v>0</v>
      </c>
      <c r="K3624" t="str">
        <f t="shared" si="904"/>
        <v>Y</v>
      </c>
      <c r="L3624">
        <v>0</v>
      </c>
      <c r="M3624" t="str">
        <f t="shared" si="909"/>
        <v>NIS</v>
      </c>
      <c r="O3624">
        <v>3</v>
      </c>
      <c r="P3624" t="str">
        <f t="shared" si="913"/>
        <v>Active</v>
      </c>
      <c r="Q3624" t="str">
        <f>"Teach Pendant for USB/USB Pro Controllers"</f>
        <v>Teach Pendant for USB/USB Pro Controllers</v>
      </c>
      <c r="S3624" t="str">
        <f>"Teach Pendant for USB/USB Pro Controllers"</f>
        <v>Teach Pendant for USB/USB Pro Controllers</v>
      </c>
      <c r="T3624">
        <v>0</v>
      </c>
      <c r="U3624">
        <v>160.18</v>
      </c>
      <c r="V3624">
        <v>161.44999999999999</v>
      </c>
      <c r="W3624" t="str">
        <f t="shared" si="914"/>
        <v>rob</v>
      </c>
    </row>
    <row r="3625" spans="1:23">
      <c r="A3625" t="str">
        <f t="shared" si="915"/>
        <v>MTS-S-ER9P-BT</v>
      </c>
      <c r="B3625" t="str">
        <f>"00-1016-0000"</f>
        <v>00-1016-0000</v>
      </c>
      <c r="C3625" t="str">
        <f>"LSB 1.0m, Belt, FM"</f>
        <v>LSB 1.0m, Belt, FM</v>
      </c>
      <c r="D3625">
        <v>1</v>
      </c>
      <c r="E3625" t="str">
        <f t="shared" si="916"/>
        <v>FMS - Scorbot ER9Pro Robot for BenchTurn 7000 CNC Turning machine</v>
      </c>
      <c r="F3625">
        <v>502</v>
      </c>
      <c r="G3625" t="str">
        <f t="shared" si="903"/>
        <v>Y</v>
      </c>
      <c r="H3625" t="str">
        <f t="shared" si="917"/>
        <v>EA</v>
      </c>
      <c r="I3625">
        <v>0</v>
      </c>
      <c r="J3625">
        <v>0</v>
      </c>
      <c r="K3625" t="str">
        <f t="shared" si="904"/>
        <v>Y</v>
      </c>
      <c r="L3625">
        <v>0</v>
      </c>
      <c r="M3625" t="str">
        <f t="shared" si="909"/>
        <v>NIS</v>
      </c>
      <c r="O3625">
        <v>4</v>
      </c>
      <c r="P3625" t="str">
        <f t="shared" si="913"/>
        <v>Active</v>
      </c>
      <c r="Q3625" t="str">
        <f>"LSB 1.0m (Belt, Floor Mounted incl. Stand)"</f>
        <v>LSB 1.0m (Belt, Floor Mounted incl. Stand)</v>
      </c>
      <c r="S3625" t="str">
        <f>"LSB 1.0m, Belt, Floor Mounted incl. Stand"</f>
        <v>LSB 1.0m, Belt, Floor Mounted incl. Stand</v>
      </c>
      <c r="T3625">
        <v>0</v>
      </c>
      <c r="U3625" s="44">
        <v>2336.16</v>
      </c>
      <c r="V3625" s="44">
        <v>2301.0500000000002</v>
      </c>
      <c r="W3625" t="str">
        <f t="shared" si="914"/>
        <v>rob</v>
      </c>
    </row>
    <row r="3626" spans="1:23">
      <c r="A3626" t="str">
        <f t="shared" si="915"/>
        <v>MTS-S-ER9P-BT</v>
      </c>
      <c r="B3626" t="str">
        <f>"034025"</f>
        <v>034025</v>
      </c>
      <c r="C3626" t="str">
        <f>"I/O Interface Box for Controller USB-PRO"</f>
        <v>I/O Interface Box for Controller USB-PRO</v>
      </c>
      <c r="D3626">
        <v>1</v>
      </c>
      <c r="E3626" t="str">
        <f t="shared" si="916"/>
        <v>FMS - Scorbot ER9Pro Robot for BenchTurn 7000 CNC Turning machine</v>
      </c>
      <c r="F3626">
        <v>502</v>
      </c>
      <c r="G3626" t="str">
        <f t="shared" si="903"/>
        <v>Y</v>
      </c>
      <c r="H3626" t="str">
        <f t="shared" si="917"/>
        <v>EA</v>
      </c>
      <c r="I3626">
        <v>0</v>
      </c>
      <c r="J3626">
        <v>0</v>
      </c>
      <c r="K3626" t="str">
        <f t="shared" si="904"/>
        <v>Y</v>
      </c>
      <c r="L3626">
        <v>0</v>
      </c>
      <c r="M3626" t="str">
        <f t="shared" si="909"/>
        <v>NIS</v>
      </c>
      <c r="O3626">
        <v>5</v>
      </c>
      <c r="P3626" t="str">
        <f t="shared" si="913"/>
        <v>Active</v>
      </c>
      <c r="Q3626" t="str">
        <f>"קופסת 2+Interface Box I/O כבלים לבקר USBPRO"</f>
        <v>קופסת 2+Interface Box I/O כבלים לבקר USBPRO</v>
      </c>
      <c r="S3626" t="str">
        <f>"קופסת 2+Interface Box I/O כבלים לבקר USBPRO"</f>
        <v>קופסת 2+Interface Box I/O כבלים לבקר USBPRO</v>
      </c>
      <c r="T3626">
        <v>0</v>
      </c>
      <c r="U3626">
        <v>470</v>
      </c>
      <c r="V3626">
        <v>463.62</v>
      </c>
      <c r="W3626" t="str">
        <f t="shared" si="914"/>
        <v>rob</v>
      </c>
    </row>
    <row r="3627" spans="1:23">
      <c r="A3627" t="str">
        <f t="shared" si="915"/>
        <v>MTS-S-ER9P-BT</v>
      </c>
      <c r="B3627" t="str">
        <f>"021152"</f>
        <v>021152</v>
      </c>
      <c r="C3627" t="str">
        <f>"Shelf Buffer for CIM conveyor"</f>
        <v>Shelf Buffer for CIM conveyor</v>
      </c>
      <c r="D3627">
        <v>1</v>
      </c>
      <c r="E3627" t="str">
        <f t="shared" si="916"/>
        <v>FMS - Scorbot ER9Pro Robot for BenchTurn 7000 CNC Turning machine</v>
      </c>
      <c r="F3627">
        <v>502</v>
      </c>
      <c r="G3627" t="str">
        <f t="shared" si="903"/>
        <v>Y</v>
      </c>
      <c r="H3627" t="str">
        <f t="shared" si="917"/>
        <v>EA</v>
      </c>
      <c r="I3627">
        <v>0</v>
      </c>
      <c r="J3627">
        <v>0</v>
      </c>
      <c r="K3627" t="str">
        <f t="shared" si="904"/>
        <v>Y</v>
      </c>
      <c r="L3627">
        <v>0</v>
      </c>
      <c r="M3627" t="str">
        <f t="shared" si="909"/>
        <v>NIS</v>
      </c>
      <c r="O3627">
        <v>6</v>
      </c>
      <c r="P3627" t="str">
        <f t="shared" si="913"/>
        <v>Active</v>
      </c>
      <c r="Q3627" t="str">
        <f>"מכלול- מדף בפר סטנדרטי OPEN-CIM"</f>
        <v>מכלול- מדף בפר סטנדרטי OPEN-CIM</v>
      </c>
      <c r="R3627" t="str">
        <f>"1"</f>
        <v>1</v>
      </c>
      <c r="S3627" t="str">
        <f>"מכלול- מדף בפר סטנדרטי OPEN-CIM"</f>
        <v>מכלול- מדף בפר סטנדרטי OPEN-CIM</v>
      </c>
      <c r="T3627">
        <v>0</v>
      </c>
      <c r="U3627">
        <v>83.12</v>
      </c>
      <c r="V3627">
        <v>92.76</v>
      </c>
      <c r="W3627" t="str">
        <f t="shared" si="914"/>
        <v>rob</v>
      </c>
    </row>
    <row r="3628" spans="1:23">
      <c r="A3628" t="str">
        <f t="shared" si="915"/>
        <v>MTS-S-ER9P-BT</v>
      </c>
      <c r="B3628" t="str">
        <f>"10-1007-4000"</f>
        <v>10-1007-4000</v>
      </c>
      <c r="C3628" t="str">
        <f>"Gravity Parts Feeder (with microswitch sensor)"</f>
        <v>Gravity Parts Feeder (with microswitch sensor)</v>
      </c>
      <c r="D3628">
        <v>1</v>
      </c>
      <c r="E3628" t="str">
        <f t="shared" si="916"/>
        <v>FMS - Scorbot ER9Pro Robot for BenchTurn 7000 CNC Turning machine</v>
      </c>
      <c r="F3628">
        <v>502</v>
      </c>
      <c r="G3628" t="str">
        <f t="shared" si="903"/>
        <v>Y</v>
      </c>
      <c r="H3628" t="str">
        <f t="shared" si="917"/>
        <v>EA</v>
      </c>
      <c r="I3628">
        <v>0</v>
      </c>
      <c r="J3628">
        <v>0</v>
      </c>
      <c r="K3628" t="str">
        <f t="shared" si="904"/>
        <v>Y</v>
      </c>
      <c r="L3628">
        <v>0</v>
      </c>
      <c r="M3628" t="str">
        <f t="shared" si="909"/>
        <v>NIS</v>
      </c>
      <c r="O3628">
        <v>7</v>
      </c>
      <c r="P3628" t="str">
        <f t="shared" si="913"/>
        <v>Active</v>
      </c>
      <c r="Q3628" t="str">
        <f>"Gravity Parts Feeder (incl.microswitch sensor)"</f>
        <v>Gravity Parts Feeder (incl.microswitch sensor)</v>
      </c>
      <c r="S3628" t="str">
        <f>"Gravity Parts Feeder (incl.microswitch sensor)"</f>
        <v>Gravity Parts Feeder (incl.microswitch sensor)</v>
      </c>
      <c r="T3628">
        <v>0</v>
      </c>
      <c r="U3628">
        <v>148</v>
      </c>
      <c r="V3628">
        <v>148.26</v>
      </c>
      <c r="W3628" t="str">
        <f t="shared" si="914"/>
        <v>rob</v>
      </c>
    </row>
    <row r="3629" spans="1:23">
      <c r="A3629" t="str">
        <f t="shared" si="915"/>
        <v>MTS-S-ER9P-BT</v>
      </c>
      <c r="B3629" t="str">
        <f>"00-1110-0000"</f>
        <v>00-1110-0000</v>
      </c>
      <c r="C3629" t="str">
        <f>"Palletizing Rack"</f>
        <v>Palletizing Rack</v>
      </c>
      <c r="D3629">
        <v>1</v>
      </c>
      <c r="E3629" t="str">
        <f t="shared" si="916"/>
        <v>FMS - Scorbot ER9Pro Robot for BenchTurn 7000 CNC Turning machine</v>
      </c>
      <c r="F3629">
        <v>502</v>
      </c>
      <c r="G3629" t="str">
        <f t="shared" si="903"/>
        <v>Y</v>
      </c>
      <c r="H3629" t="str">
        <f t="shared" si="917"/>
        <v>EA</v>
      </c>
      <c r="I3629">
        <v>0</v>
      </c>
      <c r="J3629">
        <v>0</v>
      </c>
      <c r="K3629" t="str">
        <f t="shared" si="904"/>
        <v>Y</v>
      </c>
      <c r="L3629">
        <v>0</v>
      </c>
      <c r="M3629" t="str">
        <f t="shared" si="909"/>
        <v>NIS</v>
      </c>
      <c r="O3629">
        <v>8</v>
      </c>
      <c r="P3629" t="str">
        <f t="shared" si="913"/>
        <v>Active</v>
      </c>
      <c r="Q3629" t="str">
        <f>"Palletizing Rack (incl. Pins for creating Jigs)"</f>
        <v>Palletizing Rack (incl. Pins for creating Jigs)</v>
      </c>
      <c r="S3629" t="str">
        <f>"Palletizing Rack (incl. Pins for creating Jigs)"</f>
        <v>Palletizing Rack (incl. Pins for creating Jigs)</v>
      </c>
      <c r="T3629">
        <v>0</v>
      </c>
      <c r="U3629">
        <v>63</v>
      </c>
      <c r="V3629">
        <v>58.59</v>
      </c>
      <c r="W3629" t="str">
        <f t="shared" si="914"/>
        <v>rob</v>
      </c>
    </row>
    <row r="3630" spans="1:23">
      <c r="A3630" t="str">
        <f t="shared" si="915"/>
        <v>MTS-S-ER9P-BT</v>
      </c>
      <c r="B3630" t="str">
        <f>"021182"</f>
        <v>021182</v>
      </c>
      <c r="C3630" t="str">
        <f>"97mm Height Adapter"</f>
        <v>97mm Height Adapter</v>
      </c>
      <c r="D3630">
        <v>1</v>
      </c>
      <c r="E3630" t="str">
        <f t="shared" si="916"/>
        <v>FMS - Scorbot ER9Pro Robot for BenchTurn 7000 CNC Turning machine</v>
      </c>
      <c r="F3630">
        <v>502</v>
      </c>
      <c r="G3630" t="str">
        <f t="shared" si="903"/>
        <v>Y</v>
      </c>
      <c r="H3630" t="str">
        <f t="shared" si="917"/>
        <v>EA</v>
      </c>
      <c r="I3630">
        <v>0</v>
      </c>
      <c r="J3630">
        <v>0</v>
      </c>
      <c r="K3630" t="str">
        <f t="shared" si="904"/>
        <v>Y</v>
      </c>
      <c r="L3630">
        <v>0</v>
      </c>
      <c r="M3630" t="str">
        <f t="shared" si="909"/>
        <v>NIS</v>
      </c>
      <c r="O3630">
        <v>9</v>
      </c>
      <c r="P3630" t="str">
        <f t="shared" si="913"/>
        <v>Active</v>
      </c>
      <c r="Q3630" t="str">
        <f>"97mm Height Adapter -Rack 001110 on formica 28mm"</f>
        <v>97mm Height Adapter -Rack 001110 on formica 28mm</v>
      </c>
      <c r="S3630" t="str">
        <f>"97mm Height Adapter -Rack 001110 on formica 28mm"</f>
        <v>97mm Height Adapter -Rack 001110 on formica 28mm</v>
      </c>
      <c r="T3630">
        <v>0</v>
      </c>
      <c r="U3630">
        <v>7</v>
      </c>
      <c r="V3630">
        <v>5.5</v>
      </c>
      <c r="W3630" t="str">
        <f t="shared" si="914"/>
        <v>rob</v>
      </c>
    </row>
    <row r="3631" spans="1:23">
      <c r="A3631" t="str">
        <f t="shared" si="915"/>
        <v>MTS-S-ER9P-BT</v>
      </c>
      <c r="B3631" t="str">
        <f>"10-2120-1000"</f>
        <v>10-2120-1000</v>
      </c>
      <c r="C3631" t="str">
        <f>"CNC Interface with BenchTurn 7000"</f>
        <v>CNC Interface with BenchTurn 7000</v>
      </c>
      <c r="D3631">
        <v>1</v>
      </c>
      <c r="E3631" t="str">
        <f t="shared" si="916"/>
        <v>FMS - Scorbot ER9Pro Robot for BenchTurn 7000 CNC Turning machine</v>
      </c>
      <c r="F3631">
        <v>502</v>
      </c>
      <c r="G3631" t="str">
        <f t="shared" si="903"/>
        <v>Y</v>
      </c>
      <c r="H3631" t="str">
        <f t="shared" si="917"/>
        <v>EA</v>
      </c>
      <c r="I3631">
        <v>0</v>
      </c>
      <c r="J3631">
        <v>0</v>
      </c>
      <c r="K3631" t="str">
        <f t="shared" si="904"/>
        <v>Y</v>
      </c>
      <c r="L3631">
        <v>0</v>
      </c>
      <c r="M3631" t="str">
        <f t="shared" si="909"/>
        <v>NIS</v>
      </c>
      <c r="O3631">
        <v>10</v>
      </c>
      <c r="P3631" t="str">
        <f t="shared" si="913"/>
        <v>Active</v>
      </c>
      <c r="Q3631" t="str">
        <f>"CNC Interface with BenchTurn 7000"</f>
        <v>CNC Interface with BenchTurn 7000</v>
      </c>
      <c r="S3631" t="str">
        <f>"CNC Interface with BenchTurn 7000"</f>
        <v>CNC Interface with BenchTurn 7000</v>
      </c>
      <c r="T3631">
        <v>0</v>
      </c>
      <c r="U3631">
        <v>60</v>
      </c>
      <c r="V3631">
        <v>19.7</v>
      </c>
      <c r="W3631" t="str">
        <f t="shared" si="914"/>
        <v>rob</v>
      </c>
    </row>
    <row r="3632" spans="1:23">
      <c r="A3632" t="str">
        <f t="shared" si="915"/>
        <v>MTS-S-ER9P-BT</v>
      </c>
      <c r="B3632" t="str">
        <f>"63-7001-1000"</f>
        <v>63-7001-1000</v>
      </c>
      <c r="C3632" t="str">
        <f>"-CNCMotion for BenchTurn 7000"</f>
        <v>-CNCMotion for BenchTurn 7000</v>
      </c>
      <c r="D3632">
        <v>1</v>
      </c>
      <c r="E3632" t="str">
        <f t="shared" si="916"/>
        <v>FMS - Scorbot ER9Pro Robot for BenchTurn 7000 CNC Turning machine</v>
      </c>
      <c r="F3632">
        <v>502</v>
      </c>
      <c r="G3632" t="str">
        <f t="shared" si="903"/>
        <v>Y</v>
      </c>
      <c r="H3632" t="str">
        <f t="shared" si="917"/>
        <v>EA</v>
      </c>
      <c r="I3632">
        <v>0</v>
      </c>
      <c r="J3632">
        <v>0</v>
      </c>
      <c r="K3632" t="str">
        <f t="shared" si="904"/>
        <v>Y</v>
      </c>
      <c r="L3632">
        <v>0</v>
      </c>
      <c r="M3632" t="str">
        <f t="shared" si="909"/>
        <v>NIS</v>
      </c>
      <c r="O3632">
        <v>11</v>
      </c>
      <c r="P3632" t="str">
        <f t="shared" si="913"/>
        <v>Active</v>
      </c>
      <c r="Q3632" t="str">
        <f>"CNCMotion Sim. Sftwr, BenchTurn 7000"</f>
        <v>CNCMotion Sim. Sftwr, BenchTurn 7000</v>
      </c>
      <c r="S3632" t="str">
        <f>"CNCMotion Sim. Sftwr, BenchTurn 7000"</f>
        <v>CNCMotion Sim. Sftwr, BenchTurn 7000</v>
      </c>
      <c r="T3632">
        <v>0</v>
      </c>
      <c r="U3632">
        <v>10</v>
      </c>
      <c r="V3632">
        <v>0</v>
      </c>
      <c r="W3632" t="str">
        <f t="shared" si="914"/>
        <v>rob</v>
      </c>
    </row>
    <row r="3633" spans="1:23">
      <c r="A3633" t="str">
        <f t="shared" si="915"/>
        <v>MTS-S-ER9P-BT</v>
      </c>
      <c r="B3633" t="str">
        <f>"10-6741-0000"</f>
        <v>10-6741-0000</v>
      </c>
      <c r="C3633" t="str">
        <f>"spectraCAM Turning, First Copy"</f>
        <v>spectraCAM Turning, First Copy</v>
      </c>
      <c r="D3633">
        <v>1</v>
      </c>
      <c r="E3633" t="str">
        <f t="shared" si="916"/>
        <v>FMS - Scorbot ER9Pro Robot for BenchTurn 7000 CNC Turning machine</v>
      </c>
      <c r="F3633">
        <v>502</v>
      </c>
      <c r="G3633" t="str">
        <f t="shared" si="903"/>
        <v>Y</v>
      </c>
      <c r="H3633" t="str">
        <f t="shared" si="917"/>
        <v>EA</v>
      </c>
      <c r="I3633">
        <v>0</v>
      </c>
      <c r="J3633">
        <v>0</v>
      </c>
      <c r="K3633" t="str">
        <f t="shared" si="904"/>
        <v>Y</v>
      </c>
      <c r="L3633">
        <v>0</v>
      </c>
      <c r="M3633" t="str">
        <f t="shared" si="909"/>
        <v>NIS</v>
      </c>
      <c r="O3633">
        <v>12</v>
      </c>
      <c r="P3633" t="str">
        <f>"Inactive"</f>
        <v>Inactive</v>
      </c>
      <c r="Q3633" t="str">
        <f>"spectraCAM Turning, First Copy"</f>
        <v>spectraCAM Turning, First Copy</v>
      </c>
      <c r="S3633" t="str">
        <f>"spectraCAM Turning, First Copy"</f>
        <v>spectraCAM Turning, First Copy</v>
      </c>
      <c r="T3633">
        <v>41.27</v>
      </c>
      <c r="U3633">
        <v>25.06</v>
      </c>
      <c r="V3633">
        <v>25.81</v>
      </c>
      <c r="W3633" t="str">
        <f t="shared" si="914"/>
        <v>rob</v>
      </c>
    </row>
    <row r="3634" spans="1:23">
      <c r="A3634" t="str">
        <f t="shared" si="915"/>
        <v>MTS-S-ER9P-BT</v>
      </c>
      <c r="B3634" t="str">
        <f>"112496"</f>
        <v>112496</v>
      </c>
      <c r="C3634" t="str">
        <f>"Raw Material - Brass  Rod"</f>
        <v>Raw Material - Brass  Rod</v>
      </c>
      <c r="D3634">
        <v>50</v>
      </c>
      <c r="E3634" t="str">
        <f t="shared" si="916"/>
        <v>FMS - Scorbot ER9Pro Robot for BenchTurn 7000 CNC Turning machine</v>
      </c>
      <c r="F3634">
        <v>502</v>
      </c>
      <c r="G3634" t="str">
        <f t="shared" si="903"/>
        <v>Y</v>
      </c>
      <c r="H3634" t="str">
        <f t="shared" si="917"/>
        <v>EA</v>
      </c>
      <c r="I3634">
        <v>0</v>
      </c>
      <c r="J3634">
        <v>0</v>
      </c>
      <c r="K3634" t="str">
        <f t="shared" si="904"/>
        <v>Y</v>
      </c>
      <c r="L3634">
        <v>0</v>
      </c>
      <c r="M3634" t="str">
        <f t="shared" si="909"/>
        <v>NIS</v>
      </c>
      <c r="O3634">
        <v>13</v>
      </c>
      <c r="P3634" t="str">
        <f t="shared" ref="P3634:P3665" si="918">"Active"</f>
        <v>Active</v>
      </c>
      <c r="Q3634" t="str">
        <f>"Raw Material Stock - Brass  Rod"</f>
        <v>Raw Material Stock - Brass  Rod</v>
      </c>
      <c r="S3634" t="str">
        <f>"Raw Material Stock - Brass  Rod"</f>
        <v>Raw Material Stock - Brass  Rod</v>
      </c>
      <c r="T3634">
        <v>0</v>
      </c>
      <c r="U3634">
        <v>3.67</v>
      </c>
      <c r="V3634">
        <v>2.69</v>
      </c>
      <c r="W3634" t="str">
        <f t="shared" si="914"/>
        <v>rob</v>
      </c>
    </row>
    <row r="3635" spans="1:23">
      <c r="A3635" t="str">
        <f t="shared" si="915"/>
        <v>MTS-S-ER9P-BT</v>
      </c>
      <c r="B3635" t="str">
        <f>"00-1261-0000"</f>
        <v>00-1261-0000</v>
      </c>
      <c r="C3635" t="str">
        <f>"Workbench 1800x900mm (Heavy duty for CNC)"</f>
        <v>Workbench 1800x900mm (Heavy duty for CNC)</v>
      </c>
      <c r="D3635">
        <v>1</v>
      </c>
      <c r="E3635" t="str">
        <f t="shared" si="916"/>
        <v>FMS - Scorbot ER9Pro Robot for BenchTurn 7000 CNC Turning machine</v>
      </c>
      <c r="F3635">
        <v>502</v>
      </c>
      <c r="G3635" t="str">
        <f t="shared" si="903"/>
        <v>Y</v>
      </c>
      <c r="H3635" t="str">
        <f t="shared" si="917"/>
        <v>EA</v>
      </c>
      <c r="I3635">
        <v>0</v>
      </c>
      <c r="J3635">
        <v>0</v>
      </c>
      <c r="K3635" t="str">
        <f t="shared" si="904"/>
        <v>Y</v>
      </c>
      <c r="L3635">
        <v>0</v>
      </c>
      <c r="M3635" t="str">
        <f t="shared" si="909"/>
        <v>NIS</v>
      </c>
      <c r="O3635">
        <v>14</v>
      </c>
      <c r="P3635" t="str">
        <f t="shared" si="918"/>
        <v>Active</v>
      </c>
      <c r="Q3635" t="str">
        <f>"Workbench 1800x900mm (Heavy duty for CNC)"</f>
        <v>Workbench 1800x900mm (Heavy duty for CNC)</v>
      </c>
      <c r="S3635" t="str">
        <f>"Workbench 1800x900mm (Heavy duty for CNC)"</f>
        <v>Workbench 1800x900mm (Heavy duty for CNC)</v>
      </c>
      <c r="T3635">
        <v>0</v>
      </c>
      <c r="U3635">
        <v>830</v>
      </c>
      <c r="V3635">
        <v>831.14</v>
      </c>
      <c r="W3635" t="str">
        <f t="shared" si="914"/>
        <v>rob</v>
      </c>
    </row>
    <row r="3636" spans="1:23">
      <c r="A3636" t="str">
        <f t="shared" si="915"/>
        <v>MTS-S-ER9P-BT</v>
      </c>
      <c r="B3636" t="str">
        <f>"00-1265-0000"</f>
        <v>00-1265-0000</v>
      </c>
      <c r="C3636" t="str">
        <f>"PC Extension Shelf  600x900mm"</f>
        <v>PC Extension Shelf  600x900mm</v>
      </c>
      <c r="D3636">
        <v>1</v>
      </c>
      <c r="E3636" t="str">
        <f t="shared" si="916"/>
        <v>FMS - Scorbot ER9Pro Robot for BenchTurn 7000 CNC Turning machine</v>
      </c>
      <c r="F3636">
        <v>502</v>
      </c>
      <c r="G3636" t="str">
        <f t="shared" si="903"/>
        <v>Y</v>
      </c>
      <c r="H3636" t="str">
        <f t="shared" si="917"/>
        <v>EA</v>
      </c>
      <c r="I3636">
        <v>0</v>
      </c>
      <c r="J3636">
        <v>0</v>
      </c>
      <c r="K3636" t="str">
        <f t="shared" si="904"/>
        <v>Y</v>
      </c>
      <c r="L3636">
        <v>0</v>
      </c>
      <c r="M3636" t="str">
        <f t="shared" si="909"/>
        <v>NIS</v>
      </c>
      <c r="O3636">
        <v>15</v>
      </c>
      <c r="P3636" t="str">
        <f t="shared" si="918"/>
        <v>Active</v>
      </c>
      <c r="Q3636" t="str">
        <f>"PC Extension Shelf  600x900mm"</f>
        <v>PC Extension Shelf  600x900mm</v>
      </c>
      <c r="S3636" t="str">
        <f>"PC Extension Shelf  600x900mm"</f>
        <v>PC Extension Shelf  600x900mm</v>
      </c>
      <c r="T3636">
        <v>0</v>
      </c>
      <c r="U3636">
        <v>211</v>
      </c>
      <c r="V3636">
        <v>198.88</v>
      </c>
      <c r="W3636" t="str">
        <f t="shared" si="914"/>
        <v>rob</v>
      </c>
    </row>
    <row r="3637" spans="1:23">
      <c r="A3637" t="str">
        <f t="shared" si="915"/>
        <v>MTS-S-ER9P-BT</v>
      </c>
      <c r="B3637" t="str">
        <f>"50-0094-0000"</f>
        <v>50-0094-0000</v>
      </c>
      <c r="C3637" t="str">
        <f>"Pre-Engineering, Design and Testing"</f>
        <v>Pre-Engineering, Design and Testing</v>
      </c>
      <c r="D3637">
        <v>1</v>
      </c>
      <c r="E3637" t="str">
        <f t="shared" si="916"/>
        <v>FMS - Scorbot ER9Pro Robot for BenchTurn 7000 CNC Turning machine</v>
      </c>
      <c r="F3637">
        <v>502</v>
      </c>
      <c r="G3637" t="str">
        <f t="shared" si="903"/>
        <v>Y</v>
      </c>
      <c r="H3637" t="str">
        <f>"DA"</f>
        <v>DA</v>
      </c>
      <c r="I3637">
        <v>0</v>
      </c>
      <c r="J3637">
        <v>0</v>
      </c>
      <c r="K3637" t="str">
        <f t="shared" si="904"/>
        <v>Y</v>
      </c>
      <c r="L3637">
        <v>0</v>
      </c>
      <c r="M3637" t="str">
        <f t="shared" si="909"/>
        <v>NIS</v>
      </c>
      <c r="O3637">
        <v>16</v>
      </c>
      <c r="P3637" t="str">
        <f t="shared" si="918"/>
        <v>Active</v>
      </c>
      <c r="Q3637" t="str">
        <f>"Pre-Engineering, Design and Testing"</f>
        <v>Pre-Engineering, Design and Testing</v>
      </c>
      <c r="S3637" t="str">
        <f>"Pre-Engineering, Design and Testing"</f>
        <v>Pre-Engineering, Design and Testing</v>
      </c>
      <c r="T3637">
        <v>0</v>
      </c>
      <c r="U3637">
        <v>405</v>
      </c>
      <c r="V3637">
        <v>421.2</v>
      </c>
      <c r="W3637" t="str">
        <f t="shared" si="914"/>
        <v>rob</v>
      </c>
    </row>
    <row r="3638" spans="1:23">
      <c r="A3638" t="str">
        <f t="shared" ref="A3638:A3650" si="919">"MTS-S-ER9P-PM"</f>
        <v>MTS-S-ER9P-PM</v>
      </c>
      <c r="B3638" t="str">
        <f>"00-0430-0000"</f>
        <v>00-0430-0000</v>
      </c>
      <c r="C3638" t="str">
        <f>"SCORBOT-ER9Pro"</f>
        <v>SCORBOT-ER9Pro</v>
      </c>
      <c r="D3638">
        <v>1</v>
      </c>
      <c r="E3638" t="str">
        <f t="shared" ref="E3638:E3650" si="920">"FMS - Scorbot ER9Pro Robot for ProMill 8000 CNC machine"</f>
        <v>FMS - Scorbot ER9Pro Robot for ProMill 8000 CNC machine</v>
      </c>
      <c r="F3638">
        <v>502</v>
      </c>
      <c r="G3638" t="str">
        <f t="shared" si="903"/>
        <v>Y</v>
      </c>
      <c r="H3638" t="str">
        <f t="shared" ref="H3638:H3649" si="921">"EA"</f>
        <v>EA</v>
      </c>
      <c r="I3638">
        <v>0</v>
      </c>
      <c r="J3638">
        <v>0</v>
      </c>
      <c r="K3638" t="str">
        <f t="shared" si="904"/>
        <v>Y</v>
      </c>
      <c r="L3638">
        <v>0</v>
      </c>
      <c r="M3638" t="str">
        <f>"USD"</f>
        <v>USD</v>
      </c>
      <c r="O3638">
        <v>1</v>
      </c>
      <c r="P3638" t="str">
        <f t="shared" si="918"/>
        <v>Active</v>
      </c>
      <c r="Q3638" t="str">
        <f>"SCORBOT-ER 9Pro (incl. USB-Pro Controller)"</f>
        <v>SCORBOT-ER 9Pro (incl. USB-Pro Controller)</v>
      </c>
      <c r="S3638" t="str">
        <f>"SCORBOT-ER 9Pro (incl. USB-Pro Controller)"</f>
        <v>SCORBOT-ER 9Pro (incl. USB-Pro Controller)</v>
      </c>
      <c r="T3638">
        <v>0</v>
      </c>
      <c r="U3638" s="44">
        <v>10900</v>
      </c>
      <c r="V3638" s="44">
        <v>11661.57</v>
      </c>
      <c r="W3638" t="str">
        <f t="shared" si="914"/>
        <v>rob</v>
      </c>
    </row>
    <row r="3639" spans="1:23">
      <c r="A3639" t="str">
        <f t="shared" si="919"/>
        <v>MTS-S-ER9P-PM</v>
      </c>
      <c r="B3639" t="str">
        <f>"00-0633-0000"</f>
        <v>00-0633-0000</v>
      </c>
      <c r="C3639" t="str">
        <f>"Pneumatic Gripper for ER9-Pro"</f>
        <v>Pneumatic Gripper for ER9-Pro</v>
      </c>
      <c r="D3639">
        <v>1</v>
      </c>
      <c r="E3639" t="str">
        <f t="shared" si="920"/>
        <v>FMS - Scorbot ER9Pro Robot for ProMill 8000 CNC machine</v>
      </c>
      <c r="F3639">
        <v>502</v>
      </c>
      <c r="G3639" t="str">
        <f t="shared" si="903"/>
        <v>Y</v>
      </c>
      <c r="H3639" t="str">
        <f t="shared" si="921"/>
        <v>EA</v>
      </c>
      <c r="I3639">
        <v>0</v>
      </c>
      <c r="J3639">
        <v>0</v>
      </c>
      <c r="K3639" t="str">
        <f t="shared" si="904"/>
        <v>Y</v>
      </c>
      <c r="L3639">
        <v>0</v>
      </c>
      <c r="M3639" t="str">
        <f t="shared" ref="M3639:M3650" si="922">"NIS"</f>
        <v>NIS</v>
      </c>
      <c r="O3639">
        <v>2</v>
      </c>
      <c r="P3639" t="str">
        <f t="shared" si="918"/>
        <v>Active</v>
      </c>
      <c r="Q3639" t="str">
        <f>"Pneumatic Gripper for ER 9Pro"</f>
        <v>Pneumatic Gripper for ER 9Pro</v>
      </c>
      <c r="S3639" t="str">
        <f>"Pneumatic Gripper for ER9-Pro"</f>
        <v>Pneumatic Gripper for ER9-Pro</v>
      </c>
      <c r="T3639">
        <v>0</v>
      </c>
      <c r="U3639">
        <v>630</v>
      </c>
      <c r="V3639">
        <v>624.72</v>
      </c>
      <c r="W3639" t="str">
        <f t="shared" si="914"/>
        <v>rob</v>
      </c>
    </row>
    <row r="3640" spans="1:23">
      <c r="A3640" t="str">
        <f t="shared" si="919"/>
        <v>MTS-S-ER9P-PM</v>
      </c>
      <c r="B3640" t="str">
        <f>"00-1710-0000"</f>
        <v>00-1710-0000</v>
      </c>
      <c r="C3640" t="str">
        <f>"Teach Pendant"</f>
        <v>Teach Pendant</v>
      </c>
      <c r="D3640">
        <v>1</v>
      </c>
      <c r="E3640" t="str">
        <f t="shared" si="920"/>
        <v>FMS - Scorbot ER9Pro Robot for ProMill 8000 CNC machine</v>
      </c>
      <c r="F3640">
        <v>502</v>
      </c>
      <c r="G3640" t="str">
        <f t="shared" si="903"/>
        <v>Y</v>
      </c>
      <c r="H3640" t="str">
        <f t="shared" si="921"/>
        <v>EA</v>
      </c>
      <c r="I3640">
        <v>0</v>
      </c>
      <c r="J3640">
        <v>0</v>
      </c>
      <c r="K3640" t="str">
        <f t="shared" si="904"/>
        <v>Y</v>
      </c>
      <c r="L3640">
        <v>0</v>
      </c>
      <c r="M3640" t="str">
        <f t="shared" si="922"/>
        <v>NIS</v>
      </c>
      <c r="O3640">
        <v>3</v>
      </c>
      <c r="P3640" t="str">
        <f t="shared" si="918"/>
        <v>Active</v>
      </c>
      <c r="Q3640" t="str">
        <f>"Teach Pendant for USB/USB Pro Controllers"</f>
        <v>Teach Pendant for USB/USB Pro Controllers</v>
      </c>
      <c r="S3640" t="str">
        <f>"Teach Pendant for USB/USB Pro Controllers"</f>
        <v>Teach Pendant for USB/USB Pro Controllers</v>
      </c>
      <c r="T3640">
        <v>0</v>
      </c>
      <c r="U3640">
        <v>160.18</v>
      </c>
      <c r="V3640">
        <v>161.44999999999999</v>
      </c>
      <c r="W3640" t="str">
        <f t="shared" si="914"/>
        <v>rob</v>
      </c>
    </row>
    <row r="3641" spans="1:23">
      <c r="A3641" t="str">
        <f t="shared" si="919"/>
        <v>MTS-S-ER9P-PM</v>
      </c>
      <c r="B3641" t="str">
        <f>"00-1016-0000"</f>
        <v>00-1016-0000</v>
      </c>
      <c r="C3641" t="str">
        <f>"LSB 1.0m, Belt, FM"</f>
        <v>LSB 1.0m, Belt, FM</v>
      </c>
      <c r="D3641">
        <v>1</v>
      </c>
      <c r="E3641" t="str">
        <f t="shared" si="920"/>
        <v>FMS - Scorbot ER9Pro Robot for ProMill 8000 CNC machine</v>
      </c>
      <c r="F3641">
        <v>502</v>
      </c>
      <c r="G3641" t="str">
        <f t="shared" si="903"/>
        <v>Y</v>
      </c>
      <c r="H3641" t="str">
        <f t="shared" si="921"/>
        <v>EA</v>
      </c>
      <c r="I3641">
        <v>0</v>
      </c>
      <c r="J3641">
        <v>0</v>
      </c>
      <c r="K3641" t="str">
        <f t="shared" si="904"/>
        <v>Y</v>
      </c>
      <c r="L3641">
        <v>0</v>
      </c>
      <c r="M3641" t="str">
        <f t="shared" si="922"/>
        <v>NIS</v>
      </c>
      <c r="O3641">
        <v>4</v>
      </c>
      <c r="P3641" t="str">
        <f t="shared" si="918"/>
        <v>Active</v>
      </c>
      <c r="Q3641" t="str">
        <f>"LSB 1.0m (Belt, Floor Mounted incl. Stand)"</f>
        <v>LSB 1.0m (Belt, Floor Mounted incl. Stand)</v>
      </c>
      <c r="S3641" t="str">
        <f>"LSB 1.0m, Belt, Floor Mounted incl. Stand"</f>
        <v>LSB 1.0m, Belt, Floor Mounted incl. Stand</v>
      </c>
      <c r="T3641">
        <v>0</v>
      </c>
      <c r="U3641" s="44">
        <v>2336.16</v>
      </c>
      <c r="V3641" s="44">
        <v>2301.0500000000002</v>
      </c>
      <c r="W3641" t="str">
        <f t="shared" si="914"/>
        <v>rob</v>
      </c>
    </row>
    <row r="3642" spans="1:23">
      <c r="A3642" t="str">
        <f t="shared" si="919"/>
        <v>MTS-S-ER9P-PM</v>
      </c>
      <c r="B3642" t="str">
        <f>"034025"</f>
        <v>034025</v>
      </c>
      <c r="C3642" t="str">
        <f>"I/O Interface Box for Controller USB-PRO"</f>
        <v>I/O Interface Box for Controller USB-PRO</v>
      </c>
      <c r="D3642">
        <v>1</v>
      </c>
      <c r="E3642" t="str">
        <f t="shared" si="920"/>
        <v>FMS - Scorbot ER9Pro Robot for ProMill 8000 CNC machine</v>
      </c>
      <c r="F3642">
        <v>502</v>
      </c>
      <c r="G3642" t="str">
        <f t="shared" si="903"/>
        <v>Y</v>
      </c>
      <c r="H3642" t="str">
        <f t="shared" si="921"/>
        <v>EA</v>
      </c>
      <c r="I3642">
        <v>0</v>
      </c>
      <c r="J3642">
        <v>0</v>
      </c>
      <c r="K3642" t="str">
        <f t="shared" si="904"/>
        <v>Y</v>
      </c>
      <c r="L3642">
        <v>0</v>
      </c>
      <c r="M3642" t="str">
        <f t="shared" si="922"/>
        <v>NIS</v>
      </c>
      <c r="O3642">
        <v>5</v>
      </c>
      <c r="P3642" t="str">
        <f t="shared" si="918"/>
        <v>Active</v>
      </c>
      <c r="Q3642" t="str">
        <f>"I/O Interface Box for Controller USB-PRO"</f>
        <v>I/O Interface Box for Controller USB-PRO</v>
      </c>
      <c r="S3642" t="str">
        <f>"קופסת 2+Interface Box I/O כבלים לבקר USBPRO"</f>
        <v>קופסת 2+Interface Box I/O כבלים לבקר USBPRO</v>
      </c>
      <c r="T3642">
        <v>0</v>
      </c>
      <c r="U3642">
        <v>470</v>
      </c>
      <c r="V3642">
        <v>463.62</v>
      </c>
      <c r="W3642" t="str">
        <f t="shared" si="914"/>
        <v>rob</v>
      </c>
    </row>
    <row r="3643" spans="1:23">
      <c r="A3643" t="str">
        <f t="shared" si="919"/>
        <v>MTS-S-ER9P-PM</v>
      </c>
      <c r="B3643" t="str">
        <f>"021152"</f>
        <v>021152</v>
      </c>
      <c r="C3643" t="str">
        <f>"Shelf Buffer for CIM conveyor"</f>
        <v>Shelf Buffer for CIM conveyor</v>
      </c>
      <c r="D3643">
        <v>1</v>
      </c>
      <c r="E3643" t="str">
        <f t="shared" si="920"/>
        <v>FMS - Scorbot ER9Pro Robot for ProMill 8000 CNC machine</v>
      </c>
      <c r="F3643">
        <v>502</v>
      </c>
      <c r="G3643" t="str">
        <f t="shared" si="903"/>
        <v>Y</v>
      </c>
      <c r="H3643" t="str">
        <f t="shared" si="921"/>
        <v>EA</v>
      </c>
      <c r="I3643">
        <v>0</v>
      </c>
      <c r="J3643">
        <v>0</v>
      </c>
      <c r="K3643" t="str">
        <f t="shared" si="904"/>
        <v>Y</v>
      </c>
      <c r="L3643">
        <v>0</v>
      </c>
      <c r="M3643" t="str">
        <f t="shared" si="922"/>
        <v>NIS</v>
      </c>
      <c r="O3643">
        <v>6</v>
      </c>
      <c r="P3643" t="str">
        <f t="shared" si="918"/>
        <v>Active</v>
      </c>
      <c r="Q3643" t="str">
        <f>"מכלול- מדף בפר סטנדרטי OPEN-CIM"</f>
        <v>מכלול- מדף בפר סטנדרטי OPEN-CIM</v>
      </c>
      <c r="R3643" t="str">
        <f>"1"</f>
        <v>1</v>
      </c>
      <c r="S3643" t="str">
        <f>"מכלול- מדף בפר סטנדרטי OPEN-CIM"</f>
        <v>מכלול- מדף בפר סטנדרטי OPEN-CIM</v>
      </c>
      <c r="T3643">
        <v>0</v>
      </c>
      <c r="U3643">
        <v>83.12</v>
      </c>
      <c r="V3643">
        <v>92.76</v>
      </c>
      <c r="W3643" t="str">
        <f t="shared" si="914"/>
        <v>rob</v>
      </c>
    </row>
    <row r="3644" spans="1:23">
      <c r="A3644" t="str">
        <f t="shared" si="919"/>
        <v>MTS-S-ER9P-PM</v>
      </c>
      <c r="B3644" t="str">
        <f>"10-2521-7000"</f>
        <v>10-2521-7000</v>
      </c>
      <c r="C3644" t="str">
        <f>"Pneumatic Feeder for Rectangular products"</f>
        <v>Pneumatic Feeder for Rectangular products</v>
      </c>
      <c r="D3644">
        <v>1</v>
      </c>
      <c r="E3644" t="str">
        <f t="shared" si="920"/>
        <v>FMS - Scorbot ER9Pro Robot for ProMill 8000 CNC machine</v>
      </c>
      <c r="F3644">
        <v>502</v>
      </c>
      <c r="G3644" t="str">
        <f t="shared" si="903"/>
        <v>Y</v>
      </c>
      <c r="H3644" t="str">
        <f t="shared" si="921"/>
        <v>EA</v>
      </c>
      <c r="I3644">
        <v>0</v>
      </c>
      <c r="J3644">
        <v>0</v>
      </c>
      <c r="K3644" t="str">
        <f t="shared" si="904"/>
        <v>Y</v>
      </c>
      <c r="L3644">
        <v>0</v>
      </c>
      <c r="M3644" t="str">
        <f t="shared" si="922"/>
        <v>NIS</v>
      </c>
      <c r="O3644">
        <v>7</v>
      </c>
      <c r="P3644" t="str">
        <f t="shared" si="918"/>
        <v>Active</v>
      </c>
      <c r="Q3644" t="str">
        <f>"Pneumatic Feeder for Rectangular Parts"</f>
        <v>Pneumatic Feeder for Rectangular Parts</v>
      </c>
      <c r="S3644" t="str">
        <f>"Pneumatic Feeder for Rectangular Parts"</f>
        <v>Pneumatic Feeder for Rectangular Parts</v>
      </c>
      <c r="T3644">
        <v>0</v>
      </c>
      <c r="U3644">
        <v>595</v>
      </c>
      <c r="V3644">
        <v>555.15</v>
      </c>
      <c r="W3644" t="str">
        <f t="shared" si="914"/>
        <v>rob</v>
      </c>
    </row>
    <row r="3645" spans="1:23">
      <c r="A3645" t="str">
        <f t="shared" si="919"/>
        <v>MTS-S-ER9P-PM</v>
      </c>
      <c r="B3645" t="str">
        <f>"00-1110-0000"</f>
        <v>00-1110-0000</v>
      </c>
      <c r="C3645" t="str">
        <f>"Palletizing Rack"</f>
        <v>Palletizing Rack</v>
      </c>
      <c r="D3645">
        <v>1</v>
      </c>
      <c r="E3645" t="str">
        <f t="shared" si="920"/>
        <v>FMS - Scorbot ER9Pro Robot for ProMill 8000 CNC machine</v>
      </c>
      <c r="F3645">
        <v>502</v>
      </c>
      <c r="G3645" t="str">
        <f t="shared" si="903"/>
        <v>Y</v>
      </c>
      <c r="H3645" t="str">
        <f t="shared" si="921"/>
        <v>EA</v>
      </c>
      <c r="I3645">
        <v>0</v>
      </c>
      <c r="J3645">
        <v>0</v>
      </c>
      <c r="K3645" t="str">
        <f t="shared" si="904"/>
        <v>Y</v>
      </c>
      <c r="L3645">
        <v>0</v>
      </c>
      <c r="M3645" t="str">
        <f t="shared" si="922"/>
        <v>NIS</v>
      </c>
      <c r="O3645">
        <v>8</v>
      </c>
      <c r="P3645" t="str">
        <f t="shared" si="918"/>
        <v>Active</v>
      </c>
      <c r="Q3645" t="str">
        <f>"Palletizing Rack (incl. Pins for creating Jigs)"</f>
        <v>Palletizing Rack (incl. Pins for creating Jigs)</v>
      </c>
      <c r="S3645" t="str">
        <f>"Palletizing Rack (incl. Pins for creating Jigs)"</f>
        <v>Palletizing Rack (incl. Pins for creating Jigs)</v>
      </c>
      <c r="T3645">
        <v>0</v>
      </c>
      <c r="U3645">
        <v>63</v>
      </c>
      <c r="V3645">
        <v>58.59</v>
      </c>
      <c r="W3645" t="str">
        <f t="shared" si="914"/>
        <v>rob</v>
      </c>
    </row>
    <row r="3646" spans="1:23">
      <c r="A3646" t="str">
        <f t="shared" si="919"/>
        <v>MTS-S-ER9P-PM</v>
      </c>
      <c r="B3646" t="str">
        <f>"10-2120-2000"</f>
        <v>10-2120-2000</v>
      </c>
      <c r="C3646" t="str">
        <f>"CNC Interface with ProMill 8000"</f>
        <v>CNC Interface with ProMill 8000</v>
      </c>
      <c r="D3646">
        <v>1</v>
      </c>
      <c r="E3646" t="str">
        <f t="shared" si="920"/>
        <v>FMS - Scorbot ER9Pro Robot for ProMill 8000 CNC machine</v>
      </c>
      <c r="F3646">
        <v>502</v>
      </c>
      <c r="G3646" t="str">
        <f t="shared" si="903"/>
        <v>Y</v>
      </c>
      <c r="H3646" t="str">
        <f t="shared" si="921"/>
        <v>EA</v>
      </c>
      <c r="I3646">
        <v>0</v>
      </c>
      <c r="J3646">
        <v>0</v>
      </c>
      <c r="K3646" t="str">
        <f t="shared" si="904"/>
        <v>Y</v>
      </c>
      <c r="L3646">
        <v>0</v>
      </c>
      <c r="M3646" t="str">
        <f t="shared" si="922"/>
        <v>NIS</v>
      </c>
      <c r="O3646">
        <v>9</v>
      </c>
      <c r="P3646" t="str">
        <f t="shared" si="918"/>
        <v>Active</v>
      </c>
      <c r="Q3646" t="str">
        <f>"CNC Interface with ProMill 8000"</f>
        <v>CNC Interface with ProMill 8000</v>
      </c>
      <c r="S3646" t="str">
        <f>"CNC Interface with ProMill 8000"</f>
        <v>CNC Interface with ProMill 8000</v>
      </c>
      <c r="T3646">
        <v>0</v>
      </c>
      <c r="U3646">
        <v>18</v>
      </c>
      <c r="V3646">
        <v>17.690000000000001</v>
      </c>
      <c r="W3646" t="str">
        <f t="shared" si="914"/>
        <v>rob</v>
      </c>
    </row>
    <row r="3647" spans="1:23">
      <c r="A3647" t="str">
        <f t="shared" si="919"/>
        <v>MTS-S-ER9P-PM</v>
      </c>
      <c r="B3647" t="str">
        <f>"113034"</f>
        <v>113034</v>
      </c>
      <c r="C3647" t="str">
        <f>"Raw Material - Perspex Block"</f>
        <v>Raw Material - Perspex Block</v>
      </c>
      <c r="D3647">
        <v>1</v>
      </c>
      <c r="E3647" t="str">
        <f t="shared" si="920"/>
        <v>FMS - Scorbot ER9Pro Robot for ProMill 8000 CNC machine</v>
      </c>
      <c r="F3647">
        <v>502</v>
      </c>
      <c r="G3647" t="str">
        <f t="shared" si="903"/>
        <v>Y</v>
      </c>
      <c r="H3647" t="str">
        <f t="shared" si="921"/>
        <v>EA</v>
      </c>
      <c r="I3647">
        <v>0</v>
      </c>
      <c r="J3647">
        <v>0</v>
      </c>
      <c r="K3647" t="str">
        <f t="shared" si="904"/>
        <v>Y</v>
      </c>
      <c r="L3647">
        <v>0</v>
      </c>
      <c r="M3647" t="str">
        <f t="shared" si="922"/>
        <v>NIS</v>
      </c>
      <c r="O3647">
        <v>10</v>
      </c>
      <c r="P3647" t="str">
        <f t="shared" si="918"/>
        <v>Active</v>
      </c>
      <c r="Q3647" t="str">
        <f>"Raw Material Stock - Perspex Block"</f>
        <v>Raw Material Stock - Perspex Block</v>
      </c>
      <c r="S3647" t="str">
        <f>"Raw Material Stock - Perspex Block"</f>
        <v>Raw Material Stock - Perspex Block</v>
      </c>
      <c r="T3647">
        <v>0</v>
      </c>
      <c r="U3647">
        <v>1.1000000000000001</v>
      </c>
      <c r="V3647">
        <v>1.0900000000000001</v>
      </c>
      <c r="W3647" t="str">
        <f t="shared" si="914"/>
        <v>rob</v>
      </c>
    </row>
    <row r="3648" spans="1:23">
      <c r="A3648" t="str">
        <f t="shared" si="919"/>
        <v>MTS-S-ER9P-PM</v>
      </c>
      <c r="B3648" t="str">
        <f>"00-1251-0000"</f>
        <v>00-1251-0000</v>
      </c>
      <c r="C3648" t="str">
        <f>"Workbench 1500x800mm (Formica Top)"</f>
        <v>Workbench 1500x800mm (Formica Top)</v>
      </c>
      <c r="D3648">
        <v>1</v>
      </c>
      <c r="E3648" t="str">
        <f t="shared" si="920"/>
        <v>FMS - Scorbot ER9Pro Robot for ProMill 8000 CNC machine</v>
      </c>
      <c r="F3648">
        <v>502</v>
      </c>
      <c r="G3648" t="str">
        <f t="shared" si="903"/>
        <v>Y</v>
      </c>
      <c r="H3648" t="str">
        <f t="shared" si="921"/>
        <v>EA</v>
      </c>
      <c r="I3648">
        <v>0</v>
      </c>
      <c r="J3648">
        <v>0</v>
      </c>
      <c r="K3648" t="str">
        <f t="shared" si="904"/>
        <v>Y</v>
      </c>
      <c r="L3648">
        <v>0</v>
      </c>
      <c r="M3648" t="str">
        <f t="shared" si="922"/>
        <v>NIS</v>
      </c>
      <c r="O3648">
        <v>11</v>
      </c>
      <c r="P3648" t="str">
        <f t="shared" si="918"/>
        <v>Active</v>
      </c>
      <c r="Q3648" t="str">
        <f>"Workbench 1500x800mm (Formica Top)"</f>
        <v>Workbench 1500x800mm (Formica Top)</v>
      </c>
      <c r="S3648" t="str">
        <f>"Workbench 1500x800mm (Formica Top)"</f>
        <v>Workbench 1500x800mm (Formica Top)</v>
      </c>
      <c r="T3648">
        <v>0</v>
      </c>
      <c r="U3648">
        <v>582</v>
      </c>
      <c r="V3648">
        <v>588.6</v>
      </c>
      <c r="W3648" t="str">
        <f t="shared" si="914"/>
        <v>rob</v>
      </c>
    </row>
    <row r="3649" spans="1:23">
      <c r="A3649" t="str">
        <f t="shared" si="919"/>
        <v>MTS-S-ER9P-PM</v>
      </c>
      <c r="B3649" t="str">
        <f>"00-1290-0000"</f>
        <v>00-1290-0000</v>
      </c>
      <c r="C3649" t="str">
        <f>"PC Table 630x800mm (with Keyboard Drawer)"</f>
        <v>PC Table 630x800mm (with Keyboard Drawer)</v>
      </c>
      <c r="D3649">
        <v>1</v>
      </c>
      <c r="E3649" t="str">
        <f t="shared" si="920"/>
        <v>FMS - Scorbot ER9Pro Robot for ProMill 8000 CNC machine</v>
      </c>
      <c r="F3649">
        <v>502</v>
      </c>
      <c r="G3649" t="str">
        <f t="shared" si="903"/>
        <v>Y</v>
      </c>
      <c r="H3649" t="str">
        <f t="shared" si="921"/>
        <v>EA</v>
      </c>
      <c r="I3649">
        <v>0</v>
      </c>
      <c r="J3649">
        <v>0</v>
      </c>
      <c r="K3649" t="str">
        <f t="shared" si="904"/>
        <v>Y</v>
      </c>
      <c r="L3649">
        <v>0</v>
      </c>
      <c r="M3649" t="str">
        <f t="shared" si="922"/>
        <v>NIS</v>
      </c>
      <c r="O3649">
        <v>12</v>
      </c>
      <c r="P3649" t="str">
        <f t="shared" si="918"/>
        <v>Active</v>
      </c>
      <c r="Q3649" t="str">
        <f>"PC Table 630x800mm (with Keyboard Drawer)"</f>
        <v>PC Table 630x800mm (with Keyboard Drawer)</v>
      </c>
      <c r="S3649" t="str">
        <f>"PC Table 630x800mm (with Keyboard Drawer)"</f>
        <v>PC Table 630x800mm (with Keyboard Drawer)</v>
      </c>
      <c r="T3649">
        <v>0</v>
      </c>
      <c r="U3649">
        <v>405.86</v>
      </c>
      <c r="V3649">
        <v>329.34</v>
      </c>
      <c r="W3649" t="str">
        <f t="shared" si="914"/>
        <v>rob</v>
      </c>
    </row>
    <row r="3650" spans="1:23">
      <c r="A3650" t="str">
        <f t="shared" si="919"/>
        <v>MTS-S-ER9P-PM</v>
      </c>
      <c r="B3650" t="str">
        <f>"50-0094-0000"</f>
        <v>50-0094-0000</v>
      </c>
      <c r="C3650" t="str">
        <f>"Pre-Engineering, Design and Testing"</f>
        <v>Pre-Engineering, Design and Testing</v>
      </c>
      <c r="D3650">
        <v>1</v>
      </c>
      <c r="E3650" t="str">
        <f t="shared" si="920"/>
        <v>FMS - Scorbot ER9Pro Robot for ProMill 8000 CNC machine</v>
      </c>
      <c r="F3650">
        <v>502</v>
      </c>
      <c r="G3650" t="str">
        <f t="shared" ref="G3650:G3713" si="923">"Y"</f>
        <v>Y</v>
      </c>
      <c r="H3650" t="str">
        <f>"DA"</f>
        <v>DA</v>
      </c>
      <c r="I3650">
        <v>0</v>
      </c>
      <c r="J3650">
        <v>0</v>
      </c>
      <c r="K3650" t="str">
        <f t="shared" ref="K3650:K3713" si="924">"Y"</f>
        <v>Y</v>
      </c>
      <c r="L3650">
        <v>0</v>
      </c>
      <c r="M3650" t="str">
        <f t="shared" si="922"/>
        <v>NIS</v>
      </c>
      <c r="O3650">
        <v>13</v>
      </c>
      <c r="P3650" t="str">
        <f t="shared" si="918"/>
        <v>Active</v>
      </c>
      <c r="Q3650" t="str">
        <f>"Pre-Engineering, Design and Testing"</f>
        <v>Pre-Engineering, Design and Testing</v>
      </c>
      <c r="S3650" t="str">
        <f>"Pre-Engineering, Design and Testing"</f>
        <v>Pre-Engineering, Design and Testing</v>
      </c>
      <c r="T3650">
        <v>0</v>
      </c>
      <c r="U3650">
        <v>405</v>
      </c>
      <c r="V3650">
        <v>421.2</v>
      </c>
      <c r="W3650" t="str">
        <f t="shared" si="914"/>
        <v>rob</v>
      </c>
    </row>
    <row r="3651" spans="1:23">
      <c r="A3651" t="str">
        <f t="shared" ref="A3651:A3666" si="925">"MTS-S-ER9P-PM-PT"</f>
        <v>MTS-S-ER9P-PM-PT</v>
      </c>
      <c r="B3651" t="str">
        <f>"00-0430-0000"</f>
        <v>00-0430-0000</v>
      </c>
      <c r="C3651" t="str">
        <f>"SCORBOT-ER9Pro"</f>
        <v>SCORBOT-ER9Pro</v>
      </c>
      <c r="D3651">
        <v>1</v>
      </c>
      <c r="E3651" t="str">
        <f t="shared" ref="E3651:E3666" si="926">"FMS - Scorbot ER9Pro Robot for ProMill 8000 &amp; ProTurn 9000 CNC machines"</f>
        <v>FMS - Scorbot ER9Pro Robot for ProMill 8000 &amp; ProTurn 9000 CNC machines</v>
      </c>
      <c r="F3651">
        <v>502</v>
      </c>
      <c r="G3651" t="str">
        <f t="shared" si="923"/>
        <v>Y</v>
      </c>
      <c r="H3651" t="str">
        <f t="shared" ref="H3651:H3665" si="927">"EA"</f>
        <v>EA</v>
      </c>
      <c r="I3651">
        <v>0</v>
      </c>
      <c r="J3651">
        <v>0</v>
      </c>
      <c r="K3651" t="str">
        <f t="shared" si="924"/>
        <v>Y</v>
      </c>
      <c r="L3651">
        <v>0</v>
      </c>
      <c r="M3651" t="str">
        <f>"USD"</f>
        <v>USD</v>
      </c>
      <c r="O3651">
        <v>1</v>
      </c>
      <c r="P3651" t="str">
        <f t="shared" si="918"/>
        <v>Active</v>
      </c>
      <c r="Q3651" t="str">
        <f>"SCORBOT-ER 9Pro (incl. USB-Pro Controller)"</f>
        <v>SCORBOT-ER 9Pro (incl. USB-Pro Controller)</v>
      </c>
      <c r="S3651" t="str">
        <f>"SCORBOT-ER 9Pro (incl. USB-Pro Controller)"</f>
        <v>SCORBOT-ER 9Pro (incl. USB-Pro Controller)</v>
      </c>
      <c r="T3651">
        <v>0</v>
      </c>
      <c r="U3651" s="44">
        <v>10900</v>
      </c>
      <c r="V3651" s="44">
        <v>11661.57</v>
      </c>
      <c r="W3651" t="str">
        <f t="shared" si="914"/>
        <v>rob</v>
      </c>
    </row>
    <row r="3652" spans="1:23">
      <c r="A3652" t="str">
        <f t="shared" si="925"/>
        <v>MTS-S-ER9P-PM-PT</v>
      </c>
      <c r="B3652" t="str">
        <f>"00-0633-0000"</f>
        <v>00-0633-0000</v>
      </c>
      <c r="C3652" t="str">
        <f>"Pneumatic Gripper for ER9-Pro"</f>
        <v>Pneumatic Gripper for ER9-Pro</v>
      </c>
      <c r="D3652">
        <v>1</v>
      </c>
      <c r="E3652" t="str">
        <f t="shared" si="926"/>
        <v>FMS - Scorbot ER9Pro Robot for ProMill 8000 &amp; ProTurn 9000 CNC machines</v>
      </c>
      <c r="F3652">
        <v>502</v>
      </c>
      <c r="G3652" t="str">
        <f t="shared" si="923"/>
        <v>Y</v>
      </c>
      <c r="H3652" t="str">
        <f t="shared" si="927"/>
        <v>EA</v>
      </c>
      <c r="I3652">
        <v>0</v>
      </c>
      <c r="J3652">
        <v>0</v>
      </c>
      <c r="K3652" t="str">
        <f t="shared" si="924"/>
        <v>Y</v>
      </c>
      <c r="L3652">
        <v>0</v>
      </c>
      <c r="M3652" t="str">
        <f t="shared" ref="M3652:M3666" si="928">"NIS"</f>
        <v>NIS</v>
      </c>
      <c r="O3652">
        <v>2</v>
      </c>
      <c r="P3652" t="str">
        <f t="shared" si="918"/>
        <v>Active</v>
      </c>
      <c r="Q3652" t="str">
        <f>"Pneumatic Gripper for ER 9Pro"</f>
        <v>Pneumatic Gripper for ER 9Pro</v>
      </c>
      <c r="S3652" t="str">
        <f>"Pneumatic Gripper for ER9-Pro"</f>
        <v>Pneumatic Gripper for ER9-Pro</v>
      </c>
      <c r="T3652">
        <v>0</v>
      </c>
      <c r="U3652">
        <v>630</v>
      </c>
      <c r="V3652">
        <v>624.72</v>
      </c>
      <c r="W3652" t="str">
        <f t="shared" si="914"/>
        <v>rob</v>
      </c>
    </row>
    <row r="3653" spans="1:23">
      <c r="A3653" t="str">
        <f t="shared" si="925"/>
        <v>MTS-S-ER9P-PM-PT</v>
      </c>
      <c r="B3653" t="str">
        <f>"00-1710-0000"</f>
        <v>00-1710-0000</v>
      </c>
      <c r="C3653" t="str">
        <f>"Teach Pendant"</f>
        <v>Teach Pendant</v>
      </c>
      <c r="D3653">
        <v>1</v>
      </c>
      <c r="E3653" t="str">
        <f t="shared" si="926"/>
        <v>FMS - Scorbot ER9Pro Robot for ProMill 8000 &amp; ProTurn 9000 CNC machines</v>
      </c>
      <c r="F3653">
        <v>502</v>
      </c>
      <c r="G3653" t="str">
        <f t="shared" si="923"/>
        <v>Y</v>
      </c>
      <c r="H3653" t="str">
        <f t="shared" si="927"/>
        <v>EA</v>
      </c>
      <c r="I3653">
        <v>0</v>
      </c>
      <c r="J3653">
        <v>0</v>
      </c>
      <c r="K3653" t="str">
        <f t="shared" si="924"/>
        <v>Y</v>
      </c>
      <c r="L3653">
        <v>0</v>
      </c>
      <c r="M3653" t="str">
        <f t="shared" si="928"/>
        <v>NIS</v>
      </c>
      <c r="O3653">
        <v>3</v>
      </c>
      <c r="P3653" t="str">
        <f t="shared" si="918"/>
        <v>Active</v>
      </c>
      <c r="Q3653" t="str">
        <f>"Teach Pendant for USB/USB Pro Controllers"</f>
        <v>Teach Pendant for USB/USB Pro Controllers</v>
      </c>
      <c r="S3653" t="str">
        <f>"Teach Pendant for USB/USB Pro Controllers"</f>
        <v>Teach Pendant for USB/USB Pro Controllers</v>
      </c>
      <c r="T3653">
        <v>0</v>
      </c>
      <c r="U3653">
        <v>160.18</v>
      </c>
      <c r="V3653">
        <v>161.44999999999999</v>
      </c>
      <c r="W3653" t="str">
        <f t="shared" si="914"/>
        <v>rob</v>
      </c>
    </row>
    <row r="3654" spans="1:23">
      <c r="A3654" t="str">
        <f t="shared" si="925"/>
        <v>MTS-S-ER9P-PM-PT</v>
      </c>
      <c r="B3654" t="str">
        <f>"00-1017-0000"</f>
        <v>00-1017-0000</v>
      </c>
      <c r="C3654" t="str">
        <f>"LSB 1.8m, Belt, FM"</f>
        <v>LSB 1.8m, Belt, FM</v>
      </c>
      <c r="D3654">
        <v>1</v>
      </c>
      <c r="E3654" t="str">
        <f t="shared" si="926"/>
        <v>FMS - Scorbot ER9Pro Robot for ProMill 8000 &amp; ProTurn 9000 CNC machines</v>
      </c>
      <c r="F3654">
        <v>502</v>
      </c>
      <c r="G3654" t="str">
        <f t="shared" si="923"/>
        <v>Y</v>
      </c>
      <c r="H3654" t="str">
        <f t="shared" si="927"/>
        <v>EA</v>
      </c>
      <c r="I3654">
        <v>0</v>
      </c>
      <c r="J3654">
        <v>0</v>
      </c>
      <c r="K3654" t="str">
        <f t="shared" si="924"/>
        <v>Y</v>
      </c>
      <c r="L3654">
        <v>0</v>
      </c>
      <c r="M3654" t="str">
        <f t="shared" si="928"/>
        <v>NIS</v>
      </c>
      <c r="O3654">
        <v>4</v>
      </c>
      <c r="P3654" t="str">
        <f t="shared" si="918"/>
        <v>Active</v>
      </c>
      <c r="Q3654" t="str">
        <f>"LSB 1.8m (Belt, Floor Mounted incl. Stand)"</f>
        <v>LSB 1.8m (Belt, Floor Mounted incl. Stand)</v>
      </c>
      <c r="S3654" t="str">
        <f>"LSB 1.8m, Belt, Floor Mounted incl. Stand"</f>
        <v>LSB 1.8m, Belt, Floor Mounted incl. Stand</v>
      </c>
      <c r="T3654">
        <v>0</v>
      </c>
      <c r="U3654" s="44">
        <v>2342.3000000000002</v>
      </c>
      <c r="V3654" s="44">
        <v>2266.2600000000002</v>
      </c>
      <c r="W3654" t="str">
        <f t="shared" si="914"/>
        <v>rob</v>
      </c>
    </row>
    <row r="3655" spans="1:23">
      <c r="A3655" t="str">
        <f t="shared" si="925"/>
        <v>MTS-S-ER9P-PM-PT</v>
      </c>
      <c r="B3655" t="str">
        <f>"034025"</f>
        <v>034025</v>
      </c>
      <c r="C3655" t="str">
        <f>"I/O Interface Box for Controller USB-PRO"</f>
        <v>I/O Interface Box for Controller USB-PRO</v>
      </c>
      <c r="D3655">
        <v>1</v>
      </c>
      <c r="E3655" t="str">
        <f t="shared" si="926"/>
        <v>FMS - Scorbot ER9Pro Robot for ProMill 8000 &amp; ProTurn 9000 CNC machines</v>
      </c>
      <c r="F3655">
        <v>502</v>
      </c>
      <c r="G3655" t="str">
        <f t="shared" si="923"/>
        <v>Y</v>
      </c>
      <c r="H3655" t="str">
        <f t="shared" si="927"/>
        <v>EA</v>
      </c>
      <c r="I3655">
        <v>0</v>
      </c>
      <c r="J3655">
        <v>0</v>
      </c>
      <c r="K3655" t="str">
        <f t="shared" si="924"/>
        <v>Y</v>
      </c>
      <c r="L3655">
        <v>0</v>
      </c>
      <c r="M3655" t="str">
        <f t="shared" si="928"/>
        <v>NIS</v>
      </c>
      <c r="O3655">
        <v>5</v>
      </c>
      <c r="P3655" t="str">
        <f t="shared" si="918"/>
        <v>Active</v>
      </c>
      <c r="Q3655" t="str">
        <f>"I/O Interface Box for Controller USB-PRO"</f>
        <v>I/O Interface Box for Controller USB-PRO</v>
      </c>
      <c r="S3655" t="str">
        <f>"קופסת 2+Interface Box I/O כבלים לבקר USBPRO"</f>
        <v>קופסת 2+Interface Box I/O כבלים לבקר USBPRO</v>
      </c>
      <c r="T3655">
        <v>0</v>
      </c>
      <c r="U3655">
        <v>470</v>
      </c>
      <c r="V3655">
        <v>463.62</v>
      </c>
      <c r="W3655" t="str">
        <f t="shared" si="914"/>
        <v>rob</v>
      </c>
    </row>
    <row r="3656" spans="1:23">
      <c r="A3656" t="str">
        <f t="shared" si="925"/>
        <v>MTS-S-ER9P-PM-PT</v>
      </c>
      <c r="B3656" t="str">
        <f>"021152"</f>
        <v>021152</v>
      </c>
      <c r="C3656" t="str">
        <f>"Shelf Buffer for CIM conveyor"</f>
        <v>Shelf Buffer for CIM conveyor</v>
      </c>
      <c r="D3656">
        <v>2</v>
      </c>
      <c r="E3656" t="str">
        <f t="shared" si="926"/>
        <v>FMS - Scorbot ER9Pro Robot for ProMill 8000 &amp; ProTurn 9000 CNC machines</v>
      </c>
      <c r="F3656">
        <v>502</v>
      </c>
      <c r="G3656" t="str">
        <f t="shared" si="923"/>
        <v>Y</v>
      </c>
      <c r="H3656" t="str">
        <f t="shared" si="927"/>
        <v>EA</v>
      </c>
      <c r="I3656">
        <v>0</v>
      </c>
      <c r="J3656">
        <v>0</v>
      </c>
      <c r="K3656" t="str">
        <f t="shared" si="924"/>
        <v>Y</v>
      </c>
      <c r="L3656">
        <v>0</v>
      </c>
      <c r="M3656" t="str">
        <f t="shared" si="928"/>
        <v>NIS</v>
      </c>
      <c r="O3656">
        <v>6</v>
      </c>
      <c r="P3656" t="str">
        <f t="shared" si="918"/>
        <v>Active</v>
      </c>
      <c r="Q3656" t="str">
        <f>"מכלול- מדף בפר סטנדרטי OPEN-CIM"</f>
        <v>מכלול- מדף בפר סטנדרטי OPEN-CIM</v>
      </c>
      <c r="R3656" t="str">
        <f>"1"</f>
        <v>1</v>
      </c>
      <c r="S3656" t="str">
        <f>"מכלול- מדף בפר סטנדרטי OPEN-CIM"</f>
        <v>מכלול- מדף בפר סטנדרטי OPEN-CIM</v>
      </c>
      <c r="T3656">
        <v>0</v>
      </c>
      <c r="U3656">
        <v>83.12</v>
      </c>
      <c r="V3656">
        <v>92.76</v>
      </c>
      <c r="W3656" t="str">
        <f t="shared" si="914"/>
        <v>rob</v>
      </c>
    </row>
    <row r="3657" spans="1:23">
      <c r="A3657" t="str">
        <f t="shared" si="925"/>
        <v>MTS-S-ER9P-PM-PT</v>
      </c>
      <c r="B3657" t="str">
        <f>"10-2521-7000"</f>
        <v>10-2521-7000</v>
      </c>
      <c r="C3657" t="str">
        <f>"Pneumatic Feeder for Rectangular products"</f>
        <v>Pneumatic Feeder for Rectangular products</v>
      </c>
      <c r="D3657">
        <v>1</v>
      </c>
      <c r="E3657" t="str">
        <f t="shared" si="926"/>
        <v>FMS - Scorbot ER9Pro Robot for ProMill 8000 &amp; ProTurn 9000 CNC machines</v>
      </c>
      <c r="F3657">
        <v>502</v>
      </c>
      <c r="G3657" t="str">
        <f t="shared" si="923"/>
        <v>Y</v>
      </c>
      <c r="H3657" t="str">
        <f t="shared" si="927"/>
        <v>EA</v>
      </c>
      <c r="I3657">
        <v>0</v>
      </c>
      <c r="J3657">
        <v>0</v>
      </c>
      <c r="K3657" t="str">
        <f t="shared" si="924"/>
        <v>Y</v>
      </c>
      <c r="L3657">
        <v>0</v>
      </c>
      <c r="M3657" t="str">
        <f t="shared" si="928"/>
        <v>NIS</v>
      </c>
      <c r="O3657">
        <v>7</v>
      </c>
      <c r="P3657" t="str">
        <f t="shared" si="918"/>
        <v>Active</v>
      </c>
      <c r="Q3657" t="str">
        <f>"Pneumatic Feeder for Rectangular Parts"</f>
        <v>Pneumatic Feeder for Rectangular Parts</v>
      </c>
      <c r="S3657" t="str">
        <f>"Pneumatic Feeder for Rectangular Parts"</f>
        <v>Pneumatic Feeder for Rectangular Parts</v>
      </c>
      <c r="T3657">
        <v>0</v>
      </c>
      <c r="U3657">
        <v>595</v>
      </c>
      <c r="V3657">
        <v>555.15</v>
      </c>
      <c r="W3657" t="str">
        <f t="shared" si="914"/>
        <v>rob</v>
      </c>
    </row>
    <row r="3658" spans="1:23">
      <c r="A3658" t="str">
        <f t="shared" si="925"/>
        <v>MTS-S-ER9P-PM-PT</v>
      </c>
      <c r="B3658" t="str">
        <f>"10-1007-4000"</f>
        <v>10-1007-4000</v>
      </c>
      <c r="C3658" t="str">
        <f>"Gravity Parts Feeder (with microswitch sensor)"</f>
        <v>Gravity Parts Feeder (with microswitch sensor)</v>
      </c>
      <c r="D3658">
        <v>1</v>
      </c>
      <c r="E3658" t="str">
        <f t="shared" si="926"/>
        <v>FMS - Scorbot ER9Pro Robot for ProMill 8000 &amp; ProTurn 9000 CNC machines</v>
      </c>
      <c r="F3658">
        <v>502</v>
      </c>
      <c r="G3658" t="str">
        <f t="shared" si="923"/>
        <v>Y</v>
      </c>
      <c r="H3658" t="str">
        <f t="shared" si="927"/>
        <v>EA</v>
      </c>
      <c r="I3658">
        <v>0</v>
      </c>
      <c r="J3658">
        <v>0</v>
      </c>
      <c r="K3658" t="str">
        <f t="shared" si="924"/>
        <v>Y</v>
      </c>
      <c r="L3658">
        <v>0</v>
      </c>
      <c r="M3658" t="str">
        <f t="shared" si="928"/>
        <v>NIS</v>
      </c>
      <c r="O3658">
        <v>8</v>
      </c>
      <c r="P3658" t="str">
        <f t="shared" si="918"/>
        <v>Active</v>
      </c>
      <c r="Q3658" t="str">
        <f>"Gravity Parts Feeder (incl.microswitch sensor)"</f>
        <v>Gravity Parts Feeder (incl.microswitch sensor)</v>
      </c>
      <c r="S3658" t="str">
        <f>"Gravity Parts Feeder (incl.microswitch sensor)"</f>
        <v>Gravity Parts Feeder (incl.microswitch sensor)</v>
      </c>
      <c r="T3658">
        <v>0</v>
      </c>
      <c r="U3658">
        <v>148</v>
      </c>
      <c r="V3658">
        <v>148.26</v>
      </c>
      <c r="W3658" t="str">
        <f t="shared" si="914"/>
        <v>rob</v>
      </c>
    </row>
    <row r="3659" spans="1:23">
      <c r="A3659" t="str">
        <f t="shared" si="925"/>
        <v>MTS-S-ER9P-PM-PT</v>
      </c>
      <c r="B3659" t="str">
        <f>"00-1110-0000"</f>
        <v>00-1110-0000</v>
      </c>
      <c r="C3659" t="str">
        <f>"Palletizing Rack"</f>
        <v>Palletizing Rack</v>
      </c>
      <c r="D3659">
        <v>2</v>
      </c>
      <c r="E3659" t="str">
        <f t="shared" si="926"/>
        <v>FMS - Scorbot ER9Pro Robot for ProMill 8000 &amp; ProTurn 9000 CNC machines</v>
      </c>
      <c r="F3659">
        <v>502</v>
      </c>
      <c r="G3659" t="str">
        <f t="shared" si="923"/>
        <v>Y</v>
      </c>
      <c r="H3659" t="str">
        <f t="shared" si="927"/>
        <v>EA</v>
      </c>
      <c r="I3659">
        <v>0</v>
      </c>
      <c r="J3659">
        <v>0</v>
      </c>
      <c r="K3659" t="str">
        <f t="shared" si="924"/>
        <v>Y</v>
      </c>
      <c r="L3659">
        <v>0</v>
      </c>
      <c r="M3659" t="str">
        <f t="shared" si="928"/>
        <v>NIS</v>
      </c>
      <c r="O3659">
        <v>9</v>
      </c>
      <c r="P3659" t="str">
        <f t="shared" si="918"/>
        <v>Active</v>
      </c>
      <c r="Q3659" t="str">
        <f>"Palletizing Rack (incl. Pins for creating Jigs)"</f>
        <v>Palletizing Rack (incl. Pins for creating Jigs)</v>
      </c>
      <c r="S3659" t="str">
        <f>"Palletizing Rack (incl. Pins for creating Jigs)"</f>
        <v>Palletizing Rack (incl. Pins for creating Jigs)</v>
      </c>
      <c r="T3659">
        <v>0</v>
      </c>
      <c r="U3659">
        <v>63</v>
      </c>
      <c r="V3659">
        <v>58.59</v>
      </c>
      <c r="W3659" t="str">
        <f t="shared" si="914"/>
        <v>rob</v>
      </c>
    </row>
    <row r="3660" spans="1:23">
      <c r="A3660" t="str">
        <f t="shared" si="925"/>
        <v>MTS-S-ER9P-PM-PT</v>
      </c>
      <c r="B3660" t="str">
        <f>"10-2120-2000"</f>
        <v>10-2120-2000</v>
      </c>
      <c r="C3660" t="str">
        <f>"CNC Interface with ProMill 8000"</f>
        <v>CNC Interface with ProMill 8000</v>
      </c>
      <c r="D3660">
        <v>1</v>
      </c>
      <c r="E3660" t="str">
        <f t="shared" si="926"/>
        <v>FMS - Scorbot ER9Pro Robot for ProMill 8000 &amp; ProTurn 9000 CNC machines</v>
      </c>
      <c r="F3660">
        <v>502</v>
      </c>
      <c r="G3660" t="str">
        <f t="shared" si="923"/>
        <v>Y</v>
      </c>
      <c r="H3660" t="str">
        <f t="shared" si="927"/>
        <v>EA</v>
      </c>
      <c r="I3660">
        <v>0</v>
      </c>
      <c r="J3660">
        <v>0</v>
      </c>
      <c r="K3660" t="str">
        <f t="shared" si="924"/>
        <v>Y</v>
      </c>
      <c r="L3660">
        <v>0</v>
      </c>
      <c r="M3660" t="str">
        <f t="shared" si="928"/>
        <v>NIS</v>
      </c>
      <c r="O3660">
        <v>10</v>
      </c>
      <c r="P3660" t="str">
        <f t="shared" si="918"/>
        <v>Active</v>
      </c>
      <c r="Q3660" t="str">
        <f>"CNC Interface with ProMill 8000"</f>
        <v>CNC Interface with ProMill 8000</v>
      </c>
      <c r="S3660" t="str">
        <f>"CNC Interface with ProMill 8000"</f>
        <v>CNC Interface with ProMill 8000</v>
      </c>
      <c r="T3660">
        <v>0</v>
      </c>
      <c r="U3660">
        <v>18</v>
      </c>
      <c r="V3660">
        <v>17.690000000000001</v>
      </c>
      <c r="W3660" t="str">
        <f t="shared" si="914"/>
        <v>rob</v>
      </c>
    </row>
    <row r="3661" spans="1:23">
      <c r="A3661" t="str">
        <f t="shared" si="925"/>
        <v>MTS-S-ER9P-PM-PT</v>
      </c>
      <c r="B3661" t="str">
        <f>"10-2120-3000"</f>
        <v>10-2120-3000</v>
      </c>
      <c r="C3661" t="str">
        <f>"CNC Interface with ProTurn 9000"</f>
        <v>CNC Interface with ProTurn 9000</v>
      </c>
      <c r="D3661">
        <v>1</v>
      </c>
      <c r="E3661" t="str">
        <f t="shared" si="926"/>
        <v>FMS - Scorbot ER9Pro Robot for ProMill 8000 &amp; ProTurn 9000 CNC machines</v>
      </c>
      <c r="F3661">
        <v>502</v>
      </c>
      <c r="G3661" t="str">
        <f t="shared" si="923"/>
        <v>Y</v>
      </c>
      <c r="H3661" t="str">
        <f t="shared" si="927"/>
        <v>EA</v>
      </c>
      <c r="I3661">
        <v>0</v>
      </c>
      <c r="J3661">
        <v>0</v>
      </c>
      <c r="K3661" t="str">
        <f t="shared" si="924"/>
        <v>Y</v>
      </c>
      <c r="L3661">
        <v>0</v>
      </c>
      <c r="M3661" t="str">
        <f t="shared" si="928"/>
        <v>NIS</v>
      </c>
      <c r="O3661">
        <v>11</v>
      </c>
      <c r="P3661" t="str">
        <f t="shared" si="918"/>
        <v>Active</v>
      </c>
      <c r="Q3661" t="str">
        <f>"CNC Interface with ProTurn 9000"</f>
        <v>CNC Interface with ProTurn 9000</v>
      </c>
      <c r="S3661" t="str">
        <f>"CNC Interface with ProTurn 9000"</f>
        <v>CNC Interface with ProTurn 9000</v>
      </c>
      <c r="T3661">
        <v>0</v>
      </c>
      <c r="U3661">
        <v>18</v>
      </c>
      <c r="V3661">
        <v>17.690000000000001</v>
      </c>
      <c r="W3661" t="str">
        <f t="shared" si="914"/>
        <v>rob</v>
      </c>
    </row>
    <row r="3662" spans="1:23">
      <c r="A3662" t="str">
        <f t="shared" si="925"/>
        <v>MTS-S-ER9P-PM-PT</v>
      </c>
      <c r="B3662" t="str">
        <f>"113034"</f>
        <v>113034</v>
      </c>
      <c r="C3662" t="str">
        <f>"Raw Material - Perspex Block"</f>
        <v>Raw Material - Perspex Block</v>
      </c>
      <c r="D3662">
        <v>1</v>
      </c>
      <c r="E3662" t="str">
        <f t="shared" si="926"/>
        <v>FMS - Scorbot ER9Pro Robot for ProMill 8000 &amp; ProTurn 9000 CNC machines</v>
      </c>
      <c r="F3662">
        <v>502</v>
      </c>
      <c r="G3662" t="str">
        <f t="shared" si="923"/>
        <v>Y</v>
      </c>
      <c r="H3662" t="str">
        <f t="shared" si="927"/>
        <v>EA</v>
      </c>
      <c r="I3662">
        <v>0</v>
      </c>
      <c r="J3662">
        <v>0</v>
      </c>
      <c r="K3662" t="str">
        <f t="shared" si="924"/>
        <v>Y</v>
      </c>
      <c r="L3662">
        <v>0</v>
      </c>
      <c r="M3662" t="str">
        <f t="shared" si="928"/>
        <v>NIS</v>
      </c>
      <c r="O3662">
        <v>12</v>
      </c>
      <c r="P3662" t="str">
        <f t="shared" si="918"/>
        <v>Active</v>
      </c>
      <c r="Q3662" t="str">
        <f>"Raw Material Stock - Perspex Block"</f>
        <v>Raw Material Stock - Perspex Block</v>
      </c>
      <c r="S3662" t="str">
        <f>"Raw Material Stock - Perspex Block"</f>
        <v>Raw Material Stock - Perspex Block</v>
      </c>
      <c r="T3662">
        <v>0</v>
      </c>
      <c r="U3662">
        <v>1.1000000000000001</v>
      </c>
      <c r="V3662">
        <v>1.0900000000000001</v>
      </c>
      <c r="W3662" t="str">
        <f t="shared" si="914"/>
        <v>rob</v>
      </c>
    </row>
    <row r="3663" spans="1:23">
      <c r="A3663" t="str">
        <f t="shared" si="925"/>
        <v>MTS-S-ER9P-PM-PT</v>
      </c>
      <c r="B3663" t="str">
        <f>"112496"</f>
        <v>112496</v>
      </c>
      <c r="C3663" t="str">
        <f>"Raw Material - Brass  Rod"</f>
        <v>Raw Material - Brass  Rod</v>
      </c>
      <c r="D3663">
        <v>1</v>
      </c>
      <c r="E3663" t="str">
        <f t="shared" si="926"/>
        <v>FMS - Scorbot ER9Pro Robot for ProMill 8000 &amp; ProTurn 9000 CNC machines</v>
      </c>
      <c r="F3663">
        <v>502</v>
      </c>
      <c r="G3663" t="str">
        <f t="shared" si="923"/>
        <v>Y</v>
      </c>
      <c r="H3663" t="str">
        <f t="shared" si="927"/>
        <v>EA</v>
      </c>
      <c r="I3663">
        <v>0</v>
      </c>
      <c r="J3663">
        <v>0</v>
      </c>
      <c r="K3663" t="str">
        <f t="shared" si="924"/>
        <v>Y</v>
      </c>
      <c r="L3663">
        <v>0</v>
      </c>
      <c r="M3663" t="str">
        <f t="shared" si="928"/>
        <v>NIS</v>
      </c>
      <c r="O3663">
        <v>13</v>
      </c>
      <c r="P3663" t="str">
        <f t="shared" si="918"/>
        <v>Active</v>
      </c>
      <c r="Q3663" t="str">
        <f>"Raw Material Stock - Brass  Rod"</f>
        <v>Raw Material Stock - Brass  Rod</v>
      </c>
      <c r="S3663" t="str">
        <f>"Raw Material Stock - Brass  Rod"</f>
        <v>Raw Material Stock - Brass  Rod</v>
      </c>
      <c r="T3663">
        <v>0</v>
      </c>
      <c r="U3663">
        <v>3.67</v>
      </c>
      <c r="V3663">
        <v>2.69</v>
      </c>
      <c r="W3663" t="str">
        <f t="shared" si="914"/>
        <v>rob</v>
      </c>
    </row>
    <row r="3664" spans="1:23">
      <c r="A3664" t="str">
        <f t="shared" si="925"/>
        <v>MTS-S-ER9P-PM-PT</v>
      </c>
      <c r="B3664" t="str">
        <f>"00-1251-0000"</f>
        <v>00-1251-0000</v>
      </c>
      <c r="C3664" t="str">
        <f>"Workbench 1500x800mm (Formica Top)"</f>
        <v>Workbench 1500x800mm (Formica Top)</v>
      </c>
      <c r="D3664">
        <v>1</v>
      </c>
      <c r="E3664" t="str">
        <f t="shared" si="926"/>
        <v>FMS - Scorbot ER9Pro Robot for ProMill 8000 &amp; ProTurn 9000 CNC machines</v>
      </c>
      <c r="F3664">
        <v>502</v>
      </c>
      <c r="G3664" t="str">
        <f t="shared" si="923"/>
        <v>Y</v>
      </c>
      <c r="H3664" t="str">
        <f t="shared" si="927"/>
        <v>EA</v>
      </c>
      <c r="I3664">
        <v>0</v>
      </c>
      <c r="J3664">
        <v>0</v>
      </c>
      <c r="K3664" t="str">
        <f t="shared" si="924"/>
        <v>Y</v>
      </c>
      <c r="L3664">
        <v>0</v>
      </c>
      <c r="M3664" t="str">
        <f t="shared" si="928"/>
        <v>NIS</v>
      </c>
      <c r="O3664">
        <v>14</v>
      </c>
      <c r="P3664" t="str">
        <f t="shared" si="918"/>
        <v>Active</v>
      </c>
      <c r="Q3664" t="str">
        <f>"Workbench 1500x800mm (Formica Top)"</f>
        <v>Workbench 1500x800mm (Formica Top)</v>
      </c>
      <c r="S3664" t="str">
        <f>"Workbench 1500x800mm (Formica Top)"</f>
        <v>Workbench 1500x800mm (Formica Top)</v>
      </c>
      <c r="T3664">
        <v>0</v>
      </c>
      <c r="U3664">
        <v>582</v>
      </c>
      <c r="V3664">
        <v>588.6</v>
      </c>
      <c r="W3664" t="str">
        <f t="shared" si="914"/>
        <v>rob</v>
      </c>
    </row>
    <row r="3665" spans="1:23">
      <c r="A3665" t="str">
        <f t="shared" si="925"/>
        <v>MTS-S-ER9P-PM-PT</v>
      </c>
      <c r="B3665" t="str">
        <f>"00-1290-0000"</f>
        <v>00-1290-0000</v>
      </c>
      <c r="C3665" t="str">
        <f>"PC Table 630x800mm (with Keyboard Drawer)"</f>
        <v>PC Table 630x800mm (with Keyboard Drawer)</v>
      </c>
      <c r="D3665">
        <v>1</v>
      </c>
      <c r="E3665" t="str">
        <f t="shared" si="926"/>
        <v>FMS - Scorbot ER9Pro Robot for ProMill 8000 &amp; ProTurn 9000 CNC machines</v>
      </c>
      <c r="F3665">
        <v>502</v>
      </c>
      <c r="G3665" t="str">
        <f t="shared" si="923"/>
        <v>Y</v>
      </c>
      <c r="H3665" t="str">
        <f t="shared" si="927"/>
        <v>EA</v>
      </c>
      <c r="I3665">
        <v>0</v>
      </c>
      <c r="J3665">
        <v>0</v>
      </c>
      <c r="K3665" t="str">
        <f t="shared" si="924"/>
        <v>Y</v>
      </c>
      <c r="L3665">
        <v>0</v>
      </c>
      <c r="M3665" t="str">
        <f t="shared" si="928"/>
        <v>NIS</v>
      </c>
      <c r="O3665">
        <v>15</v>
      </c>
      <c r="P3665" t="str">
        <f t="shared" si="918"/>
        <v>Active</v>
      </c>
      <c r="Q3665" t="str">
        <f>"PC Table 630x800mm (with Keyboard Drawer)"</f>
        <v>PC Table 630x800mm (with Keyboard Drawer)</v>
      </c>
      <c r="S3665" t="str">
        <f>"PC Table 630x800mm (with Keyboard Drawer)"</f>
        <v>PC Table 630x800mm (with Keyboard Drawer)</v>
      </c>
      <c r="T3665">
        <v>0</v>
      </c>
      <c r="U3665">
        <v>405.86</v>
      </c>
      <c r="V3665">
        <v>329.34</v>
      </c>
      <c r="W3665" t="str">
        <f t="shared" si="914"/>
        <v>rob</v>
      </c>
    </row>
    <row r="3666" spans="1:23">
      <c r="A3666" t="str">
        <f t="shared" si="925"/>
        <v>MTS-S-ER9P-PM-PT</v>
      </c>
      <c r="B3666" t="str">
        <f>"50-0094-0000"</f>
        <v>50-0094-0000</v>
      </c>
      <c r="C3666" t="str">
        <f>"Pre-Engineering, Design and Testing"</f>
        <v>Pre-Engineering, Design and Testing</v>
      </c>
      <c r="D3666">
        <v>1</v>
      </c>
      <c r="E3666" t="str">
        <f t="shared" si="926"/>
        <v>FMS - Scorbot ER9Pro Robot for ProMill 8000 &amp; ProTurn 9000 CNC machines</v>
      </c>
      <c r="F3666">
        <v>502</v>
      </c>
      <c r="G3666" t="str">
        <f t="shared" si="923"/>
        <v>Y</v>
      </c>
      <c r="H3666" t="str">
        <f>"DA"</f>
        <v>DA</v>
      </c>
      <c r="I3666">
        <v>0</v>
      </c>
      <c r="J3666">
        <v>0</v>
      </c>
      <c r="K3666" t="str">
        <f t="shared" si="924"/>
        <v>Y</v>
      </c>
      <c r="L3666">
        <v>0</v>
      </c>
      <c r="M3666" t="str">
        <f t="shared" si="928"/>
        <v>NIS</v>
      </c>
      <c r="O3666">
        <v>16</v>
      </c>
      <c r="P3666" t="str">
        <f t="shared" ref="P3666:P3697" si="929">"Active"</f>
        <v>Active</v>
      </c>
      <c r="Q3666" t="str">
        <f>"Pre-Engineering, Design and Testing"</f>
        <v>Pre-Engineering, Design and Testing</v>
      </c>
      <c r="S3666" t="str">
        <f>"Pre-Engineering, Design and Testing"</f>
        <v>Pre-Engineering, Design and Testing</v>
      </c>
      <c r="T3666">
        <v>0</v>
      </c>
      <c r="U3666">
        <v>405</v>
      </c>
      <c r="V3666">
        <v>421.2</v>
      </c>
      <c r="W3666" t="str">
        <f t="shared" si="914"/>
        <v>rob</v>
      </c>
    </row>
    <row r="3667" spans="1:23">
      <c r="A3667" t="str">
        <f t="shared" ref="A3667:A3679" si="930">"MTS-S-ER9P-PT"</f>
        <v>MTS-S-ER9P-PT</v>
      </c>
      <c r="B3667" t="str">
        <f>"00-0430-0000"</f>
        <v>00-0430-0000</v>
      </c>
      <c r="C3667" t="str">
        <f>"SCORBOT-ER9Pro"</f>
        <v>SCORBOT-ER9Pro</v>
      </c>
      <c r="D3667">
        <v>1</v>
      </c>
      <c r="E3667" t="str">
        <f t="shared" ref="E3667:E3679" si="931">"FMS - Scorbot ER9Pro Robot for ProTurn 9000 CNC machine"</f>
        <v>FMS - Scorbot ER9Pro Robot for ProTurn 9000 CNC machine</v>
      </c>
      <c r="F3667">
        <v>502</v>
      </c>
      <c r="G3667" t="str">
        <f t="shared" si="923"/>
        <v>Y</v>
      </c>
      <c r="H3667" t="str">
        <f t="shared" ref="H3667:H3678" si="932">"EA"</f>
        <v>EA</v>
      </c>
      <c r="I3667">
        <v>0</v>
      </c>
      <c r="J3667">
        <v>0</v>
      </c>
      <c r="K3667" t="str">
        <f t="shared" si="924"/>
        <v>Y</v>
      </c>
      <c r="L3667">
        <v>0</v>
      </c>
      <c r="M3667" t="str">
        <f>"USD"</f>
        <v>USD</v>
      </c>
      <c r="O3667">
        <v>1</v>
      </c>
      <c r="P3667" t="str">
        <f t="shared" si="929"/>
        <v>Active</v>
      </c>
      <c r="Q3667" t="str">
        <f>"SCORBOT-ER 9Pro (incl. USB-Pro Controller)"</f>
        <v>SCORBOT-ER 9Pro (incl. USB-Pro Controller)</v>
      </c>
      <c r="S3667" t="str">
        <f>"SCORBOT-ER 9Pro (incl. USB-Pro Controller)"</f>
        <v>SCORBOT-ER 9Pro (incl. USB-Pro Controller)</v>
      </c>
      <c r="T3667">
        <v>0</v>
      </c>
      <c r="U3667" s="44">
        <v>10900</v>
      </c>
      <c r="V3667" s="44">
        <v>11661.57</v>
      </c>
      <c r="W3667" t="str">
        <f t="shared" si="914"/>
        <v>rob</v>
      </c>
    </row>
    <row r="3668" spans="1:23">
      <c r="A3668" t="str">
        <f t="shared" si="930"/>
        <v>MTS-S-ER9P-PT</v>
      </c>
      <c r="B3668" t="str">
        <f>"00-0633-0000"</f>
        <v>00-0633-0000</v>
      </c>
      <c r="C3668" t="str">
        <f>"Pneumatic Gripper for ER9-Pro"</f>
        <v>Pneumatic Gripper for ER9-Pro</v>
      </c>
      <c r="D3668">
        <v>1</v>
      </c>
      <c r="E3668" t="str">
        <f t="shared" si="931"/>
        <v>FMS - Scorbot ER9Pro Robot for ProTurn 9000 CNC machine</v>
      </c>
      <c r="F3668">
        <v>502</v>
      </c>
      <c r="G3668" t="str">
        <f t="shared" si="923"/>
        <v>Y</v>
      </c>
      <c r="H3668" t="str">
        <f t="shared" si="932"/>
        <v>EA</v>
      </c>
      <c r="I3668">
        <v>0</v>
      </c>
      <c r="J3668">
        <v>0</v>
      </c>
      <c r="K3668" t="str">
        <f t="shared" si="924"/>
        <v>Y</v>
      </c>
      <c r="L3668">
        <v>0</v>
      </c>
      <c r="M3668" t="str">
        <f t="shared" ref="M3668:M3731" si="933">"NIS"</f>
        <v>NIS</v>
      </c>
      <c r="O3668">
        <v>2</v>
      </c>
      <c r="P3668" t="str">
        <f t="shared" si="929"/>
        <v>Active</v>
      </c>
      <c r="Q3668" t="str">
        <f>"Pneumatic Gripper for ER 9Pro"</f>
        <v>Pneumatic Gripper for ER 9Pro</v>
      </c>
      <c r="S3668" t="str">
        <f>"Pneumatic Gripper for ER9-Pro"</f>
        <v>Pneumatic Gripper for ER9-Pro</v>
      </c>
      <c r="T3668">
        <v>0</v>
      </c>
      <c r="U3668">
        <v>630</v>
      </c>
      <c r="V3668">
        <v>624.72</v>
      </c>
      <c r="W3668" t="str">
        <f t="shared" si="914"/>
        <v>rob</v>
      </c>
    </row>
    <row r="3669" spans="1:23">
      <c r="A3669" t="str">
        <f t="shared" si="930"/>
        <v>MTS-S-ER9P-PT</v>
      </c>
      <c r="B3669" t="str">
        <f>"00-1710-0000"</f>
        <v>00-1710-0000</v>
      </c>
      <c r="C3669" t="str">
        <f>"Teach Pendant"</f>
        <v>Teach Pendant</v>
      </c>
      <c r="D3669">
        <v>1</v>
      </c>
      <c r="E3669" t="str">
        <f t="shared" si="931"/>
        <v>FMS - Scorbot ER9Pro Robot for ProTurn 9000 CNC machine</v>
      </c>
      <c r="F3669">
        <v>502</v>
      </c>
      <c r="G3669" t="str">
        <f t="shared" si="923"/>
        <v>Y</v>
      </c>
      <c r="H3669" t="str">
        <f t="shared" si="932"/>
        <v>EA</v>
      </c>
      <c r="I3669">
        <v>0</v>
      </c>
      <c r="J3669">
        <v>0</v>
      </c>
      <c r="K3669" t="str">
        <f t="shared" si="924"/>
        <v>Y</v>
      </c>
      <c r="L3669">
        <v>0</v>
      </c>
      <c r="M3669" t="str">
        <f t="shared" si="933"/>
        <v>NIS</v>
      </c>
      <c r="O3669">
        <v>3</v>
      </c>
      <c r="P3669" t="str">
        <f t="shared" si="929"/>
        <v>Active</v>
      </c>
      <c r="Q3669" t="str">
        <f>"Teach Pendant for USB/USB Pro Controllers"</f>
        <v>Teach Pendant for USB/USB Pro Controllers</v>
      </c>
      <c r="S3669" t="str">
        <f>"Teach Pendant for USB/USB Pro Controllers"</f>
        <v>Teach Pendant for USB/USB Pro Controllers</v>
      </c>
      <c r="T3669">
        <v>0</v>
      </c>
      <c r="U3669">
        <v>160.18</v>
      </c>
      <c r="V3669">
        <v>161.44999999999999</v>
      </c>
      <c r="W3669" t="str">
        <f t="shared" si="914"/>
        <v>rob</v>
      </c>
    </row>
    <row r="3670" spans="1:23">
      <c r="A3670" t="str">
        <f t="shared" si="930"/>
        <v>MTS-S-ER9P-PT</v>
      </c>
      <c r="B3670" t="str">
        <f>"00-1016-0000"</f>
        <v>00-1016-0000</v>
      </c>
      <c r="C3670" t="str">
        <f>"LSB 1.0m, Belt, FM"</f>
        <v>LSB 1.0m, Belt, FM</v>
      </c>
      <c r="D3670">
        <v>1</v>
      </c>
      <c r="E3670" t="str">
        <f t="shared" si="931"/>
        <v>FMS - Scorbot ER9Pro Robot for ProTurn 9000 CNC machine</v>
      </c>
      <c r="F3670">
        <v>502</v>
      </c>
      <c r="G3670" t="str">
        <f t="shared" si="923"/>
        <v>Y</v>
      </c>
      <c r="H3670" t="str">
        <f t="shared" si="932"/>
        <v>EA</v>
      </c>
      <c r="I3670">
        <v>0</v>
      </c>
      <c r="J3670">
        <v>0</v>
      </c>
      <c r="K3670" t="str">
        <f t="shared" si="924"/>
        <v>Y</v>
      </c>
      <c r="L3670">
        <v>0</v>
      </c>
      <c r="M3670" t="str">
        <f t="shared" si="933"/>
        <v>NIS</v>
      </c>
      <c r="O3670">
        <v>4</v>
      </c>
      <c r="P3670" t="str">
        <f t="shared" si="929"/>
        <v>Active</v>
      </c>
      <c r="Q3670" t="str">
        <f>"LSB 1.0m (Belt, Floor Mounted incl. Stand)"</f>
        <v>LSB 1.0m (Belt, Floor Mounted incl. Stand)</v>
      </c>
      <c r="S3670" t="str">
        <f>"LSB 1.0m, Belt, Floor Mounted incl. Stand"</f>
        <v>LSB 1.0m, Belt, Floor Mounted incl. Stand</v>
      </c>
      <c r="T3670">
        <v>0</v>
      </c>
      <c r="U3670" s="44">
        <v>2336.16</v>
      </c>
      <c r="V3670" s="44">
        <v>2301.0500000000002</v>
      </c>
      <c r="W3670" t="str">
        <f t="shared" si="914"/>
        <v>rob</v>
      </c>
    </row>
    <row r="3671" spans="1:23">
      <c r="A3671" t="str">
        <f t="shared" si="930"/>
        <v>MTS-S-ER9P-PT</v>
      </c>
      <c r="B3671" t="str">
        <f>"034025"</f>
        <v>034025</v>
      </c>
      <c r="C3671" t="str">
        <f>"I/O Interface Box for Controller USB-PRO"</f>
        <v>I/O Interface Box for Controller USB-PRO</v>
      </c>
      <c r="D3671">
        <v>1</v>
      </c>
      <c r="E3671" t="str">
        <f t="shared" si="931"/>
        <v>FMS - Scorbot ER9Pro Robot for ProTurn 9000 CNC machine</v>
      </c>
      <c r="F3671">
        <v>502</v>
      </c>
      <c r="G3671" t="str">
        <f t="shared" si="923"/>
        <v>Y</v>
      </c>
      <c r="H3671" t="str">
        <f t="shared" si="932"/>
        <v>EA</v>
      </c>
      <c r="I3671">
        <v>0</v>
      </c>
      <c r="J3671">
        <v>0</v>
      </c>
      <c r="K3671" t="str">
        <f t="shared" si="924"/>
        <v>Y</v>
      </c>
      <c r="L3671">
        <v>0</v>
      </c>
      <c r="M3671" t="str">
        <f t="shared" si="933"/>
        <v>NIS</v>
      </c>
      <c r="O3671">
        <v>5</v>
      </c>
      <c r="P3671" t="str">
        <f t="shared" si="929"/>
        <v>Active</v>
      </c>
      <c r="Q3671" t="str">
        <f>"I/O Interface Box for Controller USB-PRO"</f>
        <v>I/O Interface Box for Controller USB-PRO</v>
      </c>
      <c r="S3671" t="str">
        <f>"קופסת 2+Interface Box I/O כבלים לבקר USBPRO"</f>
        <v>קופסת 2+Interface Box I/O כבלים לבקר USBPRO</v>
      </c>
      <c r="T3671">
        <v>0</v>
      </c>
      <c r="U3671">
        <v>470</v>
      </c>
      <c r="V3671">
        <v>463.62</v>
      </c>
      <c r="W3671" t="str">
        <f t="shared" si="914"/>
        <v>rob</v>
      </c>
    </row>
    <row r="3672" spans="1:23">
      <c r="A3672" t="str">
        <f t="shared" si="930"/>
        <v>MTS-S-ER9P-PT</v>
      </c>
      <c r="B3672" t="str">
        <f>"021152"</f>
        <v>021152</v>
      </c>
      <c r="C3672" t="str">
        <f>"Shelf Buffer for CIM conveyor"</f>
        <v>Shelf Buffer for CIM conveyor</v>
      </c>
      <c r="D3672">
        <v>1</v>
      </c>
      <c r="E3672" t="str">
        <f t="shared" si="931"/>
        <v>FMS - Scorbot ER9Pro Robot for ProTurn 9000 CNC machine</v>
      </c>
      <c r="F3672">
        <v>502</v>
      </c>
      <c r="G3672" t="str">
        <f t="shared" si="923"/>
        <v>Y</v>
      </c>
      <c r="H3672" t="str">
        <f t="shared" si="932"/>
        <v>EA</v>
      </c>
      <c r="I3672">
        <v>0</v>
      </c>
      <c r="J3672">
        <v>0</v>
      </c>
      <c r="K3672" t="str">
        <f t="shared" si="924"/>
        <v>Y</v>
      </c>
      <c r="L3672">
        <v>0</v>
      </c>
      <c r="M3672" t="str">
        <f t="shared" si="933"/>
        <v>NIS</v>
      </c>
      <c r="O3672">
        <v>6</v>
      </c>
      <c r="P3672" t="str">
        <f t="shared" si="929"/>
        <v>Active</v>
      </c>
      <c r="Q3672" t="str">
        <f>"מכלול- מדף בפר סטנדרטי OPEN-CIM"</f>
        <v>מכלול- מדף בפר סטנדרטי OPEN-CIM</v>
      </c>
      <c r="R3672" t="str">
        <f>"1"</f>
        <v>1</v>
      </c>
      <c r="S3672" t="str">
        <f>"מכלול- מדף בפר סטנדרטי OPEN-CIM"</f>
        <v>מכלול- מדף בפר סטנדרטי OPEN-CIM</v>
      </c>
      <c r="T3672">
        <v>0</v>
      </c>
      <c r="U3672">
        <v>83.12</v>
      </c>
      <c r="V3672">
        <v>92.76</v>
      </c>
      <c r="W3672" t="str">
        <f t="shared" si="914"/>
        <v>rob</v>
      </c>
    </row>
    <row r="3673" spans="1:23">
      <c r="A3673" t="str">
        <f t="shared" si="930"/>
        <v>MTS-S-ER9P-PT</v>
      </c>
      <c r="B3673" t="str">
        <f>"10-1007-4000"</f>
        <v>10-1007-4000</v>
      </c>
      <c r="C3673" t="str">
        <f>"Gravity Parts Feeder (with microswitch sensor)"</f>
        <v>Gravity Parts Feeder (with microswitch sensor)</v>
      </c>
      <c r="D3673">
        <v>1</v>
      </c>
      <c r="E3673" t="str">
        <f t="shared" si="931"/>
        <v>FMS - Scorbot ER9Pro Robot for ProTurn 9000 CNC machine</v>
      </c>
      <c r="F3673">
        <v>502</v>
      </c>
      <c r="G3673" t="str">
        <f t="shared" si="923"/>
        <v>Y</v>
      </c>
      <c r="H3673" t="str">
        <f t="shared" si="932"/>
        <v>EA</v>
      </c>
      <c r="I3673">
        <v>0</v>
      </c>
      <c r="J3673">
        <v>0</v>
      </c>
      <c r="K3673" t="str">
        <f t="shared" si="924"/>
        <v>Y</v>
      </c>
      <c r="L3673">
        <v>0</v>
      </c>
      <c r="M3673" t="str">
        <f t="shared" si="933"/>
        <v>NIS</v>
      </c>
      <c r="O3673">
        <v>7</v>
      </c>
      <c r="P3673" t="str">
        <f t="shared" si="929"/>
        <v>Active</v>
      </c>
      <c r="Q3673" t="str">
        <f>"Gravity Parts Feeder (incl.microswitch sensor)"</f>
        <v>Gravity Parts Feeder (incl.microswitch sensor)</v>
      </c>
      <c r="S3673" t="str">
        <f>"Gravity Parts Feeder (incl.microswitch sensor)"</f>
        <v>Gravity Parts Feeder (incl.microswitch sensor)</v>
      </c>
      <c r="T3673">
        <v>0</v>
      </c>
      <c r="U3673">
        <v>148</v>
      </c>
      <c r="V3673">
        <v>148.26</v>
      </c>
      <c r="W3673" t="str">
        <f t="shared" si="914"/>
        <v>rob</v>
      </c>
    </row>
    <row r="3674" spans="1:23">
      <c r="A3674" t="str">
        <f t="shared" si="930"/>
        <v>MTS-S-ER9P-PT</v>
      </c>
      <c r="B3674" t="str">
        <f>"00-1110-0000"</f>
        <v>00-1110-0000</v>
      </c>
      <c r="C3674" t="str">
        <f>"Palletizing Rack"</f>
        <v>Palletizing Rack</v>
      </c>
      <c r="D3674">
        <v>1</v>
      </c>
      <c r="E3674" t="str">
        <f t="shared" si="931"/>
        <v>FMS - Scorbot ER9Pro Robot for ProTurn 9000 CNC machine</v>
      </c>
      <c r="F3674">
        <v>502</v>
      </c>
      <c r="G3674" t="str">
        <f t="shared" si="923"/>
        <v>Y</v>
      </c>
      <c r="H3674" t="str">
        <f t="shared" si="932"/>
        <v>EA</v>
      </c>
      <c r="I3674">
        <v>0</v>
      </c>
      <c r="J3674">
        <v>0</v>
      </c>
      <c r="K3674" t="str">
        <f t="shared" si="924"/>
        <v>Y</v>
      </c>
      <c r="L3674">
        <v>0</v>
      </c>
      <c r="M3674" t="str">
        <f t="shared" si="933"/>
        <v>NIS</v>
      </c>
      <c r="O3674">
        <v>8</v>
      </c>
      <c r="P3674" t="str">
        <f t="shared" si="929"/>
        <v>Active</v>
      </c>
      <c r="Q3674" t="str">
        <f>"Palletizing Rack (incl. Pins for creating Jigs)"</f>
        <v>Palletizing Rack (incl. Pins for creating Jigs)</v>
      </c>
      <c r="S3674" t="str">
        <f>"Palletizing Rack (incl. Pins for creating Jigs)"</f>
        <v>Palletizing Rack (incl. Pins for creating Jigs)</v>
      </c>
      <c r="T3674">
        <v>0</v>
      </c>
      <c r="U3674">
        <v>63</v>
      </c>
      <c r="V3674">
        <v>58.59</v>
      </c>
      <c r="W3674" t="str">
        <f t="shared" si="914"/>
        <v>rob</v>
      </c>
    </row>
    <row r="3675" spans="1:23">
      <c r="A3675" t="str">
        <f t="shared" si="930"/>
        <v>MTS-S-ER9P-PT</v>
      </c>
      <c r="B3675" t="str">
        <f>"10-2120-3000"</f>
        <v>10-2120-3000</v>
      </c>
      <c r="C3675" t="str">
        <f>"CNC Interface with ProTurn 9000"</f>
        <v>CNC Interface with ProTurn 9000</v>
      </c>
      <c r="D3675">
        <v>1</v>
      </c>
      <c r="E3675" t="str">
        <f t="shared" si="931"/>
        <v>FMS - Scorbot ER9Pro Robot for ProTurn 9000 CNC machine</v>
      </c>
      <c r="F3675">
        <v>502</v>
      </c>
      <c r="G3675" t="str">
        <f t="shared" si="923"/>
        <v>Y</v>
      </c>
      <c r="H3675" t="str">
        <f t="shared" si="932"/>
        <v>EA</v>
      </c>
      <c r="I3675">
        <v>0</v>
      </c>
      <c r="J3675">
        <v>0</v>
      </c>
      <c r="K3675" t="str">
        <f t="shared" si="924"/>
        <v>Y</v>
      </c>
      <c r="L3675">
        <v>0</v>
      </c>
      <c r="M3675" t="str">
        <f t="shared" si="933"/>
        <v>NIS</v>
      </c>
      <c r="O3675">
        <v>9</v>
      </c>
      <c r="P3675" t="str">
        <f t="shared" si="929"/>
        <v>Active</v>
      </c>
      <c r="Q3675" t="str">
        <f>"CNC Interface with ProTurn 9000"</f>
        <v>CNC Interface with ProTurn 9000</v>
      </c>
      <c r="S3675" t="str">
        <f>"CNC Interface with ProTurn 9000"</f>
        <v>CNC Interface with ProTurn 9000</v>
      </c>
      <c r="T3675">
        <v>0</v>
      </c>
      <c r="U3675">
        <v>18</v>
      </c>
      <c r="V3675">
        <v>17.690000000000001</v>
      </c>
      <c r="W3675" t="str">
        <f t="shared" si="914"/>
        <v>rob</v>
      </c>
    </row>
    <row r="3676" spans="1:23">
      <c r="A3676" t="str">
        <f t="shared" si="930"/>
        <v>MTS-S-ER9P-PT</v>
      </c>
      <c r="B3676" t="str">
        <f>"112496"</f>
        <v>112496</v>
      </c>
      <c r="C3676" t="str">
        <f>"Raw Material - Brass  Rod"</f>
        <v>Raw Material - Brass  Rod</v>
      </c>
      <c r="D3676">
        <v>1</v>
      </c>
      <c r="E3676" t="str">
        <f t="shared" si="931"/>
        <v>FMS - Scorbot ER9Pro Robot for ProTurn 9000 CNC machine</v>
      </c>
      <c r="F3676">
        <v>502</v>
      </c>
      <c r="G3676" t="str">
        <f t="shared" si="923"/>
        <v>Y</v>
      </c>
      <c r="H3676" t="str">
        <f t="shared" si="932"/>
        <v>EA</v>
      </c>
      <c r="I3676">
        <v>0</v>
      </c>
      <c r="J3676">
        <v>0</v>
      </c>
      <c r="K3676" t="str">
        <f t="shared" si="924"/>
        <v>Y</v>
      </c>
      <c r="L3676">
        <v>0</v>
      </c>
      <c r="M3676" t="str">
        <f t="shared" si="933"/>
        <v>NIS</v>
      </c>
      <c r="O3676">
        <v>10</v>
      </c>
      <c r="P3676" t="str">
        <f t="shared" si="929"/>
        <v>Active</v>
      </c>
      <c r="Q3676" t="str">
        <f>"Raw Material Stock - Brass  Rod"</f>
        <v>Raw Material Stock - Brass  Rod</v>
      </c>
      <c r="S3676" t="str">
        <f>"Raw Material Stock - Brass  Rod"</f>
        <v>Raw Material Stock - Brass  Rod</v>
      </c>
      <c r="T3676">
        <v>0</v>
      </c>
      <c r="U3676">
        <v>3.67</v>
      </c>
      <c r="V3676">
        <v>2.69</v>
      </c>
      <c r="W3676" t="str">
        <f t="shared" si="914"/>
        <v>rob</v>
      </c>
    </row>
    <row r="3677" spans="1:23">
      <c r="A3677" t="str">
        <f t="shared" si="930"/>
        <v>MTS-S-ER9P-PT</v>
      </c>
      <c r="B3677" t="str">
        <f>"00-1251-0000"</f>
        <v>00-1251-0000</v>
      </c>
      <c r="C3677" t="str">
        <f>"Workbench 1500x800mm (Formica Top)"</f>
        <v>Workbench 1500x800mm (Formica Top)</v>
      </c>
      <c r="D3677">
        <v>1</v>
      </c>
      <c r="E3677" t="str">
        <f t="shared" si="931"/>
        <v>FMS - Scorbot ER9Pro Robot for ProTurn 9000 CNC machine</v>
      </c>
      <c r="F3677">
        <v>502</v>
      </c>
      <c r="G3677" t="str">
        <f t="shared" si="923"/>
        <v>Y</v>
      </c>
      <c r="H3677" t="str">
        <f t="shared" si="932"/>
        <v>EA</v>
      </c>
      <c r="I3677">
        <v>0</v>
      </c>
      <c r="J3677">
        <v>0</v>
      </c>
      <c r="K3677" t="str">
        <f t="shared" si="924"/>
        <v>Y</v>
      </c>
      <c r="L3677">
        <v>0</v>
      </c>
      <c r="M3677" t="str">
        <f t="shared" si="933"/>
        <v>NIS</v>
      </c>
      <c r="O3677">
        <v>11</v>
      </c>
      <c r="P3677" t="str">
        <f t="shared" si="929"/>
        <v>Active</v>
      </c>
      <c r="Q3677" t="str">
        <f>"Workbench 1500x800mm (Formica Top)"</f>
        <v>Workbench 1500x800mm (Formica Top)</v>
      </c>
      <c r="S3677" t="str">
        <f>"Workbench 1500x800mm (Formica Top)"</f>
        <v>Workbench 1500x800mm (Formica Top)</v>
      </c>
      <c r="T3677">
        <v>0</v>
      </c>
      <c r="U3677">
        <v>582</v>
      </c>
      <c r="V3677">
        <v>588.6</v>
      </c>
      <c r="W3677" t="str">
        <f t="shared" si="914"/>
        <v>rob</v>
      </c>
    </row>
    <row r="3678" spans="1:23">
      <c r="A3678" t="str">
        <f t="shared" si="930"/>
        <v>MTS-S-ER9P-PT</v>
      </c>
      <c r="B3678" t="str">
        <f>"00-1290-0000"</f>
        <v>00-1290-0000</v>
      </c>
      <c r="C3678" t="str">
        <f>"PC Table 630x800mm (with Keyboard Drawer)"</f>
        <v>PC Table 630x800mm (with Keyboard Drawer)</v>
      </c>
      <c r="D3678">
        <v>1</v>
      </c>
      <c r="E3678" t="str">
        <f t="shared" si="931"/>
        <v>FMS - Scorbot ER9Pro Robot for ProTurn 9000 CNC machine</v>
      </c>
      <c r="F3678">
        <v>502</v>
      </c>
      <c r="G3678" t="str">
        <f t="shared" si="923"/>
        <v>Y</v>
      </c>
      <c r="H3678" t="str">
        <f t="shared" si="932"/>
        <v>EA</v>
      </c>
      <c r="I3678">
        <v>0</v>
      </c>
      <c r="J3678">
        <v>0</v>
      </c>
      <c r="K3678" t="str">
        <f t="shared" si="924"/>
        <v>Y</v>
      </c>
      <c r="L3678">
        <v>0</v>
      </c>
      <c r="M3678" t="str">
        <f t="shared" si="933"/>
        <v>NIS</v>
      </c>
      <c r="O3678">
        <v>12</v>
      </c>
      <c r="P3678" t="str">
        <f t="shared" si="929"/>
        <v>Active</v>
      </c>
      <c r="Q3678" t="str">
        <f>"PC Table 630x800mm (with Keyboard Drawer)"</f>
        <v>PC Table 630x800mm (with Keyboard Drawer)</v>
      </c>
      <c r="S3678" t="str">
        <f>"PC Table 630x800mm (with Keyboard Drawer)"</f>
        <v>PC Table 630x800mm (with Keyboard Drawer)</v>
      </c>
      <c r="T3678">
        <v>0</v>
      </c>
      <c r="U3678">
        <v>405.86</v>
      </c>
      <c r="V3678">
        <v>329.34</v>
      </c>
      <c r="W3678" t="str">
        <f t="shared" si="914"/>
        <v>rob</v>
      </c>
    </row>
    <row r="3679" spans="1:23">
      <c r="A3679" t="str">
        <f t="shared" si="930"/>
        <v>MTS-S-ER9P-PT</v>
      </c>
      <c r="B3679" t="str">
        <f>"50-0094-0000"</f>
        <v>50-0094-0000</v>
      </c>
      <c r="C3679" t="str">
        <f>"Pre-Engineering, Design and Testing"</f>
        <v>Pre-Engineering, Design and Testing</v>
      </c>
      <c r="D3679">
        <v>1</v>
      </c>
      <c r="E3679" t="str">
        <f t="shared" si="931"/>
        <v>FMS - Scorbot ER9Pro Robot for ProTurn 9000 CNC machine</v>
      </c>
      <c r="F3679">
        <v>502</v>
      </c>
      <c r="G3679" t="str">
        <f t="shared" si="923"/>
        <v>Y</v>
      </c>
      <c r="H3679" t="str">
        <f>"DA"</f>
        <v>DA</v>
      </c>
      <c r="I3679">
        <v>0</v>
      </c>
      <c r="J3679">
        <v>0</v>
      </c>
      <c r="K3679" t="str">
        <f t="shared" si="924"/>
        <v>Y</v>
      </c>
      <c r="L3679">
        <v>0</v>
      </c>
      <c r="M3679" t="str">
        <f t="shared" si="933"/>
        <v>NIS</v>
      </c>
      <c r="O3679">
        <v>13</v>
      </c>
      <c r="P3679" t="str">
        <f t="shared" si="929"/>
        <v>Active</v>
      </c>
      <c r="Q3679" t="str">
        <f>"Pre-Engineering, Design and Testing"</f>
        <v>Pre-Engineering, Design and Testing</v>
      </c>
      <c r="S3679" t="str">
        <f>"Pre-Engineering, Design and Testing"</f>
        <v>Pre-Engineering, Design and Testing</v>
      </c>
      <c r="T3679">
        <v>0</v>
      </c>
      <c r="U3679">
        <v>405</v>
      </c>
      <c r="V3679">
        <v>421.2</v>
      </c>
      <c r="W3679" t="str">
        <f t="shared" si="914"/>
        <v>rob</v>
      </c>
    </row>
    <row r="3680" spans="1:23">
      <c r="A3680" t="str">
        <f>"OCIM-OFFLINE 10"</f>
        <v>OCIM-OFFLINE 10</v>
      </c>
      <c r="B3680" t="str">
        <f>"63-9072-0000"</f>
        <v>63-9072-0000</v>
      </c>
      <c r="C3680" t="str">
        <f>"OpenCIM/FMS Software"</f>
        <v>OpenCIM/FMS Software</v>
      </c>
      <c r="D3680">
        <v>1</v>
      </c>
      <c r="E3680" t="str">
        <f>"OpenCIM Software OffLine - 10 Licenses"</f>
        <v>OpenCIM Software OffLine - 10 Licenses</v>
      </c>
      <c r="F3680">
        <v>540</v>
      </c>
      <c r="G3680" t="str">
        <f t="shared" si="923"/>
        <v>Y</v>
      </c>
      <c r="H3680" t="str">
        <f>"EA"</f>
        <v>EA</v>
      </c>
      <c r="I3680">
        <v>0</v>
      </c>
      <c r="J3680">
        <v>0</v>
      </c>
      <c r="K3680" t="str">
        <f t="shared" si="924"/>
        <v>Y</v>
      </c>
      <c r="L3680">
        <v>0</v>
      </c>
      <c r="M3680" t="str">
        <f t="shared" si="933"/>
        <v>NIS</v>
      </c>
      <c r="O3680">
        <v>1</v>
      </c>
      <c r="P3680" t="str">
        <f t="shared" si="929"/>
        <v>Active</v>
      </c>
      <c r="Q3680" t="str">
        <f>"OpenCIM/FMS Software Package"</f>
        <v>OpenCIM/FMS Software Package</v>
      </c>
      <c r="S3680" t="str">
        <f>"OpenCIM/FMS Software Package"</f>
        <v>OpenCIM/FMS Software Package</v>
      </c>
      <c r="T3680">
        <v>0</v>
      </c>
      <c r="U3680">
        <v>35.44</v>
      </c>
      <c r="V3680">
        <v>33.99</v>
      </c>
      <c r="W3680" t="str">
        <f t="shared" si="914"/>
        <v>rob</v>
      </c>
    </row>
    <row r="3681" spans="1:23">
      <c r="A3681" t="str">
        <f>"OCIM-OFFLINE 10"</f>
        <v>OCIM-OFFLINE 10</v>
      </c>
      <c r="B3681" t="str">
        <f>"63-7000-1300"</f>
        <v>63-7000-1300</v>
      </c>
      <c r="C3681" t="str">
        <f>"License Key For OpenCIM OffLine"</f>
        <v>License Key For OpenCIM OffLine</v>
      </c>
      <c r="D3681">
        <v>10</v>
      </c>
      <c r="E3681" t="str">
        <f>"OpenCIM Software OffLine - 10 Licenses"</f>
        <v>OpenCIM Software OffLine - 10 Licenses</v>
      </c>
      <c r="F3681">
        <v>540</v>
      </c>
      <c r="G3681" t="str">
        <f t="shared" si="923"/>
        <v>Y</v>
      </c>
      <c r="H3681" t="str">
        <f>"EA"</f>
        <v>EA</v>
      </c>
      <c r="I3681">
        <v>0</v>
      </c>
      <c r="J3681">
        <v>0</v>
      </c>
      <c r="K3681" t="str">
        <f t="shared" si="924"/>
        <v>Y</v>
      </c>
      <c r="L3681">
        <v>0</v>
      </c>
      <c r="M3681" t="str">
        <f t="shared" si="933"/>
        <v>NIS</v>
      </c>
      <c r="O3681">
        <v>2</v>
      </c>
      <c r="P3681" t="str">
        <f t="shared" si="929"/>
        <v>Active</v>
      </c>
      <c r="Q3681" t="str">
        <f>"License Key For OpenCIM Offline Software"</f>
        <v>License Key For OpenCIM Offline Software</v>
      </c>
      <c r="S3681" t="str">
        <f>"License Key For OpenCIM Offline Software"</f>
        <v>License Key For OpenCIM Offline Software</v>
      </c>
      <c r="T3681">
        <v>0</v>
      </c>
      <c r="U3681">
        <v>1.2</v>
      </c>
      <c r="V3681">
        <v>1.33</v>
      </c>
      <c r="W3681" t="str">
        <f t="shared" si="914"/>
        <v>rob</v>
      </c>
    </row>
    <row r="3682" spans="1:23">
      <c r="A3682" t="str">
        <f>"OCIM-ONLINE"</f>
        <v>OCIM-ONLINE</v>
      </c>
      <c r="B3682" t="str">
        <f>"63-9072-0000"</f>
        <v>63-9072-0000</v>
      </c>
      <c r="C3682" t="str">
        <f>"OpenCIM/FMS Software"</f>
        <v>OpenCIM/FMS Software</v>
      </c>
      <c r="D3682">
        <v>1</v>
      </c>
      <c r="E3682" t="str">
        <f>"OpenCIM OnLine Software"</f>
        <v>OpenCIM OnLine Software</v>
      </c>
      <c r="F3682">
        <v>540</v>
      </c>
      <c r="G3682" t="str">
        <f t="shared" si="923"/>
        <v>Y</v>
      </c>
      <c r="H3682" t="str">
        <f>"EA"</f>
        <v>EA</v>
      </c>
      <c r="I3682">
        <v>0</v>
      </c>
      <c r="J3682">
        <v>0</v>
      </c>
      <c r="K3682" t="str">
        <f t="shared" si="924"/>
        <v>Y</v>
      </c>
      <c r="L3682">
        <v>0</v>
      </c>
      <c r="M3682" t="str">
        <f t="shared" si="933"/>
        <v>NIS</v>
      </c>
      <c r="O3682">
        <v>1</v>
      </c>
      <c r="P3682" t="str">
        <f t="shared" si="929"/>
        <v>Active</v>
      </c>
      <c r="Q3682" t="str">
        <f>"OpenCIM/FMS Software Package"</f>
        <v>OpenCIM/FMS Software Package</v>
      </c>
      <c r="S3682" t="str">
        <f>"OpenCIM/FMS Software Package"</f>
        <v>OpenCIM/FMS Software Package</v>
      </c>
      <c r="T3682">
        <v>0</v>
      </c>
      <c r="U3682">
        <v>35.44</v>
      </c>
      <c r="V3682">
        <v>33.99</v>
      </c>
      <c r="W3682" t="str">
        <f t="shared" ref="W3682:W3711" si="934">"rob"</f>
        <v>rob</v>
      </c>
    </row>
    <row r="3683" spans="1:23">
      <c r="A3683" t="str">
        <f>"OCIM-ONLINE"</f>
        <v>OCIM-ONLINE</v>
      </c>
      <c r="B3683" t="str">
        <f>"63-7000-1200"</f>
        <v>63-7000-1200</v>
      </c>
      <c r="C3683" t="str">
        <f>"License Key For OpenCIM Online"</f>
        <v>License Key For OpenCIM Online</v>
      </c>
      <c r="D3683">
        <v>1</v>
      </c>
      <c r="E3683" t="str">
        <f>"OpenCIM OnLine Software"</f>
        <v>OpenCIM OnLine Software</v>
      </c>
      <c r="F3683">
        <v>540</v>
      </c>
      <c r="G3683" t="str">
        <f t="shared" si="923"/>
        <v>Y</v>
      </c>
      <c r="H3683" t="str">
        <f>"EA"</f>
        <v>EA</v>
      </c>
      <c r="I3683">
        <v>0</v>
      </c>
      <c r="J3683">
        <v>0</v>
      </c>
      <c r="K3683" t="str">
        <f t="shared" si="924"/>
        <v>Y</v>
      </c>
      <c r="L3683">
        <v>0</v>
      </c>
      <c r="M3683" t="str">
        <f t="shared" si="933"/>
        <v>NIS</v>
      </c>
      <c r="O3683">
        <v>2</v>
      </c>
      <c r="P3683" t="str">
        <f t="shared" si="929"/>
        <v>Active</v>
      </c>
      <c r="Q3683" t="str">
        <f>"License Key For OpenCIM Online Software"</f>
        <v>License Key For OpenCIM Online Software</v>
      </c>
      <c r="R3683" t="str">
        <f>"1"</f>
        <v>1</v>
      </c>
      <c r="S3683" t="str">
        <f>"License Key For OpenCIM Online Software"</f>
        <v>License Key For OpenCIM Online Software</v>
      </c>
      <c r="T3683">
        <v>0</v>
      </c>
      <c r="U3683">
        <v>5</v>
      </c>
      <c r="V3683">
        <v>5.55</v>
      </c>
      <c r="W3683" t="str">
        <f t="shared" si="934"/>
        <v>rob</v>
      </c>
    </row>
    <row r="3684" spans="1:23">
      <c r="A3684" t="str">
        <f>"OCIM-UPGINSTL&amp;T1"</f>
        <v>OCIM-UPGINSTL&amp;T1</v>
      </c>
      <c r="B3684" t="str">
        <f>"50-0095-0000"</f>
        <v>50-0095-0000</v>
      </c>
      <c r="C3684" t="str">
        <f>"Installation at Customer Site"</f>
        <v>Installation at Customer Site</v>
      </c>
      <c r="D3684">
        <v>10</v>
      </c>
      <c r="E3684" t="str">
        <f>"Installation and Training for Upgrade &gt; 5 Stations"</f>
        <v>Installation and Training for Upgrade &gt; 5 Stations</v>
      </c>
      <c r="F3684">
        <v>541</v>
      </c>
      <c r="G3684" t="str">
        <f t="shared" si="923"/>
        <v>Y</v>
      </c>
      <c r="H3684" t="str">
        <f>"DA"</f>
        <v>DA</v>
      </c>
      <c r="I3684">
        <v>0</v>
      </c>
      <c r="J3684">
        <v>0</v>
      </c>
      <c r="K3684" t="str">
        <f t="shared" si="924"/>
        <v>Y</v>
      </c>
      <c r="L3684">
        <v>0</v>
      </c>
      <c r="M3684" t="str">
        <f t="shared" si="933"/>
        <v>NIS</v>
      </c>
      <c r="O3684">
        <v>1</v>
      </c>
      <c r="P3684" t="str">
        <f t="shared" si="929"/>
        <v>Active</v>
      </c>
      <c r="Q3684" t="str">
        <f>"Installation at Customer Site (Days)"</f>
        <v>Installation at Customer Site (Days)</v>
      </c>
      <c r="S3684" t="str">
        <f>"Installation at Customer Site (Days)"</f>
        <v>Installation at Customer Site (Days)</v>
      </c>
      <c r="T3684">
        <v>0</v>
      </c>
      <c r="U3684">
        <v>864</v>
      </c>
      <c r="V3684">
        <v>898.56</v>
      </c>
      <c r="W3684" t="str">
        <f t="shared" si="934"/>
        <v>rob</v>
      </c>
    </row>
    <row r="3685" spans="1:23">
      <c r="A3685" t="str">
        <f>"OCIM-UPGINSTL&amp;T1"</f>
        <v>OCIM-UPGINSTL&amp;T1</v>
      </c>
      <c r="B3685" t="str">
        <f>"50-0096-0000"</f>
        <v>50-0096-0000</v>
      </c>
      <c r="C3685" t="str">
        <f>"Training at Customer Site (Days)"</f>
        <v>Training at Customer Site (Days)</v>
      </c>
      <c r="D3685">
        <v>3</v>
      </c>
      <c r="E3685" t="str">
        <f>"Installation and Training for Upgrade &gt; 5 Stations"</f>
        <v>Installation and Training for Upgrade &gt; 5 Stations</v>
      </c>
      <c r="F3685">
        <v>541</v>
      </c>
      <c r="G3685" t="str">
        <f t="shared" si="923"/>
        <v>Y</v>
      </c>
      <c r="H3685" t="str">
        <f>"DA"</f>
        <v>DA</v>
      </c>
      <c r="I3685">
        <v>0</v>
      </c>
      <c r="J3685">
        <v>0</v>
      </c>
      <c r="K3685" t="str">
        <f t="shared" si="924"/>
        <v>Y</v>
      </c>
      <c r="L3685">
        <v>0</v>
      </c>
      <c r="M3685" t="str">
        <f t="shared" si="933"/>
        <v>NIS</v>
      </c>
      <c r="O3685">
        <v>2</v>
      </c>
      <c r="P3685" t="str">
        <f t="shared" si="929"/>
        <v>Active</v>
      </c>
      <c r="Q3685" t="str">
        <f>"Training at Customer Site (Days)"</f>
        <v>Training at Customer Site (Days)</v>
      </c>
      <c r="S3685" t="str">
        <f>"Training at Customer Site (Days)"</f>
        <v>Training at Customer Site (Days)</v>
      </c>
      <c r="T3685">
        <v>0</v>
      </c>
      <c r="U3685">
        <v>864</v>
      </c>
      <c r="V3685">
        <v>898.56</v>
      </c>
      <c r="W3685" t="str">
        <f t="shared" si="934"/>
        <v>rob</v>
      </c>
    </row>
    <row r="3686" spans="1:23">
      <c r="A3686" t="str">
        <f>"OCIM-UPGINSTL&amp;T1"</f>
        <v>OCIM-UPGINSTL&amp;T1</v>
      </c>
      <c r="B3686" t="str">
        <f>"50-0079-0000"</f>
        <v>50-0079-0000</v>
      </c>
      <c r="C3686" t="str">
        <f>"Flight Ticket"</f>
        <v>Flight Ticket</v>
      </c>
      <c r="D3686">
        <v>1</v>
      </c>
      <c r="E3686" t="str">
        <f>"Installation and Training for Upgrade &gt; 5 Stations"</f>
        <v>Installation and Training for Upgrade &gt; 5 Stations</v>
      </c>
      <c r="F3686">
        <v>541</v>
      </c>
      <c r="G3686" t="str">
        <f t="shared" si="923"/>
        <v>Y</v>
      </c>
      <c r="H3686" t="str">
        <f>"EA"</f>
        <v>EA</v>
      </c>
      <c r="I3686">
        <v>0</v>
      </c>
      <c r="J3686">
        <v>0</v>
      </c>
      <c r="K3686" t="str">
        <f t="shared" si="924"/>
        <v>Y</v>
      </c>
      <c r="L3686">
        <v>0</v>
      </c>
      <c r="M3686" t="str">
        <f t="shared" si="933"/>
        <v>NIS</v>
      </c>
      <c r="O3686">
        <v>3</v>
      </c>
      <c r="P3686" t="str">
        <f t="shared" si="929"/>
        <v>Active</v>
      </c>
      <c r="Q3686" t="str">
        <f>"Travel expenses"</f>
        <v>Travel expenses</v>
      </c>
      <c r="S3686" t="str">
        <f>"Flight Ticket"</f>
        <v>Flight Ticket</v>
      </c>
      <c r="T3686">
        <v>0</v>
      </c>
      <c r="U3686" s="44">
        <v>2000</v>
      </c>
      <c r="V3686" s="44">
        <v>2000</v>
      </c>
      <c r="W3686" t="str">
        <f t="shared" si="934"/>
        <v>rob</v>
      </c>
    </row>
    <row r="3687" spans="1:23">
      <c r="A3687" t="str">
        <f>"OCIM-UPGINSTL&amp;TR"</f>
        <v>OCIM-UPGINSTL&amp;TR</v>
      </c>
      <c r="B3687" t="str">
        <f>"50-0095-0000"</f>
        <v>50-0095-0000</v>
      </c>
      <c r="C3687" t="str">
        <f>"Installation at Customer Site"</f>
        <v>Installation at Customer Site</v>
      </c>
      <c r="D3687">
        <v>7</v>
      </c>
      <c r="E3687" t="str">
        <f>"Installation and Training for Upgrade 2 - 5 Stations"</f>
        <v>Installation and Training for Upgrade 2 - 5 Stations</v>
      </c>
      <c r="F3687">
        <v>541</v>
      </c>
      <c r="G3687" t="str">
        <f t="shared" si="923"/>
        <v>Y</v>
      </c>
      <c r="H3687" t="str">
        <f>"DA"</f>
        <v>DA</v>
      </c>
      <c r="I3687">
        <v>0</v>
      </c>
      <c r="J3687">
        <v>0</v>
      </c>
      <c r="K3687" t="str">
        <f t="shared" si="924"/>
        <v>Y</v>
      </c>
      <c r="L3687">
        <v>0</v>
      </c>
      <c r="M3687" t="str">
        <f t="shared" si="933"/>
        <v>NIS</v>
      </c>
      <c r="O3687">
        <v>1</v>
      </c>
      <c r="P3687" t="str">
        <f t="shared" si="929"/>
        <v>Active</v>
      </c>
      <c r="Q3687" t="str">
        <f>"Installation at Customer Site (Days)"</f>
        <v>Installation at Customer Site (Days)</v>
      </c>
      <c r="S3687" t="str">
        <f>"Installation at Customer Site (Days)"</f>
        <v>Installation at Customer Site (Days)</v>
      </c>
      <c r="T3687">
        <v>0</v>
      </c>
      <c r="U3687">
        <v>864</v>
      </c>
      <c r="V3687">
        <v>898.56</v>
      </c>
      <c r="W3687" t="str">
        <f t="shared" si="934"/>
        <v>rob</v>
      </c>
    </row>
    <row r="3688" spans="1:23">
      <c r="A3688" t="str">
        <f>"OCIM-UPGINSTL&amp;TR"</f>
        <v>OCIM-UPGINSTL&amp;TR</v>
      </c>
      <c r="B3688" t="str">
        <f>"50-0096-0000"</f>
        <v>50-0096-0000</v>
      </c>
      <c r="C3688" t="str">
        <f>"Training at Customer Site (Days)"</f>
        <v>Training at Customer Site (Days)</v>
      </c>
      <c r="D3688">
        <v>3</v>
      </c>
      <c r="E3688" t="str">
        <f>"Installation and Training for Upgrade 2 - 5 Stations"</f>
        <v>Installation and Training for Upgrade 2 - 5 Stations</v>
      </c>
      <c r="F3688">
        <v>541</v>
      </c>
      <c r="G3688" t="str">
        <f t="shared" si="923"/>
        <v>Y</v>
      </c>
      <c r="H3688" t="str">
        <f>"DA"</f>
        <v>DA</v>
      </c>
      <c r="I3688">
        <v>0</v>
      </c>
      <c r="J3688">
        <v>0</v>
      </c>
      <c r="K3688" t="str">
        <f t="shared" si="924"/>
        <v>Y</v>
      </c>
      <c r="L3688">
        <v>0</v>
      </c>
      <c r="M3688" t="str">
        <f t="shared" si="933"/>
        <v>NIS</v>
      </c>
      <c r="O3688">
        <v>2</v>
      </c>
      <c r="P3688" t="str">
        <f t="shared" si="929"/>
        <v>Active</v>
      </c>
      <c r="Q3688" t="str">
        <f>"Training at Customer Site (Days)"</f>
        <v>Training at Customer Site (Days)</v>
      </c>
      <c r="S3688" t="str">
        <f>"Training at Customer Site (Days)"</f>
        <v>Training at Customer Site (Days)</v>
      </c>
      <c r="T3688">
        <v>0</v>
      </c>
      <c r="U3688">
        <v>864</v>
      </c>
      <c r="V3688">
        <v>898.56</v>
      </c>
      <c r="W3688" t="str">
        <f t="shared" si="934"/>
        <v>rob</v>
      </c>
    </row>
    <row r="3689" spans="1:23">
      <c r="A3689" t="str">
        <f>"OCIM-UPGINSTL&amp;TR"</f>
        <v>OCIM-UPGINSTL&amp;TR</v>
      </c>
      <c r="B3689" t="str">
        <f>"50-0079-0000"</f>
        <v>50-0079-0000</v>
      </c>
      <c r="C3689" t="str">
        <f>"Flight Ticket"</f>
        <v>Flight Ticket</v>
      </c>
      <c r="D3689">
        <v>1</v>
      </c>
      <c r="E3689" t="str">
        <f>"Installation and Training for Upgrade 2 - 5 Stations"</f>
        <v>Installation and Training for Upgrade 2 - 5 Stations</v>
      </c>
      <c r="F3689">
        <v>541</v>
      </c>
      <c r="G3689" t="str">
        <f t="shared" si="923"/>
        <v>Y</v>
      </c>
      <c r="H3689" t="str">
        <f>"EA"</f>
        <v>EA</v>
      </c>
      <c r="I3689">
        <v>0</v>
      </c>
      <c r="J3689">
        <v>0</v>
      </c>
      <c r="K3689" t="str">
        <f t="shared" si="924"/>
        <v>Y</v>
      </c>
      <c r="L3689">
        <v>0</v>
      </c>
      <c r="M3689" t="str">
        <f t="shared" si="933"/>
        <v>NIS</v>
      </c>
      <c r="O3689">
        <v>3</v>
      </c>
      <c r="P3689" t="str">
        <f t="shared" si="929"/>
        <v>Active</v>
      </c>
      <c r="Q3689" t="str">
        <f>"Travel expenses"</f>
        <v>Travel expenses</v>
      </c>
      <c r="S3689" t="str">
        <f>"Flight Ticket"</f>
        <v>Flight Ticket</v>
      </c>
      <c r="T3689">
        <v>0</v>
      </c>
      <c r="U3689" s="44">
        <v>2000</v>
      </c>
      <c r="V3689" s="44">
        <v>2000</v>
      </c>
      <c r="W3689" t="str">
        <f t="shared" si="934"/>
        <v>rob</v>
      </c>
    </row>
    <row r="3690" spans="1:23">
      <c r="A3690" t="str">
        <f>"OCIM-UPGR-16BIT"</f>
        <v>OCIM-UPGR-16BIT</v>
      </c>
      <c r="B3690" t="str">
        <f>"63-9072-0000"</f>
        <v>63-9072-0000</v>
      </c>
      <c r="C3690" t="str">
        <f>"OpenCIM/FMS Software"</f>
        <v>OpenCIM/FMS Software</v>
      </c>
      <c r="D3690">
        <v>1</v>
      </c>
      <c r="E3690" t="str">
        <f>"Upgrade of OpenCIM 16BIT to latest vesrion"</f>
        <v>Upgrade of OpenCIM 16BIT to latest vesrion</v>
      </c>
      <c r="F3690">
        <v>541</v>
      </c>
      <c r="G3690" t="str">
        <f t="shared" si="923"/>
        <v>Y</v>
      </c>
      <c r="H3690" t="str">
        <f>"EA"</f>
        <v>EA</v>
      </c>
      <c r="I3690">
        <v>0</v>
      </c>
      <c r="J3690">
        <v>0</v>
      </c>
      <c r="K3690" t="str">
        <f t="shared" si="924"/>
        <v>Y</v>
      </c>
      <c r="L3690">
        <v>0</v>
      </c>
      <c r="M3690" t="str">
        <f t="shared" si="933"/>
        <v>NIS</v>
      </c>
      <c r="O3690">
        <v>1</v>
      </c>
      <c r="P3690" t="str">
        <f t="shared" si="929"/>
        <v>Active</v>
      </c>
      <c r="Q3690" t="str">
        <f>"OpenCIM/FMS Software Package"</f>
        <v>OpenCIM/FMS Software Package</v>
      </c>
      <c r="S3690" t="str">
        <f>"OpenCIM/FMS Software Package"</f>
        <v>OpenCIM/FMS Software Package</v>
      </c>
      <c r="T3690">
        <v>0</v>
      </c>
      <c r="U3690">
        <v>35.44</v>
      </c>
      <c r="V3690">
        <v>33.99</v>
      </c>
      <c r="W3690" t="str">
        <f t="shared" si="934"/>
        <v>rob</v>
      </c>
    </row>
    <row r="3691" spans="1:23">
      <c r="A3691" t="str">
        <f>"OCIM-UPGR-16BIT"</f>
        <v>OCIM-UPGR-16BIT</v>
      </c>
      <c r="B3691" t="str">
        <f>"63-7000-1200"</f>
        <v>63-7000-1200</v>
      </c>
      <c r="C3691" t="str">
        <f>"License Key For OpenCIM Online"</f>
        <v>License Key For OpenCIM Online</v>
      </c>
      <c r="D3691">
        <v>1</v>
      </c>
      <c r="E3691" t="str">
        <f>"Upgrade of OpenCIM 16BIT to latest vesrion"</f>
        <v>Upgrade of OpenCIM 16BIT to latest vesrion</v>
      </c>
      <c r="F3691">
        <v>541</v>
      </c>
      <c r="G3691" t="str">
        <f t="shared" si="923"/>
        <v>Y</v>
      </c>
      <c r="H3691" t="str">
        <f>"EA"</f>
        <v>EA</v>
      </c>
      <c r="I3691">
        <v>0</v>
      </c>
      <c r="J3691">
        <v>0</v>
      </c>
      <c r="K3691" t="str">
        <f t="shared" si="924"/>
        <v>Y</v>
      </c>
      <c r="L3691">
        <v>0</v>
      </c>
      <c r="M3691" t="str">
        <f t="shared" si="933"/>
        <v>NIS</v>
      </c>
      <c r="O3691">
        <v>2</v>
      </c>
      <c r="P3691" t="str">
        <f t="shared" si="929"/>
        <v>Active</v>
      </c>
      <c r="Q3691" t="str">
        <f>"License Key For OpenCIM Online Software"</f>
        <v>License Key For OpenCIM Online Software</v>
      </c>
      <c r="R3691" t="str">
        <f>"1"</f>
        <v>1</v>
      </c>
      <c r="S3691" t="str">
        <f>"License Key For OpenCIM Online Software"</f>
        <v>License Key For OpenCIM Online Software</v>
      </c>
      <c r="T3691">
        <v>0</v>
      </c>
      <c r="U3691">
        <v>5</v>
      </c>
      <c r="V3691">
        <v>5.55</v>
      </c>
      <c r="W3691" t="str">
        <f t="shared" si="934"/>
        <v>rob</v>
      </c>
    </row>
    <row r="3692" spans="1:23">
      <c r="A3692" t="str">
        <f>"OCIM-UPGR-16BIT"</f>
        <v>OCIM-UPGR-16BIT</v>
      </c>
      <c r="B3692" t="str">
        <f>"50-0094-0000"</f>
        <v>50-0094-0000</v>
      </c>
      <c r="C3692" t="str">
        <f>"Pre-Engineering, Design and Testing"</f>
        <v>Pre-Engineering, Design and Testing</v>
      </c>
      <c r="D3692">
        <v>1</v>
      </c>
      <c r="E3692" t="str">
        <f>"Upgrade of OpenCIM 16BIT to latest vesrion"</f>
        <v>Upgrade of OpenCIM 16BIT to latest vesrion</v>
      </c>
      <c r="F3692">
        <v>541</v>
      </c>
      <c r="G3692" t="str">
        <f t="shared" si="923"/>
        <v>Y</v>
      </c>
      <c r="H3692" t="str">
        <f>"DA"</f>
        <v>DA</v>
      </c>
      <c r="I3692">
        <v>0</v>
      </c>
      <c r="J3692">
        <v>0</v>
      </c>
      <c r="K3692" t="str">
        <f t="shared" si="924"/>
        <v>Y</v>
      </c>
      <c r="L3692">
        <v>0</v>
      </c>
      <c r="M3692" t="str">
        <f t="shared" si="933"/>
        <v>NIS</v>
      </c>
      <c r="O3692">
        <v>4</v>
      </c>
      <c r="P3692" t="str">
        <f t="shared" si="929"/>
        <v>Active</v>
      </c>
      <c r="Q3692" t="str">
        <f>"Pre-Engineering, Design and Testing"</f>
        <v>Pre-Engineering, Design and Testing</v>
      </c>
      <c r="S3692" t="str">
        <f>"Pre-Engineering, Design and Testing"</f>
        <v>Pre-Engineering, Design and Testing</v>
      </c>
      <c r="T3692">
        <v>0</v>
      </c>
      <c r="U3692">
        <v>405</v>
      </c>
      <c r="V3692">
        <v>421.2</v>
      </c>
      <c r="W3692" t="str">
        <f t="shared" si="934"/>
        <v>rob</v>
      </c>
    </row>
    <row r="3693" spans="1:23">
      <c r="A3693" t="str">
        <f>"OCIM-UPGR-16BIT"</f>
        <v>OCIM-UPGR-16BIT</v>
      </c>
      <c r="B3693" t="str">
        <f>"50-0079-0000"</f>
        <v>50-0079-0000</v>
      </c>
      <c r="C3693" t="str">
        <f>"Flight Ticket"</f>
        <v>Flight Ticket</v>
      </c>
      <c r="D3693">
        <v>1</v>
      </c>
      <c r="E3693" t="str">
        <f>"Upgrade of OpenCIM 16BIT to latest vesrion"</f>
        <v>Upgrade of OpenCIM 16BIT to latest vesrion</v>
      </c>
      <c r="F3693">
        <v>541</v>
      </c>
      <c r="G3693" t="str">
        <f t="shared" si="923"/>
        <v>Y</v>
      </c>
      <c r="H3693" t="str">
        <f>"EA"</f>
        <v>EA</v>
      </c>
      <c r="I3693">
        <v>0</v>
      </c>
      <c r="J3693">
        <v>0</v>
      </c>
      <c r="K3693" t="str">
        <f t="shared" si="924"/>
        <v>Y</v>
      </c>
      <c r="L3693">
        <v>0</v>
      </c>
      <c r="M3693" t="str">
        <f t="shared" si="933"/>
        <v>NIS</v>
      </c>
      <c r="N3693" t="str">
        <f>"Y"</f>
        <v>Y</v>
      </c>
      <c r="O3693">
        <v>5</v>
      </c>
      <c r="P3693" t="str">
        <f t="shared" si="929"/>
        <v>Active</v>
      </c>
      <c r="Q3693" t="str">
        <f>"Travel expenses"</f>
        <v>Travel expenses</v>
      </c>
      <c r="S3693" t="str">
        <f>"Flight Ticket"</f>
        <v>Flight Ticket</v>
      </c>
      <c r="T3693">
        <v>0</v>
      </c>
      <c r="U3693" s="44">
        <v>2000</v>
      </c>
      <c r="V3693" s="44">
        <v>2000</v>
      </c>
      <c r="W3693" t="str">
        <f t="shared" si="934"/>
        <v>rob</v>
      </c>
    </row>
    <row r="3694" spans="1:23">
      <c r="A3694" t="str">
        <f>"OCIM-UPGR-16BIT"</f>
        <v>OCIM-UPGR-16BIT</v>
      </c>
      <c r="B3694" t="str">
        <f>"0000"</f>
        <v>0000</v>
      </c>
      <c r="C3694" t="str">
        <f>"general part"</f>
        <v>general part</v>
      </c>
      <c r="D3694">
        <v>1</v>
      </c>
      <c r="E3694" t="str">
        <f>"Upgrade of OpenCIM 16BIT to latest vesrion"</f>
        <v>Upgrade of OpenCIM 16BIT to latest vesrion</v>
      </c>
      <c r="F3694">
        <v>541</v>
      </c>
      <c r="G3694" t="str">
        <f t="shared" si="923"/>
        <v>Y</v>
      </c>
      <c r="H3694" t="str">
        <f>"Ea"</f>
        <v>Ea</v>
      </c>
      <c r="I3694">
        <v>0</v>
      </c>
      <c r="J3694">
        <v>0</v>
      </c>
      <c r="K3694" t="str">
        <f t="shared" si="924"/>
        <v>Y</v>
      </c>
      <c r="L3694">
        <v>0</v>
      </c>
      <c r="M3694" t="str">
        <f t="shared" si="933"/>
        <v>NIS</v>
      </c>
      <c r="N3694" t="str">
        <f>"Y"</f>
        <v>Y</v>
      </c>
      <c r="O3694">
        <v>3</v>
      </c>
      <c r="P3694" t="str">
        <f t="shared" si="929"/>
        <v>Active</v>
      </c>
      <c r="Q3694" t="str">
        <f>"Special Discount for existing CIM System"</f>
        <v>Special Discount for existing CIM System</v>
      </c>
      <c r="S3694" t="str">
        <f>"מוצר כללי"</f>
        <v>מוצר כללי</v>
      </c>
      <c r="T3694">
        <v>0</v>
      </c>
      <c r="U3694">
        <v>0</v>
      </c>
      <c r="V3694">
        <v>0</v>
      </c>
      <c r="W3694" t="str">
        <f t="shared" si="934"/>
        <v>rob</v>
      </c>
    </row>
    <row r="3695" spans="1:23">
      <c r="A3695" t="str">
        <f t="shared" ref="A3695:A3701" si="935">"OCIM-UPGR-32BIT"</f>
        <v>OCIM-UPGR-32BIT</v>
      </c>
      <c r="B3695" t="str">
        <f>"63-9072-0000"</f>
        <v>63-9072-0000</v>
      </c>
      <c r="C3695" t="str">
        <f>"OpenCIM/FMS Software"</f>
        <v>OpenCIM/FMS Software</v>
      </c>
      <c r="D3695">
        <v>1</v>
      </c>
      <c r="E3695" t="str">
        <f t="shared" ref="E3695:E3701" si="936">"Upgrade - of OpenCIM 32BIT to latest version"</f>
        <v>Upgrade - of OpenCIM 32BIT to latest version</v>
      </c>
      <c r="F3695">
        <v>541</v>
      </c>
      <c r="G3695" t="str">
        <f t="shared" si="923"/>
        <v>Y</v>
      </c>
      <c r="H3695" t="str">
        <f>"EA"</f>
        <v>EA</v>
      </c>
      <c r="I3695">
        <v>0</v>
      </c>
      <c r="J3695">
        <v>0</v>
      </c>
      <c r="K3695" t="str">
        <f t="shared" si="924"/>
        <v>Y</v>
      </c>
      <c r="L3695">
        <v>0</v>
      </c>
      <c r="M3695" t="str">
        <f t="shared" si="933"/>
        <v>NIS</v>
      </c>
      <c r="O3695">
        <v>1</v>
      </c>
      <c r="P3695" t="str">
        <f t="shared" si="929"/>
        <v>Active</v>
      </c>
      <c r="Q3695" t="str">
        <f>"OpenCIM/FMS Software Package"</f>
        <v>OpenCIM/FMS Software Package</v>
      </c>
      <c r="S3695" t="str">
        <f>"OpenCIM/FMS Software Package"</f>
        <v>OpenCIM/FMS Software Package</v>
      </c>
      <c r="T3695">
        <v>0</v>
      </c>
      <c r="U3695">
        <v>35.44</v>
      </c>
      <c r="V3695">
        <v>33.99</v>
      </c>
      <c r="W3695" t="str">
        <f t="shared" si="934"/>
        <v>rob</v>
      </c>
    </row>
    <row r="3696" spans="1:23">
      <c r="A3696" t="str">
        <f t="shared" si="935"/>
        <v>OCIM-UPGR-32BIT</v>
      </c>
      <c r="B3696" t="str">
        <f>"63-7000-1200"</f>
        <v>63-7000-1200</v>
      </c>
      <c r="C3696" t="str">
        <f>"License Key For OpenCIM Online"</f>
        <v>License Key For OpenCIM Online</v>
      </c>
      <c r="D3696">
        <v>1</v>
      </c>
      <c r="E3696" t="str">
        <f t="shared" si="936"/>
        <v>Upgrade - of OpenCIM 32BIT to latest version</v>
      </c>
      <c r="F3696">
        <v>541</v>
      </c>
      <c r="G3696" t="str">
        <f t="shared" si="923"/>
        <v>Y</v>
      </c>
      <c r="H3696" t="str">
        <f>"EA"</f>
        <v>EA</v>
      </c>
      <c r="I3696">
        <v>0</v>
      </c>
      <c r="J3696">
        <v>0</v>
      </c>
      <c r="K3696" t="str">
        <f t="shared" si="924"/>
        <v>Y</v>
      </c>
      <c r="L3696">
        <v>0</v>
      </c>
      <c r="M3696" t="str">
        <f t="shared" si="933"/>
        <v>NIS</v>
      </c>
      <c r="O3696">
        <v>2</v>
      </c>
      <c r="P3696" t="str">
        <f t="shared" si="929"/>
        <v>Active</v>
      </c>
      <c r="Q3696" t="str">
        <f>"License Key For OpenCIM Online Software"</f>
        <v>License Key For OpenCIM Online Software</v>
      </c>
      <c r="R3696" t="str">
        <f>"1"</f>
        <v>1</v>
      </c>
      <c r="S3696" t="str">
        <f>"License Key For OpenCIM Online Software"</f>
        <v>License Key For OpenCIM Online Software</v>
      </c>
      <c r="T3696">
        <v>0</v>
      </c>
      <c r="U3696">
        <v>5</v>
      </c>
      <c r="V3696">
        <v>5.55</v>
      </c>
      <c r="W3696" t="str">
        <f t="shared" si="934"/>
        <v>rob</v>
      </c>
    </row>
    <row r="3697" spans="1:23">
      <c r="A3697" t="str">
        <f t="shared" si="935"/>
        <v>OCIM-UPGR-32BIT</v>
      </c>
      <c r="B3697" t="str">
        <f>"50-0094-0000"</f>
        <v>50-0094-0000</v>
      </c>
      <c r="C3697" t="str">
        <f>"Pre-Engineering, Design and Testing"</f>
        <v>Pre-Engineering, Design and Testing</v>
      </c>
      <c r="D3697">
        <v>1</v>
      </c>
      <c r="E3697" t="str">
        <f t="shared" si="936"/>
        <v>Upgrade - of OpenCIM 32BIT to latest version</v>
      </c>
      <c r="F3697">
        <v>541</v>
      </c>
      <c r="G3697" t="str">
        <f t="shared" si="923"/>
        <v>Y</v>
      </c>
      <c r="H3697" t="str">
        <f>"DA"</f>
        <v>DA</v>
      </c>
      <c r="I3697">
        <v>0</v>
      </c>
      <c r="J3697">
        <v>0</v>
      </c>
      <c r="K3697" t="str">
        <f t="shared" si="924"/>
        <v>Y</v>
      </c>
      <c r="L3697">
        <v>0</v>
      </c>
      <c r="M3697" t="str">
        <f t="shared" si="933"/>
        <v>NIS</v>
      </c>
      <c r="O3697">
        <v>4</v>
      </c>
      <c r="P3697" t="str">
        <f t="shared" si="929"/>
        <v>Active</v>
      </c>
      <c r="Q3697" t="str">
        <f>"Pre-Engineering, Design and Testing"</f>
        <v>Pre-Engineering, Design and Testing</v>
      </c>
      <c r="S3697" t="str">
        <f>"Pre-Engineering, Design and Testing"</f>
        <v>Pre-Engineering, Design and Testing</v>
      </c>
      <c r="T3697">
        <v>0</v>
      </c>
      <c r="U3697">
        <v>405</v>
      </c>
      <c r="V3697">
        <v>421.2</v>
      </c>
      <c r="W3697" t="str">
        <f t="shared" si="934"/>
        <v>rob</v>
      </c>
    </row>
    <row r="3698" spans="1:23">
      <c r="A3698" t="str">
        <f t="shared" si="935"/>
        <v>OCIM-UPGR-32BIT</v>
      </c>
      <c r="B3698" t="str">
        <f>"50-0095-0000"</f>
        <v>50-0095-0000</v>
      </c>
      <c r="C3698" t="str">
        <f>"Installation at Customer Site"</f>
        <v>Installation at Customer Site</v>
      </c>
      <c r="D3698">
        <v>5</v>
      </c>
      <c r="E3698" t="str">
        <f t="shared" si="936"/>
        <v>Upgrade - of OpenCIM 32BIT to latest version</v>
      </c>
      <c r="F3698">
        <v>541</v>
      </c>
      <c r="G3698" t="str">
        <f t="shared" si="923"/>
        <v>Y</v>
      </c>
      <c r="H3698" t="str">
        <f>"DA"</f>
        <v>DA</v>
      </c>
      <c r="I3698">
        <v>0</v>
      </c>
      <c r="J3698">
        <v>0</v>
      </c>
      <c r="K3698" t="str">
        <f t="shared" si="924"/>
        <v>Y</v>
      </c>
      <c r="L3698">
        <v>0</v>
      </c>
      <c r="M3698" t="str">
        <f t="shared" si="933"/>
        <v>NIS</v>
      </c>
      <c r="O3698">
        <v>5</v>
      </c>
      <c r="P3698" t="str">
        <f t="shared" ref="P3698:P3729" si="937">"Active"</f>
        <v>Active</v>
      </c>
      <c r="Q3698" t="str">
        <f>"Installation at Customer Site (Days)"</f>
        <v>Installation at Customer Site (Days)</v>
      </c>
      <c r="S3698" t="str">
        <f>"Installation at Customer Site (Days)"</f>
        <v>Installation at Customer Site (Days)</v>
      </c>
      <c r="T3698">
        <v>0</v>
      </c>
      <c r="U3698">
        <v>864</v>
      </c>
      <c r="V3698">
        <v>898.56</v>
      </c>
      <c r="W3698" t="str">
        <f t="shared" si="934"/>
        <v>rob</v>
      </c>
    </row>
    <row r="3699" spans="1:23">
      <c r="A3699" t="str">
        <f t="shared" si="935"/>
        <v>OCIM-UPGR-32BIT</v>
      </c>
      <c r="B3699" t="str">
        <f>"50-0096-0000"</f>
        <v>50-0096-0000</v>
      </c>
      <c r="C3699" t="str">
        <f>"Training at Customer Site (Days)"</f>
        <v>Training at Customer Site (Days)</v>
      </c>
      <c r="D3699">
        <v>3</v>
      </c>
      <c r="E3699" t="str">
        <f t="shared" si="936"/>
        <v>Upgrade - of OpenCIM 32BIT to latest version</v>
      </c>
      <c r="F3699">
        <v>541</v>
      </c>
      <c r="G3699" t="str">
        <f t="shared" si="923"/>
        <v>Y</v>
      </c>
      <c r="H3699" t="str">
        <f>"DA"</f>
        <v>DA</v>
      </c>
      <c r="I3699">
        <v>0</v>
      </c>
      <c r="J3699">
        <v>0</v>
      </c>
      <c r="K3699" t="str">
        <f t="shared" si="924"/>
        <v>Y</v>
      </c>
      <c r="L3699">
        <v>0</v>
      </c>
      <c r="M3699" t="str">
        <f t="shared" si="933"/>
        <v>NIS</v>
      </c>
      <c r="O3699">
        <v>6</v>
      </c>
      <c r="P3699" t="str">
        <f t="shared" si="937"/>
        <v>Active</v>
      </c>
      <c r="Q3699" t="str">
        <f>"Training at Customer Site (Days)"</f>
        <v>Training at Customer Site (Days)</v>
      </c>
      <c r="S3699" t="str">
        <f>"Training at Customer Site (Days)"</f>
        <v>Training at Customer Site (Days)</v>
      </c>
      <c r="T3699">
        <v>0</v>
      </c>
      <c r="U3699">
        <v>864</v>
      </c>
      <c r="V3699">
        <v>898.56</v>
      </c>
      <c r="W3699" t="str">
        <f t="shared" si="934"/>
        <v>rob</v>
      </c>
    </row>
    <row r="3700" spans="1:23">
      <c r="A3700" t="str">
        <f t="shared" si="935"/>
        <v>OCIM-UPGR-32BIT</v>
      </c>
      <c r="B3700" t="str">
        <f>"50-0079-0000"</f>
        <v>50-0079-0000</v>
      </c>
      <c r="C3700" t="str">
        <f>"Flight Ticket"</f>
        <v>Flight Ticket</v>
      </c>
      <c r="D3700">
        <v>1</v>
      </c>
      <c r="E3700" t="str">
        <f t="shared" si="936"/>
        <v>Upgrade - of OpenCIM 32BIT to latest version</v>
      </c>
      <c r="F3700">
        <v>541</v>
      </c>
      <c r="G3700" t="str">
        <f t="shared" si="923"/>
        <v>Y</v>
      </c>
      <c r="H3700" t="str">
        <f>"EA"</f>
        <v>EA</v>
      </c>
      <c r="I3700">
        <v>0</v>
      </c>
      <c r="J3700">
        <v>0</v>
      </c>
      <c r="K3700" t="str">
        <f t="shared" si="924"/>
        <v>Y</v>
      </c>
      <c r="L3700">
        <v>0</v>
      </c>
      <c r="M3700" t="str">
        <f t="shared" si="933"/>
        <v>NIS</v>
      </c>
      <c r="O3700">
        <v>7</v>
      </c>
      <c r="P3700" t="str">
        <f t="shared" si="937"/>
        <v>Active</v>
      </c>
      <c r="Q3700" t="str">
        <f>"Travel expenses"</f>
        <v>Travel expenses</v>
      </c>
      <c r="S3700" t="str">
        <f>"Flight Ticket"</f>
        <v>Flight Ticket</v>
      </c>
      <c r="T3700">
        <v>0</v>
      </c>
      <c r="U3700" s="44">
        <v>2000</v>
      </c>
      <c r="V3700" s="44">
        <v>2000</v>
      </c>
      <c r="W3700" t="str">
        <f t="shared" si="934"/>
        <v>rob</v>
      </c>
    </row>
    <row r="3701" spans="1:23">
      <c r="A3701" t="str">
        <f t="shared" si="935"/>
        <v>OCIM-UPGR-32BIT</v>
      </c>
      <c r="B3701" t="str">
        <f>"0000"</f>
        <v>0000</v>
      </c>
      <c r="C3701" t="str">
        <f>"general part"</f>
        <v>general part</v>
      </c>
      <c r="D3701">
        <v>1</v>
      </c>
      <c r="E3701" t="str">
        <f t="shared" si="936"/>
        <v>Upgrade - of OpenCIM 32BIT to latest version</v>
      </c>
      <c r="F3701">
        <v>541</v>
      </c>
      <c r="G3701" t="str">
        <f t="shared" si="923"/>
        <v>Y</v>
      </c>
      <c r="H3701" t="str">
        <f>"Ea"</f>
        <v>Ea</v>
      </c>
      <c r="I3701">
        <v>0</v>
      </c>
      <c r="J3701">
        <v>0</v>
      </c>
      <c r="K3701" t="str">
        <f t="shared" si="924"/>
        <v>Y</v>
      </c>
      <c r="L3701">
        <v>0</v>
      </c>
      <c r="M3701" t="str">
        <f t="shared" si="933"/>
        <v>NIS</v>
      </c>
      <c r="N3701" t="str">
        <f>"Y"</f>
        <v>Y</v>
      </c>
      <c r="O3701">
        <v>3</v>
      </c>
      <c r="P3701" t="str">
        <f t="shared" si="937"/>
        <v>Active</v>
      </c>
      <c r="Q3701" t="str">
        <f>"Special Discount for existing CIM System"</f>
        <v>Special Discount for existing CIM System</v>
      </c>
      <c r="S3701" t="str">
        <f>"מוצר כללי"</f>
        <v>מוצר כללי</v>
      </c>
      <c r="T3701">
        <v>0</v>
      </c>
      <c r="U3701">
        <v>0</v>
      </c>
      <c r="V3701">
        <v>0</v>
      </c>
      <c r="W3701" t="str">
        <f t="shared" si="934"/>
        <v>rob</v>
      </c>
    </row>
    <row r="3702" spans="1:23">
      <c r="A3702" t="str">
        <f t="shared" ref="A3702:A3707" si="938">"OCIM-UPGR-ACL"</f>
        <v>OCIM-UPGR-ACL</v>
      </c>
      <c r="B3702" t="str">
        <f>"63-9072-0000"</f>
        <v>63-9072-0000</v>
      </c>
      <c r="C3702" t="str">
        <f>"OpenCIM/FMS Software"</f>
        <v>OpenCIM/FMS Software</v>
      </c>
      <c r="D3702">
        <v>1</v>
      </c>
      <c r="E3702" t="str">
        <f t="shared" ref="E3702:E3707" si="939">"Upgrade of ACL CIM to latest OpenCIM Version"</f>
        <v>Upgrade of ACL CIM to latest OpenCIM Version</v>
      </c>
      <c r="F3702">
        <v>541</v>
      </c>
      <c r="G3702" t="str">
        <f t="shared" si="923"/>
        <v>Y</v>
      </c>
      <c r="H3702" t="str">
        <f>"EA"</f>
        <v>EA</v>
      </c>
      <c r="I3702">
        <v>0</v>
      </c>
      <c r="J3702">
        <v>0</v>
      </c>
      <c r="K3702" t="str">
        <f t="shared" si="924"/>
        <v>Y</v>
      </c>
      <c r="L3702">
        <v>0</v>
      </c>
      <c r="M3702" t="str">
        <f t="shared" si="933"/>
        <v>NIS</v>
      </c>
      <c r="O3702">
        <v>1</v>
      </c>
      <c r="P3702" t="str">
        <f t="shared" si="937"/>
        <v>Active</v>
      </c>
      <c r="Q3702" t="str">
        <f>"OpenCIM/FMS Software Package"</f>
        <v>OpenCIM/FMS Software Package</v>
      </c>
      <c r="S3702" t="str">
        <f>"OpenCIM/FMS Software Package"</f>
        <v>OpenCIM/FMS Software Package</v>
      </c>
      <c r="T3702">
        <v>0</v>
      </c>
      <c r="U3702">
        <v>35.44</v>
      </c>
      <c r="V3702">
        <v>33.99</v>
      </c>
      <c r="W3702" t="str">
        <f t="shared" si="934"/>
        <v>rob</v>
      </c>
    </row>
    <row r="3703" spans="1:23">
      <c r="A3703" t="str">
        <f t="shared" si="938"/>
        <v>OCIM-UPGR-ACL</v>
      </c>
      <c r="B3703" t="str">
        <f>"63-7000-1200"</f>
        <v>63-7000-1200</v>
      </c>
      <c r="C3703" t="str">
        <f>"License Key For OpenCIM Online"</f>
        <v>License Key For OpenCIM Online</v>
      </c>
      <c r="D3703">
        <v>1</v>
      </c>
      <c r="E3703" t="str">
        <f t="shared" si="939"/>
        <v>Upgrade of ACL CIM to latest OpenCIM Version</v>
      </c>
      <c r="F3703">
        <v>541</v>
      </c>
      <c r="G3703" t="str">
        <f t="shared" si="923"/>
        <v>Y</v>
      </c>
      <c r="H3703" t="str">
        <f>"EA"</f>
        <v>EA</v>
      </c>
      <c r="I3703">
        <v>0</v>
      </c>
      <c r="J3703">
        <v>0</v>
      </c>
      <c r="K3703" t="str">
        <f t="shared" si="924"/>
        <v>Y</v>
      </c>
      <c r="L3703">
        <v>0</v>
      </c>
      <c r="M3703" t="str">
        <f t="shared" si="933"/>
        <v>NIS</v>
      </c>
      <c r="O3703">
        <v>2</v>
      </c>
      <c r="P3703" t="str">
        <f t="shared" si="937"/>
        <v>Active</v>
      </c>
      <c r="Q3703" t="str">
        <f>"License Key For OpenCIM Online Software"</f>
        <v>License Key For OpenCIM Online Software</v>
      </c>
      <c r="R3703" t="str">
        <f>"1"</f>
        <v>1</v>
      </c>
      <c r="S3703" t="str">
        <f>"License Key For OpenCIM Online Software"</f>
        <v>License Key For OpenCIM Online Software</v>
      </c>
      <c r="T3703">
        <v>0</v>
      </c>
      <c r="U3703">
        <v>5</v>
      </c>
      <c r="V3703">
        <v>5.55</v>
      </c>
      <c r="W3703" t="str">
        <f t="shared" si="934"/>
        <v>rob</v>
      </c>
    </row>
    <row r="3704" spans="1:23">
      <c r="A3704" t="str">
        <f t="shared" si="938"/>
        <v>OCIM-UPGR-ACL</v>
      </c>
      <c r="B3704" t="str">
        <f>"50-0094-0000"</f>
        <v>50-0094-0000</v>
      </c>
      <c r="C3704" t="str">
        <f>"Pre-Engineering, Design and Testing"</f>
        <v>Pre-Engineering, Design and Testing</v>
      </c>
      <c r="D3704">
        <v>1</v>
      </c>
      <c r="E3704" t="str">
        <f t="shared" si="939"/>
        <v>Upgrade of ACL CIM to latest OpenCIM Version</v>
      </c>
      <c r="F3704">
        <v>541</v>
      </c>
      <c r="G3704" t="str">
        <f t="shared" si="923"/>
        <v>Y</v>
      </c>
      <c r="H3704" t="str">
        <f>"DA"</f>
        <v>DA</v>
      </c>
      <c r="I3704">
        <v>0</v>
      </c>
      <c r="J3704">
        <v>0</v>
      </c>
      <c r="K3704" t="str">
        <f t="shared" si="924"/>
        <v>Y</v>
      </c>
      <c r="L3704">
        <v>0</v>
      </c>
      <c r="M3704" t="str">
        <f t="shared" si="933"/>
        <v>NIS</v>
      </c>
      <c r="O3704">
        <v>3</v>
      </c>
      <c r="P3704" t="str">
        <f t="shared" si="937"/>
        <v>Active</v>
      </c>
      <c r="Q3704" t="str">
        <f>"Pre-Engineering, Design and Testing"</f>
        <v>Pre-Engineering, Design and Testing</v>
      </c>
      <c r="S3704" t="str">
        <f>"Pre-Engineering, Design and Testing"</f>
        <v>Pre-Engineering, Design and Testing</v>
      </c>
      <c r="T3704">
        <v>0</v>
      </c>
      <c r="U3704">
        <v>405</v>
      </c>
      <c r="V3704">
        <v>421.2</v>
      </c>
      <c r="W3704" t="str">
        <f t="shared" si="934"/>
        <v>rob</v>
      </c>
    </row>
    <row r="3705" spans="1:23">
      <c r="A3705" t="str">
        <f t="shared" si="938"/>
        <v>OCIM-UPGR-ACL</v>
      </c>
      <c r="B3705" t="str">
        <f>"50-0095-0000"</f>
        <v>50-0095-0000</v>
      </c>
      <c r="C3705" t="str">
        <f>"Installation at Customer Site"</f>
        <v>Installation at Customer Site</v>
      </c>
      <c r="D3705">
        <v>1</v>
      </c>
      <c r="E3705" t="str">
        <f t="shared" si="939"/>
        <v>Upgrade of ACL CIM to latest OpenCIM Version</v>
      </c>
      <c r="F3705">
        <v>541</v>
      </c>
      <c r="G3705" t="str">
        <f t="shared" si="923"/>
        <v>Y</v>
      </c>
      <c r="H3705" t="str">
        <f>"DA"</f>
        <v>DA</v>
      </c>
      <c r="I3705">
        <v>0</v>
      </c>
      <c r="J3705">
        <v>0</v>
      </c>
      <c r="K3705" t="str">
        <f t="shared" si="924"/>
        <v>Y</v>
      </c>
      <c r="L3705">
        <v>0</v>
      </c>
      <c r="M3705" t="str">
        <f t="shared" si="933"/>
        <v>NIS</v>
      </c>
      <c r="O3705">
        <v>4</v>
      </c>
      <c r="P3705" t="str">
        <f t="shared" si="937"/>
        <v>Active</v>
      </c>
      <c r="Q3705" t="str">
        <f>"Installation at Customer Site (Days)"</f>
        <v>Installation at Customer Site (Days)</v>
      </c>
      <c r="S3705" t="str">
        <f>"Installation at Customer Site (Days)"</f>
        <v>Installation at Customer Site (Days)</v>
      </c>
      <c r="T3705">
        <v>0</v>
      </c>
      <c r="U3705">
        <v>864</v>
      </c>
      <c r="V3705">
        <v>898.56</v>
      </c>
      <c r="W3705" t="str">
        <f t="shared" si="934"/>
        <v>rob</v>
      </c>
    </row>
    <row r="3706" spans="1:23">
      <c r="A3706" t="str">
        <f t="shared" si="938"/>
        <v>OCIM-UPGR-ACL</v>
      </c>
      <c r="B3706" t="str">
        <f>"50-0096-0000"</f>
        <v>50-0096-0000</v>
      </c>
      <c r="C3706" t="str">
        <f>"Training at Customer Site (Days)"</f>
        <v>Training at Customer Site (Days)</v>
      </c>
      <c r="D3706">
        <v>1</v>
      </c>
      <c r="E3706" t="str">
        <f t="shared" si="939"/>
        <v>Upgrade of ACL CIM to latest OpenCIM Version</v>
      </c>
      <c r="F3706">
        <v>541</v>
      </c>
      <c r="G3706" t="str">
        <f t="shared" si="923"/>
        <v>Y</v>
      </c>
      <c r="H3706" t="str">
        <f>"DA"</f>
        <v>DA</v>
      </c>
      <c r="I3706">
        <v>0</v>
      </c>
      <c r="J3706">
        <v>0</v>
      </c>
      <c r="K3706" t="str">
        <f t="shared" si="924"/>
        <v>Y</v>
      </c>
      <c r="L3706">
        <v>0</v>
      </c>
      <c r="M3706" t="str">
        <f t="shared" si="933"/>
        <v>NIS</v>
      </c>
      <c r="O3706">
        <v>5</v>
      </c>
      <c r="P3706" t="str">
        <f t="shared" si="937"/>
        <v>Active</v>
      </c>
      <c r="Q3706" t="str">
        <f>"Training at Customer Site (Days)"</f>
        <v>Training at Customer Site (Days)</v>
      </c>
      <c r="S3706" t="str">
        <f>"Training at Customer Site (Days)"</f>
        <v>Training at Customer Site (Days)</v>
      </c>
      <c r="T3706">
        <v>0</v>
      </c>
      <c r="U3706">
        <v>864</v>
      </c>
      <c r="V3706">
        <v>898.56</v>
      </c>
      <c r="W3706" t="str">
        <f t="shared" si="934"/>
        <v>rob</v>
      </c>
    </row>
    <row r="3707" spans="1:23">
      <c r="A3707" t="str">
        <f t="shared" si="938"/>
        <v>OCIM-UPGR-ACL</v>
      </c>
      <c r="B3707" t="str">
        <f>"50-0079-0000"</f>
        <v>50-0079-0000</v>
      </c>
      <c r="C3707" t="str">
        <f>"Flight Ticket"</f>
        <v>Flight Ticket</v>
      </c>
      <c r="D3707">
        <v>1</v>
      </c>
      <c r="E3707" t="str">
        <f t="shared" si="939"/>
        <v>Upgrade of ACL CIM to latest OpenCIM Version</v>
      </c>
      <c r="F3707">
        <v>541</v>
      </c>
      <c r="G3707" t="str">
        <f t="shared" si="923"/>
        <v>Y</v>
      </c>
      <c r="H3707" t="str">
        <f t="shared" ref="H3707:H3738" si="940">"EA"</f>
        <v>EA</v>
      </c>
      <c r="I3707">
        <v>0</v>
      </c>
      <c r="J3707">
        <v>0</v>
      </c>
      <c r="K3707" t="str">
        <f t="shared" si="924"/>
        <v>Y</v>
      </c>
      <c r="L3707">
        <v>0</v>
      </c>
      <c r="M3707" t="str">
        <f t="shared" si="933"/>
        <v>NIS</v>
      </c>
      <c r="O3707">
        <v>6</v>
      </c>
      <c r="P3707" t="str">
        <f t="shared" si="937"/>
        <v>Active</v>
      </c>
      <c r="Q3707" t="str">
        <f>"Travel expenses"</f>
        <v>Travel expenses</v>
      </c>
      <c r="S3707" t="str">
        <f>"Flight Ticket"</f>
        <v>Flight Ticket</v>
      </c>
      <c r="T3707">
        <v>0</v>
      </c>
      <c r="U3707" s="44">
        <v>2000</v>
      </c>
      <c r="V3707" s="44">
        <v>2000</v>
      </c>
      <c r="W3707" t="str">
        <f t="shared" si="934"/>
        <v>rob</v>
      </c>
    </row>
    <row r="3708" spans="1:23">
      <c r="A3708" t="str">
        <f>"OFMS-OFFLINE 1st"</f>
        <v>OFMS-OFFLINE 1st</v>
      </c>
      <c r="B3708" t="str">
        <f>"63-9072-0000"</f>
        <v>63-9072-0000</v>
      </c>
      <c r="C3708" t="str">
        <f>"OpenCIM/FMS Software"</f>
        <v>OpenCIM/FMS Software</v>
      </c>
      <c r="D3708">
        <v>1</v>
      </c>
      <c r="E3708" t="str">
        <f>"OpenFMS Offline Software - 1st License"</f>
        <v>OpenFMS Offline Software - 1st License</v>
      </c>
      <c r="F3708">
        <v>540</v>
      </c>
      <c r="G3708" t="str">
        <f t="shared" si="923"/>
        <v>Y</v>
      </c>
      <c r="H3708" t="str">
        <f t="shared" si="940"/>
        <v>EA</v>
      </c>
      <c r="I3708">
        <v>0</v>
      </c>
      <c r="J3708">
        <v>0</v>
      </c>
      <c r="K3708" t="str">
        <f t="shared" si="924"/>
        <v>Y</v>
      </c>
      <c r="L3708">
        <v>0</v>
      </c>
      <c r="M3708" t="str">
        <f t="shared" si="933"/>
        <v>NIS</v>
      </c>
      <c r="O3708">
        <v>1</v>
      </c>
      <c r="P3708" t="str">
        <f t="shared" si="937"/>
        <v>Active</v>
      </c>
      <c r="Q3708" t="str">
        <f>"OpenCIM/FMS Software Package"</f>
        <v>OpenCIM/FMS Software Package</v>
      </c>
      <c r="S3708" t="str">
        <f>"OpenCIM/FMS Software Package"</f>
        <v>OpenCIM/FMS Software Package</v>
      </c>
      <c r="T3708">
        <v>0</v>
      </c>
      <c r="U3708">
        <v>35.44</v>
      </c>
      <c r="V3708">
        <v>33.99</v>
      </c>
      <c r="W3708" t="str">
        <f t="shared" si="934"/>
        <v>rob</v>
      </c>
    </row>
    <row r="3709" spans="1:23">
      <c r="A3709" t="str">
        <f>"OFMS-OFFLINE 1st"</f>
        <v>OFMS-OFFLINE 1st</v>
      </c>
      <c r="B3709" t="str">
        <f>"63-7000-1300"</f>
        <v>63-7000-1300</v>
      </c>
      <c r="C3709" t="str">
        <f>"License Key For OpenCIM OffLine"</f>
        <v>License Key For OpenCIM OffLine</v>
      </c>
      <c r="D3709">
        <v>1</v>
      </c>
      <c r="E3709" t="str">
        <f>"OpenFMS Offline Software - 1st License"</f>
        <v>OpenFMS Offline Software - 1st License</v>
      </c>
      <c r="F3709">
        <v>540</v>
      </c>
      <c r="G3709" t="str">
        <f t="shared" si="923"/>
        <v>Y</v>
      </c>
      <c r="H3709" t="str">
        <f t="shared" si="940"/>
        <v>EA</v>
      </c>
      <c r="I3709">
        <v>0</v>
      </c>
      <c r="J3709">
        <v>0</v>
      </c>
      <c r="K3709" t="str">
        <f t="shared" si="924"/>
        <v>Y</v>
      </c>
      <c r="L3709">
        <v>0</v>
      </c>
      <c r="M3709" t="str">
        <f t="shared" si="933"/>
        <v>NIS</v>
      </c>
      <c r="O3709">
        <v>2</v>
      </c>
      <c r="P3709" t="str">
        <f t="shared" si="937"/>
        <v>Active</v>
      </c>
      <c r="Q3709" t="str">
        <f>"License Key For OpenCIM Offline Software"</f>
        <v>License Key For OpenCIM Offline Software</v>
      </c>
      <c r="S3709" t="str">
        <f>"License Key For OpenCIM Offline Software"</f>
        <v>License Key For OpenCIM Offline Software</v>
      </c>
      <c r="T3709">
        <v>0</v>
      </c>
      <c r="U3709">
        <v>1.2</v>
      </c>
      <c r="V3709">
        <v>1.33</v>
      </c>
      <c r="W3709" t="str">
        <f t="shared" si="934"/>
        <v>rob</v>
      </c>
    </row>
    <row r="3710" spans="1:23">
      <c r="A3710" t="str">
        <f>"OFMS-ONLINE"</f>
        <v>OFMS-ONLINE</v>
      </c>
      <c r="B3710" t="str">
        <f>"63-9072-0000"</f>
        <v>63-9072-0000</v>
      </c>
      <c r="C3710" t="str">
        <f>"OpenCIM/FMS Software"</f>
        <v>OpenCIM/FMS Software</v>
      </c>
      <c r="D3710">
        <v>1</v>
      </c>
      <c r="E3710" t="str">
        <f>"OpenFMS Online Software"</f>
        <v>OpenFMS Online Software</v>
      </c>
      <c r="F3710">
        <v>540</v>
      </c>
      <c r="G3710" t="str">
        <f t="shared" si="923"/>
        <v>Y</v>
      </c>
      <c r="H3710" t="str">
        <f t="shared" si="940"/>
        <v>EA</v>
      </c>
      <c r="I3710">
        <v>0</v>
      </c>
      <c r="J3710">
        <v>0</v>
      </c>
      <c r="K3710" t="str">
        <f t="shared" si="924"/>
        <v>Y</v>
      </c>
      <c r="L3710">
        <v>0</v>
      </c>
      <c r="M3710" t="str">
        <f t="shared" si="933"/>
        <v>NIS</v>
      </c>
      <c r="O3710">
        <v>1</v>
      </c>
      <c r="P3710" t="str">
        <f t="shared" si="937"/>
        <v>Active</v>
      </c>
      <c r="Q3710" t="str">
        <f>"OpenCIM/FMS Software Package"</f>
        <v>OpenCIM/FMS Software Package</v>
      </c>
      <c r="S3710" t="str">
        <f>"OpenCIM/FMS Software Package"</f>
        <v>OpenCIM/FMS Software Package</v>
      </c>
      <c r="T3710">
        <v>0</v>
      </c>
      <c r="U3710">
        <v>35.44</v>
      </c>
      <c r="V3710">
        <v>33.99</v>
      </c>
      <c r="W3710" t="str">
        <f t="shared" si="934"/>
        <v>rob</v>
      </c>
    </row>
    <row r="3711" spans="1:23">
      <c r="A3711" t="str">
        <f>"OFMS-ONLINE"</f>
        <v>OFMS-ONLINE</v>
      </c>
      <c r="B3711" t="str">
        <f>"63-7000-1400"</f>
        <v>63-7000-1400</v>
      </c>
      <c r="C3711" t="str">
        <f>"License Key For OpenFMS Software"</f>
        <v>License Key For OpenFMS Software</v>
      </c>
      <c r="D3711">
        <v>1</v>
      </c>
      <c r="E3711" t="str">
        <f>"OpenFMS Online Software"</f>
        <v>OpenFMS Online Software</v>
      </c>
      <c r="F3711">
        <v>540</v>
      </c>
      <c r="G3711" t="str">
        <f t="shared" si="923"/>
        <v>Y</v>
      </c>
      <c r="H3711" t="str">
        <f t="shared" si="940"/>
        <v>EA</v>
      </c>
      <c r="I3711">
        <v>0</v>
      </c>
      <c r="J3711">
        <v>0</v>
      </c>
      <c r="K3711" t="str">
        <f t="shared" si="924"/>
        <v>Y</v>
      </c>
      <c r="L3711">
        <v>0</v>
      </c>
      <c r="M3711" t="str">
        <f t="shared" si="933"/>
        <v>NIS</v>
      </c>
      <c r="O3711">
        <v>2</v>
      </c>
      <c r="P3711" t="str">
        <f t="shared" si="937"/>
        <v>Active</v>
      </c>
      <c r="Q3711" t="str">
        <f>"License Key For OpenFMS Software"</f>
        <v>License Key For OpenFMS Software</v>
      </c>
      <c r="R3711" t="str">
        <f>"1"</f>
        <v>1</v>
      </c>
      <c r="S3711" t="str">
        <f>"License Key For OpenFMS Software"</f>
        <v>License Key For OpenFMS Software</v>
      </c>
      <c r="T3711">
        <v>0</v>
      </c>
      <c r="U3711">
        <v>1.2</v>
      </c>
      <c r="V3711">
        <v>1.33</v>
      </c>
      <c r="W3711" t="str">
        <f t="shared" si="934"/>
        <v>rob</v>
      </c>
    </row>
    <row r="3712" spans="1:23">
      <c r="A3712" t="str">
        <f>"PDT-WKSP-WEEK1"</f>
        <v>PDT-WKSP-WEEK1</v>
      </c>
      <c r="B3712" t="str">
        <f>"50-0001-0LMS"</f>
        <v>50-0001-0LMS</v>
      </c>
      <c r="C3712" t="str">
        <f>"LM7 from a Teacher’s Perspective, Week 1"</f>
        <v>LM7 from a Teacher’s Perspective, Week 1</v>
      </c>
      <c r="D3712">
        <v>1</v>
      </c>
      <c r="E3712" t="str">
        <f>"WEEK 1 Summer Workshop Training; LMS/Product/Advanced Prod"</f>
        <v>WEEK 1 Summer Workshop Training; LMS/Product/Advanced Prod</v>
      </c>
      <c r="F3712">
        <v>0</v>
      </c>
      <c r="G3712" t="str">
        <f t="shared" si="923"/>
        <v>Y</v>
      </c>
      <c r="H3712" t="str">
        <f t="shared" si="940"/>
        <v>EA</v>
      </c>
      <c r="I3712">
        <v>0</v>
      </c>
      <c r="J3712">
        <v>0</v>
      </c>
      <c r="K3712" t="str">
        <f t="shared" si="924"/>
        <v>Y</v>
      </c>
      <c r="L3712">
        <v>0</v>
      </c>
      <c r="M3712" t="str">
        <f t="shared" si="933"/>
        <v>NIS</v>
      </c>
      <c r="O3712">
        <v>1</v>
      </c>
      <c r="P3712" t="str">
        <f t="shared" si="937"/>
        <v>Active</v>
      </c>
      <c r="Q3712" t="str">
        <f>"LM7 from a Teacher’s Perspective, Week 1"</f>
        <v>LM7 from a Teacher’s Perspective, Week 1</v>
      </c>
      <c r="S3712" t="str">
        <f>"LM7 from a Teacher’s Perspective, Week 1"</f>
        <v>LM7 from a Teacher’s Perspective, Week 1</v>
      </c>
      <c r="T3712">
        <v>39.380000000000003</v>
      </c>
      <c r="U3712">
        <v>37.869999999999997</v>
      </c>
      <c r="V3712">
        <v>0</v>
      </c>
      <c r="W3712" t="str">
        <f t="shared" ref="W3712:W3723" si="941">"zintel"</f>
        <v>zintel</v>
      </c>
    </row>
    <row r="3713" spans="1:23">
      <c r="A3713" t="str">
        <f>"PDT-WKSP-WEEK1"</f>
        <v>PDT-WKSP-WEEK1</v>
      </c>
      <c r="B3713" t="str">
        <f>"50-0001-0CNC"</f>
        <v>50-0001-0CNC</v>
      </c>
      <c r="C3713" t="str">
        <f>"CNC Beginner Workshop"</f>
        <v>CNC Beginner Workshop</v>
      </c>
      <c r="D3713">
        <v>1</v>
      </c>
      <c r="E3713" t="str">
        <f>"WEEK 1 Summer Workshop Training; LMS/Product/Advanced Prod"</f>
        <v>WEEK 1 Summer Workshop Training; LMS/Product/Advanced Prod</v>
      </c>
      <c r="F3713">
        <v>0</v>
      </c>
      <c r="G3713" t="str">
        <f t="shared" si="923"/>
        <v>Y</v>
      </c>
      <c r="H3713" t="str">
        <f t="shared" si="940"/>
        <v>EA</v>
      </c>
      <c r="I3713">
        <v>0</v>
      </c>
      <c r="J3713">
        <v>0</v>
      </c>
      <c r="K3713" t="str">
        <f t="shared" si="924"/>
        <v>Y</v>
      </c>
      <c r="L3713">
        <v>0</v>
      </c>
      <c r="M3713" t="str">
        <f t="shared" si="933"/>
        <v>NIS</v>
      </c>
      <c r="O3713">
        <v>2</v>
      </c>
      <c r="P3713" t="str">
        <f t="shared" si="937"/>
        <v>Active</v>
      </c>
      <c r="Q3713" t="str">
        <f>"CNC Beginner Workshop"</f>
        <v>CNC Beginner Workshop</v>
      </c>
      <c r="S3713" t="str">
        <f>"CNC Beginner Workshop"</f>
        <v>CNC Beginner Workshop</v>
      </c>
      <c r="T3713">
        <v>210.97</v>
      </c>
      <c r="U3713">
        <v>202.86</v>
      </c>
      <c r="V3713">
        <v>0</v>
      </c>
      <c r="W3713" t="str">
        <f t="shared" si="941"/>
        <v>zintel</v>
      </c>
    </row>
    <row r="3714" spans="1:23">
      <c r="A3714" t="str">
        <f>"PDT-WKSP-WEEK1"</f>
        <v>PDT-WKSP-WEEK1</v>
      </c>
      <c r="B3714" t="str">
        <f>"50-0002-0CNC"</f>
        <v>50-0002-0CNC</v>
      </c>
      <c r="C3714" t="str">
        <f>"CNC Advanced Workshop"</f>
        <v>CNC Advanced Workshop</v>
      </c>
      <c r="D3714">
        <v>1</v>
      </c>
      <c r="E3714" t="str">
        <f>"WEEK 1 Summer Workshop Training; LMS/Product/Advanced Prod"</f>
        <v>WEEK 1 Summer Workshop Training; LMS/Product/Advanced Prod</v>
      </c>
      <c r="F3714">
        <v>0</v>
      </c>
      <c r="G3714" t="str">
        <f t="shared" ref="G3714:G3777" si="942">"Y"</f>
        <v>Y</v>
      </c>
      <c r="H3714" t="str">
        <f t="shared" si="940"/>
        <v>EA</v>
      </c>
      <c r="I3714">
        <v>0</v>
      </c>
      <c r="J3714">
        <v>0</v>
      </c>
      <c r="K3714" t="str">
        <f t="shared" ref="K3714:K3777" si="943">"Y"</f>
        <v>Y</v>
      </c>
      <c r="L3714">
        <v>0</v>
      </c>
      <c r="M3714" t="str">
        <f t="shared" si="933"/>
        <v>NIS</v>
      </c>
      <c r="O3714">
        <v>3</v>
      </c>
      <c r="P3714" t="str">
        <f t="shared" si="937"/>
        <v>Active</v>
      </c>
      <c r="Q3714" t="str">
        <f>"CNC Advanced Workshop"</f>
        <v>CNC Advanced Workshop</v>
      </c>
      <c r="S3714" t="str">
        <f>"CNC Advanced Workshop"</f>
        <v>CNC Advanced Workshop</v>
      </c>
      <c r="T3714">
        <v>126.58</v>
      </c>
      <c r="U3714">
        <v>121.71</v>
      </c>
      <c r="V3714">
        <v>0</v>
      </c>
      <c r="W3714" t="str">
        <f t="shared" si="941"/>
        <v>zintel</v>
      </c>
    </row>
    <row r="3715" spans="1:23">
      <c r="A3715" t="str">
        <f>"PDT-WKSP-WEEK2"</f>
        <v>PDT-WKSP-WEEK2</v>
      </c>
      <c r="B3715" t="str">
        <f>"50-0001-0LMS"</f>
        <v>50-0001-0LMS</v>
      </c>
      <c r="C3715" t="str">
        <f>"LM7 from a Teacher’s Perspective, Week 1"</f>
        <v>LM7 from a Teacher’s Perspective, Week 1</v>
      </c>
      <c r="D3715">
        <v>1</v>
      </c>
      <c r="E3715" t="str">
        <f>"WEEK 2 Summer Workshop Training; LMS/Product/Prof Dev"</f>
        <v>WEEK 2 Summer Workshop Training; LMS/Product/Prof Dev</v>
      </c>
      <c r="F3715">
        <v>0</v>
      </c>
      <c r="G3715" t="str">
        <f t="shared" si="942"/>
        <v>Y</v>
      </c>
      <c r="H3715" t="str">
        <f t="shared" si="940"/>
        <v>EA</v>
      </c>
      <c r="I3715">
        <v>0</v>
      </c>
      <c r="J3715">
        <v>0</v>
      </c>
      <c r="K3715" t="str">
        <f t="shared" si="943"/>
        <v>Y</v>
      </c>
      <c r="L3715">
        <v>0</v>
      </c>
      <c r="M3715" t="str">
        <f t="shared" si="933"/>
        <v>NIS</v>
      </c>
      <c r="O3715">
        <v>1</v>
      </c>
      <c r="P3715" t="str">
        <f t="shared" si="937"/>
        <v>Active</v>
      </c>
      <c r="Q3715" t="str">
        <f>"LM7 from a Teacher’s Perspective, Week 1"</f>
        <v>LM7 from a Teacher’s Perspective, Week 1</v>
      </c>
      <c r="S3715" t="str">
        <f>"LM7 from a Teacher’s Perspective, Week 1"</f>
        <v>LM7 from a Teacher’s Perspective, Week 1</v>
      </c>
      <c r="T3715">
        <v>39.380000000000003</v>
      </c>
      <c r="U3715">
        <v>37.869999999999997</v>
      </c>
      <c r="V3715">
        <v>0</v>
      </c>
      <c r="W3715" t="str">
        <f t="shared" si="941"/>
        <v>zintel</v>
      </c>
    </row>
    <row r="3716" spans="1:23">
      <c r="A3716" t="str">
        <f>"PDT-WKSP-WEEK2"</f>
        <v>PDT-WKSP-WEEK2</v>
      </c>
      <c r="B3716" t="str">
        <f>"50-0001-0JME"</f>
        <v>50-0001-0JME</v>
      </c>
      <c r="C3716" t="str">
        <f>"Job Master Electric Product Training"</f>
        <v>Job Master Electric Product Training</v>
      </c>
      <c r="D3716">
        <v>1</v>
      </c>
      <c r="E3716" t="str">
        <f>"WEEK 2 Summer Workshop Training; LMS/Product/Prof Dev"</f>
        <v>WEEK 2 Summer Workshop Training; LMS/Product/Prof Dev</v>
      </c>
      <c r="F3716">
        <v>0</v>
      </c>
      <c r="G3716" t="str">
        <f t="shared" si="942"/>
        <v>Y</v>
      </c>
      <c r="H3716" t="str">
        <f t="shared" si="940"/>
        <v>EA</v>
      </c>
      <c r="I3716">
        <v>0</v>
      </c>
      <c r="J3716">
        <v>0</v>
      </c>
      <c r="K3716" t="str">
        <f t="shared" si="943"/>
        <v>Y</v>
      </c>
      <c r="L3716">
        <v>0</v>
      </c>
      <c r="M3716" t="str">
        <f t="shared" si="933"/>
        <v>NIS</v>
      </c>
      <c r="O3716">
        <v>2</v>
      </c>
      <c r="P3716" t="str">
        <f t="shared" si="937"/>
        <v>Active</v>
      </c>
      <c r="Q3716" t="str">
        <f>"Job Master Electric Product Training"</f>
        <v>Job Master Electric Product Training</v>
      </c>
      <c r="S3716" t="str">
        <f>"Job Master Electric Product Training"</f>
        <v>Job Master Electric Product Training</v>
      </c>
      <c r="T3716">
        <v>210.97</v>
      </c>
      <c r="U3716">
        <v>202.86</v>
      </c>
      <c r="V3716">
        <v>0</v>
      </c>
      <c r="W3716" t="str">
        <f t="shared" si="941"/>
        <v>zintel</v>
      </c>
    </row>
    <row r="3717" spans="1:23">
      <c r="A3717" t="str">
        <f>"PDT-WKSP-WEEK2"</f>
        <v>PDT-WKSP-WEEK2</v>
      </c>
      <c r="B3717" t="str">
        <f>"50-0002-0PDW"</f>
        <v>50-0002-0PDW</v>
      </c>
      <c r="C3717" t="str">
        <f>"Connecting PBL and STEAM, Week 2"</f>
        <v>Connecting PBL and STEAM, Week 2</v>
      </c>
      <c r="D3717">
        <v>1</v>
      </c>
      <c r="E3717" t="str">
        <f>"WEEK 2 Summer Workshop Training; LMS/Product/Prof Dev"</f>
        <v>WEEK 2 Summer Workshop Training; LMS/Product/Prof Dev</v>
      </c>
      <c r="F3717">
        <v>0</v>
      </c>
      <c r="G3717" t="str">
        <f t="shared" si="942"/>
        <v>Y</v>
      </c>
      <c r="H3717" t="str">
        <f t="shared" si="940"/>
        <v>EA</v>
      </c>
      <c r="I3717">
        <v>0</v>
      </c>
      <c r="J3717">
        <v>0</v>
      </c>
      <c r="K3717" t="str">
        <f t="shared" si="943"/>
        <v>Y</v>
      </c>
      <c r="L3717">
        <v>0</v>
      </c>
      <c r="M3717" t="str">
        <f t="shared" si="933"/>
        <v>NIS</v>
      </c>
      <c r="O3717">
        <v>3</v>
      </c>
      <c r="P3717" t="str">
        <f t="shared" si="937"/>
        <v>Active</v>
      </c>
      <c r="Q3717" t="str">
        <f>"Connecting PBL and STEAM, Week 2"</f>
        <v>Connecting PBL and STEAM, Week 2</v>
      </c>
      <c r="S3717" t="str">
        <f>"Connecting PBL and STEAM, Week 2"</f>
        <v>Connecting PBL and STEAM, Week 2</v>
      </c>
      <c r="T3717">
        <v>0</v>
      </c>
      <c r="U3717">
        <v>56.8</v>
      </c>
      <c r="V3717">
        <v>0</v>
      </c>
      <c r="W3717" t="str">
        <f t="shared" si="941"/>
        <v>zintel</v>
      </c>
    </row>
    <row r="3718" spans="1:23">
      <c r="A3718" t="str">
        <f>"PDT-WKSP-WEEK3"</f>
        <v>PDT-WKSP-WEEK3</v>
      </c>
      <c r="B3718" t="str">
        <f>"50-0001-0LMS"</f>
        <v>50-0001-0LMS</v>
      </c>
      <c r="C3718" t="str">
        <f>"LM7 from a Teacher’s Perspective, Week 1"</f>
        <v>LM7 from a Teacher’s Perspective, Week 1</v>
      </c>
      <c r="D3718">
        <v>1</v>
      </c>
      <c r="E3718" t="str">
        <f>"WEEK 3 Summer Workshop Training LMS/Product/Prof Dev"</f>
        <v>WEEK 3 Summer Workshop Training LMS/Product/Prof Dev</v>
      </c>
      <c r="F3718">
        <v>0</v>
      </c>
      <c r="G3718" t="str">
        <f t="shared" si="942"/>
        <v>Y</v>
      </c>
      <c r="H3718" t="str">
        <f t="shared" si="940"/>
        <v>EA</v>
      </c>
      <c r="I3718">
        <v>0</v>
      </c>
      <c r="J3718">
        <v>0</v>
      </c>
      <c r="K3718" t="str">
        <f t="shared" si="943"/>
        <v>Y</v>
      </c>
      <c r="L3718">
        <v>0</v>
      </c>
      <c r="M3718" t="str">
        <f t="shared" si="933"/>
        <v>NIS</v>
      </c>
      <c r="O3718">
        <v>1</v>
      </c>
      <c r="P3718" t="str">
        <f t="shared" si="937"/>
        <v>Active</v>
      </c>
      <c r="Q3718" t="str">
        <f>"LM7 from a Teacher’s Perspective, Week 1"</f>
        <v>LM7 from a Teacher’s Perspective, Week 1</v>
      </c>
      <c r="S3718" t="str">
        <f>"LM7 from a Teacher’s Perspective, Week 1"</f>
        <v>LM7 from a Teacher’s Perspective, Week 1</v>
      </c>
      <c r="T3718">
        <v>39.380000000000003</v>
      </c>
      <c r="U3718">
        <v>37.869999999999997</v>
      </c>
      <c r="V3718">
        <v>0</v>
      </c>
      <c r="W3718" t="str">
        <f t="shared" si="941"/>
        <v>zintel</v>
      </c>
    </row>
    <row r="3719" spans="1:23">
      <c r="A3719" t="str">
        <f>"PDT-WKSP-WEEK3"</f>
        <v>PDT-WKSP-WEEK3</v>
      </c>
      <c r="B3719" t="str">
        <f>"50-0001-0JMM"</f>
        <v>50-0001-0JMM</v>
      </c>
      <c r="C3719" t="str">
        <f>"Job Master Mechanical Product Training"</f>
        <v>Job Master Mechanical Product Training</v>
      </c>
      <c r="D3719">
        <v>1</v>
      </c>
      <c r="E3719" t="str">
        <f>"WEEK 3 Summer Workshop Training LMS/Product/Prof Dev"</f>
        <v>WEEK 3 Summer Workshop Training LMS/Product/Prof Dev</v>
      </c>
      <c r="F3719">
        <v>0</v>
      </c>
      <c r="G3719" t="str">
        <f t="shared" si="942"/>
        <v>Y</v>
      </c>
      <c r="H3719" t="str">
        <f t="shared" si="940"/>
        <v>EA</v>
      </c>
      <c r="I3719">
        <v>0</v>
      </c>
      <c r="J3719">
        <v>0</v>
      </c>
      <c r="K3719" t="str">
        <f t="shared" si="943"/>
        <v>Y</v>
      </c>
      <c r="L3719">
        <v>0</v>
      </c>
      <c r="M3719" t="str">
        <f t="shared" si="933"/>
        <v>NIS</v>
      </c>
      <c r="O3719">
        <v>2</v>
      </c>
      <c r="P3719" t="str">
        <f t="shared" si="937"/>
        <v>Active</v>
      </c>
      <c r="Q3719" t="str">
        <f>"Job Master Mechanical Product Training"</f>
        <v>Job Master Mechanical Product Training</v>
      </c>
      <c r="S3719" t="str">
        <f>"Job Master Mechanical Product Training"</f>
        <v>Job Master Mechanical Product Training</v>
      </c>
      <c r="T3719">
        <v>0</v>
      </c>
      <c r="U3719">
        <v>202.86</v>
      </c>
      <c r="V3719">
        <v>0</v>
      </c>
      <c r="W3719" t="str">
        <f t="shared" si="941"/>
        <v>zintel</v>
      </c>
    </row>
    <row r="3720" spans="1:23">
      <c r="A3720" t="str">
        <f>"PDT-WKSP-WEEK3"</f>
        <v>PDT-WKSP-WEEK3</v>
      </c>
      <c r="B3720" t="str">
        <f>"50-0003-0PDW"</f>
        <v>50-0003-0PDW</v>
      </c>
      <c r="C3720" t="str">
        <f>"Engaging Girls in STEAM Education"</f>
        <v>Engaging Girls in STEAM Education</v>
      </c>
      <c r="D3720">
        <v>1</v>
      </c>
      <c r="E3720" t="str">
        <f>"WEEK 3 Summer Workshop Training LMS/Product/Prof Dev"</f>
        <v>WEEK 3 Summer Workshop Training LMS/Product/Prof Dev</v>
      </c>
      <c r="F3720">
        <v>0</v>
      </c>
      <c r="G3720" t="str">
        <f t="shared" si="942"/>
        <v>Y</v>
      </c>
      <c r="H3720" t="str">
        <f t="shared" si="940"/>
        <v>EA</v>
      </c>
      <c r="I3720">
        <v>0</v>
      </c>
      <c r="J3720">
        <v>0</v>
      </c>
      <c r="K3720" t="str">
        <f t="shared" si="943"/>
        <v>Y</v>
      </c>
      <c r="L3720">
        <v>0</v>
      </c>
      <c r="M3720" t="str">
        <f t="shared" si="933"/>
        <v>NIS</v>
      </c>
      <c r="O3720">
        <v>3</v>
      </c>
      <c r="P3720" t="str">
        <f t="shared" si="937"/>
        <v>Active</v>
      </c>
      <c r="Q3720" t="str">
        <f>"Engaging Girls in STEAM Education"</f>
        <v>Engaging Girls in STEAM Education</v>
      </c>
      <c r="S3720" t="str">
        <f>"Engaging Girls in STEAM Education"</f>
        <v>Engaging Girls in STEAM Education</v>
      </c>
      <c r="T3720">
        <v>0</v>
      </c>
      <c r="U3720">
        <v>56.8</v>
      </c>
      <c r="V3720">
        <v>0</v>
      </c>
      <c r="W3720" t="str">
        <f t="shared" si="941"/>
        <v>zintel</v>
      </c>
    </row>
    <row r="3721" spans="1:23">
      <c r="A3721" t="str">
        <f>"PDT-WKSP-WEEK4"</f>
        <v>PDT-WKSP-WEEK4</v>
      </c>
      <c r="B3721" t="str">
        <f>"50-0004-0LMS"</f>
        <v>50-0004-0LMS</v>
      </c>
      <c r="C3721" t="str">
        <f>"LM7 from an Administrative Perspective, Week 4"</f>
        <v>LM7 from an Administrative Perspective, Week 4</v>
      </c>
      <c r="D3721">
        <v>1</v>
      </c>
      <c r="E3721" t="str">
        <f>"WEEK 4 Summer Workshop Training LMS Admin/Product/Prof Dev"</f>
        <v>WEEK 4 Summer Workshop Training LMS Admin/Product/Prof Dev</v>
      </c>
      <c r="F3721">
        <v>0</v>
      </c>
      <c r="G3721" t="str">
        <f t="shared" si="942"/>
        <v>Y</v>
      </c>
      <c r="H3721" t="str">
        <f t="shared" si="940"/>
        <v>EA</v>
      </c>
      <c r="I3721">
        <v>0</v>
      </c>
      <c r="J3721">
        <v>0</v>
      </c>
      <c r="K3721" t="str">
        <f t="shared" si="943"/>
        <v>Y</v>
      </c>
      <c r="L3721">
        <v>0</v>
      </c>
      <c r="M3721" t="str">
        <f t="shared" si="933"/>
        <v>NIS</v>
      </c>
      <c r="O3721">
        <v>1</v>
      </c>
      <c r="P3721" t="str">
        <f t="shared" si="937"/>
        <v>Active</v>
      </c>
      <c r="Q3721" t="str">
        <f>"LM7 from an Administrative Perspective, Week 4"</f>
        <v>LM7 from an Administrative Perspective, Week 4</v>
      </c>
      <c r="S3721" t="str">
        <f>"LM7 from an Administrative Perspective, Week 4"</f>
        <v>LM7 from an Administrative Perspective, Week 4</v>
      </c>
      <c r="T3721">
        <v>0</v>
      </c>
      <c r="U3721">
        <v>37.869999999999997</v>
      </c>
      <c r="V3721">
        <v>0</v>
      </c>
      <c r="W3721" t="str">
        <f t="shared" si="941"/>
        <v>zintel</v>
      </c>
    </row>
    <row r="3722" spans="1:23">
      <c r="A3722" t="str">
        <f>"PDT-WKSP-WEEK4"</f>
        <v>PDT-WKSP-WEEK4</v>
      </c>
      <c r="B3722" t="str">
        <f>"50-0001-0REC"</f>
        <v>50-0001-0REC</v>
      </c>
      <c r="C3722" t="str">
        <f>"REC Beginner Workshop, Week 1"</f>
        <v>REC Beginner Workshop, Week 1</v>
      </c>
      <c r="D3722">
        <v>1</v>
      </c>
      <c r="E3722" t="str">
        <f>"WEEK 4 Summer Workshop Training LMS Admin/Product/Prof Dev"</f>
        <v>WEEK 4 Summer Workshop Training LMS Admin/Product/Prof Dev</v>
      </c>
      <c r="F3722">
        <v>0</v>
      </c>
      <c r="G3722" t="str">
        <f t="shared" si="942"/>
        <v>Y</v>
      </c>
      <c r="H3722" t="str">
        <f t="shared" si="940"/>
        <v>EA</v>
      </c>
      <c r="I3722">
        <v>0</v>
      </c>
      <c r="J3722">
        <v>0</v>
      </c>
      <c r="K3722" t="str">
        <f t="shared" si="943"/>
        <v>Y</v>
      </c>
      <c r="L3722">
        <v>0</v>
      </c>
      <c r="M3722" t="str">
        <f t="shared" si="933"/>
        <v>NIS</v>
      </c>
      <c r="O3722">
        <v>2</v>
      </c>
      <c r="P3722" t="str">
        <f t="shared" si="937"/>
        <v>Active</v>
      </c>
      <c r="Q3722" t="str">
        <f>"REC Beginner Workshop, Week 1"</f>
        <v>REC Beginner Workshop, Week 1</v>
      </c>
      <c r="S3722" t="str">
        <f>"REC Beginner Workshop, Week 1"</f>
        <v>REC Beginner Workshop, Week 1</v>
      </c>
      <c r="T3722">
        <v>210.97</v>
      </c>
      <c r="U3722">
        <v>202.86</v>
      </c>
      <c r="V3722">
        <v>0</v>
      </c>
      <c r="W3722" t="str">
        <f t="shared" si="941"/>
        <v>zintel</v>
      </c>
    </row>
    <row r="3723" spans="1:23">
      <c r="A3723" t="str">
        <f>"PDT-WKSP-WEEK4"</f>
        <v>PDT-WKSP-WEEK4</v>
      </c>
      <c r="B3723" t="str">
        <f>"50-0002-0PDW"</f>
        <v>50-0002-0PDW</v>
      </c>
      <c r="C3723" t="str">
        <f>"Connecting PBL and STEAM, Week 2"</f>
        <v>Connecting PBL and STEAM, Week 2</v>
      </c>
      <c r="D3723">
        <v>1</v>
      </c>
      <c r="E3723" t="str">
        <f>"WEEK 4 Summer Workshop Training LMS Admin/Product/Prof Dev"</f>
        <v>WEEK 4 Summer Workshop Training LMS Admin/Product/Prof Dev</v>
      </c>
      <c r="F3723">
        <v>0</v>
      </c>
      <c r="G3723" t="str">
        <f t="shared" si="942"/>
        <v>Y</v>
      </c>
      <c r="H3723" t="str">
        <f t="shared" si="940"/>
        <v>EA</v>
      </c>
      <c r="I3723">
        <v>0</v>
      </c>
      <c r="J3723">
        <v>0</v>
      </c>
      <c r="K3723" t="str">
        <f t="shared" si="943"/>
        <v>Y</v>
      </c>
      <c r="L3723">
        <v>0</v>
      </c>
      <c r="M3723" t="str">
        <f t="shared" si="933"/>
        <v>NIS</v>
      </c>
      <c r="O3723">
        <v>3</v>
      </c>
      <c r="P3723" t="str">
        <f t="shared" si="937"/>
        <v>Active</v>
      </c>
      <c r="Q3723" t="str">
        <f>"Connecting PBL and STEAM, Week 2"</f>
        <v>Connecting PBL and STEAM, Week 2</v>
      </c>
      <c r="S3723" t="str">
        <f>"Connecting PBL and STEAM, Week 2"</f>
        <v>Connecting PBL and STEAM, Week 2</v>
      </c>
      <c r="T3723">
        <v>0</v>
      </c>
      <c r="U3723">
        <v>56.8</v>
      </c>
      <c r="V3723">
        <v>0</v>
      </c>
      <c r="W3723" t="str">
        <f t="shared" si="941"/>
        <v>zintel</v>
      </c>
    </row>
    <row r="3724" spans="1:23">
      <c r="A3724" t="str">
        <f>"PLC-AB-5ST"</f>
        <v>PLC-AB-5ST</v>
      </c>
      <c r="B3724" t="str">
        <f>"10-2113-3000"</f>
        <v>10-2113-3000</v>
      </c>
      <c r="C3724" t="str">
        <f>"CIM PLC Cabinet (A/B PLC - 5 Stations)"</f>
        <v>CIM PLC Cabinet (A/B PLC - 5 Stations)</v>
      </c>
      <c r="D3724">
        <v>1</v>
      </c>
      <c r="E3724" t="str">
        <f>"Allen Bradley PLC &amp; Cabinet (max. 5 Stations)"</f>
        <v>Allen Bradley PLC &amp; Cabinet (max. 5 Stations)</v>
      </c>
      <c r="F3724">
        <v>530</v>
      </c>
      <c r="G3724" t="str">
        <f t="shared" si="942"/>
        <v>Y</v>
      </c>
      <c r="H3724" t="str">
        <f t="shared" si="940"/>
        <v>EA</v>
      </c>
      <c r="I3724">
        <v>0</v>
      </c>
      <c r="J3724">
        <v>0</v>
      </c>
      <c r="K3724" t="str">
        <f t="shared" si="943"/>
        <v>Y</v>
      </c>
      <c r="L3724">
        <v>0</v>
      </c>
      <c r="M3724" t="str">
        <f t="shared" si="933"/>
        <v>NIS</v>
      </c>
      <c r="O3724">
        <v>1</v>
      </c>
      <c r="P3724" t="str">
        <f t="shared" si="937"/>
        <v>Active</v>
      </c>
      <c r="Q3724" t="str">
        <f>"CIM PLC Cabinet (A/B PLC - 5 Stations)"</f>
        <v>CIM PLC Cabinet (A/B PLC - 5 Stations)</v>
      </c>
      <c r="S3724" t="str">
        <f>"CIM PLC Cabinet (A/B PLC - 5 Stations)"</f>
        <v>CIM PLC Cabinet (A/B PLC - 5 Stations)</v>
      </c>
      <c r="T3724">
        <v>0</v>
      </c>
      <c r="U3724" s="44">
        <v>3598.3</v>
      </c>
      <c r="V3724" s="44">
        <v>4067.51</v>
      </c>
      <c r="W3724" t="str">
        <f t="shared" ref="W3724:W3750" si="944">"rob"</f>
        <v>rob</v>
      </c>
    </row>
    <row r="3725" spans="1:23">
      <c r="A3725" t="str">
        <f>"PLC-AB-5ST"</f>
        <v>PLC-AB-5ST</v>
      </c>
      <c r="B3725" t="str">
        <f>"10-2111-9000"</f>
        <v>10-2111-9000</v>
      </c>
      <c r="C3725" t="str">
        <f>"Cable Duct to Ctrl. Cabinet"</f>
        <v>Cable Duct to Ctrl. Cabinet</v>
      </c>
      <c r="D3725">
        <v>1</v>
      </c>
      <c r="E3725" t="str">
        <f>"Allen Bradley PLC &amp; Cabinet (max. 5 Stations)"</f>
        <v>Allen Bradley PLC &amp; Cabinet (max. 5 Stations)</v>
      </c>
      <c r="F3725">
        <v>530</v>
      </c>
      <c r="G3725" t="str">
        <f t="shared" si="942"/>
        <v>Y</v>
      </c>
      <c r="H3725" t="str">
        <f t="shared" si="940"/>
        <v>EA</v>
      </c>
      <c r="I3725">
        <v>0</v>
      </c>
      <c r="J3725">
        <v>0</v>
      </c>
      <c r="K3725" t="str">
        <f t="shared" si="943"/>
        <v>Y</v>
      </c>
      <c r="L3725">
        <v>0</v>
      </c>
      <c r="M3725" t="str">
        <f t="shared" si="933"/>
        <v>NIS</v>
      </c>
      <c r="O3725">
        <v>2</v>
      </c>
      <c r="P3725" t="str">
        <f t="shared" si="937"/>
        <v>Active</v>
      </c>
      <c r="Q3725" t="str">
        <f>"Cable Duct to Ctrl. Cabinet"</f>
        <v>Cable Duct to Ctrl. Cabinet</v>
      </c>
      <c r="S3725" t="str">
        <f>"Cable Duct to Ctrl. Cabinet"</f>
        <v>Cable Duct to Ctrl. Cabinet</v>
      </c>
      <c r="T3725">
        <v>0</v>
      </c>
      <c r="U3725">
        <v>83</v>
      </c>
      <c r="V3725">
        <v>85.05</v>
      </c>
      <c r="W3725" t="str">
        <f t="shared" si="944"/>
        <v>rob</v>
      </c>
    </row>
    <row r="3726" spans="1:23">
      <c r="A3726" t="str">
        <f>"PLC-AB-5ST"</f>
        <v>PLC-AB-5ST</v>
      </c>
      <c r="B3726" t="str">
        <f>"411803"</f>
        <v>411803</v>
      </c>
      <c r="C3726" t="str">
        <f>"European Power cable 220 V"</f>
        <v>European Power cable 220 V</v>
      </c>
      <c r="D3726">
        <v>1</v>
      </c>
      <c r="E3726" t="str">
        <f>"Allen Bradley PLC &amp; Cabinet (max. 5 Stations)"</f>
        <v>Allen Bradley PLC &amp; Cabinet (max. 5 Stations)</v>
      </c>
      <c r="F3726">
        <v>530</v>
      </c>
      <c r="G3726" t="str">
        <f t="shared" si="942"/>
        <v>Y</v>
      </c>
      <c r="H3726" t="str">
        <f t="shared" si="940"/>
        <v>EA</v>
      </c>
      <c r="I3726">
        <v>0</v>
      </c>
      <c r="J3726">
        <v>0</v>
      </c>
      <c r="K3726" t="str">
        <f t="shared" si="943"/>
        <v>Y</v>
      </c>
      <c r="L3726">
        <v>0</v>
      </c>
      <c r="M3726" t="str">
        <f t="shared" si="933"/>
        <v>NIS</v>
      </c>
      <c r="O3726">
        <v>3</v>
      </c>
      <c r="P3726" t="str">
        <f t="shared" si="937"/>
        <v>Active</v>
      </c>
      <c r="Q3726" t="str">
        <f>"European Power cable 220 V"</f>
        <v>European Power cable 220 V</v>
      </c>
      <c r="R3726" t="str">
        <f>"1"</f>
        <v>1</v>
      </c>
      <c r="S3726" t="str">
        <f>"European Power cable 220 V"</f>
        <v>European Power cable 220 V</v>
      </c>
      <c r="T3726">
        <v>0</v>
      </c>
      <c r="U3726">
        <v>2.2000000000000002</v>
      </c>
      <c r="V3726">
        <v>1.67</v>
      </c>
      <c r="W3726" t="str">
        <f t="shared" si="944"/>
        <v>rob</v>
      </c>
    </row>
    <row r="3727" spans="1:23">
      <c r="A3727" t="str">
        <f>"PLC-AB-8ST"</f>
        <v>PLC-AB-8ST</v>
      </c>
      <c r="B3727" t="str">
        <f>"10-2113-9000"</f>
        <v>10-2113-9000</v>
      </c>
      <c r="C3727" t="str">
        <f>"CIM PLC Cabinet (A/B PLC - 8 Stations)"</f>
        <v>CIM PLC Cabinet (A/B PLC - 8 Stations)</v>
      </c>
      <c r="D3727">
        <v>1</v>
      </c>
      <c r="E3727" t="str">
        <f>"Allen Bradley PLC &amp; Cabinet (max. 8 Stations)"</f>
        <v>Allen Bradley PLC &amp; Cabinet (max. 8 Stations)</v>
      </c>
      <c r="F3727">
        <v>530</v>
      </c>
      <c r="G3727" t="str">
        <f t="shared" si="942"/>
        <v>Y</v>
      </c>
      <c r="H3727" t="str">
        <f t="shared" si="940"/>
        <v>EA</v>
      </c>
      <c r="I3727">
        <v>0</v>
      </c>
      <c r="J3727">
        <v>0</v>
      </c>
      <c r="K3727" t="str">
        <f t="shared" si="943"/>
        <v>Y</v>
      </c>
      <c r="L3727">
        <v>0</v>
      </c>
      <c r="M3727" t="str">
        <f t="shared" si="933"/>
        <v>NIS</v>
      </c>
      <c r="O3727">
        <v>1</v>
      </c>
      <c r="P3727" t="str">
        <f t="shared" si="937"/>
        <v>Active</v>
      </c>
      <c r="Q3727" t="str">
        <f>"CIM PLC Cabinet (A/B PLC - 8 Stations)"</f>
        <v>CIM PLC Cabinet (A/B PLC - 8 Stations)</v>
      </c>
      <c r="S3727" t="str">
        <f>"CIM PLC Cabinet (A/B PLC - 8 Stations)"</f>
        <v>CIM PLC Cabinet (A/B PLC - 8 Stations)</v>
      </c>
      <c r="T3727">
        <v>0</v>
      </c>
      <c r="U3727" s="44">
        <v>4319.04</v>
      </c>
      <c r="V3727" s="44">
        <v>4618.87</v>
      </c>
      <c r="W3727" t="str">
        <f t="shared" si="944"/>
        <v>rob</v>
      </c>
    </row>
    <row r="3728" spans="1:23">
      <c r="A3728" t="str">
        <f>"PLC-AB-8ST"</f>
        <v>PLC-AB-8ST</v>
      </c>
      <c r="B3728" t="str">
        <f>"10-2111-9000"</f>
        <v>10-2111-9000</v>
      </c>
      <c r="C3728" t="str">
        <f>"Cable Duct to Ctrl. Cabinet"</f>
        <v>Cable Duct to Ctrl. Cabinet</v>
      </c>
      <c r="D3728">
        <v>1</v>
      </c>
      <c r="E3728" t="str">
        <f>"Allen Bradley PLC &amp; Cabinet (max. 8 Stations)"</f>
        <v>Allen Bradley PLC &amp; Cabinet (max. 8 Stations)</v>
      </c>
      <c r="F3728">
        <v>530</v>
      </c>
      <c r="G3728" t="str">
        <f t="shared" si="942"/>
        <v>Y</v>
      </c>
      <c r="H3728" t="str">
        <f t="shared" si="940"/>
        <v>EA</v>
      </c>
      <c r="I3728">
        <v>0</v>
      </c>
      <c r="J3728">
        <v>0</v>
      </c>
      <c r="K3728" t="str">
        <f t="shared" si="943"/>
        <v>Y</v>
      </c>
      <c r="L3728">
        <v>0</v>
      </c>
      <c r="M3728" t="str">
        <f t="shared" si="933"/>
        <v>NIS</v>
      </c>
      <c r="O3728">
        <v>2</v>
      </c>
      <c r="P3728" t="str">
        <f t="shared" si="937"/>
        <v>Active</v>
      </c>
      <c r="Q3728" t="str">
        <f>"Cable Duct to Ctrl. Cabinet"</f>
        <v>Cable Duct to Ctrl. Cabinet</v>
      </c>
      <c r="S3728" t="str">
        <f>"Cable Duct to Ctrl. Cabinet"</f>
        <v>Cable Duct to Ctrl. Cabinet</v>
      </c>
      <c r="T3728">
        <v>0</v>
      </c>
      <c r="U3728">
        <v>83</v>
      </c>
      <c r="V3728">
        <v>85.05</v>
      </c>
      <c r="W3728" t="str">
        <f t="shared" si="944"/>
        <v>rob</v>
      </c>
    </row>
    <row r="3729" spans="1:23">
      <c r="A3729" t="str">
        <f>"PLC-AB-8ST"</f>
        <v>PLC-AB-8ST</v>
      </c>
      <c r="B3729" t="str">
        <f>"411803"</f>
        <v>411803</v>
      </c>
      <c r="C3729" t="str">
        <f>"European Power cable 220 V"</f>
        <v>European Power cable 220 V</v>
      </c>
      <c r="D3729">
        <v>1</v>
      </c>
      <c r="E3729" t="str">
        <f>"Allen Bradley PLC &amp; Cabinet (max. 8 Stations)"</f>
        <v>Allen Bradley PLC &amp; Cabinet (max. 8 Stations)</v>
      </c>
      <c r="F3729">
        <v>530</v>
      </c>
      <c r="G3729" t="str">
        <f t="shared" si="942"/>
        <v>Y</v>
      </c>
      <c r="H3729" t="str">
        <f t="shared" si="940"/>
        <v>EA</v>
      </c>
      <c r="I3729">
        <v>0</v>
      </c>
      <c r="J3729">
        <v>0</v>
      </c>
      <c r="K3729" t="str">
        <f t="shared" si="943"/>
        <v>Y</v>
      </c>
      <c r="L3729">
        <v>0</v>
      </c>
      <c r="M3729" t="str">
        <f t="shared" si="933"/>
        <v>NIS</v>
      </c>
      <c r="O3729">
        <v>3</v>
      </c>
      <c r="P3729" t="str">
        <f t="shared" si="937"/>
        <v>Active</v>
      </c>
      <c r="Q3729" t="str">
        <f>"European Power cable 220 V"</f>
        <v>European Power cable 220 V</v>
      </c>
      <c r="R3729" t="str">
        <f>"1"</f>
        <v>1</v>
      </c>
      <c r="S3729" t="str">
        <f>"European Power cable 220 V"</f>
        <v>European Power cable 220 V</v>
      </c>
      <c r="T3729">
        <v>0</v>
      </c>
      <c r="U3729">
        <v>2.2000000000000002</v>
      </c>
      <c r="V3729">
        <v>1.67</v>
      </c>
      <c r="W3729" t="str">
        <f t="shared" si="944"/>
        <v>rob</v>
      </c>
    </row>
    <row r="3730" spans="1:23">
      <c r="A3730" t="str">
        <f>"PLCMOTION SW"</f>
        <v>PLCMOTION SW</v>
      </c>
      <c r="B3730" t="str">
        <f>"63-9241-0000"</f>
        <v>63-9241-0000</v>
      </c>
      <c r="C3730" t="str">
        <f>"PLC Motion Simulation Software"</f>
        <v>PLC Motion Simulation Software</v>
      </c>
      <c r="D3730">
        <v>1</v>
      </c>
      <c r="E3730" t="str">
        <f>"PLC Motion PLC Simulation Software"</f>
        <v>PLC Motion PLC Simulation Software</v>
      </c>
      <c r="F3730">
        <v>810</v>
      </c>
      <c r="G3730" t="str">
        <f t="shared" si="942"/>
        <v>Y</v>
      </c>
      <c r="H3730" t="str">
        <f t="shared" si="940"/>
        <v>EA</v>
      </c>
      <c r="I3730">
        <v>0</v>
      </c>
      <c r="J3730">
        <v>0</v>
      </c>
      <c r="K3730" t="str">
        <f t="shared" si="943"/>
        <v>Y</v>
      </c>
      <c r="L3730">
        <v>0</v>
      </c>
      <c r="M3730" t="str">
        <f t="shared" si="933"/>
        <v>NIS</v>
      </c>
      <c r="O3730">
        <v>1</v>
      </c>
      <c r="P3730" t="str">
        <f t="shared" ref="P3730:P3741" si="945">"Active"</f>
        <v>Active</v>
      </c>
      <c r="Q3730" t="str">
        <f>"PLC Motion Simulation Software Package"</f>
        <v>PLC Motion Simulation Software Package</v>
      </c>
      <c r="S3730" t="str">
        <f>"PLCMotion Simulation Software"</f>
        <v>PLCMotion Simulation Software</v>
      </c>
      <c r="T3730">
        <v>0</v>
      </c>
      <c r="U3730">
        <v>30.81</v>
      </c>
      <c r="V3730">
        <v>31.43</v>
      </c>
      <c r="W3730" t="str">
        <f t="shared" si="944"/>
        <v>rob</v>
      </c>
    </row>
    <row r="3731" spans="1:23">
      <c r="A3731" t="str">
        <f>"PLCMOTION SW"</f>
        <v>PLCMOTION SW</v>
      </c>
      <c r="B3731" t="str">
        <f>"63-7000-1100"</f>
        <v>63-7000-1100</v>
      </c>
      <c r="C3731" t="str">
        <f>"License Key For PLCMotion Software"</f>
        <v>License Key For PLCMotion Software</v>
      </c>
      <c r="D3731">
        <v>1</v>
      </c>
      <c r="E3731" t="str">
        <f>"PLC Motion PLC Simulation Software"</f>
        <v>PLC Motion PLC Simulation Software</v>
      </c>
      <c r="F3731">
        <v>810</v>
      </c>
      <c r="G3731" t="str">
        <f t="shared" si="942"/>
        <v>Y</v>
      </c>
      <c r="H3731" t="str">
        <f t="shared" si="940"/>
        <v>EA</v>
      </c>
      <c r="I3731">
        <v>0</v>
      </c>
      <c r="J3731">
        <v>0</v>
      </c>
      <c r="K3731" t="str">
        <f t="shared" si="943"/>
        <v>Y</v>
      </c>
      <c r="L3731">
        <v>0</v>
      </c>
      <c r="M3731" t="str">
        <f t="shared" si="933"/>
        <v>NIS</v>
      </c>
      <c r="O3731">
        <v>2</v>
      </c>
      <c r="P3731" t="str">
        <f t="shared" si="945"/>
        <v>Active</v>
      </c>
      <c r="Q3731" t="str">
        <f>"License Key For PLCMotion Software"</f>
        <v>License Key For PLCMotion Software</v>
      </c>
      <c r="R3731" t="str">
        <f>"1"</f>
        <v>1</v>
      </c>
      <c r="S3731" t="str">
        <f>"License Key For PLCMotion Software"</f>
        <v>License Key For PLCMotion Software</v>
      </c>
      <c r="T3731">
        <v>0</v>
      </c>
      <c r="U3731">
        <v>5</v>
      </c>
      <c r="V3731">
        <v>5.55</v>
      </c>
      <c r="W3731" t="str">
        <f t="shared" si="944"/>
        <v>rob</v>
      </c>
    </row>
    <row r="3732" spans="1:23">
      <c r="A3732" t="str">
        <f>"PLCMOTION SW"</f>
        <v>PLCMOTION SW</v>
      </c>
      <c r="B3732" t="str">
        <f>"63-7000-1100"</f>
        <v>63-7000-1100</v>
      </c>
      <c r="C3732" t="str">
        <f>"License Key For PLCMotion Software"</f>
        <v>License Key For PLCMotion Software</v>
      </c>
      <c r="D3732">
        <v>10</v>
      </c>
      <c r="E3732" t="str">
        <f>"PLC Motion PLC Simulation Software"</f>
        <v>PLC Motion PLC Simulation Software</v>
      </c>
      <c r="F3732">
        <v>810</v>
      </c>
      <c r="G3732" t="str">
        <f t="shared" si="942"/>
        <v>Y</v>
      </c>
      <c r="H3732" t="str">
        <f t="shared" si="940"/>
        <v>EA</v>
      </c>
      <c r="I3732">
        <v>0</v>
      </c>
      <c r="J3732">
        <v>0</v>
      </c>
      <c r="K3732" t="str">
        <f t="shared" si="943"/>
        <v>Y</v>
      </c>
      <c r="L3732">
        <v>0</v>
      </c>
      <c r="M3732" t="str">
        <f t="shared" ref="M3732:M3795" si="946">"NIS"</f>
        <v>NIS</v>
      </c>
      <c r="O3732">
        <v>3</v>
      </c>
      <c r="P3732" t="str">
        <f t="shared" si="945"/>
        <v>Active</v>
      </c>
      <c r="Q3732" t="str">
        <f>"License Key For PLCMotion Software"</f>
        <v>License Key For PLCMotion Software</v>
      </c>
      <c r="R3732" t="str">
        <f>"1"</f>
        <v>1</v>
      </c>
      <c r="S3732" t="str">
        <f>"License Key For PLCMotion Software"</f>
        <v>License Key For PLCMotion Software</v>
      </c>
      <c r="T3732">
        <v>0</v>
      </c>
      <c r="U3732">
        <v>5</v>
      </c>
      <c r="V3732">
        <v>5.55</v>
      </c>
      <c r="W3732" t="str">
        <f t="shared" si="944"/>
        <v>rob</v>
      </c>
    </row>
    <row r="3733" spans="1:23">
      <c r="A3733" t="str">
        <f>"PLC-OMRON-7ST"</f>
        <v>PLC-OMRON-7ST</v>
      </c>
      <c r="B3733" t="str">
        <f>"10-2116-0000"</f>
        <v>10-2116-0000</v>
      </c>
      <c r="C3733" t="str">
        <f>"CIM PLC Cabinet (OMRON PLC-7 Stations)"</f>
        <v>CIM PLC Cabinet (OMRON PLC-7 Stations)</v>
      </c>
      <c r="D3733">
        <v>1</v>
      </c>
      <c r="E3733" t="str">
        <f>"Omron PLC &amp; Cabinet (max. 7 Stations)"</f>
        <v>Omron PLC &amp; Cabinet (max. 7 Stations)</v>
      </c>
      <c r="F3733">
        <v>530</v>
      </c>
      <c r="G3733" t="str">
        <f t="shared" si="942"/>
        <v>Y</v>
      </c>
      <c r="H3733" t="str">
        <f t="shared" si="940"/>
        <v>EA</v>
      </c>
      <c r="I3733">
        <v>0</v>
      </c>
      <c r="J3733">
        <v>0</v>
      </c>
      <c r="K3733" t="str">
        <f t="shared" si="943"/>
        <v>Y</v>
      </c>
      <c r="L3733">
        <v>0</v>
      </c>
      <c r="M3733" t="str">
        <f t="shared" si="946"/>
        <v>NIS</v>
      </c>
      <c r="O3733">
        <v>1</v>
      </c>
      <c r="P3733" t="str">
        <f t="shared" si="945"/>
        <v>Active</v>
      </c>
      <c r="Q3733" t="str">
        <f>"CIM PLC Cabinet (OMRON PLC - 7 Stations)"</f>
        <v>CIM PLC Cabinet (OMRON PLC - 7 Stations)</v>
      </c>
      <c r="S3733" t="str">
        <f>"CIM PLC Cabinet (OMRON PLC - 7 Stations)"</f>
        <v>CIM PLC Cabinet (OMRON PLC - 7 Stations)</v>
      </c>
      <c r="T3733">
        <v>0</v>
      </c>
      <c r="U3733" s="44">
        <v>2600</v>
      </c>
      <c r="V3733" s="44">
        <v>2207.98</v>
      </c>
      <c r="W3733" t="str">
        <f t="shared" si="944"/>
        <v>rob</v>
      </c>
    </row>
    <row r="3734" spans="1:23">
      <c r="A3734" t="str">
        <f>"PLC-OMRON-7ST"</f>
        <v>PLC-OMRON-7ST</v>
      </c>
      <c r="B3734" t="str">
        <f>"10-2111-9000"</f>
        <v>10-2111-9000</v>
      </c>
      <c r="C3734" t="str">
        <f>"Cable Duct to Ctrl. Cabinet"</f>
        <v>Cable Duct to Ctrl. Cabinet</v>
      </c>
      <c r="D3734">
        <v>1</v>
      </c>
      <c r="E3734" t="str">
        <f>"Omron PLC &amp; Cabinet (max. 7 Stations)"</f>
        <v>Omron PLC &amp; Cabinet (max. 7 Stations)</v>
      </c>
      <c r="F3734">
        <v>530</v>
      </c>
      <c r="G3734" t="str">
        <f t="shared" si="942"/>
        <v>Y</v>
      </c>
      <c r="H3734" t="str">
        <f t="shared" si="940"/>
        <v>EA</v>
      </c>
      <c r="I3734">
        <v>0</v>
      </c>
      <c r="J3734">
        <v>0</v>
      </c>
      <c r="K3734" t="str">
        <f t="shared" si="943"/>
        <v>Y</v>
      </c>
      <c r="L3734">
        <v>0</v>
      </c>
      <c r="M3734" t="str">
        <f t="shared" si="946"/>
        <v>NIS</v>
      </c>
      <c r="O3734">
        <v>2</v>
      </c>
      <c r="P3734" t="str">
        <f t="shared" si="945"/>
        <v>Active</v>
      </c>
      <c r="Q3734" t="str">
        <f>"Cable Duct to Ctrl. Cabinet"</f>
        <v>Cable Duct to Ctrl. Cabinet</v>
      </c>
      <c r="S3734" t="str">
        <f>"Cable Duct to Ctrl. Cabinet"</f>
        <v>Cable Duct to Ctrl. Cabinet</v>
      </c>
      <c r="T3734">
        <v>0</v>
      </c>
      <c r="U3734">
        <v>83</v>
      </c>
      <c r="V3734">
        <v>85.05</v>
      </c>
      <c r="W3734" t="str">
        <f t="shared" si="944"/>
        <v>rob</v>
      </c>
    </row>
    <row r="3735" spans="1:23">
      <c r="A3735" t="str">
        <f>"PLC-OMRON-7ST"</f>
        <v>PLC-OMRON-7ST</v>
      </c>
      <c r="B3735" t="str">
        <f>"411803"</f>
        <v>411803</v>
      </c>
      <c r="C3735" t="str">
        <f>"European Power cable 220 V"</f>
        <v>European Power cable 220 V</v>
      </c>
      <c r="D3735">
        <v>1</v>
      </c>
      <c r="E3735" t="str">
        <f>"Omron PLC &amp; Cabinet (max. 7 Stations)"</f>
        <v>Omron PLC &amp; Cabinet (max. 7 Stations)</v>
      </c>
      <c r="F3735">
        <v>530</v>
      </c>
      <c r="G3735" t="str">
        <f t="shared" si="942"/>
        <v>Y</v>
      </c>
      <c r="H3735" t="str">
        <f t="shared" si="940"/>
        <v>EA</v>
      </c>
      <c r="I3735">
        <v>0</v>
      </c>
      <c r="J3735">
        <v>0</v>
      </c>
      <c r="K3735" t="str">
        <f t="shared" si="943"/>
        <v>Y</v>
      </c>
      <c r="L3735">
        <v>0</v>
      </c>
      <c r="M3735" t="str">
        <f t="shared" si="946"/>
        <v>NIS</v>
      </c>
      <c r="O3735">
        <v>3</v>
      </c>
      <c r="P3735" t="str">
        <f t="shared" si="945"/>
        <v>Active</v>
      </c>
      <c r="Q3735" t="str">
        <f>"European Power cable 220 V"</f>
        <v>European Power cable 220 V</v>
      </c>
      <c r="R3735" t="str">
        <f>"1"</f>
        <v>1</v>
      </c>
      <c r="S3735" t="str">
        <f>"European Power cable 220 V"</f>
        <v>European Power cable 220 V</v>
      </c>
      <c r="T3735">
        <v>0</v>
      </c>
      <c r="U3735">
        <v>2.2000000000000002</v>
      </c>
      <c r="V3735">
        <v>1.67</v>
      </c>
      <c r="W3735" t="str">
        <f t="shared" si="944"/>
        <v>rob</v>
      </c>
    </row>
    <row r="3736" spans="1:23">
      <c r="A3736" t="str">
        <f>"PLC-SIEMENS-5ST"</f>
        <v>PLC-SIEMENS-5ST</v>
      </c>
      <c r="B3736" t="str">
        <f>"10-2114-4000"</f>
        <v>10-2114-4000</v>
      </c>
      <c r="C3736" t="str">
        <f>"CIM PLC Cabinet (Siemens PLC - 5 Stations)"</f>
        <v>CIM PLC Cabinet (Siemens PLC - 5 Stations)</v>
      </c>
      <c r="D3736">
        <v>1</v>
      </c>
      <c r="E3736" t="str">
        <f>"Siemens S7 PLC &amp; Cabinet (max. 5 Stations)"</f>
        <v>Siemens S7 PLC &amp; Cabinet (max. 5 Stations)</v>
      </c>
      <c r="F3736">
        <v>530</v>
      </c>
      <c r="G3736" t="str">
        <f t="shared" si="942"/>
        <v>Y</v>
      </c>
      <c r="H3736" t="str">
        <f t="shared" si="940"/>
        <v>EA</v>
      </c>
      <c r="I3736">
        <v>0</v>
      </c>
      <c r="J3736">
        <v>0</v>
      </c>
      <c r="K3736" t="str">
        <f t="shared" si="943"/>
        <v>Y</v>
      </c>
      <c r="L3736">
        <v>0</v>
      </c>
      <c r="M3736" t="str">
        <f t="shared" si="946"/>
        <v>NIS</v>
      </c>
      <c r="O3736">
        <v>1</v>
      </c>
      <c r="P3736" t="str">
        <f t="shared" si="945"/>
        <v>Active</v>
      </c>
      <c r="Q3736" t="str">
        <f>"CIM PLC Cabinet (Siemens PLC - 5 Stations)"</f>
        <v>CIM PLC Cabinet (Siemens PLC - 5 Stations)</v>
      </c>
      <c r="S3736" t="str">
        <f>"CIM PLC Cabinet (Siemens PLC - 5 Stations)"</f>
        <v>CIM PLC Cabinet (Siemens PLC - 5 Stations)</v>
      </c>
      <c r="T3736">
        <v>0</v>
      </c>
      <c r="U3736" s="44">
        <v>2666.31</v>
      </c>
      <c r="V3736" s="44">
        <v>2587.64</v>
      </c>
      <c r="W3736" t="str">
        <f t="shared" si="944"/>
        <v>rob</v>
      </c>
    </row>
    <row r="3737" spans="1:23">
      <c r="A3737" t="str">
        <f>"PLC-SIEMENS-5ST"</f>
        <v>PLC-SIEMENS-5ST</v>
      </c>
      <c r="B3737" t="str">
        <f>"10-2111-9000"</f>
        <v>10-2111-9000</v>
      </c>
      <c r="C3737" t="str">
        <f>"Cable Duct to Ctrl. Cabinet"</f>
        <v>Cable Duct to Ctrl. Cabinet</v>
      </c>
      <c r="D3737">
        <v>1</v>
      </c>
      <c r="E3737" t="str">
        <f>"Siemens S7 PLC &amp; Cabinet (max. 5 Stations)"</f>
        <v>Siemens S7 PLC &amp; Cabinet (max. 5 Stations)</v>
      </c>
      <c r="F3737">
        <v>530</v>
      </c>
      <c r="G3737" t="str">
        <f t="shared" si="942"/>
        <v>Y</v>
      </c>
      <c r="H3737" t="str">
        <f t="shared" si="940"/>
        <v>EA</v>
      </c>
      <c r="I3737">
        <v>0</v>
      </c>
      <c r="J3737">
        <v>0</v>
      </c>
      <c r="K3737" t="str">
        <f t="shared" si="943"/>
        <v>Y</v>
      </c>
      <c r="L3737">
        <v>0</v>
      </c>
      <c r="M3737" t="str">
        <f t="shared" si="946"/>
        <v>NIS</v>
      </c>
      <c r="O3737">
        <v>2</v>
      </c>
      <c r="P3737" t="str">
        <f t="shared" si="945"/>
        <v>Active</v>
      </c>
      <c r="Q3737" t="str">
        <f>"Cable Duct to Ctrl. Cabinet"</f>
        <v>Cable Duct to Ctrl. Cabinet</v>
      </c>
      <c r="S3737" t="str">
        <f>"Cable Duct to Ctrl. Cabinet"</f>
        <v>Cable Duct to Ctrl. Cabinet</v>
      </c>
      <c r="T3737">
        <v>0</v>
      </c>
      <c r="U3737">
        <v>83</v>
      </c>
      <c r="V3737">
        <v>85.05</v>
      </c>
      <c r="W3737" t="str">
        <f t="shared" si="944"/>
        <v>rob</v>
      </c>
    </row>
    <row r="3738" spans="1:23">
      <c r="A3738" t="str">
        <f>"PLC-SIEMENS-5ST"</f>
        <v>PLC-SIEMENS-5ST</v>
      </c>
      <c r="B3738" t="str">
        <f>"411803"</f>
        <v>411803</v>
      </c>
      <c r="C3738" t="str">
        <f>"European Power cable 220 V"</f>
        <v>European Power cable 220 V</v>
      </c>
      <c r="D3738">
        <v>1</v>
      </c>
      <c r="E3738" t="str">
        <f>"Siemens S7 PLC &amp; Cabinet (max. 5 Stations)"</f>
        <v>Siemens S7 PLC &amp; Cabinet (max. 5 Stations)</v>
      </c>
      <c r="F3738">
        <v>530</v>
      </c>
      <c r="G3738" t="str">
        <f t="shared" si="942"/>
        <v>Y</v>
      </c>
      <c r="H3738" t="str">
        <f t="shared" si="940"/>
        <v>EA</v>
      </c>
      <c r="I3738">
        <v>0</v>
      </c>
      <c r="J3738">
        <v>0</v>
      </c>
      <c r="K3738" t="str">
        <f t="shared" si="943"/>
        <v>Y</v>
      </c>
      <c r="L3738">
        <v>0</v>
      </c>
      <c r="M3738" t="str">
        <f t="shared" si="946"/>
        <v>NIS</v>
      </c>
      <c r="O3738">
        <v>3</v>
      </c>
      <c r="P3738" t="str">
        <f t="shared" si="945"/>
        <v>Active</v>
      </c>
      <c r="Q3738" t="str">
        <f>"European Power cable 220 V"</f>
        <v>European Power cable 220 V</v>
      </c>
      <c r="R3738" t="str">
        <f>"1"</f>
        <v>1</v>
      </c>
      <c r="S3738" t="str">
        <f>"European Power cable 220 V"</f>
        <v>European Power cable 220 V</v>
      </c>
      <c r="T3738">
        <v>0</v>
      </c>
      <c r="U3738">
        <v>2.2000000000000002</v>
      </c>
      <c r="V3738">
        <v>1.67</v>
      </c>
      <c r="W3738" t="str">
        <f t="shared" si="944"/>
        <v>rob</v>
      </c>
    </row>
    <row r="3739" spans="1:23">
      <c r="A3739" t="str">
        <f>"PLC-SIEMENS-8ST"</f>
        <v>PLC-SIEMENS-8ST</v>
      </c>
      <c r="B3739" t="str">
        <f>"10-2114-9000"</f>
        <v>10-2114-9000</v>
      </c>
      <c r="C3739" t="str">
        <f>"CIM PLC Cabinet (Siemens PLC - 8 Stations)"</f>
        <v>CIM PLC Cabinet (Siemens PLC - 8 Stations)</v>
      </c>
      <c r="D3739">
        <v>1</v>
      </c>
      <c r="E3739" t="str">
        <f>"Siemens S7 PLC &amp; Cabinet (max. 8 Stations)"</f>
        <v>Siemens S7 PLC &amp; Cabinet (max. 8 Stations)</v>
      </c>
      <c r="F3739">
        <v>530</v>
      </c>
      <c r="G3739" t="str">
        <f t="shared" si="942"/>
        <v>Y</v>
      </c>
      <c r="H3739" t="str">
        <f t="shared" ref="H3739:H3770" si="947">"EA"</f>
        <v>EA</v>
      </c>
      <c r="I3739">
        <v>0</v>
      </c>
      <c r="J3739">
        <v>0</v>
      </c>
      <c r="K3739" t="str">
        <f t="shared" si="943"/>
        <v>Y</v>
      </c>
      <c r="L3739">
        <v>0</v>
      </c>
      <c r="M3739" t="str">
        <f t="shared" si="946"/>
        <v>NIS</v>
      </c>
      <c r="O3739">
        <v>1</v>
      </c>
      <c r="P3739" t="str">
        <f t="shared" si="945"/>
        <v>Active</v>
      </c>
      <c r="Q3739" t="str">
        <f>"CIM PLC Cabinet (Siemens PLC - 8 Stations)"</f>
        <v>CIM PLC Cabinet (Siemens PLC - 8 Stations)</v>
      </c>
      <c r="S3739" t="str">
        <f>"CIM PLC Cabinet (Siemens PLC - 8 Stations)"</f>
        <v>CIM PLC Cabinet (Siemens PLC - 8 Stations)</v>
      </c>
      <c r="T3739">
        <v>0</v>
      </c>
      <c r="U3739" s="44">
        <v>2902.74</v>
      </c>
      <c r="V3739" s="44">
        <v>3005.93</v>
      </c>
      <c r="W3739" t="str">
        <f t="shared" si="944"/>
        <v>rob</v>
      </c>
    </row>
    <row r="3740" spans="1:23">
      <c r="A3740" t="str">
        <f>"PLC-SIEMENS-8ST"</f>
        <v>PLC-SIEMENS-8ST</v>
      </c>
      <c r="B3740" t="str">
        <f>"10-2111-9000"</f>
        <v>10-2111-9000</v>
      </c>
      <c r="C3740" t="str">
        <f>"Cable Duct to Ctrl. Cabinet"</f>
        <v>Cable Duct to Ctrl. Cabinet</v>
      </c>
      <c r="D3740">
        <v>1</v>
      </c>
      <c r="E3740" t="str">
        <f>"Siemens S7 PLC &amp; Cabinet (max. 8 Stations)"</f>
        <v>Siemens S7 PLC &amp; Cabinet (max. 8 Stations)</v>
      </c>
      <c r="F3740">
        <v>530</v>
      </c>
      <c r="G3740" t="str">
        <f t="shared" si="942"/>
        <v>Y</v>
      </c>
      <c r="H3740" t="str">
        <f t="shared" si="947"/>
        <v>EA</v>
      </c>
      <c r="I3740">
        <v>0</v>
      </c>
      <c r="J3740">
        <v>0</v>
      </c>
      <c r="K3740" t="str">
        <f t="shared" si="943"/>
        <v>Y</v>
      </c>
      <c r="L3740">
        <v>0</v>
      </c>
      <c r="M3740" t="str">
        <f t="shared" si="946"/>
        <v>NIS</v>
      </c>
      <c r="O3740">
        <v>2</v>
      </c>
      <c r="P3740" t="str">
        <f t="shared" si="945"/>
        <v>Active</v>
      </c>
      <c r="Q3740" t="str">
        <f>"Cable Duct to Ctrl. Cabinet"</f>
        <v>Cable Duct to Ctrl. Cabinet</v>
      </c>
      <c r="S3740" t="str">
        <f>"Cable Duct to Ctrl. Cabinet"</f>
        <v>Cable Duct to Ctrl. Cabinet</v>
      </c>
      <c r="T3740">
        <v>0</v>
      </c>
      <c r="U3740">
        <v>83</v>
      </c>
      <c r="V3740">
        <v>85.05</v>
      </c>
      <c r="W3740" t="str">
        <f t="shared" si="944"/>
        <v>rob</v>
      </c>
    </row>
    <row r="3741" spans="1:23">
      <c r="A3741" t="str">
        <f>"PLC-SIEMENS-8ST"</f>
        <v>PLC-SIEMENS-8ST</v>
      </c>
      <c r="B3741" t="str">
        <f>"411803"</f>
        <v>411803</v>
      </c>
      <c r="C3741" t="str">
        <f>"European Power cable 220 V"</f>
        <v>European Power cable 220 V</v>
      </c>
      <c r="D3741">
        <v>1</v>
      </c>
      <c r="E3741" t="str">
        <f>"Siemens S7 PLC &amp; Cabinet (max. 8 Stations)"</f>
        <v>Siemens S7 PLC &amp; Cabinet (max. 8 Stations)</v>
      </c>
      <c r="F3741">
        <v>530</v>
      </c>
      <c r="G3741" t="str">
        <f t="shared" si="942"/>
        <v>Y</v>
      </c>
      <c r="H3741" t="str">
        <f t="shared" si="947"/>
        <v>EA</v>
      </c>
      <c r="I3741">
        <v>0</v>
      </c>
      <c r="J3741">
        <v>0</v>
      </c>
      <c r="K3741" t="str">
        <f t="shared" si="943"/>
        <v>Y</v>
      </c>
      <c r="L3741">
        <v>0</v>
      </c>
      <c r="M3741" t="str">
        <f t="shared" si="946"/>
        <v>NIS</v>
      </c>
      <c r="O3741">
        <v>3</v>
      </c>
      <c r="P3741" t="str">
        <f t="shared" si="945"/>
        <v>Active</v>
      </c>
      <c r="Q3741" t="str">
        <f>"European Power cable 220 V"</f>
        <v>European Power cable 220 V</v>
      </c>
      <c r="R3741" t="str">
        <f>"1"</f>
        <v>1</v>
      </c>
      <c r="S3741" t="str">
        <f>"European Power cable 220 V"</f>
        <v>European Power cable 220 V</v>
      </c>
      <c r="T3741">
        <v>0</v>
      </c>
      <c r="U3741">
        <v>2.2000000000000002</v>
      </c>
      <c r="V3741">
        <v>1.67</v>
      </c>
      <c r="W3741" t="str">
        <f t="shared" si="944"/>
        <v>rob</v>
      </c>
    </row>
    <row r="3742" spans="1:23">
      <c r="A3742" t="str">
        <f>"PLC-SIEMENS-ASI"</f>
        <v>PLC-SIEMENS-ASI</v>
      </c>
      <c r="B3742" t="str">
        <f>"TMP0001"</f>
        <v>TMP0001</v>
      </c>
      <c r="C3742" t="str">
        <f>"CIM PLC Cabinet Siemens ASI-bus"</f>
        <v>CIM PLC Cabinet Siemens ASI-bus</v>
      </c>
      <c r="D3742">
        <v>1</v>
      </c>
      <c r="E3742" t="str">
        <f>"Siemens S7 PLC &amp; Cabinet (ASI BUS)"</f>
        <v>Siemens S7 PLC &amp; Cabinet (ASI BUS)</v>
      </c>
      <c r="F3742">
        <v>530</v>
      </c>
      <c r="G3742" t="str">
        <f t="shared" si="942"/>
        <v>Y</v>
      </c>
      <c r="H3742" t="str">
        <f t="shared" si="947"/>
        <v>EA</v>
      </c>
      <c r="I3742">
        <v>0</v>
      </c>
      <c r="J3742">
        <v>0</v>
      </c>
      <c r="K3742" t="str">
        <f t="shared" si="943"/>
        <v>Y</v>
      </c>
      <c r="L3742">
        <v>0</v>
      </c>
      <c r="M3742" t="str">
        <f t="shared" si="946"/>
        <v>NIS</v>
      </c>
      <c r="O3742">
        <v>1</v>
      </c>
      <c r="P3742" t="str">
        <f>"New"</f>
        <v>New</v>
      </c>
      <c r="Q3742" t="str">
        <f>"CIM PLC Cabinet Siemens ASI-bus"</f>
        <v>CIM PLC Cabinet Siemens ASI-bus</v>
      </c>
      <c r="S3742" t="str">
        <f>"CIM PLC Cabinet Siemens ASI-bus"</f>
        <v>CIM PLC Cabinet Siemens ASI-bus</v>
      </c>
      <c r="T3742">
        <v>0</v>
      </c>
      <c r="U3742" s="44">
        <v>2902.74</v>
      </c>
      <c r="V3742">
        <v>0</v>
      </c>
      <c r="W3742" t="str">
        <f t="shared" si="944"/>
        <v>rob</v>
      </c>
    </row>
    <row r="3743" spans="1:23">
      <c r="A3743" t="str">
        <f>"PLC-SIEMENS-ASI"</f>
        <v>PLC-SIEMENS-ASI</v>
      </c>
      <c r="B3743" t="str">
        <f>"411803"</f>
        <v>411803</v>
      </c>
      <c r="C3743" t="str">
        <f>"European Power cable 220 V"</f>
        <v>European Power cable 220 V</v>
      </c>
      <c r="D3743">
        <v>1</v>
      </c>
      <c r="E3743" t="str">
        <f>"Siemens S7 PLC &amp; Cabinet (ASI BUS)"</f>
        <v>Siemens S7 PLC &amp; Cabinet (ASI BUS)</v>
      </c>
      <c r="F3743">
        <v>530</v>
      </c>
      <c r="G3743" t="str">
        <f t="shared" si="942"/>
        <v>Y</v>
      </c>
      <c r="H3743" t="str">
        <f t="shared" si="947"/>
        <v>EA</v>
      </c>
      <c r="I3743">
        <v>0</v>
      </c>
      <c r="J3743">
        <v>0</v>
      </c>
      <c r="K3743" t="str">
        <f t="shared" si="943"/>
        <v>Y</v>
      </c>
      <c r="L3743">
        <v>0</v>
      </c>
      <c r="M3743" t="str">
        <f t="shared" si="946"/>
        <v>NIS</v>
      </c>
      <c r="O3743">
        <v>2</v>
      </c>
      <c r="P3743" t="str">
        <f t="shared" ref="P3743:P3774" si="948">"Active"</f>
        <v>Active</v>
      </c>
      <c r="Q3743" t="str">
        <f>"European Power cable 220 V"</f>
        <v>European Power cable 220 V</v>
      </c>
      <c r="R3743" t="str">
        <f>"1"</f>
        <v>1</v>
      </c>
      <c r="S3743" t="str">
        <f>"European Power cable 220 V"</f>
        <v>European Power cable 220 V</v>
      </c>
      <c r="T3743">
        <v>0</v>
      </c>
      <c r="U3743">
        <v>2.2000000000000002</v>
      </c>
      <c r="V3743">
        <v>1.67</v>
      </c>
      <c r="W3743" t="str">
        <f t="shared" si="944"/>
        <v>rob</v>
      </c>
    </row>
    <row r="3744" spans="1:23">
      <c r="A3744" t="str">
        <f>"PLC-SIEMENS-ASI"</f>
        <v>PLC-SIEMENS-ASI</v>
      </c>
      <c r="B3744" t="str">
        <f>"10-2111-9000"</f>
        <v>10-2111-9000</v>
      </c>
      <c r="C3744" t="str">
        <f>"Cable Duct to Ctrl. Cabinet"</f>
        <v>Cable Duct to Ctrl. Cabinet</v>
      </c>
      <c r="D3744">
        <v>1</v>
      </c>
      <c r="E3744" t="str">
        <f>"Siemens S7 PLC &amp; Cabinet (ASI BUS)"</f>
        <v>Siemens S7 PLC &amp; Cabinet (ASI BUS)</v>
      </c>
      <c r="F3744">
        <v>530</v>
      </c>
      <c r="G3744" t="str">
        <f t="shared" si="942"/>
        <v>Y</v>
      </c>
      <c r="H3744" t="str">
        <f t="shared" si="947"/>
        <v>EA</v>
      </c>
      <c r="I3744">
        <v>0</v>
      </c>
      <c r="J3744">
        <v>0</v>
      </c>
      <c r="K3744" t="str">
        <f t="shared" si="943"/>
        <v>Y</v>
      </c>
      <c r="L3744">
        <v>0</v>
      </c>
      <c r="M3744" t="str">
        <f t="shared" si="946"/>
        <v>NIS</v>
      </c>
      <c r="O3744">
        <v>3</v>
      </c>
      <c r="P3744" t="str">
        <f t="shared" si="948"/>
        <v>Active</v>
      </c>
      <c r="Q3744" t="str">
        <f>"Cable Duct to Ctrl. Cabinet"</f>
        <v>Cable Duct to Ctrl. Cabinet</v>
      </c>
      <c r="S3744" t="str">
        <f>"Cable Duct to Ctrl. Cabinet"</f>
        <v>Cable Duct to Ctrl. Cabinet</v>
      </c>
      <c r="T3744">
        <v>0</v>
      </c>
      <c r="U3744">
        <v>83</v>
      </c>
      <c r="V3744">
        <v>85.05</v>
      </c>
      <c r="W3744" t="str">
        <f t="shared" si="944"/>
        <v>rob</v>
      </c>
    </row>
    <row r="3745" spans="1:23">
      <c r="A3745" t="str">
        <f>"PLC-SIEMENS-PN"</f>
        <v>PLC-SIEMENS-PN</v>
      </c>
      <c r="B3745" t="str">
        <f>"10-2115-5000"</f>
        <v>10-2115-5000</v>
      </c>
      <c r="C3745" t="str">
        <f>"CIM PLC Cabinet S7-1211C PROFINET"</f>
        <v>CIM PLC Cabinet S7-1211C PROFINET</v>
      </c>
      <c r="D3745">
        <v>1</v>
      </c>
      <c r="E3745" t="str">
        <f>"Siemens S7 PLC &amp; Cabinet (PROFINET)"</f>
        <v>Siemens S7 PLC &amp; Cabinet (PROFINET)</v>
      </c>
      <c r="F3745">
        <v>530</v>
      </c>
      <c r="G3745" t="str">
        <f t="shared" si="942"/>
        <v>Y</v>
      </c>
      <c r="H3745" t="str">
        <f t="shared" si="947"/>
        <v>EA</v>
      </c>
      <c r="I3745">
        <v>0</v>
      </c>
      <c r="J3745">
        <v>0</v>
      </c>
      <c r="K3745" t="str">
        <f t="shared" si="943"/>
        <v>Y</v>
      </c>
      <c r="L3745">
        <v>0</v>
      </c>
      <c r="M3745" t="str">
        <f t="shared" si="946"/>
        <v>NIS</v>
      </c>
      <c r="O3745">
        <v>1</v>
      </c>
      <c r="P3745" t="str">
        <f t="shared" si="948"/>
        <v>Active</v>
      </c>
      <c r="Q3745" t="str">
        <f>"CIM PLC Cabinet S7-1211C PROFINET"</f>
        <v>CIM PLC Cabinet S7-1211C PROFINET</v>
      </c>
      <c r="S3745" t="str">
        <f>"CIM PLC Cabinet S7-1211C PROFINET"</f>
        <v>CIM PLC Cabinet S7-1211C PROFINET</v>
      </c>
      <c r="T3745">
        <v>0</v>
      </c>
      <c r="U3745" s="44">
        <v>2572</v>
      </c>
      <c r="V3745" s="44">
        <v>2481.08</v>
      </c>
      <c r="W3745" t="str">
        <f t="shared" si="944"/>
        <v>rob</v>
      </c>
    </row>
    <row r="3746" spans="1:23">
      <c r="A3746" t="str">
        <f>"PLC-SIEMENS-PN"</f>
        <v>PLC-SIEMENS-PN</v>
      </c>
      <c r="B3746" t="str">
        <f>"10-2111-9000"</f>
        <v>10-2111-9000</v>
      </c>
      <c r="C3746" t="str">
        <f>"Cable Duct to Ctrl. Cabinet"</f>
        <v>Cable Duct to Ctrl. Cabinet</v>
      </c>
      <c r="D3746">
        <v>1</v>
      </c>
      <c r="E3746" t="str">
        <f>"Siemens S7 PLC &amp; Cabinet (PROFINET)"</f>
        <v>Siemens S7 PLC &amp; Cabinet (PROFINET)</v>
      </c>
      <c r="F3746">
        <v>530</v>
      </c>
      <c r="G3746" t="str">
        <f t="shared" si="942"/>
        <v>Y</v>
      </c>
      <c r="H3746" t="str">
        <f t="shared" si="947"/>
        <v>EA</v>
      </c>
      <c r="I3746">
        <v>0</v>
      </c>
      <c r="J3746">
        <v>0</v>
      </c>
      <c r="K3746" t="str">
        <f t="shared" si="943"/>
        <v>Y</v>
      </c>
      <c r="L3746">
        <v>0</v>
      </c>
      <c r="M3746" t="str">
        <f t="shared" si="946"/>
        <v>NIS</v>
      </c>
      <c r="O3746">
        <v>2</v>
      </c>
      <c r="P3746" t="str">
        <f t="shared" si="948"/>
        <v>Active</v>
      </c>
      <c r="Q3746" t="str">
        <f>"Cable Duct to Ctrl. Cabinet"</f>
        <v>Cable Duct to Ctrl. Cabinet</v>
      </c>
      <c r="S3746" t="str">
        <f>"Cable Duct to Ctrl. Cabinet"</f>
        <v>Cable Duct to Ctrl. Cabinet</v>
      </c>
      <c r="T3746">
        <v>0</v>
      </c>
      <c r="U3746">
        <v>83</v>
      </c>
      <c r="V3746">
        <v>85.05</v>
      </c>
      <c r="W3746" t="str">
        <f t="shared" si="944"/>
        <v>rob</v>
      </c>
    </row>
    <row r="3747" spans="1:23">
      <c r="A3747" t="str">
        <f>"PLC-SIEMENS-PN"</f>
        <v>PLC-SIEMENS-PN</v>
      </c>
      <c r="B3747" t="str">
        <f>"411803"</f>
        <v>411803</v>
      </c>
      <c r="C3747" t="str">
        <f>"European Power cable 220 V"</f>
        <v>European Power cable 220 V</v>
      </c>
      <c r="D3747">
        <v>1</v>
      </c>
      <c r="E3747" t="str">
        <f>"Siemens S7 PLC &amp; Cabinet (PROFINET)"</f>
        <v>Siemens S7 PLC &amp; Cabinet (PROFINET)</v>
      </c>
      <c r="F3747">
        <v>530</v>
      </c>
      <c r="G3747" t="str">
        <f t="shared" si="942"/>
        <v>Y</v>
      </c>
      <c r="H3747" t="str">
        <f t="shared" si="947"/>
        <v>EA</v>
      </c>
      <c r="I3747">
        <v>0</v>
      </c>
      <c r="J3747">
        <v>0</v>
      </c>
      <c r="K3747" t="str">
        <f t="shared" si="943"/>
        <v>Y</v>
      </c>
      <c r="L3747">
        <v>0</v>
      </c>
      <c r="M3747" t="str">
        <f t="shared" si="946"/>
        <v>NIS</v>
      </c>
      <c r="O3747">
        <v>3</v>
      </c>
      <c r="P3747" t="str">
        <f t="shared" si="948"/>
        <v>Active</v>
      </c>
      <c r="Q3747" t="str">
        <f>"European Power cable 220 V"</f>
        <v>European Power cable 220 V</v>
      </c>
      <c r="R3747" t="str">
        <f>"1"</f>
        <v>1</v>
      </c>
      <c r="S3747" t="str">
        <f>"European Power cable 220 V"</f>
        <v>European Power cable 220 V</v>
      </c>
      <c r="T3747">
        <v>0</v>
      </c>
      <c r="U3747">
        <v>2.2000000000000002</v>
      </c>
      <c r="V3747">
        <v>1.67</v>
      </c>
      <c r="W3747" t="str">
        <f t="shared" si="944"/>
        <v>rob</v>
      </c>
    </row>
    <row r="3748" spans="1:23">
      <c r="A3748" t="str">
        <f>"PLC-SIEMENS-PRO"</f>
        <v>PLC-SIEMENS-PRO</v>
      </c>
      <c r="B3748" t="str">
        <f>"10-2119-5000"</f>
        <v>10-2119-5000</v>
      </c>
      <c r="C3748" t="str">
        <f>"CIM PLC Cabinet Siemens PROFIBUS"</f>
        <v>CIM PLC Cabinet Siemens PROFIBUS</v>
      </c>
      <c r="D3748">
        <v>1</v>
      </c>
      <c r="E3748" t="str">
        <f>"Siemens S7 PLC &amp; Cabinet (PROFIBUS)"</f>
        <v>Siemens S7 PLC &amp; Cabinet (PROFIBUS)</v>
      </c>
      <c r="F3748">
        <v>530</v>
      </c>
      <c r="G3748" t="str">
        <f t="shared" si="942"/>
        <v>Y</v>
      </c>
      <c r="H3748" t="str">
        <f t="shared" si="947"/>
        <v>EA</v>
      </c>
      <c r="I3748">
        <v>0</v>
      </c>
      <c r="J3748">
        <v>0</v>
      </c>
      <c r="K3748" t="str">
        <f t="shared" si="943"/>
        <v>Y</v>
      </c>
      <c r="L3748">
        <v>0</v>
      </c>
      <c r="M3748" t="str">
        <f t="shared" si="946"/>
        <v>NIS</v>
      </c>
      <c r="O3748">
        <v>1</v>
      </c>
      <c r="P3748" t="str">
        <f t="shared" si="948"/>
        <v>Active</v>
      </c>
      <c r="Q3748" t="str">
        <f>"CIM PLC Cabinet Siemens PROFIBUS"</f>
        <v>CIM PLC Cabinet Siemens PROFIBUS</v>
      </c>
      <c r="S3748" t="str">
        <f>"CIM PLC Cabinet Siemens PROFIBUS"</f>
        <v>CIM PLC Cabinet Siemens PROFIBUS</v>
      </c>
      <c r="T3748">
        <v>0</v>
      </c>
      <c r="U3748" s="44">
        <v>2990.13</v>
      </c>
      <c r="V3748" s="44">
        <v>2931.97</v>
      </c>
      <c r="W3748" t="str">
        <f t="shared" si="944"/>
        <v>rob</v>
      </c>
    </row>
    <row r="3749" spans="1:23">
      <c r="A3749" t="str">
        <f>"PLC-SIEMENS-PRO"</f>
        <v>PLC-SIEMENS-PRO</v>
      </c>
      <c r="B3749" t="str">
        <f>"10-2111-9000"</f>
        <v>10-2111-9000</v>
      </c>
      <c r="C3749" t="str">
        <f>"Cable Duct to Ctrl. Cabinet"</f>
        <v>Cable Duct to Ctrl. Cabinet</v>
      </c>
      <c r="D3749">
        <v>1</v>
      </c>
      <c r="E3749" t="str">
        <f>"Siemens S7 PLC &amp; Cabinet (PROFIBUS)"</f>
        <v>Siemens S7 PLC &amp; Cabinet (PROFIBUS)</v>
      </c>
      <c r="F3749">
        <v>530</v>
      </c>
      <c r="G3749" t="str">
        <f t="shared" si="942"/>
        <v>Y</v>
      </c>
      <c r="H3749" t="str">
        <f t="shared" si="947"/>
        <v>EA</v>
      </c>
      <c r="I3749">
        <v>0</v>
      </c>
      <c r="J3749">
        <v>0</v>
      </c>
      <c r="K3749" t="str">
        <f t="shared" si="943"/>
        <v>Y</v>
      </c>
      <c r="L3749">
        <v>0</v>
      </c>
      <c r="M3749" t="str">
        <f t="shared" si="946"/>
        <v>NIS</v>
      </c>
      <c r="O3749">
        <v>2</v>
      </c>
      <c r="P3749" t="str">
        <f t="shared" si="948"/>
        <v>Active</v>
      </c>
      <c r="Q3749" t="str">
        <f>"Cable Duct to Ctrl. Cabinet"</f>
        <v>Cable Duct to Ctrl. Cabinet</v>
      </c>
      <c r="S3749" t="str">
        <f>"Cable Duct to Ctrl. Cabinet"</f>
        <v>Cable Duct to Ctrl. Cabinet</v>
      </c>
      <c r="T3749">
        <v>0</v>
      </c>
      <c r="U3749">
        <v>83</v>
      </c>
      <c r="V3749">
        <v>85.05</v>
      </c>
      <c r="W3749" t="str">
        <f t="shared" si="944"/>
        <v>rob</v>
      </c>
    </row>
    <row r="3750" spans="1:23">
      <c r="A3750" t="str">
        <f>"PLC-SIEMENS-PRO"</f>
        <v>PLC-SIEMENS-PRO</v>
      </c>
      <c r="B3750" t="str">
        <f>"411803"</f>
        <v>411803</v>
      </c>
      <c r="C3750" t="str">
        <f>"European Power cable 220 V"</f>
        <v>European Power cable 220 V</v>
      </c>
      <c r="D3750">
        <v>1</v>
      </c>
      <c r="E3750" t="str">
        <f>"Siemens S7 PLC &amp; Cabinet (PROFIBUS)"</f>
        <v>Siemens S7 PLC &amp; Cabinet (PROFIBUS)</v>
      </c>
      <c r="F3750">
        <v>530</v>
      </c>
      <c r="G3750" t="str">
        <f t="shared" si="942"/>
        <v>Y</v>
      </c>
      <c r="H3750" t="str">
        <f t="shared" si="947"/>
        <v>EA</v>
      </c>
      <c r="I3750">
        <v>0</v>
      </c>
      <c r="J3750">
        <v>0</v>
      </c>
      <c r="K3750" t="str">
        <f t="shared" si="943"/>
        <v>Y</v>
      </c>
      <c r="L3750">
        <v>0</v>
      </c>
      <c r="M3750" t="str">
        <f t="shared" si="946"/>
        <v>NIS</v>
      </c>
      <c r="O3750">
        <v>3</v>
      </c>
      <c r="P3750" t="str">
        <f t="shared" si="948"/>
        <v>Active</v>
      </c>
      <c r="Q3750" t="str">
        <f>"European Power cable 220 V"</f>
        <v>European Power cable 220 V</v>
      </c>
      <c r="R3750" t="str">
        <f>"1"</f>
        <v>1</v>
      </c>
      <c r="S3750" t="str">
        <f>"European Power cable 220 V"</f>
        <v>European Power cable 220 V</v>
      </c>
      <c r="T3750">
        <v>0</v>
      </c>
      <c r="U3750">
        <v>2.2000000000000002</v>
      </c>
      <c r="V3750">
        <v>1.67</v>
      </c>
      <c r="W3750" t="str">
        <f t="shared" si="944"/>
        <v>rob</v>
      </c>
    </row>
    <row r="3751" spans="1:23">
      <c r="A3751" t="str">
        <f>"PL-THERMO-FRM"</f>
        <v>PL-THERMO-FRM</v>
      </c>
      <c r="B3751" t="str">
        <f>"00-4006-0000"</f>
        <v>00-4006-0000</v>
      </c>
      <c r="C3751" t="str">
        <f>"Thermoforming Machine 911"</f>
        <v>Thermoforming Machine 911</v>
      </c>
      <c r="D3751">
        <v>1</v>
      </c>
      <c r="E3751" t="str">
        <f>"Thermoforming Center Bundle, Includes machine 15 hours curriculum and accessories"</f>
        <v>Thermoforming Center Bundle, Includes machine 15 hours curriculum and accessories</v>
      </c>
      <c r="F3751">
        <v>0</v>
      </c>
      <c r="G3751" t="str">
        <f t="shared" si="942"/>
        <v>Y</v>
      </c>
      <c r="H3751" t="str">
        <f t="shared" si="947"/>
        <v>EA</v>
      </c>
      <c r="I3751">
        <v>0</v>
      </c>
      <c r="J3751">
        <v>0</v>
      </c>
      <c r="K3751" t="str">
        <f t="shared" si="943"/>
        <v>Y</v>
      </c>
      <c r="L3751">
        <v>0</v>
      </c>
      <c r="M3751" t="str">
        <f t="shared" si="946"/>
        <v>NIS</v>
      </c>
      <c r="O3751">
        <v>1</v>
      </c>
      <c r="P3751" t="str">
        <f t="shared" si="948"/>
        <v>Active</v>
      </c>
      <c r="Q3751" t="str">
        <f>"Thermoforming Machine 911"</f>
        <v>Thermoforming Machine 911</v>
      </c>
      <c r="S3751" t="str">
        <f>"Thermoforming Machine 911"</f>
        <v>Thermoforming Machine 911</v>
      </c>
      <c r="T3751">
        <v>0</v>
      </c>
      <c r="U3751" s="44">
        <v>10085.6</v>
      </c>
      <c r="V3751" s="44">
        <v>10886.33</v>
      </c>
      <c r="W3751" t="str">
        <f>"zintel"</f>
        <v>zintel</v>
      </c>
    </row>
    <row r="3752" spans="1:23">
      <c r="A3752" t="str">
        <f>"PL-THERMO-FRM"</f>
        <v>PL-THERMO-FRM</v>
      </c>
      <c r="B3752" t="str">
        <f>"00-4008-0000"</f>
        <v>00-4008-0000</v>
      </c>
      <c r="C3752" t="str">
        <f>"Accessories for thermoforming,  AMT"</f>
        <v>Accessories for thermoforming,  AMT</v>
      </c>
      <c r="D3752">
        <v>1</v>
      </c>
      <c r="E3752" t="str">
        <f>"Thermoforming Center Bundle, Includes machine 15 hours curriculum and accessories"</f>
        <v>Thermoforming Center Bundle, Includes machine 15 hours curriculum and accessories</v>
      </c>
      <c r="F3752">
        <v>0</v>
      </c>
      <c r="G3752" t="str">
        <f t="shared" si="942"/>
        <v>Y</v>
      </c>
      <c r="H3752" t="str">
        <f t="shared" si="947"/>
        <v>EA</v>
      </c>
      <c r="I3752">
        <v>0</v>
      </c>
      <c r="J3752">
        <v>0</v>
      </c>
      <c r="K3752" t="str">
        <f t="shared" si="943"/>
        <v>Y</v>
      </c>
      <c r="L3752">
        <v>0</v>
      </c>
      <c r="M3752" t="str">
        <f t="shared" si="946"/>
        <v>NIS</v>
      </c>
      <c r="O3752">
        <v>2</v>
      </c>
      <c r="P3752" t="str">
        <f t="shared" si="948"/>
        <v>Active</v>
      </c>
      <c r="Q3752" t="str">
        <f>"Accessories for thermoforming,  AMT"</f>
        <v>Accessories for thermoforming,  AMT</v>
      </c>
      <c r="S3752" t="str">
        <f>"Accessories for thermoforming,  AMT"</f>
        <v>Accessories for thermoforming,  AMT</v>
      </c>
      <c r="T3752">
        <v>0</v>
      </c>
      <c r="U3752">
        <v>773.27</v>
      </c>
      <c r="V3752">
        <v>773.99</v>
      </c>
      <c r="W3752" t="str">
        <f>"zintel"</f>
        <v>zintel</v>
      </c>
    </row>
    <row r="3753" spans="1:23">
      <c r="A3753" t="str">
        <f>"PL-THERMO-FRM"</f>
        <v>PL-THERMO-FRM</v>
      </c>
      <c r="B3753" t="str">
        <f>"77-8057-0000"</f>
        <v>77-8057-0000</v>
      </c>
      <c r="C3753" t="str">
        <f>"LM7 Content, Lab/Vir, Plastics Thermoforming"</f>
        <v>LM7 Content, Lab/Vir, Plastics Thermoforming</v>
      </c>
      <c r="D3753">
        <v>1</v>
      </c>
      <c r="E3753" t="str">
        <f>"Thermoforming Center Bundle, Includes machine 15 hours curriculum and accessories"</f>
        <v>Thermoforming Center Bundle, Includes machine 15 hours curriculum and accessories</v>
      </c>
      <c r="F3753">
        <v>0</v>
      </c>
      <c r="G3753" t="str">
        <f t="shared" si="942"/>
        <v>Y</v>
      </c>
      <c r="H3753" t="str">
        <f t="shared" si="947"/>
        <v>EA</v>
      </c>
      <c r="I3753">
        <v>0</v>
      </c>
      <c r="J3753">
        <v>0</v>
      </c>
      <c r="K3753" t="str">
        <f t="shared" si="943"/>
        <v>Y</v>
      </c>
      <c r="L3753">
        <v>0</v>
      </c>
      <c r="M3753" t="str">
        <f t="shared" si="946"/>
        <v>NIS</v>
      </c>
      <c r="O3753">
        <v>3</v>
      </c>
      <c r="P3753" t="str">
        <f t="shared" si="948"/>
        <v>Active</v>
      </c>
      <c r="Q3753" t="str">
        <f>"LM7 Content, Lab/Vir, Plastics Thermoforming"</f>
        <v>LM7 Content, Lab/Vir, Plastics Thermoforming</v>
      </c>
      <c r="S3753" t="str">
        <f>"LM7 Content, Lab/Vir, Plastics Thermoforming"</f>
        <v>LM7 Content, Lab/Vir, Plastics Thermoforming</v>
      </c>
      <c r="T3753">
        <v>0</v>
      </c>
      <c r="U3753">
        <v>5</v>
      </c>
      <c r="V3753">
        <v>5</v>
      </c>
      <c r="W3753" t="str">
        <f>"zintel"</f>
        <v>zintel</v>
      </c>
    </row>
    <row r="3754" spans="1:23">
      <c r="A3754" t="str">
        <f>"PLTR-AB-12M"</f>
        <v>PLTR-AB-12M</v>
      </c>
      <c r="B3754" t="str">
        <f>"10-2113-6000"</f>
        <v>10-2113-6000</v>
      </c>
      <c r="C3754" t="str">
        <f>"Conveyor stop assembly"</f>
        <v>Conveyor stop assembly</v>
      </c>
      <c r="D3754">
        <v>1</v>
      </c>
      <c r="E3754" t="str">
        <f>"Stop Station - ALLEN BRADLEY (12m cable)"</f>
        <v>Stop Station - ALLEN BRADLEY (12m cable)</v>
      </c>
      <c r="F3754">
        <v>531</v>
      </c>
      <c r="G3754" t="str">
        <f t="shared" si="942"/>
        <v>Y</v>
      </c>
      <c r="H3754" t="str">
        <f t="shared" si="947"/>
        <v>EA</v>
      </c>
      <c r="I3754">
        <v>0</v>
      </c>
      <c r="J3754">
        <v>0</v>
      </c>
      <c r="K3754" t="str">
        <f t="shared" si="943"/>
        <v>Y</v>
      </c>
      <c r="L3754">
        <v>0</v>
      </c>
      <c r="M3754" t="str">
        <f t="shared" si="946"/>
        <v>NIS</v>
      </c>
      <c r="O3754">
        <v>1</v>
      </c>
      <c r="P3754" t="str">
        <f t="shared" si="948"/>
        <v>Active</v>
      </c>
      <c r="Q3754" t="str">
        <f>"Conveyor stop assembly for work station"</f>
        <v>Conveyor stop assembly for work station</v>
      </c>
      <c r="S3754" t="str">
        <f>"Conveyor stop assembly for work station"</f>
        <v>Conveyor stop assembly for work station</v>
      </c>
      <c r="T3754">
        <v>0</v>
      </c>
      <c r="U3754">
        <v>740</v>
      </c>
      <c r="V3754">
        <v>693.67</v>
      </c>
      <c r="W3754" t="str">
        <f t="shared" ref="W3754:W3817" si="949">"rob"</f>
        <v>rob</v>
      </c>
    </row>
    <row r="3755" spans="1:23">
      <c r="A3755" t="str">
        <f>"PLTR-AB-12M"</f>
        <v>PLTR-AB-12M</v>
      </c>
      <c r="B3755" t="str">
        <f>"10-2112-2000"</f>
        <v>10-2112-2000</v>
      </c>
      <c r="C3755" t="str">
        <f>"CIM Station Indicator Lights"</f>
        <v>CIM Station Indicator Lights</v>
      </c>
      <c r="D3755">
        <v>1</v>
      </c>
      <c r="E3755" t="str">
        <f>"Stop Station - ALLEN BRADLEY (12m cable)"</f>
        <v>Stop Station - ALLEN BRADLEY (12m cable)</v>
      </c>
      <c r="F3755">
        <v>531</v>
      </c>
      <c r="G3755" t="str">
        <f t="shared" si="942"/>
        <v>Y</v>
      </c>
      <c r="H3755" t="str">
        <f t="shared" si="947"/>
        <v>EA</v>
      </c>
      <c r="I3755">
        <v>0</v>
      </c>
      <c r="J3755">
        <v>0</v>
      </c>
      <c r="K3755" t="str">
        <f t="shared" si="943"/>
        <v>Y</v>
      </c>
      <c r="L3755">
        <v>0</v>
      </c>
      <c r="M3755" t="str">
        <f t="shared" si="946"/>
        <v>NIS</v>
      </c>
      <c r="O3755">
        <v>2</v>
      </c>
      <c r="P3755" t="str">
        <f t="shared" si="948"/>
        <v>Active</v>
      </c>
      <c r="Q3755" t="str">
        <f>"Stop Station Status Light"</f>
        <v>Stop Station Status Light</v>
      </c>
      <c r="S3755" t="str">
        <f>"CIM Station Indicator Lights"</f>
        <v>CIM Station Indicator Lights</v>
      </c>
      <c r="T3755">
        <v>0</v>
      </c>
      <c r="U3755">
        <v>165</v>
      </c>
      <c r="V3755">
        <v>164.45</v>
      </c>
      <c r="W3755" t="str">
        <f t="shared" si="949"/>
        <v>rob</v>
      </c>
    </row>
    <row r="3756" spans="1:23">
      <c r="A3756" t="str">
        <f>"PLTR-AB-12M"</f>
        <v>PLTR-AB-12M</v>
      </c>
      <c r="B3756" t="str">
        <f>"10-2111-3000"</f>
        <v>10-2111-3000</v>
      </c>
      <c r="C3756" t="str">
        <f>"Pallet (with magnetic code)"</f>
        <v>Pallet (with magnetic code)</v>
      </c>
      <c r="D3756">
        <v>2</v>
      </c>
      <c r="E3756" t="str">
        <f>"Stop Station - ALLEN BRADLEY (12m cable)"</f>
        <v>Stop Station - ALLEN BRADLEY (12m cable)</v>
      </c>
      <c r="F3756">
        <v>531</v>
      </c>
      <c r="G3756" t="str">
        <f t="shared" si="942"/>
        <v>Y</v>
      </c>
      <c r="H3756" t="str">
        <f t="shared" si="947"/>
        <v>EA</v>
      </c>
      <c r="I3756">
        <v>0</v>
      </c>
      <c r="J3756">
        <v>0</v>
      </c>
      <c r="K3756" t="str">
        <f t="shared" si="943"/>
        <v>Y</v>
      </c>
      <c r="L3756">
        <v>0</v>
      </c>
      <c r="M3756" t="str">
        <f t="shared" si="946"/>
        <v>NIS</v>
      </c>
      <c r="O3756">
        <v>3</v>
      </c>
      <c r="P3756" t="str">
        <f t="shared" si="948"/>
        <v>Active</v>
      </c>
      <c r="Q3756" t="str">
        <f>"Pallet (with magnetic code)"</f>
        <v>Pallet (with magnetic code)</v>
      </c>
      <c r="S3756" t="str">
        <f>"Pallet (with magnetic code)"</f>
        <v>Pallet (with magnetic code)</v>
      </c>
      <c r="T3756">
        <v>0</v>
      </c>
      <c r="U3756">
        <v>75</v>
      </c>
      <c r="V3756">
        <v>71.489999999999995</v>
      </c>
      <c r="W3756" t="str">
        <f t="shared" si="949"/>
        <v>rob</v>
      </c>
    </row>
    <row r="3757" spans="1:23">
      <c r="A3757" t="str">
        <f>"PLTR-AB-12M"</f>
        <v>PLTR-AB-12M</v>
      </c>
      <c r="B3757" t="str">
        <f>"10-4049-2000"</f>
        <v>10-4049-2000</v>
      </c>
      <c r="C3757" t="str">
        <f>"12m Stop Station I/O Cable"</f>
        <v>12m Stop Station I/O Cable</v>
      </c>
      <c r="D3757">
        <v>1</v>
      </c>
      <c r="E3757" t="str">
        <f>"Stop Station - ALLEN BRADLEY (12m cable)"</f>
        <v>Stop Station - ALLEN BRADLEY (12m cable)</v>
      </c>
      <c r="F3757">
        <v>531</v>
      </c>
      <c r="G3757" t="str">
        <f t="shared" si="942"/>
        <v>Y</v>
      </c>
      <c r="H3757" t="str">
        <f t="shared" si="947"/>
        <v>EA</v>
      </c>
      <c r="I3757">
        <v>0</v>
      </c>
      <c r="J3757">
        <v>0</v>
      </c>
      <c r="K3757" t="str">
        <f t="shared" si="943"/>
        <v>Y</v>
      </c>
      <c r="L3757">
        <v>0</v>
      </c>
      <c r="M3757" t="str">
        <f t="shared" si="946"/>
        <v>NIS</v>
      </c>
      <c r="O3757">
        <v>4</v>
      </c>
      <c r="P3757" t="str">
        <f t="shared" si="948"/>
        <v>Active</v>
      </c>
      <c r="Q3757" t="str">
        <f>"12m Stop Station I/O Cable"</f>
        <v>12m Stop Station I/O Cable</v>
      </c>
      <c r="S3757" t="str">
        <f>"12m Stop Station I/O Cable"</f>
        <v>12m Stop Station I/O Cable</v>
      </c>
      <c r="T3757">
        <v>0</v>
      </c>
      <c r="U3757">
        <v>33.799999999999997</v>
      </c>
      <c r="V3757">
        <v>32.04</v>
      </c>
      <c r="W3757" t="str">
        <f t="shared" si="949"/>
        <v>rob</v>
      </c>
    </row>
    <row r="3758" spans="1:23">
      <c r="A3758" t="str">
        <f>"PLTR-AB-12M"</f>
        <v>PLTR-AB-12M</v>
      </c>
      <c r="B3758" t="str">
        <f>"50-0053-0000"</f>
        <v>50-0053-0000</v>
      </c>
      <c r="C3758" t="str">
        <f>"Pallet Tracking Stop Station Wiring"</f>
        <v>Pallet Tracking Stop Station Wiring</v>
      </c>
      <c r="D3758">
        <v>1</v>
      </c>
      <c r="E3758" t="str">
        <f>"Stop Station - ALLEN BRADLEY (12m cable)"</f>
        <v>Stop Station - ALLEN BRADLEY (12m cable)</v>
      </c>
      <c r="F3758">
        <v>531</v>
      </c>
      <c r="G3758" t="str">
        <f t="shared" si="942"/>
        <v>Y</v>
      </c>
      <c r="H3758" t="str">
        <f t="shared" si="947"/>
        <v>EA</v>
      </c>
      <c r="I3758">
        <v>0</v>
      </c>
      <c r="J3758">
        <v>0</v>
      </c>
      <c r="K3758" t="str">
        <f t="shared" si="943"/>
        <v>Y</v>
      </c>
      <c r="L3758">
        <v>0</v>
      </c>
      <c r="M3758" t="str">
        <f t="shared" si="946"/>
        <v>NIS</v>
      </c>
      <c r="N3758" t="str">
        <f>"Y"</f>
        <v>Y</v>
      </c>
      <c r="O3758">
        <v>5</v>
      </c>
      <c r="P3758" t="str">
        <f t="shared" si="948"/>
        <v>Active</v>
      </c>
      <c r="Q3758" t="str">
        <f>"Pallet Tracking Stop Station Wiring"</f>
        <v>Pallet Tracking Stop Station Wiring</v>
      </c>
      <c r="S3758" t="str">
        <f>"Pallet Tracking Stop Station Wiring"</f>
        <v>Pallet Tracking Stop Station Wiring</v>
      </c>
      <c r="T3758">
        <v>0</v>
      </c>
      <c r="U3758">
        <v>400</v>
      </c>
      <c r="V3758">
        <v>400</v>
      </c>
      <c r="W3758" t="str">
        <f t="shared" si="949"/>
        <v>rob</v>
      </c>
    </row>
    <row r="3759" spans="1:23">
      <c r="A3759" t="str">
        <f>"PLTR-AB-15M"</f>
        <v>PLTR-AB-15M</v>
      </c>
      <c r="B3759" t="str">
        <f>"10-2113-6000"</f>
        <v>10-2113-6000</v>
      </c>
      <c r="C3759" t="str">
        <f>"Conveyor stop assembly"</f>
        <v>Conveyor stop assembly</v>
      </c>
      <c r="D3759">
        <v>1</v>
      </c>
      <c r="E3759" t="str">
        <f>"Stop Station - ALLEN BRADLEY (15m cable)"</f>
        <v>Stop Station - ALLEN BRADLEY (15m cable)</v>
      </c>
      <c r="F3759">
        <v>531</v>
      </c>
      <c r="G3759" t="str">
        <f t="shared" si="942"/>
        <v>Y</v>
      </c>
      <c r="H3759" t="str">
        <f t="shared" si="947"/>
        <v>EA</v>
      </c>
      <c r="I3759">
        <v>0</v>
      </c>
      <c r="J3759">
        <v>0</v>
      </c>
      <c r="K3759" t="str">
        <f t="shared" si="943"/>
        <v>Y</v>
      </c>
      <c r="L3759">
        <v>0</v>
      </c>
      <c r="M3759" t="str">
        <f t="shared" si="946"/>
        <v>NIS</v>
      </c>
      <c r="O3759">
        <v>1</v>
      </c>
      <c r="P3759" t="str">
        <f t="shared" si="948"/>
        <v>Active</v>
      </c>
      <c r="Q3759" t="str">
        <f>"Conveyor stop assembly for work station"</f>
        <v>Conveyor stop assembly for work station</v>
      </c>
      <c r="S3759" t="str">
        <f>"Conveyor stop assembly for work station"</f>
        <v>Conveyor stop assembly for work station</v>
      </c>
      <c r="T3759">
        <v>0</v>
      </c>
      <c r="U3759">
        <v>740</v>
      </c>
      <c r="V3759">
        <v>693.67</v>
      </c>
      <c r="W3759" t="str">
        <f t="shared" si="949"/>
        <v>rob</v>
      </c>
    </row>
    <row r="3760" spans="1:23">
      <c r="A3760" t="str">
        <f>"PLTR-AB-15M"</f>
        <v>PLTR-AB-15M</v>
      </c>
      <c r="B3760" t="str">
        <f>"10-2112-2000"</f>
        <v>10-2112-2000</v>
      </c>
      <c r="C3760" t="str">
        <f>"CIM Station Indicator Lights"</f>
        <v>CIM Station Indicator Lights</v>
      </c>
      <c r="D3760">
        <v>1</v>
      </c>
      <c r="E3760" t="str">
        <f>"Stop Station - ALLEN BRADLEY (15m cable)"</f>
        <v>Stop Station - ALLEN BRADLEY (15m cable)</v>
      </c>
      <c r="F3760">
        <v>531</v>
      </c>
      <c r="G3760" t="str">
        <f t="shared" si="942"/>
        <v>Y</v>
      </c>
      <c r="H3760" t="str">
        <f t="shared" si="947"/>
        <v>EA</v>
      </c>
      <c r="I3760">
        <v>0</v>
      </c>
      <c r="J3760">
        <v>0</v>
      </c>
      <c r="K3760" t="str">
        <f t="shared" si="943"/>
        <v>Y</v>
      </c>
      <c r="L3760">
        <v>0</v>
      </c>
      <c r="M3760" t="str">
        <f t="shared" si="946"/>
        <v>NIS</v>
      </c>
      <c r="O3760">
        <v>2</v>
      </c>
      <c r="P3760" t="str">
        <f t="shared" si="948"/>
        <v>Active</v>
      </c>
      <c r="Q3760" t="str">
        <f>"Stop Station Status Light"</f>
        <v>Stop Station Status Light</v>
      </c>
      <c r="S3760" t="str">
        <f>"CIM Station Indicator Lights"</f>
        <v>CIM Station Indicator Lights</v>
      </c>
      <c r="T3760">
        <v>0</v>
      </c>
      <c r="U3760">
        <v>165</v>
      </c>
      <c r="V3760">
        <v>164.45</v>
      </c>
      <c r="W3760" t="str">
        <f t="shared" si="949"/>
        <v>rob</v>
      </c>
    </row>
    <row r="3761" spans="1:23">
      <c r="A3761" t="str">
        <f>"PLTR-AB-15M"</f>
        <v>PLTR-AB-15M</v>
      </c>
      <c r="B3761" t="str">
        <f>"10-2111-3000"</f>
        <v>10-2111-3000</v>
      </c>
      <c r="C3761" t="str">
        <f>"Pallet (with magnetic code)"</f>
        <v>Pallet (with magnetic code)</v>
      </c>
      <c r="D3761">
        <v>2</v>
      </c>
      <c r="E3761" t="str">
        <f>"Stop Station - ALLEN BRADLEY (15m cable)"</f>
        <v>Stop Station - ALLEN BRADLEY (15m cable)</v>
      </c>
      <c r="F3761">
        <v>531</v>
      </c>
      <c r="G3761" t="str">
        <f t="shared" si="942"/>
        <v>Y</v>
      </c>
      <c r="H3761" t="str">
        <f t="shared" si="947"/>
        <v>EA</v>
      </c>
      <c r="I3761">
        <v>0</v>
      </c>
      <c r="J3761">
        <v>0</v>
      </c>
      <c r="K3761" t="str">
        <f t="shared" si="943"/>
        <v>Y</v>
      </c>
      <c r="L3761">
        <v>0</v>
      </c>
      <c r="M3761" t="str">
        <f t="shared" si="946"/>
        <v>NIS</v>
      </c>
      <c r="O3761">
        <v>3</v>
      </c>
      <c r="P3761" t="str">
        <f t="shared" si="948"/>
        <v>Active</v>
      </c>
      <c r="Q3761" t="str">
        <f>"Pallet (with magnetic code)"</f>
        <v>Pallet (with magnetic code)</v>
      </c>
      <c r="S3761" t="str">
        <f>"Pallet (with magnetic code)"</f>
        <v>Pallet (with magnetic code)</v>
      </c>
      <c r="T3761">
        <v>0</v>
      </c>
      <c r="U3761">
        <v>75</v>
      </c>
      <c r="V3761">
        <v>71.489999999999995</v>
      </c>
      <c r="W3761" t="str">
        <f t="shared" si="949"/>
        <v>rob</v>
      </c>
    </row>
    <row r="3762" spans="1:23">
      <c r="A3762" t="str">
        <f>"PLTR-AB-15M"</f>
        <v>PLTR-AB-15M</v>
      </c>
      <c r="B3762" t="str">
        <f>"10-4049-3000"</f>
        <v>10-4049-3000</v>
      </c>
      <c r="C3762" t="str">
        <f>"15m Stop Station I/O Cable"</f>
        <v>15m Stop Station I/O Cable</v>
      </c>
      <c r="D3762">
        <v>1</v>
      </c>
      <c r="E3762" t="str">
        <f>"Stop Station - ALLEN BRADLEY (15m cable)"</f>
        <v>Stop Station - ALLEN BRADLEY (15m cable)</v>
      </c>
      <c r="F3762">
        <v>531</v>
      </c>
      <c r="G3762" t="str">
        <f t="shared" si="942"/>
        <v>Y</v>
      </c>
      <c r="H3762" t="str">
        <f t="shared" si="947"/>
        <v>EA</v>
      </c>
      <c r="I3762">
        <v>0</v>
      </c>
      <c r="J3762">
        <v>0</v>
      </c>
      <c r="K3762" t="str">
        <f t="shared" si="943"/>
        <v>Y</v>
      </c>
      <c r="L3762">
        <v>0</v>
      </c>
      <c r="M3762" t="str">
        <f t="shared" si="946"/>
        <v>NIS</v>
      </c>
      <c r="O3762">
        <v>4</v>
      </c>
      <c r="P3762" t="str">
        <f t="shared" si="948"/>
        <v>Active</v>
      </c>
      <c r="Q3762" t="str">
        <f>"15m Stop Station I/O Cable"</f>
        <v>15m Stop Station I/O Cable</v>
      </c>
      <c r="S3762" t="str">
        <f>"15m Stop Station I/O Cable"</f>
        <v>15m Stop Station I/O Cable</v>
      </c>
      <c r="T3762">
        <v>0</v>
      </c>
      <c r="U3762">
        <v>0</v>
      </c>
      <c r="V3762">
        <v>39.15</v>
      </c>
      <c r="W3762" t="str">
        <f t="shared" si="949"/>
        <v>rob</v>
      </c>
    </row>
    <row r="3763" spans="1:23">
      <c r="A3763" t="str">
        <f>"PLTR-AB-15M"</f>
        <v>PLTR-AB-15M</v>
      </c>
      <c r="B3763" t="str">
        <f>"50-0053-0000"</f>
        <v>50-0053-0000</v>
      </c>
      <c r="C3763" t="str">
        <f>"Pallet Tracking Stop Station Wiring"</f>
        <v>Pallet Tracking Stop Station Wiring</v>
      </c>
      <c r="D3763">
        <v>1</v>
      </c>
      <c r="E3763" t="str">
        <f>"Stop Station - ALLEN BRADLEY (15m cable)"</f>
        <v>Stop Station - ALLEN BRADLEY (15m cable)</v>
      </c>
      <c r="F3763">
        <v>531</v>
      </c>
      <c r="G3763" t="str">
        <f t="shared" si="942"/>
        <v>Y</v>
      </c>
      <c r="H3763" t="str">
        <f t="shared" si="947"/>
        <v>EA</v>
      </c>
      <c r="I3763">
        <v>0</v>
      </c>
      <c r="J3763">
        <v>0</v>
      </c>
      <c r="K3763" t="str">
        <f t="shared" si="943"/>
        <v>Y</v>
      </c>
      <c r="L3763">
        <v>0</v>
      </c>
      <c r="M3763" t="str">
        <f t="shared" si="946"/>
        <v>NIS</v>
      </c>
      <c r="N3763" t="str">
        <f>"Y"</f>
        <v>Y</v>
      </c>
      <c r="O3763">
        <v>5</v>
      </c>
      <c r="P3763" t="str">
        <f t="shared" si="948"/>
        <v>Active</v>
      </c>
      <c r="Q3763" t="str">
        <f>"Pallet Tracking Stop Station Wiring"</f>
        <v>Pallet Tracking Stop Station Wiring</v>
      </c>
      <c r="S3763" t="str">
        <f>"Pallet Tracking Stop Station Wiring"</f>
        <v>Pallet Tracking Stop Station Wiring</v>
      </c>
      <c r="T3763">
        <v>0</v>
      </c>
      <c r="U3763">
        <v>400</v>
      </c>
      <c r="V3763">
        <v>400</v>
      </c>
      <c r="W3763" t="str">
        <f t="shared" si="949"/>
        <v>rob</v>
      </c>
    </row>
    <row r="3764" spans="1:23">
      <c r="A3764" t="str">
        <f>"PLTR-AB-6M"</f>
        <v>PLTR-AB-6M</v>
      </c>
      <c r="B3764" t="str">
        <f>"10-2113-6000"</f>
        <v>10-2113-6000</v>
      </c>
      <c r="C3764" t="str">
        <f>"Conveyor stop assembly"</f>
        <v>Conveyor stop assembly</v>
      </c>
      <c r="D3764">
        <v>1</v>
      </c>
      <c r="E3764" t="str">
        <f>"Stop Station - ALLEN BRADLEY (6m cable)"</f>
        <v>Stop Station - ALLEN BRADLEY (6m cable)</v>
      </c>
      <c r="F3764">
        <v>531</v>
      </c>
      <c r="G3764" t="str">
        <f t="shared" si="942"/>
        <v>Y</v>
      </c>
      <c r="H3764" t="str">
        <f t="shared" si="947"/>
        <v>EA</v>
      </c>
      <c r="I3764">
        <v>0</v>
      </c>
      <c r="J3764">
        <v>0</v>
      </c>
      <c r="K3764" t="str">
        <f t="shared" si="943"/>
        <v>Y</v>
      </c>
      <c r="L3764">
        <v>0</v>
      </c>
      <c r="M3764" t="str">
        <f t="shared" si="946"/>
        <v>NIS</v>
      </c>
      <c r="O3764">
        <v>1</v>
      </c>
      <c r="P3764" t="str">
        <f t="shared" si="948"/>
        <v>Active</v>
      </c>
      <c r="Q3764" t="str">
        <f>"Conveyor stop assembly for work station"</f>
        <v>Conveyor stop assembly for work station</v>
      </c>
      <c r="S3764" t="str">
        <f>"Conveyor stop assembly for work station"</f>
        <v>Conveyor stop assembly for work station</v>
      </c>
      <c r="T3764">
        <v>0</v>
      </c>
      <c r="U3764">
        <v>740</v>
      </c>
      <c r="V3764">
        <v>693.67</v>
      </c>
      <c r="W3764" t="str">
        <f t="shared" si="949"/>
        <v>rob</v>
      </c>
    </row>
    <row r="3765" spans="1:23">
      <c r="A3765" t="str">
        <f>"PLTR-AB-6M"</f>
        <v>PLTR-AB-6M</v>
      </c>
      <c r="B3765" t="str">
        <f>"10-2112-2000"</f>
        <v>10-2112-2000</v>
      </c>
      <c r="C3765" t="str">
        <f>"CIM Station Indicator Lights"</f>
        <v>CIM Station Indicator Lights</v>
      </c>
      <c r="D3765">
        <v>1</v>
      </c>
      <c r="E3765" t="str">
        <f>"Stop Station - ALLEN BRADLEY (6m cable)"</f>
        <v>Stop Station - ALLEN BRADLEY (6m cable)</v>
      </c>
      <c r="F3765">
        <v>531</v>
      </c>
      <c r="G3765" t="str">
        <f t="shared" si="942"/>
        <v>Y</v>
      </c>
      <c r="H3765" t="str">
        <f t="shared" si="947"/>
        <v>EA</v>
      </c>
      <c r="I3765">
        <v>0</v>
      </c>
      <c r="J3765">
        <v>0</v>
      </c>
      <c r="K3765" t="str">
        <f t="shared" si="943"/>
        <v>Y</v>
      </c>
      <c r="L3765">
        <v>0</v>
      </c>
      <c r="M3765" t="str">
        <f t="shared" si="946"/>
        <v>NIS</v>
      </c>
      <c r="O3765">
        <v>2</v>
      </c>
      <c r="P3765" t="str">
        <f t="shared" si="948"/>
        <v>Active</v>
      </c>
      <c r="Q3765" t="str">
        <f>"Stop Station Status Light"</f>
        <v>Stop Station Status Light</v>
      </c>
      <c r="S3765" t="str">
        <f>"CIM Station Indicator Lights"</f>
        <v>CIM Station Indicator Lights</v>
      </c>
      <c r="T3765">
        <v>0</v>
      </c>
      <c r="U3765">
        <v>165</v>
      </c>
      <c r="V3765">
        <v>164.45</v>
      </c>
      <c r="W3765" t="str">
        <f t="shared" si="949"/>
        <v>rob</v>
      </c>
    </row>
    <row r="3766" spans="1:23">
      <c r="A3766" t="str">
        <f>"PLTR-AB-6M"</f>
        <v>PLTR-AB-6M</v>
      </c>
      <c r="B3766" t="str">
        <f>"10-2111-3000"</f>
        <v>10-2111-3000</v>
      </c>
      <c r="C3766" t="str">
        <f>"Pallet (with magnetic code)"</f>
        <v>Pallet (with magnetic code)</v>
      </c>
      <c r="D3766">
        <v>2</v>
      </c>
      <c r="E3766" t="str">
        <f>"Stop Station - ALLEN BRADLEY (6m cable)"</f>
        <v>Stop Station - ALLEN BRADLEY (6m cable)</v>
      </c>
      <c r="F3766">
        <v>531</v>
      </c>
      <c r="G3766" t="str">
        <f t="shared" si="942"/>
        <v>Y</v>
      </c>
      <c r="H3766" t="str">
        <f t="shared" si="947"/>
        <v>EA</v>
      </c>
      <c r="I3766">
        <v>0</v>
      </c>
      <c r="J3766">
        <v>0</v>
      </c>
      <c r="K3766" t="str">
        <f t="shared" si="943"/>
        <v>Y</v>
      </c>
      <c r="L3766">
        <v>0</v>
      </c>
      <c r="M3766" t="str">
        <f t="shared" si="946"/>
        <v>NIS</v>
      </c>
      <c r="O3766">
        <v>3</v>
      </c>
      <c r="P3766" t="str">
        <f t="shared" si="948"/>
        <v>Active</v>
      </c>
      <c r="Q3766" t="str">
        <f>"Pallet (with magnetic code)"</f>
        <v>Pallet (with magnetic code)</v>
      </c>
      <c r="S3766" t="str">
        <f>"Pallet (with magnetic code)"</f>
        <v>Pallet (with magnetic code)</v>
      </c>
      <c r="T3766">
        <v>0</v>
      </c>
      <c r="U3766">
        <v>75</v>
      </c>
      <c r="V3766">
        <v>71.489999999999995</v>
      </c>
      <c r="W3766" t="str">
        <f t="shared" si="949"/>
        <v>rob</v>
      </c>
    </row>
    <row r="3767" spans="1:23">
      <c r="A3767" t="str">
        <f>"PLTR-AB-6M"</f>
        <v>PLTR-AB-6M</v>
      </c>
      <c r="B3767" t="str">
        <f>"10-4024-1000"</f>
        <v>10-4024-1000</v>
      </c>
      <c r="C3767" t="str">
        <f>"6m Stop Station I/O Cable"</f>
        <v>6m Stop Station I/O Cable</v>
      </c>
      <c r="D3767">
        <v>1</v>
      </c>
      <c r="E3767" t="str">
        <f>"Stop Station - ALLEN BRADLEY (6m cable)"</f>
        <v>Stop Station - ALLEN BRADLEY (6m cable)</v>
      </c>
      <c r="F3767">
        <v>531</v>
      </c>
      <c r="G3767" t="str">
        <f t="shared" si="942"/>
        <v>Y</v>
      </c>
      <c r="H3767" t="str">
        <f t="shared" si="947"/>
        <v>EA</v>
      </c>
      <c r="I3767">
        <v>0</v>
      </c>
      <c r="J3767">
        <v>0</v>
      </c>
      <c r="K3767" t="str">
        <f t="shared" si="943"/>
        <v>Y</v>
      </c>
      <c r="L3767">
        <v>0</v>
      </c>
      <c r="M3767" t="str">
        <f t="shared" si="946"/>
        <v>NIS</v>
      </c>
      <c r="O3767">
        <v>4</v>
      </c>
      <c r="P3767" t="str">
        <f t="shared" si="948"/>
        <v>Active</v>
      </c>
      <c r="Q3767" t="str">
        <f>"6m Stop Station I/O Cable"</f>
        <v>6m Stop Station I/O Cable</v>
      </c>
      <c r="S3767" t="str">
        <f>"6m Stop Station I/O Cable"</f>
        <v>6m Stop Station I/O Cable</v>
      </c>
      <c r="T3767">
        <v>0</v>
      </c>
      <c r="U3767">
        <v>80.87</v>
      </c>
      <c r="V3767">
        <v>82.26</v>
      </c>
      <c r="W3767" t="str">
        <f t="shared" si="949"/>
        <v>rob</v>
      </c>
    </row>
    <row r="3768" spans="1:23">
      <c r="A3768" t="str">
        <f>"PLTR-AB-6M"</f>
        <v>PLTR-AB-6M</v>
      </c>
      <c r="B3768" t="str">
        <f>"50-0053-0000"</f>
        <v>50-0053-0000</v>
      </c>
      <c r="C3768" t="str">
        <f>"Pallet Tracking Stop Station Wiring"</f>
        <v>Pallet Tracking Stop Station Wiring</v>
      </c>
      <c r="D3768">
        <v>1</v>
      </c>
      <c r="E3768" t="str">
        <f>"Stop Station - ALLEN BRADLEY (6m cable)"</f>
        <v>Stop Station - ALLEN BRADLEY (6m cable)</v>
      </c>
      <c r="F3768">
        <v>531</v>
      </c>
      <c r="G3768" t="str">
        <f t="shared" si="942"/>
        <v>Y</v>
      </c>
      <c r="H3768" t="str">
        <f t="shared" si="947"/>
        <v>EA</v>
      </c>
      <c r="I3768">
        <v>0</v>
      </c>
      <c r="J3768">
        <v>0</v>
      </c>
      <c r="K3768" t="str">
        <f t="shared" si="943"/>
        <v>Y</v>
      </c>
      <c r="L3768">
        <v>0</v>
      </c>
      <c r="M3768" t="str">
        <f t="shared" si="946"/>
        <v>NIS</v>
      </c>
      <c r="N3768" t="str">
        <f>"Y"</f>
        <v>Y</v>
      </c>
      <c r="O3768">
        <v>5</v>
      </c>
      <c r="P3768" t="str">
        <f t="shared" si="948"/>
        <v>Active</v>
      </c>
      <c r="Q3768" t="str">
        <f>"Pallet Tracking Stop Station Wiring"</f>
        <v>Pallet Tracking Stop Station Wiring</v>
      </c>
      <c r="S3768" t="str">
        <f>"Pallet Tracking Stop Station Wiring"</f>
        <v>Pallet Tracking Stop Station Wiring</v>
      </c>
      <c r="T3768">
        <v>0</v>
      </c>
      <c r="U3768">
        <v>400</v>
      </c>
      <c r="V3768">
        <v>400</v>
      </c>
      <c r="W3768" t="str">
        <f t="shared" si="949"/>
        <v>rob</v>
      </c>
    </row>
    <row r="3769" spans="1:23">
      <c r="A3769" t="str">
        <f>"PLTR-AB-9M"</f>
        <v>PLTR-AB-9M</v>
      </c>
      <c r="B3769" t="str">
        <f>"10-2113-6000"</f>
        <v>10-2113-6000</v>
      </c>
      <c r="C3769" t="str">
        <f>"Conveyor stop assembly"</f>
        <v>Conveyor stop assembly</v>
      </c>
      <c r="D3769">
        <v>1</v>
      </c>
      <c r="E3769" t="str">
        <f>"Stop Station - ALLEN BRADLEY (9m cable)"</f>
        <v>Stop Station - ALLEN BRADLEY (9m cable)</v>
      </c>
      <c r="F3769">
        <v>531</v>
      </c>
      <c r="G3769" t="str">
        <f t="shared" si="942"/>
        <v>Y</v>
      </c>
      <c r="H3769" t="str">
        <f t="shared" si="947"/>
        <v>EA</v>
      </c>
      <c r="I3769">
        <v>0</v>
      </c>
      <c r="J3769">
        <v>0</v>
      </c>
      <c r="K3769" t="str">
        <f t="shared" si="943"/>
        <v>Y</v>
      </c>
      <c r="L3769">
        <v>0</v>
      </c>
      <c r="M3769" t="str">
        <f t="shared" si="946"/>
        <v>NIS</v>
      </c>
      <c r="O3769">
        <v>1</v>
      </c>
      <c r="P3769" t="str">
        <f t="shared" si="948"/>
        <v>Active</v>
      </c>
      <c r="Q3769" t="str">
        <f>"Conveyor stop assembly for work station"</f>
        <v>Conveyor stop assembly for work station</v>
      </c>
      <c r="S3769" t="str">
        <f>"Conveyor stop assembly for work station"</f>
        <v>Conveyor stop assembly for work station</v>
      </c>
      <c r="T3769">
        <v>0</v>
      </c>
      <c r="U3769">
        <v>740</v>
      </c>
      <c r="V3769">
        <v>693.67</v>
      </c>
      <c r="W3769" t="str">
        <f t="shared" si="949"/>
        <v>rob</v>
      </c>
    </row>
    <row r="3770" spans="1:23">
      <c r="A3770" t="str">
        <f>"PLTR-AB-9M"</f>
        <v>PLTR-AB-9M</v>
      </c>
      <c r="B3770" t="str">
        <f>"10-2112-2000"</f>
        <v>10-2112-2000</v>
      </c>
      <c r="C3770" t="str">
        <f>"CIM Station Indicator Lights"</f>
        <v>CIM Station Indicator Lights</v>
      </c>
      <c r="D3770">
        <v>1</v>
      </c>
      <c r="E3770" t="str">
        <f>"Stop Station - ALLEN BRADLEY (9m cable)"</f>
        <v>Stop Station - ALLEN BRADLEY (9m cable)</v>
      </c>
      <c r="F3770">
        <v>531</v>
      </c>
      <c r="G3770" t="str">
        <f t="shared" si="942"/>
        <v>Y</v>
      </c>
      <c r="H3770" t="str">
        <f t="shared" si="947"/>
        <v>EA</v>
      </c>
      <c r="I3770">
        <v>0</v>
      </c>
      <c r="J3770">
        <v>0</v>
      </c>
      <c r="K3770" t="str">
        <f t="shared" si="943"/>
        <v>Y</v>
      </c>
      <c r="L3770">
        <v>0</v>
      </c>
      <c r="M3770" t="str">
        <f t="shared" si="946"/>
        <v>NIS</v>
      </c>
      <c r="O3770">
        <v>2</v>
      </c>
      <c r="P3770" t="str">
        <f t="shared" si="948"/>
        <v>Active</v>
      </c>
      <c r="Q3770" t="str">
        <f>"Stop Station Status Light"</f>
        <v>Stop Station Status Light</v>
      </c>
      <c r="S3770" t="str">
        <f>"CIM Station Indicator Lights"</f>
        <v>CIM Station Indicator Lights</v>
      </c>
      <c r="T3770">
        <v>0</v>
      </c>
      <c r="U3770">
        <v>165</v>
      </c>
      <c r="V3770">
        <v>164.45</v>
      </c>
      <c r="W3770" t="str">
        <f t="shared" si="949"/>
        <v>rob</v>
      </c>
    </row>
    <row r="3771" spans="1:23">
      <c r="A3771" t="str">
        <f>"PLTR-AB-9M"</f>
        <v>PLTR-AB-9M</v>
      </c>
      <c r="B3771" t="str">
        <f>"10-2111-3000"</f>
        <v>10-2111-3000</v>
      </c>
      <c r="C3771" t="str">
        <f>"Pallet (with magnetic code)"</f>
        <v>Pallet (with magnetic code)</v>
      </c>
      <c r="D3771">
        <v>2</v>
      </c>
      <c r="E3771" t="str">
        <f>"Stop Station - ALLEN BRADLEY (9m cable)"</f>
        <v>Stop Station - ALLEN BRADLEY (9m cable)</v>
      </c>
      <c r="F3771">
        <v>531</v>
      </c>
      <c r="G3771" t="str">
        <f t="shared" si="942"/>
        <v>Y</v>
      </c>
      <c r="H3771" t="str">
        <f t="shared" ref="H3771:H3802" si="950">"EA"</f>
        <v>EA</v>
      </c>
      <c r="I3771">
        <v>0</v>
      </c>
      <c r="J3771">
        <v>0</v>
      </c>
      <c r="K3771" t="str">
        <f t="shared" si="943"/>
        <v>Y</v>
      </c>
      <c r="L3771">
        <v>0</v>
      </c>
      <c r="M3771" t="str">
        <f t="shared" si="946"/>
        <v>NIS</v>
      </c>
      <c r="O3771">
        <v>3</v>
      </c>
      <c r="P3771" t="str">
        <f t="shared" si="948"/>
        <v>Active</v>
      </c>
      <c r="Q3771" t="str">
        <f>"Pallet (with magnetic code)"</f>
        <v>Pallet (with magnetic code)</v>
      </c>
      <c r="S3771" t="str">
        <f>"Pallet (with magnetic code)"</f>
        <v>Pallet (with magnetic code)</v>
      </c>
      <c r="T3771">
        <v>0</v>
      </c>
      <c r="U3771">
        <v>75</v>
      </c>
      <c r="V3771">
        <v>71.489999999999995</v>
      </c>
      <c r="W3771" t="str">
        <f t="shared" si="949"/>
        <v>rob</v>
      </c>
    </row>
    <row r="3772" spans="1:23">
      <c r="A3772" t="str">
        <f>"PLTR-AB-9M"</f>
        <v>PLTR-AB-9M</v>
      </c>
      <c r="B3772" t="str">
        <f>"10-4024-5000"</f>
        <v>10-4024-5000</v>
      </c>
      <c r="C3772" t="str">
        <f>"9m Stop Station I/O Cable"</f>
        <v>9m Stop Station I/O Cable</v>
      </c>
      <c r="D3772">
        <v>1</v>
      </c>
      <c r="E3772" t="str">
        <f>"Stop Station - ALLEN BRADLEY (9m cable)"</f>
        <v>Stop Station - ALLEN BRADLEY (9m cable)</v>
      </c>
      <c r="F3772">
        <v>531</v>
      </c>
      <c r="G3772" t="str">
        <f t="shared" si="942"/>
        <v>Y</v>
      </c>
      <c r="H3772" t="str">
        <f t="shared" si="950"/>
        <v>EA</v>
      </c>
      <c r="I3772">
        <v>0</v>
      </c>
      <c r="J3772">
        <v>0</v>
      </c>
      <c r="K3772" t="str">
        <f t="shared" si="943"/>
        <v>Y</v>
      </c>
      <c r="L3772">
        <v>0</v>
      </c>
      <c r="M3772" t="str">
        <f t="shared" si="946"/>
        <v>NIS</v>
      </c>
      <c r="O3772">
        <v>4</v>
      </c>
      <c r="P3772" t="str">
        <f t="shared" si="948"/>
        <v>Active</v>
      </c>
      <c r="Q3772" t="str">
        <f>"9m Stop Station I/O Cable"</f>
        <v>9m Stop Station I/O Cable</v>
      </c>
      <c r="S3772" t="str">
        <f>"9m Stop Station I/O Cable"</f>
        <v>9m Stop Station I/O Cable</v>
      </c>
      <c r="T3772">
        <v>0</v>
      </c>
      <c r="U3772">
        <v>87.32</v>
      </c>
      <c r="V3772">
        <v>89.37</v>
      </c>
      <c r="W3772" t="str">
        <f t="shared" si="949"/>
        <v>rob</v>
      </c>
    </row>
    <row r="3773" spans="1:23">
      <c r="A3773" t="str">
        <f>"PLTR-AB-9M"</f>
        <v>PLTR-AB-9M</v>
      </c>
      <c r="B3773" t="str">
        <f>"50-0053-0000"</f>
        <v>50-0053-0000</v>
      </c>
      <c r="C3773" t="str">
        <f>"Pallet Tracking Stop Station Wiring"</f>
        <v>Pallet Tracking Stop Station Wiring</v>
      </c>
      <c r="D3773">
        <v>1</v>
      </c>
      <c r="E3773" t="str">
        <f>"Stop Station - ALLEN BRADLEY (9m cable)"</f>
        <v>Stop Station - ALLEN BRADLEY (9m cable)</v>
      </c>
      <c r="F3773">
        <v>531</v>
      </c>
      <c r="G3773" t="str">
        <f t="shared" si="942"/>
        <v>Y</v>
      </c>
      <c r="H3773" t="str">
        <f t="shared" si="950"/>
        <v>EA</v>
      </c>
      <c r="I3773">
        <v>0</v>
      </c>
      <c r="J3773">
        <v>0</v>
      </c>
      <c r="K3773" t="str">
        <f t="shared" si="943"/>
        <v>Y</v>
      </c>
      <c r="L3773">
        <v>0</v>
      </c>
      <c r="M3773" t="str">
        <f t="shared" si="946"/>
        <v>NIS</v>
      </c>
      <c r="N3773" t="str">
        <f>"Y"</f>
        <v>Y</v>
      </c>
      <c r="O3773">
        <v>5</v>
      </c>
      <c r="P3773" t="str">
        <f t="shared" si="948"/>
        <v>Active</v>
      </c>
      <c r="Q3773" t="str">
        <f>"Pallet Tracking Stop Station Wiring"</f>
        <v>Pallet Tracking Stop Station Wiring</v>
      </c>
      <c r="S3773" t="str">
        <f>"Pallet Tracking Stop Station Wiring"</f>
        <v>Pallet Tracking Stop Station Wiring</v>
      </c>
      <c r="T3773">
        <v>0</v>
      </c>
      <c r="U3773">
        <v>400</v>
      </c>
      <c r="V3773">
        <v>400</v>
      </c>
      <c r="W3773" t="str">
        <f t="shared" si="949"/>
        <v>rob</v>
      </c>
    </row>
    <row r="3774" spans="1:23">
      <c r="A3774" t="str">
        <f>"PLTR-OMRON-12M"</f>
        <v>PLTR-OMRON-12M</v>
      </c>
      <c r="B3774" t="str">
        <f>"10-2113-6000"</f>
        <v>10-2113-6000</v>
      </c>
      <c r="C3774" t="str">
        <f>"Conveyor stop assembly"</f>
        <v>Conveyor stop assembly</v>
      </c>
      <c r="D3774">
        <v>1</v>
      </c>
      <c r="E3774" t="str">
        <f>"Stop Station - OMRON (12m cable)"</f>
        <v>Stop Station - OMRON (12m cable)</v>
      </c>
      <c r="F3774">
        <v>531</v>
      </c>
      <c r="G3774" t="str">
        <f t="shared" si="942"/>
        <v>Y</v>
      </c>
      <c r="H3774" t="str">
        <f t="shared" si="950"/>
        <v>EA</v>
      </c>
      <c r="I3774">
        <v>0</v>
      </c>
      <c r="J3774">
        <v>0</v>
      </c>
      <c r="K3774" t="str">
        <f t="shared" si="943"/>
        <v>Y</v>
      </c>
      <c r="L3774">
        <v>0</v>
      </c>
      <c r="M3774" t="str">
        <f t="shared" si="946"/>
        <v>NIS</v>
      </c>
      <c r="O3774">
        <v>1</v>
      </c>
      <c r="P3774" t="str">
        <f t="shared" si="948"/>
        <v>Active</v>
      </c>
      <c r="Q3774" t="str">
        <f>"Conveyor stop assembly for work station"</f>
        <v>Conveyor stop assembly for work station</v>
      </c>
      <c r="S3774" t="str">
        <f>"Conveyor stop assembly for work station"</f>
        <v>Conveyor stop assembly for work station</v>
      </c>
      <c r="T3774">
        <v>0</v>
      </c>
      <c r="U3774">
        <v>740</v>
      </c>
      <c r="V3774">
        <v>693.67</v>
      </c>
      <c r="W3774" t="str">
        <f t="shared" si="949"/>
        <v>rob</v>
      </c>
    </row>
    <row r="3775" spans="1:23">
      <c r="A3775" t="str">
        <f>"PLTR-OMRON-12M"</f>
        <v>PLTR-OMRON-12M</v>
      </c>
      <c r="B3775" t="str">
        <f>"10-2112-2000"</f>
        <v>10-2112-2000</v>
      </c>
      <c r="C3775" t="str">
        <f>"CIM Station Indicator Lights"</f>
        <v>CIM Station Indicator Lights</v>
      </c>
      <c r="D3775">
        <v>1</v>
      </c>
      <c r="E3775" t="str">
        <f>"Stop Station - OMRON (12m cable)"</f>
        <v>Stop Station - OMRON (12m cable)</v>
      </c>
      <c r="F3775">
        <v>531</v>
      </c>
      <c r="G3775" t="str">
        <f t="shared" si="942"/>
        <v>Y</v>
      </c>
      <c r="H3775" t="str">
        <f t="shared" si="950"/>
        <v>EA</v>
      </c>
      <c r="I3775">
        <v>0</v>
      </c>
      <c r="J3775">
        <v>0</v>
      </c>
      <c r="K3775" t="str">
        <f t="shared" si="943"/>
        <v>Y</v>
      </c>
      <c r="L3775">
        <v>0</v>
      </c>
      <c r="M3775" t="str">
        <f t="shared" si="946"/>
        <v>NIS</v>
      </c>
      <c r="O3775">
        <v>2</v>
      </c>
      <c r="P3775" t="str">
        <f t="shared" ref="P3775:P3806" si="951">"Active"</f>
        <v>Active</v>
      </c>
      <c r="Q3775" t="str">
        <f>"Stop Station Status Light"</f>
        <v>Stop Station Status Light</v>
      </c>
      <c r="S3775" t="str">
        <f>"CIM Station Indicator Lights"</f>
        <v>CIM Station Indicator Lights</v>
      </c>
      <c r="T3775">
        <v>0</v>
      </c>
      <c r="U3775">
        <v>165</v>
      </c>
      <c r="V3775">
        <v>164.45</v>
      </c>
      <c r="W3775" t="str">
        <f t="shared" si="949"/>
        <v>rob</v>
      </c>
    </row>
    <row r="3776" spans="1:23">
      <c r="A3776" t="str">
        <f>"PLTR-OMRON-12M"</f>
        <v>PLTR-OMRON-12M</v>
      </c>
      <c r="B3776" t="str">
        <f>"10-2111-3000"</f>
        <v>10-2111-3000</v>
      </c>
      <c r="C3776" t="str">
        <f>"Pallet (with magnetic code)"</f>
        <v>Pallet (with magnetic code)</v>
      </c>
      <c r="D3776">
        <v>2</v>
      </c>
      <c r="E3776" t="str">
        <f>"Stop Station - OMRON (12m cable)"</f>
        <v>Stop Station - OMRON (12m cable)</v>
      </c>
      <c r="F3776">
        <v>531</v>
      </c>
      <c r="G3776" t="str">
        <f t="shared" si="942"/>
        <v>Y</v>
      </c>
      <c r="H3776" t="str">
        <f t="shared" si="950"/>
        <v>EA</v>
      </c>
      <c r="I3776">
        <v>0</v>
      </c>
      <c r="J3776">
        <v>0</v>
      </c>
      <c r="K3776" t="str">
        <f t="shared" si="943"/>
        <v>Y</v>
      </c>
      <c r="L3776">
        <v>0</v>
      </c>
      <c r="M3776" t="str">
        <f t="shared" si="946"/>
        <v>NIS</v>
      </c>
      <c r="O3776">
        <v>3</v>
      </c>
      <c r="P3776" t="str">
        <f t="shared" si="951"/>
        <v>Active</v>
      </c>
      <c r="Q3776" t="str">
        <f>"Pallet (with magnetic code)"</f>
        <v>Pallet (with magnetic code)</v>
      </c>
      <c r="S3776" t="str">
        <f>"Pallet (with magnetic code)"</f>
        <v>Pallet (with magnetic code)</v>
      </c>
      <c r="T3776">
        <v>0</v>
      </c>
      <c r="U3776">
        <v>75</v>
      </c>
      <c r="V3776">
        <v>71.489999999999995</v>
      </c>
      <c r="W3776" t="str">
        <f t="shared" si="949"/>
        <v>rob</v>
      </c>
    </row>
    <row r="3777" spans="1:23">
      <c r="A3777" t="str">
        <f>"PLTR-OMRON-12M"</f>
        <v>PLTR-OMRON-12M</v>
      </c>
      <c r="B3777" t="str">
        <f>"10-4049-2000"</f>
        <v>10-4049-2000</v>
      </c>
      <c r="C3777" t="str">
        <f>"12m Stop Station I/O Cable"</f>
        <v>12m Stop Station I/O Cable</v>
      </c>
      <c r="D3777">
        <v>1</v>
      </c>
      <c r="E3777" t="str">
        <f>"Stop Station - OMRON (12m cable)"</f>
        <v>Stop Station - OMRON (12m cable)</v>
      </c>
      <c r="F3777">
        <v>531</v>
      </c>
      <c r="G3777" t="str">
        <f t="shared" si="942"/>
        <v>Y</v>
      </c>
      <c r="H3777" t="str">
        <f t="shared" si="950"/>
        <v>EA</v>
      </c>
      <c r="I3777">
        <v>0</v>
      </c>
      <c r="J3777">
        <v>0</v>
      </c>
      <c r="K3777" t="str">
        <f t="shared" si="943"/>
        <v>Y</v>
      </c>
      <c r="L3777">
        <v>0</v>
      </c>
      <c r="M3777" t="str">
        <f t="shared" si="946"/>
        <v>NIS</v>
      </c>
      <c r="O3777">
        <v>4</v>
      </c>
      <c r="P3777" t="str">
        <f t="shared" si="951"/>
        <v>Active</v>
      </c>
      <c r="Q3777" t="str">
        <f>"12m Stop Station I/O Cable"</f>
        <v>12m Stop Station I/O Cable</v>
      </c>
      <c r="S3777" t="str">
        <f>"12m Stop Station I/O Cable"</f>
        <v>12m Stop Station I/O Cable</v>
      </c>
      <c r="T3777">
        <v>0</v>
      </c>
      <c r="U3777">
        <v>33.799999999999997</v>
      </c>
      <c r="V3777">
        <v>32.04</v>
      </c>
      <c r="W3777" t="str">
        <f t="shared" si="949"/>
        <v>rob</v>
      </c>
    </row>
    <row r="3778" spans="1:23">
      <c r="A3778" t="str">
        <f>"PLTR-OMRON-12M"</f>
        <v>PLTR-OMRON-12M</v>
      </c>
      <c r="B3778" t="str">
        <f>"50-0053-0000"</f>
        <v>50-0053-0000</v>
      </c>
      <c r="C3778" t="str">
        <f>"Pallet Tracking Stop Station Wiring"</f>
        <v>Pallet Tracking Stop Station Wiring</v>
      </c>
      <c r="D3778">
        <v>1</v>
      </c>
      <c r="E3778" t="str">
        <f>"Stop Station - OMRON (12m cable)"</f>
        <v>Stop Station - OMRON (12m cable)</v>
      </c>
      <c r="F3778">
        <v>531</v>
      </c>
      <c r="G3778" t="str">
        <f t="shared" ref="G3778:G3841" si="952">"Y"</f>
        <v>Y</v>
      </c>
      <c r="H3778" t="str">
        <f t="shared" si="950"/>
        <v>EA</v>
      </c>
      <c r="I3778">
        <v>0</v>
      </c>
      <c r="J3778">
        <v>0</v>
      </c>
      <c r="K3778" t="str">
        <f t="shared" ref="K3778:K3841" si="953">"Y"</f>
        <v>Y</v>
      </c>
      <c r="L3778">
        <v>0</v>
      </c>
      <c r="M3778" t="str">
        <f t="shared" si="946"/>
        <v>NIS</v>
      </c>
      <c r="N3778" t="str">
        <f>"Y"</f>
        <v>Y</v>
      </c>
      <c r="O3778">
        <v>5</v>
      </c>
      <c r="P3778" t="str">
        <f t="shared" si="951"/>
        <v>Active</v>
      </c>
      <c r="Q3778" t="str">
        <f>"Pallet Tracking Stop Station Wiring"</f>
        <v>Pallet Tracking Stop Station Wiring</v>
      </c>
      <c r="S3778" t="str">
        <f>"Pallet Tracking Stop Station Wiring"</f>
        <v>Pallet Tracking Stop Station Wiring</v>
      </c>
      <c r="T3778">
        <v>0</v>
      </c>
      <c r="U3778">
        <v>400</v>
      </c>
      <c r="V3778">
        <v>400</v>
      </c>
      <c r="W3778" t="str">
        <f t="shared" si="949"/>
        <v>rob</v>
      </c>
    </row>
    <row r="3779" spans="1:23">
      <c r="A3779" t="str">
        <f>"PLTR-OMRON-15M"</f>
        <v>PLTR-OMRON-15M</v>
      </c>
      <c r="B3779" t="str">
        <f>"10-2113-6000"</f>
        <v>10-2113-6000</v>
      </c>
      <c r="C3779" t="str">
        <f>"Conveyor stop assembly"</f>
        <v>Conveyor stop assembly</v>
      </c>
      <c r="D3779">
        <v>1</v>
      </c>
      <c r="E3779" t="str">
        <f>"Stop Station - OMRON (15m cable)"</f>
        <v>Stop Station - OMRON (15m cable)</v>
      </c>
      <c r="F3779">
        <v>531</v>
      </c>
      <c r="G3779" t="str">
        <f t="shared" si="952"/>
        <v>Y</v>
      </c>
      <c r="H3779" t="str">
        <f t="shared" si="950"/>
        <v>EA</v>
      </c>
      <c r="I3779">
        <v>0</v>
      </c>
      <c r="J3779">
        <v>0</v>
      </c>
      <c r="K3779" t="str">
        <f t="shared" si="953"/>
        <v>Y</v>
      </c>
      <c r="L3779">
        <v>0</v>
      </c>
      <c r="M3779" t="str">
        <f t="shared" si="946"/>
        <v>NIS</v>
      </c>
      <c r="O3779">
        <v>1</v>
      </c>
      <c r="P3779" t="str">
        <f t="shared" si="951"/>
        <v>Active</v>
      </c>
      <c r="Q3779" t="str">
        <f>"Conveyor stop assembly for work station"</f>
        <v>Conveyor stop assembly for work station</v>
      </c>
      <c r="S3779" t="str">
        <f>"Conveyor stop assembly for work station"</f>
        <v>Conveyor stop assembly for work station</v>
      </c>
      <c r="T3779">
        <v>0</v>
      </c>
      <c r="U3779">
        <v>740</v>
      </c>
      <c r="V3779">
        <v>693.67</v>
      </c>
      <c r="W3779" t="str">
        <f t="shared" si="949"/>
        <v>rob</v>
      </c>
    </row>
    <row r="3780" spans="1:23">
      <c r="A3780" t="str">
        <f>"PLTR-OMRON-15M"</f>
        <v>PLTR-OMRON-15M</v>
      </c>
      <c r="B3780" t="str">
        <f>"10-2112-2000"</f>
        <v>10-2112-2000</v>
      </c>
      <c r="C3780" t="str">
        <f>"CIM Station Indicator Lights"</f>
        <v>CIM Station Indicator Lights</v>
      </c>
      <c r="D3780">
        <v>1</v>
      </c>
      <c r="E3780" t="str">
        <f>"Stop Station - OMRON (15m cable)"</f>
        <v>Stop Station - OMRON (15m cable)</v>
      </c>
      <c r="F3780">
        <v>531</v>
      </c>
      <c r="G3780" t="str">
        <f t="shared" si="952"/>
        <v>Y</v>
      </c>
      <c r="H3780" t="str">
        <f t="shared" si="950"/>
        <v>EA</v>
      </c>
      <c r="I3780">
        <v>0</v>
      </c>
      <c r="J3780">
        <v>0</v>
      </c>
      <c r="K3780" t="str">
        <f t="shared" si="953"/>
        <v>Y</v>
      </c>
      <c r="L3780">
        <v>0</v>
      </c>
      <c r="M3780" t="str">
        <f t="shared" si="946"/>
        <v>NIS</v>
      </c>
      <c r="O3780">
        <v>2</v>
      </c>
      <c r="P3780" t="str">
        <f t="shared" si="951"/>
        <v>Active</v>
      </c>
      <c r="Q3780" t="str">
        <f>"Stop Station Status Light"</f>
        <v>Stop Station Status Light</v>
      </c>
      <c r="S3780" t="str">
        <f>"CIM Station Indicator Lights"</f>
        <v>CIM Station Indicator Lights</v>
      </c>
      <c r="T3780">
        <v>0</v>
      </c>
      <c r="U3780">
        <v>165</v>
      </c>
      <c r="V3780">
        <v>164.45</v>
      </c>
      <c r="W3780" t="str">
        <f t="shared" si="949"/>
        <v>rob</v>
      </c>
    </row>
    <row r="3781" spans="1:23">
      <c r="A3781" t="str">
        <f>"PLTR-OMRON-15M"</f>
        <v>PLTR-OMRON-15M</v>
      </c>
      <c r="B3781" t="str">
        <f>"10-2111-3000"</f>
        <v>10-2111-3000</v>
      </c>
      <c r="C3781" t="str">
        <f>"Pallet (with magnetic code)"</f>
        <v>Pallet (with magnetic code)</v>
      </c>
      <c r="D3781">
        <v>2</v>
      </c>
      <c r="E3781" t="str">
        <f>"Stop Station - OMRON (15m cable)"</f>
        <v>Stop Station - OMRON (15m cable)</v>
      </c>
      <c r="F3781">
        <v>531</v>
      </c>
      <c r="G3781" t="str">
        <f t="shared" si="952"/>
        <v>Y</v>
      </c>
      <c r="H3781" t="str">
        <f t="shared" si="950"/>
        <v>EA</v>
      </c>
      <c r="I3781">
        <v>0</v>
      </c>
      <c r="J3781">
        <v>0</v>
      </c>
      <c r="K3781" t="str">
        <f t="shared" si="953"/>
        <v>Y</v>
      </c>
      <c r="L3781">
        <v>0</v>
      </c>
      <c r="M3781" t="str">
        <f t="shared" si="946"/>
        <v>NIS</v>
      </c>
      <c r="O3781">
        <v>3</v>
      </c>
      <c r="P3781" t="str">
        <f t="shared" si="951"/>
        <v>Active</v>
      </c>
      <c r="Q3781" t="str">
        <f>"Pallet (with magnetic code)"</f>
        <v>Pallet (with magnetic code)</v>
      </c>
      <c r="S3781" t="str">
        <f>"Pallet (with magnetic code)"</f>
        <v>Pallet (with magnetic code)</v>
      </c>
      <c r="T3781">
        <v>0</v>
      </c>
      <c r="U3781">
        <v>75</v>
      </c>
      <c r="V3781">
        <v>71.489999999999995</v>
      </c>
      <c r="W3781" t="str">
        <f t="shared" si="949"/>
        <v>rob</v>
      </c>
    </row>
    <row r="3782" spans="1:23">
      <c r="A3782" t="str">
        <f>"PLTR-OMRON-15M"</f>
        <v>PLTR-OMRON-15M</v>
      </c>
      <c r="B3782" t="str">
        <f>"10-4049-3000"</f>
        <v>10-4049-3000</v>
      </c>
      <c r="C3782" t="str">
        <f>"15m Stop Station I/O Cable"</f>
        <v>15m Stop Station I/O Cable</v>
      </c>
      <c r="D3782">
        <v>1</v>
      </c>
      <c r="E3782" t="str">
        <f>"Stop Station - OMRON (15m cable)"</f>
        <v>Stop Station - OMRON (15m cable)</v>
      </c>
      <c r="F3782">
        <v>531</v>
      </c>
      <c r="G3782" t="str">
        <f t="shared" si="952"/>
        <v>Y</v>
      </c>
      <c r="H3782" t="str">
        <f t="shared" si="950"/>
        <v>EA</v>
      </c>
      <c r="I3782">
        <v>0</v>
      </c>
      <c r="J3782">
        <v>0</v>
      </c>
      <c r="K3782" t="str">
        <f t="shared" si="953"/>
        <v>Y</v>
      </c>
      <c r="L3782">
        <v>0</v>
      </c>
      <c r="M3782" t="str">
        <f t="shared" si="946"/>
        <v>NIS</v>
      </c>
      <c r="O3782">
        <v>4</v>
      </c>
      <c r="P3782" t="str">
        <f t="shared" si="951"/>
        <v>Active</v>
      </c>
      <c r="Q3782" t="str">
        <f>"15m Stop Station I/O Cable"</f>
        <v>15m Stop Station I/O Cable</v>
      </c>
      <c r="S3782" t="str">
        <f>"15m Stop Station I/O Cable"</f>
        <v>15m Stop Station I/O Cable</v>
      </c>
      <c r="T3782">
        <v>0</v>
      </c>
      <c r="U3782">
        <v>0</v>
      </c>
      <c r="V3782">
        <v>39.15</v>
      </c>
      <c r="W3782" t="str">
        <f t="shared" si="949"/>
        <v>rob</v>
      </c>
    </row>
    <row r="3783" spans="1:23">
      <c r="A3783" t="str">
        <f>"PLTR-OMRON-15M"</f>
        <v>PLTR-OMRON-15M</v>
      </c>
      <c r="B3783" t="str">
        <f>"50-0053-0000"</f>
        <v>50-0053-0000</v>
      </c>
      <c r="C3783" t="str">
        <f>"Pallet Tracking Stop Station Wiring"</f>
        <v>Pallet Tracking Stop Station Wiring</v>
      </c>
      <c r="D3783">
        <v>1</v>
      </c>
      <c r="E3783" t="str">
        <f>"Stop Station - OMRON (15m cable)"</f>
        <v>Stop Station - OMRON (15m cable)</v>
      </c>
      <c r="F3783">
        <v>531</v>
      </c>
      <c r="G3783" t="str">
        <f t="shared" si="952"/>
        <v>Y</v>
      </c>
      <c r="H3783" t="str">
        <f t="shared" si="950"/>
        <v>EA</v>
      </c>
      <c r="I3783">
        <v>0</v>
      </c>
      <c r="J3783">
        <v>0</v>
      </c>
      <c r="K3783" t="str">
        <f t="shared" si="953"/>
        <v>Y</v>
      </c>
      <c r="L3783">
        <v>0</v>
      </c>
      <c r="M3783" t="str">
        <f t="shared" si="946"/>
        <v>NIS</v>
      </c>
      <c r="N3783" t="str">
        <f>"Y"</f>
        <v>Y</v>
      </c>
      <c r="O3783">
        <v>5</v>
      </c>
      <c r="P3783" t="str">
        <f t="shared" si="951"/>
        <v>Active</v>
      </c>
      <c r="Q3783" t="str">
        <f>"Pallet Tracking Stop Station Wiring"</f>
        <v>Pallet Tracking Stop Station Wiring</v>
      </c>
      <c r="S3783" t="str">
        <f>"Pallet Tracking Stop Station Wiring"</f>
        <v>Pallet Tracking Stop Station Wiring</v>
      </c>
      <c r="T3783">
        <v>0</v>
      </c>
      <c r="U3783">
        <v>400</v>
      </c>
      <c r="V3783">
        <v>400</v>
      </c>
      <c r="W3783" t="str">
        <f t="shared" si="949"/>
        <v>rob</v>
      </c>
    </row>
    <row r="3784" spans="1:23">
      <c r="A3784" t="str">
        <f>"PLTR-OMRON-6M"</f>
        <v>PLTR-OMRON-6M</v>
      </c>
      <c r="B3784" t="str">
        <f>"10-2113-6000"</f>
        <v>10-2113-6000</v>
      </c>
      <c r="C3784" t="str">
        <f>"Conveyor stop assembly"</f>
        <v>Conveyor stop assembly</v>
      </c>
      <c r="D3784">
        <v>1</v>
      </c>
      <c r="E3784" t="str">
        <f>"Stop Station - OMRON (6m cable)"</f>
        <v>Stop Station - OMRON (6m cable)</v>
      </c>
      <c r="F3784">
        <v>531</v>
      </c>
      <c r="G3784" t="str">
        <f t="shared" si="952"/>
        <v>Y</v>
      </c>
      <c r="H3784" t="str">
        <f t="shared" si="950"/>
        <v>EA</v>
      </c>
      <c r="I3784">
        <v>0</v>
      </c>
      <c r="J3784">
        <v>0</v>
      </c>
      <c r="K3784" t="str">
        <f t="shared" si="953"/>
        <v>Y</v>
      </c>
      <c r="L3784">
        <v>0</v>
      </c>
      <c r="M3784" t="str">
        <f t="shared" si="946"/>
        <v>NIS</v>
      </c>
      <c r="O3784">
        <v>1</v>
      </c>
      <c r="P3784" t="str">
        <f t="shared" si="951"/>
        <v>Active</v>
      </c>
      <c r="Q3784" t="str">
        <f>"Conveyor stop assembly for work station"</f>
        <v>Conveyor stop assembly for work station</v>
      </c>
      <c r="S3784" t="str">
        <f>"Conveyor stop assembly for work station"</f>
        <v>Conveyor stop assembly for work station</v>
      </c>
      <c r="T3784">
        <v>0</v>
      </c>
      <c r="U3784">
        <v>740</v>
      </c>
      <c r="V3784">
        <v>693.67</v>
      </c>
      <c r="W3784" t="str">
        <f t="shared" si="949"/>
        <v>rob</v>
      </c>
    </row>
    <row r="3785" spans="1:23">
      <c r="A3785" t="str">
        <f>"PLTR-OMRON-6M"</f>
        <v>PLTR-OMRON-6M</v>
      </c>
      <c r="B3785" t="str">
        <f>"10-2112-2000"</f>
        <v>10-2112-2000</v>
      </c>
      <c r="C3785" t="str">
        <f>"CIM Station Indicator Lights"</f>
        <v>CIM Station Indicator Lights</v>
      </c>
      <c r="D3785">
        <v>1</v>
      </c>
      <c r="E3785" t="str">
        <f>"Stop Station - OMRON (6m cable)"</f>
        <v>Stop Station - OMRON (6m cable)</v>
      </c>
      <c r="F3785">
        <v>531</v>
      </c>
      <c r="G3785" t="str">
        <f t="shared" si="952"/>
        <v>Y</v>
      </c>
      <c r="H3785" t="str">
        <f t="shared" si="950"/>
        <v>EA</v>
      </c>
      <c r="I3785">
        <v>0</v>
      </c>
      <c r="J3785">
        <v>0</v>
      </c>
      <c r="K3785" t="str">
        <f t="shared" si="953"/>
        <v>Y</v>
      </c>
      <c r="L3785">
        <v>0</v>
      </c>
      <c r="M3785" t="str">
        <f t="shared" si="946"/>
        <v>NIS</v>
      </c>
      <c r="O3785">
        <v>2</v>
      </c>
      <c r="P3785" t="str">
        <f t="shared" si="951"/>
        <v>Active</v>
      </c>
      <c r="Q3785" t="str">
        <f>"Stop Station Status Light"</f>
        <v>Stop Station Status Light</v>
      </c>
      <c r="S3785" t="str">
        <f>"CIM Station Indicator Lights"</f>
        <v>CIM Station Indicator Lights</v>
      </c>
      <c r="T3785">
        <v>0</v>
      </c>
      <c r="U3785">
        <v>165</v>
      </c>
      <c r="V3785">
        <v>164.45</v>
      </c>
      <c r="W3785" t="str">
        <f t="shared" si="949"/>
        <v>rob</v>
      </c>
    </row>
    <row r="3786" spans="1:23">
      <c r="A3786" t="str">
        <f>"PLTR-OMRON-6M"</f>
        <v>PLTR-OMRON-6M</v>
      </c>
      <c r="B3786" t="str">
        <f>"10-2111-3000"</f>
        <v>10-2111-3000</v>
      </c>
      <c r="C3786" t="str">
        <f>"Pallet (with magnetic code)"</f>
        <v>Pallet (with magnetic code)</v>
      </c>
      <c r="D3786">
        <v>2</v>
      </c>
      <c r="E3786" t="str">
        <f>"Stop Station - OMRON (6m cable)"</f>
        <v>Stop Station - OMRON (6m cable)</v>
      </c>
      <c r="F3786">
        <v>531</v>
      </c>
      <c r="G3786" t="str">
        <f t="shared" si="952"/>
        <v>Y</v>
      </c>
      <c r="H3786" t="str">
        <f t="shared" si="950"/>
        <v>EA</v>
      </c>
      <c r="I3786">
        <v>0</v>
      </c>
      <c r="J3786">
        <v>0</v>
      </c>
      <c r="K3786" t="str">
        <f t="shared" si="953"/>
        <v>Y</v>
      </c>
      <c r="L3786">
        <v>0</v>
      </c>
      <c r="M3786" t="str">
        <f t="shared" si="946"/>
        <v>NIS</v>
      </c>
      <c r="O3786">
        <v>3</v>
      </c>
      <c r="P3786" t="str">
        <f t="shared" si="951"/>
        <v>Active</v>
      </c>
      <c r="Q3786" t="str">
        <f>"Pallet (with magnetic code)"</f>
        <v>Pallet (with magnetic code)</v>
      </c>
      <c r="S3786" t="str">
        <f>"Pallet (with magnetic code)"</f>
        <v>Pallet (with magnetic code)</v>
      </c>
      <c r="T3786">
        <v>0</v>
      </c>
      <c r="U3786">
        <v>75</v>
      </c>
      <c r="V3786">
        <v>71.489999999999995</v>
      </c>
      <c r="W3786" t="str">
        <f t="shared" si="949"/>
        <v>rob</v>
      </c>
    </row>
    <row r="3787" spans="1:23">
      <c r="A3787" t="str">
        <f>"PLTR-OMRON-6M"</f>
        <v>PLTR-OMRON-6M</v>
      </c>
      <c r="B3787" t="str">
        <f>"10-4024-1000"</f>
        <v>10-4024-1000</v>
      </c>
      <c r="C3787" t="str">
        <f>"6m Stop Station I/O Cable"</f>
        <v>6m Stop Station I/O Cable</v>
      </c>
      <c r="D3787">
        <v>1</v>
      </c>
      <c r="E3787" t="str">
        <f>"Stop Station - OMRON (6m cable)"</f>
        <v>Stop Station - OMRON (6m cable)</v>
      </c>
      <c r="F3787">
        <v>531</v>
      </c>
      <c r="G3787" t="str">
        <f t="shared" si="952"/>
        <v>Y</v>
      </c>
      <c r="H3787" t="str">
        <f t="shared" si="950"/>
        <v>EA</v>
      </c>
      <c r="I3787">
        <v>0</v>
      </c>
      <c r="J3787">
        <v>0</v>
      </c>
      <c r="K3787" t="str">
        <f t="shared" si="953"/>
        <v>Y</v>
      </c>
      <c r="L3787">
        <v>0</v>
      </c>
      <c r="M3787" t="str">
        <f t="shared" si="946"/>
        <v>NIS</v>
      </c>
      <c r="O3787">
        <v>4</v>
      </c>
      <c r="P3787" t="str">
        <f t="shared" si="951"/>
        <v>Active</v>
      </c>
      <c r="Q3787" t="str">
        <f>"6m Stop Station I/O Cable"</f>
        <v>6m Stop Station I/O Cable</v>
      </c>
      <c r="S3787" t="str">
        <f>"6m Stop Station I/O Cable"</f>
        <v>6m Stop Station I/O Cable</v>
      </c>
      <c r="T3787">
        <v>0</v>
      </c>
      <c r="U3787">
        <v>80.87</v>
      </c>
      <c r="V3787">
        <v>82.26</v>
      </c>
      <c r="W3787" t="str">
        <f t="shared" si="949"/>
        <v>rob</v>
      </c>
    </row>
    <row r="3788" spans="1:23">
      <c r="A3788" t="str">
        <f>"PLTR-OMRON-6M"</f>
        <v>PLTR-OMRON-6M</v>
      </c>
      <c r="B3788" t="str">
        <f>"50-0053-0000"</f>
        <v>50-0053-0000</v>
      </c>
      <c r="C3788" t="str">
        <f>"Pallet Tracking Stop Station Wiring"</f>
        <v>Pallet Tracking Stop Station Wiring</v>
      </c>
      <c r="D3788">
        <v>1</v>
      </c>
      <c r="E3788" t="str">
        <f>"Stop Station - OMRON (6m cable)"</f>
        <v>Stop Station - OMRON (6m cable)</v>
      </c>
      <c r="F3788">
        <v>531</v>
      </c>
      <c r="G3788" t="str">
        <f t="shared" si="952"/>
        <v>Y</v>
      </c>
      <c r="H3788" t="str">
        <f t="shared" si="950"/>
        <v>EA</v>
      </c>
      <c r="I3788">
        <v>0</v>
      </c>
      <c r="J3788">
        <v>0</v>
      </c>
      <c r="K3788" t="str">
        <f t="shared" si="953"/>
        <v>Y</v>
      </c>
      <c r="L3788">
        <v>0</v>
      </c>
      <c r="M3788" t="str">
        <f t="shared" si="946"/>
        <v>NIS</v>
      </c>
      <c r="N3788" t="str">
        <f>"Y"</f>
        <v>Y</v>
      </c>
      <c r="O3788">
        <v>5</v>
      </c>
      <c r="P3788" t="str">
        <f t="shared" si="951"/>
        <v>Active</v>
      </c>
      <c r="Q3788" t="str">
        <f>"Pallet Tracking Stop Station Wiring"</f>
        <v>Pallet Tracking Stop Station Wiring</v>
      </c>
      <c r="S3788" t="str">
        <f>"Pallet Tracking Stop Station Wiring"</f>
        <v>Pallet Tracking Stop Station Wiring</v>
      </c>
      <c r="T3788">
        <v>0</v>
      </c>
      <c r="U3788">
        <v>400</v>
      </c>
      <c r="V3788">
        <v>400</v>
      </c>
      <c r="W3788" t="str">
        <f t="shared" si="949"/>
        <v>rob</v>
      </c>
    </row>
    <row r="3789" spans="1:23">
      <c r="A3789" t="str">
        <f>"PLTR-OMRON-9M"</f>
        <v>PLTR-OMRON-9M</v>
      </c>
      <c r="B3789" t="str">
        <f>"10-2113-6000"</f>
        <v>10-2113-6000</v>
      </c>
      <c r="C3789" t="str">
        <f>"Conveyor stop assembly"</f>
        <v>Conveyor stop assembly</v>
      </c>
      <c r="D3789">
        <v>1</v>
      </c>
      <c r="E3789" t="str">
        <f>"Stop Station - OMRON (9m cable)"</f>
        <v>Stop Station - OMRON (9m cable)</v>
      </c>
      <c r="F3789">
        <v>531</v>
      </c>
      <c r="G3789" t="str">
        <f t="shared" si="952"/>
        <v>Y</v>
      </c>
      <c r="H3789" t="str">
        <f t="shared" si="950"/>
        <v>EA</v>
      </c>
      <c r="I3789">
        <v>0</v>
      </c>
      <c r="J3789">
        <v>0</v>
      </c>
      <c r="K3789" t="str">
        <f t="shared" si="953"/>
        <v>Y</v>
      </c>
      <c r="L3789">
        <v>0</v>
      </c>
      <c r="M3789" t="str">
        <f t="shared" si="946"/>
        <v>NIS</v>
      </c>
      <c r="O3789">
        <v>1</v>
      </c>
      <c r="P3789" t="str">
        <f t="shared" si="951"/>
        <v>Active</v>
      </c>
      <c r="Q3789" t="str">
        <f>"Conveyor stop assembly for work station"</f>
        <v>Conveyor stop assembly for work station</v>
      </c>
      <c r="S3789" t="str">
        <f>"Conveyor stop assembly for work station"</f>
        <v>Conveyor stop assembly for work station</v>
      </c>
      <c r="T3789">
        <v>0</v>
      </c>
      <c r="U3789">
        <v>740</v>
      </c>
      <c r="V3789">
        <v>693.67</v>
      </c>
      <c r="W3789" t="str">
        <f t="shared" si="949"/>
        <v>rob</v>
      </c>
    </row>
    <row r="3790" spans="1:23">
      <c r="A3790" t="str">
        <f>"PLTR-OMRON-9M"</f>
        <v>PLTR-OMRON-9M</v>
      </c>
      <c r="B3790" t="str">
        <f>"10-2112-2000"</f>
        <v>10-2112-2000</v>
      </c>
      <c r="C3790" t="str">
        <f>"CIM Station Indicator Lights"</f>
        <v>CIM Station Indicator Lights</v>
      </c>
      <c r="D3790">
        <v>1</v>
      </c>
      <c r="E3790" t="str">
        <f>"Stop Station - OMRON (9m cable)"</f>
        <v>Stop Station - OMRON (9m cable)</v>
      </c>
      <c r="F3790">
        <v>531</v>
      </c>
      <c r="G3790" t="str">
        <f t="shared" si="952"/>
        <v>Y</v>
      </c>
      <c r="H3790" t="str">
        <f t="shared" si="950"/>
        <v>EA</v>
      </c>
      <c r="I3790">
        <v>0</v>
      </c>
      <c r="J3790">
        <v>0</v>
      </c>
      <c r="K3790" t="str">
        <f t="shared" si="953"/>
        <v>Y</v>
      </c>
      <c r="L3790">
        <v>0</v>
      </c>
      <c r="M3790" t="str">
        <f t="shared" si="946"/>
        <v>NIS</v>
      </c>
      <c r="O3790">
        <v>2</v>
      </c>
      <c r="P3790" t="str">
        <f t="shared" si="951"/>
        <v>Active</v>
      </c>
      <c r="Q3790" t="str">
        <f>"Stop Station Status Light"</f>
        <v>Stop Station Status Light</v>
      </c>
      <c r="S3790" t="str">
        <f>"CIM Station Indicator Lights"</f>
        <v>CIM Station Indicator Lights</v>
      </c>
      <c r="T3790">
        <v>0</v>
      </c>
      <c r="U3790">
        <v>165</v>
      </c>
      <c r="V3790">
        <v>164.45</v>
      </c>
      <c r="W3790" t="str">
        <f t="shared" si="949"/>
        <v>rob</v>
      </c>
    </row>
    <row r="3791" spans="1:23">
      <c r="A3791" t="str">
        <f>"PLTR-OMRON-9M"</f>
        <v>PLTR-OMRON-9M</v>
      </c>
      <c r="B3791" t="str">
        <f>"10-2111-3000"</f>
        <v>10-2111-3000</v>
      </c>
      <c r="C3791" t="str">
        <f>"Pallet (with magnetic code)"</f>
        <v>Pallet (with magnetic code)</v>
      </c>
      <c r="D3791">
        <v>2</v>
      </c>
      <c r="E3791" t="str">
        <f>"Stop Station - OMRON (9m cable)"</f>
        <v>Stop Station - OMRON (9m cable)</v>
      </c>
      <c r="F3791">
        <v>531</v>
      </c>
      <c r="G3791" t="str">
        <f t="shared" si="952"/>
        <v>Y</v>
      </c>
      <c r="H3791" t="str">
        <f t="shared" si="950"/>
        <v>EA</v>
      </c>
      <c r="I3791">
        <v>0</v>
      </c>
      <c r="J3791">
        <v>0</v>
      </c>
      <c r="K3791" t="str">
        <f t="shared" si="953"/>
        <v>Y</v>
      </c>
      <c r="L3791">
        <v>0</v>
      </c>
      <c r="M3791" t="str">
        <f t="shared" si="946"/>
        <v>NIS</v>
      </c>
      <c r="O3791">
        <v>3</v>
      </c>
      <c r="P3791" t="str">
        <f t="shared" si="951"/>
        <v>Active</v>
      </c>
      <c r="Q3791" t="str">
        <f>"Pallet (with magnetic code)"</f>
        <v>Pallet (with magnetic code)</v>
      </c>
      <c r="S3791" t="str">
        <f>"Pallet (with magnetic code)"</f>
        <v>Pallet (with magnetic code)</v>
      </c>
      <c r="T3791">
        <v>0</v>
      </c>
      <c r="U3791">
        <v>75</v>
      </c>
      <c r="V3791">
        <v>71.489999999999995</v>
      </c>
      <c r="W3791" t="str">
        <f t="shared" si="949"/>
        <v>rob</v>
      </c>
    </row>
    <row r="3792" spans="1:23">
      <c r="A3792" t="str">
        <f>"PLTR-OMRON-9M"</f>
        <v>PLTR-OMRON-9M</v>
      </c>
      <c r="B3792" t="str">
        <f>"10-4024-5000"</f>
        <v>10-4024-5000</v>
      </c>
      <c r="C3792" t="str">
        <f>"9m Stop Station I/O Cable"</f>
        <v>9m Stop Station I/O Cable</v>
      </c>
      <c r="D3792">
        <v>1</v>
      </c>
      <c r="E3792" t="str">
        <f>"Stop Station - OMRON (9m cable)"</f>
        <v>Stop Station - OMRON (9m cable)</v>
      </c>
      <c r="F3792">
        <v>531</v>
      </c>
      <c r="G3792" t="str">
        <f t="shared" si="952"/>
        <v>Y</v>
      </c>
      <c r="H3792" t="str">
        <f t="shared" si="950"/>
        <v>EA</v>
      </c>
      <c r="I3792">
        <v>0</v>
      </c>
      <c r="J3792">
        <v>0</v>
      </c>
      <c r="K3792" t="str">
        <f t="shared" si="953"/>
        <v>Y</v>
      </c>
      <c r="L3792">
        <v>0</v>
      </c>
      <c r="M3792" t="str">
        <f t="shared" si="946"/>
        <v>NIS</v>
      </c>
      <c r="O3792">
        <v>4</v>
      </c>
      <c r="P3792" t="str">
        <f t="shared" si="951"/>
        <v>Active</v>
      </c>
      <c r="Q3792" t="str">
        <f>"9m Stop Station I/O Cable"</f>
        <v>9m Stop Station I/O Cable</v>
      </c>
      <c r="S3792" t="str">
        <f>"9m Stop Station I/O Cable"</f>
        <v>9m Stop Station I/O Cable</v>
      </c>
      <c r="T3792">
        <v>0</v>
      </c>
      <c r="U3792">
        <v>87.32</v>
      </c>
      <c r="V3792">
        <v>89.37</v>
      </c>
      <c r="W3792" t="str">
        <f t="shared" si="949"/>
        <v>rob</v>
      </c>
    </row>
    <row r="3793" spans="1:23">
      <c r="A3793" t="str">
        <f>"PLTR-OMRON-9M"</f>
        <v>PLTR-OMRON-9M</v>
      </c>
      <c r="B3793" t="str">
        <f>"50-0053-0000"</f>
        <v>50-0053-0000</v>
      </c>
      <c r="C3793" t="str">
        <f>"Pallet Tracking Stop Station Wiring"</f>
        <v>Pallet Tracking Stop Station Wiring</v>
      </c>
      <c r="D3793">
        <v>1</v>
      </c>
      <c r="E3793" t="str">
        <f>"Stop Station - OMRON (9m cable)"</f>
        <v>Stop Station - OMRON (9m cable)</v>
      </c>
      <c r="F3793">
        <v>531</v>
      </c>
      <c r="G3793" t="str">
        <f t="shared" si="952"/>
        <v>Y</v>
      </c>
      <c r="H3793" t="str">
        <f t="shared" si="950"/>
        <v>EA</v>
      </c>
      <c r="I3793">
        <v>0</v>
      </c>
      <c r="J3793">
        <v>0</v>
      </c>
      <c r="K3793" t="str">
        <f t="shared" si="953"/>
        <v>Y</v>
      </c>
      <c r="L3793">
        <v>0</v>
      </c>
      <c r="M3793" t="str">
        <f t="shared" si="946"/>
        <v>NIS</v>
      </c>
      <c r="N3793" t="str">
        <f>"Y"</f>
        <v>Y</v>
      </c>
      <c r="O3793">
        <v>5</v>
      </c>
      <c r="P3793" t="str">
        <f t="shared" si="951"/>
        <v>Active</v>
      </c>
      <c r="Q3793" t="str">
        <f>"Pallet Tracking Stop Station Wiring"</f>
        <v>Pallet Tracking Stop Station Wiring</v>
      </c>
      <c r="S3793" t="str">
        <f>"Pallet Tracking Stop Station Wiring"</f>
        <v>Pallet Tracking Stop Station Wiring</v>
      </c>
      <c r="T3793">
        <v>0</v>
      </c>
      <c r="U3793">
        <v>400</v>
      </c>
      <c r="V3793">
        <v>400</v>
      </c>
      <c r="W3793" t="str">
        <f t="shared" si="949"/>
        <v>rob</v>
      </c>
    </row>
    <row r="3794" spans="1:23">
      <c r="A3794" t="str">
        <f>"PLTR-S7-PRO_COM"</f>
        <v>PLTR-S7-PRO_COM</v>
      </c>
      <c r="B3794" t="str">
        <f>"10-2119-7000"</f>
        <v>10-2119-7000</v>
      </c>
      <c r="C3794" t="str">
        <f>"Profibus Module (ET200L) for Stop Station"</f>
        <v>Profibus Module (ET200L) for Stop Station</v>
      </c>
      <c r="D3794">
        <v>1</v>
      </c>
      <c r="E3794" t="str">
        <f>"SIEMENS S7 - Communication Module (Profibus)"</f>
        <v>SIEMENS S7 - Communication Module (Profibus)</v>
      </c>
      <c r="F3794">
        <v>531</v>
      </c>
      <c r="G3794" t="str">
        <f t="shared" si="952"/>
        <v>Y</v>
      </c>
      <c r="H3794" t="str">
        <f t="shared" si="950"/>
        <v>EA</v>
      </c>
      <c r="I3794">
        <v>0</v>
      </c>
      <c r="J3794">
        <v>0</v>
      </c>
      <c r="K3794" t="str">
        <f t="shared" si="953"/>
        <v>Y</v>
      </c>
      <c r="L3794">
        <v>0</v>
      </c>
      <c r="M3794" t="str">
        <f t="shared" si="946"/>
        <v>NIS</v>
      </c>
      <c r="O3794">
        <v>1</v>
      </c>
      <c r="P3794" t="str">
        <f t="shared" si="951"/>
        <v>Active</v>
      </c>
      <c r="Q3794" t="str">
        <f>"Profibus Module (ET200L) for Stop Station"</f>
        <v>Profibus Module (ET200L) for Stop Station</v>
      </c>
      <c r="S3794" t="str">
        <f>"Profibus Module (ET200L) for Stop Station"</f>
        <v>Profibus Module (ET200L) for Stop Station</v>
      </c>
      <c r="T3794">
        <v>0</v>
      </c>
      <c r="U3794">
        <v>529.08000000000004</v>
      </c>
      <c r="V3794">
        <v>763.1</v>
      </c>
      <c r="W3794" t="str">
        <f t="shared" si="949"/>
        <v>rob</v>
      </c>
    </row>
    <row r="3795" spans="1:23">
      <c r="A3795" t="str">
        <f>"PLTR-SIEMENS-12M"</f>
        <v>PLTR-SIEMENS-12M</v>
      </c>
      <c r="B3795" t="str">
        <f>"10-2117-6000"</f>
        <v>10-2117-6000</v>
      </c>
      <c r="C3795" t="str">
        <f>"Stop Station Assembly for Siemens PLC"</f>
        <v>Stop Station Assembly for Siemens PLC</v>
      </c>
      <c r="D3795">
        <v>1</v>
      </c>
      <c r="E3795" t="str">
        <f>"Stop Station - SIEMENS S7 (12m cable)"</f>
        <v>Stop Station - SIEMENS S7 (12m cable)</v>
      </c>
      <c r="F3795">
        <v>531</v>
      </c>
      <c r="G3795" t="str">
        <f t="shared" si="952"/>
        <v>Y</v>
      </c>
      <c r="H3795" t="str">
        <f t="shared" si="950"/>
        <v>EA</v>
      </c>
      <c r="I3795">
        <v>0</v>
      </c>
      <c r="J3795">
        <v>0</v>
      </c>
      <c r="K3795" t="str">
        <f t="shared" si="953"/>
        <v>Y</v>
      </c>
      <c r="L3795">
        <v>0</v>
      </c>
      <c r="M3795" t="str">
        <f t="shared" si="946"/>
        <v>NIS</v>
      </c>
      <c r="O3795">
        <v>1</v>
      </c>
      <c r="P3795" t="str">
        <f t="shared" si="951"/>
        <v>Active</v>
      </c>
      <c r="Q3795" t="str">
        <f>"Stop Station Assembly for Siemens PLC"</f>
        <v>Stop Station Assembly for Siemens PLC</v>
      </c>
      <c r="S3795" t="str">
        <f>"Stop Station Assembly for Siemens PLC"</f>
        <v>Stop Station Assembly for Siemens PLC</v>
      </c>
      <c r="T3795">
        <v>0</v>
      </c>
      <c r="U3795">
        <v>808.86</v>
      </c>
      <c r="V3795">
        <v>800.63</v>
      </c>
      <c r="W3795" t="str">
        <f t="shared" si="949"/>
        <v>rob</v>
      </c>
    </row>
    <row r="3796" spans="1:23">
      <c r="A3796" t="str">
        <f>"PLTR-SIEMENS-12M"</f>
        <v>PLTR-SIEMENS-12M</v>
      </c>
      <c r="B3796" t="str">
        <f>"10-2112-2000"</f>
        <v>10-2112-2000</v>
      </c>
      <c r="C3796" t="str">
        <f>"CIM Station Indicator Lights"</f>
        <v>CIM Station Indicator Lights</v>
      </c>
      <c r="D3796">
        <v>1</v>
      </c>
      <c r="E3796" t="str">
        <f>"Stop Station - SIEMENS S7 (12m cable)"</f>
        <v>Stop Station - SIEMENS S7 (12m cable)</v>
      </c>
      <c r="F3796">
        <v>531</v>
      </c>
      <c r="G3796" t="str">
        <f t="shared" si="952"/>
        <v>Y</v>
      </c>
      <c r="H3796" t="str">
        <f t="shared" si="950"/>
        <v>EA</v>
      </c>
      <c r="I3796">
        <v>0</v>
      </c>
      <c r="J3796">
        <v>0</v>
      </c>
      <c r="K3796" t="str">
        <f t="shared" si="953"/>
        <v>Y</v>
      </c>
      <c r="L3796">
        <v>0</v>
      </c>
      <c r="M3796" t="str">
        <f t="shared" ref="M3796:M3859" si="954">"NIS"</f>
        <v>NIS</v>
      </c>
      <c r="O3796">
        <v>2</v>
      </c>
      <c r="P3796" t="str">
        <f t="shared" si="951"/>
        <v>Active</v>
      </c>
      <c r="Q3796" t="str">
        <f>"Stop Station Status Light"</f>
        <v>Stop Station Status Light</v>
      </c>
      <c r="S3796" t="str">
        <f>"CIM Station Indicator Lights"</f>
        <v>CIM Station Indicator Lights</v>
      </c>
      <c r="T3796">
        <v>0</v>
      </c>
      <c r="U3796">
        <v>165</v>
      </c>
      <c r="V3796">
        <v>164.45</v>
      </c>
      <c r="W3796" t="str">
        <f t="shared" si="949"/>
        <v>rob</v>
      </c>
    </row>
    <row r="3797" spans="1:23">
      <c r="A3797" t="str">
        <f>"PLTR-SIEMENS-12M"</f>
        <v>PLTR-SIEMENS-12M</v>
      </c>
      <c r="B3797" t="str">
        <f>"10-2111-3000"</f>
        <v>10-2111-3000</v>
      </c>
      <c r="C3797" t="str">
        <f>"Pallet (with magnetic code)"</f>
        <v>Pallet (with magnetic code)</v>
      </c>
      <c r="D3797">
        <v>2</v>
      </c>
      <c r="E3797" t="str">
        <f>"Stop Station - SIEMENS S7 (12m cable)"</f>
        <v>Stop Station - SIEMENS S7 (12m cable)</v>
      </c>
      <c r="F3797">
        <v>531</v>
      </c>
      <c r="G3797" t="str">
        <f t="shared" si="952"/>
        <v>Y</v>
      </c>
      <c r="H3797" t="str">
        <f t="shared" si="950"/>
        <v>EA</v>
      </c>
      <c r="I3797">
        <v>0</v>
      </c>
      <c r="J3797">
        <v>0</v>
      </c>
      <c r="K3797" t="str">
        <f t="shared" si="953"/>
        <v>Y</v>
      </c>
      <c r="L3797">
        <v>0</v>
      </c>
      <c r="M3797" t="str">
        <f t="shared" si="954"/>
        <v>NIS</v>
      </c>
      <c r="O3797">
        <v>3</v>
      </c>
      <c r="P3797" t="str">
        <f t="shared" si="951"/>
        <v>Active</v>
      </c>
      <c r="Q3797" t="str">
        <f>"Pallet (with magnetic code)"</f>
        <v>Pallet (with magnetic code)</v>
      </c>
      <c r="S3797" t="str">
        <f>"Pallet (with magnetic code)"</f>
        <v>Pallet (with magnetic code)</v>
      </c>
      <c r="T3797">
        <v>0</v>
      </c>
      <c r="U3797">
        <v>75</v>
      </c>
      <c r="V3797">
        <v>71.489999999999995</v>
      </c>
      <c r="W3797" t="str">
        <f t="shared" si="949"/>
        <v>rob</v>
      </c>
    </row>
    <row r="3798" spans="1:23">
      <c r="A3798" t="str">
        <f>"PLTR-SIEMENS-12M"</f>
        <v>PLTR-SIEMENS-12M</v>
      </c>
      <c r="B3798" t="str">
        <f>"10-4049-2000"</f>
        <v>10-4049-2000</v>
      </c>
      <c r="C3798" t="str">
        <f>"12m Stop Station I/O Cable"</f>
        <v>12m Stop Station I/O Cable</v>
      </c>
      <c r="D3798">
        <v>1</v>
      </c>
      <c r="E3798" t="str">
        <f>"Stop Station - SIEMENS S7 (12m cable)"</f>
        <v>Stop Station - SIEMENS S7 (12m cable)</v>
      </c>
      <c r="F3798">
        <v>531</v>
      </c>
      <c r="G3798" t="str">
        <f t="shared" si="952"/>
        <v>Y</v>
      </c>
      <c r="H3798" t="str">
        <f t="shared" si="950"/>
        <v>EA</v>
      </c>
      <c r="I3798">
        <v>0</v>
      </c>
      <c r="J3798">
        <v>0</v>
      </c>
      <c r="K3798" t="str">
        <f t="shared" si="953"/>
        <v>Y</v>
      </c>
      <c r="L3798">
        <v>0</v>
      </c>
      <c r="M3798" t="str">
        <f t="shared" si="954"/>
        <v>NIS</v>
      </c>
      <c r="O3798">
        <v>4</v>
      </c>
      <c r="P3798" t="str">
        <f t="shared" si="951"/>
        <v>Active</v>
      </c>
      <c r="Q3798" t="str">
        <f>"12m Stop Station I/O Cable"</f>
        <v>12m Stop Station I/O Cable</v>
      </c>
      <c r="S3798" t="str">
        <f>"12m Stop Station I/O Cable"</f>
        <v>12m Stop Station I/O Cable</v>
      </c>
      <c r="T3798">
        <v>0</v>
      </c>
      <c r="U3798">
        <v>33.799999999999997</v>
      </c>
      <c r="V3798">
        <v>32.04</v>
      </c>
      <c r="W3798" t="str">
        <f t="shared" si="949"/>
        <v>rob</v>
      </c>
    </row>
    <row r="3799" spans="1:23">
      <c r="A3799" t="str">
        <f>"PLTR-SIEMENS-12M"</f>
        <v>PLTR-SIEMENS-12M</v>
      </c>
      <c r="B3799" t="str">
        <f>"50-0053-0000"</f>
        <v>50-0053-0000</v>
      </c>
      <c r="C3799" t="str">
        <f>"Pallet Tracking Stop Station Wiring"</f>
        <v>Pallet Tracking Stop Station Wiring</v>
      </c>
      <c r="D3799">
        <v>1</v>
      </c>
      <c r="E3799" t="str">
        <f>"Stop Station - SIEMENS S7 (12m cable)"</f>
        <v>Stop Station - SIEMENS S7 (12m cable)</v>
      </c>
      <c r="F3799">
        <v>531</v>
      </c>
      <c r="G3799" t="str">
        <f t="shared" si="952"/>
        <v>Y</v>
      </c>
      <c r="H3799" t="str">
        <f t="shared" si="950"/>
        <v>EA</v>
      </c>
      <c r="I3799">
        <v>0</v>
      </c>
      <c r="J3799">
        <v>0</v>
      </c>
      <c r="K3799" t="str">
        <f t="shared" si="953"/>
        <v>Y</v>
      </c>
      <c r="L3799">
        <v>0</v>
      </c>
      <c r="M3799" t="str">
        <f t="shared" si="954"/>
        <v>NIS</v>
      </c>
      <c r="N3799" t="str">
        <f>"Y"</f>
        <v>Y</v>
      </c>
      <c r="O3799">
        <v>5</v>
      </c>
      <c r="P3799" t="str">
        <f t="shared" si="951"/>
        <v>Active</v>
      </c>
      <c r="Q3799" t="str">
        <f>"Pallet Tracking Stop Station Wiring"</f>
        <v>Pallet Tracking Stop Station Wiring</v>
      </c>
      <c r="S3799" t="str">
        <f>"Pallet Tracking Stop Station Wiring"</f>
        <v>Pallet Tracking Stop Station Wiring</v>
      </c>
      <c r="T3799">
        <v>0</v>
      </c>
      <c r="U3799">
        <v>400</v>
      </c>
      <c r="V3799">
        <v>400</v>
      </c>
      <c r="W3799" t="str">
        <f t="shared" si="949"/>
        <v>rob</v>
      </c>
    </row>
    <row r="3800" spans="1:23">
      <c r="A3800" t="str">
        <f>"PLTR-SIEMENS-15M"</f>
        <v>PLTR-SIEMENS-15M</v>
      </c>
      <c r="B3800" t="str">
        <f>"10-2117-6000"</f>
        <v>10-2117-6000</v>
      </c>
      <c r="C3800" t="str">
        <f>"Stop Station Assembly for Siemens PLC"</f>
        <v>Stop Station Assembly for Siemens PLC</v>
      </c>
      <c r="D3800">
        <v>1</v>
      </c>
      <c r="E3800" t="str">
        <f>"Stop Station - SIEMENS S7 (15m cable)"</f>
        <v>Stop Station - SIEMENS S7 (15m cable)</v>
      </c>
      <c r="F3800">
        <v>531</v>
      </c>
      <c r="G3800" t="str">
        <f t="shared" si="952"/>
        <v>Y</v>
      </c>
      <c r="H3800" t="str">
        <f t="shared" si="950"/>
        <v>EA</v>
      </c>
      <c r="I3800">
        <v>0</v>
      </c>
      <c r="J3800">
        <v>0</v>
      </c>
      <c r="K3800" t="str">
        <f t="shared" si="953"/>
        <v>Y</v>
      </c>
      <c r="L3800">
        <v>0</v>
      </c>
      <c r="M3800" t="str">
        <f t="shared" si="954"/>
        <v>NIS</v>
      </c>
      <c r="O3800">
        <v>1</v>
      </c>
      <c r="P3800" t="str">
        <f t="shared" si="951"/>
        <v>Active</v>
      </c>
      <c r="Q3800" t="str">
        <f>"Stop Station Assembly for Siemens PLC"</f>
        <v>Stop Station Assembly for Siemens PLC</v>
      </c>
      <c r="S3800" t="str">
        <f>"Stop Station Assembly for Siemens PLC"</f>
        <v>Stop Station Assembly for Siemens PLC</v>
      </c>
      <c r="T3800">
        <v>0</v>
      </c>
      <c r="U3800">
        <v>808.86</v>
      </c>
      <c r="V3800">
        <v>800.63</v>
      </c>
      <c r="W3800" t="str">
        <f t="shared" si="949"/>
        <v>rob</v>
      </c>
    </row>
    <row r="3801" spans="1:23">
      <c r="A3801" t="str">
        <f>"PLTR-SIEMENS-15M"</f>
        <v>PLTR-SIEMENS-15M</v>
      </c>
      <c r="B3801" t="str">
        <f>"10-2112-2000"</f>
        <v>10-2112-2000</v>
      </c>
      <c r="C3801" t="str">
        <f>"CIM Station Indicator Lights"</f>
        <v>CIM Station Indicator Lights</v>
      </c>
      <c r="D3801">
        <v>1</v>
      </c>
      <c r="E3801" t="str">
        <f>"Stop Station - SIEMENS S7 (15m cable)"</f>
        <v>Stop Station - SIEMENS S7 (15m cable)</v>
      </c>
      <c r="F3801">
        <v>531</v>
      </c>
      <c r="G3801" t="str">
        <f t="shared" si="952"/>
        <v>Y</v>
      </c>
      <c r="H3801" t="str">
        <f t="shared" si="950"/>
        <v>EA</v>
      </c>
      <c r="I3801">
        <v>0</v>
      </c>
      <c r="J3801">
        <v>0</v>
      </c>
      <c r="K3801" t="str">
        <f t="shared" si="953"/>
        <v>Y</v>
      </c>
      <c r="L3801">
        <v>0</v>
      </c>
      <c r="M3801" t="str">
        <f t="shared" si="954"/>
        <v>NIS</v>
      </c>
      <c r="O3801">
        <v>2</v>
      </c>
      <c r="P3801" t="str">
        <f t="shared" si="951"/>
        <v>Active</v>
      </c>
      <c r="Q3801" t="str">
        <f>"Stop Station Status Light"</f>
        <v>Stop Station Status Light</v>
      </c>
      <c r="S3801" t="str">
        <f>"CIM Station Indicator Lights"</f>
        <v>CIM Station Indicator Lights</v>
      </c>
      <c r="T3801">
        <v>0</v>
      </c>
      <c r="U3801">
        <v>165</v>
      </c>
      <c r="V3801">
        <v>164.45</v>
      </c>
      <c r="W3801" t="str">
        <f t="shared" si="949"/>
        <v>rob</v>
      </c>
    </row>
    <row r="3802" spans="1:23">
      <c r="A3802" t="str">
        <f>"PLTR-SIEMENS-15M"</f>
        <v>PLTR-SIEMENS-15M</v>
      </c>
      <c r="B3802" t="str">
        <f>"10-2111-3000"</f>
        <v>10-2111-3000</v>
      </c>
      <c r="C3802" t="str">
        <f>"Pallet (with magnetic code)"</f>
        <v>Pallet (with magnetic code)</v>
      </c>
      <c r="D3802">
        <v>2</v>
      </c>
      <c r="E3802" t="str">
        <f>"Stop Station - SIEMENS S7 (15m cable)"</f>
        <v>Stop Station - SIEMENS S7 (15m cable)</v>
      </c>
      <c r="F3802">
        <v>531</v>
      </c>
      <c r="G3802" t="str">
        <f t="shared" si="952"/>
        <v>Y</v>
      </c>
      <c r="H3802" t="str">
        <f t="shared" si="950"/>
        <v>EA</v>
      </c>
      <c r="I3802">
        <v>0</v>
      </c>
      <c r="J3802">
        <v>0</v>
      </c>
      <c r="K3802" t="str">
        <f t="shared" si="953"/>
        <v>Y</v>
      </c>
      <c r="L3802">
        <v>0</v>
      </c>
      <c r="M3802" t="str">
        <f t="shared" si="954"/>
        <v>NIS</v>
      </c>
      <c r="O3802">
        <v>3</v>
      </c>
      <c r="P3802" t="str">
        <f t="shared" si="951"/>
        <v>Active</v>
      </c>
      <c r="Q3802" t="str">
        <f>"Pallet (with magnetic code)"</f>
        <v>Pallet (with magnetic code)</v>
      </c>
      <c r="S3802" t="str">
        <f>"Pallet (with magnetic code)"</f>
        <v>Pallet (with magnetic code)</v>
      </c>
      <c r="T3802">
        <v>0</v>
      </c>
      <c r="U3802">
        <v>75</v>
      </c>
      <c r="V3802">
        <v>71.489999999999995</v>
      </c>
      <c r="W3802" t="str">
        <f t="shared" si="949"/>
        <v>rob</v>
      </c>
    </row>
    <row r="3803" spans="1:23">
      <c r="A3803" t="str">
        <f>"PLTR-SIEMENS-15M"</f>
        <v>PLTR-SIEMENS-15M</v>
      </c>
      <c r="B3803" t="str">
        <f>"10-4049-3000"</f>
        <v>10-4049-3000</v>
      </c>
      <c r="C3803" t="str">
        <f>"15m Stop Station I/O Cable"</f>
        <v>15m Stop Station I/O Cable</v>
      </c>
      <c r="D3803">
        <v>1</v>
      </c>
      <c r="E3803" t="str">
        <f>"Stop Station - SIEMENS S7 (15m cable)"</f>
        <v>Stop Station - SIEMENS S7 (15m cable)</v>
      </c>
      <c r="F3803">
        <v>531</v>
      </c>
      <c r="G3803" t="str">
        <f t="shared" si="952"/>
        <v>Y</v>
      </c>
      <c r="H3803" t="str">
        <f t="shared" ref="H3803:H3828" si="955">"EA"</f>
        <v>EA</v>
      </c>
      <c r="I3803">
        <v>0</v>
      </c>
      <c r="J3803">
        <v>0</v>
      </c>
      <c r="K3803" t="str">
        <f t="shared" si="953"/>
        <v>Y</v>
      </c>
      <c r="L3803">
        <v>0</v>
      </c>
      <c r="M3803" t="str">
        <f t="shared" si="954"/>
        <v>NIS</v>
      </c>
      <c r="O3803">
        <v>4</v>
      </c>
      <c r="P3803" t="str">
        <f t="shared" si="951"/>
        <v>Active</v>
      </c>
      <c r="Q3803" t="str">
        <f>"15m Stop Station I/O Cable"</f>
        <v>15m Stop Station I/O Cable</v>
      </c>
      <c r="S3803" t="str">
        <f>"15m Stop Station I/O Cable"</f>
        <v>15m Stop Station I/O Cable</v>
      </c>
      <c r="T3803">
        <v>0</v>
      </c>
      <c r="U3803">
        <v>0</v>
      </c>
      <c r="V3803">
        <v>39.15</v>
      </c>
      <c r="W3803" t="str">
        <f t="shared" si="949"/>
        <v>rob</v>
      </c>
    </row>
    <row r="3804" spans="1:23">
      <c r="A3804" t="str">
        <f>"PLTR-SIEMENS-15M"</f>
        <v>PLTR-SIEMENS-15M</v>
      </c>
      <c r="B3804" t="str">
        <f>"50-0053-0000"</f>
        <v>50-0053-0000</v>
      </c>
      <c r="C3804" t="str">
        <f>"Pallet Tracking Stop Station Wiring"</f>
        <v>Pallet Tracking Stop Station Wiring</v>
      </c>
      <c r="D3804">
        <v>1</v>
      </c>
      <c r="E3804" t="str">
        <f>"Stop Station - SIEMENS S7 (15m cable)"</f>
        <v>Stop Station - SIEMENS S7 (15m cable)</v>
      </c>
      <c r="F3804">
        <v>531</v>
      </c>
      <c r="G3804" t="str">
        <f t="shared" si="952"/>
        <v>Y</v>
      </c>
      <c r="H3804" t="str">
        <f t="shared" si="955"/>
        <v>EA</v>
      </c>
      <c r="I3804">
        <v>0</v>
      </c>
      <c r="J3804">
        <v>0</v>
      </c>
      <c r="K3804" t="str">
        <f t="shared" si="953"/>
        <v>Y</v>
      </c>
      <c r="L3804">
        <v>0</v>
      </c>
      <c r="M3804" t="str">
        <f t="shared" si="954"/>
        <v>NIS</v>
      </c>
      <c r="N3804" t="str">
        <f>"Y"</f>
        <v>Y</v>
      </c>
      <c r="O3804">
        <v>5</v>
      </c>
      <c r="P3804" t="str">
        <f t="shared" si="951"/>
        <v>Active</v>
      </c>
      <c r="Q3804" t="str">
        <f>"Pallet Tracking Stop Station Wiring"</f>
        <v>Pallet Tracking Stop Station Wiring</v>
      </c>
      <c r="S3804" t="str">
        <f>"Pallet Tracking Stop Station Wiring"</f>
        <v>Pallet Tracking Stop Station Wiring</v>
      </c>
      <c r="T3804">
        <v>0</v>
      </c>
      <c r="U3804">
        <v>400</v>
      </c>
      <c r="V3804">
        <v>400</v>
      </c>
      <c r="W3804" t="str">
        <f t="shared" si="949"/>
        <v>rob</v>
      </c>
    </row>
    <row r="3805" spans="1:23">
      <c r="A3805" t="str">
        <f>"PLTR-SIEMENS-6M"</f>
        <v>PLTR-SIEMENS-6M</v>
      </c>
      <c r="B3805" t="str">
        <f>"10-2117-6000"</f>
        <v>10-2117-6000</v>
      </c>
      <c r="C3805" t="str">
        <f>"Stop Station Assembly for Siemens PLC"</f>
        <v>Stop Station Assembly for Siemens PLC</v>
      </c>
      <c r="D3805">
        <v>1</v>
      </c>
      <c r="E3805" t="str">
        <f>"Stop Station - SIEMENS S7 (6m cable)"</f>
        <v>Stop Station - SIEMENS S7 (6m cable)</v>
      </c>
      <c r="F3805">
        <v>531</v>
      </c>
      <c r="G3805" t="str">
        <f t="shared" si="952"/>
        <v>Y</v>
      </c>
      <c r="H3805" t="str">
        <f t="shared" si="955"/>
        <v>EA</v>
      </c>
      <c r="I3805">
        <v>0</v>
      </c>
      <c r="J3805">
        <v>0</v>
      </c>
      <c r="K3805" t="str">
        <f t="shared" si="953"/>
        <v>Y</v>
      </c>
      <c r="L3805">
        <v>0</v>
      </c>
      <c r="M3805" t="str">
        <f t="shared" si="954"/>
        <v>NIS</v>
      </c>
      <c r="O3805">
        <v>1</v>
      </c>
      <c r="P3805" t="str">
        <f t="shared" si="951"/>
        <v>Active</v>
      </c>
      <c r="Q3805" t="str">
        <f>"Stop Station Assembly for Siemens PLC"</f>
        <v>Stop Station Assembly for Siemens PLC</v>
      </c>
      <c r="S3805" t="str">
        <f>"Stop Station Assembly for Siemens PLC"</f>
        <v>Stop Station Assembly for Siemens PLC</v>
      </c>
      <c r="T3805">
        <v>0</v>
      </c>
      <c r="U3805">
        <v>808.86</v>
      </c>
      <c r="V3805">
        <v>800.63</v>
      </c>
      <c r="W3805" t="str">
        <f t="shared" si="949"/>
        <v>rob</v>
      </c>
    </row>
    <row r="3806" spans="1:23">
      <c r="A3806" t="str">
        <f>"PLTR-SIEMENS-6M"</f>
        <v>PLTR-SIEMENS-6M</v>
      </c>
      <c r="B3806" t="str">
        <f>"10-2112-2000"</f>
        <v>10-2112-2000</v>
      </c>
      <c r="C3806" t="str">
        <f>"CIM Station Indicator Lights"</f>
        <v>CIM Station Indicator Lights</v>
      </c>
      <c r="D3806">
        <v>1</v>
      </c>
      <c r="E3806" t="str">
        <f>"Stop Station - SIEMENS S7 (6m cable)"</f>
        <v>Stop Station - SIEMENS S7 (6m cable)</v>
      </c>
      <c r="F3806">
        <v>531</v>
      </c>
      <c r="G3806" t="str">
        <f t="shared" si="952"/>
        <v>Y</v>
      </c>
      <c r="H3806" t="str">
        <f t="shared" si="955"/>
        <v>EA</v>
      </c>
      <c r="I3806">
        <v>0</v>
      </c>
      <c r="J3806">
        <v>0</v>
      </c>
      <c r="K3806" t="str">
        <f t="shared" si="953"/>
        <v>Y</v>
      </c>
      <c r="L3806">
        <v>0</v>
      </c>
      <c r="M3806" t="str">
        <f t="shared" si="954"/>
        <v>NIS</v>
      </c>
      <c r="O3806">
        <v>2</v>
      </c>
      <c r="P3806" t="str">
        <f t="shared" si="951"/>
        <v>Active</v>
      </c>
      <c r="Q3806" t="str">
        <f>"Stop Station Status Light"</f>
        <v>Stop Station Status Light</v>
      </c>
      <c r="S3806" t="str">
        <f>"CIM Station Indicator Lights"</f>
        <v>CIM Station Indicator Lights</v>
      </c>
      <c r="T3806">
        <v>0</v>
      </c>
      <c r="U3806">
        <v>165</v>
      </c>
      <c r="V3806">
        <v>164.45</v>
      </c>
      <c r="W3806" t="str">
        <f t="shared" si="949"/>
        <v>rob</v>
      </c>
    </row>
    <row r="3807" spans="1:23">
      <c r="A3807" t="str">
        <f>"PLTR-SIEMENS-6M"</f>
        <v>PLTR-SIEMENS-6M</v>
      </c>
      <c r="B3807" t="str">
        <f>"10-2111-3000"</f>
        <v>10-2111-3000</v>
      </c>
      <c r="C3807" t="str">
        <f>"Pallet (with magnetic code)"</f>
        <v>Pallet (with magnetic code)</v>
      </c>
      <c r="D3807">
        <v>2</v>
      </c>
      <c r="E3807" t="str">
        <f>"Stop Station - SIEMENS S7 (6m cable)"</f>
        <v>Stop Station - SIEMENS S7 (6m cable)</v>
      </c>
      <c r="F3807">
        <v>531</v>
      </c>
      <c r="G3807" t="str">
        <f t="shared" si="952"/>
        <v>Y</v>
      </c>
      <c r="H3807" t="str">
        <f t="shared" si="955"/>
        <v>EA</v>
      </c>
      <c r="I3807">
        <v>0</v>
      </c>
      <c r="J3807">
        <v>0</v>
      </c>
      <c r="K3807" t="str">
        <f t="shared" si="953"/>
        <v>Y</v>
      </c>
      <c r="L3807">
        <v>0</v>
      </c>
      <c r="M3807" t="str">
        <f t="shared" si="954"/>
        <v>NIS</v>
      </c>
      <c r="O3807">
        <v>3</v>
      </c>
      <c r="P3807" t="str">
        <f t="shared" ref="P3807:P3838" si="956">"Active"</f>
        <v>Active</v>
      </c>
      <c r="Q3807" t="str">
        <f>"Pallet (with magnetic code)"</f>
        <v>Pallet (with magnetic code)</v>
      </c>
      <c r="S3807" t="str">
        <f>"Pallet (with magnetic code)"</f>
        <v>Pallet (with magnetic code)</v>
      </c>
      <c r="T3807">
        <v>0</v>
      </c>
      <c r="U3807">
        <v>75</v>
      </c>
      <c r="V3807">
        <v>71.489999999999995</v>
      </c>
      <c r="W3807" t="str">
        <f t="shared" si="949"/>
        <v>rob</v>
      </c>
    </row>
    <row r="3808" spans="1:23">
      <c r="A3808" t="str">
        <f>"PLTR-SIEMENS-6M"</f>
        <v>PLTR-SIEMENS-6M</v>
      </c>
      <c r="B3808" t="str">
        <f>"10-4024-1000"</f>
        <v>10-4024-1000</v>
      </c>
      <c r="C3808" t="str">
        <f>"6m Stop Station I/O Cable"</f>
        <v>6m Stop Station I/O Cable</v>
      </c>
      <c r="D3808">
        <v>1</v>
      </c>
      <c r="E3808" t="str">
        <f>"Stop Station - SIEMENS S7 (6m cable)"</f>
        <v>Stop Station - SIEMENS S7 (6m cable)</v>
      </c>
      <c r="F3808">
        <v>531</v>
      </c>
      <c r="G3808" t="str">
        <f t="shared" si="952"/>
        <v>Y</v>
      </c>
      <c r="H3808" t="str">
        <f t="shared" si="955"/>
        <v>EA</v>
      </c>
      <c r="I3808">
        <v>0</v>
      </c>
      <c r="J3808">
        <v>0</v>
      </c>
      <c r="K3808" t="str">
        <f t="shared" si="953"/>
        <v>Y</v>
      </c>
      <c r="L3808">
        <v>0</v>
      </c>
      <c r="M3808" t="str">
        <f t="shared" si="954"/>
        <v>NIS</v>
      </c>
      <c r="O3808">
        <v>4</v>
      </c>
      <c r="P3808" t="str">
        <f t="shared" si="956"/>
        <v>Active</v>
      </c>
      <c r="Q3808" t="str">
        <f>"6m Stop Station I/O Cable"</f>
        <v>6m Stop Station I/O Cable</v>
      </c>
      <c r="S3808" t="str">
        <f>"6m Stop Station I/O Cable"</f>
        <v>6m Stop Station I/O Cable</v>
      </c>
      <c r="T3808">
        <v>0</v>
      </c>
      <c r="U3808">
        <v>80.87</v>
      </c>
      <c r="V3808">
        <v>82.26</v>
      </c>
      <c r="W3808" t="str">
        <f t="shared" si="949"/>
        <v>rob</v>
      </c>
    </row>
    <row r="3809" spans="1:23">
      <c r="A3809" t="str">
        <f>"PLTR-SIEMENS-6M"</f>
        <v>PLTR-SIEMENS-6M</v>
      </c>
      <c r="B3809" t="str">
        <f>"50-0053-0000"</f>
        <v>50-0053-0000</v>
      </c>
      <c r="C3809" t="str">
        <f>"Pallet Tracking Stop Station Wiring"</f>
        <v>Pallet Tracking Stop Station Wiring</v>
      </c>
      <c r="D3809">
        <v>1</v>
      </c>
      <c r="E3809" t="str">
        <f>"Stop Station - SIEMENS S7 (6m cable)"</f>
        <v>Stop Station - SIEMENS S7 (6m cable)</v>
      </c>
      <c r="F3809">
        <v>531</v>
      </c>
      <c r="G3809" t="str">
        <f t="shared" si="952"/>
        <v>Y</v>
      </c>
      <c r="H3809" t="str">
        <f t="shared" si="955"/>
        <v>EA</v>
      </c>
      <c r="I3809">
        <v>0</v>
      </c>
      <c r="J3809">
        <v>0</v>
      </c>
      <c r="K3809" t="str">
        <f t="shared" si="953"/>
        <v>Y</v>
      </c>
      <c r="L3809">
        <v>0</v>
      </c>
      <c r="M3809" t="str">
        <f t="shared" si="954"/>
        <v>NIS</v>
      </c>
      <c r="N3809" t="str">
        <f>"Y"</f>
        <v>Y</v>
      </c>
      <c r="O3809">
        <v>5</v>
      </c>
      <c r="P3809" t="str">
        <f t="shared" si="956"/>
        <v>Active</v>
      </c>
      <c r="Q3809" t="str">
        <f>"Pallet Tracking Stop Station Wiring"</f>
        <v>Pallet Tracking Stop Station Wiring</v>
      </c>
      <c r="S3809" t="str">
        <f>"Pallet Tracking Stop Station Wiring"</f>
        <v>Pallet Tracking Stop Station Wiring</v>
      </c>
      <c r="T3809">
        <v>0</v>
      </c>
      <c r="U3809">
        <v>400</v>
      </c>
      <c r="V3809">
        <v>400</v>
      </c>
      <c r="W3809" t="str">
        <f t="shared" si="949"/>
        <v>rob</v>
      </c>
    </row>
    <row r="3810" spans="1:23">
      <c r="A3810" t="str">
        <f>"PLTR-SIEMENS-9M"</f>
        <v>PLTR-SIEMENS-9M</v>
      </c>
      <c r="B3810" t="str">
        <f>"10-2117-6000"</f>
        <v>10-2117-6000</v>
      </c>
      <c r="C3810" t="str">
        <f>"Stop Station Assembly for Siemens PLC"</f>
        <v>Stop Station Assembly for Siemens PLC</v>
      </c>
      <c r="D3810">
        <v>1</v>
      </c>
      <c r="E3810" t="str">
        <f>"Stop Station - SIEMENS S7 (9m cable)"</f>
        <v>Stop Station - SIEMENS S7 (9m cable)</v>
      </c>
      <c r="F3810">
        <v>531</v>
      </c>
      <c r="G3810" t="str">
        <f t="shared" si="952"/>
        <v>Y</v>
      </c>
      <c r="H3810" t="str">
        <f t="shared" si="955"/>
        <v>EA</v>
      </c>
      <c r="I3810">
        <v>0</v>
      </c>
      <c r="J3810">
        <v>0</v>
      </c>
      <c r="K3810" t="str">
        <f t="shared" si="953"/>
        <v>Y</v>
      </c>
      <c r="L3810">
        <v>0</v>
      </c>
      <c r="M3810" t="str">
        <f t="shared" si="954"/>
        <v>NIS</v>
      </c>
      <c r="O3810">
        <v>1</v>
      </c>
      <c r="P3810" t="str">
        <f t="shared" si="956"/>
        <v>Active</v>
      </c>
      <c r="Q3810" t="str">
        <f>"Stop Station Assembly for Siemens PLC"</f>
        <v>Stop Station Assembly for Siemens PLC</v>
      </c>
      <c r="S3810" t="str">
        <f>"Stop Station Assembly for Siemens PLC"</f>
        <v>Stop Station Assembly for Siemens PLC</v>
      </c>
      <c r="T3810">
        <v>0</v>
      </c>
      <c r="U3810">
        <v>808.86</v>
      </c>
      <c r="V3810">
        <v>800.63</v>
      </c>
      <c r="W3810" t="str">
        <f t="shared" si="949"/>
        <v>rob</v>
      </c>
    </row>
    <row r="3811" spans="1:23">
      <c r="A3811" t="str">
        <f>"PLTR-SIEMENS-9M"</f>
        <v>PLTR-SIEMENS-9M</v>
      </c>
      <c r="B3811" t="str">
        <f>"10-2112-2000"</f>
        <v>10-2112-2000</v>
      </c>
      <c r="C3811" t="str">
        <f>"CIM Station Indicator Lights"</f>
        <v>CIM Station Indicator Lights</v>
      </c>
      <c r="D3811">
        <v>1</v>
      </c>
      <c r="E3811" t="str">
        <f>"Stop Station - SIEMENS S7 (9m cable)"</f>
        <v>Stop Station - SIEMENS S7 (9m cable)</v>
      </c>
      <c r="F3811">
        <v>531</v>
      </c>
      <c r="G3811" t="str">
        <f t="shared" si="952"/>
        <v>Y</v>
      </c>
      <c r="H3811" t="str">
        <f t="shared" si="955"/>
        <v>EA</v>
      </c>
      <c r="I3811">
        <v>0</v>
      </c>
      <c r="J3811">
        <v>0</v>
      </c>
      <c r="K3811" t="str">
        <f t="shared" si="953"/>
        <v>Y</v>
      </c>
      <c r="L3811">
        <v>0</v>
      </c>
      <c r="M3811" t="str">
        <f t="shared" si="954"/>
        <v>NIS</v>
      </c>
      <c r="O3811">
        <v>2</v>
      </c>
      <c r="P3811" t="str">
        <f t="shared" si="956"/>
        <v>Active</v>
      </c>
      <c r="Q3811" t="str">
        <f>"Stop Station Status Light"</f>
        <v>Stop Station Status Light</v>
      </c>
      <c r="S3811" t="str">
        <f>"CIM Station Indicator Lights"</f>
        <v>CIM Station Indicator Lights</v>
      </c>
      <c r="T3811">
        <v>0</v>
      </c>
      <c r="U3811">
        <v>165</v>
      </c>
      <c r="V3811">
        <v>164.45</v>
      </c>
      <c r="W3811" t="str">
        <f t="shared" si="949"/>
        <v>rob</v>
      </c>
    </row>
    <row r="3812" spans="1:23">
      <c r="A3812" t="str">
        <f>"PLTR-SIEMENS-9M"</f>
        <v>PLTR-SIEMENS-9M</v>
      </c>
      <c r="B3812" t="str">
        <f>"10-2111-3000"</f>
        <v>10-2111-3000</v>
      </c>
      <c r="C3812" t="str">
        <f>"Pallet (with magnetic code)"</f>
        <v>Pallet (with magnetic code)</v>
      </c>
      <c r="D3812">
        <v>2</v>
      </c>
      <c r="E3812" t="str">
        <f>"Stop Station - SIEMENS S7 (9m cable)"</f>
        <v>Stop Station - SIEMENS S7 (9m cable)</v>
      </c>
      <c r="F3812">
        <v>531</v>
      </c>
      <c r="G3812" t="str">
        <f t="shared" si="952"/>
        <v>Y</v>
      </c>
      <c r="H3812" t="str">
        <f t="shared" si="955"/>
        <v>EA</v>
      </c>
      <c r="I3812">
        <v>0</v>
      </c>
      <c r="J3812">
        <v>0</v>
      </c>
      <c r="K3812" t="str">
        <f t="shared" si="953"/>
        <v>Y</v>
      </c>
      <c r="L3812">
        <v>0</v>
      </c>
      <c r="M3812" t="str">
        <f t="shared" si="954"/>
        <v>NIS</v>
      </c>
      <c r="O3812">
        <v>3</v>
      </c>
      <c r="P3812" t="str">
        <f t="shared" si="956"/>
        <v>Active</v>
      </c>
      <c r="Q3812" t="str">
        <f>"Pallet (with magnetic code)"</f>
        <v>Pallet (with magnetic code)</v>
      </c>
      <c r="S3812" t="str">
        <f>"Pallet (with magnetic code)"</f>
        <v>Pallet (with magnetic code)</v>
      </c>
      <c r="T3812">
        <v>0</v>
      </c>
      <c r="U3812">
        <v>75</v>
      </c>
      <c r="V3812">
        <v>71.489999999999995</v>
      </c>
      <c r="W3812" t="str">
        <f t="shared" si="949"/>
        <v>rob</v>
      </c>
    </row>
    <row r="3813" spans="1:23">
      <c r="A3813" t="str">
        <f>"PLTR-SIEMENS-9M"</f>
        <v>PLTR-SIEMENS-9M</v>
      </c>
      <c r="B3813" t="str">
        <f>"10-4024-5000"</f>
        <v>10-4024-5000</v>
      </c>
      <c r="C3813" t="str">
        <f>"9m Stop Station I/O Cable"</f>
        <v>9m Stop Station I/O Cable</v>
      </c>
      <c r="D3813">
        <v>1</v>
      </c>
      <c r="E3813" t="str">
        <f>"Stop Station - SIEMENS S7 (9m cable)"</f>
        <v>Stop Station - SIEMENS S7 (9m cable)</v>
      </c>
      <c r="F3813">
        <v>531</v>
      </c>
      <c r="G3813" t="str">
        <f t="shared" si="952"/>
        <v>Y</v>
      </c>
      <c r="H3813" t="str">
        <f t="shared" si="955"/>
        <v>EA</v>
      </c>
      <c r="I3813">
        <v>0</v>
      </c>
      <c r="J3813">
        <v>0</v>
      </c>
      <c r="K3813" t="str">
        <f t="shared" si="953"/>
        <v>Y</v>
      </c>
      <c r="L3813">
        <v>0</v>
      </c>
      <c r="M3813" t="str">
        <f t="shared" si="954"/>
        <v>NIS</v>
      </c>
      <c r="O3813">
        <v>4</v>
      </c>
      <c r="P3813" t="str">
        <f t="shared" si="956"/>
        <v>Active</v>
      </c>
      <c r="Q3813" t="str">
        <f>"9m Stop Station I/O Cable"</f>
        <v>9m Stop Station I/O Cable</v>
      </c>
      <c r="S3813" t="str">
        <f>"9m Stop Station I/O Cable"</f>
        <v>9m Stop Station I/O Cable</v>
      </c>
      <c r="T3813">
        <v>0</v>
      </c>
      <c r="U3813">
        <v>87.32</v>
      </c>
      <c r="V3813">
        <v>89.37</v>
      </c>
      <c r="W3813" t="str">
        <f t="shared" si="949"/>
        <v>rob</v>
      </c>
    </row>
    <row r="3814" spans="1:23">
      <c r="A3814" t="str">
        <f>"PLTR-SIEMENS-9M"</f>
        <v>PLTR-SIEMENS-9M</v>
      </c>
      <c r="B3814" t="str">
        <f>"50-0053-0000"</f>
        <v>50-0053-0000</v>
      </c>
      <c r="C3814" t="str">
        <f>"Pallet Tracking Stop Station Wiring"</f>
        <v>Pallet Tracking Stop Station Wiring</v>
      </c>
      <c r="D3814">
        <v>1</v>
      </c>
      <c r="E3814" t="str">
        <f>"Stop Station - SIEMENS S7 (9m cable)"</f>
        <v>Stop Station - SIEMENS S7 (9m cable)</v>
      </c>
      <c r="F3814">
        <v>531</v>
      </c>
      <c r="G3814" t="str">
        <f t="shared" si="952"/>
        <v>Y</v>
      </c>
      <c r="H3814" t="str">
        <f t="shared" si="955"/>
        <v>EA</v>
      </c>
      <c r="I3814">
        <v>0</v>
      </c>
      <c r="J3814">
        <v>0</v>
      </c>
      <c r="K3814" t="str">
        <f t="shared" si="953"/>
        <v>Y</v>
      </c>
      <c r="L3814">
        <v>0</v>
      </c>
      <c r="M3814" t="str">
        <f t="shared" si="954"/>
        <v>NIS</v>
      </c>
      <c r="N3814" t="str">
        <f>"Y"</f>
        <v>Y</v>
      </c>
      <c r="O3814">
        <v>5</v>
      </c>
      <c r="P3814" t="str">
        <f t="shared" si="956"/>
        <v>Active</v>
      </c>
      <c r="Q3814" t="str">
        <f>"Pallet Tracking Stop Station Wiring"</f>
        <v>Pallet Tracking Stop Station Wiring</v>
      </c>
      <c r="S3814" t="str">
        <f>"Pallet Tracking Stop Station Wiring"</f>
        <v>Pallet Tracking Stop Station Wiring</v>
      </c>
      <c r="T3814">
        <v>0</v>
      </c>
      <c r="U3814">
        <v>400</v>
      </c>
      <c r="V3814">
        <v>400</v>
      </c>
      <c r="W3814" t="str">
        <f t="shared" si="949"/>
        <v>rob</v>
      </c>
    </row>
    <row r="3815" spans="1:23">
      <c r="A3815" t="str">
        <f>"PLTR-SIEMENS-ASI"</f>
        <v>PLTR-SIEMENS-ASI</v>
      </c>
      <c r="B3815" t="str">
        <f>"10-2111-3000"</f>
        <v>10-2111-3000</v>
      </c>
      <c r="C3815" t="str">
        <f>"Pallet (with magnetic code)"</f>
        <v>Pallet (with magnetic code)</v>
      </c>
      <c r="D3815">
        <v>2</v>
      </c>
      <c r="E3815" t="str">
        <f>"Stop Station - SIEMENS S7 ASI BUS"</f>
        <v>Stop Station - SIEMENS S7 ASI BUS</v>
      </c>
      <c r="F3815">
        <v>531</v>
      </c>
      <c r="G3815" t="str">
        <f t="shared" si="952"/>
        <v>Y</v>
      </c>
      <c r="H3815" t="str">
        <f t="shared" si="955"/>
        <v>EA</v>
      </c>
      <c r="I3815">
        <v>0</v>
      </c>
      <c r="J3815">
        <v>0</v>
      </c>
      <c r="K3815" t="str">
        <f t="shared" si="953"/>
        <v>Y</v>
      </c>
      <c r="L3815">
        <v>0</v>
      </c>
      <c r="M3815" t="str">
        <f t="shared" si="954"/>
        <v>NIS</v>
      </c>
      <c r="O3815">
        <v>1</v>
      </c>
      <c r="P3815" t="str">
        <f t="shared" si="956"/>
        <v>Active</v>
      </c>
      <c r="Q3815" t="str">
        <f>"Pallet (with magnetic code)"</f>
        <v>Pallet (with magnetic code)</v>
      </c>
      <c r="S3815" t="str">
        <f>"Pallet (with magnetic code)"</f>
        <v>Pallet (with magnetic code)</v>
      </c>
      <c r="T3815">
        <v>0</v>
      </c>
      <c r="U3815">
        <v>75</v>
      </c>
      <c r="V3815">
        <v>71.489999999999995</v>
      </c>
      <c r="W3815" t="str">
        <f t="shared" si="949"/>
        <v>rob</v>
      </c>
    </row>
    <row r="3816" spans="1:23">
      <c r="A3816" t="str">
        <f>"PLTR-SIEMENS-ASI"</f>
        <v>PLTR-SIEMENS-ASI</v>
      </c>
      <c r="B3816" t="str">
        <f>"10-2113-6000"</f>
        <v>10-2113-6000</v>
      </c>
      <c r="C3816" t="str">
        <f>"Conveyor stop assembly"</f>
        <v>Conveyor stop assembly</v>
      </c>
      <c r="D3816">
        <v>1</v>
      </c>
      <c r="E3816" t="str">
        <f>"Stop Station - SIEMENS S7 ASI BUS"</f>
        <v>Stop Station - SIEMENS S7 ASI BUS</v>
      </c>
      <c r="F3816">
        <v>531</v>
      </c>
      <c r="G3816" t="str">
        <f t="shared" si="952"/>
        <v>Y</v>
      </c>
      <c r="H3816" t="str">
        <f t="shared" si="955"/>
        <v>EA</v>
      </c>
      <c r="I3816">
        <v>0</v>
      </c>
      <c r="J3816">
        <v>0</v>
      </c>
      <c r="K3816" t="str">
        <f t="shared" si="953"/>
        <v>Y</v>
      </c>
      <c r="L3816">
        <v>0</v>
      </c>
      <c r="M3816" t="str">
        <f t="shared" si="954"/>
        <v>NIS</v>
      </c>
      <c r="O3816">
        <v>2</v>
      </c>
      <c r="P3816" t="str">
        <f t="shared" si="956"/>
        <v>Active</v>
      </c>
      <c r="Q3816" t="str">
        <f>"Conveyor stop assembly for work station"</f>
        <v>Conveyor stop assembly for work station</v>
      </c>
      <c r="S3816" t="str">
        <f>"Conveyor stop assembly for work station"</f>
        <v>Conveyor stop assembly for work station</v>
      </c>
      <c r="T3816">
        <v>0</v>
      </c>
      <c r="U3816">
        <v>740</v>
      </c>
      <c r="V3816">
        <v>693.67</v>
      </c>
      <c r="W3816" t="str">
        <f t="shared" si="949"/>
        <v>rob</v>
      </c>
    </row>
    <row r="3817" spans="1:23">
      <c r="A3817" t="str">
        <f>"PLTR-SIEMENS-ASI"</f>
        <v>PLTR-SIEMENS-ASI</v>
      </c>
      <c r="B3817" t="str">
        <f>"TMP0002"</f>
        <v>TMP0002</v>
      </c>
      <c r="C3817" t="str">
        <f>"Pallet Tracking with ASI-bus"</f>
        <v>Pallet Tracking with ASI-bus</v>
      </c>
      <c r="D3817">
        <v>1</v>
      </c>
      <c r="E3817" t="str">
        <f>"Stop Station - SIEMENS S7 ASI BUS"</f>
        <v>Stop Station - SIEMENS S7 ASI BUS</v>
      </c>
      <c r="F3817">
        <v>531</v>
      </c>
      <c r="G3817" t="str">
        <f t="shared" si="952"/>
        <v>Y</v>
      </c>
      <c r="H3817" t="str">
        <f t="shared" si="955"/>
        <v>EA</v>
      </c>
      <c r="I3817">
        <v>0</v>
      </c>
      <c r="J3817">
        <v>0</v>
      </c>
      <c r="K3817" t="str">
        <f t="shared" si="953"/>
        <v>Y</v>
      </c>
      <c r="L3817">
        <v>0</v>
      </c>
      <c r="M3817" t="str">
        <f t="shared" si="954"/>
        <v>NIS</v>
      </c>
      <c r="O3817">
        <v>3</v>
      </c>
      <c r="P3817" t="str">
        <f t="shared" si="956"/>
        <v>Active</v>
      </c>
      <c r="Q3817" t="str">
        <f>"Pallet Tracking with ASI-bus"</f>
        <v>Pallet Tracking with ASI-bus</v>
      </c>
      <c r="S3817" t="str">
        <f>"Pallet Tracking with ASI-bus"</f>
        <v>Pallet Tracking with ASI-bus</v>
      </c>
      <c r="T3817">
        <v>0</v>
      </c>
      <c r="U3817" s="44">
        <v>3000</v>
      </c>
      <c r="V3817">
        <v>0</v>
      </c>
      <c r="W3817" t="str">
        <f t="shared" si="949"/>
        <v>rob</v>
      </c>
    </row>
    <row r="3818" spans="1:23">
      <c r="A3818" t="str">
        <f>"PLTR-SIEMENS-ASI"</f>
        <v>PLTR-SIEMENS-ASI</v>
      </c>
      <c r="B3818" t="str">
        <f>"10-2112-2000"</f>
        <v>10-2112-2000</v>
      </c>
      <c r="C3818" t="str">
        <f>"CIM Station Indicator Lights"</f>
        <v>CIM Station Indicator Lights</v>
      </c>
      <c r="D3818">
        <v>1</v>
      </c>
      <c r="E3818" t="str">
        <f>"Stop Station - SIEMENS S7 ASI BUS"</f>
        <v>Stop Station - SIEMENS S7 ASI BUS</v>
      </c>
      <c r="F3818">
        <v>531</v>
      </c>
      <c r="G3818" t="str">
        <f t="shared" si="952"/>
        <v>Y</v>
      </c>
      <c r="H3818" t="str">
        <f t="shared" si="955"/>
        <v>EA</v>
      </c>
      <c r="I3818">
        <v>0</v>
      </c>
      <c r="J3818">
        <v>0</v>
      </c>
      <c r="K3818" t="str">
        <f t="shared" si="953"/>
        <v>Y</v>
      </c>
      <c r="L3818">
        <v>0</v>
      </c>
      <c r="M3818" t="str">
        <f t="shared" si="954"/>
        <v>NIS</v>
      </c>
      <c r="O3818">
        <v>4</v>
      </c>
      <c r="P3818" t="str">
        <f t="shared" si="956"/>
        <v>Active</v>
      </c>
      <c r="Q3818" t="str">
        <f>"Stop Station Status Light"</f>
        <v>Stop Station Status Light</v>
      </c>
      <c r="S3818" t="str">
        <f>"CIM Station Indicator Lights"</f>
        <v>CIM Station Indicator Lights</v>
      </c>
      <c r="T3818">
        <v>0</v>
      </c>
      <c r="U3818">
        <v>165</v>
      </c>
      <c r="V3818">
        <v>164.45</v>
      </c>
      <c r="W3818" t="str">
        <f t="shared" ref="W3818:W3881" si="957">"rob"</f>
        <v>rob</v>
      </c>
    </row>
    <row r="3819" spans="1:23">
      <c r="A3819" t="str">
        <f>"PLTR-SIEMENS-PRO"</f>
        <v>PLTR-SIEMENS-PRO</v>
      </c>
      <c r="B3819" t="str">
        <f>"10-2119-6000"</f>
        <v>10-2119-6000</v>
      </c>
      <c r="C3819" t="str">
        <f>"Stop Station Assembly for PROFIBUS"</f>
        <v>Stop Station Assembly for PROFIBUS</v>
      </c>
      <c r="D3819">
        <v>1</v>
      </c>
      <c r="E3819" t="str">
        <f>"Stop Station - SIEMENS S7 PROFIBUS"</f>
        <v>Stop Station - SIEMENS S7 PROFIBUS</v>
      </c>
      <c r="F3819">
        <v>531</v>
      </c>
      <c r="G3819" t="str">
        <f t="shared" si="952"/>
        <v>Y</v>
      </c>
      <c r="H3819" t="str">
        <f t="shared" si="955"/>
        <v>EA</v>
      </c>
      <c r="I3819">
        <v>0</v>
      </c>
      <c r="J3819">
        <v>0</v>
      </c>
      <c r="K3819" t="str">
        <f t="shared" si="953"/>
        <v>Y</v>
      </c>
      <c r="L3819">
        <v>0</v>
      </c>
      <c r="M3819" t="str">
        <f t="shared" si="954"/>
        <v>NIS</v>
      </c>
      <c r="O3819">
        <v>1</v>
      </c>
      <c r="P3819" t="str">
        <f t="shared" si="956"/>
        <v>Active</v>
      </c>
      <c r="Q3819" t="str">
        <f>"Stop Station Assembly for PROFIBUS"</f>
        <v>Stop Station Assembly for PROFIBUS</v>
      </c>
      <c r="S3819" t="str">
        <f>"Stop Station Assembly for PROFIBUS"</f>
        <v>Stop Station Assembly for PROFIBUS</v>
      </c>
      <c r="T3819">
        <v>0</v>
      </c>
      <c r="U3819">
        <v>731.08</v>
      </c>
      <c r="V3819">
        <v>788.7</v>
      </c>
      <c r="W3819" t="str">
        <f t="shared" si="957"/>
        <v>rob</v>
      </c>
    </row>
    <row r="3820" spans="1:23">
      <c r="A3820" t="str">
        <f>"PLTR-SIEMENS-PRO"</f>
        <v>PLTR-SIEMENS-PRO</v>
      </c>
      <c r="B3820" t="str">
        <f>"10-2112-2000"</f>
        <v>10-2112-2000</v>
      </c>
      <c r="C3820" t="str">
        <f>"CIM Station Indicator Lights"</f>
        <v>CIM Station Indicator Lights</v>
      </c>
      <c r="D3820">
        <v>1</v>
      </c>
      <c r="E3820" t="str">
        <f>"Stop Station - SIEMENS S7 PROFIBUS"</f>
        <v>Stop Station - SIEMENS S7 PROFIBUS</v>
      </c>
      <c r="F3820">
        <v>531</v>
      </c>
      <c r="G3820" t="str">
        <f t="shared" si="952"/>
        <v>Y</v>
      </c>
      <c r="H3820" t="str">
        <f t="shared" si="955"/>
        <v>EA</v>
      </c>
      <c r="I3820">
        <v>0</v>
      </c>
      <c r="J3820">
        <v>0</v>
      </c>
      <c r="K3820" t="str">
        <f t="shared" si="953"/>
        <v>Y</v>
      </c>
      <c r="L3820">
        <v>0</v>
      </c>
      <c r="M3820" t="str">
        <f t="shared" si="954"/>
        <v>NIS</v>
      </c>
      <c r="O3820">
        <v>2</v>
      </c>
      <c r="P3820" t="str">
        <f t="shared" si="956"/>
        <v>Active</v>
      </c>
      <c r="Q3820" t="str">
        <f>"Stop Station Status Light"</f>
        <v>Stop Station Status Light</v>
      </c>
      <c r="S3820" t="str">
        <f>"CIM Station Indicator Lights"</f>
        <v>CIM Station Indicator Lights</v>
      </c>
      <c r="T3820">
        <v>0</v>
      </c>
      <c r="U3820">
        <v>165</v>
      </c>
      <c r="V3820">
        <v>164.45</v>
      </c>
      <c r="W3820" t="str">
        <f t="shared" si="957"/>
        <v>rob</v>
      </c>
    </row>
    <row r="3821" spans="1:23">
      <c r="A3821" t="str">
        <f>"PLTR-SIEMENS-PRO"</f>
        <v>PLTR-SIEMENS-PRO</v>
      </c>
      <c r="B3821" t="str">
        <f>"10-2111-3000"</f>
        <v>10-2111-3000</v>
      </c>
      <c r="C3821" t="str">
        <f>"Pallet (with magnetic code)"</f>
        <v>Pallet (with magnetic code)</v>
      </c>
      <c r="D3821">
        <v>2</v>
      </c>
      <c r="E3821" t="str">
        <f>"Stop Station - SIEMENS S7 PROFIBUS"</f>
        <v>Stop Station - SIEMENS S7 PROFIBUS</v>
      </c>
      <c r="F3821">
        <v>531</v>
      </c>
      <c r="G3821" t="str">
        <f t="shared" si="952"/>
        <v>Y</v>
      </c>
      <c r="H3821" t="str">
        <f t="shared" si="955"/>
        <v>EA</v>
      </c>
      <c r="I3821">
        <v>0</v>
      </c>
      <c r="J3821">
        <v>0</v>
      </c>
      <c r="K3821" t="str">
        <f t="shared" si="953"/>
        <v>Y</v>
      </c>
      <c r="L3821">
        <v>0</v>
      </c>
      <c r="M3821" t="str">
        <f t="shared" si="954"/>
        <v>NIS</v>
      </c>
      <c r="O3821">
        <v>3</v>
      </c>
      <c r="P3821" t="str">
        <f t="shared" si="956"/>
        <v>Active</v>
      </c>
      <c r="Q3821" t="str">
        <f>"Pallet (with magnetic code)"</f>
        <v>Pallet (with magnetic code)</v>
      </c>
      <c r="S3821" t="str">
        <f>"Pallet (with magnetic code)"</f>
        <v>Pallet (with magnetic code)</v>
      </c>
      <c r="T3821">
        <v>0</v>
      </c>
      <c r="U3821">
        <v>75</v>
      </c>
      <c r="V3821">
        <v>71.489999999999995</v>
      </c>
      <c r="W3821" t="str">
        <f t="shared" si="957"/>
        <v>rob</v>
      </c>
    </row>
    <row r="3822" spans="1:23">
      <c r="A3822" t="str">
        <f>"PLTR-SIEMENS-PRO"</f>
        <v>PLTR-SIEMENS-PRO</v>
      </c>
      <c r="B3822" t="str">
        <f>"10-2119-7000"</f>
        <v>10-2119-7000</v>
      </c>
      <c r="C3822" t="str">
        <f>"Profibus Module (ET200L) for Stop Station"</f>
        <v>Profibus Module (ET200L) for Stop Station</v>
      </c>
      <c r="D3822">
        <v>1</v>
      </c>
      <c r="E3822" t="str">
        <f>"Stop Station - SIEMENS S7 PROFIBUS"</f>
        <v>Stop Station - SIEMENS S7 PROFIBUS</v>
      </c>
      <c r="F3822">
        <v>531</v>
      </c>
      <c r="G3822" t="str">
        <f t="shared" si="952"/>
        <v>Y</v>
      </c>
      <c r="H3822" t="str">
        <f t="shared" si="955"/>
        <v>EA</v>
      </c>
      <c r="I3822">
        <v>0</v>
      </c>
      <c r="J3822">
        <v>0</v>
      </c>
      <c r="K3822" t="str">
        <f t="shared" si="953"/>
        <v>Y</v>
      </c>
      <c r="L3822">
        <v>0</v>
      </c>
      <c r="M3822" t="str">
        <f t="shared" si="954"/>
        <v>NIS</v>
      </c>
      <c r="N3822" t="str">
        <f>"Y"</f>
        <v>Y</v>
      </c>
      <c r="O3822">
        <v>4</v>
      </c>
      <c r="P3822" t="str">
        <f t="shared" si="956"/>
        <v>Active</v>
      </c>
      <c r="Q3822" t="str">
        <f>"Profibus Module (ET200L) for Stop Station"</f>
        <v>Profibus Module (ET200L) for Stop Station</v>
      </c>
      <c r="S3822" t="str">
        <f>"Profibus Module (ET200L) for Stop Station"</f>
        <v>Profibus Module (ET200L) for Stop Station</v>
      </c>
      <c r="T3822">
        <v>0</v>
      </c>
      <c r="U3822">
        <v>529.08000000000004</v>
      </c>
      <c r="V3822">
        <v>763.1</v>
      </c>
      <c r="W3822" t="str">
        <f t="shared" si="957"/>
        <v>rob</v>
      </c>
    </row>
    <row r="3823" spans="1:23">
      <c r="A3823" t="str">
        <f t="shared" ref="A3823:A3833" si="958">"PNE-ER4U-01"</f>
        <v>PNE-ER4U-01</v>
      </c>
      <c r="B3823" t="str">
        <f>"00-0413-0000"</f>
        <v>00-0413-0000</v>
      </c>
      <c r="C3823" t="str">
        <f>"SCORBOT-ER 4u"</f>
        <v>SCORBOT-ER 4u</v>
      </c>
      <c r="D3823">
        <v>1</v>
      </c>
      <c r="E3823" t="str">
        <f t="shared" ref="E3823:E3833" si="959">"Pneumatic Press &amp; Scorbot-ER4U Robot"</f>
        <v>Pneumatic Press &amp; Scorbot-ER4U Robot</v>
      </c>
      <c r="F3823">
        <v>508</v>
      </c>
      <c r="G3823" t="str">
        <f t="shared" si="952"/>
        <v>Y</v>
      </c>
      <c r="H3823" t="str">
        <f t="shared" si="955"/>
        <v>EA</v>
      </c>
      <c r="I3823">
        <v>0</v>
      </c>
      <c r="J3823">
        <v>0</v>
      </c>
      <c r="K3823" t="str">
        <f t="shared" si="953"/>
        <v>Y</v>
      </c>
      <c r="L3823">
        <v>0</v>
      </c>
      <c r="M3823" t="str">
        <f t="shared" si="954"/>
        <v>NIS</v>
      </c>
      <c r="O3823">
        <v>1</v>
      </c>
      <c r="P3823" t="str">
        <f t="shared" si="956"/>
        <v>Active</v>
      </c>
      <c r="Q3823" t="str">
        <f>"SCORBOT-ER 4u (Package)"</f>
        <v>SCORBOT-ER 4u (Package)</v>
      </c>
      <c r="S3823" t="str">
        <f>"SCORBOT-ER 4u (Package)"</f>
        <v>SCORBOT-ER 4u (Package)</v>
      </c>
      <c r="T3823">
        <v>0</v>
      </c>
      <c r="U3823" s="44">
        <v>3200</v>
      </c>
      <c r="V3823" s="44">
        <v>3390.7</v>
      </c>
      <c r="W3823" t="str">
        <f t="shared" si="957"/>
        <v>rob</v>
      </c>
    </row>
    <row r="3824" spans="1:23">
      <c r="A3824" t="str">
        <f t="shared" si="958"/>
        <v>PNE-ER4U-01</v>
      </c>
      <c r="B3824" t="str">
        <f>"00-0609-0000"</f>
        <v>00-0609-0000</v>
      </c>
      <c r="C3824" t="str">
        <f>"Gripper attachment for round and square parts"</f>
        <v>Gripper attachment for round and square parts</v>
      </c>
      <c r="D3824">
        <v>1</v>
      </c>
      <c r="E3824" t="str">
        <f t="shared" si="959"/>
        <v>Pneumatic Press &amp; Scorbot-ER4U Robot</v>
      </c>
      <c r="F3824">
        <v>508</v>
      </c>
      <c r="G3824" t="str">
        <f t="shared" si="952"/>
        <v>Y</v>
      </c>
      <c r="H3824" t="str">
        <f t="shared" si="955"/>
        <v>EA</v>
      </c>
      <c r="I3824">
        <v>0</v>
      </c>
      <c r="J3824">
        <v>0</v>
      </c>
      <c r="K3824" t="str">
        <f t="shared" si="953"/>
        <v>Y</v>
      </c>
      <c r="L3824">
        <v>0</v>
      </c>
      <c r="M3824" t="str">
        <f t="shared" si="954"/>
        <v>NIS</v>
      </c>
      <c r="O3824">
        <v>2</v>
      </c>
      <c r="P3824" t="str">
        <f t="shared" si="956"/>
        <v>Active</v>
      </c>
      <c r="Q3824" t="str">
        <f>"End Effector Attachment for ER4U Gripper"</f>
        <v>End Effector Attachment for ER4U Gripper</v>
      </c>
      <c r="S3824" t="str">
        <f>"End Effector Attachment for ER4U Gripper"</f>
        <v>End Effector Attachment for ER4U Gripper</v>
      </c>
      <c r="T3824">
        <v>0</v>
      </c>
      <c r="U3824">
        <v>25.59</v>
      </c>
      <c r="V3824">
        <v>25.11</v>
      </c>
      <c r="W3824" t="str">
        <f t="shared" si="957"/>
        <v>rob</v>
      </c>
    </row>
    <row r="3825" spans="1:23">
      <c r="A3825" t="str">
        <f t="shared" si="958"/>
        <v>PNE-ER4U-01</v>
      </c>
      <c r="B3825" t="str">
        <f>"00-1710-0000"</f>
        <v>00-1710-0000</v>
      </c>
      <c r="C3825" t="str">
        <f>"Teach Pendant"</f>
        <v>Teach Pendant</v>
      </c>
      <c r="D3825">
        <v>1</v>
      </c>
      <c r="E3825" t="str">
        <f t="shared" si="959"/>
        <v>Pneumatic Press &amp; Scorbot-ER4U Robot</v>
      </c>
      <c r="F3825">
        <v>508</v>
      </c>
      <c r="G3825" t="str">
        <f t="shared" si="952"/>
        <v>Y</v>
      </c>
      <c r="H3825" t="str">
        <f t="shared" si="955"/>
        <v>EA</v>
      </c>
      <c r="I3825">
        <v>0</v>
      </c>
      <c r="J3825">
        <v>0</v>
      </c>
      <c r="K3825" t="str">
        <f t="shared" si="953"/>
        <v>Y</v>
      </c>
      <c r="L3825">
        <v>0</v>
      </c>
      <c r="M3825" t="str">
        <f t="shared" si="954"/>
        <v>NIS</v>
      </c>
      <c r="O3825">
        <v>3</v>
      </c>
      <c r="P3825" t="str">
        <f t="shared" si="956"/>
        <v>Active</v>
      </c>
      <c r="Q3825" t="str">
        <f>"Teach Pendant for USB/USB Pro Controllers"</f>
        <v>Teach Pendant for USB/USB Pro Controllers</v>
      </c>
      <c r="S3825" t="str">
        <f>"Teach Pendant for USB/USB Pro Controllers"</f>
        <v>Teach Pendant for USB/USB Pro Controllers</v>
      </c>
      <c r="T3825">
        <v>0</v>
      </c>
      <c r="U3825">
        <v>160.18</v>
      </c>
      <c r="V3825">
        <v>161.44999999999999</v>
      </c>
      <c r="W3825" t="str">
        <f t="shared" si="957"/>
        <v>rob</v>
      </c>
    </row>
    <row r="3826" spans="1:23">
      <c r="A3826" t="str">
        <f t="shared" si="958"/>
        <v>PNE-ER4U-01</v>
      </c>
      <c r="B3826" t="str">
        <f>"10-2521-7000"</f>
        <v>10-2521-7000</v>
      </c>
      <c r="C3826" t="str">
        <f>"Pneumatic Feeder for Rectangular products"</f>
        <v>Pneumatic Feeder for Rectangular products</v>
      </c>
      <c r="D3826">
        <v>1</v>
      </c>
      <c r="E3826" t="str">
        <f t="shared" si="959"/>
        <v>Pneumatic Press &amp; Scorbot-ER4U Robot</v>
      </c>
      <c r="F3826">
        <v>508</v>
      </c>
      <c r="G3826" t="str">
        <f t="shared" si="952"/>
        <v>Y</v>
      </c>
      <c r="H3826" t="str">
        <f t="shared" si="955"/>
        <v>EA</v>
      </c>
      <c r="I3826">
        <v>0</v>
      </c>
      <c r="J3826">
        <v>0</v>
      </c>
      <c r="K3826" t="str">
        <f t="shared" si="953"/>
        <v>Y</v>
      </c>
      <c r="L3826">
        <v>0</v>
      </c>
      <c r="M3826" t="str">
        <f t="shared" si="954"/>
        <v>NIS</v>
      </c>
      <c r="O3826">
        <v>4</v>
      </c>
      <c r="P3826" t="str">
        <f t="shared" si="956"/>
        <v>Active</v>
      </c>
      <c r="Q3826" t="str">
        <f>"Pneumatic Feeder for Rectangular Parts"</f>
        <v>Pneumatic Feeder for Rectangular Parts</v>
      </c>
      <c r="S3826" t="str">
        <f>"Pneumatic Feeder for Rectangular Parts"</f>
        <v>Pneumatic Feeder for Rectangular Parts</v>
      </c>
      <c r="T3826">
        <v>0</v>
      </c>
      <c r="U3826">
        <v>595</v>
      </c>
      <c r="V3826">
        <v>555.15</v>
      </c>
      <c r="W3826" t="str">
        <f t="shared" si="957"/>
        <v>rob</v>
      </c>
    </row>
    <row r="3827" spans="1:23">
      <c r="A3827" t="str">
        <f t="shared" si="958"/>
        <v>PNE-ER4U-01</v>
      </c>
      <c r="B3827" t="str">
        <f>"10-1007-4000"</f>
        <v>10-1007-4000</v>
      </c>
      <c r="C3827" t="str">
        <f>"Gravity Parts Feeder (with microswitch sensor)"</f>
        <v>Gravity Parts Feeder (with microswitch sensor)</v>
      </c>
      <c r="D3827">
        <v>1</v>
      </c>
      <c r="E3827" t="str">
        <f t="shared" si="959"/>
        <v>Pneumatic Press &amp; Scorbot-ER4U Robot</v>
      </c>
      <c r="F3827">
        <v>508</v>
      </c>
      <c r="G3827" t="str">
        <f t="shared" si="952"/>
        <v>Y</v>
      </c>
      <c r="H3827" t="str">
        <f t="shared" si="955"/>
        <v>EA</v>
      </c>
      <c r="I3827">
        <v>0</v>
      </c>
      <c r="J3827">
        <v>0</v>
      </c>
      <c r="K3827" t="str">
        <f t="shared" si="953"/>
        <v>Y</v>
      </c>
      <c r="L3827">
        <v>0</v>
      </c>
      <c r="M3827" t="str">
        <f t="shared" si="954"/>
        <v>NIS</v>
      </c>
      <c r="O3827">
        <v>5</v>
      </c>
      <c r="P3827" t="str">
        <f t="shared" si="956"/>
        <v>Active</v>
      </c>
      <c r="Q3827" t="str">
        <f>"Gravity Parts Feeder (incl.microswitch sensor)"</f>
        <v>Gravity Parts Feeder (incl.microswitch sensor)</v>
      </c>
      <c r="S3827" t="str">
        <f>"Gravity Parts Feeder (incl.microswitch sensor)"</f>
        <v>Gravity Parts Feeder (incl.microswitch sensor)</v>
      </c>
      <c r="T3827">
        <v>0</v>
      </c>
      <c r="U3827">
        <v>148</v>
      </c>
      <c r="V3827">
        <v>148.26</v>
      </c>
      <c r="W3827" t="str">
        <f t="shared" si="957"/>
        <v>rob</v>
      </c>
    </row>
    <row r="3828" spans="1:23">
      <c r="A3828" t="str">
        <f t="shared" si="958"/>
        <v>PNE-ER4U-01</v>
      </c>
      <c r="B3828" t="str">
        <f>"00-1110-0000"</f>
        <v>00-1110-0000</v>
      </c>
      <c r="C3828" t="str">
        <f>"Palletizing Rack"</f>
        <v>Palletizing Rack</v>
      </c>
      <c r="D3828">
        <v>2</v>
      </c>
      <c r="E3828" t="str">
        <f t="shared" si="959"/>
        <v>Pneumatic Press &amp; Scorbot-ER4U Robot</v>
      </c>
      <c r="F3828">
        <v>508</v>
      </c>
      <c r="G3828" t="str">
        <f t="shared" si="952"/>
        <v>Y</v>
      </c>
      <c r="H3828" t="str">
        <f t="shared" si="955"/>
        <v>EA</v>
      </c>
      <c r="I3828">
        <v>0</v>
      </c>
      <c r="J3828">
        <v>0</v>
      </c>
      <c r="K3828" t="str">
        <f t="shared" si="953"/>
        <v>Y</v>
      </c>
      <c r="L3828">
        <v>0</v>
      </c>
      <c r="M3828" t="str">
        <f t="shared" si="954"/>
        <v>NIS</v>
      </c>
      <c r="O3828">
        <v>6</v>
      </c>
      <c r="P3828" t="str">
        <f t="shared" si="956"/>
        <v>Active</v>
      </c>
      <c r="Q3828" t="str">
        <f>"Palletizing Rack (incl. Pins for creating Jigs)"</f>
        <v>Palletizing Rack (incl. Pins for creating Jigs)</v>
      </c>
      <c r="S3828" t="str">
        <f>"Palletizing Rack (incl. Pins for creating Jigs)"</f>
        <v>Palletizing Rack (incl. Pins for creating Jigs)</v>
      </c>
      <c r="T3828">
        <v>0</v>
      </c>
      <c r="U3828">
        <v>63</v>
      </c>
      <c r="V3828">
        <v>58.59</v>
      </c>
      <c r="W3828" t="str">
        <f t="shared" si="957"/>
        <v>rob</v>
      </c>
    </row>
    <row r="3829" spans="1:23">
      <c r="A3829" t="str">
        <f t="shared" si="958"/>
        <v>PNE-ER4U-01</v>
      </c>
      <c r="B3829" t="str">
        <f>"0000"</f>
        <v>0000</v>
      </c>
      <c r="C3829" t="str">
        <f>"general part"</f>
        <v>general part</v>
      </c>
      <c r="D3829">
        <v>1</v>
      </c>
      <c r="E3829" t="str">
        <f t="shared" si="959"/>
        <v>Pneumatic Press &amp; Scorbot-ER4U Robot</v>
      </c>
      <c r="F3829">
        <v>508</v>
      </c>
      <c r="G3829" t="str">
        <f t="shared" si="952"/>
        <v>Y</v>
      </c>
      <c r="H3829" t="str">
        <f>"Ea"</f>
        <v>Ea</v>
      </c>
      <c r="I3829">
        <v>0</v>
      </c>
      <c r="J3829">
        <v>0</v>
      </c>
      <c r="K3829" t="str">
        <f t="shared" si="953"/>
        <v>Y</v>
      </c>
      <c r="L3829">
        <v>0</v>
      </c>
      <c r="M3829" t="str">
        <f t="shared" si="954"/>
        <v>NIS</v>
      </c>
      <c r="N3829" t="str">
        <f>"Y"</f>
        <v>Y</v>
      </c>
      <c r="O3829">
        <v>7</v>
      </c>
      <c r="P3829" t="str">
        <f t="shared" si="956"/>
        <v>Active</v>
      </c>
      <c r="Q3829" t="str">
        <f>"מוצר כללי"</f>
        <v>מוצר כללי</v>
      </c>
      <c r="S3829" t="str">
        <f>"מוצר כללי"</f>
        <v>מוצר כללי</v>
      </c>
      <c r="T3829">
        <v>0</v>
      </c>
      <c r="U3829">
        <v>0</v>
      </c>
      <c r="V3829">
        <v>0</v>
      </c>
      <c r="W3829" t="str">
        <f t="shared" si="957"/>
        <v>rob</v>
      </c>
    </row>
    <row r="3830" spans="1:23">
      <c r="A3830" t="str">
        <f t="shared" si="958"/>
        <v>PNE-ER4U-01</v>
      </c>
      <c r="B3830" t="str">
        <f>"00-1249-0000"</f>
        <v>00-1249-0000</v>
      </c>
      <c r="C3830" t="str">
        <f>"Workbench 1500x800mm (slotted aluminum top)"</f>
        <v>Workbench 1500x800mm (slotted aluminum top)</v>
      </c>
      <c r="D3830">
        <v>1</v>
      </c>
      <c r="E3830" t="str">
        <f t="shared" si="959"/>
        <v>Pneumatic Press &amp; Scorbot-ER4U Robot</v>
      </c>
      <c r="F3830">
        <v>508</v>
      </c>
      <c r="G3830" t="str">
        <f t="shared" si="952"/>
        <v>Y</v>
      </c>
      <c r="H3830" t="str">
        <f>"EA"</f>
        <v>EA</v>
      </c>
      <c r="I3830">
        <v>0</v>
      </c>
      <c r="J3830">
        <v>0</v>
      </c>
      <c r="K3830" t="str">
        <f t="shared" si="953"/>
        <v>Y</v>
      </c>
      <c r="L3830">
        <v>0</v>
      </c>
      <c r="M3830" t="str">
        <f t="shared" si="954"/>
        <v>NIS</v>
      </c>
      <c r="O3830">
        <v>8</v>
      </c>
      <c r="P3830" t="str">
        <f t="shared" si="956"/>
        <v>Active</v>
      </c>
      <c r="Q3830" t="str">
        <f>"Workbench 1500x800mm (slotted aluminum top)"</f>
        <v>Workbench 1500x800mm (slotted aluminum top)</v>
      </c>
      <c r="S3830" t="str">
        <f>"Workbench 1500x800mm (slotted aluminum top)"</f>
        <v>Workbench 1500x800mm (slotted aluminum top)</v>
      </c>
      <c r="T3830">
        <v>0</v>
      </c>
      <c r="U3830" s="44">
        <v>1100</v>
      </c>
      <c r="V3830" s="44">
        <v>1083.57</v>
      </c>
      <c r="W3830" t="str">
        <f t="shared" si="957"/>
        <v>rob</v>
      </c>
    </row>
    <row r="3831" spans="1:23">
      <c r="A3831" t="str">
        <f t="shared" si="958"/>
        <v>PNE-ER4U-01</v>
      </c>
      <c r="B3831" t="str">
        <f>"10-1010-9000"</f>
        <v>10-1010-9000</v>
      </c>
      <c r="C3831" t="str">
        <f>"Adapter Mounting Plate for ER4u"</f>
        <v>Adapter Mounting Plate for ER4u</v>
      </c>
      <c r="D3831">
        <v>1</v>
      </c>
      <c r="E3831" t="str">
        <f t="shared" si="959"/>
        <v>Pneumatic Press &amp; Scorbot-ER4U Robot</v>
      </c>
      <c r="F3831">
        <v>508</v>
      </c>
      <c r="G3831" t="str">
        <f t="shared" si="952"/>
        <v>Y</v>
      </c>
      <c r="H3831" t="str">
        <f>"EA"</f>
        <v>EA</v>
      </c>
      <c r="I3831">
        <v>0</v>
      </c>
      <c r="J3831">
        <v>0</v>
      </c>
      <c r="K3831" t="str">
        <f t="shared" si="953"/>
        <v>Y</v>
      </c>
      <c r="L3831">
        <v>0</v>
      </c>
      <c r="M3831" t="str">
        <f t="shared" si="954"/>
        <v>NIS</v>
      </c>
      <c r="O3831">
        <v>9</v>
      </c>
      <c r="P3831" t="str">
        <f t="shared" si="956"/>
        <v>Active</v>
      </c>
      <c r="Q3831" t="str">
        <f>"Adapter Mounting Plate for ER4u"</f>
        <v>Adapter Mounting Plate for ER4u</v>
      </c>
      <c r="S3831" t="str">
        <f>"Adapter Mounting Plate for ER4u"</f>
        <v>Adapter Mounting Plate for ER4u</v>
      </c>
      <c r="T3831">
        <v>0</v>
      </c>
      <c r="U3831">
        <v>117</v>
      </c>
      <c r="V3831">
        <v>117.14</v>
      </c>
      <c r="W3831" t="str">
        <f t="shared" si="957"/>
        <v>rob</v>
      </c>
    </row>
    <row r="3832" spans="1:23">
      <c r="A3832" t="str">
        <f t="shared" si="958"/>
        <v>PNE-ER4U-01</v>
      </c>
      <c r="B3832" t="str">
        <f>"00-1260-0000"</f>
        <v>00-1260-0000</v>
      </c>
      <c r="C3832" t="str">
        <f>"PC Extension Shelf  600x800mm"</f>
        <v>PC Extension Shelf  600x800mm</v>
      </c>
      <c r="D3832">
        <v>1</v>
      </c>
      <c r="E3832" t="str">
        <f t="shared" si="959"/>
        <v>Pneumatic Press &amp; Scorbot-ER4U Robot</v>
      </c>
      <c r="F3832">
        <v>508</v>
      </c>
      <c r="G3832" t="str">
        <f t="shared" si="952"/>
        <v>Y</v>
      </c>
      <c r="H3832" t="str">
        <f>"EA"</f>
        <v>EA</v>
      </c>
      <c r="I3832">
        <v>0</v>
      </c>
      <c r="J3832">
        <v>0</v>
      </c>
      <c r="K3832" t="str">
        <f t="shared" si="953"/>
        <v>Y</v>
      </c>
      <c r="L3832">
        <v>0</v>
      </c>
      <c r="M3832" t="str">
        <f t="shared" si="954"/>
        <v>NIS</v>
      </c>
      <c r="O3832">
        <v>10</v>
      </c>
      <c r="P3832" t="str">
        <f t="shared" si="956"/>
        <v>Active</v>
      </c>
      <c r="Q3832" t="str">
        <f>"PC Extension Shelf  600x800mm"</f>
        <v>PC Extension Shelf  600x800mm</v>
      </c>
      <c r="S3832" t="str">
        <f>"PC Extension Shelf  600x800mm"</f>
        <v>PC Extension Shelf  600x800mm</v>
      </c>
      <c r="T3832">
        <v>0</v>
      </c>
      <c r="U3832">
        <v>192</v>
      </c>
      <c r="V3832">
        <v>195.4</v>
      </c>
      <c r="W3832" t="str">
        <f t="shared" si="957"/>
        <v>rob</v>
      </c>
    </row>
    <row r="3833" spans="1:23">
      <c r="A3833" t="str">
        <f t="shared" si="958"/>
        <v>PNE-ER4U-01</v>
      </c>
      <c r="B3833" t="str">
        <f>"50-0094-0000"</f>
        <v>50-0094-0000</v>
      </c>
      <c r="C3833" t="str">
        <f>"Pre-Engineering, Design and Testing"</f>
        <v>Pre-Engineering, Design and Testing</v>
      </c>
      <c r="D3833">
        <v>1</v>
      </c>
      <c r="E3833" t="str">
        <f t="shared" si="959"/>
        <v>Pneumatic Press &amp; Scorbot-ER4U Robot</v>
      </c>
      <c r="F3833">
        <v>508</v>
      </c>
      <c r="G3833" t="str">
        <f t="shared" si="952"/>
        <v>Y</v>
      </c>
      <c r="H3833" t="str">
        <f>"DA"</f>
        <v>DA</v>
      </c>
      <c r="I3833">
        <v>0</v>
      </c>
      <c r="J3833">
        <v>0</v>
      </c>
      <c r="K3833" t="str">
        <f t="shared" si="953"/>
        <v>Y</v>
      </c>
      <c r="L3833">
        <v>0</v>
      </c>
      <c r="M3833" t="str">
        <f t="shared" si="954"/>
        <v>NIS</v>
      </c>
      <c r="O3833">
        <v>11</v>
      </c>
      <c r="P3833" t="str">
        <f t="shared" si="956"/>
        <v>Active</v>
      </c>
      <c r="Q3833" t="str">
        <f>"Pre-Engineering, Design and Testing"</f>
        <v>Pre-Engineering, Design and Testing</v>
      </c>
      <c r="S3833" t="str">
        <f>"Pre-Engineering, Design and Testing"</f>
        <v>Pre-Engineering, Design and Testing</v>
      </c>
      <c r="T3833">
        <v>0</v>
      </c>
      <c r="U3833">
        <v>405</v>
      </c>
      <c r="V3833">
        <v>421.2</v>
      </c>
      <c r="W3833" t="str">
        <f t="shared" si="957"/>
        <v>rob</v>
      </c>
    </row>
    <row r="3834" spans="1:23">
      <c r="A3834" t="str">
        <f t="shared" ref="A3834:A3845" si="960">"PNE-ER9P-01"</f>
        <v>PNE-ER9P-01</v>
      </c>
      <c r="B3834" t="str">
        <f>"00-0430-0000"</f>
        <v>00-0430-0000</v>
      </c>
      <c r="C3834" t="str">
        <f>"SCORBOT-ER9Pro"</f>
        <v>SCORBOT-ER9Pro</v>
      </c>
      <c r="D3834">
        <v>1</v>
      </c>
      <c r="E3834" t="str">
        <f t="shared" ref="E3834:E3845" si="961">"Pneumatic Press &amp; Scorbot-ER9Pro Robot"</f>
        <v>Pneumatic Press &amp; Scorbot-ER9Pro Robot</v>
      </c>
      <c r="F3834">
        <v>508</v>
      </c>
      <c r="G3834" t="str">
        <f t="shared" si="952"/>
        <v>Y</v>
      </c>
      <c r="H3834" t="str">
        <f t="shared" ref="H3834:H3840" si="962">"EA"</f>
        <v>EA</v>
      </c>
      <c r="I3834">
        <v>0</v>
      </c>
      <c r="J3834">
        <v>0</v>
      </c>
      <c r="K3834" t="str">
        <f t="shared" si="953"/>
        <v>Y</v>
      </c>
      <c r="L3834">
        <v>0</v>
      </c>
      <c r="M3834" t="str">
        <f t="shared" si="954"/>
        <v>NIS</v>
      </c>
      <c r="O3834">
        <v>1</v>
      </c>
      <c r="P3834" t="str">
        <f t="shared" si="956"/>
        <v>Active</v>
      </c>
      <c r="Q3834" t="str">
        <f>"SCORBOT-ER 9Pro (incl. USB-Pro Controller)"</f>
        <v>SCORBOT-ER 9Pro (incl. USB-Pro Controller)</v>
      </c>
      <c r="S3834" t="str">
        <f>"SCORBOT-ER 9Pro (incl. USB-Pro Controller)"</f>
        <v>SCORBOT-ER 9Pro (incl. USB-Pro Controller)</v>
      </c>
      <c r="T3834">
        <v>0</v>
      </c>
      <c r="U3834" s="44">
        <v>10900</v>
      </c>
      <c r="V3834" s="44">
        <v>11661.57</v>
      </c>
      <c r="W3834" t="str">
        <f t="shared" si="957"/>
        <v>rob</v>
      </c>
    </row>
    <row r="3835" spans="1:23">
      <c r="A3835" t="str">
        <f t="shared" si="960"/>
        <v>PNE-ER9P-01</v>
      </c>
      <c r="B3835" t="str">
        <f>"00-0633-0000"</f>
        <v>00-0633-0000</v>
      </c>
      <c r="C3835" t="str">
        <f>"Pneumatic Gripper for ER9-Pro"</f>
        <v>Pneumatic Gripper for ER9-Pro</v>
      </c>
      <c r="D3835">
        <v>1</v>
      </c>
      <c r="E3835" t="str">
        <f t="shared" si="961"/>
        <v>Pneumatic Press &amp; Scorbot-ER9Pro Robot</v>
      </c>
      <c r="F3835">
        <v>508</v>
      </c>
      <c r="G3835" t="str">
        <f t="shared" si="952"/>
        <v>Y</v>
      </c>
      <c r="H3835" t="str">
        <f t="shared" si="962"/>
        <v>EA</v>
      </c>
      <c r="I3835">
        <v>0</v>
      </c>
      <c r="J3835">
        <v>0</v>
      </c>
      <c r="K3835" t="str">
        <f t="shared" si="953"/>
        <v>Y</v>
      </c>
      <c r="L3835">
        <v>0</v>
      </c>
      <c r="M3835" t="str">
        <f t="shared" si="954"/>
        <v>NIS</v>
      </c>
      <c r="O3835">
        <v>2</v>
      </c>
      <c r="P3835" t="str">
        <f t="shared" si="956"/>
        <v>Active</v>
      </c>
      <c r="Q3835" t="str">
        <f>"Pneumatic Gripper for ER 9Pro"</f>
        <v>Pneumatic Gripper for ER 9Pro</v>
      </c>
      <c r="S3835" t="str">
        <f>"Pneumatic Gripper for ER9-Pro"</f>
        <v>Pneumatic Gripper for ER9-Pro</v>
      </c>
      <c r="T3835">
        <v>0</v>
      </c>
      <c r="U3835">
        <v>630</v>
      </c>
      <c r="V3835">
        <v>624.72</v>
      </c>
      <c r="W3835" t="str">
        <f t="shared" si="957"/>
        <v>rob</v>
      </c>
    </row>
    <row r="3836" spans="1:23">
      <c r="A3836" t="str">
        <f t="shared" si="960"/>
        <v>PNE-ER9P-01</v>
      </c>
      <c r="B3836" t="str">
        <f>"00-1710-0000"</f>
        <v>00-1710-0000</v>
      </c>
      <c r="C3836" t="str">
        <f>"Teach Pendant"</f>
        <v>Teach Pendant</v>
      </c>
      <c r="D3836">
        <v>1</v>
      </c>
      <c r="E3836" t="str">
        <f t="shared" si="961"/>
        <v>Pneumatic Press &amp; Scorbot-ER9Pro Robot</v>
      </c>
      <c r="F3836">
        <v>508</v>
      </c>
      <c r="G3836" t="str">
        <f t="shared" si="952"/>
        <v>Y</v>
      </c>
      <c r="H3836" t="str">
        <f t="shared" si="962"/>
        <v>EA</v>
      </c>
      <c r="I3836">
        <v>0</v>
      </c>
      <c r="J3836">
        <v>0</v>
      </c>
      <c r="K3836" t="str">
        <f t="shared" si="953"/>
        <v>Y</v>
      </c>
      <c r="L3836">
        <v>0</v>
      </c>
      <c r="M3836" t="str">
        <f t="shared" si="954"/>
        <v>NIS</v>
      </c>
      <c r="O3836">
        <v>3</v>
      </c>
      <c r="P3836" t="str">
        <f t="shared" si="956"/>
        <v>Active</v>
      </c>
      <c r="Q3836" t="str">
        <f>"Teach Pendant for USB/USB Pro Controllers"</f>
        <v>Teach Pendant for USB/USB Pro Controllers</v>
      </c>
      <c r="S3836" t="str">
        <f>"Teach Pendant for USB/USB Pro Controllers"</f>
        <v>Teach Pendant for USB/USB Pro Controllers</v>
      </c>
      <c r="T3836">
        <v>0</v>
      </c>
      <c r="U3836">
        <v>160.18</v>
      </c>
      <c r="V3836">
        <v>161.44999999999999</v>
      </c>
      <c r="W3836" t="str">
        <f t="shared" si="957"/>
        <v>rob</v>
      </c>
    </row>
    <row r="3837" spans="1:23">
      <c r="A3837" t="str">
        <f t="shared" si="960"/>
        <v>PNE-ER9P-01</v>
      </c>
      <c r="B3837" t="str">
        <f>"034025"</f>
        <v>034025</v>
      </c>
      <c r="C3837" t="str">
        <f>"I/O Interface Box for Controller USB-PRO"</f>
        <v>I/O Interface Box for Controller USB-PRO</v>
      </c>
      <c r="D3837">
        <v>1</v>
      </c>
      <c r="E3837" t="str">
        <f t="shared" si="961"/>
        <v>Pneumatic Press &amp; Scorbot-ER9Pro Robot</v>
      </c>
      <c r="F3837">
        <v>508</v>
      </c>
      <c r="G3837" t="str">
        <f t="shared" si="952"/>
        <v>Y</v>
      </c>
      <c r="H3837" t="str">
        <f t="shared" si="962"/>
        <v>EA</v>
      </c>
      <c r="I3837">
        <v>0</v>
      </c>
      <c r="J3837">
        <v>0</v>
      </c>
      <c r="K3837" t="str">
        <f t="shared" si="953"/>
        <v>Y</v>
      </c>
      <c r="L3837">
        <v>0</v>
      </c>
      <c r="M3837" t="str">
        <f t="shared" si="954"/>
        <v>NIS</v>
      </c>
      <c r="O3837">
        <v>4</v>
      </c>
      <c r="P3837" t="str">
        <f t="shared" si="956"/>
        <v>Active</v>
      </c>
      <c r="Q3837" t="str">
        <f>"I/O Interface Box for Controller USB-PRO"</f>
        <v>I/O Interface Box for Controller USB-PRO</v>
      </c>
      <c r="S3837" t="str">
        <f>"קופסת 2+Interface Box I/O כבלים לבקר USBPRO"</f>
        <v>קופסת 2+Interface Box I/O כבלים לבקר USBPRO</v>
      </c>
      <c r="T3837">
        <v>0</v>
      </c>
      <c r="U3837">
        <v>470</v>
      </c>
      <c r="V3837">
        <v>463.62</v>
      </c>
      <c r="W3837" t="str">
        <f t="shared" si="957"/>
        <v>rob</v>
      </c>
    </row>
    <row r="3838" spans="1:23">
      <c r="A3838" t="str">
        <f t="shared" si="960"/>
        <v>PNE-ER9P-01</v>
      </c>
      <c r="B3838" t="str">
        <f>"10-2521-7000"</f>
        <v>10-2521-7000</v>
      </c>
      <c r="C3838" t="str">
        <f>"Pneumatic Feeder for Rectangular products"</f>
        <v>Pneumatic Feeder for Rectangular products</v>
      </c>
      <c r="D3838">
        <v>1</v>
      </c>
      <c r="E3838" t="str">
        <f t="shared" si="961"/>
        <v>Pneumatic Press &amp; Scorbot-ER9Pro Robot</v>
      </c>
      <c r="F3838">
        <v>508</v>
      </c>
      <c r="G3838" t="str">
        <f t="shared" si="952"/>
        <v>Y</v>
      </c>
      <c r="H3838" t="str">
        <f t="shared" si="962"/>
        <v>EA</v>
      </c>
      <c r="I3838">
        <v>0</v>
      </c>
      <c r="J3838">
        <v>0</v>
      </c>
      <c r="K3838" t="str">
        <f t="shared" si="953"/>
        <v>Y</v>
      </c>
      <c r="L3838">
        <v>0</v>
      </c>
      <c r="M3838" t="str">
        <f t="shared" si="954"/>
        <v>NIS</v>
      </c>
      <c r="O3838">
        <v>5</v>
      </c>
      <c r="P3838" t="str">
        <f t="shared" si="956"/>
        <v>Active</v>
      </c>
      <c r="Q3838" t="str">
        <f>"Pneumatic Feeder for Rectangular Parts"</f>
        <v>Pneumatic Feeder for Rectangular Parts</v>
      </c>
      <c r="S3838" t="str">
        <f>"Pneumatic Feeder for Rectangular Parts"</f>
        <v>Pneumatic Feeder for Rectangular Parts</v>
      </c>
      <c r="T3838">
        <v>0</v>
      </c>
      <c r="U3838">
        <v>595</v>
      </c>
      <c r="V3838">
        <v>555.15</v>
      </c>
      <c r="W3838" t="str">
        <f t="shared" si="957"/>
        <v>rob</v>
      </c>
    </row>
    <row r="3839" spans="1:23">
      <c r="A3839" t="str">
        <f t="shared" si="960"/>
        <v>PNE-ER9P-01</v>
      </c>
      <c r="B3839" t="str">
        <f>"10-1007-4000"</f>
        <v>10-1007-4000</v>
      </c>
      <c r="C3839" t="str">
        <f>"Gravity Parts Feeder (with microswitch sensor)"</f>
        <v>Gravity Parts Feeder (with microswitch sensor)</v>
      </c>
      <c r="D3839">
        <v>1</v>
      </c>
      <c r="E3839" t="str">
        <f t="shared" si="961"/>
        <v>Pneumatic Press &amp; Scorbot-ER9Pro Robot</v>
      </c>
      <c r="F3839">
        <v>508</v>
      </c>
      <c r="G3839" t="str">
        <f t="shared" si="952"/>
        <v>Y</v>
      </c>
      <c r="H3839" t="str">
        <f t="shared" si="962"/>
        <v>EA</v>
      </c>
      <c r="I3839">
        <v>0</v>
      </c>
      <c r="J3839">
        <v>0</v>
      </c>
      <c r="K3839" t="str">
        <f t="shared" si="953"/>
        <v>Y</v>
      </c>
      <c r="L3839">
        <v>0</v>
      </c>
      <c r="M3839" t="str">
        <f t="shared" si="954"/>
        <v>NIS</v>
      </c>
      <c r="O3839">
        <v>6</v>
      </c>
      <c r="P3839" t="str">
        <f t="shared" ref="P3839:P3848" si="963">"Active"</f>
        <v>Active</v>
      </c>
      <c r="Q3839" t="str">
        <f>"Gravity Parts Feeder (incl.microswitch sensor)"</f>
        <v>Gravity Parts Feeder (incl.microswitch sensor)</v>
      </c>
      <c r="S3839" t="str">
        <f>"Gravity Parts Feeder (incl.microswitch sensor)"</f>
        <v>Gravity Parts Feeder (incl.microswitch sensor)</v>
      </c>
      <c r="T3839">
        <v>0</v>
      </c>
      <c r="U3839">
        <v>148</v>
      </c>
      <c r="V3839">
        <v>148.26</v>
      </c>
      <c r="W3839" t="str">
        <f t="shared" si="957"/>
        <v>rob</v>
      </c>
    </row>
    <row r="3840" spans="1:23">
      <c r="A3840" t="str">
        <f t="shared" si="960"/>
        <v>PNE-ER9P-01</v>
      </c>
      <c r="B3840" t="str">
        <f>"00-1110-0000"</f>
        <v>00-1110-0000</v>
      </c>
      <c r="C3840" t="str">
        <f>"Palletizing Rack"</f>
        <v>Palletizing Rack</v>
      </c>
      <c r="D3840">
        <v>2</v>
      </c>
      <c r="E3840" t="str">
        <f t="shared" si="961"/>
        <v>Pneumatic Press &amp; Scorbot-ER9Pro Robot</v>
      </c>
      <c r="F3840">
        <v>508</v>
      </c>
      <c r="G3840" t="str">
        <f t="shared" si="952"/>
        <v>Y</v>
      </c>
      <c r="H3840" t="str">
        <f t="shared" si="962"/>
        <v>EA</v>
      </c>
      <c r="I3840">
        <v>0</v>
      </c>
      <c r="J3840">
        <v>0</v>
      </c>
      <c r="K3840" t="str">
        <f t="shared" si="953"/>
        <v>Y</v>
      </c>
      <c r="L3840">
        <v>0</v>
      </c>
      <c r="M3840" t="str">
        <f t="shared" si="954"/>
        <v>NIS</v>
      </c>
      <c r="O3840">
        <v>7</v>
      </c>
      <c r="P3840" t="str">
        <f t="shared" si="963"/>
        <v>Active</v>
      </c>
      <c r="Q3840" t="str">
        <f>"Palletizing Rack (incl. Pins for creating Jigs)"</f>
        <v>Palletizing Rack (incl. Pins for creating Jigs)</v>
      </c>
      <c r="S3840" t="str">
        <f>"Palletizing Rack (incl. Pins for creating Jigs)"</f>
        <v>Palletizing Rack (incl. Pins for creating Jigs)</v>
      </c>
      <c r="T3840">
        <v>0</v>
      </c>
      <c r="U3840">
        <v>63</v>
      </c>
      <c r="V3840">
        <v>58.59</v>
      </c>
      <c r="W3840" t="str">
        <f t="shared" si="957"/>
        <v>rob</v>
      </c>
    </row>
    <row r="3841" spans="1:23">
      <c r="A3841" t="str">
        <f t="shared" si="960"/>
        <v>PNE-ER9P-01</v>
      </c>
      <c r="B3841" t="str">
        <f>"0000"</f>
        <v>0000</v>
      </c>
      <c r="C3841" t="str">
        <f>"general part"</f>
        <v>general part</v>
      </c>
      <c r="D3841">
        <v>1</v>
      </c>
      <c r="E3841" t="str">
        <f t="shared" si="961"/>
        <v>Pneumatic Press &amp; Scorbot-ER9Pro Robot</v>
      </c>
      <c r="F3841">
        <v>508</v>
      </c>
      <c r="G3841" t="str">
        <f t="shared" si="952"/>
        <v>Y</v>
      </c>
      <c r="H3841" t="str">
        <f>"Ea"</f>
        <v>Ea</v>
      </c>
      <c r="I3841">
        <v>0</v>
      </c>
      <c r="J3841">
        <v>0</v>
      </c>
      <c r="K3841" t="str">
        <f t="shared" si="953"/>
        <v>Y</v>
      </c>
      <c r="L3841">
        <v>0</v>
      </c>
      <c r="M3841" t="str">
        <f t="shared" si="954"/>
        <v>NIS</v>
      </c>
      <c r="N3841" t="str">
        <f>"Y"</f>
        <v>Y</v>
      </c>
      <c r="O3841">
        <v>8</v>
      </c>
      <c r="P3841" t="str">
        <f t="shared" si="963"/>
        <v>Active</v>
      </c>
      <c r="Q3841" t="str">
        <f>"Pneumatic Press (to be defined)"</f>
        <v>Pneumatic Press (to be defined)</v>
      </c>
      <c r="S3841" t="str">
        <f>"מוצר כללי"</f>
        <v>מוצר כללי</v>
      </c>
      <c r="T3841">
        <v>0</v>
      </c>
      <c r="U3841">
        <v>0</v>
      </c>
      <c r="V3841">
        <v>0</v>
      </c>
      <c r="W3841" t="str">
        <f t="shared" si="957"/>
        <v>rob</v>
      </c>
    </row>
    <row r="3842" spans="1:23">
      <c r="A3842" t="str">
        <f t="shared" si="960"/>
        <v>PNE-ER9P-01</v>
      </c>
      <c r="B3842" t="str">
        <f>"00-1249-0000"</f>
        <v>00-1249-0000</v>
      </c>
      <c r="C3842" t="str">
        <f>"Workbench 1500x800mm (slotted aluminum top)"</f>
        <v>Workbench 1500x800mm (slotted aluminum top)</v>
      </c>
      <c r="D3842">
        <v>1</v>
      </c>
      <c r="E3842" t="str">
        <f t="shared" si="961"/>
        <v>Pneumatic Press &amp; Scorbot-ER9Pro Robot</v>
      </c>
      <c r="F3842">
        <v>508</v>
      </c>
      <c r="G3842" t="str">
        <f t="shared" ref="G3842:G3905" si="964">"Y"</f>
        <v>Y</v>
      </c>
      <c r="H3842" t="str">
        <f>"EA"</f>
        <v>EA</v>
      </c>
      <c r="I3842">
        <v>0</v>
      </c>
      <c r="J3842">
        <v>0</v>
      </c>
      <c r="K3842" t="str">
        <f t="shared" ref="K3842:K3905" si="965">"Y"</f>
        <v>Y</v>
      </c>
      <c r="L3842">
        <v>0</v>
      </c>
      <c r="M3842" t="str">
        <f t="shared" si="954"/>
        <v>NIS</v>
      </c>
      <c r="O3842">
        <v>9</v>
      </c>
      <c r="P3842" t="str">
        <f t="shared" si="963"/>
        <v>Active</v>
      </c>
      <c r="Q3842" t="str">
        <f>"Workbench 1500x800mm (slotted aluminum top)"</f>
        <v>Workbench 1500x800mm (slotted aluminum top)</v>
      </c>
      <c r="S3842" t="str">
        <f>"Workbench 1500x800mm (slotted aluminum top)"</f>
        <v>Workbench 1500x800mm (slotted aluminum top)</v>
      </c>
      <c r="T3842">
        <v>0</v>
      </c>
      <c r="U3842" s="44">
        <v>1100</v>
      </c>
      <c r="V3842" s="44">
        <v>1083.57</v>
      </c>
      <c r="W3842" t="str">
        <f t="shared" si="957"/>
        <v>rob</v>
      </c>
    </row>
    <row r="3843" spans="1:23">
      <c r="A3843" t="str">
        <f t="shared" si="960"/>
        <v>PNE-ER9P-01</v>
      </c>
      <c r="B3843" t="str">
        <f>"00-1241-0000"</f>
        <v>00-1241-0000</v>
      </c>
      <c r="C3843" t="str">
        <f>"Adapter Mounting Plate for ER9/14Pro &amp; HP3"</f>
        <v>Adapter Mounting Plate for ER9/14Pro &amp; HP3</v>
      </c>
      <c r="D3843">
        <v>1</v>
      </c>
      <c r="E3843" t="str">
        <f t="shared" si="961"/>
        <v>Pneumatic Press &amp; Scorbot-ER9Pro Robot</v>
      </c>
      <c r="F3843">
        <v>508</v>
      </c>
      <c r="G3843" t="str">
        <f t="shared" si="964"/>
        <v>Y</v>
      </c>
      <c r="H3843" t="str">
        <f>"EA"</f>
        <v>EA</v>
      </c>
      <c r="I3843">
        <v>0</v>
      </c>
      <c r="J3843">
        <v>0</v>
      </c>
      <c r="K3843" t="str">
        <f t="shared" si="965"/>
        <v>Y</v>
      </c>
      <c r="L3843">
        <v>0</v>
      </c>
      <c r="M3843" t="str">
        <f t="shared" si="954"/>
        <v>NIS</v>
      </c>
      <c r="O3843">
        <v>10</v>
      </c>
      <c r="P3843" t="str">
        <f t="shared" si="963"/>
        <v>Active</v>
      </c>
      <c r="Q3843" t="str">
        <f>"Adapter Mounting Plate for ER9/14Pro &amp; HP3"</f>
        <v>Adapter Mounting Plate for ER9/14Pro &amp; HP3</v>
      </c>
      <c r="S3843" t="str">
        <f>"Adapter Mounting Plate for ER9/14Pro &amp; HP3"</f>
        <v>Adapter Mounting Plate for ER9/14Pro &amp; HP3</v>
      </c>
      <c r="T3843">
        <v>0</v>
      </c>
      <c r="U3843">
        <v>145</v>
      </c>
      <c r="V3843">
        <v>153.93</v>
      </c>
      <c r="W3843" t="str">
        <f t="shared" si="957"/>
        <v>rob</v>
      </c>
    </row>
    <row r="3844" spans="1:23">
      <c r="A3844" t="str">
        <f t="shared" si="960"/>
        <v>PNE-ER9P-01</v>
      </c>
      <c r="B3844" t="str">
        <f>"00-1260-0000"</f>
        <v>00-1260-0000</v>
      </c>
      <c r="C3844" t="str">
        <f>"PC Extension Shelf  600x800mm"</f>
        <v>PC Extension Shelf  600x800mm</v>
      </c>
      <c r="D3844">
        <v>1</v>
      </c>
      <c r="E3844" t="str">
        <f t="shared" si="961"/>
        <v>Pneumatic Press &amp; Scorbot-ER9Pro Robot</v>
      </c>
      <c r="F3844">
        <v>508</v>
      </c>
      <c r="G3844" t="str">
        <f t="shared" si="964"/>
        <v>Y</v>
      </c>
      <c r="H3844" t="str">
        <f>"EA"</f>
        <v>EA</v>
      </c>
      <c r="I3844">
        <v>0</v>
      </c>
      <c r="J3844">
        <v>0</v>
      </c>
      <c r="K3844" t="str">
        <f t="shared" si="965"/>
        <v>Y</v>
      </c>
      <c r="L3844">
        <v>0</v>
      </c>
      <c r="M3844" t="str">
        <f t="shared" si="954"/>
        <v>NIS</v>
      </c>
      <c r="O3844">
        <v>11</v>
      </c>
      <c r="P3844" t="str">
        <f t="shared" si="963"/>
        <v>Active</v>
      </c>
      <c r="Q3844" t="str">
        <f>"PC Extension Shelf  600x800mm"</f>
        <v>PC Extension Shelf  600x800mm</v>
      </c>
      <c r="S3844" t="str">
        <f>"PC Extension Shelf  600x800mm"</f>
        <v>PC Extension Shelf  600x800mm</v>
      </c>
      <c r="T3844">
        <v>0</v>
      </c>
      <c r="U3844">
        <v>192</v>
      </c>
      <c r="V3844">
        <v>195.4</v>
      </c>
      <c r="W3844" t="str">
        <f t="shared" si="957"/>
        <v>rob</v>
      </c>
    </row>
    <row r="3845" spans="1:23">
      <c r="A3845" t="str">
        <f t="shared" si="960"/>
        <v>PNE-ER9P-01</v>
      </c>
      <c r="B3845" t="str">
        <f>"50-0094-0000"</f>
        <v>50-0094-0000</v>
      </c>
      <c r="C3845" t="str">
        <f>"Pre-Engineering, Design and Testing"</f>
        <v>Pre-Engineering, Design and Testing</v>
      </c>
      <c r="D3845">
        <v>1</v>
      </c>
      <c r="E3845" t="str">
        <f t="shared" si="961"/>
        <v>Pneumatic Press &amp; Scorbot-ER9Pro Robot</v>
      </c>
      <c r="F3845">
        <v>508</v>
      </c>
      <c r="G3845" t="str">
        <f t="shared" si="964"/>
        <v>Y</v>
      </c>
      <c r="H3845" t="str">
        <f>"DA"</f>
        <v>DA</v>
      </c>
      <c r="I3845">
        <v>0</v>
      </c>
      <c r="J3845">
        <v>0</v>
      </c>
      <c r="K3845" t="str">
        <f t="shared" si="965"/>
        <v>Y</v>
      </c>
      <c r="L3845">
        <v>0</v>
      </c>
      <c r="M3845" t="str">
        <f t="shared" si="954"/>
        <v>NIS</v>
      </c>
      <c r="O3845">
        <v>12</v>
      </c>
      <c r="P3845" t="str">
        <f t="shared" si="963"/>
        <v>Active</v>
      </c>
      <c r="Q3845" t="str">
        <f>"Pre-Engineering, Design and Testing"</f>
        <v>Pre-Engineering, Design and Testing</v>
      </c>
      <c r="S3845" t="str">
        <f>"Pre-Engineering, Design and Testing"</f>
        <v>Pre-Engineering, Design and Testing</v>
      </c>
      <c r="T3845">
        <v>0</v>
      </c>
      <c r="U3845">
        <v>405</v>
      </c>
      <c r="V3845">
        <v>421.2</v>
      </c>
      <c r="W3845" t="str">
        <f t="shared" si="957"/>
        <v>rob</v>
      </c>
    </row>
    <row r="3846" spans="1:23">
      <c r="A3846" t="str">
        <f t="shared" ref="A3846:A3853" si="966">"PNEUFLX T PANEL"</f>
        <v>PNEUFLX T PANEL</v>
      </c>
      <c r="B3846" t="str">
        <f>"00-1904-0000"</f>
        <v>00-1904-0000</v>
      </c>
      <c r="C3846" t="str">
        <f>"PneuFlex 1 - Pneumatic Trainer w T-slot panel"</f>
        <v>PneuFlex 1 - Pneumatic Trainer w T-slot panel</v>
      </c>
      <c r="D3846">
        <v>1</v>
      </c>
      <c r="E3846" t="str">
        <f t="shared" ref="E3846:E3853" si="967">"PneuFlex - Pneumatic Training System"</f>
        <v>PneuFlex - Pneumatic Training System</v>
      </c>
      <c r="F3846">
        <v>810</v>
      </c>
      <c r="G3846" t="str">
        <f t="shared" si="964"/>
        <v>Y</v>
      </c>
      <c r="H3846" t="str">
        <f t="shared" ref="H3846:H3886" si="968">"EA"</f>
        <v>EA</v>
      </c>
      <c r="I3846">
        <v>0</v>
      </c>
      <c r="J3846">
        <v>0</v>
      </c>
      <c r="K3846" t="str">
        <f t="shared" si="965"/>
        <v>Y</v>
      </c>
      <c r="L3846">
        <v>0</v>
      </c>
      <c r="M3846" t="str">
        <f t="shared" si="954"/>
        <v>NIS</v>
      </c>
      <c r="O3846">
        <v>1</v>
      </c>
      <c r="P3846" t="str">
        <f t="shared" si="963"/>
        <v>Active</v>
      </c>
      <c r="Q3846" t="str">
        <f>"PneuFlex P1 -Pneumatic package w T-slot panel"</f>
        <v>PneuFlex P1 -Pneumatic package w T-slot panel</v>
      </c>
      <c r="S3846" t="str">
        <f>"PneuFlex P1 -Pneumatic package w T-slot panel"</f>
        <v>PneuFlex P1 -Pneumatic package w T-slot panel</v>
      </c>
      <c r="T3846">
        <v>0</v>
      </c>
      <c r="U3846" s="44">
        <v>1524</v>
      </c>
      <c r="V3846" s="44">
        <v>1526.76</v>
      </c>
      <c r="W3846" t="str">
        <f t="shared" si="957"/>
        <v>rob</v>
      </c>
    </row>
    <row r="3847" spans="1:23">
      <c r="A3847" t="str">
        <f t="shared" si="966"/>
        <v>PNEUFLX T PANEL</v>
      </c>
      <c r="B3847" t="str">
        <f>"00-1905-0000"</f>
        <v>00-1905-0000</v>
      </c>
      <c r="C3847" t="str">
        <f>"PneuFlex 2 - Advanced Pneumatics Component set"</f>
        <v>PneuFlex 2 - Advanced Pneumatics Component set</v>
      </c>
      <c r="D3847">
        <v>1</v>
      </c>
      <c r="E3847" t="str">
        <f t="shared" si="967"/>
        <v>PneuFlex - Pneumatic Training System</v>
      </c>
      <c r="F3847">
        <v>810</v>
      </c>
      <c r="G3847" t="str">
        <f t="shared" si="964"/>
        <v>Y</v>
      </c>
      <c r="H3847" t="str">
        <f t="shared" si="968"/>
        <v>EA</v>
      </c>
      <c r="I3847">
        <v>0</v>
      </c>
      <c r="J3847">
        <v>0</v>
      </c>
      <c r="K3847" t="str">
        <f t="shared" si="965"/>
        <v>Y</v>
      </c>
      <c r="L3847">
        <v>0</v>
      </c>
      <c r="M3847" t="str">
        <f t="shared" si="954"/>
        <v>NIS</v>
      </c>
      <c r="O3847">
        <v>2</v>
      </c>
      <c r="P3847" t="str">
        <f t="shared" si="963"/>
        <v>Active</v>
      </c>
      <c r="Q3847" t="str">
        <f>"PneuFlex P2 - Advanced Pneumatic package"</f>
        <v>PneuFlex P2 - Advanced Pneumatic package</v>
      </c>
      <c r="S3847" t="str">
        <f>"PneuFlex P2 - Advanced Pneumatic package"</f>
        <v>PneuFlex P2 - Advanced Pneumatic package</v>
      </c>
      <c r="T3847">
        <v>0</v>
      </c>
      <c r="U3847">
        <v>791</v>
      </c>
      <c r="V3847">
        <v>791.7</v>
      </c>
      <c r="W3847" t="str">
        <f t="shared" si="957"/>
        <v>rob</v>
      </c>
    </row>
    <row r="3848" spans="1:23">
      <c r="A3848" t="str">
        <f t="shared" si="966"/>
        <v>PNEUFLX T PANEL</v>
      </c>
      <c r="B3848" t="str">
        <f>"00-1906-0000"</f>
        <v>00-1906-0000</v>
      </c>
      <c r="C3848" t="str">
        <f>"PneuFlex 3 - Electro - Pneumatics Component set"</f>
        <v>PneuFlex 3 - Electro - Pneumatics Component set</v>
      </c>
      <c r="D3848">
        <v>1</v>
      </c>
      <c r="E3848" t="str">
        <f t="shared" si="967"/>
        <v>PneuFlex - Pneumatic Training System</v>
      </c>
      <c r="F3848">
        <v>810</v>
      </c>
      <c r="G3848" t="str">
        <f t="shared" si="964"/>
        <v>Y</v>
      </c>
      <c r="H3848" t="str">
        <f t="shared" si="968"/>
        <v>EA</v>
      </c>
      <c r="I3848">
        <v>0</v>
      </c>
      <c r="J3848">
        <v>0</v>
      </c>
      <c r="K3848" t="str">
        <f t="shared" si="965"/>
        <v>Y</v>
      </c>
      <c r="L3848">
        <v>0</v>
      </c>
      <c r="M3848" t="str">
        <f t="shared" si="954"/>
        <v>NIS</v>
      </c>
      <c r="O3848">
        <v>3</v>
      </c>
      <c r="P3848" t="str">
        <f t="shared" si="963"/>
        <v>Active</v>
      </c>
      <c r="Q3848" t="str">
        <f>"PneuFlex P3 - Electro-Pneumatic package"</f>
        <v>PneuFlex P3 - Electro-Pneumatic package</v>
      </c>
      <c r="S3848" t="str">
        <f>"PneuFlex P3 - Electro-Pneumatic package"</f>
        <v>PneuFlex P3 - Electro-Pneumatic package</v>
      </c>
      <c r="T3848">
        <v>0</v>
      </c>
      <c r="U3848">
        <v>833</v>
      </c>
      <c r="V3848">
        <v>833.5</v>
      </c>
      <c r="W3848" t="str">
        <f t="shared" si="957"/>
        <v>rob</v>
      </c>
    </row>
    <row r="3849" spans="1:23">
      <c r="A3849" t="str">
        <f t="shared" si="966"/>
        <v>PNEUFLX T PANEL</v>
      </c>
      <c r="B3849" t="str">
        <f>"035073"</f>
        <v>035073</v>
      </c>
      <c r="C3849" t="str">
        <f>"Power Supply 110/220 -&gt; 24VDC"</f>
        <v>Power Supply 110/220 -&gt; 24VDC</v>
      </c>
      <c r="D3849">
        <v>1</v>
      </c>
      <c r="E3849" t="str">
        <f t="shared" si="967"/>
        <v>PneuFlex - Pneumatic Training System</v>
      </c>
      <c r="F3849">
        <v>810</v>
      </c>
      <c r="G3849" t="str">
        <f t="shared" si="964"/>
        <v>Y</v>
      </c>
      <c r="H3849" t="str">
        <f t="shared" si="968"/>
        <v>EA</v>
      </c>
      <c r="I3849">
        <v>0</v>
      </c>
      <c r="J3849">
        <v>0</v>
      </c>
      <c r="K3849" t="str">
        <f t="shared" si="965"/>
        <v>Y</v>
      </c>
      <c r="L3849">
        <v>0</v>
      </c>
      <c r="M3849" t="str">
        <f t="shared" si="954"/>
        <v>NIS</v>
      </c>
      <c r="O3849">
        <v>4</v>
      </c>
      <c r="P3849" t="str">
        <f>"Phase Out"</f>
        <v>Phase Out</v>
      </c>
      <c r="Q3849" t="str">
        <f>"Power Supply Wired Desktop, 110~220, 24VDC, 48W"</f>
        <v>Power Supply Wired Desktop, 110~220, 24VDC, 48W</v>
      </c>
      <c r="S3849" t="str">
        <f>"Power Supply Wired Desktop, 110~220, 24VDC, 48W"</f>
        <v>Power Supply Wired Desktop, 110~220, 24VDC, 48W</v>
      </c>
      <c r="T3849">
        <v>0</v>
      </c>
      <c r="U3849">
        <v>57</v>
      </c>
      <c r="V3849">
        <v>54.45</v>
      </c>
      <c r="W3849" t="str">
        <f t="shared" si="957"/>
        <v>rob</v>
      </c>
    </row>
    <row r="3850" spans="1:23">
      <c r="A3850" t="str">
        <f t="shared" si="966"/>
        <v>PNEUFLX T PANEL</v>
      </c>
      <c r="B3850" t="str">
        <f>"00-3031-0000"</f>
        <v>00-3031-0000</v>
      </c>
      <c r="C3850" t="str">
        <f>"PLC A/B Micrologix for HyraFlex/PneuFlex"</f>
        <v>PLC A/B Micrologix for HyraFlex/PneuFlex</v>
      </c>
      <c r="D3850">
        <v>1</v>
      </c>
      <c r="E3850" t="str">
        <f t="shared" si="967"/>
        <v>PneuFlex - Pneumatic Training System</v>
      </c>
      <c r="F3850">
        <v>810</v>
      </c>
      <c r="G3850" t="str">
        <f t="shared" si="964"/>
        <v>Y</v>
      </c>
      <c r="H3850" t="str">
        <f t="shared" si="968"/>
        <v>EA</v>
      </c>
      <c r="I3850">
        <v>0</v>
      </c>
      <c r="J3850">
        <v>0</v>
      </c>
      <c r="K3850" t="str">
        <f t="shared" si="965"/>
        <v>Y</v>
      </c>
      <c r="L3850">
        <v>0</v>
      </c>
      <c r="M3850" t="str">
        <f t="shared" si="954"/>
        <v>NIS</v>
      </c>
      <c r="O3850">
        <v>5</v>
      </c>
      <c r="P3850" t="str">
        <f t="shared" ref="P3850:P3856" si="969">"Active"</f>
        <v>Active</v>
      </c>
      <c r="Q3850" t="str">
        <f>"Computer Interface &amp; PLC A/B Micrologix Pneu/Hyd"</f>
        <v>Computer Interface &amp; PLC A/B Micrologix Pneu/Hyd</v>
      </c>
      <c r="S3850" t="str">
        <f>"Computer Interface &amp; PLC A/B Micrologix Pneu/Hyd"</f>
        <v>Computer Interface &amp; PLC A/B Micrologix Pneu/Hyd</v>
      </c>
      <c r="T3850">
        <v>0</v>
      </c>
      <c r="U3850">
        <v>709.84</v>
      </c>
      <c r="V3850">
        <v>627.34</v>
      </c>
      <c r="W3850" t="str">
        <f t="shared" si="957"/>
        <v>rob</v>
      </c>
    </row>
    <row r="3851" spans="1:23">
      <c r="A3851" t="str">
        <f t="shared" si="966"/>
        <v>PNEUFLX T PANEL</v>
      </c>
      <c r="B3851" t="str">
        <f>"63-9239-0000"</f>
        <v>63-9239-0000</v>
      </c>
      <c r="C3851" t="str">
        <f>"PneuMotion Pneumatic Simulation Software"</f>
        <v>PneuMotion Pneumatic Simulation Software</v>
      </c>
      <c r="D3851">
        <v>1</v>
      </c>
      <c r="E3851" t="str">
        <f t="shared" si="967"/>
        <v>PneuFlex - Pneumatic Training System</v>
      </c>
      <c r="F3851">
        <v>810</v>
      </c>
      <c r="G3851" t="str">
        <f t="shared" si="964"/>
        <v>Y</v>
      </c>
      <c r="H3851" t="str">
        <f t="shared" si="968"/>
        <v>EA</v>
      </c>
      <c r="I3851">
        <v>0</v>
      </c>
      <c r="J3851">
        <v>0</v>
      </c>
      <c r="K3851" t="str">
        <f t="shared" si="965"/>
        <v>Y</v>
      </c>
      <c r="L3851">
        <v>0</v>
      </c>
      <c r="M3851" t="str">
        <f t="shared" si="954"/>
        <v>NIS</v>
      </c>
      <c r="O3851">
        <v>6</v>
      </c>
      <c r="P3851" t="str">
        <f t="shared" si="969"/>
        <v>Active</v>
      </c>
      <c r="Q3851" t="str">
        <f>"PneuMotion Pneumatic Simulation Software Package"</f>
        <v>PneuMotion Pneumatic Simulation Software Package</v>
      </c>
      <c r="R3851" t="str">
        <f t="shared" ref="R3851:R3856" si="970">"1"</f>
        <v>1</v>
      </c>
      <c r="S3851" t="str">
        <f>"PneuMotion Pneumatic Simulation Software Package"</f>
        <v>PneuMotion Pneumatic Simulation Software Package</v>
      </c>
      <c r="T3851">
        <v>0</v>
      </c>
      <c r="U3851">
        <v>31.47</v>
      </c>
      <c r="V3851">
        <v>31.93</v>
      </c>
      <c r="W3851" t="str">
        <f t="shared" si="957"/>
        <v>rob</v>
      </c>
    </row>
    <row r="3852" spans="1:23">
      <c r="A3852" t="str">
        <f t="shared" si="966"/>
        <v>PNEUFLX T PANEL</v>
      </c>
      <c r="B3852" t="str">
        <f>"63-7000-0800"</f>
        <v>63-7000-0800</v>
      </c>
      <c r="C3852" t="str">
        <f>"License Key For PneuMotion"</f>
        <v>License Key For PneuMotion</v>
      </c>
      <c r="D3852">
        <v>1</v>
      </c>
      <c r="E3852" t="str">
        <f t="shared" si="967"/>
        <v>PneuFlex - Pneumatic Training System</v>
      </c>
      <c r="F3852">
        <v>810</v>
      </c>
      <c r="G3852" t="str">
        <f t="shared" si="964"/>
        <v>Y</v>
      </c>
      <c r="H3852" t="str">
        <f t="shared" si="968"/>
        <v>EA</v>
      </c>
      <c r="I3852">
        <v>0</v>
      </c>
      <c r="J3852">
        <v>0</v>
      </c>
      <c r="K3852" t="str">
        <f t="shared" si="965"/>
        <v>Y</v>
      </c>
      <c r="L3852">
        <v>0</v>
      </c>
      <c r="M3852" t="str">
        <f t="shared" si="954"/>
        <v>NIS</v>
      </c>
      <c r="O3852">
        <v>7</v>
      </c>
      <c r="P3852" t="str">
        <f t="shared" si="969"/>
        <v>Active</v>
      </c>
      <c r="Q3852" t="str">
        <f>"License Key For Pneu Motion Software"</f>
        <v>License Key For Pneu Motion Software</v>
      </c>
      <c r="R3852" t="str">
        <f t="shared" si="970"/>
        <v>1</v>
      </c>
      <c r="S3852" t="str">
        <f>"License Key For Pneu Motion Software"</f>
        <v>License Key For Pneu Motion Software</v>
      </c>
      <c r="T3852">
        <v>0</v>
      </c>
      <c r="U3852">
        <v>6</v>
      </c>
      <c r="V3852">
        <v>6.66</v>
      </c>
      <c r="W3852" t="str">
        <f t="shared" si="957"/>
        <v>rob</v>
      </c>
    </row>
    <row r="3853" spans="1:23">
      <c r="A3853" t="str">
        <f t="shared" si="966"/>
        <v>PNEUFLX T PANEL</v>
      </c>
      <c r="B3853" t="str">
        <f>"63-7000-0800"</f>
        <v>63-7000-0800</v>
      </c>
      <c r="C3853" t="str">
        <f>"License Key For PneuMotion"</f>
        <v>License Key For PneuMotion</v>
      </c>
      <c r="D3853">
        <v>10</v>
      </c>
      <c r="E3853" t="str">
        <f t="shared" si="967"/>
        <v>PneuFlex - Pneumatic Training System</v>
      </c>
      <c r="F3853">
        <v>810</v>
      </c>
      <c r="G3853" t="str">
        <f t="shared" si="964"/>
        <v>Y</v>
      </c>
      <c r="H3853" t="str">
        <f t="shared" si="968"/>
        <v>EA</v>
      </c>
      <c r="I3853">
        <v>0</v>
      </c>
      <c r="J3853">
        <v>0</v>
      </c>
      <c r="K3853" t="str">
        <f t="shared" si="965"/>
        <v>Y</v>
      </c>
      <c r="L3853">
        <v>0</v>
      </c>
      <c r="M3853" t="str">
        <f t="shared" si="954"/>
        <v>NIS</v>
      </c>
      <c r="N3853" t="str">
        <f>"Y"</f>
        <v>Y</v>
      </c>
      <c r="O3853">
        <v>8</v>
      </c>
      <c r="P3853" t="str">
        <f t="shared" si="969"/>
        <v>Active</v>
      </c>
      <c r="Q3853" t="str">
        <f>"License Key For Pneu Motion Software"</f>
        <v>License Key For Pneu Motion Software</v>
      </c>
      <c r="R3853" t="str">
        <f t="shared" si="970"/>
        <v>1</v>
      </c>
      <c r="S3853" t="str">
        <f>"License Key For Pneu Motion Software"</f>
        <v>License Key For Pneu Motion Software</v>
      </c>
      <c r="T3853">
        <v>0</v>
      </c>
      <c r="U3853">
        <v>6</v>
      </c>
      <c r="V3853">
        <v>6.66</v>
      </c>
      <c r="W3853" t="str">
        <f t="shared" si="957"/>
        <v>rob</v>
      </c>
    </row>
    <row r="3854" spans="1:23">
      <c r="A3854" t="str">
        <f>"PNEUMOTION SW"</f>
        <v>PNEUMOTION SW</v>
      </c>
      <c r="B3854" t="str">
        <f>"63-9239-0000"</f>
        <v>63-9239-0000</v>
      </c>
      <c r="C3854" t="str">
        <f>"PneuMotion Pneumatic Simulation Software"</f>
        <v>PneuMotion Pneumatic Simulation Software</v>
      </c>
      <c r="D3854">
        <v>1</v>
      </c>
      <c r="E3854" t="str">
        <f>"PneuMotion- Pneumatic simulation Software"</f>
        <v>PneuMotion- Pneumatic simulation Software</v>
      </c>
      <c r="F3854">
        <v>810</v>
      </c>
      <c r="G3854" t="str">
        <f t="shared" si="964"/>
        <v>Y</v>
      </c>
      <c r="H3854" t="str">
        <f t="shared" si="968"/>
        <v>EA</v>
      </c>
      <c r="I3854">
        <v>0</v>
      </c>
      <c r="J3854">
        <v>0</v>
      </c>
      <c r="K3854" t="str">
        <f t="shared" si="965"/>
        <v>Y</v>
      </c>
      <c r="L3854">
        <v>0</v>
      </c>
      <c r="M3854" t="str">
        <f t="shared" si="954"/>
        <v>NIS</v>
      </c>
      <c r="O3854">
        <v>1</v>
      </c>
      <c r="P3854" t="str">
        <f t="shared" si="969"/>
        <v>Active</v>
      </c>
      <c r="Q3854" t="str">
        <f>"PneuMotion Pneumatic Simulation Software Package"</f>
        <v>PneuMotion Pneumatic Simulation Software Package</v>
      </c>
      <c r="R3854" t="str">
        <f t="shared" si="970"/>
        <v>1</v>
      </c>
      <c r="S3854" t="str">
        <f>"PneuMotion Pneumatic Simulation Software Package"</f>
        <v>PneuMotion Pneumatic Simulation Software Package</v>
      </c>
      <c r="T3854">
        <v>0</v>
      </c>
      <c r="U3854">
        <v>31.47</v>
      </c>
      <c r="V3854">
        <v>31.93</v>
      </c>
      <c r="W3854" t="str">
        <f t="shared" si="957"/>
        <v>rob</v>
      </c>
    </row>
    <row r="3855" spans="1:23">
      <c r="A3855" t="str">
        <f>"PNEUMOTION SW"</f>
        <v>PNEUMOTION SW</v>
      </c>
      <c r="B3855" t="str">
        <f>"63-7000-0800"</f>
        <v>63-7000-0800</v>
      </c>
      <c r="C3855" t="str">
        <f>"License Key For PneuMotion"</f>
        <v>License Key For PneuMotion</v>
      </c>
      <c r="D3855">
        <v>1</v>
      </c>
      <c r="E3855" t="str">
        <f>"PneuMotion- Pneumatic simulation Software"</f>
        <v>PneuMotion- Pneumatic simulation Software</v>
      </c>
      <c r="F3855">
        <v>810</v>
      </c>
      <c r="G3855" t="str">
        <f t="shared" si="964"/>
        <v>Y</v>
      </c>
      <c r="H3855" t="str">
        <f t="shared" si="968"/>
        <v>EA</v>
      </c>
      <c r="I3855">
        <v>0</v>
      </c>
      <c r="J3855">
        <v>0</v>
      </c>
      <c r="K3855" t="str">
        <f t="shared" si="965"/>
        <v>Y</v>
      </c>
      <c r="L3855">
        <v>0</v>
      </c>
      <c r="M3855" t="str">
        <f t="shared" si="954"/>
        <v>NIS</v>
      </c>
      <c r="O3855">
        <v>2</v>
      </c>
      <c r="P3855" t="str">
        <f t="shared" si="969"/>
        <v>Active</v>
      </c>
      <c r="Q3855" t="str">
        <f>"License Key For Pneu Motion Software"</f>
        <v>License Key For Pneu Motion Software</v>
      </c>
      <c r="R3855" t="str">
        <f t="shared" si="970"/>
        <v>1</v>
      </c>
      <c r="S3855" t="str">
        <f>"License Key For Pneu Motion Software"</f>
        <v>License Key For Pneu Motion Software</v>
      </c>
      <c r="T3855">
        <v>0</v>
      </c>
      <c r="U3855">
        <v>6</v>
      </c>
      <c r="V3855">
        <v>6.66</v>
      </c>
      <c r="W3855" t="str">
        <f t="shared" si="957"/>
        <v>rob</v>
      </c>
    </row>
    <row r="3856" spans="1:23">
      <c r="A3856" t="str">
        <f>"PNEUMOTION SW"</f>
        <v>PNEUMOTION SW</v>
      </c>
      <c r="B3856" t="str">
        <f>"63-7000-0800"</f>
        <v>63-7000-0800</v>
      </c>
      <c r="C3856" t="str">
        <f>"License Key For PneuMotion"</f>
        <v>License Key For PneuMotion</v>
      </c>
      <c r="D3856">
        <v>10</v>
      </c>
      <c r="E3856" t="str">
        <f>"PneuMotion- Pneumatic simulation Software"</f>
        <v>PneuMotion- Pneumatic simulation Software</v>
      </c>
      <c r="F3856">
        <v>810</v>
      </c>
      <c r="G3856" t="str">
        <f t="shared" si="964"/>
        <v>Y</v>
      </c>
      <c r="H3856" t="str">
        <f t="shared" si="968"/>
        <v>EA</v>
      </c>
      <c r="I3856">
        <v>0</v>
      </c>
      <c r="J3856">
        <v>0</v>
      </c>
      <c r="K3856" t="str">
        <f t="shared" si="965"/>
        <v>Y</v>
      </c>
      <c r="L3856">
        <v>0</v>
      </c>
      <c r="M3856" t="str">
        <f t="shared" si="954"/>
        <v>NIS</v>
      </c>
      <c r="O3856">
        <v>3</v>
      </c>
      <c r="P3856" t="str">
        <f t="shared" si="969"/>
        <v>Active</v>
      </c>
      <c r="Q3856" t="str">
        <f>"License Key For Pneu Motion Software"</f>
        <v>License Key For Pneu Motion Software</v>
      </c>
      <c r="R3856" t="str">
        <f t="shared" si="970"/>
        <v>1</v>
      </c>
      <c r="S3856" t="str">
        <f>"License Key For Pneu Motion Software"</f>
        <v>License Key For Pneu Motion Software</v>
      </c>
      <c r="T3856">
        <v>0</v>
      </c>
      <c r="U3856">
        <v>6</v>
      </c>
      <c r="V3856">
        <v>6.66</v>
      </c>
      <c r="W3856" t="str">
        <f t="shared" si="957"/>
        <v>rob</v>
      </c>
    </row>
    <row r="3857" spans="1:23">
      <c r="A3857" t="str">
        <f t="shared" ref="A3857:A3864" si="971">"PROCESLINE PANLS"</f>
        <v>PROCESLINE PANLS</v>
      </c>
      <c r="B3857" t="str">
        <f>"00-3071-0000"</f>
        <v>00-3071-0000</v>
      </c>
      <c r="C3857" t="str">
        <f>"ProcessLine Level &amp; Flow"</f>
        <v>ProcessLine Level &amp; Flow</v>
      </c>
      <c r="D3857">
        <v>1</v>
      </c>
      <c r="E3857" t="str">
        <f t="shared" ref="E3857:E3864" si="972">"Process Control Technology Training Panels"</f>
        <v>Process Control Technology Training Panels</v>
      </c>
      <c r="F3857">
        <v>810</v>
      </c>
      <c r="G3857" t="str">
        <f t="shared" si="964"/>
        <v>Y</v>
      </c>
      <c r="H3857" t="str">
        <f t="shared" si="968"/>
        <v>EA</v>
      </c>
      <c r="I3857">
        <v>0</v>
      </c>
      <c r="J3857">
        <v>0</v>
      </c>
      <c r="K3857" t="str">
        <f t="shared" si="965"/>
        <v>Y</v>
      </c>
      <c r="L3857">
        <v>0</v>
      </c>
      <c r="M3857" t="str">
        <f t="shared" si="954"/>
        <v>NIS</v>
      </c>
      <c r="O3857">
        <v>1</v>
      </c>
      <c r="P3857" t="str">
        <f>"Not for purc"</f>
        <v>Not for purc</v>
      </c>
      <c r="Q3857" t="str">
        <f>"ProcessLine Level &amp; Flow"</f>
        <v>ProcessLine Level &amp; Flow</v>
      </c>
      <c r="S3857" t="str">
        <f>"ProcessLine Level &amp; Flow"</f>
        <v>ProcessLine Level &amp; Flow</v>
      </c>
      <c r="T3857">
        <v>0</v>
      </c>
      <c r="U3857" s="44">
        <v>3431.99</v>
      </c>
      <c r="V3857" s="44">
        <v>3379.44</v>
      </c>
      <c r="W3857" t="str">
        <f t="shared" si="957"/>
        <v>rob</v>
      </c>
    </row>
    <row r="3858" spans="1:23">
      <c r="A3858" t="str">
        <f t="shared" si="971"/>
        <v>PROCESLINE PANLS</v>
      </c>
      <c r="B3858" t="str">
        <f>"63-7000-0700"</f>
        <v>63-7000-0700</v>
      </c>
      <c r="C3858" t="str">
        <f>"License Key For ProcessMotion Software"</f>
        <v>License Key For ProcessMotion Software</v>
      </c>
      <c r="D3858">
        <v>1</v>
      </c>
      <c r="E3858" t="str">
        <f t="shared" si="972"/>
        <v>Process Control Technology Training Panels</v>
      </c>
      <c r="F3858">
        <v>810</v>
      </c>
      <c r="G3858" t="str">
        <f t="shared" si="964"/>
        <v>Y</v>
      </c>
      <c r="H3858" t="str">
        <f t="shared" si="968"/>
        <v>EA</v>
      </c>
      <c r="I3858">
        <v>0</v>
      </c>
      <c r="J3858">
        <v>0</v>
      </c>
      <c r="K3858" t="str">
        <f t="shared" si="965"/>
        <v>Y</v>
      </c>
      <c r="L3858">
        <v>0</v>
      </c>
      <c r="M3858" t="str">
        <f t="shared" si="954"/>
        <v>NIS</v>
      </c>
      <c r="O3858">
        <v>2</v>
      </c>
      <c r="P3858" t="str">
        <f>"Active"</f>
        <v>Active</v>
      </c>
      <c r="Q3858" t="str">
        <f>"License Key For Process Motion Software"</f>
        <v>License Key For Process Motion Software</v>
      </c>
      <c r="R3858" t="str">
        <f>"1"</f>
        <v>1</v>
      </c>
      <c r="S3858" t="str">
        <f>"License Key For Process Motion Software"</f>
        <v>License Key For Process Motion Software</v>
      </c>
      <c r="T3858">
        <v>0</v>
      </c>
      <c r="U3858">
        <v>1.2</v>
      </c>
      <c r="V3858">
        <v>1.33</v>
      </c>
      <c r="W3858" t="str">
        <f t="shared" si="957"/>
        <v>rob</v>
      </c>
    </row>
    <row r="3859" spans="1:23">
      <c r="A3859" t="str">
        <f t="shared" si="971"/>
        <v>PROCESLINE PANLS</v>
      </c>
      <c r="B3859" t="str">
        <f>"00-3072-0000"</f>
        <v>00-3072-0000</v>
      </c>
      <c r="C3859" t="str">
        <f>"ProcessLine Temperature 230V"</f>
        <v>ProcessLine Temperature 230V</v>
      </c>
      <c r="D3859">
        <v>1</v>
      </c>
      <c r="E3859" t="str">
        <f t="shared" si="972"/>
        <v>Process Control Technology Training Panels</v>
      </c>
      <c r="F3859">
        <v>810</v>
      </c>
      <c r="G3859" t="str">
        <f t="shared" si="964"/>
        <v>Y</v>
      </c>
      <c r="H3859" t="str">
        <f t="shared" si="968"/>
        <v>EA</v>
      </c>
      <c r="I3859">
        <v>0</v>
      </c>
      <c r="J3859">
        <v>0</v>
      </c>
      <c r="K3859" t="str">
        <f t="shared" si="965"/>
        <v>Y</v>
      </c>
      <c r="L3859">
        <v>0</v>
      </c>
      <c r="M3859" t="str">
        <f t="shared" si="954"/>
        <v>NIS</v>
      </c>
      <c r="O3859">
        <v>3</v>
      </c>
      <c r="P3859" t="str">
        <f>"Not for purc"</f>
        <v>Not for purc</v>
      </c>
      <c r="Q3859" t="str">
        <f>"ProcessLine Temperature Pack 230V"</f>
        <v>ProcessLine Temperature Pack 230V</v>
      </c>
      <c r="S3859" t="str">
        <f>"ProcessLine Temperature Pack 230V"</f>
        <v>ProcessLine Temperature Pack 230V</v>
      </c>
      <c r="T3859">
        <v>0</v>
      </c>
      <c r="U3859" s="44">
        <v>3975.08</v>
      </c>
      <c r="V3859">
        <v>0</v>
      </c>
      <c r="W3859" t="str">
        <f t="shared" si="957"/>
        <v>rob</v>
      </c>
    </row>
    <row r="3860" spans="1:23">
      <c r="A3860" t="str">
        <f t="shared" si="971"/>
        <v>PROCESLINE PANLS</v>
      </c>
      <c r="B3860" t="str">
        <f>"63-7000-0700"</f>
        <v>63-7000-0700</v>
      </c>
      <c r="C3860" t="str">
        <f>"License Key For ProcessMotion Software"</f>
        <v>License Key For ProcessMotion Software</v>
      </c>
      <c r="D3860">
        <v>1</v>
      </c>
      <c r="E3860" t="str">
        <f t="shared" si="972"/>
        <v>Process Control Technology Training Panels</v>
      </c>
      <c r="F3860">
        <v>810</v>
      </c>
      <c r="G3860" t="str">
        <f t="shared" si="964"/>
        <v>Y</v>
      </c>
      <c r="H3860" t="str">
        <f t="shared" si="968"/>
        <v>EA</v>
      </c>
      <c r="I3860">
        <v>0</v>
      </c>
      <c r="J3860">
        <v>0</v>
      </c>
      <c r="K3860" t="str">
        <f t="shared" si="965"/>
        <v>Y</v>
      </c>
      <c r="L3860">
        <v>0</v>
      </c>
      <c r="M3860" t="str">
        <f t="shared" ref="M3860:M3923" si="973">"NIS"</f>
        <v>NIS</v>
      </c>
      <c r="O3860">
        <v>4</v>
      </c>
      <c r="P3860" t="str">
        <f t="shared" ref="P3860:P3906" si="974">"Active"</f>
        <v>Active</v>
      </c>
      <c r="Q3860" t="str">
        <f>"License Key For Process Motion Software"</f>
        <v>License Key For Process Motion Software</v>
      </c>
      <c r="R3860" t="str">
        <f>"1"</f>
        <v>1</v>
      </c>
      <c r="S3860" t="str">
        <f>"License Key For Process Motion Software"</f>
        <v>License Key For Process Motion Software</v>
      </c>
      <c r="T3860">
        <v>0</v>
      </c>
      <c r="U3860">
        <v>1.2</v>
      </c>
      <c r="V3860">
        <v>1.33</v>
      </c>
      <c r="W3860" t="str">
        <f t="shared" si="957"/>
        <v>rob</v>
      </c>
    </row>
    <row r="3861" spans="1:23">
      <c r="A3861" t="str">
        <f t="shared" si="971"/>
        <v>PROCESLINE PANLS</v>
      </c>
      <c r="B3861" t="str">
        <f>"00-3073-0000"</f>
        <v>00-3073-0000</v>
      </c>
      <c r="C3861" t="str">
        <f>"ProcessLine Pressure"</f>
        <v>ProcessLine Pressure</v>
      </c>
      <c r="D3861">
        <v>1</v>
      </c>
      <c r="E3861" t="str">
        <f t="shared" si="972"/>
        <v>Process Control Technology Training Panels</v>
      </c>
      <c r="F3861">
        <v>810</v>
      </c>
      <c r="G3861" t="str">
        <f t="shared" si="964"/>
        <v>Y</v>
      </c>
      <c r="H3861" t="str">
        <f t="shared" si="968"/>
        <v>EA</v>
      </c>
      <c r="I3861">
        <v>0</v>
      </c>
      <c r="J3861">
        <v>0</v>
      </c>
      <c r="K3861" t="str">
        <f t="shared" si="965"/>
        <v>Y</v>
      </c>
      <c r="L3861">
        <v>0</v>
      </c>
      <c r="M3861" t="str">
        <f t="shared" si="973"/>
        <v>NIS</v>
      </c>
      <c r="O3861">
        <v>5</v>
      </c>
      <c r="P3861" t="str">
        <f t="shared" si="974"/>
        <v>Active</v>
      </c>
      <c r="Q3861" t="str">
        <f>"ProcessLine Pressure Pack"</f>
        <v>ProcessLine Pressure Pack</v>
      </c>
      <c r="S3861" t="str">
        <f>"ProcessLine Pressure Pack"</f>
        <v>ProcessLine Pressure Pack</v>
      </c>
      <c r="T3861">
        <v>0</v>
      </c>
      <c r="U3861" s="44">
        <v>3161.51</v>
      </c>
      <c r="V3861" s="44">
        <v>3050.83</v>
      </c>
      <c r="W3861" t="str">
        <f t="shared" si="957"/>
        <v>rob</v>
      </c>
    </row>
    <row r="3862" spans="1:23">
      <c r="A3862" t="str">
        <f t="shared" si="971"/>
        <v>PROCESLINE PANLS</v>
      </c>
      <c r="B3862" t="str">
        <f>"63-7000-0700"</f>
        <v>63-7000-0700</v>
      </c>
      <c r="C3862" t="str">
        <f>"License Key For ProcessMotion Software"</f>
        <v>License Key For ProcessMotion Software</v>
      </c>
      <c r="D3862">
        <v>1</v>
      </c>
      <c r="E3862" t="str">
        <f t="shared" si="972"/>
        <v>Process Control Technology Training Panels</v>
      </c>
      <c r="F3862">
        <v>810</v>
      </c>
      <c r="G3862" t="str">
        <f t="shared" si="964"/>
        <v>Y</v>
      </c>
      <c r="H3862" t="str">
        <f t="shared" si="968"/>
        <v>EA</v>
      </c>
      <c r="I3862">
        <v>0</v>
      </c>
      <c r="J3862">
        <v>0</v>
      </c>
      <c r="K3862" t="str">
        <f t="shared" si="965"/>
        <v>Y</v>
      </c>
      <c r="L3862">
        <v>0</v>
      </c>
      <c r="M3862" t="str">
        <f t="shared" si="973"/>
        <v>NIS</v>
      </c>
      <c r="O3862">
        <v>6</v>
      </c>
      <c r="P3862" t="str">
        <f t="shared" si="974"/>
        <v>Active</v>
      </c>
      <c r="Q3862" t="str">
        <f>"License Key For Process Motion Software"</f>
        <v>License Key For Process Motion Software</v>
      </c>
      <c r="R3862" t="str">
        <f>"1"</f>
        <v>1</v>
      </c>
      <c r="S3862" t="str">
        <f>"License Key For Process Motion Software"</f>
        <v>License Key For Process Motion Software</v>
      </c>
      <c r="T3862">
        <v>0</v>
      </c>
      <c r="U3862">
        <v>1.2</v>
      </c>
      <c r="V3862">
        <v>1.33</v>
      </c>
      <c r="W3862" t="str">
        <f t="shared" si="957"/>
        <v>rob</v>
      </c>
    </row>
    <row r="3863" spans="1:23">
      <c r="A3863" t="str">
        <f t="shared" si="971"/>
        <v>PROCESLINE PANLS</v>
      </c>
      <c r="B3863" t="str">
        <f>"00-3074-0000"</f>
        <v>00-3074-0000</v>
      </c>
      <c r="C3863" t="str">
        <f>"ProcessLine Temperature (115V)"</f>
        <v>ProcessLine Temperature (115V)</v>
      </c>
      <c r="D3863">
        <v>1</v>
      </c>
      <c r="E3863" t="str">
        <f t="shared" si="972"/>
        <v>Process Control Technology Training Panels</v>
      </c>
      <c r="F3863">
        <v>810</v>
      </c>
      <c r="G3863" t="str">
        <f t="shared" si="964"/>
        <v>Y</v>
      </c>
      <c r="H3863" t="str">
        <f t="shared" si="968"/>
        <v>EA</v>
      </c>
      <c r="I3863">
        <v>0</v>
      </c>
      <c r="J3863">
        <v>0</v>
      </c>
      <c r="K3863" t="str">
        <f t="shared" si="965"/>
        <v>Y</v>
      </c>
      <c r="L3863">
        <v>0</v>
      </c>
      <c r="M3863" t="str">
        <f t="shared" si="973"/>
        <v>NIS</v>
      </c>
      <c r="O3863">
        <v>7</v>
      </c>
      <c r="P3863" t="str">
        <f t="shared" si="974"/>
        <v>Active</v>
      </c>
      <c r="Q3863" t="str">
        <f>"ProcessLine Temperature Pack 115V"</f>
        <v>ProcessLine Temperature Pack 115V</v>
      </c>
      <c r="S3863" t="str">
        <f>"ProcessLine Temperature Pack 115V"</f>
        <v>ProcessLine Temperature Pack 115V</v>
      </c>
      <c r="T3863">
        <v>0</v>
      </c>
      <c r="U3863" s="44">
        <v>3956.93</v>
      </c>
      <c r="V3863" s="44">
        <v>3826.63</v>
      </c>
      <c r="W3863" t="str">
        <f t="shared" si="957"/>
        <v>rob</v>
      </c>
    </row>
    <row r="3864" spans="1:23">
      <c r="A3864" t="str">
        <f t="shared" si="971"/>
        <v>PROCESLINE PANLS</v>
      </c>
      <c r="B3864" t="str">
        <f>"63-7000-0700"</f>
        <v>63-7000-0700</v>
      </c>
      <c r="C3864" t="str">
        <f>"License Key For ProcessMotion Software"</f>
        <v>License Key For ProcessMotion Software</v>
      </c>
      <c r="D3864">
        <v>1</v>
      </c>
      <c r="E3864" t="str">
        <f t="shared" si="972"/>
        <v>Process Control Technology Training Panels</v>
      </c>
      <c r="F3864">
        <v>810</v>
      </c>
      <c r="G3864" t="str">
        <f t="shared" si="964"/>
        <v>Y</v>
      </c>
      <c r="H3864" t="str">
        <f t="shared" si="968"/>
        <v>EA</v>
      </c>
      <c r="I3864">
        <v>0</v>
      </c>
      <c r="J3864">
        <v>0</v>
      </c>
      <c r="K3864" t="str">
        <f t="shared" si="965"/>
        <v>Y</v>
      </c>
      <c r="L3864">
        <v>0</v>
      </c>
      <c r="M3864" t="str">
        <f t="shared" si="973"/>
        <v>NIS</v>
      </c>
      <c r="O3864">
        <v>8</v>
      </c>
      <c r="P3864" t="str">
        <f t="shared" si="974"/>
        <v>Active</v>
      </c>
      <c r="Q3864" t="str">
        <f>"License Key For Process Motion Software"</f>
        <v>License Key For Process Motion Software</v>
      </c>
      <c r="R3864" t="str">
        <f>"1"</f>
        <v>1</v>
      </c>
      <c r="S3864" t="str">
        <f>"License Key For Process Motion Software"</f>
        <v>License Key For Process Motion Software</v>
      </c>
      <c r="T3864">
        <v>0</v>
      </c>
      <c r="U3864">
        <v>1.2</v>
      </c>
      <c r="V3864">
        <v>1.33</v>
      </c>
      <c r="W3864" t="str">
        <f t="shared" si="957"/>
        <v>rob</v>
      </c>
    </row>
    <row r="3865" spans="1:23">
      <c r="A3865" t="str">
        <f t="shared" ref="A3865:A3888" si="975">"PROJ-EMMC-1600"</f>
        <v>PROJ-EMMC-1600</v>
      </c>
      <c r="B3865" t="str">
        <f>"00-0430-0000"</f>
        <v>00-0430-0000</v>
      </c>
      <c r="C3865" t="str">
        <f>"SCORBOT-ER9Pro"</f>
        <v>SCORBOT-ER9Pro</v>
      </c>
      <c r="D3865">
        <v>1</v>
      </c>
      <c r="E3865" t="str">
        <f t="shared" ref="E3865:E3888" si="976">"Projects Station: Industrial Maintenance Cell EMMC 1600 in CIM"</f>
        <v>Projects Station: Industrial Maintenance Cell EMMC 1600 in CIM</v>
      </c>
      <c r="F3865">
        <v>512</v>
      </c>
      <c r="G3865" t="str">
        <f t="shared" si="964"/>
        <v>Y</v>
      </c>
      <c r="H3865" t="str">
        <f t="shared" si="968"/>
        <v>EA</v>
      </c>
      <c r="I3865">
        <v>0</v>
      </c>
      <c r="J3865">
        <v>0</v>
      </c>
      <c r="K3865" t="str">
        <f t="shared" si="965"/>
        <v>Y</v>
      </c>
      <c r="L3865">
        <v>0</v>
      </c>
      <c r="M3865" t="str">
        <f t="shared" si="973"/>
        <v>NIS</v>
      </c>
      <c r="O3865">
        <v>1</v>
      </c>
      <c r="P3865" t="str">
        <f t="shared" si="974"/>
        <v>Active</v>
      </c>
      <c r="Q3865" t="str">
        <f>"SCORBOT-ER 9Pro (incl. USB-Pro Controller)"</f>
        <v>SCORBOT-ER 9Pro (incl. USB-Pro Controller)</v>
      </c>
      <c r="S3865" t="str">
        <f>"SCORBOT-ER 9Pro (incl. USB-Pro Controller)"</f>
        <v>SCORBOT-ER 9Pro (incl. USB-Pro Controller)</v>
      </c>
      <c r="T3865">
        <v>0</v>
      </c>
      <c r="U3865" s="44">
        <v>10900</v>
      </c>
      <c r="V3865" s="44">
        <v>11661.57</v>
      </c>
      <c r="W3865" t="str">
        <f t="shared" si="957"/>
        <v>rob</v>
      </c>
    </row>
    <row r="3866" spans="1:23">
      <c r="A3866" t="str">
        <f t="shared" si="975"/>
        <v>PROJ-EMMC-1600</v>
      </c>
      <c r="B3866" t="str">
        <f>"00-0633-0000"</f>
        <v>00-0633-0000</v>
      </c>
      <c r="C3866" t="str">
        <f>"Pneumatic Gripper for ER9-Pro"</f>
        <v>Pneumatic Gripper for ER9-Pro</v>
      </c>
      <c r="D3866">
        <v>1</v>
      </c>
      <c r="E3866" t="str">
        <f t="shared" si="976"/>
        <v>Projects Station: Industrial Maintenance Cell EMMC 1600 in CIM</v>
      </c>
      <c r="F3866">
        <v>512</v>
      </c>
      <c r="G3866" t="str">
        <f t="shared" si="964"/>
        <v>Y</v>
      </c>
      <c r="H3866" t="str">
        <f t="shared" si="968"/>
        <v>EA</v>
      </c>
      <c r="I3866">
        <v>0</v>
      </c>
      <c r="J3866">
        <v>0</v>
      </c>
      <c r="K3866" t="str">
        <f t="shared" si="965"/>
        <v>Y</v>
      </c>
      <c r="L3866">
        <v>0</v>
      </c>
      <c r="M3866" t="str">
        <f t="shared" si="973"/>
        <v>NIS</v>
      </c>
      <c r="O3866">
        <v>2</v>
      </c>
      <c r="P3866" t="str">
        <f t="shared" si="974"/>
        <v>Active</v>
      </c>
      <c r="Q3866" t="str">
        <f>"Pneumatic Gripper for ER9-Pro"</f>
        <v>Pneumatic Gripper for ER9-Pro</v>
      </c>
      <c r="S3866" t="str">
        <f>"Pneumatic Gripper for ER9-Pro"</f>
        <v>Pneumatic Gripper for ER9-Pro</v>
      </c>
      <c r="T3866">
        <v>0</v>
      </c>
      <c r="U3866">
        <v>630</v>
      </c>
      <c r="V3866">
        <v>624.72</v>
      </c>
      <c r="W3866" t="str">
        <f t="shared" si="957"/>
        <v>rob</v>
      </c>
    </row>
    <row r="3867" spans="1:23">
      <c r="A3867" t="str">
        <f t="shared" si="975"/>
        <v>PROJ-EMMC-1600</v>
      </c>
      <c r="B3867" t="str">
        <f>"00-1710-0000"</f>
        <v>00-1710-0000</v>
      </c>
      <c r="C3867" t="str">
        <f>"Teach Pendant"</f>
        <v>Teach Pendant</v>
      </c>
      <c r="D3867">
        <v>1</v>
      </c>
      <c r="E3867" t="str">
        <f t="shared" si="976"/>
        <v>Projects Station: Industrial Maintenance Cell EMMC 1600 in CIM</v>
      </c>
      <c r="F3867">
        <v>512</v>
      </c>
      <c r="G3867" t="str">
        <f t="shared" si="964"/>
        <v>Y</v>
      </c>
      <c r="H3867" t="str">
        <f t="shared" si="968"/>
        <v>EA</v>
      </c>
      <c r="I3867">
        <v>0</v>
      </c>
      <c r="J3867">
        <v>0</v>
      </c>
      <c r="K3867" t="str">
        <f t="shared" si="965"/>
        <v>Y</v>
      </c>
      <c r="L3867">
        <v>0</v>
      </c>
      <c r="M3867" t="str">
        <f t="shared" si="973"/>
        <v>NIS</v>
      </c>
      <c r="O3867">
        <v>3</v>
      </c>
      <c r="P3867" t="str">
        <f t="shared" si="974"/>
        <v>Active</v>
      </c>
      <c r="Q3867" t="str">
        <f>"Teach Pendant for USB/USB Pro Controllers"</f>
        <v>Teach Pendant for USB/USB Pro Controllers</v>
      </c>
      <c r="S3867" t="str">
        <f>"Teach Pendant for USB/USB Pro Controllers"</f>
        <v>Teach Pendant for USB/USB Pro Controllers</v>
      </c>
      <c r="T3867">
        <v>0</v>
      </c>
      <c r="U3867">
        <v>160.18</v>
      </c>
      <c r="V3867">
        <v>161.44999999999999</v>
      </c>
      <c r="W3867" t="str">
        <f t="shared" si="957"/>
        <v>rob</v>
      </c>
    </row>
    <row r="3868" spans="1:23">
      <c r="A3868" t="str">
        <f t="shared" si="975"/>
        <v>PROJ-EMMC-1600</v>
      </c>
      <c r="B3868" t="str">
        <f>"034025"</f>
        <v>034025</v>
      </c>
      <c r="C3868" t="str">
        <f>"I/O Interface Box for Controller USB-PRO"</f>
        <v>I/O Interface Box for Controller USB-PRO</v>
      </c>
      <c r="D3868">
        <v>1</v>
      </c>
      <c r="E3868" t="str">
        <f t="shared" si="976"/>
        <v>Projects Station: Industrial Maintenance Cell EMMC 1600 in CIM</v>
      </c>
      <c r="F3868">
        <v>512</v>
      </c>
      <c r="G3868" t="str">
        <f t="shared" si="964"/>
        <v>Y</v>
      </c>
      <c r="H3868" t="str">
        <f t="shared" si="968"/>
        <v>EA</v>
      </c>
      <c r="I3868">
        <v>0</v>
      </c>
      <c r="J3868">
        <v>0</v>
      </c>
      <c r="K3868" t="str">
        <f t="shared" si="965"/>
        <v>Y</v>
      </c>
      <c r="L3868">
        <v>0</v>
      </c>
      <c r="M3868" t="str">
        <f t="shared" si="973"/>
        <v>NIS</v>
      </c>
      <c r="O3868">
        <v>4</v>
      </c>
      <c r="P3868" t="str">
        <f t="shared" si="974"/>
        <v>Active</v>
      </c>
      <c r="Q3868" t="str">
        <f>"קופסת 2+Interface Box I/O כבלים לבקר USBPRO"</f>
        <v>קופסת 2+Interface Box I/O כבלים לבקר USBPRO</v>
      </c>
      <c r="S3868" t="str">
        <f>"קופסת 2+Interface Box I/O כבלים לבקר USBPRO"</f>
        <v>קופסת 2+Interface Box I/O כבלים לבקר USBPRO</v>
      </c>
      <c r="T3868">
        <v>0</v>
      </c>
      <c r="U3868">
        <v>470</v>
      </c>
      <c r="V3868">
        <v>463.62</v>
      </c>
      <c r="W3868" t="str">
        <f t="shared" si="957"/>
        <v>rob</v>
      </c>
    </row>
    <row r="3869" spans="1:23">
      <c r="A3869" t="str">
        <f t="shared" si="975"/>
        <v>PROJ-EMMC-1600</v>
      </c>
      <c r="B3869" t="str">
        <f>"021152"</f>
        <v>021152</v>
      </c>
      <c r="C3869" t="str">
        <f>"Shelf Buffer for CIM conveyor"</f>
        <v>Shelf Buffer for CIM conveyor</v>
      </c>
      <c r="D3869">
        <v>1</v>
      </c>
      <c r="E3869" t="str">
        <f t="shared" si="976"/>
        <v>Projects Station: Industrial Maintenance Cell EMMC 1600 in CIM</v>
      </c>
      <c r="F3869">
        <v>512</v>
      </c>
      <c r="G3869" t="str">
        <f t="shared" si="964"/>
        <v>Y</v>
      </c>
      <c r="H3869" t="str">
        <f t="shared" si="968"/>
        <v>EA</v>
      </c>
      <c r="I3869">
        <v>0</v>
      </c>
      <c r="J3869">
        <v>0</v>
      </c>
      <c r="K3869" t="str">
        <f t="shared" si="965"/>
        <v>Y</v>
      </c>
      <c r="L3869">
        <v>0</v>
      </c>
      <c r="M3869" t="str">
        <f t="shared" si="973"/>
        <v>NIS</v>
      </c>
      <c r="O3869">
        <v>5</v>
      </c>
      <c r="P3869" t="str">
        <f t="shared" si="974"/>
        <v>Active</v>
      </c>
      <c r="Q3869" t="str">
        <f>"מכלול- מדף בפר סטנדרטי OPEN-CIM"</f>
        <v>מכלול- מדף בפר סטנדרטי OPEN-CIM</v>
      </c>
      <c r="R3869" t="str">
        <f>"1"</f>
        <v>1</v>
      </c>
      <c r="S3869" t="str">
        <f>"מכלול- מדף בפר סטנדרטי OPEN-CIM"</f>
        <v>מכלול- מדף בפר סטנדרטי OPEN-CIM</v>
      </c>
      <c r="T3869">
        <v>0</v>
      </c>
      <c r="U3869">
        <v>83.12</v>
      </c>
      <c r="V3869">
        <v>92.76</v>
      </c>
      <c r="W3869" t="str">
        <f t="shared" si="957"/>
        <v>rob</v>
      </c>
    </row>
    <row r="3870" spans="1:23">
      <c r="A3870" t="str">
        <f t="shared" si="975"/>
        <v>PROJ-EMMC-1600</v>
      </c>
      <c r="B3870" t="str">
        <f>"00-1110-0000"</f>
        <v>00-1110-0000</v>
      </c>
      <c r="C3870" t="str">
        <f>"Palletizing Rack"</f>
        <v>Palletizing Rack</v>
      </c>
      <c r="D3870">
        <v>2</v>
      </c>
      <c r="E3870" t="str">
        <f t="shared" si="976"/>
        <v>Projects Station: Industrial Maintenance Cell EMMC 1600 in CIM</v>
      </c>
      <c r="F3870">
        <v>512</v>
      </c>
      <c r="G3870" t="str">
        <f t="shared" si="964"/>
        <v>Y</v>
      </c>
      <c r="H3870" t="str">
        <f t="shared" si="968"/>
        <v>EA</v>
      </c>
      <c r="I3870">
        <v>0</v>
      </c>
      <c r="J3870">
        <v>0</v>
      </c>
      <c r="K3870" t="str">
        <f t="shared" si="965"/>
        <v>Y</v>
      </c>
      <c r="L3870">
        <v>0</v>
      </c>
      <c r="M3870" t="str">
        <f t="shared" si="973"/>
        <v>NIS</v>
      </c>
      <c r="O3870">
        <v>6</v>
      </c>
      <c r="P3870" t="str">
        <f t="shared" si="974"/>
        <v>Active</v>
      </c>
      <c r="Q3870" t="str">
        <f>"Palletizing Rack (incl. Pins for creating Jigs)"</f>
        <v>Palletizing Rack (incl. Pins for creating Jigs)</v>
      </c>
      <c r="S3870" t="str">
        <f>"Palletizing Rack (incl. Pins for creating Jigs)"</f>
        <v>Palletizing Rack (incl. Pins for creating Jigs)</v>
      </c>
      <c r="T3870">
        <v>0</v>
      </c>
      <c r="U3870">
        <v>63</v>
      </c>
      <c r="V3870">
        <v>58.59</v>
      </c>
      <c r="W3870" t="str">
        <f t="shared" si="957"/>
        <v>rob</v>
      </c>
    </row>
    <row r="3871" spans="1:23">
      <c r="A3871" t="str">
        <f t="shared" si="975"/>
        <v>PROJ-EMMC-1600</v>
      </c>
      <c r="B3871" t="str">
        <f>"021177"</f>
        <v>021177</v>
      </c>
      <c r="C3871" t="str">
        <f>"30mm Height Adapter -Rack 001110 on formica 19mm"</f>
        <v>30mm Height Adapter -Rack 001110 on formica 19mm</v>
      </c>
      <c r="D3871">
        <v>2</v>
      </c>
      <c r="E3871" t="str">
        <f t="shared" si="976"/>
        <v>Projects Station: Industrial Maintenance Cell EMMC 1600 in CIM</v>
      </c>
      <c r="F3871">
        <v>512</v>
      </c>
      <c r="G3871" t="str">
        <f t="shared" si="964"/>
        <v>Y</v>
      </c>
      <c r="H3871" t="str">
        <f t="shared" si="968"/>
        <v>EA</v>
      </c>
      <c r="I3871">
        <v>0</v>
      </c>
      <c r="J3871">
        <v>0</v>
      </c>
      <c r="K3871" t="str">
        <f t="shared" si="965"/>
        <v>Y</v>
      </c>
      <c r="L3871">
        <v>0</v>
      </c>
      <c r="M3871" t="str">
        <f t="shared" si="973"/>
        <v>NIS</v>
      </c>
      <c r="O3871">
        <v>7</v>
      </c>
      <c r="P3871" t="str">
        <f t="shared" si="974"/>
        <v>Active</v>
      </c>
      <c r="Q3871" t="str">
        <f>"30mm Height Adapter -Rack 001110 on formica 19mm"</f>
        <v>30mm Height Adapter -Rack 001110 on formica 19mm</v>
      </c>
      <c r="S3871" t="str">
        <f>"30mm Height Adapter -Rack 001110 on formica 19mm"</f>
        <v>30mm Height Adapter -Rack 001110 on formica 19mm</v>
      </c>
      <c r="T3871">
        <v>0</v>
      </c>
      <c r="U3871">
        <v>4.92</v>
      </c>
      <c r="V3871">
        <v>8.43</v>
      </c>
      <c r="W3871" t="str">
        <f t="shared" si="957"/>
        <v>rob</v>
      </c>
    </row>
    <row r="3872" spans="1:23">
      <c r="A3872" t="str">
        <f t="shared" si="975"/>
        <v>PROJ-EMMC-1600</v>
      </c>
      <c r="B3872" t="str">
        <f>"00-1422-0000"</f>
        <v>00-1422-0000</v>
      </c>
      <c r="C3872" t="str">
        <f>"Viewflex for QC (Stand 400mm)"</f>
        <v>Viewflex for QC (Stand 400mm)</v>
      </c>
      <c r="D3872">
        <v>1</v>
      </c>
      <c r="E3872" t="str">
        <f t="shared" si="976"/>
        <v>Projects Station: Industrial Maintenance Cell EMMC 1600 in CIM</v>
      </c>
      <c r="F3872">
        <v>512</v>
      </c>
      <c r="G3872" t="str">
        <f t="shared" si="964"/>
        <v>Y</v>
      </c>
      <c r="H3872" t="str">
        <f t="shared" si="968"/>
        <v>EA</v>
      </c>
      <c r="I3872">
        <v>0</v>
      </c>
      <c r="J3872">
        <v>0</v>
      </c>
      <c r="K3872" t="str">
        <f t="shared" si="965"/>
        <v>Y</v>
      </c>
      <c r="L3872">
        <v>0</v>
      </c>
      <c r="M3872" t="str">
        <f t="shared" si="973"/>
        <v>NIS</v>
      </c>
      <c r="O3872">
        <v>8</v>
      </c>
      <c r="P3872" t="str">
        <f t="shared" si="974"/>
        <v>Active</v>
      </c>
      <c r="Q3872" t="str">
        <f>"Viewflex for QC (Stand 400mm)"</f>
        <v>Viewflex for QC (Stand 400mm)</v>
      </c>
      <c r="S3872" t="str">
        <f>"Viewflex for QC (Stand 400mm)"</f>
        <v>Viewflex for QC (Stand 400mm)</v>
      </c>
      <c r="T3872">
        <v>0</v>
      </c>
      <c r="U3872">
        <v>560</v>
      </c>
      <c r="V3872">
        <v>511.35</v>
      </c>
      <c r="W3872" t="str">
        <f t="shared" si="957"/>
        <v>rob</v>
      </c>
    </row>
    <row r="3873" spans="1:23">
      <c r="A3873" t="str">
        <f t="shared" si="975"/>
        <v>PROJ-EMMC-1600</v>
      </c>
      <c r="B3873" t="str">
        <f>"113096"</f>
        <v>113096</v>
      </c>
      <c r="C3873" t="str">
        <f>"Plexiglass Cylinders Base"</f>
        <v>Plexiglass Cylinders Base</v>
      </c>
      <c r="D3873">
        <v>3</v>
      </c>
      <c r="E3873" t="str">
        <f t="shared" si="976"/>
        <v>Projects Station: Industrial Maintenance Cell EMMC 1600 in CIM</v>
      </c>
      <c r="F3873">
        <v>512</v>
      </c>
      <c r="G3873" t="str">
        <f t="shared" si="964"/>
        <v>Y</v>
      </c>
      <c r="H3873" t="str">
        <f t="shared" si="968"/>
        <v>EA</v>
      </c>
      <c r="I3873">
        <v>0</v>
      </c>
      <c r="J3873">
        <v>0</v>
      </c>
      <c r="K3873" t="str">
        <f t="shared" si="965"/>
        <v>Y</v>
      </c>
      <c r="L3873">
        <v>0</v>
      </c>
      <c r="M3873" t="str">
        <f t="shared" si="973"/>
        <v>NIS</v>
      </c>
      <c r="O3873">
        <v>9</v>
      </c>
      <c r="P3873" t="str">
        <f t="shared" si="974"/>
        <v>Active</v>
      </c>
      <c r="Q3873" t="str">
        <f>"Plexiglass Cylinders Base"</f>
        <v>Plexiglass Cylinders Base</v>
      </c>
      <c r="S3873" t="str">
        <f>"Plexiglass Cylinders Base"</f>
        <v>Plexiglass Cylinders Base</v>
      </c>
      <c r="T3873">
        <v>0</v>
      </c>
      <c r="U3873">
        <v>7</v>
      </c>
      <c r="V3873">
        <v>6.83</v>
      </c>
      <c r="W3873" t="str">
        <f t="shared" si="957"/>
        <v>rob</v>
      </c>
    </row>
    <row r="3874" spans="1:23">
      <c r="A3874" t="str">
        <f t="shared" si="975"/>
        <v>PROJ-EMMC-1600</v>
      </c>
      <c r="B3874" t="str">
        <f>"112713"</f>
        <v>112713</v>
      </c>
      <c r="C3874" t="str">
        <f>"Marked Aluminum Cylinder"</f>
        <v>Marked Aluminum Cylinder</v>
      </c>
      <c r="D3874">
        <v>3</v>
      </c>
      <c r="E3874" t="str">
        <f t="shared" si="976"/>
        <v>Projects Station: Industrial Maintenance Cell EMMC 1600 in CIM</v>
      </c>
      <c r="F3874">
        <v>512</v>
      </c>
      <c r="G3874" t="str">
        <f t="shared" si="964"/>
        <v>Y</v>
      </c>
      <c r="H3874" t="str">
        <f t="shared" si="968"/>
        <v>EA</v>
      </c>
      <c r="I3874">
        <v>0</v>
      </c>
      <c r="J3874">
        <v>0</v>
      </c>
      <c r="K3874" t="str">
        <f t="shared" si="965"/>
        <v>Y</v>
      </c>
      <c r="L3874">
        <v>0</v>
      </c>
      <c r="M3874" t="str">
        <f t="shared" si="973"/>
        <v>NIS</v>
      </c>
      <c r="O3874">
        <v>10</v>
      </c>
      <c r="P3874" t="str">
        <f t="shared" si="974"/>
        <v>Active</v>
      </c>
      <c r="Q3874" t="str">
        <f>"Mark Al. Cylinder Diam. 35x28"</f>
        <v>Mark Al. Cylinder Diam. 35x28</v>
      </c>
      <c r="S3874" t="str">
        <f>"Mark Al. Cylinder Diam. 35x28"</f>
        <v>Mark Al. Cylinder Diam. 35x28</v>
      </c>
      <c r="T3874">
        <v>0</v>
      </c>
      <c r="U3874">
        <v>6</v>
      </c>
      <c r="V3874">
        <v>5.97</v>
      </c>
      <c r="W3874" t="str">
        <f t="shared" si="957"/>
        <v>rob</v>
      </c>
    </row>
    <row r="3875" spans="1:23">
      <c r="A3875" t="str">
        <f t="shared" si="975"/>
        <v>PROJ-EMMC-1600</v>
      </c>
      <c r="B3875" t="str">
        <f>"113316"</f>
        <v>113316</v>
      </c>
      <c r="C3875" t="str">
        <f>"Parts Bin"</f>
        <v>Parts Bin</v>
      </c>
      <c r="D3875">
        <v>1</v>
      </c>
      <c r="E3875" t="str">
        <f t="shared" si="976"/>
        <v>Projects Station: Industrial Maintenance Cell EMMC 1600 in CIM</v>
      </c>
      <c r="F3875">
        <v>512</v>
      </c>
      <c r="G3875" t="str">
        <f t="shared" si="964"/>
        <v>Y</v>
      </c>
      <c r="H3875" t="str">
        <f t="shared" si="968"/>
        <v>EA</v>
      </c>
      <c r="I3875">
        <v>0</v>
      </c>
      <c r="J3875">
        <v>0</v>
      </c>
      <c r="K3875" t="str">
        <f t="shared" si="965"/>
        <v>Y</v>
      </c>
      <c r="L3875">
        <v>0</v>
      </c>
      <c r="M3875" t="str">
        <f t="shared" si="973"/>
        <v>NIS</v>
      </c>
      <c r="O3875">
        <v>11</v>
      </c>
      <c r="P3875" t="str">
        <f t="shared" si="974"/>
        <v>Active</v>
      </c>
      <c r="Q3875" t="str">
        <f>"Parts Bin; Plastic Box"</f>
        <v>Parts Bin; Plastic Box</v>
      </c>
      <c r="R3875" t="str">
        <f>"1"</f>
        <v>1</v>
      </c>
      <c r="S3875" t="str">
        <f>"Parts Bin; Plastic Box"</f>
        <v>Parts Bin; Plastic Box</v>
      </c>
      <c r="T3875">
        <v>0</v>
      </c>
      <c r="U3875">
        <v>8.0399999999999991</v>
      </c>
      <c r="V3875">
        <v>6.39</v>
      </c>
      <c r="W3875" t="str">
        <f t="shared" si="957"/>
        <v>rob</v>
      </c>
    </row>
    <row r="3876" spans="1:23">
      <c r="A3876" t="str">
        <f t="shared" si="975"/>
        <v>PROJ-EMMC-1600</v>
      </c>
      <c r="B3876" t="str">
        <f>"00-1284-0000"</f>
        <v>00-1284-0000</v>
      </c>
      <c r="C3876" t="str">
        <f>"Robot Pedestal Welded for ER9/14Pro&amp;MH5"</f>
        <v>Robot Pedestal Welded for ER9/14Pro&amp;MH5</v>
      </c>
      <c r="D3876">
        <v>1</v>
      </c>
      <c r="E3876" t="str">
        <f t="shared" si="976"/>
        <v>Projects Station: Industrial Maintenance Cell EMMC 1600 in CIM</v>
      </c>
      <c r="F3876">
        <v>512</v>
      </c>
      <c r="G3876" t="str">
        <f t="shared" si="964"/>
        <v>Y</v>
      </c>
      <c r="H3876" t="str">
        <f t="shared" si="968"/>
        <v>EA</v>
      </c>
      <c r="I3876">
        <v>0</v>
      </c>
      <c r="J3876">
        <v>0</v>
      </c>
      <c r="K3876" t="str">
        <f t="shared" si="965"/>
        <v>Y</v>
      </c>
      <c r="L3876">
        <v>0</v>
      </c>
      <c r="M3876" t="str">
        <f t="shared" si="973"/>
        <v>NIS</v>
      </c>
      <c r="O3876">
        <v>12</v>
      </c>
      <c r="P3876" t="str">
        <f t="shared" si="974"/>
        <v>Active</v>
      </c>
      <c r="Q3876" t="str">
        <f>"Robot Pedestal Welded for ER9/14Pro&amp;MH5"</f>
        <v>Robot Pedestal Welded for ER9/14Pro&amp;MH5</v>
      </c>
      <c r="S3876" t="str">
        <f>"Robot Pedestal Welded for ER9/14Pro&amp;MH5"</f>
        <v>Robot Pedestal Welded for ER9/14Pro&amp;MH5</v>
      </c>
      <c r="T3876">
        <v>0</v>
      </c>
      <c r="U3876">
        <v>723.91</v>
      </c>
      <c r="V3876">
        <v>671.12</v>
      </c>
      <c r="W3876" t="str">
        <f t="shared" si="957"/>
        <v>rob</v>
      </c>
    </row>
    <row r="3877" spans="1:23">
      <c r="A3877" t="str">
        <f t="shared" si="975"/>
        <v>PROJ-EMMC-1600</v>
      </c>
      <c r="B3877" t="str">
        <f>"00-1251-0000"</f>
        <v>00-1251-0000</v>
      </c>
      <c r="C3877" t="str">
        <f>"Workbench 1500x800mm (Formica Top)"</f>
        <v>Workbench 1500x800mm (Formica Top)</v>
      </c>
      <c r="D3877">
        <v>1</v>
      </c>
      <c r="E3877" t="str">
        <f t="shared" si="976"/>
        <v>Projects Station: Industrial Maintenance Cell EMMC 1600 in CIM</v>
      </c>
      <c r="F3877">
        <v>512</v>
      </c>
      <c r="G3877" t="str">
        <f t="shared" si="964"/>
        <v>Y</v>
      </c>
      <c r="H3877" t="str">
        <f t="shared" si="968"/>
        <v>EA</v>
      </c>
      <c r="I3877">
        <v>0</v>
      </c>
      <c r="J3877">
        <v>0</v>
      </c>
      <c r="K3877" t="str">
        <f t="shared" si="965"/>
        <v>Y</v>
      </c>
      <c r="L3877">
        <v>0</v>
      </c>
      <c r="M3877" t="str">
        <f t="shared" si="973"/>
        <v>NIS</v>
      </c>
      <c r="O3877">
        <v>13</v>
      </c>
      <c r="P3877" t="str">
        <f t="shared" si="974"/>
        <v>Active</v>
      </c>
      <c r="Q3877" t="str">
        <f>"Workbench 1500x800mm (Formica Top)"</f>
        <v>Workbench 1500x800mm (Formica Top)</v>
      </c>
      <c r="S3877" t="str">
        <f>"Workbench 1500x800mm (Formica Top)"</f>
        <v>Workbench 1500x800mm (Formica Top)</v>
      </c>
      <c r="T3877">
        <v>0</v>
      </c>
      <c r="U3877">
        <v>582</v>
      </c>
      <c r="V3877">
        <v>588.6</v>
      </c>
      <c r="W3877" t="str">
        <f t="shared" si="957"/>
        <v>rob</v>
      </c>
    </row>
    <row r="3878" spans="1:23">
      <c r="A3878" t="str">
        <f t="shared" si="975"/>
        <v>PROJ-EMMC-1600</v>
      </c>
      <c r="B3878" t="str">
        <f>"10-1600-1000"</f>
        <v>10-1600-1000</v>
      </c>
      <c r="C3878" t="str">
        <f>"EMMC1600 Maintenance Cell, Hardware Package"</f>
        <v>EMMC1600 Maintenance Cell, Hardware Package</v>
      </c>
      <c r="D3878">
        <v>1</v>
      </c>
      <c r="E3878" t="str">
        <f t="shared" si="976"/>
        <v>Projects Station: Industrial Maintenance Cell EMMC 1600 in CIM</v>
      </c>
      <c r="F3878">
        <v>512</v>
      </c>
      <c r="G3878" t="str">
        <f t="shared" si="964"/>
        <v>Y</v>
      </c>
      <c r="H3878" t="str">
        <f t="shared" si="968"/>
        <v>EA</v>
      </c>
      <c r="I3878">
        <v>0</v>
      </c>
      <c r="J3878">
        <v>0</v>
      </c>
      <c r="K3878" t="str">
        <f t="shared" si="965"/>
        <v>Y</v>
      </c>
      <c r="L3878">
        <v>0</v>
      </c>
      <c r="M3878" t="str">
        <f t="shared" si="973"/>
        <v>NIS</v>
      </c>
      <c r="O3878">
        <v>14</v>
      </c>
      <c r="P3878" t="str">
        <f t="shared" si="974"/>
        <v>Active</v>
      </c>
      <c r="Q3878" t="str">
        <f>"EMMC1600 Maintenance Cell, Hardware Package"</f>
        <v>EMMC1600 Maintenance Cell, Hardware Package</v>
      </c>
      <c r="R3878" t="str">
        <f>"1"</f>
        <v>1</v>
      </c>
      <c r="S3878" t="str">
        <f>"EMMC1600 Maintenance Cell, Hardware Package"</f>
        <v>EMMC1600 Maintenance Cell, Hardware Package</v>
      </c>
      <c r="T3878" s="44">
        <v>22592.31</v>
      </c>
      <c r="U3878" s="44">
        <v>21399</v>
      </c>
      <c r="V3878" s="44">
        <v>40950.160000000003</v>
      </c>
      <c r="W3878" t="str">
        <f t="shared" si="957"/>
        <v>rob</v>
      </c>
    </row>
    <row r="3879" spans="1:23">
      <c r="A3879" t="str">
        <f t="shared" si="975"/>
        <v>PROJ-EMMC-1600</v>
      </c>
      <c r="B3879" t="str">
        <f>"17-ZA01-0000"</f>
        <v>17-ZA01-0000</v>
      </c>
      <c r="C3879" t="str">
        <f>"LM5.X Content, JM, Basic Maintenance Cell"</f>
        <v>LM5.X Content, JM, Basic Maintenance Cell</v>
      </c>
      <c r="D3879">
        <v>1</v>
      </c>
      <c r="E3879" t="str">
        <f t="shared" si="976"/>
        <v>Projects Station: Industrial Maintenance Cell EMMC 1600 in CIM</v>
      </c>
      <c r="F3879">
        <v>512</v>
      </c>
      <c r="G3879" t="str">
        <f t="shared" si="964"/>
        <v>Y</v>
      </c>
      <c r="H3879" t="str">
        <f t="shared" si="968"/>
        <v>EA</v>
      </c>
      <c r="I3879">
        <v>0</v>
      </c>
      <c r="J3879">
        <v>0</v>
      </c>
      <c r="K3879" t="str">
        <f t="shared" si="965"/>
        <v>Y</v>
      </c>
      <c r="L3879">
        <v>0</v>
      </c>
      <c r="M3879" t="str">
        <f t="shared" si="973"/>
        <v>NIS</v>
      </c>
      <c r="O3879">
        <v>15</v>
      </c>
      <c r="P3879" t="str">
        <f t="shared" si="974"/>
        <v>Active</v>
      </c>
      <c r="Q3879" t="str">
        <f>"LM5.X Content, JM, Basic Maintenance Cell"</f>
        <v>LM5.X Content, JM, Basic Maintenance Cell</v>
      </c>
      <c r="S3879" t="str">
        <f>"LM5.X Content, JM, Basic Maintenance Cell"</f>
        <v>LM5.X Content, JM, Basic Maintenance Cell</v>
      </c>
      <c r="T3879">
        <v>0</v>
      </c>
      <c r="U3879">
        <v>5</v>
      </c>
      <c r="V3879">
        <v>5</v>
      </c>
      <c r="W3879" t="str">
        <f t="shared" si="957"/>
        <v>rob</v>
      </c>
    </row>
    <row r="3880" spans="1:23">
      <c r="A3880" t="str">
        <f t="shared" si="975"/>
        <v>PROJ-EMMC-1600</v>
      </c>
      <c r="B3880" t="str">
        <f>"17-ZA02-0000"</f>
        <v>17-ZA02-0000</v>
      </c>
      <c r="C3880" t="str">
        <f>"LM5.X Content, JM, Conveyor, Drive and Control"</f>
        <v>LM5.X Content, JM, Conveyor, Drive and Control</v>
      </c>
      <c r="D3880">
        <v>1</v>
      </c>
      <c r="E3880" t="str">
        <f t="shared" si="976"/>
        <v>Projects Station: Industrial Maintenance Cell EMMC 1600 in CIM</v>
      </c>
      <c r="F3880">
        <v>512</v>
      </c>
      <c r="G3880" t="str">
        <f t="shared" si="964"/>
        <v>Y</v>
      </c>
      <c r="H3880" t="str">
        <f t="shared" si="968"/>
        <v>EA</v>
      </c>
      <c r="I3880">
        <v>0</v>
      </c>
      <c r="J3880">
        <v>0</v>
      </c>
      <c r="K3880" t="str">
        <f t="shared" si="965"/>
        <v>Y</v>
      </c>
      <c r="L3880">
        <v>0</v>
      </c>
      <c r="M3880" t="str">
        <f t="shared" si="973"/>
        <v>NIS</v>
      </c>
      <c r="O3880">
        <v>16</v>
      </c>
      <c r="P3880" t="str">
        <f t="shared" si="974"/>
        <v>Active</v>
      </c>
      <c r="Q3880" t="str">
        <f>"LM5.X Content, JM, Conveyor, Drive and Control"</f>
        <v>LM5.X Content, JM, Conveyor, Drive and Control</v>
      </c>
      <c r="S3880" t="str">
        <f>"LM5.X Content, JM, Conveyor, Drive and Control"</f>
        <v>LM5.X Content, JM, Conveyor, Drive and Control</v>
      </c>
      <c r="T3880">
        <v>0</v>
      </c>
      <c r="U3880">
        <v>5</v>
      </c>
      <c r="V3880">
        <v>5</v>
      </c>
      <c r="W3880" t="str">
        <f t="shared" si="957"/>
        <v>rob</v>
      </c>
    </row>
    <row r="3881" spans="1:23">
      <c r="A3881" t="str">
        <f t="shared" si="975"/>
        <v>PROJ-EMMC-1600</v>
      </c>
      <c r="B3881" t="str">
        <f>"17-ZA03-0000"</f>
        <v>17-ZA03-0000</v>
      </c>
      <c r="C3881" t="str">
        <f>"LM5.X Content, JM, Part Manipulation"</f>
        <v>LM5.X Content, JM, Part Manipulation</v>
      </c>
      <c r="D3881">
        <v>1</v>
      </c>
      <c r="E3881" t="str">
        <f t="shared" si="976"/>
        <v>Projects Station: Industrial Maintenance Cell EMMC 1600 in CIM</v>
      </c>
      <c r="F3881">
        <v>512</v>
      </c>
      <c r="G3881" t="str">
        <f t="shared" si="964"/>
        <v>Y</v>
      </c>
      <c r="H3881" t="str">
        <f t="shared" si="968"/>
        <v>EA</v>
      </c>
      <c r="I3881">
        <v>0</v>
      </c>
      <c r="J3881">
        <v>0</v>
      </c>
      <c r="K3881" t="str">
        <f t="shared" si="965"/>
        <v>Y</v>
      </c>
      <c r="L3881">
        <v>0</v>
      </c>
      <c r="M3881" t="str">
        <f t="shared" si="973"/>
        <v>NIS</v>
      </c>
      <c r="O3881">
        <v>17</v>
      </c>
      <c r="P3881" t="str">
        <f t="shared" si="974"/>
        <v>Active</v>
      </c>
      <c r="Q3881" t="str">
        <f>"LM5.X Content, JM, Part Manipulation"</f>
        <v>LM5.X Content, JM, Part Manipulation</v>
      </c>
      <c r="S3881" t="str">
        <f>"LM5.X Content, JM, Part Manipulation"</f>
        <v>LM5.X Content, JM, Part Manipulation</v>
      </c>
      <c r="T3881">
        <v>0</v>
      </c>
      <c r="U3881">
        <v>5</v>
      </c>
      <c r="V3881">
        <v>5</v>
      </c>
      <c r="W3881" t="str">
        <f t="shared" si="957"/>
        <v>rob</v>
      </c>
    </row>
    <row r="3882" spans="1:23">
      <c r="A3882" t="str">
        <f t="shared" si="975"/>
        <v>PROJ-EMMC-1600</v>
      </c>
      <c r="B3882" t="str">
        <f>"17-ZA04-0000"</f>
        <v>17-ZA04-0000</v>
      </c>
      <c r="C3882" t="str">
        <f>"LM5.X Content, JM, Industrial Lighting"</f>
        <v>LM5.X Content, JM, Industrial Lighting</v>
      </c>
      <c r="D3882">
        <v>1</v>
      </c>
      <c r="E3882" t="str">
        <f t="shared" si="976"/>
        <v>Projects Station: Industrial Maintenance Cell EMMC 1600 in CIM</v>
      </c>
      <c r="F3882">
        <v>512</v>
      </c>
      <c r="G3882" t="str">
        <f t="shared" si="964"/>
        <v>Y</v>
      </c>
      <c r="H3882" t="str">
        <f t="shared" si="968"/>
        <v>EA</v>
      </c>
      <c r="I3882">
        <v>0</v>
      </c>
      <c r="J3882">
        <v>0</v>
      </c>
      <c r="K3882" t="str">
        <f t="shared" si="965"/>
        <v>Y</v>
      </c>
      <c r="L3882">
        <v>0</v>
      </c>
      <c r="M3882" t="str">
        <f t="shared" si="973"/>
        <v>NIS</v>
      </c>
      <c r="O3882">
        <v>18</v>
      </c>
      <c r="P3882" t="str">
        <f t="shared" si="974"/>
        <v>Active</v>
      </c>
      <c r="Q3882" t="str">
        <f>"LM5.X Content, JM, Industrial Lighting"</f>
        <v>LM5.X Content, JM, Industrial Lighting</v>
      </c>
      <c r="S3882" t="str">
        <f>"LM5.X Content, JM, Industrial Lighting"</f>
        <v>LM5.X Content, JM, Industrial Lighting</v>
      </c>
      <c r="T3882">
        <v>0</v>
      </c>
      <c r="U3882">
        <v>5</v>
      </c>
      <c r="V3882">
        <v>5</v>
      </c>
      <c r="W3882" t="str">
        <f t="shared" ref="W3882:W3945" si="977">"rob"</f>
        <v>rob</v>
      </c>
    </row>
    <row r="3883" spans="1:23">
      <c r="A3883" t="str">
        <f t="shared" si="975"/>
        <v>PROJ-EMMC-1600</v>
      </c>
      <c r="B3883" t="str">
        <f>"17-ZA05-0000"</f>
        <v>17-ZA05-0000</v>
      </c>
      <c r="C3883" t="str">
        <f>"LM5.X Content, JM, Variable Frequency Drive"</f>
        <v>LM5.X Content, JM, Variable Frequency Drive</v>
      </c>
      <c r="D3883">
        <v>1</v>
      </c>
      <c r="E3883" t="str">
        <f t="shared" si="976"/>
        <v>Projects Station: Industrial Maintenance Cell EMMC 1600 in CIM</v>
      </c>
      <c r="F3883">
        <v>512</v>
      </c>
      <c r="G3883" t="str">
        <f t="shared" si="964"/>
        <v>Y</v>
      </c>
      <c r="H3883" t="str">
        <f t="shared" si="968"/>
        <v>EA</v>
      </c>
      <c r="I3883">
        <v>0</v>
      </c>
      <c r="J3883">
        <v>0</v>
      </c>
      <c r="K3883" t="str">
        <f t="shared" si="965"/>
        <v>Y</v>
      </c>
      <c r="L3883">
        <v>0</v>
      </c>
      <c r="M3883" t="str">
        <f t="shared" si="973"/>
        <v>NIS</v>
      </c>
      <c r="O3883">
        <v>19</v>
      </c>
      <c r="P3883" t="str">
        <f t="shared" si="974"/>
        <v>Active</v>
      </c>
      <c r="Q3883" t="str">
        <f>"LM5.X Content, JM, Variable Frequency Drive"</f>
        <v>LM5.X Content, JM, Variable Frequency Drive</v>
      </c>
      <c r="S3883" t="str">
        <f>"LM5.X Content, JM, Variable Frequency Drive"</f>
        <v>LM5.X Content, JM, Variable Frequency Drive</v>
      </c>
      <c r="T3883">
        <v>0</v>
      </c>
      <c r="U3883">
        <v>5</v>
      </c>
      <c r="V3883">
        <v>5</v>
      </c>
      <c r="W3883" t="str">
        <f t="shared" si="977"/>
        <v>rob</v>
      </c>
    </row>
    <row r="3884" spans="1:23">
      <c r="A3884" t="str">
        <f t="shared" si="975"/>
        <v>PROJ-EMMC-1600</v>
      </c>
      <c r="B3884" t="str">
        <f>"17-ZA06-0000"</f>
        <v>17-ZA06-0000</v>
      </c>
      <c r="C3884" t="str">
        <f>"LM5.X Content, JM, DC Motor Drive"</f>
        <v>LM5.X Content, JM, DC Motor Drive</v>
      </c>
      <c r="D3884">
        <v>1</v>
      </c>
      <c r="E3884" t="str">
        <f t="shared" si="976"/>
        <v>Projects Station: Industrial Maintenance Cell EMMC 1600 in CIM</v>
      </c>
      <c r="F3884">
        <v>512</v>
      </c>
      <c r="G3884" t="str">
        <f t="shared" si="964"/>
        <v>Y</v>
      </c>
      <c r="H3884" t="str">
        <f t="shared" si="968"/>
        <v>EA</v>
      </c>
      <c r="I3884">
        <v>0</v>
      </c>
      <c r="J3884">
        <v>0</v>
      </c>
      <c r="K3884" t="str">
        <f t="shared" si="965"/>
        <v>Y</v>
      </c>
      <c r="L3884">
        <v>0</v>
      </c>
      <c r="M3884" t="str">
        <f t="shared" si="973"/>
        <v>NIS</v>
      </c>
      <c r="O3884">
        <v>20</v>
      </c>
      <c r="P3884" t="str">
        <f t="shared" si="974"/>
        <v>Active</v>
      </c>
      <c r="Q3884" t="str">
        <f>"LM5.X Content, JM, DC Motor Drive"</f>
        <v>LM5.X Content, JM, DC Motor Drive</v>
      </c>
      <c r="S3884" t="str">
        <f>"LM5.X Content, JM, DC Motor Drive"</f>
        <v>LM5.X Content, JM, DC Motor Drive</v>
      </c>
      <c r="T3884">
        <v>0</v>
      </c>
      <c r="U3884">
        <v>5</v>
      </c>
      <c r="V3884">
        <v>5</v>
      </c>
      <c r="W3884" t="str">
        <f t="shared" si="977"/>
        <v>rob</v>
      </c>
    </row>
    <row r="3885" spans="1:23">
      <c r="A3885" t="str">
        <f t="shared" si="975"/>
        <v>PROJ-EMMC-1600</v>
      </c>
      <c r="B3885" t="str">
        <f>"17-ZA07-0000"</f>
        <v>17-ZA07-0000</v>
      </c>
      <c r="C3885" t="str">
        <f>"LM5.X Content, JM, Fault Insertion System"</f>
        <v>LM5.X Content, JM, Fault Insertion System</v>
      </c>
      <c r="D3885">
        <v>1</v>
      </c>
      <c r="E3885" t="str">
        <f t="shared" si="976"/>
        <v>Projects Station: Industrial Maintenance Cell EMMC 1600 in CIM</v>
      </c>
      <c r="F3885">
        <v>512</v>
      </c>
      <c r="G3885" t="str">
        <f t="shared" si="964"/>
        <v>Y</v>
      </c>
      <c r="H3885" t="str">
        <f t="shared" si="968"/>
        <v>EA</v>
      </c>
      <c r="I3885">
        <v>0</v>
      </c>
      <c r="J3885">
        <v>0</v>
      </c>
      <c r="K3885" t="str">
        <f t="shared" si="965"/>
        <v>Y</v>
      </c>
      <c r="L3885">
        <v>0</v>
      </c>
      <c r="M3885" t="str">
        <f t="shared" si="973"/>
        <v>NIS</v>
      </c>
      <c r="O3885">
        <v>21</v>
      </c>
      <c r="P3885" t="str">
        <f t="shared" si="974"/>
        <v>Active</v>
      </c>
      <c r="Q3885" t="str">
        <f>"LM5.X Content, JM, Fault Insertion System"</f>
        <v>LM5.X Content, JM, Fault Insertion System</v>
      </c>
      <c r="S3885" t="str">
        <f>"LM5.X Content, JM, Fault Insertion System"</f>
        <v>LM5.X Content, JM, Fault Insertion System</v>
      </c>
      <c r="T3885">
        <v>0</v>
      </c>
      <c r="U3885">
        <v>5</v>
      </c>
      <c r="V3885">
        <v>5</v>
      </c>
      <c r="W3885" t="str">
        <f t="shared" si="977"/>
        <v>rob</v>
      </c>
    </row>
    <row r="3886" spans="1:23">
      <c r="A3886" t="str">
        <f t="shared" si="975"/>
        <v>PROJ-EMMC-1600</v>
      </c>
      <c r="B3886" t="str">
        <f>"17-EMMC-0000"</f>
        <v>17-EMMC-0000</v>
      </c>
      <c r="C3886" t="str">
        <f>"LM5.X Content, JM, Instructor's Guide"</f>
        <v>LM5.X Content, JM, Instructor's Guide</v>
      </c>
      <c r="D3886">
        <v>1</v>
      </c>
      <c r="E3886" t="str">
        <f t="shared" si="976"/>
        <v>Projects Station: Industrial Maintenance Cell EMMC 1600 in CIM</v>
      </c>
      <c r="F3886">
        <v>512</v>
      </c>
      <c r="G3886" t="str">
        <f t="shared" si="964"/>
        <v>Y</v>
      </c>
      <c r="H3886" t="str">
        <f t="shared" si="968"/>
        <v>EA</v>
      </c>
      <c r="I3886">
        <v>0</v>
      </c>
      <c r="J3886">
        <v>0</v>
      </c>
      <c r="K3886" t="str">
        <f t="shared" si="965"/>
        <v>Y</v>
      </c>
      <c r="L3886">
        <v>0</v>
      </c>
      <c r="M3886" t="str">
        <f t="shared" si="973"/>
        <v>NIS</v>
      </c>
      <c r="O3886">
        <v>22</v>
      </c>
      <c r="P3886" t="str">
        <f t="shared" si="974"/>
        <v>Active</v>
      </c>
      <c r="Q3886" t="str">
        <f>"LM5.X Content, JM, Instructor's Guide"</f>
        <v>LM5.X Content, JM, Instructor's Guide</v>
      </c>
      <c r="S3886" t="str">
        <f>"LM5.X Content, JM, Instructor's Guide"</f>
        <v>LM5.X Content, JM, Instructor's Guide</v>
      </c>
      <c r="T3886">
        <v>0</v>
      </c>
      <c r="U3886">
        <v>5</v>
      </c>
      <c r="V3886">
        <v>9.5</v>
      </c>
      <c r="W3886" t="str">
        <f t="shared" si="977"/>
        <v>rob</v>
      </c>
    </row>
    <row r="3887" spans="1:23">
      <c r="A3887" t="str">
        <f t="shared" si="975"/>
        <v>PROJ-EMMC-1600</v>
      </c>
      <c r="B3887" t="str">
        <f>"50-0094-0000"</f>
        <v>50-0094-0000</v>
      </c>
      <c r="C3887" t="str">
        <f>"Pre-Engineering, Design and Testing"</f>
        <v>Pre-Engineering, Design and Testing</v>
      </c>
      <c r="D3887">
        <v>1</v>
      </c>
      <c r="E3887" t="str">
        <f t="shared" si="976"/>
        <v>Projects Station: Industrial Maintenance Cell EMMC 1600 in CIM</v>
      </c>
      <c r="F3887">
        <v>512</v>
      </c>
      <c r="G3887" t="str">
        <f t="shared" si="964"/>
        <v>Y</v>
      </c>
      <c r="H3887" t="str">
        <f>"DA"</f>
        <v>DA</v>
      </c>
      <c r="I3887">
        <v>0</v>
      </c>
      <c r="J3887">
        <v>0</v>
      </c>
      <c r="K3887" t="str">
        <f t="shared" si="965"/>
        <v>Y</v>
      </c>
      <c r="L3887">
        <v>0</v>
      </c>
      <c r="M3887" t="str">
        <f t="shared" si="973"/>
        <v>NIS</v>
      </c>
      <c r="O3887">
        <v>23</v>
      </c>
      <c r="P3887" t="str">
        <f t="shared" si="974"/>
        <v>Active</v>
      </c>
      <c r="Q3887" t="str">
        <f>"Pre-Engineering, Design and Testing"</f>
        <v>Pre-Engineering, Design and Testing</v>
      </c>
      <c r="S3887" t="str">
        <f>"Pre-Engineering, Design and Testing"</f>
        <v>Pre-Engineering, Design and Testing</v>
      </c>
      <c r="T3887">
        <v>0</v>
      </c>
      <c r="U3887">
        <v>405</v>
      </c>
      <c r="V3887">
        <v>421.2</v>
      </c>
      <c r="W3887" t="str">
        <f t="shared" si="977"/>
        <v>rob</v>
      </c>
    </row>
    <row r="3888" spans="1:23">
      <c r="A3888" t="str">
        <f t="shared" si="975"/>
        <v>PROJ-EMMC-1600</v>
      </c>
      <c r="B3888" t="str">
        <f>"50-0095-0000"</f>
        <v>50-0095-0000</v>
      </c>
      <c r="C3888" t="str">
        <f>"Installation at Customer Site"</f>
        <v>Installation at Customer Site</v>
      </c>
      <c r="D3888">
        <v>10</v>
      </c>
      <c r="E3888" t="str">
        <f t="shared" si="976"/>
        <v>Projects Station: Industrial Maintenance Cell EMMC 1600 in CIM</v>
      </c>
      <c r="F3888">
        <v>512</v>
      </c>
      <c r="G3888" t="str">
        <f t="shared" si="964"/>
        <v>Y</v>
      </c>
      <c r="H3888" t="str">
        <f>"DA"</f>
        <v>DA</v>
      </c>
      <c r="I3888">
        <v>0</v>
      </c>
      <c r="J3888">
        <v>0</v>
      </c>
      <c r="K3888" t="str">
        <f t="shared" si="965"/>
        <v>Y</v>
      </c>
      <c r="L3888">
        <v>0</v>
      </c>
      <c r="M3888" t="str">
        <f t="shared" si="973"/>
        <v>NIS</v>
      </c>
      <c r="O3888">
        <v>24</v>
      </c>
      <c r="P3888" t="str">
        <f t="shared" si="974"/>
        <v>Active</v>
      </c>
      <c r="Q3888" t="str">
        <f>"Installation at Customer Site (Days)"</f>
        <v>Installation at Customer Site (Days)</v>
      </c>
      <c r="S3888" t="str">
        <f>"Installation at Customer Site (Days)"</f>
        <v>Installation at Customer Site (Days)</v>
      </c>
      <c r="T3888">
        <v>0</v>
      </c>
      <c r="U3888">
        <v>864</v>
      </c>
      <c r="V3888">
        <v>898.56</v>
      </c>
      <c r="W3888" t="str">
        <f t="shared" si="977"/>
        <v>rob</v>
      </c>
    </row>
    <row r="3889" spans="1:23">
      <c r="A3889" t="str">
        <f t="shared" ref="A3889:A3899" si="978">"PROJ-ER14P-BASE"</f>
        <v>PROJ-ER14P-BASE</v>
      </c>
      <c r="B3889" t="str">
        <f>"00-0432-0000"</f>
        <v>00-0432-0000</v>
      </c>
      <c r="C3889" t="str">
        <f>"SCORA-ER 14Pro"</f>
        <v>SCORA-ER 14Pro</v>
      </c>
      <c r="D3889">
        <v>1</v>
      </c>
      <c r="E3889" t="str">
        <f t="shared" ref="E3889:E3899" si="979">"Projects Station: SCORA-ER14Pro Base"</f>
        <v>Projects Station: SCORA-ER14Pro Base</v>
      </c>
      <c r="F3889">
        <v>512</v>
      </c>
      <c r="G3889" t="str">
        <f t="shared" si="964"/>
        <v>Y</v>
      </c>
      <c r="H3889" t="str">
        <f t="shared" ref="H3889:H3898" si="980">"EA"</f>
        <v>EA</v>
      </c>
      <c r="I3889">
        <v>0</v>
      </c>
      <c r="J3889">
        <v>0</v>
      </c>
      <c r="K3889" t="str">
        <f t="shared" si="965"/>
        <v>Y</v>
      </c>
      <c r="L3889">
        <v>0</v>
      </c>
      <c r="M3889" t="str">
        <f t="shared" si="973"/>
        <v>NIS</v>
      </c>
      <c r="O3889">
        <v>1</v>
      </c>
      <c r="P3889" t="str">
        <f t="shared" si="974"/>
        <v>Active</v>
      </c>
      <c r="Q3889" t="str">
        <f>"SCORA-ER 14Pro (incl. USB-Pro Controller)"</f>
        <v>SCORA-ER 14Pro (incl. USB-Pro Controller)</v>
      </c>
      <c r="S3889" t="str">
        <f>"SCORA-ER 14Pro (incl. USB-Pro Controller)"</f>
        <v>SCORA-ER 14Pro (incl. USB-Pro Controller)</v>
      </c>
      <c r="T3889">
        <v>0</v>
      </c>
      <c r="U3889" s="44">
        <v>11400</v>
      </c>
      <c r="V3889" s="44">
        <v>12383.77</v>
      </c>
      <c r="W3889" t="str">
        <f t="shared" si="977"/>
        <v>rob</v>
      </c>
    </row>
    <row r="3890" spans="1:23">
      <c r="A3890" t="str">
        <f t="shared" si="978"/>
        <v>PROJ-ER14P-BASE</v>
      </c>
      <c r="B3890" t="str">
        <f>"00-0634-0000"</f>
        <v>00-0634-0000</v>
      </c>
      <c r="C3890" t="str">
        <f>"Pneumatic Gripper for ER 14Pro"</f>
        <v>Pneumatic Gripper for ER 14Pro</v>
      </c>
      <c r="D3890">
        <v>1</v>
      </c>
      <c r="E3890" t="str">
        <f t="shared" si="979"/>
        <v>Projects Station: SCORA-ER14Pro Base</v>
      </c>
      <c r="F3890">
        <v>512</v>
      </c>
      <c r="G3890" t="str">
        <f t="shared" si="964"/>
        <v>Y</v>
      </c>
      <c r="H3890" t="str">
        <f t="shared" si="980"/>
        <v>EA</v>
      </c>
      <c r="I3890">
        <v>0</v>
      </c>
      <c r="J3890">
        <v>0</v>
      </c>
      <c r="K3890" t="str">
        <f t="shared" si="965"/>
        <v>Y</v>
      </c>
      <c r="L3890">
        <v>0</v>
      </c>
      <c r="M3890" t="str">
        <f t="shared" si="973"/>
        <v>NIS</v>
      </c>
      <c r="O3890">
        <v>2</v>
      </c>
      <c r="P3890" t="str">
        <f t="shared" si="974"/>
        <v>Active</v>
      </c>
      <c r="Q3890" t="str">
        <f>"Pneumatic Gripper for ER 14Pro"</f>
        <v>Pneumatic Gripper for ER 14Pro</v>
      </c>
      <c r="S3890" t="str">
        <f>"Pneumatic Gripper for ER 14Pro"</f>
        <v>Pneumatic Gripper for ER 14Pro</v>
      </c>
      <c r="T3890">
        <v>0</v>
      </c>
      <c r="U3890">
        <v>651</v>
      </c>
      <c r="V3890">
        <v>647.6</v>
      </c>
      <c r="W3890" t="str">
        <f t="shared" si="977"/>
        <v>rob</v>
      </c>
    </row>
    <row r="3891" spans="1:23">
      <c r="A3891" t="str">
        <f t="shared" si="978"/>
        <v>PROJ-ER14P-BASE</v>
      </c>
      <c r="B3891" t="str">
        <f>"00-1710-0000"</f>
        <v>00-1710-0000</v>
      </c>
      <c r="C3891" t="str">
        <f>"Teach Pendant"</f>
        <v>Teach Pendant</v>
      </c>
      <c r="D3891">
        <v>1</v>
      </c>
      <c r="E3891" t="str">
        <f t="shared" si="979"/>
        <v>Projects Station: SCORA-ER14Pro Base</v>
      </c>
      <c r="F3891">
        <v>512</v>
      </c>
      <c r="G3891" t="str">
        <f t="shared" si="964"/>
        <v>Y</v>
      </c>
      <c r="H3891" t="str">
        <f t="shared" si="980"/>
        <v>EA</v>
      </c>
      <c r="I3891">
        <v>0</v>
      </c>
      <c r="J3891">
        <v>0</v>
      </c>
      <c r="K3891" t="str">
        <f t="shared" si="965"/>
        <v>Y</v>
      </c>
      <c r="L3891">
        <v>0</v>
      </c>
      <c r="M3891" t="str">
        <f t="shared" si="973"/>
        <v>NIS</v>
      </c>
      <c r="O3891">
        <v>3</v>
      </c>
      <c r="P3891" t="str">
        <f t="shared" si="974"/>
        <v>Active</v>
      </c>
      <c r="Q3891" t="str">
        <f>"Teach Pendant for USB/USB Pro Controllers"</f>
        <v>Teach Pendant for USB/USB Pro Controllers</v>
      </c>
      <c r="S3891" t="str">
        <f>"Teach Pendant for USB/USB Pro Controllers"</f>
        <v>Teach Pendant for USB/USB Pro Controllers</v>
      </c>
      <c r="T3891">
        <v>0</v>
      </c>
      <c r="U3891">
        <v>160.18</v>
      </c>
      <c r="V3891">
        <v>161.44999999999999</v>
      </c>
      <c r="W3891" t="str">
        <f t="shared" si="977"/>
        <v>rob</v>
      </c>
    </row>
    <row r="3892" spans="1:23">
      <c r="A3892" t="str">
        <f t="shared" si="978"/>
        <v>PROJ-ER14P-BASE</v>
      </c>
      <c r="B3892" t="str">
        <f>"034025"</f>
        <v>034025</v>
      </c>
      <c r="C3892" t="str">
        <f>"I/O Interface Box for Controller USB-PRO"</f>
        <v>I/O Interface Box for Controller USB-PRO</v>
      </c>
      <c r="D3892">
        <v>1</v>
      </c>
      <c r="E3892" t="str">
        <f t="shared" si="979"/>
        <v>Projects Station: SCORA-ER14Pro Base</v>
      </c>
      <c r="F3892">
        <v>512</v>
      </c>
      <c r="G3892" t="str">
        <f t="shared" si="964"/>
        <v>Y</v>
      </c>
      <c r="H3892" t="str">
        <f t="shared" si="980"/>
        <v>EA</v>
      </c>
      <c r="I3892">
        <v>0</v>
      </c>
      <c r="J3892">
        <v>0</v>
      </c>
      <c r="K3892" t="str">
        <f t="shared" si="965"/>
        <v>Y</v>
      </c>
      <c r="L3892">
        <v>0</v>
      </c>
      <c r="M3892" t="str">
        <f t="shared" si="973"/>
        <v>NIS</v>
      </c>
      <c r="O3892">
        <v>4</v>
      </c>
      <c r="P3892" t="str">
        <f t="shared" si="974"/>
        <v>Active</v>
      </c>
      <c r="Q3892" t="str">
        <f>"I/O Interface Box for Controller USB-PRO"</f>
        <v>I/O Interface Box for Controller USB-PRO</v>
      </c>
      <c r="S3892" t="str">
        <f>"קופסת 2+Interface Box I/O כבלים לבקר USBPRO"</f>
        <v>קופסת 2+Interface Box I/O כבלים לבקר USBPRO</v>
      </c>
      <c r="T3892">
        <v>0</v>
      </c>
      <c r="U3892">
        <v>470</v>
      </c>
      <c r="V3892">
        <v>463.62</v>
      </c>
      <c r="W3892" t="str">
        <f t="shared" si="977"/>
        <v>rob</v>
      </c>
    </row>
    <row r="3893" spans="1:23">
      <c r="A3893" t="str">
        <f t="shared" si="978"/>
        <v>PROJ-ER14P-BASE</v>
      </c>
      <c r="B3893" t="str">
        <f>"10-2104-9000"</f>
        <v>10-2104-9000</v>
      </c>
      <c r="C3893" t="str">
        <f>"Single Buffer for Slotted Table"</f>
        <v>Single Buffer for Slotted Table</v>
      </c>
      <c r="D3893">
        <v>3</v>
      </c>
      <c r="E3893" t="str">
        <f t="shared" si="979"/>
        <v>Projects Station: SCORA-ER14Pro Base</v>
      </c>
      <c r="F3893">
        <v>512</v>
      </c>
      <c r="G3893" t="str">
        <f t="shared" si="964"/>
        <v>Y</v>
      </c>
      <c r="H3893" t="str">
        <f t="shared" si="980"/>
        <v>EA</v>
      </c>
      <c r="I3893">
        <v>0</v>
      </c>
      <c r="J3893">
        <v>0</v>
      </c>
      <c r="K3893" t="str">
        <f t="shared" si="965"/>
        <v>Y</v>
      </c>
      <c r="L3893">
        <v>0</v>
      </c>
      <c r="M3893" t="str">
        <f t="shared" si="973"/>
        <v>NIS</v>
      </c>
      <c r="O3893">
        <v>5</v>
      </c>
      <c r="P3893" t="str">
        <f t="shared" si="974"/>
        <v>Active</v>
      </c>
      <c r="Q3893" t="str">
        <f>"Single Buffer for Slotted Table(+height adapter)"</f>
        <v>Single Buffer for Slotted Table(+height adapter)</v>
      </c>
      <c r="S3893" t="str">
        <f>"Single Buffer for Slotted Table(+height adapter)"</f>
        <v>Single Buffer for Slotted Table(+height adapter)</v>
      </c>
      <c r="T3893">
        <v>0</v>
      </c>
      <c r="U3893">
        <v>26</v>
      </c>
      <c r="V3893">
        <v>25.49</v>
      </c>
      <c r="W3893" t="str">
        <f t="shared" si="977"/>
        <v>rob</v>
      </c>
    </row>
    <row r="3894" spans="1:23">
      <c r="A3894" t="str">
        <f t="shared" si="978"/>
        <v>PROJ-ER14P-BASE</v>
      </c>
      <c r="B3894" t="str">
        <f>"00-1110-0000"</f>
        <v>00-1110-0000</v>
      </c>
      <c r="C3894" t="str">
        <f>"Palletizing Rack"</f>
        <v>Palletizing Rack</v>
      </c>
      <c r="D3894">
        <v>2</v>
      </c>
      <c r="E3894" t="str">
        <f t="shared" si="979"/>
        <v>Projects Station: SCORA-ER14Pro Base</v>
      </c>
      <c r="F3894">
        <v>512</v>
      </c>
      <c r="G3894" t="str">
        <f t="shared" si="964"/>
        <v>Y</v>
      </c>
      <c r="H3894" t="str">
        <f t="shared" si="980"/>
        <v>EA</v>
      </c>
      <c r="I3894">
        <v>0</v>
      </c>
      <c r="J3894">
        <v>0</v>
      </c>
      <c r="K3894" t="str">
        <f t="shared" si="965"/>
        <v>Y</v>
      </c>
      <c r="L3894">
        <v>0</v>
      </c>
      <c r="M3894" t="str">
        <f t="shared" si="973"/>
        <v>NIS</v>
      </c>
      <c r="O3894">
        <v>6</v>
      </c>
      <c r="P3894" t="str">
        <f t="shared" si="974"/>
        <v>Active</v>
      </c>
      <c r="Q3894" t="str">
        <f>"Palletizing Rack (incl. Pins for creating Jigs)"</f>
        <v>Palletizing Rack (incl. Pins for creating Jigs)</v>
      </c>
      <c r="S3894" t="str">
        <f>"Palletizing Rack (incl. Pins for creating Jigs)"</f>
        <v>Palletizing Rack (incl. Pins for creating Jigs)</v>
      </c>
      <c r="T3894">
        <v>0</v>
      </c>
      <c r="U3894">
        <v>63</v>
      </c>
      <c r="V3894">
        <v>58.59</v>
      </c>
      <c r="W3894" t="str">
        <f t="shared" si="977"/>
        <v>rob</v>
      </c>
    </row>
    <row r="3895" spans="1:23">
      <c r="A3895" t="str">
        <f t="shared" si="978"/>
        <v>PROJ-ER14P-BASE</v>
      </c>
      <c r="B3895" t="str">
        <f>"021172"</f>
        <v>021172</v>
      </c>
      <c r="C3895" t="str">
        <f>"30mm Height Adapter -Rack 001110 on table 001249"</f>
        <v>30mm Height Adapter -Rack 001110 on table 001249</v>
      </c>
      <c r="D3895">
        <v>2</v>
      </c>
      <c r="E3895" t="str">
        <f t="shared" si="979"/>
        <v>Projects Station: SCORA-ER14Pro Base</v>
      </c>
      <c r="F3895">
        <v>512</v>
      </c>
      <c r="G3895" t="str">
        <f t="shared" si="964"/>
        <v>Y</v>
      </c>
      <c r="H3895" t="str">
        <f t="shared" si="980"/>
        <v>EA</v>
      </c>
      <c r="I3895">
        <v>0</v>
      </c>
      <c r="J3895">
        <v>0</v>
      </c>
      <c r="K3895" t="str">
        <f t="shared" si="965"/>
        <v>Y</v>
      </c>
      <c r="L3895">
        <v>0</v>
      </c>
      <c r="M3895" t="str">
        <f t="shared" si="973"/>
        <v>NIS</v>
      </c>
      <c r="O3895">
        <v>7</v>
      </c>
      <c r="P3895" t="str">
        <f t="shared" si="974"/>
        <v>Active</v>
      </c>
      <c r="Q3895" t="str">
        <f>"30mm Height Adapter -Rack 001110 on table 001249"</f>
        <v>30mm Height Adapter -Rack 001110 on table 001249</v>
      </c>
      <c r="S3895" t="str">
        <f>"30mm Height Adapter -Rack 001110 on table 001249"</f>
        <v>30mm Height Adapter -Rack 001110 on table 001249</v>
      </c>
      <c r="T3895">
        <v>0</v>
      </c>
      <c r="U3895">
        <v>13.12</v>
      </c>
      <c r="V3895">
        <v>13.44</v>
      </c>
      <c r="W3895" t="str">
        <f t="shared" si="977"/>
        <v>rob</v>
      </c>
    </row>
    <row r="3896" spans="1:23">
      <c r="A3896" t="str">
        <f t="shared" si="978"/>
        <v>PROJ-ER14P-BASE</v>
      </c>
      <c r="B3896" t="str">
        <f>"00-1249-0000"</f>
        <v>00-1249-0000</v>
      </c>
      <c r="C3896" t="str">
        <f>"Workbench 1500x800mm (slotted aluminum top)"</f>
        <v>Workbench 1500x800mm (slotted aluminum top)</v>
      </c>
      <c r="D3896">
        <v>1</v>
      </c>
      <c r="E3896" t="str">
        <f t="shared" si="979"/>
        <v>Projects Station: SCORA-ER14Pro Base</v>
      </c>
      <c r="F3896">
        <v>512</v>
      </c>
      <c r="G3896" t="str">
        <f t="shared" si="964"/>
        <v>Y</v>
      </c>
      <c r="H3896" t="str">
        <f t="shared" si="980"/>
        <v>EA</v>
      </c>
      <c r="I3896">
        <v>0</v>
      </c>
      <c r="J3896">
        <v>0</v>
      </c>
      <c r="K3896" t="str">
        <f t="shared" si="965"/>
        <v>Y</v>
      </c>
      <c r="L3896">
        <v>0</v>
      </c>
      <c r="M3896" t="str">
        <f t="shared" si="973"/>
        <v>NIS</v>
      </c>
      <c r="O3896">
        <v>8</v>
      </c>
      <c r="P3896" t="str">
        <f t="shared" si="974"/>
        <v>Active</v>
      </c>
      <c r="Q3896" t="str">
        <f>"Workbench 1500x800mm (slotted aluminum top)"</f>
        <v>Workbench 1500x800mm (slotted aluminum top)</v>
      </c>
      <c r="S3896" t="str">
        <f>"Workbench 1500x800mm (slotted aluminum top)"</f>
        <v>Workbench 1500x800mm (slotted aluminum top)</v>
      </c>
      <c r="T3896">
        <v>0</v>
      </c>
      <c r="U3896" s="44">
        <v>1100</v>
      </c>
      <c r="V3896" s="44">
        <v>1083.57</v>
      </c>
      <c r="W3896" t="str">
        <f t="shared" si="977"/>
        <v>rob</v>
      </c>
    </row>
    <row r="3897" spans="1:23">
      <c r="A3897" t="str">
        <f t="shared" si="978"/>
        <v>PROJ-ER14P-BASE</v>
      </c>
      <c r="B3897" t="str">
        <f>"00-1241-0000"</f>
        <v>00-1241-0000</v>
      </c>
      <c r="C3897" t="str">
        <f>"Adapter Mounting Plate for ER9/14Pro &amp; HP3"</f>
        <v>Adapter Mounting Plate for ER9/14Pro &amp; HP3</v>
      </c>
      <c r="D3897">
        <v>1</v>
      </c>
      <c r="E3897" t="str">
        <f t="shared" si="979"/>
        <v>Projects Station: SCORA-ER14Pro Base</v>
      </c>
      <c r="F3897">
        <v>512</v>
      </c>
      <c r="G3897" t="str">
        <f t="shared" si="964"/>
        <v>Y</v>
      </c>
      <c r="H3897" t="str">
        <f t="shared" si="980"/>
        <v>EA</v>
      </c>
      <c r="I3897">
        <v>0</v>
      </c>
      <c r="J3897">
        <v>0</v>
      </c>
      <c r="K3897" t="str">
        <f t="shared" si="965"/>
        <v>Y</v>
      </c>
      <c r="L3897">
        <v>0</v>
      </c>
      <c r="M3897" t="str">
        <f t="shared" si="973"/>
        <v>NIS</v>
      </c>
      <c r="O3897">
        <v>9</v>
      </c>
      <c r="P3897" t="str">
        <f t="shared" si="974"/>
        <v>Active</v>
      </c>
      <c r="Q3897" t="str">
        <f>"Adapter Mounting Plate for ER9/14Pro &amp; HP3"</f>
        <v>Adapter Mounting Plate for ER9/14Pro &amp; HP3</v>
      </c>
      <c r="S3897" t="str">
        <f>"Adapter Mounting Plate for ER9/14Pro &amp; HP3"</f>
        <v>Adapter Mounting Plate for ER9/14Pro &amp; HP3</v>
      </c>
      <c r="T3897">
        <v>0</v>
      </c>
      <c r="U3897">
        <v>145</v>
      </c>
      <c r="V3897">
        <v>153.93</v>
      </c>
      <c r="W3897" t="str">
        <f t="shared" si="977"/>
        <v>rob</v>
      </c>
    </row>
    <row r="3898" spans="1:23">
      <c r="A3898" t="str">
        <f t="shared" si="978"/>
        <v>PROJ-ER14P-BASE</v>
      </c>
      <c r="B3898" t="str">
        <f>"00-1260-0000"</f>
        <v>00-1260-0000</v>
      </c>
      <c r="C3898" t="str">
        <f>"PC Extension Shelf  600x800mm"</f>
        <v>PC Extension Shelf  600x800mm</v>
      </c>
      <c r="D3898">
        <v>1</v>
      </c>
      <c r="E3898" t="str">
        <f t="shared" si="979"/>
        <v>Projects Station: SCORA-ER14Pro Base</v>
      </c>
      <c r="F3898">
        <v>512</v>
      </c>
      <c r="G3898" t="str">
        <f t="shared" si="964"/>
        <v>Y</v>
      </c>
      <c r="H3898" t="str">
        <f t="shared" si="980"/>
        <v>EA</v>
      </c>
      <c r="I3898">
        <v>0</v>
      </c>
      <c r="J3898">
        <v>0</v>
      </c>
      <c r="K3898" t="str">
        <f t="shared" si="965"/>
        <v>Y</v>
      </c>
      <c r="L3898">
        <v>0</v>
      </c>
      <c r="M3898" t="str">
        <f t="shared" si="973"/>
        <v>NIS</v>
      </c>
      <c r="O3898">
        <v>10</v>
      </c>
      <c r="P3898" t="str">
        <f t="shared" si="974"/>
        <v>Active</v>
      </c>
      <c r="Q3898" t="str">
        <f>"PC Extension Shelf  600x800mm"</f>
        <v>PC Extension Shelf  600x800mm</v>
      </c>
      <c r="S3898" t="str">
        <f>"PC Extension Shelf  600x800mm"</f>
        <v>PC Extension Shelf  600x800mm</v>
      </c>
      <c r="T3898">
        <v>0</v>
      </c>
      <c r="U3898">
        <v>192</v>
      </c>
      <c r="V3898">
        <v>195.4</v>
      </c>
      <c r="W3898" t="str">
        <f t="shared" si="977"/>
        <v>rob</v>
      </c>
    </row>
    <row r="3899" spans="1:23">
      <c r="A3899" t="str">
        <f t="shared" si="978"/>
        <v>PROJ-ER14P-BASE</v>
      </c>
      <c r="B3899" t="str">
        <f>"50-0094-0000"</f>
        <v>50-0094-0000</v>
      </c>
      <c r="C3899" t="str">
        <f>"Pre-Engineering, Design and Testing"</f>
        <v>Pre-Engineering, Design and Testing</v>
      </c>
      <c r="D3899">
        <v>1</v>
      </c>
      <c r="E3899" t="str">
        <f t="shared" si="979"/>
        <v>Projects Station: SCORA-ER14Pro Base</v>
      </c>
      <c r="F3899">
        <v>512</v>
      </c>
      <c r="G3899" t="str">
        <f t="shared" si="964"/>
        <v>Y</v>
      </c>
      <c r="H3899" t="str">
        <f>"DA"</f>
        <v>DA</v>
      </c>
      <c r="I3899">
        <v>0</v>
      </c>
      <c r="J3899">
        <v>0</v>
      </c>
      <c r="K3899" t="str">
        <f t="shared" si="965"/>
        <v>Y</v>
      </c>
      <c r="L3899">
        <v>0</v>
      </c>
      <c r="M3899" t="str">
        <f t="shared" si="973"/>
        <v>NIS</v>
      </c>
      <c r="O3899">
        <v>11</v>
      </c>
      <c r="P3899" t="str">
        <f t="shared" si="974"/>
        <v>Active</v>
      </c>
      <c r="Q3899" t="str">
        <f>"Pre-Engineering, Design and Testing"</f>
        <v>Pre-Engineering, Design and Testing</v>
      </c>
      <c r="S3899" t="str">
        <f>"Pre-Engineering, Design and Testing"</f>
        <v>Pre-Engineering, Design and Testing</v>
      </c>
      <c r="T3899">
        <v>0</v>
      </c>
      <c r="U3899">
        <v>405</v>
      </c>
      <c r="V3899">
        <v>421.2</v>
      </c>
      <c r="W3899" t="str">
        <f t="shared" si="977"/>
        <v>rob</v>
      </c>
    </row>
    <row r="3900" spans="1:23">
      <c r="A3900" t="str">
        <f t="shared" ref="A3900:A3911" si="981">"PROJ-ER9P-BASE"</f>
        <v>PROJ-ER9P-BASE</v>
      </c>
      <c r="B3900" t="str">
        <f>"00-0430-0000"</f>
        <v>00-0430-0000</v>
      </c>
      <c r="C3900" t="str">
        <f>"SCORBOT-ER9Pro"</f>
        <v>SCORBOT-ER9Pro</v>
      </c>
      <c r="D3900">
        <v>1</v>
      </c>
      <c r="E3900" t="str">
        <f t="shared" ref="E3900:E3911" si="982">"Projects Station: Scorbot-ER9Pro Robot"</f>
        <v>Projects Station: Scorbot-ER9Pro Robot</v>
      </c>
      <c r="F3900">
        <v>512</v>
      </c>
      <c r="G3900" t="str">
        <f t="shared" si="964"/>
        <v>Y</v>
      </c>
      <c r="H3900" t="str">
        <f t="shared" ref="H3900:H3910" si="983">"EA"</f>
        <v>EA</v>
      </c>
      <c r="I3900">
        <v>0</v>
      </c>
      <c r="J3900">
        <v>0</v>
      </c>
      <c r="K3900" t="str">
        <f t="shared" si="965"/>
        <v>Y</v>
      </c>
      <c r="L3900">
        <v>0</v>
      </c>
      <c r="M3900" t="str">
        <f t="shared" si="973"/>
        <v>NIS</v>
      </c>
      <c r="O3900">
        <v>1</v>
      </c>
      <c r="P3900" t="str">
        <f t="shared" si="974"/>
        <v>Active</v>
      </c>
      <c r="Q3900" t="str">
        <f>"SCORBOT-ER 9Pro (incl. USB-Pro Controller)"</f>
        <v>SCORBOT-ER 9Pro (incl. USB-Pro Controller)</v>
      </c>
      <c r="S3900" t="str">
        <f>"SCORBOT-ER 9Pro (incl. USB-Pro Controller)"</f>
        <v>SCORBOT-ER 9Pro (incl. USB-Pro Controller)</v>
      </c>
      <c r="T3900">
        <v>0</v>
      </c>
      <c r="U3900" s="44">
        <v>10900</v>
      </c>
      <c r="V3900" s="44">
        <v>11661.57</v>
      </c>
      <c r="W3900" t="str">
        <f t="shared" si="977"/>
        <v>rob</v>
      </c>
    </row>
    <row r="3901" spans="1:23">
      <c r="A3901" t="str">
        <f t="shared" si="981"/>
        <v>PROJ-ER9P-BASE</v>
      </c>
      <c r="B3901" t="str">
        <f>"00-0633-0000"</f>
        <v>00-0633-0000</v>
      </c>
      <c r="C3901" t="str">
        <f>"Pneumatic Gripper for ER9-Pro"</f>
        <v>Pneumatic Gripper for ER9-Pro</v>
      </c>
      <c r="D3901">
        <v>1</v>
      </c>
      <c r="E3901" t="str">
        <f t="shared" si="982"/>
        <v>Projects Station: Scorbot-ER9Pro Robot</v>
      </c>
      <c r="F3901">
        <v>512</v>
      </c>
      <c r="G3901" t="str">
        <f t="shared" si="964"/>
        <v>Y</v>
      </c>
      <c r="H3901" t="str">
        <f t="shared" si="983"/>
        <v>EA</v>
      </c>
      <c r="I3901">
        <v>0</v>
      </c>
      <c r="J3901">
        <v>0</v>
      </c>
      <c r="K3901" t="str">
        <f t="shared" si="965"/>
        <v>Y</v>
      </c>
      <c r="L3901">
        <v>0</v>
      </c>
      <c r="M3901" t="str">
        <f t="shared" si="973"/>
        <v>NIS</v>
      </c>
      <c r="O3901">
        <v>2</v>
      </c>
      <c r="P3901" t="str">
        <f t="shared" si="974"/>
        <v>Active</v>
      </c>
      <c r="Q3901" t="str">
        <f>"Pneumatic Gripper for ER 9Pro"</f>
        <v>Pneumatic Gripper for ER 9Pro</v>
      </c>
      <c r="S3901" t="str">
        <f>"Pneumatic Gripper for ER9-Pro"</f>
        <v>Pneumatic Gripper for ER9-Pro</v>
      </c>
      <c r="T3901">
        <v>0</v>
      </c>
      <c r="U3901">
        <v>630</v>
      </c>
      <c r="V3901">
        <v>624.72</v>
      </c>
      <c r="W3901" t="str">
        <f t="shared" si="977"/>
        <v>rob</v>
      </c>
    </row>
    <row r="3902" spans="1:23">
      <c r="A3902" t="str">
        <f t="shared" si="981"/>
        <v>PROJ-ER9P-BASE</v>
      </c>
      <c r="B3902" t="str">
        <f>"00-1710-0000"</f>
        <v>00-1710-0000</v>
      </c>
      <c r="C3902" t="str">
        <f>"Teach Pendant"</f>
        <v>Teach Pendant</v>
      </c>
      <c r="D3902">
        <v>1</v>
      </c>
      <c r="E3902" t="str">
        <f t="shared" si="982"/>
        <v>Projects Station: Scorbot-ER9Pro Robot</v>
      </c>
      <c r="F3902">
        <v>512</v>
      </c>
      <c r="G3902" t="str">
        <f t="shared" si="964"/>
        <v>Y</v>
      </c>
      <c r="H3902" t="str">
        <f t="shared" si="983"/>
        <v>EA</v>
      </c>
      <c r="I3902">
        <v>0</v>
      </c>
      <c r="J3902">
        <v>0</v>
      </c>
      <c r="K3902" t="str">
        <f t="shared" si="965"/>
        <v>Y</v>
      </c>
      <c r="L3902">
        <v>0</v>
      </c>
      <c r="M3902" t="str">
        <f t="shared" si="973"/>
        <v>NIS</v>
      </c>
      <c r="O3902">
        <v>3</v>
      </c>
      <c r="P3902" t="str">
        <f t="shared" si="974"/>
        <v>Active</v>
      </c>
      <c r="Q3902" t="str">
        <f>"Teach Pendant for USB/USB Pro Controllers"</f>
        <v>Teach Pendant for USB/USB Pro Controllers</v>
      </c>
      <c r="S3902" t="str">
        <f>"Teach Pendant for USB/USB Pro Controllers"</f>
        <v>Teach Pendant for USB/USB Pro Controllers</v>
      </c>
      <c r="T3902">
        <v>0</v>
      </c>
      <c r="U3902">
        <v>160.18</v>
      </c>
      <c r="V3902">
        <v>161.44999999999999</v>
      </c>
      <c r="W3902" t="str">
        <f t="shared" si="977"/>
        <v>rob</v>
      </c>
    </row>
    <row r="3903" spans="1:23">
      <c r="A3903" t="str">
        <f t="shared" si="981"/>
        <v>PROJ-ER9P-BASE</v>
      </c>
      <c r="B3903" t="str">
        <f>"034025"</f>
        <v>034025</v>
      </c>
      <c r="C3903" t="str">
        <f>"I/O Interface Box for Controller USB-PRO"</f>
        <v>I/O Interface Box for Controller USB-PRO</v>
      </c>
      <c r="D3903">
        <v>1</v>
      </c>
      <c r="E3903" t="str">
        <f t="shared" si="982"/>
        <v>Projects Station: Scorbot-ER9Pro Robot</v>
      </c>
      <c r="F3903">
        <v>512</v>
      </c>
      <c r="G3903" t="str">
        <f t="shared" si="964"/>
        <v>Y</v>
      </c>
      <c r="H3903" t="str">
        <f t="shared" si="983"/>
        <v>EA</v>
      </c>
      <c r="I3903">
        <v>0</v>
      </c>
      <c r="J3903">
        <v>0</v>
      </c>
      <c r="K3903" t="str">
        <f t="shared" si="965"/>
        <v>Y</v>
      </c>
      <c r="L3903">
        <v>0</v>
      </c>
      <c r="M3903" t="str">
        <f t="shared" si="973"/>
        <v>NIS</v>
      </c>
      <c r="O3903">
        <v>4</v>
      </c>
      <c r="P3903" t="str">
        <f t="shared" si="974"/>
        <v>Active</v>
      </c>
      <c r="Q3903" t="str">
        <f>"I/O Interface Box for Controller USB-PRO"</f>
        <v>I/O Interface Box for Controller USB-PRO</v>
      </c>
      <c r="S3903" t="str">
        <f>"קופסת 2+Interface Box I/O כבלים לבקר USBPRO"</f>
        <v>קופסת 2+Interface Box I/O כבלים לבקר USBPRO</v>
      </c>
      <c r="T3903">
        <v>0</v>
      </c>
      <c r="U3903">
        <v>470</v>
      </c>
      <c r="V3903">
        <v>463.62</v>
      </c>
      <c r="W3903" t="str">
        <f t="shared" si="977"/>
        <v>rob</v>
      </c>
    </row>
    <row r="3904" spans="1:23">
      <c r="A3904" t="str">
        <f t="shared" si="981"/>
        <v>PROJ-ER9P-BASE</v>
      </c>
      <c r="B3904" t="str">
        <f>"10-2104-9000"</f>
        <v>10-2104-9000</v>
      </c>
      <c r="C3904" t="str">
        <f>"Single Buffer for Slotted Table"</f>
        <v>Single Buffer for Slotted Table</v>
      </c>
      <c r="D3904">
        <v>3</v>
      </c>
      <c r="E3904" t="str">
        <f t="shared" si="982"/>
        <v>Projects Station: Scorbot-ER9Pro Robot</v>
      </c>
      <c r="F3904">
        <v>512</v>
      </c>
      <c r="G3904" t="str">
        <f t="shared" si="964"/>
        <v>Y</v>
      </c>
      <c r="H3904" t="str">
        <f t="shared" si="983"/>
        <v>EA</v>
      </c>
      <c r="I3904">
        <v>0</v>
      </c>
      <c r="J3904">
        <v>0</v>
      </c>
      <c r="K3904" t="str">
        <f t="shared" si="965"/>
        <v>Y</v>
      </c>
      <c r="L3904">
        <v>0</v>
      </c>
      <c r="M3904" t="str">
        <f t="shared" si="973"/>
        <v>NIS</v>
      </c>
      <c r="O3904">
        <v>5</v>
      </c>
      <c r="P3904" t="str">
        <f t="shared" si="974"/>
        <v>Active</v>
      </c>
      <c r="Q3904" t="str">
        <f>"Single Buffer for Slotted Table(+height adapter)"</f>
        <v>Single Buffer for Slotted Table(+height adapter)</v>
      </c>
      <c r="S3904" t="str">
        <f>"Single Buffer for Slotted Table(+height adapter)"</f>
        <v>Single Buffer for Slotted Table(+height adapter)</v>
      </c>
      <c r="T3904">
        <v>0</v>
      </c>
      <c r="U3904">
        <v>26</v>
      </c>
      <c r="V3904">
        <v>25.49</v>
      </c>
      <c r="W3904" t="str">
        <f t="shared" si="977"/>
        <v>rob</v>
      </c>
    </row>
    <row r="3905" spans="1:23">
      <c r="A3905" t="str">
        <f t="shared" si="981"/>
        <v>PROJ-ER9P-BASE</v>
      </c>
      <c r="B3905" t="str">
        <f>"00-1110-0000"</f>
        <v>00-1110-0000</v>
      </c>
      <c r="C3905" t="str">
        <f>"Palletizing Rack"</f>
        <v>Palletizing Rack</v>
      </c>
      <c r="D3905">
        <v>2</v>
      </c>
      <c r="E3905" t="str">
        <f t="shared" si="982"/>
        <v>Projects Station: Scorbot-ER9Pro Robot</v>
      </c>
      <c r="F3905">
        <v>512</v>
      </c>
      <c r="G3905" t="str">
        <f t="shared" si="964"/>
        <v>Y</v>
      </c>
      <c r="H3905" t="str">
        <f t="shared" si="983"/>
        <v>EA</v>
      </c>
      <c r="I3905">
        <v>0</v>
      </c>
      <c r="J3905">
        <v>0</v>
      </c>
      <c r="K3905" t="str">
        <f t="shared" si="965"/>
        <v>Y</v>
      </c>
      <c r="L3905">
        <v>0</v>
      </c>
      <c r="M3905" t="str">
        <f t="shared" si="973"/>
        <v>NIS</v>
      </c>
      <c r="O3905">
        <v>6</v>
      </c>
      <c r="P3905" t="str">
        <f t="shared" si="974"/>
        <v>Active</v>
      </c>
      <c r="Q3905" t="str">
        <f>"Palletizing Rack (incl. Pins for creating Jigs)"</f>
        <v>Palletizing Rack (incl. Pins for creating Jigs)</v>
      </c>
      <c r="S3905" t="str">
        <f>"Palletizing Rack (incl. Pins for creating Jigs)"</f>
        <v>Palletizing Rack (incl. Pins for creating Jigs)</v>
      </c>
      <c r="T3905">
        <v>0</v>
      </c>
      <c r="U3905">
        <v>63</v>
      </c>
      <c r="V3905">
        <v>58.59</v>
      </c>
      <c r="W3905" t="str">
        <f t="shared" si="977"/>
        <v>rob</v>
      </c>
    </row>
    <row r="3906" spans="1:23">
      <c r="A3906" t="str">
        <f t="shared" si="981"/>
        <v>PROJ-ER9P-BASE</v>
      </c>
      <c r="B3906" t="str">
        <f>"021172"</f>
        <v>021172</v>
      </c>
      <c r="C3906" t="str">
        <f>"30mm Height Adapter -Rack 001110 on table 001249"</f>
        <v>30mm Height Adapter -Rack 001110 on table 001249</v>
      </c>
      <c r="D3906">
        <v>2</v>
      </c>
      <c r="E3906" t="str">
        <f t="shared" si="982"/>
        <v>Projects Station: Scorbot-ER9Pro Robot</v>
      </c>
      <c r="F3906">
        <v>512</v>
      </c>
      <c r="G3906" t="str">
        <f t="shared" ref="G3906:G3969" si="984">"Y"</f>
        <v>Y</v>
      </c>
      <c r="H3906" t="str">
        <f t="shared" si="983"/>
        <v>EA</v>
      </c>
      <c r="I3906">
        <v>0</v>
      </c>
      <c r="J3906">
        <v>0</v>
      </c>
      <c r="K3906" t="str">
        <f t="shared" ref="K3906:K3969" si="985">"Y"</f>
        <v>Y</v>
      </c>
      <c r="L3906">
        <v>0</v>
      </c>
      <c r="M3906" t="str">
        <f t="shared" si="973"/>
        <v>NIS</v>
      </c>
      <c r="O3906">
        <v>7</v>
      </c>
      <c r="P3906" t="str">
        <f t="shared" si="974"/>
        <v>Active</v>
      </c>
      <c r="Q3906" t="str">
        <f>"30mm Height Adapter -Rack 001110 on table 001249"</f>
        <v>30mm Height Adapter -Rack 001110 on table 001249</v>
      </c>
      <c r="S3906" t="str">
        <f>"30mm Height Adapter -Rack 001110 on table 001249"</f>
        <v>30mm Height Adapter -Rack 001110 on table 001249</v>
      </c>
      <c r="T3906">
        <v>0</v>
      </c>
      <c r="U3906">
        <v>13.12</v>
      </c>
      <c r="V3906">
        <v>13.44</v>
      </c>
      <c r="W3906" t="str">
        <f t="shared" si="977"/>
        <v>rob</v>
      </c>
    </row>
    <row r="3907" spans="1:23">
      <c r="A3907" t="str">
        <f t="shared" si="981"/>
        <v>PROJ-ER9P-BASE</v>
      </c>
      <c r="B3907" t="str">
        <f>"21-0004-0000"</f>
        <v>21-0004-0000</v>
      </c>
      <c r="C3907" t="str">
        <f>"Assembly, Dual Axis Air Vise Mechanicals"</f>
        <v>Assembly, Dual Axis Air Vise Mechanicals</v>
      </c>
      <c r="D3907">
        <v>1</v>
      </c>
      <c r="E3907" t="str">
        <f t="shared" si="982"/>
        <v>Projects Station: Scorbot-ER9Pro Robot</v>
      </c>
      <c r="F3907">
        <v>512</v>
      </c>
      <c r="G3907" t="str">
        <f t="shared" si="984"/>
        <v>Y</v>
      </c>
      <c r="H3907" t="str">
        <f t="shared" si="983"/>
        <v>EA</v>
      </c>
      <c r="I3907">
        <v>0</v>
      </c>
      <c r="J3907">
        <v>0</v>
      </c>
      <c r="K3907" t="str">
        <f t="shared" si="985"/>
        <v>Y</v>
      </c>
      <c r="L3907">
        <v>0</v>
      </c>
      <c r="M3907" t="str">
        <f t="shared" si="973"/>
        <v>NIS</v>
      </c>
      <c r="O3907">
        <v>8</v>
      </c>
      <c r="P3907" t="str">
        <f>"Phase Out"</f>
        <v>Phase Out</v>
      </c>
      <c r="Q3907" t="str">
        <f>"Pneumatic Dual-Axis Vise"</f>
        <v>Pneumatic Dual-Axis Vise</v>
      </c>
      <c r="S3907" t="str">
        <f>"Assembly, Dual Axis Air Vise Mechanicals"</f>
        <v>Assembly, Dual Axis Air Vise Mechanicals</v>
      </c>
      <c r="T3907">
        <v>422.16</v>
      </c>
      <c r="U3907">
        <v>422</v>
      </c>
      <c r="V3907">
        <v>980.27</v>
      </c>
      <c r="W3907" t="str">
        <f t="shared" si="977"/>
        <v>rob</v>
      </c>
    </row>
    <row r="3908" spans="1:23">
      <c r="A3908" t="str">
        <f t="shared" si="981"/>
        <v>PROJ-ER9P-BASE</v>
      </c>
      <c r="B3908" t="str">
        <f>"00-1249-0000"</f>
        <v>00-1249-0000</v>
      </c>
      <c r="C3908" t="str">
        <f>"Workbench 1500x800mm (slotted aluminum top)"</f>
        <v>Workbench 1500x800mm (slotted aluminum top)</v>
      </c>
      <c r="D3908">
        <v>1</v>
      </c>
      <c r="E3908" t="str">
        <f t="shared" si="982"/>
        <v>Projects Station: Scorbot-ER9Pro Robot</v>
      </c>
      <c r="F3908">
        <v>512</v>
      </c>
      <c r="G3908" t="str">
        <f t="shared" si="984"/>
        <v>Y</v>
      </c>
      <c r="H3908" t="str">
        <f t="shared" si="983"/>
        <v>EA</v>
      </c>
      <c r="I3908">
        <v>0</v>
      </c>
      <c r="J3908">
        <v>0</v>
      </c>
      <c r="K3908" t="str">
        <f t="shared" si="985"/>
        <v>Y</v>
      </c>
      <c r="L3908">
        <v>0</v>
      </c>
      <c r="M3908" t="str">
        <f t="shared" si="973"/>
        <v>NIS</v>
      </c>
      <c r="O3908">
        <v>9</v>
      </c>
      <c r="P3908" t="str">
        <f>"Active"</f>
        <v>Active</v>
      </c>
      <c r="Q3908" t="str">
        <f>"Workbench 1500x800mm (slotted aluminum top)"</f>
        <v>Workbench 1500x800mm (slotted aluminum top)</v>
      </c>
      <c r="S3908" t="str">
        <f>"Workbench 1500x800mm (slotted aluminum top)"</f>
        <v>Workbench 1500x800mm (slotted aluminum top)</v>
      </c>
      <c r="T3908">
        <v>0</v>
      </c>
      <c r="U3908" s="44">
        <v>1100</v>
      </c>
      <c r="V3908" s="44">
        <v>1083.57</v>
      </c>
      <c r="W3908" t="str">
        <f t="shared" si="977"/>
        <v>rob</v>
      </c>
    </row>
    <row r="3909" spans="1:23">
      <c r="A3909" t="str">
        <f t="shared" si="981"/>
        <v>PROJ-ER9P-BASE</v>
      </c>
      <c r="B3909" t="str">
        <f>"00-1241-0000"</f>
        <v>00-1241-0000</v>
      </c>
      <c r="C3909" t="str">
        <f>"Adapter Mounting Plate for ER9/14Pro &amp; HP3"</f>
        <v>Adapter Mounting Plate for ER9/14Pro &amp; HP3</v>
      </c>
      <c r="D3909">
        <v>1</v>
      </c>
      <c r="E3909" t="str">
        <f t="shared" si="982"/>
        <v>Projects Station: Scorbot-ER9Pro Robot</v>
      </c>
      <c r="F3909">
        <v>512</v>
      </c>
      <c r="G3909" t="str">
        <f t="shared" si="984"/>
        <v>Y</v>
      </c>
      <c r="H3909" t="str">
        <f t="shared" si="983"/>
        <v>EA</v>
      </c>
      <c r="I3909">
        <v>0</v>
      </c>
      <c r="J3909">
        <v>0</v>
      </c>
      <c r="K3909" t="str">
        <f t="shared" si="985"/>
        <v>Y</v>
      </c>
      <c r="L3909">
        <v>0</v>
      </c>
      <c r="M3909" t="str">
        <f t="shared" si="973"/>
        <v>NIS</v>
      </c>
      <c r="O3909">
        <v>10</v>
      </c>
      <c r="P3909" t="str">
        <f>"Active"</f>
        <v>Active</v>
      </c>
      <c r="Q3909" t="str">
        <f>"Adapter Mounting Plate for ER9/14Pro &amp; HP3"</f>
        <v>Adapter Mounting Plate for ER9/14Pro &amp; HP3</v>
      </c>
      <c r="S3909" t="str">
        <f>"Adapter Mounting Plate for ER9/14Pro &amp; HP3"</f>
        <v>Adapter Mounting Plate for ER9/14Pro &amp; HP3</v>
      </c>
      <c r="T3909">
        <v>0</v>
      </c>
      <c r="U3909">
        <v>145</v>
      </c>
      <c r="V3909">
        <v>153.93</v>
      </c>
      <c r="W3909" t="str">
        <f t="shared" si="977"/>
        <v>rob</v>
      </c>
    </row>
    <row r="3910" spans="1:23">
      <c r="A3910" t="str">
        <f t="shared" si="981"/>
        <v>PROJ-ER9P-BASE</v>
      </c>
      <c r="B3910" t="str">
        <f>"00-1260-0000"</f>
        <v>00-1260-0000</v>
      </c>
      <c r="C3910" t="str">
        <f>"PC Extension Shelf  600x800mm"</f>
        <v>PC Extension Shelf  600x800mm</v>
      </c>
      <c r="D3910">
        <v>1</v>
      </c>
      <c r="E3910" t="str">
        <f t="shared" si="982"/>
        <v>Projects Station: Scorbot-ER9Pro Robot</v>
      </c>
      <c r="F3910">
        <v>512</v>
      </c>
      <c r="G3910" t="str">
        <f t="shared" si="984"/>
        <v>Y</v>
      </c>
      <c r="H3910" t="str">
        <f t="shared" si="983"/>
        <v>EA</v>
      </c>
      <c r="I3910">
        <v>0</v>
      </c>
      <c r="J3910">
        <v>0</v>
      </c>
      <c r="K3910" t="str">
        <f t="shared" si="985"/>
        <v>Y</v>
      </c>
      <c r="L3910">
        <v>0</v>
      </c>
      <c r="M3910" t="str">
        <f t="shared" si="973"/>
        <v>NIS</v>
      </c>
      <c r="O3910">
        <v>11</v>
      </c>
      <c r="P3910" t="str">
        <f>"Active"</f>
        <v>Active</v>
      </c>
      <c r="Q3910" t="str">
        <f>"PC Extension Shelf  600x800mm"</f>
        <v>PC Extension Shelf  600x800mm</v>
      </c>
      <c r="S3910" t="str">
        <f>"PC Extension Shelf  600x800mm"</f>
        <v>PC Extension Shelf  600x800mm</v>
      </c>
      <c r="T3910">
        <v>0</v>
      </c>
      <c r="U3910">
        <v>192</v>
      </c>
      <c r="V3910">
        <v>195.4</v>
      </c>
      <c r="W3910" t="str">
        <f t="shared" si="977"/>
        <v>rob</v>
      </c>
    </row>
    <row r="3911" spans="1:23">
      <c r="A3911" t="str">
        <f t="shared" si="981"/>
        <v>PROJ-ER9P-BASE</v>
      </c>
      <c r="B3911" t="str">
        <f>"50-0094-0000"</f>
        <v>50-0094-0000</v>
      </c>
      <c r="C3911" t="str">
        <f>"Pre-Engineering, Design and Testing"</f>
        <v>Pre-Engineering, Design and Testing</v>
      </c>
      <c r="D3911">
        <v>1</v>
      </c>
      <c r="E3911" t="str">
        <f t="shared" si="982"/>
        <v>Projects Station: Scorbot-ER9Pro Robot</v>
      </c>
      <c r="F3911">
        <v>512</v>
      </c>
      <c r="G3911" t="str">
        <f t="shared" si="984"/>
        <v>Y</v>
      </c>
      <c r="H3911" t="str">
        <f>"DA"</f>
        <v>DA</v>
      </c>
      <c r="I3911">
        <v>0</v>
      </c>
      <c r="J3911">
        <v>0</v>
      </c>
      <c r="K3911" t="str">
        <f t="shared" si="985"/>
        <v>Y</v>
      </c>
      <c r="L3911">
        <v>0</v>
      </c>
      <c r="M3911" t="str">
        <f t="shared" si="973"/>
        <v>NIS</v>
      </c>
      <c r="O3911">
        <v>12</v>
      </c>
      <c r="P3911" t="str">
        <f>"Active"</f>
        <v>Active</v>
      </c>
      <c r="Q3911" t="str">
        <f>"Pre-Engineering, Design and Testing"</f>
        <v>Pre-Engineering, Design and Testing</v>
      </c>
      <c r="S3911" t="str">
        <f>"Pre-Engineering, Design and Testing"</f>
        <v>Pre-Engineering, Design and Testing</v>
      </c>
      <c r="T3911">
        <v>0</v>
      </c>
      <c r="U3911">
        <v>405</v>
      </c>
      <c r="V3911">
        <v>421.2</v>
      </c>
      <c r="W3911" t="str">
        <f t="shared" si="977"/>
        <v>rob</v>
      </c>
    </row>
    <row r="3912" spans="1:23">
      <c r="A3912" t="str">
        <f t="shared" ref="A3912:A3931" si="986">"PROJ-IROB-USBPRO"</f>
        <v>PROJ-IROB-USBPRO</v>
      </c>
      <c r="B3912" t="str">
        <f>"10-2119-9000"</f>
        <v>10-2119-9000</v>
      </c>
      <c r="C3912" t="str">
        <f>"Interface with industrial robot"</f>
        <v>Interface with industrial robot</v>
      </c>
      <c r="D3912">
        <v>1</v>
      </c>
      <c r="E3912" t="str">
        <f t="shared" ref="E3912:E3931" si="987">"Projects Station: Industrial Robot Rotary table Gray conveyor"</f>
        <v>Projects Station: Industrial Robot Rotary table Gray conveyor</v>
      </c>
      <c r="F3912">
        <v>512</v>
      </c>
      <c r="G3912" t="str">
        <f t="shared" si="984"/>
        <v>Y</v>
      </c>
      <c r="H3912" t="str">
        <f t="shared" ref="H3912:H3930" si="988">"EA"</f>
        <v>EA</v>
      </c>
      <c r="I3912">
        <v>0</v>
      </c>
      <c r="J3912">
        <v>0</v>
      </c>
      <c r="K3912" t="str">
        <f t="shared" si="985"/>
        <v>Y</v>
      </c>
      <c r="L3912">
        <v>0</v>
      </c>
      <c r="M3912" t="str">
        <f t="shared" si="973"/>
        <v>NIS</v>
      </c>
      <c r="O3912">
        <v>1</v>
      </c>
      <c r="P3912" t="str">
        <f>"Active"</f>
        <v>Active</v>
      </c>
      <c r="Q3912" t="str">
        <f>"Interface with industrial robot"</f>
        <v>Interface with industrial robot</v>
      </c>
      <c r="S3912" t="str">
        <f>"Interface with industrial robot"</f>
        <v>Interface with industrial robot</v>
      </c>
      <c r="T3912">
        <v>0</v>
      </c>
      <c r="U3912" s="44">
        <v>2000</v>
      </c>
      <c r="V3912" s="44">
        <v>2220</v>
      </c>
      <c r="W3912" t="str">
        <f t="shared" si="977"/>
        <v>rob</v>
      </c>
    </row>
    <row r="3913" spans="1:23">
      <c r="A3913" t="str">
        <f t="shared" si="986"/>
        <v>PROJ-IROB-USBPRO</v>
      </c>
      <c r="B3913" t="str">
        <f>"00-0647-0000"</f>
        <v>00-0647-0000</v>
      </c>
      <c r="C3913" t="str">
        <f>"Pneumatic Gripper for 3rd party robots"</f>
        <v>Pneumatic Gripper for 3rd party robots</v>
      </c>
      <c r="D3913">
        <v>1</v>
      </c>
      <c r="E3913" t="str">
        <f t="shared" si="987"/>
        <v>Projects Station: Industrial Robot Rotary table Gray conveyor</v>
      </c>
      <c r="F3913">
        <v>512</v>
      </c>
      <c r="G3913" t="str">
        <f t="shared" si="984"/>
        <v>Y</v>
      </c>
      <c r="H3913" t="str">
        <f t="shared" si="988"/>
        <v>EA</v>
      </c>
      <c r="I3913">
        <v>0</v>
      </c>
      <c r="J3913">
        <v>0</v>
      </c>
      <c r="K3913" t="str">
        <f t="shared" si="985"/>
        <v>Y</v>
      </c>
      <c r="L3913">
        <v>0</v>
      </c>
      <c r="M3913" t="str">
        <f t="shared" si="973"/>
        <v>NIS</v>
      </c>
      <c r="O3913">
        <v>2</v>
      </c>
      <c r="P3913" t="str">
        <f>"ECO-N2Buy"</f>
        <v>ECO-N2Buy</v>
      </c>
      <c r="Q3913" t="str">
        <f>"Pneumatic Gripper for small industrial robots"</f>
        <v>Pneumatic Gripper for small industrial robots</v>
      </c>
      <c r="S3913" t="str">
        <f>"Pneumatic Gripper for small industrial robots"</f>
        <v>Pneumatic Gripper for small industrial robots</v>
      </c>
      <c r="T3913">
        <v>0</v>
      </c>
      <c r="U3913" s="44">
        <v>1000</v>
      </c>
      <c r="V3913">
        <v>646.62</v>
      </c>
      <c r="W3913" t="str">
        <f t="shared" si="977"/>
        <v>rob</v>
      </c>
    </row>
    <row r="3914" spans="1:23">
      <c r="A3914" t="str">
        <f t="shared" si="986"/>
        <v>PROJ-IROB-USBPRO</v>
      </c>
      <c r="B3914" t="str">
        <f>"021031"</f>
        <v>021031</v>
      </c>
      <c r="C3914" t="str">
        <f>"Buffer for Template"</f>
        <v>Buffer for Template</v>
      </c>
      <c r="D3914">
        <v>4</v>
      </c>
      <c r="E3914" t="str">
        <f t="shared" si="987"/>
        <v>Projects Station: Industrial Robot Rotary table Gray conveyor</v>
      </c>
      <c r="F3914">
        <v>512</v>
      </c>
      <c r="G3914" t="str">
        <f t="shared" si="984"/>
        <v>Y</v>
      </c>
      <c r="H3914" t="str">
        <f t="shared" si="988"/>
        <v>EA</v>
      </c>
      <c r="I3914">
        <v>0</v>
      </c>
      <c r="J3914">
        <v>0</v>
      </c>
      <c r="K3914" t="str">
        <f t="shared" si="985"/>
        <v>Y</v>
      </c>
      <c r="L3914">
        <v>0</v>
      </c>
      <c r="M3914" t="str">
        <f t="shared" si="973"/>
        <v>NIS</v>
      </c>
      <c r="O3914">
        <v>3</v>
      </c>
      <c r="P3914" t="str">
        <f>"Active"</f>
        <v>Active</v>
      </c>
      <c r="Q3914" t="str">
        <f>"מכלול- בסיס לטמפלט CIM"</f>
        <v>מכלול- בסיס לטמפלט CIM</v>
      </c>
      <c r="R3914" t="str">
        <f>"1"</f>
        <v>1</v>
      </c>
      <c r="S3914" t="str">
        <f>"מכלול- בסיס לטמפלט CIM"</f>
        <v>מכלול- בסיס לטמפלט CIM</v>
      </c>
      <c r="T3914">
        <v>0</v>
      </c>
      <c r="U3914">
        <v>18.329999999999998</v>
      </c>
      <c r="V3914">
        <v>13.48</v>
      </c>
      <c r="W3914" t="str">
        <f t="shared" si="977"/>
        <v>rob</v>
      </c>
    </row>
    <row r="3915" spans="1:23">
      <c r="A3915" t="str">
        <f t="shared" si="986"/>
        <v>PROJ-IROB-USBPRO</v>
      </c>
      <c r="B3915" t="str">
        <f>"00-1110-0000"</f>
        <v>00-1110-0000</v>
      </c>
      <c r="C3915" t="str">
        <f>"Palletizing Rack"</f>
        <v>Palletizing Rack</v>
      </c>
      <c r="D3915">
        <v>2</v>
      </c>
      <c r="E3915" t="str">
        <f t="shared" si="987"/>
        <v>Projects Station: Industrial Robot Rotary table Gray conveyor</v>
      </c>
      <c r="F3915">
        <v>512</v>
      </c>
      <c r="G3915" t="str">
        <f t="shared" si="984"/>
        <v>Y</v>
      </c>
      <c r="H3915" t="str">
        <f t="shared" si="988"/>
        <v>EA</v>
      </c>
      <c r="I3915">
        <v>0</v>
      </c>
      <c r="J3915">
        <v>0</v>
      </c>
      <c r="K3915" t="str">
        <f t="shared" si="985"/>
        <v>Y</v>
      </c>
      <c r="L3915">
        <v>0</v>
      </c>
      <c r="M3915" t="str">
        <f t="shared" si="973"/>
        <v>NIS</v>
      </c>
      <c r="O3915">
        <v>4</v>
      </c>
      <c r="P3915" t="str">
        <f>"Active"</f>
        <v>Active</v>
      </c>
      <c r="Q3915" t="str">
        <f>"Palletizing Rack (incl. Pins for creating Jigs)"</f>
        <v>Palletizing Rack (incl. Pins for creating Jigs)</v>
      </c>
      <c r="S3915" t="str">
        <f>"Palletizing Rack (incl. Pins for creating Jigs)"</f>
        <v>Palletizing Rack (incl. Pins for creating Jigs)</v>
      </c>
      <c r="T3915">
        <v>0</v>
      </c>
      <c r="U3915">
        <v>63</v>
      </c>
      <c r="V3915">
        <v>58.59</v>
      </c>
      <c r="W3915" t="str">
        <f t="shared" si="977"/>
        <v>rob</v>
      </c>
    </row>
    <row r="3916" spans="1:23">
      <c r="A3916" t="str">
        <f t="shared" si="986"/>
        <v>PROJ-IROB-USBPRO</v>
      </c>
      <c r="B3916" t="str">
        <f>"021177"</f>
        <v>021177</v>
      </c>
      <c r="C3916" t="str">
        <f>"30mm Height Adapter -Rack 001110 on formica 19mm"</f>
        <v>30mm Height Adapter -Rack 001110 on formica 19mm</v>
      </c>
      <c r="D3916">
        <v>2</v>
      </c>
      <c r="E3916" t="str">
        <f t="shared" si="987"/>
        <v>Projects Station: Industrial Robot Rotary table Gray conveyor</v>
      </c>
      <c r="F3916">
        <v>512</v>
      </c>
      <c r="G3916" t="str">
        <f t="shared" si="984"/>
        <v>Y</v>
      </c>
      <c r="H3916" t="str">
        <f t="shared" si="988"/>
        <v>EA</v>
      </c>
      <c r="I3916">
        <v>0</v>
      </c>
      <c r="J3916">
        <v>0</v>
      </c>
      <c r="K3916" t="str">
        <f t="shared" si="985"/>
        <v>Y</v>
      </c>
      <c r="L3916">
        <v>0</v>
      </c>
      <c r="M3916" t="str">
        <f t="shared" si="973"/>
        <v>NIS</v>
      </c>
      <c r="O3916">
        <v>5</v>
      </c>
      <c r="P3916" t="str">
        <f>"Active"</f>
        <v>Active</v>
      </c>
      <c r="Q3916" t="str">
        <f>"30mm Height Adapter -Rack 001110 on formica 19mm"</f>
        <v>30mm Height Adapter -Rack 001110 on formica 19mm</v>
      </c>
      <c r="S3916" t="str">
        <f>"30mm Height Adapter -Rack 001110 on formica 19mm"</f>
        <v>30mm Height Adapter -Rack 001110 on formica 19mm</v>
      </c>
      <c r="T3916">
        <v>0</v>
      </c>
      <c r="U3916">
        <v>4.92</v>
      </c>
      <c r="V3916">
        <v>8.43</v>
      </c>
      <c r="W3916" t="str">
        <f t="shared" si="977"/>
        <v>rob</v>
      </c>
    </row>
    <row r="3917" spans="1:23">
      <c r="A3917" t="str">
        <f t="shared" si="986"/>
        <v>PROJ-IROB-USBPRO</v>
      </c>
      <c r="B3917" t="str">
        <f>"21-0004-0000"</f>
        <v>21-0004-0000</v>
      </c>
      <c r="C3917" t="str">
        <f>"Assembly, Dual Axis Air Vise Mechanicals"</f>
        <v>Assembly, Dual Axis Air Vise Mechanicals</v>
      </c>
      <c r="D3917">
        <v>1</v>
      </c>
      <c r="E3917" t="str">
        <f t="shared" si="987"/>
        <v>Projects Station: Industrial Robot Rotary table Gray conveyor</v>
      </c>
      <c r="F3917">
        <v>512</v>
      </c>
      <c r="G3917" t="str">
        <f t="shared" si="984"/>
        <v>Y</v>
      </c>
      <c r="H3917" t="str">
        <f t="shared" si="988"/>
        <v>EA</v>
      </c>
      <c r="I3917">
        <v>0</v>
      </c>
      <c r="J3917">
        <v>0</v>
      </c>
      <c r="K3917" t="str">
        <f t="shared" si="985"/>
        <v>Y</v>
      </c>
      <c r="L3917">
        <v>0</v>
      </c>
      <c r="M3917" t="str">
        <f t="shared" si="973"/>
        <v>NIS</v>
      </c>
      <c r="O3917">
        <v>6</v>
      </c>
      <c r="P3917" t="str">
        <f>"Phase Out"</f>
        <v>Phase Out</v>
      </c>
      <c r="Q3917" t="str">
        <f>"Assembly, Dual Axis Air Vise Mechanicals"</f>
        <v>Assembly, Dual Axis Air Vise Mechanicals</v>
      </c>
      <c r="S3917" t="str">
        <f>"Assembly, Dual Axis Air Vise Mechanicals"</f>
        <v>Assembly, Dual Axis Air Vise Mechanicals</v>
      </c>
      <c r="T3917">
        <v>422.16</v>
      </c>
      <c r="U3917">
        <v>422</v>
      </c>
      <c r="V3917">
        <v>980.27</v>
      </c>
      <c r="W3917" t="str">
        <f t="shared" si="977"/>
        <v>rob</v>
      </c>
    </row>
    <row r="3918" spans="1:23">
      <c r="A3918" t="str">
        <f t="shared" si="986"/>
        <v>PROJ-IROB-USBPRO</v>
      </c>
      <c r="B3918" t="str">
        <f>"10-2523-4000"</f>
        <v>10-2523-4000</v>
      </c>
      <c r="C3918" t="str">
        <f>"Solenoid Valve (24V) for Pipe 3 mm"</f>
        <v>Solenoid Valve (24V) for Pipe 3 mm</v>
      </c>
      <c r="D3918">
        <v>1</v>
      </c>
      <c r="E3918" t="str">
        <f t="shared" si="987"/>
        <v>Projects Station: Industrial Robot Rotary table Gray conveyor</v>
      </c>
      <c r="F3918">
        <v>512</v>
      </c>
      <c r="G3918" t="str">
        <f t="shared" si="984"/>
        <v>Y</v>
      </c>
      <c r="H3918" t="str">
        <f t="shared" si="988"/>
        <v>EA</v>
      </c>
      <c r="I3918">
        <v>0</v>
      </c>
      <c r="J3918">
        <v>0</v>
      </c>
      <c r="K3918" t="str">
        <f t="shared" si="985"/>
        <v>Y</v>
      </c>
      <c r="L3918">
        <v>0</v>
      </c>
      <c r="M3918" t="str">
        <f t="shared" si="973"/>
        <v>NIS</v>
      </c>
      <c r="O3918">
        <v>7</v>
      </c>
      <c r="P3918" t="str">
        <f t="shared" ref="P3918:P3925" si="989">"Active"</f>
        <v>Active</v>
      </c>
      <c r="Q3918" t="str">
        <f>"Solenoid Valve (24V) for Pipe 3 mm"</f>
        <v>Solenoid Valve (24V) for Pipe 3 mm</v>
      </c>
      <c r="S3918" t="str">
        <f>"Solenoid Valve (24V) for Pipe 3 mm"</f>
        <v>Solenoid Valve (24V) for Pipe 3 mm</v>
      </c>
      <c r="T3918">
        <v>0</v>
      </c>
      <c r="U3918">
        <v>137</v>
      </c>
      <c r="V3918">
        <v>133.35</v>
      </c>
      <c r="W3918" t="str">
        <f t="shared" si="977"/>
        <v>rob</v>
      </c>
    </row>
    <row r="3919" spans="1:23">
      <c r="A3919" t="str">
        <f t="shared" si="986"/>
        <v>PROJ-IROB-USBPRO</v>
      </c>
      <c r="B3919" t="str">
        <f>"00-1284-0000"</f>
        <v>00-1284-0000</v>
      </c>
      <c r="C3919" t="str">
        <f>"Robot Pedestal Welded for ER9/14Pro&amp;MH5"</f>
        <v>Robot Pedestal Welded for ER9/14Pro&amp;MH5</v>
      </c>
      <c r="D3919">
        <v>1</v>
      </c>
      <c r="E3919" t="str">
        <f t="shared" si="987"/>
        <v>Projects Station: Industrial Robot Rotary table Gray conveyor</v>
      </c>
      <c r="F3919">
        <v>512</v>
      </c>
      <c r="G3919" t="str">
        <f t="shared" si="984"/>
        <v>Y</v>
      </c>
      <c r="H3919" t="str">
        <f t="shared" si="988"/>
        <v>EA</v>
      </c>
      <c r="I3919">
        <v>0</v>
      </c>
      <c r="J3919">
        <v>0</v>
      </c>
      <c r="K3919" t="str">
        <f t="shared" si="985"/>
        <v>Y</v>
      </c>
      <c r="L3919">
        <v>0</v>
      </c>
      <c r="M3919" t="str">
        <f t="shared" si="973"/>
        <v>NIS</v>
      </c>
      <c r="O3919">
        <v>8</v>
      </c>
      <c r="P3919" t="str">
        <f t="shared" si="989"/>
        <v>Active</v>
      </c>
      <c r="Q3919" t="str">
        <f>"Robot Pedestal Welded for ER9/14Pro&amp;MH5"</f>
        <v>Robot Pedestal Welded for ER9/14Pro&amp;MH5</v>
      </c>
      <c r="S3919" t="str">
        <f>"Robot Pedestal Welded for ER9/14Pro&amp;MH5"</f>
        <v>Robot Pedestal Welded for ER9/14Pro&amp;MH5</v>
      </c>
      <c r="T3919">
        <v>0</v>
      </c>
      <c r="U3919">
        <v>723.91</v>
      </c>
      <c r="V3919">
        <v>671.12</v>
      </c>
      <c r="W3919" t="str">
        <f t="shared" si="977"/>
        <v>rob</v>
      </c>
    </row>
    <row r="3920" spans="1:23">
      <c r="A3920" t="str">
        <f t="shared" si="986"/>
        <v>PROJ-IROB-USBPRO</v>
      </c>
      <c r="B3920" t="str">
        <f>"00-1293-0000"</f>
        <v>00-1293-0000</v>
      </c>
      <c r="C3920" t="str">
        <f>"Mobile Workbench 1500x1140mm (incl. Wheels)"</f>
        <v>Mobile Workbench 1500x1140mm (incl. Wheels)</v>
      </c>
      <c r="D3920">
        <v>1</v>
      </c>
      <c r="E3920" t="str">
        <f t="shared" si="987"/>
        <v>Projects Station: Industrial Robot Rotary table Gray conveyor</v>
      </c>
      <c r="F3920">
        <v>512</v>
      </c>
      <c r="G3920" t="str">
        <f t="shared" si="984"/>
        <v>Y</v>
      </c>
      <c r="H3920" t="str">
        <f t="shared" si="988"/>
        <v>EA</v>
      </c>
      <c r="I3920">
        <v>0</v>
      </c>
      <c r="J3920">
        <v>0</v>
      </c>
      <c r="K3920" t="str">
        <f t="shared" si="985"/>
        <v>Y</v>
      </c>
      <c r="L3920">
        <v>0</v>
      </c>
      <c r="M3920" t="str">
        <f t="shared" si="973"/>
        <v>NIS</v>
      </c>
      <c r="O3920">
        <v>9</v>
      </c>
      <c r="P3920" t="str">
        <f t="shared" si="989"/>
        <v>Active</v>
      </c>
      <c r="Q3920" t="str">
        <f>"Mobile Workbench 1500x1140mm (incl. Wheels)"</f>
        <v>Mobile Workbench 1500x1140mm (incl. Wheels)</v>
      </c>
      <c r="S3920" t="str">
        <f>"Mobile Workbench 1500x1140mm (incl. Wheels)"</f>
        <v>Mobile Workbench 1500x1140mm (incl. Wheels)</v>
      </c>
      <c r="T3920">
        <v>0</v>
      </c>
      <c r="U3920">
        <v>860</v>
      </c>
      <c r="V3920">
        <v>809.36</v>
      </c>
      <c r="W3920" t="str">
        <f t="shared" si="977"/>
        <v>rob</v>
      </c>
    </row>
    <row r="3921" spans="1:23">
      <c r="A3921" t="str">
        <f t="shared" si="986"/>
        <v>PROJ-IROB-USBPRO</v>
      </c>
      <c r="B3921" t="str">
        <f>"00-1290-0000"</f>
        <v>00-1290-0000</v>
      </c>
      <c r="C3921" t="str">
        <f>"PC Table 630x800mm (with Keyboard Drawer)"</f>
        <v>PC Table 630x800mm (with Keyboard Drawer)</v>
      </c>
      <c r="D3921">
        <v>1</v>
      </c>
      <c r="E3921" t="str">
        <f t="shared" si="987"/>
        <v>Projects Station: Industrial Robot Rotary table Gray conveyor</v>
      </c>
      <c r="F3921">
        <v>512</v>
      </c>
      <c r="G3921" t="str">
        <f t="shared" si="984"/>
        <v>Y</v>
      </c>
      <c r="H3921" t="str">
        <f t="shared" si="988"/>
        <v>EA</v>
      </c>
      <c r="I3921">
        <v>0</v>
      </c>
      <c r="J3921">
        <v>0</v>
      </c>
      <c r="K3921" t="str">
        <f t="shared" si="985"/>
        <v>Y</v>
      </c>
      <c r="L3921">
        <v>0</v>
      </c>
      <c r="M3921" t="str">
        <f t="shared" si="973"/>
        <v>NIS</v>
      </c>
      <c r="O3921">
        <v>10</v>
      </c>
      <c r="P3921" t="str">
        <f t="shared" si="989"/>
        <v>Active</v>
      </c>
      <c r="Q3921" t="str">
        <f>"PC Table 630x800mm (with Keyboard Drawer)"</f>
        <v>PC Table 630x800mm (with Keyboard Drawer)</v>
      </c>
      <c r="S3921" t="str">
        <f>"PC Table 630x800mm (with Keyboard Drawer)"</f>
        <v>PC Table 630x800mm (with Keyboard Drawer)</v>
      </c>
      <c r="T3921">
        <v>0</v>
      </c>
      <c r="U3921">
        <v>405.86</v>
      </c>
      <c r="V3921">
        <v>329.34</v>
      </c>
      <c r="W3921" t="str">
        <f t="shared" si="977"/>
        <v>rob</v>
      </c>
    </row>
    <row r="3922" spans="1:23">
      <c r="A3922" t="str">
        <f t="shared" si="986"/>
        <v>PROJ-IROB-USBPRO</v>
      </c>
      <c r="B3922" t="str">
        <f>"00-1010-0000"</f>
        <v>00-1010-0000</v>
      </c>
      <c r="C3922" t="str">
        <f>"Conveyor Belt tabletop"</f>
        <v>Conveyor Belt tabletop</v>
      </c>
      <c r="D3922">
        <v>1</v>
      </c>
      <c r="E3922" t="str">
        <f t="shared" si="987"/>
        <v>Projects Station: Industrial Robot Rotary table Gray conveyor</v>
      </c>
      <c r="F3922">
        <v>512</v>
      </c>
      <c r="G3922" t="str">
        <f t="shared" si="984"/>
        <v>Y</v>
      </c>
      <c r="H3922" t="str">
        <f t="shared" si="988"/>
        <v>EA</v>
      </c>
      <c r="I3922">
        <v>0</v>
      </c>
      <c r="J3922">
        <v>0</v>
      </c>
      <c r="K3922" t="str">
        <f t="shared" si="985"/>
        <v>Y</v>
      </c>
      <c r="L3922">
        <v>0</v>
      </c>
      <c r="M3922" t="str">
        <f t="shared" si="973"/>
        <v>NIS</v>
      </c>
      <c r="O3922">
        <v>11</v>
      </c>
      <c r="P3922" t="str">
        <f t="shared" si="989"/>
        <v>Active</v>
      </c>
      <c r="Q3922" t="str">
        <f>"Conveyor Belt (24V)"</f>
        <v>Conveyor Belt (24V)</v>
      </c>
      <c r="S3922" t="str">
        <f>"Conveyor Belt (24V)"</f>
        <v>Conveyor Belt (24V)</v>
      </c>
      <c r="T3922">
        <v>0</v>
      </c>
      <c r="U3922">
        <v>510</v>
      </c>
      <c r="V3922">
        <v>472.02</v>
      </c>
      <c r="W3922" t="str">
        <f t="shared" si="977"/>
        <v>rob</v>
      </c>
    </row>
    <row r="3923" spans="1:23">
      <c r="A3923" t="str">
        <f t="shared" si="986"/>
        <v>PROJ-IROB-USBPRO</v>
      </c>
      <c r="B3923" t="str">
        <f>"00-1203-0000"</f>
        <v>00-1203-0000</v>
      </c>
      <c r="C3923" t="str">
        <f>"Photoelectric Sensor for Belt Conveyor"</f>
        <v>Photoelectric Sensor for Belt Conveyor</v>
      </c>
      <c r="D3923">
        <v>1</v>
      </c>
      <c r="E3923" t="str">
        <f t="shared" si="987"/>
        <v>Projects Station: Industrial Robot Rotary table Gray conveyor</v>
      </c>
      <c r="F3923">
        <v>512</v>
      </c>
      <c r="G3923" t="str">
        <f t="shared" si="984"/>
        <v>Y</v>
      </c>
      <c r="H3923" t="str">
        <f t="shared" si="988"/>
        <v>EA</v>
      </c>
      <c r="I3923">
        <v>0</v>
      </c>
      <c r="J3923">
        <v>0</v>
      </c>
      <c r="K3923" t="str">
        <f t="shared" si="985"/>
        <v>Y</v>
      </c>
      <c r="L3923">
        <v>0</v>
      </c>
      <c r="M3923" t="str">
        <f t="shared" si="973"/>
        <v>NIS</v>
      </c>
      <c r="O3923">
        <v>12</v>
      </c>
      <c r="P3923" t="str">
        <f t="shared" si="989"/>
        <v>Active</v>
      </c>
      <c r="Q3923" t="str">
        <f>"Photoelectric Sensor for Belt Conveyor"</f>
        <v>Photoelectric Sensor for Belt Conveyor</v>
      </c>
      <c r="S3923" t="str">
        <f>"Photoelectric Sensor for Belt Conveyor"</f>
        <v>Photoelectric Sensor for Belt Conveyor</v>
      </c>
      <c r="T3923">
        <v>0</v>
      </c>
      <c r="U3923">
        <v>108</v>
      </c>
      <c r="V3923">
        <v>100.82</v>
      </c>
      <c r="W3923" t="str">
        <f t="shared" si="977"/>
        <v>rob</v>
      </c>
    </row>
    <row r="3924" spans="1:23">
      <c r="A3924" t="str">
        <f t="shared" si="986"/>
        <v>PROJ-IROB-USBPRO</v>
      </c>
      <c r="B3924" t="str">
        <f>"00-1009-0000"</f>
        <v>00-1009-0000</v>
      </c>
      <c r="C3924" t="str">
        <f>"Rotary Index Table (24V)"</f>
        <v>Rotary Index Table (24V)</v>
      </c>
      <c r="D3924">
        <v>1</v>
      </c>
      <c r="E3924" t="str">
        <f t="shared" si="987"/>
        <v>Projects Station: Industrial Robot Rotary table Gray conveyor</v>
      </c>
      <c r="F3924">
        <v>512</v>
      </c>
      <c r="G3924" t="str">
        <f t="shared" si="984"/>
        <v>Y</v>
      </c>
      <c r="H3924" t="str">
        <f t="shared" si="988"/>
        <v>EA</v>
      </c>
      <c r="I3924">
        <v>0</v>
      </c>
      <c r="J3924">
        <v>0</v>
      </c>
      <c r="K3924" t="str">
        <f t="shared" si="985"/>
        <v>Y</v>
      </c>
      <c r="L3924">
        <v>0</v>
      </c>
      <c r="M3924" t="str">
        <f t="shared" ref="M3924:M3987" si="990">"NIS"</f>
        <v>NIS</v>
      </c>
      <c r="O3924">
        <v>13</v>
      </c>
      <c r="P3924" t="str">
        <f t="shared" si="989"/>
        <v>Active</v>
      </c>
      <c r="Q3924" t="str">
        <f>"Rotary Index Table (24V)"</f>
        <v>Rotary Index Table (24V)</v>
      </c>
      <c r="S3924" t="str">
        <f>"Rotary Index Table (24V)"</f>
        <v>Rotary Index Table (24V)</v>
      </c>
      <c r="T3924">
        <v>0</v>
      </c>
      <c r="U3924">
        <v>530</v>
      </c>
      <c r="V3924">
        <v>550.71</v>
      </c>
      <c r="W3924" t="str">
        <f t="shared" si="977"/>
        <v>rob</v>
      </c>
    </row>
    <row r="3925" spans="1:23">
      <c r="A3925" t="str">
        <f t="shared" si="986"/>
        <v>PROJ-IROB-USBPRO</v>
      </c>
      <c r="B3925" t="str">
        <f>"00-1209-0000"</f>
        <v>00-1209-0000</v>
      </c>
      <c r="C3925" t="str">
        <f>"Photoelectric Sensor for Rotary Index Table"</f>
        <v>Photoelectric Sensor for Rotary Index Table</v>
      </c>
      <c r="D3925">
        <v>1</v>
      </c>
      <c r="E3925" t="str">
        <f t="shared" si="987"/>
        <v>Projects Station: Industrial Robot Rotary table Gray conveyor</v>
      </c>
      <c r="F3925">
        <v>512</v>
      </c>
      <c r="G3925" t="str">
        <f t="shared" si="984"/>
        <v>Y</v>
      </c>
      <c r="H3925" t="str">
        <f t="shared" si="988"/>
        <v>EA</v>
      </c>
      <c r="I3925">
        <v>0</v>
      </c>
      <c r="J3925">
        <v>0</v>
      </c>
      <c r="K3925" t="str">
        <f t="shared" si="985"/>
        <v>Y</v>
      </c>
      <c r="L3925">
        <v>0</v>
      </c>
      <c r="M3925" t="str">
        <f t="shared" si="990"/>
        <v>NIS</v>
      </c>
      <c r="O3925">
        <v>14</v>
      </c>
      <c r="P3925" t="str">
        <f t="shared" si="989"/>
        <v>Active</v>
      </c>
      <c r="Q3925" t="str">
        <f>"Photoelectric Sensor for Rotary Index Table"</f>
        <v>Photoelectric Sensor for Rotary Index Table</v>
      </c>
      <c r="S3925" t="str">
        <f>"Photoelectric Sensor for Rotary Index Table"</f>
        <v>Photoelectric Sensor for Rotary Index Table</v>
      </c>
      <c r="T3925">
        <v>0</v>
      </c>
      <c r="U3925">
        <v>177.04</v>
      </c>
      <c r="V3925">
        <v>175.87</v>
      </c>
      <c r="W3925" t="str">
        <f t="shared" si="977"/>
        <v>rob</v>
      </c>
    </row>
    <row r="3926" spans="1:23">
      <c r="A3926" t="str">
        <f t="shared" si="986"/>
        <v>PROJ-IROB-USBPRO</v>
      </c>
      <c r="B3926" t="str">
        <f>"034020"</f>
        <v>034020</v>
      </c>
      <c r="C3926" t="str">
        <f>"Controller-USB PRO"</f>
        <v>Controller-USB PRO</v>
      </c>
      <c r="D3926">
        <v>1</v>
      </c>
      <c r="E3926" t="str">
        <f t="shared" si="987"/>
        <v>Projects Station: Industrial Robot Rotary table Gray conveyor</v>
      </c>
      <c r="F3926">
        <v>512</v>
      </c>
      <c r="G3926" t="str">
        <f t="shared" si="984"/>
        <v>Y</v>
      </c>
      <c r="H3926" t="str">
        <f t="shared" si="988"/>
        <v>EA</v>
      </c>
      <c r="I3926">
        <v>0</v>
      </c>
      <c r="J3926">
        <v>0</v>
      </c>
      <c r="K3926" t="str">
        <f t="shared" si="985"/>
        <v>Y</v>
      </c>
      <c r="L3926">
        <v>0</v>
      </c>
      <c r="M3926" t="str">
        <f t="shared" si="990"/>
        <v>NIS</v>
      </c>
      <c r="O3926">
        <v>15</v>
      </c>
      <c r="P3926" t="str">
        <f>"ECO-N2Buy"</f>
        <v>ECO-N2Buy</v>
      </c>
      <c r="Q3926" t="str">
        <f>"Controller-USB PRO"</f>
        <v>Controller-USB PRO</v>
      </c>
      <c r="S3926" t="str">
        <f>"Controller-USB PRO"</f>
        <v>Controller-USB PRO</v>
      </c>
      <c r="T3926">
        <v>0</v>
      </c>
      <c r="U3926" s="44">
        <v>1718.15</v>
      </c>
      <c r="V3926" s="44">
        <v>1870.53</v>
      </c>
      <c r="W3926" t="str">
        <f t="shared" si="977"/>
        <v>rob</v>
      </c>
    </row>
    <row r="3927" spans="1:23">
      <c r="A3927" t="str">
        <f t="shared" si="986"/>
        <v>PROJ-IROB-USBPRO</v>
      </c>
      <c r="B3927" t="str">
        <f>"63-9248-0000"</f>
        <v>63-9248-0000</v>
      </c>
      <c r="C3927" t="str">
        <f>"Robotic Software for Controller USB Pro"</f>
        <v>Robotic Software for Controller USB Pro</v>
      </c>
      <c r="D3927">
        <v>1</v>
      </c>
      <c r="E3927" t="str">
        <f t="shared" si="987"/>
        <v>Projects Station: Industrial Robot Rotary table Gray conveyor</v>
      </c>
      <c r="F3927">
        <v>512</v>
      </c>
      <c r="G3927" t="str">
        <f t="shared" si="984"/>
        <v>Y</v>
      </c>
      <c r="H3927" t="str">
        <f t="shared" si="988"/>
        <v>EA</v>
      </c>
      <c r="I3927">
        <v>0</v>
      </c>
      <c r="J3927">
        <v>0</v>
      </c>
      <c r="K3927" t="str">
        <f t="shared" si="985"/>
        <v>Y</v>
      </c>
      <c r="L3927">
        <v>0</v>
      </c>
      <c r="M3927" t="str">
        <f t="shared" si="990"/>
        <v>NIS</v>
      </c>
      <c r="O3927">
        <v>16</v>
      </c>
      <c r="P3927" t="str">
        <f t="shared" ref="P3927:P3936" si="991">"Active"</f>
        <v>Active</v>
      </c>
      <c r="Q3927" t="str">
        <f>"Robotic Software for Controller USB Pro"</f>
        <v>Robotic Software for Controller USB Pro</v>
      </c>
      <c r="S3927" t="str">
        <f>"Robotic Software for Controller USB Pro"</f>
        <v>Robotic Software for Controller USB Pro</v>
      </c>
      <c r="T3927">
        <v>0</v>
      </c>
      <c r="U3927">
        <v>30</v>
      </c>
      <c r="V3927">
        <v>32.17</v>
      </c>
      <c r="W3927" t="str">
        <f t="shared" si="977"/>
        <v>rob</v>
      </c>
    </row>
    <row r="3928" spans="1:23">
      <c r="A3928" t="str">
        <f t="shared" si="986"/>
        <v>PROJ-IROB-USBPRO</v>
      </c>
      <c r="B3928" t="str">
        <f>"040495"</f>
        <v>040495</v>
      </c>
      <c r="C3928" t="str">
        <f>"Robot By-pass plug - USB Pro"</f>
        <v>Robot By-pass plug - USB Pro</v>
      </c>
      <c r="D3928">
        <v>1</v>
      </c>
      <c r="E3928" t="str">
        <f t="shared" si="987"/>
        <v>Projects Station: Industrial Robot Rotary table Gray conveyor</v>
      </c>
      <c r="F3928">
        <v>512</v>
      </c>
      <c r="G3928" t="str">
        <f t="shared" si="984"/>
        <v>Y</v>
      </c>
      <c r="H3928" t="str">
        <f t="shared" si="988"/>
        <v>EA</v>
      </c>
      <c r="I3928">
        <v>0</v>
      </c>
      <c r="J3928">
        <v>0</v>
      </c>
      <c r="K3928" t="str">
        <f t="shared" si="985"/>
        <v>Y</v>
      </c>
      <c r="L3928">
        <v>0</v>
      </c>
      <c r="M3928" t="str">
        <f t="shared" si="990"/>
        <v>NIS</v>
      </c>
      <c r="O3928">
        <v>17</v>
      </c>
      <c r="P3928" t="str">
        <f t="shared" si="991"/>
        <v>Active</v>
      </c>
      <c r="Q3928" t="str">
        <f>"Robot By-pass plug - USB Pro"</f>
        <v>Robot By-pass plug - USB Pro</v>
      </c>
      <c r="S3928" t="str">
        <f>"Robot By-pass plug - USB Pro"</f>
        <v>Robot By-pass plug - USB Pro</v>
      </c>
      <c r="T3928">
        <v>0</v>
      </c>
      <c r="U3928">
        <v>1.62</v>
      </c>
      <c r="V3928">
        <v>6.06</v>
      </c>
      <c r="W3928" t="str">
        <f t="shared" si="977"/>
        <v>rob</v>
      </c>
    </row>
    <row r="3929" spans="1:23">
      <c r="A3929" t="str">
        <f t="shared" si="986"/>
        <v>PROJ-IROB-USBPRO</v>
      </c>
      <c r="B3929" t="str">
        <f>"200029"</f>
        <v>200029</v>
      </c>
      <c r="C3929" t="str">
        <f>"User's Manual  Controller USB-PRO"</f>
        <v>User's Manual  Controller USB-PRO</v>
      </c>
      <c r="D3929">
        <v>1</v>
      </c>
      <c r="E3929" t="str">
        <f t="shared" si="987"/>
        <v>Projects Station: Industrial Robot Rotary table Gray conveyor</v>
      </c>
      <c r="F3929">
        <v>512</v>
      </c>
      <c r="G3929" t="str">
        <f t="shared" si="984"/>
        <v>Y</v>
      </c>
      <c r="H3929" t="str">
        <f t="shared" si="988"/>
        <v>EA</v>
      </c>
      <c r="I3929">
        <v>0</v>
      </c>
      <c r="J3929">
        <v>0</v>
      </c>
      <c r="K3929" t="str">
        <f t="shared" si="985"/>
        <v>Y</v>
      </c>
      <c r="L3929">
        <v>0</v>
      </c>
      <c r="M3929" t="str">
        <f t="shared" si="990"/>
        <v>NIS</v>
      </c>
      <c r="O3929">
        <v>18</v>
      </c>
      <c r="P3929" t="str">
        <f t="shared" si="991"/>
        <v>Active</v>
      </c>
      <c r="Q3929" t="str">
        <f>"ספר למשתמש Controller USB-PRO"</f>
        <v>ספר למשתמש Controller USB-PRO</v>
      </c>
      <c r="S3929" t="str">
        <f>"User's Manual  Controller USB-PRO"</f>
        <v>User's Manual  Controller USB-PRO</v>
      </c>
      <c r="T3929">
        <v>0</v>
      </c>
      <c r="U3929">
        <v>2.52</v>
      </c>
      <c r="V3929">
        <v>2.73</v>
      </c>
      <c r="W3929" t="str">
        <f t="shared" si="977"/>
        <v>rob</v>
      </c>
    </row>
    <row r="3930" spans="1:23">
      <c r="A3930" t="str">
        <f t="shared" si="986"/>
        <v>PROJ-IROB-USBPRO</v>
      </c>
      <c r="B3930" t="str">
        <f>"411905"</f>
        <v>411905</v>
      </c>
      <c r="C3930" t="str">
        <f>"Cable, USB 3m full Speed UL, type A-A, 2 FERRITE"</f>
        <v>Cable, USB 3m full Speed UL, type A-A, 2 FERRITE</v>
      </c>
      <c r="D3930">
        <v>1</v>
      </c>
      <c r="E3930" t="str">
        <f t="shared" si="987"/>
        <v>Projects Station: Industrial Robot Rotary table Gray conveyor</v>
      </c>
      <c r="F3930">
        <v>512</v>
      </c>
      <c r="G3930" t="str">
        <f t="shared" si="984"/>
        <v>Y</v>
      </c>
      <c r="H3930" t="str">
        <f t="shared" si="988"/>
        <v>EA</v>
      </c>
      <c r="I3930">
        <v>0</v>
      </c>
      <c r="J3930">
        <v>0</v>
      </c>
      <c r="K3930" t="str">
        <f t="shared" si="985"/>
        <v>Y</v>
      </c>
      <c r="L3930">
        <v>0</v>
      </c>
      <c r="M3930" t="str">
        <f t="shared" si="990"/>
        <v>NIS</v>
      </c>
      <c r="O3930">
        <v>19</v>
      </c>
      <c r="P3930" t="str">
        <f t="shared" si="991"/>
        <v>Active</v>
      </c>
      <c r="Q3930" t="str">
        <f>"כבל 3m full speed A-A W.2 FERRITE UL Only ,USB"</f>
        <v>כבל 3m full speed A-A W.2 FERRITE UL Only ,USB</v>
      </c>
      <c r="S3930" t="str">
        <f>"Cable, USB 3m full Speed UL, type A-A, 2 FERRITE"</f>
        <v>Cable, USB 3m full Speed UL, type A-A, 2 FERRITE</v>
      </c>
      <c r="T3930">
        <v>0</v>
      </c>
      <c r="U3930">
        <v>2.6</v>
      </c>
      <c r="V3930">
        <v>4.8099999999999996</v>
      </c>
      <c r="W3930" t="str">
        <f t="shared" si="977"/>
        <v>rob</v>
      </c>
    </row>
    <row r="3931" spans="1:23">
      <c r="A3931" t="str">
        <f t="shared" si="986"/>
        <v>PROJ-IROB-USBPRO</v>
      </c>
      <c r="B3931" t="str">
        <f>"50-0094-0000"</f>
        <v>50-0094-0000</v>
      </c>
      <c r="C3931" t="str">
        <f>"Pre-Engineering, Design and Testing"</f>
        <v>Pre-Engineering, Design and Testing</v>
      </c>
      <c r="D3931">
        <v>1</v>
      </c>
      <c r="E3931" t="str">
        <f t="shared" si="987"/>
        <v>Projects Station: Industrial Robot Rotary table Gray conveyor</v>
      </c>
      <c r="F3931">
        <v>512</v>
      </c>
      <c r="G3931" t="str">
        <f t="shared" si="984"/>
        <v>Y</v>
      </c>
      <c r="H3931" t="str">
        <f>"DA"</f>
        <v>DA</v>
      </c>
      <c r="I3931">
        <v>0</v>
      </c>
      <c r="J3931">
        <v>0</v>
      </c>
      <c r="K3931" t="str">
        <f t="shared" si="985"/>
        <v>Y</v>
      </c>
      <c r="L3931">
        <v>0</v>
      </c>
      <c r="M3931" t="str">
        <f t="shared" si="990"/>
        <v>NIS</v>
      </c>
      <c r="O3931">
        <v>20</v>
      </c>
      <c r="P3931" t="str">
        <f t="shared" si="991"/>
        <v>Active</v>
      </c>
      <c r="Q3931" t="str">
        <f>"Pre-Engineering, Design and Testing"</f>
        <v>Pre-Engineering, Design and Testing</v>
      </c>
      <c r="S3931" t="str">
        <f>"Pre-Engineering, Design and Testing"</f>
        <v>Pre-Engineering, Design and Testing</v>
      </c>
      <c r="T3931">
        <v>0</v>
      </c>
      <c r="U3931">
        <v>405</v>
      </c>
      <c r="V3931">
        <v>421.2</v>
      </c>
      <c r="W3931" t="str">
        <f t="shared" si="977"/>
        <v>rob</v>
      </c>
    </row>
    <row r="3932" spans="1:23">
      <c r="A3932" t="str">
        <f t="shared" ref="A3932:A3942" si="992">"PROJ-MH5F-BASE"</f>
        <v>PROJ-MH5F-BASE</v>
      </c>
      <c r="B3932" t="str">
        <f>"00-0436-0000"</f>
        <v>00-0436-0000</v>
      </c>
      <c r="C3932" t="str">
        <f>"MH5F compact high-speed 6-axis Robot"</f>
        <v>MH5F compact high-speed 6-axis Robot</v>
      </c>
      <c r="D3932">
        <v>1</v>
      </c>
      <c r="E3932" t="str">
        <f t="shared" ref="E3932:E3942" si="993">"Projects Station: MOTOMAN  MH5F"</f>
        <v>Projects Station: MOTOMAN  MH5F</v>
      </c>
      <c r="F3932">
        <v>512</v>
      </c>
      <c r="G3932" t="str">
        <f t="shared" si="984"/>
        <v>Y</v>
      </c>
      <c r="H3932" t="str">
        <f t="shared" ref="H3932:H3941" si="994">"EA"</f>
        <v>EA</v>
      </c>
      <c r="I3932">
        <v>0</v>
      </c>
      <c r="J3932">
        <v>0</v>
      </c>
      <c r="K3932" t="str">
        <f t="shared" si="985"/>
        <v>Y</v>
      </c>
      <c r="L3932">
        <v>0</v>
      </c>
      <c r="M3932" t="str">
        <f t="shared" si="990"/>
        <v>NIS</v>
      </c>
      <c r="O3932">
        <v>1</v>
      </c>
      <c r="P3932" t="str">
        <f t="shared" si="991"/>
        <v>Active</v>
      </c>
      <c r="Q3932" t="str">
        <f>"MH5F compact high-speed 6-axis Robot"</f>
        <v>MH5F compact high-speed 6-axis Robot</v>
      </c>
      <c r="S3932" t="str">
        <f>"MH5F compact high-speed 6-axis Robot"</f>
        <v>MH5F compact high-speed 6-axis Robot</v>
      </c>
      <c r="T3932">
        <v>0</v>
      </c>
      <c r="U3932" s="44">
        <v>23500</v>
      </c>
      <c r="V3932" s="44">
        <v>16049.14</v>
      </c>
      <c r="W3932" t="str">
        <f t="shared" si="977"/>
        <v>rob</v>
      </c>
    </row>
    <row r="3933" spans="1:23">
      <c r="A3933" t="str">
        <f t="shared" si="992"/>
        <v>PROJ-MH5F-BASE</v>
      </c>
      <c r="B3933" t="str">
        <f>"00-0646-0000"</f>
        <v>00-0646-0000</v>
      </c>
      <c r="C3933" t="str">
        <f>"Pneumatic Gripper with I/O Box for Motoman MH5F"</f>
        <v>Pneumatic Gripper with I/O Box for Motoman MH5F</v>
      </c>
      <c r="D3933">
        <v>1</v>
      </c>
      <c r="E3933" t="str">
        <f t="shared" si="993"/>
        <v>Projects Station: MOTOMAN  MH5F</v>
      </c>
      <c r="F3933">
        <v>512</v>
      </c>
      <c r="G3933" t="str">
        <f t="shared" si="984"/>
        <v>Y</v>
      </c>
      <c r="H3933" t="str">
        <f t="shared" si="994"/>
        <v>EA</v>
      </c>
      <c r="I3933">
        <v>0</v>
      </c>
      <c r="J3933">
        <v>0</v>
      </c>
      <c r="K3933" t="str">
        <f t="shared" si="985"/>
        <v>Y</v>
      </c>
      <c r="L3933">
        <v>0</v>
      </c>
      <c r="M3933" t="str">
        <f t="shared" si="990"/>
        <v>NIS</v>
      </c>
      <c r="O3933">
        <v>2</v>
      </c>
      <c r="P3933" t="str">
        <f t="shared" si="991"/>
        <v>Active</v>
      </c>
      <c r="Q3933" t="str">
        <f>"Pneumatic Gripper with I/O Box for Motoman MH5F"</f>
        <v>Pneumatic Gripper with I/O Box for Motoman MH5F</v>
      </c>
      <c r="S3933" t="str">
        <f>"Pneumatic Gripper with I/O Box for Motoman MH5F"</f>
        <v>Pneumatic Gripper with I/O Box for Motoman MH5F</v>
      </c>
      <c r="T3933">
        <v>0</v>
      </c>
      <c r="U3933" s="44">
        <v>1500</v>
      </c>
      <c r="V3933" s="44">
        <v>1238.52</v>
      </c>
      <c r="W3933" t="str">
        <f t="shared" si="977"/>
        <v>rob</v>
      </c>
    </row>
    <row r="3934" spans="1:23">
      <c r="A3934" t="str">
        <f t="shared" si="992"/>
        <v>PROJ-MH5F-BASE</v>
      </c>
      <c r="B3934" t="str">
        <f>"021031"</f>
        <v>021031</v>
      </c>
      <c r="C3934" t="str">
        <f>"Buffer for Template"</f>
        <v>Buffer for Template</v>
      </c>
      <c r="D3934">
        <v>1</v>
      </c>
      <c r="E3934" t="str">
        <f t="shared" si="993"/>
        <v>Projects Station: MOTOMAN  MH5F</v>
      </c>
      <c r="F3934">
        <v>512</v>
      </c>
      <c r="G3934" t="str">
        <f t="shared" si="984"/>
        <v>Y</v>
      </c>
      <c r="H3934" t="str">
        <f t="shared" si="994"/>
        <v>EA</v>
      </c>
      <c r="I3934">
        <v>0</v>
      </c>
      <c r="J3934">
        <v>0</v>
      </c>
      <c r="K3934" t="str">
        <f t="shared" si="985"/>
        <v>Y</v>
      </c>
      <c r="L3934">
        <v>0</v>
      </c>
      <c r="M3934" t="str">
        <f t="shared" si="990"/>
        <v>NIS</v>
      </c>
      <c r="O3934">
        <v>3</v>
      </c>
      <c r="P3934" t="str">
        <f t="shared" si="991"/>
        <v>Active</v>
      </c>
      <c r="Q3934" t="str">
        <f>"מכלול- בסיס לטמפלט CIM"</f>
        <v>מכלול- בסיס לטמפלט CIM</v>
      </c>
      <c r="R3934" t="str">
        <f>"1"</f>
        <v>1</v>
      </c>
      <c r="S3934" t="str">
        <f>"מכלול- בסיס לטמפלט CIM"</f>
        <v>מכלול- בסיס לטמפלט CIM</v>
      </c>
      <c r="T3934">
        <v>0</v>
      </c>
      <c r="U3934">
        <v>18.329999999999998</v>
      </c>
      <c r="V3934">
        <v>13.48</v>
      </c>
      <c r="W3934" t="str">
        <f t="shared" si="977"/>
        <v>rob</v>
      </c>
    </row>
    <row r="3935" spans="1:23">
      <c r="A3935" t="str">
        <f t="shared" si="992"/>
        <v>PROJ-MH5F-BASE</v>
      </c>
      <c r="B3935" t="str">
        <f>"00-1110-0000"</f>
        <v>00-1110-0000</v>
      </c>
      <c r="C3935" t="str">
        <f>"Palletizing Rack"</f>
        <v>Palletizing Rack</v>
      </c>
      <c r="D3935">
        <v>2</v>
      </c>
      <c r="E3935" t="str">
        <f t="shared" si="993"/>
        <v>Projects Station: MOTOMAN  MH5F</v>
      </c>
      <c r="F3935">
        <v>512</v>
      </c>
      <c r="G3935" t="str">
        <f t="shared" si="984"/>
        <v>Y</v>
      </c>
      <c r="H3935" t="str">
        <f t="shared" si="994"/>
        <v>EA</v>
      </c>
      <c r="I3935">
        <v>0</v>
      </c>
      <c r="J3935">
        <v>0</v>
      </c>
      <c r="K3935" t="str">
        <f t="shared" si="985"/>
        <v>Y</v>
      </c>
      <c r="L3935">
        <v>0</v>
      </c>
      <c r="M3935" t="str">
        <f t="shared" si="990"/>
        <v>NIS</v>
      </c>
      <c r="O3935">
        <v>4</v>
      </c>
      <c r="P3935" t="str">
        <f t="shared" si="991"/>
        <v>Active</v>
      </c>
      <c r="Q3935" t="str">
        <f>"Palletizing Rack (incl. Pins for creating Jigs)"</f>
        <v>Palletizing Rack (incl. Pins for creating Jigs)</v>
      </c>
      <c r="S3935" t="str">
        <f>"Palletizing Rack (incl. Pins for creating Jigs)"</f>
        <v>Palletizing Rack (incl. Pins for creating Jigs)</v>
      </c>
      <c r="T3935">
        <v>0</v>
      </c>
      <c r="U3935">
        <v>63</v>
      </c>
      <c r="V3935">
        <v>58.59</v>
      </c>
      <c r="W3935" t="str">
        <f t="shared" si="977"/>
        <v>rob</v>
      </c>
    </row>
    <row r="3936" spans="1:23">
      <c r="A3936" t="str">
        <f t="shared" si="992"/>
        <v>PROJ-MH5F-BASE</v>
      </c>
      <c r="B3936" t="str">
        <f>"021177"</f>
        <v>021177</v>
      </c>
      <c r="C3936" t="str">
        <f>"30mm Height Adapter -Rack 001110 on formica 19mm"</f>
        <v>30mm Height Adapter -Rack 001110 on formica 19mm</v>
      </c>
      <c r="D3936">
        <v>2</v>
      </c>
      <c r="E3936" t="str">
        <f t="shared" si="993"/>
        <v>Projects Station: MOTOMAN  MH5F</v>
      </c>
      <c r="F3936">
        <v>512</v>
      </c>
      <c r="G3936" t="str">
        <f t="shared" si="984"/>
        <v>Y</v>
      </c>
      <c r="H3936" t="str">
        <f t="shared" si="994"/>
        <v>EA</v>
      </c>
      <c r="I3936">
        <v>0</v>
      </c>
      <c r="J3936">
        <v>0</v>
      </c>
      <c r="K3936" t="str">
        <f t="shared" si="985"/>
        <v>Y</v>
      </c>
      <c r="L3936">
        <v>0</v>
      </c>
      <c r="M3936" t="str">
        <f t="shared" si="990"/>
        <v>NIS</v>
      </c>
      <c r="O3936">
        <v>5</v>
      </c>
      <c r="P3936" t="str">
        <f t="shared" si="991"/>
        <v>Active</v>
      </c>
      <c r="Q3936" t="str">
        <f>"30mm Height Adapter -Rack 001110 on formica 19mm"</f>
        <v>30mm Height Adapter -Rack 001110 on formica 19mm</v>
      </c>
      <c r="S3936" t="str">
        <f>"30mm Height Adapter -Rack 001110 on formica 19mm"</f>
        <v>30mm Height Adapter -Rack 001110 on formica 19mm</v>
      </c>
      <c r="T3936">
        <v>0</v>
      </c>
      <c r="U3936">
        <v>4.92</v>
      </c>
      <c r="V3936">
        <v>8.43</v>
      </c>
      <c r="W3936" t="str">
        <f t="shared" si="977"/>
        <v>rob</v>
      </c>
    </row>
    <row r="3937" spans="1:23">
      <c r="A3937" t="str">
        <f t="shared" si="992"/>
        <v>PROJ-MH5F-BASE</v>
      </c>
      <c r="B3937" t="str">
        <f>"21-0004-0000"</f>
        <v>21-0004-0000</v>
      </c>
      <c r="C3937" t="str">
        <f>"Assembly, Dual Axis Air Vise Mechanicals"</f>
        <v>Assembly, Dual Axis Air Vise Mechanicals</v>
      </c>
      <c r="D3937">
        <v>1</v>
      </c>
      <c r="E3937" t="str">
        <f t="shared" si="993"/>
        <v>Projects Station: MOTOMAN  MH5F</v>
      </c>
      <c r="F3937">
        <v>512</v>
      </c>
      <c r="G3937" t="str">
        <f t="shared" si="984"/>
        <v>Y</v>
      </c>
      <c r="H3937" t="str">
        <f t="shared" si="994"/>
        <v>EA</v>
      </c>
      <c r="I3937">
        <v>0</v>
      </c>
      <c r="J3937">
        <v>0</v>
      </c>
      <c r="K3937" t="str">
        <f t="shared" si="985"/>
        <v>Y</v>
      </c>
      <c r="L3937">
        <v>0</v>
      </c>
      <c r="M3937" t="str">
        <f t="shared" si="990"/>
        <v>NIS</v>
      </c>
      <c r="O3937">
        <v>6</v>
      </c>
      <c r="P3937" t="str">
        <f>"Phase Out"</f>
        <v>Phase Out</v>
      </c>
      <c r="Q3937" t="str">
        <f>"Assembly, Dual Axis Air Vise Mechanicals"</f>
        <v>Assembly, Dual Axis Air Vise Mechanicals</v>
      </c>
      <c r="S3937" t="str">
        <f>"Assembly, Dual Axis Air Vise Mechanicals"</f>
        <v>Assembly, Dual Axis Air Vise Mechanicals</v>
      </c>
      <c r="T3937">
        <v>422.16</v>
      </c>
      <c r="U3937">
        <v>422</v>
      </c>
      <c r="V3937">
        <v>980.27</v>
      </c>
      <c r="W3937" t="str">
        <f t="shared" si="977"/>
        <v>rob</v>
      </c>
    </row>
    <row r="3938" spans="1:23">
      <c r="A3938" t="str">
        <f t="shared" si="992"/>
        <v>PROJ-MH5F-BASE</v>
      </c>
      <c r="B3938" t="str">
        <f>"10-2523-4000"</f>
        <v>10-2523-4000</v>
      </c>
      <c r="C3938" t="str">
        <f>"Solenoid Valve (24V) for Pipe 3 mm"</f>
        <v>Solenoid Valve (24V) for Pipe 3 mm</v>
      </c>
      <c r="D3938">
        <v>1</v>
      </c>
      <c r="E3938" t="str">
        <f t="shared" si="993"/>
        <v>Projects Station: MOTOMAN  MH5F</v>
      </c>
      <c r="F3938">
        <v>512</v>
      </c>
      <c r="G3938" t="str">
        <f t="shared" si="984"/>
        <v>Y</v>
      </c>
      <c r="H3938" t="str">
        <f t="shared" si="994"/>
        <v>EA</v>
      </c>
      <c r="I3938">
        <v>0</v>
      </c>
      <c r="J3938">
        <v>0</v>
      </c>
      <c r="K3938" t="str">
        <f t="shared" si="985"/>
        <v>Y</v>
      </c>
      <c r="L3938">
        <v>0</v>
      </c>
      <c r="M3938" t="str">
        <f t="shared" si="990"/>
        <v>NIS</v>
      </c>
      <c r="O3938">
        <v>7</v>
      </c>
      <c r="P3938" t="str">
        <f>"Active"</f>
        <v>Active</v>
      </c>
      <c r="Q3938" t="str">
        <f>"Solenoid Valve (24V) for Pipe 3 mm"</f>
        <v>Solenoid Valve (24V) for Pipe 3 mm</v>
      </c>
      <c r="S3938" t="str">
        <f>"Solenoid Valve (24V) for Pipe 3 mm"</f>
        <v>Solenoid Valve (24V) for Pipe 3 mm</v>
      </c>
      <c r="T3938">
        <v>0</v>
      </c>
      <c r="U3938">
        <v>137</v>
      </c>
      <c r="V3938">
        <v>133.35</v>
      </c>
      <c r="W3938" t="str">
        <f t="shared" si="977"/>
        <v>rob</v>
      </c>
    </row>
    <row r="3939" spans="1:23">
      <c r="A3939" t="str">
        <f t="shared" si="992"/>
        <v>PROJ-MH5F-BASE</v>
      </c>
      <c r="B3939" t="str">
        <f>"00-1284-0000"</f>
        <v>00-1284-0000</v>
      </c>
      <c r="C3939" t="str">
        <f>"Robot Pedestal Welded for ER9/14Pro&amp;MH5"</f>
        <v>Robot Pedestal Welded for ER9/14Pro&amp;MH5</v>
      </c>
      <c r="D3939">
        <v>1</v>
      </c>
      <c r="E3939" t="str">
        <f t="shared" si="993"/>
        <v>Projects Station: MOTOMAN  MH5F</v>
      </c>
      <c r="F3939">
        <v>512</v>
      </c>
      <c r="G3939" t="str">
        <f t="shared" si="984"/>
        <v>Y</v>
      </c>
      <c r="H3939" t="str">
        <f t="shared" si="994"/>
        <v>EA</v>
      </c>
      <c r="I3939">
        <v>0</v>
      </c>
      <c r="J3939">
        <v>0</v>
      </c>
      <c r="K3939" t="str">
        <f t="shared" si="985"/>
        <v>Y</v>
      </c>
      <c r="L3939">
        <v>0</v>
      </c>
      <c r="M3939" t="str">
        <f t="shared" si="990"/>
        <v>NIS</v>
      </c>
      <c r="O3939">
        <v>8</v>
      </c>
      <c r="P3939" t="str">
        <f>"Active"</f>
        <v>Active</v>
      </c>
      <c r="Q3939" t="str">
        <f>"Robot Pedestal Welded for ER9/14Pro&amp;MH5"</f>
        <v>Robot Pedestal Welded for ER9/14Pro&amp;MH5</v>
      </c>
      <c r="S3939" t="str">
        <f>"Robot Pedestal Welded for ER9/14Pro&amp;MH5"</f>
        <v>Robot Pedestal Welded for ER9/14Pro&amp;MH5</v>
      </c>
      <c r="T3939">
        <v>0</v>
      </c>
      <c r="U3939">
        <v>723.91</v>
      </c>
      <c r="V3939">
        <v>671.12</v>
      </c>
      <c r="W3939" t="str">
        <f t="shared" si="977"/>
        <v>rob</v>
      </c>
    </row>
    <row r="3940" spans="1:23">
      <c r="A3940" t="str">
        <f t="shared" si="992"/>
        <v>PROJ-MH5F-BASE</v>
      </c>
      <c r="B3940" t="str">
        <f>"00-1293-0000"</f>
        <v>00-1293-0000</v>
      </c>
      <c r="C3940" t="str">
        <f>"Mobile Workbench 1500x1140mm (incl. Wheels)"</f>
        <v>Mobile Workbench 1500x1140mm (incl. Wheels)</v>
      </c>
      <c r="D3940">
        <v>1</v>
      </c>
      <c r="E3940" t="str">
        <f t="shared" si="993"/>
        <v>Projects Station: MOTOMAN  MH5F</v>
      </c>
      <c r="F3940">
        <v>512</v>
      </c>
      <c r="G3940" t="str">
        <f t="shared" si="984"/>
        <v>Y</v>
      </c>
      <c r="H3940" t="str">
        <f t="shared" si="994"/>
        <v>EA</v>
      </c>
      <c r="I3940">
        <v>0</v>
      </c>
      <c r="J3940">
        <v>0</v>
      </c>
      <c r="K3940" t="str">
        <f t="shared" si="985"/>
        <v>Y</v>
      </c>
      <c r="L3940">
        <v>0</v>
      </c>
      <c r="M3940" t="str">
        <f t="shared" si="990"/>
        <v>NIS</v>
      </c>
      <c r="O3940">
        <v>9</v>
      </c>
      <c r="P3940" t="str">
        <f>"Active"</f>
        <v>Active</v>
      </c>
      <c r="Q3940" t="str">
        <f>"Mobile Workbench 1500x1140mm (incl. Wheels)"</f>
        <v>Mobile Workbench 1500x1140mm (incl. Wheels)</v>
      </c>
      <c r="S3940" t="str">
        <f>"Mobile Workbench 1500x1140mm (incl. Wheels)"</f>
        <v>Mobile Workbench 1500x1140mm (incl. Wheels)</v>
      </c>
      <c r="T3940">
        <v>0</v>
      </c>
      <c r="U3940">
        <v>860</v>
      </c>
      <c r="V3940">
        <v>809.36</v>
      </c>
      <c r="W3940" t="str">
        <f t="shared" si="977"/>
        <v>rob</v>
      </c>
    </row>
    <row r="3941" spans="1:23">
      <c r="A3941" t="str">
        <f t="shared" si="992"/>
        <v>PROJ-MH5F-BASE</v>
      </c>
      <c r="B3941" t="str">
        <f>"00-1290-0000"</f>
        <v>00-1290-0000</v>
      </c>
      <c r="C3941" t="str">
        <f>"PC Table 630x800mm (with Keyboard Drawer)"</f>
        <v>PC Table 630x800mm (with Keyboard Drawer)</v>
      </c>
      <c r="D3941">
        <v>1</v>
      </c>
      <c r="E3941" t="str">
        <f t="shared" si="993"/>
        <v>Projects Station: MOTOMAN  MH5F</v>
      </c>
      <c r="F3941">
        <v>512</v>
      </c>
      <c r="G3941" t="str">
        <f t="shared" si="984"/>
        <v>Y</v>
      </c>
      <c r="H3941" t="str">
        <f t="shared" si="994"/>
        <v>EA</v>
      </c>
      <c r="I3941">
        <v>0</v>
      </c>
      <c r="J3941">
        <v>0</v>
      </c>
      <c r="K3941" t="str">
        <f t="shared" si="985"/>
        <v>Y</v>
      </c>
      <c r="L3941">
        <v>0</v>
      </c>
      <c r="M3941" t="str">
        <f t="shared" si="990"/>
        <v>NIS</v>
      </c>
      <c r="O3941">
        <v>10</v>
      </c>
      <c r="P3941" t="str">
        <f>"Active"</f>
        <v>Active</v>
      </c>
      <c r="Q3941" t="str">
        <f>"PC Table 630x800mm (with Keyboard Drawer)"</f>
        <v>PC Table 630x800mm (with Keyboard Drawer)</v>
      </c>
      <c r="S3941" t="str">
        <f>"PC Table 630x800mm (with Keyboard Drawer)"</f>
        <v>PC Table 630x800mm (with Keyboard Drawer)</v>
      </c>
      <c r="T3941">
        <v>0</v>
      </c>
      <c r="U3941">
        <v>405.86</v>
      </c>
      <c r="V3941">
        <v>329.34</v>
      </c>
      <c r="W3941" t="str">
        <f t="shared" si="977"/>
        <v>rob</v>
      </c>
    </row>
    <row r="3942" spans="1:23">
      <c r="A3942" t="str">
        <f t="shared" si="992"/>
        <v>PROJ-MH5F-BASE</v>
      </c>
      <c r="B3942" t="str">
        <f>"50-0094-0000"</f>
        <v>50-0094-0000</v>
      </c>
      <c r="C3942" t="str">
        <f>"Pre-Engineering, Design and Testing"</f>
        <v>Pre-Engineering, Design and Testing</v>
      </c>
      <c r="D3942">
        <v>1</v>
      </c>
      <c r="E3942" t="str">
        <f t="shared" si="993"/>
        <v>Projects Station: MOTOMAN  MH5F</v>
      </c>
      <c r="F3942">
        <v>512</v>
      </c>
      <c r="G3942" t="str">
        <f t="shared" si="984"/>
        <v>Y</v>
      </c>
      <c r="H3942" t="str">
        <f>"DA"</f>
        <v>DA</v>
      </c>
      <c r="I3942">
        <v>0</v>
      </c>
      <c r="J3942">
        <v>0</v>
      </c>
      <c r="K3942" t="str">
        <f t="shared" si="985"/>
        <v>Y</v>
      </c>
      <c r="L3942">
        <v>0</v>
      </c>
      <c r="M3942" t="str">
        <f t="shared" si="990"/>
        <v>NIS</v>
      </c>
      <c r="O3942">
        <v>11</v>
      </c>
      <c r="P3942" t="str">
        <f>"Active"</f>
        <v>Active</v>
      </c>
      <c r="Q3942" t="str">
        <f>"Pre-Engineering, Design and Testing"</f>
        <v>Pre-Engineering, Design and Testing</v>
      </c>
      <c r="S3942" t="str">
        <f>"Pre-Engineering, Design and Testing"</f>
        <v>Pre-Engineering, Design and Testing</v>
      </c>
      <c r="T3942">
        <v>0</v>
      </c>
      <c r="U3942">
        <v>405</v>
      </c>
      <c r="V3942">
        <v>421.2</v>
      </c>
      <c r="W3942" t="str">
        <f t="shared" si="977"/>
        <v>rob</v>
      </c>
    </row>
    <row r="3943" spans="1:23">
      <c r="A3943" t="str">
        <f>"QC-CNV-VSN"</f>
        <v>QC-CNV-VSN</v>
      </c>
      <c r="B3943" t="str">
        <f>"00-1425-0000"</f>
        <v>00-1425-0000</v>
      </c>
      <c r="C3943" t="str">
        <f>"Viewflex for QC on Conveyor (Stand 400mm)"</f>
        <v>Viewflex for QC on Conveyor (Stand 400mm)</v>
      </c>
      <c r="D3943">
        <v>1</v>
      </c>
      <c r="E3943" t="str">
        <f>"Quality Control with ViewFlex Machine Vision System on Pallet Conveyor"</f>
        <v>Quality Control with ViewFlex Machine Vision System on Pallet Conveyor</v>
      </c>
      <c r="F3943">
        <v>505</v>
      </c>
      <c r="G3943" t="str">
        <f t="shared" si="984"/>
        <v>Y</v>
      </c>
      <c r="H3943" t="str">
        <f>"EA"</f>
        <v>EA</v>
      </c>
      <c r="I3943">
        <v>0</v>
      </c>
      <c r="J3943">
        <v>0</v>
      </c>
      <c r="K3943" t="str">
        <f t="shared" si="985"/>
        <v>Y</v>
      </c>
      <c r="L3943">
        <v>0</v>
      </c>
      <c r="M3943" t="str">
        <f t="shared" si="990"/>
        <v>NIS</v>
      </c>
      <c r="O3943">
        <v>1</v>
      </c>
      <c r="P3943" t="str">
        <f>"ECO-N2Buy"</f>
        <v>ECO-N2Buy</v>
      </c>
      <c r="Q3943" t="str">
        <f>"Viewflex for QC on Conveyor (Stand 400mm)"</f>
        <v>Viewflex for QC on Conveyor (Stand 400mm)</v>
      </c>
      <c r="S3943" t="str">
        <f>"Viewflex for QC on Conveyor (Stand 400mm)"</f>
        <v>Viewflex for QC on Conveyor (Stand 400mm)</v>
      </c>
      <c r="T3943">
        <v>0</v>
      </c>
      <c r="U3943">
        <v>550</v>
      </c>
      <c r="V3943">
        <v>526.66</v>
      </c>
      <c r="W3943" t="str">
        <f t="shared" si="977"/>
        <v>rob</v>
      </c>
    </row>
    <row r="3944" spans="1:23">
      <c r="A3944" t="str">
        <f>"QC-CNV-VSN"</f>
        <v>QC-CNV-VSN</v>
      </c>
      <c r="B3944" t="str">
        <f>"113316"</f>
        <v>113316</v>
      </c>
      <c r="C3944" t="str">
        <f>"Parts Bin"</f>
        <v>Parts Bin</v>
      </c>
      <c r="D3944">
        <v>1</v>
      </c>
      <c r="E3944" t="str">
        <f>"Quality Control with ViewFlex Machine Vision System on Pallet Conveyor"</f>
        <v>Quality Control with ViewFlex Machine Vision System on Pallet Conveyor</v>
      </c>
      <c r="F3944">
        <v>505</v>
      </c>
      <c r="G3944" t="str">
        <f t="shared" si="984"/>
        <v>Y</v>
      </c>
      <c r="H3944" t="str">
        <f>"EA"</f>
        <v>EA</v>
      </c>
      <c r="I3944">
        <v>0</v>
      </c>
      <c r="J3944">
        <v>0</v>
      </c>
      <c r="K3944" t="str">
        <f t="shared" si="985"/>
        <v>Y</v>
      </c>
      <c r="L3944">
        <v>0</v>
      </c>
      <c r="M3944" t="str">
        <f t="shared" si="990"/>
        <v>NIS</v>
      </c>
      <c r="O3944">
        <v>2</v>
      </c>
      <c r="P3944" t="str">
        <f t="shared" ref="P3944:P3975" si="995">"Active"</f>
        <v>Active</v>
      </c>
      <c r="Q3944" t="str">
        <f>"Parts Bin; Plastic Box"</f>
        <v>Parts Bin; Plastic Box</v>
      </c>
      <c r="R3944" t="str">
        <f>"1"</f>
        <v>1</v>
      </c>
      <c r="S3944" t="str">
        <f>"Parts Bin; Plastic Box"</f>
        <v>Parts Bin; Plastic Box</v>
      </c>
      <c r="T3944">
        <v>0</v>
      </c>
      <c r="U3944">
        <v>8.0399999999999991</v>
      </c>
      <c r="V3944">
        <v>6.39</v>
      </c>
      <c r="W3944" t="str">
        <f t="shared" si="977"/>
        <v>rob</v>
      </c>
    </row>
    <row r="3945" spans="1:23">
      <c r="A3945" t="str">
        <f>"QC-CNV-VSN"</f>
        <v>QC-CNV-VSN</v>
      </c>
      <c r="B3945" t="str">
        <f>"112713"</f>
        <v>112713</v>
      </c>
      <c r="C3945" t="str">
        <f>"Marked Aluminum Cylinder"</f>
        <v>Marked Aluminum Cylinder</v>
      </c>
      <c r="D3945">
        <v>3</v>
      </c>
      <c r="E3945" t="str">
        <f>"Quality Control with ViewFlex Machine Vision System on Pallet Conveyor"</f>
        <v>Quality Control with ViewFlex Machine Vision System on Pallet Conveyor</v>
      </c>
      <c r="F3945">
        <v>505</v>
      </c>
      <c r="G3945" t="str">
        <f t="shared" si="984"/>
        <v>Y</v>
      </c>
      <c r="H3945" t="str">
        <f>"EA"</f>
        <v>EA</v>
      </c>
      <c r="I3945">
        <v>0</v>
      </c>
      <c r="J3945">
        <v>0</v>
      </c>
      <c r="K3945" t="str">
        <f t="shared" si="985"/>
        <v>Y</v>
      </c>
      <c r="L3945">
        <v>0</v>
      </c>
      <c r="M3945" t="str">
        <f t="shared" si="990"/>
        <v>NIS</v>
      </c>
      <c r="O3945">
        <v>3</v>
      </c>
      <c r="P3945" t="str">
        <f t="shared" si="995"/>
        <v>Active</v>
      </c>
      <c r="Q3945" t="str">
        <f>"Mark Al. Cylinder Diam. 35x28 MicroCIM"</f>
        <v>Mark Al. Cylinder Diam. 35x28 MicroCIM</v>
      </c>
      <c r="S3945" t="str">
        <f>"Mark Al. Cylinder Diam. 35x28"</f>
        <v>Mark Al. Cylinder Diam. 35x28</v>
      </c>
      <c r="T3945">
        <v>0</v>
      </c>
      <c r="U3945">
        <v>6</v>
      </c>
      <c r="V3945">
        <v>5.97</v>
      </c>
      <c r="W3945" t="str">
        <f t="shared" si="977"/>
        <v>rob</v>
      </c>
    </row>
    <row r="3946" spans="1:23">
      <c r="A3946" t="str">
        <f>"QC-CNV-VSN"</f>
        <v>QC-CNV-VSN</v>
      </c>
      <c r="B3946" t="str">
        <f>"113096"</f>
        <v>113096</v>
      </c>
      <c r="C3946" t="str">
        <f>"Plexiglass Cylinders Base"</f>
        <v>Plexiglass Cylinders Base</v>
      </c>
      <c r="D3946">
        <v>3</v>
      </c>
      <c r="E3946" t="str">
        <f>"Quality Control with ViewFlex Machine Vision System on Pallet Conveyor"</f>
        <v>Quality Control with ViewFlex Machine Vision System on Pallet Conveyor</v>
      </c>
      <c r="F3946">
        <v>505</v>
      </c>
      <c r="G3946" t="str">
        <f t="shared" si="984"/>
        <v>Y</v>
      </c>
      <c r="H3946" t="str">
        <f>"EA"</f>
        <v>EA</v>
      </c>
      <c r="I3946">
        <v>0</v>
      </c>
      <c r="J3946">
        <v>0</v>
      </c>
      <c r="K3946" t="str">
        <f t="shared" si="985"/>
        <v>Y</v>
      </c>
      <c r="L3946">
        <v>0</v>
      </c>
      <c r="M3946" t="str">
        <f t="shared" si="990"/>
        <v>NIS</v>
      </c>
      <c r="O3946">
        <v>4</v>
      </c>
      <c r="P3946" t="str">
        <f t="shared" si="995"/>
        <v>Active</v>
      </c>
      <c r="Q3946" t="str">
        <f>"Plexiglass Cylinders Base MicroCIM"</f>
        <v>Plexiglass Cylinders Base MicroCIM</v>
      </c>
      <c r="S3946" t="str">
        <f>"Plexiglass Cylinders Base"</f>
        <v>Plexiglass Cylinders Base</v>
      </c>
      <c r="T3946">
        <v>0</v>
      </c>
      <c r="U3946">
        <v>7</v>
      </c>
      <c r="V3946">
        <v>6.83</v>
      </c>
      <c r="W3946" t="str">
        <f t="shared" ref="W3946:W4009" si="996">"rob"</f>
        <v>rob</v>
      </c>
    </row>
    <row r="3947" spans="1:23">
      <c r="A3947" t="str">
        <f>"QC-CNV-VSN"</f>
        <v>QC-CNV-VSN</v>
      </c>
      <c r="B3947" t="str">
        <f>"50-0094-0000"</f>
        <v>50-0094-0000</v>
      </c>
      <c r="C3947" t="str">
        <f>"Pre-Engineering, Design and Testing"</f>
        <v>Pre-Engineering, Design and Testing</v>
      </c>
      <c r="D3947">
        <v>1</v>
      </c>
      <c r="E3947" t="str">
        <f>"Quality Control with ViewFlex Machine Vision System on Pallet Conveyor"</f>
        <v>Quality Control with ViewFlex Machine Vision System on Pallet Conveyor</v>
      </c>
      <c r="F3947">
        <v>505</v>
      </c>
      <c r="G3947" t="str">
        <f t="shared" si="984"/>
        <v>Y</v>
      </c>
      <c r="H3947" t="str">
        <f>"DA"</f>
        <v>DA</v>
      </c>
      <c r="I3947">
        <v>0</v>
      </c>
      <c r="J3947">
        <v>0</v>
      </c>
      <c r="K3947" t="str">
        <f t="shared" si="985"/>
        <v>Y</v>
      </c>
      <c r="L3947">
        <v>0</v>
      </c>
      <c r="M3947" t="str">
        <f t="shared" si="990"/>
        <v>NIS</v>
      </c>
      <c r="O3947">
        <v>5</v>
      </c>
      <c r="P3947" t="str">
        <f t="shared" si="995"/>
        <v>Active</v>
      </c>
      <c r="Q3947" t="str">
        <f>"Pre-Engineering, Design and Testing"</f>
        <v>Pre-Engineering, Design and Testing</v>
      </c>
      <c r="S3947" t="str">
        <f>"Pre-Engineering, Design and Testing"</f>
        <v>Pre-Engineering, Design and Testing</v>
      </c>
      <c r="T3947">
        <v>0</v>
      </c>
      <c r="U3947">
        <v>405</v>
      </c>
      <c r="V3947">
        <v>421.2</v>
      </c>
      <c r="W3947" t="str">
        <f t="shared" si="996"/>
        <v>rob</v>
      </c>
    </row>
    <row r="3948" spans="1:23">
      <c r="A3948" t="str">
        <f t="shared" ref="A3948:A3963" si="997">"QC-ER14P-01"</f>
        <v>QC-ER14P-01</v>
      </c>
      <c r="B3948" t="str">
        <f>"00-0432-0000"</f>
        <v>00-0432-0000</v>
      </c>
      <c r="C3948" t="str">
        <f>"SCORA-ER 14Pro"</f>
        <v>SCORA-ER 14Pro</v>
      </c>
      <c r="D3948">
        <v>1</v>
      </c>
      <c r="E3948" t="str">
        <f t="shared" ref="E3948:E3963" si="998">"Quality Control with Scora-ER14, Scara Robot and ViewFlex Machine Vision System"</f>
        <v>Quality Control with Scora-ER14, Scara Robot and ViewFlex Machine Vision System</v>
      </c>
      <c r="F3948">
        <v>505</v>
      </c>
      <c r="G3948" t="str">
        <f t="shared" si="984"/>
        <v>Y</v>
      </c>
      <c r="H3948" t="str">
        <f t="shared" ref="H3948:H3962" si="999">"EA"</f>
        <v>EA</v>
      </c>
      <c r="I3948">
        <v>0</v>
      </c>
      <c r="J3948">
        <v>0</v>
      </c>
      <c r="K3948" t="str">
        <f t="shared" si="985"/>
        <v>Y</v>
      </c>
      <c r="L3948">
        <v>0</v>
      </c>
      <c r="M3948" t="str">
        <f t="shared" si="990"/>
        <v>NIS</v>
      </c>
      <c r="O3948">
        <v>1</v>
      </c>
      <c r="P3948" t="str">
        <f t="shared" si="995"/>
        <v>Active</v>
      </c>
      <c r="Q3948" t="str">
        <f>"SCORA-ER 14Pro (incl. USB-Pro Controller)"</f>
        <v>SCORA-ER 14Pro (incl. USB-Pro Controller)</v>
      </c>
      <c r="S3948" t="str">
        <f>"SCORA-ER 14Pro (incl. USB-Pro Controller)"</f>
        <v>SCORA-ER 14Pro (incl. USB-Pro Controller)</v>
      </c>
      <c r="T3948">
        <v>0</v>
      </c>
      <c r="U3948" s="44">
        <v>11400</v>
      </c>
      <c r="V3948" s="44">
        <v>12383.77</v>
      </c>
      <c r="W3948" t="str">
        <f t="shared" si="996"/>
        <v>rob</v>
      </c>
    </row>
    <row r="3949" spans="1:23">
      <c r="A3949" t="str">
        <f t="shared" si="997"/>
        <v>QC-ER14P-01</v>
      </c>
      <c r="B3949" t="str">
        <f>"00-0634-0000"</f>
        <v>00-0634-0000</v>
      </c>
      <c r="C3949" t="str">
        <f>"Pneumatic Gripper for ER 14Pro"</f>
        <v>Pneumatic Gripper for ER 14Pro</v>
      </c>
      <c r="D3949">
        <v>1</v>
      </c>
      <c r="E3949" t="str">
        <f t="shared" si="998"/>
        <v>Quality Control with Scora-ER14, Scara Robot and ViewFlex Machine Vision System</v>
      </c>
      <c r="F3949">
        <v>505</v>
      </c>
      <c r="G3949" t="str">
        <f t="shared" si="984"/>
        <v>Y</v>
      </c>
      <c r="H3949" t="str">
        <f t="shared" si="999"/>
        <v>EA</v>
      </c>
      <c r="I3949">
        <v>0</v>
      </c>
      <c r="J3949">
        <v>0</v>
      </c>
      <c r="K3949" t="str">
        <f t="shared" si="985"/>
        <v>Y</v>
      </c>
      <c r="L3949">
        <v>0</v>
      </c>
      <c r="M3949" t="str">
        <f t="shared" si="990"/>
        <v>NIS</v>
      </c>
      <c r="O3949">
        <v>2</v>
      </c>
      <c r="P3949" t="str">
        <f t="shared" si="995"/>
        <v>Active</v>
      </c>
      <c r="Q3949" t="str">
        <f>"Pneumatic Gripper for ER 14Pro"</f>
        <v>Pneumatic Gripper for ER 14Pro</v>
      </c>
      <c r="S3949" t="str">
        <f>"Pneumatic Gripper for ER 14Pro"</f>
        <v>Pneumatic Gripper for ER 14Pro</v>
      </c>
      <c r="T3949">
        <v>0</v>
      </c>
      <c r="U3949">
        <v>651</v>
      </c>
      <c r="V3949">
        <v>647.6</v>
      </c>
      <c r="W3949" t="str">
        <f t="shared" si="996"/>
        <v>rob</v>
      </c>
    </row>
    <row r="3950" spans="1:23">
      <c r="A3950" t="str">
        <f t="shared" si="997"/>
        <v>QC-ER14P-01</v>
      </c>
      <c r="B3950" t="str">
        <f>"00-1710-0000"</f>
        <v>00-1710-0000</v>
      </c>
      <c r="C3950" t="str">
        <f>"Teach Pendant"</f>
        <v>Teach Pendant</v>
      </c>
      <c r="D3950">
        <v>1</v>
      </c>
      <c r="E3950" t="str">
        <f t="shared" si="998"/>
        <v>Quality Control with Scora-ER14, Scara Robot and ViewFlex Machine Vision System</v>
      </c>
      <c r="F3950">
        <v>505</v>
      </c>
      <c r="G3950" t="str">
        <f t="shared" si="984"/>
        <v>Y</v>
      </c>
      <c r="H3950" t="str">
        <f t="shared" si="999"/>
        <v>EA</v>
      </c>
      <c r="I3950">
        <v>0</v>
      </c>
      <c r="J3950">
        <v>0</v>
      </c>
      <c r="K3950" t="str">
        <f t="shared" si="985"/>
        <v>Y</v>
      </c>
      <c r="L3950">
        <v>0</v>
      </c>
      <c r="M3950" t="str">
        <f t="shared" si="990"/>
        <v>NIS</v>
      </c>
      <c r="O3950">
        <v>3</v>
      </c>
      <c r="P3950" t="str">
        <f t="shared" si="995"/>
        <v>Active</v>
      </c>
      <c r="Q3950" t="str">
        <f>"Teach Pendant for USB/USB Pro Controllers"</f>
        <v>Teach Pendant for USB/USB Pro Controllers</v>
      </c>
      <c r="S3950" t="str">
        <f>"Teach Pendant for USB/USB Pro Controllers"</f>
        <v>Teach Pendant for USB/USB Pro Controllers</v>
      </c>
      <c r="T3950">
        <v>0</v>
      </c>
      <c r="U3950">
        <v>160.18</v>
      </c>
      <c r="V3950">
        <v>161.44999999999999</v>
      </c>
      <c r="W3950" t="str">
        <f t="shared" si="996"/>
        <v>rob</v>
      </c>
    </row>
    <row r="3951" spans="1:23">
      <c r="A3951" t="str">
        <f t="shared" si="997"/>
        <v>QC-ER14P-01</v>
      </c>
      <c r="B3951" t="str">
        <f>"034025"</f>
        <v>034025</v>
      </c>
      <c r="C3951" t="str">
        <f>"I/O Interface Box for Controller USB-PRO"</f>
        <v>I/O Interface Box for Controller USB-PRO</v>
      </c>
      <c r="D3951">
        <v>1</v>
      </c>
      <c r="E3951" t="str">
        <f t="shared" si="998"/>
        <v>Quality Control with Scora-ER14, Scara Robot and ViewFlex Machine Vision System</v>
      </c>
      <c r="F3951">
        <v>505</v>
      </c>
      <c r="G3951" t="str">
        <f t="shared" si="984"/>
        <v>Y</v>
      </c>
      <c r="H3951" t="str">
        <f t="shared" si="999"/>
        <v>EA</v>
      </c>
      <c r="I3951">
        <v>0</v>
      </c>
      <c r="J3951">
        <v>0</v>
      </c>
      <c r="K3951" t="str">
        <f t="shared" si="985"/>
        <v>Y</v>
      </c>
      <c r="L3951">
        <v>0</v>
      </c>
      <c r="M3951" t="str">
        <f t="shared" si="990"/>
        <v>NIS</v>
      </c>
      <c r="O3951">
        <v>4</v>
      </c>
      <c r="P3951" t="str">
        <f t="shared" si="995"/>
        <v>Active</v>
      </c>
      <c r="Q3951" t="str">
        <f>"I/O Interface Box for Controller USB-PRO"</f>
        <v>I/O Interface Box for Controller USB-PRO</v>
      </c>
      <c r="S3951" t="str">
        <f>"קופסת 2+Interface Box I/O כבלים לבקר USBPRO"</f>
        <v>קופסת 2+Interface Box I/O כבלים לבקר USBPRO</v>
      </c>
      <c r="T3951">
        <v>0</v>
      </c>
      <c r="U3951">
        <v>470</v>
      </c>
      <c r="V3951">
        <v>463.62</v>
      </c>
      <c r="W3951" t="str">
        <f t="shared" si="996"/>
        <v>rob</v>
      </c>
    </row>
    <row r="3952" spans="1:23">
      <c r="A3952" t="str">
        <f t="shared" si="997"/>
        <v>QC-ER14P-01</v>
      </c>
      <c r="B3952" t="str">
        <f>"10-2104-9000"</f>
        <v>10-2104-9000</v>
      </c>
      <c r="C3952" t="str">
        <f>"Single Buffer for Slotted Table"</f>
        <v>Single Buffer for Slotted Table</v>
      </c>
      <c r="D3952">
        <v>3</v>
      </c>
      <c r="E3952" t="str">
        <f t="shared" si="998"/>
        <v>Quality Control with Scora-ER14, Scara Robot and ViewFlex Machine Vision System</v>
      </c>
      <c r="F3952">
        <v>505</v>
      </c>
      <c r="G3952" t="str">
        <f t="shared" si="984"/>
        <v>Y</v>
      </c>
      <c r="H3952" t="str">
        <f t="shared" si="999"/>
        <v>EA</v>
      </c>
      <c r="I3952">
        <v>0</v>
      </c>
      <c r="J3952">
        <v>0</v>
      </c>
      <c r="K3952" t="str">
        <f t="shared" si="985"/>
        <v>Y</v>
      </c>
      <c r="L3952">
        <v>0</v>
      </c>
      <c r="M3952" t="str">
        <f t="shared" si="990"/>
        <v>NIS</v>
      </c>
      <c r="O3952">
        <v>5</v>
      </c>
      <c r="P3952" t="str">
        <f t="shared" si="995"/>
        <v>Active</v>
      </c>
      <c r="Q3952" t="str">
        <f>"Single Buffer for Slotted Table(+height adapter)"</f>
        <v>Single Buffer for Slotted Table(+height adapter)</v>
      </c>
      <c r="S3952" t="str">
        <f>"Single Buffer for Slotted Table(+height adapter)"</f>
        <v>Single Buffer for Slotted Table(+height adapter)</v>
      </c>
      <c r="T3952">
        <v>0</v>
      </c>
      <c r="U3952">
        <v>26</v>
      </c>
      <c r="V3952">
        <v>25.49</v>
      </c>
      <c r="W3952" t="str">
        <f t="shared" si="996"/>
        <v>rob</v>
      </c>
    </row>
    <row r="3953" spans="1:23">
      <c r="A3953" t="str">
        <f t="shared" si="997"/>
        <v>QC-ER14P-01</v>
      </c>
      <c r="B3953" t="str">
        <f>"00-1110-0000"</f>
        <v>00-1110-0000</v>
      </c>
      <c r="C3953" t="str">
        <f>"Palletizing Rack"</f>
        <v>Palletizing Rack</v>
      </c>
      <c r="D3953">
        <v>2</v>
      </c>
      <c r="E3953" t="str">
        <f t="shared" si="998"/>
        <v>Quality Control with Scora-ER14, Scara Robot and ViewFlex Machine Vision System</v>
      </c>
      <c r="F3953">
        <v>505</v>
      </c>
      <c r="G3953" t="str">
        <f t="shared" si="984"/>
        <v>Y</v>
      </c>
      <c r="H3953" t="str">
        <f t="shared" si="999"/>
        <v>EA</v>
      </c>
      <c r="I3953">
        <v>0</v>
      </c>
      <c r="J3953">
        <v>0</v>
      </c>
      <c r="K3953" t="str">
        <f t="shared" si="985"/>
        <v>Y</v>
      </c>
      <c r="L3953">
        <v>0</v>
      </c>
      <c r="M3953" t="str">
        <f t="shared" si="990"/>
        <v>NIS</v>
      </c>
      <c r="O3953">
        <v>6</v>
      </c>
      <c r="P3953" t="str">
        <f t="shared" si="995"/>
        <v>Active</v>
      </c>
      <c r="Q3953" t="str">
        <f>"Palletizing Rack (incl. Pins for creating Jigs)"</f>
        <v>Palletizing Rack (incl. Pins for creating Jigs)</v>
      </c>
      <c r="S3953" t="str">
        <f>"Palletizing Rack (incl. Pins for creating Jigs)"</f>
        <v>Palletizing Rack (incl. Pins for creating Jigs)</v>
      </c>
      <c r="T3953">
        <v>0</v>
      </c>
      <c r="U3953">
        <v>63</v>
      </c>
      <c r="V3953">
        <v>58.59</v>
      </c>
      <c r="W3953" t="str">
        <f t="shared" si="996"/>
        <v>rob</v>
      </c>
    </row>
    <row r="3954" spans="1:23">
      <c r="A3954" t="str">
        <f t="shared" si="997"/>
        <v>QC-ER14P-01</v>
      </c>
      <c r="B3954" t="str">
        <f>"021172"</f>
        <v>021172</v>
      </c>
      <c r="C3954" t="str">
        <f>"30mm Height Adapter -Rack 001110 on table 001249"</f>
        <v>30mm Height Adapter -Rack 001110 on table 001249</v>
      </c>
      <c r="D3954">
        <v>2</v>
      </c>
      <c r="E3954" t="str">
        <f t="shared" si="998"/>
        <v>Quality Control with Scora-ER14, Scara Robot and ViewFlex Machine Vision System</v>
      </c>
      <c r="F3954">
        <v>505</v>
      </c>
      <c r="G3954" t="str">
        <f t="shared" si="984"/>
        <v>Y</v>
      </c>
      <c r="H3954" t="str">
        <f t="shared" si="999"/>
        <v>EA</v>
      </c>
      <c r="I3954">
        <v>0</v>
      </c>
      <c r="J3954">
        <v>0</v>
      </c>
      <c r="K3954" t="str">
        <f t="shared" si="985"/>
        <v>Y</v>
      </c>
      <c r="L3954">
        <v>0</v>
      </c>
      <c r="M3954" t="str">
        <f t="shared" si="990"/>
        <v>NIS</v>
      </c>
      <c r="O3954">
        <v>7</v>
      </c>
      <c r="P3954" t="str">
        <f t="shared" si="995"/>
        <v>Active</v>
      </c>
      <c r="Q3954" t="str">
        <f>"30mm Height Adapter -Rack 001110 on table 001249"</f>
        <v>30mm Height Adapter -Rack 001110 on table 001249</v>
      </c>
      <c r="S3954" t="str">
        <f>"30mm Height Adapter -Rack 001110 on table 001249"</f>
        <v>30mm Height Adapter -Rack 001110 on table 001249</v>
      </c>
      <c r="T3954">
        <v>0</v>
      </c>
      <c r="U3954">
        <v>13.12</v>
      </c>
      <c r="V3954">
        <v>13.44</v>
      </c>
      <c r="W3954" t="str">
        <f t="shared" si="996"/>
        <v>rob</v>
      </c>
    </row>
    <row r="3955" spans="1:23">
      <c r="A3955" t="str">
        <f t="shared" si="997"/>
        <v>QC-ER14P-01</v>
      </c>
      <c r="B3955" t="str">
        <f>"00-1013-0000"</f>
        <v>00-1013-0000</v>
      </c>
      <c r="C3955" t="str">
        <f>"Linear Positioning Table 300mm"</f>
        <v>Linear Positioning Table 300mm</v>
      </c>
      <c r="D3955">
        <v>1</v>
      </c>
      <c r="E3955" t="str">
        <f t="shared" si="998"/>
        <v>Quality Control with Scora-ER14, Scara Robot and ViewFlex Machine Vision System</v>
      </c>
      <c r="F3955">
        <v>505</v>
      </c>
      <c r="G3955" t="str">
        <f t="shared" si="984"/>
        <v>Y</v>
      </c>
      <c r="H3955" t="str">
        <f t="shared" si="999"/>
        <v>EA</v>
      </c>
      <c r="I3955">
        <v>0</v>
      </c>
      <c r="J3955">
        <v>0</v>
      </c>
      <c r="K3955" t="str">
        <f t="shared" si="985"/>
        <v>Y</v>
      </c>
      <c r="L3955">
        <v>0</v>
      </c>
      <c r="M3955" t="str">
        <f t="shared" si="990"/>
        <v>NIS</v>
      </c>
      <c r="O3955">
        <v>8</v>
      </c>
      <c r="P3955" t="str">
        <f t="shared" si="995"/>
        <v>Active</v>
      </c>
      <c r="Q3955" t="str">
        <f>"Linear Positioning Table 300mm (Belt Drive, 24V)"</f>
        <v>Linear Positioning Table 300mm (Belt Drive, 24V)</v>
      </c>
      <c r="S3955" t="str">
        <f>"Linear Positioning Table 300mm (Belt Drive, 24V)"</f>
        <v>Linear Positioning Table 300mm (Belt Drive, 24V)</v>
      </c>
      <c r="T3955">
        <v>0</v>
      </c>
      <c r="U3955">
        <v>894.02</v>
      </c>
      <c r="V3955">
        <v>879.29</v>
      </c>
      <c r="W3955" t="str">
        <f t="shared" si="996"/>
        <v>rob</v>
      </c>
    </row>
    <row r="3956" spans="1:23">
      <c r="A3956" t="str">
        <f t="shared" si="997"/>
        <v>QC-ER14P-01</v>
      </c>
      <c r="B3956" t="str">
        <f>"00-1422-0000"</f>
        <v>00-1422-0000</v>
      </c>
      <c r="C3956" t="str">
        <f>"Viewflex for QC (Stand 400mm)"</f>
        <v>Viewflex for QC (Stand 400mm)</v>
      </c>
      <c r="D3956">
        <v>1</v>
      </c>
      <c r="E3956" t="str">
        <f t="shared" si="998"/>
        <v>Quality Control with Scora-ER14, Scara Robot and ViewFlex Machine Vision System</v>
      </c>
      <c r="F3956">
        <v>505</v>
      </c>
      <c r="G3956" t="str">
        <f t="shared" si="984"/>
        <v>Y</v>
      </c>
      <c r="H3956" t="str">
        <f t="shared" si="999"/>
        <v>EA</v>
      </c>
      <c r="I3956">
        <v>0</v>
      </c>
      <c r="J3956">
        <v>0</v>
      </c>
      <c r="K3956" t="str">
        <f t="shared" si="985"/>
        <v>Y</v>
      </c>
      <c r="L3956">
        <v>0</v>
      </c>
      <c r="M3956" t="str">
        <f t="shared" si="990"/>
        <v>NIS</v>
      </c>
      <c r="O3956">
        <v>9</v>
      </c>
      <c r="P3956" t="str">
        <f t="shared" si="995"/>
        <v>Active</v>
      </c>
      <c r="Q3956" t="str">
        <f>"Viewflex for QC (Stand 400mm)"</f>
        <v>Viewflex for QC (Stand 400mm)</v>
      </c>
      <c r="S3956" t="str">
        <f>"Viewflex for QC (Stand 400mm)"</f>
        <v>Viewflex for QC (Stand 400mm)</v>
      </c>
      <c r="T3956">
        <v>0</v>
      </c>
      <c r="U3956">
        <v>560</v>
      </c>
      <c r="V3956">
        <v>511.35</v>
      </c>
      <c r="W3956" t="str">
        <f t="shared" si="996"/>
        <v>rob</v>
      </c>
    </row>
    <row r="3957" spans="1:23">
      <c r="A3957" t="str">
        <f t="shared" si="997"/>
        <v>QC-ER14P-01</v>
      </c>
      <c r="B3957" t="str">
        <f>"113096"</f>
        <v>113096</v>
      </c>
      <c r="C3957" t="str">
        <f>"Plexiglass Cylinders Base"</f>
        <v>Plexiglass Cylinders Base</v>
      </c>
      <c r="D3957">
        <v>3</v>
      </c>
      <c r="E3957" t="str">
        <f t="shared" si="998"/>
        <v>Quality Control with Scora-ER14, Scara Robot and ViewFlex Machine Vision System</v>
      </c>
      <c r="F3957">
        <v>505</v>
      </c>
      <c r="G3957" t="str">
        <f t="shared" si="984"/>
        <v>Y</v>
      </c>
      <c r="H3957" t="str">
        <f t="shared" si="999"/>
        <v>EA</v>
      </c>
      <c r="I3957">
        <v>0</v>
      </c>
      <c r="J3957">
        <v>0</v>
      </c>
      <c r="K3957" t="str">
        <f t="shared" si="985"/>
        <v>Y</v>
      </c>
      <c r="L3957">
        <v>0</v>
      </c>
      <c r="M3957" t="str">
        <f t="shared" si="990"/>
        <v>NIS</v>
      </c>
      <c r="O3957">
        <v>10</v>
      </c>
      <c r="P3957" t="str">
        <f t="shared" si="995"/>
        <v>Active</v>
      </c>
      <c r="Q3957" t="str">
        <f>"Plexiglass Cylinders Base MicroCIM"</f>
        <v>Plexiglass Cylinders Base MicroCIM</v>
      </c>
      <c r="S3957" t="str">
        <f>"Plexiglass Cylinders Base"</f>
        <v>Plexiglass Cylinders Base</v>
      </c>
      <c r="T3957">
        <v>0</v>
      </c>
      <c r="U3957">
        <v>7</v>
      </c>
      <c r="V3957">
        <v>6.83</v>
      </c>
      <c r="W3957" t="str">
        <f t="shared" si="996"/>
        <v>rob</v>
      </c>
    </row>
    <row r="3958" spans="1:23">
      <c r="A3958" t="str">
        <f t="shared" si="997"/>
        <v>QC-ER14P-01</v>
      </c>
      <c r="B3958" t="str">
        <f>"112713"</f>
        <v>112713</v>
      </c>
      <c r="C3958" t="str">
        <f>"Marked Aluminum Cylinder"</f>
        <v>Marked Aluminum Cylinder</v>
      </c>
      <c r="D3958">
        <v>3</v>
      </c>
      <c r="E3958" t="str">
        <f t="shared" si="998"/>
        <v>Quality Control with Scora-ER14, Scara Robot and ViewFlex Machine Vision System</v>
      </c>
      <c r="F3958">
        <v>505</v>
      </c>
      <c r="G3958" t="str">
        <f t="shared" si="984"/>
        <v>Y</v>
      </c>
      <c r="H3958" t="str">
        <f t="shared" si="999"/>
        <v>EA</v>
      </c>
      <c r="I3958">
        <v>0</v>
      </c>
      <c r="J3958">
        <v>0</v>
      </c>
      <c r="K3958" t="str">
        <f t="shared" si="985"/>
        <v>Y</v>
      </c>
      <c r="L3958">
        <v>0</v>
      </c>
      <c r="M3958" t="str">
        <f t="shared" si="990"/>
        <v>NIS</v>
      </c>
      <c r="O3958">
        <v>11</v>
      </c>
      <c r="P3958" t="str">
        <f t="shared" si="995"/>
        <v>Active</v>
      </c>
      <c r="Q3958" t="str">
        <f>"Mark Al. Cylinder Diam. 35x28 MicroCIM"</f>
        <v>Mark Al. Cylinder Diam. 35x28 MicroCIM</v>
      </c>
      <c r="S3958" t="str">
        <f>"Mark Al. Cylinder Diam. 35x28"</f>
        <v>Mark Al. Cylinder Diam. 35x28</v>
      </c>
      <c r="T3958">
        <v>0</v>
      </c>
      <c r="U3958">
        <v>6</v>
      </c>
      <c r="V3958">
        <v>5.97</v>
      </c>
      <c r="W3958" t="str">
        <f t="shared" si="996"/>
        <v>rob</v>
      </c>
    </row>
    <row r="3959" spans="1:23">
      <c r="A3959" t="str">
        <f t="shared" si="997"/>
        <v>QC-ER14P-01</v>
      </c>
      <c r="B3959" t="str">
        <f>"113316"</f>
        <v>113316</v>
      </c>
      <c r="C3959" t="str">
        <f>"Parts Bin"</f>
        <v>Parts Bin</v>
      </c>
      <c r="D3959">
        <v>1</v>
      </c>
      <c r="E3959" t="str">
        <f t="shared" si="998"/>
        <v>Quality Control with Scora-ER14, Scara Robot and ViewFlex Machine Vision System</v>
      </c>
      <c r="F3959">
        <v>505</v>
      </c>
      <c r="G3959" t="str">
        <f t="shared" si="984"/>
        <v>Y</v>
      </c>
      <c r="H3959" t="str">
        <f t="shared" si="999"/>
        <v>EA</v>
      </c>
      <c r="I3959">
        <v>0</v>
      </c>
      <c r="J3959">
        <v>0</v>
      </c>
      <c r="K3959" t="str">
        <f t="shared" si="985"/>
        <v>Y</v>
      </c>
      <c r="L3959">
        <v>0</v>
      </c>
      <c r="M3959" t="str">
        <f t="shared" si="990"/>
        <v>NIS</v>
      </c>
      <c r="O3959">
        <v>12</v>
      </c>
      <c r="P3959" t="str">
        <f t="shared" si="995"/>
        <v>Active</v>
      </c>
      <c r="Q3959" t="str">
        <f>"Parts Bin; Plastic Box"</f>
        <v>Parts Bin; Plastic Box</v>
      </c>
      <c r="R3959" t="str">
        <f>"1"</f>
        <v>1</v>
      </c>
      <c r="S3959" t="str">
        <f>"Parts Bin; Plastic Box"</f>
        <v>Parts Bin; Plastic Box</v>
      </c>
      <c r="T3959">
        <v>0</v>
      </c>
      <c r="U3959">
        <v>8.0399999999999991</v>
      </c>
      <c r="V3959">
        <v>6.39</v>
      </c>
      <c r="W3959" t="str">
        <f t="shared" si="996"/>
        <v>rob</v>
      </c>
    </row>
    <row r="3960" spans="1:23">
      <c r="A3960" t="str">
        <f t="shared" si="997"/>
        <v>QC-ER14P-01</v>
      </c>
      <c r="B3960" t="str">
        <f>"00-1249-0000"</f>
        <v>00-1249-0000</v>
      </c>
      <c r="C3960" t="str">
        <f>"Workbench 1500x800mm (slotted aluminum top)"</f>
        <v>Workbench 1500x800mm (slotted aluminum top)</v>
      </c>
      <c r="D3960">
        <v>1</v>
      </c>
      <c r="E3960" t="str">
        <f t="shared" si="998"/>
        <v>Quality Control with Scora-ER14, Scara Robot and ViewFlex Machine Vision System</v>
      </c>
      <c r="F3960">
        <v>505</v>
      </c>
      <c r="G3960" t="str">
        <f t="shared" si="984"/>
        <v>Y</v>
      </c>
      <c r="H3960" t="str">
        <f t="shared" si="999"/>
        <v>EA</v>
      </c>
      <c r="I3960">
        <v>0</v>
      </c>
      <c r="J3960">
        <v>0</v>
      </c>
      <c r="K3960" t="str">
        <f t="shared" si="985"/>
        <v>Y</v>
      </c>
      <c r="L3960">
        <v>0</v>
      </c>
      <c r="M3960" t="str">
        <f t="shared" si="990"/>
        <v>NIS</v>
      </c>
      <c r="O3960">
        <v>13</v>
      </c>
      <c r="P3960" t="str">
        <f t="shared" si="995"/>
        <v>Active</v>
      </c>
      <c r="Q3960" t="str">
        <f>"Workbench 1500x800mm (slotted aluminum top)"</f>
        <v>Workbench 1500x800mm (slotted aluminum top)</v>
      </c>
      <c r="S3960" t="str">
        <f>"Workbench 1500x800mm (slotted aluminum top)"</f>
        <v>Workbench 1500x800mm (slotted aluminum top)</v>
      </c>
      <c r="T3960">
        <v>0</v>
      </c>
      <c r="U3960" s="44">
        <v>1100</v>
      </c>
      <c r="V3960" s="44">
        <v>1083.57</v>
      </c>
      <c r="W3960" t="str">
        <f t="shared" si="996"/>
        <v>rob</v>
      </c>
    </row>
    <row r="3961" spans="1:23">
      <c r="A3961" t="str">
        <f t="shared" si="997"/>
        <v>QC-ER14P-01</v>
      </c>
      <c r="B3961" t="str">
        <f>"00-1241-0000"</f>
        <v>00-1241-0000</v>
      </c>
      <c r="C3961" t="str">
        <f>"Adapter Mounting Plate for ER9/14Pro &amp; HP3"</f>
        <v>Adapter Mounting Plate for ER9/14Pro &amp; HP3</v>
      </c>
      <c r="D3961">
        <v>1</v>
      </c>
      <c r="E3961" t="str">
        <f t="shared" si="998"/>
        <v>Quality Control with Scora-ER14, Scara Robot and ViewFlex Machine Vision System</v>
      </c>
      <c r="F3961">
        <v>505</v>
      </c>
      <c r="G3961" t="str">
        <f t="shared" si="984"/>
        <v>Y</v>
      </c>
      <c r="H3961" t="str">
        <f t="shared" si="999"/>
        <v>EA</v>
      </c>
      <c r="I3961">
        <v>0</v>
      </c>
      <c r="J3961">
        <v>0</v>
      </c>
      <c r="K3961" t="str">
        <f t="shared" si="985"/>
        <v>Y</v>
      </c>
      <c r="L3961">
        <v>0</v>
      </c>
      <c r="M3961" t="str">
        <f t="shared" si="990"/>
        <v>NIS</v>
      </c>
      <c r="O3961">
        <v>14</v>
      </c>
      <c r="P3961" t="str">
        <f t="shared" si="995"/>
        <v>Active</v>
      </c>
      <c r="Q3961" t="str">
        <f>"Adapter Mounting Plate for ER9/14Pro &amp; HP3"</f>
        <v>Adapter Mounting Plate for ER9/14Pro &amp; HP3</v>
      </c>
      <c r="S3961" t="str">
        <f>"Adapter Mounting Plate for ER9/14Pro &amp; HP3"</f>
        <v>Adapter Mounting Plate for ER9/14Pro &amp; HP3</v>
      </c>
      <c r="T3961">
        <v>0</v>
      </c>
      <c r="U3961">
        <v>145</v>
      </c>
      <c r="V3961">
        <v>153.93</v>
      </c>
      <c r="W3961" t="str">
        <f t="shared" si="996"/>
        <v>rob</v>
      </c>
    </row>
    <row r="3962" spans="1:23">
      <c r="A3962" t="str">
        <f t="shared" si="997"/>
        <v>QC-ER14P-01</v>
      </c>
      <c r="B3962" t="str">
        <f>"00-1260-0000"</f>
        <v>00-1260-0000</v>
      </c>
      <c r="C3962" t="str">
        <f>"PC Extension Shelf  600x800mm"</f>
        <v>PC Extension Shelf  600x800mm</v>
      </c>
      <c r="D3962">
        <v>1</v>
      </c>
      <c r="E3962" t="str">
        <f t="shared" si="998"/>
        <v>Quality Control with Scora-ER14, Scara Robot and ViewFlex Machine Vision System</v>
      </c>
      <c r="F3962">
        <v>505</v>
      </c>
      <c r="G3962" t="str">
        <f t="shared" si="984"/>
        <v>Y</v>
      </c>
      <c r="H3962" t="str">
        <f t="shared" si="999"/>
        <v>EA</v>
      </c>
      <c r="I3962">
        <v>0</v>
      </c>
      <c r="J3962">
        <v>0</v>
      </c>
      <c r="K3962" t="str">
        <f t="shared" si="985"/>
        <v>Y</v>
      </c>
      <c r="L3962">
        <v>0</v>
      </c>
      <c r="M3962" t="str">
        <f t="shared" si="990"/>
        <v>NIS</v>
      </c>
      <c r="O3962">
        <v>15</v>
      </c>
      <c r="P3962" t="str">
        <f t="shared" si="995"/>
        <v>Active</v>
      </c>
      <c r="Q3962" t="str">
        <f>"PC Extension Shelf  600x800mm"</f>
        <v>PC Extension Shelf  600x800mm</v>
      </c>
      <c r="S3962" t="str">
        <f>"PC Extension Shelf  600x800mm"</f>
        <v>PC Extension Shelf  600x800mm</v>
      </c>
      <c r="T3962">
        <v>0</v>
      </c>
      <c r="U3962">
        <v>192</v>
      </c>
      <c r="V3962">
        <v>195.4</v>
      </c>
      <c r="W3962" t="str">
        <f t="shared" si="996"/>
        <v>rob</v>
      </c>
    </row>
    <row r="3963" spans="1:23">
      <c r="A3963" t="str">
        <f t="shared" si="997"/>
        <v>QC-ER14P-01</v>
      </c>
      <c r="B3963" t="str">
        <f>"50-0094-0000"</f>
        <v>50-0094-0000</v>
      </c>
      <c r="C3963" t="str">
        <f>"Pre-Engineering, Design and Testing"</f>
        <v>Pre-Engineering, Design and Testing</v>
      </c>
      <c r="D3963">
        <v>1</v>
      </c>
      <c r="E3963" t="str">
        <f t="shared" si="998"/>
        <v>Quality Control with Scora-ER14, Scara Robot and ViewFlex Machine Vision System</v>
      </c>
      <c r="F3963">
        <v>505</v>
      </c>
      <c r="G3963" t="str">
        <f t="shared" si="984"/>
        <v>Y</v>
      </c>
      <c r="H3963" t="str">
        <f>"DA"</f>
        <v>DA</v>
      </c>
      <c r="I3963">
        <v>0</v>
      </c>
      <c r="J3963">
        <v>0</v>
      </c>
      <c r="K3963" t="str">
        <f t="shared" si="985"/>
        <v>Y</v>
      </c>
      <c r="L3963">
        <v>0</v>
      </c>
      <c r="M3963" t="str">
        <f t="shared" si="990"/>
        <v>NIS</v>
      </c>
      <c r="O3963">
        <v>16</v>
      </c>
      <c r="P3963" t="str">
        <f t="shared" si="995"/>
        <v>Active</v>
      </c>
      <c r="Q3963" t="str">
        <f>"Pre-Engineering, Design and Testing"</f>
        <v>Pre-Engineering, Design and Testing</v>
      </c>
      <c r="S3963" t="str">
        <f>"Pre-Engineering, Design and Testing"</f>
        <v>Pre-Engineering, Design and Testing</v>
      </c>
      <c r="T3963">
        <v>0</v>
      </c>
      <c r="U3963">
        <v>405</v>
      </c>
      <c r="V3963">
        <v>421.2</v>
      </c>
      <c r="W3963" t="str">
        <f t="shared" si="996"/>
        <v>rob</v>
      </c>
    </row>
    <row r="3964" spans="1:23">
      <c r="A3964" t="str">
        <f t="shared" ref="A3964:A3981" si="1000">"QC-ER14P-02"</f>
        <v>QC-ER14P-02</v>
      </c>
      <c r="B3964" t="str">
        <f>"00-0432-0000"</f>
        <v>00-0432-0000</v>
      </c>
      <c r="C3964" t="str">
        <f>"SCORA-ER 14Pro"</f>
        <v>SCORA-ER 14Pro</v>
      </c>
      <c r="D3964">
        <v>1</v>
      </c>
      <c r="E3964" t="str">
        <f t="shared" ref="E3964:E3981" si="1001">"QC: Robot ER14 (Vision &amp; Caliper)"</f>
        <v>QC: Robot ER14 (Vision &amp; Caliper)</v>
      </c>
      <c r="F3964">
        <v>505</v>
      </c>
      <c r="G3964" t="str">
        <f t="shared" si="984"/>
        <v>Y</v>
      </c>
      <c r="H3964" t="str">
        <f t="shared" ref="H3964:H3980" si="1002">"EA"</f>
        <v>EA</v>
      </c>
      <c r="I3964">
        <v>0</v>
      </c>
      <c r="J3964">
        <v>0</v>
      </c>
      <c r="K3964" t="str">
        <f t="shared" si="985"/>
        <v>Y</v>
      </c>
      <c r="L3964">
        <v>0</v>
      </c>
      <c r="M3964" t="str">
        <f t="shared" si="990"/>
        <v>NIS</v>
      </c>
      <c r="O3964">
        <v>1</v>
      </c>
      <c r="P3964" t="str">
        <f t="shared" si="995"/>
        <v>Active</v>
      </c>
      <c r="Q3964" t="str">
        <f>"SCORA-ER 14Pro (incl. USB-Pro Controller)"</f>
        <v>SCORA-ER 14Pro (incl. USB-Pro Controller)</v>
      </c>
      <c r="S3964" t="str">
        <f>"SCORA-ER 14Pro (incl. USB-Pro Controller)"</f>
        <v>SCORA-ER 14Pro (incl. USB-Pro Controller)</v>
      </c>
      <c r="T3964">
        <v>0</v>
      </c>
      <c r="U3964" s="44">
        <v>11400</v>
      </c>
      <c r="V3964" s="44">
        <v>12383.77</v>
      </c>
      <c r="W3964" t="str">
        <f t="shared" si="996"/>
        <v>rob</v>
      </c>
    </row>
    <row r="3965" spans="1:23">
      <c r="A3965" t="str">
        <f t="shared" si="1000"/>
        <v>QC-ER14P-02</v>
      </c>
      <c r="B3965" t="str">
        <f>"00-0634-0000"</f>
        <v>00-0634-0000</v>
      </c>
      <c r="C3965" t="str">
        <f>"Pneumatic Gripper for ER 14Pro"</f>
        <v>Pneumatic Gripper for ER 14Pro</v>
      </c>
      <c r="D3965">
        <v>1</v>
      </c>
      <c r="E3965" t="str">
        <f t="shared" si="1001"/>
        <v>QC: Robot ER14 (Vision &amp; Caliper)</v>
      </c>
      <c r="F3965">
        <v>505</v>
      </c>
      <c r="G3965" t="str">
        <f t="shared" si="984"/>
        <v>Y</v>
      </c>
      <c r="H3965" t="str">
        <f t="shared" si="1002"/>
        <v>EA</v>
      </c>
      <c r="I3965">
        <v>0</v>
      </c>
      <c r="J3965">
        <v>0</v>
      </c>
      <c r="K3965" t="str">
        <f t="shared" si="985"/>
        <v>Y</v>
      </c>
      <c r="L3965">
        <v>0</v>
      </c>
      <c r="M3965" t="str">
        <f t="shared" si="990"/>
        <v>NIS</v>
      </c>
      <c r="O3965">
        <v>2</v>
      </c>
      <c r="P3965" t="str">
        <f t="shared" si="995"/>
        <v>Active</v>
      </c>
      <c r="Q3965" t="str">
        <f>"Pneumatic Gripper for ER 14Pro"</f>
        <v>Pneumatic Gripper for ER 14Pro</v>
      </c>
      <c r="S3965" t="str">
        <f>"Pneumatic Gripper for ER 14Pro"</f>
        <v>Pneumatic Gripper for ER 14Pro</v>
      </c>
      <c r="T3965">
        <v>0</v>
      </c>
      <c r="U3965">
        <v>651</v>
      </c>
      <c r="V3965">
        <v>647.6</v>
      </c>
      <c r="W3965" t="str">
        <f t="shared" si="996"/>
        <v>rob</v>
      </c>
    </row>
    <row r="3966" spans="1:23">
      <c r="A3966" t="str">
        <f t="shared" si="1000"/>
        <v>QC-ER14P-02</v>
      </c>
      <c r="B3966" t="str">
        <f>"00-1710-0000"</f>
        <v>00-1710-0000</v>
      </c>
      <c r="C3966" t="str">
        <f>"Teach Pendant"</f>
        <v>Teach Pendant</v>
      </c>
      <c r="D3966">
        <v>1</v>
      </c>
      <c r="E3966" t="str">
        <f t="shared" si="1001"/>
        <v>QC: Robot ER14 (Vision &amp; Caliper)</v>
      </c>
      <c r="F3966">
        <v>505</v>
      </c>
      <c r="G3966" t="str">
        <f t="shared" si="984"/>
        <v>Y</v>
      </c>
      <c r="H3966" t="str">
        <f t="shared" si="1002"/>
        <v>EA</v>
      </c>
      <c r="I3966">
        <v>0</v>
      </c>
      <c r="J3966">
        <v>0</v>
      </c>
      <c r="K3966" t="str">
        <f t="shared" si="985"/>
        <v>Y</v>
      </c>
      <c r="L3966">
        <v>0</v>
      </c>
      <c r="M3966" t="str">
        <f t="shared" si="990"/>
        <v>NIS</v>
      </c>
      <c r="O3966">
        <v>3</v>
      </c>
      <c r="P3966" t="str">
        <f t="shared" si="995"/>
        <v>Active</v>
      </c>
      <c r="Q3966" t="str">
        <f>"Teach Pendant for USB/USB Pro Controllers"</f>
        <v>Teach Pendant for USB/USB Pro Controllers</v>
      </c>
      <c r="S3966" t="str">
        <f>"Teach Pendant for USB/USB Pro Controllers"</f>
        <v>Teach Pendant for USB/USB Pro Controllers</v>
      </c>
      <c r="T3966">
        <v>0</v>
      </c>
      <c r="U3966">
        <v>160.18</v>
      </c>
      <c r="V3966">
        <v>161.44999999999999</v>
      </c>
      <c r="W3966" t="str">
        <f t="shared" si="996"/>
        <v>rob</v>
      </c>
    </row>
    <row r="3967" spans="1:23">
      <c r="A3967" t="str">
        <f t="shared" si="1000"/>
        <v>QC-ER14P-02</v>
      </c>
      <c r="B3967" t="str">
        <f>"034025"</f>
        <v>034025</v>
      </c>
      <c r="C3967" t="str">
        <f>"I/O Interface Box for Controller USB-PRO"</f>
        <v>I/O Interface Box for Controller USB-PRO</v>
      </c>
      <c r="D3967">
        <v>1</v>
      </c>
      <c r="E3967" t="str">
        <f t="shared" si="1001"/>
        <v>QC: Robot ER14 (Vision &amp; Caliper)</v>
      </c>
      <c r="F3967">
        <v>505</v>
      </c>
      <c r="G3967" t="str">
        <f t="shared" si="984"/>
        <v>Y</v>
      </c>
      <c r="H3967" t="str">
        <f t="shared" si="1002"/>
        <v>EA</v>
      </c>
      <c r="I3967">
        <v>0</v>
      </c>
      <c r="J3967">
        <v>0</v>
      </c>
      <c r="K3967" t="str">
        <f t="shared" si="985"/>
        <v>Y</v>
      </c>
      <c r="L3967">
        <v>0</v>
      </c>
      <c r="M3967" t="str">
        <f t="shared" si="990"/>
        <v>NIS</v>
      </c>
      <c r="O3967">
        <v>4</v>
      </c>
      <c r="P3967" t="str">
        <f t="shared" si="995"/>
        <v>Active</v>
      </c>
      <c r="Q3967" t="str">
        <f>"I/O Interface Box for Controller USB-PRO"</f>
        <v>I/O Interface Box for Controller USB-PRO</v>
      </c>
      <c r="S3967" t="str">
        <f>"קופסת 2+Interface Box I/O כבלים לבקר USBPRO"</f>
        <v>קופסת 2+Interface Box I/O כבלים לבקר USBPRO</v>
      </c>
      <c r="T3967">
        <v>0</v>
      </c>
      <c r="U3967">
        <v>470</v>
      </c>
      <c r="V3967">
        <v>463.62</v>
      </c>
      <c r="W3967" t="str">
        <f t="shared" si="996"/>
        <v>rob</v>
      </c>
    </row>
    <row r="3968" spans="1:23">
      <c r="A3968" t="str">
        <f t="shared" si="1000"/>
        <v>QC-ER14P-02</v>
      </c>
      <c r="B3968" t="str">
        <f>"10-2104-9000"</f>
        <v>10-2104-9000</v>
      </c>
      <c r="C3968" t="str">
        <f>"Single Buffer for Slotted Table"</f>
        <v>Single Buffer for Slotted Table</v>
      </c>
      <c r="D3968">
        <v>3</v>
      </c>
      <c r="E3968" t="str">
        <f t="shared" si="1001"/>
        <v>QC: Robot ER14 (Vision &amp; Caliper)</v>
      </c>
      <c r="F3968">
        <v>505</v>
      </c>
      <c r="G3968" t="str">
        <f t="shared" si="984"/>
        <v>Y</v>
      </c>
      <c r="H3968" t="str">
        <f t="shared" si="1002"/>
        <v>EA</v>
      </c>
      <c r="I3968">
        <v>0</v>
      </c>
      <c r="J3968">
        <v>0</v>
      </c>
      <c r="K3968" t="str">
        <f t="shared" si="985"/>
        <v>Y</v>
      </c>
      <c r="L3968">
        <v>0</v>
      </c>
      <c r="M3968" t="str">
        <f t="shared" si="990"/>
        <v>NIS</v>
      </c>
      <c r="O3968">
        <v>5</v>
      </c>
      <c r="P3968" t="str">
        <f t="shared" si="995"/>
        <v>Active</v>
      </c>
      <c r="Q3968" t="str">
        <f>"Single Buffer for Slotted Table(+height adapter)"</f>
        <v>Single Buffer for Slotted Table(+height adapter)</v>
      </c>
      <c r="S3968" t="str">
        <f>"Single Buffer for Slotted Table(+height adapter)"</f>
        <v>Single Buffer for Slotted Table(+height adapter)</v>
      </c>
      <c r="T3968">
        <v>0</v>
      </c>
      <c r="U3968">
        <v>26</v>
      </c>
      <c r="V3968">
        <v>25.49</v>
      </c>
      <c r="W3968" t="str">
        <f t="shared" si="996"/>
        <v>rob</v>
      </c>
    </row>
    <row r="3969" spans="1:23">
      <c r="A3969" t="str">
        <f t="shared" si="1000"/>
        <v>QC-ER14P-02</v>
      </c>
      <c r="B3969" t="str">
        <f>"00-1110-0000"</f>
        <v>00-1110-0000</v>
      </c>
      <c r="C3969" t="str">
        <f>"Palletizing Rack"</f>
        <v>Palletizing Rack</v>
      </c>
      <c r="D3969">
        <v>2</v>
      </c>
      <c r="E3969" t="str">
        <f t="shared" si="1001"/>
        <v>QC: Robot ER14 (Vision &amp; Caliper)</v>
      </c>
      <c r="F3969">
        <v>505</v>
      </c>
      <c r="G3969" t="str">
        <f t="shared" si="984"/>
        <v>Y</v>
      </c>
      <c r="H3969" t="str">
        <f t="shared" si="1002"/>
        <v>EA</v>
      </c>
      <c r="I3969">
        <v>0</v>
      </c>
      <c r="J3969">
        <v>0</v>
      </c>
      <c r="K3969" t="str">
        <f t="shared" si="985"/>
        <v>Y</v>
      </c>
      <c r="L3969">
        <v>0</v>
      </c>
      <c r="M3969" t="str">
        <f t="shared" si="990"/>
        <v>NIS</v>
      </c>
      <c r="O3969">
        <v>6</v>
      </c>
      <c r="P3969" t="str">
        <f t="shared" si="995"/>
        <v>Active</v>
      </c>
      <c r="Q3969" t="str">
        <f>"Palletizing Rack (incl. Pins for creating Jigs)"</f>
        <v>Palletizing Rack (incl. Pins for creating Jigs)</v>
      </c>
      <c r="S3969" t="str">
        <f>"Palletizing Rack (incl. Pins for creating Jigs)"</f>
        <v>Palletizing Rack (incl. Pins for creating Jigs)</v>
      </c>
      <c r="T3969">
        <v>0</v>
      </c>
      <c r="U3969">
        <v>63</v>
      </c>
      <c r="V3969">
        <v>58.59</v>
      </c>
      <c r="W3969" t="str">
        <f t="shared" si="996"/>
        <v>rob</v>
      </c>
    </row>
    <row r="3970" spans="1:23">
      <c r="A3970" t="str">
        <f t="shared" si="1000"/>
        <v>QC-ER14P-02</v>
      </c>
      <c r="B3970" t="str">
        <f>"021172"</f>
        <v>021172</v>
      </c>
      <c r="C3970" t="str">
        <f>"30mm Height Adapter -Rack 001110 on table 001249"</f>
        <v>30mm Height Adapter -Rack 001110 on table 001249</v>
      </c>
      <c r="D3970">
        <v>2</v>
      </c>
      <c r="E3970" t="str">
        <f t="shared" si="1001"/>
        <v>QC: Robot ER14 (Vision &amp; Caliper)</v>
      </c>
      <c r="F3970">
        <v>505</v>
      </c>
      <c r="G3970" t="str">
        <f t="shared" ref="G3970:G4033" si="1003">"Y"</f>
        <v>Y</v>
      </c>
      <c r="H3970" t="str">
        <f t="shared" si="1002"/>
        <v>EA</v>
      </c>
      <c r="I3970">
        <v>0</v>
      </c>
      <c r="J3970">
        <v>0</v>
      </c>
      <c r="K3970" t="str">
        <f t="shared" ref="K3970:K4033" si="1004">"Y"</f>
        <v>Y</v>
      </c>
      <c r="L3970">
        <v>0</v>
      </c>
      <c r="M3970" t="str">
        <f t="shared" si="990"/>
        <v>NIS</v>
      </c>
      <c r="O3970">
        <v>7</v>
      </c>
      <c r="P3970" t="str">
        <f t="shared" si="995"/>
        <v>Active</v>
      </c>
      <c r="Q3970" t="str">
        <f>"30mm Height Adapter -Rack 001110 on table 001249"</f>
        <v>30mm Height Adapter -Rack 001110 on table 001249</v>
      </c>
      <c r="S3970" t="str">
        <f>"30mm Height Adapter -Rack 001110 on table 001249"</f>
        <v>30mm Height Adapter -Rack 001110 on table 001249</v>
      </c>
      <c r="T3970">
        <v>0</v>
      </c>
      <c r="U3970">
        <v>13.12</v>
      </c>
      <c r="V3970">
        <v>13.44</v>
      </c>
      <c r="W3970" t="str">
        <f t="shared" si="996"/>
        <v>rob</v>
      </c>
    </row>
    <row r="3971" spans="1:23">
      <c r="A3971" t="str">
        <f t="shared" si="1000"/>
        <v>QC-ER14P-02</v>
      </c>
      <c r="B3971" t="str">
        <f>"00-1013-0000"</f>
        <v>00-1013-0000</v>
      </c>
      <c r="C3971" t="str">
        <f>"Linear Positioning Table 300mm"</f>
        <v>Linear Positioning Table 300mm</v>
      </c>
      <c r="D3971">
        <v>1</v>
      </c>
      <c r="E3971" t="str">
        <f t="shared" si="1001"/>
        <v>QC: Robot ER14 (Vision &amp; Caliper)</v>
      </c>
      <c r="F3971">
        <v>505</v>
      </c>
      <c r="G3971" t="str">
        <f t="shared" si="1003"/>
        <v>Y</v>
      </c>
      <c r="H3971" t="str">
        <f t="shared" si="1002"/>
        <v>EA</v>
      </c>
      <c r="I3971">
        <v>0</v>
      </c>
      <c r="J3971">
        <v>0</v>
      </c>
      <c r="K3971" t="str">
        <f t="shared" si="1004"/>
        <v>Y</v>
      </c>
      <c r="L3971">
        <v>0</v>
      </c>
      <c r="M3971" t="str">
        <f t="shared" si="990"/>
        <v>NIS</v>
      </c>
      <c r="O3971">
        <v>8</v>
      </c>
      <c r="P3971" t="str">
        <f t="shared" si="995"/>
        <v>Active</v>
      </c>
      <c r="Q3971" t="str">
        <f>"Linear Positioning Table 300mm (Belt Drive, 24V)"</f>
        <v>Linear Positioning Table 300mm (Belt Drive, 24V)</v>
      </c>
      <c r="S3971" t="str">
        <f>"Linear Positioning Table 300mm (Belt Drive, 24V)"</f>
        <v>Linear Positioning Table 300mm (Belt Drive, 24V)</v>
      </c>
      <c r="T3971">
        <v>0</v>
      </c>
      <c r="U3971">
        <v>894.02</v>
      </c>
      <c r="V3971">
        <v>879.29</v>
      </c>
      <c r="W3971" t="str">
        <f t="shared" si="996"/>
        <v>rob</v>
      </c>
    </row>
    <row r="3972" spans="1:23">
      <c r="A3972" t="str">
        <f t="shared" si="1000"/>
        <v>QC-ER14P-02</v>
      </c>
      <c r="B3972" t="str">
        <f>"00-1422-0000"</f>
        <v>00-1422-0000</v>
      </c>
      <c r="C3972" t="str">
        <f>"Viewflex for QC (Stand 400mm)"</f>
        <v>Viewflex for QC (Stand 400mm)</v>
      </c>
      <c r="D3972">
        <v>1</v>
      </c>
      <c r="E3972" t="str">
        <f t="shared" si="1001"/>
        <v>QC: Robot ER14 (Vision &amp; Caliper)</v>
      </c>
      <c r="F3972">
        <v>505</v>
      </c>
      <c r="G3972" t="str">
        <f t="shared" si="1003"/>
        <v>Y</v>
      </c>
      <c r="H3972" t="str">
        <f t="shared" si="1002"/>
        <v>EA</v>
      </c>
      <c r="I3972">
        <v>0</v>
      </c>
      <c r="J3972">
        <v>0</v>
      </c>
      <c r="K3972" t="str">
        <f t="shared" si="1004"/>
        <v>Y</v>
      </c>
      <c r="L3972">
        <v>0</v>
      </c>
      <c r="M3972" t="str">
        <f t="shared" si="990"/>
        <v>NIS</v>
      </c>
      <c r="O3972">
        <v>9</v>
      </c>
      <c r="P3972" t="str">
        <f t="shared" si="995"/>
        <v>Active</v>
      </c>
      <c r="Q3972" t="str">
        <f>"Viewflex for QC (Stand 400mm)"</f>
        <v>Viewflex for QC (Stand 400mm)</v>
      </c>
      <c r="S3972" t="str">
        <f>"Viewflex for QC (Stand 400mm)"</f>
        <v>Viewflex for QC (Stand 400mm)</v>
      </c>
      <c r="T3972">
        <v>0</v>
      </c>
      <c r="U3972">
        <v>560</v>
      </c>
      <c r="V3972">
        <v>511.35</v>
      </c>
      <c r="W3972" t="str">
        <f t="shared" si="996"/>
        <v>rob</v>
      </c>
    </row>
    <row r="3973" spans="1:23">
      <c r="A3973" t="str">
        <f t="shared" si="1000"/>
        <v>QC-ER14P-02</v>
      </c>
      <c r="B3973" t="str">
        <f>"113096"</f>
        <v>113096</v>
      </c>
      <c r="C3973" t="str">
        <f>"Plexiglass Cylinders Base"</f>
        <v>Plexiglass Cylinders Base</v>
      </c>
      <c r="D3973">
        <v>3</v>
      </c>
      <c r="E3973" t="str">
        <f t="shared" si="1001"/>
        <v>QC: Robot ER14 (Vision &amp; Caliper)</v>
      </c>
      <c r="F3973">
        <v>505</v>
      </c>
      <c r="G3973" t="str">
        <f t="shared" si="1003"/>
        <v>Y</v>
      </c>
      <c r="H3973" t="str">
        <f t="shared" si="1002"/>
        <v>EA</v>
      </c>
      <c r="I3973">
        <v>0</v>
      </c>
      <c r="J3973">
        <v>0</v>
      </c>
      <c r="K3973" t="str">
        <f t="shared" si="1004"/>
        <v>Y</v>
      </c>
      <c r="L3973">
        <v>0</v>
      </c>
      <c r="M3973" t="str">
        <f t="shared" si="990"/>
        <v>NIS</v>
      </c>
      <c r="O3973">
        <v>10</v>
      </c>
      <c r="P3973" t="str">
        <f t="shared" si="995"/>
        <v>Active</v>
      </c>
      <c r="Q3973" t="str">
        <f>"Plexiglass Cylinders Base MicroCIM"</f>
        <v>Plexiglass Cylinders Base MicroCIM</v>
      </c>
      <c r="S3973" t="str">
        <f>"Plexiglass Cylinders Base"</f>
        <v>Plexiglass Cylinders Base</v>
      </c>
      <c r="T3973">
        <v>0</v>
      </c>
      <c r="U3973">
        <v>7</v>
      </c>
      <c r="V3973">
        <v>6.83</v>
      </c>
      <c r="W3973" t="str">
        <f t="shared" si="996"/>
        <v>rob</v>
      </c>
    </row>
    <row r="3974" spans="1:23">
      <c r="A3974" t="str">
        <f t="shared" si="1000"/>
        <v>QC-ER14P-02</v>
      </c>
      <c r="B3974" t="str">
        <f>"112713"</f>
        <v>112713</v>
      </c>
      <c r="C3974" t="str">
        <f>"Marked Aluminum Cylinder"</f>
        <v>Marked Aluminum Cylinder</v>
      </c>
      <c r="D3974">
        <v>3</v>
      </c>
      <c r="E3974" t="str">
        <f t="shared" si="1001"/>
        <v>QC: Robot ER14 (Vision &amp; Caliper)</v>
      </c>
      <c r="F3974">
        <v>505</v>
      </c>
      <c r="G3974" t="str">
        <f t="shared" si="1003"/>
        <v>Y</v>
      </c>
      <c r="H3974" t="str">
        <f t="shared" si="1002"/>
        <v>EA</v>
      </c>
      <c r="I3974">
        <v>0</v>
      </c>
      <c r="J3974">
        <v>0</v>
      </c>
      <c r="K3974" t="str">
        <f t="shared" si="1004"/>
        <v>Y</v>
      </c>
      <c r="L3974">
        <v>0</v>
      </c>
      <c r="M3974" t="str">
        <f t="shared" si="990"/>
        <v>NIS</v>
      </c>
      <c r="O3974">
        <v>11</v>
      </c>
      <c r="P3974" t="str">
        <f t="shared" si="995"/>
        <v>Active</v>
      </c>
      <c r="Q3974" t="str">
        <f>"Mark Al. Cylinder Diam. 35x28 MicroCIM"</f>
        <v>Mark Al. Cylinder Diam. 35x28 MicroCIM</v>
      </c>
      <c r="S3974" t="str">
        <f>"Mark Al. Cylinder Diam. 35x28"</f>
        <v>Mark Al. Cylinder Diam. 35x28</v>
      </c>
      <c r="T3974">
        <v>0</v>
      </c>
      <c r="U3974">
        <v>6</v>
      </c>
      <c r="V3974">
        <v>5.97</v>
      </c>
      <c r="W3974" t="str">
        <f t="shared" si="996"/>
        <v>rob</v>
      </c>
    </row>
    <row r="3975" spans="1:23">
      <c r="A3975" t="str">
        <f t="shared" si="1000"/>
        <v>QC-ER14P-02</v>
      </c>
      <c r="B3975" t="str">
        <f>"113316"</f>
        <v>113316</v>
      </c>
      <c r="C3975" t="str">
        <f>"Parts Bin"</f>
        <v>Parts Bin</v>
      </c>
      <c r="D3975">
        <v>1</v>
      </c>
      <c r="E3975" t="str">
        <f t="shared" si="1001"/>
        <v>QC: Robot ER14 (Vision &amp; Caliper)</v>
      </c>
      <c r="F3975">
        <v>505</v>
      </c>
      <c r="G3975" t="str">
        <f t="shared" si="1003"/>
        <v>Y</v>
      </c>
      <c r="H3975" t="str">
        <f t="shared" si="1002"/>
        <v>EA</v>
      </c>
      <c r="I3975">
        <v>0</v>
      </c>
      <c r="J3975">
        <v>0</v>
      </c>
      <c r="K3975" t="str">
        <f t="shared" si="1004"/>
        <v>Y</v>
      </c>
      <c r="L3975">
        <v>0</v>
      </c>
      <c r="M3975" t="str">
        <f t="shared" si="990"/>
        <v>NIS</v>
      </c>
      <c r="O3975">
        <v>12</v>
      </c>
      <c r="P3975" t="str">
        <f t="shared" si="995"/>
        <v>Active</v>
      </c>
      <c r="Q3975" t="str">
        <f>"Parts Bin; Plastic Box"</f>
        <v>Parts Bin; Plastic Box</v>
      </c>
      <c r="R3975" t="str">
        <f>"1"</f>
        <v>1</v>
      </c>
      <c r="S3975" t="str">
        <f>"Parts Bin; Plastic Box"</f>
        <v>Parts Bin; Plastic Box</v>
      </c>
      <c r="T3975">
        <v>0</v>
      </c>
      <c r="U3975">
        <v>8.0399999999999991</v>
      </c>
      <c r="V3975">
        <v>6.39</v>
      </c>
      <c r="W3975" t="str">
        <f t="shared" si="996"/>
        <v>rob</v>
      </c>
    </row>
    <row r="3976" spans="1:23">
      <c r="A3976" t="str">
        <f t="shared" si="1000"/>
        <v>QC-ER14P-02</v>
      </c>
      <c r="B3976" t="str">
        <f>"00-1254-0000"</f>
        <v>00-1254-0000</v>
      </c>
      <c r="C3976" t="str">
        <f>"Automated Stationary Caliper Unit"</f>
        <v>Automated Stationary Caliper Unit</v>
      </c>
      <c r="D3976">
        <v>1</v>
      </c>
      <c r="E3976" t="str">
        <f t="shared" si="1001"/>
        <v>QC: Robot ER14 (Vision &amp; Caliper)</v>
      </c>
      <c r="F3976">
        <v>505</v>
      </c>
      <c r="G3976" t="str">
        <f t="shared" si="1003"/>
        <v>Y</v>
      </c>
      <c r="H3976" t="str">
        <f t="shared" si="1002"/>
        <v>EA</v>
      </c>
      <c r="I3976">
        <v>0</v>
      </c>
      <c r="J3976">
        <v>0</v>
      </c>
      <c r="K3976" t="str">
        <f t="shared" si="1004"/>
        <v>Y</v>
      </c>
      <c r="L3976">
        <v>0</v>
      </c>
      <c r="M3976" t="str">
        <f t="shared" si="990"/>
        <v>NIS</v>
      </c>
      <c r="O3976">
        <v>13</v>
      </c>
      <c r="P3976" t="str">
        <f t="shared" ref="P3976:P4007" si="1005">"Active"</f>
        <v>Active</v>
      </c>
      <c r="Q3976" t="str">
        <f>"Automat Stationary Caliper  Unit"</f>
        <v>Automat Stationary Caliper  Unit</v>
      </c>
      <c r="S3976" t="str">
        <f>"Automat Stationary Caliper  Unit"</f>
        <v>Automat Stationary Caliper  Unit</v>
      </c>
      <c r="T3976">
        <v>0</v>
      </c>
      <c r="U3976" s="44">
        <v>1165.92</v>
      </c>
      <c r="V3976" s="44">
        <v>1246.44</v>
      </c>
      <c r="W3976" t="str">
        <f t="shared" si="996"/>
        <v>rob</v>
      </c>
    </row>
    <row r="3977" spans="1:23">
      <c r="A3977" t="str">
        <f t="shared" si="1000"/>
        <v>QC-ER14P-02</v>
      </c>
      <c r="B3977" t="str">
        <f>"113316"</f>
        <v>113316</v>
      </c>
      <c r="C3977" t="str">
        <f>"Parts Bin"</f>
        <v>Parts Bin</v>
      </c>
      <c r="D3977">
        <v>1</v>
      </c>
      <c r="E3977" t="str">
        <f t="shared" si="1001"/>
        <v>QC: Robot ER14 (Vision &amp; Caliper)</v>
      </c>
      <c r="F3977">
        <v>505</v>
      </c>
      <c r="G3977" t="str">
        <f t="shared" si="1003"/>
        <v>Y</v>
      </c>
      <c r="H3977" t="str">
        <f t="shared" si="1002"/>
        <v>EA</v>
      </c>
      <c r="I3977">
        <v>0</v>
      </c>
      <c r="J3977">
        <v>0</v>
      </c>
      <c r="K3977" t="str">
        <f t="shared" si="1004"/>
        <v>Y</v>
      </c>
      <c r="L3977">
        <v>0</v>
      </c>
      <c r="M3977" t="str">
        <f t="shared" si="990"/>
        <v>NIS</v>
      </c>
      <c r="O3977">
        <v>14</v>
      </c>
      <c r="P3977" t="str">
        <f t="shared" si="1005"/>
        <v>Active</v>
      </c>
      <c r="Q3977" t="str">
        <f>"Parts Bin; Plastic Box"</f>
        <v>Parts Bin; Plastic Box</v>
      </c>
      <c r="R3977" t="str">
        <f>"1"</f>
        <v>1</v>
      </c>
      <c r="S3977" t="str">
        <f>"Parts Bin; Plastic Box"</f>
        <v>Parts Bin; Plastic Box</v>
      </c>
      <c r="T3977">
        <v>0</v>
      </c>
      <c r="U3977">
        <v>8.0399999999999991</v>
      </c>
      <c r="V3977">
        <v>6.39</v>
      </c>
      <c r="W3977" t="str">
        <f t="shared" si="996"/>
        <v>rob</v>
      </c>
    </row>
    <row r="3978" spans="1:23">
      <c r="A3978" t="str">
        <f t="shared" si="1000"/>
        <v>QC-ER14P-02</v>
      </c>
      <c r="B3978" t="str">
        <f>"00-1249-0000"</f>
        <v>00-1249-0000</v>
      </c>
      <c r="C3978" t="str">
        <f>"Workbench 1500x800mm (slotted aluminum top)"</f>
        <v>Workbench 1500x800mm (slotted aluminum top)</v>
      </c>
      <c r="D3978">
        <v>1</v>
      </c>
      <c r="E3978" t="str">
        <f t="shared" si="1001"/>
        <v>QC: Robot ER14 (Vision &amp; Caliper)</v>
      </c>
      <c r="F3978">
        <v>505</v>
      </c>
      <c r="G3978" t="str">
        <f t="shared" si="1003"/>
        <v>Y</v>
      </c>
      <c r="H3978" t="str">
        <f t="shared" si="1002"/>
        <v>EA</v>
      </c>
      <c r="I3978">
        <v>0</v>
      </c>
      <c r="J3978">
        <v>0</v>
      </c>
      <c r="K3978" t="str">
        <f t="shared" si="1004"/>
        <v>Y</v>
      </c>
      <c r="L3978">
        <v>0</v>
      </c>
      <c r="M3978" t="str">
        <f t="shared" si="990"/>
        <v>NIS</v>
      </c>
      <c r="O3978">
        <v>15</v>
      </c>
      <c r="P3978" t="str">
        <f t="shared" si="1005"/>
        <v>Active</v>
      </c>
      <c r="Q3978" t="str">
        <f>"Workbench 1500x800mm (slotted aluminum top)"</f>
        <v>Workbench 1500x800mm (slotted aluminum top)</v>
      </c>
      <c r="S3978" t="str">
        <f>"Workbench 1500x800mm (slotted aluminum top)"</f>
        <v>Workbench 1500x800mm (slotted aluminum top)</v>
      </c>
      <c r="T3978">
        <v>0</v>
      </c>
      <c r="U3978" s="44">
        <v>1100</v>
      </c>
      <c r="V3978" s="44">
        <v>1083.57</v>
      </c>
      <c r="W3978" t="str">
        <f t="shared" si="996"/>
        <v>rob</v>
      </c>
    </row>
    <row r="3979" spans="1:23">
      <c r="A3979" t="str">
        <f t="shared" si="1000"/>
        <v>QC-ER14P-02</v>
      </c>
      <c r="B3979" t="str">
        <f>"00-1241-0000"</f>
        <v>00-1241-0000</v>
      </c>
      <c r="C3979" t="str">
        <f>"Adapter Mounting Plate for ER9/14Pro &amp; HP3"</f>
        <v>Adapter Mounting Plate for ER9/14Pro &amp; HP3</v>
      </c>
      <c r="D3979">
        <v>1</v>
      </c>
      <c r="E3979" t="str">
        <f t="shared" si="1001"/>
        <v>QC: Robot ER14 (Vision &amp; Caliper)</v>
      </c>
      <c r="F3979">
        <v>505</v>
      </c>
      <c r="G3979" t="str">
        <f t="shared" si="1003"/>
        <v>Y</v>
      </c>
      <c r="H3979" t="str">
        <f t="shared" si="1002"/>
        <v>EA</v>
      </c>
      <c r="I3979">
        <v>0</v>
      </c>
      <c r="J3979">
        <v>0</v>
      </c>
      <c r="K3979" t="str">
        <f t="shared" si="1004"/>
        <v>Y</v>
      </c>
      <c r="L3979">
        <v>0</v>
      </c>
      <c r="M3979" t="str">
        <f t="shared" si="990"/>
        <v>NIS</v>
      </c>
      <c r="O3979">
        <v>16</v>
      </c>
      <c r="P3979" t="str">
        <f t="shared" si="1005"/>
        <v>Active</v>
      </c>
      <c r="Q3979" t="str">
        <f>"Adapter Mounting Plate for ER9/14Pro &amp; HP3"</f>
        <v>Adapter Mounting Plate for ER9/14Pro &amp; HP3</v>
      </c>
      <c r="S3979" t="str">
        <f>"Adapter Mounting Plate for ER9/14Pro &amp; HP3"</f>
        <v>Adapter Mounting Plate for ER9/14Pro &amp; HP3</v>
      </c>
      <c r="T3979">
        <v>0</v>
      </c>
      <c r="U3979">
        <v>145</v>
      </c>
      <c r="V3979">
        <v>153.93</v>
      </c>
      <c r="W3979" t="str">
        <f t="shared" si="996"/>
        <v>rob</v>
      </c>
    </row>
    <row r="3980" spans="1:23">
      <c r="A3980" t="str">
        <f t="shared" si="1000"/>
        <v>QC-ER14P-02</v>
      </c>
      <c r="B3980" t="str">
        <f>"00-1260-0000"</f>
        <v>00-1260-0000</v>
      </c>
      <c r="C3980" t="str">
        <f>"PC Extension Shelf  600x800mm"</f>
        <v>PC Extension Shelf  600x800mm</v>
      </c>
      <c r="D3980">
        <v>1</v>
      </c>
      <c r="E3980" t="str">
        <f t="shared" si="1001"/>
        <v>QC: Robot ER14 (Vision &amp; Caliper)</v>
      </c>
      <c r="F3980">
        <v>505</v>
      </c>
      <c r="G3980" t="str">
        <f t="shared" si="1003"/>
        <v>Y</v>
      </c>
      <c r="H3980" t="str">
        <f t="shared" si="1002"/>
        <v>EA</v>
      </c>
      <c r="I3980">
        <v>0</v>
      </c>
      <c r="J3980">
        <v>0</v>
      </c>
      <c r="K3980" t="str">
        <f t="shared" si="1004"/>
        <v>Y</v>
      </c>
      <c r="L3980">
        <v>0</v>
      </c>
      <c r="M3980" t="str">
        <f t="shared" si="990"/>
        <v>NIS</v>
      </c>
      <c r="O3980">
        <v>17</v>
      </c>
      <c r="P3980" t="str">
        <f t="shared" si="1005"/>
        <v>Active</v>
      </c>
      <c r="Q3980" t="str">
        <f>"PC Extension Shelf  600x800mm"</f>
        <v>PC Extension Shelf  600x800mm</v>
      </c>
      <c r="S3980" t="str">
        <f>"PC Extension Shelf  600x800mm"</f>
        <v>PC Extension Shelf  600x800mm</v>
      </c>
      <c r="T3980">
        <v>0</v>
      </c>
      <c r="U3980">
        <v>192</v>
      </c>
      <c r="V3980">
        <v>195.4</v>
      </c>
      <c r="W3980" t="str">
        <f t="shared" si="996"/>
        <v>rob</v>
      </c>
    </row>
    <row r="3981" spans="1:23">
      <c r="A3981" t="str">
        <f t="shared" si="1000"/>
        <v>QC-ER14P-02</v>
      </c>
      <c r="B3981" t="str">
        <f>"50-0094-0000"</f>
        <v>50-0094-0000</v>
      </c>
      <c r="C3981" t="str">
        <f>"Pre-Engineering, Design and Testing"</f>
        <v>Pre-Engineering, Design and Testing</v>
      </c>
      <c r="D3981">
        <v>1</v>
      </c>
      <c r="E3981" t="str">
        <f t="shared" si="1001"/>
        <v>QC: Robot ER14 (Vision &amp; Caliper)</v>
      </c>
      <c r="F3981">
        <v>505</v>
      </c>
      <c r="G3981" t="str">
        <f t="shared" si="1003"/>
        <v>Y</v>
      </c>
      <c r="H3981" t="str">
        <f>"DA"</f>
        <v>DA</v>
      </c>
      <c r="I3981">
        <v>0</v>
      </c>
      <c r="J3981">
        <v>0</v>
      </c>
      <c r="K3981" t="str">
        <f t="shared" si="1004"/>
        <v>Y</v>
      </c>
      <c r="L3981">
        <v>0</v>
      </c>
      <c r="M3981" t="str">
        <f t="shared" si="990"/>
        <v>NIS</v>
      </c>
      <c r="O3981">
        <v>18</v>
      </c>
      <c r="P3981" t="str">
        <f t="shared" si="1005"/>
        <v>Active</v>
      </c>
      <c r="Q3981" t="str">
        <f>"Pre-Engineering, Design and Testing"</f>
        <v>Pre-Engineering, Design and Testing</v>
      </c>
      <c r="S3981" t="str">
        <f>"Pre-Engineering, Design and Testing"</f>
        <v>Pre-Engineering, Design and Testing</v>
      </c>
      <c r="T3981">
        <v>0</v>
      </c>
      <c r="U3981">
        <v>405</v>
      </c>
      <c r="V3981">
        <v>421.2</v>
      </c>
      <c r="W3981" t="str">
        <f t="shared" si="996"/>
        <v>rob</v>
      </c>
    </row>
    <row r="3982" spans="1:23">
      <c r="A3982" t="str">
        <f t="shared" ref="A3982:A4001" si="1006">"QC-ER14P-03"</f>
        <v>QC-ER14P-03</v>
      </c>
      <c r="B3982" t="str">
        <f>"00-0432-0000"</f>
        <v>00-0432-0000</v>
      </c>
      <c r="C3982" t="str">
        <f>"SCORA-ER 14Pro"</f>
        <v>SCORA-ER 14Pro</v>
      </c>
      <c r="D3982">
        <v>1</v>
      </c>
      <c r="E3982" t="str">
        <f t="shared" ref="E3982:E4001" si="1007">"QC: Robot ER14 (Vision &amp; Caliper &amp; LSM)"</f>
        <v>QC: Robot ER14 (Vision &amp; Caliper &amp; LSM)</v>
      </c>
      <c r="F3982">
        <v>505</v>
      </c>
      <c r="G3982" t="str">
        <f t="shared" si="1003"/>
        <v>Y</v>
      </c>
      <c r="H3982" t="str">
        <f t="shared" ref="H3982:H4000" si="1008">"EA"</f>
        <v>EA</v>
      </c>
      <c r="I3982">
        <v>0</v>
      </c>
      <c r="J3982">
        <v>0</v>
      </c>
      <c r="K3982" t="str">
        <f t="shared" si="1004"/>
        <v>Y</v>
      </c>
      <c r="L3982">
        <v>0</v>
      </c>
      <c r="M3982" t="str">
        <f t="shared" si="990"/>
        <v>NIS</v>
      </c>
      <c r="O3982">
        <v>1</v>
      </c>
      <c r="P3982" t="str">
        <f t="shared" si="1005"/>
        <v>Active</v>
      </c>
      <c r="Q3982" t="str">
        <f>"SCORA-ER 14Pro (incl. USB-Pro Controller)"</f>
        <v>SCORA-ER 14Pro (incl. USB-Pro Controller)</v>
      </c>
      <c r="S3982" t="str">
        <f>"SCORA-ER 14Pro (incl. USB-Pro Controller)"</f>
        <v>SCORA-ER 14Pro (incl. USB-Pro Controller)</v>
      </c>
      <c r="T3982">
        <v>0</v>
      </c>
      <c r="U3982" s="44">
        <v>11400</v>
      </c>
      <c r="V3982" s="44">
        <v>12383.77</v>
      </c>
      <c r="W3982" t="str">
        <f t="shared" si="996"/>
        <v>rob</v>
      </c>
    </row>
    <row r="3983" spans="1:23">
      <c r="A3983" t="str">
        <f t="shared" si="1006"/>
        <v>QC-ER14P-03</v>
      </c>
      <c r="B3983" t="str">
        <f>"00-0634-0000"</f>
        <v>00-0634-0000</v>
      </c>
      <c r="C3983" t="str">
        <f>"Pneumatic Gripper for ER 14Pro"</f>
        <v>Pneumatic Gripper for ER 14Pro</v>
      </c>
      <c r="D3983">
        <v>1</v>
      </c>
      <c r="E3983" t="str">
        <f t="shared" si="1007"/>
        <v>QC: Robot ER14 (Vision &amp; Caliper &amp; LSM)</v>
      </c>
      <c r="F3983">
        <v>505</v>
      </c>
      <c r="G3983" t="str">
        <f t="shared" si="1003"/>
        <v>Y</v>
      </c>
      <c r="H3983" t="str">
        <f t="shared" si="1008"/>
        <v>EA</v>
      </c>
      <c r="I3983">
        <v>0</v>
      </c>
      <c r="J3983">
        <v>0</v>
      </c>
      <c r="K3983" t="str">
        <f t="shared" si="1004"/>
        <v>Y</v>
      </c>
      <c r="L3983">
        <v>0</v>
      </c>
      <c r="M3983" t="str">
        <f t="shared" si="990"/>
        <v>NIS</v>
      </c>
      <c r="O3983">
        <v>2</v>
      </c>
      <c r="P3983" t="str">
        <f t="shared" si="1005"/>
        <v>Active</v>
      </c>
      <c r="Q3983" t="str">
        <f>"Pneumatic Gripper for ER 14Pro"</f>
        <v>Pneumatic Gripper for ER 14Pro</v>
      </c>
      <c r="S3983" t="str">
        <f>"Pneumatic Gripper for ER 14Pro"</f>
        <v>Pneumatic Gripper for ER 14Pro</v>
      </c>
      <c r="T3983">
        <v>0</v>
      </c>
      <c r="U3983">
        <v>651</v>
      </c>
      <c r="V3983">
        <v>647.6</v>
      </c>
      <c r="W3983" t="str">
        <f t="shared" si="996"/>
        <v>rob</v>
      </c>
    </row>
    <row r="3984" spans="1:23">
      <c r="A3984" t="str">
        <f t="shared" si="1006"/>
        <v>QC-ER14P-03</v>
      </c>
      <c r="B3984" t="str">
        <f>"00-1710-0000"</f>
        <v>00-1710-0000</v>
      </c>
      <c r="C3984" t="str">
        <f>"Teach Pendant"</f>
        <v>Teach Pendant</v>
      </c>
      <c r="D3984">
        <v>1</v>
      </c>
      <c r="E3984" t="str">
        <f t="shared" si="1007"/>
        <v>QC: Robot ER14 (Vision &amp; Caliper &amp; LSM)</v>
      </c>
      <c r="F3984">
        <v>505</v>
      </c>
      <c r="G3984" t="str">
        <f t="shared" si="1003"/>
        <v>Y</v>
      </c>
      <c r="H3984" t="str">
        <f t="shared" si="1008"/>
        <v>EA</v>
      </c>
      <c r="I3984">
        <v>0</v>
      </c>
      <c r="J3984">
        <v>0</v>
      </c>
      <c r="K3984" t="str">
        <f t="shared" si="1004"/>
        <v>Y</v>
      </c>
      <c r="L3984">
        <v>0</v>
      </c>
      <c r="M3984" t="str">
        <f t="shared" si="990"/>
        <v>NIS</v>
      </c>
      <c r="O3984">
        <v>3</v>
      </c>
      <c r="P3984" t="str">
        <f t="shared" si="1005"/>
        <v>Active</v>
      </c>
      <c r="Q3984" t="str">
        <f>"Teach Pendant for USB/USB Pro Controllers"</f>
        <v>Teach Pendant for USB/USB Pro Controllers</v>
      </c>
      <c r="S3984" t="str">
        <f>"Teach Pendant for USB/USB Pro Controllers"</f>
        <v>Teach Pendant for USB/USB Pro Controllers</v>
      </c>
      <c r="T3984">
        <v>0</v>
      </c>
      <c r="U3984">
        <v>160.18</v>
      </c>
      <c r="V3984">
        <v>161.44999999999999</v>
      </c>
      <c r="W3984" t="str">
        <f t="shared" si="996"/>
        <v>rob</v>
      </c>
    </row>
    <row r="3985" spans="1:23">
      <c r="A3985" t="str">
        <f t="shared" si="1006"/>
        <v>QC-ER14P-03</v>
      </c>
      <c r="B3985" t="str">
        <f>"034025"</f>
        <v>034025</v>
      </c>
      <c r="C3985" t="str">
        <f>"I/O Interface Box for Controller USB-PRO"</f>
        <v>I/O Interface Box for Controller USB-PRO</v>
      </c>
      <c r="D3985">
        <v>1</v>
      </c>
      <c r="E3985" t="str">
        <f t="shared" si="1007"/>
        <v>QC: Robot ER14 (Vision &amp; Caliper &amp; LSM)</v>
      </c>
      <c r="F3985">
        <v>505</v>
      </c>
      <c r="G3985" t="str">
        <f t="shared" si="1003"/>
        <v>Y</v>
      </c>
      <c r="H3985" t="str">
        <f t="shared" si="1008"/>
        <v>EA</v>
      </c>
      <c r="I3985">
        <v>0</v>
      </c>
      <c r="J3985">
        <v>0</v>
      </c>
      <c r="K3985" t="str">
        <f t="shared" si="1004"/>
        <v>Y</v>
      </c>
      <c r="L3985">
        <v>0</v>
      </c>
      <c r="M3985" t="str">
        <f t="shared" si="990"/>
        <v>NIS</v>
      </c>
      <c r="O3985">
        <v>4</v>
      </c>
      <c r="P3985" t="str">
        <f t="shared" si="1005"/>
        <v>Active</v>
      </c>
      <c r="Q3985" t="str">
        <f>"I/O Interface Box for Controller USB-PRO"</f>
        <v>I/O Interface Box for Controller USB-PRO</v>
      </c>
      <c r="S3985" t="str">
        <f>"קופסת 2+Interface Box I/O כבלים לבקר USBPRO"</f>
        <v>קופסת 2+Interface Box I/O כבלים לבקר USBPRO</v>
      </c>
      <c r="T3985">
        <v>0</v>
      </c>
      <c r="U3985">
        <v>470</v>
      </c>
      <c r="V3985">
        <v>463.62</v>
      </c>
      <c r="W3985" t="str">
        <f t="shared" si="996"/>
        <v>rob</v>
      </c>
    </row>
    <row r="3986" spans="1:23">
      <c r="A3986" t="str">
        <f t="shared" si="1006"/>
        <v>QC-ER14P-03</v>
      </c>
      <c r="B3986" t="str">
        <f>"10-2104-9000"</f>
        <v>10-2104-9000</v>
      </c>
      <c r="C3986" t="str">
        <f>"Single Buffer for Slotted Table"</f>
        <v>Single Buffer for Slotted Table</v>
      </c>
      <c r="D3986">
        <v>3</v>
      </c>
      <c r="E3986" t="str">
        <f t="shared" si="1007"/>
        <v>QC: Robot ER14 (Vision &amp; Caliper &amp; LSM)</v>
      </c>
      <c r="F3986">
        <v>505</v>
      </c>
      <c r="G3986" t="str">
        <f t="shared" si="1003"/>
        <v>Y</v>
      </c>
      <c r="H3986" t="str">
        <f t="shared" si="1008"/>
        <v>EA</v>
      </c>
      <c r="I3986">
        <v>0</v>
      </c>
      <c r="J3986">
        <v>0</v>
      </c>
      <c r="K3986" t="str">
        <f t="shared" si="1004"/>
        <v>Y</v>
      </c>
      <c r="L3986">
        <v>0</v>
      </c>
      <c r="M3986" t="str">
        <f t="shared" si="990"/>
        <v>NIS</v>
      </c>
      <c r="O3986">
        <v>5</v>
      </c>
      <c r="P3986" t="str">
        <f t="shared" si="1005"/>
        <v>Active</v>
      </c>
      <c r="Q3986" t="str">
        <f>"Single Buffer for Slotted Table(+height adapter)"</f>
        <v>Single Buffer for Slotted Table(+height adapter)</v>
      </c>
      <c r="S3986" t="str">
        <f>"Single Buffer for Slotted Table(+height adapter)"</f>
        <v>Single Buffer for Slotted Table(+height adapter)</v>
      </c>
      <c r="T3986">
        <v>0</v>
      </c>
      <c r="U3986">
        <v>26</v>
      </c>
      <c r="V3986">
        <v>25.49</v>
      </c>
      <c r="W3986" t="str">
        <f t="shared" si="996"/>
        <v>rob</v>
      </c>
    </row>
    <row r="3987" spans="1:23">
      <c r="A3987" t="str">
        <f t="shared" si="1006"/>
        <v>QC-ER14P-03</v>
      </c>
      <c r="B3987" t="str">
        <f>"00-1110-0000"</f>
        <v>00-1110-0000</v>
      </c>
      <c r="C3987" t="str">
        <f>"Palletizing Rack"</f>
        <v>Palletizing Rack</v>
      </c>
      <c r="D3987">
        <v>2</v>
      </c>
      <c r="E3987" t="str">
        <f t="shared" si="1007"/>
        <v>QC: Robot ER14 (Vision &amp; Caliper &amp; LSM)</v>
      </c>
      <c r="F3987">
        <v>505</v>
      </c>
      <c r="G3987" t="str">
        <f t="shared" si="1003"/>
        <v>Y</v>
      </c>
      <c r="H3987" t="str">
        <f t="shared" si="1008"/>
        <v>EA</v>
      </c>
      <c r="I3987">
        <v>0</v>
      </c>
      <c r="J3987">
        <v>0</v>
      </c>
      <c r="K3987" t="str">
        <f t="shared" si="1004"/>
        <v>Y</v>
      </c>
      <c r="L3987">
        <v>0</v>
      </c>
      <c r="M3987" t="str">
        <f t="shared" si="990"/>
        <v>NIS</v>
      </c>
      <c r="O3987">
        <v>6</v>
      </c>
      <c r="P3987" t="str">
        <f t="shared" si="1005"/>
        <v>Active</v>
      </c>
      <c r="Q3987" t="str">
        <f>"Palletizing Rack (incl. Pins for creating Jigs)"</f>
        <v>Palletizing Rack (incl. Pins for creating Jigs)</v>
      </c>
      <c r="S3987" t="str">
        <f>"Palletizing Rack (incl. Pins for creating Jigs)"</f>
        <v>Palletizing Rack (incl. Pins for creating Jigs)</v>
      </c>
      <c r="T3987">
        <v>0</v>
      </c>
      <c r="U3987">
        <v>63</v>
      </c>
      <c r="V3987">
        <v>58.59</v>
      </c>
      <c r="W3987" t="str">
        <f t="shared" si="996"/>
        <v>rob</v>
      </c>
    </row>
    <row r="3988" spans="1:23">
      <c r="A3988" t="str">
        <f t="shared" si="1006"/>
        <v>QC-ER14P-03</v>
      </c>
      <c r="B3988" t="str">
        <f>"021172"</f>
        <v>021172</v>
      </c>
      <c r="C3988" t="str">
        <f>"30mm Height Adapter -Rack 001110 on table 001249"</f>
        <v>30mm Height Adapter -Rack 001110 on table 001249</v>
      </c>
      <c r="D3988">
        <v>2</v>
      </c>
      <c r="E3988" t="str">
        <f t="shared" si="1007"/>
        <v>QC: Robot ER14 (Vision &amp; Caliper &amp; LSM)</v>
      </c>
      <c r="F3988">
        <v>505</v>
      </c>
      <c r="G3988" t="str">
        <f t="shared" si="1003"/>
        <v>Y</v>
      </c>
      <c r="H3988" t="str">
        <f t="shared" si="1008"/>
        <v>EA</v>
      </c>
      <c r="I3988">
        <v>0</v>
      </c>
      <c r="J3988">
        <v>0</v>
      </c>
      <c r="K3988" t="str">
        <f t="shared" si="1004"/>
        <v>Y</v>
      </c>
      <c r="L3988">
        <v>0</v>
      </c>
      <c r="M3988" t="str">
        <f t="shared" ref="M3988:M4051" si="1009">"NIS"</f>
        <v>NIS</v>
      </c>
      <c r="O3988">
        <v>7</v>
      </c>
      <c r="P3988" t="str">
        <f t="shared" si="1005"/>
        <v>Active</v>
      </c>
      <c r="Q3988" t="str">
        <f>"30mm Height Adapter -Rack 001110 on table 001249"</f>
        <v>30mm Height Adapter -Rack 001110 on table 001249</v>
      </c>
      <c r="S3988" t="str">
        <f>"30mm Height Adapter -Rack 001110 on table 001249"</f>
        <v>30mm Height Adapter -Rack 001110 on table 001249</v>
      </c>
      <c r="T3988">
        <v>0</v>
      </c>
      <c r="U3988">
        <v>13.12</v>
      </c>
      <c r="V3988">
        <v>13.44</v>
      </c>
      <c r="W3988" t="str">
        <f t="shared" si="996"/>
        <v>rob</v>
      </c>
    </row>
    <row r="3989" spans="1:23">
      <c r="A3989" t="str">
        <f t="shared" si="1006"/>
        <v>QC-ER14P-03</v>
      </c>
      <c r="B3989" t="str">
        <f>"00-1013-0000"</f>
        <v>00-1013-0000</v>
      </c>
      <c r="C3989" t="str">
        <f>"Linear Positioning Table 300mm"</f>
        <v>Linear Positioning Table 300mm</v>
      </c>
      <c r="D3989">
        <v>1</v>
      </c>
      <c r="E3989" t="str">
        <f t="shared" si="1007"/>
        <v>QC: Robot ER14 (Vision &amp; Caliper &amp; LSM)</v>
      </c>
      <c r="F3989">
        <v>505</v>
      </c>
      <c r="G3989" t="str">
        <f t="shared" si="1003"/>
        <v>Y</v>
      </c>
      <c r="H3989" t="str">
        <f t="shared" si="1008"/>
        <v>EA</v>
      </c>
      <c r="I3989">
        <v>0</v>
      </c>
      <c r="J3989">
        <v>0</v>
      </c>
      <c r="K3989" t="str">
        <f t="shared" si="1004"/>
        <v>Y</v>
      </c>
      <c r="L3989">
        <v>0</v>
      </c>
      <c r="M3989" t="str">
        <f t="shared" si="1009"/>
        <v>NIS</v>
      </c>
      <c r="O3989">
        <v>8</v>
      </c>
      <c r="P3989" t="str">
        <f t="shared" si="1005"/>
        <v>Active</v>
      </c>
      <c r="Q3989" t="str">
        <f>"Linear Positioning Table 300mm (Belt Drive, 24V)"</f>
        <v>Linear Positioning Table 300mm (Belt Drive, 24V)</v>
      </c>
      <c r="S3989" t="str">
        <f>"Linear Positioning Table 300mm (Belt Drive, 24V)"</f>
        <v>Linear Positioning Table 300mm (Belt Drive, 24V)</v>
      </c>
      <c r="T3989">
        <v>0</v>
      </c>
      <c r="U3989">
        <v>894.02</v>
      </c>
      <c r="V3989">
        <v>879.29</v>
      </c>
      <c r="W3989" t="str">
        <f t="shared" si="996"/>
        <v>rob</v>
      </c>
    </row>
    <row r="3990" spans="1:23">
      <c r="A3990" t="str">
        <f t="shared" si="1006"/>
        <v>QC-ER14P-03</v>
      </c>
      <c r="B3990" t="str">
        <f>"00-1422-0000"</f>
        <v>00-1422-0000</v>
      </c>
      <c r="C3990" t="str">
        <f>"Viewflex for QC (Stand 400mm)"</f>
        <v>Viewflex for QC (Stand 400mm)</v>
      </c>
      <c r="D3990">
        <v>1</v>
      </c>
      <c r="E3990" t="str">
        <f t="shared" si="1007"/>
        <v>QC: Robot ER14 (Vision &amp; Caliper &amp; LSM)</v>
      </c>
      <c r="F3990">
        <v>505</v>
      </c>
      <c r="G3990" t="str">
        <f t="shared" si="1003"/>
        <v>Y</v>
      </c>
      <c r="H3990" t="str">
        <f t="shared" si="1008"/>
        <v>EA</v>
      </c>
      <c r="I3990">
        <v>0</v>
      </c>
      <c r="J3990">
        <v>0</v>
      </c>
      <c r="K3990" t="str">
        <f t="shared" si="1004"/>
        <v>Y</v>
      </c>
      <c r="L3990">
        <v>0</v>
      </c>
      <c r="M3990" t="str">
        <f t="shared" si="1009"/>
        <v>NIS</v>
      </c>
      <c r="O3990">
        <v>9</v>
      </c>
      <c r="P3990" t="str">
        <f t="shared" si="1005"/>
        <v>Active</v>
      </c>
      <c r="Q3990" t="str">
        <f>"Viewflex for QC (Stand 400mm)"</f>
        <v>Viewflex for QC (Stand 400mm)</v>
      </c>
      <c r="S3990" t="str">
        <f>"Viewflex for QC (Stand 400mm)"</f>
        <v>Viewflex for QC (Stand 400mm)</v>
      </c>
      <c r="T3990">
        <v>0</v>
      </c>
      <c r="U3990">
        <v>560</v>
      </c>
      <c r="V3990">
        <v>511.35</v>
      </c>
      <c r="W3990" t="str">
        <f t="shared" si="996"/>
        <v>rob</v>
      </c>
    </row>
    <row r="3991" spans="1:23">
      <c r="A3991" t="str">
        <f t="shared" si="1006"/>
        <v>QC-ER14P-03</v>
      </c>
      <c r="B3991" t="str">
        <f>"113096"</f>
        <v>113096</v>
      </c>
      <c r="C3991" t="str">
        <f>"Plexiglass Cylinders Base"</f>
        <v>Plexiglass Cylinders Base</v>
      </c>
      <c r="D3991">
        <v>3</v>
      </c>
      <c r="E3991" t="str">
        <f t="shared" si="1007"/>
        <v>QC: Robot ER14 (Vision &amp; Caliper &amp; LSM)</v>
      </c>
      <c r="F3991">
        <v>505</v>
      </c>
      <c r="G3991" t="str">
        <f t="shared" si="1003"/>
        <v>Y</v>
      </c>
      <c r="H3991" t="str">
        <f t="shared" si="1008"/>
        <v>EA</v>
      </c>
      <c r="I3991">
        <v>0</v>
      </c>
      <c r="J3991">
        <v>0</v>
      </c>
      <c r="K3991" t="str">
        <f t="shared" si="1004"/>
        <v>Y</v>
      </c>
      <c r="L3991">
        <v>0</v>
      </c>
      <c r="M3991" t="str">
        <f t="shared" si="1009"/>
        <v>NIS</v>
      </c>
      <c r="O3991">
        <v>10</v>
      </c>
      <c r="P3991" t="str">
        <f t="shared" si="1005"/>
        <v>Active</v>
      </c>
      <c r="Q3991" t="str">
        <f>"Plexiglass Cylinders Base MicroCIM"</f>
        <v>Plexiglass Cylinders Base MicroCIM</v>
      </c>
      <c r="S3991" t="str">
        <f>"Plexiglass Cylinders Base"</f>
        <v>Plexiglass Cylinders Base</v>
      </c>
      <c r="T3991">
        <v>0</v>
      </c>
      <c r="U3991">
        <v>7</v>
      </c>
      <c r="V3991">
        <v>6.83</v>
      </c>
      <c r="W3991" t="str">
        <f t="shared" si="996"/>
        <v>rob</v>
      </c>
    </row>
    <row r="3992" spans="1:23">
      <c r="A3992" t="str">
        <f t="shared" si="1006"/>
        <v>QC-ER14P-03</v>
      </c>
      <c r="B3992" t="str">
        <f>"112713"</f>
        <v>112713</v>
      </c>
      <c r="C3992" t="str">
        <f>"Marked Aluminum Cylinder"</f>
        <v>Marked Aluminum Cylinder</v>
      </c>
      <c r="D3992">
        <v>3</v>
      </c>
      <c r="E3992" t="str">
        <f t="shared" si="1007"/>
        <v>QC: Robot ER14 (Vision &amp; Caliper &amp; LSM)</v>
      </c>
      <c r="F3992">
        <v>505</v>
      </c>
      <c r="G3992" t="str">
        <f t="shared" si="1003"/>
        <v>Y</v>
      </c>
      <c r="H3992" t="str">
        <f t="shared" si="1008"/>
        <v>EA</v>
      </c>
      <c r="I3992">
        <v>0</v>
      </c>
      <c r="J3992">
        <v>0</v>
      </c>
      <c r="K3992" t="str">
        <f t="shared" si="1004"/>
        <v>Y</v>
      </c>
      <c r="L3992">
        <v>0</v>
      </c>
      <c r="M3992" t="str">
        <f t="shared" si="1009"/>
        <v>NIS</v>
      </c>
      <c r="O3992">
        <v>11</v>
      </c>
      <c r="P3992" t="str">
        <f t="shared" si="1005"/>
        <v>Active</v>
      </c>
      <c r="Q3992" t="str">
        <f>"Mark Al. Cylinder Diam. 35x28 MicroCIM"</f>
        <v>Mark Al. Cylinder Diam. 35x28 MicroCIM</v>
      </c>
      <c r="S3992" t="str">
        <f>"Mark Al. Cylinder Diam. 35x28"</f>
        <v>Mark Al. Cylinder Diam. 35x28</v>
      </c>
      <c r="T3992">
        <v>0</v>
      </c>
      <c r="U3992">
        <v>6</v>
      </c>
      <c r="V3992">
        <v>5.97</v>
      </c>
      <c r="W3992" t="str">
        <f t="shared" si="996"/>
        <v>rob</v>
      </c>
    </row>
    <row r="3993" spans="1:23">
      <c r="A3993" t="str">
        <f t="shared" si="1006"/>
        <v>QC-ER14P-03</v>
      </c>
      <c r="B3993" t="str">
        <f>"113316"</f>
        <v>113316</v>
      </c>
      <c r="C3993" t="str">
        <f>"Parts Bin"</f>
        <v>Parts Bin</v>
      </c>
      <c r="D3993">
        <v>1</v>
      </c>
      <c r="E3993" t="str">
        <f t="shared" si="1007"/>
        <v>QC: Robot ER14 (Vision &amp; Caliper &amp; LSM)</v>
      </c>
      <c r="F3993">
        <v>505</v>
      </c>
      <c r="G3993" t="str">
        <f t="shared" si="1003"/>
        <v>Y</v>
      </c>
      <c r="H3993" t="str">
        <f t="shared" si="1008"/>
        <v>EA</v>
      </c>
      <c r="I3993">
        <v>0</v>
      </c>
      <c r="J3993">
        <v>0</v>
      </c>
      <c r="K3993" t="str">
        <f t="shared" si="1004"/>
        <v>Y</v>
      </c>
      <c r="L3993">
        <v>0</v>
      </c>
      <c r="M3993" t="str">
        <f t="shared" si="1009"/>
        <v>NIS</v>
      </c>
      <c r="O3993">
        <v>12</v>
      </c>
      <c r="P3993" t="str">
        <f t="shared" si="1005"/>
        <v>Active</v>
      </c>
      <c r="Q3993" t="str">
        <f>"Parts Bin; Plastic Box"</f>
        <v>Parts Bin; Plastic Box</v>
      </c>
      <c r="R3993" t="str">
        <f>"1"</f>
        <v>1</v>
      </c>
      <c r="S3993" t="str">
        <f>"Parts Bin; Plastic Box"</f>
        <v>Parts Bin; Plastic Box</v>
      </c>
      <c r="T3993">
        <v>0</v>
      </c>
      <c r="U3993">
        <v>8.0399999999999991</v>
      </c>
      <c r="V3993">
        <v>6.39</v>
      </c>
      <c r="W3993" t="str">
        <f t="shared" si="996"/>
        <v>rob</v>
      </c>
    </row>
    <row r="3994" spans="1:23">
      <c r="A3994" t="str">
        <f t="shared" si="1006"/>
        <v>QC-ER14P-03</v>
      </c>
      <c r="B3994" t="str">
        <f>"00-1254-0000"</f>
        <v>00-1254-0000</v>
      </c>
      <c r="C3994" t="str">
        <f>"Automated Stationary Caliper Unit"</f>
        <v>Automated Stationary Caliper Unit</v>
      </c>
      <c r="D3994">
        <v>1</v>
      </c>
      <c r="E3994" t="str">
        <f t="shared" si="1007"/>
        <v>QC: Robot ER14 (Vision &amp; Caliper &amp; LSM)</v>
      </c>
      <c r="F3994">
        <v>505</v>
      </c>
      <c r="G3994" t="str">
        <f t="shared" si="1003"/>
        <v>Y</v>
      </c>
      <c r="H3994" t="str">
        <f t="shared" si="1008"/>
        <v>EA</v>
      </c>
      <c r="I3994">
        <v>0</v>
      </c>
      <c r="J3994">
        <v>0</v>
      </c>
      <c r="K3994" t="str">
        <f t="shared" si="1004"/>
        <v>Y</v>
      </c>
      <c r="L3994">
        <v>0</v>
      </c>
      <c r="M3994" t="str">
        <f t="shared" si="1009"/>
        <v>NIS</v>
      </c>
      <c r="O3994">
        <v>13</v>
      </c>
      <c r="P3994" t="str">
        <f t="shared" si="1005"/>
        <v>Active</v>
      </c>
      <c r="Q3994" t="str">
        <f>"Automat Stationary Caliper  Unit"</f>
        <v>Automat Stationary Caliper  Unit</v>
      </c>
      <c r="S3994" t="str">
        <f>"Automat Stationary Caliper  Unit"</f>
        <v>Automat Stationary Caliper  Unit</v>
      </c>
      <c r="T3994">
        <v>0</v>
      </c>
      <c r="U3994" s="44">
        <v>1165.92</v>
      </c>
      <c r="V3994" s="44">
        <v>1246.44</v>
      </c>
      <c r="W3994" t="str">
        <f t="shared" si="996"/>
        <v>rob</v>
      </c>
    </row>
    <row r="3995" spans="1:23">
      <c r="A3995" t="str">
        <f t="shared" si="1006"/>
        <v>QC-ER14P-03</v>
      </c>
      <c r="B3995" t="str">
        <f>"113316"</f>
        <v>113316</v>
      </c>
      <c r="C3995" t="str">
        <f>"Parts Bin"</f>
        <v>Parts Bin</v>
      </c>
      <c r="D3995">
        <v>1</v>
      </c>
      <c r="E3995" t="str">
        <f t="shared" si="1007"/>
        <v>QC: Robot ER14 (Vision &amp; Caliper &amp; LSM)</v>
      </c>
      <c r="F3995">
        <v>505</v>
      </c>
      <c r="G3995" t="str">
        <f t="shared" si="1003"/>
        <v>Y</v>
      </c>
      <c r="H3995" t="str">
        <f t="shared" si="1008"/>
        <v>EA</v>
      </c>
      <c r="I3995">
        <v>0</v>
      </c>
      <c r="J3995">
        <v>0</v>
      </c>
      <c r="K3995" t="str">
        <f t="shared" si="1004"/>
        <v>Y</v>
      </c>
      <c r="L3995">
        <v>0</v>
      </c>
      <c r="M3995" t="str">
        <f t="shared" si="1009"/>
        <v>NIS</v>
      </c>
      <c r="O3995">
        <v>14</v>
      </c>
      <c r="P3995" t="str">
        <f t="shared" si="1005"/>
        <v>Active</v>
      </c>
      <c r="Q3995" t="str">
        <f>"Parts Bin; Plastic Box"</f>
        <v>Parts Bin; Plastic Box</v>
      </c>
      <c r="R3995" t="str">
        <f>"1"</f>
        <v>1</v>
      </c>
      <c r="S3995" t="str">
        <f>"Parts Bin; Plastic Box"</f>
        <v>Parts Bin; Plastic Box</v>
      </c>
      <c r="T3995">
        <v>0</v>
      </c>
      <c r="U3995">
        <v>8.0399999999999991</v>
      </c>
      <c r="V3995">
        <v>6.39</v>
      </c>
      <c r="W3995" t="str">
        <f t="shared" si="996"/>
        <v>rob</v>
      </c>
    </row>
    <row r="3996" spans="1:23">
      <c r="A3996" t="str">
        <f t="shared" si="1006"/>
        <v>QC-ER14P-03</v>
      </c>
      <c r="B3996" t="str">
        <f>"00-4039-0000"</f>
        <v>00-4039-0000</v>
      </c>
      <c r="C3996" t="str">
        <f>"LSM - Laser Scan Meter"</f>
        <v>LSM - Laser Scan Meter</v>
      </c>
      <c r="D3996">
        <v>1</v>
      </c>
      <c r="E3996" t="str">
        <f t="shared" si="1007"/>
        <v>QC: Robot ER14 (Vision &amp; Caliper &amp; LSM)</v>
      </c>
      <c r="F3996">
        <v>505</v>
      </c>
      <c r="G3996" t="str">
        <f t="shared" si="1003"/>
        <v>Y</v>
      </c>
      <c r="H3996" t="str">
        <f t="shared" si="1008"/>
        <v>EA</v>
      </c>
      <c r="I3996">
        <v>0</v>
      </c>
      <c r="J3996">
        <v>0</v>
      </c>
      <c r="K3996" t="str">
        <f t="shared" si="1004"/>
        <v>Y</v>
      </c>
      <c r="L3996">
        <v>0</v>
      </c>
      <c r="M3996" t="str">
        <f t="shared" si="1009"/>
        <v>NIS</v>
      </c>
      <c r="O3996">
        <v>15</v>
      </c>
      <c r="P3996" t="str">
        <f t="shared" si="1005"/>
        <v>Active</v>
      </c>
      <c r="Q3996" t="str">
        <f>"LSM - Laser Scan Meter"</f>
        <v>LSM - Laser Scan Meter</v>
      </c>
      <c r="S3996" t="str">
        <f>"LSM - Laser Scan Meter"</f>
        <v>LSM - Laser Scan Meter</v>
      </c>
      <c r="T3996">
        <v>0</v>
      </c>
      <c r="U3996">
        <v>0</v>
      </c>
      <c r="V3996">
        <v>0</v>
      </c>
      <c r="W3996" t="str">
        <f t="shared" si="996"/>
        <v>rob</v>
      </c>
    </row>
    <row r="3997" spans="1:23">
      <c r="A3997" t="str">
        <f t="shared" si="1006"/>
        <v>QC-ER14P-03</v>
      </c>
      <c r="B3997" t="str">
        <f>"113316"</f>
        <v>113316</v>
      </c>
      <c r="C3997" t="str">
        <f>"Parts Bin"</f>
        <v>Parts Bin</v>
      </c>
      <c r="D3997">
        <v>1</v>
      </c>
      <c r="E3997" t="str">
        <f t="shared" si="1007"/>
        <v>QC: Robot ER14 (Vision &amp; Caliper &amp; LSM)</v>
      </c>
      <c r="F3997">
        <v>505</v>
      </c>
      <c r="G3997" t="str">
        <f t="shared" si="1003"/>
        <v>Y</v>
      </c>
      <c r="H3997" t="str">
        <f t="shared" si="1008"/>
        <v>EA</v>
      </c>
      <c r="I3997">
        <v>0</v>
      </c>
      <c r="J3997">
        <v>0</v>
      </c>
      <c r="K3997" t="str">
        <f t="shared" si="1004"/>
        <v>Y</v>
      </c>
      <c r="L3997">
        <v>0</v>
      </c>
      <c r="M3997" t="str">
        <f t="shared" si="1009"/>
        <v>NIS</v>
      </c>
      <c r="O3997">
        <v>16</v>
      </c>
      <c r="P3997" t="str">
        <f t="shared" si="1005"/>
        <v>Active</v>
      </c>
      <c r="Q3997" t="str">
        <f>"Parts Bin; Plastic Box"</f>
        <v>Parts Bin; Plastic Box</v>
      </c>
      <c r="R3997" t="str">
        <f>"1"</f>
        <v>1</v>
      </c>
      <c r="S3997" t="str">
        <f>"Parts Bin; Plastic Box"</f>
        <v>Parts Bin; Plastic Box</v>
      </c>
      <c r="T3997">
        <v>0</v>
      </c>
      <c r="U3997">
        <v>8.0399999999999991</v>
      </c>
      <c r="V3997">
        <v>6.39</v>
      </c>
      <c r="W3997" t="str">
        <f t="shared" si="996"/>
        <v>rob</v>
      </c>
    </row>
    <row r="3998" spans="1:23">
      <c r="A3998" t="str">
        <f t="shared" si="1006"/>
        <v>QC-ER14P-03</v>
      </c>
      <c r="B3998" t="str">
        <f>"00-1249-0000"</f>
        <v>00-1249-0000</v>
      </c>
      <c r="C3998" t="str">
        <f>"Workbench 1500x800mm (slotted aluminum top)"</f>
        <v>Workbench 1500x800mm (slotted aluminum top)</v>
      </c>
      <c r="D3998">
        <v>1</v>
      </c>
      <c r="E3998" t="str">
        <f t="shared" si="1007"/>
        <v>QC: Robot ER14 (Vision &amp; Caliper &amp; LSM)</v>
      </c>
      <c r="F3998">
        <v>505</v>
      </c>
      <c r="G3998" t="str">
        <f t="shared" si="1003"/>
        <v>Y</v>
      </c>
      <c r="H3998" t="str">
        <f t="shared" si="1008"/>
        <v>EA</v>
      </c>
      <c r="I3998">
        <v>0</v>
      </c>
      <c r="J3998">
        <v>0</v>
      </c>
      <c r="K3998" t="str">
        <f t="shared" si="1004"/>
        <v>Y</v>
      </c>
      <c r="L3998">
        <v>0</v>
      </c>
      <c r="M3998" t="str">
        <f t="shared" si="1009"/>
        <v>NIS</v>
      </c>
      <c r="O3998">
        <v>17</v>
      </c>
      <c r="P3998" t="str">
        <f t="shared" si="1005"/>
        <v>Active</v>
      </c>
      <c r="Q3998" t="str">
        <f>"Workbench 1500x800mm (slotted aluminum top)"</f>
        <v>Workbench 1500x800mm (slotted aluminum top)</v>
      </c>
      <c r="S3998" t="str">
        <f>"Workbench 1500x800mm (slotted aluminum top)"</f>
        <v>Workbench 1500x800mm (slotted aluminum top)</v>
      </c>
      <c r="T3998">
        <v>0</v>
      </c>
      <c r="U3998" s="44">
        <v>1100</v>
      </c>
      <c r="V3998" s="44">
        <v>1083.57</v>
      </c>
      <c r="W3998" t="str">
        <f t="shared" si="996"/>
        <v>rob</v>
      </c>
    </row>
    <row r="3999" spans="1:23">
      <c r="A3999" t="str">
        <f t="shared" si="1006"/>
        <v>QC-ER14P-03</v>
      </c>
      <c r="B3999" t="str">
        <f>"00-1241-0000"</f>
        <v>00-1241-0000</v>
      </c>
      <c r="C3999" t="str">
        <f>"Adapter Mounting Plate for ER9/14Pro &amp; HP3"</f>
        <v>Adapter Mounting Plate for ER9/14Pro &amp; HP3</v>
      </c>
      <c r="D3999">
        <v>1</v>
      </c>
      <c r="E3999" t="str">
        <f t="shared" si="1007"/>
        <v>QC: Robot ER14 (Vision &amp; Caliper &amp; LSM)</v>
      </c>
      <c r="F3999">
        <v>505</v>
      </c>
      <c r="G3999" t="str">
        <f t="shared" si="1003"/>
        <v>Y</v>
      </c>
      <c r="H3999" t="str">
        <f t="shared" si="1008"/>
        <v>EA</v>
      </c>
      <c r="I3999">
        <v>0</v>
      </c>
      <c r="J3999">
        <v>0</v>
      </c>
      <c r="K3999" t="str">
        <f t="shared" si="1004"/>
        <v>Y</v>
      </c>
      <c r="L3999">
        <v>0</v>
      </c>
      <c r="M3999" t="str">
        <f t="shared" si="1009"/>
        <v>NIS</v>
      </c>
      <c r="O3999">
        <v>18</v>
      </c>
      <c r="P3999" t="str">
        <f t="shared" si="1005"/>
        <v>Active</v>
      </c>
      <c r="Q3999" t="str">
        <f>"Adapter Mounting Plate for ER9/14Pro &amp; HP3"</f>
        <v>Adapter Mounting Plate for ER9/14Pro &amp; HP3</v>
      </c>
      <c r="S3999" t="str">
        <f>"Adapter Mounting Plate for ER9/14Pro &amp; HP3"</f>
        <v>Adapter Mounting Plate for ER9/14Pro &amp; HP3</v>
      </c>
      <c r="T3999">
        <v>0</v>
      </c>
      <c r="U3999">
        <v>145</v>
      </c>
      <c r="V3999">
        <v>153.93</v>
      </c>
      <c r="W3999" t="str">
        <f t="shared" si="996"/>
        <v>rob</v>
      </c>
    </row>
    <row r="4000" spans="1:23">
      <c r="A4000" t="str">
        <f t="shared" si="1006"/>
        <v>QC-ER14P-03</v>
      </c>
      <c r="B4000" t="str">
        <f>"00-1260-0000"</f>
        <v>00-1260-0000</v>
      </c>
      <c r="C4000" t="str">
        <f>"PC Extension Shelf  600x800mm"</f>
        <v>PC Extension Shelf  600x800mm</v>
      </c>
      <c r="D4000">
        <v>1</v>
      </c>
      <c r="E4000" t="str">
        <f t="shared" si="1007"/>
        <v>QC: Robot ER14 (Vision &amp; Caliper &amp; LSM)</v>
      </c>
      <c r="F4000">
        <v>505</v>
      </c>
      <c r="G4000" t="str">
        <f t="shared" si="1003"/>
        <v>Y</v>
      </c>
      <c r="H4000" t="str">
        <f t="shared" si="1008"/>
        <v>EA</v>
      </c>
      <c r="I4000">
        <v>0</v>
      </c>
      <c r="J4000">
        <v>0</v>
      </c>
      <c r="K4000" t="str">
        <f t="shared" si="1004"/>
        <v>Y</v>
      </c>
      <c r="L4000">
        <v>0</v>
      </c>
      <c r="M4000" t="str">
        <f t="shared" si="1009"/>
        <v>NIS</v>
      </c>
      <c r="O4000">
        <v>19</v>
      </c>
      <c r="P4000" t="str">
        <f t="shared" si="1005"/>
        <v>Active</v>
      </c>
      <c r="Q4000" t="str">
        <f>"PC Extension Shelf  600x800mm"</f>
        <v>PC Extension Shelf  600x800mm</v>
      </c>
      <c r="S4000" t="str">
        <f>"PC Extension Shelf  600x800mm"</f>
        <v>PC Extension Shelf  600x800mm</v>
      </c>
      <c r="T4000">
        <v>0</v>
      </c>
      <c r="U4000">
        <v>192</v>
      </c>
      <c r="V4000">
        <v>195.4</v>
      </c>
      <c r="W4000" t="str">
        <f t="shared" si="996"/>
        <v>rob</v>
      </c>
    </row>
    <row r="4001" spans="1:23">
      <c r="A4001" t="str">
        <f t="shared" si="1006"/>
        <v>QC-ER14P-03</v>
      </c>
      <c r="B4001" t="str">
        <f>"50-0094-0000"</f>
        <v>50-0094-0000</v>
      </c>
      <c r="C4001" t="str">
        <f>"Pre-Engineering, Design and Testing"</f>
        <v>Pre-Engineering, Design and Testing</v>
      </c>
      <c r="D4001">
        <v>1</v>
      </c>
      <c r="E4001" t="str">
        <f t="shared" si="1007"/>
        <v>QC: Robot ER14 (Vision &amp; Caliper &amp; LSM)</v>
      </c>
      <c r="F4001">
        <v>505</v>
      </c>
      <c r="G4001" t="str">
        <f t="shared" si="1003"/>
        <v>Y</v>
      </c>
      <c r="H4001" t="str">
        <f>"DA"</f>
        <v>DA</v>
      </c>
      <c r="I4001">
        <v>0</v>
      </c>
      <c r="J4001">
        <v>0</v>
      </c>
      <c r="K4001" t="str">
        <f t="shared" si="1004"/>
        <v>Y</v>
      </c>
      <c r="L4001">
        <v>0</v>
      </c>
      <c r="M4001" t="str">
        <f t="shared" si="1009"/>
        <v>NIS</v>
      </c>
      <c r="O4001">
        <v>20</v>
      </c>
      <c r="P4001" t="str">
        <f t="shared" si="1005"/>
        <v>Active</v>
      </c>
      <c r="Q4001" t="str">
        <f>"Pre-Engineering, Design and Testing"</f>
        <v>Pre-Engineering, Design and Testing</v>
      </c>
      <c r="S4001" t="str">
        <f>"Pre-Engineering, Design and Testing"</f>
        <v>Pre-Engineering, Design and Testing</v>
      </c>
      <c r="T4001">
        <v>0</v>
      </c>
      <c r="U4001">
        <v>405</v>
      </c>
      <c r="V4001">
        <v>421.2</v>
      </c>
      <c r="W4001" t="str">
        <f t="shared" si="996"/>
        <v>rob</v>
      </c>
    </row>
    <row r="4002" spans="1:23">
      <c r="A4002" t="str">
        <f t="shared" ref="A4002:A4013" si="1010">"QC-ER4U-01"</f>
        <v>QC-ER4U-01</v>
      </c>
      <c r="B4002" t="str">
        <f>"00-0413-0000"</f>
        <v>00-0413-0000</v>
      </c>
      <c r="C4002" t="str">
        <f>"SCORBOT-ER 4u"</f>
        <v>SCORBOT-ER 4u</v>
      </c>
      <c r="D4002">
        <v>1</v>
      </c>
      <c r="E4002" t="str">
        <f t="shared" ref="E4002:E4013" si="1011">"Quality Control: Quality Control with Scorbot-ER4U Robot (with Caliper)"</f>
        <v>Quality Control: Quality Control with Scorbot-ER4U Robot (with Caliper)</v>
      </c>
      <c r="F4002">
        <v>505</v>
      </c>
      <c r="G4002" t="str">
        <f t="shared" si="1003"/>
        <v>Y</v>
      </c>
      <c r="H4002" t="str">
        <f t="shared" ref="H4002:H4012" si="1012">"EA"</f>
        <v>EA</v>
      </c>
      <c r="I4002">
        <v>0</v>
      </c>
      <c r="J4002">
        <v>0</v>
      </c>
      <c r="K4002" t="str">
        <f t="shared" si="1004"/>
        <v>Y</v>
      </c>
      <c r="L4002">
        <v>0</v>
      </c>
      <c r="M4002" t="str">
        <f t="shared" si="1009"/>
        <v>NIS</v>
      </c>
      <c r="O4002">
        <v>1</v>
      </c>
      <c r="P4002" t="str">
        <f t="shared" si="1005"/>
        <v>Active</v>
      </c>
      <c r="Q4002" t="str">
        <f>"SCORBOT-ER 4u (Package)"</f>
        <v>SCORBOT-ER 4u (Package)</v>
      </c>
      <c r="S4002" t="str">
        <f>"SCORBOT-ER 4u (Package)"</f>
        <v>SCORBOT-ER 4u (Package)</v>
      </c>
      <c r="T4002">
        <v>0</v>
      </c>
      <c r="U4002" s="44">
        <v>3200</v>
      </c>
      <c r="V4002" s="44">
        <v>3390.7</v>
      </c>
      <c r="W4002" t="str">
        <f t="shared" si="996"/>
        <v>rob</v>
      </c>
    </row>
    <row r="4003" spans="1:23">
      <c r="A4003" t="str">
        <f t="shared" si="1010"/>
        <v>QC-ER4U-01</v>
      </c>
      <c r="B4003" t="str">
        <f>"00-0609-0000"</f>
        <v>00-0609-0000</v>
      </c>
      <c r="C4003" t="str">
        <f>"Gripper attachment for round and square parts"</f>
        <v>Gripper attachment for round and square parts</v>
      </c>
      <c r="D4003">
        <v>1</v>
      </c>
      <c r="E4003" t="str">
        <f t="shared" si="1011"/>
        <v>Quality Control: Quality Control with Scorbot-ER4U Robot (with Caliper)</v>
      </c>
      <c r="F4003">
        <v>505</v>
      </c>
      <c r="G4003" t="str">
        <f t="shared" si="1003"/>
        <v>Y</v>
      </c>
      <c r="H4003" t="str">
        <f t="shared" si="1012"/>
        <v>EA</v>
      </c>
      <c r="I4003">
        <v>0</v>
      </c>
      <c r="J4003">
        <v>0</v>
      </c>
      <c r="K4003" t="str">
        <f t="shared" si="1004"/>
        <v>Y</v>
      </c>
      <c r="L4003">
        <v>0</v>
      </c>
      <c r="M4003" t="str">
        <f t="shared" si="1009"/>
        <v>NIS</v>
      </c>
      <c r="O4003">
        <v>2</v>
      </c>
      <c r="P4003" t="str">
        <f t="shared" si="1005"/>
        <v>Active</v>
      </c>
      <c r="Q4003" t="str">
        <f>"End Effector Attachment for ER4U Gripper"</f>
        <v>End Effector Attachment for ER4U Gripper</v>
      </c>
      <c r="S4003" t="str">
        <f>"End Effector Attachment for ER4U Gripper"</f>
        <v>End Effector Attachment for ER4U Gripper</v>
      </c>
      <c r="T4003">
        <v>0</v>
      </c>
      <c r="U4003">
        <v>25.59</v>
      </c>
      <c r="V4003">
        <v>25.11</v>
      </c>
      <c r="W4003" t="str">
        <f t="shared" si="996"/>
        <v>rob</v>
      </c>
    </row>
    <row r="4004" spans="1:23">
      <c r="A4004" t="str">
        <f t="shared" si="1010"/>
        <v>QC-ER4U-01</v>
      </c>
      <c r="B4004" t="str">
        <f>"00-1710-0000"</f>
        <v>00-1710-0000</v>
      </c>
      <c r="C4004" t="str">
        <f>"Teach Pendant"</f>
        <v>Teach Pendant</v>
      </c>
      <c r="D4004">
        <v>1</v>
      </c>
      <c r="E4004" t="str">
        <f t="shared" si="1011"/>
        <v>Quality Control: Quality Control with Scorbot-ER4U Robot (with Caliper)</v>
      </c>
      <c r="F4004">
        <v>505</v>
      </c>
      <c r="G4004" t="str">
        <f t="shared" si="1003"/>
        <v>Y</v>
      </c>
      <c r="H4004" t="str">
        <f t="shared" si="1012"/>
        <v>EA</v>
      </c>
      <c r="I4004">
        <v>0</v>
      </c>
      <c r="J4004">
        <v>0</v>
      </c>
      <c r="K4004" t="str">
        <f t="shared" si="1004"/>
        <v>Y</v>
      </c>
      <c r="L4004">
        <v>0</v>
      </c>
      <c r="M4004" t="str">
        <f t="shared" si="1009"/>
        <v>NIS</v>
      </c>
      <c r="O4004">
        <v>3</v>
      </c>
      <c r="P4004" t="str">
        <f t="shared" si="1005"/>
        <v>Active</v>
      </c>
      <c r="Q4004" t="str">
        <f>"Teach Pendant for USB/USB Pro Controllers"</f>
        <v>Teach Pendant for USB/USB Pro Controllers</v>
      </c>
      <c r="S4004" t="str">
        <f>"Teach Pendant for USB/USB Pro Controllers"</f>
        <v>Teach Pendant for USB/USB Pro Controllers</v>
      </c>
      <c r="T4004">
        <v>0</v>
      </c>
      <c r="U4004">
        <v>160.18</v>
      </c>
      <c r="V4004">
        <v>161.44999999999999</v>
      </c>
      <c r="W4004" t="str">
        <f t="shared" si="996"/>
        <v>rob</v>
      </c>
    </row>
    <row r="4005" spans="1:23">
      <c r="A4005" t="str">
        <f t="shared" si="1010"/>
        <v>QC-ER4U-01</v>
      </c>
      <c r="B4005" t="str">
        <f>"10-1010-9000"</f>
        <v>10-1010-9000</v>
      </c>
      <c r="C4005" t="str">
        <f>"Adapter Mounting Plate for ER4u"</f>
        <v>Adapter Mounting Plate for ER4u</v>
      </c>
      <c r="D4005">
        <v>1</v>
      </c>
      <c r="E4005" t="str">
        <f t="shared" si="1011"/>
        <v>Quality Control: Quality Control with Scorbot-ER4U Robot (with Caliper)</v>
      </c>
      <c r="F4005">
        <v>505</v>
      </c>
      <c r="G4005" t="str">
        <f t="shared" si="1003"/>
        <v>Y</v>
      </c>
      <c r="H4005" t="str">
        <f t="shared" si="1012"/>
        <v>EA</v>
      </c>
      <c r="I4005">
        <v>0</v>
      </c>
      <c r="J4005">
        <v>0</v>
      </c>
      <c r="K4005" t="str">
        <f t="shared" si="1004"/>
        <v>Y</v>
      </c>
      <c r="L4005">
        <v>0</v>
      </c>
      <c r="M4005" t="str">
        <f t="shared" si="1009"/>
        <v>NIS</v>
      </c>
      <c r="O4005">
        <v>4</v>
      </c>
      <c r="P4005" t="str">
        <f t="shared" si="1005"/>
        <v>Active</v>
      </c>
      <c r="Q4005" t="str">
        <f>"Adapter Mounting Plate for ER4u"</f>
        <v>Adapter Mounting Plate for ER4u</v>
      </c>
      <c r="S4005" t="str">
        <f>"Adapter Mounting Plate for ER4u"</f>
        <v>Adapter Mounting Plate for ER4u</v>
      </c>
      <c r="T4005">
        <v>0</v>
      </c>
      <c r="U4005">
        <v>117</v>
      </c>
      <c r="V4005">
        <v>117.14</v>
      </c>
      <c r="W4005" t="str">
        <f t="shared" si="996"/>
        <v>rob</v>
      </c>
    </row>
    <row r="4006" spans="1:23">
      <c r="A4006" t="str">
        <f t="shared" si="1010"/>
        <v>QC-ER4U-01</v>
      </c>
      <c r="B4006" t="str">
        <f>"10-2104-9000"</f>
        <v>10-2104-9000</v>
      </c>
      <c r="C4006" t="str">
        <f>"Single Buffer for Slotted Table"</f>
        <v>Single Buffer for Slotted Table</v>
      </c>
      <c r="D4006">
        <v>2</v>
      </c>
      <c r="E4006" t="str">
        <f t="shared" si="1011"/>
        <v>Quality Control: Quality Control with Scorbot-ER4U Robot (with Caliper)</v>
      </c>
      <c r="F4006">
        <v>505</v>
      </c>
      <c r="G4006" t="str">
        <f t="shared" si="1003"/>
        <v>Y</v>
      </c>
      <c r="H4006" t="str">
        <f t="shared" si="1012"/>
        <v>EA</v>
      </c>
      <c r="I4006">
        <v>0</v>
      </c>
      <c r="J4006">
        <v>0</v>
      </c>
      <c r="K4006" t="str">
        <f t="shared" si="1004"/>
        <v>Y</v>
      </c>
      <c r="L4006">
        <v>0</v>
      </c>
      <c r="M4006" t="str">
        <f t="shared" si="1009"/>
        <v>NIS</v>
      </c>
      <c r="O4006">
        <v>5</v>
      </c>
      <c r="P4006" t="str">
        <f t="shared" si="1005"/>
        <v>Active</v>
      </c>
      <c r="Q4006" t="str">
        <f>"Single Buffer for Slotted Table(+height adapter)"</f>
        <v>Single Buffer for Slotted Table(+height adapter)</v>
      </c>
      <c r="S4006" t="str">
        <f>"Single Buffer for Slotted Table(+height adapter)"</f>
        <v>Single Buffer for Slotted Table(+height adapter)</v>
      </c>
      <c r="T4006">
        <v>0</v>
      </c>
      <c r="U4006">
        <v>26</v>
      </c>
      <c r="V4006">
        <v>25.49</v>
      </c>
      <c r="W4006" t="str">
        <f t="shared" si="996"/>
        <v>rob</v>
      </c>
    </row>
    <row r="4007" spans="1:23">
      <c r="A4007" t="str">
        <f t="shared" si="1010"/>
        <v>QC-ER4U-01</v>
      </c>
      <c r="B4007" t="str">
        <f>"00-1110-0000"</f>
        <v>00-1110-0000</v>
      </c>
      <c r="C4007" t="str">
        <f>"Palletizing Rack"</f>
        <v>Palletizing Rack</v>
      </c>
      <c r="D4007">
        <v>1</v>
      </c>
      <c r="E4007" t="str">
        <f t="shared" si="1011"/>
        <v>Quality Control: Quality Control with Scorbot-ER4U Robot (with Caliper)</v>
      </c>
      <c r="F4007">
        <v>505</v>
      </c>
      <c r="G4007" t="str">
        <f t="shared" si="1003"/>
        <v>Y</v>
      </c>
      <c r="H4007" t="str">
        <f t="shared" si="1012"/>
        <v>EA</v>
      </c>
      <c r="I4007">
        <v>0</v>
      </c>
      <c r="J4007">
        <v>0</v>
      </c>
      <c r="K4007" t="str">
        <f t="shared" si="1004"/>
        <v>Y</v>
      </c>
      <c r="L4007">
        <v>0</v>
      </c>
      <c r="M4007" t="str">
        <f t="shared" si="1009"/>
        <v>NIS</v>
      </c>
      <c r="O4007">
        <v>6</v>
      </c>
      <c r="P4007" t="str">
        <f t="shared" si="1005"/>
        <v>Active</v>
      </c>
      <c r="Q4007" t="str">
        <f>"Palletizing Rack (incl. Pins for creating Jigs)"</f>
        <v>Palletizing Rack (incl. Pins for creating Jigs)</v>
      </c>
      <c r="S4007" t="str">
        <f>"Palletizing Rack (incl. Pins for creating Jigs)"</f>
        <v>Palletizing Rack (incl. Pins for creating Jigs)</v>
      </c>
      <c r="T4007">
        <v>0</v>
      </c>
      <c r="U4007">
        <v>63</v>
      </c>
      <c r="V4007">
        <v>58.59</v>
      </c>
      <c r="W4007" t="str">
        <f t="shared" si="996"/>
        <v>rob</v>
      </c>
    </row>
    <row r="4008" spans="1:23">
      <c r="A4008" t="str">
        <f t="shared" si="1010"/>
        <v>QC-ER4U-01</v>
      </c>
      <c r="B4008" t="str">
        <f>"021172"</f>
        <v>021172</v>
      </c>
      <c r="C4008" t="str">
        <f>"30mm Height Adapter -Rack 001110 on table 001249"</f>
        <v>30mm Height Adapter -Rack 001110 on table 001249</v>
      </c>
      <c r="D4008">
        <v>1</v>
      </c>
      <c r="E4008" t="str">
        <f t="shared" si="1011"/>
        <v>Quality Control: Quality Control with Scorbot-ER4U Robot (with Caliper)</v>
      </c>
      <c r="F4008">
        <v>505</v>
      </c>
      <c r="G4008" t="str">
        <f t="shared" si="1003"/>
        <v>Y</v>
      </c>
      <c r="H4008" t="str">
        <f t="shared" si="1012"/>
        <v>EA</v>
      </c>
      <c r="I4008">
        <v>0</v>
      </c>
      <c r="J4008">
        <v>0</v>
      </c>
      <c r="K4008" t="str">
        <f t="shared" si="1004"/>
        <v>Y</v>
      </c>
      <c r="L4008">
        <v>0</v>
      </c>
      <c r="M4008" t="str">
        <f t="shared" si="1009"/>
        <v>NIS</v>
      </c>
      <c r="O4008">
        <v>7</v>
      </c>
      <c r="P4008" t="str">
        <f t="shared" ref="P4008:P4039" si="1013">"Active"</f>
        <v>Active</v>
      </c>
      <c r="Q4008" t="str">
        <f>"30mm Height Adapter -Rack 001110 on table 001249"</f>
        <v>30mm Height Adapter -Rack 001110 on table 001249</v>
      </c>
      <c r="S4008" t="str">
        <f>"30mm Height Adapter -Rack 001110 on table 001249"</f>
        <v>30mm Height Adapter -Rack 001110 on table 001249</v>
      </c>
      <c r="T4008">
        <v>0</v>
      </c>
      <c r="U4008">
        <v>13.12</v>
      </c>
      <c r="V4008">
        <v>13.44</v>
      </c>
      <c r="W4008" t="str">
        <f t="shared" si="996"/>
        <v>rob</v>
      </c>
    </row>
    <row r="4009" spans="1:23">
      <c r="A4009" t="str">
        <f t="shared" si="1010"/>
        <v>QC-ER4U-01</v>
      </c>
      <c r="B4009" t="str">
        <f>"00-1254-0000"</f>
        <v>00-1254-0000</v>
      </c>
      <c r="C4009" t="str">
        <f>"Automated Stationary Caliper Unit"</f>
        <v>Automated Stationary Caliper Unit</v>
      </c>
      <c r="D4009">
        <v>1</v>
      </c>
      <c r="E4009" t="str">
        <f t="shared" si="1011"/>
        <v>Quality Control: Quality Control with Scorbot-ER4U Robot (with Caliper)</v>
      </c>
      <c r="F4009">
        <v>505</v>
      </c>
      <c r="G4009" t="str">
        <f t="shared" si="1003"/>
        <v>Y</v>
      </c>
      <c r="H4009" t="str">
        <f t="shared" si="1012"/>
        <v>EA</v>
      </c>
      <c r="I4009">
        <v>0</v>
      </c>
      <c r="J4009">
        <v>0</v>
      </c>
      <c r="K4009" t="str">
        <f t="shared" si="1004"/>
        <v>Y</v>
      </c>
      <c r="L4009">
        <v>0</v>
      </c>
      <c r="M4009" t="str">
        <f t="shared" si="1009"/>
        <v>NIS</v>
      </c>
      <c r="O4009">
        <v>8</v>
      </c>
      <c r="P4009" t="str">
        <f t="shared" si="1013"/>
        <v>Active</v>
      </c>
      <c r="Q4009" t="str">
        <f>"Automat Stationary Caliper  Unit"</f>
        <v>Automat Stationary Caliper  Unit</v>
      </c>
      <c r="S4009" t="str">
        <f>"Automat Stationary Caliper  Unit"</f>
        <v>Automat Stationary Caliper  Unit</v>
      </c>
      <c r="T4009">
        <v>0</v>
      </c>
      <c r="U4009" s="44">
        <v>1165.92</v>
      </c>
      <c r="V4009" s="44">
        <v>1246.44</v>
      </c>
      <c r="W4009" t="str">
        <f t="shared" si="996"/>
        <v>rob</v>
      </c>
    </row>
    <row r="4010" spans="1:23">
      <c r="A4010" t="str">
        <f t="shared" si="1010"/>
        <v>QC-ER4U-01</v>
      </c>
      <c r="B4010" t="str">
        <f>"113316"</f>
        <v>113316</v>
      </c>
      <c r="C4010" t="str">
        <f>"Parts Bin"</f>
        <v>Parts Bin</v>
      </c>
      <c r="D4010">
        <v>1</v>
      </c>
      <c r="E4010" t="str">
        <f t="shared" si="1011"/>
        <v>Quality Control: Quality Control with Scorbot-ER4U Robot (with Caliper)</v>
      </c>
      <c r="F4010">
        <v>505</v>
      </c>
      <c r="G4010" t="str">
        <f t="shared" si="1003"/>
        <v>Y</v>
      </c>
      <c r="H4010" t="str">
        <f t="shared" si="1012"/>
        <v>EA</v>
      </c>
      <c r="I4010">
        <v>0</v>
      </c>
      <c r="J4010">
        <v>0</v>
      </c>
      <c r="K4010" t="str">
        <f t="shared" si="1004"/>
        <v>Y</v>
      </c>
      <c r="L4010">
        <v>0</v>
      </c>
      <c r="M4010" t="str">
        <f t="shared" si="1009"/>
        <v>NIS</v>
      </c>
      <c r="O4010">
        <v>9</v>
      </c>
      <c r="P4010" t="str">
        <f t="shared" si="1013"/>
        <v>Active</v>
      </c>
      <c r="Q4010" t="str">
        <f>"Parts Bin; Plastic Box"</f>
        <v>Parts Bin; Plastic Box</v>
      </c>
      <c r="R4010" t="str">
        <f>"1"</f>
        <v>1</v>
      </c>
      <c r="S4010" t="str">
        <f>"Parts Bin; Plastic Box"</f>
        <v>Parts Bin; Plastic Box</v>
      </c>
      <c r="T4010">
        <v>0</v>
      </c>
      <c r="U4010">
        <v>8.0399999999999991</v>
      </c>
      <c r="V4010">
        <v>6.39</v>
      </c>
      <c r="W4010" t="str">
        <f t="shared" ref="W4010:W4073" si="1014">"rob"</f>
        <v>rob</v>
      </c>
    </row>
    <row r="4011" spans="1:23">
      <c r="A4011" t="str">
        <f t="shared" si="1010"/>
        <v>QC-ER4U-01</v>
      </c>
      <c r="B4011" t="str">
        <f>"00-1249-0000"</f>
        <v>00-1249-0000</v>
      </c>
      <c r="C4011" t="str">
        <f>"Workbench 1500x800mm (slotted aluminum top)"</f>
        <v>Workbench 1500x800mm (slotted aluminum top)</v>
      </c>
      <c r="D4011">
        <v>1</v>
      </c>
      <c r="E4011" t="str">
        <f t="shared" si="1011"/>
        <v>Quality Control: Quality Control with Scorbot-ER4U Robot (with Caliper)</v>
      </c>
      <c r="F4011">
        <v>505</v>
      </c>
      <c r="G4011" t="str">
        <f t="shared" si="1003"/>
        <v>Y</v>
      </c>
      <c r="H4011" t="str">
        <f t="shared" si="1012"/>
        <v>EA</v>
      </c>
      <c r="I4011">
        <v>0</v>
      </c>
      <c r="J4011">
        <v>0</v>
      </c>
      <c r="K4011" t="str">
        <f t="shared" si="1004"/>
        <v>Y</v>
      </c>
      <c r="L4011">
        <v>0</v>
      </c>
      <c r="M4011" t="str">
        <f t="shared" si="1009"/>
        <v>NIS</v>
      </c>
      <c r="O4011">
        <v>10</v>
      </c>
      <c r="P4011" t="str">
        <f t="shared" si="1013"/>
        <v>Active</v>
      </c>
      <c r="Q4011" t="str">
        <f>"Workbench 1500x800mm (slotted aluminum top)"</f>
        <v>Workbench 1500x800mm (slotted aluminum top)</v>
      </c>
      <c r="S4011" t="str">
        <f>"Workbench 1500x800mm (slotted aluminum top)"</f>
        <v>Workbench 1500x800mm (slotted aluminum top)</v>
      </c>
      <c r="T4011">
        <v>0</v>
      </c>
      <c r="U4011" s="44">
        <v>1100</v>
      </c>
      <c r="V4011" s="44">
        <v>1083.57</v>
      </c>
      <c r="W4011" t="str">
        <f t="shared" si="1014"/>
        <v>rob</v>
      </c>
    </row>
    <row r="4012" spans="1:23">
      <c r="A4012" t="str">
        <f t="shared" si="1010"/>
        <v>QC-ER4U-01</v>
      </c>
      <c r="B4012" t="str">
        <f>"00-1260-0000"</f>
        <v>00-1260-0000</v>
      </c>
      <c r="C4012" t="str">
        <f>"PC Extension Shelf  600x800mm"</f>
        <v>PC Extension Shelf  600x800mm</v>
      </c>
      <c r="D4012">
        <v>1</v>
      </c>
      <c r="E4012" t="str">
        <f t="shared" si="1011"/>
        <v>Quality Control: Quality Control with Scorbot-ER4U Robot (with Caliper)</v>
      </c>
      <c r="F4012">
        <v>505</v>
      </c>
      <c r="G4012" t="str">
        <f t="shared" si="1003"/>
        <v>Y</v>
      </c>
      <c r="H4012" t="str">
        <f t="shared" si="1012"/>
        <v>EA</v>
      </c>
      <c r="I4012">
        <v>0</v>
      </c>
      <c r="J4012">
        <v>0</v>
      </c>
      <c r="K4012" t="str">
        <f t="shared" si="1004"/>
        <v>Y</v>
      </c>
      <c r="L4012">
        <v>0</v>
      </c>
      <c r="M4012" t="str">
        <f t="shared" si="1009"/>
        <v>NIS</v>
      </c>
      <c r="O4012">
        <v>11</v>
      </c>
      <c r="P4012" t="str">
        <f t="shared" si="1013"/>
        <v>Active</v>
      </c>
      <c r="Q4012" t="str">
        <f>"PC Extension Shelf  600x800mm"</f>
        <v>PC Extension Shelf  600x800mm</v>
      </c>
      <c r="S4012" t="str">
        <f>"PC Extension Shelf  600x800mm"</f>
        <v>PC Extension Shelf  600x800mm</v>
      </c>
      <c r="T4012">
        <v>0</v>
      </c>
      <c r="U4012">
        <v>192</v>
      </c>
      <c r="V4012">
        <v>195.4</v>
      </c>
      <c r="W4012" t="str">
        <f t="shared" si="1014"/>
        <v>rob</v>
      </c>
    </row>
    <row r="4013" spans="1:23">
      <c r="A4013" t="str">
        <f t="shared" si="1010"/>
        <v>QC-ER4U-01</v>
      </c>
      <c r="B4013" t="str">
        <f>"50-0094-0000"</f>
        <v>50-0094-0000</v>
      </c>
      <c r="C4013" t="str">
        <f>"Pre-Engineering, Design and Testing"</f>
        <v>Pre-Engineering, Design and Testing</v>
      </c>
      <c r="D4013">
        <v>1</v>
      </c>
      <c r="E4013" t="str">
        <f t="shared" si="1011"/>
        <v>Quality Control: Quality Control with Scorbot-ER4U Robot (with Caliper)</v>
      </c>
      <c r="F4013">
        <v>505</v>
      </c>
      <c r="G4013" t="str">
        <f t="shared" si="1003"/>
        <v>Y</v>
      </c>
      <c r="H4013" t="str">
        <f>"DA"</f>
        <v>DA</v>
      </c>
      <c r="I4013">
        <v>0</v>
      </c>
      <c r="J4013">
        <v>0</v>
      </c>
      <c r="K4013" t="str">
        <f t="shared" si="1004"/>
        <v>Y</v>
      </c>
      <c r="L4013">
        <v>0</v>
      </c>
      <c r="M4013" t="str">
        <f t="shared" si="1009"/>
        <v>NIS</v>
      </c>
      <c r="O4013">
        <v>12</v>
      </c>
      <c r="P4013" t="str">
        <f t="shared" si="1013"/>
        <v>Active</v>
      </c>
      <c r="Q4013" t="str">
        <f>"Pre-Engineering, Design and Testing"</f>
        <v>Pre-Engineering, Design and Testing</v>
      </c>
      <c r="S4013" t="str">
        <f>"Pre-Engineering, Design and Testing"</f>
        <v>Pre-Engineering, Design and Testing</v>
      </c>
      <c r="T4013">
        <v>0</v>
      </c>
      <c r="U4013">
        <v>405</v>
      </c>
      <c r="V4013">
        <v>421.2</v>
      </c>
      <c r="W4013" t="str">
        <f t="shared" si="1014"/>
        <v>rob</v>
      </c>
    </row>
    <row r="4014" spans="1:23">
      <c r="A4014" t="str">
        <f t="shared" ref="A4014:A4027" si="1015">"QC-ER4U-02"</f>
        <v>QC-ER4U-02</v>
      </c>
      <c r="B4014" t="str">
        <f>"00-0413-0000"</f>
        <v>00-0413-0000</v>
      </c>
      <c r="C4014" t="str">
        <f>"SCORBOT-ER 4u"</f>
        <v>SCORBOT-ER 4u</v>
      </c>
      <c r="D4014">
        <v>1</v>
      </c>
      <c r="E4014" t="str">
        <f t="shared" ref="E4014:E4027" si="1016">"Quality Control: Scorbot-ER4U Robot (with ViewFlex Machine Vision System)"</f>
        <v>Quality Control: Scorbot-ER4U Robot (with ViewFlex Machine Vision System)</v>
      </c>
      <c r="F4014">
        <v>505</v>
      </c>
      <c r="G4014" t="str">
        <f t="shared" si="1003"/>
        <v>Y</v>
      </c>
      <c r="H4014" t="str">
        <f t="shared" ref="H4014:H4026" si="1017">"EA"</f>
        <v>EA</v>
      </c>
      <c r="I4014">
        <v>0</v>
      </c>
      <c r="J4014">
        <v>0</v>
      </c>
      <c r="K4014" t="str">
        <f t="shared" si="1004"/>
        <v>Y</v>
      </c>
      <c r="L4014">
        <v>0</v>
      </c>
      <c r="M4014" t="str">
        <f t="shared" si="1009"/>
        <v>NIS</v>
      </c>
      <c r="O4014">
        <v>1</v>
      </c>
      <c r="P4014" t="str">
        <f t="shared" si="1013"/>
        <v>Active</v>
      </c>
      <c r="Q4014" t="str">
        <f>"SCORBOT-ER 4u (Package)"</f>
        <v>SCORBOT-ER 4u (Package)</v>
      </c>
      <c r="S4014" t="str">
        <f>"SCORBOT-ER 4u (Package)"</f>
        <v>SCORBOT-ER 4u (Package)</v>
      </c>
      <c r="T4014">
        <v>0</v>
      </c>
      <c r="U4014" s="44">
        <v>3200</v>
      </c>
      <c r="V4014" s="44">
        <v>3390.7</v>
      </c>
      <c r="W4014" t="str">
        <f t="shared" si="1014"/>
        <v>rob</v>
      </c>
    </row>
    <row r="4015" spans="1:23">
      <c r="A4015" t="str">
        <f t="shared" si="1015"/>
        <v>QC-ER4U-02</v>
      </c>
      <c r="B4015" t="str">
        <f>"00-0609-0000"</f>
        <v>00-0609-0000</v>
      </c>
      <c r="C4015" t="str">
        <f>"Gripper attachment for round and square parts"</f>
        <v>Gripper attachment for round and square parts</v>
      </c>
      <c r="D4015">
        <v>1</v>
      </c>
      <c r="E4015" t="str">
        <f t="shared" si="1016"/>
        <v>Quality Control: Scorbot-ER4U Robot (with ViewFlex Machine Vision System)</v>
      </c>
      <c r="F4015">
        <v>505</v>
      </c>
      <c r="G4015" t="str">
        <f t="shared" si="1003"/>
        <v>Y</v>
      </c>
      <c r="H4015" t="str">
        <f t="shared" si="1017"/>
        <v>EA</v>
      </c>
      <c r="I4015">
        <v>0</v>
      </c>
      <c r="J4015">
        <v>0</v>
      </c>
      <c r="K4015" t="str">
        <f t="shared" si="1004"/>
        <v>Y</v>
      </c>
      <c r="L4015">
        <v>0</v>
      </c>
      <c r="M4015" t="str">
        <f t="shared" si="1009"/>
        <v>NIS</v>
      </c>
      <c r="O4015">
        <v>2</v>
      </c>
      <c r="P4015" t="str">
        <f t="shared" si="1013"/>
        <v>Active</v>
      </c>
      <c r="Q4015" t="str">
        <f>"End Effector Attachment for ER4U Gripper"</f>
        <v>End Effector Attachment for ER4U Gripper</v>
      </c>
      <c r="S4015" t="str">
        <f>"End Effector Attachment for ER4U Gripper"</f>
        <v>End Effector Attachment for ER4U Gripper</v>
      </c>
      <c r="T4015">
        <v>0</v>
      </c>
      <c r="U4015">
        <v>25.59</v>
      </c>
      <c r="V4015">
        <v>25.11</v>
      </c>
      <c r="W4015" t="str">
        <f t="shared" si="1014"/>
        <v>rob</v>
      </c>
    </row>
    <row r="4016" spans="1:23">
      <c r="A4016" t="str">
        <f t="shared" si="1015"/>
        <v>QC-ER4U-02</v>
      </c>
      <c r="B4016" t="str">
        <f>"00-1710-0000"</f>
        <v>00-1710-0000</v>
      </c>
      <c r="C4016" t="str">
        <f>"Teach Pendant"</f>
        <v>Teach Pendant</v>
      </c>
      <c r="D4016">
        <v>1</v>
      </c>
      <c r="E4016" t="str">
        <f t="shared" si="1016"/>
        <v>Quality Control: Scorbot-ER4U Robot (with ViewFlex Machine Vision System)</v>
      </c>
      <c r="F4016">
        <v>505</v>
      </c>
      <c r="G4016" t="str">
        <f t="shared" si="1003"/>
        <v>Y</v>
      </c>
      <c r="H4016" t="str">
        <f t="shared" si="1017"/>
        <v>EA</v>
      </c>
      <c r="I4016">
        <v>0</v>
      </c>
      <c r="J4016">
        <v>0</v>
      </c>
      <c r="K4016" t="str">
        <f t="shared" si="1004"/>
        <v>Y</v>
      </c>
      <c r="L4016">
        <v>0</v>
      </c>
      <c r="M4016" t="str">
        <f t="shared" si="1009"/>
        <v>NIS</v>
      </c>
      <c r="O4016">
        <v>3</v>
      </c>
      <c r="P4016" t="str">
        <f t="shared" si="1013"/>
        <v>Active</v>
      </c>
      <c r="Q4016" t="str">
        <f>"Teach Pendant for USB/USB Pro Controllers"</f>
        <v>Teach Pendant for USB/USB Pro Controllers</v>
      </c>
      <c r="S4016" t="str">
        <f>"Teach Pendant for USB/USB Pro Controllers"</f>
        <v>Teach Pendant for USB/USB Pro Controllers</v>
      </c>
      <c r="T4016">
        <v>0</v>
      </c>
      <c r="U4016">
        <v>160.18</v>
      </c>
      <c r="V4016">
        <v>161.44999999999999</v>
      </c>
      <c r="W4016" t="str">
        <f t="shared" si="1014"/>
        <v>rob</v>
      </c>
    </row>
    <row r="4017" spans="1:23">
      <c r="A4017" t="str">
        <f t="shared" si="1015"/>
        <v>QC-ER4U-02</v>
      </c>
      <c r="B4017" t="str">
        <f>"10-1010-9000"</f>
        <v>10-1010-9000</v>
      </c>
      <c r="C4017" t="str">
        <f>"Adapter Mounting Plate for ER4u"</f>
        <v>Adapter Mounting Plate for ER4u</v>
      </c>
      <c r="D4017">
        <v>1</v>
      </c>
      <c r="E4017" t="str">
        <f t="shared" si="1016"/>
        <v>Quality Control: Scorbot-ER4U Robot (with ViewFlex Machine Vision System)</v>
      </c>
      <c r="F4017">
        <v>505</v>
      </c>
      <c r="G4017" t="str">
        <f t="shared" si="1003"/>
        <v>Y</v>
      </c>
      <c r="H4017" t="str">
        <f t="shared" si="1017"/>
        <v>EA</v>
      </c>
      <c r="I4017">
        <v>0</v>
      </c>
      <c r="J4017">
        <v>0</v>
      </c>
      <c r="K4017" t="str">
        <f t="shared" si="1004"/>
        <v>Y</v>
      </c>
      <c r="L4017">
        <v>0</v>
      </c>
      <c r="M4017" t="str">
        <f t="shared" si="1009"/>
        <v>NIS</v>
      </c>
      <c r="O4017">
        <v>4</v>
      </c>
      <c r="P4017" t="str">
        <f t="shared" si="1013"/>
        <v>Active</v>
      </c>
      <c r="Q4017" t="str">
        <f>"Adapter Mounting Plate for ER4u"</f>
        <v>Adapter Mounting Plate for ER4u</v>
      </c>
      <c r="S4017" t="str">
        <f>"Adapter Mounting Plate for ER4u"</f>
        <v>Adapter Mounting Plate for ER4u</v>
      </c>
      <c r="T4017">
        <v>0</v>
      </c>
      <c r="U4017">
        <v>117</v>
      </c>
      <c r="V4017">
        <v>117.14</v>
      </c>
      <c r="W4017" t="str">
        <f t="shared" si="1014"/>
        <v>rob</v>
      </c>
    </row>
    <row r="4018" spans="1:23">
      <c r="A4018" t="str">
        <f t="shared" si="1015"/>
        <v>QC-ER4U-02</v>
      </c>
      <c r="B4018" t="str">
        <f>"10-2104-9000"</f>
        <v>10-2104-9000</v>
      </c>
      <c r="C4018" t="str">
        <f>"Single Buffer for Slotted Table"</f>
        <v>Single Buffer for Slotted Table</v>
      </c>
      <c r="D4018">
        <v>1</v>
      </c>
      <c r="E4018" t="str">
        <f t="shared" si="1016"/>
        <v>Quality Control: Scorbot-ER4U Robot (with ViewFlex Machine Vision System)</v>
      </c>
      <c r="F4018">
        <v>505</v>
      </c>
      <c r="G4018" t="str">
        <f t="shared" si="1003"/>
        <v>Y</v>
      </c>
      <c r="H4018" t="str">
        <f t="shared" si="1017"/>
        <v>EA</v>
      </c>
      <c r="I4018">
        <v>0</v>
      </c>
      <c r="J4018">
        <v>0</v>
      </c>
      <c r="K4018" t="str">
        <f t="shared" si="1004"/>
        <v>Y</v>
      </c>
      <c r="L4018">
        <v>0</v>
      </c>
      <c r="M4018" t="str">
        <f t="shared" si="1009"/>
        <v>NIS</v>
      </c>
      <c r="O4018">
        <v>5</v>
      </c>
      <c r="P4018" t="str">
        <f t="shared" si="1013"/>
        <v>Active</v>
      </c>
      <c r="Q4018" t="str">
        <f>"Single Buffer for Slotted Table(+height adapter)"</f>
        <v>Single Buffer for Slotted Table(+height adapter)</v>
      </c>
      <c r="S4018" t="str">
        <f>"Single Buffer for Slotted Table(+height adapter)"</f>
        <v>Single Buffer for Slotted Table(+height adapter)</v>
      </c>
      <c r="T4018">
        <v>0</v>
      </c>
      <c r="U4018">
        <v>26</v>
      </c>
      <c r="V4018">
        <v>25.49</v>
      </c>
      <c r="W4018" t="str">
        <f t="shared" si="1014"/>
        <v>rob</v>
      </c>
    </row>
    <row r="4019" spans="1:23">
      <c r="A4019" t="str">
        <f t="shared" si="1015"/>
        <v>QC-ER4U-02</v>
      </c>
      <c r="B4019" t="str">
        <f>"00-1110-0000"</f>
        <v>00-1110-0000</v>
      </c>
      <c r="C4019" t="str">
        <f>"Palletizing Rack"</f>
        <v>Palletizing Rack</v>
      </c>
      <c r="D4019">
        <v>1</v>
      </c>
      <c r="E4019" t="str">
        <f t="shared" si="1016"/>
        <v>Quality Control: Scorbot-ER4U Robot (with ViewFlex Machine Vision System)</v>
      </c>
      <c r="F4019">
        <v>505</v>
      </c>
      <c r="G4019" t="str">
        <f t="shared" si="1003"/>
        <v>Y</v>
      </c>
      <c r="H4019" t="str">
        <f t="shared" si="1017"/>
        <v>EA</v>
      </c>
      <c r="I4019">
        <v>0</v>
      </c>
      <c r="J4019">
        <v>0</v>
      </c>
      <c r="K4019" t="str">
        <f t="shared" si="1004"/>
        <v>Y</v>
      </c>
      <c r="L4019">
        <v>0</v>
      </c>
      <c r="M4019" t="str">
        <f t="shared" si="1009"/>
        <v>NIS</v>
      </c>
      <c r="O4019">
        <v>6</v>
      </c>
      <c r="P4019" t="str">
        <f t="shared" si="1013"/>
        <v>Active</v>
      </c>
      <c r="Q4019" t="str">
        <f>"Palletizing Rack (incl. Pins for creating Jigs)"</f>
        <v>Palletizing Rack (incl. Pins for creating Jigs)</v>
      </c>
      <c r="S4019" t="str">
        <f>"Palletizing Rack (incl. Pins for creating Jigs)"</f>
        <v>Palletizing Rack (incl. Pins for creating Jigs)</v>
      </c>
      <c r="T4019">
        <v>0</v>
      </c>
      <c r="U4019">
        <v>63</v>
      </c>
      <c r="V4019">
        <v>58.59</v>
      </c>
      <c r="W4019" t="str">
        <f t="shared" si="1014"/>
        <v>rob</v>
      </c>
    </row>
    <row r="4020" spans="1:23">
      <c r="A4020" t="str">
        <f t="shared" si="1015"/>
        <v>QC-ER4U-02</v>
      </c>
      <c r="B4020" t="str">
        <f>"021172"</f>
        <v>021172</v>
      </c>
      <c r="C4020" t="str">
        <f>"30mm Height Adapter -Rack 001110 on table 001249"</f>
        <v>30mm Height Adapter -Rack 001110 on table 001249</v>
      </c>
      <c r="D4020">
        <v>1</v>
      </c>
      <c r="E4020" t="str">
        <f t="shared" si="1016"/>
        <v>Quality Control: Scorbot-ER4U Robot (with ViewFlex Machine Vision System)</v>
      </c>
      <c r="F4020">
        <v>505</v>
      </c>
      <c r="G4020" t="str">
        <f t="shared" si="1003"/>
        <v>Y</v>
      </c>
      <c r="H4020" t="str">
        <f t="shared" si="1017"/>
        <v>EA</v>
      </c>
      <c r="I4020">
        <v>0</v>
      </c>
      <c r="J4020">
        <v>0</v>
      </c>
      <c r="K4020" t="str">
        <f t="shared" si="1004"/>
        <v>Y</v>
      </c>
      <c r="L4020">
        <v>0</v>
      </c>
      <c r="M4020" t="str">
        <f t="shared" si="1009"/>
        <v>NIS</v>
      </c>
      <c r="O4020">
        <v>7</v>
      </c>
      <c r="P4020" t="str">
        <f t="shared" si="1013"/>
        <v>Active</v>
      </c>
      <c r="Q4020" t="str">
        <f>"30mm Height Adapter -Rack 001110 on table 001249"</f>
        <v>30mm Height Adapter -Rack 001110 on table 001249</v>
      </c>
      <c r="S4020" t="str">
        <f>"30mm Height Adapter -Rack 001110 on table 001249"</f>
        <v>30mm Height Adapter -Rack 001110 on table 001249</v>
      </c>
      <c r="T4020">
        <v>0</v>
      </c>
      <c r="U4020">
        <v>13.12</v>
      </c>
      <c r="V4020">
        <v>13.44</v>
      </c>
      <c r="W4020" t="str">
        <f t="shared" si="1014"/>
        <v>rob</v>
      </c>
    </row>
    <row r="4021" spans="1:23">
      <c r="A4021" t="str">
        <f t="shared" si="1015"/>
        <v>QC-ER4U-02</v>
      </c>
      <c r="B4021" t="str">
        <f>"00-1426-0000"</f>
        <v>00-1426-0000</v>
      </c>
      <c r="C4021" t="str">
        <f>"Viewflex - Machine Vision (Stand 1000mm)"</f>
        <v>Viewflex - Machine Vision (Stand 1000mm)</v>
      </c>
      <c r="D4021">
        <v>1</v>
      </c>
      <c r="E4021" t="str">
        <f t="shared" si="1016"/>
        <v>Quality Control: Scorbot-ER4U Robot (with ViewFlex Machine Vision System)</v>
      </c>
      <c r="F4021">
        <v>505</v>
      </c>
      <c r="G4021" t="str">
        <f t="shared" si="1003"/>
        <v>Y</v>
      </c>
      <c r="H4021" t="str">
        <f t="shared" si="1017"/>
        <v>EA</v>
      </c>
      <c r="I4021">
        <v>0</v>
      </c>
      <c r="J4021">
        <v>0</v>
      </c>
      <c r="K4021" t="str">
        <f t="shared" si="1004"/>
        <v>Y</v>
      </c>
      <c r="L4021">
        <v>0</v>
      </c>
      <c r="M4021" t="str">
        <f t="shared" si="1009"/>
        <v>NIS</v>
      </c>
      <c r="O4021">
        <v>8</v>
      </c>
      <c r="P4021" t="str">
        <f t="shared" si="1013"/>
        <v>Active</v>
      </c>
      <c r="Q4021" t="str">
        <f>"Viewflex for Robot Guidance (Stand 1000mm)"</f>
        <v>Viewflex for Robot Guidance (Stand 1000mm)</v>
      </c>
      <c r="S4021" t="str">
        <f>"Viewflex for Robot Guidance (Stand 1000mm)"</f>
        <v>Viewflex for Robot Guidance (Stand 1000mm)</v>
      </c>
      <c r="T4021">
        <v>0</v>
      </c>
      <c r="U4021">
        <v>610.01</v>
      </c>
      <c r="V4021">
        <v>569.09</v>
      </c>
      <c r="W4021" t="str">
        <f t="shared" si="1014"/>
        <v>rob</v>
      </c>
    </row>
    <row r="4022" spans="1:23">
      <c r="A4022" t="str">
        <f t="shared" si="1015"/>
        <v>QC-ER4U-02</v>
      </c>
      <c r="B4022" t="str">
        <f>"113316"</f>
        <v>113316</v>
      </c>
      <c r="C4022" t="str">
        <f>"Parts Bin"</f>
        <v>Parts Bin</v>
      </c>
      <c r="D4022">
        <v>1</v>
      </c>
      <c r="E4022" t="str">
        <f t="shared" si="1016"/>
        <v>Quality Control: Scorbot-ER4U Robot (with ViewFlex Machine Vision System)</v>
      </c>
      <c r="F4022">
        <v>505</v>
      </c>
      <c r="G4022" t="str">
        <f t="shared" si="1003"/>
        <v>Y</v>
      </c>
      <c r="H4022" t="str">
        <f t="shared" si="1017"/>
        <v>EA</v>
      </c>
      <c r="I4022">
        <v>0</v>
      </c>
      <c r="J4022">
        <v>0</v>
      </c>
      <c r="K4022" t="str">
        <f t="shared" si="1004"/>
        <v>Y</v>
      </c>
      <c r="L4022">
        <v>0</v>
      </c>
      <c r="M4022" t="str">
        <f t="shared" si="1009"/>
        <v>NIS</v>
      </c>
      <c r="O4022">
        <v>9</v>
      </c>
      <c r="P4022" t="str">
        <f t="shared" si="1013"/>
        <v>Active</v>
      </c>
      <c r="Q4022" t="str">
        <f>"Parts Bin; Plastic Box"</f>
        <v>Parts Bin; Plastic Box</v>
      </c>
      <c r="R4022" t="str">
        <f>"1"</f>
        <v>1</v>
      </c>
      <c r="S4022" t="str">
        <f>"Parts Bin; Plastic Box"</f>
        <v>Parts Bin; Plastic Box</v>
      </c>
      <c r="T4022">
        <v>0</v>
      </c>
      <c r="U4022">
        <v>8.0399999999999991</v>
      </c>
      <c r="V4022">
        <v>6.39</v>
      </c>
      <c r="W4022" t="str">
        <f t="shared" si="1014"/>
        <v>rob</v>
      </c>
    </row>
    <row r="4023" spans="1:23">
      <c r="A4023" t="str">
        <f t="shared" si="1015"/>
        <v>QC-ER4U-02</v>
      </c>
      <c r="B4023" t="str">
        <f>"112713"</f>
        <v>112713</v>
      </c>
      <c r="C4023" t="str">
        <f>"Marked Aluminum Cylinder"</f>
        <v>Marked Aluminum Cylinder</v>
      </c>
      <c r="D4023">
        <v>1</v>
      </c>
      <c r="E4023" t="str">
        <f t="shared" si="1016"/>
        <v>Quality Control: Scorbot-ER4U Robot (with ViewFlex Machine Vision System)</v>
      </c>
      <c r="F4023">
        <v>505</v>
      </c>
      <c r="G4023" t="str">
        <f t="shared" si="1003"/>
        <v>Y</v>
      </c>
      <c r="H4023" t="str">
        <f t="shared" si="1017"/>
        <v>EA</v>
      </c>
      <c r="I4023">
        <v>0</v>
      </c>
      <c r="J4023">
        <v>0</v>
      </c>
      <c r="K4023" t="str">
        <f t="shared" si="1004"/>
        <v>Y</v>
      </c>
      <c r="L4023">
        <v>0</v>
      </c>
      <c r="M4023" t="str">
        <f t="shared" si="1009"/>
        <v>NIS</v>
      </c>
      <c r="O4023">
        <v>10</v>
      </c>
      <c r="P4023" t="str">
        <f t="shared" si="1013"/>
        <v>Active</v>
      </c>
      <c r="Q4023" t="str">
        <f>"Mark Al. Cylinder Diam. 35x28 MicroCIM"</f>
        <v>Mark Al. Cylinder Diam. 35x28 MicroCIM</v>
      </c>
      <c r="S4023" t="str">
        <f>"Mark Al. Cylinder Diam. 35x28"</f>
        <v>Mark Al. Cylinder Diam. 35x28</v>
      </c>
      <c r="T4023">
        <v>0</v>
      </c>
      <c r="U4023">
        <v>6</v>
      </c>
      <c r="V4023">
        <v>5.97</v>
      </c>
      <c r="W4023" t="str">
        <f t="shared" si="1014"/>
        <v>rob</v>
      </c>
    </row>
    <row r="4024" spans="1:23">
      <c r="A4024" t="str">
        <f t="shared" si="1015"/>
        <v>QC-ER4U-02</v>
      </c>
      <c r="B4024" t="str">
        <f>"113096"</f>
        <v>113096</v>
      </c>
      <c r="C4024" t="str">
        <f>"Plexiglass Cylinders Base"</f>
        <v>Plexiglass Cylinders Base</v>
      </c>
      <c r="D4024">
        <v>1</v>
      </c>
      <c r="E4024" t="str">
        <f t="shared" si="1016"/>
        <v>Quality Control: Scorbot-ER4U Robot (with ViewFlex Machine Vision System)</v>
      </c>
      <c r="F4024">
        <v>505</v>
      </c>
      <c r="G4024" t="str">
        <f t="shared" si="1003"/>
        <v>Y</v>
      </c>
      <c r="H4024" t="str">
        <f t="shared" si="1017"/>
        <v>EA</v>
      </c>
      <c r="I4024">
        <v>0</v>
      </c>
      <c r="J4024">
        <v>0</v>
      </c>
      <c r="K4024" t="str">
        <f t="shared" si="1004"/>
        <v>Y</v>
      </c>
      <c r="L4024">
        <v>0</v>
      </c>
      <c r="M4024" t="str">
        <f t="shared" si="1009"/>
        <v>NIS</v>
      </c>
      <c r="O4024">
        <v>11</v>
      </c>
      <c r="P4024" t="str">
        <f t="shared" si="1013"/>
        <v>Active</v>
      </c>
      <c r="Q4024" t="str">
        <f>"Plexiglass Cylinders Base MicroCIM"</f>
        <v>Plexiglass Cylinders Base MicroCIM</v>
      </c>
      <c r="S4024" t="str">
        <f>"Plexiglass Cylinders Base"</f>
        <v>Plexiglass Cylinders Base</v>
      </c>
      <c r="T4024">
        <v>0</v>
      </c>
      <c r="U4024">
        <v>7</v>
      </c>
      <c r="V4024">
        <v>6.83</v>
      </c>
      <c r="W4024" t="str">
        <f t="shared" si="1014"/>
        <v>rob</v>
      </c>
    </row>
    <row r="4025" spans="1:23">
      <c r="A4025" t="str">
        <f t="shared" si="1015"/>
        <v>QC-ER4U-02</v>
      </c>
      <c r="B4025" t="str">
        <f>"00-1249-0000"</f>
        <v>00-1249-0000</v>
      </c>
      <c r="C4025" t="str">
        <f>"Workbench 1500x800mm (slotted aluminum top)"</f>
        <v>Workbench 1500x800mm (slotted aluminum top)</v>
      </c>
      <c r="D4025">
        <v>1</v>
      </c>
      <c r="E4025" t="str">
        <f t="shared" si="1016"/>
        <v>Quality Control: Scorbot-ER4U Robot (with ViewFlex Machine Vision System)</v>
      </c>
      <c r="F4025">
        <v>505</v>
      </c>
      <c r="G4025" t="str">
        <f t="shared" si="1003"/>
        <v>Y</v>
      </c>
      <c r="H4025" t="str">
        <f t="shared" si="1017"/>
        <v>EA</v>
      </c>
      <c r="I4025">
        <v>0</v>
      </c>
      <c r="J4025">
        <v>0</v>
      </c>
      <c r="K4025" t="str">
        <f t="shared" si="1004"/>
        <v>Y</v>
      </c>
      <c r="L4025">
        <v>0</v>
      </c>
      <c r="M4025" t="str">
        <f t="shared" si="1009"/>
        <v>NIS</v>
      </c>
      <c r="O4025">
        <v>12</v>
      </c>
      <c r="P4025" t="str">
        <f t="shared" si="1013"/>
        <v>Active</v>
      </c>
      <c r="Q4025" t="str">
        <f>"Workbench 1500x800mm (slotted aluminum top)"</f>
        <v>Workbench 1500x800mm (slotted aluminum top)</v>
      </c>
      <c r="S4025" t="str">
        <f>"Workbench 1500x800mm (slotted aluminum top)"</f>
        <v>Workbench 1500x800mm (slotted aluminum top)</v>
      </c>
      <c r="T4025">
        <v>0</v>
      </c>
      <c r="U4025" s="44">
        <v>1100</v>
      </c>
      <c r="V4025" s="44">
        <v>1083.57</v>
      </c>
      <c r="W4025" t="str">
        <f t="shared" si="1014"/>
        <v>rob</v>
      </c>
    </row>
    <row r="4026" spans="1:23">
      <c r="A4026" t="str">
        <f t="shared" si="1015"/>
        <v>QC-ER4U-02</v>
      </c>
      <c r="B4026" t="str">
        <f>"00-1260-0000"</f>
        <v>00-1260-0000</v>
      </c>
      <c r="C4026" t="str">
        <f>"PC Extension Shelf  600x800mm"</f>
        <v>PC Extension Shelf  600x800mm</v>
      </c>
      <c r="D4026">
        <v>1</v>
      </c>
      <c r="E4026" t="str">
        <f t="shared" si="1016"/>
        <v>Quality Control: Scorbot-ER4U Robot (with ViewFlex Machine Vision System)</v>
      </c>
      <c r="F4026">
        <v>505</v>
      </c>
      <c r="G4026" t="str">
        <f t="shared" si="1003"/>
        <v>Y</v>
      </c>
      <c r="H4026" t="str">
        <f t="shared" si="1017"/>
        <v>EA</v>
      </c>
      <c r="I4026">
        <v>0</v>
      </c>
      <c r="J4026">
        <v>0</v>
      </c>
      <c r="K4026" t="str">
        <f t="shared" si="1004"/>
        <v>Y</v>
      </c>
      <c r="L4026">
        <v>0</v>
      </c>
      <c r="M4026" t="str">
        <f t="shared" si="1009"/>
        <v>NIS</v>
      </c>
      <c r="O4026">
        <v>13</v>
      </c>
      <c r="P4026" t="str">
        <f t="shared" si="1013"/>
        <v>Active</v>
      </c>
      <c r="Q4026" t="str">
        <f>"PC Extension Shelf  600x800mm"</f>
        <v>PC Extension Shelf  600x800mm</v>
      </c>
      <c r="S4026" t="str">
        <f>"PC Extension Shelf  600x800mm"</f>
        <v>PC Extension Shelf  600x800mm</v>
      </c>
      <c r="T4026">
        <v>0</v>
      </c>
      <c r="U4026">
        <v>192</v>
      </c>
      <c r="V4026">
        <v>195.4</v>
      </c>
      <c r="W4026" t="str">
        <f t="shared" si="1014"/>
        <v>rob</v>
      </c>
    </row>
    <row r="4027" spans="1:23">
      <c r="A4027" t="str">
        <f t="shared" si="1015"/>
        <v>QC-ER4U-02</v>
      </c>
      <c r="B4027" t="str">
        <f>"50-0094-0000"</f>
        <v>50-0094-0000</v>
      </c>
      <c r="C4027" t="str">
        <f>"Pre-Engineering, Design and Testing"</f>
        <v>Pre-Engineering, Design and Testing</v>
      </c>
      <c r="D4027">
        <v>1</v>
      </c>
      <c r="E4027" t="str">
        <f t="shared" si="1016"/>
        <v>Quality Control: Scorbot-ER4U Robot (with ViewFlex Machine Vision System)</v>
      </c>
      <c r="F4027">
        <v>505</v>
      </c>
      <c r="G4027" t="str">
        <f t="shared" si="1003"/>
        <v>Y</v>
      </c>
      <c r="H4027" t="str">
        <f>"DA"</f>
        <v>DA</v>
      </c>
      <c r="I4027">
        <v>0</v>
      </c>
      <c r="J4027">
        <v>0</v>
      </c>
      <c r="K4027" t="str">
        <f t="shared" si="1004"/>
        <v>Y</v>
      </c>
      <c r="L4027">
        <v>0</v>
      </c>
      <c r="M4027" t="str">
        <f t="shared" si="1009"/>
        <v>NIS</v>
      </c>
      <c r="O4027">
        <v>14</v>
      </c>
      <c r="P4027" t="str">
        <f t="shared" si="1013"/>
        <v>Active</v>
      </c>
      <c r="Q4027" t="str">
        <f>"Pre-Engineering, Design and Testing"</f>
        <v>Pre-Engineering, Design and Testing</v>
      </c>
      <c r="S4027" t="str">
        <f>"Pre-Engineering, Design and Testing"</f>
        <v>Pre-Engineering, Design and Testing</v>
      </c>
      <c r="T4027">
        <v>0</v>
      </c>
      <c r="U4027">
        <v>405</v>
      </c>
      <c r="V4027">
        <v>421.2</v>
      </c>
      <c r="W4027" t="str">
        <f t="shared" si="1014"/>
        <v>rob</v>
      </c>
    </row>
    <row r="4028" spans="1:23">
      <c r="A4028" t="str">
        <f t="shared" ref="A4028:A4043" si="1018">"QC-ER4U-03"</f>
        <v>QC-ER4U-03</v>
      </c>
      <c r="B4028" t="str">
        <f>"00-0413-0000"</f>
        <v>00-0413-0000</v>
      </c>
      <c r="C4028" t="str">
        <f>"SCORBOT-ER 4u"</f>
        <v>SCORBOT-ER 4u</v>
      </c>
      <c r="D4028">
        <v>1</v>
      </c>
      <c r="E4028" t="str">
        <f t="shared" ref="E4028:E4043" si="1019">"Quality Control: Scorbot-ER4U Robot (w ViewFlex Machine Vision System &amp; Caliper)"</f>
        <v>Quality Control: Scorbot-ER4U Robot (w ViewFlex Machine Vision System &amp; Caliper)</v>
      </c>
      <c r="F4028">
        <v>505</v>
      </c>
      <c r="G4028" t="str">
        <f t="shared" si="1003"/>
        <v>Y</v>
      </c>
      <c r="H4028" t="str">
        <f t="shared" ref="H4028:H4042" si="1020">"EA"</f>
        <v>EA</v>
      </c>
      <c r="I4028">
        <v>0</v>
      </c>
      <c r="J4028">
        <v>0</v>
      </c>
      <c r="K4028" t="str">
        <f t="shared" si="1004"/>
        <v>Y</v>
      </c>
      <c r="L4028">
        <v>0</v>
      </c>
      <c r="M4028" t="str">
        <f t="shared" si="1009"/>
        <v>NIS</v>
      </c>
      <c r="O4028">
        <v>1</v>
      </c>
      <c r="P4028" t="str">
        <f t="shared" si="1013"/>
        <v>Active</v>
      </c>
      <c r="Q4028" t="str">
        <f>"SCORBOT-ER 4u (Package)"</f>
        <v>SCORBOT-ER 4u (Package)</v>
      </c>
      <c r="S4028" t="str">
        <f>"SCORBOT-ER 4u (Package)"</f>
        <v>SCORBOT-ER 4u (Package)</v>
      </c>
      <c r="T4028">
        <v>0</v>
      </c>
      <c r="U4028" s="44">
        <v>3200</v>
      </c>
      <c r="V4028" s="44">
        <v>3390.7</v>
      </c>
      <c r="W4028" t="str">
        <f t="shared" si="1014"/>
        <v>rob</v>
      </c>
    </row>
    <row r="4029" spans="1:23">
      <c r="A4029" t="str">
        <f t="shared" si="1018"/>
        <v>QC-ER4U-03</v>
      </c>
      <c r="B4029" t="str">
        <f>"00-0609-0000"</f>
        <v>00-0609-0000</v>
      </c>
      <c r="C4029" t="str">
        <f>"Gripper attachment for round and square parts"</f>
        <v>Gripper attachment for round and square parts</v>
      </c>
      <c r="D4029">
        <v>1</v>
      </c>
      <c r="E4029" t="str">
        <f t="shared" si="1019"/>
        <v>Quality Control: Scorbot-ER4U Robot (w ViewFlex Machine Vision System &amp; Caliper)</v>
      </c>
      <c r="F4029">
        <v>505</v>
      </c>
      <c r="G4029" t="str">
        <f t="shared" si="1003"/>
        <v>Y</v>
      </c>
      <c r="H4029" t="str">
        <f t="shared" si="1020"/>
        <v>EA</v>
      </c>
      <c r="I4029">
        <v>0</v>
      </c>
      <c r="J4029">
        <v>0</v>
      </c>
      <c r="K4029" t="str">
        <f t="shared" si="1004"/>
        <v>Y</v>
      </c>
      <c r="L4029">
        <v>0</v>
      </c>
      <c r="M4029" t="str">
        <f t="shared" si="1009"/>
        <v>NIS</v>
      </c>
      <c r="O4029">
        <v>2</v>
      </c>
      <c r="P4029" t="str">
        <f t="shared" si="1013"/>
        <v>Active</v>
      </c>
      <c r="Q4029" t="str">
        <f>"End Effector Attachment for ER4U Gripper"</f>
        <v>End Effector Attachment for ER4U Gripper</v>
      </c>
      <c r="S4029" t="str">
        <f>"End Effector Attachment for ER4U Gripper"</f>
        <v>End Effector Attachment for ER4U Gripper</v>
      </c>
      <c r="T4029">
        <v>0</v>
      </c>
      <c r="U4029">
        <v>25.59</v>
      </c>
      <c r="V4029">
        <v>25.11</v>
      </c>
      <c r="W4029" t="str">
        <f t="shared" si="1014"/>
        <v>rob</v>
      </c>
    </row>
    <row r="4030" spans="1:23">
      <c r="A4030" t="str">
        <f t="shared" si="1018"/>
        <v>QC-ER4U-03</v>
      </c>
      <c r="B4030" t="str">
        <f>"00-1710-0000"</f>
        <v>00-1710-0000</v>
      </c>
      <c r="C4030" t="str">
        <f>"Teach Pendant"</f>
        <v>Teach Pendant</v>
      </c>
      <c r="D4030">
        <v>1</v>
      </c>
      <c r="E4030" t="str">
        <f t="shared" si="1019"/>
        <v>Quality Control: Scorbot-ER4U Robot (w ViewFlex Machine Vision System &amp; Caliper)</v>
      </c>
      <c r="F4030">
        <v>505</v>
      </c>
      <c r="G4030" t="str">
        <f t="shared" si="1003"/>
        <v>Y</v>
      </c>
      <c r="H4030" t="str">
        <f t="shared" si="1020"/>
        <v>EA</v>
      </c>
      <c r="I4030">
        <v>0</v>
      </c>
      <c r="J4030">
        <v>0</v>
      </c>
      <c r="K4030" t="str">
        <f t="shared" si="1004"/>
        <v>Y</v>
      </c>
      <c r="L4030">
        <v>0</v>
      </c>
      <c r="M4030" t="str">
        <f t="shared" si="1009"/>
        <v>NIS</v>
      </c>
      <c r="O4030">
        <v>3</v>
      </c>
      <c r="P4030" t="str">
        <f t="shared" si="1013"/>
        <v>Active</v>
      </c>
      <c r="Q4030" t="str">
        <f>"Teach Pendant for USB/USB Pro Controllers"</f>
        <v>Teach Pendant for USB/USB Pro Controllers</v>
      </c>
      <c r="S4030" t="str">
        <f>"Teach Pendant for USB/USB Pro Controllers"</f>
        <v>Teach Pendant for USB/USB Pro Controllers</v>
      </c>
      <c r="T4030">
        <v>0</v>
      </c>
      <c r="U4030">
        <v>160.18</v>
      </c>
      <c r="V4030">
        <v>161.44999999999999</v>
      </c>
      <c r="W4030" t="str">
        <f t="shared" si="1014"/>
        <v>rob</v>
      </c>
    </row>
    <row r="4031" spans="1:23">
      <c r="A4031" t="str">
        <f t="shared" si="1018"/>
        <v>QC-ER4U-03</v>
      </c>
      <c r="B4031" t="str">
        <f>"10-1010-9000"</f>
        <v>10-1010-9000</v>
      </c>
      <c r="C4031" t="str">
        <f>"Adapter Mounting Plate for ER4u"</f>
        <v>Adapter Mounting Plate for ER4u</v>
      </c>
      <c r="D4031">
        <v>1</v>
      </c>
      <c r="E4031" t="str">
        <f t="shared" si="1019"/>
        <v>Quality Control: Scorbot-ER4U Robot (w ViewFlex Machine Vision System &amp; Caliper)</v>
      </c>
      <c r="F4031">
        <v>505</v>
      </c>
      <c r="G4031" t="str">
        <f t="shared" si="1003"/>
        <v>Y</v>
      </c>
      <c r="H4031" t="str">
        <f t="shared" si="1020"/>
        <v>EA</v>
      </c>
      <c r="I4031">
        <v>0</v>
      </c>
      <c r="J4031">
        <v>0</v>
      </c>
      <c r="K4031" t="str">
        <f t="shared" si="1004"/>
        <v>Y</v>
      </c>
      <c r="L4031">
        <v>0</v>
      </c>
      <c r="M4031" t="str">
        <f t="shared" si="1009"/>
        <v>NIS</v>
      </c>
      <c r="O4031">
        <v>4</v>
      </c>
      <c r="P4031" t="str">
        <f t="shared" si="1013"/>
        <v>Active</v>
      </c>
      <c r="Q4031" t="str">
        <f>"Adapter Mounting Plate for ER4u"</f>
        <v>Adapter Mounting Plate for ER4u</v>
      </c>
      <c r="S4031" t="str">
        <f>"Adapter Mounting Plate for ER4u"</f>
        <v>Adapter Mounting Plate for ER4u</v>
      </c>
      <c r="T4031">
        <v>0</v>
      </c>
      <c r="U4031">
        <v>117</v>
      </c>
      <c r="V4031">
        <v>117.14</v>
      </c>
      <c r="W4031" t="str">
        <f t="shared" si="1014"/>
        <v>rob</v>
      </c>
    </row>
    <row r="4032" spans="1:23">
      <c r="A4032" t="str">
        <f t="shared" si="1018"/>
        <v>QC-ER4U-03</v>
      </c>
      <c r="B4032" t="str">
        <f>"10-2104-9000"</f>
        <v>10-2104-9000</v>
      </c>
      <c r="C4032" t="str">
        <f>"Single Buffer for Slotted Table"</f>
        <v>Single Buffer for Slotted Table</v>
      </c>
      <c r="D4032">
        <v>2</v>
      </c>
      <c r="E4032" t="str">
        <f t="shared" si="1019"/>
        <v>Quality Control: Scorbot-ER4U Robot (w ViewFlex Machine Vision System &amp; Caliper)</v>
      </c>
      <c r="F4032">
        <v>505</v>
      </c>
      <c r="G4032" t="str">
        <f t="shared" si="1003"/>
        <v>Y</v>
      </c>
      <c r="H4032" t="str">
        <f t="shared" si="1020"/>
        <v>EA</v>
      </c>
      <c r="I4032">
        <v>0</v>
      </c>
      <c r="J4032">
        <v>0</v>
      </c>
      <c r="K4032" t="str">
        <f t="shared" si="1004"/>
        <v>Y</v>
      </c>
      <c r="L4032">
        <v>0</v>
      </c>
      <c r="M4032" t="str">
        <f t="shared" si="1009"/>
        <v>NIS</v>
      </c>
      <c r="O4032">
        <v>5</v>
      </c>
      <c r="P4032" t="str">
        <f t="shared" si="1013"/>
        <v>Active</v>
      </c>
      <c r="Q4032" t="str">
        <f>"Single Buffer for Slotted Table(+height adapter)"</f>
        <v>Single Buffer for Slotted Table(+height adapter)</v>
      </c>
      <c r="S4032" t="str">
        <f>"Single Buffer for Slotted Table(+height adapter)"</f>
        <v>Single Buffer for Slotted Table(+height adapter)</v>
      </c>
      <c r="T4032">
        <v>0</v>
      </c>
      <c r="U4032">
        <v>26</v>
      </c>
      <c r="V4032">
        <v>25.49</v>
      </c>
      <c r="W4032" t="str">
        <f t="shared" si="1014"/>
        <v>rob</v>
      </c>
    </row>
    <row r="4033" spans="1:23">
      <c r="A4033" t="str">
        <f t="shared" si="1018"/>
        <v>QC-ER4U-03</v>
      </c>
      <c r="B4033" t="str">
        <f>"00-1110-0000"</f>
        <v>00-1110-0000</v>
      </c>
      <c r="C4033" t="str">
        <f>"Palletizing Rack"</f>
        <v>Palletizing Rack</v>
      </c>
      <c r="D4033">
        <v>1</v>
      </c>
      <c r="E4033" t="str">
        <f t="shared" si="1019"/>
        <v>Quality Control: Scorbot-ER4U Robot (w ViewFlex Machine Vision System &amp; Caliper)</v>
      </c>
      <c r="F4033">
        <v>505</v>
      </c>
      <c r="G4033" t="str">
        <f t="shared" si="1003"/>
        <v>Y</v>
      </c>
      <c r="H4033" t="str">
        <f t="shared" si="1020"/>
        <v>EA</v>
      </c>
      <c r="I4033">
        <v>0</v>
      </c>
      <c r="J4033">
        <v>0</v>
      </c>
      <c r="K4033" t="str">
        <f t="shared" si="1004"/>
        <v>Y</v>
      </c>
      <c r="L4033">
        <v>0</v>
      </c>
      <c r="M4033" t="str">
        <f t="shared" si="1009"/>
        <v>NIS</v>
      </c>
      <c r="O4033">
        <v>6</v>
      </c>
      <c r="P4033" t="str">
        <f t="shared" si="1013"/>
        <v>Active</v>
      </c>
      <c r="Q4033" t="str">
        <f>"Palletizing Rack (incl. Pins for creating Jigs)"</f>
        <v>Palletizing Rack (incl. Pins for creating Jigs)</v>
      </c>
      <c r="S4033" t="str">
        <f>"Palletizing Rack (incl. Pins for creating Jigs)"</f>
        <v>Palletizing Rack (incl. Pins for creating Jigs)</v>
      </c>
      <c r="T4033">
        <v>0</v>
      </c>
      <c r="U4033">
        <v>63</v>
      </c>
      <c r="V4033">
        <v>58.59</v>
      </c>
      <c r="W4033" t="str">
        <f t="shared" si="1014"/>
        <v>rob</v>
      </c>
    </row>
    <row r="4034" spans="1:23">
      <c r="A4034" t="str">
        <f t="shared" si="1018"/>
        <v>QC-ER4U-03</v>
      </c>
      <c r="B4034" t="str">
        <f>"021172"</f>
        <v>021172</v>
      </c>
      <c r="C4034" t="str">
        <f>"30mm Height Adapter -Rack 001110 on table 001249"</f>
        <v>30mm Height Adapter -Rack 001110 on table 001249</v>
      </c>
      <c r="D4034">
        <v>1</v>
      </c>
      <c r="E4034" t="str">
        <f t="shared" si="1019"/>
        <v>Quality Control: Scorbot-ER4U Robot (w ViewFlex Machine Vision System &amp; Caliper)</v>
      </c>
      <c r="F4034">
        <v>505</v>
      </c>
      <c r="G4034" t="str">
        <f t="shared" ref="G4034:G4097" si="1021">"Y"</f>
        <v>Y</v>
      </c>
      <c r="H4034" t="str">
        <f t="shared" si="1020"/>
        <v>EA</v>
      </c>
      <c r="I4034">
        <v>0</v>
      </c>
      <c r="J4034">
        <v>0</v>
      </c>
      <c r="K4034" t="str">
        <f t="shared" ref="K4034:K4097" si="1022">"Y"</f>
        <v>Y</v>
      </c>
      <c r="L4034">
        <v>0</v>
      </c>
      <c r="M4034" t="str">
        <f t="shared" si="1009"/>
        <v>NIS</v>
      </c>
      <c r="O4034">
        <v>7</v>
      </c>
      <c r="P4034" t="str">
        <f t="shared" si="1013"/>
        <v>Active</v>
      </c>
      <c r="Q4034" t="str">
        <f>"30mm Height Adapter -Rack 001110 on table 001249"</f>
        <v>30mm Height Adapter -Rack 001110 on table 001249</v>
      </c>
      <c r="S4034" t="str">
        <f>"30mm Height Adapter -Rack 001110 on table 001249"</f>
        <v>30mm Height Adapter -Rack 001110 on table 001249</v>
      </c>
      <c r="T4034">
        <v>0</v>
      </c>
      <c r="U4034">
        <v>13.12</v>
      </c>
      <c r="V4034">
        <v>13.44</v>
      </c>
      <c r="W4034" t="str">
        <f t="shared" si="1014"/>
        <v>rob</v>
      </c>
    </row>
    <row r="4035" spans="1:23">
      <c r="A4035" t="str">
        <f t="shared" si="1018"/>
        <v>QC-ER4U-03</v>
      </c>
      <c r="B4035" t="str">
        <f>"00-1426-0000"</f>
        <v>00-1426-0000</v>
      </c>
      <c r="C4035" t="str">
        <f>"Viewflex - Machine Vision (Stand 1000mm)"</f>
        <v>Viewflex - Machine Vision (Stand 1000mm)</v>
      </c>
      <c r="D4035">
        <v>1</v>
      </c>
      <c r="E4035" t="str">
        <f t="shared" si="1019"/>
        <v>Quality Control: Scorbot-ER4U Robot (w ViewFlex Machine Vision System &amp; Caliper)</v>
      </c>
      <c r="F4035">
        <v>505</v>
      </c>
      <c r="G4035" t="str">
        <f t="shared" si="1021"/>
        <v>Y</v>
      </c>
      <c r="H4035" t="str">
        <f t="shared" si="1020"/>
        <v>EA</v>
      </c>
      <c r="I4035">
        <v>0</v>
      </c>
      <c r="J4035">
        <v>0</v>
      </c>
      <c r="K4035" t="str">
        <f t="shared" si="1022"/>
        <v>Y</v>
      </c>
      <c r="L4035">
        <v>0</v>
      </c>
      <c r="M4035" t="str">
        <f t="shared" si="1009"/>
        <v>NIS</v>
      </c>
      <c r="O4035">
        <v>8</v>
      </c>
      <c r="P4035" t="str">
        <f t="shared" si="1013"/>
        <v>Active</v>
      </c>
      <c r="Q4035" t="str">
        <f>"Viewflex for Robot Guidance (Stand 1000mm)"</f>
        <v>Viewflex for Robot Guidance (Stand 1000mm)</v>
      </c>
      <c r="S4035" t="str">
        <f>"Viewflex for Robot Guidance (Stand 1000mm)"</f>
        <v>Viewflex for Robot Guidance (Stand 1000mm)</v>
      </c>
      <c r="T4035">
        <v>0</v>
      </c>
      <c r="U4035">
        <v>610.01</v>
      </c>
      <c r="V4035">
        <v>569.09</v>
      </c>
      <c r="W4035" t="str">
        <f t="shared" si="1014"/>
        <v>rob</v>
      </c>
    </row>
    <row r="4036" spans="1:23">
      <c r="A4036" t="str">
        <f t="shared" si="1018"/>
        <v>QC-ER4U-03</v>
      </c>
      <c r="B4036" t="str">
        <f>"113316"</f>
        <v>113316</v>
      </c>
      <c r="C4036" t="str">
        <f>"Parts Bin"</f>
        <v>Parts Bin</v>
      </c>
      <c r="D4036">
        <v>1</v>
      </c>
      <c r="E4036" t="str">
        <f t="shared" si="1019"/>
        <v>Quality Control: Scorbot-ER4U Robot (w ViewFlex Machine Vision System &amp; Caliper)</v>
      </c>
      <c r="F4036">
        <v>505</v>
      </c>
      <c r="G4036" t="str">
        <f t="shared" si="1021"/>
        <v>Y</v>
      </c>
      <c r="H4036" t="str">
        <f t="shared" si="1020"/>
        <v>EA</v>
      </c>
      <c r="I4036">
        <v>0</v>
      </c>
      <c r="J4036">
        <v>0</v>
      </c>
      <c r="K4036" t="str">
        <f t="shared" si="1022"/>
        <v>Y</v>
      </c>
      <c r="L4036">
        <v>0</v>
      </c>
      <c r="M4036" t="str">
        <f t="shared" si="1009"/>
        <v>NIS</v>
      </c>
      <c r="O4036">
        <v>9</v>
      </c>
      <c r="P4036" t="str">
        <f t="shared" si="1013"/>
        <v>Active</v>
      </c>
      <c r="Q4036" t="str">
        <f>"Parts Bin; Plastic Box"</f>
        <v>Parts Bin; Plastic Box</v>
      </c>
      <c r="R4036" t="str">
        <f>"1"</f>
        <v>1</v>
      </c>
      <c r="S4036" t="str">
        <f>"Parts Bin; Plastic Box"</f>
        <v>Parts Bin; Plastic Box</v>
      </c>
      <c r="T4036">
        <v>0</v>
      </c>
      <c r="U4036">
        <v>8.0399999999999991</v>
      </c>
      <c r="V4036">
        <v>6.39</v>
      </c>
      <c r="W4036" t="str">
        <f t="shared" si="1014"/>
        <v>rob</v>
      </c>
    </row>
    <row r="4037" spans="1:23">
      <c r="A4037" t="str">
        <f t="shared" si="1018"/>
        <v>QC-ER4U-03</v>
      </c>
      <c r="B4037" t="str">
        <f>"112713"</f>
        <v>112713</v>
      </c>
      <c r="C4037" t="str">
        <f>"Marked Aluminum Cylinder"</f>
        <v>Marked Aluminum Cylinder</v>
      </c>
      <c r="D4037">
        <v>1</v>
      </c>
      <c r="E4037" t="str">
        <f t="shared" si="1019"/>
        <v>Quality Control: Scorbot-ER4U Robot (w ViewFlex Machine Vision System &amp; Caliper)</v>
      </c>
      <c r="F4037">
        <v>505</v>
      </c>
      <c r="G4037" t="str">
        <f t="shared" si="1021"/>
        <v>Y</v>
      </c>
      <c r="H4037" t="str">
        <f t="shared" si="1020"/>
        <v>EA</v>
      </c>
      <c r="I4037">
        <v>0</v>
      </c>
      <c r="J4037">
        <v>0</v>
      </c>
      <c r="K4037" t="str">
        <f t="shared" si="1022"/>
        <v>Y</v>
      </c>
      <c r="L4037">
        <v>0</v>
      </c>
      <c r="M4037" t="str">
        <f t="shared" si="1009"/>
        <v>NIS</v>
      </c>
      <c r="O4037">
        <v>10</v>
      </c>
      <c r="P4037" t="str">
        <f t="shared" si="1013"/>
        <v>Active</v>
      </c>
      <c r="Q4037" t="str">
        <f>"Mark Al. Cylinder Diam. 35x28 MicroCIM"</f>
        <v>Mark Al. Cylinder Diam. 35x28 MicroCIM</v>
      </c>
      <c r="S4037" t="str">
        <f>"Mark Al. Cylinder Diam. 35x28"</f>
        <v>Mark Al. Cylinder Diam. 35x28</v>
      </c>
      <c r="T4037">
        <v>0</v>
      </c>
      <c r="U4037">
        <v>6</v>
      </c>
      <c r="V4037">
        <v>5.97</v>
      </c>
      <c r="W4037" t="str">
        <f t="shared" si="1014"/>
        <v>rob</v>
      </c>
    </row>
    <row r="4038" spans="1:23">
      <c r="A4038" t="str">
        <f t="shared" si="1018"/>
        <v>QC-ER4U-03</v>
      </c>
      <c r="B4038" t="str">
        <f>"113096"</f>
        <v>113096</v>
      </c>
      <c r="C4038" t="str">
        <f>"Plexiglass Cylinders Base"</f>
        <v>Plexiglass Cylinders Base</v>
      </c>
      <c r="D4038">
        <v>1</v>
      </c>
      <c r="E4038" t="str">
        <f t="shared" si="1019"/>
        <v>Quality Control: Scorbot-ER4U Robot (w ViewFlex Machine Vision System &amp; Caliper)</v>
      </c>
      <c r="F4038">
        <v>505</v>
      </c>
      <c r="G4038" t="str">
        <f t="shared" si="1021"/>
        <v>Y</v>
      </c>
      <c r="H4038" t="str">
        <f t="shared" si="1020"/>
        <v>EA</v>
      </c>
      <c r="I4038">
        <v>0</v>
      </c>
      <c r="J4038">
        <v>0</v>
      </c>
      <c r="K4038" t="str">
        <f t="shared" si="1022"/>
        <v>Y</v>
      </c>
      <c r="L4038">
        <v>0</v>
      </c>
      <c r="M4038" t="str">
        <f t="shared" si="1009"/>
        <v>NIS</v>
      </c>
      <c r="O4038">
        <v>11</v>
      </c>
      <c r="P4038" t="str">
        <f t="shared" si="1013"/>
        <v>Active</v>
      </c>
      <c r="Q4038" t="str">
        <f>"Plexiglass Cylinders Base MicroCIM"</f>
        <v>Plexiglass Cylinders Base MicroCIM</v>
      </c>
      <c r="S4038" t="str">
        <f>"Plexiglass Cylinders Base"</f>
        <v>Plexiglass Cylinders Base</v>
      </c>
      <c r="T4038">
        <v>0</v>
      </c>
      <c r="U4038">
        <v>7</v>
      </c>
      <c r="V4038">
        <v>6.83</v>
      </c>
      <c r="W4038" t="str">
        <f t="shared" si="1014"/>
        <v>rob</v>
      </c>
    </row>
    <row r="4039" spans="1:23">
      <c r="A4039" t="str">
        <f t="shared" si="1018"/>
        <v>QC-ER4U-03</v>
      </c>
      <c r="B4039" t="str">
        <f>"00-1254-0000"</f>
        <v>00-1254-0000</v>
      </c>
      <c r="C4039" t="str">
        <f>"Automated Stationary Caliper Unit"</f>
        <v>Automated Stationary Caliper Unit</v>
      </c>
      <c r="D4039">
        <v>1</v>
      </c>
      <c r="E4039" t="str">
        <f t="shared" si="1019"/>
        <v>Quality Control: Scorbot-ER4U Robot (w ViewFlex Machine Vision System &amp; Caliper)</v>
      </c>
      <c r="F4039">
        <v>505</v>
      </c>
      <c r="G4039" t="str">
        <f t="shared" si="1021"/>
        <v>Y</v>
      </c>
      <c r="H4039" t="str">
        <f t="shared" si="1020"/>
        <v>EA</v>
      </c>
      <c r="I4039">
        <v>0</v>
      </c>
      <c r="J4039">
        <v>0</v>
      </c>
      <c r="K4039" t="str">
        <f t="shared" si="1022"/>
        <v>Y</v>
      </c>
      <c r="L4039">
        <v>0</v>
      </c>
      <c r="M4039" t="str">
        <f t="shared" si="1009"/>
        <v>NIS</v>
      </c>
      <c r="O4039">
        <v>12</v>
      </c>
      <c r="P4039" t="str">
        <f t="shared" si="1013"/>
        <v>Active</v>
      </c>
      <c r="Q4039" t="str">
        <f>"Automat Stationary Caliper  Unit"</f>
        <v>Automat Stationary Caliper  Unit</v>
      </c>
      <c r="S4039" t="str">
        <f>"Automat Stationary Caliper  Unit"</f>
        <v>Automat Stationary Caliper  Unit</v>
      </c>
      <c r="T4039">
        <v>0</v>
      </c>
      <c r="U4039" s="44">
        <v>1165.92</v>
      </c>
      <c r="V4039" s="44">
        <v>1246.44</v>
      </c>
      <c r="W4039" t="str">
        <f t="shared" si="1014"/>
        <v>rob</v>
      </c>
    </row>
    <row r="4040" spans="1:23">
      <c r="A4040" t="str">
        <f t="shared" si="1018"/>
        <v>QC-ER4U-03</v>
      </c>
      <c r="B4040" t="str">
        <f>"113316"</f>
        <v>113316</v>
      </c>
      <c r="C4040" t="str">
        <f>"Parts Bin"</f>
        <v>Parts Bin</v>
      </c>
      <c r="D4040">
        <v>1</v>
      </c>
      <c r="E4040" t="str">
        <f t="shared" si="1019"/>
        <v>Quality Control: Scorbot-ER4U Robot (w ViewFlex Machine Vision System &amp; Caliper)</v>
      </c>
      <c r="F4040">
        <v>505</v>
      </c>
      <c r="G4040" t="str">
        <f t="shared" si="1021"/>
        <v>Y</v>
      </c>
      <c r="H4040" t="str">
        <f t="shared" si="1020"/>
        <v>EA</v>
      </c>
      <c r="I4040">
        <v>0</v>
      </c>
      <c r="J4040">
        <v>0</v>
      </c>
      <c r="K4040" t="str">
        <f t="shared" si="1022"/>
        <v>Y</v>
      </c>
      <c r="L4040">
        <v>0</v>
      </c>
      <c r="M4040" t="str">
        <f t="shared" si="1009"/>
        <v>NIS</v>
      </c>
      <c r="O4040">
        <v>13</v>
      </c>
      <c r="P4040" t="str">
        <f t="shared" ref="P4040:P4068" si="1023">"Active"</f>
        <v>Active</v>
      </c>
      <c r="Q4040" t="str">
        <f>"Parts Bin; Plastic Box"</f>
        <v>Parts Bin; Plastic Box</v>
      </c>
      <c r="R4040" t="str">
        <f>"1"</f>
        <v>1</v>
      </c>
      <c r="S4040" t="str">
        <f>"Parts Bin; Plastic Box"</f>
        <v>Parts Bin; Plastic Box</v>
      </c>
      <c r="T4040">
        <v>0</v>
      </c>
      <c r="U4040">
        <v>8.0399999999999991</v>
      </c>
      <c r="V4040">
        <v>6.39</v>
      </c>
      <c r="W4040" t="str">
        <f t="shared" si="1014"/>
        <v>rob</v>
      </c>
    </row>
    <row r="4041" spans="1:23">
      <c r="A4041" t="str">
        <f t="shared" si="1018"/>
        <v>QC-ER4U-03</v>
      </c>
      <c r="B4041" t="str">
        <f>"00-1249-0000"</f>
        <v>00-1249-0000</v>
      </c>
      <c r="C4041" t="str">
        <f>"Workbench 1500x800mm (slotted aluminum top)"</f>
        <v>Workbench 1500x800mm (slotted aluminum top)</v>
      </c>
      <c r="D4041">
        <v>1</v>
      </c>
      <c r="E4041" t="str">
        <f t="shared" si="1019"/>
        <v>Quality Control: Scorbot-ER4U Robot (w ViewFlex Machine Vision System &amp; Caliper)</v>
      </c>
      <c r="F4041">
        <v>505</v>
      </c>
      <c r="G4041" t="str">
        <f t="shared" si="1021"/>
        <v>Y</v>
      </c>
      <c r="H4041" t="str">
        <f t="shared" si="1020"/>
        <v>EA</v>
      </c>
      <c r="I4041">
        <v>0</v>
      </c>
      <c r="J4041">
        <v>0</v>
      </c>
      <c r="K4041" t="str">
        <f t="shared" si="1022"/>
        <v>Y</v>
      </c>
      <c r="L4041">
        <v>0</v>
      </c>
      <c r="M4041" t="str">
        <f t="shared" si="1009"/>
        <v>NIS</v>
      </c>
      <c r="O4041">
        <v>14</v>
      </c>
      <c r="P4041" t="str">
        <f t="shared" si="1023"/>
        <v>Active</v>
      </c>
      <c r="Q4041" t="str">
        <f>"Workbench 1500x800mm (slotted aluminum top)"</f>
        <v>Workbench 1500x800mm (slotted aluminum top)</v>
      </c>
      <c r="S4041" t="str">
        <f>"Workbench 1500x800mm (slotted aluminum top)"</f>
        <v>Workbench 1500x800mm (slotted aluminum top)</v>
      </c>
      <c r="T4041">
        <v>0</v>
      </c>
      <c r="U4041" s="44">
        <v>1100</v>
      </c>
      <c r="V4041" s="44">
        <v>1083.57</v>
      </c>
      <c r="W4041" t="str">
        <f t="shared" si="1014"/>
        <v>rob</v>
      </c>
    </row>
    <row r="4042" spans="1:23">
      <c r="A4042" t="str">
        <f t="shared" si="1018"/>
        <v>QC-ER4U-03</v>
      </c>
      <c r="B4042" t="str">
        <f>"00-1260-0000"</f>
        <v>00-1260-0000</v>
      </c>
      <c r="C4042" t="str">
        <f>"PC Extension Shelf  600x800mm"</f>
        <v>PC Extension Shelf  600x800mm</v>
      </c>
      <c r="D4042">
        <v>1</v>
      </c>
      <c r="E4042" t="str">
        <f t="shared" si="1019"/>
        <v>Quality Control: Scorbot-ER4U Robot (w ViewFlex Machine Vision System &amp; Caliper)</v>
      </c>
      <c r="F4042">
        <v>505</v>
      </c>
      <c r="G4042" t="str">
        <f t="shared" si="1021"/>
        <v>Y</v>
      </c>
      <c r="H4042" t="str">
        <f t="shared" si="1020"/>
        <v>EA</v>
      </c>
      <c r="I4042">
        <v>0</v>
      </c>
      <c r="J4042">
        <v>0</v>
      </c>
      <c r="K4042" t="str">
        <f t="shared" si="1022"/>
        <v>Y</v>
      </c>
      <c r="L4042">
        <v>0</v>
      </c>
      <c r="M4042" t="str">
        <f t="shared" si="1009"/>
        <v>NIS</v>
      </c>
      <c r="O4042">
        <v>15</v>
      </c>
      <c r="P4042" t="str">
        <f t="shared" si="1023"/>
        <v>Active</v>
      </c>
      <c r="Q4042" t="str">
        <f>"PC Extension Shelf  600x800mm"</f>
        <v>PC Extension Shelf  600x800mm</v>
      </c>
      <c r="S4042" t="str">
        <f>"PC Extension Shelf  600x800mm"</f>
        <v>PC Extension Shelf  600x800mm</v>
      </c>
      <c r="T4042">
        <v>0</v>
      </c>
      <c r="U4042">
        <v>192</v>
      </c>
      <c r="V4042">
        <v>195.4</v>
      </c>
      <c r="W4042" t="str">
        <f t="shared" si="1014"/>
        <v>rob</v>
      </c>
    </row>
    <row r="4043" spans="1:23">
      <c r="A4043" t="str">
        <f t="shared" si="1018"/>
        <v>QC-ER4U-03</v>
      </c>
      <c r="B4043" t="str">
        <f>"50-0094-0000"</f>
        <v>50-0094-0000</v>
      </c>
      <c r="C4043" t="str">
        <f>"Pre-Engineering, Design and Testing"</f>
        <v>Pre-Engineering, Design and Testing</v>
      </c>
      <c r="D4043">
        <v>1</v>
      </c>
      <c r="E4043" t="str">
        <f t="shared" si="1019"/>
        <v>Quality Control: Scorbot-ER4U Robot (w ViewFlex Machine Vision System &amp; Caliper)</v>
      </c>
      <c r="F4043">
        <v>505</v>
      </c>
      <c r="G4043" t="str">
        <f t="shared" si="1021"/>
        <v>Y</v>
      </c>
      <c r="H4043" t="str">
        <f>"DA"</f>
        <v>DA</v>
      </c>
      <c r="I4043">
        <v>0</v>
      </c>
      <c r="J4043">
        <v>0</v>
      </c>
      <c r="K4043" t="str">
        <f t="shared" si="1022"/>
        <v>Y</v>
      </c>
      <c r="L4043">
        <v>0</v>
      </c>
      <c r="M4043" t="str">
        <f t="shared" si="1009"/>
        <v>NIS</v>
      </c>
      <c r="O4043">
        <v>16</v>
      </c>
      <c r="P4043" t="str">
        <f t="shared" si="1023"/>
        <v>Active</v>
      </c>
      <c r="Q4043" t="str">
        <f>"Pre-Engineering, Design and Testing"</f>
        <v>Pre-Engineering, Design and Testing</v>
      </c>
      <c r="S4043" t="str">
        <f>"Pre-Engineering, Design and Testing"</f>
        <v>Pre-Engineering, Design and Testing</v>
      </c>
      <c r="T4043">
        <v>0</v>
      </c>
      <c r="U4043">
        <v>405</v>
      </c>
      <c r="V4043">
        <v>421.2</v>
      </c>
      <c r="W4043" t="str">
        <f t="shared" si="1014"/>
        <v>rob</v>
      </c>
    </row>
    <row r="4044" spans="1:23">
      <c r="A4044" t="str">
        <f t="shared" ref="A4044:A4061" si="1024">"QC-ER9P-01"</f>
        <v>QC-ER9P-01</v>
      </c>
      <c r="B4044" t="str">
        <f>"00-0430-0000"</f>
        <v>00-0430-0000</v>
      </c>
      <c r="C4044" t="str">
        <f>"SCORBOT-ER9Pro"</f>
        <v>SCORBOT-ER9Pro</v>
      </c>
      <c r="D4044">
        <v>1</v>
      </c>
      <c r="E4044" t="str">
        <f t="shared" ref="E4044:E4061" si="1025">"Quality Control: Scorbot-ER9Pro (w ViewFlex Machine Vision System &amp;Caliper)"</f>
        <v>Quality Control: Scorbot-ER9Pro (w ViewFlex Machine Vision System &amp;Caliper)</v>
      </c>
      <c r="F4044">
        <v>505</v>
      </c>
      <c r="G4044" t="str">
        <f t="shared" si="1021"/>
        <v>Y</v>
      </c>
      <c r="H4044" t="str">
        <f t="shared" ref="H4044:H4060" si="1026">"EA"</f>
        <v>EA</v>
      </c>
      <c r="I4044">
        <v>0</v>
      </c>
      <c r="J4044">
        <v>0</v>
      </c>
      <c r="K4044" t="str">
        <f t="shared" si="1022"/>
        <v>Y</v>
      </c>
      <c r="L4044">
        <v>0</v>
      </c>
      <c r="M4044" t="str">
        <f t="shared" si="1009"/>
        <v>NIS</v>
      </c>
      <c r="O4044">
        <v>1</v>
      </c>
      <c r="P4044" t="str">
        <f t="shared" si="1023"/>
        <v>Active</v>
      </c>
      <c r="Q4044" t="str">
        <f>"SCORBOT-ER 9Pro (incl. USB-Pro Controller)"</f>
        <v>SCORBOT-ER 9Pro (incl. USB-Pro Controller)</v>
      </c>
      <c r="S4044" t="str">
        <f>"SCORBOT-ER 9Pro (incl. USB-Pro Controller)"</f>
        <v>SCORBOT-ER 9Pro (incl. USB-Pro Controller)</v>
      </c>
      <c r="T4044">
        <v>0</v>
      </c>
      <c r="U4044" s="44">
        <v>10900</v>
      </c>
      <c r="V4044" s="44">
        <v>11661.57</v>
      </c>
      <c r="W4044" t="str">
        <f t="shared" si="1014"/>
        <v>rob</v>
      </c>
    </row>
    <row r="4045" spans="1:23">
      <c r="A4045" t="str">
        <f t="shared" si="1024"/>
        <v>QC-ER9P-01</v>
      </c>
      <c r="B4045" t="str">
        <f>"00-0633-0000"</f>
        <v>00-0633-0000</v>
      </c>
      <c r="C4045" t="str">
        <f>"Pneumatic Gripper for ER9-Pro"</f>
        <v>Pneumatic Gripper for ER9-Pro</v>
      </c>
      <c r="D4045">
        <v>1</v>
      </c>
      <c r="E4045" t="str">
        <f t="shared" si="1025"/>
        <v>Quality Control: Scorbot-ER9Pro (w ViewFlex Machine Vision System &amp;Caliper)</v>
      </c>
      <c r="F4045">
        <v>505</v>
      </c>
      <c r="G4045" t="str">
        <f t="shared" si="1021"/>
        <v>Y</v>
      </c>
      <c r="H4045" t="str">
        <f t="shared" si="1026"/>
        <v>EA</v>
      </c>
      <c r="I4045">
        <v>0</v>
      </c>
      <c r="J4045">
        <v>0</v>
      </c>
      <c r="K4045" t="str">
        <f t="shared" si="1022"/>
        <v>Y</v>
      </c>
      <c r="L4045">
        <v>0</v>
      </c>
      <c r="M4045" t="str">
        <f t="shared" si="1009"/>
        <v>NIS</v>
      </c>
      <c r="O4045">
        <v>2</v>
      </c>
      <c r="P4045" t="str">
        <f t="shared" si="1023"/>
        <v>Active</v>
      </c>
      <c r="Q4045" t="str">
        <f>"Pneumatic Gripper for ER 9Pro"</f>
        <v>Pneumatic Gripper for ER 9Pro</v>
      </c>
      <c r="S4045" t="str">
        <f>"Pneumatic Gripper for ER9-Pro"</f>
        <v>Pneumatic Gripper for ER9-Pro</v>
      </c>
      <c r="T4045">
        <v>0</v>
      </c>
      <c r="U4045">
        <v>630</v>
      </c>
      <c r="V4045">
        <v>624.72</v>
      </c>
      <c r="W4045" t="str">
        <f t="shared" si="1014"/>
        <v>rob</v>
      </c>
    </row>
    <row r="4046" spans="1:23">
      <c r="A4046" t="str">
        <f t="shared" si="1024"/>
        <v>QC-ER9P-01</v>
      </c>
      <c r="B4046" t="str">
        <f>"00-1710-0000"</f>
        <v>00-1710-0000</v>
      </c>
      <c r="C4046" t="str">
        <f>"Teach Pendant"</f>
        <v>Teach Pendant</v>
      </c>
      <c r="D4046">
        <v>1</v>
      </c>
      <c r="E4046" t="str">
        <f t="shared" si="1025"/>
        <v>Quality Control: Scorbot-ER9Pro (w ViewFlex Machine Vision System &amp;Caliper)</v>
      </c>
      <c r="F4046">
        <v>505</v>
      </c>
      <c r="G4046" t="str">
        <f t="shared" si="1021"/>
        <v>Y</v>
      </c>
      <c r="H4046" t="str">
        <f t="shared" si="1026"/>
        <v>EA</v>
      </c>
      <c r="I4046">
        <v>0</v>
      </c>
      <c r="J4046">
        <v>0</v>
      </c>
      <c r="K4046" t="str">
        <f t="shared" si="1022"/>
        <v>Y</v>
      </c>
      <c r="L4046">
        <v>0</v>
      </c>
      <c r="M4046" t="str">
        <f t="shared" si="1009"/>
        <v>NIS</v>
      </c>
      <c r="O4046">
        <v>3</v>
      </c>
      <c r="P4046" t="str">
        <f t="shared" si="1023"/>
        <v>Active</v>
      </c>
      <c r="Q4046" t="str">
        <f>"Teach Pendant for USB/USB Pro Controllers"</f>
        <v>Teach Pendant for USB/USB Pro Controllers</v>
      </c>
      <c r="S4046" t="str">
        <f>"Teach Pendant for USB/USB Pro Controllers"</f>
        <v>Teach Pendant for USB/USB Pro Controllers</v>
      </c>
      <c r="T4046">
        <v>0</v>
      </c>
      <c r="U4046">
        <v>160.18</v>
      </c>
      <c r="V4046">
        <v>161.44999999999999</v>
      </c>
      <c r="W4046" t="str">
        <f t="shared" si="1014"/>
        <v>rob</v>
      </c>
    </row>
    <row r="4047" spans="1:23">
      <c r="A4047" t="str">
        <f t="shared" si="1024"/>
        <v>QC-ER9P-01</v>
      </c>
      <c r="B4047" t="str">
        <f>"034025"</f>
        <v>034025</v>
      </c>
      <c r="C4047" t="str">
        <f>"I/O Interface Box for Controller USB-PRO"</f>
        <v>I/O Interface Box for Controller USB-PRO</v>
      </c>
      <c r="D4047">
        <v>1</v>
      </c>
      <c r="E4047" t="str">
        <f t="shared" si="1025"/>
        <v>Quality Control: Scorbot-ER9Pro (w ViewFlex Machine Vision System &amp;Caliper)</v>
      </c>
      <c r="F4047">
        <v>505</v>
      </c>
      <c r="G4047" t="str">
        <f t="shared" si="1021"/>
        <v>Y</v>
      </c>
      <c r="H4047" t="str">
        <f t="shared" si="1026"/>
        <v>EA</v>
      </c>
      <c r="I4047">
        <v>0</v>
      </c>
      <c r="J4047">
        <v>0</v>
      </c>
      <c r="K4047" t="str">
        <f t="shared" si="1022"/>
        <v>Y</v>
      </c>
      <c r="L4047">
        <v>0</v>
      </c>
      <c r="M4047" t="str">
        <f t="shared" si="1009"/>
        <v>NIS</v>
      </c>
      <c r="O4047">
        <v>4</v>
      </c>
      <c r="P4047" t="str">
        <f t="shared" si="1023"/>
        <v>Active</v>
      </c>
      <c r="Q4047" t="str">
        <f>"I/O Interface Box for Controller USB-PRO"</f>
        <v>I/O Interface Box for Controller USB-PRO</v>
      </c>
      <c r="S4047" t="str">
        <f>"קופסת 2+Interface Box I/O כבלים לבקר USBPRO"</f>
        <v>קופסת 2+Interface Box I/O כבלים לבקר USBPRO</v>
      </c>
      <c r="T4047">
        <v>0</v>
      </c>
      <c r="U4047">
        <v>470</v>
      </c>
      <c r="V4047">
        <v>463.62</v>
      </c>
      <c r="W4047" t="str">
        <f t="shared" si="1014"/>
        <v>rob</v>
      </c>
    </row>
    <row r="4048" spans="1:23">
      <c r="A4048" t="str">
        <f t="shared" si="1024"/>
        <v>QC-ER9P-01</v>
      </c>
      <c r="B4048" t="str">
        <f>"10-2104-9000"</f>
        <v>10-2104-9000</v>
      </c>
      <c r="C4048" t="str">
        <f>"Single Buffer for Slotted Table"</f>
        <v>Single Buffer for Slotted Table</v>
      </c>
      <c r="D4048">
        <v>3</v>
      </c>
      <c r="E4048" t="str">
        <f t="shared" si="1025"/>
        <v>Quality Control: Scorbot-ER9Pro (w ViewFlex Machine Vision System &amp;Caliper)</v>
      </c>
      <c r="F4048">
        <v>505</v>
      </c>
      <c r="G4048" t="str">
        <f t="shared" si="1021"/>
        <v>Y</v>
      </c>
      <c r="H4048" t="str">
        <f t="shared" si="1026"/>
        <v>EA</v>
      </c>
      <c r="I4048">
        <v>0</v>
      </c>
      <c r="J4048">
        <v>0</v>
      </c>
      <c r="K4048" t="str">
        <f t="shared" si="1022"/>
        <v>Y</v>
      </c>
      <c r="L4048">
        <v>0</v>
      </c>
      <c r="M4048" t="str">
        <f t="shared" si="1009"/>
        <v>NIS</v>
      </c>
      <c r="O4048">
        <v>5</v>
      </c>
      <c r="P4048" t="str">
        <f t="shared" si="1023"/>
        <v>Active</v>
      </c>
      <c r="Q4048" t="str">
        <f>"Single Buffer for Slotted Table(+height adapter)"</f>
        <v>Single Buffer for Slotted Table(+height adapter)</v>
      </c>
      <c r="S4048" t="str">
        <f>"Single Buffer for Slotted Table(+height adapter)"</f>
        <v>Single Buffer for Slotted Table(+height adapter)</v>
      </c>
      <c r="T4048">
        <v>0</v>
      </c>
      <c r="U4048">
        <v>26</v>
      </c>
      <c r="V4048">
        <v>25.49</v>
      </c>
      <c r="W4048" t="str">
        <f t="shared" si="1014"/>
        <v>rob</v>
      </c>
    </row>
    <row r="4049" spans="1:23">
      <c r="A4049" t="str">
        <f t="shared" si="1024"/>
        <v>QC-ER9P-01</v>
      </c>
      <c r="B4049" t="str">
        <f>"00-1110-0000"</f>
        <v>00-1110-0000</v>
      </c>
      <c r="C4049" t="str">
        <f>"Palletizing Rack"</f>
        <v>Palletizing Rack</v>
      </c>
      <c r="D4049">
        <v>2</v>
      </c>
      <c r="E4049" t="str">
        <f t="shared" si="1025"/>
        <v>Quality Control: Scorbot-ER9Pro (w ViewFlex Machine Vision System &amp;Caliper)</v>
      </c>
      <c r="F4049">
        <v>505</v>
      </c>
      <c r="G4049" t="str">
        <f t="shared" si="1021"/>
        <v>Y</v>
      </c>
      <c r="H4049" t="str">
        <f t="shared" si="1026"/>
        <v>EA</v>
      </c>
      <c r="I4049">
        <v>0</v>
      </c>
      <c r="J4049">
        <v>0</v>
      </c>
      <c r="K4049" t="str">
        <f t="shared" si="1022"/>
        <v>Y</v>
      </c>
      <c r="L4049">
        <v>0</v>
      </c>
      <c r="M4049" t="str">
        <f t="shared" si="1009"/>
        <v>NIS</v>
      </c>
      <c r="O4049">
        <v>6</v>
      </c>
      <c r="P4049" t="str">
        <f t="shared" si="1023"/>
        <v>Active</v>
      </c>
      <c r="Q4049" t="str">
        <f>"Palletizing Rack (incl. Pins for creating Jigs)"</f>
        <v>Palletizing Rack (incl. Pins for creating Jigs)</v>
      </c>
      <c r="S4049" t="str">
        <f>"Palletizing Rack (incl. Pins for creating Jigs)"</f>
        <v>Palletizing Rack (incl. Pins for creating Jigs)</v>
      </c>
      <c r="T4049">
        <v>0</v>
      </c>
      <c r="U4049">
        <v>63</v>
      </c>
      <c r="V4049">
        <v>58.59</v>
      </c>
      <c r="W4049" t="str">
        <f t="shared" si="1014"/>
        <v>rob</v>
      </c>
    </row>
    <row r="4050" spans="1:23">
      <c r="A4050" t="str">
        <f t="shared" si="1024"/>
        <v>QC-ER9P-01</v>
      </c>
      <c r="B4050" t="str">
        <f>"021172"</f>
        <v>021172</v>
      </c>
      <c r="C4050" t="str">
        <f>"30mm Height Adapter -Rack 001110 on table 001249"</f>
        <v>30mm Height Adapter -Rack 001110 on table 001249</v>
      </c>
      <c r="D4050">
        <v>2</v>
      </c>
      <c r="E4050" t="str">
        <f t="shared" si="1025"/>
        <v>Quality Control: Scorbot-ER9Pro (w ViewFlex Machine Vision System &amp;Caliper)</v>
      </c>
      <c r="F4050">
        <v>505</v>
      </c>
      <c r="G4050" t="str">
        <f t="shared" si="1021"/>
        <v>Y</v>
      </c>
      <c r="H4050" t="str">
        <f t="shared" si="1026"/>
        <v>EA</v>
      </c>
      <c r="I4050">
        <v>0</v>
      </c>
      <c r="J4050">
        <v>0</v>
      </c>
      <c r="K4050" t="str">
        <f t="shared" si="1022"/>
        <v>Y</v>
      </c>
      <c r="L4050">
        <v>0</v>
      </c>
      <c r="M4050" t="str">
        <f t="shared" si="1009"/>
        <v>NIS</v>
      </c>
      <c r="O4050">
        <v>7</v>
      </c>
      <c r="P4050" t="str">
        <f t="shared" si="1023"/>
        <v>Active</v>
      </c>
      <c r="Q4050" t="str">
        <f>"30mm Height Adapter -Rack 001110 on table 001249"</f>
        <v>30mm Height Adapter -Rack 001110 on table 001249</v>
      </c>
      <c r="S4050" t="str">
        <f>"30mm Height Adapter -Rack 001110 on table 001249"</f>
        <v>30mm Height Adapter -Rack 001110 on table 001249</v>
      </c>
      <c r="T4050">
        <v>0</v>
      </c>
      <c r="U4050">
        <v>13.12</v>
      </c>
      <c r="V4050">
        <v>13.44</v>
      </c>
      <c r="W4050" t="str">
        <f t="shared" si="1014"/>
        <v>rob</v>
      </c>
    </row>
    <row r="4051" spans="1:23">
      <c r="A4051" t="str">
        <f t="shared" si="1024"/>
        <v>QC-ER9P-01</v>
      </c>
      <c r="B4051" t="str">
        <f>"00-1013-0000"</f>
        <v>00-1013-0000</v>
      </c>
      <c r="C4051" t="str">
        <f>"Linear Positioning Table 300mm"</f>
        <v>Linear Positioning Table 300mm</v>
      </c>
      <c r="D4051">
        <v>1</v>
      </c>
      <c r="E4051" t="str">
        <f t="shared" si="1025"/>
        <v>Quality Control: Scorbot-ER9Pro (w ViewFlex Machine Vision System &amp;Caliper)</v>
      </c>
      <c r="F4051">
        <v>505</v>
      </c>
      <c r="G4051" t="str">
        <f t="shared" si="1021"/>
        <v>Y</v>
      </c>
      <c r="H4051" t="str">
        <f t="shared" si="1026"/>
        <v>EA</v>
      </c>
      <c r="I4051">
        <v>0</v>
      </c>
      <c r="J4051">
        <v>0</v>
      </c>
      <c r="K4051" t="str">
        <f t="shared" si="1022"/>
        <v>Y</v>
      </c>
      <c r="L4051">
        <v>0</v>
      </c>
      <c r="M4051" t="str">
        <f t="shared" si="1009"/>
        <v>NIS</v>
      </c>
      <c r="O4051">
        <v>8</v>
      </c>
      <c r="P4051" t="str">
        <f t="shared" si="1023"/>
        <v>Active</v>
      </c>
      <c r="Q4051" t="str">
        <f>"Linear Positioning Table 300mm (Belt Drive, 24V)"</f>
        <v>Linear Positioning Table 300mm (Belt Drive, 24V)</v>
      </c>
      <c r="S4051" t="str">
        <f>"Linear Positioning Table 300mm (Belt Drive, 24V)"</f>
        <v>Linear Positioning Table 300mm (Belt Drive, 24V)</v>
      </c>
      <c r="T4051">
        <v>0</v>
      </c>
      <c r="U4051">
        <v>894.02</v>
      </c>
      <c r="V4051">
        <v>879.29</v>
      </c>
      <c r="W4051" t="str">
        <f t="shared" si="1014"/>
        <v>rob</v>
      </c>
    </row>
    <row r="4052" spans="1:23">
      <c r="A4052" t="str">
        <f t="shared" si="1024"/>
        <v>QC-ER9P-01</v>
      </c>
      <c r="B4052" t="str">
        <f>"00-1422-0000"</f>
        <v>00-1422-0000</v>
      </c>
      <c r="C4052" t="str">
        <f>"Viewflex for QC (Stand 400mm)"</f>
        <v>Viewflex for QC (Stand 400mm)</v>
      </c>
      <c r="D4052">
        <v>1</v>
      </c>
      <c r="E4052" t="str">
        <f t="shared" si="1025"/>
        <v>Quality Control: Scorbot-ER9Pro (w ViewFlex Machine Vision System &amp;Caliper)</v>
      </c>
      <c r="F4052">
        <v>505</v>
      </c>
      <c r="G4052" t="str">
        <f t="shared" si="1021"/>
        <v>Y</v>
      </c>
      <c r="H4052" t="str">
        <f t="shared" si="1026"/>
        <v>EA</v>
      </c>
      <c r="I4052">
        <v>0</v>
      </c>
      <c r="J4052">
        <v>0</v>
      </c>
      <c r="K4052" t="str">
        <f t="shared" si="1022"/>
        <v>Y</v>
      </c>
      <c r="L4052">
        <v>0</v>
      </c>
      <c r="M4052" t="str">
        <f t="shared" ref="M4052:M4115" si="1027">"NIS"</f>
        <v>NIS</v>
      </c>
      <c r="O4052">
        <v>9</v>
      </c>
      <c r="P4052" t="str">
        <f t="shared" si="1023"/>
        <v>Active</v>
      </c>
      <c r="Q4052" t="str">
        <f>"Viewflex for QC (Stand 400mm)"</f>
        <v>Viewflex for QC (Stand 400mm)</v>
      </c>
      <c r="S4052" t="str">
        <f>"Viewflex for QC (Stand 400mm)"</f>
        <v>Viewflex for QC (Stand 400mm)</v>
      </c>
      <c r="T4052">
        <v>0</v>
      </c>
      <c r="U4052">
        <v>560</v>
      </c>
      <c r="V4052">
        <v>511.35</v>
      </c>
      <c r="W4052" t="str">
        <f t="shared" si="1014"/>
        <v>rob</v>
      </c>
    </row>
    <row r="4053" spans="1:23">
      <c r="A4053" t="str">
        <f t="shared" si="1024"/>
        <v>QC-ER9P-01</v>
      </c>
      <c r="B4053" t="str">
        <f>"113096"</f>
        <v>113096</v>
      </c>
      <c r="C4053" t="str">
        <f>"Plexiglass Cylinders Base"</f>
        <v>Plexiglass Cylinders Base</v>
      </c>
      <c r="D4053">
        <v>3</v>
      </c>
      <c r="E4053" t="str">
        <f t="shared" si="1025"/>
        <v>Quality Control: Scorbot-ER9Pro (w ViewFlex Machine Vision System &amp;Caliper)</v>
      </c>
      <c r="F4053">
        <v>505</v>
      </c>
      <c r="G4053" t="str">
        <f t="shared" si="1021"/>
        <v>Y</v>
      </c>
      <c r="H4053" t="str">
        <f t="shared" si="1026"/>
        <v>EA</v>
      </c>
      <c r="I4053">
        <v>0</v>
      </c>
      <c r="J4053">
        <v>0</v>
      </c>
      <c r="K4053" t="str">
        <f t="shared" si="1022"/>
        <v>Y</v>
      </c>
      <c r="L4053">
        <v>0</v>
      </c>
      <c r="M4053" t="str">
        <f t="shared" si="1027"/>
        <v>NIS</v>
      </c>
      <c r="O4053">
        <v>10</v>
      </c>
      <c r="P4053" t="str">
        <f t="shared" si="1023"/>
        <v>Active</v>
      </c>
      <c r="Q4053" t="str">
        <f>"Plexiglass Cylinders Base MicroCIM"</f>
        <v>Plexiglass Cylinders Base MicroCIM</v>
      </c>
      <c r="S4053" t="str">
        <f>"Plexiglass Cylinders Base"</f>
        <v>Plexiglass Cylinders Base</v>
      </c>
      <c r="T4053">
        <v>0</v>
      </c>
      <c r="U4053">
        <v>7</v>
      </c>
      <c r="V4053">
        <v>6.83</v>
      </c>
      <c r="W4053" t="str">
        <f t="shared" si="1014"/>
        <v>rob</v>
      </c>
    </row>
    <row r="4054" spans="1:23">
      <c r="A4054" t="str">
        <f t="shared" si="1024"/>
        <v>QC-ER9P-01</v>
      </c>
      <c r="B4054" t="str">
        <f>"112713"</f>
        <v>112713</v>
      </c>
      <c r="C4054" t="str">
        <f>"Marked Aluminum Cylinder"</f>
        <v>Marked Aluminum Cylinder</v>
      </c>
      <c r="D4054">
        <v>3</v>
      </c>
      <c r="E4054" t="str">
        <f t="shared" si="1025"/>
        <v>Quality Control: Scorbot-ER9Pro (w ViewFlex Machine Vision System &amp;Caliper)</v>
      </c>
      <c r="F4054">
        <v>505</v>
      </c>
      <c r="G4054" t="str">
        <f t="shared" si="1021"/>
        <v>Y</v>
      </c>
      <c r="H4054" t="str">
        <f t="shared" si="1026"/>
        <v>EA</v>
      </c>
      <c r="I4054">
        <v>0</v>
      </c>
      <c r="J4054">
        <v>0</v>
      </c>
      <c r="K4054" t="str">
        <f t="shared" si="1022"/>
        <v>Y</v>
      </c>
      <c r="L4054">
        <v>0</v>
      </c>
      <c r="M4054" t="str">
        <f t="shared" si="1027"/>
        <v>NIS</v>
      </c>
      <c r="O4054">
        <v>11</v>
      </c>
      <c r="P4054" t="str">
        <f t="shared" si="1023"/>
        <v>Active</v>
      </c>
      <c r="Q4054" t="str">
        <f>"Mark Al. Cylinder Diam. 35x28 MicroCIM"</f>
        <v>Mark Al. Cylinder Diam. 35x28 MicroCIM</v>
      </c>
      <c r="S4054" t="str">
        <f>"Mark Al. Cylinder Diam. 35x28"</f>
        <v>Mark Al. Cylinder Diam. 35x28</v>
      </c>
      <c r="T4054">
        <v>0</v>
      </c>
      <c r="U4054">
        <v>6</v>
      </c>
      <c r="V4054">
        <v>5.97</v>
      </c>
      <c r="W4054" t="str">
        <f t="shared" si="1014"/>
        <v>rob</v>
      </c>
    </row>
    <row r="4055" spans="1:23">
      <c r="A4055" t="str">
        <f t="shared" si="1024"/>
        <v>QC-ER9P-01</v>
      </c>
      <c r="B4055" t="str">
        <f>"113316"</f>
        <v>113316</v>
      </c>
      <c r="C4055" t="str">
        <f>"Parts Bin"</f>
        <v>Parts Bin</v>
      </c>
      <c r="D4055">
        <v>1</v>
      </c>
      <c r="E4055" t="str">
        <f t="shared" si="1025"/>
        <v>Quality Control: Scorbot-ER9Pro (w ViewFlex Machine Vision System &amp;Caliper)</v>
      </c>
      <c r="F4055">
        <v>505</v>
      </c>
      <c r="G4055" t="str">
        <f t="shared" si="1021"/>
        <v>Y</v>
      </c>
      <c r="H4055" t="str">
        <f t="shared" si="1026"/>
        <v>EA</v>
      </c>
      <c r="I4055">
        <v>0</v>
      </c>
      <c r="J4055">
        <v>0</v>
      </c>
      <c r="K4055" t="str">
        <f t="shared" si="1022"/>
        <v>Y</v>
      </c>
      <c r="L4055">
        <v>0</v>
      </c>
      <c r="M4055" t="str">
        <f t="shared" si="1027"/>
        <v>NIS</v>
      </c>
      <c r="O4055">
        <v>12</v>
      </c>
      <c r="P4055" t="str">
        <f t="shared" si="1023"/>
        <v>Active</v>
      </c>
      <c r="Q4055" t="str">
        <f>"Parts Bin; Plastic Box"</f>
        <v>Parts Bin; Plastic Box</v>
      </c>
      <c r="R4055" t="str">
        <f>"1"</f>
        <v>1</v>
      </c>
      <c r="S4055" t="str">
        <f>"Parts Bin; Plastic Box"</f>
        <v>Parts Bin; Plastic Box</v>
      </c>
      <c r="T4055">
        <v>0</v>
      </c>
      <c r="U4055">
        <v>8.0399999999999991</v>
      </c>
      <c r="V4055">
        <v>6.39</v>
      </c>
      <c r="W4055" t="str">
        <f t="shared" si="1014"/>
        <v>rob</v>
      </c>
    </row>
    <row r="4056" spans="1:23">
      <c r="A4056" t="str">
        <f t="shared" si="1024"/>
        <v>QC-ER9P-01</v>
      </c>
      <c r="B4056" t="str">
        <f>"00-1254-0000"</f>
        <v>00-1254-0000</v>
      </c>
      <c r="C4056" t="str">
        <f>"Automated Stationary Caliper Unit"</f>
        <v>Automated Stationary Caliper Unit</v>
      </c>
      <c r="D4056">
        <v>1</v>
      </c>
      <c r="E4056" t="str">
        <f t="shared" si="1025"/>
        <v>Quality Control: Scorbot-ER9Pro (w ViewFlex Machine Vision System &amp;Caliper)</v>
      </c>
      <c r="F4056">
        <v>505</v>
      </c>
      <c r="G4056" t="str">
        <f t="shared" si="1021"/>
        <v>Y</v>
      </c>
      <c r="H4056" t="str">
        <f t="shared" si="1026"/>
        <v>EA</v>
      </c>
      <c r="I4056">
        <v>0</v>
      </c>
      <c r="J4056">
        <v>0</v>
      </c>
      <c r="K4056" t="str">
        <f t="shared" si="1022"/>
        <v>Y</v>
      </c>
      <c r="L4056">
        <v>0</v>
      </c>
      <c r="M4056" t="str">
        <f t="shared" si="1027"/>
        <v>NIS</v>
      </c>
      <c r="O4056">
        <v>17</v>
      </c>
      <c r="P4056" t="str">
        <f t="shared" si="1023"/>
        <v>Active</v>
      </c>
      <c r="Q4056" t="str">
        <f>"Automat Stationary Caliper  Unit"</f>
        <v>Automat Stationary Caliper  Unit</v>
      </c>
      <c r="S4056" t="str">
        <f>"Automat Stationary Caliper  Unit"</f>
        <v>Automat Stationary Caliper  Unit</v>
      </c>
      <c r="T4056">
        <v>0</v>
      </c>
      <c r="U4056" s="44">
        <v>1165.92</v>
      </c>
      <c r="V4056" s="44">
        <v>1246.44</v>
      </c>
      <c r="W4056" t="str">
        <f t="shared" si="1014"/>
        <v>rob</v>
      </c>
    </row>
    <row r="4057" spans="1:23">
      <c r="A4057" t="str">
        <f t="shared" si="1024"/>
        <v>QC-ER9P-01</v>
      </c>
      <c r="B4057" t="str">
        <f>"113316"</f>
        <v>113316</v>
      </c>
      <c r="C4057" t="str">
        <f>"Parts Bin"</f>
        <v>Parts Bin</v>
      </c>
      <c r="D4057">
        <v>1</v>
      </c>
      <c r="E4057" t="str">
        <f t="shared" si="1025"/>
        <v>Quality Control: Scorbot-ER9Pro (w ViewFlex Machine Vision System &amp;Caliper)</v>
      </c>
      <c r="F4057">
        <v>505</v>
      </c>
      <c r="G4057" t="str">
        <f t="shared" si="1021"/>
        <v>Y</v>
      </c>
      <c r="H4057" t="str">
        <f t="shared" si="1026"/>
        <v>EA</v>
      </c>
      <c r="I4057">
        <v>0</v>
      </c>
      <c r="J4057">
        <v>0</v>
      </c>
      <c r="K4057" t="str">
        <f t="shared" si="1022"/>
        <v>Y</v>
      </c>
      <c r="L4057">
        <v>0</v>
      </c>
      <c r="M4057" t="str">
        <f t="shared" si="1027"/>
        <v>NIS</v>
      </c>
      <c r="O4057">
        <v>18</v>
      </c>
      <c r="P4057" t="str">
        <f t="shared" si="1023"/>
        <v>Active</v>
      </c>
      <c r="Q4057" t="str">
        <f>"Parts Bin; Plastic Box"</f>
        <v>Parts Bin; Plastic Box</v>
      </c>
      <c r="R4057" t="str">
        <f>"1"</f>
        <v>1</v>
      </c>
      <c r="S4057" t="str">
        <f>"Parts Bin; Plastic Box"</f>
        <v>Parts Bin; Plastic Box</v>
      </c>
      <c r="T4057">
        <v>0</v>
      </c>
      <c r="U4057">
        <v>8.0399999999999991</v>
      </c>
      <c r="V4057">
        <v>6.39</v>
      </c>
      <c r="W4057" t="str">
        <f t="shared" si="1014"/>
        <v>rob</v>
      </c>
    </row>
    <row r="4058" spans="1:23">
      <c r="A4058" t="str">
        <f t="shared" si="1024"/>
        <v>QC-ER9P-01</v>
      </c>
      <c r="B4058" t="str">
        <f>"00-1249-0000"</f>
        <v>00-1249-0000</v>
      </c>
      <c r="C4058" t="str">
        <f>"Workbench 1500x800mm (slotted aluminum top)"</f>
        <v>Workbench 1500x800mm (slotted aluminum top)</v>
      </c>
      <c r="D4058">
        <v>1</v>
      </c>
      <c r="E4058" t="str">
        <f t="shared" si="1025"/>
        <v>Quality Control: Scorbot-ER9Pro (w ViewFlex Machine Vision System &amp;Caliper)</v>
      </c>
      <c r="F4058">
        <v>505</v>
      </c>
      <c r="G4058" t="str">
        <f t="shared" si="1021"/>
        <v>Y</v>
      </c>
      <c r="H4058" t="str">
        <f t="shared" si="1026"/>
        <v>EA</v>
      </c>
      <c r="I4058">
        <v>0</v>
      </c>
      <c r="J4058">
        <v>0</v>
      </c>
      <c r="K4058" t="str">
        <f t="shared" si="1022"/>
        <v>Y</v>
      </c>
      <c r="L4058">
        <v>0</v>
      </c>
      <c r="M4058" t="str">
        <f t="shared" si="1027"/>
        <v>NIS</v>
      </c>
      <c r="O4058">
        <v>13</v>
      </c>
      <c r="P4058" t="str">
        <f t="shared" si="1023"/>
        <v>Active</v>
      </c>
      <c r="Q4058" t="str">
        <f>"Workbench 1500x800mm (slotted aluminum top)"</f>
        <v>Workbench 1500x800mm (slotted aluminum top)</v>
      </c>
      <c r="S4058" t="str">
        <f>"Workbench 1500x800mm (slotted aluminum top)"</f>
        <v>Workbench 1500x800mm (slotted aluminum top)</v>
      </c>
      <c r="T4058">
        <v>0</v>
      </c>
      <c r="U4058" s="44">
        <v>1100</v>
      </c>
      <c r="V4058" s="44">
        <v>1083.57</v>
      </c>
      <c r="W4058" t="str">
        <f t="shared" si="1014"/>
        <v>rob</v>
      </c>
    </row>
    <row r="4059" spans="1:23">
      <c r="A4059" t="str">
        <f t="shared" si="1024"/>
        <v>QC-ER9P-01</v>
      </c>
      <c r="B4059" t="str">
        <f>"00-1241-0000"</f>
        <v>00-1241-0000</v>
      </c>
      <c r="C4059" t="str">
        <f>"Adapter Mounting Plate for ER9/14Pro &amp; HP3"</f>
        <v>Adapter Mounting Plate for ER9/14Pro &amp; HP3</v>
      </c>
      <c r="D4059">
        <v>1</v>
      </c>
      <c r="E4059" t="str">
        <f t="shared" si="1025"/>
        <v>Quality Control: Scorbot-ER9Pro (w ViewFlex Machine Vision System &amp;Caliper)</v>
      </c>
      <c r="F4059">
        <v>505</v>
      </c>
      <c r="G4059" t="str">
        <f t="shared" si="1021"/>
        <v>Y</v>
      </c>
      <c r="H4059" t="str">
        <f t="shared" si="1026"/>
        <v>EA</v>
      </c>
      <c r="I4059">
        <v>0</v>
      </c>
      <c r="J4059">
        <v>0</v>
      </c>
      <c r="K4059" t="str">
        <f t="shared" si="1022"/>
        <v>Y</v>
      </c>
      <c r="L4059">
        <v>0</v>
      </c>
      <c r="M4059" t="str">
        <f t="shared" si="1027"/>
        <v>NIS</v>
      </c>
      <c r="O4059">
        <v>14</v>
      </c>
      <c r="P4059" t="str">
        <f t="shared" si="1023"/>
        <v>Active</v>
      </c>
      <c r="Q4059" t="str">
        <f>"Adapter Mounting Plate for ER9/14Pro &amp; HP3"</f>
        <v>Adapter Mounting Plate for ER9/14Pro &amp; HP3</v>
      </c>
      <c r="S4059" t="str">
        <f>"Adapter Mounting Plate for ER9/14Pro &amp; HP3"</f>
        <v>Adapter Mounting Plate for ER9/14Pro &amp; HP3</v>
      </c>
      <c r="T4059">
        <v>0</v>
      </c>
      <c r="U4059">
        <v>145</v>
      </c>
      <c r="V4059">
        <v>153.93</v>
      </c>
      <c r="W4059" t="str">
        <f t="shared" si="1014"/>
        <v>rob</v>
      </c>
    </row>
    <row r="4060" spans="1:23">
      <c r="A4060" t="str">
        <f t="shared" si="1024"/>
        <v>QC-ER9P-01</v>
      </c>
      <c r="B4060" t="str">
        <f>"00-1260-0000"</f>
        <v>00-1260-0000</v>
      </c>
      <c r="C4060" t="str">
        <f>"PC Extension Shelf  600x800mm"</f>
        <v>PC Extension Shelf  600x800mm</v>
      </c>
      <c r="D4060">
        <v>1</v>
      </c>
      <c r="E4060" t="str">
        <f t="shared" si="1025"/>
        <v>Quality Control: Scorbot-ER9Pro (w ViewFlex Machine Vision System &amp;Caliper)</v>
      </c>
      <c r="F4060">
        <v>505</v>
      </c>
      <c r="G4060" t="str">
        <f t="shared" si="1021"/>
        <v>Y</v>
      </c>
      <c r="H4060" t="str">
        <f t="shared" si="1026"/>
        <v>EA</v>
      </c>
      <c r="I4060">
        <v>0</v>
      </c>
      <c r="J4060">
        <v>0</v>
      </c>
      <c r="K4060" t="str">
        <f t="shared" si="1022"/>
        <v>Y</v>
      </c>
      <c r="L4060">
        <v>0</v>
      </c>
      <c r="M4060" t="str">
        <f t="shared" si="1027"/>
        <v>NIS</v>
      </c>
      <c r="O4060">
        <v>15</v>
      </c>
      <c r="P4060" t="str">
        <f t="shared" si="1023"/>
        <v>Active</v>
      </c>
      <c r="Q4060" t="str">
        <f>"PC Extension Shelf  600x800mm"</f>
        <v>PC Extension Shelf  600x800mm</v>
      </c>
      <c r="S4060" t="str">
        <f>"PC Extension Shelf  600x800mm"</f>
        <v>PC Extension Shelf  600x800mm</v>
      </c>
      <c r="T4060">
        <v>0</v>
      </c>
      <c r="U4060">
        <v>192</v>
      </c>
      <c r="V4060">
        <v>195.4</v>
      </c>
      <c r="W4060" t="str">
        <f t="shared" si="1014"/>
        <v>rob</v>
      </c>
    </row>
    <row r="4061" spans="1:23">
      <c r="A4061" t="str">
        <f t="shared" si="1024"/>
        <v>QC-ER9P-01</v>
      </c>
      <c r="B4061" t="str">
        <f>"50-0094-0000"</f>
        <v>50-0094-0000</v>
      </c>
      <c r="C4061" t="str">
        <f>"Pre-Engineering, Design and Testing"</f>
        <v>Pre-Engineering, Design and Testing</v>
      </c>
      <c r="D4061">
        <v>1</v>
      </c>
      <c r="E4061" t="str">
        <f t="shared" si="1025"/>
        <v>Quality Control: Scorbot-ER9Pro (w ViewFlex Machine Vision System &amp;Caliper)</v>
      </c>
      <c r="F4061">
        <v>505</v>
      </c>
      <c r="G4061" t="str">
        <f t="shared" si="1021"/>
        <v>Y</v>
      </c>
      <c r="H4061" t="str">
        <f>"DA"</f>
        <v>DA</v>
      </c>
      <c r="I4061">
        <v>0</v>
      </c>
      <c r="J4061">
        <v>0</v>
      </c>
      <c r="K4061" t="str">
        <f t="shared" si="1022"/>
        <v>Y</v>
      </c>
      <c r="L4061">
        <v>0</v>
      </c>
      <c r="M4061" t="str">
        <f t="shared" si="1027"/>
        <v>NIS</v>
      </c>
      <c r="O4061">
        <v>16</v>
      </c>
      <c r="P4061" t="str">
        <f t="shared" si="1023"/>
        <v>Active</v>
      </c>
      <c r="Q4061" t="str">
        <f>"Pre-Engineering, Design and Testing"</f>
        <v>Pre-Engineering, Design and Testing</v>
      </c>
      <c r="S4061" t="str">
        <f>"Pre-Engineering, Design and Testing"</f>
        <v>Pre-Engineering, Design and Testing</v>
      </c>
      <c r="T4061">
        <v>0</v>
      </c>
      <c r="U4061">
        <v>405</v>
      </c>
      <c r="V4061">
        <v>421.2</v>
      </c>
      <c r="W4061" t="str">
        <f t="shared" si="1014"/>
        <v>rob</v>
      </c>
    </row>
    <row r="4062" spans="1:23">
      <c r="A4062" t="str">
        <f t="shared" ref="A4062:A4075" si="1028">"QC-ER9P-CMM"</f>
        <v>QC-ER9P-CMM</v>
      </c>
      <c r="B4062" t="str">
        <f>"00-0430-0000"</f>
        <v>00-0430-0000</v>
      </c>
      <c r="C4062" t="str">
        <f>"SCORBOT-ER9Pro"</f>
        <v>SCORBOT-ER9Pro</v>
      </c>
      <c r="D4062">
        <v>1</v>
      </c>
      <c r="E4062" t="str">
        <f t="shared" ref="E4062:E4075" si="1029">"Quality Control with Scorbot ER9 Pro Robot  (For CMM)"</f>
        <v>Quality Control with Scorbot ER9 Pro Robot  (For CMM)</v>
      </c>
      <c r="F4062">
        <v>505</v>
      </c>
      <c r="G4062" t="str">
        <f t="shared" si="1021"/>
        <v>Y</v>
      </c>
      <c r="H4062" t="str">
        <f t="shared" ref="H4062:H4067" si="1030">"EA"</f>
        <v>EA</v>
      </c>
      <c r="I4062">
        <v>0</v>
      </c>
      <c r="J4062">
        <v>0</v>
      </c>
      <c r="K4062" t="str">
        <f t="shared" si="1022"/>
        <v>Y</v>
      </c>
      <c r="L4062">
        <v>0</v>
      </c>
      <c r="M4062" t="str">
        <f t="shared" si="1027"/>
        <v>NIS</v>
      </c>
      <c r="O4062">
        <v>1</v>
      </c>
      <c r="P4062" t="str">
        <f t="shared" si="1023"/>
        <v>Active</v>
      </c>
      <c r="Q4062" t="str">
        <f>"SCORBOT-ER 9Pro (incl. USB-Pro Controller)"</f>
        <v>SCORBOT-ER 9Pro (incl. USB-Pro Controller)</v>
      </c>
      <c r="S4062" t="str">
        <f>"SCORBOT-ER 9Pro (incl. USB-Pro Controller)"</f>
        <v>SCORBOT-ER 9Pro (incl. USB-Pro Controller)</v>
      </c>
      <c r="T4062">
        <v>0</v>
      </c>
      <c r="U4062" s="44">
        <v>10900</v>
      </c>
      <c r="V4062" s="44">
        <v>11661.57</v>
      </c>
      <c r="W4062" t="str">
        <f t="shared" si="1014"/>
        <v>rob</v>
      </c>
    </row>
    <row r="4063" spans="1:23">
      <c r="A4063" t="str">
        <f t="shared" si="1028"/>
        <v>QC-ER9P-CMM</v>
      </c>
      <c r="B4063" t="str">
        <f>"00-0633-0000"</f>
        <v>00-0633-0000</v>
      </c>
      <c r="C4063" t="str">
        <f>"Pneumatic Gripper for ER9-Pro"</f>
        <v>Pneumatic Gripper for ER9-Pro</v>
      </c>
      <c r="D4063">
        <v>1</v>
      </c>
      <c r="E4063" t="str">
        <f t="shared" si="1029"/>
        <v>Quality Control with Scorbot ER9 Pro Robot  (For CMM)</v>
      </c>
      <c r="F4063">
        <v>505</v>
      </c>
      <c r="G4063" t="str">
        <f t="shared" si="1021"/>
        <v>Y</v>
      </c>
      <c r="H4063" t="str">
        <f t="shared" si="1030"/>
        <v>EA</v>
      </c>
      <c r="I4063">
        <v>0</v>
      </c>
      <c r="J4063">
        <v>0</v>
      </c>
      <c r="K4063" t="str">
        <f t="shared" si="1022"/>
        <v>Y</v>
      </c>
      <c r="L4063">
        <v>0</v>
      </c>
      <c r="M4063" t="str">
        <f t="shared" si="1027"/>
        <v>NIS</v>
      </c>
      <c r="O4063">
        <v>2</v>
      </c>
      <c r="P4063" t="str">
        <f t="shared" si="1023"/>
        <v>Active</v>
      </c>
      <c r="Q4063" t="str">
        <f>"Pneumatic Gripper for ER 9Pro"</f>
        <v>Pneumatic Gripper for ER 9Pro</v>
      </c>
      <c r="S4063" t="str">
        <f>"Pneumatic Gripper for ER9-Pro"</f>
        <v>Pneumatic Gripper for ER9-Pro</v>
      </c>
      <c r="T4063">
        <v>0</v>
      </c>
      <c r="U4063">
        <v>630</v>
      </c>
      <c r="V4063">
        <v>624.72</v>
      </c>
      <c r="W4063" t="str">
        <f t="shared" si="1014"/>
        <v>rob</v>
      </c>
    </row>
    <row r="4064" spans="1:23">
      <c r="A4064" t="str">
        <f t="shared" si="1028"/>
        <v>QC-ER9P-CMM</v>
      </c>
      <c r="B4064" t="str">
        <f>"00-1710-0000"</f>
        <v>00-1710-0000</v>
      </c>
      <c r="C4064" t="str">
        <f>"Teach Pendant"</f>
        <v>Teach Pendant</v>
      </c>
      <c r="D4064">
        <v>1</v>
      </c>
      <c r="E4064" t="str">
        <f t="shared" si="1029"/>
        <v>Quality Control with Scorbot ER9 Pro Robot  (For CMM)</v>
      </c>
      <c r="F4064">
        <v>505</v>
      </c>
      <c r="G4064" t="str">
        <f t="shared" si="1021"/>
        <v>Y</v>
      </c>
      <c r="H4064" t="str">
        <f t="shared" si="1030"/>
        <v>EA</v>
      </c>
      <c r="I4064">
        <v>0</v>
      </c>
      <c r="J4064">
        <v>0</v>
      </c>
      <c r="K4064" t="str">
        <f t="shared" si="1022"/>
        <v>Y</v>
      </c>
      <c r="L4064">
        <v>0</v>
      </c>
      <c r="M4064" t="str">
        <f t="shared" si="1027"/>
        <v>NIS</v>
      </c>
      <c r="O4064">
        <v>3</v>
      </c>
      <c r="P4064" t="str">
        <f t="shared" si="1023"/>
        <v>Active</v>
      </c>
      <c r="Q4064" t="str">
        <f>"Teach Pendant for USB/USB Pro Controllers"</f>
        <v>Teach Pendant for USB/USB Pro Controllers</v>
      </c>
      <c r="S4064" t="str">
        <f>"Teach Pendant for USB/USB Pro Controllers"</f>
        <v>Teach Pendant for USB/USB Pro Controllers</v>
      </c>
      <c r="T4064">
        <v>0</v>
      </c>
      <c r="U4064">
        <v>160.18</v>
      </c>
      <c r="V4064">
        <v>161.44999999999999</v>
      </c>
      <c r="W4064" t="str">
        <f t="shared" si="1014"/>
        <v>rob</v>
      </c>
    </row>
    <row r="4065" spans="1:23">
      <c r="A4065" t="str">
        <f t="shared" si="1028"/>
        <v>QC-ER9P-CMM</v>
      </c>
      <c r="B4065" t="str">
        <f>"00-1110-0000"</f>
        <v>00-1110-0000</v>
      </c>
      <c r="C4065" t="str">
        <f>"Palletizing Rack"</f>
        <v>Palletizing Rack</v>
      </c>
      <c r="D4065">
        <v>1</v>
      </c>
      <c r="E4065" t="str">
        <f t="shared" si="1029"/>
        <v>Quality Control with Scorbot ER9 Pro Robot  (For CMM)</v>
      </c>
      <c r="F4065">
        <v>505</v>
      </c>
      <c r="G4065" t="str">
        <f t="shared" si="1021"/>
        <v>Y</v>
      </c>
      <c r="H4065" t="str">
        <f t="shared" si="1030"/>
        <v>EA</v>
      </c>
      <c r="I4065">
        <v>0</v>
      </c>
      <c r="J4065">
        <v>0</v>
      </c>
      <c r="K4065" t="str">
        <f t="shared" si="1022"/>
        <v>Y</v>
      </c>
      <c r="L4065">
        <v>0</v>
      </c>
      <c r="M4065" t="str">
        <f t="shared" si="1027"/>
        <v>NIS</v>
      </c>
      <c r="O4065">
        <v>4</v>
      </c>
      <c r="P4065" t="str">
        <f t="shared" si="1023"/>
        <v>Active</v>
      </c>
      <c r="Q4065" t="str">
        <f>"Palletizing Rack (incl. Pins for creating Jigs)"</f>
        <v>Palletizing Rack (incl. Pins for creating Jigs)</v>
      </c>
      <c r="S4065" t="str">
        <f>"Palletizing Rack (incl. Pins for creating Jigs)"</f>
        <v>Palletizing Rack (incl. Pins for creating Jigs)</v>
      </c>
      <c r="T4065">
        <v>0</v>
      </c>
      <c r="U4065">
        <v>63</v>
      </c>
      <c r="V4065">
        <v>58.59</v>
      </c>
      <c r="W4065" t="str">
        <f t="shared" si="1014"/>
        <v>rob</v>
      </c>
    </row>
    <row r="4066" spans="1:23">
      <c r="A4066" t="str">
        <f t="shared" si="1028"/>
        <v>QC-ER9P-CMM</v>
      </c>
      <c r="B4066" t="str">
        <f>"10-2521-7000"</f>
        <v>10-2521-7000</v>
      </c>
      <c r="C4066" t="str">
        <f>"Pneumatic Feeder for Rectangular products"</f>
        <v>Pneumatic Feeder for Rectangular products</v>
      </c>
      <c r="D4066">
        <v>1</v>
      </c>
      <c r="E4066" t="str">
        <f t="shared" si="1029"/>
        <v>Quality Control with Scorbot ER9 Pro Robot  (For CMM)</v>
      </c>
      <c r="F4066">
        <v>505</v>
      </c>
      <c r="G4066" t="str">
        <f t="shared" si="1021"/>
        <v>Y</v>
      </c>
      <c r="H4066" t="str">
        <f t="shared" si="1030"/>
        <v>EA</v>
      </c>
      <c r="I4066">
        <v>0</v>
      </c>
      <c r="J4066">
        <v>0</v>
      </c>
      <c r="K4066" t="str">
        <f t="shared" si="1022"/>
        <v>Y</v>
      </c>
      <c r="L4066">
        <v>0</v>
      </c>
      <c r="M4066" t="str">
        <f t="shared" si="1027"/>
        <v>NIS</v>
      </c>
      <c r="O4066">
        <v>5</v>
      </c>
      <c r="P4066" t="str">
        <f t="shared" si="1023"/>
        <v>Active</v>
      </c>
      <c r="Q4066" t="str">
        <f>"Pneumatic Feeder for Rectangular Parts"</f>
        <v>Pneumatic Feeder for Rectangular Parts</v>
      </c>
      <c r="S4066" t="str">
        <f>"Pneumatic Feeder for Rectangular Parts"</f>
        <v>Pneumatic Feeder for Rectangular Parts</v>
      </c>
      <c r="T4066">
        <v>0</v>
      </c>
      <c r="U4066">
        <v>595</v>
      </c>
      <c r="V4066">
        <v>555.15</v>
      </c>
      <c r="W4066" t="str">
        <f t="shared" si="1014"/>
        <v>rob</v>
      </c>
    </row>
    <row r="4067" spans="1:23">
      <c r="A4067" t="str">
        <f t="shared" si="1028"/>
        <v>QC-ER9P-CMM</v>
      </c>
      <c r="B4067" t="str">
        <f>"00-1016-0000"</f>
        <v>00-1016-0000</v>
      </c>
      <c r="C4067" t="str">
        <f>"LSB 1.0m, Belt, FM"</f>
        <v>LSB 1.0m, Belt, FM</v>
      </c>
      <c r="D4067">
        <v>1</v>
      </c>
      <c r="E4067" t="str">
        <f t="shared" si="1029"/>
        <v>Quality Control with Scorbot ER9 Pro Robot  (For CMM)</v>
      </c>
      <c r="F4067">
        <v>505</v>
      </c>
      <c r="G4067" t="str">
        <f t="shared" si="1021"/>
        <v>Y</v>
      </c>
      <c r="H4067" t="str">
        <f t="shared" si="1030"/>
        <v>EA</v>
      </c>
      <c r="I4067">
        <v>0</v>
      </c>
      <c r="J4067">
        <v>0</v>
      </c>
      <c r="K4067" t="str">
        <f t="shared" si="1022"/>
        <v>Y</v>
      </c>
      <c r="L4067">
        <v>0</v>
      </c>
      <c r="M4067" t="str">
        <f t="shared" si="1027"/>
        <v>NIS</v>
      </c>
      <c r="O4067">
        <v>6</v>
      </c>
      <c r="P4067" t="str">
        <f t="shared" si="1023"/>
        <v>Active</v>
      </c>
      <c r="Q4067" t="str">
        <f>"LSB 1.0m (Belt, Floor Mounted incl. Stand)"</f>
        <v>LSB 1.0m (Belt, Floor Mounted incl. Stand)</v>
      </c>
      <c r="S4067" t="str">
        <f>"LSB 1.0m, Belt, Floor Mounted incl. Stand"</f>
        <v>LSB 1.0m, Belt, Floor Mounted incl. Stand</v>
      </c>
      <c r="T4067">
        <v>0</v>
      </c>
      <c r="U4067" s="44">
        <v>2336.16</v>
      </c>
      <c r="V4067" s="44">
        <v>2301.0500000000002</v>
      </c>
      <c r="W4067" t="str">
        <f t="shared" si="1014"/>
        <v>rob</v>
      </c>
    </row>
    <row r="4068" spans="1:23">
      <c r="A4068" t="str">
        <f t="shared" si="1028"/>
        <v>QC-ER9P-CMM</v>
      </c>
      <c r="B4068" t="str">
        <f>"0000"</f>
        <v>0000</v>
      </c>
      <c r="C4068" t="str">
        <f>"general part"</f>
        <v>general part</v>
      </c>
      <c r="D4068">
        <v>1</v>
      </c>
      <c r="E4068" t="str">
        <f t="shared" si="1029"/>
        <v>Quality Control with Scorbot ER9 Pro Robot  (For CMM)</v>
      </c>
      <c r="F4068">
        <v>505</v>
      </c>
      <c r="G4068" t="str">
        <f t="shared" si="1021"/>
        <v>Y</v>
      </c>
      <c r="H4068" t="str">
        <f>"Ea"</f>
        <v>Ea</v>
      </c>
      <c r="I4068">
        <v>0</v>
      </c>
      <c r="J4068">
        <v>0</v>
      </c>
      <c r="K4068" t="str">
        <f t="shared" si="1022"/>
        <v>Y</v>
      </c>
      <c r="L4068">
        <v>0</v>
      </c>
      <c r="M4068" t="str">
        <f t="shared" si="1027"/>
        <v>NIS</v>
      </c>
      <c r="N4068" t="str">
        <f>"Y"</f>
        <v>Y</v>
      </c>
      <c r="O4068">
        <v>7</v>
      </c>
      <c r="P4068" t="str">
        <f t="shared" si="1023"/>
        <v>Active</v>
      </c>
      <c r="Q4068" t="str">
        <f>"general part"</f>
        <v>general part</v>
      </c>
      <c r="S4068" t="str">
        <f>"מוצר כללי"</f>
        <v>מוצר כללי</v>
      </c>
      <c r="T4068">
        <v>0</v>
      </c>
      <c r="U4068">
        <v>0</v>
      </c>
      <c r="V4068">
        <v>0</v>
      </c>
      <c r="W4068" t="str">
        <f t="shared" si="1014"/>
        <v>rob</v>
      </c>
    </row>
    <row r="4069" spans="1:23">
      <c r="A4069" t="str">
        <f t="shared" si="1028"/>
        <v>QC-ER9P-CMM</v>
      </c>
      <c r="B4069" t="str">
        <f>"21-0004-0000"</f>
        <v>21-0004-0000</v>
      </c>
      <c r="C4069" t="str">
        <f>"Assembly, Dual Axis Air Vise Mechanicals"</f>
        <v>Assembly, Dual Axis Air Vise Mechanicals</v>
      </c>
      <c r="D4069">
        <v>1</v>
      </c>
      <c r="E4069" t="str">
        <f t="shared" si="1029"/>
        <v>Quality Control with Scorbot ER9 Pro Robot  (For CMM)</v>
      </c>
      <c r="F4069">
        <v>505</v>
      </c>
      <c r="G4069" t="str">
        <f t="shared" si="1021"/>
        <v>Y</v>
      </c>
      <c r="H4069" t="str">
        <f>"EA"</f>
        <v>EA</v>
      </c>
      <c r="I4069">
        <v>0</v>
      </c>
      <c r="J4069">
        <v>0</v>
      </c>
      <c r="K4069" t="str">
        <f t="shared" si="1022"/>
        <v>Y</v>
      </c>
      <c r="L4069">
        <v>0</v>
      </c>
      <c r="M4069" t="str">
        <f t="shared" si="1027"/>
        <v>NIS</v>
      </c>
      <c r="O4069">
        <v>8</v>
      </c>
      <c r="P4069" t="str">
        <f>"Phase Out"</f>
        <v>Phase Out</v>
      </c>
      <c r="Q4069" t="str">
        <f>"Pneumatic Dual-Axis Vise"</f>
        <v>Pneumatic Dual-Axis Vise</v>
      </c>
      <c r="S4069" t="str">
        <f>"Assembly, Dual Axis Air Vise Mechanicals"</f>
        <v>Assembly, Dual Axis Air Vise Mechanicals</v>
      </c>
      <c r="T4069">
        <v>422.16</v>
      </c>
      <c r="U4069">
        <v>422</v>
      </c>
      <c r="V4069">
        <v>980.27</v>
      </c>
      <c r="W4069" t="str">
        <f t="shared" si="1014"/>
        <v>rob</v>
      </c>
    </row>
    <row r="4070" spans="1:23">
      <c r="A4070" t="str">
        <f t="shared" si="1028"/>
        <v>QC-ER9P-CMM</v>
      </c>
      <c r="B4070" t="str">
        <f>"10-2523-4000"</f>
        <v>10-2523-4000</v>
      </c>
      <c r="C4070" t="str">
        <f>"Solenoid Valve (24V) for Pipe 3 mm"</f>
        <v>Solenoid Valve (24V) for Pipe 3 mm</v>
      </c>
      <c r="D4070">
        <v>1</v>
      </c>
      <c r="E4070" t="str">
        <f t="shared" si="1029"/>
        <v>Quality Control with Scorbot ER9 Pro Robot  (For CMM)</v>
      </c>
      <c r="F4070">
        <v>505</v>
      </c>
      <c r="G4070" t="str">
        <f t="shared" si="1021"/>
        <v>Y</v>
      </c>
      <c r="H4070" t="str">
        <f>"EA"</f>
        <v>EA</v>
      </c>
      <c r="I4070">
        <v>0</v>
      </c>
      <c r="J4070">
        <v>0</v>
      </c>
      <c r="K4070" t="str">
        <f t="shared" si="1022"/>
        <v>Y</v>
      </c>
      <c r="L4070">
        <v>0</v>
      </c>
      <c r="M4070" t="str">
        <f t="shared" si="1027"/>
        <v>NIS</v>
      </c>
      <c r="O4070">
        <v>9</v>
      </c>
      <c r="P4070" t="str">
        <f>"Active"</f>
        <v>Active</v>
      </c>
      <c r="Q4070" t="str">
        <f>"Solenoid Valve (24V) for Dual Axis Vise 025207"</f>
        <v>Solenoid Valve (24V) for Dual Axis Vise 025207</v>
      </c>
      <c r="S4070" t="str">
        <f>"Solenoid Valve (24V) for Pipe 3 mm"</f>
        <v>Solenoid Valve (24V) for Pipe 3 mm</v>
      </c>
      <c r="T4070">
        <v>0</v>
      </c>
      <c r="U4070">
        <v>137</v>
      </c>
      <c r="V4070">
        <v>133.35</v>
      </c>
      <c r="W4070" t="str">
        <f t="shared" si="1014"/>
        <v>rob</v>
      </c>
    </row>
    <row r="4071" spans="1:23">
      <c r="A4071" t="str">
        <f t="shared" si="1028"/>
        <v>QC-ER9P-CMM</v>
      </c>
      <c r="B4071" t="str">
        <f>"50-0092-0000"</f>
        <v>50-0092-0000</v>
      </c>
      <c r="C4071" t="str">
        <f>"Interface Programming for 3rd Party CNC Machine"</f>
        <v>Interface Programming for 3rd Party CNC Machine</v>
      </c>
      <c r="D4071">
        <v>1</v>
      </c>
      <c r="E4071" t="str">
        <f t="shared" si="1029"/>
        <v>Quality Control with Scorbot ER9 Pro Robot  (For CMM)</v>
      </c>
      <c r="F4071">
        <v>505</v>
      </c>
      <c r="G4071" t="str">
        <f t="shared" si="1021"/>
        <v>Y</v>
      </c>
      <c r="H4071" t="str">
        <f>"EA"</f>
        <v>EA</v>
      </c>
      <c r="I4071">
        <v>0</v>
      </c>
      <c r="J4071">
        <v>0</v>
      </c>
      <c r="K4071" t="str">
        <f t="shared" si="1022"/>
        <v>Y</v>
      </c>
      <c r="L4071">
        <v>0</v>
      </c>
      <c r="M4071" t="str">
        <f t="shared" si="1027"/>
        <v>NIS</v>
      </c>
      <c r="O4071">
        <v>10</v>
      </c>
      <c r="P4071" t="str">
        <f>"Active"</f>
        <v>Active</v>
      </c>
      <c r="Q4071" t="str">
        <f>"Interface Programming for 3rd Party CNC Machine"</f>
        <v>Interface Programming for 3rd Party CNC Machine</v>
      </c>
      <c r="S4071" t="str">
        <f>"Interface Programming for 3rd Party CNC Machine"</f>
        <v>Interface Programming for 3rd Party CNC Machine</v>
      </c>
      <c r="T4071">
        <v>0</v>
      </c>
      <c r="U4071" s="44">
        <v>1000</v>
      </c>
      <c r="V4071" s="44">
        <v>1000</v>
      </c>
      <c r="W4071" t="str">
        <f t="shared" si="1014"/>
        <v>rob</v>
      </c>
    </row>
    <row r="4072" spans="1:23">
      <c r="A4072" t="str">
        <f t="shared" si="1028"/>
        <v>QC-ER9P-CMM</v>
      </c>
      <c r="B4072" t="str">
        <f>"00-1251-0000"</f>
        <v>00-1251-0000</v>
      </c>
      <c r="C4072" t="str">
        <f>"Workbench 1500x800mm (Formica Top)"</f>
        <v>Workbench 1500x800mm (Formica Top)</v>
      </c>
      <c r="D4072">
        <v>1</v>
      </c>
      <c r="E4072" t="str">
        <f t="shared" si="1029"/>
        <v>Quality Control with Scorbot ER9 Pro Robot  (For CMM)</v>
      </c>
      <c r="F4072">
        <v>505</v>
      </c>
      <c r="G4072" t="str">
        <f t="shared" si="1021"/>
        <v>Y</v>
      </c>
      <c r="H4072" t="str">
        <f>"EA"</f>
        <v>EA</v>
      </c>
      <c r="I4072">
        <v>0</v>
      </c>
      <c r="J4072">
        <v>0</v>
      </c>
      <c r="K4072" t="str">
        <f t="shared" si="1022"/>
        <v>Y</v>
      </c>
      <c r="L4072">
        <v>0</v>
      </c>
      <c r="M4072" t="str">
        <f t="shared" si="1027"/>
        <v>NIS</v>
      </c>
      <c r="O4072">
        <v>11</v>
      </c>
      <c r="P4072" t="str">
        <f>"Active"</f>
        <v>Active</v>
      </c>
      <c r="Q4072" t="str">
        <f>"Workbench 1500x800mm (Formica Top)"</f>
        <v>Workbench 1500x800mm (Formica Top)</v>
      </c>
      <c r="S4072" t="str">
        <f>"Workbench 1500x800mm (Formica Top)"</f>
        <v>Workbench 1500x800mm (Formica Top)</v>
      </c>
      <c r="T4072">
        <v>0</v>
      </c>
      <c r="U4072">
        <v>582</v>
      </c>
      <c r="V4072">
        <v>588.6</v>
      </c>
      <c r="W4072" t="str">
        <f t="shared" si="1014"/>
        <v>rob</v>
      </c>
    </row>
    <row r="4073" spans="1:23">
      <c r="A4073" t="str">
        <f t="shared" si="1028"/>
        <v>QC-ER9P-CMM</v>
      </c>
      <c r="B4073" t="str">
        <f>"00-1290-0000"</f>
        <v>00-1290-0000</v>
      </c>
      <c r="C4073" t="str">
        <f>"PC Table 630x800mm (with Keyboard Drawer)"</f>
        <v>PC Table 630x800mm (with Keyboard Drawer)</v>
      </c>
      <c r="D4073">
        <v>1</v>
      </c>
      <c r="E4073" t="str">
        <f t="shared" si="1029"/>
        <v>Quality Control with Scorbot ER9 Pro Robot  (For CMM)</v>
      </c>
      <c r="F4073">
        <v>505</v>
      </c>
      <c r="G4073" t="str">
        <f t="shared" si="1021"/>
        <v>Y</v>
      </c>
      <c r="H4073" t="str">
        <f>"EA"</f>
        <v>EA</v>
      </c>
      <c r="I4073">
        <v>0</v>
      </c>
      <c r="J4073">
        <v>0</v>
      </c>
      <c r="K4073" t="str">
        <f t="shared" si="1022"/>
        <v>Y</v>
      </c>
      <c r="L4073">
        <v>0</v>
      </c>
      <c r="M4073" t="str">
        <f t="shared" si="1027"/>
        <v>NIS</v>
      </c>
      <c r="O4073">
        <v>12</v>
      </c>
      <c r="P4073" t="str">
        <f>"Active"</f>
        <v>Active</v>
      </c>
      <c r="Q4073" t="str">
        <f>"PC Table 630x800mm (with Keyboard Drawer)"</f>
        <v>PC Table 630x800mm (with Keyboard Drawer)</v>
      </c>
      <c r="S4073" t="str">
        <f>"PC Table 630x800mm (with Keyboard Drawer)"</f>
        <v>PC Table 630x800mm (with Keyboard Drawer)</v>
      </c>
      <c r="T4073">
        <v>0</v>
      </c>
      <c r="U4073">
        <v>405.86</v>
      </c>
      <c r="V4073">
        <v>329.34</v>
      </c>
      <c r="W4073" t="str">
        <f t="shared" si="1014"/>
        <v>rob</v>
      </c>
    </row>
    <row r="4074" spans="1:23">
      <c r="A4074" t="str">
        <f t="shared" si="1028"/>
        <v>QC-ER9P-CMM</v>
      </c>
      <c r="B4074" t="str">
        <f>"50-0094-0000"</f>
        <v>50-0094-0000</v>
      </c>
      <c r="C4074" t="str">
        <f>"Pre-Engineering, Design and Testing"</f>
        <v>Pre-Engineering, Design and Testing</v>
      </c>
      <c r="D4074">
        <v>1</v>
      </c>
      <c r="E4074" t="str">
        <f t="shared" si="1029"/>
        <v>Quality Control with Scorbot ER9 Pro Robot  (For CMM)</v>
      </c>
      <c r="F4074">
        <v>505</v>
      </c>
      <c r="G4074" t="str">
        <f t="shared" si="1021"/>
        <v>Y</v>
      </c>
      <c r="H4074" t="str">
        <f>"DA"</f>
        <v>DA</v>
      </c>
      <c r="I4074">
        <v>0</v>
      </c>
      <c r="J4074">
        <v>0</v>
      </c>
      <c r="K4074" t="str">
        <f t="shared" si="1022"/>
        <v>Y</v>
      </c>
      <c r="L4074">
        <v>0</v>
      </c>
      <c r="M4074" t="str">
        <f t="shared" si="1027"/>
        <v>NIS</v>
      </c>
      <c r="O4074">
        <v>13</v>
      </c>
      <c r="P4074" t="str">
        <f>"Active"</f>
        <v>Active</v>
      </c>
      <c r="Q4074" t="str">
        <f>"Pre-Engineering, Design and Testing"</f>
        <v>Pre-Engineering, Design and Testing</v>
      </c>
      <c r="S4074" t="str">
        <f>"Pre-Engineering, Design and Testing"</f>
        <v>Pre-Engineering, Design and Testing</v>
      </c>
      <c r="T4074">
        <v>0</v>
      </c>
      <c r="U4074">
        <v>405</v>
      </c>
      <c r="V4074">
        <v>421.2</v>
      </c>
      <c r="W4074" t="str">
        <f t="shared" ref="W4074:W4137" si="1031">"rob"</f>
        <v>rob</v>
      </c>
    </row>
    <row r="4075" spans="1:23">
      <c r="A4075" t="str">
        <f t="shared" si="1028"/>
        <v>QC-ER9P-CMM</v>
      </c>
      <c r="B4075" t="str">
        <f>"000"</f>
        <v>000</v>
      </c>
      <c r="C4075" t="str">
        <f>"general part"</f>
        <v>general part</v>
      </c>
      <c r="D4075">
        <v>1</v>
      </c>
      <c r="E4075" t="str">
        <f t="shared" si="1029"/>
        <v>Quality Control with Scorbot ER9 Pro Robot  (For CMM)</v>
      </c>
      <c r="F4075">
        <v>505</v>
      </c>
      <c r="G4075" t="str">
        <f t="shared" si="1021"/>
        <v>Y</v>
      </c>
      <c r="H4075" t="str">
        <f t="shared" ref="H4075:H4086" si="1032">"EA"</f>
        <v>EA</v>
      </c>
      <c r="I4075">
        <v>0</v>
      </c>
      <c r="J4075">
        <v>0</v>
      </c>
      <c r="K4075" t="str">
        <f t="shared" si="1022"/>
        <v>Y</v>
      </c>
      <c r="L4075">
        <v>0</v>
      </c>
      <c r="M4075" t="str">
        <f t="shared" si="1027"/>
        <v>NIS</v>
      </c>
      <c r="N4075" t="str">
        <f>"Y"</f>
        <v>Y</v>
      </c>
      <c r="O4075">
        <v>101</v>
      </c>
      <c r="P4075" t="str">
        <f>"Inactive"</f>
        <v>Inactive</v>
      </c>
      <c r="Q4075" t="str">
        <f>"general part"</f>
        <v>general part</v>
      </c>
      <c r="S4075" t="str">
        <f>"general part"</f>
        <v>general part</v>
      </c>
      <c r="T4075">
        <v>0</v>
      </c>
      <c r="U4075">
        <v>0</v>
      </c>
      <c r="V4075">
        <v>0</v>
      </c>
      <c r="W4075" t="str">
        <f t="shared" si="1031"/>
        <v>rob</v>
      </c>
    </row>
    <row r="4076" spans="1:23">
      <c r="A4076" t="str">
        <f t="shared" ref="A4076:A4087" si="1033">"QC-ER9P-ZEISS"</f>
        <v>QC-ER9P-ZEISS</v>
      </c>
      <c r="B4076" t="str">
        <f>"00-0430-0000"</f>
        <v>00-0430-0000</v>
      </c>
      <c r="C4076" t="str">
        <f>"SCORBOT-ER9Pro"</f>
        <v>SCORBOT-ER9Pro</v>
      </c>
      <c r="D4076">
        <v>1</v>
      </c>
      <c r="E4076" t="str">
        <f t="shared" ref="E4076:E4087" si="1034">"Quality Control with Scorbot ER9 Pro Robot for CMM DURAMAX"</f>
        <v>Quality Control with Scorbot ER9 Pro Robot for CMM DURAMAX</v>
      </c>
      <c r="F4076">
        <v>505</v>
      </c>
      <c r="G4076" t="str">
        <f t="shared" si="1021"/>
        <v>Y</v>
      </c>
      <c r="H4076" t="str">
        <f t="shared" si="1032"/>
        <v>EA</v>
      </c>
      <c r="I4076">
        <v>0</v>
      </c>
      <c r="J4076">
        <v>0</v>
      </c>
      <c r="K4076" t="str">
        <f t="shared" si="1022"/>
        <v>Y</v>
      </c>
      <c r="L4076">
        <v>0</v>
      </c>
      <c r="M4076" t="str">
        <f t="shared" si="1027"/>
        <v>NIS</v>
      </c>
      <c r="O4076">
        <v>1</v>
      </c>
      <c r="P4076" t="str">
        <f t="shared" ref="P4076:P4081" si="1035">"Active"</f>
        <v>Active</v>
      </c>
      <c r="Q4076" t="str">
        <f>"SCORBOT-ER 9Pro (incl. USB-Pro Controller)"</f>
        <v>SCORBOT-ER 9Pro (incl. USB-Pro Controller)</v>
      </c>
      <c r="S4076" t="str">
        <f>"SCORBOT-ER 9Pro (incl. USB-Pro Controller)"</f>
        <v>SCORBOT-ER 9Pro (incl. USB-Pro Controller)</v>
      </c>
      <c r="T4076">
        <v>0</v>
      </c>
      <c r="U4076" s="44">
        <v>10900</v>
      </c>
      <c r="V4076" s="44">
        <v>11661.57</v>
      </c>
      <c r="W4076" t="str">
        <f t="shared" si="1031"/>
        <v>rob</v>
      </c>
    </row>
    <row r="4077" spans="1:23">
      <c r="A4077" t="str">
        <f t="shared" si="1033"/>
        <v>QC-ER9P-ZEISS</v>
      </c>
      <c r="B4077" t="str">
        <f>"00-0633-0000"</f>
        <v>00-0633-0000</v>
      </c>
      <c r="C4077" t="str">
        <f>"Pneumatic Gripper for ER9-Pro"</f>
        <v>Pneumatic Gripper for ER9-Pro</v>
      </c>
      <c r="D4077">
        <v>1</v>
      </c>
      <c r="E4077" t="str">
        <f t="shared" si="1034"/>
        <v>Quality Control with Scorbot ER9 Pro Robot for CMM DURAMAX</v>
      </c>
      <c r="F4077">
        <v>505</v>
      </c>
      <c r="G4077" t="str">
        <f t="shared" si="1021"/>
        <v>Y</v>
      </c>
      <c r="H4077" t="str">
        <f t="shared" si="1032"/>
        <v>EA</v>
      </c>
      <c r="I4077">
        <v>0</v>
      </c>
      <c r="J4077">
        <v>0</v>
      </c>
      <c r="K4077" t="str">
        <f t="shared" si="1022"/>
        <v>Y</v>
      </c>
      <c r="L4077">
        <v>0</v>
      </c>
      <c r="M4077" t="str">
        <f t="shared" si="1027"/>
        <v>NIS</v>
      </c>
      <c r="O4077">
        <v>2</v>
      </c>
      <c r="P4077" t="str">
        <f t="shared" si="1035"/>
        <v>Active</v>
      </c>
      <c r="Q4077" t="str">
        <f>"Pneumatic Gripper for ER 9Pro"</f>
        <v>Pneumatic Gripper for ER 9Pro</v>
      </c>
      <c r="S4077" t="str">
        <f>"Pneumatic Gripper for ER9-Pro"</f>
        <v>Pneumatic Gripper for ER9-Pro</v>
      </c>
      <c r="T4077">
        <v>0</v>
      </c>
      <c r="U4077">
        <v>630</v>
      </c>
      <c r="V4077">
        <v>624.72</v>
      </c>
      <c r="W4077" t="str">
        <f t="shared" si="1031"/>
        <v>rob</v>
      </c>
    </row>
    <row r="4078" spans="1:23">
      <c r="A4078" t="str">
        <f t="shared" si="1033"/>
        <v>QC-ER9P-ZEISS</v>
      </c>
      <c r="B4078" t="str">
        <f>"00-1710-0000"</f>
        <v>00-1710-0000</v>
      </c>
      <c r="C4078" t="str">
        <f>"Teach Pendant"</f>
        <v>Teach Pendant</v>
      </c>
      <c r="D4078">
        <v>1</v>
      </c>
      <c r="E4078" t="str">
        <f t="shared" si="1034"/>
        <v>Quality Control with Scorbot ER9 Pro Robot for CMM DURAMAX</v>
      </c>
      <c r="F4078">
        <v>505</v>
      </c>
      <c r="G4078" t="str">
        <f t="shared" si="1021"/>
        <v>Y</v>
      </c>
      <c r="H4078" t="str">
        <f t="shared" si="1032"/>
        <v>EA</v>
      </c>
      <c r="I4078">
        <v>0</v>
      </c>
      <c r="J4078">
        <v>0</v>
      </c>
      <c r="K4078" t="str">
        <f t="shared" si="1022"/>
        <v>Y</v>
      </c>
      <c r="L4078">
        <v>0</v>
      </c>
      <c r="M4078" t="str">
        <f t="shared" si="1027"/>
        <v>NIS</v>
      </c>
      <c r="O4078">
        <v>3</v>
      </c>
      <c r="P4078" t="str">
        <f t="shared" si="1035"/>
        <v>Active</v>
      </c>
      <c r="Q4078" t="str">
        <f>"Teach Pendant for USB/USB Pro Controllers"</f>
        <v>Teach Pendant for USB/USB Pro Controllers</v>
      </c>
      <c r="S4078" t="str">
        <f>"Teach Pendant for USB/USB Pro Controllers"</f>
        <v>Teach Pendant for USB/USB Pro Controllers</v>
      </c>
      <c r="T4078">
        <v>0</v>
      </c>
      <c r="U4078">
        <v>160.18</v>
      </c>
      <c r="V4078">
        <v>161.44999999999999</v>
      </c>
      <c r="W4078" t="str">
        <f t="shared" si="1031"/>
        <v>rob</v>
      </c>
    </row>
    <row r="4079" spans="1:23">
      <c r="A4079" t="str">
        <f t="shared" si="1033"/>
        <v>QC-ER9P-ZEISS</v>
      </c>
      <c r="B4079" t="str">
        <f>"00-1110-0000"</f>
        <v>00-1110-0000</v>
      </c>
      <c r="C4079" t="str">
        <f>"Palletizing Rack"</f>
        <v>Palletizing Rack</v>
      </c>
      <c r="D4079">
        <v>1</v>
      </c>
      <c r="E4079" t="str">
        <f t="shared" si="1034"/>
        <v>Quality Control with Scorbot ER9 Pro Robot for CMM DURAMAX</v>
      </c>
      <c r="F4079">
        <v>505</v>
      </c>
      <c r="G4079" t="str">
        <f t="shared" si="1021"/>
        <v>Y</v>
      </c>
      <c r="H4079" t="str">
        <f t="shared" si="1032"/>
        <v>EA</v>
      </c>
      <c r="I4079">
        <v>0</v>
      </c>
      <c r="J4079">
        <v>0</v>
      </c>
      <c r="K4079" t="str">
        <f t="shared" si="1022"/>
        <v>Y</v>
      </c>
      <c r="L4079">
        <v>0</v>
      </c>
      <c r="M4079" t="str">
        <f t="shared" si="1027"/>
        <v>NIS</v>
      </c>
      <c r="O4079">
        <v>4</v>
      </c>
      <c r="P4079" t="str">
        <f t="shared" si="1035"/>
        <v>Active</v>
      </c>
      <c r="Q4079" t="str">
        <f>"Palletizing Rack (incl. Pins for creating Jigs)"</f>
        <v>Palletizing Rack (incl. Pins for creating Jigs)</v>
      </c>
      <c r="S4079" t="str">
        <f>"Palletizing Rack (incl. Pins for creating Jigs)"</f>
        <v>Palletizing Rack (incl. Pins for creating Jigs)</v>
      </c>
      <c r="T4079">
        <v>0</v>
      </c>
      <c r="U4079">
        <v>63</v>
      </c>
      <c r="V4079">
        <v>58.59</v>
      </c>
      <c r="W4079" t="str">
        <f t="shared" si="1031"/>
        <v>rob</v>
      </c>
    </row>
    <row r="4080" spans="1:23">
      <c r="A4080" t="str">
        <f t="shared" si="1033"/>
        <v>QC-ER9P-ZEISS</v>
      </c>
      <c r="B4080" t="str">
        <f>"10-2521-7000"</f>
        <v>10-2521-7000</v>
      </c>
      <c r="C4080" t="str">
        <f>"Pneumatic Feeder for Rectangular products"</f>
        <v>Pneumatic Feeder for Rectangular products</v>
      </c>
      <c r="D4080">
        <v>1</v>
      </c>
      <c r="E4080" t="str">
        <f t="shared" si="1034"/>
        <v>Quality Control with Scorbot ER9 Pro Robot for CMM DURAMAX</v>
      </c>
      <c r="F4080">
        <v>505</v>
      </c>
      <c r="G4080" t="str">
        <f t="shared" si="1021"/>
        <v>Y</v>
      </c>
      <c r="H4080" t="str">
        <f t="shared" si="1032"/>
        <v>EA</v>
      </c>
      <c r="I4080">
        <v>0</v>
      </c>
      <c r="J4080">
        <v>0</v>
      </c>
      <c r="K4080" t="str">
        <f t="shared" si="1022"/>
        <v>Y</v>
      </c>
      <c r="L4080">
        <v>0</v>
      </c>
      <c r="M4080" t="str">
        <f t="shared" si="1027"/>
        <v>NIS</v>
      </c>
      <c r="O4080">
        <v>5</v>
      </c>
      <c r="P4080" t="str">
        <f t="shared" si="1035"/>
        <v>Active</v>
      </c>
      <c r="Q4080" t="str">
        <f>"Pneumatic Feeder for Rectangular Parts"</f>
        <v>Pneumatic Feeder for Rectangular Parts</v>
      </c>
      <c r="S4080" t="str">
        <f>"Pneumatic Feeder for Rectangular Parts"</f>
        <v>Pneumatic Feeder for Rectangular Parts</v>
      </c>
      <c r="T4080">
        <v>0</v>
      </c>
      <c r="U4080">
        <v>595</v>
      </c>
      <c r="V4080">
        <v>555.15</v>
      </c>
      <c r="W4080" t="str">
        <f t="shared" si="1031"/>
        <v>rob</v>
      </c>
    </row>
    <row r="4081" spans="1:23">
      <c r="A4081" t="str">
        <f t="shared" si="1033"/>
        <v>QC-ER9P-ZEISS</v>
      </c>
      <c r="B4081" t="str">
        <f>"00-1016-0000"</f>
        <v>00-1016-0000</v>
      </c>
      <c r="C4081" t="str">
        <f>"LSB 1.0m, Belt, FM"</f>
        <v>LSB 1.0m, Belt, FM</v>
      </c>
      <c r="D4081">
        <v>1</v>
      </c>
      <c r="E4081" t="str">
        <f t="shared" si="1034"/>
        <v>Quality Control with Scorbot ER9 Pro Robot for CMM DURAMAX</v>
      </c>
      <c r="F4081">
        <v>505</v>
      </c>
      <c r="G4081" t="str">
        <f t="shared" si="1021"/>
        <v>Y</v>
      </c>
      <c r="H4081" t="str">
        <f t="shared" si="1032"/>
        <v>EA</v>
      </c>
      <c r="I4081">
        <v>0</v>
      </c>
      <c r="J4081">
        <v>0</v>
      </c>
      <c r="K4081" t="str">
        <f t="shared" si="1022"/>
        <v>Y</v>
      </c>
      <c r="L4081">
        <v>0</v>
      </c>
      <c r="M4081" t="str">
        <f t="shared" si="1027"/>
        <v>NIS</v>
      </c>
      <c r="O4081">
        <v>6</v>
      </c>
      <c r="P4081" t="str">
        <f t="shared" si="1035"/>
        <v>Active</v>
      </c>
      <c r="Q4081" t="str">
        <f>"LSB 1.0m (Belt, Floor Mounted incl. Stand)"</f>
        <v>LSB 1.0m (Belt, Floor Mounted incl. Stand)</v>
      </c>
      <c r="S4081" t="str">
        <f>"LSB 1.0m, Belt, Floor Mounted incl. Stand"</f>
        <v>LSB 1.0m, Belt, Floor Mounted incl. Stand</v>
      </c>
      <c r="T4081">
        <v>0</v>
      </c>
      <c r="U4081" s="44">
        <v>2336.16</v>
      </c>
      <c r="V4081" s="44">
        <v>2301.0500000000002</v>
      </c>
      <c r="W4081" t="str">
        <f t="shared" si="1031"/>
        <v>rob</v>
      </c>
    </row>
    <row r="4082" spans="1:23">
      <c r="A4082" t="str">
        <f t="shared" si="1033"/>
        <v>QC-ER9P-ZEISS</v>
      </c>
      <c r="B4082" t="str">
        <f>"21-0004-0000"</f>
        <v>21-0004-0000</v>
      </c>
      <c r="C4082" t="str">
        <f>"Assembly, Dual Axis Air Vise Mechanicals"</f>
        <v>Assembly, Dual Axis Air Vise Mechanicals</v>
      </c>
      <c r="D4082">
        <v>1</v>
      </c>
      <c r="E4082" t="str">
        <f t="shared" si="1034"/>
        <v>Quality Control with Scorbot ER9 Pro Robot for CMM DURAMAX</v>
      </c>
      <c r="F4082">
        <v>505</v>
      </c>
      <c r="G4082" t="str">
        <f t="shared" si="1021"/>
        <v>Y</v>
      </c>
      <c r="H4082" t="str">
        <f t="shared" si="1032"/>
        <v>EA</v>
      </c>
      <c r="I4082">
        <v>0</v>
      </c>
      <c r="J4082">
        <v>0</v>
      </c>
      <c r="K4082" t="str">
        <f t="shared" si="1022"/>
        <v>Y</v>
      </c>
      <c r="L4082">
        <v>0</v>
      </c>
      <c r="M4082" t="str">
        <f t="shared" si="1027"/>
        <v>NIS</v>
      </c>
      <c r="O4082">
        <v>7</v>
      </c>
      <c r="P4082" t="str">
        <f>"Phase Out"</f>
        <v>Phase Out</v>
      </c>
      <c r="Q4082" t="str">
        <f>"Pneumatic Dual-Axis Vise"</f>
        <v>Pneumatic Dual-Axis Vise</v>
      </c>
      <c r="S4082" t="str">
        <f>"Assembly, Dual Axis Air Vise Mechanicals"</f>
        <v>Assembly, Dual Axis Air Vise Mechanicals</v>
      </c>
      <c r="T4082">
        <v>422.16</v>
      </c>
      <c r="U4082">
        <v>422</v>
      </c>
      <c r="V4082">
        <v>980.27</v>
      </c>
      <c r="W4082" t="str">
        <f t="shared" si="1031"/>
        <v>rob</v>
      </c>
    </row>
    <row r="4083" spans="1:23">
      <c r="A4083" t="str">
        <f t="shared" si="1033"/>
        <v>QC-ER9P-ZEISS</v>
      </c>
      <c r="B4083" t="str">
        <f>"10-2523-4000"</f>
        <v>10-2523-4000</v>
      </c>
      <c r="C4083" t="str">
        <f>"Solenoid Valve (24V) for Pipe 3 mm"</f>
        <v>Solenoid Valve (24V) for Pipe 3 mm</v>
      </c>
      <c r="D4083">
        <v>1</v>
      </c>
      <c r="E4083" t="str">
        <f t="shared" si="1034"/>
        <v>Quality Control with Scorbot ER9 Pro Robot for CMM DURAMAX</v>
      </c>
      <c r="F4083">
        <v>505</v>
      </c>
      <c r="G4083" t="str">
        <f t="shared" si="1021"/>
        <v>Y</v>
      </c>
      <c r="H4083" t="str">
        <f t="shared" si="1032"/>
        <v>EA</v>
      </c>
      <c r="I4083">
        <v>0</v>
      </c>
      <c r="J4083">
        <v>0</v>
      </c>
      <c r="K4083" t="str">
        <f t="shared" si="1022"/>
        <v>Y</v>
      </c>
      <c r="L4083">
        <v>0</v>
      </c>
      <c r="M4083" t="str">
        <f t="shared" si="1027"/>
        <v>NIS</v>
      </c>
      <c r="O4083">
        <v>8</v>
      </c>
      <c r="P4083" t="str">
        <f t="shared" ref="P4083:P4088" si="1036">"Active"</f>
        <v>Active</v>
      </c>
      <c r="Q4083" t="str">
        <f>"Solenoid Valve (24V) for Dual Axis Vise 025207"</f>
        <v>Solenoid Valve (24V) for Dual Axis Vise 025207</v>
      </c>
      <c r="S4083" t="str">
        <f>"Solenoid Valve (24V) for Pipe 3 mm"</f>
        <v>Solenoid Valve (24V) for Pipe 3 mm</v>
      </c>
      <c r="T4083">
        <v>0</v>
      </c>
      <c r="U4083">
        <v>137</v>
      </c>
      <c r="V4083">
        <v>133.35</v>
      </c>
      <c r="W4083" t="str">
        <f t="shared" si="1031"/>
        <v>rob</v>
      </c>
    </row>
    <row r="4084" spans="1:23">
      <c r="A4084" t="str">
        <f t="shared" si="1033"/>
        <v>QC-ER9P-ZEISS</v>
      </c>
      <c r="B4084" t="str">
        <f>"50-0092-0000"</f>
        <v>50-0092-0000</v>
      </c>
      <c r="C4084" t="str">
        <f>"Interface Programming for 3rd Party CNC Machine"</f>
        <v>Interface Programming for 3rd Party CNC Machine</v>
      </c>
      <c r="D4084">
        <v>1</v>
      </c>
      <c r="E4084" t="str">
        <f t="shared" si="1034"/>
        <v>Quality Control with Scorbot ER9 Pro Robot for CMM DURAMAX</v>
      </c>
      <c r="F4084">
        <v>505</v>
      </c>
      <c r="G4084" t="str">
        <f t="shared" si="1021"/>
        <v>Y</v>
      </c>
      <c r="H4084" t="str">
        <f t="shared" si="1032"/>
        <v>EA</v>
      </c>
      <c r="I4084">
        <v>0</v>
      </c>
      <c r="J4084">
        <v>0</v>
      </c>
      <c r="K4084" t="str">
        <f t="shared" si="1022"/>
        <v>Y</v>
      </c>
      <c r="L4084">
        <v>0</v>
      </c>
      <c r="M4084" t="str">
        <f t="shared" si="1027"/>
        <v>NIS</v>
      </c>
      <c r="O4084">
        <v>9</v>
      </c>
      <c r="P4084" t="str">
        <f t="shared" si="1036"/>
        <v>Active</v>
      </c>
      <c r="Q4084" t="str">
        <f>"Interface Programming for 3rd Party CNC Machine"</f>
        <v>Interface Programming for 3rd Party CNC Machine</v>
      </c>
      <c r="S4084" t="str">
        <f>"Interface Programming for 3rd Party CNC Machine"</f>
        <v>Interface Programming for 3rd Party CNC Machine</v>
      </c>
      <c r="T4084">
        <v>0</v>
      </c>
      <c r="U4084" s="44">
        <v>1000</v>
      </c>
      <c r="V4084" s="44">
        <v>1000</v>
      </c>
      <c r="W4084" t="str">
        <f t="shared" si="1031"/>
        <v>rob</v>
      </c>
    </row>
    <row r="4085" spans="1:23">
      <c r="A4085" t="str">
        <f t="shared" si="1033"/>
        <v>QC-ER9P-ZEISS</v>
      </c>
      <c r="B4085" t="str">
        <f>"00-1251-0000"</f>
        <v>00-1251-0000</v>
      </c>
      <c r="C4085" t="str">
        <f>"Workbench 1500x800mm (Formica Top)"</f>
        <v>Workbench 1500x800mm (Formica Top)</v>
      </c>
      <c r="D4085">
        <v>1</v>
      </c>
      <c r="E4085" t="str">
        <f t="shared" si="1034"/>
        <v>Quality Control with Scorbot ER9 Pro Robot for CMM DURAMAX</v>
      </c>
      <c r="F4085">
        <v>505</v>
      </c>
      <c r="G4085" t="str">
        <f t="shared" si="1021"/>
        <v>Y</v>
      </c>
      <c r="H4085" t="str">
        <f t="shared" si="1032"/>
        <v>EA</v>
      </c>
      <c r="I4085">
        <v>0</v>
      </c>
      <c r="J4085">
        <v>0</v>
      </c>
      <c r="K4085" t="str">
        <f t="shared" si="1022"/>
        <v>Y</v>
      </c>
      <c r="L4085">
        <v>0</v>
      </c>
      <c r="M4085" t="str">
        <f t="shared" si="1027"/>
        <v>NIS</v>
      </c>
      <c r="O4085">
        <v>10</v>
      </c>
      <c r="P4085" t="str">
        <f t="shared" si="1036"/>
        <v>Active</v>
      </c>
      <c r="Q4085" t="str">
        <f>"Workbench 1500x800mm (Formica Top)"</f>
        <v>Workbench 1500x800mm (Formica Top)</v>
      </c>
      <c r="S4085" t="str">
        <f>"Workbench 1500x800mm (Formica Top)"</f>
        <v>Workbench 1500x800mm (Formica Top)</v>
      </c>
      <c r="T4085">
        <v>0</v>
      </c>
      <c r="U4085">
        <v>582</v>
      </c>
      <c r="V4085">
        <v>588.6</v>
      </c>
      <c r="W4085" t="str">
        <f t="shared" si="1031"/>
        <v>rob</v>
      </c>
    </row>
    <row r="4086" spans="1:23">
      <c r="A4086" t="str">
        <f t="shared" si="1033"/>
        <v>QC-ER9P-ZEISS</v>
      </c>
      <c r="B4086" t="str">
        <f>"00-1290-0000"</f>
        <v>00-1290-0000</v>
      </c>
      <c r="C4086" t="str">
        <f>"PC Table 630x800mm (with Keyboard Drawer)"</f>
        <v>PC Table 630x800mm (with Keyboard Drawer)</v>
      </c>
      <c r="D4086">
        <v>1</v>
      </c>
      <c r="E4086" t="str">
        <f t="shared" si="1034"/>
        <v>Quality Control with Scorbot ER9 Pro Robot for CMM DURAMAX</v>
      </c>
      <c r="F4086">
        <v>505</v>
      </c>
      <c r="G4086" t="str">
        <f t="shared" si="1021"/>
        <v>Y</v>
      </c>
      <c r="H4086" t="str">
        <f t="shared" si="1032"/>
        <v>EA</v>
      </c>
      <c r="I4086">
        <v>0</v>
      </c>
      <c r="J4086">
        <v>0</v>
      </c>
      <c r="K4086" t="str">
        <f t="shared" si="1022"/>
        <v>Y</v>
      </c>
      <c r="L4086">
        <v>0</v>
      </c>
      <c r="M4086" t="str">
        <f t="shared" si="1027"/>
        <v>NIS</v>
      </c>
      <c r="O4086">
        <v>11</v>
      </c>
      <c r="P4086" t="str">
        <f t="shared" si="1036"/>
        <v>Active</v>
      </c>
      <c r="Q4086" t="str">
        <f>"PC Table 630x800mm (with Keyboard Drawer)"</f>
        <v>PC Table 630x800mm (with Keyboard Drawer)</v>
      </c>
      <c r="S4086" t="str">
        <f>"PC Table 630x800mm (with Keyboard Drawer)"</f>
        <v>PC Table 630x800mm (with Keyboard Drawer)</v>
      </c>
      <c r="T4086">
        <v>0</v>
      </c>
      <c r="U4086">
        <v>405.86</v>
      </c>
      <c r="V4086">
        <v>329.34</v>
      </c>
      <c r="W4086" t="str">
        <f t="shared" si="1031"/>
        <v>rob</v>
      </c>
    </row>
    <row r="4087" spans="1:23">
      <c r="A4087" t="str">
        <f t="shared" si="1033"/>
        <v>QC-ER9P-ZEISS</v>
      </c>
      <c r="B4087" t="str">
        <f>"50-0094-0000"</f>
        <v>50-0094-0000</v>
      </c>
      <c r="C4087" t="str">
        <f>"Pre-Engineering, Design and Testing"</f>
        <v>Pre-Engineering, Design and Testing</v>
      </c>
      <c r="D4087">
        <v>1</v>
      </c>
      <c r="E4087" t="str">
        <f t="shared" si="1034"/>
        <v>Quality Control with Scorbot ER9 Pro Robot for CMM DURAMAX</v>
      </c>
      <c r="F4087">
        <v>505</v>
      </c>
      <c r="G4087" t="str">
        <f t="shared" si="1021"/>
        <v>Y</v>
      </c>
      <c r="H4087" t="str">
        <f>"DA"</f>
        <v>DA</v>
      </c>
      <c r="I4087">
        <v>0</v>
      </c>
      <c r="J4087">
        <v>0</v>
      </c>
      <c r="K4087" t="str">
        <f t="shared" si="1022"/>
        <v>Y</v>
      </c>
      <c r="L4087">
        <v>0</v>
      </c>
      <c r="M4087" t="str">
        <f t="shared" si="1027"/>
        <v>NIS</v>
      </c>
      <c r="O4087">
        <v>12</v>
      </c>
      <c r="P4087" t="str">
        <f t="shared" si="1036"/>
        <v>Active</v>
      </c>
      <c r="Q4087" t="str">
        <f>"Pre-Engineering, Design and Testing"</f>
        <v>Pre-Engineering, Design and Testing</v>
      </c>
      <c r="S4087" t="str">
        <f>"Pre-Engineering, Design and Testing"</f>
        <v>Pre-Engineering, Design and Testing</v>
      </c>
      <c r="T4087">
        <v>0</v>
      </c>
      <c r="U4087">
        <v>405</v>
      </c>
      <c r="V4087">
        <v>421.2</v>
      </c>
      <c r="W4087" t="str">
        <f t="shared" si="1031"/>
        <v>rob</v>
      </c>
    </row>
    <row r="4088" spans="1:23">
      <c r="A4088" t="str">
        <f t="shared" ref="A4088:A4096" si="1037">"QC-KUKA-ZEISS"</f>
        <v>QC-KUKA-ZEISS</v>
      </c>
      <c r="B4088" t="str">
        <f>"10-2119-9000"</f>
        <v>10-2119-9000</v>
      </c>
      <c r="C4088" t="str">
        <f>"Interface with industrial robot"</f>
        <v>Interface with industrial robot</v>
      </c>
      <c r="D4088">
        <v>1</v>
      </c>
      <c r="E4088" t="str">
        <f t="shared" ref="E4088:E4096" si="1038">"Quality Control: FOR KUKA Robot WITH DURAMAX CMM"</f>
        <v>Quality Control: FOR KUKA Robot WITH DURAMAX CMM</v>
      </c>
      <c r="F4088">
        <v>505</v>
      </c>
      <c r="G4088" t="str">
        <f t="shared" si="1021"/>
        <v>Y</v>
      </c>
      <c r="H4088" t="str">
        <f t="shared" ref="H4088:H4095" si="1039">"EA"</f>
        <v>EA</v>
      </c>
      <c r="I4088">
        <v>0</v>
      </c>
      <c r="J4088">
        <v>0</v>
      </c>
      <c r="K4088" t="str">
        <f t="shared" si="1022"/>
        <v>Y</v>
      </c>
      <c r="L4088">
        <v>0</v>
      </c>
      <c r="M4088" t="str">
        <f t="shared" si="1027"/>
        <v>NIS</v>
      </c>
      <c r="O4088">
        <v>1</v>
      </c>
      <c r="P4088" t="str">
        <f t="shared" si="1036"/>
        <v>Active</v>
      </c>
      <c r="Q4088" t="str">
        <f>"Interface with industrial robot"</f>
        <v>Interface with industrial robot</v>
      </c>
      <c r="S4088" t="str">
        <f>"Interface with industrial robot"</f>
        <v>Interface with industrial robot</v>
      </c>
      <c r="T4088">
        <v>0</v>
      </c>
      <c r="U4088" s="44">
        <v>2000</v>
      </c>
      <c r="V4088" s="44">
        <v>2220</v>
      </c>
      <c r="W4088" t="str">
        <f t="shared" si="1031"/>
        <v>rob</v>
      </c>
    </row>
    <row r="4089" spans="1:23">
      <c r="A4089" t="str">
        <f t="shared" si="1037"/>
        <v>QC-KUKA-ZEISS</v>
      </c>
      <c r="B4089" t="str">
        <f>"00-0647-0000"</f>
        <v>00-0647-0000</v>
      </c>
      <c r="C4089" t="str">
        <f>"Pneumatic Gripper for 3rd party robots"</f>
        <v>Pneumatic Gripper for 3rd party robots</v>
      </c>
      <c r="D4089">
        <v>1</v>
      </c>
      <c r="E4089" t="str">
        <f t="shared" si="1038"/>
        <v>Quality Control: FOR KUKA Robot WITH DURAMAX CMM</v>
      </c>
      <c r="F4089">
        <v>505</v>
      </c>
      <c r="G4089" t="str">
        <f t="shared" si="1021"/>
        <v>Y</v>
      </c>
      <c r="H4089" t="str">
        <f t="shared" si="1039"/>
        <v>EA</v>
      </c>
      <c r="I4089">
        <v>0</v>
      </c>
      <c r="J4089">
        <v>0</v>
      </c>
      <c r="K4089" t="str">
        <f t="shared" si="1022"/>
        <v>Y</v>
      </c>
      <c r="L4089">
        <v>0</v>
      </c>
      <c r="M4089" t="str">
        <f t="shared" si="1027"/>
        <v>NIS</v>
      </c>
      <c r="O4089">
        <v>2</v>
      </c>
      <c r="P4089" t="str">
        <f>"ECO-N2Buy"</f>
        <v>ECO-N2Buy</v>
      </c>
      <c r="Q4089" t="str">
        <f>"Pneum.Gripper for small industrial Robots"</f>
        <v>Pneum.Gripper for small industrial Robots</v>
      </c>
      <c r="S4089" t="str">
        <f>"Pneumatic Gripper for small industrial robots"</f>
        <v>Pneumatic Gripper for small industrial robots</v>
      </c>
      <c r="T4089">
        <v>0</v>
      </c>
      <c r="U4089" s="44">
        <v>1000</v>
      </c>
      <c r="V4089">
        <v>646.62</v>
      </c>
      <c r="W4089" t="str">
        <f t="shared" si="1031"/>
        <v>rob</v>
      </c>
    </row>
    <row r="4090" spans="1:23">
      <c r="A4090" t="str">
        <f t="shared" si="1037"/>
        <v>QC-KUKA-ZEISS</v>
      </c>
      <c r="B4090" t="str">
        <f>"00-1110-0000"</f>
        <v>00-1110-0000</v>
      </c>
      <c r="C4090" t="str">
        <f>"Palletizing Rack"</f>
        <v>Palletizing Rack</v>
      </c>
      <c r="D4090">
        <v>1</v>
      </c>
      <c r="E4090" t="str">
        <f t="shared" si="1038"/>
        <v>Quality Control: FOR KUKA Robot WITH DURAMAX CMM</v>
      </c>
      <c r="F4090">
        <v>505</v>
      </c>
      <c r="G4090" t="str">
        <f t="shared" si="1021"/>
        <v>Y</v>
      </c>
      <c r="H4090" t="str">
        <f t="shared" si="1039"/>
        <v>EA</v>
      </c>
      <c r="I4090">
        <v>0</v>
      </c>
      <c r="J4090">
        <v>0</v>
      </c>
      <c r="K4090" t="str">
        <f t="shared" si="1022"/>
        <v>Y</v>
      </c>
      <c r="L4090">
        <v>0</v>
      </c>
      <c r="M4090" t="str">
        <f t="shared" si="1027"/>
        <v>NIS</v>
      </c>
      <c r="O4090">
        <v>3</v>
      </c>
      <c r="P4090" t="str">
        <f>"Active"</f>
        <v>Active</v>
      </c>
      <c r="Q4090" t="str">
        <f>"Palletizing Rack (incl. Pins for creating Jigs)"</f>
        <v>Palletizing Rack (incl. Pins for creating Jigs)</v>
      </c>
      <c r="S4090" t="str">
        <f>"Palletizing Rack (incl. Pins for creating Jigs)"</f>
        <v>Palletizing Rack (incl. Pins for creating Jigs)</v>
      </c>
      <c r="T4090">
        <v>0</v>
      </c>
      <c r="U4090">
        <v>63</v>
      </c>
      <c r="V4090">
        <v>58.59</v>
      </c>
      <c r="W4090" t="str">
        <f t="shared" si="1031"/>
        <v>rob</v>
      </c>
    </row>
    <row r="4091" spans="1:23">
      <c r="A4091" t="str">
        <f t="shared" si="1037"/>
        <v>QC-KUKA-ZEISS</v>
      </c>
      <c r="B4091" t="str">
        <f>"21-0004-0000"</f>
        <v>21-0004-0000</v>
      </c>
      <c r="C4091" t="str">
        <f>"Assembly, Dual Axis Air Vise Mechanicals"</f>
        <v>Assembly, Dual Axis Air Vise Mechanicals</v>
      </c>
      <c r="D4091">
        <v>1</v>
      </c>
      <c r="E4091" t="str">
        <f t="shared" si="1038"/>
        <v>Quality Control: FOR KUKA Robot WITH DURAMAX CMM</v>
      </c>
      <c r="F4091">
        <v>505</v>
      </c>
      <c r="G4091" t="str">
        <f t="shared" si="1021"/>
        <v>Y</v>
      </c>
      <c r="H4091" t="str">
        <f t="shared" si="1039"/>
        <v>EA</v>
      </c>
      <c r="I4091">
        <v>0</v>
      </c>
      <c r="J4091">
        <v>0</v>
      </c>
      <c r="K4091" t="str">
        <f t="shared" si="1022"/>
        <v>Y</v>
      </c>
      <c r="L4091">
        <v>0</v>
      </c>
      <c r="M4091" t="str">
        <f t="shared" si="1027"/>
        <v>NIS</v>
      </c>
      <c r="O4091">
        <v>4</v>
      </c>
      <c r="P4091" t="str">
        <f>"Phase Out"</f>
        <v>Phase Out</v>
      </c>
      <c r="Q4091" t="str">
        <f>"Pneumatic Dual-Axis Vise"</f>
        <v>Pneumatic Dual-Axis Vise</v>
      </c>
      <c r="S4091" t="str">
        <f>"Assembly, Dual Axis Air Vise Mechanicals"</f>
        <v>Assembly, Dual Axis Air Vise Mechanicals</v>
      </c>
      <c r="T4091">
        <v>422.16</v>
      </c>
      <c r="U4091">
        <v>422</v>
      </c>
      <c r="V4091">
        <v>980.27</v>
      </c>
      <c r="W4091" t="str">
        <f t="shared" si="1031"/>
        <v>rob</v>
      </c>
    </row>
    <row r="4092" spans="1:23">
      <c r="A4092" t="str">
        <f t="shared" si="1037"/>
        <v>QC-KUKA-ZEISS</v>
      </c>
      <c r="B4092" t="str">
        <f>"10-2523-4000"</f>
        <v>10-2523-4000</v>
      </c>
      <c r="C4092" t="str">
        <f>"Solenoid Valve (24V) for Pipe 3 mm"</f>
        <v>Solenoid Valve (24V) for Pipe 3 mm</v>
      </c>
      <c r="D4092">
        <v>1</v>
      </c>
      <c r="E4092" t="str">
        <f t="shared" si="1038"/>
        <v>Quality Control: FOR KUKA Robot WITH DURAMAX CMM</v>
      </c>
      <c r="F4092">
        <v>505</v>
      </c>
      <c r="G4092" t="str">
        <f t="shared" si="1021"/>
        <v>Y</v>
      </c>
      <c r="H4092" t="str">
        <f t="shared" si="1039"/>
        <v>EA</v>
      </c>
      <c r="I4092">
        <v>0</v>
      </c>
      <c r="J4092">
        <v>0</v>
      </c>
      <c r="K4092" t="str">
        <f t="shared" si="1022"/>
        <v>Y</v>
      </c>
      <c r="L4092">
        <v>0</v>
      </c>
      <c r="M4092" t="str">
        <f t="shared" si="1027"/>
        <v>NIS</v>
      </c>
      <c r="O4092">
        <v>5</v>
      </c>
      <c r="P4092" t="str">
        <f t="shared" ref="P4092:P4097" si="1040">"Active"</f>
        <v>Active</v>
      </c>
      <c r="Q4092" t="str">
        <f>"Solenoid Valve (24V) for Dual Axis Vise 025207"</f>
        <v>Solenoid Valve (24V) for Dual Axis Vise 025207</v>
      </c>
      <c r="S4092" t="str">
        <f>"Solenoid Valve (24V) for Pipe 3 mm"</f>
        <v>Solenoid Valve (24V) for Pipe 3 mm</v>
      </c>
      <c r="T4092">
        <v>0</v>
      </c>
      <c r="U4092">
        <v>137</v>
      </c>
      <c r="V4092">
        <v>133.35</v>
      </c>
      <c r="W4092" t="str">
        <f t="shared" si="1031"/>
        <v>rob</v>
      </c>
    </row>
    <row r="4093" spans="1:23">
      <c r="A4093" t="str">
        <f t="shared" si="1037"/>
        <v>QC-KUKA-ZEISS</v>
      </c>
      <c r="B4093" t="str">
        <f>"50-0092-0000"</f>
        <v>50-0092-0000</v>
      </c>
      <c r="C4093" t="str">
        <f>"Interface Programming for 3rd Party CNC Machine"</f>
        <v>Interface Programming for 3rd Party CNC Machine</v>
      </c>
      <c r="D4093">
        <v>1</v>
      </c>
      <c r="E4093" t="str">
        <f t="shared" si="1038"/>
        <v>Quality Control: FOR KUKA Robot WITH DURAMAX CMM</v>
      </c>
      <c r="F4093">
        <v>505</v>
      </c>
      <c r="G4093" t="str">
        <f t="shared" si="1021"/>
        <v>Y</v>
      </c>
      <c r="H4093" t="str">
        <f t="shared" si="1039"/>
        <v>EA</v>
      </c>
      <c r="I4093">
        <v>0</v>
      </c>
      <c r="J4093">
        <v>0</v>
      </c>
      <c r="K4093" t="str">
        <f t="shared" si="1022"/>
        <v>Y</v>
      </c>
      <c r="L4093">
        <v>0</v>
      </c>
      <c r="M4093" t="str">
        <f t="shared" si="1027"/>
        <v>NIS</v>
      </c>
      <c r="O4093">
        <v>6</v>
      </c>
      <c r="P4093" t="str">
        <f t="shared" si="1040"/>
        <v>Active</v>
      </c>
      <c r="Q4093" t="str">
        <f>"Interface Programming for 3rd Party CNC Machine"</f>
        <v>Interface Programming for 3rd Party CNC Machine</v>
      </c>
      <c r="S4093" t="str">
        <f>"Interface Programming for 3rd Party CNC Machine"</f>
        <v>Interface Programming for 3rd Party CNC Machine</v>
      </c>
      <c r="T4093">
        <v>0</v>
      </c>
      <c r="U4093" s="44">
        <v>1000</v>
      </c>
      <c r="V4093" s="44">
        <v>1000</v>
      </c>
      <c r="W4093" t="str">
        <f t="shared" si="1031"/>
        <v>rob</v>
      </c>
    </row>
    <row r="4094" spans="1:23">
      <c r="A4094" t="str">
        <f t="shared" si="1037"/>
        <v>QC-KUKA-ZEISS</v>
      </c>
      <c r="B4094" t="str">
        <f>"00-1284-0000"</f>
        <v>00-1284-0000</v>
      </c>
      <c r="C4094" t="str">
        <f>"Robot Pedestal Welded for ER9/14Pro&amp;MH5"</f>
        <v>Robot Pedestal Welded for ER9/14Pro&amp;MH5</v>
      </c>
      <c r="D4094">
        <v>1</v>
      </c>
      <c r="E4094" t="str">
        <f t="shared" si="1038"/>
        <v>Quality Control: FOR KUKA Robot WITH DURAMAX CMM</v>
      </c>
      <c r="F4094">
        <v>505</v>
      </c>
      <c r="G4094" t="str">
        <f t="shared" si="1021"/>
        <v>Y</v>
      </c>
      <c r="H4094" t="str">
        <f t="shared" si="1039"/>
        <v>EA</v>
      </c>
      <c r="I4094">
        <v>0</v>
      </c>
      <c r="J4094">
        <v>0</v>
      </c>
      <c r="K4094" t="str">
        <f t="shared" si="1022"/>
        <v>Y</v>
      </c>
      <c r="L4094">
        <v>0</v>
      </c>
      <c r="M4094" t="str">
        <f t="shared" si="1027"/>
        <v>NIS</v>
      </c>
      <c r="O4094">
        <v>7</v>
      </c>
      <c r="P4094" t="str">
        <f t="shared" si="1040"/>
        <v>Active</v>
      </c>
      <c r="Q4094" t="str">
        <f>"Heavy Duty Stand for ER9/14Pro&amp;HP3"</f>
        <v>Heavy Duty Stand for ER9/14Pro&amp;HP3</v>
      </c>
      <c r="S4094" t="str">
        <f>"Robot Pedestal Welded for ER9/14Pro&amp;MH5"</f>
        <v>Robot Pedestal Welded for ER9/14Pro&amp;MH5</v>
      </c>
      <c r="T4094">
        <v>0</v>
      </c>
      <c r="U4094">
        <v>723.91</v>
      </c>
      <c r="V4094">
        <v>671.12</v>
      </c>
      <c r="W4094" t="str">
        <f t="shared" si="1031"/>
        <v>rob</v>
      </c>
    </row>
    <row r="4095" spans="1:23">
      <c r="A4095" t="str">
        <f t="shared" si="1037"/>
        <v>QC-KUKA-ZEISS</v>
      </c>
      <c r="B4095" t="str">
        <f>"00-1251-0000"</f>
        <v>00-1251-0000</v>
      </c>
      <c r="C4095" t="str">
        <f>"Workbench 1500x800mm (Formica Top)"</f>
        <v>Workbench 1500x800mm (Formica Top)</v>
      </c>
      <c r="D4095">
        <v>1</v>
      </c>
      <c r="E4095" t="str">
        <f t="shared" si="1038"/>
        <v>Quality Control: FOR KUKA Robot WITH DURAMAX CMM</v>
      </c>
      <c r="F4095">
        <v>505</v>
      </c>
      <c r="G4095" t="str">
        <f t="shared" si="1021"/>
        <v>Y</v>
      </c>
      <c r="H4095" t="str">
        <f t="shared" si="1039"/>
        <v>EA</v>
      </c>
      <c r="I4095">
        <v>0</v>
      </c>
      <c r="J4095">
        <v>0</v>
      </c>
      <c r="K4095" t="str">
        <f t="shared" si="1022"/>
        <v>Y</v>
      </c>
      <c r="L4095">
        <v>0</v>
      </c>
      <c r="M4095" t="str">
        <f t="shared" si="1027"/>
        <v>NIS</v>
      </c>
      <c r="O4095">
        <v>8</v>
      </c>
      <c r="P4095" t="str">
        <f t="shared" si="1040"/>
        <v>Active</v>
      </c>
      <c r="Q4095" t="str">
        <f>"Workbench 1500x800mm (Formica Top)"</f>
        <v>Workbench 1500x800mm (Formica Top)</v>
      </c>
      <c r="S4095" t="str">
        <f>"Workbench 1500x800mm (Formica Top)"</f>
        <v>Workbench 1500x800mm (Formica Top)</v>
      </c>
      <c r="T4095">
        <v>0</v>
      </c>
      <c r="U4095">
        <v>582</v>
      </c>
      <c r="V4095">
        <v>588.6</v>
      </c>
      <c r="W4095" t="str">
        <f t="shared" si="1031"/>
        <v>rob</v>
      </c>
    </row>
    <row r="4096" spans="1:23">
      <c r="A4096" t="str">
        <f t="shared" si="1037"/>
        <v>QC-KUKA-ZEISS</v>
      </c>
      <c r="B4096" t="str">
        <f>"50-0094-0000"</f>
        <v>50-0094-0000</v>
      </c>
      <c r="C4096" t="str">
        <f>"Pre-Engineering, Design and Testing"</f>
        <v>Pre-Engineering, Design and Testing</v>
      </c>
      <c r="D4096">
        <v>1</v>
      </c>
      <c r="E4096" t="str">
        <f t="shared" si="1038"/>
        <v>Quality Control: FOR KUKA Robot WITH DURAMAX CMM</v>
      </c>
      <c r="F4096">
        <v>505</v>
      </c>
      <c r="G4096" t="str">
        <f t="shared" si="1021"/>
        <v>Y</v>
      </c>
      <c r="H4096" t="str">
        <f>"DA"</f>
        <v>DA</v>
      </c>
      <c r="I4096">
        <v>0</v>
      </c>
      <c r="J4096">
        <v>0</v>
      </c>
      <c r="K4096" t="str">
        <f t="shared" si="1022"/>
        <v>Y</v>
      </c>
      <c r="L4096">
        <v>0</v>
      </c>
      <c r="M4096" t="str">
        <f t="shared" si="1027"/>
        <v>NIS</v>
      </c>
      <c r="O4096">
        <v>9</v>
      </c>
      <c r="P4096" t="str">
        <f t="shared" si="1040"/>
        <v>Active</v>
      </c>
      <c r="Q4096" t="str">
        <f>"Pre-Engineering, Design and Testing"</f>
        <v>Pre-Engineering, Design and Testing</v>
      </c>
      <c r="S4096" t="str">
        <f>"Pre-Engineering, Design and Testing"</f>
        <v>Pre-Engineering, Design and Testing</v>
      </c>
      <c r="T4096">
        <v>0</v>
      </c>
      <c r="U4096">
        <v>405</v>
      </c>
      <c r="V4096">
        <v>421.2</v>
      </c>
      <c r="W4096" t="str">
        <f t="shared" si="1031"/>
        <v>rob</v>
      </c>
    </row>
    <row r="4097" spans="1:23">
      <c r="A4097" t="str">
        <f t="shared" ref="A4097:A4106" si="1041">"QC-KUKA-ZEISS-L"</f>
        <v>QC-KUKA-ZEISS-L</v>
      </c>
      <c r="B4097" t="str">
        <f>"10-2119-9000"</f>
        <v>10-2119-9000</v>
      </c>
      <c r="C4097" t="str">
        <f>"Interface with industrial robot"</f>
        <v>Interface with industrial robot</v>
      </c>
      <c r="D4097">
        <v>1</v>
      </c>
      <c r="E4097" t="str">
        <f t="shared" ref="E4097:E4106" si="1042">"Quality Control: FOR KUKA Robot (on Linear Slide Base [LSB]) WITH DURAMAX CMM"</f>
        <v>Quality Control: FOR KUKA Robot (on Linear Slide Base [LSB]) WITH DURAMAX CMM</v>
      </c>
      <c r="F4097">
        <v>505</v>
      </c>
      <c r="G4097" t="str">
        <f t="shared" si="1021"/>
        <v>Y</v>
      </c>
      <c r="H4097" t="str">
        <f t="shared" ref="H4097:H4105" si="1043">"EA"</f>
        <v>EA</v>
      </c>
      <c r="I4097">
        <v>0</v>
      </c>
      <c r="J4097">
        <v>0</v>
      </c>
      <c r="K4097" t="str">
        <f t="shared" si="1022"/>
        <v>Y</v>
      </c>
      <c r="L4097">
        <v>0</v>
      </c>
      <c r="M4097" t="str">
        <f t="shared" si="1027"/>
        <v>NIS</v>
      </c>
      <c r="O4097">
        <v>1</v>
      </c>
      <c r="P4097" t="str">
        <f t="shared" si="1040"/>
        <v>Active</v>
      </c>
      <c r="Q4097" t="str">
        <f>"Interface with industrial robot"</f>
        <v>Interface with industrial robot</v>
      </c>
      <c r="S4097" t="str">
        <f>"Interface with industrial robot"</f>
        <v>Interface with industrial robot</v>
      </c>
      <c r="T4097">
        <v>0</v>
      </c>
      <c r="U4097" s="44">
        <v>2000</v>
      </c>
      <c r="V4097" s="44">
        <v>2220</v>
      </c>
      <c r="W4097" t="str">
        <f t="shared" si="1031"/>
        <v>rob</v>
      </c>
    </row>
    <row r="4098" spans="1:23">
      <c r="A4098" t="str">
        <f t="shared" si="1041"/>
        <v>QC-KUKA-ZEISS-L</v>
      </c>
      <c r="B4098" t="str">
        <f>"00-0647-0000"</f>
        <v>00-0647-0000</v>
      </c>
      <c r="C4098" t="str">
        <f>"Pneumatic Gripper for 3rd party robots"</f>
        <v>Pneumatic Gripper for 3rd party robots</v>
      </c>
      <c r="D4098">
        <v>1</v>
      </c>
      <c r="E4098" t="str">
        <f t="shared" si="1042"/>
        <v>Quality Control: FOR KUKA Robot (on Linear Slide Base [LSB]) WITH DURAMAX CMM</v>
      </c>
      <c r="F4098">
        <v>505</v>
      </c>
      <c r="G4098" t="str">
        <f t="shared" ref="G4098:G4161" si="1044">"Y"</f>
        <v>Y</v>
      </c>
      <c r="H4098" t="str">
        <f t="shared" si="1043"/>
        <v>EA</v>
      </c>
      <c r="I4098">
        <v>0</v>
      </c>
      <c r="J4098">
        <v>0</v>
      </c>
      <c r="K4098" t="str">
        <f t="shared" ref="K4098:K4161" si="1045">"Y"</f>
        <v>Y</v>
      </c>
      <c r="L4098">
        <v>0</v>
      </c>
      <c r="M4098" t="str">
        <f t="shared" si="1027"/>
        <v>NIS</v>
      </c>
      <c r="O4098">
        <v>2</v>
      </c>
      <c r="P4098" t="str">
        <f>"ECO-N2Buy"</f>
        <v>ECO-N2Buy</v>
      </c>
      <c r="Q4098" t="str">
        <f>"Pneum.Gripper for small industrial Robots"</f>
        <v>Pneum.Gripper for small industrial Robots</v>
      </c>
      <c r="S4098" t="str">
        <f>"Pneumatic Gripper for small industrial robots"</f>
        <v>Pneumatic Gripper for small industrial robots</v>
      </c>
      <c r="T4098">
        <v>0</v>
      </c>
      <c r="U4098" s="44">
        <v>1000</v>
      </c>
      <c r="V4098">
        <v>646.62</v>
      </c>
      <c r="W4098" t="str">
        <f t="shared" si="1031"/>
        <v>rob</v>
      </c>
    </row>
    <row r="4099" spans="1:23">
      <c r="A4099" t="str">
        <f t="shared" si="1041"/>
        <v>QC-KUKA-ZEISS-L</v>
      </c>
      <c r="B4099" t="str">
        <f>"00-1027-0000"</f>
        <v>00-1027-0000</v>
      </c>
      <c r="C4099" t="str">
        <f>"LSB 1.8m, Belt, USB-Pro, for ind. robot &lt; 35kg)"</f>
        <v>LSB 1.8m, Belt, USB-Pro, for ind. robot &lt; 35kg)</v>
      </c>
      <c r="D4099">
        <v>1</v>
      </c>
      <c r="E4099" t="str">
        <f t="shared" si="1042"/>
        <v>Quality Control: FOR KUKA Robot (on Linear Slide Base [LSB]) WITH DURAMAX CMM</v>
      </c>
      <c r="F4099">
        <v>505</v>
      </c>
      <c r="G4099" t="str">
        <f t="shared" si="1044"/>
        <v>Y</v>
      </c>
      <c r="H4099" t="str">
        <f t="shared" si="1043"/>
        <v>EA</v>
      </c>
      <c r="I4099">
        <v>0</v>
      </c>
      <c r="J4099">
        <v>0</v>
      </c>
      <c r="K4099" t="str">
        <f t="shared" si="1045"/>
        <v>Y</v>
      </c>
      <c r="L4099">
        <v>0</v>
      </c>
      <c r="M4099" t="str">
        <f t="shared" si="1027"/>
        <v>NIS</v>
      </c>
      <c r="O4099">
        <v>3</v>
      </c>
      <c r="P4099" t="str">
        <f>"Active"</f>
        <v>Active</v>
      </c>
      <c r="Q4099" t="str">
        <f>"LSB 1.8m incl. USB-Pro(Industr. robot max. 50kg)"</f>
        <v>LSB 1.8m incl. USB-Pro(Industr. robot max. 50kg)</v>
      </c>
      <c r="S4099" t="str">
        <f>"LSB 1.8m, Belt, USB-Pro, for ind. robot &lt; 35kg"</f>
        <v>LSB 1.8m, Belt, USB-Pro, for ind. robot &lt; 35kg</v>
      </c>
      <c r="T4099">
        <v>0</v>
      </c>
      <c r="U4099" s="44">
        <v>5000</v>
      </c>
      <c r="V4099" s="44">
        <v>4687.0200000000004</v>
      </c>
      <c r="W4099" t="str">
        <f t="shared" si="1031"/>
        <v>rob</v>
      </c>
    </row>
    <row r="4100" spans="1:23">
      <c r="A4100" t="str">
        <f t="shared" si="1041"/>
        <v>QC-KUKA-ZEISS-L</v>
      </c>
      <c r="B4100" t="str">
        <f>"00-1110-0000"</f>
        <v>00-1110-0000</v>
      </c>
      <c r="C4100" t="str">
        <f>"Palletizing Rack"</f>
        <v>Palletizing Rack</v>
      </c>
      <c r="D4100">
        <v>1</v>
      </c>
      <c r="E4100" t="str">
        <f t="shared" si="1042"/>
        <v>Quality Control: FOR KUKA Robot (on Linear Slide Base [LSB]) WITH DURAMAX CMM</v>
      </c>
      <c r="F4100">
        <v>505</v>
      </c>
      <c r="G4100" t="str">
        <f t="shared" si="1044"/>
        <v>Y</v>
      </c>
      <c r="H4100" t="str">
        <f t="shared" si="1043"/>
        <v>EA</v>
      </c>
      <c r="I4100">
        <v>0</v>
      </c>
      <c r="J4100">
        <v>0</v>
      </c>
      <c r="K4100" t="str">
        <f t="shared" si="1045"/>
        <v>Y</v>
      </c>
      <c r="L4100">
        <v>0</v>
      </c>
      <c r="M4100" t="str">
        <f t="shared" si="1027"/>
        <v>NIS</v>
      </c>
      <c r="O4100">
        <v>4</v>
      </c>
      <c r="P4100" t="str">
        <f>"Active"</f>
        <v>Active</v>
      </c>
      <c r="Q4100" t="str">
        <f>"Palletizing Rack (incl. Pins for creating Jigs)"</f>
        <v>Palletizing Rack (incl. Pins for creating Jigs)</v>
      </c>
      <c r="S4100" t="str">
        <f>"Palletizing Rack (incl. Pins for creating Jigs)"</f>
        <v>Palletizing Rack (incl. Pins for creating Jigs)</v>
      </c>
      <c r="T4100">
        <v>0</v>
      </c>
      <c r="U4100">
        <v>63</v>
      </c>
      <c r="V4100">
        <v>58.59</v>
      </c>
      <c r="W4100" t="str">
        <f t="shared" si="1031"/>
        <v>rob</v>
      </c>
    </row>
    <row r="4101" spans="1:23">
      <c r="A4101" t="str">
        <f t="shared" si="1041"/>
        <v>QC-KUKA-ZEISS-L</v>
      </c>
      <c r="B4101" t="str">
        <f>"21-0004-0000"</f>
        <v>21-0004-0000</v>
      </c>
      <c r="C4101" t="str">
        <f>"Assembly, Dual Axis Air Vise Mechanicals"</f>
        <v>Assembly, Dual Axis Air Vise Mechanicals</v>
      </c>
      <c r="D4101">
        <v>1</v>
      </c>
      <c r="E4101" t="str">
        <f t="shared" si="1042"/>
        <v>Quality Control: FOR KUKA Robot (on Linear Slide Base [LSB]) WITH DURAMAX CMM</v>
      </c>
      <c r="F4101">
        <v>505</v>
      </c>
      <c r="G4101" t="str">
        <f t="shared" si="1044"/>
        <v>Y</v>
      </c>
      <c r="H4101" t="str">
        <f t="shared" si="1043"/>
        <v>EA</v>
      </c>
      <c r="I4101">
        <v>0</v>
      </c>
      <c r="J4101">
        <v>0</v>
      </c>
      <c r="K4101" t="str">
        <f t="shared" si="1045"/>
        <v>Y</v>
      </c>
      <c r="L4101">
        <v>0</v>
      </c>
      <c r="M4101" t="str">
        <f t="shared" si="1027"/>
        <v>NIS</v>
      </c>
      <c r="O4101">
        <v>5</v>
      </c>
      <c r="P4101" t="str">
        <f>"Phase Out"</f>
        <v>Phase Out</v>
      </c>
      <c r="Q4101" t="str">
        <f>"Pneumatic Dual-Axis Vise"</f>
        <v>Pneumatic Dual-Axis Vise</v>
      </c>
      <c r="S4101" t="str">
        <f>"Assembly, Dual Axis Air Vise Mechanicals"</f>
        <v>Assembly, Dual Axis Air Vise Mechanicals</v>
      </c>
      <c r="T4101">
        <v>422.16</v>
      </c>
      <c r="U4101">
        <v>422</v>
      </c>
      <c r="V4101">
        <v>980.27</v>
      </c>
      <c r="W4101" t="str">
        <f t="shared" si="1031"/>
        <v>rob</v>
      </c>
    </row>
    <row r="4102" spans="1:23">
      <c r="A4102" t="str">
        <f t="shared" si="1041"/>
        <v>QC-KUKA-ZEISS-L</v>
      </c>
      <c r="B4102" t="str">
        <f>"10-2523-4000"</f>
        <v>10-2523-4000</v>
      </c>
      <c r="C4102" t="str">
        <f>"Solenoid Valve (24V) for Pipe 3 mm"</f>
        <v>Solenoid Valve (24V) for Pipe 3 mm</v>
      </c>
      <c r="D4102">
        <v>1</v>
      </c>
      <c r="E4102" t="str">
        <f t="shared" si="1042"/>
        <v>Quality Control: FOR KUKA Robot (on Linear Slide Base [LSB]) WITH DURAMAX CMM</v>
      </c>
      <c r="F4102">
        <v>505</v>
      </c>
      <c r="G4102" t="str">
        <f t="shared" si="1044"/>
        <v>Y</v>
      </c>
      <c r="H4102" t="str">
        <f t="shared" si="1043"/>
        <v>EA</v>
      </c>
      <c r="I4102">
        <v>0</v>
      </c>
      <c r="J4102">
        <v>0</v>
      </c>
      <c r="K4102" t="str">
        <f t="shared" si="1045"/>
        <v>Y</v>
      </c>
      <c r="L4102">
        <v>0</v>
      </c>
      <c r="M4102" t="str">
        <f t="shared" si="1027"/>
        <v>NIS</v>
      </c>
      <c r="O4102">
        <v>6</v>
      </c>
      <c r="P4102" t="str">
        <f t="shared" ref="P4102:P4142" si="1046">"Active"</f>
        <v>Active</v>
      </c>
      <c r="Q4102" t="str">
        <f>"Solenoid Valve (24V) for Dual Axis Vise 025207"</f>
        <v>Solenoid Valve (24V) for Dual Axis Vise 025207</v>
      </c>
      <c r="S4102" t="str">
        <f>"Solenoid Valve (24V) for Pipe 3 mm"</f>
        <v>Solenoid Valve (24V) for Pipe 3 mm</v>
      </c>
      <c r="T4102">
        <v>0</v>
      </c>
      <c r="U4102">
        <v>137</v>
      </c>
      <c r="V4102">
        <v>133.35</v>
      </c>
      <c r="W4102" t="str">
        <f t="shared" si="1031"/>
        <v>rob</v>
      </c>
    </row>
    <row r="4103" spans="1:23">
      <c r="A4103" t="str">
        <f t="shared" si="1041"/>
        <v>QC-KUKA-ZEISS-L</v>
      </c>
      <c r="B4103" t="str">
        <f>"50-0092-0000"</f>
        <v>50-0092-0000</v>
      </c>
      <c r="C4103" t="str">
        <f>"Interface Programming for 3rd Party CNC Machine"</f>
        <v>Interface Programming for 3rd Party CNC Machine</v>
      </c>
      <c r="D4103">
        <v>1</v>
      </c>
      <c r="E4103" t="str">
        <f t="shared" si="1042"/>
        <v>Quality Control: FOR KUKA Robot (on Linear Slide Base [LSB]) WITH DURAMAX CMM</v>
      </c>
      <c r="F4103">
        <v>505</v>
      </c>
      <c r="G4103" t="str">
        <f t="shared" si="1044"/>
        <v>Y</v>
      </c>
      <c r="H4103" t="str">
        <f t="shared" si="1043"/>
        <v>EA</v>
      </c>
      <c r="I4103">
        <v>0</v>
      </c>
      <c r="J4103">
        <v>0</v>
      </c>
      <c r="K4103" t="str">
        <f t="shared" si="1045"/>
        <v>Y</v>
      </c>
      <c r="L4103">
        <v>0</v>
      </c>
      <c r="M4103" t="str">
        <f t="shared" si="1027"/>
        <v>NIS</v>
      </c>
      <c r="O4103">
        <v>7</v>
      </c>
      <c r="P4103" t="str">
        <f t="shared" si="1046"/>
        <v>Active</v>
      </c>
      <c r="Q4103" t="str">
        <f>"Interface Programming for 3rd Party CNC Machine"</f>
        <v>Interface Programming for 3rd Party CNC Machine</v>
      </c>
      <c r="S4103" t="str">
        <f>"Interface Programming for 3rd Party CNC Machine"</f>
        <v>Interface Programming for 3rd Party CNC Machine</v>
      </c>
      <c r="T4103">
        <v>0</v>
      </c>
      <c r="U4103" s="44">
        <v>1000</v>
      </c>
      <c r="V4103" s="44">
        <v>1000</v>
      </c>
      <c r="W4103" t="str">
        <f t="shared" si="1031"/>
        <v>rob</v>
      </c>
    </row>
    <row r="4104" spans="1:23">
      <c r="A4104" t="str">
        <f t="shared" si="1041"/>
        <v>QC-KUKA-ZEISS-L</v>
      </c>
      <c r="B4104" t="str">
        <f>"00-1251-0000"</f>
        <v>00-1251-0000</v>
      </c>
      <c r="C4104" t="str">
        <f>"Workbench 1500x800mm (Formica Top)"</f>
        <v>Workbench 1500x800mm (Formica Top)</v>
      </c>
      <c r="D4104">
        <v>1</v>
      </c>
      <c r="E4104" t="str">
        <f t="shared" si="1042"/>
        <v>Quality Control: FOR KUKA Robot (on Linear Slide Base [LSB]) WITH DURAMAX CMM</v>
      </c>
      <c r="F4104">
        <v>505</v>
      </c>
      <c r="G4104" t="str">
        <f t="shared" si="1044"/>
        <v>Y</v>
      </c>
      <c r="H4104" t="str">
        <f t="shared" si="1043"/>
        <v>EA</v>
      </c>
      <c r="I4104">
        <v>0</v>
      </c>
      <c r="J4104">
        <v>0</v>
      </c>
      <c r="K4104" t="str">
        <f t="shared" si="1045"/>
        <v>Y</v>
      </c>
      <c r="L4104">
        <v>0</v>
      </c>
      <c r="M4104" t="str">
        <f t="shared" si="1027"/>
        <v>NIS</v>
      </c>
      <c r="O4104">
        <v>8</v>
      </c>
      <c r="P4104" t="str">
        <f t="shared" si="1046"/>
        <v>Active</v>
      </c>
      <c r="Q4104" t="str">
        <f>"Workbench 1500x800mm (Formica Top)"</f>
        <v>Workbench 1500x800mm (Formica Top)</v>
      </c>
      <c r="S4104" t="str">
        <f>"Workbench 1500x800mm (Formica Top)"</f>
        <v>Workbench 1500x800mm (Formica Top)</v>
      </c>
      <c r="T4104">
        <v>0</v>
      </c>
      <c r="U4104">
        <v>582</v>
      </c>
      <c r="V4104">
        <v>588.6</v>
      </c>
      <c r="W4104" t="str">
        <f t="shared" si="1031"/>
        <v>rob</v>
      </c>
    </row>
    <row r="4105" spans="1:23">
      <c r="A4105" t="str">
        <f t="shared" si="1041"/>
        <v>QC-KUKA-ZEISS-L</v>
      </c>
      <c r="B4105" t="str">
        <f>"00-1290-0000"</f>
        <v>00-1290-0000</v>
      </c>
      <c r="C4105" t="str">
        <f>"PC Table 630x800mm (with Keyboard Drawer)"</f>
        <v>PC Table 630x800mm (with Keyboard Drawer)</v>
      </c>
      <c r="D4105">
        <v>1</v>
      </c>
      <c r="E4105" t="str">
        <f t="shared" si="1042"/>
        <v>Quality Control: FOR KUKA Robot (on Linear Slide Base [LSB]) WITH DURAMAX CMM</v>
      </c>
      <c r="F4105">
        <v>505</v>
      </c>
      <c r="G4105" t="str">
        <f t="shared" si="1044"/>
        <v>Y</v>
      </c>
      <c r="H4105" t="str">
        <f t="shared" si="1043"/>
        <v>EA</v>
      </c>
      <c r="I4105">
        <v>0</v>
      </c>
      <c r="J4105">
        <v>0</v>
      </c>
      <c r="K4105" t="str">
        <f t="shared" si="1045"/>
        <v>Y</v>
      </c>
      <c r="L4105">
        <v>0</v>
      </c>
      <c r="M4105" t="str">
        <f t="shared" si="1027"/>
        <v>NIS</v>
      </c>
      <c r="O4105">
        <v>9</v>
      </c>
      <c r="P4105" t="str">
        <f t="shared" si="1046"/>
        <v>Active</v>
      </c>
      <c r="Q4105" t="str">
        <f>"PC Table 630x800mm (with Keyboard Drawer)"</f>
        <v>PC Table 630x800mm (with Keyboard Drawer)</v>
      </c>
      <c r="S4105" t="str">
        <f>"PC Table 630x800mm (with Keyboard Drawer)"</f>
        <v>PC Table 630x800mm (with Keyboard Drawer)</v>
      </c>
      <c r="T4105">
        <v>0</v>
      </c>
      <c r="U4105">
        <v>405.86</v>
      </c>
      <c r="V4105">
        <v>329.34</v>
      </c>
      <c r="W4105" t="str">
        <f t="shared" si="1031"/>
        <v>rob</v>
      </c>
    </row>
    <row r="4106" spans="1:23">
      <c r="A4106" t="str">
        <f t="shared" si="1041"/>
        <v>QC-KUKA-ZEISS-L</v>
      </c>
      <c r="B4106" t="str">
        <f>"50-0094-0000"</f>
        <v>50-0094-0000</v>
      </c>
      <c r="C4106" t="str">
        <f>"Pre-Engineering, Design and Testing"</f>
        <v>Pre-Engineering, Design and Testing</v>
      </c>
      <c r="D4106">
        <v>1</v>
      </c>
      <c r="E4106" t="str">
        <f t="shared" si="1042"/>
        <v>Quality Control: FOR KUKA Robot (on Linear Slide Base [LSB]) WITH DURAMAX CMM</v>
      </c>
      <c r="F4106">
        <v>505</v>
      </c>
      <c r="G4106" t="str">
        <f t="shared" si="1044"/>
        <v>Y</v>
      </c>
      <c r="H4106" t="str">
        <f>"DA"</f>
        <v>DA</v>
      </c>
      <c r="I4106">
        <v>0</v>
      </c>
      <c r="J4106">
        <v>0</v>
      </c>
      <c r="K4106" t="str">
        <f t="shared" si="1045"/>
        <v>Y</v>
      </c>
      <c r="L4106">
        <v>0</v>
      </c>
      <c r="M4106" t="str">
        <f t="shared" si="1027"/>
        <v>NIS</v>
      </c>
      <c r="O4106">
        <v>10</v>
      </c>
      <c r="P4106" t="str">
        <f t="shared" si="1046"/>
        <v>Active</v>
      </c>
      <c r="Q4106" t="str">
        <f>"Pre-Engineering, Design and Testing"</f>
        <v>Pre-Engineering, Design and Testing</v>
      </c>
      <c r="S4106" t="str">
        <f>"Pre-Engineering, Design and Testing"</f>
        <v>Pre-Engineering, Design and Testing</v>
      </c>
      <c r="T4106">
        <v>0</v>
      </c>
      <c r="U4106">
        <v>405</v>
      </c>
      <c r="V4106">
        <v>421.2</v>
      </c>
      <c r="W4106" t="str">
        <f t="shared" si="1031"/>
        <v>rob</v>
      </c>
    </row>
    <row r="4107" spans="1:23">
      <c r="A4107" t="str">
        <f t="shared" ref="A4107:A4120" si="1047">"QC-MH5F-01"</f>
        <v>QC-MH5F-01</v>
      </c>
      <c r="B4107" t="str">
        <f>"00-0436-0000"</f>
        <v>00-0436-0000</v>
      </c>
      <c r="C4107" t="str">
        <f>"MH5F compact high-speed 6-axis Robot"</f>
        <v>MH5F compact high-speed 6-axis Robot</v>
      </c>
      <c r="D4107">
        <v>1</v>
      </c>
      <c r="E4107" t="str">
        <f t="shared" ref="E4107:E4120" si="1048">"Quality Control: MOTOMAN MH5F (with ViewFlex Machine Vision System)"</f>
        <v>Quality Control: MOTOMAN MH5F (with ViewFlex Machine Vision System)</v>
      </c>
      <c r="F4107">
        <v>505</v>
      </c>
      <c r="G4107" t="str">
        <f t="shared" si="1044"/>
        <v>Y</v>
      </c>
      <c r="H4107" t="str">
        <f t="shared" ref="H4107:H4119" si="1049">"EA"</f>
        <v>EA</v>
      </c>
      <c r="I4107">
        <v>0</v>
      </c>
      <c r="J4107">
        <v>0</v>
      </c>
      <c r="K4107" t="str">
        <f t="shared" si="1045"/>
        <v>Y</v>
      </c>
      <c r="L4107">
        <v>0</v>
      </c>
      <c r="M4107" t="str">
        <f t="shared" si="1027"/>
        <v>NIS</v>
      </c>
      <c r="O4107">
        <v>1</v>
      </c>
      <c r="P4107" t="str">
        <f t="shared" si="1046"/>
        <v>Active</v>
      </c>
      <c r="Q4107" t="str">
        <f>"Robot MOTOMAN MH5F(incl. FS100 controller, 220V)"</f>
        <v>Robot MOTOMAN MH5F(incl. FS100 controller, 220V)</v>
      </c>
      <c r="S4107" t="str">
        <f>"MH5F compact high-speed 6-axis Robot"</f>
        <v>MH5F compact high-speed 6-axis Robot</v>
      </c>
      <c r="T4107">
        <v>0</v>
      </c>
      <c r="U4107" s="44">
        <v>23500</v>
      </c>
      <c r="V4107" s="44">
        <v>16049.14</v>
      </c>
      <c r="W4107" t="str">
        <f t="shared" si="1031"/>
        <v>rob</v>
      </c>
    </row>
    <row r="4108" spans="1:23">
      <c r="A4108" t="str">
        <f t="shared" si="1047"/>
        <v>QC-MH5F-01</v>
      </c>
      <c r="B4108" t="str">
        <f>"00-0646-0000"</f>
        <v>00-0646-0000</v>
      </c>
      <c r="C4108" t="str">
        <f>"Pneumatic Gripper with I/O Box for Motoman MH5F"</f>
        <v>Pneumatic Gripper with I/O Box for Motoman MH5F</v>
      </c>
      <c r="D4108">
        <v>1</v>
      </c>
      <c r="E4108" t="str">
        <f t="shared" si="1048"/>
        <v>Quality Control: MOTOMAN MH5F (with ViewFlex Machine Vision System)</v>
      </c>
      <c r="F4108">
        <v>505</v>
      </c>
      <c r="G4108" t="str">
        <f t="shared" si="1044"/>
        <v>Y</v>
      </c>
      <c r="H4108" t="str">
        <f t="shared" si="1049"/>
        <v>EA</v>
      </c>
      <c r="I4108">
        <v>0</v>
      </c>
      <c r="J4108">
        <v>0</v>
      </c>
      <c r="K4108" t="str">
        <f t="shared" si="1045"/>
        <v>Y</v>
      </c>
      <c r="L4108">
        <v>0</v>
      </c>
      <c r="M4108" t="str">
        <f t="shared" si="1027"/>
        <v>NIS</v>
      </c>
      <c r="O4108">
        <v>2</v>
      </c>
      <c r="P4108" t="str">
        <f t="shared" si="1046"/>
        <v>Active</v>
      </c>
      <c r="Q4108" t="str">
        <f>"Pneumatic Gripper with I/O Box for Motoman MH5F"</f>
        <v>Pneumatic Gripper with I/O Box for Motoman MH5F</v>
      </c>
      <c r="S4108" t="str">
        <f>"Pneumatic Gripper with I/O Box for Motoman MH5F"</f>
        <v>Pneumatic Gripper with I/O Box for Motoman MH5F</v>
      </c>
      <c r="T4108">
        <v>0</v>
      </c>
      <c r="U4108" s="44">
        <v>1500</v>
      </c>
      <c r="V4108" s="44">
        <v>1238.52</v>
      </c>
      <c r="W4108" t="str">
        <f t="shared" si="1031"/>
        <v>rob</v>
      </c>
    </row>
    <row r="4109" spans="1:23">
      <c r="A4109" t="str">
        <f t="shared" si="1047"/>
        <v>QC-MH5F-01</v>
      </c>
      <c r="B4109" t="str">
        <f>"021031"</f>
        <v>021031</v>
      </c>
      <c r="C4109" t="str">
        <f>"Buffer for Template"</f>
        <v>Buffer for Template</v>
      </c>
      <c r="D4109">
        <v>4</v>
      </c>
      <c r="E4109" t="str">
        <f t="shared" si="1048"/>
        <v>Quality Control: MOTOMAN MH5F (with ViewFlex Machine Vision System)</v>
      </c>
      <c r="F4109">
        <v>505</v>
      </c>
      <c r="G4109" t="str">
        <f t="shared" si="1044"/>
        <v>Y</v>
      </c>
      <c r="H4109" t="str">
        <f t="shared" si="1049"/>
        <v>EA</v>
      </c>
      <c r="I4109">
        <v>0</v>
      </c>
      <c r="J4109">
        <v>0</v>
      </c>
      <c r="K4109" t="str">
        <f t="shared" si="1045"/>
        <v>Y</v>
      </c>
      <c r="L4109">
        <v>0</v>
      </c>
      <c r="M4109" t="str">
        <f t="shared" si="1027"/>
        <v>NIS</v>
      </c>
      <c r="O4109">
        <v>3</v>
      </c>
      <c r="P4109" t="str">
        <f t="shared" si="1046"/>
        <v>Active</v>
      </c>
      <c r="Q4109" t="str">
        <f>"מכלול- בסיס לטמפלט CIM"</f>
        <v>מכלול- בסיס לטמפלט CIM</v>
      </c>
      <c r="R4109" t="str">
        <f>"1"</f>
        <v>1</v>
      </c>
      <c r="S4109" t="str">
        <f>"מכלול- בסיס לטמפלט CIM"</f>
        <v>מכלול- בסיס לטמפלט CIM</v>
      </c>
      <c r="T4109">
        <v>0</v>
      </c>
      <c r="U4109">
        <v>18.329999999999998</v>
      </c>
      <c r="V4109">
        <v>13.48</v>
      </c>
      <c r="W4109" t="str">
        <f t="shared" si="1031"/>
        <v>rob</v>
      </c>
    </row>
    <row r="4110" spans="1:23">
      <c r="A4110" t="str">
        <f t="shared" si="1047"/>
        <v>QC-MH5F-01</v>
      </c>
      <c r="B4110" t="str">
        <f>"00-1110-0000"</f>
        <v>00-1110-0000</v>
      </c>
      <c r="C4110" t="str">
        <f>"Palletizing Rack"</f>
        <v>Palletizing Rack</v>
      </c>
      <c r="D4110">
        <v>2</v>
      </c>
      <c r="E4110" t="str">
        <f t="shared" si="1048"/>
        <v>Quality Control: MOTOMAN MH5F (with ViewFlex Machine Vision System)</v>
      </c>
      <c r="F4110">
        <v>505</v>
      </c>
      <c r="G4110" t="str">
        <f t="shared" si="1044"/>
        <v>Y</v>
      </c>
      <c r="H4110" t="str">
        <f t="shared" si="1049"/>
        <v>EA</v>
      </c>
      <c r="I4110">
        <v>0</v>
      </c>
      <c r="J4110">
        <v>0</v>
      </c>
      <c r="K4110" t="str">
        <f t="shared" si="1045"/>
        <v>Y</v>
      </c>
      <c r="L4110">
        <v>0</v>
      </c>
      <c r="M4110" t="str">
        <f t="shared" si="1027"/>
        <v>NIS</v>
      </c>
      <c r="O4110">
        <v>4</v>
      </c>
      <c r="P4110" t="str">
        <f t="shared" si="1046"/>
        <v>Active</v>
      </c>
      <c r="Q4110" t="str">
        <f>"Palletizing Rack (incl. Pins for creating Jigs)"</f>
        <v>Palletizing Rack (incl. Pins for creating Jigs)</v>
      </c>
      <c r="S4110" t="str">
        <f>"Palletizing Rack (incl. Pins for creating Jigs)"</f>
        <v>Palletizing Rack (incl. Pins for creating Jigs)</v>
      </c>
      <c r="T4110">
        <v>0</v>
      </c>
      <c r="U4110">
        <v>63</v>
      </c>
      <c r="V4110">
        <v>58.59</v>
      </c>
      <c r="W4110" t="str">
        <f t="shared" si="1031"/>
        <v>rob</v>
      </c>
    </row>
    <row r="4111" spans="1:23">
      <c r="A4111" t="str">
        <f t="shared" si="1047"/>
        <v>QC-MH5F-01</v>
      </c>
      <c r="B4111" t="str">
        <f>"021177"</f>
        <v>021177</v>
      </c>
      <c r="C4111" t="str">
        <f>"30mm Height Adapter -Rack 001110 on formica 19mm"</f>
        <v>30mm Height Adapter -Rack 001110 on formica 19mm</v>
      </c>
      <c r="D4111">
        <v>2</v>
      </c>
      <c r="E4111" t="str">
        <f t="shared" si="1048"/>
        <v>Quality Control: MOTOMAN MH5F (with ViewFlex Machine Vision System)</v>
      </c>
      <c r="F4111">
        <v>505</v>
      </c>
      <c r="G4111" t="str">
        <f t="shared" si="1044"/>
        <v>Y</v>
      </c>
      <c r="H4111" t="str">
        <f t="shared" si="1049"/>
        <v>EA</v>
      </c>
      <c r="I4111">
        <v>0</v>
      </c>
      <c r="J4111">
        <v>0</v>
      </c>
      <c r="K4111" t="str">
        <f t="shared" si="1045"/>
        <v>Y</v>
      </c>
      <c r="L4111">
        <v>0</v>
      </c>
      <c r="M4111" t="str">
        <f t="shared" si="1027"/>
        <v>NIS</v>
      </c>
      <c r="O4111">
        <v>5</v>
      </c>
      <c r="P4111" t="str">
        <f t="shared" si="1046"/>
        <v>Active</v>
      </c>
      <c r="Q4111" t="str">
        <f>"30mm Height Adapter -Rack 001110 on formica 19mm"</f>
        <v>30mm Height Adapter -Rack 001110 on formica 19mm</v>
      </c>
      <c r="S4111" t="str">
        <f>"30mm Height Adapter -Rack 001110 on formica 19mm"</f>
        <v>30mm Height Adapter -Rack 001110 on formica 19mm</v>
      </c>
      <c r="T4111">
        <v>0</v>
      </c>
      <c r="U4111">
        <v>4.92</v>
      </c>
      <c r="V4111">
        <v>8.43</v>
      </c>
      <c r="W4111" t="str">
        <f t="shared" si="1031"/>
        <v>rob</v>
      </c>
    </row>
    <row r="4112" spans="1:23">
      <c r="A4112" t="str">
        <f t="shared" si="1047"/>
        <v>QC-MH5F-01</v>
      </c>
      <c r="B4112" t="str">
        <f>"10-2523-6000"</f>
        <v>10-2523-6000</v>
      </c>
      <c r="C4112" t="str">
        <f>"Pneumatic Shifter (155mm stroke w. solenoid 24V)"</f>
        <v>Pneumatic Shifter (155mm stroke w. solenoid 24V)</v>
      </c>
      <c r="D4112">
        <v>1</v>
      </c>
      <c r="E4112" t="str">
        <f t="shared" si="1048"/>
        <v>Quality Control: MOTOMAN MH5F (with ViewFlex Machine Vision System)</v>
      </c>
      <c r="F4112">
        <v>505</v>
      </c>
      <c r="G4112" t="str">
        <f t="shared" si="1044"/>
        <v>Y</v>
      </c>
      <c r="H4112" t="str">
        <f t="shared" si="1049"/>
        <v>EA</v>
      </c>
      <c r="I4112">
        <v>0</v>
      </c>
      <c r="J4112">
        <v>0</v>
      </c>
      <c r="K4112" t="str">
        <f t="shared" si="1045"/>
        <v>Y</v>
      </c>
      <c r="L4112">
        <v>0</v>
      </c>
      <c r="M4112" t="str">
        <f t="shared" si="1027"/>
        <v>NIS</v>
      </c>
      <c r="O4112">
        <v>6</v>
      </c>
      <c r="P4112" t="str">
        <f t="shared" si="1046"/>
        <v>Active</v>
      </c>
      <c r="Q4112" t="str">
        <f>"Pneumatic Shifter (155mm stroke w. solenoid 24V)"</f>
        <v>Pneumatic Shifter (155mm stroke w. solenoid 24V)</v>
      </c>
      <c r="S4112" t="str">
        <f>"Pneumatic Shifter (155mm stroke w. solenoid 24V)"</f>
        <v>Pneumatic Shifter (155mm stroke w. solenoid 24V)</v>
      </c>
      <c r="T4112">
        <v>0</v>
      </c>
      <c r="U4112">
        <v>630</v>
      </c>
      <c r="V4112">
        <v>687.48</v>
      </c>
      <c r="W4112" t="str">
        <f t="shared" si="1031"/>
        <v>rob</v>
      </c>
    </row>
    <row r="4113" spans="1:23">
      <c r="A4113" t="str">
        <f t="shared" si="1047"/>
        <v>QC-MH5F-01</v>
      </c>
      <c r="B4113" t="str">
        <f>"00-1422-0000"</f>
        <v>00-1422-0000</v>
      </c>
      <c r="C4113" t="str">
        <f>"Viewflex for QC (Stand 400mm)"</f>
        <v>Viewflex for QC (Stand 400mm)</v>
      </c>
      <c r="D4113">
        <v>1</v>
      </c>
      <c r="E4113" t="str">
        <f t="shared" si="1048"/>
        <v>Quality Control: MOTOMAN MH5F (with ViewFlex Machine Vision System)</v>
      </c>
      <c r="F4113">
        <v>505</v>
      </c>
      <c r="G4113" t="str">
        <f t="shared" si="1044"/>
        <v>Y</v>
      </c>
      <c r="H4113" t="str">
        <f t="shared" si="1049"/>
        <v>EA</v>
      </c>
      <c r="I4113">
        <v>0</v>
      </c>
      <c r="J4113">
        <v>0</v>
      </c>
      <c r="K4113" t="str">
        <f t="shared" si="1045"/>
        <v>Y</v>
      </c>
      <c r="L4113">
        <v>0</v>
      </c>
      <c r="M4113" t="str">
        <f t="shared" si="1027"/>
        <v>NIS</v>
      </c>
      <c r="O4113">
        <v>7</v>
      </c>
      <c r="P4113" t="str">
        <f t="shared" si="1046"/>
        <v>Active</v>
      </c>
      <c r="Q4113" t="str">
        <f>"Viewflex for QC (Stand 400mm)"</f>
        <v>Viewflex for QC (Stand 400mm)</v>
      </c>
      <c r="S4113" t="str">
        <f>"Viewflex for QC (Stand 400mm)"</f>
        <v>Viewflex for QC (Stand 400mm)</v>
      </c>
      <c r="T4113">
        <v>0</v>
      </c>
      <c r="U4113">
        <v>560</v>
      </c>
      <c r="V4113">
        <v>511.35</v>
      </c>
      <c r="W4113" t="str">
        <f t="shared" si="1031"/>
        <v>rob</v>
      </c>
    </row>
    <row r="4114" spans="1:23">
      <c r="A4114" t="str">
        <f t="shared" si="1047"/>
        <v>QC-MH5F-01</v>
      </c>
      <c r="B4114" t="str">
        <f>"113096"</f>
        <v>113096</v>
      </c>
      <c r="C4114" t="str">
        <f>"Plexiglass Cylinders Base"</f>
        <v>Plexiglass Cylinders Base</v>
      </c>
      <c r="D4114">
        <v>3</v>
      </c>
      <c r="E4114" t="str">
        <f t="shared" si="1048"/>
        <v>Quality Control: MOTOMAN MH5F (with ViewFlex Machine Vision System)</v>
      </c>
      <c r="F4114">
        <v>505</v>
      </c>
      <c r="G4114" t="str">
        <f t="shared" si="1044"/>
        <v>Y</v>
      </c>
      <c r="H4114" t="str">
        <f t="shared" si="1049"/>
        <v>EA</v>
      </c>
      <c r="I4114">
        <v>0</v>
      </c>
      <c r="J4114">
        <v>0</v>
      </c>
      <c r="K4114" t="str">
        <f t="shared" si="1045"/>
        <v>Y</v>
      </c>
      <c r="L4114">
        <v>0</v>
      </c>
      <c r="M4114" t="str">
        <f t="shared" si="1027"/>
        <v>NIS</v>
      </c>
      <c r="O4114">
        <v>8</v>
      </c>
      <c r="P4114" t="str">
        <f t="shared" si="1046"/>
        <v>Active</v>
      </c>
      <c r="Q4114" t="str">
        <f>"Plexiglass Cylinders Base MicroCIM"</f>
        <v>Plexiglass Cylinders Base MicroCIM</v>
      </c>
      <c r="S4114" t="str">
        <f>"Plexiglass Cylinders Base"</f>
        <v>Plexiglass Cylinders Base</v>
      </c>
      <c r="T4114">
        <v>0</v>
      </c>
      <c r="U4114">
        <v>7</v>
      </c>
      <c r="V4114">
        <v>6.83</v>
      </c>
      <c r="W4114" t="str">
        <f t="shared" si="1031"/>
        <v>rob</v>
      </c>
    </row>
    <row r="4115" spans="1:23">
      <c r="A4115" t="str">
        <f t="shared" si="1047"/>
        <v>QC-MH5F-01</v>
      </c>
      <c r="B4115" t="str">
        <f>"112713"</f>
        <v>112713</v>
      </c>
      <c r="C4115" t="str">
        <f>"Marked Aluminum Cylinder"</f>
        <v>Marked Aluminum Cylinder</v>
      </c>
      <c r="D4115">
        <v>1</v>
      </c>
      <c r="E4115" t="str">
        <f t="shared" si="1048"/>
        <v>Quality Control: MOTOMAN MH5F (with ViewFlex Machine Vision System)</v>
      </c>
      <c r="F4115">
        <v>505</v>
      </c>
      <c r="G4115" t="str">
        <f t="shared" si="1044"/>
        <v>Y</v>
      </c>
      <c r="H4115" t="str">
        <f t="shared" si="1049"/>
        <v>EA</v>
      </c>
      <c r="I4115">
        <v>0</v>
      </c>
      <c r="J4115">
        <v>0</v>
      </c>
      <c r="K4115" t="str">
        <f t="shared" si="1045"/>
        <v>Y</v>
      </c>
      <c r="L4115">
        <v>0</v>
      </c>
      <c r="M4115" t="str">
        <f t="shared" si="1027"/>
        <v>NIS</v>
      </c>
      <c r="O4115">
        <v>9</v>
      </c>
      <c r="P4115" t="str">
        <f t="shared" si="1046"/>
        <v>Active</v>
      </c>
      <c r="Q4115" t="str">
        <f>"Mark Al. Cylinder Diam. 35x28 MicroCIM"</f>
        <v>Mark Al. Cylinder Diam. 35x28 MicroCIM</v>
      </c>
      <c r="S4115" t="str">
        <f>"Mark Al. Cylinder Diam. 35x28"</f>
        <v>Mark Al. Cylinder Diam. 35x28</v>
      </c>
      <c r="T4115">
        <v>0</v>
      </c>
      <c r="U4115">
        <v>6</v>
      </c>
      <c r="V4115">
        <v>5.97</v>
      </c>
      <c r="W4115" t="str">
        <f t="shared" si="1031"/>
        <v>rob</v>
      </c>
    </row>
    <row r="4116" spans="1:23">
      <c r="A4116" t="str">
        <f t="shared" si="1047"/>
        <v>QC-MH5F-01</v>
      </c>
      <c r="B4116" t="str">
        <f>"113316"</f>
        <v>113316</v>
      </c>
      <c r="C4116" t="str">
        <f>"Parts Bin"</f>
        <v>Parts Bin</v>
      </c>
      <c r="D4116">
        <v>1</v>
      </c>
      <c r="E4116" t="str">
        <f t="shared" si="1048"/>
        <v>Quality Control: MOTOMAN MH5F (with ViewFlex Machine Vision System)</v>
      </c>
      <c r="F4116">
        <v>505</v>
      </c>
      <c r="G4116" t="str">
        <f t="shared" si="1044"/>
        <v>Y</v>
      </c>
      <c r="H4116" t="str">
        <f t="shared" si="1049"/>
        <v>EA</v>
      </c>
      <c r="I4116">
        <v>0</v>
      </c>
      <c r="J4116">
        <v>0</v>
      </c>
      <c r="K4116" t="str">
        <f t="shared" si="1045"/>
        <v>Y</v>
      </c>
      <c r="L4116">
        <v>0</v>
      </c>
      <c r="M4116" t="str">
        <f t="shared" ref="M4116:M4179" si="1050">"NIS"</f>
        <v>NIS</v>
      </c>
      <c r="O4116">
        <v>10</v>
      </c>
      <c r="P4116" t="str">
        <f t="shared" si="1046"/>
        <v>Active</v>
      </c>
      <c r="Q4116" t="str">
        <f>"Parts Bin; Plastic Box"</f>
        <v>Parts Bin; Plastic Box</v>
      </c>
      <c r="R4116" t="str">
        <f>"1"</f>
        <v>1</v>
      </c>
      <c r="S4116" t="str">
        <f>"Parts Bin; Plastic Box"</f>
        <v>Parts Bin; Plastic Box</v>
      </c>
      <c r="T4116">
        <v>0</v>
      </c>
      <c r="U4116">
        <v>8.0399999999999991</v>
      </c>
      <c r="V4116">
        <v>6.39</v>
      </c>
      <c r="W4116" t="str">
        <f t="shared" si="1031"/>
        <v>rob</v>
      </c>
    </row>
    <row r="4117" spans="1:23">
      <c r="A4117" t="str">
        <f t="shared" si="1047"/>
        <v>QC-MH5F-01</v>
      </c>
      <c r="B4117" t="str">
        <f>"00-1284-0000"</f>
        <v>00-1284-0000</v>
      </c>
      <c r="C4117" t="str">
        <f>"Robot Pedestal Welded for ER9/14Pro&amp;MH5"</f>
        <v>Robot Pedestal Welded for ER9/14Pro&amp;MH5</v>
      </c>
      <c r="D4117">
        <v>1</v>
      </c>
      <c r="E4117" t="str">
        <f t="shared" si="1048"/>
        <v>Quality Control: MOTOMAN MH5F (with ViewFlex Machine Vision System)</v>
      </c>
      <c r="F4117">
        <v>505</v>
      </c>
      <c r="G4117" t="str">
        <f t="shared" si="1044"/>
        <v>Y</v>
      </c>
      <c r="H4117" t="str">
        <f t="shared" si="1049"/>
        <v>EA</v>
      </c>
      <c r="I4117">
        <v>0</v>
      </c>
      <c r="J4117">
        <v>0</v>
      </c>
      <c r="K4117" t="str">
        <f t="shared" si="1045"/>
        <v>Y</v>
      </c>
      <c r="L4117">
        <v>0</v>
      </c>
      <c r="M4117" t="str">
        <f t="shared" si="1050"/>
        <v>NIS</v>
      </c>
      <c r="O4117">
        <v>11</v>
      </c>
      <c r="P4117" t="str">
        <f t="shared" si="1046"/>
        <v>Active</v>
      </c>
      <c r="Q4117" t="str">
        <f>"Heavy Duty Stand for ER9/14Pro&amp;HP3"</f>
        <v>Heavy Duty Stand for ER9/14Pro&amp;HP3</v>
      </c>
      <c r="S4117" t="str">
        <f>"Robot Pedestal Welded for ER9/14Pro&amp;MH5"</f>
        <v>Robot Pedestal Welded for ER9/14Pro&amp;MH5</v>
      </c>
      <c r="T4117">
        <v>0</v>
      </c>
      <c r="U4117">
        <v>723.91</v>
      </c>
      <c r="V4117">
        <v>671.12</v>
      </c>
      <c r="W4117" t="str">
        <f t="shared" si="1031"/>
        <v>rob</v>
      </c>
    </row>
    <row r="4118" spans="1:23">
      <c r="A4118" t="str">
        <f t="shared" si="1047"/>
        <v>QC-MH5F-01</v>
      </c>
      <c r="B4118" t="str">
        <f>"00-1293-0000"</f>
        <v>00-1293-0000</v>
      </c>
      <c r="C4118" t="str">
        <f>"Mobile Workbench 1500x1140mm (incl. Wheels)"</f>
        <v>Mobile Workbench 1500x1140mm (incl. Wheels)</v>
      </c>
      <c r="D4118">
        <v>1</v>
      </c>
      <c r="E4118" t="str">
        <f t="shared" si="1048"/>
        <v>Quality Control: MOTOMAN MH5F (with ViewFlex Machine Vision System)</v>
      </c>
      <c r="F4118">
        <v>505</v>
      </c>
      <c r="G4118" t="str">
        <f t="shared" si="1044"/>
        <v>Y</v>
      </c>
      <c r="H4118" t="str">
        <f t="shared" si="1049"/>
        <v>EA</v>
      </c>
      <c r="I4118">
        <v>0</v>
      </c>
      <c r="J4118">
        <v>0</v>
      </c>
      <c r="K4118" t="str">
        <f t="shared" si="1045"/>
        <v>Y</v>
      </c>
      <c r="L4118">
        <v>0</v>
      </c>
      <c r="M4118" t="str">
        <f t="shared" si="1050"/>
        <v>NIS</v>
      </c>
      <c r="O4118">
        <v>12</v>
      </c>
      <c r="P4118" t="str">
        <f t="shared" si="1046"/>
        <v>Active</v>
      </c>
      <c r="Q4118" t="str">
        <f>"Mobile Workbench 1500x1140mm (incl. Wheels)"</f>
        <v>Mobile Workbench 1500x1140mm (incl. Wheels)</v>
      </c>
      <c r="S4118" t="str">
        <f>"Mobile Workbench 1500x1140mm (incl. Wheels)"</f>
        <v>Mobile Workbench 1500x1140mm (incl. Wheels)</v>
      </c>
      <c r="T4118">
        <v>0</v>
      </c>
      <c r="U4118">
        <v>860</v>
      </c>
      <c r="V4118">
        <v>809.36</v>
      </c>
      <c r="W4118" t="str">
        <f t="shared" si="1031"/>
        <v>rob</v>
      </c>
    </row>
    <row r="4119" spans="1:23">
      <c r="A4119" t="str">
        <f t="shared" si="1047"/>
        <v>QC-MH5F-01</v>
      </c>
      <c r="B4119" t="str">
        <f>"00-1290-0000"</f>
        <v>00-1290-0000</v>
      </c>
      <c r="C4119" t="str">
        <f>"PC Table 630x800mm (with Keyboard Drawer)"</f>
        <v>PC Table 630x800mm (with Keyboard Drawer)</v>
      </c>
      <c r="D4119">
        <v>1</v>
      </c>
      <c r="E4119" t="str">
        <f t="shared" si="1048"/>
        <v>Quality Control: MOTOMAN MH5F (with ViewFlex Machine Vision System)</v>
      </c>
      <c r="F4119">
        <v>505</v>
      </c>
      <c r="G4119" t="str">
        <f t="shared" si="1044"/>
        <v>Y</v>
      </c>
      <c r="H4119" t="str">
        <f t="shared" si="1049"/>
        <v>EA</v>
      </c>
      <c r="I4119">
        <v>0</v>
      </c>
      <c r="J4119">
        <v>0</v>
      </c>
      <c r="K4119" t="str">
        <f t="shared" si="1045"/>
        <v>Y</v>
      </c>
      <c r="L4119">
        <v>0</v>
      </c>
      <c r="M4119" t="str">
        <f t="shared" si="1050"/>
        <v>NIS</v>
      </c>
      <c r="O4119">
        <v>13</v>
      </c>
      <c r="P4119" t="str">
        <f t="shared" si="1046"/>
        <v>Active</v>
      </c>
      <c r="Q4119" t="str">
        <f>"PC Table 630x800mm (with Keyboard Drawer)"</f>
        <v>PC Table 630x800mm (with Keyboard Drawer)</v>
      </c>
      <c r="S4119" t="str">
        <f>"PC Table 630x800mm (with Keyboard Drawer)"</f>
        <v>PC Table 630x800mm (with Keyboard Drawer)</v>
      </c>
      <c r="T4119">
        <v>0</v>
      </c>
      <c r="U4119">
        <v>405.86</v>
      </c>
      <c r="V4119">
        <v>329.34</v>
      </c>
      <c r="W4119" t="str">
        <f t="shared" si="1031"/>
        <v>rob</v>
      </c>
    </row>
    <row r="4120" spans="1:23">
      <c r="A4120" t="str">
        <f t="shared" si="1047"/>
        <v>QC-MH5F-01</v>
      </c>
      <c r="B4120" t="str">
        <f>"50-0094-0000"</f>
        <v>50-0094-0000</v>
      </c>
      <c r="C4120" t="str">
        <f>"Pre-Engineering, Design and Testing"</f>
        <v>Pre-Engineering, Design and Testing</v>
      </c>
      <c r="D4120">
        <v>1</v>
      </c>
      <c r="E4120" t="str">
        <f t="shared" si="1048"/>
        <v>Quality Control: MOTOMAN MH5F (with ViewFlex Machine Vision System)</v>
      </c>
      <c r="F4120">
        <v>505</v>
      </c>
      <c r="G4120" t="str">
        <f t="shared" si="1044"/>
        <v>Y</v>
      </c>
      <c r="H4120" t="str">
        <f>"DA"</f>
        <v>DA</v>
      </c>
      <c r="I4120">
        <v>0</v>
      </c>
      <c r="J4120">
        <v>0</v>
      </c>
      <c r="K4120" t="str">
        <f t="shared" si="1045"/>
        <v>Y</v>
      </c>
      <c r="L4120">
        <v>0</v>
      </c>
      <c r="M4120" t="str">
        <f t="shared" si="1050"/>
        <v>NIS</v>
      </c>
      <c r="O4120">
        <v>14</v>
      </c>
      <c r="P4120" t="str">
        <f t="shared" si="1046"/>
        <v>Active</v>
      </c>
      <c r="Q4120" t="str">
        <f>"Pre-Engineering, Design and Testing"</f>
        <v>Pre-Engineering, Design and Testing</v>
      </c>
      <c r="S4120" t="str">
        <f>"Pre-Engineering, Design and Testing"</f>
        <v>Pre-Engineering, Design and Testing</v>
      </c>
      <c r="T4120">
        <v>0</v>
      </c>
      <c r="U4120">
        <v>405</v>
      </c>
      <c r="V4120">
        <v>421.2</v>
      </c>
      <c r="W4120" t="str">
        <f t="shared" si="1031"/>
        <v>rob</v>
      </c>
    </row>
    <row r="4121" spans="1:23">
      <c r="A4121" t="str">
        <f t="shared" ref="A4121:A4136" si="1051">"QC-MH5F-02"</f>
        <v>QC-MH5F-02</v>
      </c>
      <c r="B4121" t="str">
        <f>"00-0436-0000"</f>
        <v>00-0436-0000</v>
      </c>
      <c r="C4121" t="str">
        <f>"MH5F compact high-speed 6-axis Robot"</f>
        <v>MH5F compact high-speed 6-axis Robot</v>
      </c>
      <c r="D4121">
        <v>1</v>
      </c>
      <c r="E4121" t="str">
        <f t="shared" ref="E4121:E4136" si="1052">"Quality Control: MOTOMAN MH5F (with ViewFlex Machine Vision System &amp; Caliper)"</f>
        <v>Quality Control: MOTOMAN MH5F (with ViewFlex Machine Vision System &amp; Caliper)</v>
      </c>
      <c r="F4121">
        <v>505</v>
      </c>
      <c r="G4121" t="str">
        <f t="shared" si="1044"/>
        <v>Y</v>
      </c>
      <c r="H4121" t="str">
        <f t="shared" ref="H4121:H4135" si="1053">"EA"</f>
        <v>EA</v>
      </c>
      <c r="I4121">
        <v>0</v>
      </c>
      <c r="J4121">
        <v>0</v>
      </c>
      <c r="K4121" t="str">
        <f t="shared" si="1045"/>
        <v>Y</v>
      </c>
      <c r="L4121">
        <v>0</v>
      </c>
      <c r="M4121" t="str">
        <f t="shared" si="1050"/>
        <v>NIS</v>
      </c>
      <c r="O4121">
        <v>1</v>
      </c>
      <c r="P4121" t="str">
        <f t="shared" si="1046"/>
        <v>Active</v>
      </c>
      <c r="Q4121" t="str">
        <f>"MH5F compact high-speed 6-axis Robot"</f>
        <v>MH5F compact high-speed 6-axis Robot</v>
      </c>
      <c r="S4121" t="str">
        <f>"MH5F compact high-speed 6-axis Robot"</f>
        <v>MH5F compact high-speed 6-axis Robot</v>
      </c>
      <c r="T4121">
        <v>0</v>
      </c>
      <c r="U4121" s="44">
        <v>23500</v>
      </c>
      <c r="V4121" s="44">
        <v>16049.14</v>
      </c>
      <c r="W4121" t="str">
        <f t="shared" si="1031"/>
        <v>rob</v>
      </c>
    </row>
    <row r="4122" spans="1:23">
      <c r="A4122" t="str">
        <f t="shared" si="1051"/>
        <v>QC-MH5F-02</v>
      </c>
      <c r="B4122" t="str">
        <f>"00-0646-0000"</f>
        <v>00-0646-0000</v>
      </c>
      <c r="C4122" t="str">
        <f>"Pneumatic Gripper with I/O Box for Motoman MH5F"</f>
        <v>Pneumatic Gripper with I/O Box for Motoman MH5F</v>
      </c>
      <c r="D4122">
        <v>1</v>
      </c>
      <c r="E4122" t="str">
        <f t="shared" si="1052"/>
        <v>Quality Control: MOTOMAN MH5F (with ViewFlex Machine Vision System &amp; Caliper)</v>
      </c>
      <c r="F4122">
        <v>505</v>
      </c>
      <c r="G4122" t="str">
        <f t="shared" si="1044"/>
        <v>Y</v>
      </c>
      <c r="H4122" t="str">
        <f t="shared" si="1053"/>
        <v>EA</v>
      </c>
      <c r="I4122">
        <v>0</v>
      </c>
      <c r="J4122">
        <v>0</v>
      </c>
      <c r="K4122" t="str">
        <f t="shared" si="1045"/>
        <v>Y</v>
      </c>
      <c r="L4122">
        <v>0</v>
      </c>
      <c r="M4122" t="str">
        <f t="shared" si="1050"/>
        <v>NIS</v>
      </c>
      <c r="O4122">
        <v>2</v>
      </c>
      <c r="P4122" t="str">
        <f t="shared" si="1046"/>
        <v>Active</v>
      </c>
      <c r="Q4122" t="str">
        <f>"Pneumatic Gripper with I/O Box for Motoman MH5F"</f>
        <v>Pneumatic Gripper with I/O Box for Motoman MH5F</v>
      </c>
      <c r="S4122" t="str">
        <f>"Pneumatic Gripper with I/O Box for Motoman MH5F"</f>
        <v>Pneumatic Gripper with I/O Box for Motoman MH5F</v>
      </c>
      <c r="T4122">
        <v>0</v>
      </c>
      <c r="U4122" s="44">
        <v>1500</v>
      </c>
      <c r="V4122" s="44">
        <v>1238.52</v>
      </c>
      <c r="W4122" t="str">
        <f t="shared" si="1031"/>
        <v>rob</v>
      </c>
    </row>
    <row r="4123" spans="1:23">
      <c r="A4123" t="str">
        <f t="shared" si="1051"/>
        <v>QC-MH5F-02</v>
      </c>
      <c r="B4123" t="str">
        <f>"021031"</f>
        <v>021031</v>
      </c>
      <c r="C4123" t="str">
        <f>"Buffer for Template"</f>
        <v>Buffer for Template</v>
      </c>
      <c r="D4123">
        <v>1</v>
      </c>
      <c r="E4123" t="str">
        <f t="shared" si="1052"/>
        <v>Quality Control: MOTOMAN MH5F (with ViewFlex Machine Vision System &amp; Caliper)</v>
      </c>
      <c r="F4123">
        <v>505</v>
      </c>
      <c r="G4123" t="str">
        <f t="shared" si="1044"/>
        <v>Y</v>
      </c>
      <c r="H4123" t="str">
        <f t="shared" si="1053"/>
        <v>EA</v>
      </c>
      <c r="I4123">
        <v>0</v>
      </c>
      <c r="J4123">
        <v>0</v>
      </c>
      <c r="K4123" t="str">
        <f t="shared" si="1045"/>
        <v>Y</v>
      </c>
      <c r="L4123">
        <v>0</v>
      </c>
      <c r="M4123" t="str">
        <f t="shared" si="1050"/>
        <v>NIS</v>
      </c>
      <c r="O4123">
        <v>3</v>
      </c>
      <c r="P4123" t="str">
        <f t="shared" si="1046"/>
        <v>Active</v>
      </c>
      <c r="Q4123" t="str">
        <f>"מכלול- בסיס לטמפלט CIM"</f>
        <v>מכלול- בסיס לטמפלט CIM</v>
      </c>
      <c r="R4123" t="str">
        <f>"1"</f>
        <v>1</v>
      </c>
      <c r="S4123" t="str">
        <f>"מכלול- בסיס לטמפלט CIM"</f>
        <v>מכלול- בסיס לטמפלט CIM</v>
      </c>
      <c r="T4123">
        <v>0</v>
      </c>
      <c r="U4123">
        <v>18.329999999999998</v>
      </c>
      <c r="V4123">
        <v>13.48</v>
      </c>
      <c r="W4123" t="str">
        <f t="shared" si="1031"/>
        <v>rob</v>
      </c>
    </row>
    <row r="4124" spans="1:23">
      <c r="A4124" t="str">
        <f t="shared" si="1051"/>
        <v>QC-MH5F-02</v>
      </c>
      <c r="B4124" t="str">
        <f>"00-1110-0000"</f>
        <v>00-1110-0000</v>
      </c>
      <c r="C4124" t="str">
        <f>"Palletizing Rack"</f>
        <v>Palletizing Rack</v>
      </c>
      <c r="D4124">
        <v>1</v>
      </c>
      <c r="E4124" t="str">
        <f t="shared" si="1052"/>
        <v>Quality Control: MOTOMAN MH5F (with ViewFlex Machine Vision System &amp; Caliper)</v>
      </c>
      <c r="F4124">
        <v>505</v>
      </c>
      <c r="G4124" t="str">
        <f t="shared" si="1044"/>
        <v>Y</v>
      </c>
      <c r="H4124" t="str">
        <f t="shared" si="1053"/>
        <v>EA</v>
      </c>
      <c r="I4124">
        <v>0</v>
      </c>
      <c r="J4124">
        <v>0</v>
      </c>
      <c r="K4124" t="str">
        <f t="shared" si="1045"/>
        <v>Y</v>
      </c>
      <c r="L4124">
        <v>0</v>
      </c>
      <c r="M4124" t="str">
        <f t="shared" si="1050"/>
        <v>NIS</v>
      </c>
      <c r="O4124">
        <v>4</v>
      </c>
      <c r="P4124" t="str">
        <f t="shared" si="1046"/>
        <v>Active</v>
      </c>
      <c r="Q4124" t="str">
        <f>"Palletizing Rack (incl. Pins for creating Jigs)"</f>
        <v>Palletizing Rack (incl. Pins for creating Jigs)</v>
      </c>
      <c r="S4124" t="str">
        <f>"Palletizing Rack (incl. Pins for creating Jigs)"</f>
        <v>Palletizing Rack (incl. Pins for creating Jigs)</v>
      </c>
      <c r="T4124">
        <v>0</v>
      </c>
      <c r="U4124">
        <v>63</v>
      </c>
      <c r="V4124">
        <v>58.59</v>
      </c>
      <c r="W4124" t="str">
        <f t="shared" si="1031"/>
        <v>rob</v>
      </c>
    </row>
    <row r="4125" spans="1:23">
      <c r="A4125" t="str">
        <f t="shared" si="1051"/>
        <v>QC-MH5F-02</v>
      </c>
      <c r="B4125" t="str">
        <f>"021177"</f>
        <v>021177</v>
      </c>
      <c r="C4125" t="str">
        <f>"30mm Height Adapter -Rack 001110 on formica 19mm"</f>
        <v>30mm Height Adapter -Rack 001110 on formica 19mm</v>
      </c>
      <c r="D4125">
        <v>1</v>
      </c>
      <c r="E4125" t="str">
        <f t="shared" si="1052"/>
        <v>Quality Control: MOTOMAN MH5F (with ViewFlex Machine Vision System &amp; Caliper)</v>
      </c>
      <c r="F4125">
        <v>505</v>
      </c>
      <c r="G4125" t="str">
        <f t="shared" si="1044"/>
        <v>Y</v>
      </c>
      <c r="H4125" t="str">
        <f t="shared" si="1053"/>
        <v>EA</v>
      </c>
      <c r="I4125">
        <v>0</v>
      </c>
      <c r="J4125">
        <v>0</v>
      </c>
      <c r="K4125" t="str">
        <f t="shared" si="1045"/>
        <v>Y</v>
      </c>
      <c r="L4125">
        <v>0</v>
      </c>
      <c r="M4125" t="str">
        <f t="shared" si="1050"/>
        <v>NIS</v>
      </c>
      <c r="O4125">
        <v>5</v>
      </c>
      <c r="P4125" t="str">
        <f t="shared" si="1046"/>
        <v>Active</v>
      </c>
      <c r="Q4125" t="str">
        <f>"30mm Height Adapter -Rack 001110 on formica 19mm"</f>
        <v>30mm Height Adapter -Rack 001110 on formica 19mm</v>
      </c>
      <c r="S4125" t="str">
        <f>"30mm Height Adapter -Rack 001110 on formica 19mm"</f>
        <v>30mm Height Adapter -Rack 001110 on formica 19mm</v>
      </c>
      <c r="T4125">
        <v>0</v>
      </c>
      <c r="U4125">
        <v>4.92</v>
      </c>
      <c r="V4125">
        <v>8.43</v>
      </c>
      <c r="W4125" t="str">
        <f t="shared" si="1031"/>
        <v>rob</v>
      </c>
    </row>
    <row r="4126" spans="1:23">
      <c r="A4126" t="str">
        <f t="shared" si="1051"/>
        <v>QC-MH5F-02</v>
      </c>
      <c r="B4126" t="str">
        <f>"10-2523-6000"</f>
        <v>10-2523-6000</v>
      </c>
      <c r="C4126" t="str">
        <f>"Pneumatic Shifter (155mm stroke w. solenoid 24V)"</f>
        <v>Pneumatic Shifter (155mm stroke w. solenoid 24V)</v>
      </c>
      <c r="D4126">
        <v>1</v>
      </c>
      <c r="E4126" t="str">
        <f t="shared" si="1052"/>
        <v>Quality Control: MOTOMAN MH5F (with ViewFlex Machine Vision System &amp; Caliper)</v>
      </c>
      <c r="F4126">
        <v>505</v>
      </c>
      <c r="G4126" t="str">
        <f t="shared" si="1044"/>
        <v>Y</v>
      </c>
      <c r="H4126" t="str">
        <f t="shared" si="1053"/>
        <v>EA</v>
      </c>
      <c r="I4126">
        <v>0</v>
      </c>
      <c r="J4126">
        <v>0</v>
      </c>
      <c r="K4126" t="str">
        <f t="shared" si="1045"/>
        <v>Y</v>
      </c>
      <c r="L4126">
        <v>0</v>
      </c>
      <c r="M4126" t="str">
        <f t="shared" si="1050"/>
        <v>NIS</v>
      </c>
      <c r="O4126">
        <v>6</v>
      </c>
      <c r="P4126" t="str">
        <f t="shared" si="1046"/>
        <v>Active</v>
      </c>
      <c r="Q4126" t="str">
        <f>"Pneumatic Shifter (155mm stroke w. solenoid 24V)"</f>
        <v>Pneumatic Shifter (155mm stroke w. solenoid 24V)</v>
      </c>
      <c r="S4126" t="str">
        <f>"Pneumatic Shifter (155mm stroke w. solenoid 24V)"</f>
        <v>Pneumatic Shifter (155mm stroke w. solenoid 24V)</v>
      </c>
      <c r="T4126">
        <v>0</v>
      </c>
      <c r="U4126">
        <v>630</v>
      </c>
      <c r="V4126">
        <v>687.48</v>
      </c>
      <c r="W4126" t="str">
        <f t="shared" si="1031"/>
        <v>rob</v>
      </c>
    </row>
    <row r="4127" spans="1:23">
      <c r="A4127" t="str">
        <f t="shared" si="1051"/>
        <v>QC-MH5F-02</v>
      </c>
      <c r="B4127" t="str">
        <f>"00-1422-0000"</f>
        <v>00-1422-0000</v>
      </c>
      <c r="C4127" t="str">
        <f>"Viewflex for QC (Stand 400mm)"</f>
        <v>Viewflex for QC (Stand 400mm)</v>
      </c>
      <c r="D4127">
        <v>1</v>
      </c>
      <c r="E4127" t="str">
        <f t="shared" si="1052"/>
        <v>Quality Control: MOTOMAN MH5F (with ViewFlex Machine Vision System &amp; Caliper)</v>
      </c>
      <c r="F4127">
        <v>505</v>
      </c>
      <c r="G4127" t="str">
        <f t="shared" si="1044"/>
        <v>Y</v>
      </c>
      <c r="H4127" t="str">
        <f t="shared" si="1053"/>
        <v>EA</v>
      </c>
      <c r="I4127">
        <v>0</v>
      </c>
      <c r="J4127">
        <v>0</v>
      </c>
      <c r="K4127" t="str">
        <f t="shared" si="1045"/>
        <v>Y</v>
      </c>
      <c r="L4127">
        <v>0</v>
      </c>
      <c r="M4127" t="str">
        <f t="shared" si="1050"/>
        <v>NIS</v>
      </c>
      <c r="O4127">
        <v>7</v>
      </c>
      <c r="P4127" t="str">
        <f t="shared" si="1046"/>
        <v>Active</v>
      </c>
      <c r="Q4127" t="str">
        <f>"Viewflex for QC (Stand 400mm)"</f>
        <v>Viewflex for QC (Stand 400mm)</v>
      </c>
      <c r="S4127" t="str">
        <f>"Viewflex for QC (Stand 400mm)"</f>
        <v>Viewflex for QC (Stand 400mm)</v>
      </c>
      <c r="T4127">
        <v>0</v>
      </c>
      <c r="U4127">
        <v>560</v>
      </c>
      <c r="V4127">
        <v>511.35</v>
      </c>
      <c r="W4127" t="str">
        <f t="shared" si="1031"/>
        <v>rob</v>
      </c>
    </row>
    <row r="4128" spans="1:23">
      <c r="A4128" t="str">
        <f t="shared" si="1051"/>
        <v>QC-MH5F-02</v>
      </c>
      <c r="B4128" t="str">
        <f>"113096"</f>
        <v>113096</v>
      </c>
      <c r="C4128" t="str">
        <f>"Plexiglass Cylinders Base"</f>
        <v>Plexiglass Cylinders Base</v>
      </c>
      <c r="D4128">
        <v>1</v>
      </c>
      <c r="E4128" t="str">
        <f t="shared" si="1052"/>
        <v>Quality Control: MOTOMAN MH5F (with ViewFlex Machine Vision System &amp; Caliper)</v>
      </c>
      <c r="F4128">
        <v>505</v>
      </c>
      <c r="G4128" t="str">
        <f t="shared" si="1044"/>
        <v>Y</v>
      </c>
      <c r="H4128" t="str">
        <f t="shared" si="1053"/>
        <v>EA</v>
      </c>
      <c r="I4128">
        <v>0</v>
      </c>
      <c r="J4128">
        <v>0</v>
      </c>
      <c r="K4128" t="str">
        <f t="shared" si="1045"/>
        <v>Y</v>
      </c>
      <c r="L4128">
        <v>0</v>
      </c>
      <c r="M4128" t="str">
        <f t="shared" si="1050"/>
        <v>NIS</v>
      </c>
      <c r="O4128">
        <v>8</v>
      </c>
      <c r="P4128" t="str">
        <f t="shared" si="1046"/>
        <v>Active</v>
      </c>
      <c r="Q4128" t="str">
        <f>"Plexiglass Cylinders Base MicroCIM"</f>
        <v>Plexiglass Cylinders Base MicroCIM</v>
      </c>
      <c r="S4128" t="str">
        <f>"Plexiglass Cylinders Base"</f>
        <v>Plexiglass Cylinders Base</v>
      </c>
      <c r="T4128">
        <v>0</v>
      </c>
      <c r="U4128">
        <v>7</v>
      </c>
      <c r="V4128">
        <v>6.83</v>
      </c>
      <c r="W4128" t="str">
        <f t="shared" si="1031"/>
        <v>rob</v>
      </c>
    </row>
    <row r="4129" spans="1:23">
      <c r="A4129" t="str">
        <f t="shared" si="1051"/>
        <v>QC-MH5F-02</v>
      </c>
      <c r="B4129" t="str">
        <f>"112713"</f>
        <v>112713</v>
      </c>
      <c r="C4129" t="str">
        <f>"Marked Aluminum Cylinder"</f>
        <v>Marked Aluminum Cylinder</v>
      </c>
      <c r="D4129">
        <v>1</v>
      </c>
      <c r="E4129" t="str">
        <f t="shared" si="1052"/>
        <v>Quality Control: MOTOMAN MH5F (with ViewFlex Machine Vision System &amp; Caliper)</v>
      </c>
      <c r="F4129">
        <v>505</v>
      </c>
      <c r="G4129" t="str">
        <f t="shared" si="1044"/>
        <v>Y</v>
      </c>
      <c r="H4129" t="str">
        <f t="shared" si="1053"/>
        <v>EA</v>
      </c>
      <c r="I4129">
        <v>0</v>
      </c>
      <c r="J4129">
        <v>0</v>
      </c>
      <c r="K4129" t="str">
        <f t="shared" si="1045"/>
        <v>Y</v>
      </c>
      <c r="L4129">
        <v>0</v>
      </c>
      <c r="M4129" t="str">
        <f t="shared" si="1050"/>
        <v>NIS</v>
      </c>
      <c r="O4129">
        <v>9</v>
      </c>
      <c r="P4129" t="str">
        <f t="shared" si="1046"/>
        <v>Active</v>
      </c>
      <c r="Q4129" t="str">
        <f>"Mark Al. Cylinder Diam. 35x28 MicroCIM"</f>
        <v>Mark Al. Cylinder Diam. 35x28 MicroCIM</v>
      </c>
      <c r="S4129" t="str">
        <f>"Mark Al. Cylinder Diam. 35x28"</f>
        <v>Mark Al. Cylinder Diam. 35x28</v>
      </c>
      <c r="T4129">
        <v>0</v>
      </c>
      <c r="U4129">
        <v>6</v>
      </c>
      <c r="V4129">
        <v>5.97</v>
      </c>
      <c r="W4129" t="str">
        <f t="shared" si="1031"/>
        <v>rob</v>
      </c>
    </row>
    <row r="4130" spans="1:23">
      <c r="A4130" t="str">
        <f t="shared" si="1051"/>
        <v>QC-MH5F-02</v>
      </c>
      <c r="B4130" t="str">
        <f>"113316"</f>
        <v>113316</v>
      </c>
      <c r="C4130" t="str">
        <f>"Parts Bin"</f>
        <v>Parts Bin</v>
      </c>
      <c r="D4130">
        <v>1</v>
      </c>
      <c r="E4130" t="str">
        <f t="shared" si="1052"/>
        <v>Quality Control: MOTOMAN MH5F (with ViewFlex Machine Vision System &amp; Caliper)</v>
      </c>
      <c r="F4130">
        <v>505</v>
      </c>
      <c r="G4130" t="str">
        <f t="shared" si="1044"/>
        <v>Y</v>
      </c>
      <c r="H4130" t="str">
        <f t="shared" si="1053"/>
        <v>EA</v>
      </c>
      <c r="I4130">
        <v>0</v>
      </c>
      <c r="J4130">
        <v>0</v>
      </c>
      <c r="K4130" t="str">
        <f t="shared" si="1045"/>
        <v>Y</v>
      </c>
      <c r="L4130">
        <v>0</v>
      </c>
      <c r="M4130" t="str">
        <f t="shared" si="1050"/>
        <v>NIS</v>
      </c>
      <c r="O4130">
        <v>10</v>
      </c>
      <c r="P4130" t="str">
        <f t="shared" si="1046"/>
        <v>Active</v>
      </c>
      <c r="Q4130" t="str">
        <f>"Parts Bin; Plastic Box"</f>
        <v>Parts Bin; Plastic Box</v>
      </c>
      <c r="R4130" t="str">
        <f>"1"</f>
        <v>1</v>
      </c>
      <c r="S4130" t="str">
        <f>"Parts Bin; Plastic Box"</f>
        <v>Parts Bin; Plastic Box</v>
      </c>
      <c r="T4130">
        <v>0</v>
      </c>
      <c r="U4130">
        <v>8.0399999999999991</v>
      </c>
      <c r="V4130">
        <v>6.39</v>
      </c>
      <c r="W4130" t="str">
        <f t="shared" si="1031"/>
        <v>rob</v>
      </c>
    </row>
    <row r="4131" spans="1:23">
      <c r="A4131" t="str">
        <f t="shared" si="1051"/>
        <v>QC-MH5F-02</v>
      </c>
      <c r="B4131" t="str">
        <f>"00-1254-0000"</f>
        <v>00-1254-0000</v>
      </c>
      <c r="C4131" t="str">
        <f>"Automated Stationary Caliper Unit"</f>
        <v>Automated Stationary Caliper Unit</v>
      </c>
      <c r="D4131">
        <v>1</v>
      </c>
      <c r="E4131" t="str">
        <f t="shared" si="1052"/>
        <v>Quality Control: MOTOMAN MH5F (with ViewFlex Machine Vision System &amp; Caliper)</v>
      </c>
      <c r="F4131">
        <v>505</v>
      </c>
      <c r="G4131" t="str">
        <f t="shared" si="1044"/>
        <v>Y</v>
      </c>
      <c r="H4131" t="str">
        <f t="shared" si="1053"/>
        <v>EA</v>
      </c>
      <c r="I4131">
        <v>0</v>
      </c>
      <c r="J4131">
        <v>0</v>
      </c>
      <c r="K4131" t="str">
        <f t="shared" si="1045"/>
        <v>Y</v>
      </c>
      <c r="L4131">
        <v>0</v>
      </c>
      <c r="M4131" t="str">
        <f t="shared" si="1050"/>
        <v>NIS</v>
      </c>
      <c r="O4131">
        <v>11</v>
      </c>
      <c r="P4131" t="str">
        <f t="shared" si="1046"/>
        <v>Active</v>
      </c>
      <c r="Q4131" t="str">
        <f>"Automat Stationary Caliper  Unit"</f>
        <v>Automat Stationary Caliper  Unit</v>
      </c>
      <c r="S4131" t="str">
        <f>"Automat Stationary Caliper  Unit"</f>
        <v>Automat Stationary Caliper  Unit</v>
      </c>
      <c r="T4131">
        <v>0</v>
      </c>
      <c r="U4131" s="44">
        <v>1165.92</v>
      </c>
      <c r="V4131" s="44">
        <v>1246.44</v>
      </c>
      <c r="W4131" t="str">
        <f t="shared" si="1031"/>
        <v>rob</v>
      </c>
    </row>
    <row r="4132" spans="1:23">
      <c r="A4132" t="str">
        <f t="shared" si="1051"/>
        <v>QC-MH5F-02</v>
      </c>
      <c r="B4132" t="str">
        <f>"113316"</f>
        <v>113316</v>
      </c>
      <c r="C4132" t="str">
        <f>"Parts Bin"</f>
        <v>Parts Bin</v>
      </c>
      <c r="D4132">
        <v>1</v>
      </c>
      <c r="E4132" t="str">
        <f t="shared" si="1052"/>
        <v>Quality Control: MOTOMAN MH5F (with ViewFlex Machine Vision System &amp; Caliper)</v>
      </c>
      <c r="F4132">
        <v>505</v>
      </c>
      <c r="G4132" t="str">
        <f t="shared" si="1044"/>
        <v>Y</v>
      </c>
      <c r="H4132" t="str">
        <f t="shared" si="1053"/>
        <v>EA</v>
      </c>
      <c r="I4132">
        <v>0</v>
      </c>
      <c r="J4132">
        <v>0</v>
      </c>
      <c r="K4132" t="str">
        <f t="shared" si="1045"/>
        <v>Y</v>
      </c>
      <c r="L4132">
        <v>0</v>
      </c>
      <c r="M4132" t="str">
        <f t="shared" si="1050"/>
        <v>NIS</v>
      </c>
      <c r="O4132">
        <v>12</v>
      </c>
      <c r="P4132" t="str">
        <f t="shared" si="1046"/>
        <v>Active</v>
      </c>
      <c r="Q4132" t="str">
        <f>"Parts Bin; Plastic Box"</f>
        <v>Parts Bin; Plastic Box</v>
      </c>
      <c r="R4132" t="str">
        <f>"1"</f>
        <v>1</v>
      </c>
      <c r="S4132" t="str">
        <f>"Parts Bin; Plastic Box"</f>
        <v>Parts Bin; Plastic Box</v>
      </c>
      <c r="T4132">
        <v>0</v>
      </c>
      <c r="U4132">
        <v>8.0399999999999991</v>
      </c>
      <c r="V4132">
        <v>6.39</v>
      </c>
      <c r="W4132" t="str">
        <f t="shared" si="1031"/>
        <v>rob</v>
      </c>
    </row>
    <row r="4133" spans="1:23">
      <c r="A4133" t="str">
        <f t="shared" si="1051"/>
        <v>QC-MH5F-02</v>
      </c>
      <c r="B4133" t="str">
        <f>"00-1284-0000"</f>
        <v>00-1284-0000</v>
      </c>
      <c r="C4133" t="str">
        <f>"Robot Pedestal Welded for ER9/14Pro&amp;MH5"</f>
        <v>Robot Pedestal Welded for ER9/14Pro&amp;MH5</v>
      </c>
      <c r="D4133">
        <v>1</v>
      </c>
      <c r="E4133" t="str">
        <f t="shared" si="1052"/>
        <v>Quality Control: MOTOMAN MH5F (with ViewFlex Machine Vision System &amp; Caliper)</v>
      </c>
      <c r="F4133">
        <v>505</v>
      </c>
      <c r="G4133" t="str">
        <f t="shared" si="1044"/>
        <v>Y</v>
      </c>
      <c r="H4133" t="str">
        <f t="shared" si="1053"/>
        <v>EA</v>
      </c>
      <c r="I4133">
        <v>0</v>
      </c>
      <c r="J4133">
        <v>0</v>
      </c>
      <c r="K4133" t="str">
        <f t="shared" si="1045"/>
        <v>Y</v>
      </c>
      <c r="L4133">
        <v>0</v>
      </c>
      <c r="M4133" t="str">
        <f t="shared" si="1050"/>
        <v>NIS</v>
      </c>
      <c r="O4133">
        <v>13</v>
      </c>
      <c r="P4133" t="str">
        <f t="shared" si="1046"/>
        <v>Active</v>
      </c>
      <c r="Q4133" t="str">
        <f>"Robot Pedestal Welded for ER9/14Pro&amp;MH5"</f>
        <v>Robot Pedestal Welded for ER9/14Pro&amp;MH5</v>
      </c>
      <c r="S4133" t="str">
        <f>"Robot Pedestal Welded for ER9/14Pro&amp;MH5"</f>
        <v>Robot Pedestal Welded for ER9/14Pro&amp;MH5</v>
      </c>
      <c r="T4133">
        <v>0</v>
      </c>
      <c r="U4133">
        <v>723.91</v>
      </c>
      <c r="V4133">
        <v>671.12</v>
      </c>
      <c r="W4133" t="str">
        <f t="shared" si="1031"/>
        <v>rob</v>
      </c>
    </row>
    <row r="4134" spans="1:23">
      <c r="A4134" t="str">
        <f t="shared" si="1051"/>
        <v>QC-MH5F-02</v>
      </c>
      <c r="B4134" t="str">
        <f>"00-1293-0000"</f>
        <v>00-1293-0000</v>
      </c>
      <c r="C4134" t="str">
        <f>"Mobile Workbench 1500x1140mm (incl. Wheels)"</f>
        <v>Mobile Workbench 1500x1140mm (incl. Wheels)</v>
      </c>
      <c r="D4134">
        <v>1</v>
      </c>
      <c r="E4134" t="str">
        <f t="shared" si="1052"/>
        <v>Quality Control: MOTOMAN MH5F (with ViewFlex Machine Vision System &amp; Caliper)</v>
      </c>
      <c r="F4134">
        <v>505</v>
      </c>
      <c r="G4134" t="str">
        <f t="shared" si="1044"/>
        <v>Y</v>
      </c>
      <c r="H4134" t="str">
        <f t="shared" si="1053"/>
        <v>EA</v>
      </c>
      <c r="I4134">
        <v>0</v>
      </c>
      <c r="J4134">
        <v>0</v>
      </c>
      <c r="K4134" t="str">
        <f t="shared" si="1045"/>
        <v>Y</v>
      </c>
      <c r="L4134">
        <v>0</v>
      </c>
      <c r="M4134" t="str">
        <f t="shared" si="1050"/>
        <v>NIS</v>
      </c>
      <c r="O4134">
        <v>14</v>
      </c>
      <c r="P4134" t="str">
        <f t="shared" si="1046"/>
        <v>Active</v>
      </c>
      <c r="Q4134" t="str">
        <f>"Mobile Workbench 1500x1140mm (incl. Wheels)"</f>
        <v>Mobile Workbench 1500x1140mm (incl. Wheels)</v>
      </c>
      <c r="S4134" t="str">
        <f>"Mobile Workbench 1500x1140mm (incl. Wheels)"</f>
        <v>Mobile Workbench 1500x1140mm (incl. Wheels)</v>
      </c>
      <c r="T4134">
        <v>0</v>
      </c>
      <c r="U4134">
        <v>860</v>
      </c>
      <c r="V4134">
        <v>809.36</v>
      </c>
      <c r="W4134" t="str">
        <f t="shared" si="1031"/>
        <v>rob</v>
      </c>
    </row>
    <row r="4135" spans="1:23">
      <c r="A4135" t="str">
        <f t="shared" si="1051"/>
        <v>QC-MH5F-02</v>
      </c>
      <c r="B4135" t="str">
        <f>"00-1290-0000"</f>
        <v>00-1290-0000</v>
      </c>
      <c r="C4135" t="str">
        <f>"PC Table 630x800mm (with Keyboard Drawer)"</f>
        <v>PC Table 630x800mm (with Keyboard Drawer)</v>
      </c>
      <c r="D4135">
        <v>1</v>
      </c>
      <c r="E4135" t="str">
        <f t="shared" si="1052"/>
        <v>Quality Control: MOTOMAN MH5F (with ViewFlex Machine Vision System &amp; Caliper)</v>
      </c>
      <c r="F4135">
        <v>505</v>
      </c>
      <c r="G4135" t="str">
        <f t="shared" si="1044"/>
        <v>Y</v>
      </c>
      <c r="H4135" t="str">
        <f t="shared" si="1053"/>
        <v>EA</v>
      </c>
      <c r="I4135">
        <v>0</v>
      </c>
      <c r="J4135">
        <v>0</v>
      </c>
      <c r="K4135" t="str">
        <f t="shared" si="1045"/>
        <v>Y</v>
      </c>
      <c r="L4135">
        <v>0</v>
      </c>
      <c r="M4135" t="str">
        <f t="shared" si="1050"/>
        <v>NIS</v>
      </c>
      <c r="O4135">
        <v>15</v>
      </c>
      <c r="P4135" t="str">
        <f t="shared" si="1046"/>
        <v>Active</v>
      </c>
      <c r="Q4135" t="str">
        <f>"PC Table 630x800mm (with Keyboard Drawer)"</f>
        <v>PC Table 630x800mm (with Keyboard Drawer)</v>
      </c>
      <c r="S4135" t="str">
        <f>"PC Table 630x800mm (with Keyboard Drawer)"</f>
        <v>PC Table 630x800mm (with Keyboard Drawer)</v>
      </c>
      <c r="T4135">
        <v>0</v>
      </c>
      <c r="U4135">
        <v>405.86</v>
      </c>
      <c r="V4135">
        <v>329.34</v>
      </c>
      <c r="W4135" t="str">
        <f t="shared" si="1031"/>
        <v>rob</v>
      </c>
    </row>
    <row r="4136" spans="1:23">
      <c r="A4136" t="str">
        <f t="shared" si="1051"/>
        <v>QC-MH5F-02</v>
      </c>
      <c r="B4136" t="str">
        <f>"50-0094-0000"</f>
        <v>50-0094-0000</v>
      </c>
      <c r="C4136" t="str">
        <f>"Pre-Engineering, Design and Testing"</f>
        <v>Pre-Engineering, Design and Testing</v>
      </c>
      <c r="D4136">
        <v>1</v>
      </c>
      <c r="E4136" t="str">
        <f t="shared" si="1052"/>
        <v>Quality Control: MOTOMAN MH5F (with ViewFlex Machine Vision System &amp; Caliper)</v>
      </c>
      <c r="F4136">
        <v>505</v>
      </c>
      <c r="G4136" t="str">
        <f t="shared" si="1044"/>
        <v>Y</v>
      </c>
      <c r="H4136" t="str">
        <f>"DA"</f>
        <v>DA</v>
      </c>
      <c r="I4136">
        <v>0</v>
      </c>
      <c r="J4136">
        <v>0</v>
      </c>
      <c r="K4136" t="str">
        <f t="shared" si="1045"/>
        <v>Y</v>
      </c>
      <c r="L4136">
        <v>0</v>
      </c>
      <c r="M4136" t="str">
        <f t="shared" si="1050"/>
        <v>NIS</v>
      </c>
      <c r="O4136">
        <v>16</v>
      </c>
      <c r="P4136" t="str">
        <f t="shared" si="1046"/>
        <v>Active</v>
      </c>
      <c r="Q4136" t="str">
        <f>"Pre-Engineering, Design and Testing"</f>
        <v>Pre-Engineering, Design and Testing</v>
      </c>
      <c r="S4136" t="str">
        <f>"Pre-Engineering, Design and Testing"</f>
        <v>Pre-Engineering, Design and Testing</v>
      </c>
      <c r="T4136">
        <v>0</v>
      </c>
      <c r="U4136">
        <v>405</v>
      </c>
      <c r="V4136">
        <v>421.2</v>
      </c>
      <c r="W4136" t="str">
        <f t="shared" si="1031"/>
        <v>rob</v>
      </c>
    </row>
    <row r="4137" spans="1:23">
      <c r="A4137" t="str">
        <f t="shared" ref="A4137:A4153" si="1054">"QC-MH5F-CMM"</f>
        <v>QC-MH5F-CMM</v>
      </c>
      <c r="B4137" t="str">
        <f>"00-0436-0000"</f>
        <v>00-0436-0000</v>
      </c>
      <c r="C4137" t="str">
        <f>"MH5F compact high-speed 6-axis Robot"</f>
        <v>MH5F compact high-speed 6-axis Robot</v>
      </c>
      <c r="D4137">
        <v>1</v>
      </c>
      <c r="E4137" t="str">
        <f t="shared" ref="E4137:E4153" si="1055">"Quality Control: MOTOMAN MH5F on 1.8m LSB FOR CMM"</f>
        <v>Quality Control: MOTOMAN MH5F on 1.8m LSB FOR CMM</v>
      </c>
      <c r="F4137">
        <v>505</v>
      </c>
      <c r="G4137" t="str">
        <f t="shared" si="1044"/>
        <v>Y</v>
      </c>
      <c r="H4137" t="str">
        <f t="shared" ref="H4137:H4152" si="1056">"EA"</f>
        <v>EA</v>
      </c>
      <c r="I4137">
        <v>0</v>
      </c>
      <c r="J4137">
        <v>0</v>
      </c>
      <c r="K4137" t="str">
        <f t="shared" si="1045"/>
        <v>Y</v>
      </c>
      <c r="L4137">
        <v>0</v>
      </c>
      <c r="M4137" t="str">
        <f t="shared" si="1050"/>
        <v>NIS</v>
      </c>
      <c r="O4137">
        <v>1</v>
      </c>
      <c r="P4137" t="str">
        <f t="shared" si="1046"/>
        <v>Active</v>
      </c>
      <c r="Q4137" t="str">
        <f>"MH5F compact high-speed 6-axis Robot"</f>
        <v>MH5F compact high-speed 6-axis Robot</v>
      </c>
      <c r="S4137" t="str">
        <f>"MH5F compact high-speed 6-axis Robot"</f>
        <v>MH5F compact high-speed 6-axis Robot</v>
      </c>
      <c r="T4137">
        <v>0</v>
      </c>
      <c r="U4137" s="44">
        <v>23500</v>
      </c>
      <c r="V4137" s="44">
        <v>16049.14</v>
      </c>
      <c r="W4137" t="str">
        <f t="shared" si="1031"/>
        <v>rob</v>
      </c>
    </row>
    <row r="4138" spans="1:23">
      <c r="A4138" t="str">
        <f t="shared" si="1054"/>
        <v>QC-MH5F-CMM</v>
      </c>
      <c r="B4138" t="str">
        <f>"00-0646-0000"</f>
        <v>00-0646-0000</v>
      </c>
      <c r="C4138" t="str">
        <f>"Pneumatic Gripper with I/O Box for Motoman MH5F"</f>
        <v>Pneumatic Gripper with I/O Box for Motoman MH5F</v>
      </c>
      <c r="D4138">
        <v>1</v>
      </c>
      <c r="E4138" t="str">
        <f t="shared" si="1055"/>
        <v>Quality Control: MOTOMAN MH5F on 1.8m LSB FOR CMM</v>
      </c>
      <c r="F4138">
        <v>505</v>
      </c>
      <c r="G4138" t="str">
        <f t="shared" si="1044"/>
        <v>Y</v>
      </c>
      <c r="H4138" t="str">
        <f t="shared" si="1056"/>
        <v>EA</v>
      </c>
      <c r="I4138">
        <v>0</v>
      </c>
      <c r="J4138">
        <v>0</v>
      </c>
      <c r="K4138" t="str">
        <f t="shared" si="1045"/>
        <v>Y</v>
      </c>
      <c r="L4138">
        <v>0</v>
      </c>
      <c r="M4138" t="str">
        <f t="shared" si="1050"/>
        <v>NIS</v>
      </c>
      <c r="O4138">
        <v>2</v>
      </c>
      <c r="P4138" t="str">
        <f t="shared" si="1046"/>
        <v>Active</v>
      </c>
      <c r="Q4138" t="str">
        <f>"Pneumatic Gripper with I/O Box for Motoman MH5F"</f>
        <v>Pneumatic Gripper with I/O Box for Motoman MH5F</v>
      </c>
      <c r="S4138" t="str">
        <f>"Pneumatic Gripper with I/O Box for Motoman MH5F"</f>
        <v>Pneumatic Gripper with I/O Box for Motoman MH5F</v>
      </c>
      <c r="T4138">
        <v>0</v>
      </c>
      <c r="U4138" s="44">
        <v>1500</v>
      </c>
      <c r="V4138" s="44">
        <v>1238.52</v>
      </c>
      <c r="W4138" t="str">
        <f t="shared" ref="W4138:W4201" si="1057">"rob"</f>
        <v>rob</v>
      </c>
    </row>
    <row r="4139" spans="1:23">
      <c r="A4139" t="str">
        <f t="shared" si="1054"/>
        <v>QC-MH5F-CMM</v>
      </c>
      <c r="B4139" t="str">
        <f>"00-1027-0000"</f>
        <v>00-1027-0000</v>
      </c>
      <c r="C4139" t="str">
        <f>"LSB 1.8m, Belt, USB-Pro, for ind. robot &lt; 35kg)"</f>
        <v>LSB 1.8m, Belt, USB-Pro, for ind. robot &lt; 35kg)</v>
      </c>
      <c r="D4139">
        <v>1</v>
      </c>
      <c r="E4139" t="str">
        <f t="shared" si="1055"/>
        <v>Quality Control: MOTOMAN MH5F on 1.8m LSB FOR CMM</v>
      </c>
      <c r="F4139">
        <v>505</v>
      </c>
      <c r="G4139" t="str">
        <f t="shared" si="1044"/>
        <v>Y</v>
      </c>
      <c r="H4139" t="str">
        <f t="shared" si="1056"/>
        <v>EA</v>
      </c>
      <c r="I4139">
        <v>0</v>
      </c>
      <c r="J4139">
        <v>0</v>
      </c>
      <c r="K4139" t="str">
        <f t="shared" si="1045"/>
        <v>Y</v>
      </c>
      <c r="L4139">
        <v>0</v>
      </c>
      <c r="M4139" t="str">
        <f t="shared" si="1050"/>
        <v>NIS</v>
      </c>
      <c r="O4139">
        <v>3</v>
      </c>
      <c r="P4139" t="str">
        <f t="shared" si="1046"/>
        <v>Active</v>
      </c>
      <c r="Q4139" t="str">
        <f>"LSB 1.8m, Belt, USB-Pro, for ind. robot &lt; 35kg"</f>
        <v>LSB 1.8m, Belt, USB-Pro, for ind. robot &lt; 35kg</v>
      </c>
      <c r="S4139" t="str">
        <f>"LSB 1.8m, Belt, USB-Pro, for ind. robot &lt; 35kg"</f>
        <v>LSB 1.8m, Belt, USB-Pro, for ind. robot &lt; 35kg</v>
      </c>
      <c r="T4139">
        <v>0</v>
      </c>
      <c r="U4139" s="44">
        <v>5000</v>
      </c>
      <c r="V4139" s="44">
        <v>4687.0200000000004</v>
      </c>
      <c r="W4139" t="str">
        <f t="shared" si="1057"/>
        <v>rob</v>
      </c>
    </row>
    <row r="4140" spans="1:23">
      <c r="A4140" t="str">
        <f t="shared" si="1054"/>
        <v>QC-MH5F-CMM</v>
      </c>
      <c r="B4140" t="str">
        <f>"00-1110-0000"</f>
        <v>00-1110-0000</v>
      </c>
      <c r="C4140" t="str">
        <f>"Palletizing Rack"</f>
        <v>Palletizing Rack</v>
      </c>
      <c r="D4140">
        <v>2</v>
      </c>
      <c r="E4140" t="str">
        <f t="shared" si="1055"/>
        <v>Quality Control: MOTOMAN MH5F on 1.8m LSB FOR CMM</v>
      </c>
      <c r="F4140">
        <v>505</v>
      </c>
      <c r="G4140" t="str">
        <f t="shared" si="1044"/>
        <v>Y</v>
      </c>
      <c r="H4140" t="str">
        <f t="shared" si="1056"/>
        <v>EA</v>
      </c>
      <c r="I4140">
        <v>0</v>
      </c>
      <c r="J4140">
        <v>0</v>
      </c>
      <c r="K4140" t="str">
        <f t="shared" si="1045"/>
        <v>Y</v>
      </c>
      <c r="L4140">
        <v>0</v>
      </c>
      <c r="M4140" t="str">
        <f t="shared" si="1050"/>
        <v>NIS</v>
      </c>
      <c r="O4140">
        <v>4</v>
      </c>
      <c r="P4140" t="str">
        <f t="shared" si="1046"/>
        <v>Active</v>
      </c>
      <c r="Q4140" t="str">
        <f>"Palletizing Rack (incl. Pins for creating Jigs)"</f>
        <v>Palletizing Rack (incl. Pins for creating Jigs)</v>
      </c>
      <c r="S4140" t="str">
        <f>"Palletizing Rack (incl. Pins for creating Jigs)"</f>
        <v>Palletizing Rack (incl. Pins for creating Jigs)</v>
      </c>
      <c r="T4140">
        <v>0</v>
      </c>
      <c r="U4140">
        <v>63</v>
      </c>
      <c r="V4140">
        <v>58.59</v>
      </c>
      <c r="W4140" t="str">
        <f t="shared" si="1057"/>
        <v>rob</v>
      </c>
    </row>
    <row r="4141" spans="1:23">
      <c r="A4141" t="str">
        <f t="shared" si="1054"/>
        <v>QC-MH5F-CMM</v>
      </c>
      <c r="B4141" t="str">
        <f>"10-1007-4000"</f>
        <v>10-1007-4000</v>
      </c>
      <c r="C4141" t="str">
        <f>"Gravity Parts Feeder (with microswitch sensor)"</f>
        <v>Gravity Parts Feeder (with microswitch sensor)</v>
      </c>
      <c r="D4141">
        <v>1</v>
      </c>
      <c r="E4141" t="str">
        <f t="shared" si="1055"/>
        <v>Quality Control: MOTOMAN MH5F on 1.8m LSB FOR CMM</v>
      </c>
      <c r="F4141">
        <v>505</v>
      </c>
      <c r="G4141" t="str">
        <f t="shared" si="1044"/>
        <v>Y</v>
      </c>
      <c r="H4141" t="str">
        <f t="shared" si="1056"/>
        <v>EA</v>
      </c>
      <c r="I4141">
        <v>0</v>
      </c>
      <c r="J4141">
        <v>0</v>
      </c>
      <c r="K4141" t="str">
        <f t="shared" si="1045"/>
        <v>Y</v>
      </c>
      <c r="L4141">
        <v>0</v>
      </c>
      <c r="M4141" t="str">
        <f t="shared" si="1050"/>
        <v>NIS</v>
      </c>
      <c r="O4141">
        <v>5</v>
      </c>
      <c r="P4141" t="str">
        <f t="shared" si="1046"/>
        <v>Active</v>
      </c>
      <c r="Q4141" t="str">
        <f>"Gravity Parts Feeder (incl.microswitch sensor)"</f>
        <v>Gravity Parts Feeder (incl.microswitch sensor)</v>
      </c>
      <c r="S4141" t="str">
        <f>"Gravity Parts Feeder (incl.microswitch sensor)"</f>
        <v>Gravity Parts Feeder (incl.microswitch sensor)</v>
      </c>
      <c r="T4141">
        <v>0</v>
      </c>
      <c r="U4141">
        <v>148</v>
      </c>
      <c r="V4141">
        <v>148.26</v>
      </c>
      <c r="W4141" t="str">
        <f t="shared" si="1057"/>
        <v>rob</v>
      </c>
    </row>
    <row r="4142" spans="1:23">
      <c r="A4142" t="str">
        <f t="shared" si="1054"/>
        <v>QC-MH5F-CMM</v>
      </c>
      <c r="B4142" t="str">
        <f>"10-2521-7000"</f>
        <v>10-2521-7000</v>
      </c>
      <c r="C4142" t="str">
        <f>"Pneumatic Feeder for Rectangular products"</f>
        <v>Pneumatic Feeder for Rectangular products</v>
      </c>
      <c r="D4142">
        <v>1</v>
      </c>
      <c r="E4142" t="str">
        <f t="shared" si="1055"/>
        <v>Quality Control: MOTOMAN MH5F on 1.8m LSB FOR CMM</v>
      </c>
      <c r="F4142">
        <v>505</v>
      </c>
      <c r="G4142" t="str">
        <f t="shared" si="1044"/>
        <v>Y</v>
      </c>
      <c r="H4142" t="str">
        <f t="shared" si="1056"/>
        <v>EA</v>
      </c>
      <c r="I4142">
        <v>0</v>
      </c>
      <c r="J4142">
        <v>0</v>
      </c>
      <c r="K4142" t="str">
        <f t="shared" si="1045"/>
        <v>Y</v>
      </c>
      <c r="L4142">
        <v>0</v>
      </c>
      <c r="M4142" t="str">
        <f t="shared" si="1050"/>
        <v>NIS</v>
      </c>
      <c r="O4142">
        <v>6</v>
      </c>
      <c r="P4142" t="str">
        <f t="shared" si="1046"/>
        <v>Active</v>
      </c>
      <c r="Q4142" t="str">
        <f>"Pneumatic Feeder for Rectangular Parts"</f>
        <v>Pneumatic Feeder for Rectangular Parts</v>
      </c>
      <c r="S4142" t="str">
        <f>"Pneumatic Feeder for Rectangular Parts"</f>
        <v>Pneumatic Feeder for Rectangular Parts</v>
      </c>
      <c r="T4142">
        <v>0</v>
      </c>
      <c r="U4142">
        <v>595</v>
      </c>
      <c r="V4142">
        <v>555.15</v>
      </c>
      <c r="W4142" t="str">
        <f t="shared" si="1057"/>
        <v>rob</v>
      </c>
    </row>
    <row r="4143" spans="1:23">
      <c r="A4143" t="str">
        <f t="shared" si="1054"/>
        <v>QC-MH5F-CMM</v>
      </c>
      <c r="B4143" t="str">
        <f>"21-0004-0000"</f>
        <v>21-0004-0000</v>
      </c>
      <c r="C4143" t="str">
        <f>"Assembly, Dual Axis Air Vise Mechanicals"</f>
        <v>Assembly, Dual Axis Air Vise Mechanicals</v>
      </c>
      <c r="D4143">
        <v>1</v>
      </c>
      <c r="E4143" t="str">
        <f t="shared" si="1055"/>
        <v>Quality Control: MOTOMAN MH5F on 1.8m LSB FOR CMM</v>
      </c>
      <c r="F4143">
        <v>505</v>
      </c>
      <c r="G4143" t="str">
        <f t="shared" si="1044"/>
        <v>Y</v>
      </c>
      <c r="H4143" t="str">
        <f t="shared" si="1056"/>
        <v>EA</v>
      </c>
      <c r="I4143">
        <v>0</v>
      </c>
      <c r="J4143">
        <v>0</v>
      </c>
      <c r="K4143" t="str">
        <f t="shared" si="1045"/>
        <v>Y</v>
      </c>
      <c r="L4143">
        <v>0</v>
      </c>
      <c r="M4143" t="str">
        <f t="shared" si="1050"/>
        <v>NIS</v>
      </c>
      <c r="O4143">
        <v>7</v>
      </c>
      <c r="P4143" t="str">
        <f>"Phase Out"</f>
        <v>Phase Out</v>
      </c>
      <c r="Q4143" t="str">
        <f>"Assembly, Dual Axis Air Vise Mechanicals"</f>
        <v>Assembly, Dual Axis Air Vise Mechanicals</v>
      </c>
      <c r="S4143" t="str">
        <f>"Assembly, Dual Axis Air Vise Mechanicals"</f>
        <v>Assembly, Dual Axis Air Vise Mechanicals</v>
      </c>
      <c r="T4143">
        <v>422.16</v>
      </c>
      <c r="U4143">
        <v>422</v>
      </c>
      <c r="V4143">
        <v>980.27</v>
      </c>
      <c r="W4143" t="str">
        <f t="shared" si="1057"/>
        <v>rob</v>
      </c>
    </row>
    <row r="4144" spans="1:23">
      <c r="A4144" t="str">
        <f t="shared" si="1054"/>
        <v>QC-MH5F-CMM</v>
      </c>
      <c r="B4144" t="str">
        <f>"10-2523-4000"</f>
        <v>10-2523-4000</v>
      </c>
      <c r="C4144" t="str">
        <f>"Solenoid Valve (24V) for Pipe 3 mm"</f>
        <v>Solenoid Valve (24V) for Pipe 3 mm</v>
      </c>
      <c r="D4144">
        <v>1</v>
      </c>
      <c r="E4144" t="str">
        <f t="shared" si="1055"/>
        <v>Quality Control: MOTOMAN MH5F on 1.8m LSB FOR CMM</v>
      </c>
      <c r="F4144">
        <v>505</v>
      </c>
      <c r="G4144" t="str">
        <f t="shared" si="1044"/>
        <v>Y</v>
      </c>
      <c r="H4144" t="str">
        <f t="shared" si="1056"/>
        <v>EA</v>
      </c>
      <c r="I4144">
        <v>0</v>
      </c>
      <c r="J4144">
        <v>0</v>
      </c>
      <c r="K4144" t="str">
        <f t="shared" si="1045"/>
        <v>Y</v>
      </c>
      <c r="L4144">
        <v>0</v>
      </c>
      <c r="M4144" t="str">
        <f t="shared" si="1050"/>
        <v>NIS</v>
      </c>
      <c r="O4144">
        <v>8</v>
      </c>
      <c r="P4144" t="str">
        <f t="shared" ref="P4144:P4155" si="1058">"Active"</f>
        <v>Active</v>
      </c>
      <c r="Q4144" t="str">
        <f>"Solenoid Valve (24V) for Pipe 3 mm"</f>
        <v>Solenoid Valve (24V) for Pipe 3 mm</v>
      </c>
      <c r="S4144" t="str">
        <f>"Solenoid Valve (24V) for Pipe 3 mm"</f>
        <v>Solenoid Valve (24V) for Pipe 3 mm</v>
      </c>
      <c r="T4144">
        <v>0</v>
      </c>
      <c r="U4144">
        <v>137</v>
      </c>
      <c r="V4144">
        <v>133.35</v>
      </c>
      <c r="W4144" t="str">
        <f t="shared" si="1057"/>
        <v>rob</v>
      </c>
    </row>
    <row r="4145" spans="1:23">
      <c r="A4145" t="str">
        <f t="shared" si="1054"/>
        <v>QC-MH5F-CMM</v>
      </c>
      <c r="B4145" t="str">
        <f>"021152"</f>
        <v>021152</v>
      </c>
      <c r="C4145" t="str">
        <f>"Shelf Buffer for CIM conveyor"</f>
        <v>Shelf Buffer for CIM conveyor</v>
      </c>
      <c r="D4145">
        <v>1</v>
      </c>
      <c r="E4145" t="str">
        <f t="shared" si="1055"/>
        <v>Quality Control: MOTOMAN MH5F on 1.8m LSB FOR CMM</v>
      </c>
      <c r="F4145">
        <v>505</v>
      </c>
      <c r="G4145" t="str">
        <f t="shared" si="1044"/>
        <v>Y</v>
      </c>
      <c r="H4145" t="str">
        <f t="shared" si="1056"/>
        <v>EA</v>
      </c>
      <c r="I4145">
        <v>0</v>
      </c>
      <c r="J4145">
        <v>0</v>
      </c>
      <c r="K4145" t="str">
        <f t="shared" si="1045"/>
        <v>Y</v>
      </c>
      <c r="L4145">
        <v>0</v>
      </c>
      <c r="M4145" t="str">
        <f t="shared" si="1050"/>
        <v>NIS</v>
      </c>
      <c r="O4145">
        <v>9</v>
      </c>
      <c r="P4145" t="str">
        <f t="shared" si="1058"/>
        <v>Active</v>
      </c>
      <c r="Q4145" t="str">
        <f>"מכלול- מדף בפר סטנדרטי OPEN-CIM"</f>
        <v>מכלול- מדף בפר סטנדרטי OPEN-CIM</v>
      </c>
      <c r="R4145" t="str">
        <f>"1"</f>
        <v>1</v>
      </c>
      <c r="S4145" t="str">
        <f>"מכלול- מדף בפר סטנדרטי OPEN-CIM"</f>
        <v>מכלול- מדף בפר סטנדרטי OPEN-CIM</v>
      </c>
      <c r="T4145">
        <v>0</v>
      </c>
      <c r="U4145">
        <v>83.12</v>
      </c>
      <c r="V4145">
        <v>92.76</v>
      </c>
      <c r="W4145" t="str">
        <f t="shared" si="1057"/>
        <v>rob</v>
      </c>
    </row>
    <row r="4146" spans="1:23">
      <c r="A4146" t="str">
        <f t="shared" si="1054"/>
        <v>QC-MH5F-CMM</v>
      </c>
      <c r="B4146" t="str">
        <f>"50-0092-0000"</f>
        <v>50-0092-0000</v>
      </c>
      <c r="C4146" t="str">
        <f>"Interface Programming for 3rd Party CNC Machine"</f>
        <v>Interface Programming for 3rd Party CNC Machine</v>
      </c>
      <c r="D4146">
        <v>1</v>
      </c>
      <c r="E4146" t="str">
        <f t="shared" si="1055"/>
        <v>Quality Control: MOTOMAN MH5F on 1.8m LSB FOR CMM</v>
      </c>
      <c r="F4146">
        <v>505</v>
      </c>
      <c r="G4146" t="str">
        <f t="shared" si="1044"/>
        <v>Y</v>
      </c>
      <c r="H4146" t="str">
        <f t="shared" si="1056"/>
        <v>EA</v>
      </c>
      <c r="I4146">
        <v>0</v>
      </c>
      <c r="J4146">
        <v>0</v>
      </c>
      <c r="K4146" t="str">
        <f t="shared" si="1045"/>
        <v>Y</v>
      </c>
      <c r="L4146">
        <v>0</v>
      </c>
      <c r="M4146" t="str">
        <f t="shared" si="1050"/>
        <v>NIS</v>
      </c>
      <c r="O4146">
        <v>10</v>
      </c>
      <c r="P4146" t="str">
        <f t="shared" si="1058"/>
        <v>Active</v>
      </c>
      <c r="Q4146" t="str">
        <f>"Interface Programming for 3rd Party CNC Machine"</f>
        <v>Interface Programming for 3rd Party CNC Machine</v>
      </c>
      <c r="S4146" t="str">
        <f>"Interface Programming for 3rd Party CNC Machine"</f>
        <v>Interface Programming for 3rd Party CNC Machine</v>
      </c>
      <c r="T4146">
        <v>0</v>
      </c>
      <c r="U4146" s="44">
        <v>1000</v>
      </c>
      <c r="V4146" s="44">
        <v>1000</v>
      </c>
      <c r="W4146" t="str">
        <f t="shared" si="1057"/>
        <v>rob</v>
      </c>
    </row>
    <row r="4147" spans="1:23">
      <c r="A4147" t="str">
        <f t="shared" si="1054"/>
        <v>QC-MH5F-CMM</v>
      </c>
      <c r="B4147" t="str">
        <f>"00-1422-0000"</f>
        <v>00-1422-0000</v>
      </c>
      <c r="C4147" t="str">
        <f>"Viewflex for QC (Stand 400mm)"</f>
        <v>Viewflex for QC (Stand 400mm)</v>
      </c>
      <c r="D4147">
        <v>1</v>
      </c>
      <c r="E4147" t="str">
        <f t="shared" si="1055"/>
        <v>Quality Control: MOTOMAN MH5F on 1.8m LSB FOR CMM</v>
      </c>
      <c r="F4147">
        <v>505</v>
      </c>
      <c r="G4147" t="str">
        <f t="shared" si="1044"/>
        <v>Y</v>
      </c>
      <c r="H4147" t="str">
        <f t="shared" si="1056"/>
        <v>EA</v>
      </c>
      <c r="I4147">
        <v>0</v>
      </c>
      <c r="J4147">
        <v>0</v>
      </c>
      <c r="K4147" t="str">
        <f t="shared" si="1045"/>
        <v>Y</v>
      </c>
      <c r="L4147">
        <v>0</v>
      </c>
      <c r="M4147" t="str">
        <f t="shared" si="1050"/>
        <v>NIS</v>
      </c>
      <c r="O4147">
        <v>11</v>
      </c>
      <c r="P4147" t="str">
        <f t="shared" si="1058"/>
        <v>Active</v>
      </c>
      <c r="Q4147" t="str">
        <f>"Viewflex for QC (Stand 400mm)"</f>
        <v>Viewflex for QC (Stand 400mm)</v>
      </c>
      <c r="S4147" t="str">
        <f>"Viewflex for QC (Stand 400mm)"</f>
        <v>Viewflex for QC (Stand 400mm)</v>
      </c>
      <c r="T4147">
        <v>0</v>
      </c>
      <c r="U4147">
        <v>560</v>
      </c>
      <c r="V4147">
        <v>511.35</v>
      </c>
      <c r="W4147" t="str">
        <f t="shared" si="1057"/>
        <v>rob</v>
      </c>
    </row>
    <row r="4148" spans="1:23">
      <c r="A4148" t="str">
        <f t="shared" si="1054"/>
        <v>QC-MH5F-CMM</v>
      </c>
      <c r="B4148" t="str">
        <f>"113096"</f>
        <v>113096</v>
      </c>
      <c r="C4148" t="str">
        <f>"Plexiglass Cylinders Base"</f>
        <v>Plexiglass Cylinders Base</v>
      </c>
      <c r="D4148">
        <v>5</v>
      </c>
      <c r="E4148" t="str">
        <f t="shared" si="1055"/>
        <v>Quality Control: MOTOMAN MH5F on 1.8m LSB FOR CMM</v>
      </c>
      <c r="F4148">
        <v>505</v>
      </c>
      <c r="G4148" t="str">
        <f t="shared" si="1044"/>
        <v>Y</v>
      </c>
      <c r="H4148" t="str">
        <f t="shared" si="1056"/>
        <v>EA</v>
      </c>
      <c r="I4148">
        <v>0</v>
      </c>
      <c r="J4148">
        <v>0</v>
      </c>
      <c r="K4148" t="str">
        <f t="shared" si="1045"/>
        <v>Y</v>
      </c>
      <c r="L4148">
        <v>0</v>
      </c>
      <c r="M4148" t="str">
        <f t="shared" si="1050"/>
        <v>NIS</v>
      </c>
      <c r="O4148">
        <v>12</v>
      </c>
      <c r="P4148" t="str">
        <f t="shared" si="1058"/>
        <v>Active</v>
      </c>
      <c r="Q4148" t="str">
        <f>"Plexiglass Cylinders Base MicroCIM"</f>
        <v>Plexiglass Cylinders Base MicroCIM</v>
      </c>
      <c r="S4148" t="str">
        <f>"Plexiglass Cylinders Base"</f>
        <v>Plexiglass Cylinders Base</v>
      </c>
      <c r="T4148">
        <v>0</v>
      </c>
      <c r="U4148">
        <v>7</v>
      </c>
      <c r="V4148">
        <v>6.83</v>
      </c>
      <c r="W4148" t="str">
        <f t="shared" si="1057"/>
        <v>rob</v>
      </c>
    </row>
    <row r="4149" spans="1:23">
      <c r="A4149" t="str">
        <f t="shared" si="1054"/>
        <v>QC-MH5F-CMM</v>
      </c>
      <c r="B4149" t="str">
        <f>"112713"</f>
        <v>112713</v>
      </c>
      <c r="C4149" t="str">
        <f>"Marked Aluminum Cylinder"</f>
        <v>Marked Aluminum Cylinder</v>
      </c>
      <c r="D4149">
        <v>5</v>
      </c>
      <c r="E4149" t="str">
        <f t="shared" si="1055"/>
        <v>Quality Control: MOTOMAN MH5F on 1.8m LSB FOR CMM</v>
      </c>
      <c r="F4149">
        <v>505</v>
      </c>
      <c r="G4149" t="str">
        <f t="shared" si="1044"/>
        <v>Y</v>
      </c>
      <c r="H4149" t="str">
        <f t="shared" si="1056"/>
        <v>EA</v>
      </c>
      <c r="I4149">
        <v>0</v>
      </c>
      <c r="J4149">
        <v>0</v>
      </c>
      <c r="K4149" t="str">
        <f t="shared" si="1045"/>
        <v>Y</v>
      </c>
      <c r="L4149">
        <v>0</v>
      </c>
      <c r="M4149" t="str">
        <f t="shared" si="1050"/>
        <v>NIS</v>
      </c>
      <c r="O4149">
        <v>13</v>
      </c>
      <c r="P4149" t="str">
        <f t="shared" si="1058"/>
        <v>Active</v>
      </c>
      <c r="Q4149" t="str">
        <f>"Mark Al. Cylinder Diam. 35x28 MicroCIM"</f>
        <v>Mark Al. Cylinder Diam. 35x28 MicroCIM</v>
      </c>
      <c r="S4149" t="str">
        <f>"Mark Al. Cylinder Diam. 35x28"</f>
        <v>Mark Al. Cylinder Diam. 35x28</v>
      </c>
      <c r="T4149">
        <v>0</v>
      </c>
      <c r="U4149">
        <v>6</v>
      </c>
      <c r="V4149">
        <v>5.97</v>
      </c>
      <c r="W4149" t="str">
        <f t="shared" si="1057"/>
        <v>rob</v>
      </c>
    </row>
    <row r="4150" spans="1:23">
      <c r="A4150" t="str">
        <f t="shared" si="1054"/>
        <v>QC-MH5F-CMM</v>
      </c>
      <c r="B4150" t="str">
        <f>"113316"</f>
        <v>113316</v>
      </c>
      <c r="C4150" t="str">
        <f>"Parts Bin"</f>
        <v>Parts Bin</v>
      </c>
      <c r="D4150">
        <v>1</v>
      </c>
      <c r="E4150" t="str">
        <f t="shared" si="1055"/>
        <v>Quality Control: MOTOMAN MH5F on 1.8m LSB FOR CMM</v>
      </c>
      <c r="F4150">
        <v>505</v>
      </c>
      <c r="G4150" t="str">
        <f t="shared" si="1044"/>
        <v>Y</v>
      </c>
      <c r="H4150" t="str">
        <f t="shared" si="1056"/>
        <v>EA</v>
      </c>
      <c r="I4150">
        <v>0</v>
      </c>
      <c r="J4150">
        <v>0</v>
      </c>
      <c r="K4150" t="str">
        <f t="shared" si="1045"/>
        <v>Y</v>
      </c>
      <c r="L4150">
        <v>0</v>
      </c>
      <c r="M4150" t="str">
        <f t="shared" si="1050"/>
        <v>NIS</v>
      </c>
      <c r="O4150">
        <v>14</v>
      </c>
      <c r="P4150" t="str">
        <f t="shared" si="1058"/>
        <v>Active</v>
      </c>
      <c r="Q4150" t="str">
        <f>"Parts Bin; Plastic Box"</f>
        <v>Parts Bin; Plastic Box</v>
      </c>
      <c r="R4150" t="str">
        <f>"1"</f>
        <v>1</v>
      </c>
      <c r="S4150" t="str">
        <f>"Parts Bin; Plastic Box"</f>
        <v>Parts Bin; Plastic Box</v>
      </c>
      <c r="T4150">
        <v>0</v>
      </c>
      <c r="U4150">
        <v>8.0399999999999991</v>
      </c>
      <c r="V4150">
        <v>6.39</v>
      </c>
      <c r="W4150" t="str">
        <f t="shared" si="1057"/>
        <v>rob</v>
      </c>
    </row>
    <row r="4151" spans="1:23">
      <c r="A4151" t="str">
        <f t="shared" si="1054"/>
        <v>QC-MH5F-CMM</v>
      </c>
      <c r="B4151" t="str">
        <f>"00-1251-0000"</f>
        <v>00-1251-0000</v>
      </c>
      <c r="C4151" t="str">
        <f>"Workbench 1500x800mm (Formica Top)"</f>
        <v>Workbench 1500x800mm (Formica Top)</v>
      </c>
      <c r="D4151">
        <v>1</v>
      </c>
      <c r="E4151" t="str">
        <f t="shared" si="1055"/>
        <v>Quality Control: MOTOMAN MH5F on 1.8m LSB FOR CMM</v>
      </c>
      <c r="F4151">
        <v>505</v>
      </c>
      <c r="G4151" t="str">
        <f t="shared" si="1044"/>
        <v>Y</v>
      </c>
      <c r="H4151" t="str">
        <f t="shared" si="1056"/>
        <v>EA</v>
      </c>
      <c r="I4151">
        <v>0</v>
      </c>
      <c r="J4151">
        <v>0</v>
      </c>
      <c r="K4151" t="str">
        <f t="shared" si="1045"/>
        <v>Y</v>
      </c>
      <c r="L4151">
        <v>0</v>
      </c>
      <c r="M4151" t="str">
        <f t="shared" si="1050"/>
        <v>NIS</v>
      </c>
      <c r="O4151">
        <v>15</v>
      </c>
      <c r="P4151" t="str">
        <f t="shared" si="1058"/>
        <v>Active</v>
      </c>
      <c r="Q4151" t="str">
        <f>"Workbench 1500x800mm (Formica Top)"</f>
        <v>Workbench 1500x800mm (Formica Top)</v>
      </c>
      <c r="S4151" t="str">
        <f>"Workbench 1500x800mm (Formica Top)"</f>
        <v>Workbench 1500x800mm (Formica Top)</v>
      </c>
      <c r="T4151">
        <v>0</v>
      </c>
      <c r="U4151">
        <v>582</v>
      </c>
      <c r="V4151">
        <v>588.6</v>
      </c>
      <c r="W4151" t="str">
        <f t="shared" si="1057"/>
        <v>rob</v>
      </c>
    </row>
    <row r="4152" spans="1:23">
      <c r="A4152" t="str">
        <f t="shared" si="1054"/>
        <v>QC-MH5F-CMM</v>
      </c>
      <c r="B4152" t="str">
        <f>"00-1290-0000"</f>
        <v>00-1290-0000</v>
      </c>
      <c r="C4152" t="str">
        <f>"PC Table 630x800mm (with Keyboard Drawer)"</f>
        <v>PC Table 630x800mm (with Keyboard Drawer)</v>
      </c>
      <c r="D4152">
        <v>1</v>
      </c>
      <c r="E4152" t="str">
        <f t="shared" si="1055"/>
        <v>Quality Control: MOTOMAN MH5F on 1.8m LSB FOR CMM</v>
      </c>
      <c r="F4152">
        <v>505</v>
      </c>
      <c r="G4152" t="str">
        <f t="shared" si="1044"/>
        <v>Y</v>
      </c>
      <c r="H4152" t="str">
        <f t="shared" si="1056"/>
        <v>EA</v>
      </c>
      <c r="I4152">
        <v>0</v>
      </c>
      <c r="J4152">
        <v>0</v>
      </c>
      <c r="K4152" t="str">
        <f t="shared" si="1045"/>
        <v>Y</v>
      </c>
      <c r="L4152">
        <v>0</v>
      </c>
      <c r="M4152" t="str">
        <f t="shared" si="1050"/>
        <v>NIS</v>
      </c>
      <c r="O4152">
        <v>16</v>
      </c>
      <c r="P4152" t="str">
        <f t="shared" si="1058"/>
        <v>Active</v>
      </c>
      <c r="Q4152" t="str">
        <f>"PC Table 630x800mm (with Keyboard Drawer)"</f>
        <v>PC Table 630x800mm (with Keyboard Drawer)</v>
      </c>
      <c r="S4152" t="str">
        <f>"PC Table 630x800mm (with Keyboard Drawer)"</f>
        <v>PC Table 630x800mm (with Keyboard Drawer)</v>
      </c>
      <c r="T4152">
        <v>0</v>
      </c>
      <c r="U4152">
        <v>405.86</v>
      </c>
      <c r="V4152">
        <v>329.34</v>
      </c>
      <c r="W4152" t="str">
        <f t="shared" si="1057"/>
        <v>rob</v>
      </c>
    </row>
    <row r="4153" spans="1:23">
      <c r="A4153" t="str">
        <f t="shared" si="1054"/>
        <v>QC-MH5F-CMM</v>
      </c>
      <c r="B4153" t="str">
        <f>"50-0094-0000"</f>
        <v>50-0094-0000</v>
      </c>
      <c r="C4153" t="str">
        <f>"Pre-Engineering, Design and Testing"</f>
        <v>Pre-Engineering, Design and Testing</v>
      </c>
      <c r="D4153">
        <v>1</v>
      </c>
      <c r="E4153" t="str">
        <f t="shared" si="1055"/>
        <v>Quality Control: MOTOMAN MH5F on 1.8m LSB FOR CMM</v>
      </c>
      <c r="F4153">
        <v>505</v>
      </c>
      <c r="G4153" t="str">
        <f t="shared" si="1044"/>
        <v>Y</v>
      </c>
      <c r="H4153" t="str">
        <f>"DA"</f>
        <v>DA</v>
      </c>
      <c r="I4153">
        <v>0</v>
      </c>
      <c r="J4153">
        <v>0</v>
      </c>
      <c r="K4153" t="str">
        <f t="shared" si="1045"/>
        <v>Y</v>
      </c>
      <c r="L4153">
        <v>0</v>
      </c>
      <c r="M4153" t="str">
        <f t="shared" si="1050"/>
        <v>NIS</v>
      </c>
      <c r="O4153">
        <v>17</v>
      </c>
      <c r="P4153" t="str">
        <f t="shared" si="1058"/>
        <v>Active</v>
      </c>
      <c r="Q4153" t="str">
        <f>"Pre-Engineering, Design and Testing"</f>
        <v>Pre-Engineering, Design and Testing</v>
      </c>
      <c r="S4153" t="str">
        <f>"Pre-Engineering, Design and Testing"</f>
        <v>Pre-Engineering, Design and Testing</v>
      </c>
      <c r="T4153">
        <v>0</v>
      </c>
      <c r="U4153">
        <v>405</v>
      </c>
      <c r="V4153">
        <v>421.2</v>
      </c>
      <c r="W4153" t="str">
        <f t="shared" si="1057"/>
        <v>rob</v>
      </c>
    </row>
    <row r="4154" spans="1:23">
      <c r="A4154" t="str">
        <f t="shared" ref="A4154:A4170" si="1059">"QC-MH5F-ZEISS"</f>
        <v>QC-MH5F-ZEISS</v>
      </c>
      <c r="B4154" t="str">
        <f>"00-0436-0000"</f>
        <v>00-0436-0000</v>
      </c>
      <c r="C4154" t="str">
        <f>"MH5F compact high-speed 6-axis Robot"</f>
        <v>MH5F compact high-speed 6-axis Robot</v>
      </c>
      <c r="D4154">
        <v>1</v>
      </c>
      <c r="E4154" t="str">
        <f t="shared" ref="E4154:E4170" si="1060">"Quality Control: MOTOMAN MH5F on 1.8m LSB FOR CMM DURAMAX"</f>
        <v>Quality Control: MOTOMAN MH5F on 1.8m LSB FOR CMM DURAMAX</v>
      </c>
      <c r="F4154">
        <v>505</v>
      </c>
      <c r="G4154" t="str">
        <f t="shared" si="1044"/>
        <v>Y</v>
      </c>
      <c r="H4154" t="str">
        <f t="shared" ref="H4154:H4169" si="1061">"EA"</f>
        <v>EA</v>
      </c>
      <c r="I4154">
        <v>0</v>
      </c>
      <c r="J4154">
        <v>0</v>
      </c>
      <c r="K4154" t="str">
        <f t="shared" si="1045"/>
        <v>Y</v>
      </c>
      <c r="L4154">
        <v>0</v>
      </c>
      <c r="M4154" t="str">
        <f t="shared" si="1050"/>
        <v>NIS</v>
      </c>
      <c r="O4154">
        <v>1</v>
      </c>
      <c r="P4154" t="str">
        <f t="shared" si="1058"/>
        <v>Active</v>
      </c>
      <c r="Q4154" t="str">
        <f>"MH5F compact high-speed 6-axis Robot"</f>
        <v>MH5F compact high-speed 6-axis Robot</v>
      </c>
      <c r="S4154" t="str">
        <f>"MH5F compact high-speed 6-axis Robot"</f>
        <v>MH5F compact high-speed 6-axis Robot</v>
      </c>
      <c r="T4154">
        <v>0</v>
      </c>
      <c r="U4154" s="44">
        <v>23500</v>
      </c>
      <c r="V4154" s="44">
        <v>16049.14</v>
      </c>
      <c r="W4154" t="str">
        <f t="shared" si="1057"/>
        <v>rob</v>
      </c>
    </row>
    <row r="4155" spans="1:23">
      <c r="A4155" t="str">
        <f t="shared" si="1059"/>
        <v>QC-MH5F-ZEISS</v>
      </c>
      <c r="B4155" t="str">
        <f>"00-0646-0000"</f>
        <v>00-0646-0000</v>
      </c>
      <c r="C4155" t="str">
        <f>"Pneumatic Gripper with I/O Box for Motoman MH5F"</f>
        <v>Pneumatic Gripper with I/O Box for Motoman MH5F</v>
      </c>
      <c r="D4155">
        <v>1</v>
      </c>
      <c r="E4155" t="str">
        <f t="shared" si="1060"/>
        <v>Quality Control: MOTOMAN MH5F on 1.8m LSB FOR CMM DURAMAX</v>
      </c>
      <c r="F4155">
        <v>505</v>
      </c>
      <c r="G4155" t="str">
        <f t="shared" si="1044"/>
        <v>Y</v>
      </c>
      <c r="H4155" t="str">
        <f t="shared" si="1061"/>
        <v>EA</v>
      </c>
      <c r="I4155">
        <v>0</v>
      </c>
      <c r="J4155">
        <v>0</v>
      </c>
      <c r="K4155" t="str">
        <f t="shared" si="1045"/>
        <v>Y</v>
      </c>
      <c r="L4155">
        <v>0</v>
      </c>
      <c r="M4155" t="str">
        <f t="shared" si="1050"/>
        <v>NIS</v>
      </c>
      <c r="O4155">
        <v>2</v>
      </c>
      <c r="P4155" t="str">
        <f t="shared" si="1058"/>
        <v>Active</v>
      </c>
      <c r="Q4155" t="str">
        <f>"Pneumatic Gripper with I/O Box for Motoman MH5F"</f>
        <v>Pneumatic Gripper with I/O Box for Motoman MH5F</v>
      </c>
      <c r="S4155" t="str">
        <f>"Pneumatic Gripper with I/O Box for Motoman MH5F"</f>
        <v>Pneumatic Gripper with I/O Box for Motoman MH5F</v>
      </c>
      <c r="T4155">
        <v>0</v>
      </c>
      <c r="U4155" s="44">
        <v>1500</v>
      </c>
      <c r="V4155" s="44">
        <v>1238.52</v>
      </c>
      <c r="W4155" t="str">
        <f t="shared" si="1057"/>
        <v>rob</v>
      </c>
    </row>
    <row r="4156" spans="1:23">
      <c r="A4156" t="str">
        <f t="shared" si="1059"/>
        <v>QC-MH5F-ZEISS</v>
      </c>
      <c r="B4156" t="str">
        <f>"00-1028-0000"</f>
        <v>00-1028-0000</v>
      </c>
      <c r="C4156" t="str">
        <f>"LSB 1.8m, Screw, FM, XD, for ind. robot &lt; 50kg"</f>
        <v>LSB 1.8m, Screw, FM, XD, for ind. robot &lt; 50kg</v>
      </c>
      <c r="D4156">
        <v>1</v>
      </c>
      <c r="E4156" t="str">
        <f t="shared" si="1060"/>
        <v>Quality Control: MOTOMAN MH5F on 1.8m LSB FOR CMM DURAMAX</v>
      </c>
      <c r="F4156">
        <v>505</v>
      </c>
      <c r="G4156" t="str">
        <f t="shared" si="1044"/>
        <v>Y</v>
      </c>
      <c r="H4156" t="str">
        <f t="shared" si="1061"/>
        <v>EA</v>
      </c>
      <c r="I4156">
        <v>0</v>
      </c>
      <c r="J4156">
        <v>0</v>
      </c>
      <c r="K4156" t="str">
        <f t="shared" si="1045"/>
        <v>Y</v>
      </c>
      <c r="L4156">
        <v>0</v>
      </c>
      <c r="M4156" t="str">
        <f t="shared" si="1050"/>
        <v>NIS</v>
      </c>
      <c r="O4156">
        <v>3</v>
      </c>
      <c r="P4156" t="str">
        <f>"ECO-N2Buy"</f>
        <v>ECO-N2Buy</v>
      </c>
      <c r="Q4156" t="str">
        <f>"LSB 1.8m, Screw, FloorM,XD, for ind. robot &lt;50kg"</f>
        <v>LSB 1.8m, Screw, FloorM,XD, for ind. robot &lt;50kg</v>
      </c>
      <c r="S4156" t="str">
        <f>"LSB 1.8m, Screw, FloorM,XD, for ind. robot &lt;50kg"</f>
        <v>LSB 1.8m, Screw, FloorM,XD, for ind. robot &lt;50kg</v>
      </c>
      <c r="T4156">
        <v>0</v>
      </c>
      <c r="U4156" s="44">
        <v>6989.12</v>
      </c>
      <c r="V4156" s="44">
        <v>7699.38</v>
      </c>
      <c r="W4156" t="str">
        <f t="shared" si="1057"/>
        <v>rob</v>
      </c>
    </row>
    <row r="4157" spans="1:23">
      <c r="A4157" t="str">
        <f t="shared" si="1059"/>
        <v>QC-MH5F-ZEISS</v>
      </c>
      <c r="B4157" t="str">
        <f>"00-1110-0000"</f>
        <v>00-1110-0000</v>
      </c>
      <c r="C4157" t="str">
        <f>"Palletizing Rack"</f>
        <v>Palletizing Rack</v>
      </c>
      <c r="D4157">
        <v>2</v>
      </c>
      <c r="E4157" t="str">
        <f t="shared" si="1060"/>
        <v>Quality Control: MOTOMAN MH5F on 1.8m LSB FOR CMM DURAMAX</v>
      </c>
      <c r="F4157">
        <v>505</v>
      </c>
      <c r="G4157" t="str">
        <f t="shared" si="1044"/>
        <v>Y</v>
      </c>
      <c r="H4157" t="str">
        <f t="shared" si="1061"/>
        <v>EA</v>
      </c>
      <c r="I4157">
        <v>0</v>
      </c>
      <c r="J4157">
        <v>0</v>
      </c>
      <c r="K4157" t="str">
        <f t="shared" si="1045"/>
        <v>Y</v>
      </c>
      <c r="L4157">
        <v>0</v>
      </c>
      <c r="M4157" t="str">
        <f t="shared" si="1050"/>
        <v>NIS</v>
      </c>
      <c r="O4157">
        <v>4</v>
      </c>
      <c r="P4157" t="str">
        <f>"Active"</f>
        <v>Active</v>
      </c>
      <c r="Q4157" t="str">
        <f>"Palletizing Rack (incl. Pins for creating Jigs)"</f>
        <v>Palletizing Rack (incl. Pins for creating Jigs)</v>
      </c>
      <c r="S4157" t="str">
        <f>"Palletizing Rack (incl. Pins for creating Jigs)"</f>
        <v>Palletizing Rack (incl. Pins for creating Jigs)</v>
      </c>
      <c r="T4157">
        <v>0</v>
      </c>
      <c r="U4157">
        <v>63</v>
      </c>
      <c r="V4157">
        <v>58.59</v>
      </c>
      <c r="W4157" t="str">
        <f t="shared" si="1057"/>
        <v>rob</v>
      </c>
    </row>
    <row r="4158" spans="1:23">
      <c r="A4158" t="str">
        <f t="shared" si="1059"/>
        <v>QC-MH5F-ZEISS</v>
      </c>
      <c r="B4158" t="str">
        <f>"10-1007-4000"</f>
        <v>10-1007-4000</v>
      </c>
      <c r="C4158" t="str">
        <f>"Gravity Parts Feeder (with microswitch sensor)"</f>
        <v>Gravity Parts Feeder (with microswitch sensor)</v>
      </c>
      <c r="D4158">
        <v>1</v>
      </c>
      <c r="E4158" t="str">
        <f t="shared" si="1060"/>
        <v>Quality Control: MOTOMAN MH5F on 1.8m LSB FOR CMM DURAMAX</v>
      </c>
      <c r="F4158">
        <v>505</v>
      </c>
      <c r="G4158" t="str">
        <f t="shared" si="1044"/>
        <v>Y</v>
      </c>
      <c r="H4158" t="str">
        <f t="shared" si="1061"/>
        <v>EA</v>
      </c>
      <c r="I4158">
        <v>0</v>
      </c>
      <c r="J4158">
        <v>0</v>
      </c>
      <c r="K4158" t="str">
        <f t="shared" si="1045"/>
        <v>Y</v>
      </c>
      <c r="L4158">
        <v>0</v>
      </c>
      <c r="M4158" t="str">
        <f t="shared" si="1050"/>
        <v>NIS</v>
      </c>
      <c r="O4158">
        <v>5</v>
      </c>
      <c r="P4158" t="str">
        <f>"Active"</f>
        <v>Active</v>
      </c>
      <c r="Q4158" t="str">
        <f>"Gravity Parts Feeder (incl.microswitch sensor)"</f>
        <v>Gravity Parts Feeder (incl.microswitch sensor)</v>
      </c>
      <c r="S4158" t="str">
        <f>"Gravity Parts Feeder (incl.microswitch sensor)"</f>
        <v>Gravity Parts Feeder (incl.microswitch sensor)</v>
      </c>
      <c r="T4158">
        <v>0</v>
      </c>
      <c r="U4158">
        <v>148</v>
      </c>
      <c r="V4158">
        <v>148.26</v>
      </c>
      <c r="W4158" t="str">
        <f t="shared" si="1057"/>
        <v>rob</v>
      </c>
    </row>
    <row r="4159" spans="1:23">
      <c r="A4159" t="str">
        <f t="shared" si="1059"/>
        <v>QC-MH5F-ZEISS</v>
      </c>
      <c r="B4159" t="str">
        <f>"10-2521-7000"</f>
        <v>10-2521-7000</v>
      </c>
      <c r="C4159" t="str">
        <f>"Pneumatic Feeder for Rectangular products"</f>
        <v>Pneumatic Feeder for Rectangular products</v>
      </c>
      <c r="D4159">
        <v>1</v>
      </c>
      <c r="E4159" t="str">
        <f t="shared" si="1060"/>
        <v>Quality Control: MOTOMAN MH5F on 1.8m LSB FOR CMM DURAMAX</v>
      </c>
      <c r="F4159">
        <v>505</v>
      </c>
      <c r="G4159" t="str">
        <f t="shared" si="1044"/>
        <v>Y</v>
      </c>
      <c r="H4159" t="str">
        <f t="shared" si="1061"/>
        <v>EA</v>
      </c>
      <c r="I4159">
        <v>0</v>
      </c>
      <c r="J4159">
        <v>0</v>
      </c>
      <c r="K4159" t="str">
        <f t="shared" si="1045"/>
        <v>Y</v>
      </c>
      <c r="L4159">
        <v>0</v>
      </c>
      <c r="M4159" t="str">
        <f t="shared" si="1050"/>
        <v>NIS</v>
      </c>
      <c r="O4159">
        <v>6</v>
      </c>
      <c r="P4159" t="str">
        <f>"Active"</f>
        <v>Active</v>
      </c>
      <c r="Q4159" t="str">
        <f>"Pneumatic Feeder for Rectangular Parts"</f>
        <v>Pneumatic Feeder for Rectangular Parts</v>
      </c>
      <c r="S4159" t="str">
        <f>"Pneumatic Feeder for Rectangular Parts"</f>
        <v>Pneumatic Feeder for Rectangular Parts</v>
      </c>
      <c r="T4159">
        <v>0</v>
      </c>
      <c r="U4159">
        <v>595</v>
      </c>
      <c r="V4159">
        <v>555.15</v>
      </c>
      <c r="W4159" t="str">
        <f t="shared" si="1057"/>
        <v>rob</v>
      </c>
    </row>
    <row r="4160" spans="1:23">
      <c r="A4160" t="str">
        <f t="shared" si="1059"/>
        <v>QC-MH5F-ZEISS</v>
      </c>
      <c r="B4160" t="str">
        <f>"21-0004-0000"</f>
        <v>21-0004-0000</v>
      </c>
      <c r="C4160" t="str">
        <f>"Assembly, Dual Axis Air Vise Mechanicals"</f>
        <v>Assembly, Dual Axis Air Vise Mechanicals</v>
      </c>
      <c r="D4160">
        <v>1</v>
      </c>
      <c r="E4160" t="str">
        <f t="shared" si="1060"/>
        <v>Quality Control: MOTOMAN MH5F on 1.8m LSB FOR CMM DURAMAX</v>
      </c>
      <c r="F4160">
        <v>505</v>
      </c>
      <c r="G4160" t="str">
        <f t="shared" si="1044"/>
        <v>Y</v>
      </c>
      <c r="H4160" t="str">
        <f t="shared" si="1061"/>
        <v>EA</v>
      </c>
      <c r="I4160">
        <v>0</v>
      </c>
      <c r="J4160">
        <v>0</v>
      </c>
      <c r="K4160" t="str">
        <f t="shared" si="1045"/>
        <v>Y</v>
      </c>
      <c r="L4160">
        <v>0</v>
      </c>
      <c r="M4160" t="str">
        <f t="shared" si="1050"/>
        <v>NIS</v>
      </c>
      <c r="O4160">
        <v>7</v>
      </c>
      <c r="P4160" t="str">
        <f>"Phase Out"</f>
        <v>Phase Out</v>
      </c>
      <c r="Q4160" t="str">
        <f>"Assembly, Dual Axis Air Vise Mechanicals"</f>
        <v>Assembly, Dual Axis Air Vise Mechanicals</v>
      </c>
      <c r="S4160" t="str">
        <f>"Assembly, Dual Axis Air Vise Mechanicals"</f>
        <v>Assembly, Dual Axis Air Vise Mechanicals</v>
      </c>
      <c r="T4160">
        <v>422.16</v>
      </c>
      <c r="U4160">
        <v>422</v>
      </c>
      <c r="V4160">
        <v>980.27</v>
      </c>
      <c r="W4160" t="str">
        <f t="shared" si="1057"/>
        <v>rob</v>
      </c>
    </row>
    <row r="4161" spans="1:23">
      <c r="A4161" t="str">
        <f t="shared" si="1059"/>
        <v>QC-MH5F-ZEISS</v>
      </c>
      <c r="B4161" t="str">
        <f>"10-2523-4000"</f>
        <v>10-2523-4000</v>
      </c>
      <c r="C4161" t="str">
        <f>"Solenoid Valve (24V) for Pipe 3 mm"</f>
        <v>Solenoid Valve (24V) for Pipe 3 mm</v>
      </c>
      <c r="D4161">
        <v>1</v>
      </c>
      <c r="E4161" t="str">
        <f t="shared" si="1060"/>
        <v>Quality Control: MOTOMAN MH5F on 1.8m LSB FOR CMM DURAMAX</v>
      </c>
      <c r="F4161">
        <v>505</v>
      </c>
      <c r="G4161" t="str">
        <f t="shared" si="1044"/>
        <v>Y</v>
      </c>
      <c r="H4161" t="str">
        <f t="shared" si="1061"/>
        <v>EA</v>
      </c>
      <c r="I4161">
        <v>0</v>
      </c>
      <c r="J4161">
        <v>0</v>
      </c>
      <c r="K4161" t="str">
        <f t="shared" si="1045"/>
        <v>Y</v>
      </c>
      <c r="L4161">
        <v>0</v>
      </c>
      <c r="M4161" t="str">
        <f t="shared" si="1050"/>
        <v>NIS</v>
      </c>
      <c r="O4161">
        <v>8</v>
      </c>
      <c r="P4161" t="str">
        <f t="shared" ref="P4161:P4170" si="1062">"Active"</f>
        <v>Active</v>
      </c>
      <c r="Q4161" t="str">
        <f>"Solenoid Valve (24V) for Pipe 3 mm"</f>
        <v>Solenoid Valve (24V) for Pipe 3 mm</v>
      </c>
      <c r="S4161" t="str">
        <f>"Solenoid Valve (24V) for Pipe 3 mm"</f>
        <v>Solenoid Valve (24V) for Pipe 3 mm</v>
      </c>
      <c r="T4161">
        <v>0</v>
      </c>
      <c r="U4161">
        <v>137</v>
      </c>
      <c r="V4161">
        <v>133.35</v>
      </c>
      <c r="W4161" t="str">
        <f t="shared" si="1057"/>
        <v>rob</v>
      </c>
    </row>
    <row r="4162" spans="1:23">
      <c r="A4162" t="str">
        <f t="shared" si="1059"/>
        <v>QC-MH5F-ZEISS</v>
      </c>
      <c r="B4162" t="str">
        <f>"021152"</f>
        <v>021152</v>
      </c>
      <c r="C4162" t="str">
        <f>"Shelf Buffer for CIM conveyor"</f>
        <v>Shelf Buffer for CIM conveyor</v>
      </c>
      <c r="D4162">
        <v>1</v>
      </c>
      <c r="E4162" t="str">
        <f t="shared" si="1060"/>
        <v>Quality Control: MOTOMAN MH5F on 1.8m LSB FOR CMM DURAMAX</v>
      </c>
      <c r="F4162">
        <v>505</v>
      </c>
      <c r="G4162" t="str">
        <f t="shared" ref="G4162:G4225" si="1063">"Y"</f>
        <v>Y</v>
      </c>
      <c r="H4162" t="str">
        <f t="shared" si="1061"/>
        <v>EA</v>
      </c>
      <c r="I4162">
        <v>0</v>
      </c>
      <c r="J4162">
        <v>0</v>
      </c>
      <c r="K4162" t="str">
        <f t="shared" ref="K4162:K4225" si="1064">"Y"</f>
        <v>Y</v>
      </c>
      <c r="L4162">
        <v>0</v>
      </c>
      <c r="M4162" t="str">
        <f t="shared" si="1050"/>
        <v>NIS</v>
      </c>
      <c r="O4162">
        <v>9</v>
      </c>
      <c r="P4162" t="str">
        <f t="shared" si="1062"/>
        <v>Active</v>
      </c>
      <c r="Q4162" t="str">
        <f>"מכלול- מדף בפר סטנדרטי OPEN-CIM"</f>
        <v>מכלול- מדף בפר סטנדרטי OPEN-CIM</v>
      </c>
      <c r="R4162" t="str">
        <f>"1"</f>
        <v>1</v>
      </c>
      <c r="S4162" t="str">
        <f>"מכלול- מדף בפר סטנדרטי OPEN-CIM"</f>
        <v>מכלול- מדף בפר סטנדרטי OPEN-CIM</v>
      </c>
      <c r="T4162">
        <v>0</v>
      </c>
      <c r="U4162">
        <v>83.12</v>
      </c>
      <c r="V4162">
        <v>92.76</v>
      </c>
      <c r="W4162" t="str">
        <f t="shared" si="1057"/>
        <v>rob</v>
      </c>
    </row>
    <row r="4163" spans="1:23">
      <c r="A4163" t="str">
        <f t="shared" si="1059"/>
        <v>QC-MH5F-ZEISS</v>
      </c>
      <c r="B4163" t="str">
        <f>"50-0092-0000"</f>
        <v>50-0092-0000</v>
      </c>
      <c r="C4163" t="str">
        <f>"Interface Programming for 3rd Party CNC Machine"</f>
        <v>Interface Programming for 3rd Party CNC Machine</v>
      </c>
      <c r="D4163">
        <v>1</v>
      </c>
      <c r="E4163" t="str">
        <f t="shared" si="1060"/>
        <v>Quality Control: MOTOMAN MH5F on 1.8m LSB FOR CMM DURAMAX</v>
      </c>
      <c r="F4163">
        <v>505</v>
      </c>
      <c r="G4163" t="str">
        <f t="shared" si="1063"/>
        <v>Y</v>
      </c>
      <c r="H4163" t="str">
        <f t="shared" si="1061"/>
        <v>EA</v>
      </c>
      <c r="I4163">
        <v>0</v>
      </c>
      <c r="J4163">
        <v>0</v>
      </c>
      <c r="K4163" t="str">
        <f t="shared" si="1064"/>
        <v>Y</v>
      </c>
      <c r="L4163">
        <v>0</v>
      </c>
      <c r="M4163" t="str">
        <f t="shared" si="1050"/>
        <v>NIS</v>
      </c>
      <c r="O4163">
        <v>10</v>
      </c>
      <c r="P4163" t="str">
        <f t="shared" si="1062"/>
        <v>Active</v>
      </c>
      <c r="Q4163" t="str">
        <f>"Interface Programming for 3rd Party CNC Machine"</f>
        <v>Interface Programming for 3rd Party CNC Machine</v>
      </c>
      <c r="S4163" t="str">
        <f>"Interface Programming for 3rd Party CNC Machine"</f>
        <v>Interface Programming for 3rd Party CNC Machine</v>
      </c>
      <c r="T4163">
        <v>0</v>
      </c>
      <c r="U4163" s="44">
        <v>1000</v>
      </c>
      <c r="V4163" s="44">
        <v>1000</v>
      </c>
      <c r="W4163" t="str">
        <f t="shared" si="1057"/>
        <v>rob</v>
      </c>
    </row>
    <row r="4164" spans="1:23">
      <c r="A4164" t="str">
        <f t="shared" si="1059"/>
        <v>QC-MH5F-ZEISS</v>
      </c>
      <c r="B4164" t="str">
        <f>"00-1422-0000"</f>
        <v>00-1422-0000</v>
      </c>
      <c r="C4164" t="str">
        <f>"Viewflex for QC (Stand 400mm)"</f>
        <v>Viewflex for QC (Stand 400mm)</v>
      </c>
      <c r="D4164">
        <v>1</v>
      </c>
      <c r="E4164" t="str">
        <f t="shared" si="1060"/>
        <v>Quality Control: MOTOMAN MH5F on 1.8m LSB FOR CMM DURAMAX</v>
      </c>
      <c r="F4164">
        <v>505</v>
      </c>
      <c r="G4164" t="str">
        <f t="shared" si="1063"/>
        <v>Y</v>
      </c>
      <c r="H4164" t="str">
        <f t="shared" si="1061"/>
        <v>EA</v>
      </c>
      <c r="I4164">
        <v>0</v>
      </c>
      <c r="J4164">
        <v>0</v>
      </c>
      <c r="K4164" t="str">
        <f t="shared" si="1064"/>
        <v>Y</v>
      </c>
      <c r="L4164">
        <v>0</v>
      </c>
      <c r="M4164" t="str">
        <f t="shared" si="1050"/>
        <v>NIS</v>
      </c>
      <c r="O4164">
        <v>11</v>
      </c>
      <c r="P4164" t="str">
        <f t="shared" si="1062"/>
        <v>Active</v>
      </c>
      <c r="Q4164" t="str">
        <f>"Viewflex for QC (Stand 400mm)"</f>
        <v>Viewflex for QC (Stand 400mm)</v>
      </c>
      <c r="S4164" t="str">
        <f>"Viewflex for QC (Stand 400mm)"</f>
        <v>Viewflex for QC (Stand 400mm)</v>
      </c>
      <c r="T4164">
        <v>0</v>
      </c>
      <c r="U4164">
        <v>560</v>
      </c>
      <c r="V4164">
        <v>511.35</v>
      </c>
      <c r="W4164" t="str">
        <f t="shared" si="1057"/>
        <v>rob</v>
      </c>
    </row>
    <row r="4165" spans="1:23">
      <c r="A4165" t="str">
        <f t="shared" si="1059"/>
        <v>QC-MH5F-ZEISS</v>
      </c>
      <c r="B4165" t="str">
        <f>"113096"</f>
        <v>113096</v>
      </c>
      <c r="C4165" t="str">
        <f>"Plexiglass Cylinders Base"</f>
        <v>Plexiglass Cylinders Base</v>
      </c>
      <c r="D4165">
        <v>5</v>
      </c>
      <c r="E4165" t="str">
        <f t="shared" si="1060"/>
        <v>Quality Control: MOTOMAN MH5F on 1.8m LSB FOR CMM DURAMAX</v>
      </c>
      <c r="F4165">
        <v>505</v>
      </c>
      <c r="G4165" t="str">
        <f t="shared" si="1063"/>
        <v>Y</v>
      </c>
      <c r="H4165" t="str">
        <f t="shared" si="1061"/>
        <v>EA</v>
      </c>
      <c r="I4165">
        <v>0</v>
      </c>
      <c r="J4165">
        <v>0</v>
      </c>
      <c r="K4165" t="str">
        <f t="shared" si="1064"/>
        <v>Y</v>
      </c>
      <c r="L4165">
        <v>0</v>
      </c>
      <c r="M4165" t="str">
        <f t="shared" si="1050"/>
        <v>NIS</v>
      </c>
      <c r="O4165">
        <v>12</v>
      </c>
      <c r="P4165" t="str">
        <f t="shared" si="1062"/>
        <v>Active</v>
      </c>
      <c r="Q4165" t="str">
        <f>"Plexiglass Cylinders Base"</f>
        <v>Plexiglass Cylinders Base</v>
      </c>
      <c r="S4165" t="str">
        <f>"Plexiglass Cylinders Base"</f>
        <v>Plexiglass Cylinders Base</v>
      </c>
      <c r="T4165">
        <v>0</v>
      </c>
      <c r="U4165">
        <v>7</v>
      </c>
      <c r="V4165">
        <v>6.83</v>
      </c>
      <c r="W4165" t="str">
        <f t="shared" si="1057"/>
        <v>rob</v>
      </c>
    </row>
    <row r="4166" spans="1:23">
      <c r="A4166" t="str">
        <f t="shared" si="1059"/>
        <v>QC-MH5F-ZEISS</v>
      </c>
      <c r="B4166" t="str">
        <f>"112713"</f>
        <v>112713</v>
      </c>
      <c r="C4166" t="str">
        <f>"Marked Aluminum Cylinder"</f>
        <v>Marked Aluminum Cylinder</v>
      </c>
      <c r="D4166">
        <v>5</v>
      </c>
      <c r="E4166" t="str">
        <f t="shared" si="1060"/>
        <v>Quality Control: MOTOMAN MH5F on 1.8m LSB FOR CMM DURAMAX</v>
      </c>
      <c r="F4166">
        <v>505</v>
      </c>
      <c r="G4166" t="str">
        <f t="shared" si="1063"/>
        <v>Y</v>
      </c>
      <c r="H4166" t="str">
        <f t="shared" si="1061"/>
        <v>EA</v>
      </c>
      <c r="I4166">
        <v>0</v>
      </c>
      <c r="J4166">
        <v>0</v>
      </c>
      <c r="K4166" t="str">
        <f t="shared" si="1064"/>
        <v>Y</v>
      </c>
      <c r="L4166">
        <v>0</v>
      </c>
      <c r="M4166" t="str">
        <f t="shared" si="1050"/>
        <v>NIS</v>
      </c>
      <c r="O4166">
        <v>13</v>
      </c>
      <c r="P4166" t="str">
        <f t="shared" si="1062"/>
        <v>Active</v>
      </c>
      <c r="Q4166" t="str">
        <f>"Mark Al. Cylinder Diam. 35x28"</f>
        <v>Mark Al. Cylinder Diam. 35x28</v>
      </c>
      <c r="S4166" t="str">
        <f>"Mark Al. Cylinder Diam. 35x28"</f>
        <v>Mark Al. Cylinder Diam. 35x28</v>
      </c>
      <c r="T4166">
        <v>0</v>
      </c>
      <c r="U4166">
        <v>6</v>
      </c>
      <c r="V4166">
        <v>5.97</v>
      </c>
      <c r="W4166" t="str">
        <f t="shared" si="1057"/>
        <v>rob</v>
      </c>
    </row>
    <row r="4167" spans="1:23">
      <c r="A4167" t="str">
        <f t="shared" si="1059"/>
        <v>QC-MH5F-ZEISS</v>
      </c>
      <c r="B4167" t="str">
        <f>"113316"</f>
        <v>113316</v>
      </c>
      <c r="C4167" t="str">
        <f>"Parts Bin"</f>
        <v>Parts Bin</v>
      </c>
      <c r="D4167">
        <v>1</v>
      </c>
      <c r="E4167" t="str">
        <f t="shared" si="1060"/>
        <v>Quality Control: MOTOMAN MH5F on 1.8m LSB FOR CMM DURAMAX</v>
      </c>
      <c r="F4167">
        <v>505</v>
      </c>
      <c r="G4167" t="str">
        <f t="shared" si="1063"/>
        <v>Y</v>
      </c>
      <c r="H4167" t="str">
        <f t="shared" si="1061"/>
        <v>EA</v>
      </c>
      <c r="I4167">
        <v>0</v>
      </c>
      <c r="J4167">
        <v>0</v>
      </c>
      <c r="K4167" t="str">
        <f t="shared" si="1064"/>
        <v>Y</v>
      </c>
      <c r="L4167">
        <v>0</v>
      </c>
      <c r="M4167" t="str">
        <f t="shared" si="1050"/>
        <v>NIS</v>
      </c>
      <c r="O4167">
        <v>14</v>
      </c>
      <c r="P4167" t="str">
        <f t="shared" si="1062"/>
        <v>Active</v>
      </c>
      <c r="Q4167" t="str">
        <f>"Parts Bin; Plastic Box"</f>
        <v>Parts Bin; Plastic Box</v>
      </c>
      <c r="R4167" t="str">
        <f>"1"</f>
        <v>1</v>
      </c>
      <c r="S4167" t="str">
        <f>"Parts Bin; Plastic Box"</f>
        <v>Parts Bin; Plastic Box</v>
      </c>
      <c r="T4167">
        <v>0</v>
      </c>
      <c r="U4167">
        <v>8.0399999999999991</v>
      </c>
      <c r="V4167">
        <v>6.39</v>
      </c>
      <c r="W4167" t="str">
        <f t="shared" si="1057"/>
        <v>rob</v>
      </c>
    </row>
    <row r="4168" spans="1:23">
      <c r="A4168" t="str">
        <f t="shared" si="1059"/>
        <v>QC-MH5F-ZEISS</v>
      </c>
      <c r="B4168" t="str">
        <f>"00-1251-0000"</f>
        <v>00-1251-0000</v>
      </c>
      <c r="C4168" t="str">
        <f>"Workbench 1500x800mm (Formica Top)"</f>
        <v>Workbench 1500x800mm (Formica Top)</v>
      </c>
      <c r="D4168">
        <v>1</v>
      </c>
      <c r="E4168" t="str">
        <f t="shared" si="1060"/>
        <v>Quality Control: MOTOMAN MH5F on 1.8m LSB FOR CMM DURAMAX</v>
      </c>
      <c r="F4168">
        <v>505</v>
      </c>
      <c r="G4168" t="str">
        <f t="shared" si="1063"/>
        <v>Y</v>
      </c>
      <c r="H4168" t="str">
        <f t="shared" si="1061"/>
        <v>EA</v>
      </c>
      <c r="I4168">
        <v>0</v>
      </c>
      <c r="J4168">
        <v>0</v>
      </c>
      <c r="K4168" t="str">
        <f t="shared" si="1064"/>
        <v>Y</v>
      </c>
      <c r="L4168">
        <v>0</v>
      </c>
      <c r="M4168" t="str">
        <f t="shared" si="1050"/>
        <v>NIS</v>
      </c>
      <c r="O4168">
        <v>15</v>
      </c>
      <c r="P4168" t="str">
        <f t="shared" si="1062"/>
        <v>Active</v>
      </c>
      <c r="Q4168" t="str">
        <f>"Workbench 1500x800mm (Formica Top)"</f>
        <v>Workbench 1500x800mm (Formica Top)</v>
      </c>
      <c r="S4168" t="str">
        <f>"Workbench 1500x800mm (Formica Top)"</f>
        <v>Workbench 1500x800mm (Formica Top)</v>
      </c>
      <c r="T4168">
        <v>0</v>
      </c>
      <c r="U4168">
        <v>582</v>
      </c>
      <c r="V4168">
        <v>588.6</v>
      </c>
      <c r="W4168" t="str">
        <f t="shared" si="1057"/>
        <v>rob</v>
      </c>
    </row>
    <row r="4169" spans="1:23">
      <c r="A4169" t="str">
        <f t="shared" si="1059"/>
        <v>QC-MH5F-ZEISS</v>
      </c>
      <c r="B4169" t="str">
        <f>"00-1290-0000"</f>
        <v>00-1290-0000</v>
      </c>
      <c r="C4169" t="str">
        <f>"PC Table 630x800mm (with Keyboard Drawer)"</f>
        <v>PC Table 630x800mm (with Keyboard Drawer)</v>
      </c>
      <c r="D4169">
        <v>1</v>
      </c>
      <c r="E4169" t="str">
        <f t="shared" si="1060"/>
        <v>Quality Control: MOTOMAN MH5F on 1.8m LSB FOR CMM DURAMAX</v>
      </c>
      <c r="F4169">
        <v>505</v>
      </c>
      <c r="G4169" t="str">
        <f t="shared" si="1063"/>
        <v>Y</v>
      </c>
      <c r="H4169" t="str">
        <f t="shared" si="1061"/>
        <v>EA</v>
      </c>
      <c r="I4169">
        <v>0</v>
      </c>
      <c r="J4169">
        <v>0</v>
      </c>
      <c r="K4169" t="str">
        <f t="shared" si="1064"/>
        <v>Y</v>
      </c>
      <c r="L4169">
        <v>0</v>
      </c>
      <c r="M4169" t="str">
        <f t="shared" si="1050"/>
        <v>NIS</v>
      </c>
      <c r="O4169">
        <v>16</v>
      </c>
      <c r="P4169" t="str">
        <f t="shared" si="1062"/>
        <v>Active</v>
      </c>
      <c r="Q4169" t="str">
        <f>"PC Table 630x800mm (with Keyboard Drawer)"</f>
        <v>PC Table 630x800mm (with Keyboard Drawer)</v>
      </c>
      <c r="S4169" t="str">
        <f>"PC Table 630x800mm (with Keyboard Drawer)"</f>
        <v>PC Table 630x800mm (with Keyboard Drawer)</v>
      </c>
      <c r="T4169">
        <v>0</v>
      </c>
      <c r="U4169">
        <v>405.86</v>
      </c>
      <c r="V4169">
        <v>329.34</v>
      </c>
      <c r="W4169" t="str">
        <f t="shared" si="1057"/>
        <v>rob</v>
      </c>
    </row>
    <row r="4170" spans="1:23">
      <c r="A4170" t="str">
        <f t="shared" si="1059"/>
        <v>QC-MH5F-ZEISS</v>
      </c>
      <c r="B4170" t="str">
        <f>"50-0094-0000"</f>
        <v>50-0094-0000</v>
      </c>
      <c r="C4170" t="str">
        <f>"Pre-Engineering, Design and Testing"</f>
        <v>Pre-Engineering, Design and Testing</v>
      </c>
      <c r="D4170">
        <v>1</v>
      </c>
      <c r="E4170" t="str">
        <f t="shared" si="1060"/>
        <v>Quality Control: MOTOMAN MH5F on 1.8m LSB FOR CMM DURAMAX</v>
      </c>
      <c r="F4170">
        <v>505</v>
      </c>
      <c r="G4170" t="str">
        <f t="shared" si="1063"/>
        <v>Y</v>
      </c>
      <c r="H4170" t="str">
        <f>"DA"</f>
        <v>DA</v>
      </c>
      <c r="I4170">
        <v>0</v>
      </c>
      <c r="J4170">
        <v>0</v>
      </c>
      <c r="K4170" t="str">
        <f t="shared" si="1064"/>
        <v>Y</v>
      </c>
      <c r="L4170">
        <v>0</v>
      </c>
      <c r="M4170" t="str">
        <f t="shared" si="1050"/>
        <v>NIS</v>
      </c>
      <c r="O4170">
        <v>17</v>
      </c>
      <c r="P4170" t="str">
        <f t="shared" si="1062"/>
        <v>Active</v>
      </c>
      <c r="Q4170" t="str">
        <f>"Pre-Engineering, Design and Testing"</f>
        <v>Pre-Engineering, Design and Testing</v>
      </c>
      <c r="S4170" t="str">
        <f>"Pre-Engineering, Design and Testing"</f>
        <v>Pre-Engineering, Design and Testing</v>
      </c>
      <c r="T4170">
        <v>0</v>
      </c>
      <c r="U4170">
        <v>405</v>
      </c>
      <c r="V4170">
        <v>421.2</v>
      </c>
      <c r="W4170" t="str">
        <f t="shared" si="1057"/>
        <v>rob</v>
      </c>
    </row>
    <row r="4171" spans="1:23">
      <c r="A4171" t="str">
        <f>"QC-OPT-VSN-1"</f>
        <v>QC-OPT-VSN-1</v>
      </c>
      <c r="B4171" t="str">
        <f>"00-1425-0000"</f>
        <v>00-1425-0000</v>
      </c>
      <c r="C4171" t="str">
        <f>"Viewflex for QC on Conveyor (Stand 400mm)"</f>
        <v>Viewflex for QC on Conveyor (Stand 400mm)</v>
      </c>
      <c r="D4171">
        <v>1</v>
      </c>
      <c r="E4171" t="str">
        <f>"Quality Control: Vision Control Option (low stand)"</f>
        <v>Quality Control: Vision Control Option (low stand)</v>
      </c>
      <c r="F4171">
        <v>505</v>
      </c>
      <c r="G4171" t="str">
        <f t="shared" si="1063"/>
        <v>Y</v>
      </c>
      <c r="H4171" t="str">
        <f t="shared" ref="H4171:H4234" si="1065">"EA"</f>
        <v>EA</v>
      </c>
      <c r="I4171">
        <v>0</v>
      </c>
      <c r="J4171">
        <v>0</v>
      </c>
      <c r="K4171" t="str">
        <f t="shared" si="1064"/>
        <v>Y</v>
      </c>
      <c r="L4171">
        <v>0</v>
      </c>
      <c r="M4171" t="str">
        <f t="shared" si="1050"/>
        <v>NIS</v>
      </c>
      <c r="O4171">
        <v>1</v>
      </c>
      <c r="P4171" t="str">
        <f>"ECO-N2Buy"</f>
        <v>ECO-N2Buy</v>
      </c>
      <c r="Q4171" t="str">
        <f>"Viewflex for QC on Conveyor (Stand 400mm)"</f>
        <v>Viewflex for QC on Conveyor (Stand 400mm)</v>
      </c>
      <c r="S4171" t="str">
        <f>"Viewflex for QC on Conveyor (Stand 400mm)"</f>
        <v>Viewflex for QC on Conveyor (Stand 400mm)</v>
      </c>
      <c r="T4171">
        <v>0</v>
      </c>
      <c r="U4171">
        <v>550</v>
      </c>
      <c r="V4171">
        <v>526.66</v>
      </c>
      <c r="W4171" t="str">
        <f t="shared" si="1057"/>
        <v>rob</v>
      </c>
    </row>
    <row r="4172" spans="1:23">
      <c r="A4172" t="str">
        <f>"QC-OPT-VSN-1"</f>
        <v>QC-OPT-VSN-1</v>
      </c>
      <c r="B4172" t="str">
        <f>"113316"</f>
        <v>113316</v>
      </c>
      <c r="C4172" t="str">
        <f>"Parts Bin"</f>
        <v>Parts Bin</v>
      </c>
      <c r="D4172">
        <v>1</v>
      </c>
      <c r="E4172" t="str">
        <f>"Quality Control: Vision Control Option (low stand)"</f>
        <v>Quality Control: Vision Control Option (low stand)</v>
      </c>
      <c r="F4172">
        <v>505</v>
      </c>
      <c r="G4172" t="str">
        <f t="shared" si="1063"/>
        <v>Y</v>
      </c>
      <c r="H4172" t="str">
        <f t="shared" si="1065"/>
        <v>EA</v>
      </c>
      <c r="I4172">
        <v>0</v>
      </c>
      <c r="J4172">
        <v>0</v>
      </c>
      <c r="K4172" t="str">
        <f t="shared" si="1064"/>
        <v>Y</v>
      </c>
      <c r="L4172">
        <v>0</v>
      </c>
      <c r="M4172" t="str">
        <f t="shared" si="1050"/>
        <v>NIS</v>
      </c>
      <c r="O4172">
        <v>2</v>
      </c>
      <c r="P4172" t="str">
        <f t="shared" ref="P4172:P4203" si="1066">"Active"</f>
        <v>Active</v>
      </c>
      <c r="Q4172" t="str">
        <f>"Parts Bin; Plastic Box"</f>
        <v>Parts Bin; Plastic Box</v>
      </c>
      <c r="R4172" t="str">
        <f>"1"</f>
        <v>1</v>
      </c>
      <c r="S4172" t="str">
        <f>"Parts Bin; Plastic Box"</f>
        <v>Parts Bin; Plastic Box</v>
      </c>
      <c r="T4172">
        <v>0</v>
      </c>
      <c r="U4172">
        <v>8.0399999999999991</v>
      </c>
      <c r="V4172">
        <v>6.39</v>
      </c>
      <c r="W4172" t="str">
        <f t="shared" si="1057"/>
        <v>rob</v>
      </c>
    </row>
    <row r="4173" spans="1:23">
      <c r="A4173" t="str">
        <f>"QC-OPT-VSN-1"</f>
        <v>QC-OPT-VSN-1</v>
      </c>
      <c r="B4173" t="str">
        <f>"112713"</f>
        <v>112713</v>
      </c>
      <c r="C4173" t="str">
        <f>"Marked Aluminum Cylinder"</f>
        <v>Marked Aluminum Cylinder</v>
      </c>
      <c r="D4173">
        <v>1</v>
      </c>
      <c r="E4173" t="str">
        <f>"Quality Control: Vision Control Option (low stand)"</f>
        <v>Quality Control: Vision Control Option (low stand)</v>
      </c>
      <c r="F4173">
        <v>505</v>
      </c>
      <c r="G4173" t="str">
        <f t="shared" si="1063"/>
        <v>Y</v>
      </c>
      <c r="H4173" t="str">
        <f t="shared" si="1065"/>
        <v>EA</v>
      </c>
      <c r="I4173">
        <v>0</v>
      </c>
      <c r="J4173">
        <v>0</v>
      </c>
      <c r="K4173" t="str">
        <f t="shared" si="1064"/>
        <v>Y</v>
      </c>
      <c r="L4173">
        <v>0</v>
      </c>
      <c r="M4173" t="str">
        <f t="shared" si="1050"/>
        <v>NIS</v>
      </c>
      <c r="O4173">
        <v>3</v>
      </c>
      <c r="P4173" t="str">
        <f t="shared" si="1066"/>
        <v>Active</v>
      </c>
      <c r="Q4173" t="str">
        <f>"Mark Al. Cylinder Diam. 35x28 MicroCIM"</f>
        <v>Mark Al. Cylinder Diam. 35x28 MicroCIM</v>
      </c>
      <c r="S4173" t="str">
        <f>"Mark Al. Cylinder Diam. 35x28"</f>
        <v>Mark Al. Cylinder Diam. 35x28</v>
      </c>
      <c r="T4173">
        <v>0</v>
      </c>
      <c r="U4173">
        <v>6</v>
      </c>
      <c r="V4173">
        <v>5.97</v>
      </c>
      <c r="W4173" t="str">
        <f t="shared" si="1057"/>
        <v>rob</v>
      </c>
    </row>
    <row r="4174" spans="1:23">
      <c r="A4174" t="str">
        <f>"QC-OPT-VSN-1"</f>
        <v>QC-OPT-VSN-1</v>
      </c>
      <c r="B4174" t="str">
        <f>"113096"</f>
        <v>113096</v>
      </c>
      <c r="C4174" t="str">
        <f>"Plexiglass Cylinders Base"</f>
        <v>Plexiglass Cylinders Base</v>
      </c>
      <c r="D4174">
        <v>1</v>
      </c>
      <c r="E4174" t="str">
        <f>"Quality Control: Vision Control Option (low stand)"</f>
        <v>Quality Control: Vision Control Option (low stand)</v>
      </c>
      <c r="F4174">
        <v>505</v>
      </c>
      <c r="G4174" t="str">
        <f t="shared" si="1063"/>
        <v>Y</v>
      </c>
      <c r="H4174" t="str">
        <f t="shared" si="1065"/>
        <v>EA</v>
      </c>
      <c r="I4174">
        <v>0</v>
      </c>
      <c r="J4174">
        <v>0</v>
      </c>
      <c r="K4174" t="str">
        <f t="shared" si="1064"/>
        <v>Y</v>
      </c>
      <c r="L4174">
        <v>0</v>
      </c>
      <c r="M4174" t="str">
        <f t="shared" si="1050"/>
        <v>NIS</v>
      </c>
      <c r="O4174">
        <v>4</v>
      </c>
      <c r="P4174" t="str">
        <f t="shared" si="1066"/>
        <v>Active</v>
      </c>
      <c r="Q4174" t="str">
        <f>"Plexiglass Cylinders Base MicroCIM"</f>
        <v>Plexiglass Cylinders Base MicroCIM</v>
      </c>
      <c r="S4174" t="str">
        <f>"Plexiglass Cylinders Base"</f>
        <v>Plexiglass Cylinders Base</v>
      </c>
      <c r="T4174">
        <v>0</v>
      </c>
      <c r="U4174">
        <v>7</v>
      </c>
      <c r="V4174">
        <v>6.83</v>
      </c>
      <c r="W4174" t="str">
        <f t="shared" si="1057"/>
        <v>rob</v>
      </c>
    </row>
    <row r="4175" spans="1:23">
      <c r="A4175" t="str">
        <f>"QC-OPT-VSN-1"</f>
        <v>QC-OPT-VSN-1</v>
      </c>
      <c r="B4175" t="str">
        <f>"00-1013-0000"</f>
        <v>00-1013-0000</v>
      </c>
      <c r="C4175" t="str">
        <f>"Linear Positioning Table 300mm"</f>
        <v>Linear Positioning Table 300mm</v>
      </c>
      <c r="D4175">
        <v>1</v>
      </c>
      <c r="E4175" t="str">
        <f>"Quality Control: Vision Control Option (low stand)"</f>
        <v>Quality Control: Vision Control Option (low stand)</v>
      </c>
      <c r="F4175">
        <v>505</v>
      </c>
      <c r="G4175" t="str">
        <f t="shared" si="1063"/>
        <v>Y</v>
      </c>
      <c r="H4175" t="str">
        <f t="shared" si="1065"/>
        <v>EA</v>
      </c>
      <c r="I4175">
        <v>0</v>
      </c>
      <c r="J4175">
        <v>0</v>
      </c>
      <c r="K4175" t="str">
        <f t="shared" si="1064"/>
        <v>Y</v>
      </c>
      <c r="L4175">
        <v>0</v>
      </c>
      <c r="M4175" t="str">
        <f t="shared" si="1050"/>
        <v>NIS</v>
      </c>
      <c r="O4175">
        <v>5</v>
      </c>
      <c r="P4175" t="str">
        <f t="shared" si="1066"/>
        <v>Active</v>
      </c>
      <c r="Q4175" t="str">
        <f>"Linear Positioning Table 300mm (Belt Drive, 24V)"</f>
        <v>Linear Positioning Table 300mm (Belt Drive, 24V)</v>
      </c>
      <c r="S4175" t="str">
        <f>"Linear Positioning Table 300mm (Belt Drive, 24V)"</f>
        <v>Linear Positioning Table 300mm (Belt Drive, 24V)</v>
      </c>
      <c r="T4175">
        <v>0</v>
      </c>
      <c r="U4175">
        <v>894.02</v>
      </c>
      <c r="V4175">
        <v>879.29</v>
      </c>
      <c r="W4175" t="str">
        <f t="shared" si="1057"/>
        <v>rob</v>
      </c>
    </row>
    <row r="4176" spans="1:23">
      <c r="A4176" t="str">
        <f>"QC-OPT-VSN-2"</f>
        <v>QC-OPT-VSN-2</v>
      </c>
      <c r="B4176" t="str">
        <f>"00-1426-0000"</f>
        <v>00-1426-0000</v>
      </c>
      <c r="C4176" t="str">
        <f>"Viewflex - Machine Vision (Stand 1000mm)"</f>
        <v>Viewflex - Machine Vision (Stand 1000mm)</v>
      </c>
      <c r="D4176">
        <v>1</v>
      </c>
      <c r="E4176" t="str">
        <f>"Quality Control: Vision Control Option (high stand)"</f>
        <v>Quality Control: Vision Control Option (high stand)</v>
      </c>
      <c r="F4176">
        <v>505</v>
      </c>
      <c r="G4176" t="str">
        <f t="shared" si="1063"/>
        <v>Y</v>
      </c>
      <c r="H4176" t="str">
        <f t="shared" si="1065"/>
        <v>EA</v>
      </c>
      <c r="I4176">
        <v>0</v>
      </c>
      <c r="J4176">
        <v>0</v>
      </c>
      <c r="K4176" t="str">
        <f t="shared" si="1064"/>
        <v>Y</v>
      </c>
      <c r="L4176">
        <v>0</v>
      </c>
      <c r="M4176" t="str">
        <f t="shared" si="1050"/>
        <v>NIS</v>
      </c>
      <c r="O4176">
        <v>1</v>
      </c>
      <c r="P4176" t="str">
        <f t="shared" si="1066"/>
        <v>Active</v>
      </c>
      <c r="Q4176" t="str">
        <f>"Viewflex for Robot Guidance (Stand 1000mm)"</f>
        <v>Viewflex for Robot Guidance (Stand 1000mm)</v>
      </c>
      <c r="S4176" t="str">
        <f>"Viewflex for Robot Guidance (Stand 1000mm)"</f>
        <v>Viewflex for Robot Guidance (Stand 1000mm)</v>
      </c>
      <c r="T4176">
        <v>0</v>
      </c>
      <c r="U4176">
        <v>610.01</v>
      </c>
      <c r="V4176">
        <v>569.09</v>
      </c>
      <c r="W4176" t="str">
        <f t="shared" si="1057"/>
        <v>rob</v>
      </c>
    </row>
    <row r="4177" spans="1:23">
      <c r="A4177" t="str">
        <f>"QC-OPT-VSN-2"</f>
        <v>QC-OPT-VSN-2</v>
      </c>
      <c r="B4177" t="str">
        <f>"113316"</f>
        <v>113316</v>
      </c>
      <c r="C4177" t="str">
        <f>"Parts Bin"</f>
        <v>Parts Bin</v>
      </c>
      <c r="D4177">
        <v>1</v>
      </c>
      <c r="E4177" t="str">
        <f>"Quality Control: Vision Control Option (high stand)"</f>
        <v>Quality Control: Vision Control Option (high stand)</v>
      </c>
      <c r="F4177">
        <v>505</v>
      </c>
      <c r="G4177" t="str">
        <f t="shared" si="1063"/>
        <v>Y</v>
      </c>
      <c r="H4177" t="str">
        <f t="shared" si="1065"/>
        <v>EA</v>
      </c>
      <c r="I4177">
        <v>0</v>
      </c>
      <c r="J4177">
        <v>0</v>
      </c>
      <c r="K4177" t="str">
        <f t="shared" si="1064"/>
        <v>Y</v>
      </c>
      <c r="L4177">
        <v>0</v>
      </c>
      <c r="M4177" t="str">
        <f t="shared" si="1050"/>
        <v>NIS</v>
      </c>
      <c r="O4177">
        <v>2</v>
      </c>
      <c r="P4177" t="str">
        <f t="shared" si="1066"/>
        <v>Active</v>
      </c>
      <c r="Q4177" t="str">
        <f>"Parts Bin; Plastic Box"</f>
        <v>Parts Bin; Plastic Box</v>
      </c>
      <c r="R4177" t="str">
        <f>"1"</f>
        <v>1</v>
      </c>
      <c r="S4177" t="str">
        <f>"Parts Bin; Plastic Box"</f>
        <v>Parts Bin; Plastic Box</v>
      </c>
      <c r="T4177">
        <v>0</v>
      </c>
      <c r="U4177">
        <v>8.0399999999999991</v>
      </c>
      <c r="V4177">
        <v>6.39</v>
      </c>
      <c r="W4177" t="str">
        <f t="shared" si="1057"/>
        <v>rob</v>
      </c>
    </row>
    <row r="4178" spans="1:23">
      <c r="A4178" t="str">
        <f>"QC-OPT-VSN-2"</f>
        <v>QC-OPT-VSN-2</v>
      </c>
      <c r="B4178" t="str">
        <f>"112713"</f>
        <v>112713</v>
      </c>
      <c r="C4178" t="str">
        <f>"Marked Aluminum Cylinder"</f>
        <v>Marked Aluminum Cylinder</v>
      </c>
      <c r="D4178">
        <v>1</v>
      </c>
      <c r="E4178" t="str">
        <f>"Quality Control: Vision Control Option (high stand)"</f>
        <v>Quality Control: Vision Control Option (high stand)</v>
      </c>
      <c r="F4178">
        <v>505</v>
      </c>
      <c r="G4178" t="str">
        <f t="shared" si="1063"/>
        <v>Y</v>
      </c>
      <c r="H4178" t="str">
        <f t="shared" si="1065"/>
        <v>EA</v>
      </c>
      <c r="I4178">
        <v>0</v>
      </c>
      <c r="J4178">
        <v>0</v>
      </c>
      <c r="K4178" t="str">
        <f t="shared" si="1064"/>
        <v>Y</v>
      </c>
      <c r="L4178">
        <v>0</v>
      </c>
      <c r="M4178" t="str">
        <f t="shared" si="1050"/>
        <v>NIS</v>
      </c>
      <c r="O4178">
        <v>3</v>
      </c>
      <c r="P4178" t="str">
        <f t="shared" si="1066"/>
        <v>Active</v>
      </c>
      <c r="Q4178" t="str">
        <f>"Mark Al. Cylinder Diam. 35x28 MicroCIM"</f>
        <v>Mark Al. Cylinder Diam. 35x28 MicroCIM</v>
      </c>
      <c r="S4178" t="str">
        <f>"Mark Al. Cylinder Diam. 35x28"</f>
        <v>Mark Al. Cylinder Diam. 35x28</v>
      </c>
      <c r="T4178">
        <v>0</v>
      </c>
      <c r="U4178">
        <v>6</v>
      </c>
      <c r="V4178">
        <v>5.97</v>
      </c>
      <c r="W4178" t="str">
        <f t="shared" si="1057"/>
        <v>rob</v>
      </c>
    </row>
    <row r="4179" spans="1:23">
      <c r="A4179" t="str">
        <f>"QC-OPT-VSN-2"</f>
        <v>QC-OPT-VSN-2</v>
      </c>
      <c r="B4179" t="str">
        <f>"113096"</f>
        <v>113096</v>
      </c>
      <c r="C4179" t="str">
        <f>"Plexiglass Cylinders Base"</f>
        <v>Plexiglass Cylinders Base</v>
      </c>
      <c r="D4179">
        <v>1</v>
      </c>
      <c r="E4179" t="str">
        <f>"Quality Control: Vision Control Option (high stand)"</f>
        <v>Quality Control: Vision Control Option (high stand)</v>
      </c>
      <c r="F4179">
        <v>505</v>
      </c>
      <c r="G4179" t="str">
        <f t="shared" si="1063"/>
        <v>Y</v>
      </c>
      <c r="H4179" t="str">
        <f t="shared" si="1065"/>
        <v>EA</v>
      </c>
      <c r="I4179">
        <v>0</v>
      </c>
      <c r="J4179">
        <v>0</v>
      </c>
      <c r="K4179" t="str">
        <f t="shared" si="1064"/>
        <v>Y</v>
      </c>
      <c r="L4179">
        <v>0</v>
      </c>
      <c r="M4179" t="str">
        <f t="shared" si="1050"/>
        <v>NIS</v>
      </c>
      <c r="O4179">
        <v>4</v>
      </c>
      <c r="P4179" t="str">
        <f t="shared" si="1066"/>
        <v>Active</v>
      </c>
      <c r="Q4179" t="str">
        <f>"Plexiglass Cylinders Base MicroCIM"</f>
        <v>Plexiglass Cylinders Base MicroCIM</v>
      </c>
      <c r="S4179" t="str">
        <f>"Plexiglass Cylinders Base"</f>
        <v>Plexiglass Cylinders Base</v>
      </c>
      <c r="T4179">
        <v>0</v>
      </c>
      <c r="U4179">
        <v>7</v>
      </c>
      <c r="V4179">
        <v>6.83</v>
      </c>
      <c r="W4179" t="str">
        <f t="shared" si="1057"/>
        <v>rob</v>
      </c>
    </row>
    <row r="4180" spans="1:23">
      <c r="A4180" t="str">
        <f>"R14-00"</f>
        <v>R14-00</v>
      </c>
      <c r="B4180" t="str">
        <f>"00-0432-0000"</f>
        <v>00-0432-0000</v>
      </c>
      <c r="C4180" t="str">
        <f>"SCORA-ER 14Pro"</f>
        <v>SCORA-ER 14Pro</v>
      </c>
      <c r="D4180">
        <v>1</v>
      </c>
      <c r="E4180" t="str">
        <f>"SCORBOT ER14Pro Robot with Gripper"</f>
        <v>SCORBOT ER14Pro Robot with Gripper</v>
      </c>
      <c r="F4180">
        <v>801</v>
      </c>
      <c r="G4180" t="str">
        <f t="shared" si="1063"/>
        <v>Y</v>
      </c>
      <c r="H4180" t="str">
        <f t="shared" si="1065"/>
        <v>EA</v>
      </c>
      <c r="I4180">
        <v>0</v>
      </c>
      <c r="J4180">
        <v>0</v>
      </c>
      <c r="K4180" t="str">
        <f t="shared" si="1064"/>
        <v>Y</v>
      </c>
      <c r="L4180">
        <v>0</v>
      </c>
      <c r="M4180" t="str">
        <f t="shared" ref="M4180:M4243" si="1067">"NIS"</f>
        <v>NIS</v>
      </c>
      <c r="O4180">
        <v>1</v>
      </c>
      <c r="P4180" t="str">
        <f t="shared" si="1066"/>
        <v>Active</v>
      </c>
      <c r="Q4180" t="str">
        <f>"SCORA-ER 14Pro (incl. USB-Pro Controller)"</f>
        <v>SCORA-ER 14Pro (incl. USB-Pro Controller)</v>
      </c>
      <c r="S4180" t="str">
        <f>"SCORA-ER 14Pro (incl. USB-Pro Controller)"</f>
        <v>SCORA-ER 14Pro (incl. USB-Pro Controller)</v>
      </c>
      <c r="T4180">
        <v>0</v>
      </c>
      <c r="U4180" s="44">
        <v>11400</v>
      </c>
      <c r="V4180" s="44">
        <v>12383.77</v>
      </c>
      <c r="W4180" t="str">
        <f t="shared" si="1057"/>
        <v>rob</v>
      </c>
    </row>
    <row r="4181" spans="1:23">
      <c r="A4181" t="str">
        <f>"R14-00"</f>
        <v>R14-00</v>
      </c>
      <c r="B4181" t="str">
        <f>"00-0634-0000"</f>
        <v>00-0634-0000</v>
      </c>
      <c r="C4181" t="str">
        <f>"Pneumatic Gripper for ER 14Pro"</f>
        <v>Pneumatic Gripper for ER 14Pro</v>
      </c>
      <c r="D4181">
        <v>1</v>
      </c>
      <c r="E4181" t="str">
        <f>"SCORBOT ER14Pro Robot with Gripper"</f>
        <v>SCORBOT ER14Pro Robot with Gripper</v>
      </c>
      <c r="F4181">
        <v>801</v>
      </c>
      <c r="G4181" t="str">
        <f t="shared" si="1063"/>
        <v>Y</v>
      </c>
      <c r="H4181" t="str">
        <f t="shared" si="1065"/>
        <v>EA</v>
      </c>
      <c r="I4181">
        <v>0</v>
      </c>
      <c r="J4181">
        <v>0</v>
      </c>
      <c r="K4181" t="str">
        <f t="shared" si="1064"/>
        <v>Y</v>
      </c>
      <c r="L4181">
        <v>0</v>
      </c>
      <c r="M4181" t="str">
        <f t="shared" si="1067"/>
        <v>NIS</v>
      </c>
      <c r="O4181">
        <v>2</v>
      </c>
      <c r="P4181" t="str">
        <f t="shared" si="1066"/>
        <v>Active</v>
      </c>
      <c r="Q4181" t="str">
        <f>"Pneumatic Gripper for ER 14Pro"</f>
        <v>Pneumatic Gripper for ER 14Pro</v>
      </c>
      <c r="S4181" t="str">
        <f>"Pneumatic Gripper for ER 14Pro"</f>
        <v>Pneumatic Gripper for ER 14Pro</v>
      </c>
      <c r="T4181">
        <v>0</v>
      </c>
      <c r="U4181">
        <v>651</v>
      </c>
      <c r="V4181">
        <v>647.6</v>
      </c>
      <c r="W4181" t="str">
        <f t="shared" si="1057"/>
        <v>rob</v>
      </c>
    </row>
    <row r="4182" spans="1:23">
      <c r="A4182" t="str">
        <f>"R14-00"</f>
        <v>R14-00</v>
      </c>
      <c r="B4182" t="str">
        <f>"00-1710-0000"</f>
        <v>00-1710-0000</v>
      </c>
      <c r="C4182" t="str">
        <f>"Teach Pendant"</f>
        <v>Teach Pendant</v>
      </c>
      <c r="D4182">
        <v>1</v>
      </c>
      <c r="E4182" t="str">
        <f>"SCORBOT ER14Pro Robot with Gripper"</f>
        <v>SCORBOT ER14Pro Robot with Gripper</v>
      </c>
      <c r="F4182">
        <v>801</v>
      </c>
      <c r="G4182" t="str">
        <f t="shared" si="1063"/>
        <v>Y</v>
      </c>
      <c r="H4182" t="str">
        <f t="shared" si="1065"/>
        <v>EA</v>
      </c>
      <c r="I4182">
        <v>0</v>
      </c>
      <c r="J4182">
        <v>0</v>
      </c>
      <c r="K4182" t="str">
        <f t="shared" si="1064"/>
        <v>Y</v>
      </c>
      <c r="L4182">
        <v>0</v>
      </c>
      <c r="M4182" t="str">
        <f t="shared" si="1067"/>
        <v>NIS</v>
      </c>
      <c r="O4182">
        <v>3</v>
      </c>
      <c r="P4182" t="str">
        <f t="shared" si="1066"/>
        <v>Active</v>
      </c>
      <c r="Q4182" t="str">
        <f>"Teach Pendant for USB/USB Pro Controllers"</f>
        <v>Teach Pendant for USB/USB Pro Controllers</v>
      </c>
      <c r="S4182" t="str">
        <f>"Teach Pendant for USB/USB Pro Controllers"</f>
        <v>Teach Pendant for USB/USB Pro Controllers</v>
      </c>
      <c r="T4182">
        <v>0</v>
      </c>
      <c r="U4182">
        <v>160.18</v>
      </c>
      <c r="V4182">
        <v>161.44999999999999</v>
      </c>
      <c r="W4182" t="str">
        <f t="shared" si="1057"/>
        <v>rob</v>
      </c>
    </row>
    <row r="4183" spans="1:23">
      <c r="A4183" t="str">
        <f t="shared" ref="A4183:A4190" si="1068">"R14-01"</f>
        <v>R14-01</v>
      </c>
      <c r="B4183" t="str">
        <f>"00-0432-0000"</f>
        <v>00-0432-0000</v>
      </c>
      <c r="C4183" t="str">
        <f>"SCORA-ER 14Pro"</f>
        <v>SCORA-ER 14Pro</v>
      </c>
      <c r="D4183">
        <v>1</v>
      </c>
      <c r="E4183" t="str">
        <f t="shared" ref="E4183:E4190" si="1069">"Scora-ER14Pro, Scara Robot - Basic Package"</f>
        <v>Scora-ER14Pro, Scara Robot - Basic Package</v>
      </c>
      <c r="F4183">
        <v>801</v>
      </c>
      <c r="G4183" t="str">
        <f t="shared" si="1063"/>
        <v>Y</v>
      </c>
      <c r="H4183" t="str">
        <f t="shared" si="1065"/>
        <v>EA</v>
      </c>
      <c r="I4183">
        <v>0</v>
      </c>
      <c r="J4183">
        <v>0</v>
      </c>
      <c r="K4183" t="str">
        <f t="shared" si="1064"/>
        <v>Y</v>
      </c>
      <c r="L4183">
        <v>0</v>
      </c>
      <c r="M4183" t="str">
        <f t="shared" si="1067"/>
        <v>NIS</v>
      </c>
      <c r="O4183">
        <v>1</v>
      </c>
      <c r="P4183" t="str">
        <f t="shared" si="1066"/>
        <v>Active</v>
      </c>
      <c r="Q4183" t="str">
        <f>"SCORA-ER 14Pro (incl. USB-Pro Controller)"</f>
        <v>SCORA-ER 14Pro (incl. USB-Pro Controller)</v>
      </c>
      <c r="S4183" t="str">
        <f>"SCORA-ER 14Pro (incl. USB-Pro Controller)"</f>
        <v>SCORA-ER 14Pro (incl. USB-Pro Controller)</v>
      </c>
      <c r="T4183">
        <v>0</v>
      </c>
      <c r="U4183" s="44">
        <v>11400</v>
      </c>
      <c r="V4183" s="44">
        <v>12383.77</v>
      </c>
      <c r="W4183" t="str">
        <f t="shared" si="1057"/>
        <v>rob</v>
      </c>
    </row>
    <row r="4184" spans="1:23">
      <c r="A4184" t="str">
        <f t="shared" si="1068"/>
        <v>R14-01</v>
      </c>
      <c r="B4184" t="str">
        <f>"00-0634-0000"</f>
        <v>00-0634-0000</v>
      </c>
      <c r="C4184" t="str">
        <f>"Pneumatic Gripper for ER 14Pro"</f>
        <v>Pneumatic Gripper for ER 14Pro</v>
      </c>
      <c r="D4184">
        <v>1</v>
      </c>
      <c r="E4184" t="str">
        <f t="shared" si="1069"/>
        <v>Scora-ER14Pro, Scara Robot - Basic Package</v>
      </c>
      <c r="F4184">
        <v>801</v>
      </c>
      <c r="G4184" t="str">
        <f t="shared" si="1063"/>
        <v>Y</v>
      </c>
      <c r="H4184" t="str">
        <f t="shared" si="1065"/>
        <v>EA</v>
      </c>
      <c r="I4184">
        <v>0</v>
      </c>
      <c r="J4184">
        <v>0</v>
      </c>
      <c r="K4184" t="str">
        <f t="shared" si="1064"/>
        <v>Y</v>
      </c>
      <c r="L4184">
        <v>0</v>
      </c>
      <c r="M4184" t="str">
        <f t="shared" si="1067"/>
        <v>NIS</v>
      </c>
      <c r="O4184">
        <v>2</v>
      </c>
      <c r="P4184" t="str">
        <f t="shared" si="1066"/>
        <v>Active</v>
      </c>
      <c r="Q4184" t="str">
        <f>"Pneumatic Gripper for ER 14Pro"</f>
        <v>Pneumatic Gripper for ER 14Pro</v>
      </c>
      <c r="S4184" t="str">
        <f>"Pneumatic Gripper for ER 14Pro"</f>
        <v>Pneumatic Gripper for ER 14Pro</v>
      </c>
      <c r="T4184">
        <v>0</v>
      </c>
      <c r="U4184">
        <v>651</v>
      </c>
      <c r="V4184">
        <v>647.6</v>
      </c>
      <c r="W4184" t="str">
        <f t="shared" si="1057"/>
        <v>rob</v>
      </c>
    </row>
    <row r="4185" spans="1:23">
      <c r="A4185" t="str">
        <f t="shared" si="1068"/>
        <v>R14-01</v>
      </c>
      <c r="B4185" t="str">
        <f>"00-1710-0000"</f>
        <v>00-1710-0000</v>
      </c>
      <c r="C4185" t="str">
        <f>"Teach Pendant"</f>
        <v>Teach Pendant</v>
      </c>
      <c r="D4185">
        <v>1</v>
      </c>
      <c r="E4185" t="str">
        <f t="shared" si="1069"/>
        <v>Scora-ER14Pro, Scara Robot - Basic Package</v>
      </c>
      <c r="F4185">
        <v>801</v>
      </c>
      <c r="G4185" t="str">
        <f t="shared" si="1063"/>
        <v>Y</v>
      </c>
      <c r="H4185" t="str">
        <f t="shared" si="1065"/>
        <v>EA</v>
      </c>
      <c r="I4185">
        <v>0</v>
      </c>
      <c r="J4185">
        <v>0</v>
      </c>
      <c r="K4185" t="str">
        <f t="shared" si="1064"/>
        <v>Y</v>
      </c>
      <c r="L4185">
        <v>0</v>
      </c>
      <c r="M4185" t="str">
        <f t="shared" si="1067"/>
        <v>NIS</v>
      </c>
      <c r="O4185">
        <v>3</v>
      </c>
      <c r="P4185" t="str">
        <f t="shared" si="1066"/>
        <v>Active</v>
      </c>
      <c r="Q4185" t="str">
        <f>"Teach Pendant for USB/USB Pro Controllers"</f>
        <v>Teach Pendant for USB/USB Pro Controllers</v>
      </c>
      <c r="S4185" t="str">
        <f>"Teach Pendant for USB/USB Pro Controllers"</f>
        <v>Teach Pendant for USB/USB Pro Controllers</v>
      </c>
      <c r="T4185">
        <v>0</v>
      </c>
      <c r="U4185">
        <v>160.18</v>
      </c>
      <c r="V4185">
        <v>161.44999999999999</v>
      </c>
      <c r="W4185" t="str">
        <f t="shared" si="1057"/>
        <v>rob</v>
      </c>
    </row>
    <row r="4186" spans="1:23">
      <c r="A4186" t="str">
        <f t="shared" si="1068"/>
        <v>R14-01</v>
      </c>
      <c r="B4186" t="str">
        <f>"00-1110-0000"</f>
        <v>00-1110-0000</v>
      </c>
      <c r="C4186" t="str">
        <f>"Palletizing Rack"</f>
        <v>Palletizing Rack</v>
      </c>
      <c r="D4186">
        <v>1</v>
      </c>
      <c r="E4186" t="str">
        <f t="shared" si="1069"/>
        <v>Scora-ER14Pro, Scara Robot - Basic Package</v>
      </c>
      <c r="F4186">
        <v>801</v>
      </c>
      <c r="G4186" t="str">
        <f t="shared" si="1063"/>
        <v>Y</v>
      </c>
      <c r="H4186" t="str">
        <f t="shared" si="1065"/>
        <v>EA</v>
      </c>
      <c r="I4186">
        <v>0</v>
      </c>
      <c r="J4186">
        <v>0</v>
      </c>
      <c r="K4186" t="str">
        <f t="shared" si="1064"/>
        <v>Y</v>
      </c>
      <c r="L4186">
        <v>0</v>
      </c>
      <c r="M4186" t="str">
        <f t="shared" si="1067"/>
        <v>NIS</v>
      </c>
      <c r="O4186">
        <v>4</v>
      </c>
      <c r="P4186" t="str">
        <f t="shared" si="1066"/>
        <v>Active</v>
      </c>
      <c r="Q4186" t="str">
        <f>"Palletizing Rack (incl. Pins for creating Jigs)"</f>
        <v>Palletizing Rack (incl. Pins for creating Jigs)</v>
      </c>
      <c r="S4186" t="str">
        <f>"Palletizing Rack (incl. Pins for creating Jigs)"</f>
        <v>Palletizing Rack (incl. Pins for creating Jigs)</v>
      </c>
      <c r="T4186">
        <v>0</v>
      </c>
      <c r="U4186">
        <v>63</v>
      </c>
      <c r="V4186">
        <v>58.59</v>
      </c>
      <c r="W4186" t="str">
        <f t="shared" si="1057"/>
        <v>rob</v>
      </c>
    </row>
    <row r="4187" spans="1:23">
      <c r="A4187" t="str">
        <f t="shared" si="1068"/>
        <v>R14-01</v>
      </c>
      <c r="B4187" t="str">
        <f>"021172"</f>
        <v>021172</v>
      </c>
      <c r="C4187" t="str">
        <f>"30mm Height Adapter -Rack 001110 on table 001249"</f>
        <v>30mm Height Adapter -Rack 001110 on table 001249</v>
      </c>
      <c r="D4187">
        <v>1</v>
      </c>
      <c r="E4187" t="str">
        <f t="shared" si="1069"/>
        <v>Scora-ER14Pro, Scara Robot - Basic Package</v>
      </c>
      <c r="F4187">
        <v>801</v>
      </c>
      <c r="G4187" t="str">
        <f t="shared" si="1063"/>
        <v>Y</v>
      </c>
      <c r="H4187" t="str">
        <f t="shared" si="1065"/>
        <v>EA</v>
      </c>
      <c r="I4187">
        <v>0</v>
      </c>
      <c r="J4187">
        <v>0</v>
      </c>
      <c r="K4187" t="str">
        <f t="shared" si="1064"/>
        <v>Y</v>
      </c>
      <c r="L4187">
        <v>0</v>
      </c>
      <c r="M4187" t="str">
        <f t="shared" si="1067"/>
        <v>NIS</v>
      </c>
      <c r="O4187">
        <v>5</v>
      </c>
      <c r="P4187" t="str">
        <f t="shared" si="1066"/>
        <v>Active</v>
      </c>
      <c r="Q4187" t="str">
        <f>"30mm Height Adapter -Rack 001110 on table 001249"</f>
        <v>30mm Height Adapter -Rack 001110 on table 001249</v>
      </c>
      <c r="S4187" t="str">
        <f>"30mm Height Adapter -Rack 001110 on table 001249"</f>
        <v>30mm Height Adapter -Rack 001110 on table 001249</v>
      </c>
      <c r="T4187">
        <v>0</v>
      </c>
      <c r="U4187">
        <v>13.12</v>
      </c>
      <c r="V4187">
        <v>13.44</v>
      </c>
      <c r="W4187" t="str">
        <f t="shared" si="1057"/>
        <v>rob</v>
      </c>
    </row>
    <row r="4188" spans="1:23">
      <c r="A4188" t="str">
        <f t="shared" si="1068"/>
        <v>R14-01</v>
      </c>
      <c r="B4188" t="str">
        <f>"10-2521-7000"</f>
        <v>10-2521-7000</v>
      </c>
      <c r="C4188" t="str">
        <f>"Pneumatic Feeder for Rectangular products"</f>
        <v>Pneumatic Feeder for Rectangular products</v>
      </c>
      <c r="D4188">
        <v>1</v>
      </c>
      <c r="E4188" t="str">
        <f t="shared" si="1069"/>
        <v>Scora-ER14Pro, Scara Robot - Basic Package</v>
      </c>
      <c r="F4188">
        <v>801</v>
      </c>
      <c r="G4188" t="str">
        <f t="shared" si="1063"/>
        <v>Y</v>
      </c>
      <c r="H4188" t="str">
        <f t="shared" si="1065"/>
        <v>EA</v>
      </c>
      <c r="I4188">
        <v>0</v>
      </c>
      <c r="J4188">
        <v>0</v>
      </c>
      <c r="K4188" t="str">
        <f t="shared" si="1064"/>
        <v>Y</v>
      </c>
      <c r="L4188">
        <v>0</v>
      </c>
      <c r="M4188" t="str">
        <f t="shared" si="1067"/>
        <v>NIS</v>
      </c>
      <c r="O4188">
        <v>6</v>
      </c>
      <c r="P4188" t="str">
        <f t="shared" si="1066"/>
        <v>Active</v>
      </c>
      <c r="Q4188" t="str">
        <f>"Pneumatic Feeder for Rectangular Parts"</f>
        <v>Pneumatic Feeder for Rectangular Parts</v>
      </c>
      <c r="S4188" t="str">
        <f>"Pneumatic Feeder for Rectangular Parts"</f>
        <v>Pneumatic Feeder for Rectangular Parts</v>
      </c>
      <c r="T4188">
        <v>0</v>
      </c>
      <c r="U4188">
        <v>595</v>
      </c>
      <c r="V4188">
        <v>555.15</v>
      </c>
      <c r="W4188" t="str">
        <f t="shared" si="1057"/>
        <v>rob</v>
      </c>
    </row>
    <row r="4189" spans="1:23">
      <c r="A4189" t="str">
        <f t="shared" si="1068"/>
        <v>R14-01</v>
      </c>
      <c r="B4189" t="str">
        <f>"63-9248-0000"</f>
        <v>63-9248-0000</v>
      </c>
      <c r="C4189" t="str">
        <f>"Robotic Software for Controller USB Pro"</f>
        <v>Robotic Software for Controller USB Pro</v>
      </c>
      <c r="D4189">
        <v>1</v>
      </c>
      <c r="E4189" t="str">
        <f t="shared" si="1069"/>
        <v>Scora-ER14Pro, Scara Robot - Basic Package</v>
      </c>
      <c r="F4189">
        <v>801</v>
      </c>
      <c r="G4189" t="str">
        <f t="shared" si="1063"/>
        <v>Y</v>
      </c>
      <c r="H4189" t="str">
        <f t="shared" si="1065"/>
        <v>EA</v>
      </c>
      <c r="I4189">
        <v>0</v>
      </c>
      <c r="J4189">
        <v>0</v>
      </c>
      <c r="K4189" t="str">
        <f t="shared" si="1064"/>
        <v>Y</v>
      </c>
      <c r="L4189">
        <v>0</v>
      </c>
      <c r="M4189" t="str">
        <f t="shared" si="1067"/>
        <v>NIS</v>
      </c>
      <c r="N4189" t="str">
        <f>"Y"</f>
        <v>Y</v>
      </c>
      <c r="O4189">
        <v>7</v>
      </c>
      <c r="P4189" t="str">
        <f t="shared" si="1066"/>
        <v>Active</v>
      </c>
      <c r="Q4189" t="str">
        <f>"Robotic Software for Controller USB Pro"</f>
        <v>Robotic Software for Controller USB Pro</v>
      </c>
      <c r="S4189" t="str">
        <f>"Robotic Software for Controller USB Pro"</f>
        <v>Robotic Software for Controller USB Pro</v>
      </c>
      <c r="T4189">
        <v>0</v>
      </c>
      <c r="U4189">
        <v>30</v>
      </c>
      <c r="V4189">
        <v>32.17</v>
      </c>
      <c r="W4189" t="str">
        <f t="shared" si="1057"/>
        <v>rob</v>
      </c>
    </row>
    <row r="4190" spans="1:23">
      <c r="A4190" t="str">
        <f t="shared" si="1068"/>
        <v>R14-01</v>
      </c>
      <c r="B4190" t="str">
        <f>"63-7000-1800"</f>
        <v>63-7000-1800</v>
      </c>
      <c r="C4190" t="str">
        <f>"License Key for RoboCell/SCORBASE USB Pro"</f>
        <v>License Key for RoboCell/SCORBASE USB Pro</v>
      </c>
      <c r="D4190">
        <v>1</v>
      </c>
      <c r="E4190" t="str">
        <f t="shared" si="1069"/>
        <v>Scora-ER14Pro, Scara Robot - Basic Package</v>
      </c>
      <c r="F4190">
        <v>801</v>
      </c>
      <c r="G4190" t="str">
        <f t="shared" si="1063"/>
        <v>Y</v>
      </c>
      <c r="H4190" t="str">
        <f t="shared" si="1065"/>
        <v>EA</v>
      </c>
      <c r="I4190">
        <v>0</v>
      </c>
      <c r="J4190">
        <v>0</v>
      </c>
      <c r="K4190" t="str">
        <f t="shared" si="1064"/>
        <v>Y</v>
      </c>
      <c r="L4190">
        <v>0</v>
      </c>
      <c r="M4190" t="str">
        <f t="shared" si="1067"/>
        <v>NIS</v>
      </c>
      <c r="N4190" t="str">
        <f>"Y"</f>
        <v>Y</v>
      </c>
      <c r="O4190">
        <v>8</v>
      </c>
      <c r="P4190" t="str">
        <f t="shared" si="1066"/>
        <v>Active</v>
      </c>
      <c r="Q4190" t="str">
        <f>"License Key for RoboCell/SCORBASE USB Pro"</f>
        <v>License Key for RoboCell/SCORBASE USB Pro</v>
      </c>
      <c r="R4190" t="str">
        <f>"1"</f>
        <v>1</v>
      </c>
      <c r="S4190" t="str">
        <f>"License Key for RoboCell/SCORBASE USB Pro"</f>
        <v>License Key for RoboCell/SCORBASE USB Pro</v>
      </c>
      <c r="T4190">
        <v>0</v>
      </c>
      <c r="U4190">
        <v>10</v>
      </c>
      <c r="V4190">
        <v>11.1</v>
      </c>
      <c r="W4190" t="str">
        <f t="shared" si="1057"/>
        <v>rob</v>
      </c>
    </row>
    <row r="4191" spans="1:23">
      <c r="A4191" t="str">
        <f t="shared" ref="A4191:A4202" si="1070">"R14-02"</f>
        <v>R14-02</v>
      </c>
      <c r="B4191" t="str">
        <f>"00-0432-0000"</f>
        <v>00-0432-0000</v>
      </c>
      <c r="C4191" t="str">
        <f>"SCORA-ER 14Pro"</f>
        <v>SCORA-ER 14Pro</v>
      </c>
      <c r="D4191">
        <v>1</v>
      </c>
      <c r="E4191" t="str">
        <f t="shared" ref="E4191:E4202" si="1071">"Scora-ER14Pro, Scara Robot - Standard Package"</f>
        <v>Scora-ER14Pro, Scara Robot - Standard Package</v>
      </c>
      <c r="F4191">
        <v>801</v>
      </c>
      <c r="G4191" t="str">
        <f t="shared" si="1063"/>
        <v>Y</v>
      </c>
      <c r="H4191" t="str">
        <f t="shared" si="1065"/>
        <v>EA</v>
      </c>
      <c r="I4191">
        <v>0</v>
      </c>
      <c r="J4191">
        <v>0</v>
      </c>
      <c r="K4191" t="str">
        <f t="shared" si="1064"/>
        <v>Y</v>
      </c>
      <c r="L4191">
        <v>0</v>
      </c>
      <c r="M4191" t="str">
        <f t="shared" si="1067"/>
        <v>NIS</v>
      </c>
      <c r="O4191">
        <v>1</v>
      </c>
      <c r="P4191" t="str">
        <f t="shared" si="1066"/>
        <v>Active</v>
      </c>
      <c r="Q4191" t="str">
        <f>"SCORA-ER 14Pro (incl. USB-Pro Controller)"</f>
        <v>SCORA-ER 14Pro (incl. USB-Pro Controller)</v>
      </c>
      <c r="S4191" t="str">
        <f>"SCORA-ER 14Pro (incl. USB-Pro Controller)"</f>
        <v>SCORA-ER 14Pro (incl. USB-Pro Controller)</v>
      </c>
      <c r="T4191">
        <v>0</v>
      </c>
      <c r="U4191" s="44">
        <v>11400</v>
      </c>
      <c r="V4191" s="44">
        <v>12383.77</v>
      </c>
      <c r="W4191" t="str">
        <f t="shared" si="1057"/>
        <v>rob</v>
      </c>
    </row>
    <row r="4192" spans="1:23">
      <c r="A4192" t="str">
        <f t="shared" si="1070"/>
        <v>R14-02</v>
      </c>
      <c r="B4192" t="str">
        <f>"00-0634-0000"</f>
        <v>00-0634-0000</v>
      </c>
      <c r="C4192" t="str">
        <f>"Pneumatic Gripper for ER 14Pro"</f>
        <v>Pneumatic Gripper for ER 14Pro</v>
      </c>
      <c r="D4192">
        <v>1</v>
      </c>
      <c r="E4192" t="str">
        <f t="shared" si="1071"/>
        <v>Scora-ER14Pro, Scara Robot - Standard Package</v>
      </c>
      <c r="F4192">
        <v>801</v>
      </c>
      <c r="G4192" t="str">
        <f t="shared" si="1063"/>
        <v>Y</v>
      </c>
      <c r="H4192" t="str">
        <f t="shared" si="1065"/>
        <v>EA</v>
      </c>
      <c r="I4192">
        <v>0</v>
      </c>
      <c r="J4192">
        <v>0</v>
      </c>
      <c r="K4192" t="str">
        <f t="shared" si="1064"/>
        <v>Y</v>
      </c>
      <c r="L4192">
        <v>0</v>
      </c>
      <c r="M4192" t="str">
        <f t="shared" si="1067"/>
        <v>NIS</v>
      </c>
      <c r="O4192">
        <v>2</v>
      </c>
      <c r="P4192" t="str">
        <f t="shared" si="1066"/>
        <v>Active</v>
      </c>
      <c r="Q4192" t="str">
        <f>"Pneumatic Gripper for ER 14Pro"</f>
        <v>Pneumatic Gripper for ER 14Pro</v>
      </c>
      <c r="S4192" t="str">
        <f>"Pneumatic Gripper for ER 14Pro"</f>
        <v>Pneumatic Gripper for ER 14Pro</v>
      </c>
      <c r="T4192">
        <v>0</v>
      </c>
      <c r="U4192">
        <v>651</v>
      </c>
      <c r="V4192">
        <v>647.6</v>
      </c>
      <c r="W4192" t="str">
        <f t="shared" si="1057"/>
        <v>rob</v>
      </c>
    </row>
    <row r="4193" spans="1:23">
      <c r="A4193" t="str">
        <f t="shared" si="1070"/>
        <v>R14-02</v>
      </c>
      <c r="B4193" t="str">
        <f>"00-1710-0000"</f>
        <v>00-1710-0000</v>
      </c>
      <c r="C4193" t="str">
        <f>"Teach Pendant"</f>
        <v>Teach Pendant</v>
      </c>
      <c r="D4193">
        <v>1</v>
      </c>
      <c r="E4193" t="str">
        <f t="shared" si="1071"/>
        <v>Scora-ER14Pro, Scara Robot - Standard Package</v>
      </c>
      <c r="F4193">
        <v>801</v>
      </c>
      <c r="G4193" t="str">
        <f t="shared" si="1063"/>
        <v>Y</v>
      </c>
      <c r="H4193" t="str">
        <f t="shared" si="1065"/>
        <v>EA</v>
      </c>
      <c r="I4193">
        <v>0</v>
      </c>
      <c r="J4193">
        <v>0</v>
      </c>
      <c r="K4193" t="str">
        <f t="shared" si="1064"/>
        <v>Y</v>
      </c>
      <c r="L4193">
        <v>0</v>
      </c>
      <c r="M4193" t="str">
        <f t="shared" si="1067"/>
        <v>NIS</v>
      </c>
      <c r="O4193">
        <v>3</v>
      </c>
      <c r="P4193" t="str">
        <f t="shared" si="1066"/>
        <v>Active</v>
      </c>
      <c r="Q4193" t="str">
        <f>"Teach Pendant for USB/USB Pro Controllers"</f>
        <v>Teach Pendant for USB/USB Pro Controllers</v>
      </c>
      <c r="S4193" t="str">
        <f>"Teach Pendant for USB/USB Pro Controllers"</f>
        <v>Teach Pendant for USB/USB Pro Controllers</v>
      </c>
      <c r="T4193">
        <v>0</v>
      </c>
      <c r="U4193">
        <v>160.18</v>
      </c>
      <c r="V4193">
        <v>161.44999999999999</v>
      </c>
      <c r="W4193" t="str">
        <f t="shared" si="1057"/>
        <v>rob</v>
      </c>
    </row>
    <row r="4194" spans="1:23">
      <c r="A4194" t="str">
        <f t="shared" si="1070"/>
        <v>R14-02</v>
      </c>
      <c r="B4194" t="str">
        <f>"034025"</f>
        <v>034025</v>
      </c>
      <c r="C4194" t="str">
        <f>"I/O Interface Box for Controller USB-PRO"</f>
        <v>I/O Interface Box for Controller USB-PRO</v>
      </c>
      <c r="D4194">
        <v>1</v>
      </c>
      <c r="E4194" t="str">
        <f t="shared" si="1071"/>
        <v>Scora-ER14Pro, Scara Robot - Standard Package</v>
      </c>
      <c r="F4194">
        <v>801</v>
      </c>
      <c r="G4194" t="str">
        <f t="shared" si="1063"/>
        <v>Y</v>
      </c>
      <c r="H4194" t="str">
        <f t="shared" si="1065"/>
        <v>EA</v>
      </c>
      <c r="I4194">
        <v>0</v>
      </c>
      <c r="J4194">
        <v>0</v>
      </c>
      <c r="K4194" t="str">
        <f t="shared" si="1064"/>
        <v>Y</v>
      </c>
      <c r="L4194">
        <v>0</v>
      </c>
      <c r="M4194" t="str">
        <f t="shared" si="1067"/>
        <v>NIS</v>
      </c>
      <c r="O4194">
        <v>4</v>
      </c>
      <c r="P4194" t="str">
        <f t="shared" si="1066"/>
        <v>Active</v>
      </c>
      <c r="Q4194" t="str">
        <f>"I/O Interface Box for Controller USB-PRO"</f>
        <v>I/O Interface Box for Controller USB-PRO</v>
      </c>
      <c r="S4194" t="str">
        <f>"קופסת 2+Interface Box I/O כבלים לבקר USBPRO"</f>
        <v>קופסת 2+Interface Box I/O כבלים לבקר USBPRO</v>
      </c>
      <c r="T4194">
        <v>0</v>
      </c>
      <c r="U4194">
        <v>470</v>
      </c>
      <c r="V4194">
        <v>463.62</v>
      </c>
      <c r="W4194" t="str">
        <f t="shared" si="1057"/>
        <v>rob</v>
      </c>
    </row>
    <row r="4195" spans="1:23">
      <c r="A4195" t="str">
        <f t="shared" si="1070"/>
        <v>R14-02</v>
      </c>
      <c r="B4195" t="str">
        <f>"00-1110-0000"</f>
        <v>00-1110-0000</v>
      </c>
      <c r="C4195" t="str">
        <f>"Palletizing Rack"</f>
        <v>Palletizing Rack</v>
      </c>
      <c r="D4195">
        <v>1</v>
      </c>
      <c r="E4195" t="str">
        <f t="shared" si="1071"/>
        <v>Scora-ER14Pro, Scara Robot - Standard Package</v>
      </c>
      <c r="F4195">
        <v>801</v>
      </c>
      <c r="G4195" t="str">
        <f t="shared" si="1063"/>
        <v>Y</v>
      </c>
      <c r="H4195" t="str">
        <f t="shared" si="1065"/>
        <v>EA</v>
      </c>
      <c r="I4195">
        <v>0</v>
      </c>
      <c r="J4195">
        <v>0</v>
      </c>
      <c r="K4195" t="str">
        <f t="shared" si="1064"/>
        <v>Y</v>
      </c>
      <c r="L4195">
        <v>0</v>
      </c>
      <c r="M4195" t="str">
        <f t="shared" si="1067"/>
        <v>NIS</v>
      </c>
      <c r="O4195">
        <v>5</v>
      </c>
      <c r="P4195" t="str">
        <f t="shared" si="1066"/>
        <v>Active</v>
      </c>
      <c r="Q4195" t="str">
        <f>"Palletizing Rack (incl. Pins for creating Jigs)"</f>
        <v>Palletizing Rack (incl. Pins for creating Jigs)</v>
      </c>
      <c r="S4195" t="str">
        <f>"Palletizing Rack (incl. Pins for creating Jigs)"</f>
        <v>Palletizing Rack (incl. Pins for creating Jigs)</v>
      </c>
      <c r="T4195">
        <v>0</v>
      </c>
      <c r="U4195">
        <v>63</v>
      </c>
      <c r="V4195">
        <v>58.59</v>
      </c>
      <c r="W4195" t="str">
        <f t="shared" si="1057"/>
        <v>rob</v>
      </c>
    </row>
    <row r="4196" spans="1:23">
      <c r="A4196" t="str">
        <f t="shared" si="1070"/>
        <v>R14-02</v>
      </c>
      <c r="B4196" t="str">
        <f>"021172"</f>
        <v>021172</v>
      </c>
      <c r="C4196" t="str">
        <f>"30mm Height Adapter -Rack 001110 on table 001249"</f>
        <v>30mm Height Adapter -Rack 001110 on table 001249</v>
      </c>
      <c r="D4196">
        <v>1</v>
      </c>
      <c r="E4196" t="str">
        <f t="shared" si="1071"/>
        <v>Scora-ER14Pro, Scara Robot - Standard Package</v>
      </c>
      <c r="F4196">
        <v>801</v>
      </c>
      <c r="G4196" t="str">
        <f t="shared" si="1063"/>
        <v>Y</v>
      </c>
      <c r="H4196" t="str">
        <f t="shared" si="1065"/>
        <v>EA</v>
      </c>
      <c r="I4196">
        <v>0</v>
      </c>
      <c r="J4196">
        <v>0</v>
      </c>
      <c r="K4196" t="str">
        <f t="shared" si="1064"/>
        <v>Y</v>
      </c>
      <c r="L4196">
        <v>0</v>
      </c>
      <c r="M4196" t="str">
        <f t="shared" si="1067"/>
        <v>NIS</v>
      </c>
      <c r="O4196">
        <v>6</v>
      </c>
      <c r="P4196" t="str">
        <f t="shared" si="1066"/>
        <v>Active</v>
      </c>
      <c r="Q4196" t="str">
        <f>"30mm Height Adapter -Rack 001110 on table 001249"</f>
        <v>30mm Height Adapter -Rack 001110 on table 001249</v>
      </c>
      <c r="S4196" t="str">
        <f>"30mm Height Adapter -Rack 001110 on table 001249"</f>
        <v>30mm Height Adapter -Rack 001110 on table 001249</v>
      </c>
      <c r="T4196">
        <v>0</v>
      </c>
      <c r="U4196">
        <v>13.12</v>
      </c>
      <c r="V4196">
        <v>13.44</v>
      </c>
      <c r="W4196" t="str">
        <f t="shared" si="1057"/>
        <v>rob</v>
      </c>
    </row>
    <row r="4197" spans="1:23">
      <c r="A4197" t="str">
        <f t="shared" si="1070"/>
        <v>R14-02</v>
      </c>
      <c r="B4197" t="str">
        <f>"00-1010-0000"</f>
        <v>00-1010-0000</v>
      </c>
      <c r="C4197" t="str">
        <f>"Conveyor Belt tabletop"</f>
        <v>Conveyor Belt tabletop</v>
      </c>
      <c r="D4197">
        <v>1</v>
      </c>
      <c r="E4197" t="str">
        <f t="shared" si="1071"/>
        <v>Scora-ER14Pro, Scara Robot - Standard Package</v>
      </c>
      <c r="F4197">
        <v>801</v>
      </c>
      <c r="G4197" t="str">
        <f t="shared" si="1063"/>
        <v>Y</v>
      </c>
      <c r="H4197" t="str">
        <f t="shared" si="1065"/>
        <v>EA</v>
      </c>
      <c r="I4197">
        <v>0</v>
      </c>
      <c r="J4197">
        <v>0</v>
      </c>
      <c r="K4197" t="str">
        <f t="shared" si="1064"/>
        <v>Y</v>
      </c>
      <c r="L4197">
        <v>0</v>
      </c>
      <c r="M4197" t="str">
        <f t="shared" si="1067"/>
        <v>NIS</v>
      </c>
      <c r="O4197">
        <v>7</v>
      </c>
      <c r="P4197" t="str">
        <f t="shared" si="1066"/>
        <v>Active</v>
      </c>
      <c r="Q4197" t="str">
        <f>"Conveyor Belt (24V)"</f>
        <v>Conveyor Belt (24V)</v>
      </c>
      <c r="S4197" t="str">
        <f>"Conveyor Belt (24V)"</f>
        <v>Conveyor Belt (24V)</v>
      </c>
      <c r="T4197">
        <v>0</v>
      </c>
      <c r="U4197">
        <v>510</v>
      </c>
      <c r="V4197">
        <v>472.02</v>
      </c>
      <c r="W4197" t="str">
        <f t="shared" si="1057"/>
        <v>rob</v>
      </c>
    </row>
    <row r="4198" spans="1:23">
      <c r="A4198" t="str">
        <f t="shared" si="1070"/>
        <v>R14-02</v>
      </c>
      <c r="B4198" t="str">
        <f>"00-1203-0000"</f>
        <v>00-1203-0000</v>
      </c>
      <c r="C4198" t="str">
        <f>"Photoelectric Sensor for Belt Conveyor"</f>
        <v>Photoelectric Sensor for Belt Conveyor</v>
      </c>
      <c r="D4198">
        <v>1</v>
      </c>
      <c r="E4198" t="str">
        <f t="shared" si="1071"/>
        <v>Scora-ER14Pro, Scara Robot - Standard Package</v>
      </c>
      <c r="F4198">
        <v>801</v>
      </c>
      <c r="G4198" t="str">
        <f t="shared" si="1063"/>
        <v>Y</v>
      </c>
      <c r="H4198" t="str">
        <f t="shared" si="1065"/>
        <v>EA</v>
      </c>
      <c r="I4198">
        <v>0</v>
      </c>
      <c r="J4198">
        <v>0</v>
      </c>
      <c r="K4198" t="str">
        <f t="shared" si="1064"/>
        <v>Y</v>
      </c>
      <c r="L4198">
        <v>0</v>
      </c>
      <c r="M4198" t="str">
        <f t="shared" si="1067"/>
        <v>NIS</v>
      </c>
      <c r="O4198">
        <v>8</v>
      </c>
      <c r="P4198" t="str">
        <f t="shared" si="1066"/>
        <v>Active</v>
      </c>
      <c r="Q4198" t="str">
        <f>"Photoelectric Sensor for Belt Conveyor"</f>
        <v>Photoelectric Sensor for Belt Conveyor</v>
      </c>
      <c r="S4198" t="str">
        <f>"Photoelectric Sensor for Belt Conveyor"</f>
        <v>Photoelectric Sensor for Belt Conveyor</v>
      </c>
      <c r="T4198">
        <v>0</v>
      </c>
      <c r="U4198">
        <v>108</v>
      </c>
      <c r="V4198">
        <v>100.82</v>
      </c>
      <c r="W4198" t="str">
        <f t="shared" si="1057"/>
        <v>rob</v>
      </c>
    </row>
    <row r="4199" spans="1:23">
      <c r="A4199" t="str">
        <f t="shared" si="1070"/>
        <v>R14-02</v>
      </c>
      <c r="B4199" t="str">
        <f>"00-1249-0000"</f>
        <v>00-1249-0000</v>
      </c>
      <c r="C4199" t="str">
        <f>"Workbench 1500x800mm (slotted aluminum top)"</f>
        <v>Workbench 1500x800mm (slotted aluminum top)</v>
      </c>
      <c r="D4199">
        <v>1</v>
      </c>
      <c r="E4199" t="str">
        <f t="shared" si="1071"/>
        <v>Scora-ER14Pro, Scara Robot - Standard Package</v>
      </c>
      <c r="F4199">
        <v>801</v>
      </c>
      <c r="G4199" t="str">
        <f t="shared" si="1063"/>
        <v>Y</v>
      </c>
      <c r="H4199" t="str">
        <f t="shared" si="1065"/>
        <v>EA</v>
      </c>
      <c r="I4199">
        <v>0</v>
      </c>
      <c r="J4199">
        <v>0</v>
      </c>
      <c r="K4199" t="str">
        <f t="shared" si="1064"/>
        <v>Y</v>
      </c>
      <c r="L4199">
        <v>0</v>
      </c>
      <c r="M4199" t="str">
        <f t="shared" si="1067"/>
        <v>NIS</v>
      </c>
      <c r="O4199">
        <v>9</v>
      </c>
      <c r="P4199" t="str">
        <f t="shared" si="1066"/>
        <v>Active</v>
      </c>
      <c r="Q4199" t="str">
        <f>"Workbench 1500x800mm (slotted aluminum top)"</f>
        <v>Workbench 1500x800mm (slotted aluminum top)</v>
      </c>
      <c r="S4199" t="str">
        <f>"Workbench 1500x800mm (slotted aluminum top)"</f>
        <v>Workbench 1500x800mm (slotted aluminum top)</v>
      </c>
      <c r="T4199">
        <v>0</v>
      </c>
      <c r="U4199" s="44">
        <v>1100</v>
      </c>
      <c r="V4199" s="44">
        <v>1083.57</v>
      </c>
      <c r="W4199" t="str">
        <f t="shared" si="1057"/>
        <v>rob</v>
      </c>
    </row>
    <row r="4200" spans="1:23">
      <c r="A4200" t="str">
        <f t="shared" si="1070"/>
        <v>R14-02</v>
      </c>
      <c r="B4200" t="str">
        <f>"00-1241-0000"</f>
        <v>00-1241-0000</v>
      </c>
      <c r="C4200" t="str">
        <f>"Adapter Mounting Plate for ER9/14Pro &amp; HP3"</f>
        <v>Adapter Mounting Plate for ER9/14Pro &amp; HP3</v>
      </c>
      <c r="D4200">
        <v>1</v>
      </c>
      <c r="E4200" t="str">
        <f t="shared" si="1071"/>
        <v>Scora-ER14Pro, Scara Robot - Standard Package</v>
      </c>
      <c r="F4200">
        <v>801</v>
      </c>
      <c r="G4200" t="str">
        <f t="shared" si="1063"/>
        <v>Y</v>
      </c>
      <c r="H4200" t="str">
        <f t="shared" si="1065"/>
        <v>EA</v>
      </c>
      <c r="I4200">
        <v>0</v>
      </c>
      <c r="J4200">
        <v>0</v>
      </c>
      <c r="K4200" t="str">
        <f t="shared" si="1064"/>
        <v>Y</v>
      </c>
      <c r="L4200">
        <v>0</v>
      </c>
      <c r="M4200" t="str">
        <f t="shared" si="1067"/>
        <v>NIS</v>
      </c>
      <c r="O4200">
        <v>10</v>
      </c>
      <c r="P4200" t="str">
        <f t="shared" si="1066"/>
        <v>Active</v>
      </c>
      <c r="Q4200" t="str">
        <f>"Adapter Mounting Plate for ER9/14Pro &amp; HP3"</f>
        <v>Adapter Mounting Plate for ER9/14Pro &amp; HP3</v>
      </c>
      <c r="S4200" t="str">
        <f>"Adapter Mounting Plate for ER9/14Pro &amp; HP3"</f>
        <v>Adapter Mounting Plate for ER9/14Pro &amp; HP3</v>
      </c>
      <c r="T4200">
        <v>0</v>
      </c>
      <c r="U4200">
        <v>145</v>
      </c>
      <c r="V4200">
        <v>153.93</v>
      </c>
      <c r="W4200" t="str">
        <f t="shared" si="1057"/>
        <v>rob</v>
      </c>
    </row>
    <row r="4201" spans="1:23">
      <c r="A4201" t="str">
        <f t="shared" si="1070"/>
        <v>R14-02</v>
      </c>
      <c r="B4201" t="str">
        <f>"63-9248-0000"</f>
        <v>63-9248-0000</v>
      </c>
      <c r="C4201" t="str">
        <f>"Robotic Software for Controller USB Pro"</f>
        <v>Robotic Software for Controller USB Pro</v>
      </c>
      <c r="D4201">
        <v>1</v>
      </c>
      <c r="E4201" t="str">
        <f t="shared" si="1071"/>
        <v>Scora-ER14Pro, Scara Robot - Standard Package</v>
      </c>
      <c r="F4201">
        <v>801</v>
      </c>
      <c r="G4201" t="str">
        <f t="shared" si="1063"/>
        <v>Y</v>
      </c>
      <c r="H4201" t="str">
        <f t="shared" si="1065"/>
        <v>EA</v>
      </c>
      <c r="I4201">
        <v>0</v>
      </c>
      <c r="J4201">
        <v>0</v>
      </c>
      <c r="K4201" t="str">
        <f t="shared" si="1064"/>
        <v>Y</v>
      </c>
      <c r="L4201">
        <v>0</v>
      </c>
      <c r="M4201" t="str">
        <f t="shared" si="1067"/>
        <v>NIS</v>
      </c>
      <c r="N4201" t="str">
        <f>"Y"</f>
        <v>Y</v>
      </c>
      <c r="O4201">
        <v>11</v>
      </c>
      <c r="P4201" t="str">
        <f t="shared" si="1066"/>
        <v>Active</v>
      </c>
      <c r="Q4201" t="str">
        <f>"Robotic Software for Controller USB Pro"</f>
        <v>Robotic Software for Controller USB Pro</v>
      </c>
      <c r="S4201" t="str">
        <f>"Robotic Software for Controller USB Pro"</f>
        <v>Robotic Software for Controller USB Pro</v>
      </c>
      <c r="T4201">
        <v>0</v>
      </c>
      <c r="U4201">
        <v>30</v>
      </c>
      <c r="V4201">
        <v>32.17</v>
      </c>
      <c r="W4201" t="str">
        <f t="shared" si="1057"/>
        <v>rob</v>
      </c>
    </row>
    <row r="4202" spans="1:23">
      <c r="A4202" t="str">
        <f t="shared" si="1070"/>
        <v>R14-02</v>
      </c>
      <c r="B4202" t="str">
        <f>"63-7000-1800"</f>
        <v>63-7000-1800</v>
      </c>
      <c r="C4202" t="str">
        <f>"License Key for RoboCell/SCORBASE USB Pro"</f>
        <v>License Key for RoboCell/SCORBASE USB Pro</v>
      </c>
      <c r="D4202">
        <v>1</v>
      </c>
      <c r="E4202" t="str">
        <f t="shared" si="1071"/>
        <v>Scora-ER14Pro, Scara Robot - Standard Package</v>
      </c>
      <c r="F4202">
        <v>801</v>
      </c>
      <c r="G4202" t="str">
        <f t="shared" si="1063"/>
        <v>Y</v>
      </c>
      <c r="H4202" t="str">
        <f t="shared" si="1065"/>
        <v>EA</v>
      </c>
      <c r="I4202">
        <v>0</v>
      </c>
      <c r="J4202">
        <v>0</v>
      </c>
      <c r="K4202" t="str">
        <f t="shared" si="1064"/>
        <v>Y</v>
      </c>
      <c r="L4202">
        <v>0</v>
      </c>
      <c r="M4202" t="str">
        <f t="shared" si="1067"/>
        <v>NIS</v>
      </c>
      <c r="N4202" t="str">
        <f>"Y"</f>
        <v>Y</v>
      </c>
      <c r="O4202">
        <v>12</v>
      </c>
      <c r="P4202" t="str">
        <f t="shared" si="1066"/>
        <v>Active</v>
      </c>
      <c r="Q4202" t="str">
        <f>"License Key for RoboCell/SCORBASE USB Pro"</f>
        <v>License Key for RoboCell/SCORBASE USB Pro</v>
      </c>
      <c r="R4202" t="str">
        <f>"1"</f>
        <v>1</v>
      </c>
      <c r="S4202" t="str">
        <f>"License Key for RoboCell/SCORBASE USB Pro"</f>
        <v>License Key for RoboCell/SCORBASE USB Pro</v>
      </c>
      <c r="T4202">
        <v>0</v>
      </c>
      <c r="U4202">
        <v>10</v>
      </c>
      <c r="V4202">
        <v>11.1</v>
      </c>
      <c r="W4202" t="str">
        <f t="shared" ref="W4202:W4270" si="1072">"rob"</f>
        <v>rob</v>
      </c>
    </row>
    <row r="4203" spans="1:23">
      <c r="A4203" t="str">
        <f t="shared" ref="A4203:A4216" si="1073">"R14-03"</f>
        <v>R14-03</v>
      </c>
      <c r="B4203" t="str">
        <f>"00-0432-0000"</f>
        <v>00-0432-0000</v>
      </c>
      <c r="C4203" t="str">
        <f>"SCORA-ER 14Pro"</f>
        <v>SCORA-ER 14Pro</v>
      </c>
      <c r="D4203">
        <v>1</v>
      </c>
      <c r="E4203" t="str">
        <f t="shared" ref="E4203:E4216" si="1074">"Scora-ER14Pro, ScaraRobot - Advanced Package"</f>
        <v>Scora-ER14Pro, ScaraRobot - Advanced Package</v>
      </c>
      <c r="F4203">
        <v>801</v>
      </c>
      <c r="G4203" t="str">
        <f t="shared" si="1063"/>
        <v>Y</v>
      </c>
      <c r="H4203" t="str">
        <f t="shared" si="1065"/>
        <v>EA</v>
      </c>
      <c r="I4203">
        <v>0</v>
      </c>
      <c r="J4203">
        <v>0</v>
      </c>
      <c r="K4203" t="str">
        <f t="shared" si="1064"/>
        <v>Y</v>
      </c>
      <c r="L4203">
        <v>0</v>
      </c>
      <c r="M4203" t="str">
        <f t="shared" si="1067"/>
        <v>NIS</v>
      </c>
      <c r="O4203">
        <v>1</v>
      </c>
      <c r="P4203" t="str">
        <f t="shared" si="1066"/>
        <v>Active</v>
      </c>
      <c r="Q4203" t="str">
        <f>"SCORA-ER 14Pro (incl. USB-Pro Controller)"</f>
        <v>SCORA-ER 14Pro (incl. USB-Pro Controller)</v>
      </c>
      <c r="S4203" t="str">
        <f>"SCORA-ER 14Pro (incl. USB-Pro Controller)"</f>
        <v>SCORA-ER 14Pro (incl. USB-Pro Controller)</v>
      </c>
      <c r="T4203">
        <v>0</v>
      </c>
      <c r="U4203" s="44">
        <v>11400</v>
      </c>
      <c r="V4203" s="44">
        <v>12383.77</v>
      </c>
      <c r="W4203" t="str">
        <f t="shared" si="1072"/>
        <v>rob</v>
      </c>
    </row>
    <row r="4204" spans="1:23">
      <c r="A4204" t="str">
        <f t="shared" si="1073"/>
        <v>R14-03</v>
      </c>
      <c r="B4204" t="str">
        <f>"00-1710-0000"</f>
        <v>00-1710-0000</v>
      </c>
      <c r="C4204" t="str">
        <f>"Teach Pendant"</f>
        <v>Teach Pendant</v>
      </c>
      <c r="D4204">
        <v>1</v>
      </c>
      <c r="E4204" t="str">
        <f t="shared" si="1074"/>
        <v>Scora-ER14Pro, ScaraRobot - Advanced Package</v>
      </c>
      <c r="F4204">
        <v>801</v>
      </c>
      <c r="G4204" t="str">
        <f t="shared" si="1063"/>
        <v>Y</v>
      </c>
      <c r="H4204" t="str">
        <f t="shared" si="1065"/>
        <v>EA</v>
      </c>
      <c r="I4204">
        <v>0</v>
      </c>
      <c r="J4204">
        <v>0</v>
      </c>
      <c r="K4204" t="str">
        <f t="shared" si="1064"/>
        <v>Y</v>
      </c>
      <c r="L4204">
        <v>0</v>
      </c>
      <c r="M4204" t="str">
        <f t="shared" si="1067"/>
        <v>NIS</v>
      </c>
      <c r="O4204">
        <v>2</v>
      </c>
      <c r="P4204" t="str">
        <f t="shared" ref="P4204:P4222" si="1075">"Active"</f>
        <v>Active</v>
      </c>
      <c r="Q4204" t="str">
        <f>"Teach Pendant for USB/USB Pro Controllers"</f>
        <v>Teach Pendant for USB/USB Pro Controllers</v>
      </c>
      <c r="S4204" t="str">
        <f>"Teach Pendant for USB/USB Pro Controllers"</f>
        <v>Teach Pendant for USB/USB Pro Controllers</v>
      </c>
      <c r="T4204">
        <v>0</v>
      </c>
      <c r="U4204">
        <v>160.18</v>
      </c>
      <c r="V4204">
        <v>161.44999999999999</v>
      </c>
      <c r="W4204" t="str">
        <f t="shared" si="1072"/>
        <v>rob</v>
      </c>
    </row>
    <row r="4205" spans="1:23">
      <c r="A4205" t="str">
        <f t="shared" si="1073"/>
        <v>R14-03</v>
      </c>
      <c r="B4205" t="str">
        <f>"00-0634-0000"</f>
        <v>00-0634-0000</v>
      </c>
      <c r="C4205" t="str">
        <f>"Pneumatic Gripper for ER 14Pro"</f>
        <v>Pneumatic Gripper for ER 14Pro</v>
      </c>
      <c r="D4205">
        <v>1</v>
      </c>
      <c r="E4205" t="str">
        <f t="shared" si="1074"/>
        <v>Scora-ER14Pro, ScaraRobot - Advanced Package</v>
      </c>
      <c r="F4205">
        <v>801</v>
      </c>
      <c r="G4205" t="str">
        <f t="shared" si="1063"/>
        <v>Y</v>
      </c>
      <c r="H4205" t="str">
        <f t="shared" si="1065"/>
        <v>EA</v>
      </c>
      <c r="I4205">
        <v>0</v>
      </c>
      <c r="J4205">
        <v>0</v>
      </c>
      <c r="K4205" t="str">
        <f t="shared" si="1064"/>
        <v>Y</v>
      </c>
      <c r="L4205">
        <v>0</v>
      </c>
      <c r="M4205" t="str">
        <f t="shared" si="1067"/>
        <v>NIS</v>
      </c>
      <c r="O4205">
        <v>3</v>
      </c>
      <c r="P4205" t="str">
        <f t="shared" si="1075"/>
        <v>Active</v>
      </c>
      <c r="Q4205" t="str">
        <f>"Pneumatic Gripper for ER 14Pro"</f>
        <v>Pneumatic Gripper for ER 14Pro</v>
      </c>
      <c r="S4205" t="str">
        <f>"Pneumatic Gripper for ER 14Pro"</f>
        <v>Pneumatic Gripper for ER 14Pro</v>
      </c>
      <c r="T4205">
        <v>0</v>
      </c>
      <c r="U4205">
        <v>651</v>
      </c>
      <c r="V4205">
        <v>647.6</v>
      </c>
      <c r="W4205" t="str">
        <f t="shared" si="1072"/>
        <v>rob</v>
      </c>
    </row>
    <row r="4206" spans="1:23">
      <c r="A4206" t="str">
        <f t="shared" si="1073"/>
        <v>R14-03</v>
      </c>
      <c r="B4206" t="str">
        <f>"034025"</f>
        <v>034025</v>
      </c>
      <c r="C4206" t="str">
        <f>"I/O Interface Box for Controller USB-PRO"</f>
        <v>I/O Interface Box for Controller USB-PRO</v>
      </c>
      <c r="D4206">
        <v>1</v>
      </c>
      <c r="E4206" t="str">
        <f t="shared" si="1074"/>
        <v>Scora-ER14Pro, ScaraRobot - Advanced Package</v>
      </c>
      <c r="F4206">
        <v>801</v>
      </c>
      <c r="G4206" t="str">
        <f t="shared" si="1063"/>
        <v>Y</v>
      </c>
      <c r="H4206" t="str">
        <f t="shared" si="1065"/>
        <v>EA</v>
      </c>
      <c r="I4206">
        <v>0</v>
      </c>
      <c r="J4206">
        <v>0</v>
      </c>
      <c r="K4206" t="str">
        <f t="shared" si="1064"/>
        <v>Y</v>
      </c>
      <c r="L4206">
        <v>0</v>
      </c>
      <c r="M4206" t="str">
        <f t="shared" si="1067"/>
        <v>NIS</v>
      </c>
      <c r="O4206">
        <v>4</v>
      </c>
      <c r="P4206" t="str">
        <f t="shared" si="1075"/>
        <v>Active</v>
      </c>
      <c r="Q4206" t="str">
        <f>"I/O Interface Box for Controller USB-PRO"</f>
        <v>I/O Interface Box for Controller USB-PRO</v>
      </c>
      <c r="S4206" t="str">
        <f>"קופסת 2+Interface Box I/O כבלים לבקר USBPRO"</f>
        <v>קופסת 2+Interface Box I/O כבלים לבקר USBPRO</v>
      </c>
      <c r="T4206">
        <v>0</v>
      </c>
      <c r="U4206">
        <v>470</v>
      </c>
      <c r="V4206">
        <v>463.62</v>
      </c>
      <c r="W4206" t="str">
        <f t="shared" si="1072"/>
        <v>rob</v>
      </c>
    </row>
    <row r="4207" spans="1:23">
      <c r="A4207" t="str">
        <f t="shared" si="1073"/>
        <v>R14-03</v>
      </c>
      <c r="B4207" t="str">
        <f>"00-1110-0000"</f>
        <v>00-1110-0000</v>
      </c>
      <c r="C4207" t="str">
        <f>"Palletizing Rack"</f>
        <v>Palletizing Rack</v>
      </c>
      <c r="D4207">
        <v>1</v>
      </c>
      <c r="E4207" t="str">
        <f t="shared" si="1074"/>
        <v>Scora-ER14Pro, ScaraRobot - Advanced Package</v>
      </c>
      <c r="F4207">
        <v>801</v>
      </c>
      <c r="G4207" t="str">
        <f t="shared" si="1063"/>
        <v>Y</v>
      </c>
      <c r="H4207" t="str">
        <f t="shared" si="1065"/>
        <v>EA</v>
      </c>
      <c r="I4207">
        <v>0</v>
      </c>
      <c r="J4207">
        <v>0</v>
      </c>
      <c r="K4207" t="str">
        <f t="shared" si="1064"/>
        <v>Y</v>
      </c>
      <c r="L4207">
        <v>0</v>
      </c>
      <c r="M4207" t="str">
        <f t="shared" si="1067"/>
        <v>NIS</v>
      </c>
      <c r="O4207">
        <v>5</v>
      </c>
      <c r="P4207" t="str">
        <f t="shared" si="1075"/>
        <v>Active</v>
      </c>
      <c r="Q4207" t="str">
        <f>"Palletizing Rack (incl. Pins for creating Jigs)"</f>
        <v>Palletizing Rack (incl. Pins for creating Jigs)</v>
      </c>
      <c r="S4207" t="str">
        <f>"Palletizing Rack (incl. Pins for creating Jigs)"</f>
        <v>Palletizing Rack (incl. Pins for creating Jigs)</v>
      </c>
      <c r="T4207">
        <v>0</v>
      </c>
      <c r="U4207">
        <v>63</v>
      </c>
      <c r="V4207">
        <v>58.59</v>
      </c>
      <c r="W4207" t="str">
        <f t="shared" si="1072"/>
        <v>rob</v>
      </c>
    </row>
    <row r="4208" spans="1:23">
      <c r="A4208" t="str">
        <f t="shared" si="1073"/>
        <v>R14-03</v>
      </c>
      <c r="B4208" t="str">
        <f>"021172"</f>
        <v>021172</v>
      </c>
      <c r="C4208" t="str">
        <f>"30mm Height Adapter -Rack 001110 on table 001249"</f>
        <v>30mm Height Adapter -Rack 001110 on table 001249</v>
      </c>
      <c r="D4208">
        <v>1</v>
      </c>
      <c r="E4208" t="str">
        <f t="shared" si="1074"/>
        <v>Scora-ER14Pro, ScaraRobot - Advanced Package</v>
      </c>
      <c r="F4208">
        <v>801</v>
      </c>
      <c r="G4208" t="str">
        <f t="shared" si="1063"/>
        <v>Y</v>
      </c>
      <c r="H4208" t="str">
        <f t="shared" si="1065"/>
        <v>EA</v>
      </c>
      <c r="I4208">
        <v>0</v>
      </c>
      <c r="J4208">
        <v>0</v>
      </c>
      <c r="K4208" t="str">
        <f t="shared" si="1064"/>
        <v>Y</v>
      </c>
      <c r="L4208">
        <v>0</v>
      </c>
      <c r="M4208" t="str">
        <f t="shared" si="1067"/>
        <v>NIS</v>
      </c>
      <c r="O4208">
        <v>6</v>
      </c>
      <c r="P4208" t="str">
        <f t="shared" si="1075"/>
        <v>Active</v>
      </c>
      <c r="Q4208" t="str">
        <f>"30mm Height Adapter -Rack 001110 on table 001249"</f>
        <v>30mm Height Adapter -Rack 001110 on table 001249</v>
      </c>
      <c r="S4208" t="str">
        <f>"30mm Height Adapter -Rack 001110 on table 001249"</f>
        <v>30mm Height Adapter -Rack 001110 on table 001249</v>
      </c>
      <c r="T4208">
        <v>0</v>
      </c>
      <c r="U4208">
        <v>13.12</v>
      </c>
      <c r="V4208">
        <v>13.44</v>
      </c>
      <c r="W4208" t="str">
        <f t="shared" si="1072"/>
        <v>rob</v>
      </c>
    </row>
    <row r="4209" spans="1:23">
      <c r="A4209" t="str">
        <f t="shared" si="1073"/>
        <v>R14-03</v>
      </c>
      <c r="B4209" t="str">
        <f>"00-1010-0000"</f>
        <v>00-1010-0000</v>
      </c>
      <c r="C4209" t="str">
        <f>"Conveyor Belt tabletop"</f>
        <v>Conveyor Belt tabletop</v>
      </c>
      <c r="D4209">
        <v>1</v>
      </c>
      <c r="E4209" t="str">
        <f t="shared" si="1074"/>
        <v>Scora-ER14Pro, ScaraRobot - Advanced Package</v>
      </c>
      <c r="F4209">
        <v>801</v>
      </c>
      <c r="G4209" t="str">
        <f t="shared" si="1063"/>
        <v>Y</v>
      </c>
      <c r="H4209" t="str">
        <f t="shared" si="1065"/>
        <v>EA</v>
      </c>
      <c r="I4209">
        <v>0</v>
      </c>
      <c r="J4209">
        <v>0</v>
      </c>
      <c r="K4209" t="str">
        <f t="shared" si="1064"/>
        <v>Y</v>
      </c>
      <c r="L4209">
        <v>0</v>
      </c>
      <c r="M4209" t="str">
        <f t="shared" si="1067"/>
        <v>NIS</v>
      </c>
      <c r="O4209">
        <v>7</v>
      </c>
      <c r="P4209" t="str">
        <f t="shared" si="1075"/>
        <v>Active</v>
      </c>
      <c r="Q4209" t="str">
        <f>"Conveyor Belt (24V)"</f>
        <v>Conveyor Belt (24V)</v>
      </c>
      <c r="S4209" t="str">
        <f>"Conveyor Belt (24V)"</f>
        <v>Conveyor Belt (24V)</v>
      </c>
      <c r="T4209">
        <v>0</v>
      </c>
      <c r="U4209">
        <v>510</v>
      </c>
      <c r="V4209">
        <v>472.02</v>
      </c>
      <c r="W4209" t="str">
        <f t="shared" si="1072"/>
        <v>rob</v>
      </c>
    </row>
    <row r="4210" spans="1:23">
      <c r="A4210" t="str">
        <f t="shared" si="1073"/>
        <v>R14-03</v>
      </c>
      <c r="B4210" t="str">
        <f>"00-1203-0000"</f>
        <v>00-1203-0000</v>
      </c>
      <c r="C4210" t="str">
        <f>"Photoelectric Sensor for Belt Conveyor"</f>
        <v>Photoelectric Sensor for Belt Conveyor</v>
      </c>
      <c r="D4210">
        <v>1</v>
      </c>
      <c r="E4210" t="str">
        <f t="shared" si="1074"/>
        <v>Scora-ER14Pro, ScaraRobot - Advanced Package</v>
      </c>
      <c r="F4210">
        <v>801</v>
      </c>
      <c r="G4210" t="str">
        <f t="shared" si="1063"/>
        <v>Y</v>
      </c>
      <c r="H4210" t="str">
        <f t="shared" si="1065"/>
        <v>EA</v>
      </c>
      <c r="I4210">
        <v>0</v>
      </c>
      <c r="J4210">
        <v>0</v>
      </c>
      <c r="K4210" t="str">
        <f t="shared" si="1064"/>
        <v>Y</v>
      </c>
      <c r="L4210">
        <v>0</v>
      </c>
      <c r="M4210" t="str">
        <f t="shared" si="1067"/>
        <v>NIS</v>
      </c>
      <c r="O4210">
        <v>8</v>
      </c>
      <c r="P4210" t="str">
        <f t="shared" si="1075"/>
        <v>Active</v>
      </c>
      <c r="Q4210" t="str">
        <f>"Photoelectric Sensor for Belt Conveyor"</f>
        <v>Photoelectric Sensor for Belt Conveyor</v>
      </c>
      <c r="S4210" t="str">
        <f>"Photoelectric Sensor for Belt Conveyor"</f>
        <v>Photoelectric Sensor for Belt Conveyor</v>
      </c>
      <c r="T4210">
        <v>0</v>
      </c>
      <c r="U4210">
        <v>108</v>
      </c>
      <c r="V4210">
        <v>100.82</v>
      </c>
      <c r="W4210" t="str">
        <f t="shared" si="1072"/>
        <v>rob</v>
      </c>
    </row>
    <row r="4211" spans="1:23">
      <c r="A4211" t="str">
        <f t="shared" si="1073"/>
        <v>R14-03</v>
      </c>
      <c r="B4211" t="str">
        <f>"00-1009-0000"</f>
        <v>00-1009-0000</v>
      </c>
      <c r="C4211" t="str">
        <f>"Rotary Index Table (24V)"</f>
        <v>Rotary Index Table (24V)</v>
      </c>
      <c r="D4211">
        <v>1</v>
      </c>
      <c r="E4211" t="str">
        <f t="shared" si="1074"/>
        <v>Scora-ER14Pro, ScaraRobot - Advanced Package</v>
      </c>
      <c r="F4211">
        <v>801</v>
      </c>
      <c r="G4211" t="str">
        <f t="shared" si="1063"/>
        <v>Y</v>
      </c>
      <c r="H4211" t="str">
        <f t="shared" si="1065"/>
        <v>EA</v>
      </c>
      <c r="I4211">
        <v>0</v>
      </c>
      <c r="J4211">
        <v>0</v>
      </c>
      <c r="K4211" t="str">
        <f t="shared" si="1064"/>
        <v>Y</v>
      </c>
      <c r="L4211">
        <v>0</v>
      </c>
      <c r="M4211" t="str">
        <f t="shared" si="1067"/>
        <v>NIS</v>
      </c>
      <c r="O4211">
        <v>9</v>
      </c>
      <c r="P4211" t="str">
        <f t="shared" si="1075"/>
        <v>Active</v>
      </c>
      <c r="Q4211" t="str">
        <f>"Rotary Index Table (24V)"</f>
        <v>Rotary Index Table (24V)</v>
      </c>
      <c r="S4211" t="str">
        <f>"Rotary Index Table (24V)"</f>
        <v>Rotary Index Table (24V)</v>
      </c>
      <c r="T4211">
        <v>0</v>
      </c>
      <c r="U4211">
        <v>530</v>
      </c>
      <c r="V4211">
        <v>550.71</v>
      </c>
      <c r="W4211" t="str">
        <f t="shared" si="1072"/>
        <v>rob</v>
      </c>
    </row>
    <row r="4212" spans="1:23">
      <c r="A4212" t="str">
        <f t="shared" si="1073"/>
        <v>R14-03</v>
      </c>
      <c r="B4212" t="str">
        <f>"00-1209-0000"</f>
        <v>00-1209-0000</v>
      </c>
      <c r="C4212" t="str">
        <f>"Photoelectric Sensor for Rotary Index Table"</f>
        <v>Photoelectric Sensor for Rotary Index Table</v>
      </c>
      <c r="D4212">
        <v>1</v>
      </c>
      <c r="E4212" t="str">
        <f t="shared" si="1074"/>
        <v>Scora-ER14Pro, ScaraRobot - Advanced Package</v>
      </c>
      <c r="F4212">
        <v>801</v>
      </c>
      <c r="G4212" t="str">
        <f t="shared" si="1063"/>
        <v>Y</v>
      </c>
      <c r="H4212" t="str">
        <f t="shared" si="1065"/>
        <v>EA</v>
      </c>
      <c r="I4212">
        <v>0</v>
      </c>
      <c r="J4212">
        <v>0</v>
      </c>
      <c r="K4212" t="str">
        <f t="shared" si="1064"/>
        <v>Y</v>
      </c>
      <c r="L4212">
        <v>0</v>
      </c>
      <c r="M4212" t="str">
        <f t="shared" si="1067"/>
        <v>NIS</v>
      </c>
      <c r="O4212">
        <v>10</v>
      </c>
      <c r="P4212" t="str">
        <f t="shared" si="1075"/>
        <v>Active</v>
      </c>
      <c r="Q4212" t="str">
        <f>"Photoelectric Sensor for Rotary Index Table"</f>
        <v>Photoelectric Sensor for Rotary Index Table</v>
      </c>
      <c r="S4212" t="str">
        <f>"Photoelectric Sensor for Rotary Index Table"</f>
        <v>Photoelectric Sensor for Rotary Index Table</v>
      </c>
      <c r="T4212">
        <v>0</v>
      </c>
      <c r="U4212">
        <v>177.04</v>
      </c>
      <c r="V4212">
        <v>175.87</v>
      </c>
      <c r="W4212" t="str">
        <f t="shared" si="1072"/>
        <v>rob</v>
      </c>
    </row>
    <row r="4213" spans="1:23">
      <c r="A4213" t="str">
        <f t="shared" si="1073"/>
        <v>R14-03</v>
      </c>
      <c r="B4213" t="str">
        <f>"00-1249-0000"</f>
        <v>00-1249-0000</v>
      </c>
      <c r="C4213" t="str">
        <f>"Workbench 1500x800mm (slotted aluminum top)"</f>
        <v>Workbench 1500x800mm (slotted aluminum top)</v>
      </c>
      <c r="D4213">
        <v>1</v>
      </c>
      <c r="E4213" t="str">
        <f t="shared" si="1074"/>
        <v>Scora-ER14Pro, ScaraRobot - Advanced Package</v>
      </c>
      <c r="F4213">
        <v>801</v>
      </c>
      <c r="G4213" t="str">
        <f t="shared" si="1063"/>
        <v>Y</v>
      </c>
      <c r="H4213" t="str">
        <f t="shared" si="1065"/>
        <v>EA</v>
      </c>
      <c r="I4213">
        <v>0</v>
      </c>
      <c r="J4213">
        <v>0</v>
      </c>
      <c r="K4213" t="str">
        <f t="shared" si="1064"/>
        <v>Y</v>
      </c>
      <c r="L4213">
        <v>0</v>
      </c>
      <c r="M4213" t="str">
        <f t="shared" si="1067"/>
        <v>NIS</v>
      </c>
      <c r="O4213">
        <v>11</v>
      </c>
      <c r="P4213" t="str">
        <f t="shared" si="1075"/>
        <v>Active</v>
      </c>
      <c r="Q4213" t="str">
        <f>"Workbench 1500x800mm (slotted aluminum top)"</f>
        <v>Workbench 1500x800mm (slotted aluminum top)</v>
      </c>
      <c r="S4213" t="str">
        <f>"Workbench 1500x800mm (slotted aluminum top)"</f>
        <v>Workbench 1500x800mm (slotted aluminum top)</v>
      </c>
      <c r="T4213">
        <v>0</v>
      </c>
      <c r="U4213" s="44">
        <v>1100</v>
      </c>
      <c r="V4213" s="44">
        <v>1083.57</v>
      </c>
      <c r="W4213" t="str">
        <f t="shared" si="1072"/>
        <v>rob</v>
      </c>
    </row>
    <row r="4214" spans="1:23">
      <c r="A4214" t="str">
        <f t="shared" si="1073"/>
        <v>R14-03</v>
      </c>
      <c r="B4214" t="str">
        <f>"00-1241-0000"</f>
        <v>00-1241-0000</v>
      </c>
      <c r="C4214" t="str">
        <f>"Adapter Mounting Plate for ER9/14Pro &amp; HP3"</f>
        <v>Adapter Mounting Plate for ER9/14Pro &amp; HP3</v>
      </c>
      <c r="D4214">
        <v>1</v>
      </c>
      <c r="E4214" t="str">
        <f t="shared" si="1074"/>
        <v>Scora-ER14Pro, ScaraRobot - Advanced Package</v>
      </c>
      <c r="F4214">
        <v>801</v>
      </c>
      <c r="G4214" t="str">
        <f t="shared" si="1063"/>
        <v>Y</v>
      </c>
      <c r="H4214" t="str">
        <f t="shared" si="1065"/>
        <v>EA</v>
      </c>
      <c r="I4214">
        <v>0</v>
      </c>
      <c r="J4214">
        <v>0</v>
      </c>
      <c r="K4214" t="str">
        <f t="shared" si="1064"/>
        <v>Y</v>
      </c>
      <c r="L4214">
        <v>0</v>
      </c>
      <c r="M4214" t="str">
        <f t="shared" si="1067"/>
        <v>NIS</v>
      </c>
      <c r="O4214">
        <v>12</v>
      </c>
      <c r="P4214" t="str">
        <f t="shared" si="1075"/>
        <v>Active</v>
      </c>
      <c r="Q4214" t="str">
        <f>"Adapter Mounting Plate for ER9/14Pro &amp; HP3"</f>
        <v>Adapter Mounting Plate for ER9/14Pro &amp; HP3</v>
      </c>
      <c r="S4214" t="str">
        <f>"Adapter Mounting Plate for ER9/14Pro &amp; HP3"</f>
        <v>Adapter Mounting Plate for ER9/14Pro &amp; HP3</v>
      </c>
      <c r="T4214">
        <v>0</v>
      </c>
      <c r="U4214">
        <v>145</v>
      </c>
      <c r="V4214">
        <v>153.93</v>
      </c>
      <c r="W4214" t="str">
        <f t="shared" si="1072"/>
        <v>rob</v>
      </c>
    </row>
    <row r="4215" spans="1:23">
      <c r="A4215" t="str">
        <f t="shared" si="1073"/>
        <v>R14-03</v>
      </c>
      <c r="B4215" t="str">
        <f>"63-9248-0000"</f>
        <v>63-9248-0000</v>
      </c>
      <c r="C4215" t="str">
        <f>"Robotic Software for Controller USB Pro"</f>
        <v>Robotic Software for Controller USB Pro</v>
      </c>
      <c r="D4215">
        <v>1</v>
      </c>
      <c r="E4215" t="str">
        <f t="shared" si="1074"/>
        <v>Scora-ER14Pro, ScaraRobot - Advanced Package</v>
      </c>
      <c r="F4215">
        <v>801</v>
      </c>
      <c r="G4215" t="str">
        <f t="shared" si="1063"/>
        <v>Y</v>
      </c>
      <c r="H4215" t="str">
        <f t="shared" si="1065"/>
        <v>EA</v>
      </c>
      <c r="I4215">
        <v>0</v>
      </c>
      <c r="J4215">
        <v>0</v>
      </c>
      <c r="K4215" t="str">
        <f t="shared" si="1064"/>
        <v>Y</v>
      </c>
      <c r="L4215">
        <v>0</v>
      </c>
      <c r="M4215" t="str">
        <f t="shared" si="1067"/>
        <v>NIS</v>
      </c>
      <c r="N4215" t="str">
        <f>"Y"</f>
        <v>Y</v>
      </c>
      <c r="O4215">
        <v>13</v>
      </c>
      <c r="P4215" t="str">
        <f t="shared" si="1075"/>
        <v>Active</v>
      </c>
      <c r="Q4215" t="str">
        <f>"Robotic Software for Controller USB Pro"</f>
        <v>Robotic Software for Controller USB Pro</v>
      </c>
      <c r="S4215" t="str">
        <f>"Robotic Software for Controller USB Pro"</f>
        <v>Robotic Software for Controller USB Pro</v>
      </c>
      <c r="T4215">
        <v>0</v>
      </c>
      <c r="U4215">
        <v>30</v>
      </c>
      <c r="V4215">
        <v>32.17</v>
      </c>
      <c r="W4215" t="str">
        <f t="shared" si="1072"/>
        <v>rob</v>
      </c>
    </row>
    <row r="4216" spans="1:23">
      <c r="A4216" t="str">
        <f t="shared" si="1073"/>
        <v>R14-03</v>
      </c>
      <c r="B4216" t="str">
        <f>"63-7000-1800"</f>
        <v>63-7000-1800</v>
      </c>
      <c r="C4216" t="str">
        <f>"License Key for RoboCell/SCORBASE USB Pro"</f>
        <v>License Key for RoboCell/SCORBASE USB Pro</v>
      </c>
      <c r="D4216">
        <v>1</v>
      </c>
      <c r="E4216" t="str">
        <f t="shared" si="1074"/>
        <v>Scora-ER14Pro, ScaraRobot - Advanced Package</v>
      </c>
      <c r="F4216">
        <v>801</v>
      </c>
      <c r="G4216" t="str">
        <f t="shared" si="1063"/>
        <v>Y</v>
      </c>
      <c r="H4216" t="str">
        <f t="shared" si="1065"/>
        <v>EA</v>
      </c>
      <c r="I4216">
        <v>0</v>
      </c>
      <c r="J4216">
        <v>0</v>
      </c>
      <c r="K4216" t="str">
        <f t="shared" si="1064"/>
        <v>Y</v>
      </c>
      <c r="L4216">
        <v>0</v>
      </c>
      <c r="M4216" t="str">
        <f t="shared" si="1067"/>
        <v>NIS</v>
      </c>
      <c r="N4216" t="str">
        <f>"Y"</f>
        <v>Y</v>
      </c>
      <c r="O4216">
        <v>14</v>
      </c>
      <c r="P4216" t="str">
        <f t="shared" si="1075"/>
        <v>Active</v>
      </c>
      <c r="Q4216" t="str">
        <f>"License Key for RoboCell/SCORBASE USB Pro"</f>
        <v>License Key for RoboCell/SCORBASE USB Pro</v>
      </c>
      <c r="R4216" t="str">
        <f>"1"</f>
        <v>1</v>
      </c>
      <c r="S4216" t="str">
        <f>"License Key for RoboCell/SCORBASE USB Pro"</f>
        <v>License Key for RoboCell/SCORBASE USB Pro</v>
      </c>
      <c r="T4216">
        <v>0</v>
      </c>
      <c r="U4216">
        <v>10</v>
      </c>
      <c r="V4216">
        <v>11.1</v>
      </c>
      <c r="W4216" t="str">
        <f t="shared" si="1072"/>
        <v>rob</v>
      </c>
    </row>
    <row r="4217" spans="1:23">
      <c r="A4217" t="str">
        <f t="shared" ref="A4217:A4241" si="1076">"R14-04"</f>
        <v>R14-04</v>
      </c>
      <c r="B4217" t="str">
        <f>"00-0432-0000"</f>
        <v>00-0432-0000</v>
      </c>
      <c r="C4217" t="str">
        <f>"SCORA-ER 14Pro"</f>
        <v>SCORA-ER 14Pro</v>
      </c>
      <c r="D4217">
        <v>1</v>
      </c>
      <c r="E4217" t="str">
        <f t="shared" ref="E4217:E4241" si="1077">"Scora-ER14Pro, Scara Robot &amp; Assembly and Quality Control Station"</f>
        <v>Scora-ER14Pro, Scara Robot &amp; Assembly and Quality Control Station</v>
      </c>
      <c r="F4217">
        <v>801</v>
      </c>
      <c r="G4217" t="str">
        <f t="shared" si="1063"/>
        <v>Y</v>
      </c>
      <c r="H4217" t="str">
        <f t="shared" si="1065"/>
        <v>EA</v>
      </c>
      <c r="I4217">
        <v>0</v>
      </c>
      <c r="J4217">
        <v>0</v>
      </c>
      <c r="K4217" t="str">
        <f t="shared" si="1064"/>
        <v>Y</v>
      </c>
      <c r="L4217">
        <v>0</v>
      </c>
      <c r="M4217" t="str">
        <f t="shared" si="1067"/>
        <v>NIS</v>
      </c>
      <c r="O4217">
        <v>1</v>
      </c>
      <c r="P4217" t="str">
        <f t="shared" si="1075"/>
        <v>Active</v>
      </c>
      <c r="Q4217" t="str">
        <f>"SCORA-ER 14Pro (incl. USB-Pro Controller)"</f>
        <v>SCORA-ER 14Pro (incl. USB-Pro Controller)</v>
      </c>
      <c r="S4217" t="str">
        <f>"SCORA-ER 14Pro (incl. USB-Pro Controller)"</f>
        <v>SCORA-ER 14Pro (incl. USB-Pro Controller)</v>
      </c>
      <c r="T4217">
        <v>0</v>
      </c>
      <c r="U4217" s="44">
        <v>11400</v>
      </c>
      <c r="V4217" s="44">
        <v>12383.77</v>
      </c>
      <c r="W4217" t="str">
        <f t="shared" si="1072"/>
        <v>rob</v>
      </c>
    </row>
    <row r="4218" spans="1:23">
      <c r="A4218" t="str">
        <f t="shared" si="1076"/>
        <v>R14-04</v>
      </c>
      <c r="B4218" t="str">
        <f>"00-0634-0000"</f>
        <v>00-0634-0000</v>
      </c>
      <c r="C4218" t="str">
        <f>"Pneumatic Gripper for ER 14Pro"</f>
        <v>Pneumatic Gripper for ER 14Pro</v>
      </c>
      <c r="D4218">
        <v>1</v>
      </c>
      <c r="E4218" t="str">
        <f t="shared" si="1077"/>
        <v>Scora-ER14Pro, Scara Robot &amp; Assembly and Quality Control Station</v>
      </c>
      <c r="F4218">
        <v>801</v>
      </c>
      <c r="G4218" t="str">
        <f t="shared" si="1063"/>
        <v>Y</v>
      </c>
      <c r="H4218" t="str">
        <f t="shared" si="1065"/>
        <v>EA</v>
      </c>
      <c r="I4218">
        <v>0</v>
      </c>
      <c r="J4218">
        <v>0</v>
      </c>
      <c r="K4218" t="str">
        <f t="shared" si="1064"/>
        <v>Y</v>
      </c>
      <c r="L4218">
        <v>0</v>
      </c>
      <c r="M4218" t="str">
        <f t="shared" si="1067"/>
        <v>NIS</v>
      </c>
      <c r="O4218">
        <v>2</v>
      </c>
      <c r="P4218" t="str">
        <f t="shared" si="1075"/>
        <v>Active</v>
      </c>
      <c r="Q4218" t="str">
        <f>"Pneumatic Gripper for ER 14Pro"</f>
        <v>Pneumatic Gripper for ER 14Pro</v>
      </c>
      <c r="S4218" t="str">
        <f>"Pneumatic Gripper for ER 14Pro"</f>
        <v>Pneumatic Gripper for ER 14Pro</v>
      </c>
      <c r="T4218">
        <v>0</v>
      </c>
      <c r="U4218">
        <v>651</v>
      </c>
      <c r="V4218">
        <v>647.6</v>
      </c>
      <c r="W4218" t="str">
        <f t="shared" si="1072"/>
        <v>rob</v>
      </c>
    </row>
    <row r="4219" spans="1:23">
      <c r="A4219" t="str">
        <f t="shared" si="1076"/>
        <v>R14-04</v>
      </c>
      <c r="B4219" t="str">
        <f>"00-1710-0000"</f>
        <v>00-1710-0000</v>
      </c>
      <c r="C4219" t="str">
        <f>"Teach Pendant"</f>
        <v>Teach Pendant</v>
      </c>
      <c r="D4219">
        <v>1</v>
      </c>
      <c r="E4219" t="str">
        <f t="shared" si="1077"/>
        <v>Scora-ER14Pro, Scara Robot &amp; Assembly and Quality Control Station</v>
      </c>
      <c r="F4219">
        <v>801</v>
      </c>
      <c r="G4219" t="str">
        <f t="shared" si="1063"/>
        <v>Y</v>
      </c>
      <c r="H4219" t="str">
        <f t="shared" si="1065"/>
        <v>EA</v>
      </c>
      <c r="I4219">
        <v>0</v>
      </c>
      <c r="J4219">
        <v>0</v>
      </c>
      <c r="K4219" t="str">
        <f t="shared" si="1064"/>
        <v>Y</v>
      </c>
      <c r="L4219">
        <v>0</v>
      </c>
      <c r="M4219" t="str">
        <f t="shared" si="1067"/>
        <v>NIS</v>
      </c>
      <c r="O4219">
        <v>3</v>
      </c>
      <c r="P4219" t="str">
        <f t="shared" si="1075"/>
        <v>Active</v>
      </c>
      <c r="Q4219" t="str">
        <f>"Teach Pendant for USB/USB Pro Controllers"</f>
        <v>Teach Pendant for USB/USB Pro Controllers</v>
      </c>
      <c r="S4219" t="str">
        <f>"Teach Pendant for USB/USB Pro Controllers"</f>
        <v>Teach Pendant for USB/USB Pro Controllers</v>
      </c>
      <c r="T4219">
        <v>0</v>
      </c>
      <c r="U4219">
        <v>160.18</v>
      </c>
      <c r="V4219">
        <v>161.44999999999999</v>
      </c>
      <c r="W4219" t="str">
        <f t="shared" si="1072"/>
        <v>rob</v>
      </c>
    </row>
    <row r="4220" spans="1:23">
      <c r="A4220" t="str">
        <f t="shared" si="1076"/>
        <v>R14-04</v>
      </c>
      <c r="B4220" t="str">
        <f>"034025"</f>
        <v>034025</v>
      </c>
      <c r="C4220" t="str">
        <f>"I/O Interface Box for Controller USB-PRO"</f>
        <v>I/O Interface Box for Controller USB-PRO</v>
      </c>
      <c r="D4220">
        <v>1</v>
      </c>
      <c r="E4220" t="str">
        <f t="shared" si="1077"/>
        <v>Scora-ER14Pro, Scara Robot &amp; Assembly and Quality Control Station</v>
      </c>
      <c r="F4220">
        <v>801</v>
      </c>
      <c r="G4220" t="str">
        <f t="shared" si="1063"/>
        <v>Y</v>
      </c>
      <c r="H4220" t="str">
        <f t="shared" si="1065"/>
        <v>EA</v>
      </c>
      <c r="I4220">
        <v>0</v>
      </c>
      <c r="J4220">
        <v>0</v>
      </c>
      <c r="K4220" t="str">
        <f t="shared" si="1064"/>
        <v>Y</v>
      </c>
      <c r="L4220">
        <v>0</v>
      </c>
      <c r="M4220" t="str">
        <f t="shared" si="1067"/>
        <v>NIS</v>
      </c>
      <c r="O4220">
        <v>4</v>
      </c>
      <c r="P4220" t="str">
        <f t="shared" si="1075"/>
        <v>Active</v>
      </c>
      <c r="Q4220" t="str">
        <f>"I/O Interface Box for Controller USB-PRO"</f>
        <v>I/O Interface Box for Controller USB-PRO</v>
      </c>
      <c r="S4220" t="str">
        <f>"קופסת 2+Interface Box I/O כבלים לבקר USBPRO"</f>
        <v>קופסת 2+Interface Box I/O כבלים לבקר USBPRO</v>
      </c>
      <c r="T4220">
        <v>0</v>
      </c>
      <c r="U4220">
        <v>470</v>
      </c>
      <c r="V4220">
        <v>463.62</v>
      </c>
      <c r="W4220" t="str">
        <f t="shared" si="1072"/>
        <v>rob</v>
      </c>
    </row>
    <row r="4221" spans="1:23">
      <c r="A4221" t="str">
        <f t="shared" si="1076"/>
        <v>R14-04</v>
      </c>
      <c r="B4221" t="str">
        <f>"00-1236-0000"</f>
        <v>00-1236-0000</v>
      </c>
      <c r="C4221" t="str">
        <f>"Automatic Glue Dispenser"</f>
        <v>Automatic Glue Dispenser</v>
      </c>
      <c r="D4221">
        <v>1</v>
      </c>
      <c r="E4221" t="str">
        <f t="shared" si="1077"/>
        <v>Scora-ER14Pro, Scara Robot &amp; Assembly and Quality Control Station</v>
      </c>
      <c r="F4221">
        <v>801</v>
      </c>
      <c r="G4221" t="str">
        <f t="shared" si="1063"/>
        <v>Y</v>
      </c>
      <c r="H4221" t="str">
        <f t="shared" si="1065"/>
        <v>EA</v>
      </c>
      <c r="I4221">
        <v>0</v>
      </c>
      <c r="J4221">
        <v>0</v>
      </c>
      <c r="K4221" t="str">
        <f t="shared" si="1064"/>
        <v>Y</v>
      </c>
      <c r="L4221">
        <v>0</v>
      </c>
      <c r="M4221" t="str">
        <f t="shared" si="1067"/>
        <v>NIS</v>
      </c>
      <c r="O4221">
        <v>5</v>
      </c>
      <c r="P4221" t="str">
        <f t="shared" si="1075"/>
        <v>Active</v>
      </c>
      <c r="Q4221" t="str">
        <f>"Automatic Glue Dispenser"</f>
        <v>Automatic Glue Dispenser</v>
      </c>
      <c r="S4221" t="str">
        <f>"Automatic Glue Dispenser"</f>
        <v>Automatic Glue Dispenser</v>
      </c>
      <c r="T4221">
        <v>0</v>
      </c>
      <c r="U4221" s="44">
        <v>1100</v>
      </c>
      <c r="V4221" s="44">
        <v>1097.3699999999999</v>
      </c>
      <c r="W4221" t="str">
        <f t="shared" si="1072"/>
        <v>rob</v>
      </c>
    </row>
    <row r="4222" spans="1:23">
      <c r="A4222" t="str">
        <f t="shared" si="1076"/>
        <v>R14-04</v>
      </c>
      <c r="B4222" t="str">
        <f>"00-1230-0000"</f>
        <v>00-1230-0000</v>
      </c>
      <c r="C4222" t="str">
        <f>"Ball Feeder (incl. sensor for ball counting)"</f>
        <v>Ball Feeder (incl. sensor for ball counting)</v>
      </c>
      <c r="D4222">
        <v>1</v>
      </c>
      <c r="E4222" t="str">
        <f t="shared" si="1077"/>
        <v>Scora-ER14Pro, Scara Robot &amp; Assembly and Quality Control Station</v>
      </c>
      <c r="F4222">
        <v>801</v>
      </c>
      <c r="G4222" t="str">
        <f t="shared" si="1063"/>
        <v>Y</v>
      </c>
      <c r="H4222" t="str">
        <f t="shared" si="1065"/>
        <v>EA</v>
      </c>
      <c r="I4222">
        <v>0</v>
      </c>
      <c r="J4222">
        <v>0</v>
      </c>
      <c r="K4222" t="str">
        <f t="shared" si="1064"/>
        <v>Y</v>
      </c>
      <c r="L4222">
        <v>0</v>
      </c>
      <c r="M4222" t="str">
        <f t="shared" si="1067"/>
        <v>NIS</v>
      </c>
      <c r="O4222">
        <v>6</v>
      </c>
      <c r="P4222" t="str">
        <f t="shared" si="1075"/>
        <v>Active</v>
      </c>
      <c r="Q4222" t="str">
        <f>"Ball Feeder (incl. sensor for ball counting)"</f>
        <v>Ball Feeder (incl. sensor for ball counting)</v>
      </c>
      <c r="S4222" t="str">
        <f>"Ball Feeder (incl. sensor for ball counting)"</f>
        <v>Ball Feeder (incl. sensor for ball counting)</v>
      </c>
      <c r="T4222">
        <v>0</v>
      </c>
      <c r="U4222">
        <v>536</v>
      </c>
      <c r="V4222">
        <v>530.72</v>
      </c>
      <c r="W4222" t="str">
        <f t="shared" si="1072"/>
        <v>rob</v>
      </c>
    </row>
    <row r="4223" spans="1:23">
      <c r="A4223" t="str">
        <f t="shared" si="1076"/>
        <v>R14-04</v>
      </c>
      <c r="B4223" t="str">
        <f>"21-0004-0000"</f>
        <v>21-0004-0000</v>
      </c>
      <c r="C4223" t="str">
        <f>"Assembly, Dual Axis Air Vise Mechanicals"</f>
        <v>Assembly, Dual Axis Air Vise Mechanicals</v>
      </c>
      <c r="D4223">
        <v>1</v>
      </c>
      <c r="E4223" t="str">
        <f t="shared" si="1077"/>
        <v>Scora-ER14Pro, Scara Robot &amp; Assembly and Quality Control Station</v>
      </c>
      <c r="F4223">
        <v>801</v>
      </c>
      <c r="G4223" t="str">
        <f t="shared" si="1063"/>
        <v>Y</v>
      </c>
      <c r="H4223" t="str">
        <f t="shared" si="1065"/>
        <v>EA</v>
      </c>
      <c r="I4223">
        <v>0</v>
      </c>
      <c r="J4223">
        <v>0</v>
      </c>
      <c r="K4223" t="str">
        <f t="shared" si="1064"/>
        <v>Y</v>
      </c>
      <c r="L4223">
        <v>0</v>
      </c>
      <c r="M4223" t="str">
        <f t="shared" si="1067"/>
        <v>NIS</v>
      </c>
      <c r="O4223">
        <v>7</v>
      </c>
      <c r="P4223" t="str">
        <f>"Phase Out"</f>
        <v>Phase Out</v>
      </c>
      <c r="Q4223" t="str">
        <f>"Pneumatic Dual-Axis Vise"</f>
        <v>Pneumatic Dual-Axis Vise</v>
      </c>
      <c r="S4223" t="str">
        <f>"Assembly, Dual Axis Air Vise Mechanicals"</f>
        <v>Assembly, Dual Axis Air Vise Mechanicals</v>
      </c>
      <c r="T4223">
        <v>422.16</v>
      </c>
      <c r="U4223">
        <v>422</v>
      </c>
      <c r="V4223">
        <v>980.27</v>
      </c>
      <c r="W4223" t="str">
        <f t="shared" si="1072"/>
        <v>rob</v>
      </c>
    </row>
    <row r="4224" spans="1:23">
      <c r="A4224" t="str">
        <f t="shared" si="1076"/>
        <v>R14-04</v>
      </c>
      <c r="B4224" t="str">
        <f>"00-1110-0000"</f>
        <v>00-1110-0000</v>
      </c>
      <c r="C4224" t="str">
        <f>"Palletizing Rack"</f>
        <v>Palletizing Rack</v>
      </c>
      <c r="D4224">
        <v>2</v>
      </c>
      <c r="E4224" t="str">
        <f t="shared" si="1077"/>
        <v>Scora-ER14Pro, Scara Robot &amp; Assembly and Quality Control Station</v>
      </c>
      <c r="F4224">
        <v>801</v>
      </c>
      <c r="G4224" t="str">
        <f t="shared" si="1063"/>
        <v>Y</v>
      </c>
      <c r="H4224" t="str">
        <f t="shared" si="1065"/>
        <v>EA</v>
      </c>
      <c r="I4224">
        <v>0</v>
      </c>
      <c r="J4224">
        <v>0</v>
      </c>
      <c r="K4224" t="str">
        <f t="shared" si="1064"/>
        <v>Y</v>
      </c>
      <c r="L4224">
        <v>0</v>
      </c>
      <c r="M4224" t="str">
        <f t="shared" si="1067"/>
        <v>NIS</v>
      </c>
      <c r="O4224">
        <v>8</v>
      </c>
      <c r="P4224" t="str">
        <f t="shared" ref="P4224:P4241" si="1078">"Active"</f>
        <v>Active</v>
      </c>
      <c r="Q4224" t="str">
        <f>"Palletizing Rack (incl. Pins for creating Jigs)"</f>
        <v>Palletizing Rack (incl. Pins for creating Jigs)</v>
      </c>
      <c r="S4224" t="str">
        <f>"Palletizing Rack (incl. Pins for creating Jigs)"</f>
        <v>Palletizing Rack (incl. Pins for creating Jigs)</v>
      </c>
      <c r="T4224">
        <v>0</v>
      </c>
      <c r="U4224">
        <v>63</v>
      </c>
      <c r="V4224">
        <v>58.59</v>
      </c>
      <c r="W4224" t="str">
        <f t="shared" si="1072"/>
        <v>rob</v>
      </c>
    </row>
    <row r="4225" spans="1:23">
      <c r="A4225" t="str">
        <f t="shared" si="1076"/>
        <v>R14-04</v>
      </c>
      <c r="B4225" t="str">
        <f>"021172"</f>
        <v>021172</v>
      </c>
      <c r="C4225" t="str">
        <f>"30mm Height Adapter -Rack 001110 on table 001249"</f>
        <v>30mm Height Adapter -Rack 001110 on table 001249</v>
      </c>
      <c r="D4225">
        <v>2</v>
      </c>
      <c r="E4225" t="str">
        <f t="shared" si="1077"/>
        <v>Scora-ER14Pro, Scara Robot &amp; Assembly and Quality Control Station</v>
      </c>
      <c r="F4225">
        <v>801</v>
      </c>
      <c r="G4225" t="str">
        <f t="shared" si="1063"/>
        <v>Y</v>
      </c>
      <c r="H4225" t="str">
        <f t="shared" si="1065"/>
        <v>EA</v>
      </c>
      <c r="I4225">
        <v>0</v>
      </c>
      <c r="J4225">
        <v>0</v>
      </c>
      <c r="K4225" t="str">
        <f t="shared" si="1064"/>
        <v>Y</v>
      </c>
      <c r="L4225">
        <v>0</v>
      </c>
      <c r="M4225" t="str">
        <f t="shared" si="1067"/>
        <v>NIS</v>
      </c>
      <c r="O4225">
        <v>9</v>
      </c>
      <c r="P4225" t="str">
        <f t="shared" si="1078"/>
        <v>Active</v>
      </c>
      <c r="Q4225" t="str">
        <f>"30mm Height Adapter -Rack 001110 on table 001249"</f>
        <v>30mm Height Adapter -Rack 001110 on table 001249</v>
      </c>
      <c r="S4225" t="str">
        <f>"30mm Height Adapter -Rack 001110 on table 001249"</f>
        <v>30mm Height Adapter -Rack 001110 on table 001249</v>
      </c>
      <c r="T4225">
        <v>0</v>
      </c>
      <c r="U4225">
        <v>13.12</v>
      </c>
      <c r="V4225">
        <v>13.44</v>
      </c>
      <c r="W4225" t="str">
        <f t="shared" si="1072"/>
        <v>rob</v>
      </c>
    </row>
    <row r="4226" spans="1:23">
      <c r="A4226" t="str">
        <f t="shared" si="1076"/>
        <v>R14-04</v>
      </c>
      <c r="B4226" t="str">
        <f>"10-2523-4000"</f>
        <v>10-2523-4000</v>
      </c>
      <c r="C4226" t="str">
        <f>"Solenoid Valve (24V) for Pipe 3 mm"</f>
        <v>Solenoid Valve (24V) for Pipe 3 mm</v>
      </c>
      <c r="D4226">
        <v>1</v>
      </c>
      <c r="E4226" t="str">
        <f t="shared" si="1077"/>
        <v>Scora-ER14Pro, Scara Robot &amp; Assembly and Quality Control Station</v>
      </c>
      <c r="F4226">
        <v>801</v>
      </c>
      <c r="G4226" t="str">
        <f t="shared" ref="G4226:G4289" si="1079">"Y"</f>
        <v>Y</v>
      </c>
      <c r="H4226" t="str">
        <f t="shared" si="1065"/>
        <v>EA</v>
      </c>
      <c r="I4226">
        <v>0</v>
      </c>
      <c r="J4226">
        <v>0</v>
      </c>
      <c r="K4226" t="str">
        <f t="shared" ref="K4226:K4289" si="1080">"Y"</f>
        <v>Y</v>
      </c>
      <c r="L4226">
        <v>0</v>
      </c>
      <c r="M4226" t="str">
        <f t="shared" si="1067"/>
        <v>NIS</v>
      </c>
      <c r="O4226">
        <v>10</v>
      </c>
      <c r="P4226" t="str">
        <f t="shared" si="1078"/>
        <v>Active</v>
      </c>
      <c r="Q4226" t="str">
        <f>"Solenoid Valve (24V) for Dual Axis Vise 025207"</f>
        <v>Solenoid Valve (24V) for Dual Axis Vise 025207</v>
      </c>
      <c r="S4226" t="str">
        <f>"Solenoid Valve (24V) for Pipe 3 mm"</f>
        <v>Solenoid Valve (24V) for Pipe 3 mm</v>
      </c>
      <c r="T4226">
        <v>0</v>
      </c>
      <c r="U4226">
        <v>137</v>
      </c>
      <c r="V4226">
        <v>133.35</v>
      </c>
      <c r="W4226" t="str">
        <f t="shared" si="1072"/>
        <v>rob</v>
      </c>
    </row>
    <row r="4227" spans="1:23">
      <c r="A4227" t="str">
        <f t="shared" si="1076"/>
        <v>R14-04</v>
      </c>
      <c r="B4227" t="str">
        <f>"00-1243-0000"</f>
        <v>00-1243-0000</v>
      </c>
      <c r="C4227" t="str">
        <f>"Ball Game Set (Assembly with Plastic Pins)"</f>
        <v>Ball Game Set (Assembly with Plastic Pins)</v>
      </c>
      <c r="D4227">
        <v>12</v>
      </c>
      <c r="E4227" t="str">
        <f t="shared" si="1077"/>
        <v>Scora-ER14Pro, Scara Robot &amp; Assembly and Quality Control Station</v>
      </c>
      <c r="F4227">
        <v>801</v>
      </c>
      <c r="G4227" t="str">
        <f t="shared" si="1079"/>
        <v>Y</v>
      </c>
      <c r="H4227" t="str">
        <f t="shared" si="1065"/>
        <v>EA</v>
      </c>
      <c r="I4227">
        <v>0</v>
      </c>
      <c r="J4227">
        <v>0</v>
      </c>
      <c r="K4227" t="str">
        <f t="shared" si="1080"/>
        <v>Y</v>
      </c>
      <c r="L4227">
        <v>0</v>
      </c>
      <c r="M4227" t="str">
        <f t="shared" si="1067"/>
        <v>NIS</v>
      </c>
      <c r="O4227">
        <v>11</v>
      </c>
      <c r="P4227" t="str">
        <f t="shared" si="1078"/>
        <v>Active</v>
      </c>
      <c r="Q4227" t="str">
        <f>"Ball Game Set (Assembly with Plastic Pins)"</f>
        <v>Ball Game Set (Assembly with Plastic Pins)</v>
      </c>
      <c r="S4227" t="str">
        <f>"Ball Game Set (Assembly with Plastic Pins)"</f>
        <v>Ball Game Set (Assembly with Plastic Pins)</v>
      </c>
      <c r="T4227">
        <v>0</v>
      </c>
      <c r="U4227">
        <v>32</v>
      </c>
      <c r="V4227">
        <v>34.770000000000003</v>
      </c>
      <c r="W4227" t="str">
        <f t="shared" si="1072"/>
        <v>rob</v>
      </c>
    </row>
    <row r="4228" spans="1:23">
      <c r="A4228" t="str">
        <f t="shared" si="1076"/>
        <v>R14-04</v>
      </c>
      <c r="B4228" t="str">
        <f>"10-2521-1000"</f>
        <v>10-2521-1000</v>
      </c>
      <c r="C4228" t="str">
        <f>"3x In-Line Solenoid Valves (Manifold)"</f>
        <v>3x In-Line Solenoid Valves (Manifold)</v>
      </c>
      <c r="D4228">
        <v>1</v>
      </c>
      <c r="E4228" t="str">
        <f t="shared" si="1077"/>
        <v>Scora-ER14Pro, Scara Robot &amp; Assembly and Quality Control Station</v>
      </c>
      <c r="F4228">
        <v>801</v>
      </c>
      <c r="G4228" t="str">
        <f t="shared" si="1079"/>
        <v>Y</v>
      </c>
      <c r="H4228" t="str">
        <f t="shared" si="1065"/>
        <v>EA</v>
      </c>
      <c r="I4228">
        <v>0</v>
      </c>
      <c r="J4228">
        <v>0</v>
      </c>
      <c r="K4228" t="str">
        <f t="shared" si="1080"/>
        <v>Y</v>
      </c>
      <c r="L4228">
        <v>0</v>
      </c>
      <c r="M4228" t="str">
        <f t="shared" si="1067"/>
        <v>NIS</v>
      </c>
      <c r="O4228">
        <v>12</v>
      </c>
      <c r="P4228" t="str">
        <f t="shared" si="1078"/>
        <v>Active</v>
      </c>
      <c r="Q4228" t="str">
        <f>"3x In-Line Solenoid Valves (Manifold)"</f>
        <v>3x In-Line Solenoid Valves (Manifold)</v>
      </c>
      <c r="S4228" t="str">
        <f>"3x In-Line Solenoid Valves (Manifold)"</f>
        <v>3x In-Line Solenoid Valves (Manifold)</v>
      </c>
      <c r="T4228">
        <v>0</v>
      </c>
      <c r="U4228">
        <v>320</v>
      </c>
      <c r="V4228">
        <v>352.99</v>
      </c>
      <c r="W4228" t="str">
        <f t="shared" si="1072"/>
        <v>rob</v>
      </c>
    </row>
    <row r="4229" spans="1:23">
      <c r="A4229" t="str">
        <f t="shared" si="1076"/>
        <v>R14-04</v>
      </c>
      <c r="B4229" t="str">
        <f>"00-1013-0000"</f>
        <v>00-1013-0000</v>
      </c>
      <c r="C4229" t="str">
        <f>"Linear Positioning Table 300mm"</f>
        <v>Linear Positioning Table 300mm</v>
      </c>
      <c r="D4229">
        <v>1</v>
      </c>
      <c r="E4229" t="str">
        <f t="shared" si="1077"/>
        <v>Scora-ER14Pro, Scara Robot &amp; Assembly and Quality Control Station</v>
      </c>
      <c r="F4229">
        <v>801</v>
      </c>
      <c r="G4229" t="str">
        <f t="shared" si="1079"/>
        <v>Y</v>
      </c>
      <c r="H4229" t="str">
        <f t="shared" si="1065"/>
        <v>EA</v>
      </c>
      <c r="I4229">
        <v>0</v>
      </c>
      <c r="J4229">
        <v>0</v>
      </c>
      <c r="K4229" t="str">
        <f t="shared" si="1080"/>
        <v>Y</v>
      </c>
      <c r="L4229">
        <v>0</v>
      </c>
      <c r="M4229" t="str">
        <f t="shared" si="1067"/>
        <v>NIS</v>
      </c>
      <c r="O4229">
        <v>13</v>
      </c>
      <c r="P4229" t="str">
        <f t="shared" si="1078"/>
        <v>Active</v>
      </c>
      <c r="Q4229" t="str">
        <f>"Linear Positioning Table 300mm (Belt Drive, 24V)"</f>
        <v>Linear Positioning Table 300mm (Belt Drive, 24V)</v>
      </c>
      <c r="S4229" t="str">
        <f>"Linear Positioning Table 300mm (Belt Drive, 24V)"</f>
        <v>Linear Positioning Table 300mm (Belt Drive, 24V)</v>
      </c>
      <c r="T4229">
        <v>0</v>
      </c>
      <c r="U4229">
        <v>894.02</v>
      </c>
      <c r="V4229">
        <v>879.29</v>
      </c>
      <c r="W4229" t="str">
        <f t="shared" si="1072"/>
        <v>rob</v>
      </c>
    </row>
    <row r="4230" spans="1:23">
      <c r="A4230" t="str">
        <f t="shared" si="1076"/>
        <v>R14-04</v>
      </c>
      <c r="B4230" t="str">
        <f>"00-1422-0000"</f>
        <v>00-1422-0000</v>
      </c>
      <c r="C4230" t="str">
        <f>"Viewflex for QC (Stand 400mm)"</f>
        <v>Viewflex for QC (Stand 400mm)</v>
      </c>
      <c r="D4230">
        <v>1</v>
      </c>
      <c r="E4230" t="str">
        <f t="shared" si="1077"/>
        <v>Scora-ER14Pro, Scara Robot &amp; Assembly and Quality Control Station</v>
      </c>
      <c r="F4230">
        <v>801</v>
      </c>
      <c r="G4230" t="str">
        <f t="shared" si="1079"/>
        <v>Y</v>
      </c>
      <c r="H4230" t="str">
        <f t="shared" si="1065"/>
        <v>EA</v>
      </c>
      <c r="I4230">
        <v>0</v>
      </c>
      <c r="J4230">
        <v>0</v>
      </c>
      <c r="K4230" t="str">
        <f t="shared" si="1080"/>
        <v>Y</v>
      </c>
      <c r="L4230">
        <v>0</v>
      </c>
      <c r="M4230" t="str">
        <f t="shared" si="1067"/>
        <v>NIS</v>
      </c>
      <c r="O4230">
        <v>14</v>
      </c>
      <c r="P4230" t="str">
        <f t="shared" si="1078"/>
        <v>Active</v>
      </c>
      <c r="Q4230" t="str">
        <f>"Viewflex for QC (Stand 400mm)"</f>
        <v>Viewflex for QC (Stand 400mm)</v>
      </c>
      <c r="S4230" t="str">
        <f>"Viewflex for QC (Stand 400mm)"</f>
        <v>Viewflex for QC (Stand 400mm)</v>
      </c>
      <c r="T4230">
        <v>0</v>
      </c>
      <c r="U4230">
        <v>560</v>
      </c>
      <c r="V4230">
        <v>511.35</v>
      </c>
      <c r="W4230" t="str">
        <f t="shared" si="1072"/>
        <v>rob</v>
      </c>
    </row>
    <row r="4231" spans="1:23">
      <c r="A4231" t="str">
        <f t="shared" si="1076"/>
        <v>R14-04</v>
      </c>
      <c r="B4231" t="str">
        <f>"112713"</f>
        <v>112713</v>
      </c>
      <c r="C4231" t="str">
        <f>"Marked Aluminum Cylinder"</f>
        <v>Marked Aluminum Cylinder</v>
      </c>
      <c r="D4231">
        <v>3</v>
      </c>
      <c r="E4231" t="str">
        <f t="shared" si="1077"/>
        <v>Scora-ER14Pro, Scara Robot &amp; Assembly and Quality Control Station</v>
      </c>
      <c r="F4231">
        <v>801</v>
      </c>
      <c r="G4231" t="str">
        <f t="shared" si="1079"/>
        <v>Y</v>
      </c>
      <c r="H4231" t="str">
        <f t="shared" si="1065"/>
        <v>EA</v>
      </c>
      <c r="I4231">
        <v>0</v>
      </c>
      <c r="J4231">
        <v>0</v>
      </c>
      <c r="K4231" t="str">
        <f t="shared" si="1080"/>
        <v>Y</v>
      </c>
      <c r="L4231">
        <v>0</v>
      </c>
      <c r="M4231" t="str">
        <f t="shared" si="1067"/>
        <v>NIS</v>
      </c>
      <c r="O4231">
        <v>15</v>
      </c>
      <c r="P4231" t="str">
        <f t="shared" si="1078"/>
        <v>Active</v>
      </c>
      <c r="Q4231" t="str">
        <f>"Mark Al. Cylinder Diam. 35x28 MicroCIM"</f>
        <v>Mark Al. Cylinder Diam. 35x28 MicroCIM</v>
      </c>
      <c r="S4231" t="str">
        <f>"Mark Al. Cylinder Diam. 35x28"</f>
        <v>Mark Al. Cylinder Diam. 35x28</v>
      </c>
      <c r="T4231">
        <v>0</v>
      </c>
      <c r="U4231">
        <v>6</v>
      </c>
      <c r="V4231">
        <v>5.97</v>
      </c>
      <c r="W4231" t="str">
        <f t="shared" si="1072"/>
        <v>rob</v>
      </c>
    </row>
    <row r="4232" spans="1:23">
      <c r="A4232" t="str">
        <f t="shared" si="1076"/>
        <v>R14-04</v>
      </c>
      <c r="B4232" t="str">
        <f>"113096"</f>
        <v>113096</v>
      </c>
      <c r="C4232" t="str">
        <f>"Plexiglass Cylinders Base"</f>
        <v>Plexiglass Cylinders Base</v>
      </c>
      <c r="D4232">
        <v>3</v>
      </c>
      <c r="E4232" t="str">
        <f t="shared" si="1077"/>
        <v>Scora-ER14Pro, Scara Robot &amp; Assembly and Quality Control Station</v>
      </c>
      <c r="F4232">
        <v>801</v>
      </c>
      <c r="G4232" t="str">
        <f t="shared" si="1079"/>
        <v>Y</v>
      </c>
      <c r="H4232" t="str">
        <f t="shared" si="1065"/>
        <v>EA</v>
      </c>
      <c r="I4232">
        <v>0</v>
      </c>
      <c r="J4232">
        <v>0</v>
      </c>
      <c r="K4232" t="str">
        <f t="shared" si="1080"/>
        <v>Y</v>
      </c>
      <c r="L4232">
        <v>0</v>
      </c>
      <c r="M4232" t="str">
        <f t="shared" si="1067"/>
        <v>NIS</v>
      </c>
      <c r="O4232">
        <v>16</v>
      </c>
      <c r="P4232" t="str">
        <f t="shared" si="1078"/>
        <v>Active</v>
      </c>
      <c r="Q4232" t="str">
        <f>"Plexiglass Cylinders Base MicroCIM"</f>
        <v>Plexiglass Cylinders Base MicroCIM</v>
      </c>
      <c r="S4232" t="str">
        <f>"Plexiglass Cylinders Base"</f>
        <v>Plexiglass Cylinders Base</v>
      </c>
      <c r="T4232">
        <v>0</v>
      </c>
      <c r="U4232">
        <v>7</v>
      </c>
      <c r="V4232">
        <v>6.83</v>
      </c>
      <c r="W4232" t="str">
        <f t="shared" si="1072"/>
        <v>rob</v>
      </c>
    </row>
    <row r="4233" spans="1:23">
      <c r="A4233" t="str">
        <f t="shared" si="1076"/>
        <v>R14-04</v>
      </c>
      <c r="B4233" t="str">
        <f>"113316"</f>
        <v>113316</v>
      </c>
      <c r="C4233" t="str">
        <f>"Parts Bin"</f>
        <v>Parts Bin</v>
      </c>
      <c r="D4233">
        <v>1</v>
      </c>
      <c r="E4233" t="str">
        <f t="shared" si="1077"/>
        <v>Scora-ER14Pro, Scara Robot &amp; Assembly and Quality Control Station</v>
      </c>
      <c r="F4233">
        <v>801</v>
      </c>
      <c r="G4233" t="str">
        <f t="shared" si="1079"/>
        <v>Y</v>
      </c>
      <c r="H4233" t="str">
        <f t="shared" si="1065"/>
        <v>EA</v>
      </c>
      <c r="I4233">
        <v>0</v>
      </c>
      <c r="J4233">
        <v>0</v>
      </c>
      <c r="K4233" t="str">
        <f t="shared" si="1080"/>
        <v>Y</v>
      </c>
      <c r="L4233">
        <v>0</v>
      </c>
      <c r="M4233" t="str">
        <f t="shared" si="1067"/>
        <v>NIS</v>
      </c>
      <c r="N4233" t="str">
        <f>"Y"</f>
        <v>Y</v>
      </c>
      <c r="O4233">
        <v>17</v>
      </c>
      <c r="P4233" t="str">
        <f t="shared" si="1078"/>
        <v>Active</v>
      </c>
      <c r="Q4233" t="str">
        <f>"Parts Bin; Plastic Box"</f>
        <v>Parts Bin; Plastic Box</v>
      </c>
      <c r="R4233" t="str">
        <f>"1"</f>
        <v>1</v>
      </c>
      <c r="S4233" t="str">
        <f>"Parts Bin; Plastic Box"</f>
        <v>Parts Bin; Plastic Box</v>
      </c>
      <c r="T4233">
        <v>0</v>
      </c>
      <c r="U4233">
        <v>8.0399999999999991</v>
      </c>
      <c r="V4233">
        <v>6.39</v>
      </c>
      <c r="W4233" t="str">
        <f t="shared" si="1072"/>
        <v>rob</v>
      </c>
    </row>
    <row r="4234" spans="1:23">
      <c r="A4234" t="str">
        <f t="shared" si="1076"/>
        <v>R14-04</v>
      </c>
      <c r="B4234" t="str">
        <f>"10-2104-9000"</f>
        <v>10-2104-9000</v>
      </c>
      <c r="C4234" t="str">
        <f>"Single Buffer for Slotted Table"</f>
        <v>Single Buffer for Slotted Table</v>
      </c>
      <c r="D4234">
        <v>3</v>
      </c>
      <c r="E4234" t="str">
        <f t="shared" si="1077"/>
        <v>Scora-ER14Pro, Scara Robot &amp; Assembly and Quality Control Station</v>
      </c>
      <c r="F4234">
        <v>801</v>
      </c>
      <c r="G4234" t="str">
        <f t="shared" si="1079"/>
        <v>Y</v>
      </c>
      <c r="H4234" t="str">
        <f t="shared" si="1065"/>
        <v>EA</v>
      </c>
      <c r="I4234">
        <v>0</v>
      </c>
      <c r="J4234">
        <v>0</v>
      </c>
      <c r="K4234" t="str">
        <f t="shared" si="1080"/>
        <v>Y</v>
      </c>
      <c r="L4234">
        <v>0</v>
      </c>
      <c r="M4234" t="str">
        <f t="shared" si="1067"/>
        <v>NIS</v>
      </c>
      <c r="N4234" t="str">
        <f>"Y"</f>
        <v>Y</v>
      </c>
      <c r="O4234">
        <v>18</v>
      </c>
      <c r="P4234" t="str">
        <f t="shared" si="1078"/>
        <v>Active</v>
      </c>
      <c r="Q4234" t="str">
        <f>"Single Buffer for Slotted Table(+height adapter)"</f>
        <v>Single Buffer for Slotted Table(+height adapter)</v>
      </c>
      <c r="S4234" t="str">
        <f>"Single Buffer for Slotted Table(+height adapter)"</f>
        <v>Single Buffer for Slotted Table(+height adapter)</v>
      </c>
      <c r="T4234">
        <v>0</v>
      </c>
      <c r="U4234">
        <v>26</v>
      </c>
      <c r="V4234">
        <v>25.49</v>
      </c>
      <c r="W4234" t="str">
        <f t="shared" si="1072"/>
        <v>rob</v>
      </c>
    </row>
    <row r="4235" spans="1:23">
      <c r="A4235" t="str">
        <f t="shared" si="1076"/>
        <v>R14-04</v>
      </c>
      <c r="B4235" t="str">
        <f>"10-2521-0000"</f>
        <v>10-2521-0000</v>
      </c>
      <c r="C4235" t="str">
        <f>"Pneumatic Feeder for Round products"</f>
        <v>Pneumatic Feeder for Round products</v>
      </c>
      <c r="D4235">
        <v>1</v>
      </c>
      <c r="E4235" t="str">
        <f t="shared" si="1077"/>
        <v>Scora-ER14Pro, Scara Robot &amp; Assembly and Quality Control Station</v>
      </c>
      <c r="F4235">
        <v>801</v>
      </c>
      <c r="G4235" t="str">
        <f t="shared" si="1079"/>
        <v>Y</v>
      </c>
      <c r="H4235" t="str">
        <f t="shared" ref="H4235:H4298" si="1081">"EA"</f>
        <v>EA</v>
      </c>
      <c r="I4235">
        <v>0</v>
      </c>
      <c r="J4235">
        <v>0</v>
      </c>
      <c r="K4235" t="str">
        <f t="shared" si="1080"/>
        <v>Y</v>
      </c>
      <c r="L4235">
        <v>0</v>
      </c>
      <c r="M4235" t="str">
        <f t="shared" si="1067"/>
        <v>NIS</v>
      </c>
      <c r="N4235" t="str">
        <f>"Y"</f>
        <v>Y</v>
      </c>
      <c r="O4235">
        <v>19</v>
      </c>
      <c r="P4235" t="str">
        <f t="shared" si="1078"/>
        <v>Active</v>
      </c>
      <c r="Q4235" t="str">
        <f>"Pneumatic Feeder for Round Parts"</f>
        <v>Pneumatic Feeder for Round Parts</v>
      </c>
      <c r="S4235" t="str">
        <f>"Pneumatic Feeder for Round Parts"</f>
        <v>Pneumatic Feeder for Round Parts</v>
      </c>
      <c r="T4235">
        <v>0</v>
      </c>
      <c r="U4235">
        <v>562.61</v>
      </c>
      <c r="V4235">
        <v>524.15</v>
      </c>
      <c r="W4235" t="str">
        <f t="shared" si="1072"/>
        <v>rob</v>
      </c>
    </row>
    <row r="4236" spans="1:23">
      <c r="A4236" t="str">
        <f t="shared" si="1076"/>
        <v>R14-04</v>
      </c>
      <c r="B4236" t="str">
        <f>"00-1249-0000"</f>
        <v>00-1249-0000</v>
      </c>
      <c r="C4236" t="str">
        <f>"Workbench 1500x800mm (slotted aluminum top)"</f>
        <v>Workbench 1500x800mm (slotted aluminum top)</v>
      </c>
      <c r="D4236">
        <v>1</v>
      </c>
      <c r="E4236" t="str">
        <f t="shared" si="1077"/>
        <v>Scora-ER14Pro, Scara Robot &amp; Assembly and Quality Control Station</v>
      </c>
      <c r="F4236">
        <v>801</v>
      </c>
      <c r="G4236" t="str">
        <f t="shared" si="1079"/>
        <v>Y</v>
      </c>
      <c r="H4236" t="str">
        <f t="shared" si="1081"/>
        <v>EA</v>
      </c>
      <c r="I4236">
        <v>0</v>
      </c>
      <c r="J4236">
        <v>0</v>
      </c>
      <c r="K4236" t="str">
        <f t="shared" si="1080"/>
        <v>Y</v>
      </c>
      <c r="L4236">
        <v>0</v>
      </c>
      <c r="M4236" t="str">
        <f t="shared" si="1067"/>
        <v>NIS</v>
      </c>
      <c r="O4236">
        <v>20</v>
      </c>
      <c r="P4236" t="str">
        <f t="shared" si="1078"/>
        <v>Active</v>
      </c>
      <c r="Q4236" t="str">
        <f>"Workbench 1500x800mm (slotted aluminum top)"</f>
        <v>Workbench 1500x800mm (slotted aluminum top)</v>
      </c>
      <c r="S4236" t="str">
        <f>"Workbench 1500x800mm (slotted aluminum top)"</f>
        <v>Workbench 1500x800mm (slotted aluminum top)</v>
      </c>
      <c r="T4236">
        <v>0</v>
      </c>
      <c r="U4236" s="44">
        <v>1100</v>
      </c>
      <c r="V4236" s="44">
        <v>1083.57</v>
      </c>
      <c r="W4236" t="str">
        <f t="shared" si="1072"/>
        <v>rob</v>
      </c>
    </row>
    <row r="4237" spans="1:23">
      <c r="A4237" t="str">
        <f t="shared" si="1076"/>
        <v>R14-04</v>
      </c>
      <c r="B4237" t="str">
        <f>"10-2521-7000"</f>
        <v>10-2521-7000</v>
      </c>
      <c r="C4237" t="str">
        <f>"Pneumatic Feeder for Rectangular products"</f>
        <v>Pneumatic Feeder for Rectangular products</v>
      </c>
      <c r="D4237">
        <v>1</v>
      </c>
      <c r="E4237" t="str">
        <f t="shared" si="1077"/>
        <v>Scora-ER14Pro, Scara Robot &amp; Assembly and Quality Control Station</v>
      </c>
      <c r="F4237">
        <v>801</v>
      </c>
      <c r="G4237" t="str">
        <f t="shared" si="1079"/>
        <v>Y</v>
      </c>
      <c r="H4237" t="str">
        <f t="shared" si="1081"/>
        <v>EA</v>
      </c>
      <c r="I4237">
        <v>0</v>
      </c>
      <c r="J4237">
        <v>0</v>
      </c>
      <c r="K4237" t="str">
        <f t="shared" si="1080"/>
        <v>Y</v>
      </c>
      <c r="L4237">
        <v>0</v>
      </c>
      <c r="M4237" t="str">
        <f t="shared" si="1067"/>
        <v>NIS</v>
      </c>
      <c r="N4237" t="str">
        <f>"Y"</f>
        <v>Y</v>
      </c>
      <c r="O4237">
        <v>21</v>
      </c>
      <c r="P4237" t="str">
        <f t="shared" si="1078"/>
        <v>Active</v>
      </c>
      <c r="Q4237" t="str">
        <f>"Pneumatic Feeder for Rectangular Parts"</f>
        <v>Pneumatic Feeder for Rectangular Parts</v>
      </c>
      <c r="S4237" t="str">
        <f>"Pneumatic Feeder for Rectangular Parts"</f>
        <v>Pneumatic Feeder for Rectangular Parts</v>
      </c>
      <c r="T4237">
        <v>0</v>
      </c>
      <c r="U4237">
        <v>595</v>
      </c>
      <c r="V4237">
        <v>555.15</v>
      </c>
      <c r="W4237" t="str">
        <f t="shared" si="1072"/>
        <v>rob</v>
      </c>
    </row>
    <row r="4238" spans="1:23">
      <c r="A4238" t="str">
        <f t="shared" si="1076"/>
        <v>R14-04</v>
      </c>
      <c r="B4238" t="str">
        <f>"00-1241-0000"</f>
        <v>00-1241-0000</v>
      </c>
      <c r="C4238" t="str">
        <f>"Adapter Mounting Plate for ER9/14Pro &amp; HP3"</f>
        <v>Adapter Mounting Plate for ER9/14Pro &amp; HP3</v>
      </c>
      <c r="D4238">
        <v>1</v>
      </c>
      <c r="E4238" t="str">
        <f t="shared" si="1077"/>
        <v>Scora-ER14Pro, Scara Robot &amp; Assembly and Quality Control Station</v>
      </c>
      <c r="F4238">
        <v>801</v>
      </c>
      <c r="G4238" t="str">
        <f t="shared" si="1079"/>
        <v>Y</v>
      </c>
      <c r="H4238" t="str">
        <f t="shared" si="1081"/>
        <v>EA</v>
      </c>
      <c r="I4238">
        <v>0</v>
      </c>
      <c r="J4238">
        <v>0</v>
      </c>
      <c r="K4238" t="str">
        <f t="shared" si="1080"/>
        <v>Y</v>
      </c>
      <c r="L4238">
        <v>0</v>
      </c>
      <c r="M4238" t="str">
        <f t="shared" si="1067"/>
        <v>NIS</v>
      </c>
      <c r="O4238">
        <v>22</v>
      </c>
      <c r="P4238" t="str">
        <f t="shared" si="1078"/>
        <v>Active</v>
      </c>
      <c r="Q4238" t="str">
        <f>"Adapter Mounting Plate for ER9/14Pro &amp; HP3"</f>
        <v>Adapter Mounting Plate for ER9/14Pro &amp; HP3</v>
      </c>
      <c r="S4238" t="str">
        <f>"Adapter Mounting Plate for ER9/14Pro &amp; HP3"</f>
        <v>Adapter Mounting Plate for ER9/14Pro &amp; HP3</v>
      </c>
      <c r="T4238">
        <v>0</v>
      </c>
      <c r="U4238">
        <v>145</v>
      </c>
      <c r="V4238">
        <v>153.93</v>
      </c>
      <c r="W4238" t="str">
        <f t="shared" si="1072"/>
        <v>rob</v>
      </c>
    </row>
    <row r="4239" spans="1:23">
      <c r="A4239" t="str">
        <f t="shared" si="1076"/>
        <v>R14-04</v>
      </c>
      <c r="B4239" t="str">
        <f>"00-1260-0000"</f>
        <v>00-1260-0000</v>
      </c>
      <c r="C4239" t="str">
        <f>"PC Extension Shelf  600x800mm"</f>
        <v>PC Extension Shelf  600x800mm</v>
      </c>
      <c r="D4239">
        <v>1</v>
      </c>
      <c r="E4239" t="str">
        <f t="shared" si="1077"/>
        <v>Scora-ER14Pro, Scara Robot &amp; Assembly and Quality Control Station</v>
      </c>
      <c r="F4239">
        <v>801</v>
      </c>
      <c r="G4239" t="str">
        <f t="shared" si="1079"/>
        <v>Y</v>
      </c>
      <c r="H4239" t="str">
        <f t="shared" si="1081"/>
        <v>EA</v>
      </c>
      <c r="I4239">
        <v>0</v>
      </c>
      <c r="J4239">
        <v>0</v>
      </c>
      <c r="K4239" t="str">
        <f t="shared" si="1080"/>
        <v>Y</v>
      </c>
      <c r="L4239">
        <v>0</v>
      </c>
      <c r="M4239" t="str">
        <f t="shared" si="1067"/>
        <v>NIS</v>
      </c>
      <c r="O4239">
        <v>23</v>
      </c>
      <c r="P4239" t="str">
        <f t="shared" si="1078"/>
        <v>Active</v>
      </c>
      <c r="Q4239" t="str">
        <f>"PC Extension Shelf  600x800mm"</f>
        <v>PC Extension Shelf  600x800mm</v>
      </c>
      <c r="S4239" t="str">
        <f>"PC Extension Shelf  600x800mm"</f>
        <v>PC Extension Shelf  600x800mm</v>
      </c>
      <c r="T4239">
        <v>0</v>
      </c>
      <c r="U4239">
        <v>192</v>
      </c>
      <c r="V4239">
        <v>195.4</v>
      </c>
      <c r="W4239" t="str">
        <f t="shared" si="1072"/>
        <v>rob</v>
      </c>
    </row>
    <row r="4240" spans="1:23">
      <c r="A4240" t="str">
        <f t="shared" si="1076"/>
        <v>R14-04</v>
      </c>
      <c r="B4240" t="str">
        <f>"63-9248-0000"</f>
        <v>63-9248-0000</v>
      </c>
      <c r="C4240" t="str">
        <f>"Robotic Software for Controller USB Pro"</f>
        <v>Robotic Software for Controller USB Pro</v>
      </c>
      <c r="D4240">
        <v>1</v>
      </c>
      <c r="E4240" t="str">
        <f t="shared" si="1077"/>
        <v>Scora-ER14Pro, Scara Robot &amp; Assembly and Quality Control Station</v>
      </c>
      <c r="F4240">
        <v>801</v>
      </c>
      <c r="G4240" t="str">
        <f t="shared" si="1079"/>
        <v>Y</v>
      </c>
      <c r="H4240" t="str">
        <f t="shared" si="1081"/>
        <v>EA</v>
      </c>
      <c r="I4240">
        <v>0</v>
      </c>
      <c r="J4240">
        <v>0</v>
      </c>
      <c r="K4240" t="str">
        <f t="shared" si="1080"/>
        <v>Y</v>
      </c>
      <c r="L4240">
        <v>0</v>
      </c>
      <c r="M4240" t="str">
        <f t="shared" si="1067"/>
        <v>NIS</v>
      </c>
      <c r="N4240" t="str">
        <f>"Y"</f>
        <v>Y</v>
      </c>
      <c r="O4240">
        <v>24</v>
      </c>
      <c r="P4240" t="str">
        <f t="shared" si="1078"/>
        <v>Active</v>
      </c>
      <c r="Q4240" t="str">
        <f>"Robotic Software for Controller USB Pro"</f>
        <v>Robotic Software for Controller USB Pro</v>
      </c>
      <c r="S4240" t="str">
        <f>"Robotic Software for Controller USB Pro"</f>
        <v>Robotic Software for Controller USB Pro</v>
      </c>
      <c r="T4240">
        <v>0</v>
      </c>
      <c r="U4240">
        <v>30</v>
      </c>
      <c r="V4240">
        <v>32.17</v>
      </c>
      <c r="W4240" t="str">
        <f t="shared" si="1072"/>
        <v>rob</v>
      </c>
    </row>
    <row r="4241" spans="1:23">
      <c r="A4241" t="str">
        <f t="shared" si="1076"/>
        <v>R14-04</v>
      </c>
      <c r="B4241" t="str">
        <f>"63-7000-1800"</f>
        <v>63-7000-1800</v>
      </c>
      <c r="C4241" t="str">
        <f>"License Key for RoboCell/SCORBASE USB Pro"</f>
        <v>License Key for RoboCell/SCORBASE USB Pro</v>
      </c>
      <c r="D4241">
        <v>1</v>
      </c>
      <c r="E4241" t="str">
        <f t="shared" si="1077"/>
        <v>Scora-ER14Pro, Scara Robot &amp; Assembly and Quality Control Station</v>
      </c>
      <c r="F4241">
        <v>801</v>
      </c>
      <c r="G4241" t="str">
        <f t="shared" si="1079"/>
        <v>Y</v>
      </c>
      <c r="H4241" t="str">
        <f t="shared" si="1081"/>
        <v>EA</v>
      </c>
      <c r="I4241">
        <v>0</v>
      </c>
      <c r="J4241">
        <v>0</v>
      </c>
      <c r="K4241" t="str">
        <f t="shared" si="1080"/>
        <v>Y</v>
      </c>
      <c r="L4241">
        <v>0</v>
      </c>
      <c r="M4241" t="str">
        <f t="shared" si="1067"/>
        <v>NIS</v>
      </c>
      <c r="N4241" t="str">
        <f>"Y"</f>
        <v>Y</v>
      </c>
      <c r="O4241">
        <v>25</v>
      </c>
      <c r="P4241" t="str">
        <f t="shared" si="1078"/>
        <v>Active</v>
      </c>
      <c r="Q4241" t="str">
        <f>"License Key for RoboCell/SCORBASE USB Pro"</f>
        <v>License Key for RoboCell/SCORBASE USB Pro</v>
      </c>
      <c r="R4241" t="str">
        <f>"1"</f>
        <v>1</v>
      </c>
      <c r="S4241" t="str">
        <f>"License Key for RoboCell/SCORBASE USB Pro"</f>
        <v>License Key for RoboCell/SCORBASE USB Pro</v>
      </c>
      <c r="T4241">
        <v>0</v>
      </c>
      <c r="U4241">
        <v>10</v>
      </c>
      <c r="V4241">
        <v>11.1</v>
      </c>
      <c r="W4241" t="str">
        <f t="shared" si="1072"/>
        <v>rob</v>
      </c>
    </row>
    <row r="4242" spans="1:23">
      <c r="A4242" t="str">
        <f>"R14-OPT 1"</f>
        <v>R14-OPT 1</v>
      </c>
      <c r="B4242" t="str">
        <f>"10-2116-7000"</f>
        <v>10-2116-7000</v>
      </c>
      <c r="C4242" t="str">
        <f>"Safety Shield 1500x885x,H=1040mm (Table 001249)"</f>
        <v>Safety Shield 1500x885x,H=1040mm (Table 001249)</v>
      </c>
      <c r="D4242">
        <v>1</v>
      </c>
      <c r="E4242" t="str">
        <f>"ROBOT Recommended (Optional) for Increased Safety"</f>
        <v>ROBOT Recommended (Optional) for Increased Safety</v>
      </c>
      <c r="F4242">
        <v>800</v>
      </c>
      <c r="G4242" t="str">
        <f t="shared" si="1079"/>
        <v>Y</v>
      </c>
      <c r="H4242" t="str">
        <f t="shared" si="1081"/>
        <v>EA</v>
      </c>
      <c r="I4242">
        <v>0</v>
      </c>
      <c r="J4242">
        <v>0</v>
      </c>
      <c r="K4242" t="str">
        <f t="shared" si="1080"/>
        <v>Y</v>
      </c>
      <c r="L4242">
        <v>0</v>
      </c>
      <c r="M4242" t="str">
        <f t="shared" si="1067"/>
        <v>NIS</v>
      </c>
      <c r="O4242">
        <v>1</v>
      </c>
      <c r="P4242" t="str">
        <f>"ECO-N2Buy"</f>
        <v>ECO-N2Buy</v>
      </c>
      <c r="Q4242" t="str">
        <f>"Safety Shield 1500x885x1040mm (Table 001249)"</f>
        <v>Safety Shield 1500x885x1040mm (Table 001249)</v>
      </c>
      <c r="S4242" t="str">
        <f>"Safety Shield 1500x885,H=1040mm (Table 001249)"</f>
        <v>Safety Shield 1500x885,H=1040mm (Table 001249)</v>
      </c>
      <c r="T4242">
        <v>0</v>
      </c>
      <c r="U4242" s="44">
        <v>1500</v>
      </c>
      <c r="V4242" s="44">
        <v>1043.8499999999999</v>
      </c>
      <c r="W4242" t="str">
        <f t="shared" si="1072"/>
        <v>rob</v>
      </c>
    </row>
    <row r="4243" spans="1:23">
      <c r="A4243" t="str">
        <f>"R4-00"</f>
        <v>R4-00</v>
      </c>
      <c r="B4243" t="str">
        <f>"00-0413-0000"</f>
        <v>00-0413-0000</v>
      </c>
      <c r="C4243" t="str">
        <f>"SCORBOT-ER 4u"</f>
        <v>SCORBOT-ER 4u</v>
      </c>
      <c r="D4243">
        <v>1</v>
      </c>
      <c r="E4243" t="str">
        <f>"SCORBOT ER4U Robot"</f>
        <v>SCORBOT ER4U Robot</v>
      </c>
      <c r="F4243">
        <v>802</v>
      </c>
      <c r="G4243" t="str">
        <f t="shared" si="1079"/>
        <v>Y</v>
      </c>
      <c r="H4243" t="str">
        <f t="shared" si="1081"/>
        <v>EA</v>
      </c>
      <c r="I4243">
        <v>0</v>
      </c>
      <c r="J4243">
        <v>0</v>
      </c>
      <c r="K4243" t="str">
        <f t="shared" si="1080"/>
        <v>Y</v>
      </c>
      <c r="L4243">
        <v>0</v>
      </c>
      <c r="M4243" t="str">
        <f t="shared" si="1067"/>
        <v>NIS</v>
      </c>
      <c r="O4243">
        <v>1</v>
      </c>
      <c r="P4243" t="str">
        <f>"Active"</f>
        <v>Active</v>
      </c>
      <c r="Q4243" t="str">
        <f>"SCORBOT-ER 4u (Package)"</f>
        <v>SCORBOT-ER 4u (Package)</v>
      </c>
      <c r="S4243" t="str">
        <f>"SCORBOT-ER 4u (Package)"</f>
        <v>SCORBOT-ER 4u (Package)</v>
      </c>
      <c r="T4243">
        <v>0</v>
      </c>
      <c r="U4243" s="44">
        <v>3200</v>
      </c>
      <c r="V4243" s="44">
        <v>3390.7</v>
      </c>
      <c r="W4243" t="str">
        <f t="shared" si="1072"/>
        <v>rob</v>
      </c>
    </row>
    <row r="4244" spans="1:23">
      <c r="A4244" t="str">
        <f>"R4-00"</f>
        <v>R4-00</v>
      </c>
      <c r="B4244" t="str">
        <f>"00-1710-0000"</f>
        <v>00-1710-0000</v>
      </c>
      <c r="C4244" t="str">
        <f>"Teach Pendant"</f>
        <v>Teach Pendant</v>
      </c>
      <c r="D4244">
        <v>1</v>
      </c>
      <c r="E4244" t="str">
        <f>"SCORBOT ER4U Robot"</f>
        <v>SCORBOT ER4U Robot</v>
      </c>
      <c r="F4244">
        <v>802</v>
      </c>
      <c r="G4244" t="str">
        <f t="shared" si="1079"/>
        <v>Y</v>
      </c>
      <c r="H4244" t="str">
        <f t="shared" si="1081"/>
        <v>EA</v>
      </c>
      <c r="I4244">
        <v>0</v>
      </c>
      <c r="J4244">
        <v>0</v>
      </c>
      <c r="K4244" t="str">
        <f t="shared" si="1080"/>
        <v>Y</v>
      </c>
      <c r="L4244">
        <v>0</v>
      </c>
      <c r="M4244" t="str">
        <f t="shared" ref="M4244:M4307" si="1082">"NIS"</f>
        <v>NIS</v>
      </c>
      <c r="O4244">
        <v>3</v>
      </c>
      <c r="P4244" t="str">
        <f>"Active"</f>
        <v>Active</v>
      </c>
      <c r="Q4244" t="str">
        <f>"Teach Pendant for USB/USB Pro Controllers"</f>
        <v>Teach Pendant for USB/USB Pro Controllers</v>
      </c>
      <c r="S4244" t="str">
        <f>"Teach Pendant for USB/USB Pro Controllers"</f>
        <v>Teach Pendant for USB/USB Pro Controllers</v>
      </c>
      <c r="T4244">
        <v>0</v>
      </c>
      <c r="U4244">
        <v>160.18</v>
      </c>
      <c r="V4244">
        <v>161.44999999999999</v>
      </c>
      <c r="W4244" t="str">
        <f t="shared" si="1072"/>
        <v>rob</v>
      </c>
    </row>
    <row r="4245" spans="1:23">
      <c r="A4245" t="str">
        <f>"R4-00"</f>
        <v>R4-00</v>
      </c>
      <c r="B4245" t="str">
        <f>"63-7000-0100"</f>
        <v>63-7000-0100</v>
      </c>
      <c r="C4245" t="str">
        <f>"License Key for RoboCell"</f>
        <v>License Key for RoboCell</v>
      </c>
      <c r="D4245">
        <v>1</v>
      </c>
      <c r="E4245" t="str">
        <f>"SCORBOT ER4U Robot"</f>
        <v>SCORBOT ER4U Robot</v>
      </c>
      <c r="F4245">
        <v>802</v>
      </c>
      <c r="G4245" t="str">
        <f t="shared" si="1079"/>
        <v>Y</v>
      </c>
      <c r="H4245" t="str">
        <f t="shared" si="1081"/>
        <v>EA</v>
      </c>
      <c r="I4245">
        <v>0</v>
      </c>
      <c r="J4245">
        <v>0</v>
      </c>
      <c r="K4245" t="str">
        <f t="shared" si="1080"/>
        <v>Y</v>
      </c>
      <c r="L4245">
        <v>0</v>
      </c>
      <c r="M4245" t="str">
        <f t="shared" si="1082"/>
        <v>NIS</v>
      </c>
      <c r="O4245">
        <v>4</v>
      </c>
      <c r="P4245" t="str">
        <f>"Active"</f>
        <v>Active</v>
      </c>
      <c r="Q4245" t="str">
        <f>"License Key for RoboCell/SCORBASE USB"</f>
        <v>License Key for RoboCell/SCORBASE USB</v>
      </c>
      <c r="R4245" t="str">
        <f>"1"</f>
        <v>1</v>
      </c>
      <c r="S4245" t="str">
        <f>"License Key for RoboCell/SCORBASE USB"</f>
        <v>License Key for RoboCell/SCORBASE USB</v>
      </c>
      <c r="T4245">
        <v>0</v>
      </c>
      <c r="U4245">
        <v>10</v>
      </c>
      <c r="V4245">
        <v>11.1</v>
      </c>
      <c r="W4245" t="str">
        <f t="shared" si="1072"/>
        <v>rob</v>
      </c>
    </row>
    <row r="4246" spans="1:23">
      <c r="A4246" t="str">
        <f>"R4-OPT 1"</f>
        <v>R4-OPT 1</v>
      </c>
      <c r="B4246" t="str">
        <f>"10-2116-7000"</f>
        <v>10-2116-7000</v>
      </c>
      <c r="C4246" t="str">
        <f>"Safety Shield 1500x885x,H=1040mm (Table 001249)"</f>
        <v>Safety Shield 1500x885x,H=1040mm (Table 001249)</v>
      </c>
      <c r="D4246">
        <v>1</v>
      </c>
      <c r="E4246" t="str">
        <f>"ROBOT Recommended (Optional) for Increased Safety"</f>
        <v>ROBOT Recommended (Optional) for Increased Safety</v>
      </c>
      <c r="F4246">
        <v>800</v>
      </c>
      <c r="G4246" t="str">
        <f t="shared" si="1079"/>
        <v>Y</v>
      </c>
      <c r="H4246" t="str">
        <f t="shared" si="1081"/>
        <v>EA</v>
      </c>
      <c r="I4246">
        <v>0</v>
      </c>
      <c r="J4246">
        <v>0</v>
      </c>
      <c r="K4246" t="str">
        <f t="shared" si="1080"/>
        <v>Y</v>
      </c>
      <c r="L4246">
        <v>0</v>
      </c>
      <c r="M4246" t="str">
        <f t="shared" si="1082"/>
        <v>NIS</v>
      </c>
      <c r="O4246">
        <v>1</v>
      </c>
      <c r="P4246" t="str">
        <f>"ECO-N2Buy"</f>
        <v>ECO-N2Buy</v>
      </c>
      <c r="Q4246" t="str">
        <f>"Safety Shield 1500x885x1040mm (Table 001249)"</f>
        <v>Safety Shield 1500x885x1040mm (Table 001249)</v>
      </c>
      <c r="S4246" t="str">
        <f>"Safety Shield 1500x885,H=1040mm (Table 001249)"</f>
        <v>Safety Shield 1500x885,H=1040mm (Table 001249)</v>
      </c>
      <c r="T4246">
        <v>0</v>
      </c>
      <c r="U4246" s="44">
        <v>1500</v>
      </c>
      <c r="V4246" s="44">
        <v>1043.8499999999999</v>
      </c>
      <c r="W4246" t="str">
        <f t="shared" si="1072"/>
        <v>rob</v>
      </c>
    </row>
    <row r="4247" spans="1:23">
      <c r="A4247" t="str">
        <f>"R9-00"</f>
        <v>R9-00</v>
      </c>
      <c r="B4247" t="str">
        <f>"00-0430-0000"</f>
        <v>00-0430-0000</v>
      </c>
      <c r="C4247" t="str">
        <f>"SCORBOT-ER9Pro"</f>
        <v>SCORBOT-ER9Pro</v>
      </c>
      <c r="D4247">
        <v>1</v>
      </c>
      <c r="E4247" t="str">
        <f>"SCORBOT ER9Pro Robot with Gripper"</f>
        <v>SCORBOT ER9Pro Robot with Gripper</v>
      </c>
      <c r="F4247">
        <v>803</v>
      </c>
      <c r="G4247" t="str">
        <f t="shared" si="1079"/>
        <v>Y</v>
      </c>
      <c r="H4247" t="str">
        <f t="shared" si="1081"/>
        <v>EA</v>
      </c>
      <c r="I4247">
        <v>0</v>
      </c>
      <c r="J4247">
        <v>0</v>
      </c>
      <c r="K4247" t="str">
        <f t="shared" si="1080"/>
        <v>Y</v>
      </c>
      <c r="L4247">
        <v>0</v>
      </c>
      <c r="M4247" t="str">
        <f t="shared" si="1082"/>
        <v>NIS</v>
      </c>
      <c r="O4247">
        <v>1</v>
      </c>
      <c r="P4247" t="str">
        <f t="shared" ref="P4247:P4257" si="1083">"Active"</f>
        <v>Active</v>
      </c>
      <c r="Q4247" t="str">
        <f>"SCORBOT-ER 9Pro (incl. USB-Pro Controller)"</f>
        <v>SCORBOT-ER 9Pro (incl. USB-Pro Controller)</v>
      </c>
      <c r="S4247" t="str">
        <f>"SCORBOT-ER 9Pro (incl. USB-Pro Controller)"</f>
        <v>SCORBOT-ER 9Pro (incl. USB-Pro Controller)</v>
      </c>
      <c r="T4247">
        <v>0</v>
      </c>
      <c r="U4247" s="44">
        <v>10900</v>
      </c>
      <c r="V4247" s="44">
        <v>11661.57</v>
      </c>
      <c r="W4247" t="str">
        <f t="shared" si="1072"/>
        <v>rob</v>
      </c>
    </row>
    <row r="4248" spans="1:23">
      <c r="A4248" t="str">
        <f>"R9-00"</f>
        <v>R9-00</v>
      </c>
      <c r="B4248" t="str">
        <f>"00-0633-0000"</f>
        <v>00-0633-0000</v>
      </c>
      <c r="C4248" t="str">
        <f>"Pneumatic Gripper for ER9-Pro"</f>
        <v>Pneumatic Gripper for ER9-Pro</v>
      </c>
      <c r="D4248">
        <v>1</v>
      </c>
      <c r="E4248" t="str">
        <f>"SCORBOT ER9Pro Robot with Gripper"</f>
        <v>SCORBOT ER9Pro Robot with Gripper</v>
      </c>
      <c r="F4248">
        <v>803</v>
      </c>
      <c r="G4248" t="str">
        <f t="shared" si="1079"/>
        <v>Y</v>
      </c>
      <c r="H4248" t="str">
        <f t="shared" si="1081"/>
        <v>EA</v>
      </c>
      <c r="I4248">
        <v>0</v>
      </c>
      <c r="J4248">
        <v>0</v>
      </c>
      <c r="K4248" t="str">
        <f t="shared" si="1080"/>
        <v>Y</v>
      </c>
      <c r="L4248">
        <v>0</v>
      </c>
      <c r="M4248" t="str">
        <f t="shared" si="1082"/>
        <v>NIS</v>
      </c>
      <c r="O4248">
        <v>4</v>
      </c>
      <c r="P4248" t="str">
        <f t="shared" si="1083"/>
        <v>Active</v>
      </c>
      <c r="Q4248" t="str">
        <f>"Pneumatic Gripper for ER 9Pro"</f>
        <v>Pneumatic Gripper for ER 9Pro</v>
      </c>
      <c r="S4248" t="str">
        <f>"Pneumatic Gripper for ER9-Pro"</f>
        <v>Pneumatic Gripper for ER9-Pro</v>
      </c>
      <c r="T4248">
        <v>0</v>
      </c>
      <c r="U4248">
        <v>630</v>
      </c>
      <c r="V4248">
        <v>624.72</v>
      </c>
      <c r="W4248" t="str">
        <f t="shared" si="1072"/>
        <v>rob</v>
      </c>
    </row>
    <row r="4249" spans="1:23">
      <c r="A4249" t="str">
        <f>"R9-00"</f>
        <v>R9-00</v>
      </c>
      <c r="B4249" t="str">
        <f>"00-1710-0000"</f>
        <v>00-1710-0000</v>
      </c>
      <c r="C4249" t="str">
        <f>"Teach Pendant"</f>
        <v>Teach Pendant</v>
      </c>
      <c r="D4249">
        <v>1</v>
      </c>
      <c r="E4249" t="str">
        <f>"SCORBOT ER9Pro Robot with Gripper"</f>
        <v>SCORBOT ER9Pro Robot with Gripper</v>
      </c>
      <c r="F4249">
        <v>803</v>
      </c>
      <c r="G4249" t="str">
        <f t="shared" si="1079"/>
        <v>Y</v>
      </c>
      <c r="H4249" t="str">
        <f t="shared" si="1081"/>
        <v>EA</v>
      </c>
      <c r="I4249">
        <v>0</v>
      </c>
      <c r="J4249">
        <v>0</v>
      </c>
      <c r="K4249" t="str">
        <f t="shared" si="1080"/>
        <v>Y</v>
      </c>
      <c r="L4249">
        <v>0</v>
      </c>
      <c r="M4249" t="str">
        <f t="shared" si="1082"/>
        <v>NIS</v>
      </c>
      <c r="O4249">
        <v>3</v>
      </c>
      <c r="P4249" t="str">
        <f t="shared" si="1083"/>
        <v>Active</v>
      </c>
      <c r="Q4249" t="str">
        <f>"Teach Pendant for USB/USB Pro Controllers"</f>
        <v>Teach Pendant for USB/USB Pro Controllers</v>
      </c>
      <c r="S4249" t="str">
        <f>"Teach Pendant for USB/USB Pro Controllers"</f>
        <v>Teach Pendant for USB/USB Pro Controllers</v>
      </c>
      <c r="T4249">
        <v>0</v>
      </c>
      <c r="U4249">
        <v>160.18</v>
      </c>
      <c r="V4249">
        <v>161.44999999999999</v>
      </c>
      <c r="W4249" t="str">
        <f t="shared" si="1072"/>
        <v>rob</v>
      </c>
    </row>
    <row r="4250" spans="1:23">
      <c r="A4250" t="str">
        <f>"R9-00"</f>
        <v>R9-00</v>
      </c>
      <c r="B4250" t="str">
        <f>"63-7000-1800"</f>
        <v>63-7000-1800</v>
      </c>
      <c r="C4250" t="str">
        <f>"License Key for RoboCell/SCORBASE USB Pro"</f>
        <v>License Key for RoboCell/SCORBASE USB Pro</v>
      </c>
      <c r="D4250">
        <v>1</v>
      </c>
      <c r="E4250" t="str">
        <f>"SCORBOT ER9Pro Robot with Gripper"</f>
        <v>SCORBOT ER9Pro Robot with Gripper</v>
      </c>
      <c r="F4250">
        <v>803</v>
      </c>
      <c r="G4250" t="str">
        <f t="shared" si="1079"/>
        <v>Y</v>
      </c>
      <c r="H4250" t="str">
        <f t="shared" si="1081"/>
        <v>EA</v>
      </c>
      <c r="I4250">
        <v>0</v>
      </c>
      <c r="J4250">
        <v>0</v>
      </c>
      <c r="K4250" t="str">
        <f t="shared" si="1080"/>
        <v>Y</v>
      </c>
      <c r="L4250">
        <v>0</v>
      </c>
      <c r="M4250" t="str">
        <f t="shared" si="1082"/>
        <v>NIS</v>
      </c>
      <c r="O4250">
        <v>5</v>
      </c>
      <c r="P4250" t="str">
        <f t="shared" si="1083"/>
        <v>Active</v>
      </c>
      <c r="Q4250" t="str">
        <f>"License Key for RoboCell/SCORBASE USB Pro"</f>
        <v>License Key for RoboCell/SCORBASE USB Pro</v>
      </c>
      <c r="R4250" t="str">
        <f>"1"</f>
        <v>1</v>
      </c>
      <c r="S4250" t="str">
        <f>"License Key for RoboCell/SCORBASE USB Pro"</f>
        <v>License Key for RoboCell/SCORBASE USB Pro</v>
      </c>
      <c r="T4250">
        <v>0</v>
      </c>
      <c r="U4250">
        <v>10</v>
      </c>
      <c r="V4250">
        <v>11.1</v>
      </c>
      <c r="W4250" t="str">
        <f t="shared" si="1072"/>
        <v>rob</v>
      </c>
    </row>
    <row r="4251" spans="1:23">
      <c r="A4251" t="str">
        <f t="shared" ref="A4251:A4269" si="1084">"R9-04"</f>
        <v>R9-04</v>
      </c>
      <c r="B4251" t="str">
        <f>"00-0430-0000"</f>
        <v>00-0430-0000</v>
      </c>
      <c r="C4251" t="str">
        <f>"SCORBOT-ER9Pro"</f>
        <v>SCORBOT-ER9Pro</v>
      </c>
      <c r="D4251">
        <v>1</v>
      </c>
      <c r="E4251" t="str">
        <f t="shared" ref="E4251:E4269" si="1085">"Scorbot-ER9Pro Robot, Assembly and Quality Control (QC) Station"</f>
        <v>Scorbot-ER9Pro Robot, Assembly and Quality Control (QC) Station</v>
      </c>
      <c r="F4251">
        <v>803</v>
      </c>
      <c r="G4251" t="str">
        <f t="shared" si="1079"/>
        <v>Y</v>
      </c>
      <c r="H4251" t="str">
        <f t="shared" si="1081"/>
        <v>EA</v>
      </c>
      <c r="I4251">
        <v>0</v>
      </c>
      <c r="J4251">
        <v>0</v>
      </c>
      <c r="K4251" t="str">
        <f t="shared" si="1080"/>
        <v>Y</v>
      </c>
      <c r="L4251">
        <v>0</v>
      </c>
      <c r="M4251" t="str">
        <f t="shared" si="1082"/>
        <v>NIS</v>
      </c>
      <c r="O4251">
        <v>1</v>
      </c>
      <c r="P4251" t="str">
        <f t="shared" si="1083"/>
        <v>Active</v>
      </c>
      <c r="Q4251" t="str">
        <f>"SCORBOT-ER 9Pro (incl. USB-Pro Controller)"</f>
        <v>SCORBOT-ER 9Pro (incl. USB-Pro Controller)</v>
      </c>
      <c r="S4251" t="str">
        <f>"SCORBOT-ER 9Pro (incl. USB-Pro Controller)"</f>
        <v>SCORBOT-ER 9Pro (incl. USB-Pro Controller)</v>
      </c>
      <c r="T4251">
        <v>0</v>
      </c>
      <c r="U4251" s="44">
        <v>10900</v>
      </c>
      <c r="V4251" s="44">
        <v>11661.57</v>
      </c>
      <c r="W4251" t="str">
        <f t="shared" si="1072"/>
        <v>rob</v>
      </c>
    </row>
    <row r="4252" spans="1:23">
      <c r="A4252" t="str">
        <f t="shared" si="1084"/>
        <v>R9-04</v>
      </c>
      <c r="B4252" t="str">
        <f>"00-0633-0000"</f>
        <v>00-0633-0000</v>
      </c>
      <c r="C4252" t="str">
        <f>"Pneumatic Gripper for ER9-Pro"</f>
        <v>Pneumatic Gripper for ER9-Pro</v>
      </c>
      <c r="D4252">
        <v>1</v>
      </c>
      <c r="E4252" t="str">
        <f t="shared" si="1085"/>
        <v>Scorbot-ER9Pro Robot, Assembly and Quality Control (QC) Station</v>
      </c>
      <c r="F4252">
        <v>803</v>
      </c>
      <c r="G4252" t="str">
        <f t="shared" si="1079"/>
        <v>Y</v>
      </c>
      <c r="H4252" t="str">
        <f t="shared" si="1081"/>
        <v>EA</v>
      </c>
      <c r="I4252">
        <v>0</v>
      </c>
      <c r="J4252">
        <v>0</v>
      </c>
      <c r="K4252" t="str">
        <f t="shared" si="1080"/>
        <v>Y</v>
      </c>
      <c r="L4252">
        <v>0</v>
      </c>
      <c r="M4252" t="str">
        <f t="shared" si="1082"/>
        <v>NIS</v>
      </c>
      <c r="O4252">
        <v>2</v>
      </c>
      <c r="P4252" t="str">
        <f t="shared" si="1083"/>
        <v>Active</v>
      </c>
      <c r="Q4252" t="str">
        <f>"Pneumatic Gripper for ER 9Pro"</f>
        <v>Pneumatic Gripper for ER 9Pro</v>
      </c>
      <c r="S4252" t="str">
        <f>"Pneumatic Gripper for ER9-Pro"</f>
        <v>Pneumatic Gripper for ER9-Pro</v>
      </c>
      <c r="T4252">
        <v>0</v>
      </c>
      <c r="U4252">
        <v>630</v>
      </c>
      <c r="V4252">
        <v>624.72</v>
      </c>
      <c r="W4252" t="str">
        <f t="shared" si="1072"/>
        <v>rob</v>
      </c>
    </row>
    <row r="4253" spans="1:23">
      <c r="A4253" t="str">
        <f t="shared" si="1084"/>
        <v>R9-04</v>
      </c>
      <c r="B4253" t="str">
        <f>"00-1710-0000"</f>
        <v>00-1710-0000</v>
      </c>
      <c r="C4253" t="str">
        <f>"Teach Pendant"</f>
        <v>Teach Pendant</v>
      </c>
      <c r="D4253">
        <v>1</v>
      </c>
      <c r="E4253" t="str">
        <f t="shared" si="1085"/>
        <v>Scorbot-ER9Pro Robot, Assembly and Quality Control (QC) Station</v>
      </c>
      <c r="F4253">
        <v>803</v>
      </c>
      <c r="G4253" t="str">
        <f t="shared" si="1079"/>
        <v>Y</v>
      </c>
      <c r="H4253" t="str">
        <f t="shared" si="1081"/>
        <v>EA</v>
      </c>
      <c r="I4253">
        <v>0</v>
      </c>
      <c r="J4253">
        <v>0</v>
      </c>
      <c r="K4253" t="str">
        <f t="shared" si="1080"/>
        <v>Y</v>
      </c>
      <c r="L4253">
        <v>0</v>
      </c>
      <c r="M4253" t="str">
        <f t="shared" si="1082"/>
        <v>NIS</v>
      </c>
      <c r="O4253">
        <v>3</v>
      </c>
      <c r="P4253" t="str">
        <f t="shared" si="1083"/>
        <v>Active</v>
      </c>
      <c r="Q4253" t="str">
        <f>"Teach Pendant for USB/USB Pro Controllers"</f>
        <v>Teach Pendant for USB/USB Pro Controllers</v>
      </c>
      <c r="S4253" t="str">
        <f>"Teach Pendant for USB/USB Pro Controllers"</f>
        <v>Teach Pendant for USB/USB Pro Controllers</v>
      </c>
      <c r="T4253">
        <v>0</v>
      </c>
      <c r="U4253">
        <v>160.18</v>
      </c>
      <c r="V4253">
        <v>161.44999999999999</v>
      </c>
      <c r="W4253" t="str">
        <f t="shared" si="1072"/>
        <v>rob</v>
      </c>
    </row>
    <row r="4254" spans="1:23">
      <c r="A4254" t="str">
        <f t="shared" si="1084"/>
        <v>R9-04</v>
      </c>
      <c r="B4254" t="str">
        <f>"00-1110-0000"</f>
        <v>00-1110-0000</v>
      </c>
      <c r="C4254" t="str">
        <f>"Palletizing Rack"</f>
        <v>Palletizing Rack</v>
      </c>
      <c r="D4254">
        <v>2</v>
      </c>
      <c r="E4254" t="str">
        <f t="shared" si="1085"/>
        <v>Scorbot-ER9Pro Robot, Assembly and Quality Control (QC) Station</v>
      </c>
      <c r="F4254">
        <v>803</v>
      </c>
      <c r="G4254" t="str">
        <f t="shared" si="1079"/>
        <v>Y</v>
      </c>
      <c r="H4254" t="str">
        <f t="shared" si="1081"/>
        <v>EA</v>
      </c>
      <c r="I4254">
        <v>0</v>
      </c>
      <c r="J4254">
        <v>0</v>
      </c>
      <c r="K4254" t="str">
        <f t="shared" si="1080"/>
        <v>Y</v>
      </c>
      <c r="L4254">
        <v>0</v>
      </c>
      <c r="M4254" t="str">
        <f t="shared" si="1082"/>
        <v>NIS</v>
      </c>
      <c r="O4254">
        <v>4</v>
      </c>
      <c r="P4254" t="str">
        <f t="shared" si="1083"/>
        <v>Active</v>
      </c>
      <c r="Q4254" t="str">
        <f>"Palletizing Rack (incl. Pins for creating Jigs)"</f>
        <v>Palletizing Rack (incl. Pins for creating Jigs)</v>
      </c>
      <c r="S4254" t="str">
        <f>"Palletizing Rack (incl. Pins for creating Jigs)"</f>
        <v>Palletizing Rack (incl. Pins for creating Jigs)</v>
      </c>
      <c r="T4254">
        <v>0</v>
      </c>
      <c r="U4254">
        <v>63</v>
      </c>
      <c r="V4254">
        <v>58.59</v>
      </c>
      <c r="W4254" t="str">
        <f t="shared" si="1072"/>
        <v>rob</v>
      </c>
    </row>
    <row r="4255" spans="1:23">
      <c r="A4255" t="str">
        <f t="shared" si="1084"/>
        <v>R9-04</v>
      </c>
      <c r="B4255" t="str">
        <f>"034025"</f>
        <v>034025</v>
      </c>
      <c r="C4255" t="str">
        <f>"I/O Interface Box for Controller USB-PRO"</f>
        <v>I/O Interface Box for Controller USB-PRO</v>
      </c>
      <c r="D4255">
        <v>1</v>
      </c>
      <c r="E4255" t="str">
        <f t="shared" si="1085"/>
        <v>Scorbot-ER9Pro Robot, Assembly and Quality Control (QC) Station</v>
      </c>
      <c r="F4255">
        <v>803</v>
      </c>
      <c r="G4255" t="str">
        <f t="shared" si="1079"/>
        <v>Y</v>
      </c>
      <c r="H4255" t="str">
        <f t="shared" si="1081"/>
        <v>EA</v>
      </c>
      <c r="I4255">
        <v>0</v>
      </c>
      <c r="J4255">
        <v>0</v>
      </c>
      <c r="K4255" t="str">
        <f t="shared" si="1080"/>
        <v>Y</v>
      </c>
      <c r="L4255">
        <v>0</v>
      </c>
      <c r="M4255" t="str">
        <f t="shared" si="1082"/>
        <v>NIS</v>
      </c>
      <c r="O4255">
        <v>5</v>
      </c>
      <c r="P4255" t="str">
        <f t="shared" si="1083"/>
        <v>Active</v>
      </c>
      <c r="Q4255" t="str">
        <f>"I/O Interface Box for Controller USB-PRO"</f>
        <v>I/O Interface Box for Controller USB-PRO</v>
      </c>
      <c r="S4255" t="str">
        <f>"קופסת 2+Interface Box I/O כבלים לבקר USBPRO"</f>
        <v>קופסת 2+Interface Box I/O כבלים לבקר USBPRO</v>
      </c>
      <c r="T4255">
        <v>0</v>
      </c>
      <c r="U4255">
        <v>470</v>
      </c>
      <c r="V4255">
        <v>463.62</v>
      </c>
      <c r="W4255" t="str">
        <f t="shared" si="1072"/>
        <v>rob</v>
      </c>
    </row>
    <row r="4256" spans="1:23">
      <c r="A4256" t="str">
        <f t="shared" si="1084"/>
        <v>R9-04</v>
      </c>
      <c r="B4256" t="str">
        <f>"00-1236-0000"</f>
        <v>00-1236-0000</v>
      </c>
      <c r="C4256" t="str">
        <f>"Automatic Glue Dispenser"</f>
        <v>Automatic Glue Dispenser</v>
      </c>
      <c r="D4256">
        <v>1</v>
      </c>
      <c r="E4256" t="str">
        <f t="shared" si="1085"/>
        <v>Scorbot-ER9Pro Robot, Assembly and Quality Control (QC) Station</v>
      </c>
      <c r="F4256">
        <v>803</v>
      </c>
      <c r="G4256" t="str">
        <f t="shared" si="1079"/>
        <v>Y</v>
      </c>
      <c r="H4256" t="str">
        <f t="shared" si="1081"/>
        <v>EA</v>
      </c>
      <c r="I4256">
        <v>0</v>
      </c>
      <c r="J4256">
        <v>0</v>
      </c>
      <c r="K4256" t="str">
        <f t="shared" si="1080"/>
        <v>Y</v>
      </c>
      <c r="L4256">
        <v>0</v>
      </c>
      <c r="M4256" t="str">
        <f t="shared" si="1082"/>
        <v>NIS</v>
      </c>
      <c r="O4256">
        <v>6</v>
      </c>
      <c r="P4256" t="str">
        <f t="shared" si="1083"/>
        <v>Active</v>
      </c>
      <c r="Q4256" t="str">
        <f>"Automatic Glue Dispenser"</f>
        <v>Automatic Glue Dispenser</v>
      </c>
      <c r="S4256" t="str">
        <f>"Automatic Glue Dispenser"</f>
        <v>Automatic Glue Dispenser</v>
      </c>
      <c r="T4256">
        <v>0</v>
      </c>
      <c r="U4256" s="44">
        <v>1100</v>
      </c>
      <c r="V4256" s="44">
        <v>1097.3699999999999</v>
      </c>
      <c r="W4256" t="str">
        <f t="shared" si="1072"/>
        <v>rob</v>
      </c>
    </row>
    <row r="4257" spans="1:23">
      <c r="A4257" t="str">
        <f t="shared" si="1084"/>
        <v>R9-04</v>
      </c>
      <c r="B4257" t="str">
        <f>"00-1230-0000"</f>
        <v>00-1230-0000</v>
      </c>
      <c r="C4257" t="str">
        <f>"Ball Feeder (incl. sensor for ball counting)"</f>
        <v>Ball Feeder (incl. sensor for ball counting)</v>
      </c>
      <c r="D4257">
        <v>1</v>
      </c>
      <c r="E4257" t="str">
        <f t="shared" si="1085"/>
        <v>Scorbot-ER9Pro Robot, Assembly and Quality Control (QC) Station</v>
      </c>
      <c r="F4257">
        <v>803</v>
      </c>
      <c r="G4257" t="str">
        <f t="shared" si="1079"/>
        <v>Y</v>
      </c>
      <c r="H4257" t="str">
        <f t="shared" si="1081"/>
        <v>EA</v>
      </c>
      <c r="I4257">
        <v>0</v>
      </c>
      <c r="J4257">
        <v>0</v>
      </c>
      <c r="K4257" t="str">
        <f t="shared" si="1080"/>
        <v>Y</v>
      </c>
      <c r="L4257">
        <v>0</v>
      </c>
      <c r="M4257" t="str">
        <f t="shared" si="1082"/>
        <v>NIS</v>
      </c>
      <c r="O4257">
        <v>7</v>
      </c>
      <c r="P4257" t="str">
        <f t="shared" si="1083"/>
        <v>Active</v>
      </c>
      <c r="Q4257" t="str">
        <f>"Ball Feeder (incl. sensor for ball counting)"</f>
        <v>Ball Feeder (incl. sensor for ball counting)</v>
      </c>
      <c r="S4257" t="str">
        <f>"Ball Feeder (incl. sensor for ball counting)"</f>
        <v>Ball Feeder (incl. sensor for ball counting)</v>
      </c>
      <c r="T4257">
        <v>0</v>
      </c>
      <c r="U4257">
        <v>536</v>
      </c>
      <c r="V4257">
        <v>530.72</v>
      </c>
      <c r="W4257" t="str">
        <f t="shared" si="1072"/>
        <v>rob</v>
      </c>
    </row>
    <row r="4258" spans="1:23">
      <c r="A4258" t="str">
        <f t="shared" si="1084"/>
        <v>R9-04</v>
      </c>
      <c r="B4258" t="str">
        <f>"21-0004-0000"</f>
        <v>21-0004-0000</v>
      </c>
      <c r="C4258" t="str">
        <f>"Assembly, Dual Axis Air Vise Mechanicals"</f>
        <v>Assembly, Dual Axis Air Vise Mechanicals</v>
      </c>
      <c r="D4258">
        <v>1</v>
      </c>
      <c r="E4258" t="str">
        <f t="shared" si="1085"/>
        <v>Scorbot-ER9Pro Robot, Assembly and Quality Control (QC) Station</v>
      </c>
      <c r="F4258">
        <v>803</v>
      </c>
      <c r="G4258" t="str">
        <f t="shared" si="1079"/>
        <v>Y</v>
      </c>
      <c r="H4258" t="str">
        <f t="shared" si="1081"/>
        <v>EA</v>
      </c>
      <c r="I4258">
        <v>0</v>
      </c>
      <c r="J4258">
        <v>0</v>
      </c>
      <c r="K4258" t="str">
        <f t="shared" si="1080"/>
        <v>Y</v>
      </c>
      <c r="L4258">
        <v>0</v>
      </c>
      <c r="M4258" t="str">
        <f t="shared" si="1082"/>
        <v>NIS</v>
      </c>
      <c r="O4258">
        <v>8</v>
      </c>
      <c r="P4258" t="str">
        <f>"Phase Out"</f>
        <v>Phase Out</v>
      </c>
      <c r="Q4258" t="str">
        <f>"Pneumatic Dual-Axis Vise"</f>
        <v>Pneumatic Dual-Axis Vise</v>
      </c>
      <c r="S4258" t="str">
        <f>"Assembly, Dual Axis Air Vise Mechanicals"</f>
        <v>Assembly, Dual Axis Air Vise Mechanicals</v>
      </c>
      <c r="T4258">
        <v>422.16</v>
      </c>
      <c r="U4258">
        <v>422</v>
      </c>
      <c r="V4258">
        <v>980.27</v>
      </c>
      <c r="W4258" t="str">
        <f t="shared" si="1072"/>
        <v>rob</v>
      </c>
    </row>
    <row r="4259" spans="1:23">
      <c r="A4259" t="str">
        <f t="shared" si="1084"/>
        <v>R9-04</v>
      </c>
      <c r="B4259" t="str">
        <f>"10-2523-4000"</f>
        <v>10-2523-4000</v>
      </c>
      <c r="C4259" t="str">
        <f>"Solenoid Valve (24V) for Pipe 3 mm"</f>
        <v>Solenoid Valve (24V) for Pipe 3 mm</v>
      </c>
      <c r="D4259">
        <v>1</v>
      </c>
      <c r="E4259" t="str">
        <f t="shared" si="1085"/>
        <v>Scorbot-ER9Pro Robot, Assembly and Quality Control (QC) Station</v>
      </c>
      <c r="F4259">
        <v>803</v>
      </c>
      <c r="G4259" t="str">
        <f t="shared" si="1079"/>
        <v>Y</v>
      </c>
      <c r="H4259" t="str">
        <f t="shared" si="1081"/>
        <v>EA</v>
      </c>
      <c r="I4259">
        <v>0</v>
      </c>
      <c r="J4259">
        <v>0</v>
      </c>
      <c r="K4259" t="str">
        <f t="shared" si="1080"/>
        <v>Y</v>
      </c>
      <c r="L4259">
        <v>0</v>
      </c>
      <c r="M4259" t="str">
        <f t="shared" si="1082"/>
        <v>NIS</v>
      </c>
      <c r="O4259">
        <v>9</v>
      </c>
      <c r="P4259" t="str">
        <f t="shared" ref="P4259:P4269" si="1086">"Active"</f>
        <v>Active</v>
      </c>
      <c r="Q4259" t="str">
        <f>"Solenoid Valve (24V) for Dual Axis Vise 025207"</f>
        <v>Solenoid Valve (24V) for Dual Axis Vise 025207</v>
      </c>
      <c r="S4259" t="str">
        <f>"Solenoid Valve (24V) for Pipe 3 mm"</f>
        <v>Solenoid Valve (24V) for Pipe 3 mm</v>
      </c>
      <c r="T4259">
        <v>0</v>
      </c>
      <c r="U4259">
        <v>137</v>
      </c>
      <c r="V4259">
        <v>133.35</v>
      </c>
      <c r="W4259" t="str">
        <f t="shared" si="1072"/>
        <v>rob</v>
      </c>
    </row>
    <row r="4260" spans="1:23">
      <c r="A4260" t="str">
        <f t="shared" si="1084"/>
        <v>R9-04</v>
      </c>
      <c r="B4260" t="str">
        <f>"00-1243-0000"</f>
        <v>00-1243-0000</v>
      </c>
      <c r="C4260" t="str">
        <f>"Ball Game Set (Assembly with Plastic Pins)"</f>
        <v>Ball Game Set (Assembly with Plastic Pins)</v>
      </c>
      <c r="D4260">
        <v>12</v>
      </c>
      <c r="E4260" t="str">
        <f t="shared" si="1085"/>
        <v>Scorbot-ER9Pro Robot, Assembly and Quality Control (QC) Station</v>
      </c>
      <c r="F4260">
        <v>803</v>
      </c>
      <c r="G4260" t="str">
        <f t="shared" si="1079"/>
        <v>Y</v>
      </c>
      <c r="H4260" t="str">
        <f t="shared" si="1081"/>
        <v>EA</v>
      </c>
      <c r="I4260">
        <v>0</v>
      </c>
      <c r="J4260">
        <v>0</v>
      </c>
      <c r="K4260" t="str">
        <f t="shared" si="1080"/>
        <v>Y</v>
      </c>
      <c r="L4260">
        <v>0</v>
      </c>
      <c r="M4260" t="str">
        <f t="shared" si="1082"/>
        <v>NIS</v>
      </c>
      <c r="O4260">
        <v>10</v>
      </c>
      <c r="P4260" t="str">
        <f t="shared" si="1086"/>
        <v>Active</v>
      </c>
      <c r="Q4260" t="str">
        <f>"Ball Game Set (Assembly with Plastic Pins)"</f>
        <v>Ball Game Set (Assembly with Plastic Pins)</v>
      </c>
      <c r="S4260" t="str">
        <f>"Ball Game Set (Assembly with Plastic Pins)"</f>
        <v>Ball Game Set (Assembly with Plastic Pins)</v>
      </c>
      <c r="T4260">
        <v>0</v>
      </c>
      <c r="U4260">
        <v>32</v>
      </c>
      <c r="V4260">
        <v>34.770000000000003</v>
      </c>
      <c r="W4260" t="str">
        <f t="shared" si="1072"/>
        <v>rob</v>
      </c>
    </row>
    <row r="4261" spans="1:23">
      <c r="A4261" t="str">
        <f t="shared" si="1084"/>
        <v>R9-04</v>
      </c>
      <c r="B4261" t="str">
        <f>"10-2521-1000"</f>
        <v>10-2521-1000</v>
      </c>
      <c r="C4261" t="str">
        <f>"3x In-Line Solenoid Valves (Manifold)"</f>
        <v>3x In-Line Solenoid Valves (Manifold)</v>
      </c>
      <c r="D4261">
        <v>1</v>
      </c>
      <c r="E4261" t="str">
        <f t="shared" si="1085"/>
        <v>Scorbot-ER9Pro Robot, Assembly and Quality Control (QC) Station</v>
      </c>
      <c r="F4261">
        <v>803</v>
      </c>
      <c r="G4261" t="str">
        <f t="shared" si="1079"/>
        <v>Y</v>
      </c>
      <c r="H4261" t="str">
        <f t="shared" si="1081"/>
        <v>EA</v>
      </c>
      <c r="I4261">
        <v>0</v>
      </c>
      <c r="J4261">
        <v>0</v>
      </c>
      <c r="K4261" t="str">
        <f t="shared" si="1080"/>
        <v>Y</v>
      </c>
      <c r="L4261">
        <v>0</v>
      </c>
      <c r="M4261" t="str">
        <f t="shared" si="1082"/>
        <v>NIS</v>
      </c>
      <c r="O4261">
        <v>11</v>
      </c>
      <c r="P4261" t="str">
        <f t="shared" si="1086"/>
        <v>Active</v>
      </c>
      <c r="Q4261" t="str">
        <f>"3x In-Line Solenoid Valves (Manifold)"</f>
        <v>3x In-Line Solenoid Valves (Manifold)</v>
      </c>
      <c r="S4261" t="str">
        <f>"3x In-Line Solenoid Valves (Manifold)"</f>
        <v>3x In-Line Solenoid Valves (Manifold)</v>
      </c>
      <c r="T4261">
        <v>0</v>
      </c>
      <c r="U4261">
        <v>320</v>
      </c>
      <c r="V4261">
        <v>352.99</v>
      </c>
      <c r="W4261" t="str">
        <f t="shared" si="1072"/>
        <v>rob</v>
      </c>
    </row>
    <row r="4262" spans="1:23">
      <c r="A4262" t="str">
        <f t="shared" si="1084"/>
        <v>R9-04</v>
      </c>
      <c r="B4262" t="str">
        <f>"00-1426-0000"</f>
        <v>00-1426-0000</v>
      </c>
      <c r="C4262" t="str">
        <f>"Viewflex - Machine Vision (Stand 1000mm)"</f>
        <v>Viewflex - Machine Vision (Stand 1000mm)</v>
      </c>
      <c r="D4262">
        <v>1</v>
      </c>
      <c r="E4262" t="str">
        <f t="shared" si="1085"/>
        <v>Scorbot-ER9Pro Robot, Assembly and Quality Control (QC) Station</v>
      </c>
      <c r="F4262">
        <v>803</v>
      </c>
      <c r="G4262" t="str">
        <f t="shared" si="1079"/>
        <v>Y</v>
      </c>
      <c r="H4262" t="str">
        <f t="shared" si="1081"/>
        <v>EA</v>
      </c>
      <c r="I4262">
        <v>0</v>
      </c>
      <c r="J4262">
        <v>0</v>
      </c>
      <c r="K4262" t="str">
        <f t="shared" si="1080"/>
        <v>Y</v>
      </c>
      <c r="L4262">
        <v>0</v>
      </c>
      <c r="M4262" t="str">
        <f t="shared" si="1082"/>
        <v>NIS</v>
      </c>
      <c r="O4262">
        <v>12</v>
      </c>
      <c r="P4262" t="str">
        <f t="shared" si="1086"/>
        <v>Active</v>
      </c>
      <c r="Q4262" t="str">
        <f>"Viewflex for Robot Guidance (Stand 1000mm)"</f>
        <v>Viewflex for Robot Guidance (Stand 1000mm)</v>
      </c>
      <c r="S4262" t="str">
        <f>"Viewflex for Robot Guidance (Stand 1000mm)"</f>
        <v>Viewflex for Robot Guidance (Stand 1000mm)</v>
      </c>
      <c r="T4262">
        <v>0</v>
      </c>
      <c r="U4262">
        <v>610.01</v>
      </c>
      <c r="V4262">
        <v>569.09</v>
      </c>
      <c r="W4262" t="str">
        <f t="shared" si="1072"/>
        <v>rob</v>
      </c>
    </row>
    <row r="4263" spans="1:23">
      <c r="A4263" t="str">
        <f t="shared" si="1084"/>
        <v>R9-04</v>
      </c>
      <c r="B4263" t="str">
        <f>"112713"</f>
        <v>112713</v>
      </c>
      <c r="C4263" t="str">
        <f>"Marked Aluminum Cylinder"</f>
        <v>Marked Aluminum Cylinder</v>
      </c>
      <c r="D4263">
        <v>3</v>
      </c>
      <c r="E4263" t="str">
        <f t="shared" si="1085"/>
        <v>Scorbot-ER9Pro Robot, Assembly and Quality Control (QC) Station</v>
      </c>
      <c r="F4263">
        <v>803</v>
      </c>
      <c r="G4263" t="str">
        <f t="shared" si="1079"/>
        <v>Y</v>
      </c>
      <c r="H4263" t="str">
        <f t="shared" si="1081"/>
        <v>EA</v>
      </c>
      <c r="I4263">
        <v>0</v>
      </c>
      <c r="J4263">
        <v>0</v>
      </c>
      <c r="K4263" t="str">
        <f t="shared" si="1080"/>
        <v>Y</v>
      </c>
      <c r="L4263">
        <v>0</v>
      </c>
      <c r="M4263" t="str">
        <f t="shared" si="1082"/>
        <v>NIS</v>
      </c>
      <c r="O4263">
        <v>13</v>
      </c>
      <c r="P4263" t="str">
        <f t="shared" si="1086"/>
        <v>Active</v>
      </c>
      <c r="Q4263" t="str">
        <f>"Mark Al. Cylinder Diam. 35x28 MicroCIM"</f>
        <v>Mark Al. Cylinder Diam. 35x28 MicroCIM</v>
      </c>
      <c r="S4263" t="str">
        <f>"Mark Al. Cylinder Diam. 35x28"</f>
        <v>Mark Al. Cylinder Diam. 35x28</v>
      </c>
      <c r="T4263">
        <v>0</v>
      </c>
      <c r="U4263">
        <v>6</v>
      </c>
      <c r="V4263">
        <v>5.97</v>
      </c>
      <c r="W4263" t="str">
        <f t="shared" si="1072"/>
        <v>rob</v>
      </c>
    </row>
    <row r="4264" spans="1:23">
      <c r="A4264" t="str">
        <f t="shared" si="1084"/>
        <v>R9-04</v>
      </c>
      <c r="B4264" t="str">
        <f>"113316"</f>
        <v>113316</v>
      </c>
      <c r="C4264" t="str">
        <f>"Parts Bin"</f>
        <v>Parts Bin</v>
      </c>
      <c r="D4264">
        <v>1</v>
      </c>
      <c r="E4264" t="str">
        <f t="shared" si="1085"/>
        <v>Scorbot-ER9Pro Robot, Assembly and Quality Control (QC) Station</v>
      </c>
      <c r="F4264">
        <v>803</v>
      </c>
      <c r="G4264" t="str">
        <f t="shared" si="1079"/>
        <v>Y</v>
      </c>
      <c r="H4264" t="str">
        <f t="shared" si="1081"/>
        <v>EA</v>
      </c>
      <c r="I4264">
        <v>0</v>
      </c>
      <c r="J4264">
        <v>0</v>
      </c>
      <c r="K4264" t="str">
        <f t="shared" si="1080"/>
        <v>Y</v>
      </c>
      <c r="L4264">
        <v>0</v>
      </c>
      <c r="M4264" t="str">
        <f t="shared" si="1082"/>
        <v>NIS</v>
      </c>
      <c r="O4264">
        <v>14</v>
      </c>
      <c r="P4264" t="str">
        <f t="shared" si="1086"/>
        <v>Active</v>
      </c>
      <c r="Q4264" t="str">
        <f>"Parts Bin; Plastic Box"</f>
        <v>Parts Bin; Plastic Box</v>
      </c>
      <c r="R4264" t="str">
        <f>"1"</f>
        <v>1</v>
      </c>
      <c r="S4264" t="str">
        <f>"Parts Bin; Plastic Box"</f>
        <v>Parts Bin; Plastic Box</v>
      </c>
      <c r="T4264">
        <v>0</v>
      </c>
      <c r="U4264">
        <v>8.0399999999999991</v>
      </c>
      <c r="V4264">
        <v>6.39</v>
      </c>
      <c r="W4264" t="str">
        <f t="shared" si="1072"/>
        <v>rob</v>
      </c>
    </row>
    <row r="4265" spans="1:23">
      <c r="A4265" t="str">
        <f t="shared" si="1084"/>
        <v>R9-04</v>
      </c>
      <c r="B4265" t="str">
        <f>"00-1249-0000"</f>
        <v>00-1249-0000</v>
      </c>
      <c r="C4265" t="str">
        <f>"Workbench 1500x800mm (slotted aluminum top)"</f>
        <v>Workbench 1500x800mm (slotted aluminum top)</v>
      </c>
      <c r="D4265">
        <v>1</v>
      </c>
      <c r="E4265" t="str">
        <f t="shared" si="1085"/>
        <v>Scorbot-ER9Pro Robot, Assembly and Quality Control (QC) Station</v>
      </c>
      <c r="F4265">
        <v>803</v>
      </c>
      <c r="G4265" t="str">
        <f t="shared" si="1079"/>
        <v>Y</v>
      </c>
      <c r="H4265" t="str">
        <f t="shared" si="1081"/>
        <v>EA</v>
      </c>
      <c r="I4265">
        <v>0</v>
      </c>
      <c r="J4265">
        <v>0</v>
      </c>
      <c r="K4265" t="str">
        <f t="shared" si="1080"/>
        <v>Y</v>
      </c>
      <c r="L4265">
        <v>0</v>
      </c>
      <c r="M4265" t="str">
        <f t="shared" si="1082"/>
        <v>NIS</v>
      </c>
      <c r="O4265">
        <v>15</v>
      </c>
      <c r="P4265" t="str">
        <f t="shared" si="1086"/>
        <v>Active</v>
      </c>
      <c r="Q4265" t="str">
        <f>"Workbench 1500x800mm (slotted aluminum top)"</f>
        <v>Workbench 1500x800mm (slotted aluminum top)</v>
      </c>
      <c r="S4265" t="str">
        <f>"Workbench 1500x800mm (slotted aluminum top)"</f>
        <v>Workbench 1500x800mm (slotted aluminum top)</v>
      </c>
      <c r="T4265">
        <v>0</v>
      </c>
      <c r="U4265" s="44">
        <v>1100</v>
      </c>
      <c r="V4265" s="44">
        <v>1083.57</v>
      </c>
      <c r="W4265" t="str">
        <f t="shared" si="1072"/>
        <v>rob</v>
      </c>
    </row>
    <row r="4266" spans="1:23">
      <c r="A4266" t="str">
        <f t="shared" si="1084"/>
        <v>R9-04</v>
      </c>
      <c r="B4266" t="str">
        <f>"00-1241-0000"</f>
        <v>00-1241-0000</v>
      </c>
      <c r="C4266" t="str">
        <f>"Adapter Mounting Plate for ER9/14Pro &amp; HP3"</f>
        <v>Adapter Mounting Plate for ER9/14Pro &amp; HP3</v>
      </c>
      <c r="D4266">
        <v>1</v>
      </c>
      <c r="E4266" t="str">
        <f t="shared" si="1085"/>
        <v>Scorbot-ER9Pro Robot, Assembly and Quality Control (QC) Station</v>
      </c>
      <c r="F4266">
        <v>803</v>
      </c>
      <c r="G4266" t="str">
        <f t="shared" si="1079"/>
        <v>Y</v>
      </c>
      <c r="H4266" t="str">
        <f t="shared" si="1081"/>
        <v>EA</v>
      </c>
      <c r="I4266">
        <v>0</v>
      </c>
      <c r="J4266">
        <v>0</v>
      </c>
      <c r="K4266" t="str">
        <f t="shared" si="1080"/>
        <v>Y</v>
      </c>
      <c r="L4266">
        <v>0</v>
      </c>
      <c r="M4266" t="str">
        <f t="shared" si="1082"/>
        <v>NIS</v>
      </c>
      <c r="O4266">
        <v>16</v>
      </c>
      <c r="P4266" t="str">
        <f t="shared" si="1086"/>
        <v>Active</v>
      </c>
      <c r="Q4266" t="str">
        <f>"Adapter Mounting Plate for ER9/14Pro &amp; HP3"</f>
        <v>Adapter Mounting Plate for ER9/14Pro &amp; HP3</v>
      </c>
      <c r="S4266" t="str">
        <f>"Adapter Mounting Plate for ER9/14Pro &amp; HP3"</f>
        <v>Adapter Mounting Plate for ER9/14Pro &amp; HP3</v>
      </c>
      <c r="T4266">
        <v>0</v>
      </c>
      <c r="U4266">
        <v>145</v>
      </c>
      <c r="V4266">
        <v>153.93</v>
      </c>
      <c r="W4266" t="str">
        <f t="shared" si="1072"/>
        <v>rob</v>
      </c>
    </row>
    <row r="4267" spans="1:23">
      <c r="A4267" t="str">
        <f t="shared" si="1084"/>
        <v>R9-04</v>
      </c>
      <c r="B4267" t="str">
        <f>"00-1260-0000"</f>
        <v>00-1260-0000</v>
      </c>
      <c r="C4267" t="str">
        <f>"PC Extension Shelf  600x800mm"</f>
        <v>PC Extension Shelf  600x800mm</v>
      </c>
      <c r="D4267">
        <v>1</v>
      </c>
      <c r="E4267" t="str">
        <f t="shared" si="1085"/>
        <v>Scorbot-ER9Pro Robot, Assembly and Quality Control (QC) Station</v>
      </c>
      <c r="F4267">
        <v>803</v>
      </c>
      <c r="G4267" t="str">
        <f t="shared" si="1079"/>
        <v>Y</v>
      </c>
      <c r="H4267" t="str">
        <f t="shared" si="1081"/>
        <v>EA</v>
      </c>
      <c r="I4267">
        <v>0</v>
      </c>
      <c r="J4267">
        <v>0</v>
      </c>
      <c r="K4267" t="str">
        <f t="shared" si="1080"/>
        <v>Y</v>
      </c>
      <c r="L4267">
        <v>0</v>
      </c>
      <c r="M4267" t="str">
        <f t="shared" si="1082"/>
        <v>NIS</v>
      </c>
      <c r="O4267">
        <v>17</v>
      </c>
      <c r="P4267" t="str">
        <f t="shared" si="1086"/>
        <v>Active</v>
      </c>
      <c r="Q4267" t="str">
        <f>"PC Extension Shelf  600x800mm"</f>
        <v>PC Extension Shelf  600x800mm</v>
      </c>
      <c r="S4267" t="str">
        <f>"PC Extension Shelf  600x800mm"</f>
        <v>PC Extension Shelf  600x800mm</v>
      </c>
      <c r="T4267">
        <v>0</v>
      </c>
      <c r="U4267">
        <v>192</v>
      </c>
      <c r="V4267">
        <v>195.4</v>
      </c>
      <c r="W4267" t="str">
        <f t="shared" si="1072"/>
        <v>rob</v>
      </c>
    </row>
    <row r="4268" spans="1:23">
      <c r="A4268" t="str">
        <f t="shared" si="1084"/>
        <v>R9-04</v>
      </c>
      <c r="B4268" t="str">
        <f>"63-9248-0000"</f>
        <v>63-9248-0000</v>
      </c>
      <c r="C4268" t="str">
        <f>"Robotic Software for Controller USB Pro"</f>
        <v>Robotic Software for Controller USB Pro</v>
      </c>
      <c r="D4268">
        <v>1</v>
      </c>
      <c r="E4268" t="str">
        <f t="shared" si="1085"/>
        <v>Scorbot-ER9Pro Robot, Assembly and Quality Control (QC) Station</v>
      </c>
      <c r="F4268">
        <v>803</v>
      </c>
      <c r="G4268" t="str">
        <f t="shared" si="1079"/>
        <v>Y</v>
      </c>
      <c r="H4268" t="str">
        <f t="shared" si="1081"/>
        <v>EA</v>
      </c>
      <c r="I4268">
        <v>0</v>
      </c>
      <c r="J4268">
        <v>0</v>
      </c>
      <c r="K4268" t="str">
        <f t="shared" si="1080"/>
        <v>Y</v>
      </c>
      <c r="L4268">
        <v>0</v>
      </c>
      <c r="M4268" t="str">
        <f t="shared" si="1082"/>
        <v>NIS</v>
      </c>
      <c r="N4268" t="str">
        <f>"Y"</f>
        <v>Y</v>
      </c>
      <c r="O4268">
        <v>18</v>
      </c>
      <c r="P4268" t="str">
        <f t="shared" si="1086"/>
        <v>Active</v>
      </c>
      <c r="Q4268" t="str">
        <f>"Robotic Software for Controller USB Pro"</f>
        <v>Robotic Software for Controller USB Pro</v>
      </c>
      <c r="S4268" t="str">
        <f>"Robotic Software for Controller USB Pro"</f>
        <v>Robotic Software for Controller USB Pro</v>
      </c>
      <c r="T4268">
        <v>0</v>
      </c>
      <c r="U4268">
        <v>30</v>
      </c>
      <c r="V4268">
        <v>32.17</v>
      </c>
      <c r="W4268" t="str">
        <f t="shared" si="1072"/>
        <v>rob</v>
      </c>
    </row>
    <row r="4269" spans="1:23">
      <c r="A4269" t="str">
        <f t="shared" si="1084"/>
        <v>R9-04</v>
      </c>
      <c r="B4269" t="str">
        <f>"63-7000-1800"</f>
        <v>63-7000-1800</v>
      </c>
      <c r="C4269" t="str">
        <f>"License Key for RoboCell/SCORBASE USB Pro"</f>
        <v>License Key for RoboCell/SCORBASE USB Pro</v>
      </c>
      <c r="D4269">
        <v>1</v>
      </c>
      <c r="E4269" t="str">
        <f t="shared" si="1085"/>
        <v>Scorbot-ER9Pro Robot, Assembly and Quality Control (QC) Station</v>
      </c>
      <c r="F4269">
        <v>803</v>
      </c>
      <c r="G4269" t="str">
        <f t="shared" si="1079"/>
        <v>Y</v>
      </c>
      <c r="H4269" t="str">
        <f t="shared" si="1081"/>
        <v>EA</v>
      </c>
      <c r="I4269">
        <v>0</v>
      </c>
      <c r="J4269">
        <v>0</v>
      </c>
      <c r="K4269" t="str">
        <f t="shared" si="1080"/>
        <v>Y</v>
      </c>
      <c r="L4269">
        <v>0</v>
      </c>
      <c r="M4269" t="str">
        <f t="shared" si="1082"/>
        <v>NIS</v>
      </c>
      <c r="O4269">
        <v>19</v>
      </c>
      <c r="P4269" t="str">
        <f t="shared" si="1086"/>
        <v>Active</v>
      </c>
      <c r="Q4269" t="str">
        <f>"License Key for RoboCell/SCORBASE USB Pro"</f>
        <v>License Key for RoboCell/SCORBASE USB Pro</v>
      </c>
      <c r="R4269" t="str">
        <f>"1"</f>
        <v>1</v>
      </c>
      <c r="S4269" t="str">
        <f>"License Key for RoboCell/SCORBASE USB Pro"</f>
        <v>License Key for RoboCell/SCORBASE USB Pro</v>
      </c>
      <c r="T4269">
        <v>0</v>
      </c>
      <c r="U4269">
        <v>10</v>
      </c>
      <c r="V4269">
        <v>11.1</v>
      </c>
      <c r="W4269" t="str">
        <f t="shared" si="1072"/>
        <v>rob</v>
      </c>
    </row>
    <row r="4270" spans="1:23">
      <c r="A4270" t="str">
        <f>"R9-OPT 1"</f>
        <v>R9-OPT 1</v>
      </c>
      <c r="B4270" t="str">
        <f>"10-2116-7000"</f>
        <v>10-2116-7000</v>
      </c>
      <c r="C4270" t="str">
        <f>"Safety Shield 1500x885x,H=1040mm (Table 001249)"</f>
        <v>Safety Shield 1500x885x,H=1040mm (Table 001249)</v>
      </c>
      <c r="D4270">
        <v>1</v>
      </c>
      <c r="E4270" t="str">
        <f>"ROBOT Recommended (Optional) for Increased Safety"</f>
        <v>ROBOT Recommended (Optional) for Increased Safety</v>
      </c>
      <c r="F4270">
        <v>800</v>
      </c>
      <c r="G4270" t="str">
        <f t="shared" si="1079"/>
        <v>Y</v>
      </c>
      <c r="H4270" t="str">
        <f t="shared" si="1081"/>
        <v>EA</v>
      </c>
      <c r="I4270">
        <v>0</v>
      </c>
      <c r="J4270">
        <v>0</v>
      </c>
      <c r="K4270" t="str">
        <f t="shared" si="1080"/>
        <v>Y</v>
      </c>
      <c r="L4270">
        <v>0</v>
      </c>
      <c r="M4270" t="str">
        <f t="shared" si="1082"/>
        <v>NIS</v>
      </c>
      <c r="O4270">
        <v>1</v>
      </c>
      <c r="P4270" t="str">
        <f>"ECO-N2Buy"</f>
        <v>ECO-N2Buy</v>
      </c>
      <c r="Q4270" t="str">
        <f>"Safety Shield 1500x885x1040mm (Table 001249)"</f>
        <v>Safety Shield 1500x885x1040mm (Table 001249)</v>
      </c>
      <c r="S4270" t="str">
        <f>"Safety Shield 1500x885,H=1040mm (Table 001249)"</f>
        <v>Safety Shield 1500x885,H=1040mm (Table 001249)</v>
      </c>
      <c r="T4270">
        <v>0</v>
      </c>
      <c r="U4270" s="44">
        <v>1500</v>
      </c>
      <c r="V4270" s="44">
        <v>1043.8499999999999</v>
      </c>
      <c r="W4270" t="str">
        <f t="shared" si="1072"/>
        <v>rob</v>
      </c>
    </row>
    <row r="4271" spans="1:23">
      <c r="A4271" t="str">
        <f>"RAT-ER4U-1000"</f>
        <v>RAT-ER4U-1000</v>
      </c>
      <c r="B4271" t="str">
        <f>"00-0413-0000"</f>
        <v>00-0413-0000</v>
      </c>
      <c r="C4271" t="str">
        <f>"SCORBOT-ER 4u"</f>
        <v>SCORBOT-ER 4u</v>
      </c>
      <c r="D4271">
        <v>1</v>
      </c>
      <c r="E4271" t="str">
        <f>"Robotics Automation Technology Project, with ER4U &amp; all project accessories"</f>
        <v>Robotics Automation Technology Project, with ER4U &amp; all project accessories</v>
      </c>
      <c r="F4271">
        <v>0</v>
      </c>
      <c r="G4271" t="str">
        <f t="shared" si="1079"/>
        <v>Y</v>
      </c>
      <c r="H4271" t="str">
        <f t="shared" si="1081"/>
        <v>EA</v>
      </c>
      <c r="I4271">
        <v>0</v>
      </c>
      <c r="J4271">
        <v>0</v>
      </c>
      <c r="K4271" t="str">
        <f t="shared" si="1080"/>
        <v>Y</v>
      </c>
      <c r="L4271">
        <v>0</v>
      </c>
      <c r="M4271" t="str">
        <f t="shared" si="1082"/>
        <v>NIS</v>
      </c>
      <c r="O4271">
        <v>1</v>
      </c>
      <c r="P4271" t="str">
        <f t="shared" ref="P4271:P4302" si="1087">"Active"</f>
        <v>Active</v>
      </c>
      <c r="Q4271" t="str">
        <f>"SCORBOT-ER 4u (Package)"</f>
        <v>SCORBOT-ER 4u (Package)</v>
      </c>
      <c r="S4271" t="str">
        <f>"SCORBOT-ER 4u (Package)"</f>
        <v>SCORBOT-ER 4u (Package)</v>
      </c>
      <c r="T4271">
        <v>0</v>
      </c>
      <c r="U4271" s="44">
        <v>3200</v>
      </c>
      <c r="V4271" s="44">
        <v>3390.7</v>
      </c>
      <c r="W4271" t="str">
        <f t="shared" ref="W4271:W4302" si="1088">"zintel"</f>
        <v>zintel</v>
      </c>
    </row>
    <row r="4272" spans="1:23">
      <c r="A4272" t="str">
        <f>"RAT-ER4U-1000"</f>
        <v>RAT-ER4U-1000</v>
      </c>
      <c r="B4272" t="str">
        <f>"00-1020-0000"</f>
        <v>00-1020-0000</v>
      </c>
      <c r="C4272" t="str">
        <f>"LSB 1.0m, Belt, TT"</f>
        <v>LSB 1.0m, Belt, TT</v>
      </c>
      <c r="D4272">
        <v>1</v>
      </c>
      <c r="E4272" t="str">
        <f>"Robotics Automation Technology Project, with ER4U &amp; all project accessories"</f>
        <v>Robotics Automation Technology Project, with ER4U &amp; all project accessories</v>
      </c>
      <c r="F4272">
        <v>0</v>
      </c>
      <c r="G4272" t="str">
        <f t="shared" si="1079"/>
        <v>Y</v>
      </c>
      <c r="H4272" t="str">
        <f t="shared" si="1081"/>
        <v>EA</v>
      </c>
      <c r="I4272">
        <v>0</v>
      </c>
      <c r="J4272">
        <v>0</v>
      </c>
      <c r="K4272" t="str">
        <f t="shared" si="1080"/>
        <v>Y</v>
      </c>
      <c r="L4272">
        <v>0</v>
      </c>
      <c r="M4272" t="str">
        <f t="shared" si="1082"/>
        <v>NIS</v>
      </c>
      <c r="O4272">
        <v>2</v>
      </c>
      <c r="P4272" t="str">
        <f t="shared" si="1087"/>
        <v>Active</v>
      </c>
      <c r="Q4272" t="str">
        <f>"LSB 1.0m, Belt, Table-Top"</f>
        <v>LSB 1.0m, Belt, Table-Top</v>
      </c>
      <c r="S4272" t="str">
        <f>"LSB 1.0m, Belt, Table-Top"</f>
        <v>LSB 1.0m, Belt, Table-Top</v>
      </c>
      <c r="T4272">
        <v>0</v>
      </c>
      <c r="U4272" s="44">
        <v>1850</v>
      </c>
      <c r="V4272" s="44">
        <v>1739.55</v>
      </c>
      <c r="W4272" t="str">
        <f t="shared" si="1088"/>
        <v>zintel</v>
      </c>
    </row>
    <row r="4273" spans="1:23">
      <c r="A4273" t="str">
        <f>"RAT-ER4U-1000"</f>
        <v>RAT-ER4U-1000</v>
      </c>
      <c r="B4273" t="str">
        <f>"00-1710-0000"</f>
        <v>00-1710-0000</v>
      </c>
      <c r="C4273" t="str">
        <f>"Teach Pendant"</f>
        <v>Teach Pendant</v>
      </c>
      <c r="D4273">
        <v>1</v>
      </c>
      <c r="E4273" t="str">
        <f>"Robotics Automation Technology Project, with ER4U &amp; all project accessories"</f>
        <v>Robotics Automation Technology Project, with ER4U &amp; all project accessories</v>
      </c>
      <c r="F4273">
        <v>0</v>
      </c>
      <c r="G4273" t="str">
        <f t="shared" si="1079"/>
        <v>Y</v>
      </c>
      <c r="H4273" t="str">
        <f t="shared" si="1081"/>
        <v>EA</v>
      </c>
      <c r="I4273">
        <v>0</v>
      </c>
      <c r="J4273">
        <v>0</v>
      </c>
      <c r="K4273" t="str">
        <f t="shared" si="1080"/>
        <v>Y</v>
      </c>
      <c r="L4273">
        <v>0</v>
      </c>
      <c r="M4273" t="str">
        <f t="shared" si="1082"/>
        <v>NIS</v>
      </c>
      <c r="O4273">
        <v>3</v>
      </c>
      <c r="P4273" t="str">
        <f t="shared" si="1087"/>
        <v>Active</v>
      </c>
      <c r="Q4273" t="str">
        <f>"Teach Pendant for USB/USB Pro Controllers"</f>
        <v>Teach Pendant for USB/USB Pro Controllers</v>
      </c>
      <c r="S4273" t="str">
        <f>"Teach Pendant for USB/USB Pro Controllers"</f>
        <v>Teach Pendant for USB/USB Pro Controllers</v>
      </c>
      <c r="T4273">
        <v>0</v>
      </c>
      <c r="U4273">
        <v>160.18</v>
      </c>
      <c r="V4273">
        <v>161.44999999999999</v>
      </c>
      <c r="W4273" t="str">
        <f t="shared" si="1088"/>
        <v>zintel</v>
      </c>
    </row>
    <row r="4274" spans="1:23">
      <c r="A4274" t="str">
        <f>"RAT-ER4U-1000"</f>
        <v>RAT-ER4U-1000</v>
      </c>
      <c r="B4274" t="str">
        <f>"10-5803-0000"</f>
        <v>10-5803-0000</v>
      </c>
      <c r="C4274" t="str">
        <f>"Linear Conveyor-24V w/ Power Supply and Sensor"</f>
        <v>Linear Conveyor-24V w/ Power Supply and Sensor</v>
      </c>
      <c r="D4274">
        <v>1</v>
      </c>
      <c r="E4274" t="str">
        <f>"Robotics Automation Technology Project, with ER4U &amp; all project accessories"</f>
        <v>Robotics Automation Technology Project, with ER4U &amp; all project accessories</v>
      </c>
      <c r="F4274">
        <v>0</v>
      </c>
      <c r="G4274" t="str">
        <f t="shared" si="1079"/>
        <v>Y</v>
      </c>
      <c r="H4274" t="str">
        <f t="shared" si="1081"/>
        <v>EA</v>
      </c>
      <c r="I4274">
        <v>0</v>
      </c>
      <c r="J4274">
        <v>0</v>
      </c>
      <c r="K4274" t="str">
        <f t="shared" si="1080"/>
        <v>Y</v>
      </c>
      <c r="L4274">
        <v>0</v>
      </c>
      <c r="M4274" t="str">
        <f t="shared" si="1082"/>
        <v>NIS</v>
      </c>
      <c r="O4274">
        <v>4</v>
      </c>
      <c r="P4274" t="str">
        <f t="shared" si="1087"/>
        <v>Active</v>
      </c>
      <c r="Q4274" t="str">
        <f>"Linear Conveyor-24V w/ Power Supply and Sensor"</f>
        <v>Linear Conveyor-24V w/ Power Supply and Sensor</v>
      </c>
      <c r="S4274" t="str">
        <f>"Linear Conveyor-24V w/ Power Supply and Sensor"</f>
        <v>Linear Conveyor-24V w/ Power Supply and Sensor</v>
      </c>
      <c r="T4274" s="44">
        <v>1143.8499999999999</v>
      </c>
      <c r="U4274" s="44">
        <v>1086.06</v>
      </c>
      <c r="V4274" s="44">
        <v>1205.53</v>
      </c>
      <c r="W4274" t="str">
        <f t="shared" si="1088"/>
        <v>zintel</v>
      </c>
    </row>
    <row r="4275" spans="1:23">
      <c r="A4275" t="str">
        <f>"RAT-ER4U-1000"</f>
        <v>RAT-ER4U-1000</v>
      </c>
      <c r="B4275" t="str">
        <f>"77-7018-0001"</f>
        <v>77-7018-0001</v>
      </c>
      <c r="C4275" t="str">
        <f>"LM7 Content, Robotics &amp; Automation Project"</f>
        <v>LM7 Content, Robotics &amp; Automation Project</v>
      </c>
      <c r="D4275">
        <v>1</v>
      </c>
      <c r="E4275" t="str">
        <f>"Robotics Automation Technology Project, with ER4U &amp; all project accessories"</f>
        <v>Robotics Automation Technology Project, with ER4U &amp; all project accessories</v>
      </c>
      <c r="F4275">
        <v>0</v>
      </c>
      <c r="G4275" t="str">
        <f t="shared" si="1079"/>
        <v>Y</v>
      </c>
      <c r="H4275" t="str">
        <f t="shared" si="1081"/>
        <v>EA</v>
      </c>
      <c r="I4275">
        <v>0</v>
      </c>
      <c r="J4275">
        <v>0</v>
      </c>
      <c r="K4275" t="str">
        <f t="shared" si="1080"/>
        <v>Y</v>
      </c>
      <c r="L4275">
        <v>0</v>
      </c>
      <c r="M4275" t="str">
        <f t="shared" si="1082"/>
        <v>NIS</v>
      </c>
      <c r="O4275">
        <v>5</v>
      </c>
      <c r="P4275" t="str">
        <f t="shared" si="1087"/>
        <v>Active</v>
      </c>
      <c r="Q4275" t="str">
        <f>"LM7 Content, Robotics &amp; Automation Project"</f>
        <v>LM7 Content, Robotics &amp; Automation Project</v>
      </c>
      <c r="S4275" t="str">
        <f>"LM7 Content, Robotics &amp; Automation Project"</f>
        <v>LM7 Content, Robotics &amp; Automation Project</v>
      </c>
      <c r="T4275">
        <v>0</v>
      </c>
      <c r="U4275">
        <v>5</v>
      </c>
      <c r="V4275">
        <v>5</v>
      </c>
      <c r="W4275" t="str">
        <f t="shared" si="1088"/>
        <v>zintel</v>
      </c>
    </row>
    <row r="4276" spans="1:23">
      <c r="A4276" t="str">
        <f t="shared" ref="A4276:A4281" si="1089">"REC1-CURR-SEM1"</f>
        <v>REC1-CURR-SEM1</v>
      </c>
      <c r="B4276" t="str">
        <f>"77-8105-0000"</f>
        <v>77-8105-0000</v>
      </c>
      <c r="C4276" t="str">
        <f>"LM7 Content, Lab, REC 1, Cortex, TG"</f>
        <v>LM7 Content, Lab, REC 1, Cortex, TG</v>
      </c>
      <c r="D4276">
        <v>1</v>
      </c>
      <c r="E4276" t="str">
        <f t="shared" ref="E4276:E4281" si="1090">"REC1, Unit 1-3, LM 7.x, Curriculum only"</f>
        <v>REC1, Unit 1-3, LM 7.x, Curriculum only</v>
      </c>
      <c r="F4276">
        <v>0</v>
      </c>
      <c r="G4276" t="str">
        <f t="shared" si="1079"/>
        <v>Y</v>
      </c>
      <c r="H4276" t="str">
        <f t="shared" si="1081"/>
        <v>EA</v>
      </c>
      <c r="I4276">
        <v>0</v>
      </c>
      <c r="J4276">
        <v>0</v>
      </c>
      <c r="K4276" t="str">
        <f t="shared" si="1080"/>
        <v>Y</v>
      </c>
      <c r="L4276">
        <v>0</v>
      </c>
      <c r="M4276" t="str">
        <f t="shared" si="1082"/>
        <v>NIS</v>
      </c>
      <c r="N4276" t="str">
        <f>"Y"</f>
        <v>Y</v>
      </c>
      <c r="O4276">
        <v>1</v>
      </c>
      <c r="P4276" t="str">
        <f t="shared" si="1087"/>
        <v>Active</v>
      </c>
      <c r="Q4276" t="str">
        <f>"LM7 Content, Lab, REC 1, Cortex, TG"</f>
        <v>LM7 Content, Lab, REC 1, Cortex, TG</v>
      </c>
      <c r="S4276" t="str">
        <f>"LM7 Content, Lab, REC 1, Cortex, TG"</f>
        <v>LM7 Content, Lab, REC 1, Cortex, TG</v>
      </c>
      <c r="T4276">
        <v>0</v>
      </c>
      <c r="U4276">
        <v>5</v>
      </c>
      <c r="V4276">
        <v>0</v>
      </c>
      <c r="W4276" t="str">
        <f t="shared" si="1088"/>
        <v>zintel</v>
      </c>
    </row>
    <row r="4277" spans="1:23">
      <c r="A4277" t="str">
        <f t="shared" si="1089"/>
        <v>REC1-CURR-SEM1</v>
      </c>
      <c r="B4277" t="str">
        <f>"77-8105-0010"</f>
        <v>77-8105-0010</v>
      </c>
      <c r="C4277" t="str">
        <f>"LM7 Content, Lab, REC 1, Cortex, Unit 1"</f>
        <v>LM7 Content, Lab, REC 1, Cortex, Unit 1</v>
      </c>
      <c r="D4277">
        <v>1</v>
      </c>
      <c r="E4277" t="str">
        <f t="shared" si="1090"/>
        <v>REC1, Unit 1-3, LM 7.x, Curriculum only</v>
      </c>
      <c r="F4277">
        <v>0</v>
      </c>
      <c r="G4277" t="str">
        <f t="shared" si="1079"/>
        <v>Y</v>
      </c>
      <c r="H4277" t="str">
        <f t="shared" si="1081"/>
        <v>EA</v>
      </c>
      <c r="I4277">
        <v>0</v>
      </c>
      <c r="J4277">
        <v>0</v>
      </c>
      <c r="K4277" t="str">
        <f t="shared" si="1080"/>
        <v>Y</v>
      </c>
      <c r="L4277">
        <v>0</v>
      </c>
      <c r="M4277" t="str">
        <f t="shared" si="1082"/>
        <v>NIS</v>
      </c>
      <c r="N4277" t="str">
        <f>"Y"</f>
        <v>Y</v>
      </c>
      <c r="O4277">
        <v>2</v>
      </c>
      <c r="P4277" t="str">
        <f t="shared" si="1087"/>
        <v>Active</v>
      </c>
      <c r="Q4277" t="str">
        <f>"LM7 Content, Lab, REC 1, Cortex, Unit 1"</f>
        <v>LM7 Content, Lab, REC 1, Cortex, Unit 1</v>
      </c>
      <c r="S4277" t="str">
        <f>"LM7 Content, Lab, REC 1, Cortex, Unit 1"</f>
        <v>LM7 Content, Lab, REC 1, Cortex, Unit 1</v>
      </c>
      <c r="T4277">
        <v>0</v>
      </c>
      <c r="U4277">
        <v>5</v>
      </c>
      <c r="V4277">
        <v>5</v>
      </c>
      <c r="W4277" t="str">
        <f t="shared" si="1088"/>
        <v>zintel</v>
      </c>
    </row>
    <row r="4278" spans="1:23">
      <c r="A4278" t="str">
        <f t="shared" si="1089"/>
        <v>REC1-CURR-SEM1</v>
      </c>
      <c r="B4278" t="str">
        <f>"77-8105-0020"</f>
        <v>77-8105-0020</v>
      </c>
      <c r="C4278" t="str">
        <f>"LM7 Content, Lab, REC 1, Cortex, Unit 2"</f>
        <v>LM7 Content, Lab, REC 1, Cortex, Unit 2</v>
      </c>
      <c r="D4278">
        <v>1</v>
      </c>
      <c r="E4278" t="str">
        <f t="shared" si="1090"/>
        <v>REC1, Unit 1-3, LM 7.x, Curriculum only</v>
      </c>
      <c r="F4278">
        <v>0</v>
      </c>
      <c r="G4278" t="str">
        <f t="shared" si="1079"/>
        <v>Y</v>
      </c>
      <c r="H4278" t="str">
        <f t="shared" si="1081"/>
        <v>EA</v>
      </c>
      <c r="I4278">
        <v>0</v>
      </c>
      <c r="J4278">
        <v>0</v>
      </c>
      <c r="K4278" t="str">
        <f t="shared" si="1080"/>
        <v>Y</v>
      </c>
      <c r="L4278">
        <v>0</v>
      </c>
      <c r="M4278" t="str">
        <f t="shared" si="1082"/>
        <v>NIS</v>
      </c>
      <c r="N4278" t="str">
        <f>"Y"</f>
        <v>Y</v>
      </c>
      <c r="O4278">
        <v>3</v>
      </c>
      <c r="P4278" t="str">
        <f t="shared" si="1087"/>
        <v>Active</v>
      </c>
      <c r="Q4278" t="str">
        <f>"LM7 Content, Lab, REC 1, Cortex, Unit 2"</f>
        <v>LM7 Content, Lab, REC 1, Cortex, Unit 2</v>
      </c>
      <c r="S4278" t="str">
        <f>"LM7 Content, Lab, REC 1, Cortex, Unit 2"</f>
        <v>LM7 Content, Lab, REC 1, Cortex, Unit 2</v>
      </c>
      <c r="T4278">
        <v>0</v>
      </c>
      <c r="U4278">
        <v>5</v>
      </c>
      <c r="V4278">
        <v>5</v>
      </c>
      <c r="W4278" t="str">
        <f t="shared" si="1088"/>
        <v>zintel</v>
      </c>
    </row>
    <row r="4279" spans="1:23">
      <c r="A4279" t="str">
        <f t="shared" si="1089"/>
        <v>REC1-CURR-SEM1</v>
      </c>
      <c r="B4279" t="str">
        <f>"77-8105-0030"</f>
        <v>77-8105-0030</v>
      </c>
      <c r="C4279" t="str">
        <f>"LM7 Content, Lab, REC 1, Cortex, Unit 3"</f>
        <v>LM7 Content, Lab, REC 1, Cortex, Unit 3</v>
      </c>
      <c r="D4279">
        <v>1</v>
      </c>
      <c r="E4279" t="str">
        <f t="shared" si="1090"/>
        <v>REC1, Unit 1-3, LM 7.x, Curriculum only</v>
      </c>
      <c r="F4279">
        <v>0</v>
      </c>
      <c r="G4279" t="str">
        <f t="shared" si="1079"/>
        <v>Y</v>
      </c>
      <c r="H4279" t="str">
        <f t="shared" si="1081"/>
        <v>EA</v>
      </c>
      <c r="I4279">
        <v>0</v>
      </c>
      <c r="J4279">
        <v>0</v>
      </c>
      <c r="K4279" t="str">
        <f t="shared" si="1080"/>
        <v>Y</v>
      </c>
      <c r="L4279">
        <v>0</v>
      </c>
      <c r="M4279" t="str">
        <f t="shared" si="1082"/>
        <v>NIS</v>
      </c>
      <c r="N4279" t="str">
        <f>"Y"</f>
        <v>Y</v>
      </c>
      <c r="O4279">
        <v>4</v>
      </c>
      <c r="P4279" t="str">
        <f t="shared" si="1087"/>
        <v>Active</v>
      </c>
      <c r="Q4279" t="str">
        <f>"LM7 Content, Lab, REC 1, Cortex, Unit 3"</f>
        <v>LM7 Content, Lab, REC 1, Cortex, Unit 3</v>
      </c>
      <c r="S4279" t="str">
        <f>"LM7 Content, Lab, REC 1, Cortex, Unit 3"</f>
        <v>LM7 Content, Lab, REC 1, Cortex, Unit 3</v>
      </c>
      <c r="T4279">
        <v>0</v>
      </c>
      <c r="U4279">
        <v>5</v>
      </c>
      <c r="V4279">
        <v>5</v>
      </c>
      <c r="W4279" t="str">
        <f t="shared" si="1088"/>
        <v>zintel</v>
      </c>
    </row>
    <row r="4280" spans="1:23">
      <c r="A4280" t="str">
        <f t="shared" si="1089"/>
        <v>REC1-CURR-SEM1</v>
      </c>
      <c r="B4280" t="str">
        <f>"77-8105-0100"</f>
        <v>77-8105-0100</v>
      </c>
      <c r="C4280" t="str">
        <f>"LM7 Content, Lab, REC 1, Cortex, Semester 1 TG"</f>
        <v>LM7 Content, Lab, REC 1, Cortex, Semester 1 TG</v>
      </c>
      <c r="D4280">
        <v>1</v>
      </c>
      <c r="E4280" t="str">
        <f t="shared" si="1090"/>
        <v>REC1, Unit 1-3, LM 7.x, Curriculum only</v>
      </c>
      <c r="F4280">
        <v>0</v>
      </c>
      <c r="G4280" t="str">
        <f t="shared" si="1079"/>
        <v>Y</v>
      </c>
      <c r="H4280" t="str">
        <f t="shared" si="1081"/>
        <v>EA</v>
      </c>
      <c r="I4280">
        <v>0</v>
      </c>
      <c r="J4280">
        <v>0</v>
      </c>
      <c r="K4280" t="str">
        <f t="shared" si="1080"/>
        <v>Y</v>
      </c>
      <c r="L4280">
        <v>0</v>
      </c>
      <c r="M4280" t="str">
        <f t="shared" si="1082"/>
        <v>NIS</v>
      </c>
      <c r="N4280" t="str">
        <f>"Y"</f>
        <v>Y</v>
      </c>
      <c r="O4280">
        <v>5</v>
      </c>
      <c r="P4280" t="str">
        <f t="shared" si="1087"/>
        <v>Active</v>
      </c>
      <c r="Q4280" t="str">
        <f>"LM7 Content, Lab, REC 1, Cortex, Semester 1 TG"</f>
        <v>LM7 Content, Lab, REC 1, Cortex, Semester 1 TG</v>
      </c>
      <c r="S4280" t="str">
        <f>"LM7 Content, Lab, REC 1, Cortex, Semester 1 TG"</f>
        <v>LM7 Content, Lab, REC 1, Cortex, Semester 1 TG</v>
      </c>
      <c r="T4280">
        <v>0</v>
      </c>
      <c r="U4280">
        <v>5</v>
      </c>
      <c r="V4280">
        <v>0</v>
      </c>
      <c r="W4280" t="str">
        <f t="shared" si="1088"/>
        <v>zintel</v>
      </c>
    </row>
    <row r="4281" spans="1:23">
      <c r="A4281" t="str">
        <f t="shared" si="1089"/>
        <v>REC1-CURR-SEM1</v>
      </c>
      <c r="B4281" t="str">
        <f>"77-8105-1000"</f>
        <v>77-8105-1000</v>
      </c>
      <c r="C4281" t="str">
        <f>"LM7 Content, Lab, REC 1 Semester 1, For Cortex"</f>
        <v>LM7 Content, Lab, REC 1 Semester 1, For Cortex</v>
      </c>
      <c r="D4281">
        <v>1</v>
      </c>
      <c r="E4281" t="str">
        <f t="shared" si="1090"/>
        <v>REC1, Unit 1-3, LM 7.x, Curriculum only</v>
      </c>
      <c r="F4281">
        <v>0</v>
      </c>
      <c r="G4281" t="str">
        <f t="shared" si="1079"/>
        <v>Y</v>
      </c>
      <c r="H4281" t="str">
        <f t="shared" si="1081"/>
        <v>EA</v>
      </c>
      <c r="I4281">
        <v>0</v>
      </c>
      <c r="J4281">
        <v>0</v>
      </c>
      <c r="K4281" t="str">
        <f t="shared" si="1080"/>
        <v>Y</v>
      </c>
      <c r="L4281">
        <v>0</v>
      </c>
      <c r="M4281" t="str">
        <f t="shared" si="1082"/>
        <v>NIS</v>
      </c>
      <c r="O4281">
        <v>6</v>
      </c>
      <c r="P4281" t="str">
        <f t="shared" si="1087"/>
        <v>Active</v>
      </c>
      <c r="Q4281" t="str">
        <f>"LM7 Content, Lab, REC 1 Semester 1, For Cortex"</f>
        <v>LM7 Content, Lab, REC 1 Semester 1, For Cortex</v>
      </c>
      <c r="S4281" t="str">
        <f>"LM7 Content, Lab, REC 1 Semester 1, For Cortex"</f>
        <v>LM7 Content, Lab, REC 1 Semester 1, For Cortex</v>
      </c>
      <c r="T4281">
        <v>0</v>
      </c>
      <c r="U4281">
        <v>5</v>
      </c>
      <c r="V4281">
        <v>5</v>
      </c>
      <c r="W4281" t="str">
        <f t="shared" si="1088"/>
        <v>zintel</v>
      </c>
    </row>
    <row r="4282" spans="1:23">
      <c r="A4282" t="str">
        <f>"REC1-CURR-SEM2"</f>
        <v>REC1-CURR-SEM2</v>
      </c>
      <c r="B4282" t="str">
        <f>"77-8105-0040"</f>
        <v>77-8105-0040</v>
      </c>
      <c r="C4282" t="str">
        <f>"LM7 Content, Lab, REC 1, Cortex, Unit 4"</f>
        <v>LM7 Content, Lab, REC 1, Cortex, Unit 4</v>
      </c>
      <c r="D4282">
        <v>1</v>
      </c>
      <c r="E4282" t="str">
        <f>"REC1, Unit 4-6, LM 7.x, Curriculum only"</f>
        <v>REC1, Unit 4-6, LM 7.x, Curriculum only</v>
      </c>
      <c r="F4282">
        <v>0</v>
      </c>
      <c r="G4282" t="str">
        <f t="shared" si="1079"/>
        <v>Y</v>
      </c>
      <c r="H4282" t="str">
        <f t="shared" si="1081"/>
        <v>EA</v>
      </c>
      <c r="I4282">
        <v>0</v>
      </c>
      <c r="J4282">
        <v>0</v>
      </c>
      <c r="K4282" t="str">
        <f t="shared" si="1080"/>
        <v>Y</v>
      </c>
      <c r="L4282">
        <v>0</v>
      </c>
      <c r="M4282" t="str">
        <f t="shared" si="1082"/>
        <v>NIS</v>
      </c>
      <c r="N4282" t="str">
        <f>"Y"</f>
        <v>Y</v>
      </c>
      <c r="O4282">
        <v>1</v>
      </c>
      <c r="P4282" t="str">
        <f t="shared" si="1087"/>
        <v>Active</v>
      </c>
      <c r="Q4282" t="str">
        <f>"LM7 Content, Lab, REC 1, Cortex, Unit 4"</f>
        <v>LM7 Content, Lab, REC 1, Cortex, Unit 4</v>
      </c>
      <c r="S4282" t="str">
        <f>"LM7 Content, Lab, REC 1, Cortex, Unit 4"</f>
        <v>LM7 Content, Lab, REC 1, Cortex, Unit 4</v>
      </c>
      <c r="T4282">
        <v>0</v>
      </c>
      <c r="U4282">
        <v>5</v>
      </c>
      <c r="V4282">
        <v>5</v>
      </c>
      <c r="W4282" t="str">
        <f t="shared" si="1088"/>
        <v>zintel</v>
      </c>
    </row>
    <row r="4283" spans="1:23">
      <c r="A4283" t="str">
        <f>"REC1-CURR-SEM2"</f>
        <v>REC1-CURR-SEM2</v>
      </c>
      <c r="B4283" t="str">
        <f>"77-8105-0050"</f>
        <v>77-8105-0050</v>
      </c>
      <c r="C4283" t="str">
        <f>"LM7 Content, Lab, REC 1, Cortex, Unit 5"</f>
        <v>LM7 Content, Lab, REC 1, Cortex, Unit 5</v>
      </c>
      <c r="D4283">
        <v>1</v>
      </c>
      <c r="E4283" t="str">
        <f>"REC1, Unit 4-6, LM 7.x, Curriculum only"</f>
        <v>REC1, Unit 4-6, LM 7.x, Curriculum only</v>
      </c>
      <c r="F4283">
        <v>0</v>
      </c>
      <c r="G4283" t="str">
        <f t="shared" si="1079"/>
        <v>Y</v>
      </c>
      <c r="H4283" t="str">
        <f t="shared" si="1081"/>
        <v>EA</v>
      </c>
      <c r="I4283">
        <v>0</v>
      </c>
      <c r="J4283">
        <v>0</v>
      </c>
      <c r="K4283" t="str">
        <f t="shared" si="1080"/>
        <v>Y</v>
      </c>
      <c r="L4283">
        <v>0</v>
      </c>
      <c r="M4283" t="str">
        <f t="shared" si="1082"/>
        <v>NIS</v>
      </c>
      <c r="N4283" t="str">
        <f>"Y"</f>
        <v>Y</v>
      </c>
      <c r="O4283">
        <v>2</v>
      </c>
      <c r="P4283" t="str">
        <f t="shared" si="1087"/>
        <v>Active</v>
      </c>
      <c r="Q4283" t="str">
        <f>"LM7 Content, Lab, REC 1, Cortex, Unit 5"</f>
        <v>LM7 Content, Lab, REC 1, Cortex, Unit 5</v>
      </c>
      <c r="S4283" t="str">
        <f>"LM7 Content, Lab, REC 1, Cortex, Unit 5"</f>
        <v>LM7 Content, Lab, REC 1, Cortex, Unit 5</v>
      </c>
      <c r="T4283">
        <v>0</v>
      </c>
      <c r="U4283">
        <v>5</v>
      </c>
      <c r="V4283">
        <v>5</v>
      </c>
      <c r="W4283" t="str">
        <f t="shared" si="1088"/>
        <v>zintel</v>
      </c>
    </row>
    <row r="4284" spans="1:23">
      <c r="A4284" t="str">
        <f>"REC1-CURR-SEM2"</f>
        <v>REC1-CURR-SEM2</v>
      </c>
      <c r="B4284" t="str">
        <f>"77-8105-0060"</f>
        <v>77-8105-0060</v>
      </c>
      <c r="C4284" t="str">
        <f>"LM7 Content, Lab, REC 1, Cortex, Unit 6"</f>
        <v>LM7 Content, Lab, REC 1, Cortex, Unit 6</v>
      </c>
      <c r="D4284">
        <v>1</v>
      </c>
      <c r="E4284" t="str">
        <f>"REC1, Unit 4-6, LM 7.x, Curriculum only"</f>
        <v>REC1, Unit 4-6, LM 7.x, Curriculum only</v>
      </c>
      <c r="F4284">
        <v>0</v>
      </c>
      <c r="G4284" t="str">
        <f t="shared" si="1079"/>
        <v>Y</v>
      </c>
      <c r="H4284" t="str">
        <f t="shared" si="1081"/>
        <v>EA</v>
      </c>
      <c r="I4284">
        <v>0</v>
      </c>
      <c r="J4284">
        <v>0</v>
      </c>
      <c r="K4284" t="str">
        <f t="shared" si="1080"/>
        <v>Y</v>
      </c>
      <c r="L4284">
        <v>0</v>
      </c>
      <c r="M4284" t="str">
        <f t="shared" si="1082"/>
        <v>NIS</v>
      </c>
      <c r="N4284" t="str">
        <f>"Y"</f>
        <v>Y</v>
      </c>
      <c r="O4284">
        <v>3</v>
      </c>
      <c r="P4284" t="str">
        <f t="shared" si="1087"/>
        <v>Active</v>
      </c>
      <c r="Q4284" t="str">
        <f>"LM7 Content, Lab, REC 1, Cortex, Unit 6"</f>
        <v>LM7 Content, Lab, REC 1, Cortex, Unit 6</v>
      </c>
      <c r="S4284" t="str">
        <f>"LM7 Content, Lab, REC 1, Cortex, Unit 6"</f>
        <v>LM7 Content, Lab, REC 1, Cortex, Unit 6</v>
      </c>
      <c r="T4284">
        <v>0</v>
      </c>
      <c r="U4284">
        <v>5</v>
      </c>
      <c r="V4284">
        <v>5</v>
      </c>
      <c r="W4284" t="str">
        <f t="shared" si="1088"/>
        <v>zintel</v>
      </c>
    </row>
    <row r="4285" spans="1:23">
      <c r="A4285" t="str">
        <f>"REC1-CURR-SEM2"</f>
        <v>REC1-CURR-SEM2</v>
      </c>
      <c r="B4285" t="str">
        <f>"77-8105-0200"</f>
        <v>77-8105-0200</v>
      </c>
      <c r="C4285" t="str">
        <f>"LM7 Content, Lab, REC 1, Cortex, Semester 2 TG"</f>
        <v>LM7 Content, Lab, REC 1, Cortex, Semester 2 TG</v>
      </c>
      <c r="D4285">
        <v>1</v>
      </c>
      <c r="E4285" t="str">
        <f>"REC1, Unit 4-6, LM 7.x, Curriculum only"</f>
        <v>REC1, Unit 4-6, LM 7.x, Curriculum only</v>
      </c>
      <c r="F4285">
        <v>0</v>
      </c>
      <c r="G4285" t="str">
        <f t="shared" si="1079"/>
        <v>Y</v>
      </c>
      <c r="H4285" t="str">
        <f t="shared" si="1081"/>
        <v>EA</v>
      </c>
      <c r="I4285">
        <v>0</v>
      </c>
      <c r="J4285">
        <v>0</v>
      </c>
      <c r="K4285" t="str">
        <f t="shared" si="1080"/>
        <v>Y</v>
      </c>
      <c r="L4285">
        <v>0</v>
      </c>
      <c r="M4285" t="str">
        <f t="shared" si="1082"/>
        <v>NIS</v>
      </c>
      <c r="N4285" t="str">
        <f>"Y"</f>
        <v>Y</v>
      </c>
      <c r="O4285">
        <v>4</v>
      </c>
      <c r="P4285" t="str">
        <f t="shared" si="1087"/>
        <v>Active</v>
      </c>
      <c r="Q4285" t="str">
        <f>"LM7 Content, Lab, REC 1, Cortex, Semester 2 TG"</f>
        <v>LM7 Content, Lab, REC 1, Cortex, Semester 2 TG</v>
      </c>
      <c r="S4285" t="str">
        <f>"LM7 Content, Lab, REC 1, Cortex, Semester 2 TG"</f>
        <v>LM7 Content, Lab, REC 1, Cortex, Semester 2 TG</v>
      </c>
      <c r="T4285">
        <v>0</v>
      </c>
      <c r="U4285">
        <v>5</v>
      </c>
      <c r="V4285">
        <v>0</v>
      </c>
      <c r="W4285" t="str">
        <f t="shared" si="1088"/>
        <v>zintel</v>
      </c>
    </row>
    <row r="4286" spans="1:23">
      <c r="A4286" t="str">
        <f>"REC1-CURR-SEM2"</f>
        <v>REC1-CURR-SEM2</v>
      </c>
      <c r="B4286" t="str">
        <f>"77-8105-2000"</f>
        <v>77-8105-2000</v>
      </c>
      <c r="C4286" t="str">
        <f>"LM7 Content, Lab, REC 1 Semester 2, For Cortex"</f>
        <v>LM7 Content, Lab, REC 1 Semester 2, For Cortex</v>
      </c>
      <c r="D4286">
        <v>1</v>
      </c>
      <c r="E4286" t="str">
        <f>"REC1, Unit 4-6, LM 7.x, Curriculum only"</f>
        <v>REC1, Unit 4-6, LM 7.x, Curriculum only</v>
      </c>
      <c r="F4286">
        <v>0</v>
      </c>
      <c r="G4286" t="str">
        <f t="shared" si="1079"/>
        <v>Y</v>
      </c>
      <c r="H4286" t="str">
        <f t="shared" si="1081"/>
        <v>EA</v>
      </c>
      <c r="I4286">
        <v>0</v>
      </c>
      <c r="J4286">
        <v>0</v>
      </c>
      <c r="K4286" t="str">
        <f t="shared" si="1080"/>
        <v>Y</v>
      </c>
      <c r="L4286">
        <v>0</v>
      </c>
      <c r="M4286" t="str">
        <f t="shared" si="1082"/>
        <v>NIS</v>
      </c>
      <c r="O4286">
        <v>5</v>
      </c>
      <c r="P4286" t="str">
        <f t="shared" si="1087"/>
        <v>Active</v>
      </c>
      <c r="Q4286" t="str">
        <f>"LM7 Content, Lab, REC 1 Semester 2, For Cortex"</f>
        <v>LM7 Content, Lab, REC 1 Semester 2, For Cortex</v>
      </c>
      <c r="S4286" t="str">
        <f>"LM7 Content, Lab, REC 1 Semester 2, For Cortex"</f>
        <v>LM7 Content, Lab, REC 1 Semester 2, For Cortex</v>
      </c>
      <c r="T4286">
        <v>0</v>
      </c>
      <c r="U4286">
        <v>5</v>
      </c>
      <c r="V4286">
        <v>5</v>
      </c>
      <c r="W4286" t="str">
        <f t="shared" si="1088"/>
        <v>zintel</v>
      </c>
    </row>
    <row r="4287" spans="1:23">
      <c r="A4287" t="str">
        <f t="shared" ref="A4287:A4300" si="1091">"REC1-FULL-0010"</f>
        <v>REC1-FULL-0010</v>
      </c>
      <c r="B4287" t="str">
        <f>"77-8105-0000"</f>
        <v>77-8105-0000</v>
      </c>
      <c r="C4287" t="str">
        <f>"LM7 Content, Lab, REC 1, Cortex, TG"</f>
        <v>LM7 Content, Lab, REC 1, Cortex, TG</v>
      </c>
      <c r="D4287">
        <v>1</v>
      </c>
      <c r="E4287" t="str">
        <f t="shared" ref="E4287:E4300" si="1092">"REC1, Unit 1-6, LM 7.x, 10 student"</f>
        <v>REC1, Unit 1-6, LM 7.x, 10 student</v>
      </c>
      <c r="F4287">
        <v>0</v>
      </c>
      <c r="G4287" t="str">
        <f t="shared" si="1079"/>
        <v>Y</v>
      </c>
      <c r="H4287" t="str">
        <f t="shared" si="1081"/>
        <v>EA</v>
      </c>
      <c r="I4287">
        <v>0</v>
      </c>
      <c r="J4287">
        <v>0</v>
      </c>
      <c r="K4287" t="str">
        <f t="shared" si="1080"/>
        <v>Y</v>
      </c>
      <c r="L4287">
        <v>0</v>
      </c>
      <c r="M4287" t="str">
        <f t="shared" si="1082"/>
        <v>NIS</v>
      </c>
      <c r="N4287" t="str">
        <f t="shared" ref="N4287:N4293" si="1093">"Y"</f>
        <v>Y</v>
      </c>
      <c r="O4287">
        <v>1</v>
      </c>
      <c r="P4287" t="str">
        <f t="shared" si="1087"/>
        <v>Active</v>
      </c>
      <c r="Q4287" t="str">
        <f>"LM7 Content, Lab, REC 1, Cortex, TG"</f>
        <v>LM7 Content, Lab, REC 1, Cortex, TG</v>
      </c>
      <c r="S4287" t="str">
        <f>"LM7 Content, Lab, REC 1, Cortex, TG"</f>
        <v>LM7 Content, Lab, REC 1, Cortex, TG</v>
      </c>
      <c r="T4287">
        <v>0</v>
      </c>
      <c r="U4287">
        <v>5</v>
      </c>
      <c r="V4287">
        <v>0</v>
      </c>
      <c r="W4287" t="str">
        <f t="shared" si="1088"/>
        <v>zintel</v>
      </c>
    </row>
    <row r="4288" spans="1:23">
      <c r="A4288" t="str">
        <f t="shared" si="1091"/>
        <v>REC1-FULL-0010</v>
      </c>
      <c r="B4288" t="str">
        <f>"77-8105-0010"</f>
        <v>77-8105-0010</v>
      </c>
      <c r="C4288" t="str">
        <f>"LM7 Content, Lab, REC 1, Cortex, Unit 1"</f>
        <v>LM7 Content, Lab, REC 1, Cortex, Unit 1</v>
      </c>
      <c r="D4288">
        <v>1</v>
      </c>
      <c r="E4288" t="str">
        <f t="shared" si="1092"/>
        <v>REC1, Unit 1-6, LM 7.x, 10 student</v>
      </c>
      <c r="F4288">
        <v>0</v>
      </c>
      <c r="G4288" t="str">
        <f t="shared" si="1079"/>
        <v>Y</v>
      </c>
      <c r="H4288" t="str">
        <f t="shared" si="1081"/>
        <v>EA</v>
      </c>
      <c r="I4288">
        <v>0</v>
      </c>
      <c r="J4288">
        <v>0</v>
      </c>
      <c r="K4288" t="str">
        <f t="shared" si="1080"/>
        <v>Y</v>
      </c>
      <c r="L4288">
        <v>0</v>
      </c>
      <c r="M4288" t="str">
        <f t="shared" si="1082"/>
        <v>NIS</v>
      </c>
      <c r="N4288" t="str">
        <f t="shared" si="1093"/>
        <v>Y</v>
      </c>
      <c r="O4288">
        <v>2</v>
      </c>
      <c r="P4288" t="str">
        <f t="shared" si="1087"/>
        <v>Active</v>
      </c>
      <c r="Q4288" t="str">
        <f>"LM7 Content, Lab, REC 1, Cortex, Unit 1"</f>
        <v>LM7 Content, Lab, REC 1, Cortex, Unit 1</v>
      </c>
      <c r="S4288" t="str">
        <f>"LM7 Content, Lab, REC 1, Cortex, Unit 1"</f>
        <v>LM7 Content, Lab, REC 1, Cortex, Unit 1</v>
      </c>
      <c r="T4288">
        <v>0</v>
      </c>
      <c r="U4288">
        <v>5</v>
      </c>
      <c r="V4288">
        <v>5</v>
      </c>
      <c r="W4288" t="str">
        <f t="shared" si="1088"/>
        <v>zintel</v>
      </c>
    </row>
    <row r="4289" spans="1:23">
      <c r="A4289" t="str">
        <f t="shared" si="1091"/>
        <v>REC1-FULL-0010</v>
      </c>
      <c r="B4289" t="str">
        <f>"77-8105-0020"</f>
        <v>77-8105-0020</v>
      </c>
      <c r="C4289" t="str">
        <f>"LM7 Content, Lab, REC 1, Cortex, Unit 2"</f>
        <v>LM7 Content, Lab, REC 1, Cortex, Unit 2</v>
      </c>
      <c r="D4289">
        <v>1</v>
      </c>
      <c r="E4289" t="str">
        <f t="shared" si="1092"/>
        <v>REC1, Unit 1-6, LM 7.x, 10 student</v>
      </c>
      <c r="F4289">
        <v>0</v>
      </c>
      <c r="G4289" t="str">
        <f t="shared" si="1079"/>
        <v>Y</v>
      </c>
      <c r="H4289" t="str">
        <f t="shared" si="1081"/>
        <v>EA</v>
      </c>
      <c r="I4289">
        <v>0</v>
      </c>
      <c r="J4289">
        <v>0</v>
      </c>
      <c r="K4289" t="str">
        <f t="shared" si="1080"/>
        <v>Y</v>
      </c>
      <c r="L4289">
        <v>0</v>
      </c>
      <c r="M4289" t="str">
        <f t="shared" si="1082"/>
        <v>NIS</v>
      </c>
      <c r="N4289" t="str">
        <f t="shared" si="1093"/>
        <v>Y</v>
      </c>
      <c r="O4289">
        <v>3</v>
      </c>
      <c r="P4289" t="str">
        <f t="shared" si="1087"/>
        <v>Active</v>
      </c>
      <c r="Q4289" t="str">
        <f>"LM7 Content, Lab, REC 1, Cortex, Unit 2"</f>
        <v>LM7 Content, Lab, REC 1, Cortex, Unit 2</v>
      </c>
      <c r="S4289" t="str">
        <f>"LM7 Content, Lab, REC 1, Cortex, Unit 2"</f>
        <v>LM7 Content, Lab, REC 1, Cortex, Unit 2</v>
      </c>
      <c r="T4289">
        <v>0</v>
      </c>
      <c r="U4289">
        <v>5</v>
      </c>
      <c r="V4289">
        <v>5</v>
      </c>
      <c r="W4289" t="str">
        <f t="shared" si="1088"/>
        <v>zintel</v>
      </c>
    </row>
    <row r="4290" spans="1:23">
      <c r="A4290" t="str">
        <f t="shared" si="1091"/>
        <v>REC1-FULL-0010</v>
      </c>
      <c r="B4290" t="str">
        <f>"77-8105-0030"</f>
        <v>77-8105-0030</v>
      </c>
      <c r="C4290" t="str">
        <f>"LM7 Content, Lab, REC 1, Cortex, Unit 3"</f>
        <v>LM7 Content, Lab, REC 1, Cortex, Unit 3</v>
      </c>
      <c r="D4290">
        <v>1</v>
      </c>
      <c r="E4290" t="str">
        <f t="shared" si="1092"/>
        <v>REC1, Unit 1-6, LM 7.x, 10 student</v>
      </c>
      <c r="F4290">
        <v>0</v>
      </c>
      <c r="G4290" t="str">
        <f t="shared" ref="G4290:G4353" si="1094">"Y"</f>
        <v>Y</v>
      </c>
      <c r="H4290" t="str">
        <f t="shared" si="1081"/>
        <v>EA</v>
      </c>
      <c r="I4290">
        <v>0</v>
      </c>
      <c r="J4290">
        <v>0</v>
      </c>
      <c r="K4290" t="str">
        <f t="shared" ref="K4290:K4353" si="1095">"Y"</f>
        <v>Y</v>
      </c>
      <c r="L4290">
        <v>0</v>
      </c>
      <c r="M4290" t="str">
        <f t="shared" si="1082"/>
        <v>NIS</v>
      </c>
      <c r="N4290" t="str">
        <f t="shared" si="1093"/>
        <v>Y</v>
      </c>
      <c r="O4290">
        <v>4</v>
      </c>
      <c r="P4290" t="str">
        <f t="shared" si="1087"/>
        <v>Active</v>
      </c>
      <c r="Q4290" t="str">
        <f>"LM7 Content, Lab, REC 1, Cortex, Unit 3"</f>
        <v>LM7 Content, Lab, REC 1, Cortex, Unit 3</v>
      </c>
      <c r="S4290" t="str">
        <f>"LM7 Content, Lab, REC 1, Cortex, Unit 3"</f>
        <v>LM7 Content, Lab, REC 1, Cortex, Unit 3</v>
      </c>
      <c r="T4290">
        <v>0</v>
      </c>
      <c r="U4290">
        <v>5</v>
      </c>
      <c r="V4290">
        <v>5</v>
      </c>
      <c r="W4290" t="str">
        <f t="shared" si="1088"/>
        <v>zintel</v>
      </c>
    </row>
    <row r="4291" spans="1:23">
      <c r="A4291" t="str">
        <f t="shared" si="1091"/>
        <v>REC1-FULL-0010</v>
      </c>
      <c r="B4291" t="str">
        <f>"77-8105-0040"</f>
        <v>77-8105-0040</v>
      </c>
      <c r="C4291" t="str">
        <f>"LM7 Content, Lab, REC 1, Cortex, Unit 4"</f>
        <v>LM7 Content, Lab, REC 1, Cortex, Unit 4</v>
      </c>
      <c r="D4291">
        <v>1</v>
      </c>
      <c r="E4291" t="str">
        <f t="shared" si="1092"/>
        <v>REC1, Unit 1-6, LM 7.x, 10 student</v>
      </c>
      <c r="F4291">
        <v>0</v>
      </c>
      <c r="G4291" t="str">
        <f t="shared" si="1094"/>
        <v>Y</v>
      </c>
      <c r="H4291" t="str">
        <f t="shared" si="1081"/>
        <v>EA</v>
      </c>
      <c r="I4291">
        <v>0</v>
      </c>
      <c r="J4291">
        <v>0</v>
      </c>
      <c r="K4291" t="str">
        <f t="shared" si="1095"/>
        <v>Y</v>
      </c>
      <c r="L4291">
        <v>0</v>
      </c>
      <c r="M4291" t="str">
        <f t="shared" si="1082"/>
        <v>NIS</v>
      </c>
      <c r="N4291" t="str">
        <f t="shared" si="1093"/>
        <v>Y</v>
      </c>
      <c r="O4291">
        <v>5</v>
      </c>
      <c r="P4291" t="str">
        <f t="shared" si="1087"/>
        <v>Active</v>
      </c>
      <c r="Q4291" t="str">
        <f>"LM7 Content, Lab, REC 1, Cortex, Unit 4"</f>
        <v>LM7 Content, Lab, REC 1, Cortex, Unit 4</v>
      </c>
      <c r="S4291" t="str">
        <f>"LM7 Content, Lab, REC 1, Cortex, Unit 4"</f>
        <v>LM7 Content, Lab, REC 1, Cortex, Unit 4</v>
      </c>
      <c r="T4291">
        <v>0</v>
      </c>
      <c r="U4291">
        <v>5</v>
      </c>
      <c r="V4291">
        <v>5</v>
      </c>
      <c r="W4291" t="str">
        <f t="shared" si="1088"/>
        <v>zintel</v>
      </c>
    </row>
    <row r="4292" spans="1:23">
      <c r="A4292" t="str">
        <f t="shared" si="1091"/>
        <v>REC1-FULL-0010</v>
      </c>
      <c r="B4292" t="str">
        <f>"77-8105-0050"</f>
        <v>77-8105-0050</v>
      </c>
      <c r="C4292" t="str">
        <f>"LM7 Content, Lab, REC 1, Cortex, Unit 5"</f>
        <v>LM7 Content, Lab, REC 1, Cortex, Unit 5</v>
      </c>
      <c r="D4292">
        <v>1</v>
      </c>
      <c r="E4292" t="str">
        <f t="shared" si="1092"/>
        <v>REC1, Unit 1-6, LM 7.x, 10 student</v>
      </c>
      <c r="F4292">
        <v>0</v>
      </c>
      <c r="G4292" t="str">
        <f t="shared" si="1094"/>
        <v>Y</v>
      </c>
      <c r="H4292" t="str">
        <f t="shared" si="1081"/>
        <v>EA</v>
      </c>
      <c r="I4292">
        <v>0</v>
      </c>
      <c r="J4292">
        <v>0</v>
      </c>
      <c r="K4292" t="str">
        <f t="shared" si="1095"/>
        <v>Y</v>
      </c>
      <c r="L4292">
        <v>0</v>
      </c>
      <c r="M4292" t="str">
        <f t="shared" si="1082"/>
        <v>NIS</v>
      </c>
      <c r="N4292" t="str">
        <f t="shared" si="1093"/>
        <v>Y</v>
      </c>
      <c r="O4292">
        <v>6</v>
      </c>
      <c r="P4292" t="str">
        <f t="shared" si="1087"/>
        <v>Active</v>
      </c>
      <c r="Q4292" t="str">
        <f>"LM7 Content, Lab, REC 1, Cortex, Unit 5"</f>
        <v>LM7 Content, Lab, REC 1, Cortex, Unit 5</v>
      </c>
      <c r="S4292" t="str">
        <f>"LM7 Content, Lab, REC 1, Cortex, Unit 5"</f>
        <v>LM7 Content, Lab, REC 1, Cortex, Unit 5</v>
      </c>
      <c r="T4292">
        <v>0</v>
      </c>
      <c r="U4292">
        <v>5</v>
      </c>
      <c r="V4292">
        <v>5</v>
      </c>
      <c r="W4292" t="str">
        <f t="shared" si="1088"/>
        <v>zintel</v>
      </c>
    </row>
    <row r="4293" spans="1:23">
      <c r="A4293" t="str">
        <f t="shared" si="1091"/>
        <v>REC1-FULL-0010</v>
      </c>
      <c r="B4293" t="str">
        <f>"77-8105-0060"</f>
        <v>77-8105-0060</v>
      </c>
      <c r="C4293" t="str">
        <f>"LM7 Content, Lab, REC 1, Cortex, Unit 6"</f>
        <v>LM7 Content, Lab, REC 1, Cortex, Unit 6</v>
      </c>
      <c r="D4293">
        <v>1</v>
      </c>
      <c r="E4293" t="str">
        <f t="shared" si="1092"/>
        <v>REC1, Unit 1-6, LM 7.x, 10 student</v>
      </c>
      <c r="F4293">
        <v>0</v>
      </c>
      <c r="G4293" t="str">
        <f t="shared" si="1094"/>
        <v>Y</v>
      </c>
      <c r="H4293" t="str">
        <f t="shared" si="1081"/>
        <v>EA</v>
      </c>
      <c r="I4293">
        <v>0</v>
      </c>
      <c r="J4293">
        <v>0</v>
      </c>
      <c r="K4293" t="str">
        <f t="shared" si="1095"/>
        <v>Y</v>
      </c>
      <c r="L4293">
        <v>0</v>
      </c>
      <c r="M4293" t="str">
        <f t="shared" si="1082"/>
        <v>NIS</v>
      </c>
      <c r="N4293" t="str">
        <f t="shared" si="1093"/>
        <v>Y</v>
      </c>
      <c r="O4293">
        <v>7</v>
      </c>
      <c r="P4293" t="str">
        <f t="shared" si="1087"/>
        <v>Active</v>
      </c>
      <c r="Q4293" t="str">
        <f>"LM7 Content, Lab, REC 1, Cortex, Unit 6"</f>
        <v>LM7 Content, Lab, REC 1, Cortex, Unit 6</v>
      </c>
      <c r="S4293" t="str">
        <f>"LM7 Content, Lab, REC 1, Cortex, Unit 6"</f>
        <v>LM7 Content, Lab, REC 1, Cortex, Unit 6</v>
      </c>
      <c r="T4293">
        <v>0</v>
      </c>
      <c r="U4293">
        <v>5</v>
      </c>
      <c r="V4293">
        <v>5</v>
      </c>
      <c r="W4293" t="str">
        <f t="shared" si="1088"/>
        <v>zintel</v>
      </c>
    </row>
    <row r="4294" spans="1:23">
      <c r="A4294" t="str">
        <f t="shared" si="1091"/>
        <v>REC1-FULL-0010</v>
      </c>
      <c r="B4294" t="str">
        <f>"270-1905"</f>
        <v>270-1905</v>
      </c>
      <c r="C4294" t="str">
        <f>"VEX, REC 1 Bundle Kit, Cortex"</f>
        <v>VEX, REC 1 Bundle Kit, Cortex</v>
      </c>
      <c r="D4294">
        <v>6</v>
      </c>
      <c r="E4294" t="str">
        <f t="shared" si="1092"/>
        <v>REC1, Unit 1-6, LM 7.x, 10 student</v>
      </c>
      <c r="F4294">
        <v>0</v>
      </c>
      <c r="G4294" t="str">
        <f t="shared" si="1094"/>
        <v>Y</v>
      </c>
      <c r="H4294" t="str">
        <f t="shared" si="1081"/>
        <v>EA</v>
      </c>
      <c r="I4294">
        <v>0</v>
      </c>
      <c r="J4294">
        <v>0</v>
      </c>
      <c r="K4294" t="str">
        <f t="shared" si="1095"/>
        <v>Y</v>
      </c>
      <c r="L4294">
        <v>0</v>
      </c>
      <c r="M4294" t="str">
        <f t="shared" si="1082"/>
        <v>NIS</v>
      </c>
      <c r="O4294">
        <v>9</v>
      </c>
      <c r="P4294" t="str">
        <f t="shared" si="1087"/>
        <v>Active</v>
      </c>
      <c r="Q4294" t="str">
        <f>"VEX, REC 1 Bundle Kit, Cortex"</f>
        <v>VEX, REC 1 Bundle Kit, Cortex</v>
      </c>
      <c r="S4294" t="str">
        <f>"VEX, REC 1 Bundle Kit, Cortex"</f>
        <v>VEX, REC 1 Bundle Kit, Cortex</v>
      </c>
      <c r="T4294">
        <v>487.29</v>
      </c>
      <c r="U4294">
        <v>515.33000000000004</v>
      </c>
      <c r="V4294">
        <v>585.46</v>
      </c>
      <c r="W4294" t="str">
        <f t="shared" si="1088"/>
        <v>zintel</v>
      </c>
    </row>
    <row r="4295" spans="1:23">
      <c r="A4295" t="str">
        <f t="shared" si="1091"/>
        <v>REC1-FULL-0010</v>
      </c>
      <c r="B4295" t="str">
        <f>"63-2060-5010"</f>
        <v>63-2060-5010</v>
      </c>
      <c r="C4295" t="str">
        <f>"EasyC V5.x, Perpetual, 10 student"</f>
        <v>EasyC V5.x, Perpetual, 10 student</v>
      </c>
      <c r="D4295">
        <v>1</v>
      </c>
      <c r="E4295" t="str">
        <f t="shared" si="1092"/>
        <v>REC1, Unit 1-6, LM 7.x, 10 student</v>
      </c>
      <c r="F4295">
        <v>0</v>
      </c>
      <c r="G4295" t="str">
        <f t="shared" si="1094"/>
        <v>Y</v>
      </c>
      <c r="H4295" t="str">
        <f t="shared" si="1081"/>
        <v>EA</v>
      </c>
      <c r="I4295">
        <v>0</v>
      </c>
      <c r="J4295">
        <v>0</v>
      </c>
      <c r="K4295" t="str">
        <f t="shared" si="1095"/>
        <v>Y</v>
      </c>
      <c r="L4295">
        <v>0</v>
      </c>
      <c r="M4295" t="str">
        <f t="shared" si="1082"/>
        <v>NIS</v>
      </c>
      <c r="O4295">
        <v>10</v>
      </c>
      <c r="P4295" t="str">
        <f t="shared" si="1087"/>
        <v>Active</v>
      </c>
      <c r="Q4295" t="str">
        <f>"EasyC V5.x, Perpetual, 10 student"</f>
        <v>EasyC V5.x, Perpetual, 10 student</v>
      </c>
      <c r="S4295" t="str">
        <f>"EasyC V5.x, Perpetual, 10 student"</f>
        <v>EasyC V5.x, Perpetual, 10 student</v>
      </c>
      <c r="T4295">
        <v>0</v>
      </c>
      <c r="U4295">
        <v>10</v>
      </c>
      <c r="V4295">
        <v>10.3</v>
      </c>
      <c r="W4295" t="str">
        <f t="shared" si="1088"/>
        <v>zintel</v>
      </c>
    </row>
    <row r="4296" spans="1:23">
      <c r="A4296" t="str">
        <f t="shared" si="1091"/>
        <v>REC1-FULL-0010</v>
      </c>
      <c r="B4296" t="str">
        <f>"63-2060-5001"</f>
        <v>63-2060-5001</v>
      </c>
      <c r="C4296" t="str">
        <f>"EasyC V5.x, Perpetual, 1 student"</f>
        <v>EasyC V5.x, Perpetual, 1 student</v>
      </c>
      <c r="D4296">
        <v>1</v>
      </c>
      <c r="E4296" t="str">
        <f t="shared" si="1092"/>
        <v>REC1, Unit 1-6, LM 7.x, 10 student</v>
      </c>
      <c r="F4296">
        <v>0</v>
      </c>
      <c r="G4296" t="str">
        <f t="shared" si="1094"/>
        <v>Y</v>
      </c>
      <c r="H4296" t="str">
        <f t="shared" si="1081"/>
        <v>EA</v>
      </c>
      <c r="I4296">
        <v>0</v>
      </c>
      <c r="J4296">
        <v>0</v>
      </c>
      <c r="K4296" t="str">
        <f t="shared" si="1095"/>
        <v>Y</v>
      </c>
      <c r="L4296">
        <v>0</v>
      </c>
      <c r="M4296" t="str">
        <f t="shared" si="1082"/>
        <v>NIS</v>
      </c>
      <c r="O4296">
        <v>11</v>
      </c>
      <c r="P4296" t="str">
        <f t="shared" si="1087"/>
        <v>Active</v>
      </c>
      <c r="Q4296" t="str">
        <f>"EasyC V5.x, Perpetual, 1 student"</f>
        <v>EasyC V5.x, Perpetual, 1 student</v>
      </c>
      <c r="S4296" t="str">
        <f>"EasyC V5.x, Perpetual, 1 student"</f>
        <v>EasyC V5.x, Perpetual, 1 student</v>
      </c>
      <c r="T4296">
        <v>0</v>
      </c>
      <c r="U4296">
        <v>10</v>
      </c>
      <c r="V4296">
        <v>10.3</v>
      </c>
      <c r="W4296" t="str">
        <f t="shared" si="1088"/>
        <v>zintel</v>
      </c>
    </row>
    <row r="4297" spans="1:23">
      <c r="A4297" t="str">
        <f t="shared" si="1091"/>
        <v>REC1-FULL-0010</v>
      </c>
      <c r="B4297" t="str">
        <f>"77-8105-0100"</f>
        <v>77-8105-0100</v>
      </c>
      <c r="C4297" t="str">
        <f>"LM7 Content, Lab, REC 1, Cortex, Semester 1 TG"</f>
        <v>LM7 Content, Lab, REC 1, Cortex, Semester 1 TG</v>
      </c>
      <c r="D4297">
        <v>1</v>
      </c>
      <c r="E4297" t="str">
        <f t="shared" si="1092"/>
        <v>REC1, Unit 1-6, LM 7.x, 10 student</v>
      </c>
      <c r="F4297">
        <v>0</v>
      </c>
      <c r="G4297" t="str">
        <f t="shared" si="1094"/>
        <v>Y</v>
      </c>
      <c r="H4297" t="str">
        <f t="shared" si="1081"/>
        <v>EA</v>
      </c>
      <c r="I4297">
        <v>0</v>
      </c>
      <c r="J4297">
        <v>0</v>
      </c>
      <c r="K4297" t="str">
        <f t="shared" si="1095"/>
        <v>Y</v>
      </c>
      <c r="L4297">
        <v>0</v>
      </c>
      <c r="M4297" t="str">
        <f t="shared" si="1082"/>
        <v>NIS</v>
      </c>
      <c r="N4297" t="str">
        <f>"Y"</f>
        <v>Y</v>
      </c>
      <c r="O4297">
        <v>12</v>
      </c>
      <c r="P4297" t="str">
        <f t="shared" si="1087"/>
        <v>Active</v>
      </c>
      <c r="Q4297" t="str">
        <f>"LM7 Content, Lab, REC 1, Cortex, Semester 1 TG"</f>
        <v>LM7 Content, Lab, REC 1, Cortex, Semester 1 TG</v>
      </c>
      <c r="S4297" t="str">
        <f>"LM7 Content, Lab, REC 1, Cortex, Semester 1 TG"</f>
        <v>LM7 Content, Lab, REC 1, Cortex, Semester 1 TG</v>
      </c>
      <c r="T4297">
        <v>0</v>
      </c>
      <c r="U4297">
        <v>5</v>
      </c>
      <c r="V4297">
        <v>0</v>
      </c>
      <c r="W4297" t="str">
        <f t="shared" si="1088"/>
        <v>zintel</v>
      </c>
    </row>
    <row r="4298" spans="1:23">
      <c r="A4298" t="str">
        <f t="shared" si="1091"/>
        <v>REC1-FULL-0010</v>
      </c>
      <c r="B4298" t="str">
        <f>"77-8105-0200"</f>
        <v>77-8105-0200</v>
      </c>
      <c r="C4298" t="str">
        <f>"LM7 Content, Lab, REC 1, Cortex, Semester 2 TG"</f>
        <v>LM7 Content, Lab, REC 1, Cortex, Semester 2 TG</v>
      </c>
      <c r="D4298">
        <v>1</v>
      </c>
      <c r="E4298" t="str">
        <f t="shared" si="1092"/>
        <v>REC1, Unit 1-6, LM 7.x, 10 student</v>
      </c>
      <c r="F4298">
        <v>0</v>
      </c>
      <c r="G4298" t="str">
        <f t="shared" si="1094"/>
        <v>Y</v>
      </c>
      <c r="H4298" t="str">
        <f t="shared" si="1081"/>
        <v>EA</v>
      </c>
      <c r="I4298">
        <v>0</v>
      </c>
      <c r="J4298">
        <v>0</v>
      </c>
      <c r="K4298" t="str">
        <f t="shared" si="1095"/>
        <v>Y</v>
      </c>
      <c r="L4298">
        <v>0</v>
      </c>
      <c r="M4298" t="str">
        <f t="shared" si="1082"/>
        <v>NIS</v>
      </c>
      <c r="N4298" t="str">
        <f>"Y"</f>
        <v>Y</v>
      </c>
      <c r="O4298">
        <v>13</v>
      </c>
      <c r="P4298" t="str">
        <f t="shared" si="1087"/>
        <v>Active</v>
      </c>
      <c r="Q4298" t="str">
        <f>"LM7 Content, Lab, REC 1, Cortex, Semester 2 TG"</f>
        <v>LM7 Content, Lab, REC 1, Cortex, Semester 2 TG</v>
      </c>
      <c r="S4298" t="str">
        <f>"LM7 Content, Lab, REC 1, Cortex, Semester 2 TG"</f>
        <v>LM7 Content, Lab, REC 1, Cortex, Semester 2 TG</v>
      </c>
      <c r="T4298">
        <v>0</v>
      </c>
      <c r="U4298">
        <v>5</v>
      </c>
      <c r="V4298">
        <v>0</v>
      </c>
      <c r="W4298" t="str">
        <f t="shared" si="1088"/>
        <v>zintel</v>
      </c>
    </row>
    <row r="4299" spans="1:23">
      <c r="A4299" t="str">
        <f t="shared" si="1091"/>
        <v>REC1-FULL-0010</v>
      </c>
      <c r="B4299" t="str">
        <f>"77-8105-1000"</f>
        <v>77-8105-1000</v>
      </c>
      <c r="C4299" t="str">
        <f>"LM7 Content, Lab, REC 1 Semester 1, For Cortex"</f>
        <v>LM7 Content, Lab, REC 1 Semester 1, For Cortex</v>
      </c>
      <c r="D4299">
        <v>1</v>
      </c>
      <c r="E4299" t="str">
        <f t="shared" si="1092"/>
        <v>REC1, Unit 1-6, LM 7.x, 10 student</v>
      </c>
      <c r="F4299">
        <v>0</v>
      </c>
      <c r="G4299" t="str">
        <f t="shared" si="1094"/>
        <v>Y</v>
      </c>
      <c r="H4299" t="str">
        <f t="shared" ref="H4299:H4362" si="1096">"EA"</f>
        <v>EA</v>
      </c>
      <c r="I4299">
        <v>0</v>
      </c>
      <c r="J4299">
        <v>0</v>
      </c>
      <c r="K4299" t="str">
        <f t="shared" si="1095"/>
        <v>Y</v>
      </c>
      <c r="L4299">
        <v>0</v>
      </c>
      <c r="M4299" t="str">
        <f t="shared" si="1082"/>
        <v>NIS</v>
      </c>
      <c r="O4299">
        <v>14</v>
      </c>
      <c r="P4299" t="str">
        <f t="shared" si="1087"/>
        <v>Active</v>
      </c>
      <c r="Q4299" t="str">
        <f>"LM7 Content, Lab, REC 1 Semester 1, For Cortex"</f>
        <v>LM7 Content, Lab, REC 1 Semester 1, For Cortex</v>
      </c>
      <c r="S4299" t="str">
        <f>"LM7 Content, Lab, REC 1 Semester 1, For Cortex"</f>
        <v>LM7 Content, Lab, REC 1 Semester 1, For Cortex</v>
      </c>
      <c r="T4299">
        <v>0</v>
      </c>
      <c r="U4299">
        <v>5</v>
      </c>
      <c r="V4299">
        <v>5</v>
      </c>
      <c r="W4299" t="str">
        <f t="shared" si="1088"/>
        <v>zintel</v>
      </c>
    </row>
    <row r="4300" spans="1:23">
      <c r="A4300" t="str">
        <f t="shared" si="1091"/>
        <v>REC1-FULL-0010</v>
      </c>
      <c r="B4300" t="str">
        <f>"77-8105-2000"</f>
        <v>77-8105-2000</v>
      </c>
      <c r="C4300" t="str">
        <f>"LM7 Content, Lab, REC 1 Semester 2, For Cortex"</f>
        <v>LM7 Content, Lab, REC 1 Semester 2, For Cortex</v>
      </c>
      <c r="D4300">
        <v>1</v>
      </c>
      <c r="E4300" t="str">
        <f t="shared" si="1092"/>
        <v>REC1, Unit 1-6, LM 7.x, 10 student</v>
      </c>
      <c r="F4300">
        <v>0</v>
      </c>
      <c r="G4300" t="str">
        <f t="shared" si="1094"/>
        <v>Y</v>
      </c>
      <c r="H4300" t="str">
        <f t="shared" si="1096"/>
        <v>EA</v>
      </c>
      <c r="I4300">
        <v>0</v>
      </c>
      <c r="J4300">
        <v>0</v>
      </c>
      <c r="K4300" t="str">
        <f t="shared" si="1095"/>
        <v>Y</v>
      </c>
      <c r="L4300">
        <v>0</v>
      </c>
      <c r="M4300" t="str">
        <f t="shared" si="1082"/>
        <v>NIS</v>
      </c>
      <c r="O4300">
        <v>15</v>
      </c>
      <c r="P4300" t="str">
        <f t="shared" si="1087"/>
        <v>Active</v>
      </c>
      <c r="Q4300" t="str">
        <f>"LM7 Content, Lab, REC 1 Semester 2, For Cortex"</f>
        <v>LM7 Content, Lab, REC 1 Semester 2, For Cortex</v>
      </c>
      <c r="S4300" t="str">
        <f>"LM7 Content, Lab, REC 1 Semester 2, For Cortex"</f>
        <v>LM7 Content, Lab, REC 1 Semester 2, For Cortex</v>
      </c>
      <c r="T4300">
        <v>0</v>
      </c>
      <c r="U4300">
        <v>5</v>
      </c>
      <c r="V4300">
        <v>5</v>
      </c>
      <c r="W4300" t="str">
        <f t="shared" si="1088"/>
        <v>zintel</v>
      </c>
    </row>
    <row r="4301" spans="1:23">
      <c r="A4301" t="str">
        <f t="shared" ref="A4301:A4314" si="1097">"REC1-FULL-0020"</f>
        <v>REC1-FULL-0020</v>
      </c>
      <c r="B4301" t="str">
        <f>"77-8105-0000"</f>
        <v>77-8105-0000</v>
      </c>
      <c r="C4301" t="str">
        <f>"LM7 Content, Lab, REC 1, Cortex, TG"</f>
        <v>LM7 Content, Lab, REC 1, Cortex, TG</v>
      </c>
      <c r="D4301">
        <v>1</v>
      </c>
      <c r="E4301" t="str">
        <f t="shared" ref="E4301:E4314" si="1098">"REC1, Unit 1-6, LM 7.x, 20 student"</f>
        <v>REC1, Unit 1-6, LM 7.x, 20 student</v>
      </c>
      <c r="F4301">
        <v>0</v>
      </c>
      <c r="G4301" t="str">
        <f t="shared" si="1094"/>
        <v>Y</v>
      </c>
      <c r="H4301" t="str">
        <f t="shared" si="1096"/>
        <v>EA</v>
      </c>
      <c r="I4301">
        <v>0</v>
      </c>
      <c r="J4301">
        <v>0</v>
      </c>
      <c r="K4301" t="str">
        <f t="shared" si="1095"/>
        <v>Y</v>
      </c>
      <c r="L4301">
        <v>0</v>
      </c>
      <c r="M4301" t="str">
        <f t="shared" si="1082"/>
        <v>NIS</v>
      </c>
      <c r="N4301" t="str">
        <f t="shared" ref="N4301:N4307" si="1099">"Y"</f>
        <v>Y</v>
      </c>
      <c r="O4301">
        <v>1</v>
      </c>
      <c r="P4301" t="str">
        <f t="shared" si="1087"/>
        <v>Active</v>
      </c>
      <c r="Q4301" t="str">
        <f>"LM7 Content, Lab, REC 1, Cortex, TG"</f>
        <v>LM7 Content, Lab, REC 1, Cortex, TG</v>
      </c>
      <c r="S4301" t="str">
        <f>"LM7 Content, Lab, REC 1, Cortex, TG"</f>
        <v>LM7 Content, Lab, REC 1, Cortex, TG</v>
      </c>
      <c r="T4301">
        <v>0</v>
      </c>
      <c r="U4301">
        <v>5</v>
      </c>
      <c r="V4301">
        <v>0</v>
      </c>
      <c r="W4301" t="str">
        <f t="shared" si="1088"/>
        <v>zintel</v>
      </c>
    </row>
    <row r="4302" spans="1:23">
      <c r="A4302" t="str">
        <f t="shared" si="1097"/>
        <v>REC1-FULL-0020</v>
      </c>
      <c r="B4302" t="str">
        <f>"77-8105-0010"</f>
        <v>77-8105-0010</v>
      </c>
      <c r="C4302" t="str">
        <f>"LM7 Content, Lab, REC 1, Cortex, Unit 1"</f>
        <v>LM7 Content, Lab, REC 1, Cortex, Unit 1</v>
      </c>
      <c r="D4302">
        <v>1</v>
      </c>
      <c r="E4302" t="str">
        <f t="shared" si="1098"/>
        <v>REC1, Unit 1-6, LM 7.x, 20 student</v>
      </c>
      <c r="F4302">
        <v>0</v>
      </c>
      <c r="G4302" t="str">
        <f t="shared" si="1094"/>
        <v>Y</v>
      </c>
      <c r="H4302" t="str">
        <f t="shared" si="1096"/>
        <v>EA</v>
      </c>
      <c r="I4302">
        <v>0</v>
      </c>
      <c r="J4302">
        <v>0</v>
      </c>
      <c r="K4302" t="str">
        <f t="shared" si="1095"/>
        <v>Y</v>
      </c>
      <c r="L4302">
        <v>0</v>
      </c>
      <c r="M4302" t="str">
        <f t="shared" si="1082"/>
        <v>NIS</v>
      </c>
      <c r="N4302" t="str">
        <f t="shared" si="1099"/>
        <v>Y</v>
      </c>
      <c r="O4302">
        <v>2</v>
      </c>
      <c r="P4302" t="str">
        <f t="shared" si="1087"/>
        <v>Active</v>
      </c>
      <c r="Q4302" t="str">
        <f>"LM7 Content, Lab, REC 1, Cortex, Unit 1"</f>
        <v>LM7 Content, Lab, REC 1, Cortex, Unit 1</v>
      </c>
      <c r="S4302" t="str">
        <f>"LM7 Content, Lab, REC 1, Cortex, Unit 1"</f>
        <v>LM7 Content, Lab, REC 1, Cortex, Unit 1</v>
      </c>
      <c r="T4302">
        <v>0</v>
      </c>
      <c r="U4302">
        <v>5</v>
      </c>
      <c r="V4302">
        <v>5</v>
      </c>
      <c r="W4302" t="str">
        <f t="shared" si="1088"/>
        <v>zintel</v>
      </c>
    </row>
    <row r="4303" spans="1:23">
      <c r="A4303" t="str">
        <f t="shared" si="1097"/>
        <v>REC1-FULL-0020</v>
      </c>
      <c r="B4303" t="str">
        <f>"77-8105-0020"</f>
        <v>77-8105-0020</v>
      </c>
      <c r="C4303" t="str">
        <f>"LM7 Content, Lab, REC 1, Cortex, Unit 2"</f>
        <v>LM7 Content, Lab, REC 1, Cortex, Unit 2</v>
      </c>
      <c r="D4303">
        <v>1</v>
      </c>
      <c r="E4303" t="str">
        <f t="shared" si="1098"/>
        <v>REC1, Unit 1-6, LM 7.x, 20 student</v>
      </c>
      <c r="F4303">
        <v>0</v>
      </c>
      <c r="G4303" t="str">
        <f t="shared" si="1094"/>
        <v>Y</v>
      </c>
      <c r="H4303" t="str">
        <f t="shared" si="1096"/>
        <v>EA</v>
      </c>
      <c r="I4303">
        <v>0</v>
      </c>
      <c r="J4303">
        <v>0</v>
      </c>
      <c r="K4303" t="str">
        <f t="shared" si="1095"/>
        <v>Y</v>
      </c>
      <c r="L4303">
        <v>0</v>
      </c>
      <c r="M4303" t="str">
        <f t="shared" si="1082"/>
        <v>NIS</v>
      </c>
      <c r="N4303" t="str">
        <f t="shared" si="1099"/>
        <v>Y</v>
      </c>
      <c r="O4303">
        <v>3</v>
      </c>
      <c r="P4303" t="str">
        <f t="shared" ref="P4303:P4332" si="1100">"Active"</f>
        <v>Active</v>
      </c>
      <c r="Q4303" t="str">
        <f>"LM7 Content, Lab, REC 1, Cortex, Unit 2"</f>
        <v>LM7 Content, Lab, REC 1, Cortex, Unit 2</v>
      </c>
      <c r="S4303" t="str">
        <f>"LM7 Content, Lab, REC 1, Cortex, Unit 2"</f>
        <v>LM7 Content, Lab, REC 1, Cortex, Unit 2</v>
      </c>
      <c r="T4303">
        <v>0</v>
      </c>
      <c r="U4303">
        <v>5</v>
      </c>
      <c r="V4303">
        <v>5</v>
      </c>
      <c r="W4303" t="str">
        <f t="shared" ref="W4303:W4334" si="1101">"zintel"</f>
        <v>zintel</v>
      </c>
    </row>
    <row r="4304" spans="1:23">
      <c r="A4304" t="str">
        <f t="shared" si="1097"/>
        <v>REC1-FULL-0020</v>
      </c>
      <c r="B4304" t="str">
        <f>"77-8105-0030"</f>
        <v>77-8105-0030</v>
      </c>
      <c r="C4304" t="str">
        <f>"LM7 Content, Lab, REC 1, Cortex, Unit 3"</f>
        <v>LM7 Content, Lab, REC 1, Cortex, Unit 3</v>
      </c>
      <c r="D4304">
        <v>1</v>
      </c>
      <c r="E4304" t="str">
        <f t="shared" si="1098"/>
        <v>REC1, Unit 1-6, LM 7.x, 20 student</v>
      </c>
      <c r="F4304">
        <v>0</v>
      </c>
      <c r="G4304" t="str">
        <f t="shared" si="1094"/>
        <v>Y</v>
      </c>
      <c r="H4304" t="str">
        <f t="shared" si="1096"/>
        <v>EA</v>
      </c>
      <c r="I4304">
        <v>0</v>
      </c>
      <c r="J4304">
        <v>0</v>
      </c>
      <c r="K4304" t="str">
        <f t="shared" si="1095"/>
        <v>Y</v>
      </c>
      <c r="L4304">
        <v>0</v>
      </c>
      <c r="M4304" t="str">
        <f t="shared" si="1082"/>
        <v>NIS</v>
      </c>
      <c r="N4304" t="str">
        <f t="shared" si="1099"/>
        <v>Y</v>
      </c>
      <c r="O4304">
        <v>4</v>
      </c>
      <c r="P4304" t="str">
        <f t="shared" si="1100"/>
        <v>Active</v>
      </c>
      <c r="Q4304" t="str">
        <f>"LM7 Content, Lab, REC 1, Cortex, Unit 3"</f>
        <v>LM7 Content, Lab, REC 1, Cortex, Unit 3</v>
      </c>
      <c r="S4304" t="str">
        <f>"LM7 Content, Lab, REC 1, Cortex, Unit 3"</f>
        <v>LM7 Content, Lab, REC 1, Cortex, Unit 3</v>
      </c>
      <c r="T4304">
        <v>0</v>
      </c>
      <c r="U4304">
        <v>5</v>
      </c>
      <c r="V4304">
        <v>5</v>
      </c>
      <c r="W4304" t="str">
        <f t="shared" si="1101"/>
        <v>zintel</v>
      </c>
    </row>
    <row r="4305" spans="1:23">
      <c r="A4305" t="str">
        <f t="shared" si="1097"/>
        <v>REC1-FULL-0020</v>
      </c>
      <c r="B4305" t="str">
        <f>"77-8105-0040"</f>
        <v>77-8105-0040</v>
      </c>
      <c r="C4305" t="str">
        <f>"LM7 Content, Lab, REC 1, Cortex, Unit 4"</f>
        <v>LM7 Content, Lab, REC 1, Cortex, Unit 4</v>
      </c>
      <c r="D4305">
        <v>1</v>
      </c>
      <c r="E4305" t="str">
        <f t="shared" si="1098"/>
        <v>REC1, Unit 1-6, LM 7.x, 20 student</v>
      </c>
      <c r="F4305">
        <v>0</v>
      </c>
      <c r="G4305" t="str">
        <f t="shared" si="1094"/>
        <v>Y</v>
      </c>
      <c r="H4305" t="str">
        <f t="shared" si="1096"/>
        <v>EA</v>
      </c>
      <c r="I4305">
        <v>0</v>
      </c>
      <c r="J4305">
        <v>0</v>
      </c>
      <c r="K4305" t="str">
        <f t="shared" si="1095"/>
        <v>Y</v>
      </c>
      <c r="L4305">
        <v>0</v>
      </c>
      <c r="M4305" t="str">
        <f t="shared" si="1082"/>
        <v>NIS</v>
      </c>
      <c r="N4305" t="str">
        <f t="shared" si="1099"/>
        <v>Y</v>
      </c>
      <c r="O4305">
        <v>5</v>
      </c>
      <c r="P4305" t="str">
        <f t="shared" si="1100"/>
        <v>Active</v>
      </c>
      <c r="Q4305" t="str">
        <f>"LM7 Content, Lab, REC 1, Cortex, Unit 4"</f>
        <v>LM7 Content, Lab, REC 1, Cortex, Unit 4</v>
      </c>
      <c r="S4305" t="str">
        <f>"LM7 Content, Lab, REC 1, Cortex, Unit 4"</f>
        <v>LM7 Content, Lab, REC 1, Cortex, Unit 4</v>
      </c>
      <c r="T4305">
        <v>0</v>
      </c>
      <c r="U4305">
        <v>5</v>
      </c>
      <c r="V4305">
        <v>5</v>
      </c>
      <c r="W4305" t="str">
        <f t="shared" si="1101"/>
        <v>zintel</v>
      </c>
    </row>
    <row r="4306" spans="1:23">
      <c r="A4306" t="str">
        <f t="shared" si="1097"/>
        <v>REC1-FULL-0020</v>
      </c>
      <c r="B4306" t="str">
        <f>"77-8105-0050"</f>
        <v>77-8105-0050</v>
      </c>
      <c r="C4306" t="str">
        <f>"LM7 Content, Lab, REC 1, Cortex, Unit 5"</f>
        <v>LM7 Content, Lab, REC 1, Cortex, Unit 5</v>
      </c>
      <c r="D4306">
        <v>1</v>
      </c>
      <c r="E4306" t="str">
        <f t="shared" si="1098"/>
        <v>REC1, Unit 1-6, LM 7.x, 20 student</v>
      </c>
      <c r="F4306">
        <v>0</v>
      </c>
      <c r="G4306" t="str">
        <f t="shared" si="1094"/>
        <v>Y</v>
      </c>
      <c r="H4306" t="str">
        <f t="shared" si="1096"/>
        <v>EA</v>
      </c>
      <c r="I4306">
        <v>0</v>
      </c>
      <c r="J4306">
        <v>0</v>
      </c>
      <c r="K4306" t="str">
        <f t="shared" si="1095"/>
        <v>Y</v>
      </c>
      <c r="L4306">
        <v>0</v>
      </c>
      <c r="M4306" t="str">
        <f t="shared" si="1082"/>
        <v>NIS</v>
      </c>
      <c r="N4306" t="str">
        <f t="shared" si="1099"/>
        <v>Y</v>
      </c>
      <c r="O4306">
        <v>6</v>
      </c>
      <c r="P4306" t="str">
        <f t="shared" si="1100"/>
        <v>Active</v>
      </c>
      <c r="Q4306" t="str">
        <f>"LM7 Content, Lab, REC 1, Cortex, Unit 5"</f>
        <v>LM7 Content, Lab, REC 1, Cortex, Unit 5</v>
      </c>
      <c r="S4306" t="str">
        <f>"LM7 Content, Lab, REC 1, Cortex, Unit 5"</f>
        <v>LM7 Content, Lab, REC 1, Cortex, Unit 5</v>
      </c>
      <c r="T4306">
        <v>0</v>
      </c>
      <c r="U4306">
        <v>5</v>
      </c>
      <c r="V4306">
        <v>5</v>
      </c>
      <c r="W4306" t="str">
        <f t="shared" si="1101"/>
        <v>zintel</v>
      </c>
    </row>
    <row r="4307" spans="1:23">
      <c r="A4307" t="str">
        <f t="shared" si="1097"/>
        <v>REC1-FULL-0020</v>
      </c>
      <c r="B4307" t="str">
        <f>"77-8105-0060"</f>
        <v>77-8105-0060</v>
      </c>
      <c r="C4307" t="str">
        <f>"LM7 Content, Lab, REC 1, Cortex, Unit 6"</f>
        <v>LM7 Content, Lab, REC 1, Cortex, Unit 6</v>
      </c>
      <c r="D4307">
        <v>1</v>
      </c>
      <c r="E4307" t="str">
        <f t="shared" si="1098"/>
        <v>REC1, Unit 1-6, LM 7.x, 20 student</v>
      </c>
      <c r="F4307">
        <v>0</v>
      </c>
      <c r="G4307" t="str">
        <f t="shared" si="1094"/>
        <v>Y</v>
      </c>
      <c r="H4307" t="str">
        <f t="shared" si="1096"/>
        <v>EA</v>
      </c>
      <c r="I4307">
        <v>0</v>
      </c>
      <c r="J4307">
        <v>0</v>
      </c>
      <c r="K4307" t="str">
        <f t="shared" si="1095"/>
        <v>Y</v>
      </c>
      <c r="L4307">
        <v>0</v>
      </c>
      <c r="M4307" t="str">
        <f t="shared" si="1082"/>
        <v>NIS</v>
      </c>
      <c r="N4307" t="str">
        <f t="shared" si="1099"/>
        <v>Y</v>
      </c>
      <c r="O4307">
        <v>7</v>
      </c>
      <c r="P4307" t="str">
        <f t="shared" si="1100"/>
        <v>Active</v>
      </c>
      <c r="Q4307" t="str">
        <f>"LM7 Content, Lab, REC 1, Cortex, Unit 6"</f>
        <v>LM7 Content, Lab, REC 1, Cortex, Unit 6</v>
      </c>
      <c r="S4307" t="str">
        <f>"LM7 Content, Lab, REC 1, Cortex, Unit 6"</f>
        <v>LM7 Content, Lab, REC 1, Cortex, Unit 6</v>
      </c>
      <c r="T4307">
        <v>0</v>
      </c>
      <c r="U4307">
        <v>5</v>
      </c>
      <c r="V4307">
        <v>5</v>
      </c>
      <c r="W4307" t="str">
        <f t="shared" si="1101"/>
        <v>zintel</v>
      </c>
    </row>
    <row r="4308" spans="1:23">
      <c r="A4308" t="str">
        <f t="shared" si="1097"/>
        <v>REC1-FULL-0020</v>
      </c>
      <c r="B4308" t="str">
        <f>"63-2060-5020"</f>
        <v>63-2060-5020</v>
      </c>
      <c r="C4308" t="str">
        <f>"EasyC V5.x, Perpetual, 20 student"</f>
        <v>EasyC V5.x, Perpetual, 20 student</v>
      </c>
      <c r="D4308">
        <v>1</v>
      </c>
      <c r="E4308" t="str">
        <f t="shared" si="1098"/>
        <v>REC1, Unit 1-6, LM 7.x, 20 student</v>
      </c>
      <c r="F4308">
        <v>0</v>
      </c>
      <c r="G4308" t="str">
        <f t="shared" si="1094"/>
        <v>Y</v>
      </c>
      <c r="H4308" t="str">
        <f t="shared" si="1096"/>
        <v>EA</v>
      </c>
      <c r="I4308">
        <v>0</v>
      </c>
      <c r="J4308">
        <v>0</v>
      </c>
      <c r="K4308" t="str">
        <f t="shared" si="1095"/>
        <v>Y</v>
      </c>
      <c r="L4308">
        <v>0</v>
      </c>
      <c r="M4308" t="str">
        <f t="shared" ref="M4308:M4371" si="1102">"NIS"</f>
        <v>NIS</v>
      </c>
      <c r="O4308">
        <v>8</v>
      </c>
      <c r="P4308" t="str">
        <f t="shared" si="1100"/>
        <v>Active</v>
      </c>
      <c r="Q4308" t="str">
        <f>"EasyC V5.x, Perpetual, 20 student"</f>
        <v>EasyC V5.x, Perpetual, 20 student</v>
      </c>
      <c r="S4308" t="str">
        <f>"EasyC V5.x, Perpetual, 20 student"</f>
        <v>EasyC V5.x, Perpetual, 20 student</v>
      </c>
      <c r="T4308">
        <v>0</v>
      </c>
      <c r="U4308">
        <v>10</v>
      </c>
      <c r="V4308">
        <v>10.3</v>
      </c>
      <c r="W4308" t="str">
        <f t="shared" si="1101"/>
        <v>zintel</v>
      </c>
    </row>
    <row r="4309" spans="1:23">
      <c r="A4309" t="str">
        <f t="shared" si="1097"/>
        <v>REC1-FULL-0020</v>
      </c>
      <c r="B4309" t="str">
        <f>"63-2060-5001"</f>
        <v>63-2060-5001</v>
      </c>
      <c r="C4309" t="str">
        <f>"EasyC V5.x, Perpetual, 1 student"</f>
        <v>EasyC V5.x, Perpetual, 1 student</v>
      </c>
      <c r="D4309">
        <v>1</v>
      </c>
      <c r="E4309" t="str">
        <f t="shared" si="1098"/>
        <v>REC1, Unit 1-6, LM 7.x, 20 student</v>
      </c>
      <c r="F4309">
        <v>0</v>
      </c>
      <c r="G4309" t="str">
        <f t="shared" si="1094"/>
        <v>Y</v>
      </c>
      <c r="H4309" t="str">
        <f t="shared" si="1096"/>
        <v>EA</v>
      </c>
      <c r="I4309">
        <v>0</v>
      </c>
      <c r="J4309">
        <v>0</v>
      </c>
      <c r="K4309" t="str">
        <f t="shared" si="1095"/>
        <v>Y</v>
      </c>
      <c r="L4309">
        <v>0</v>
      </c>
      <c r="M4309" t="str">
        <f t="shared" si="1102"/>
        <v>NIS</v>
      </c>
      <c r="O4309">
        <v>9</v>
      </c>
      <c r="P4309" t="str">
        <f t="shared" si="1100"/>
        <v>Active</v>
      </c>
      <c r="Q4309" t="str">
        <f>"EasyC V5.x, Perpetual, 1 student"</f>
        <v>EasyC V5.x, Perpetual, 1 student</v>
      </c>
      <c r="S4309" t="str">
        <f>"EasyC V5.x, Perpetual, 1 student"</f>
        <v>EasyC V5.x, Perpetual, 1 student</v>
      </c>
      <c r="T4309">
        <v>0</v>
      </c>
      <c r="U4309">
        <v>10</v>
      </c>
      <c r="V4309">
        <v>10.3</v>
      </c>
      <c r="W4309" t="str">
        <f t="shared" si="1101"/>
        <v>zintel</v>
      </c>
    </row>
    <row r="4310" spans="1:23">
      <c r="A4310" t="str">
        <f t="shared" si="1097"/>
        <v>REC1-FULL-0020</v>
      </c>
      <c r="B4310" t="str">
        <f>"270-1905"</f>
        <v>270-1905</v>
      </c>
      <c r="C4310" t="str">
        <f>"VEX, REC 1 Bundle Kit, Cortex"</f>
        <v>VEX, REC 1 Bundle Kit, Cortex</v>
      </c>
      <c r="D4310">
        <v>11</v>
      </c>
      <c r="E4310" t="str">
        <f t="shared" si="1098"/>
        <v>REC1, Unit 1-6, LM 7.x, 20 student</v>
      </c>
      <c r="F4310">
        <v>0</v>
      </c>
      <c r="G4310" t="str">
        <f t="shared" si="1094"/>
        <v>Y</v>
      </c>
      <c r="H4310" t="str">
        <f t="shared" si="1096"/>
        <v>EA</v>
      </c>
      <c r="I4310">
        <v>0</v>
      </c>
      <c r="J4310">
        <v>0</v>
      </c>
      <c r="K4310" t="str">
        <f t="shared" si="1095"/>
        <v>Y</v>
      </c>
      <c r="L4310">
        <v>0</v>
      </c>
      <c r="M4310" t="str">
        <f t="shared" si="1102"/>
        <v>NIS</v>
      </c>
      <c r="O4310">
        <v>10</v>
      </c>
      <c r="P4310" t="str">
        <f t="shared" si="1100"/>
        <v>Active</v>
      </c>
      <c r="Q4310" t="str">
        <f>"VEX, REC 1 Bundle Kit, Cortex"</f>
        <v>VEX, REC 1 Bundle Kit, Cortex</v>
      </c>
      <c r="S4310" t="str">
        <f>"VEX, REC 1 Bundle Kit, Cortex"</f>
        <v>VEX, REC 1 Bundle Kit, Cortex</v>
      </c>
      <c r="T4310">
        <v>487.29</v>
      </c>
      <c r="U4310">
        <v>515.33000000000004</v>
      </c>
      <c r="V4310">
        <v>585.46</v>
      </c>
      <c r="W4310" t="str">
        <f t="shared" si="1101"/>
        <v>zintel</v>
      </c>
    </row>
    <row r="4311" spans="1:23">
      <c r="A4311" t="str">
        <f t="shared" si="1097"/>
        <v>REC1-FULL-0020</v>
      </c>
      <c r="B4311" t="str">
        <f>"77-8105-0100"</f>
        <v>77-8105-0100</v>
      </c>
      <c r="C4311" t="str">
        <f>"LM7 Content, Lab, REC 1, Cortex, Semester 1 TG"</f>
        <v>LM7 Content, Lab, REC 1, Cortex, Semester 1 TG</v>
      </c>
      <c r="D4311">
        <v>1</v>
      </c>
      <c r="E4311" t="str">
        <f t="shared" si="1098"/>
        <v>REC1, Unit 1-6, LM 7.x, 20 student</v>
      </c>
      <c r="F4311">
        <v>0</v>
      </c>
      <c r="G4311" t="str">
        <f t="shared" si="1094"/>
        <v>Y</v>
      </c>
      <c r="H4311" t="str">
        <f t="shared" si="1096"/>
        <v>EA</v>
      </c>
      <c r="I4311">
        <v>0</v>
      </c>
      <c r="J4311">
        <v>0</v>
      </c>
      <c r="K4311" t="str">
        <f t="shared" si="1095"/>
        <v>Y</v>
      </c>
      <c r="L4311">
        <v>0</v>
      </c>
      <c r="M4311" t="str">
        <f t="shared" si="1102"/>
        <v>NIS</v>
      </c>
      <c r="N4311" t="str">
        <f>"Y"</f>
        <v>Y</v>
      </c>
      <c r="O4311">
        <v>11</v>
      </c>
      <c r="P4311" t="str">
        <f t="shared" si="1100"/>
        <v>Active</v>
      </c>
      <c r="Q4311" t="str">
        <f>"LM7 Content, Lab, REC 1, Cortex, Semester 1 TG"</f>
        <v>LM7 Content, Lab, REC 1, Cortex, Semester 1 TG</v>
      </c>
      <c r="S4311" t="str">
        <f>"LM7 Content, Lab, REC 1, Cortex, Semester 1 TG"</f>
        <v>LM7 Content, Lab, REC 1, Cortex, Semester 1 TG</v>
      </c>
      <c r="T4311">
        <v>0</v>
      </c>
      <c r="U4311">
        <v>5</v>
      </c>
      <c r="V4311">
        <v>0</v>
      </c>
      <c r="W4311" t="str">
        <f t="shared" si="1101"/>
        <v>zintel</v>
      </c>
    </row>
    <row r="4312" spans="1:23">
      <c r="A4312" t="str">
        <f t="shared" si="1097"/>
        <v>REC1-FULL-0020</v>
      </c>
      <c r="B4312" t="str">
        <f>"77-8105-0200"</f>
        <v>77-8105-0200</v>
      </c>
      <c r="C4312" t="str">
        <f>"LM7 Content, Lab, REC 1, Cortex, Semester 2 TG"</f>
        <v>LM7 Content, Lab, REC 1, Cortex, Semester 2 TG</v>
      </c>
      <c r="D4312">
        <v>1</v>
      </c>
      <c r="E4312" t="str">
        <f t="shared" si="1098"/>
        <v>REC1, Unit 1-6, LM 7.x, 20 student</v>
      </c>
      <c r="F4312">
        <v>0</v>
      </c>
      <c r="G4312" t="str">
        <f t="shared" si="1094"/>
        <v>Y</v>
      </c>
      <c r="H4312" t="str">
        <f t="shared" si="1096"/>
        <v>EA</v>
      </c>
      <c r="I4312">
        <v>0</v>
      </c>
      <c r="J4312">
        <v>0</v>
      </c>
      <c r="K4312" t="str">
        <f t="shared" si="1095"/>
        <v>Y</v>
      </c>
      <c r="L4312">
        <v>0</v>
      </c>
      <c r="M4312" t="str">
        <f t="shared" si="1102"/>
        <v>NIS</v>
      </c>
      <c r="N4312" t="str">
        <f>"Y"</f>
        <v>Y</v>
      </c>
      <c r="O4312">
        <v>12</v>
      </c>
      <c r="P4312" t="str">
        <f t="shared" si="1100"/>
        <v>Active</v>
      </c>
      <c r="Q4312" t="str">
        <f>"LM7 Content, Lab, REC 1, Cortex, Semester 2 TG"</f>
        <v>LM7 Content, Lab, REC 1, Cortex, Semester 2 TG</v>
      </c>
      <c r="S4312" t="str">
        <f>"LM7 Content, Lab, REC 1, Cortex, Semester 2 TG"</f>
        <v>LM7 Content, Lab, REC 1, Cortex, Semester 2 TG</v>
      </c>
      <c r="T4312">
        <v>0</v>
      </c>
      <c r="U4312">
        <v>5</v>
      </c>
      <c r="V4312">
        <v>0</v>
      </c>
      <c r="W4312" t="str">
        <f t="shared" si="1101"/>
        <v>zintel</v>
      </c>
    </row>
    <row r="4313" spans="1:23">
      <c r="A4313" t="str">
        <f t="shared" si="1097"/>
        <v>REC1-FULL-0020</v>
      </c>
      <c r="B4313" t="str">
        <f>"77-8105-1000"</f>
        <v>77-8105-1000</v>
      </c>
      <c r="C4313" t="str">
        <f>"LM7 Content, Lab, REC 1 Semester 1, For Cortex"</f>
        <v>LM7 Content, Lab, REC 1 Semester 1, For Cortex</v>
      </c>
      <c r="D4313">
        <v>1</v>
      </c>
      <c r="E4313" t="str">
        <f t="shared" si="1098"/>
        <v>REC1, Unit 1-6, LM 7.x, 20 student</v>
      </c>
      <c r="F4313">
        <v>0</v>
      </c>
      <c r="G4313" t="str">
        <f t="shared" si="1094"/>
        <v>Y</v>
      </c>
      <c r="H4313" t="str">
        <f t="shared" si="1096"/>
        <v>EA</v>
      </c>
      <c r="I4313">
        <v>0</v>
      </c>
      <c r="J4313">
        <v>0</v>
      </c>
      <c r="K4313" t="str">
        <f t="shared" si="1095"/>
        <v>Y</v>
      </c>
      <c r="L4313">
        <v>0</v>
      </c>
      <c r="M4313" t="str">
        <f t="shared" si="1102"/>
        <v>NIS</v>
      </c>
      <c r="O4313">
        <v>13</v>
      </c>
      <c r="P4313" t="str">
        <f t="shared" si="1100"/>
        <v>Active</v>
      </c>
      <c r="Q4313" t="str">
        <f>"LM7 Content, Lab, REC 1 Semester 1, For Cortex"</f>
        <v>LM7 Content, Lab, REC 1 Semester 1, For Cortex</v>
      </c>
      <c r="S4313" t="str">
        <f>"LM7 Content, Lab, REC 1 Semester 1, For Cortex"</f>
        <v>LM7 Content, Lab, REC 1 Semester 1, For Cortex</v>
      </c>
      <c r="T4313">
        <v>0</v>
      </c>
      <c r="U4313">
        <v>5</v>
      </c>
      <c r="V4313">
        <v>5</v>
      </c>
      <c r="W4313" t="str">
        <f t="shared" si="1101"/>
        <v>zintel</v>
      </c>
    </row>
    <row r="4314" spans="1:23">
      <c r="A4314" t="str">
        <f t="shared" si="1097"/>
        <v>REC1-FULL-0020</v>
      </c>
      <c r="B4314" t="str">
        <f>"77-8105-2000"</f>
        <v>77-8105-2000</v>
      </c>
      <c r="C4314" t="str">
        <f>"LM7 Content, Lab, REC 1 Semester 2, For Cortex"</f>
        <v>LM7 Content, Lab, REC 1 Semester 2, For Cortex</v>
      </c>
      <c r="D4314">
        <v>1</v>
      </c>
      <c r="E4314" t="str">
        <f t="shared" si="1098"/>
        <v>REC1, Unit 1-6, LM 7.x, 20 student</v>
      </c>
      <c r="F4314">
        <v>0</v>
      </c>
      <c r="G4314" t="str">
        <f t="shared" si="1094"/>
        <v>Y</v>
      </c>
      <c r="H4314" t="str">
        <f t="shared" si="1096"/>
        <v>EA</v>
      </c>
      <c r="I4314">
        <v>0</v>
      </c>
      <c r="J4314">
        <v>0</v>
      </c>
      <c r="K4314" t="str">
        <f t="shared" si="1095"/>
        <v>Y</v>
      </c>
      <c r="L4314">
        <v>0</v>
      </c>
      <c r="M4314" t="str">
        <f t="shared" si="1102"/>
        <v>NIS</v>
      </c>
      <c r="O4314">
        <v>14</v>
      </c>
      <c r="P4314" t="str">
        <f t="shared" si="1100"/>
        <v>Active</v>
      </c>
      <c r="Q4314" t="str">
        <f>"LM7 Content, Lab, REC 1 Semester 2, For Cortex"</f>
        <v>LM7 Content, Lab, REC 1 Semester 2, For Cortex</v>
      </c>
      <c r="S4314" t="str">
        <f>"LM7 Content, Lab, REC 1 Semester 2, For Cortex"</f>
        <v>LM7 Content, Lab, REC 1 Semester 2, For Cortex</v>
      </c>
      <c r="T4314">
        <v>0</v>
      </c>
      <c r="U4314">
        <v>5</v>
      </c>
      <c r="V4314">
        <v>5</v>
      </c>
      <c r="W4314" t="str">
        <f t="shared" si="1101"/>
        <v>zintel</v>
      </c>
    </row>
    <row r="4315" spans="1:23">
      <c r="A4315" t="str">
        <f t="shared" ref="A4315:A4328" si="1103">"REC1-FULL-0030"</f>
        <v>REC1-FULL-0030</v>
      </c>
      <c r="B4315" t="str">
        <f>"77-8105-0000"</f>
        <v>77-8105-0000</v>
      </c>
      <c r="C4315" t="str">
        <f>"LM7 Content, Lab, REC 1, Cortex, TG"</f>
        <v>LM7 Content, Lab, REC 1, Cortex, TG</v>
      </c>
      <c r="D4315">
        <v>1</v>
      </c>
      <c r="E4315" t="str">
        <f t="shared" ref="E4315:E4328" si="1104">"REC1, Unit 1-6, LM 7.x, 30 student"</f>
        <v>REC1, Unit 1-6, LM 7.x, 30 student</v>
      </c>
      <c r="F4315">
        <v>0</v>
      </c>
      <c r="G4315" t="str">
        <f t="shared" si="1094"/>
        <v>Y</v>
      </c>
      <c r="H4315" t="str">
        <f t="shared" si="1096"/>
        <v>EA</v>
      </c>
      <c r="I4315">
        <v>0</v>
      </c>
      <c r="J4315">
        <v>0</v>
      </c>
      <c r="K4315" t="str">
        <f t="shared" si="1095"/>
        <v>Y</v>
      </c>
      <c r="L4315">
        <v>0</v>
      </c>
      <c r="M4315" t="str">
        <f t="shared" si="1102"/>
        <v>NIS</v>
      </c>
      <c r="N4315" t="str">
        <f t="shared" ref="N4315:N4321" si="1105">"Y"</f>
        <v>Y</v>
      </c>
      <c r="O4315">
        <v>1</v>
      </c>
      <c r="P4315" t="str">
        <f t="shared" si="1100"/>
        <v>Active</v>
      </c>
      <c r="Q4315" t="str">
        <f>"LM7 Content, Lab, REC 1, Cortex, TG"</f>
        <v>LM7 Content, Lab, REC 1, Cortex, TG</v>
      </c>
      <c r="S4315" t="str">
        <f>"LM7 Content, Lab, REC 1, Cortex, TG"</f>
        <v>LM7 Content, Lab, REC 1, Cortex, TG</v>
      </c>
      <c r="T4315">
        <v>0</v>
      </c>
      <c r="U4315">
        <v>5</v>
      </c>
      <c r="V4315">
        <v>0</v>
      </c>
      <c r="W4315" t="str">
        <f t="shared" si="1101"/>
        <v>zintel</v>
      </c>
    </row>
    <row r="4316" spans="1:23">
      <c r="A4316" t="str">
        <f t="shared" si="1103"/>
        <v>REC1-FULL-0030</v>
      </c>
      <c r="B4316" t="str">
        <f>"77-8105-0010"</f>
        <v>77-8105-0010</v>
      </c>
      <c r="C4316" t="str">
        <f>"LM7 Content, Lab, REC 1, Cortex, Unit 1"</f>
        <v>LM7 Content, Lab, REC 1, Cortex, Unit 1</v>
      </c>
      <c r="D4316">
        <v>1</v>
      </c>
      <c r="E4316" t="str">
        <f t="shared" si="1104"/>
        <v>REC1, Unit 1-6, LM 7.x, 30 student</v>
      </c>
      <c r="F4316">
        <v>0</v>
      </c>
      <c r="G4316" t="str">
        <f t="shared" si="1094"/>
        <v>Y</v>
      </c>
      <c r="H4316" t="str">
        <f t="shared" si="1096"/>
        <v>EA</v>
      </c>
      <c r="I4316">
        <v>0</v>
      </c>
      <c r="J4316">
        <v>0</v>
      </c>
      <c r="K4316" t="str">
        <f t="shared" si="1095"/>
        <v>Y</v>
      </c>
      <c r="L4316">
        <v>0</v>
      </c>
      <c r="M4316" t="str">
        <f t="shared" si="1102"/>
        <v>NIS</v>
      </c>
      <c r="N4316" t="str">
        <f t="shared" si="1105"/>
        <v>Y</v>
      </c>
      <c r="O4316">
        <v>2</v>
      </c>
      <c r="P4316" t="str">
        <f t="shared" si="1100"/>
        <v>Active</v>
      </c>
      <c r="Q4316" t="str">
        <f>"LM7 Content, Lab, REC 1, Cortex, Unit 1"</f>
        <v>LM7 Content, Lab, REC 1, Cortex, Unit 1</v>
      </c>
      <c r="S4316" t="str">
        <f>"LM7 Content, Lab, REC 1, Cortex, Unit 1"</f>
        <v>LM7 Content, Lab, REC 1, Cortex, Unit 1</v>
      </c>
      <c r="T4316">
        <v>0</v>
      </c>
      <c r="U4316">
        <v>5</v>
      </c>
      <c r="V4316">
        <v>5</v>
      </c>
      <c r="W4316" t="str">
        <f t="shared" si="1101"/>
        <v>zintel</v>
      </c>
    </row>
    <row r="4317" spans="1:23">
      <c r="A4317" t="str">
        <f t="shared" si="1103"/>
        <v>REC1-FULL-0030</v>
      </c>
      <c r="B4317" t="str">
        <f>"77-8105-0020"</f>
        <v>77-8105-0020</v>
      </c>
      <c r="C4317" t="str">
        <f>"LM7 Content, Lab, REC 1, Cortex, Unit 2"</f>
        <v>LM7 Content, Lab, REC 1, Cortex, Unit 2</v>
      </c>
      <c r="D4317">
        <v>1</v>
      </c>
      <c r="E4317" t="str">
        <f t="shared" si="1104"/>
        <v>REC1, Unit 1-6, LM 7.x, 30 student</v>
      </c>
      <c r="F4317">
        <v>0</v>
      </c>
      <c r="G4317" t="str">
        <f t="shared" si="1094"/>
        <v>Y</v>
      </c>
      <c r="H4317" t="str">
        <f t="shared" si="1096"/>
        <v>EA</v>
      </c>
      <c r="I4317">
        <v>0</v>
      </c>
      <c r="J4317">
        <v>0</v>
      </c>
      <c r="K4317" t="str">
        <f t="shared" si="1095"/>
        <v>Y</v>
      </c>
      <c r="L4317">
        <v>0</v>
      </c>
      <c r="M4317" t="str">
        <f t="shared" si="1102"/>
        <v>NIS</v>
      </c>
      <c r="N4317" t="str">
        <f t="shared" si="1105"/>
        <v>Y</v>
      </c>
      <c r="O4317">
        <v>3</v>
      </c>
      <c r="P4317" t="str">
        <f t="shared" si="1100"/>
        <v>Active</v>
      </c>
      <c r="Q4317" t="str">
        <f>"LM7 Content, Lab, REC 1, Cortex, Unit 2"</f>
        <v>LM7 Content, Lab, REC 1, Cortex, Unit 2</v>
      </c>
      <c r="S4317" t="str">
        <f>"LM7 Content, Lab, REC 1, Cortex, Unit 2"</f>
        <v>LM7 Content, Lab, REC 1, Cortex, Unit 2</v>
      </c>
      <c r="T4317">
        <v>0</v>
      </c>
      <c r="U4317">
        <v>5</v>
      </c>
      <c r="V4317">
        <v>5</v>
      </c>
      <c r="W4317" t="str">
        <f t="shared" si="1101"/>
        <v>zintel</v>
      </c>
    </row>
    <row r="4318" spans="1:23">
      <c r="A4318" t="str">
        <f t="shared" si="1103"/>
        <v>REC1-FULL-0030</v>
      </c>
      <c r="B4318" t="str">
        <f>"77-8105-0030"</f>
        <v>77-8105-0030</v>
      </c>
      <c r="C4318" t="str">
        <f>"LM7 Content, Lab, REC 1, Cortex, Unit 3"</f>
        <v>LM7 Content, Lab, REC 1, Cortex, Unit 3</v>
      </c>
      <c r="D4318">
        <v>1</v>
      </c>
      <c r="E4318" t="str">
        <f t="shared" si="1104"/>
        <v>REC1, Unit 1-6, LM 7.x, 30 student</v>
      </c>
      <c r="F4318">
        <v>0</v>
      </c>
      <c r="G4318" t="str">
        <f t="shared" si="1094"/>
        <v>Y</v>
      </c>
      <c r="H4318" t="str">
        <f t="shared" si="1096"/>
        <v>EA</v>
      </c>
      <c r="I4318">
        <v>0</v>
      </c>
      <c r="J4318">
        <v>0</v>
      </c>
      <c r="K4318" t="str">
        <f t="shared" si="1095"/>
        <v>Y</v>
      </c>
      <c r="L4318">
        <v>0</v>
      </c>
      <c r="M4318" t="str">
        <f t="shared" si="1102"/>
        <v>NIS</v>
      </c>
      <c r="N4318" t="str">
        <f t="shared" si="1105"/>
        <v>Y</v>
      </c>
      <c r="O4318">
        <v>4</v>
      </c>
      <c r="P4318" t="str">
        <f t="shared" si="1100"/>
        <v>Active</v>
      </c>
      <c r="Q4318" t="str">
        <f>"LM7 Content, Lab, REC 1, Cortex, Unit 3"</f>
        <v>LM7 Content, Lab, REC 1, Cortex, Unit 3</v>
      </c>
      <c r="S4318" t="str">
        <f>"LM7 Content, Lab, REC 1, Cortex, Unit 3"</f>
        <v>LM7 Content, Lab, REC 1, Cortex, Unit 3</v>
      </c>
      <c r="T4318">
        <v>0</v>
      </c>
      <c r="U4318">
        <v>5</v>
      </c>
      <c r="V4318">
        <v>5</v>
      </c>
      <c r="W4318" t="str">
        <f t="shared" si="1101"/>
        <v>zintel</v>
      </c>
    </row>
    <row r="4319" spans="1:23">
      <c r="A4319" t="str">
        <f t="shared" si="1103"/>
        <v>REC1-FULL-0030</v>
      </c>
      <c r="B4319" t="str">
        <f>"77-8105-0040"</f>
        <v>77-8105-0040</v>
      </c>
      <c r="C4319" t="str">
        <f>"LM7 Content, Lab, REC 1, Cortex, Unit 4"</f>
        <v>LM7 Content, Lab, REC 1, Cortex, Unit 4</v>
      </c>
      <c r="D4319">
        <v>1</v>
      </c>
      <c r="E4319" t="str">
        <f t="shared" si="1104"/>
        <v>REC1, Unit 1-6, LM 7.x, 30 student</v>
      </c>
      <c r="F4319">
        <v>0</v>
      </c>
      <c r="G4319" t="str">
        <f t="shared" si="1094"/>
        <v>Y</v>
      </c>
      <c r="H4319" t="str">
        <f t="shared" si="1096"/>
        <v>EA</v>
      </c>
      <c r="I4319">
        <v>0</v>
      </c>
      <c r="J4319">
        <v>0</v>
      </c>
      <c r="K4319" t="str">
        <f t="shared" si="1095"/>
        <v>Y</v>
      </c>
      <c r="L4319">
        <v>0</v>
      </c>
      <c r="M4319" t="str">
        <f t="shared" si="1102"/>
        <v>NIS</v>
      </c>
      <c r="N4319" t="str">
        <f t="shared" si="1105"/>
        <v>Y</v>
      </c>
      <c r="O4319">
        <v>5</v>
      </c>
      <c r="P4319" t="str">
        <f t="shared" si="1100"/>
        <v>Active</v>
      </c>
      <c r="Q4319" t="str">
        <f>"LM7 Content, Lab, REC 1, Cortex, Unit 4"</f>
        <v>LM7 Content, Lab, REC 1, Cortex, Unit 4</v>
      </c>
      <c r="S4319" t="str">
        <f>"LM7 Content, Lab, REC 1, Cortex, Unit 4"</f>
        <v>LM7 Content, Lab, REC 1, Cortex, Unit 4</v>
      </c>
      <c r="T4319">
        <v>0</v>
      </c>
      <c r="U4319">
        <v>5</v>
      </c>
      <c r="V4319">
        <v>5</v>
      </c>
      <c r="W4319" t="str">
        <f t="shared" si="1101"/>
        <v>zintel</v>
      </c>
    </row>
    <row r="4320" spans="1:23">
      <c r="A4320" t="str">
        <f t="shared" si="1103"/>
        <v>REC1-FULL-0030</v>
      </c>
      <c r="B4320" t="str">
        <f>"77-8105-0050"</f>
        <v>77-8105-0050</v>
      </c>
      <c r="C4320" t="str">
        <f>"LM7 Content, Lab, REC 1, Cortex, Unit 5"</f>
        <v>LM7 Content, Lab, REC 1, Cortex, Unit 5</v>
      </c>
      <c r="D4320">
        <v>1</v>
      </c>
      <c r="E4320" t="str">
        <f t="shared" si="1104"/>
        <v>REC1, Unit 1-6, LM 7.x, 30 student</v>
      </c>
      <c r="F4320">
        <v>0</v>
      </c>
      <c r="G4320" t="str">
        <f t="shared" si="1094"/>
        <v>Y</v>
      </c>
      <c r="H4320" t="str">
        <f t="shared" si="1096"/>
        <v>EA</v>
      </c>
      <c r="I4320">
        <v>0</v>
      </c>
      <c r="J4320">
        <v>0</v>
      </c>
      <c r="K4320" t="str">
        <f t="shared" si="1095"/>
        <v>Y</v>
      </c>
      <c r="L4320">
        <v>0</v>
      </c>
      <c r="M4320" t="str">
        <f t="shared" si="1102"/>
        <v>NIS</v>
      </c>
      <c r="N4320" t="str">
        <f t="shared" si="1105"/>
        <v>Y</v>
      </c>
      <c r="O4320">
        <v>6</v>
      </c>
      <c r="P4320" t="str">
        <f t="shared" si="1100"/>
        <v>Active</v>
      </c>
      <c r="Q4320" t="str">
        <f>"LM7 Content, Lab, REC 1, Cortex, Unit 5"</f>
        <v>LM7 Content, Lab, REC 1, Cortex, Unit 5</v>
      </c>
      <c r="S4320" t="str">
        <f>"LM7 Content, Lab, REC 1, Cortex, Unit 5"</f>
        <v>LM7 Content, Lab, REC 1, Cortex, Unit 5</v>
      </c>
      <c r="T4320">
        <v>0</v>
      </c>
      <c r="U4320">
        <v>5</v>
      </c>
      <c r="V4320">
        <v>5</v>
      </c>
      <c r="W4320" t="str">
        <f t="shared" si="1101"/>
        <v>zintel</v>
      </c>
    </row>
    <row r="4321" spans="1:23">
      <c r="A4321" t="str">
        <f t="shared" si="1103"/>
        <v>REC1-FULL-0030</v>
      </c>
      <c r="B4321" t="str">
        <f>"77-8105-0060"</f>
        <v>77-8105-0060</v>
      </c>
      <c r="C4321" t="str">
        <f>"LM7 Content, Lab, REC 1, Cortex, Unit 6"</f>
        <v>LM7 Content, Lab, REC 1, Cortex, Unit 6</v>
      </c>
      <c r="D4321">
        <v>1</v>
      </c>
      <c r="E4321" t="str">
        <f t="shared" si="1104"/>
        <v>REC1, Unit 1-6, LM 7.x, 30 student</v>
      </c>
      <c r="F4321">
        <v>0</v>
      </c>
      <c r="G4321" t="str">
        <f t="shared" si="1094"/>
        <v>Y</v>
      </c>
      <c r="H4321" t="str">
        <f t="shared" si="1096"/>
        <v>EA</v>
      </c>
      <c r="I4321">
        <v>0</v>
      </c>
      <c r="J4321">
        <v>0</v>
      </c>
      <c r="K4321" t="str">
        <f t="shared" si="1095"/>
        <v>Y</v>
      </c>
      <c r="L4321">
        <v>0</v>
      </c>
      <c r="M4321" t="str">
        <f t="shared" si="1102"/>
        <v>NIS</v>
      </c>
      <c r="N4321" t="str">
        <f t="shared" si="1105"/>
        <v>Y</v>
      </c>
      <c r="O4321">
        <v>7</v>
      </c>
      <c r="P4321" t="str">
        <f t="shared" si="1100"/>
        <v>Active</v>
      </c>
      <c r="Q4321" t="str">
        <f>"LM7 Content, Lab, REC 1, Cortex, Unit 6"</f>
        <v>LM7 Content, Lab, REC 1, Cortex, Unit 6</v>
      </c>
      <c r="S4321" t="str">
        <f>"LM7 Content, Lab, REC 1, Cortex, Unit 6"</f>
        <v>LM7 Content, Lab, REC 1, Cortex, Unit 6</v>
      </c>
      <c r="T4321">
        <v>0</v>
      </c>
      <c r="U4321">
        <v>5</v>
      </c>
      <c r="V4321">
        <v>5</v>
      </c>
      <c r="W4321" t="str">
        <f t="shared" si="1101"/>
        <v>zintel</v>
      </c>
    </row>
    <row r="4322" spans="1:23">
      <c r="A4322" t="str">
        <f t="shared" si="1103"/>
        <v>REC1-FULL-0030</v>
      </c>
      <c r="B4322" t="str">
        <f>"63-2060-5030"</f>
        <v>63-2060-5030</v>
      </c>
      <c r="C4322" t="str">
        <f>"EasyC V5.x, Perpetual, 30 student"</f>
        <v>EasyC V5.x, Perpetual, 30 student</v>
      </c>
      <c r="D4322">
        <v>1</v>
      </c>
      <c r="E4322" t="str">
        <f t="shared" si="1104"/>
        <v>REC1, Unit 1-6, LM 7.x, 30 student</v>
      </c>
      <c r="F4322">
        <v>0</v>
      </c>
      <c r="G4322" t="str">
        <f t="shared" si="1094"/>
        <v>Y</v>
      </c>
      <c r="H4322" t="str">
        <f t="shared" si="1096"/>
        <v>EA</v>
      </c>
      <c r="I4322">
        <v>0</v>
      </c>
      <c r="J4322">
        <v>0</v>
      </c>
      <c r="K4322" t="str">
        <f t="shared" si="1095"/>
        <v>Y</v>
      </c>
      <c r="L4322">
        <v>0</v>
      </c>
      <c r="M4322" t="str">
        <f t="shared" si="1102"/>
        <v>NIS</v>
      </c>
      <c r="O4322">
        <v>8</v>
      </c>
      <c r="P4322" t="str">
        <f t="shared" si="1100"/>
        <v>Active</v>
      </c>
      <c r="Q4322" t="str">
        <f>"EasyC V5.x, Perpetual, 30 student"</f>
        <v>EasyC V5.x, Perpetual, 30 student</v>
      </c>
      <c r="S4322" t="str">
        <f>"EasyC V5.x, Perpetual, 30 student"</f>
        <v>EasyC V5.x, Perpetual, 30 student</v>
      </c>
      <c r="T4322">
        <v>0</v>
      </c>
      <c r="U4322">
        <v>10</v>
      </c>
      <c r="V4322">
        <v>10</v>
      </c>
      <c r="W4322" t="str">
        <f t="shared" si="1101"/>
        <v>zintel</v>
      </c>
    </row>
    <row r="4323" spans="1:23">
      <c r="A4323" t="str">
        <f t="shared" si="1103"/>
        <v>REC1-FULL-0030</v>
      </c>
      <c r="B4323" t="str">
        <f>"63-2060-5001"</f>
        <v>63-2060-5001</v>
      </c>
      <c r="C4323" t="str">
        <f>"EasyC V5.x, Perpetual, 1 student"</f>
        <v>EasyC V5.x, Perpetual, 1 student</v>
      </c>
      <c r="D4323">
        <v>1</v>
      </c>
      <c r="E4323" t="str">
        <f t="shared" si="1104"/>
        <v>REC1, Unit 1-6, LM 7.x, 30 student</v>
      </c>
      <c r="F4323">
        <v>0</v>
      </c>
      <c r="G4323" t="str">
        <f t="shared" si="1094"/>
        <v>Y</v>
      </c>
      <c r="H4323" t="str">
        <f t="shared" si="1096"/>
        <v>EA</v>
      </c>
      <c r="I4323">
        <v>0</v>
      </c>
      <c r="J4323">
        <v>0</v>
      </c>
      <c r="K4323" t="str">
        <f t="shared" si="1095"/>
        <v>Y</v>
      </c>
      <c r="L4323">
        <v>0</v>
      </c>
      <c r="M4323" t="str">
        <f t="shared" si="1102"/>
        <v>NIS</v>
      </c>
      <c r="O4323">
        <v>9</v>
      </c>
      <c r="P4323" t="str">
        <f t="shared" si="1100"/>
        <v>Active</v>
      </c>
      <c r="Q4323" t="str">
        <f>"EasyC V5.x, Perpetual, 1 student"</f>
        <v>EasyC V5.x, Perpetual, 1 student</v>
      </c>
      <c r="S4323" t="str">
        <f>"EasyC V5.x, Perpetual, 1 student"</f>
        <v>EasyC V5.x, Perpetual, 1 student</v>
      </c>
      <c r="T4323">
        <v>0</v>
      </c>
      <c r="U4323">
        <v>10</v>
      </c>
      <c r="V4323">
        <v>10.3</v>
      </c>
      <c r="W4323" t="str">
        <f t="shared" si="1101"/>
        <v>zintel</v>
      </c>
    </row>
    <row r="4324" spans="1:23">
      <c r="A4324" t="str">
        <f t="shared" si="1103"/>
        <v>REC1-FULL-0030</v>
      </c>
      <c r="B4324" t="str">
        <f>"270-1905"</f>
        <v>270-1905</v>
      </c>
      <c r="C4324" t="str">
        <f>"VEX, REC 1 Bundle Kit, Cortex"</f>
        <v>VEX, REC 1 Bundle Kit, Cortex</v>
      </c>
      <c r="D4324">
        <v>16</v>
      </c>
      <c r="E4324" t="str">
        <f t="shared" si="1104"/>
        <v>REC1, Unit 1-6, LM 7.x, 30 student</v>
      </c>
      <c r="F4324">
        <v>0</v>
      </c>
      <c r="G4324" t="str">
        <f t="shared" si="1094"/>
        <v>Y</v>
      </c>
      <c r="H4324" t="str">
        <f t="shared" si="1096"/>
        <v>EA</v>
      </c>
      <c r="I4324">
        <v>0</v>
      </c>
      <c r="J4324">
        <v>0</v>
      </c>
      <c r="K4324" t="str">
        <f t="shared" si="1095"/>
        <v>Y</v>
      </c>
      <c r="L4324">
        <v>0</v>
      </c>
      <c r="M4324" t="str">
        <f t="shared" si="1102"/>
        <v>NIS</v>
      </c>
      <c r="O4324">
        <v>10</v>
      </c>
      <c r="P4324" t="str">
        <f t="shared" si="1100"/>
        <v>Active</v>
      </c>
      <c r="Q4324" t="str">
        <f>"VEX, REC 1 Bundle Kit, Cortex"</f>
        <v>VEX, REC 1 Bundle Kit, Cortex</v>
      </c>
      <c r="S4324" t="str">
        <f>"VEX, REC 1 Bundle Kit, Cortex"</f>
        <v>VEX, REC 1 Bundle Kit, Cortex</v>
      </c>
      <c r="T4324">
        <v>487.29</v>
      </c>
      <c r="U4324">
        <v>515.33000000000004</v>
      </c>
      <c r="V4324">
        <v>585.46</v>
      </c>
      <c r="W4324" t="str">
        <f t="shared" si="1101"/>
        <v>zintel</v>
      </c>
    </row>
    <row r="4325" spans="1:23">
      <c r="A4325" t="str">
        <f t="shared" si="1103"/>
        <v>REC1-FULL-0030</v>
      </c>
      <c r="B4325" t="str">
        <f>"77-8105-0100"</f>
        <v>77-8105-0100</v>
      </c>
      <c r="C4325" t="str">
        <f>"LM7 Content, Lab, REC 1, Cortex, Semester 1 TG"</f>
        <v>LM7 Content, Lab, REC 1, Cortex, Semester 1 TG</v>
      </c>
      <c r="D4325">
        <v>1</v>
      </c>
      <c r="E4325" t="str">
        <f t="shared" si="1104"/>
        <v>REC1, Unit 1-6, LM 7.x, 30 student</v>
      </c>
      <c r="F4325">
        <v>0</v>
      </c>
      <c r="G4325" t="str">
        <f t="shared" si="1094"/>
        <v>Y</v>
      </c>
      <c r="H4325" t="str">
        <f t="shared" si="1096"/>
        <v>EA</v>
      </c>
      <c r="I4325">
        <v>0</v>
      </c>
      <c r="J4325">
        <v>0</v>
      </c>
      <c r="K4325" t="str">
        <f t="shared" si="1095"/>
        <v>Y</v>
      </c>
      <c r="L4325">
        <v>0</v>
      </c>
      <c r="M4325" t="str">
        <f t="shared" si="1102"/>
        <v>NIS</v>
      </c>
      <c r="N4325" t="str">
        <f>"Y"</f>
        <v>Y</v>
      </c>
      <c r="O4325">
        <v>11</v>
      </c>
      <c r="P4325" t="str">
        <f t="shared" si="1100"/>
        <v>Active</v>
      </c>
      <c r="Q4325" t="str">
        <f>"LM7 Content, Lab, REC 1, Cortex, Semester 1 TG"</f>
        <v>LM7 Content, Lab, REC 1, Cortex, Semester 1 TG</v>
      </c>
      <c r="S4325" t="str">
        <f>"LM7 Content, Lab, REC 1, Cortex, Semester 1 TG"</f>
        <v>LM7 Content, Lab, REC 1, Cortex, Semester 1 TG</v>
      </c>
      <c r="T4325">
        <v>0</v>
      </c>
      <c r="U4325">
        <v>5</v>
      </c>
      <c r="V4325">
        <v>0</v>
      </c>
      <c r="W4325" t="str">
        <f t="shared" si="1101"/>
        <v>zintel</v>
      </c>
    </row>
    <row r="4326" spans="1:23">
      <c r="A4326" t="str">
        <f t="shared" si="1103"/>
        <v>REC1-FULL-0030</v>
      </c>
      <c r="B4326" t="str">
        <f>"77-8105-0200"</f>
        <v>77-8105-0200</v>
      </c>
      <c r="C4326" t="str">
        <f>"LM7 Content, Lab, REC 1, Cortex, Semester 2 TG"</f>
        <v>LM7 Content, Lab, REC 1, Cortex, Semester 2 TG</v>
      </c>
      <c r="D4326">
        <v>1</v>
      </c>
      <c r="E4326" t="str">
        <f t="shared" si="1104"/>
        <v>REC1, Unit 1-6, LM 7.x, 30 student</v>
      </c>
      <c r="F4326">
        <v>0</v>
      </c>
      <c r="G4326" t="str">
        <f t="shared" si="1094"/>
        <v>Y</v>
      </c>
      <c r="H4326" t="str">
        <f t="shared" si="1096"/>
        <v>EA</v>
      </c>
      <c r="I4326">
        <v>0</v>
      </c>
      <c r="J4326">
        <v>0</v>
      </c>
      <c r="K4326" t="str">
        <f t="shared" si="1095"/>
        <v>Y</v>
      </c>
      <c r="L4326">
        <v>0</v>
      </c>
      <c r="M4326" t="str">
        <f t="shared" si="1102"/>
        <v>NIS</v>
      </c>
      <c r="N4326" t="str">
        <f>"Y"</f>
        <v>Y</v>
      </c>
      <c r="O4326">
        <v>12</v>
      </c>
      <c r="P4326" t="str">
        <f t="shared" si="1100"/>
        <v>Active</v>
      </c>
      <c r="Q4326" t="str">
        <f>"LM7 Content, Lab, REC 1, Cortex, Semester 2 TG"</f>
        <v>LM7 Content, Lab, REC 1, Cortex, Semester 2 TG</v>
      </c>
      <c r="S4326" t="str">
        <f>"LM7 Content, Lab, REC 1, Cortex, Semester 2 TG"</f>
        <v>LM7 Content, Lab, REC 1, Cortex, Semester 2 TG</v>
      </c>
      <c r="T4326">
        <v>0</v>
      </c>
      <c r="U4326">
        <v>5</v>
      </c>
      <c r="V4326">
        <v>0</v>
      </c>
      <c r="W4326" t="str">
        <f t="shared" si="1101"/>
        <v>zintel</v>
      </c>
    </row>
    <row r="4327" spans="1:23">
      <c r="A4327" t="str">
        <f t="shared" si="1103"/>
        <v>REC1-FULL-0030</v>
      </c>
      <c r="B4327" t="str">
        <f>"77-8105-1000"</f>
        <v>77-8105-1000</v>
      </c>
      <c r="C4327" t="str">
        <f>"LM7 Content, Lab, REC 1 Semester 1, For Cortex"</f>
        <v>LM7 Content, Lab, REC 1 Semester 1, For Cortex</v>
      </c>
      <c r="D4327">
        <v>1</v>
      </c>
      <c r="E4327" t="str">
        <f t="shared" si="1104"/>
        <v>REC1, Unit 1-6, LM 7.x, 30 student</v>
      </c>
      <c r="F4327">
        <v>0</v>
      </c>
      <c r="G4327" t="str">
        <f t="shared" si="1094"/>
        <v>Y</v>
      </c>
      <c r="H4327" t="str">
        <f t="shared" si="1096"/>
        <v>EA</v>
      </c>
      <c r="I4327">
        <v>0</v>
      </c>
      <c r="J4327">
        <v>0</v>
      </c>
      <c r="K4327" t="str">
        <f t="shared" si="1095"/>
        <v>Y</v>
      </c>
      <c r="L4327">
        <v>0</v>
      </c>
      <c r="M4327" t="str">
        <f t="shared" si="1102"/>
        <v>NIS</v>
      </c>
      <c r="O4327">
        <v>13</v>
      </c>
      <c r="P4327" t="str">
        <f t="shared" si="1100"/>
        <v>Active</v>
      </c>
      <c r="Q4327" t="str">
        <f>"LM7 Content, Lab, REC 1 Semester 1, For Cortex"</f>
        <v>LM7 Content, Lab, REC 1 Semester 1, For Cortex</v>
      </c>
      <c r="S4327" t="str">
        <f>"LM7 Content, Lab, REC 1 Semester 1, For Cortex"</f>
        <v>LM7 Content, Lab, REC 1 Semester 1, For Cortex</v>
      </c>
      <c r="T4327">
        <v>0</v>
      </c>
      <c r="U4327">
        <v>5</v>
      </c>
      <c r="V4327">
        <v>5</v>
      </c>
      <c r="W4327" t="str">
        <f t="shared" si="1101"/>
        <v>zintel</v>
      </c>
    </row>
    <row r="4328" spans="1:23">
      <c r="A4328" t="str">
        <f t="shared" si="1103"/>
        <v>REC1-FULL-0030</v>
      </c>
      <c r="B4328" t="str">
        <f>"77-8105-2000"</f>
        <v>77-8105-2000</v>
      </c>
      <c r="C4328" t="str">
        <f>"LM7 Content, Lab, REC 1 Semester 2, For Cortex"</f>
        <v>LM7 Content, Lab, REC 1 Semester 2, For Cortex</v>
      </c>
      <c r="D4328">
        <v>1</v>
      </c>
      <c r="E4328" t="str">
        <f t="shared" si="1104"/>
        <v>REC1, Unit 1-6, LM 7.x, 30 student</v>
      </c>
      <c r="F4328">
        <v>0</v>
      </c>
      <c r="G4328" t="str">
        <f t="shared" si="1094"/>
        <v>Y</v>
      </c>
      <c r="H4328" t="str">
        <f t="shared" si="1096"/>
        <v>EA</v>
      </c>
      <c r="I4328">
        <v>0</v>
      </c>
      <c r="J4328">
        <v>0</v>
      </c>
      <c r="K4328" t="str">
        <f t="shared" si="1095"/>
        <v>Y</v>
      </c>
      <c r="L4328">
        <v>0</v>
      </c>
      <c r="M4328" t="str">
        <f t="shared" si="1102"/>
        <v>NIS</v>
      </c>
      <c r="O4328">
        <v>14</v>
      </c>
      <c r="P4328" t="str">
        <f t="shared" si="1100"/>
        <v>Active</v>
      </c>
      <c r="Q4328" t="str">
        <f>"LM7 Content, Lab, REC 1 Semester 2, For Cortex"</f>
        <v>LM7 Content, Lab, REC 1 Semester 2, For Cortex</v>
      </c>
      <c r="S4328" t="str">
        <f>"LM7 Content, Lab, REC 1 Semester 2, For Cortex"</f>
        <v>LM7 Content, Lab, REC 1 Semester 2, For Cortex</v>
      </c>
      <c r="T4328">
        <v>0</v>
      </c>
      <c r="U4328">
        <v>5</v>
      </c>
      <c r="V4328">
        <v>5</v>
      </c>
      <c r="W4328" t="str">
        <f t="shared" si="1101"/>
        <v>zintel</v>
      </c>
    </row>
    <row r="4329" spans="1:23">
      <c r="A4329" t="str">
        <f>"REC2-CURR-SEM1"</f>
        <v>REC2-CURR-SEM1</v>
      </c>
      <c r="B4329" t="str">
        <f>"77-8106-0070"</f>
        <v>77-8106-0070</v>
      </c>
      <c r="C4329" t="str">
        <f>"LM7 Content, Lab, REC 2, Cortex, Unit 7"</f>
        <v>LM7 Content, Lab, REC 2, Cortex, Unit 7</v>
      </c>
      <c r="D4329">
        <v>1</v>
      </c>
      <c r="E4329" t="str">
        <f>"REC2, Unit 7-9, LM 7.x, Curriculum only"</f>
        <v>REC2, Unit 7-9, LM 7.x, Curriculum only</v>
      </c>
      <c r="F4329">
        <v>0</v>
      </c>
      <c r="G4329" t="str">
        <f t="shared" si="1094"/>
        <v>Y</v>
      </c>
      <c r="H4329" t="str">
        <f t="shared" si="1096"/>
        <v>EA</v>
      </c>
      <c r="I4329">
        <v>0</v>
      </c>
      <c r="J4329">
        <v>0</v>
      </c>
      <c r="K4329" t="str">
        <f t="shared" si="1095"/>
        <v>Y</v>
      </c>
      <c r="L4329">
        <v>0</v>
      </c>
      <c r="M4329" t="str">
        <f t="shared" si="1102"/>
        <v>NIS</v>
      </c>
      <c r="N4329" t="str">
        <f>"Y"</f>
        <v>Y</v>
      </c>
      <c r="O4329">
        <v>2</v>
      </c>
      <c r="P4329" t="str">
        <f t="shared" si="1100"/>
        <v>Active</v>
      </c>
      <c r="Q4329" t="str">
        <f>"LM7 Content, Lab, REC 2, Cortex, Unit 7"</f>
        <v>LM7 Content, Lab, REC 2, Cortex, Unit 7</v>
      </c>
      <c r="S4329" t="str">
        <f>"LM7 Content, Lab, REC 2, Cortex, Unit 7"</f>
        <v>LM7 Content, Lab, REC 2, Cortex, Unit 7</v>
      </c>
      <c r="T4329">
        <v>0</v>
      </c>
      <c r="U4329">
        <v>5</v>
      </c>
      <c r="V4329">
        <v>5</v>
      </c>
      <c r="W4329" t="str">
        <f t="shared" si="1101"/>
        <v>zintel</v>
      </c>
    </row>
    <row r="4330" spans="1:23">
      <c r="A4330" t="str">
        <f>"REC2-CURR-SEM1"</f>
        <v>REC2-CURR-SEM1</v>
      </c>
      <c r="B4330" t="str">
        <f>"77-8106-0080"</f>
        <v>77-8106-0080</v>
      </c>
      <c r="C4330" t="str">
        <f>"LM7 Content, Lab, REC 2, Cortex, Unit 8"</f>
        <v>LM7 Content, Lab, REC 2, Cortex, Unit 8</v>
      </c>
      <c r="D4330">
        <v>1</v>
      </c>
      <c r="E4330" t="str">
        <f>"REC2, Unit 7-9, LM 7.x, Curriculum only"</f>
        <v>REC2, Unit 7-9, LM 7.x, Curriculum only</v>
      </c>
      <c r="F4330">
        <v>0</v>
      </c>
      <c r="G4330" t="str">
        <f t="shared" si="1094"/>
        <v>Y</v>
      </c>
      <c r="H4330" t="str">
        <f t="shared" si="1096"/>
        <v>EA</v>
      </c>
      <c r="I4330">
        <v>0</v>
      </c>
      <c r="J4330">
        <v>0</v>
      </c>
      <c r="K4330" t="str">
        <f t="shared" si="1095"/>
        <v>Y</v>
      </c>
      <c r="L4330">
        <v>0</v>
      </c>
      <c r="M4330" t="str">
        <f t="shared" si="1102"/>
        <v>NIS</v>
      </c>
      <c r="N4330" t="str">
        <f>"Y"</f>
        <v>Y</v>
      </c>
      <c r="O4330">
        <v>3</v>
      </c>
      <c r="P4330" t="str">
        <f t="shared" si="1100"/>
        <v>Active</v>
      </c>
      <c r="Q4330" t="str">
        <f>"LM7 Content, Lab, REC 2, Cortex, Unit 8"</f>
        <v>LM7 Content, Lab, REC 2, Cortex, Unit 8</v>
      </c>
      <c r="S4330" t="str">
        <f>"LM7 Content, Lab, REC 2, Cortex, Unit 8"</f>
        <v>LM7 Content, Lab, REC 2, Cortex, Unit 8</v>
      </c>
      <c r="T4330">
        <v>0</v>
      </c>
      <c r="U4330">
        <v>5</v>
      </c>
      <c r="V4330">
        <v>5</v>
      </c>
      <c r="W4330" t="str">
        <f t="shared" si="1101"/>
        <v>zintel</v>
      </c>
    </row>
    <row r="4331" spans="1:23">
      <c r="A4331" t="str">
        <f>"REC2-CURR-SEM1"</f>
        <v>REC2-CURR-SEM1</v>
      </c>
      <c r="B4331" t="str">
        <f>"77-8106-0090"</f>
        <v>77-8106-0090</v>
      </c>
      <c r="C4331" t="str">
        <f>"LM7 Content, Lab, REC 2, Cortex, Unit 9"</f>
        <v>LM7 Content, Lab, REC 2, Cortex, Unit 9</v>
      </c>
      <c r="D4331">
        <v>1</v>
      </c>
      <c r="E4331" t="str">
        <f>"REC2, Unit 7-9, LM 7.x, Curriculum only"</f>
        <v>REC2, Unit 7-9, LM 7.x, Curriculum only</v>
      </c>
      <c r="F4331">
        <v>0</v>
      </c>
      <c r="G4331" t="str">
        <f t="shared" si="1094"/>
        <v>Y</v>
      </c>
      <c r="H4331" t="str">
        <f t="shared" si="1096"/>
        <v>EA</v>
      </c>
      <c r="I4331">
        <v>0</v>
      </c>
      <c r="J4331">
        <v>0</v>
      </c>
      <c r="K4331" t="str">
        <f t="shared" si="1095"/>
        <v>Y</v>
      </c>
      <c r="L4331">
        <v>0</v>
      </c>
      <c r="M4331" t="str">
        <f t="shared" si="1102"/>
        <v>NIS</v>
      </c>
      <c r="N4331" t="str">
        <f>"Y"</f>
        <v>Y</v>
      </c>
      <c r="O4331">
        <v>4</v>
      </c>
      <c r="P4331" t="str">
        <f t="shared" si="1100"/>
        <v>Active</v>
      </c>
      <c r="Q4331" t="str">
        <f>"LM7 Content, Lab, REC 2, Cortex, Unit 9"</f>
        <v>LM7 Content, Lab, REC 2, Cortex, Unit 9</v>
      </c>
      <c r="S4331" t="str">
        <f>"LM7 Content, Lab, REC 2, Cortex, Unit 9"</f>
        <v>LM7 Content, Lab, REC 2, Cortex, Unit 9</v>
      </c>
      <c r="T4331">
        <v>0</v>
      </c>
      <c r="U4331">
        <v>5</v>
      </c>
      <c r="V4331">
        <v>5</v>
      </c>
      <c r="W4331" t="str">
        <f t="shared" si="1101"/>
        <v>zintel</v>
      </c>
    </row>
    <row r="4332" spans="1:23">
      <c r="A4332" t="str">
        <f>"REC2-CURR-SEM1"</f>
        <v>REC2-CURR-SEM1</v>
      </c>
      <c r="B4332" t="str">
        <f>"77-8106-0000"</f>
        <v>77-8106-0000</v>
      </c>
      <c r="C4332" t="str">
        <f>"LM7 Content, Lab, REC 2, Cortex, TG"</f>
        <v>LM7 Content, Lab, REC 2, Cortex, TG</v>
      </c>
      <c r="D4332">
        <v>1</v>
      </c>
      <c r="E4332" t="str">
        <f>"REC2, Unit 7-9, LM 7.x, Curriculum only"</f>
        <v>REC2, Unit 7-9, LM 7.x, Curriculum only</v>
      </c>
      <c r="F4332">
        <v>0</v>
      </c>
      <c r="G4332" t="str">
        <f t="shared" si="1094"/>
        <v>Y</v>
      </c>
      <c r="H4332" t="str">
        <f t="shared" si="1096"/>
        <v>EA</v>
      </c>
      <c r="I4332">
        <v>0</v>
      </c>
      <c r="J4332">
        <v>0</v>
      </c>
      <c r="K4332" t="str">
        <f t="shared" si="1095"/>
        <v>Y</v>
      </c>
      <c r="L4332">
        <v>0</v>
      </c>
      <c r="M4332" t="str">
        <f t="shared" si="1102"/>
        <v>NIS</v>
      </c>
      <c r="N4332" t="str">
        <f>"Y"</f>
        <v>Y</v>
      </c>
      <c r="O4332">
        <v>5</v>
      </c>
      <c r="P4332" t="str">
        <f t="shared" si="1100"/>
        <v>Active</v>
      </c>
      <c r="Q4332" t="str">
        <f>"LM7 Content, Lab, REC 2, Cortex, TG"</f>
        <v>LM7 Content, Lab, REC 2, Cortex, TG</v>
      </c>
      <c r="S4332" t="str">
        <f>"LM7 Content, Lab, REC 2, Cortex, TG"</f>
        <v>LM7 Content, Lab, REC 2, Cortex, TG</v>
      </c>
      <c r="T4332">
        <v>0</v>
      </c>
      <c r="U4332">
        <v>5</v>
      </c>
      <c r="V4332">
        <v>0</v>
      </c>
      <c r="W4332" t="str">
        <f t="shared" si="1101"/>
        <v>zintel</v>
      </c>
    </row>
    <row r="4333" spans="1:23">
      <c r="A4333" t="str">
        <f>"REC2-CURR-SEM1"</f>
        <v>REC2-CURR-SEM1</v>
      </c>
      <c r="B4333" t="str">
        <f>"77-8106-1000"</f>
        <v>77-8106-1000</v>
      </c>
      <c r="C4333" t="str">
        <f>"LM7 Content, Lab, REC 2 Semester 1, For Cortex"</f>
        <v>LM7 Content, Lab, REC 2 Semester 1, For Cortex</v>
      </c>
      <c r="D4333">
        <v>1</v>
      </c>
      <c r="E4333" t="str">
        <f>"REC2, Unit 7-9, LM 7.x, Curriculum only"</f>
        <v>REC2, Unit 7-9, LM 7.x, Curriculum only</v>
      </c>
      <c r="F4333">
        <v>0</v>
      </c>
      <c r="G4333" t="str">
        <f t="shared" si="1094"/>
        <v>Y</v>
      </c>
      <c r="H4333" t="str">
        <f t="shared" si="1096"/>
        <v>EA</v>
      </c>
      <c r="I4333">
        <v>0</v>
      </c>
      <c r="J4333">
        <v>0</v>
      </c>
      <c r="K4333" t="str">
        <f t="shared" si="1095"/>
        <v>Y</v>
      </c>
      <c r="L4333">
        <v>0</v>
      </c>
      <c r="M4333" t="str">
        <f t="shared" si="1102"/>
        <v>NIS</v>
      </c>
      <c r="O4333">
        <v>6</v>
      </c>
      <c r="P4333" t="str">
        <f>"New"</f>
        <v>New</v>
      </c>
      <c r="Q4333" t="str">
        <f>"LM7 Content, Lab, REC 2 Semester 1, For Cortex"</f>
        <v>LM7 Content, Lab, REC 2 Semester 1, For Cortex</v>
      </c>
      <c r="S4333" t="str">
        <f>"LM7 Content, Lab, REC 2 Semester 1, For Cortex"</f>
        <v>LM7 Content, Lab, REC 2 Semester 1, For Cortex</v>
      </c>
      <c r="T4333">
        <v>0</v>
      </c>
      <c r="U4333">
        <v>5</v>
      </c>
      <c r="V4333">
        <v>5</v>
      </c>
      <c r="W4333" t="str">
        <f t="shared" si="1101"/>
        <v>zintel</v>
      </c>
    </row>
    <row r="4334" spans="1:23">
      <c r="A4334" t="str">
        <f>"REC2-CURR-SEM2"</f>
        <v>REC2-CURR-SEM2</v>
      </c>
      <c r="B4334" t="str">
        <f>"77-8106-0100"</f>
        <v>77-8106-0100</v>
      </c>
      <c r="C4334" t="str">
        <f>"LM7 Content, Lab, REC 2, Cortex, Unit 10"</f>
        <v>LM7 Content, Lab, REC 2, Cortex, Unit 10</v>
      </c>
      <c r="D4334">
        <v>1</v>
      </c>
      <c r="E4334" t="str">
        <f>"REC2, Unit 10-12, LM 7.x, Curriculum only"</f>
        <v>REC2, Unit 10-12, LM 7.x, Curriculum only</v>
      </c>
      <c r="F4334">
        <v>0</v>
      </c>
      <c r="G4334" t="str">
        <f t="shared" si="1094"/>
        <v>Y</v>
      </c>
      <c r="H4334" t="str">
        <f t="shared" si="1096"/>
        <v>EA</v>
      </c>
      <c r="I4334">
        <v>0</v>
      </c>
      <c r="J4334">
        <v>0</v>
      </c>
      <c r="K4334" t="str">
        <f t="shared" si="1095"/>
        <v>Y</v>
      </c>
      <c r="L4334">
        <v>0</v>
      </c>
      <c r="M4334" t="str">
        <f t="shared" si="1102"/>
        <v>NIS</v>
      </c>
      <c r="N4334" t="str">
        <f>"Y"</f>
        <v>Y</v>
      </c>
      <c r="O4334">
        <v>1</v>
      </c>
      <c r="P4334" t="str">
        <f>"Active"</f>
        <v>Active</v>
      </c>
      <c r="Q4334" t="str">
        <f>"LM7 Content, Lab, REC 2, Cortex, Unit 10"</f>
        <v>LM7 Content, Lab, REC 2, Cortex, Unit 10</v>
      </c>
      <c r="S4334" t="str">
        <f>"LM7 Content, Lab, REC 2, Cortex, Unit 10"</f>
        <v>LM7 Content, Lab, REC 2, Cortex, Unit 10</v>
      </c>
      <c r="T4334">
        <v>0</v>
      </c>
      <c r="U4334">
        <v>5</v>
      </c>
      <c r="V4334">
        <v>5</v>
      </c>
      <c r="W4334" t="str">
        <f t="shared" si="1101"/>
        <v>zintel</v>
      </c>
    </row>
    <row r="4335" spans="1:23">
      <c r="A4335" t="str">
        <f>"REC2-CURR-SEM2"</f>
        <v>REC2-CURR-SEM2</v>
      </c>
      <c r="B4335" t="str">
        <f>"77-8106-0110"</f>
        <v>77-8106-0110</v>
      </c>
      <c r="C4335" t="str">
        <f>"LM7 Content, Lab, REC 2, Cortex, Unit 11"</f>
        <v>LM7 Content, Lab, REC 2, Cortex, Unit 11</v>
      </c>
      <c r="D4335">
        <v>1</v>
      </c>
      <c r="E4335" t="str">
        <f>"REC2, Unit 10-12, LM 7.x, Curriculum only"</f>
        <v>REC2, Unit 10-12, LM 7.x, Curriculum only</v>
      </c>
      <c r="F4335">
        <v>0</v>
      </c>
      <c r="G4335" t="str">
        <f t="shared" si="1094"/>
        <v>Y</v>
      </c>
      <c r="H4335" t="str">
        <f t="shared" si="1096"/>
        <v>EA</v>
      </c>
      <c r="I4335">
        <v>0</v>
      </c>
      <c r="J4335">
        <v>0</v>
      </c>
      <c r="K4335" t="str">
        <f t="shared" si="1095"/>
        <v>Y</v>
      </c>
      <c r="L4335">
        <v>0</v>
      </c>
      <c r="M4335" t="str">
        <f t="shared" si="1102"/>
        <v>NIS</v>
      </c>
      <c r="N4335" t="str">
        <f>"Y"</f>
        <v>Y</v>
      </c>
      <c r="O4335">
        <v>2</v>
      </c>
      <c r="P4335" t="str">
        <f>"Active"</f>
        <v>Active</v>
      </c>
      <c r="Q4335" t="str">
        <f>"LM7 Content, Lab, REC 2, Cortex, Unit 11"</f>
        <v>LM7 Content, Lab, REC 2, Cortex, Unit 11</v>
      </c>
      <c r="S4335" t="str">
        <f>"LM7 Content, Lab, REC 2, Cortex, Unit 11"</f>
        <v>LM7 Content, Lab, REC 2, Cortex, Unit 11</v>
      </c>
      <c r="T4335">
        <v>0</v>
      </c>
      <c r="U4335">
        <v>5</v>
      </c>
      <c r="V4335">
        <v>5</v>
      </c>
      <c r="W4335" t="str">
        <f t="shared" ref="W4335:W4359" si="1106">"zintel"</f>
        <v>zintel</v>
      </c>
    </row>
    <row r="4336" spans="1:23">
      <c r="A4336" t="str">
        <f>"REC2-CURR-SEM2"</f>
        <v>REC2-CURR-SEM2</v>
      </c>
      <c r="B4336" t="str">
        <f>"77-8106-0120"</f>
        <v>77-8106-0120</v>
      </c>
      <c r="C4336" t="str">
        <f>"LM7 Content, Lab, REC 2, Cortex, Unit 12"</f>
        <v>LM7 Content, Lab, REC 2, Cortex, Unit 12</v>
      </c>
      <c r="D4336">
        <v>1</v>
      </c>
      <c r="E4336" t="str">
        <f>"REC2, Unit 10-12, LM 7.x, Curriculum only"</f>
        <v>REC2, Unit 10-12, LM 7.x, Curriculum only</v>
      </c>
      <c r="F4336">
        <v>0</v>
      </c>
      <c r="G4336" t="str">
        <f t="shared" si="1094"/>
        <v>Y</v>
      </c>
      <c r="H4336" t="str">
        <f t="shared" si="1096"/>
        <v>EA</v>
      </c>
      <c r="I4336">
        <v>0</v>
      </c>
      <c r="J4336">
        <v>0</v>
      </c>
      <c r="K4336" t="str">
        <f t="shared" si="1095"/>
        <v>Y</v>
      </c>
      <c r="L4336">
        <v>0</v>
      </c>
      <c r="M4336" t="str">
        <f t="shared" si="1102"/>
        <v>NIS</v>
      </c>
      <c r="N4336" t="str">
        <f>"Y"</f>
        <v>Y</v>
      </c>
      <c r="O4336">
        <v>3</v>
      </c>
      <c r="P4336" t="str">
        <f>"Active"</f>
        <v>Active</v>
      </c>
      <c r="Q4336" t="str">
        <f>"LM7 Content, Lab, REC 2, Cortex, Unit 12"</f>
        <v>LM7 Content, Lab, REC 2, Cortex, Unit 12</v>
      </c>
      <c r="S4336" t="str">
        <f>"LM7 Content, Lab, REC 2, Cortex, Unit 12"</f>
        <v>LM7 Content, Lab, REC 2, Cortex, Unit 12</v>
      </c>
      <c r="T4336">
        <v>0</v>
      </c>
      <c r="U4336">
        <v>5</v>
      </c>
      <c r="V4336">
        <v>5</v>
      </c>
      <c r="W4336" t="str">
        <f t="shared" si="1106"/>
        <v>zintel</v>
      </c>
    </row>
    <row r="4337" spans="1:23">
      <c r="A4337" t="str">
        <f>"REC2-CURR-SEM2"</f>
        <v>REC2-CURR-SEM2</v>
      </c>
      <c r="B4337" t="str">
        <f>"77-8106-2000"</f>
        <v>77-8106-2000</v>
      </c>
      <c r="C4337" t="str">
        <f>"LM7 Content, Lab, REC 2 Semester 2, For Cortex"</f>
        <v>LM7 Content, Lab, REC 2 Semester 2, For Cortex</v>
      </c>
      <c r="D4337">
        <v>1</v>
      </c>
      <c r="E4337" t="str">
        <f>"REC2, Unit 10-12, LM 7.x, Curriculum only"</f>
        <v>REC2, Unit 10-12, LM 7.x, Curriculum only</v>
      </c>
      <c r="F4337">
        <v>0</v>
      </c>
      <c r="G4337" t="str">
        <f t="shared" si="1094"/>
        <v>Y</v>
      </c>
      <c r="H4337" t="str">
        <f t="shared" si="1096"/>
        <v>EA</v>
      </c>
      <c r="I4337">
        <v>0</v>
      </c>
      <c r="J4337">
        <v>0</v>
      </c>
      <c r="K4337" t="str">
        <f t="shared" si="1095"/>
        <v>Y</v>
      </c>
      <c r="L4337">
        <v>0</v>
      </c>
      <c r="M4337" t="str">
        <f t="shared" si="1102"/>
        <v>NIS</v>
      </c>
      <c r="O4337">
        <v>4</v>
      </c>
      <c r="P4337" t="str">
        <f>"New"</f>
        <v>New</v>
      </c>
      <c r="Q4337" t="str">
        <f>"LM7 Content, Lab, REC 2 Semester 2, For Cortex"</f>
        <v>LM7 Content, Lab, REC 2 Semester 2, For Cortex</v>
      </c>
      <c r="S4337" t="str">
        <f>"LM7 Content, Lab, REC 2 Semester 2, For Cortex"</f>
        <v>LM7 Content, Lab, REC 2 Semester 2, For Cortex</v>
      </c>
      <c r="T4337">
        <v>0</v>
      </c>
      <c r="U4337">
        <v>5</v>
      </c>
      <c r="V4337">
        <v>5</v>
      </c>
      <c r="W4337" t="str">
        <f t="shared" si="1106"/>
        <v>zintel</v>
      </c>
    </row>
    <row r="4338" spans="1:23">
      <c r="A4338" t="str">
        <f t="shared" ref="A4338:A4348" si="1107">"REC2-FULL-0010"</f>
        <v>REC2-FULL-0010</v>
      </c>
      <c r="B4338" t="str">
        <f>"77-8106-0000"</f>
        <v>77-8106-0000</v>
      </c>
      <c r="C4338" t="str">
        <f>"LM7 Content, Lab, REC 2, Cortex, TG"</f>
        <v>LM7 Content, Lab, REC 2, Cortex, TG</v>
      </c>
      <c r="D4338">
        <v>1</v>
      </c>
      <c r="E4338" t="str">
        <f t="shared" ref="E4338:E4348" si="1108">"REC2, Unit 7-12, LM 7.x, 10 student"</f>
        <v>REC2, Unit 7-12, LM 7.x, 10 student</v>
      </c>
      <c r="F4338">
        <v>0</v>
      </c>
      <c r="G4338" t="str">
        <f t="shared" si="1094"/>
        <v>Y</v>
      </c>
      <c r="H4338" t="str">
        <f t="shared" si="1096"/>
        <v>EA</v>
      </c>
      <c r="I4338">
        <v>0</v>
      </c>
      <c r="J4338">
        <v>0</v>
      </c>
      <c r="K4338" t="str">
        <f t="shared" si="1095"/>
        <v>Y</v>
      </c>
      <c r="L4338">
        <v>0</v>
      </c>
      <c r="M4338" t="str">
        <f t="shared" si="1102"/>
        <v>NIS</v>
      </c>
      <c r="N4338" t="str">
        <f t="shared" ref="N4338:N4344" si="1109">"Y"</f>
        <v>Y</v>
      </c>
      <c r="O4338">
        <v>1</v>
      </c>
      <c r="P4338" t="str">
        <f t="shared" ref="P4338:P4346" si="1110">"Active"</f>
        <v>Active</v>
      </c>
      <c r="Q4338" t="str">
        <f>"LM7 Content, Lab, REC 2, Cortex, TG"</f>
        <v>LM7 Content, Lab, REC 2, Cortex, TG</v>
      </c>
      <c r="S4338" t="str">
        <f>"LM7 Content, Lab, REC 2, Cortex, TG"</f>
        <v>LM7 Content, Lab, REC 2, Cortex, TG</v>
      </c>
      <c r="T4338">
        <v>0</v>
      </c>
      <c r="U4338">
        <v>5</v>
      </c>
      <c r="V4338">
        <v>0</v>
      </c>
      <c r="W4338" t="str">
        <f t="shared" si="1106"/>
        <v>zintel</v>
      </c>
    </row>
    <row r="4339" spans="1:23">
      <c r="A4339" t="str">
        <f t="shared" si="1107"/>
        <v>REC2-FULL-0010</v>
      </c>
      <c r="B4339" t="str">
        <f>"77-8106-0070"</f>
        <v>77-8106-0070</v>
      </c>
      <c r="C4339" t="str">
        <f>"LM7 Content, Lab, REC 2, Cortex, Unit 7"</f>
        <v>LM7 Content, Lab, REC 2, Cortex, Unit 7</v>
      </c>
      <c r="D4339">
        <v>1</v>
      </c>
      <c r="E4339" t="str">
        <f t="shared" si="1108"/>
        <v>REC2, Unit 7-12, LM 7.x, 10 student</v>
      </c>
      <c r="F4339">
        <v>0</v>
      </c>
      <c r="G4339" t="str">
        <f t="shared" si="1094"/>
        <v>Y</v>
      </c>
      <c r="H4339" t="str">
        <f t="shared" si="1096"/>
        <v>EA</v>
      </c>
      <c r="I4339">
        <v>0</v>
      </c>
      <c r="J4339">
        <v>0</v>
      </c>
      <c r="K4339" t="str">
        <f t="shared" si="1095"/>
        <v>Y</v>
      </c>
      <c r="L4339">
        <v>0</v>
      </c>
      <c r="M4339" t="str">
        <f t="shared" si="1102"/>
        <v>NIS</v>
      </c>
      <c r="N4339" t="str">
        <f t="shared" si="1109"/>
        <v>Y</v>
      </c>
      <c r="O4339">
        <v>2</v>
      </c>
      <c r="P4339" t="str">
        <f t="shared" si="1110"/>
        <v>Active</v>
      </c>
      <c r="Q4339" t="str">
        <f>"LM7 Content, Lab, REC 2, Cortex, Unit 7"</f>
        <v>LM7 Content, Lab, REC 2, Cortex, Unit 7</v>
      </c>
      <c r="S4339" t="str">
        <f>"LM7 Content, Lab, REC 2, Cortex, Unit 7"</f>
        <v>LM7 Content, Lab, REC 2, Cortex, Unit 7</v>
      </c>
      <c r="T4339">
        <v>0</v>
      </c>
      <c r="U4339">
        <v>5</v>
      </c>
      <c r="V4339">
        <v>5</v>
      </c>
      <c r="W4339" t="str">
        <f t="shared" si="1106"/>
        <v>zintel</v>
      </c>
    </row>
    <row r="4340" spans="1:23">
      <c r="A4340" t="str">
        <f t="shared" si="1107"/>
        <v>REC2-FULL-0010</v>
      </c>
      <c r="B4340" t="str">
        <f>"77-8106-0080"</f>
        <v>77-8106-0080</v>
      </c>
      <c r="C4340" t="str">
        <f>"LM7 Content, Lab, REC 2, Cortex, Unit 8"</f>
        <v>LM7 Content, Lab, REC 2, Cortex, Unit 8</v>
      </c>
      <c r="D4340">
        <v>1</v>
      </c>
      <c r="E4340" t="str">
        <f t="shared" si="1108"/>
        <v>REC2, Unit 7-12, LM 7.x, 10 student</v>
      </c>
      <c r="F4340">
        <v>0</v>
      </c>
      <c r="G4340" t="str">
        <f t="shared" si="1094"/>
        <v>Y</v>
      </c>
      <c r="H4340" t="str">
        <f t="shared" si="1096"/>
        <v>EA</v>
      </c>
      <c r="I4340">
        <v>0</v>
      </c>
      <c r="J4340">
        <v>0</v>
      </c>
      <c r="K4340" t="str">
        <f t="shared" si="1095"/>
        <v>Y</v>
      </c>
      <c r="L4340">
        <v>0</v>
      </c>
      <c r="M4340" t="str">
        <f t="shared" si="1102"/>
        <v>NIS</v>
      </c>
      <c r="N4340" t="str">
        <f t="shared" si="1109"/>
        <v>Y</v>
      </c>
      <c r="O4340">
        <v>3</v>
      </c>
      <c r="P4340" t="str">
        <f t="shared" si="1110"/>
        <v>Active</v>
      </c>
      <c r="Q4340" t="str">
        <f>"LM7 Content, Lab, REC 2, Cortex, Unit 8"</f>
        <v>LM7 Content, Lab, REC 2, Cortex, Unit 8</v>
      </c>
      <c r="S4340" t="str">
        <f>"LM7 Content, Lab, REC 2, Cortex, Unit 8"</f>
        <v>LM7 Content, Lab, REC 2, Cortex, Unit 8</v>
      </c>
      <c r="T4340">
        <v>0</v>
      </c>
      <c r="U4340">
        <v>5</v>
      </c>
      <c r="V4340">
        <v>5</v>
      </c>
      <c r="W4340" t="str">
        <f t="shared" si="1106"/>
        <v>zintel</v>
      </c>
    </row>
    <row r="4341" spans="1:23">
      <c r="A4341" t="str">
        <f t="shared" si="1107"/>
        <v>REC2-FULL-0010</v>
      </c>
      <c r="B4341" t="str">
        <f>"77-8106-0090"</f>
        <v>77-8106-0090</v>
      </c>
      <c r="C4341" t="str">
        <f>"LM7 Content, Lab, REC 2, Cortex, Unit 9"</f>
        <v>LM7 Content, Lab, REC 2, Cortex, Unit 9</v>
      </c>
      <c r="D4341">
        <v>1</v>
      </c>
      <c r="E4341" t="str">
        <f t="shared" si="1108"/>
        <v>REC2, Unit 7-12, LM 7.x, 10 student</v>
      </c>
      <c r="F4341">
        <v>0</v>
      </c>
      <c r="G4341" t="str">
        <f t="shared" si="1094"/>
        <v>Y</v>
      </c>
      <c r="H4341" t="str">
        <f t="shared" si="1096"/>
        <v>EA</v>
      </c>
      <c r="I4341">
        <v>0</v>
      </c>
      <c r="J4341">
        <v>0</v>
      </c>
      <c r="K4341" t="str">
        <f t="shared" si="1095"/>
        <v>Y</v>
      </c>
      <c r="L4341">
        <v>0</v>
      </c>
      <c r="M4341" t="str">
        <f t="shared" si="1102"/>
        <v>NIS</v>
      </c>
      <c r="N4341" t="str">
        <f t="shared" si="1109"/>
        <v>Y</v>
      </c>
      <c r="O4341">
        <v>4</v>
      </c>
      <c r="P4341" t="str">
        <f t="shared" si="1110"/>
        <v>Active</v>
      </c>
      <c r="Q4341" t="str">
        <f>"LM7 Content, Lab, REC 2, Cortex, Unit 9"</f>
        <v>LM7 Content, Lab, REC 2, Cortex, Unit 9</v>
      </c>
      <c r="S4341" t="str">
        <f>"LM7 Content, Lab, REC 2, Cortex, Unit 9"</f>
        <v>LM7 Content, Lab, REC 2, Cortex, Unit 9</v>
      </c>
      <c r="T4341">
        <v>0</v>
      </c>
      <c r="U4341">
        <v>5</v>
      </c>
      <c r="V4341">
        <v>5</v>
      </c>
      <c r="W4341" t="str">
        <f t="shared" si="1106"/>
        <v>zintel</v>
      </c>
    </row>
    <row r="4342" spans="1:23">
      <c r="A4342" t="str">
        <f t="shared" si="1107"/>
        <v>REC2-FULL-0010</v>
      </c>
      <c r="B4342" t="str">
        <f>"77-8106-0100"</f>
        <v>77-8106-0100</v>
      </c>
      <c r="C4342" t="str">
        <f>"LM7 Content, Lab, REC 2, Cortex, Unit 10"</f>
        <v>LM7 Content, Lab, REC 2, Cortex, Unit 10</v>
      </c>
      <c r="D4342">
        <v>1</v>
      </c>
      <c r="E4342" t="str">
        <f t="shared" si="1108"/>
        <v>REC2, Unit 7-12, LM 7.x, 10 student</v>
      </c>
      <c r="F4342">
        <v>0</v>
      </c>
      <c r="G4342" t="str">
        <f t="shared" si="1094"/>
        <v>Y</v>
      </c>
      <c r="H4342" t="str">
        <f t="shared" si="1096"/>
        <v>EA</v>
      </c>
      <c r="I4342">
        <v>0</v>
      </c>
      <c r="J4342">
        <v>0</v>
      </c>
      <c r="K4342" t="str">
        <f t="shared" si="1095"/>
        <v>Y</v>
      </c>
      <c r="L4342">
        <v>0</v>
      </c>
      <c r="M4342" t="str">
        <f t="shared" si="1102"/>
        <v>NIS</v>
      </c>
      <c r="N4342" t="str">
        <f t="shared" si="1109"/>
        <v>Y</v>
      </c>
      <c r="O4342">
        <v>5</v>
      </c>
      <c r="P4342" t="str">
        <f t="shared" si="1110"/>
        <v>Active</v>
      </c>
      <c r="Q4342" t="str">
        <f>"LM7 Content, Lab, REC 2, Cortex, Unit 10"</f>
        <v>LM7 Content, Lab, REC 2, Cortex, Unit 10</v>
      </c>
      <c r="S4342" t="str">
        <f>"LM7 Content, Lab, REC 2, Cortex, Unit 10"</f>
        <v>LM7 Content, Lab, REC 2, Cortex, Unit 10</v>
      </c>
      <c r="T4342">
        <v>0</v>
      </c>
      <c r="U4342">
        <v>5</v>
      </c>
      <c r="V4342">
        <v>5</v>
      </c>
      <c r="W4342" t="str">
        <f t="shared" si="1106"/>
        <v>zintel</v>
      </c>
    </row>
    <row r="4343" spans="1:23">
      <c r="A4343" t="str">
        <f t="shared" si="1107"/>
        <v>REC2-FULL-0010</v>
      </c>
      <c r="B4343" t="str">
        <f>"77-8106-0110"</f>
        <v>77-8106-0110</v>
      </c>
      <c r="C4343" t="str">
        <f>"LM7 Content, Lab, REC 2, Cortex, Unit 11"</f>
        <v>LM7 Content, Lab, REC 2, Cortex, Unit 11</v>
      </c>
      <c r="D4343">
        <v>1</v>
      </c>
      <c r="E4343" t="str">
        <f t="shared" si="1108"/>
        <v>REC2, Unit 7-12, LM 7.x, 10 student</v>
      </c>
      <c r="F4343">
        <v>0</v>
      </c>
      <c r="G4343" t="str">
        <f t="shared" si="1094"/>
        <v>Y</v>
      </c>
      <c r="H4343" t="str">
        <f t="shared" si="1096"/>
        <v>EA</v>
      </c>
      <c r="I4343">
        <v>0</v>
      </c>
      <c r="J4343">
        <v>0</v>
      </c>
      <c r="K4343" t="str">
        <f t="shared" si="1095"/>
        <v>Y</v>
      </c>
      <c r="L4343">
        <v>0</v>
      </c>
      <c r="M4343" t="str">
        <f t="shared" si="1102"/>
        <v>NIS</v>
      </c>
      <c r="N4343" t="str">
        <f t="shared" si="1109"/>
        <v>Y</v>
      </c>
      <c r="O4343">
        <v>6</v>
      </c>
      <c r="P4343" t="str">
        <f t="shared" si="1110"/>
        <v>Active</v>
      </c>
      <c r="Q4343" t="str">
        <f>"LM7 Content, Lab, REC 2, Cortex, Unit 11"</f>
        <v>LM7 Content, Lab, REC 2, Cortex, Unit 11</v>
      </c>
      <c r="S4343" t="str">
        <f>"LM7 Content, Lab, REC 2, Cortex, Unit 11"</f>
        <v>LM7 Content, Lab, REC 2, Cortex, Unit 11</v>
      </c>
      <c r="T4343">
        <v>0</v>
      </c>
      <c r="U4343">
        <v>5</v>
      </c>
      <c r="V4343">
        <v>5</v>
      </c>
      <c r="W4343" t="str">
        <f t="shared" si="1106"/>
        <v>zintel</v>
      </c>
    </row>
    <row r="4344" spans="1:23">
      <c r="A4344" t="str">
        <f t="shared" si="1107"/>
        <v>REC2-FULL-0010</v>
      </c>
      <c r="B4344" t="str">
        <f>"77-8106-0120"</f>
        <v>77-8106-0120</v>
      </c>
      <c r="C4344" t="str">
        <f>"LM7 Content, Lab, REC 2, Cortex, Unit 12"</f>
        <v>LM7 Content, Lab, REC 2, Cortex, Unit 12</v>
      </c>
      <c r="D4344">
        <v>1</v>
      </c>
      <c r="E4344" t="str">
        <f t="shared" si="1108"/>
        <v>REC2, Unit 7-12, LM 7.x, 10 student</v>
      </c>
      <c r="F4344">
        <v>0</v>
      </c>
      <c r="G4344" t="str">
        <f t="shared" si="1094"/>
        <v>Y</v>
      </c>
      <c r="H4344" t="str">
        <f t="shared" si="1096"/>
        <v>EA</v>
      </c>
      <c r="I4344">
        <v>0</v>
      </c>
      <c r="J4344">
        <v>0</v>
      </c>
      <c r="K4344" t="str">
        <f t="shared" si="1095"/>
        <v>Y</v>
      </c>
      <c r="L4344">
        <v>0</v>
      </c>
      <c r="M4344" t="str">
        <f t="shared" si="1102"/>
        <v>NIS</v>
      </c>
      <c r="N4344" t="str">
        <f t="shared" si="1109"/>
        <v>Y</v>
      </c>
      <c r="O4344">
        <v>7</v>
      </c>
      <c r="P4344" t="str">
        <f t="shared" si="1110"/>
        <v>Active</v>
      </c>
      <c r="Q4344" t="str">
        <f>"LM7 Content, Lab, REC 2, Cortex, Unit 12"</f>
        <v>LM7 Content, Lab, REC 2, Cortex, Unit 12</v>
      </c>
      <c r="S4344" t="str">
        <f>"LM7 Content, Lab, REC 2, Cortex, Unit 12"</f>
        <v>LM7 Content, Lab, REC 2, Cortex, Unit 12</v>
      </c>
      <c r="T4344">
        <v>0</v>
      </c>
      <c r="U4344">
        <v>5</v>
      </c>
      <c r="V4344">
        <v>5</v>
      </c>
      <c r="W4344" t="str">
        <f t="shared" si="1106"/>
        <v>zintel</v>
      </c>
    </row>
    <row r="4345" spans="1:23">
      <c r="A4345" t="str">
        <f t="shared" si="1107"/>
        <v>REC2-FULL-0010</v>
      </c>
      <c r="B4345" t="str">
        <f>"22-0006-0006"</f>
        <v>22-0006-0006</v>
      </c>
      <c r="C4345" t="str">
        <f>"Assembly, REC, Sem 2, Electronics Kit, 6 Robots"</f>
        <v>Assembly, REC, Sem 2, Electronics Kit, 6 Robots</v>
      </c>
      <c r="D4345">
        <v>1</v>
      </c>
      <c r="E4345" t="str">
        <f t="shared" si="1108"/>
        <v>REC2, Unit 7-12, LM 7.x, 10 student</v>
      </c>
      <c r="F4345">
        <v>0</v>
      </c>
      <c r="G4345" t="str">
        <f t="shared" si="1094"/>
        <v>Y</v>
      </c>
      <c r="H4345" t="str">
        <f t="shared" si="1096"/>
        <v>EA</v>
      </c>
      <c r="I4345">
        <v>0</v>
      </c>
      <c r="J4345">
        <v>0</v>
      </c>
      <c r="K4345" t="str">
        <f t="shared" si="1095"/>
        <v>Y</v>
      </c>
      <c r="L4345">
        <v>0</v>
      </c>
      <c r="M4345" t="str">
        <f t="shared" si="1102"/>
        <v>NIS</v>
      </c>
      <c r="O4345">
        <v>8</v>
      </c>
      <c r="P4345" t="str">
        <f t="shared" si="1110"/>
        <v>Active</v>
      </c>
      <c r="Q4345" t="str">
        <f>"Assembly, REC, Sem 2, Electronics Kit, 6 Robots"</f>
        <v>Assembly, REC, Sem 2, Electronics Kit, 6 Robots</v>
      </c>
      <c r="S4345" t="str">
        <f>"Assembly, REC, Sem 2, Electronics Kit, 6 Robots"</f>
        <v>Assembly, REC, Sem 2, Electronics Kit, 6 Robots</v>
      </c>
      <c r="T4345">
        <v>364.18</v>
      </c>
      <c r="U4345">
        <v>382</v>
      </c>
      <c r="V4345">
        <v>348.52</v>
      </c>
      <c r="W4345" t="str">
        <f t="shared" si="1106"/>
        <v>zintel</v>
      </c>
    </row>
    <row r="4346" spans="1:23">
      <c r="A4346" t="str">
        <f t="shared" si="1107"/>
        <v>REC2-FULL-0010</v>
      </c>
      <c r="B4346" t="str">
        <f>"270-1906"</f>
        <v>270-1906</v>
      </c>
      <c r="C4346" t="str">
        <f>"VEX, REC 2 Bundle Kit, Cortex"</f>
        <v>VEX, REC 2 Bundle Kit, Cortex</v>
      </c>
      <c r="D4346">
        <v>6</v>
      </c>
      <c r="E4346" t="str">
        <f t="shared" si="1108"/>
        <v>REC2, Unit 7-12, LM 7.x, 10 student</v>
      </c>
      <c r="F4346">
        <v>0</v>
      </c>
      <c r="G4346" t="str">
        <f t="shared" si="1094"/>
        <v>Y</v>
      </c>
      <c r="H4346" t="str">
        <f t="shared" si="1096"/>
        <v>EA</v>
      </c>
      <c r="I4346">
        <v>0</v>
      </c>
      <c r="J4346">
        <v>0</v>
      </c>
      <c r="K4346" t="str">
        <f t="shared" si="1095"/>
        <v>Y</v>
      </c>
      <c r="L4346">
        <v>0</v>
      </c>
      <c r="M4346" t="str">
        <f t="shared" si="1102"/>
        <v>NIS</v>
      </c>
      <c r="O4346">
        <v>9</v>
      </c>
      <c r="P4346" t="str">
        <f t="shared" si="1110"/>
        <v>Active</v>
      </c>
      <c r="Q4346" t="str">
        <f>"VEX, REC 2 Bundle Kit, Cortex"</f>
        <v>VEX, REC 2 Bundle Kit, Cortex</v>
      </c>
      <c r="S4346" t="str">
        <f>"VEX, REC 2 Bundle Kit, Cortex"</f>
        <v>VEX, REC 2 Bundle Kit, Cortex</v>
      </c>
      <c r="T4346">
        <v>266.72000000000003</v>
      </c>
      <c r="U4346">
        <v>253</v>
      </c>
      <c r="V4346">
        <v>400.16</v>
      </c>
      <c r="W4346" t="str">
        <f t="shared" si="1106"/>
        <v>zintel</v>
      </c>
    </row>
    <row r="4347" spans="1:23">
      <c r="A4347" t="str">
        <f t="shared" si="1107"/>
        <v>REC2-FULL-0010</v>
      </c>
      <c r="B4347" t="str">
        <f>"77-8106-1000"</f>
        <v>77-8106-1000</v>
      </c>
      <c r="C4347" t="str">
        <f>"LM7 Content, Lab, REC 2 Semester 1, For Cortex"</f>
        <v>LM7 Content, Lab, REC 2 Semester 1, For Cortex</v>
      </c>
      <c r="D4347">
        <v>1</v>
      </c>
      <c r="E4347" t="str">
        <f t="shared" si="1108"/>
        <v>REC2, Unit 7-12, LM 7.x, 10 student</v>
      </c>
      <c r="F4347">
        <v>0</v>
      </c>
      <c r="G4347" t="str">
        <f t="shared" si="1094"/>
        <v>Y</v>
      </c>
      <c r="H4347" t="str">
        <f t="shared" si="1096"/>
        <v>EA</v>
      </c>
      <c r="I4347">
        <v>0</v>
      </c>
      <c r="J4347">
        <v>0</v>
      </c>
      <c r="K4347" t="str">
        <f t="shared" si="1095"/>
        <v>Y</v>
      </c>
      <c r="L4347">
        <v>0</v>
      </c>
      <c r="M4347" t="str">
        <f t="shared" si="1102"/>
        <v>NIS</v>
      </c>
      <c r="O4347">
        <v>10</v>
      </c>
      <c r="P4347" t="str">
        <f>"New"</f>
        <v>New</v>
      </c>
      <c r="Q4347" t="str">
        <f>"LM7 Content, Lab, REC 2 Semester 1, For Cortex"</f>
        <v>LM7 Content, Lab, REC 2 Semester 1, For Cortex</v>
      </c>
      <c r="S4347" t="str">
        <f>"LM7 Content, Lab, REC 2 Semester 1, For Cortex"</f>
        <v>LM7 Content, Lab, REC 2 Semester 1, For Cortex</v>
      </c>
      <c r="T4347">
        <v>0</v>
      </c>
      <c r="U4347">
        <v>5</v>
      </c>
      <c r="V4347">
        <v>5</v>
      </c>
      <c r="W4347" t="str">
        <f t="shared" si="1106"/>
        <v>zintel</v>
      </c>
    </row>
    <row r="4348" spans="1:23">
      <c r="A4348" t="str">
        <f t="shared" si="1107"/>
        <v>REC2-FULL-0010</v>
      </c>
      <c r="B4348" t="str">
        <f>"77-8106-2000"</f>
        <v>77-8106-2000</v>
      </c>
      <c r="C4348" t="str">
        <f>"LM7 Content, Lab, REC 2 Semester 2, For Cortex"</f>
        <v>LM7 Content, Lab, REC 2 Semester 2, For Cortex</v>
      </c>
      <c r="D4348">
        <v>1</v>
      </c>
      <c r="E4348" t="str">
        <f t="shared" si="1108"/>
        <v>REC2, Unit 7-12, LM 7.x, 10 student</v>
      </c>
      <c r="F4348">
        <v>0</v>
      </c>
      <c r="G4348" t="str">
        <f t="shared" si="1094"/>
        <v>Y</v>
      </c>
      <c r="H4348" t="str">
        <f t="shared" si="1096"/>
        <v>EA</v>
      </c>
      <c r="I4348">
        <v>0</v>
      </c>
      <c r="J4348">
        <v>0</v>
      </c>
      <c r="K4348" t="str">
        <f t="shared" si="1095"/>
        <v>Y</v>
      </c>
      <c r="L4348">
        <v>0</v>
      </c>
      <c r="M4348" t="str">
        <f t="shared" si="1102"/>
        <v>NIS</v>
      </c>
      <c r="O4348">
        <v>11</v>
      </c>
      <c r="P4348" t="str">
        <f>"New"</f>
        <v>New</v>
      </c>
      <c r="Q4348" t="str">
        <f>"LM7 Content, Lab, REC 2 Semester 2, For Cortex"</f>
        <v>LM7 Content, Lab, REC 2 Semester 2, For Cortex</v>
      </c>
      <c r="S4348" t="str">
        <f>"LM7 Content, Lab, REC 2 Semester 2, For Cortex"</f>
        <v>LM7 Content, Lab, REC 2 Semester 2, For Cortex</v>
      </c>
      <c r="T4348">
        <v>0</v>
      </c>
      <c r="U4348">
        <v>5</v>
      </c>
      <c r="V4348">
        <v>5</v>
      </c>
      <c r="W4348" t="str">
        <f t="shared" si="1106"/>
        <v>zintel</v>
      </c>
    </row>
    <row r="4349" spans="1:23">
      <c r="A4349" t="str">
        <f t="shared" ref="A4349:A4359" si="1111">"REC2-FULL-0030"</f>
        <v>REC2-FULL-0030</v>
      </c>
      <c r="B4349" t="str">
        <f>"77-8106-0000"</f>
        <v>77-8106-0000</v>
      </c>
      <c r="C4349" t="str">
        <f>"LM7 Content, Lab, REC 2, Cortex, TG"</f>
        <v>LM7 Content, Lab, REC 2, Cortex, TG</v>
      </c>
      <c r="D4349">
        <v>1</v>
      </c>
      <c r="E4349" t="str">
        <f t="shared" ref="E4349:E4359" si="1112">"REC2, Unit 7-12, LM 7.x, 30 student"</f>
        <v>REC2, Unit 7-12, LM 7.x, 30 student</v>
      </c>
      <c r="F4349">
        <v>0</v>
      </c>
      <c r="G4349" t="str">
        <f t="shared" si="1094"/>
        <v>Y</v>
      </c>
      <c r="H4349" t="str">
        <f t="shared" si="1096"/>
        <v>EA</v>
      </c>
      <c r="I4349">
        <v>0</v>
      </c>
      <c r="J4349">
        <v>0</v>
      </c>
      <c r="K4349" t="str">
        <f t="shared" si="1095"/>
        <v>Y</v>
      </c>
      <c r="L4349">
        <v>0</v>
      </c>
      <c r="M4349" t="str">
        <f t="shared" si="1102"/>
        <v>NIS</v>
      </c>
      <c r="N4349" t="str">
        <f t="shared" ref="N4349:N4355" si="1113">"Y"</f>
        <v>Y</v>
      </c>
      <c r="O4349">
        <v>1</v>
      </c>
      <c r="P4349" t="str">
        <f t="shared" ref="P4349:P4357" si="1114">"Active"</f>
        <v>Active</v>
      </c>
      <c r="Q4349" t="str">
        <f>"LM7 Content, Lab, REC 2, Cortex, TG"</f>
        <v>LM7 Content, Lab, REC 2, Cortex, TG</v>
      </c>
      <c r="S4349" t="str">
        <f>"LM7 Content, Lab, REC 2, Cortex, TG"</f>
        <v>LM7 Content, Lab, REC 2, Cortex, TG</v>
      </c>
      <c r="T4349">
        <v>0</v>
      </c>
      <c r="U4349">
        <v>5</v>
      </c>
      <c r="V4349">
        <v>0</v>
      </c>
      <c r="W4349" t="str">
        <f t="shared" si="1106"/>
        <v>zintel</v>
      </c>
    </row>
    <row r="4350" spans="1:23">
      <c r="A4350" t="str">
        <f t="shared" si="1111"/>
        <v>REC2-FULL-0030</v>
      </c>
      <c r="B4350" t="str">
        <f>"77-8106-0070"</f>
        <v>77-8106-0070</v>
      </c>
      <c r="C4350" t="str">
        <f>"LM7 Content, Lab, REC 2, Cortex, Unit 7"</f>
        <v>LM7 Content, Lab, REC 2, Cortex, Unit 7</v>
      </c>
      <c r="D4350">
        <v>1</v>
      </c>
      <c r="E4350" t="str">
        <f t="shared" si="1112"/>
        <v>REC2, Unit 7-12, LM 7.x, 30 student</v>
      </c>
      <c r="F4350">
        <v>0</v>
      </c>
      <c r="G4350" t="str">
        <f t="shared" si="1094"/>
        <v>Y</v>
      </c>
      <c r="H4350" t="str">
        <f t="shared" si="1096"/>
        <v>EA</v>
      </c>
      <c r="I4350">
        <v>0</v>
      </c>
      <c r="J4350">
        <v>0</v>
      </c>
      <c r="K4350" t="str">
        <f t="shared" si="1095"/>
        <v>Y</v>
      </c>
      <c r="L4350">
        <v>0</v>
      </c>
      <c r="M4350" t="str">
        <f t="shared" si="1102"/>
        <v>NIS</v>
      </c>
      <c r="N4350" t="str">
        <f t="shared" si="1113"/>
        <v>Y</v>
      </c>
      <c r="O4350">
        <v>2</v>
      </c>
      <c r="P4350" t="str">
        <f t="shared" si="1114"/>
        <v>Active</v>
      </c>
      <c r="Q4350" t="str">
        <f>"LM7 Content, Lab, REC 2, Cortex, Unit 7"</f>
        <v>LM7 Content, Lab, REC 2, Cortex, Unit 7</v>
      </c>
      <c r="S4350" t="str">
        <f>"LM7 Content, Lab, REC 2, Cortex, Unit 7"</f>
        <v>LM7 Content, Lab, REC 2, Cortex, Unit 7</v>
      </c>
      <c r="T4350">
        <v>0</v>
      </c>
      <c r="U4350">
        <v>5</v>
      </c>
      <c r="V4350">
        <v>5</v>
      </c>
      <c r="W4350" t="str">
        <f t="shared" si="1106"/>
        <v>zintel</v>
      </c>
    </row>
    <row r="4351" spans="1:23">
      <c r="A4351" t="str">
        <f t="shared" si="1111"/>
        <v>REC2-FULL-0030</v>
      </c>
      <c r="B4351" t="str">
        <f>"77-8106-0080"</f>
        <v>77-8106-0080</v>
      </c>
      <c r="C4351" t="str">
        <f>"LM7 Content, Lab, REC 2, Cortex, Unit 8"</f>
        <v>LM7 Content, Lab, REC 2, Cortex, Unit 8</v>
      </c>
      <c r="D4351">
        <v>1</v>
      </c>
      <c r="E4351" t="str">
        <f t="shared" si="1112"/>
        <v>REC2, Unit 7-12, LM 7.x, 30 student</v>
      </c>
      <c r="F4351">
        <v>0</v>
      </c>
      <c r="G4351" t="str">
        <f t="shared" si="1094"/>
        <v>Y</v>
      </c>
      <c r="H4351" t="str">
        <f t="shared" si="1096"/>
        <v>EA</v>
      </c>
      <c r="I4351">
        <v>0</v>
      </c>
      <c r="J4351">
        <v>0</v>
      </c>
      <c r="K4351" t="str">
        <f t="shared" si="1095"/>
        <v>Y</v>
      </c>
      <c r="L4351">
        <v>0</v>
      </c>
      <c r="M4351" t="str">
        <f t="shared" si="1102"/>
        <v>NIS</v>
      </c>
      <c r="N4351" t="str">
        <f t="shared" si="1113"/>
        <v>Y</v>
      </c>
      <c r="O4351">
        <v>3</v>
      </c>
      <c r="P4351" t="str">
        <f t="shared" si="1114"/>
        <v>Active</v>
      </c>
      <c r="Q4351" t="str">
        <f>"LM7 Content, Lab, REC 2, Cortex, Unit 8"</f>
        <v>LM7 Content, Lab, REC 2, Cortex, Unit 8</v>
      </c>
      <c r="S4351" t="str">
        <f>"LM7 Content, Lab, REC 2, Cortex, Unit 8"</f>
        <v>LM7 Content, Lab, REC 2, Cortex, Unit 8</v>
      </c>
      <c r="T4351">
        <v>0</v>
      </c>
      <c r="U4351">
        <v>5</v>
      </c>
      <c r="V4351">
        <v>5</v>
      </c>
      <c r="W4351" t="str">
        <f t="shared" si="1106"/>
        <v>zintel</v>
      </c>
    </row>
    <row r="4352" spans="1:23">
      <c r="A4352" t="str">
        <f t="shared" si="1111"/>
        <v>REC2-FULL-0030</v>
      </c>
      <c r="B4352" t="str">
        <f>"77-8106-0090"</f>
        <v>77-8106-0090</v>
      </c>
      <c r="C4352" t="str">
        <f>"LM7 Content, Lab, REC 2, Cortex, Unit 9"</f>
        <v>LM7 Content, Lab, REC 2, Cortex, Unit 9</v>
      </c>
      <c r="D4352">
        <v>1</v>
      </c>
      <c r="E4352" t="str">
        <f t="shared" si="1112"/>
        <v>REC2, Unit 7-12, LM 7.x, 30 student</v>
      </c>
      <c r="F4352">
        <v>0</v>
      </c>
      <c r="G4352" t="str">
        <f t="shared" si="1094"/>
        <v>Y</v>
      </c>
      <c r="H4352" t="str">
        <f t="shared" si="1096"/>
        <v>EA</v>
      </c>
      <c r="I4352">
        <v>0</v>
      </c>
      <c r="J4352">
        <v>0</v>
      </c>
      <c r="K4352" t="str">
        <f t="shared" si="1095"/>
        <v>Y</v>
      </c>
      <c r="L4352">
        <v>0</v>
      </c>
      <c r="M4352" t="str">
        <f t="shared" si="1102"/>
        <v>NIS</v>
      </c>
      <c r="N4352" t="str">
        <f t="shared" si="1113"/>
        <v>Y</v>
      </c>
      <c r="O4352">
        <v>4</v>
      </c>
      <c r="P4352" t="str">
        <f t="shared" si="1114"/>
        <v>Active</v>
      </c>
      <c r="Q4352" t="str">
        <f>"LM7 Content, Lab, REC 2, Cortex, Unit 9"</f>
        <v>LM7 Content, Lab, REC 2, Cortex, Unit 9</v>
      </c>
      <c r="S4352" t="str">
        <f>"LM7 Content, Lab, REC 2, Cortex, Unit 9"</f>
        <v>LM7 Content, Lab, REC 2, Cortex, Unit 9</v>
      </c>
      <c r="T4352">
        <v>0</v>
      </c>
      <c r="U4352">
        <v>5</v>
      </c>
      <c r="V4352">
        <v>5</v>
      </c>
      <c r="W4352" t="str">
        <f t="shared" si="1106"/>
        <v>zintel</v>
      </c>
    </row>
    <row r="4353" spans="1:23">
      <c r="A4353" t="str">
        <f t="shared" si="1111"/>
        <v>REC2-FULL-0030</v>
      </c>
      <c r="B4353" t="str">
        <f>"77-8106-0100"</f>
        <v>77-8106-0100</v>
      </c>
      <c r="C4353" t="str">
        <f>"LM7 Content, Lab, REC 2, Cortex, Unit 10"</f>
        <v>LM7 Content, Lab, REC 2, Cortex, Unit 10</v>
      </c>
      <c r="D4353">
        <v>1</v>
      </c>
      <c r="E4353" t="str">
        <f t="shared" si="1112"/>
        <v>REC2, Unit 7-12, LM 7.x, 30 student</v>
      </c>
      <c r="F4353">
        <v>0</v>
      </c>
      <c r="G4353" t="str">
        <f t="shared" si="1094"/>
        <v>Y</v>
      </c>
      <c r="H4353" t="str">
        <f t="shared" si="1096"/>
        <v>EA</v>
      </c>
      <c r="I4353">
        <v>0</v>
      </c>
      <c r="J4353">
        <v>0</v>
      </c>
      <c r="K4353" t="str">
        <f t="shared" si="1095"/>
        <v>Y</v>
      </c>
      <c r="L4353">
        <v>0</v>
      </c>
      <c r="M4353" t="str">
        <f t="shared" si="1102"/>
        <v>NIS</v>
      </c>
      <c r="N4353" t="str">
        <f t="shared" si="1113"/>
        <v>Y</v>
      </c>
      <c r="O4353">
        <v>5</v>
      </c>
      <c r="P4353" t="str">
        <f t="shared" si="1114"/>
        <v>Active</v>
      </c>
      <c r="Q4353" t="str">
        <f>"LM7 Content, Lab, REC 2, Cortex, Unit 10"</f>
        <v>LM7 Content, Lab, REC 2, Cortex, Unit 10</v>
      </c>
      <c r="S4353" t="str">
        <f>"LM7 Content, Lab, REC 2, Cortex, Unit 10"</f>
        <v>LM7 Content, Lab, REC 2, Cortex, Unit 10</v>
      </c>
      <c r="T4353">
        <v>0</v>
      </c>
      <c r="U4353">
        <v>5</v>
      </c>
      <c r="V4353">
        <v>5</v>
      </c>
      <c r="W4353" t="str">
        <f t="shared" si="1106"/>
        <v>zintel</v>
      </c>
    </row>
    <row r="4354" spans="1:23">
      <c r="A4354" t="str">
        <f t="shared" si="1111"/>
        <v>REC2-FULL-0030</v>
      </c>
      <c r="B4354" t="str">
        <f>"77-8106-0110"</f>
        <v>77-8106-0110</v>
      </c>
      <c r="C4354" t="str">
        <f>"LM7 Content, Lab, REC 2, Cortex, Unit 11"</f>
        <v>LM7 Content, Lab, REC 2, Cortex, Unit 11</v>
      </c>
      <c r="D4354">
        <v>1</v>
      </c>
      <c r="E4354" t="str">
        <f t="shared" si="1112"/>
        <v>REC2, Unit 7-12, LM 7.x, 30 student</v>
      </c>
      <c r="F4354">
        <v>0</v>
      </c>
      <c r="G4354" t="str">
        <f t="shared" ref="G4354:G4417" si="1115">"Y"</f>
        <v>Y</v>
      </c>
      <c r="H4354" t="str">
        <f t="shared" si="1096"/>
        <v>EA</v>
      </c>
      <c r="I4354">
        <v>0</v>
      </c>
      <c r="J4354">
        <v>0</v>
      </c>
      <c r="K4354" t="str">
        <f t="shared" ref="K4354:K4417" si="1116">"Y"</f>
        <v>Y</v>
      </c>
      <c r="L4354">
        <v>0</v>
      </c>
      <c r="M4354" t="str">
        <f t="shared" si="1102"/>
        <v>NIS</v>
      </c>
      <c r="N4354" t="str">
        <f t="shared" si="1113"/>
        <v>Y</v>
      </c>
      <c r="O4354">
        <v>6</v>
      </c>
      <c r="P4354" t="str">
        <f t="shared" si="1114"/>
        <v>Active</v>
      </c>
      <c r="Q4354" t="str">
        <f>"LM7 Content, Lab, REC 2, Cortex, Unit 11"</f>
        <v>LM7 Content, Lab, REC 2, Cortex, Unit 11</v>
      </c>
      <c r="S4354" t="str">
        <f>"LM7 Content, Lab, REC 2, Cortex, Unit 11"</f>
        <v>LM7 Content, Lab, REC 2, Cortex, Unit 11</v>
      </c>
      <c r="T4354">
        <v>0</v>
      </c>
      <c r="U4354">
        <v>5</v>
      </c>
      <c r="V4354">
        <v>5</v>
      </c>
      <c r="W4354" t="str">
        <f t="shared" si="1106"/>
        <v>zintel</v>
      </c>
    </row>
    <row r="4355" spans="1:23">
      <c r="A4355" t="str">
        <f t="shared" si="1111"/>
        <v>REC2-FULL-0030</v>
      </c>
      <c r="B4355" t="str">
        <f>"77-8106-0120"</f>
        <v>77-8106-0120</v>
      </c>
      <c r="C4355" t="str">
        <f>"LM7 Content, Lab, REC 2, Cortex, Unit 12"</f>
        <v>LM7 Content, Lab, REC 2, Cortex, Unit 12</v>
      </c>
      <c r="D4355">
        <v>1</v>
      </c>
      <c r="E4355" t="str">
        <f t="shared" si="1112"/>
        <v>REC2, Unit 7-12, LM 7.x, 30 student</v>
      </c>
      <c r="F4355">
        <v>0</v>
      </c>
      <c r="G4355" t="str">
        <f t="shared" si="1115"/>
        <v>Y</v>
      </c>
      <c r="H4355" t="str">
        <f t="shared" si="1096"/>
        <v>EA</v>
      </c>
      <c r="I4355">
        <v>0</v>
      </c>
      <c r="J4355">
        <v>0</v>
      </c>
      <c r="K4355" t="str">
        <f t="shared" si="1116"/>
        <v>Y</v>
      </c>
      <c r="L4355">
        <v>0</v>
      </c>
      <c r="M4355" t="str">
        <f t="shared" si="1102"/>
        <v>NIS</v>
      </c>
      <c r="N4355" t="str">
        <f t="shared" si="1113"/>
        <v>Y</v>
      </c>
      <c r="O4355">
        <v>7</v>
      </c>
      <c r="P4355" t="str">
        <f t="shared" si="1114"/>
        <v>Active</v>
      </c>
      <c r="Q4355" t="str">
        <f>"LM7 Content, Lab, REC 2, Cortex, Unit 12"</f>
        <v>LM7 Content, Lab, REC 2, Cortex, Unit 12</v>
      </c>
      <c r="S4355" t="str">
        <f>"LM7 Content, Lab, REC 2, Cortex, Unit 12"</f>
        <v>LM7 Content, Lab, REC 2, Cortex, Unit 12</v>
      </c>
      <c r="T4355">
        <v>0</v>
      </c>
      <c r="U4355">
        <v>5</v>
      </c>
      <c r="V4355">
        <v>5</v>
      </c>
      <c r="W4355" t="str">
        <f t="shared" si="1106"/>
        <v>zintel</v>
      </c>
    </row>
    <row r="4356" spans="1:23">
      <c r="A4356" t="str">
        <f t="shared" si="1111"/>
        <v>REC2-FULL-0030</v>
      </c>
      <c r="B4356" t="str">
        <f>"22-0006-0016"</f>
        <v>22-0006-0016</v>
      </c>
      <c r="C4356" t="str">
        <f>"Assembly, REC, Sem 2, Electronics Kit,16 Robots"</f>
        <v>Assembly, REC, Sem 2, Electronics Kit,16 Robots</v>
      </c>
      <c r="D4356">
        <v>1</v>
      </c>
      <c r="E4356" t="str">
        <f t="shared" si="1112"/>
        <v>REC2, Unit 7-12, LM 7.x, 30 student</v>
      </c>
      <c r="F4356">
        <v>0</v>
      </c>
      <c r="G4356" t="str">
        <f t="shared" si="1115"/>
        <v>Y</v>
      </c>
      <c r="H4356" t="str">
        <f t="shared" si="1096"/>
        <v>EA</v>
      </c>
      <c r="I4356">
        <v>0</v>
      </c>
      <c r="J4356">
        <v>0</v>
      </c>
      <c r="K4356" t="str">
        <f t="shared" si="1116"/>
        <v>Y</v>
      </c>
      <c r="L4356">
        <v>0</v>
      </c>
      <c r="M4356" t="str">
        <f t="shared" si="1102"/>
        <v>NIS</v>
      </c>
      <c r="O4356">
        <v>8</v>
      </c>
      <c r="P4356" t="str">
        <f t="shared" si="1114"/>
        <v>Active</v>
      </c>
      <c r="Q4356" t="str">
        <f>"Assembly, REC, Sem 2, Electronics Kit,16 Robots"</f>
        <v>Assembly, REC, Sem 2, Electronics Kit,16 Robots</v>
      </c>
      <c r="S4356" t="str">
        <f>"Assembly, REC, Sem 2, Electronics Kit,16 Robots"</f>
        <v>Assembly, REC, Sem 2, Electronics Kit,16 Robots</v>
      </c>
      <c r="T4356">
        <v>963.63</v>
      </c>
      <c r="U4356">
        <v>897.17</v>
      </c>
      <c r="V4356">
        <v>924.09</v>
      </c>
      <c r="W4356" t="str">
        <f t="shared" si="1106"/>
        <v>zintel</v>
      </c>
    </row>
    <row r="4357" spans="1:23">
      <c r="A4357" t="str">
        <f t="shared" si="1111"/>
        <v>REC2-FULL-0030</v>
      </c>
      <c r="B4357" t="str">
        <f>"270-1906"</f>
        <v>270-1906</v>
      </c>
      <c r="C4357" t="str">
        <f>"VEX, REC 2 Bundle Kit, Cortex"</f>
        <v>VEX, REC 2 Bundle Kit, Cortex</v>
      </c>
      <c r="D4357">
        <v>16</v>
      </c>
      <c r="E4357" t="str">
        <f t="shared" si="1112"/>
        <v>REC2, Unit 7-12, LM 7.x, 30 student</v>
      </c>
      <c r="F4357">
        <v>0</v>
      </c>
      <c r="G4357" t="str">
        <f t="shared" si="1115"/>
        <v>Y</v>
      </c>
      <c r="H4357" t="str">
        <f t="shared" si="1096"/>
        <v>EA</v>
      </c>
      <c r="I4357">
        <v>0</v>
      </c>
      <c r="J4357">
        <v>0</v>
      </c>
      <c r="K4357" t="str">
        <f t="shared" si="1116"/>
        <v>Y</v>
      </c>
      <c r="L4357">
        <v>0</v>
      </c>
      <c r="M4357" t="str">
        <f t="shared" si="1102"/>
        <v>NIS</v>
      </c>
      <c r="O4357">
        <v>9</v>
      </c>
      <c r="P4357" t="str">
        <f t="shared" si="1114"/>
        <v>Active</v>
      </c>
      <c r="Q4357" t="str">
        <f>"VEX, REC 2 Bundle Kit, Cortex"</f>
        <v>VEX, REC 2 Bundle Kit, Cortex</v>
      </c>
      <c r="S4357" t="str">
        <f>"VEX, REC 2 Bundle Kit, Cortex"</f>
        <v>VEX, REC 2 Bundle Kit, Cortex</v>
      </c>
      <c r="T4357">
        <v>266.72000000000003</v>
      </c>
      <c r="U4357">
        <v>253</v>
      </c>
      <c r="V4357">
        <v>400.16</v>
      </c>
      <c r="W4357" t="str">
        <f t="shared" si="1106"/>
        <v>zintel</v>
      </c>
    </row>
    <row r="4358" spans="1:23">
      <c r="A4358" t="str">
        <f t="shared" si="1111"/>
        <v>REC2-FULL-0030</v>
      </c>
      <c r="B4358" t="str">
        <f>"77-8106-1000"</f>
        <v>77-8106-1000</v>
      </c>
      <c r="C4358" t="str">
        <f>"LM7 Content, Lab, REC 2 Semester 1, For Cortex"</f>
        <v>LM7 Content, Lab, REC 2 Semester 1, For Cortex</v>
      </c>
      <c r="D4358">
        <v>1</v>
      </c>
      <c r="E4358" t="str">
        <f t="shared" si="1112"/>
        <v>REC2, Unit 7-12, LM 7.x, 30 student</v>
      </c>
      <c r="F4358">
        <v>0</v>
      </c>
      <c r="G4358" t="str">
        <f t="shared" si="1115"/>
        <v>Y</v>
      </c>
      <c r="H4358" t="str">
        <f t="shared" si="1096"/>
        <v>EA</v>
      </c>
      <c r="I4358">
        <v>0</v>
      </c>
      <c r="J4358">
        <v>0</v>
      </c>
      <c r="K4358" t="str">
        <f t="shared" si="1116"/>
        <v>Y</v>
      </c>
      <c r="L4358">
        <v>0</v>
      </c>
      <c r="M4358" t="str">
        <f t="shared" si="1102"/>
        <v>NIS</v>
      </c>
      <c r="O4358">
        <v>10</v>
      </c>
      <c r="P4358" t="str">
        <f>"New"</f>
        <v>New</v>
      </c>
      <c r="Q4358" t="str">
        <f>"LM7 Content, Lab, REC 2 Semester 1, For Cortex"</f>
        <v>LM7 Content, Lab, REC 2 Semester 1, For Cortex</v>
      </c>
      <c r="S4358" t="str">
        <f>"LM7 Content, Lab, REC 2 Semester 1, For Cortex"</f>
        <v>LM7 Content, Lab, REC 2 Semester 1, For Cortex</v>
      </c>
      <c r="T4358">
        <v>0</v>
      </c>
      <c r="U4358">
        <v>5</v>
      </c>
      <c r="V4358">
        <v>5</v>
      </c>
      <c r="W4358" t="str">
        <f t="shared" si="1106"/>
        <v>zintel</v>
      </c>
    </row>
    <row r="4359" spans="1:23">
      <c r="A4359" t="str">
        <f t="shared" si="1111"/>
        <v>REC2-FULL-0030</v>
      </c>
      <c r="B4359" t="str">
        <f>"77-8106-2000"</f>
        <v>77-8106-2000</v>
      </c>
      <c r="C4359" t="str">
        <f>"LM7 Content, Lab, REC 2 Semester 2, For Cortex"</f>
        <v>LM7 Content, Lab, REC 2 Semester 2, For Cortex</v>
      </c>
      <c r="D4359">
        <v>1</v>
      </c>
      <c r="E4359" t="str">
        <f t="shared" si="1112"/>
        <v>REC2, Unit 7-12, LM 7.x, 30 student</v>
      </c>
      <c r="F4359">
        <v>0</v>
      </c>
      <c r="G4359" t="str">
        <f t="shared" si="1115"/>
        <v>Y</v>
      </c>
      <c r="H4359" t="str">
        <f t="shared" si="1096"/>
        <v>EA</v>
      </c>
      <c r="I4359">
        <v>0</v>
      </c>
      <c r="J4359">
        <v>0</v>
      </c>
      <c r="K4359" t="str">
        <f t="shared" si="1116"/>
        <v>Y</v>
      </c>
      <c r="L4359">
        <v>0</v>
      </c>
      <c r="M4359" t="str">
        <f t="shared" si="1102"/>
        <v>NIS</v>
      </c>
      <c r="O4359">
        <v>11</v>
      </c>
      <c r="P4359" t="str">
        <f>"New"</f>
        <v>New</v>
      </c>
      <c r="Q4359" t="str">
        <f>"LM7 Content, Lab, REC 2 Semester 2, For Cortex"</f>
        <v>LM7 Content, Lab, REC 2 Semester 2, For Cortex</v>
      </c>
      <c r="S4359" t="str">
        <f>"LM7 Content, Lab, REC 2 Semester 2, For Cortex"</f>
        <v>LM7 Content, Lab, REC 2 Semester 2, For Cortex</v>
      </c>
      <c r="T4359">
        <v>0</v>
      </c>
      <c r="U4359">
        <v>5</v>
      </c>
      <c r="V4359">
        <v>5</v>
      </c>
      <c r="W4359" t="str">
        <f t="shared" si="1106"/>
        <v>zintel</v>
      </c>
    </row>
    <row r="4360" spans="1:23">
      <c r="A4360" t="str">
        <f t="shared" ref="A4360:A4375" si="1117">"ROB-ER4U-ADV"</f>
        <v>ROB-ER4U-ADV</v>
      </c>
      <c r="B4360" t="str">
        <f>"00-0413-0000"</f>
        <v>00-0413-0000</v>
      </c>
      <c r="C4360" t="str">
        <f>"SCORBOT-ER 4u"</f>
        <v>SCORBOT-ER 4u</v>
      </c>
      <c r="D4360">
        <v>1</v>
      </c>
      <c r="E4360" t="str">
        <f t="shared" ref="E4360:E4375" si="1118">"Scorbot-ER4U robot- Advanced Package &amp; Quality Control Station"</f>
        <v>Scorbot-ER4U robot- Advanced Package &amp; Quality Control Station</v>
      </c>
      <c r="F4360">
        <v>802</v>
      </c>
      <c r="G4360" t="str">
        <f t="shared" si="1115"/>
        <v>Y</v>
      </c>
      <c r="H4360" t="str">
        <f t="shared" si="1096"/>
        <v>EA</v>
      </c>
      <c r="I4360">
        <v>0</v>
      </c>
      <c r="J4360">
        <v>0</v>
      </c>
      <c r="K4360" t="str">
        <f t="shared" si="1116"/>
        <v>Y</v>
      </c>
      <c r="L4360">
        <v>0</v>
      </c>
      <c r="M4360" t="str">
        <f t="shared" si="1102"/>
        <v>NIS</v>
      </c>
      <c r="O4360">
        <v>1</v>
      </c>
      <c r="P4360" t="str">
        <f t="shared" ref="P4360:P4391" si="1119">"Active"</f>
        <v>Active</v>
      </c>
      <c r="Q4360" t="str">
        <f>"SCORBOT-ER 4u (Package)"</f>
        <v>SCORBOT-ER 4u (Package)</v>
      </c>
      <c r="S4360" t="str">
        <f>"SCORBOT-ER 4u (Package)"</f>
        <v>SCORBOT-ER 4u (Package)</v>
      </c>
      <c r="T4360">
        <v>0</v>
      </c>
      <c r="U4360" s="44">
        <v>3200</v>
      </c>
      <c r="V4360" s="44">
        <v>3390.7</v>
      </c>
      <c r="W4360" t="str">
        <f t="shared" ref="W4360:W4391" si="1120">"rob"</f>
        <v>rob</v>
      </c>
    </row>
    <row r="4361" spans="1:23">
      <c r="A4361" t="str">
        <f t="shared" si="1117"/>
        <v>ROB-ER4U-ADV</v>
      </c>
      <c r="B4361" t="str">
        <f>"00-0609-0000"</f>
        <v>00-0609-0000</v>
      </c>
      <c r="C4361" t="str">
        <f>"Gripper attachment for round and square parts"</f>
        <v>Gripper attachment for round and square parts</v>
      </c>
      <c r="D4361">
        <v>1</v>
      </c>
      <c r="E4361" t="str">
        <f t="shared" si="1118"/>
        <v>Scorbot-ER4U robot- Advanced Package &amp; Quality Control Station</v>
      </c>
      <c r="F4361">
        <v>802</v>
      </c>
      <c r="G4361" t="str">
        <f t="shared" si="1115"/>
        <v>Y</v>
      </c>
      <c r="H4361" t="str">
        <f t="shared" si="1096"/>
        <v>EA</v>
      </c>
      <c r="I4361">
        <v>0</v>
      </c>
      <c r="J4361">
        <v>0</v>
      </c>
      <c r="K4361" t="str">
        <f t="shared" si="1116"/>
        <v>Y</v>
      </c>
      <c r="L4361">
        <v>0</v>
      </c>
      <c r="M4361" t="str">
        <f t="shared" si="1102"/>
        <v>NIS</v>
      </c>
      <c r="O4361">
        <v>2</v>
      </c>
      <c r="P4361" t="str">
        <f t="shared" si="1119"/>
        <v>Active</v>
      </c>
      <c r="Q4361" t="str">
        <f>"End Effector Attachment for ER4U Gripper"</f>
        <v>End Effector Attachment for ER4U Gripper</v>
      </c>
      <c r="S4361" t="str">
        <f>"End Effector Attachment for ER4U Gripper"</f>
        <v>End Effector Attachment for ER4U Gripper</v>
      </c>
      <c r="T4361">
        <v>0</v>
      </c>
      <c r="U4361">
        <v>25.59</v>
      </c>
      <c r="V4361">
        <v>25.11</v>
      </c>
      <c r="W4361" t="str">
        <f t="shared" si="1120"/>
        <v>rob</v>
      </c>
    </row>
    <row r="4362" spans="1:23">
      <c r="A4362" t="str">
        <f t="shared" si="1117"/>
        <v>ROB-ER4U-ADV</v>
      </c>
      <c r="B4362" t="str">
        <f>"00-1201-0000"</f>
        <v>00-1201-0000</v>
      </c>
      <c r="C4362" t="str">
        <f>"I/O Experiment Table"</f>
        <v>I/O Experiment Table</v>
      </c>
      <c r="D4362">
        <v>1</v>
      </c>
      <c r="E4362" t="str">
        <f t="shared" si="1118"/>
        <v>Scorbot-ER4U robot- Advanced Package &amp; Quality Control Station</v>
      </c>
      <c r="F4362">
        <v>802</v>
      </c>
      <c r="G4362" t="str">
        <f t="shared" si="1115"/>
        <v>Y</v>
      </c>
      <c r="H4362" t="str">
        <f t="shared" si="1096"/>
        <v>EA</v>
      </c>
      <c r="I4362">
        <v>0</v>
      </c>
      <c r="J4362">
        <v>0</v>
      </c>
      <c r="K4362" t="str">
        <f t="shared" si="1116"/>
        <v>Y</v>
      </c>
      <c r="L4362">
        <v>0</v>
      </c>
      <c r="M4362" t="str">
        <f t="shared" si="1102"/>
        <v>NIS</v>
      </c>
      <c r="O4362">
        <v>3</v>
      </c>
      <c r="P4362" t="str">
        <f t="shared" si="1119"/>
        <v>Active</v>
      </c>
      <c r="Q4362" t="str">
        <f>"I/O Experiment Table"</f>
        <v>I/O Experiment Table</v>
      </c>
      <c r="S4362" t="str">
        <f>"I/O Experiment Table"</f>
        <v>I/O Experiment Table</v>
      </c>
      <c r="T4362">
        <v>0</v>
      </c>
      <c r="U4362">
        <v>242</v>
      </c>
      <c r="V4362">
        <v>230.37</v>
      </c>
      <c r="W4362" t="str">
        <f t="shared" si="1120"/>
        <v>rob</v>
      </c>
    </row>
    <row r="4363" spans="1:23">
      <c r="A4363" t="str">
        <f t="shared" si="1117"/>
        <v>ROB-ER4U-ADV</v>
      </c>
      <c r="B4363" t="str">
        <f>"00-1010-0000"</f>
        <v>00-1010-0000</v>
      </c>
      <c r="C4363" t="str">
        <f>"Conveyor Belt tabletop"</f>
        <v>Conveyor Belt tabletop</v>
      </c>
      <c r="D4363">
        <v>1</v>
      </c>
      <c r="E4363" t="str">
        <f t="shared" si="1118"/>
        <v>Scorbot-ER4U robot- Advanced Package &amp; Quality Control Station</v>
      </c>
      <c r="F4363">
        <v>802</v>
      </c>
      <c r="G4363" t="str">
        <f t="shared" si="1115"/>
        <v>Y</v>
      </c>
      <c r="H4363" t="str">
        <f t="shared" ref="H4363:H4426" si="1121">"EA"</f>
        <v>EA</v>
      </c>
      <c r="I4363">
        <v>0</v>
      </c>
      <c r="J4363">
        <v>0</v>
      </c>
      <c r="K4363" t="str">
        <f t="shared" si="1116"/>
        <v>Y</v>
      </c>
      <c r="L4363">
        <v>0</v>
      </c>
      <c r="M4363" t="str">
        <f t="shared" si="1102"/>
        <v>NIS</v>
      </c>
      <c r="O4363">
        <v>4</v>
      </c>
      <c r="P4363" t="str">
        <f t="shared" si="1119"/>
        <v>Active</v>
      </c>
      <c r="Q4363" t="str">
        <f>"Conveyor Belt (24V)"</f>
        <v>Conveyor Belt (24V)</v>
      </c>
      <c r="S4363" t="str">
        <f>"Conveyor Belt (24V)"</f>
        <v>Conveyor Belt (24V)</v>
      </c>
      <c r="T4363">
        <v>0</v>
      </c>
      <c r="U4363">
        <v>510</v>
      </c>
      <c r="V4363">
        <v>472.02</v>
      </c>
      <c r="W4363" t="str">
        <f t="shared" si="1120"/>
        <v>rob</v>
      </c>
    </row>
    <row r="4364" spans="1:23">
      <c r="A4364" t="str">
        <f t="shared" si="1117"/>
        <v>ROB-ER4U-ADV</v>
      </c>
      <c r="B4364" t="str">
        <f>"00-1203-0000"</f>
        <v>00-1203-0000</v>
      </c>
      <c r="C4364" t="str">
        <f>"Photoelectric Sensor for Belt Conveyor"</f>
        <v>Photoelectric Sensor for Belt Conveyor</v>
      </c>
      <c r="D4364">
        <v>1</v>
      </c>
      <c r="E4364" t="str">
        <f t="shared" si="1118"/>
        <v>Scorbot-ER4U robot- Advanced Package &amp; Quality Control Station</v>
      </c>
      <c r="F4364">
        <v>802</v>
      </c>
      <c r="G4364" t="str">
        <f t="shared" si="1115"/>
        <v>Y</v>
      </c>
      <c r="H4364" t="str">
        <f t="shared" si="1121"/>
        <v>EA</v>
      </c>
      <c r="I4364">
        <v>0</v>
      </c>
      <c r="J4364">
        <v>0</v>
      </c>
      <c r="K4364" t="str">
        <f t="shared" si="1116"/>
        <v>Y</v>
      </c>
      <c r="L4364">
        <v>0</v>
      </c>
      <c r="M4364" t="str">
        <f t="shared" si="1102"/>
        <v>NIS</v>
      </c>
      <c r="O4364">
        <v>5</v>
      </c>
      <c r="P4364" t="str">
        <f t="shared" si="1119"/>
        <v>Active</v>
      </c>
      <c r="Q4364" t="str">
        <f>"Photoelectric Sensor for Belt Conveyor"</f>
        <v>Photoelectric Sensor for Belt Conveyor</v>
      </c>
      <c r="S4364" t="str">
        <f>"Photoelectric Sensor for Belt Conveyor"</f>
        <v>Photoelectric Sensor for Belt Conveyor</v>
      </c>
      <c r="T4364">
        <v>0</v>
      </c>
      <c r="U4364">
        <v>108</v>
      </c>
      <c r="V4364">
        <v>100.82</v>
      </c>
      <c r="W4364" t="str">
        <f t="shared" si="1120"/>
        <v>rob</v>
      </c>
    </row>
    <row r="4365" spans="1:23">
      <c r="A4365" t="str">
        <f t="shared" si="1117"/>
        <v>ROB-ER4U-ADV</v>
      </c>
      <c r="B4365" t="str">
        <f>"10-1007-4000"</f>
        <v>10-1007-4000</v>
      </c>
      <c r="C4365" t="str">
        <f>"Gravity Parts Feeder (with microswitch sensor)"</f>
        <v>Gravity Parts Feeder (with microswitch sensor)</v>
      </c>
      <c r="D4365">
        <v>1</v>
      </c>
      <c r="E4365" t="str">
        <f t="shared" si="1118"/>
        <v>Scorbot-ER4U robot- Advanced Package &amp; Quality Control Station</v>
      </c>
      <c r="F4365">
        <v>802</v>
      </c>
      <c r="G4365" t="str">
        <f t="shared" si="1115"/>
        <v>Y</v>
      </c>
      <c r="H4365" t="str">
        <f t="shared" si="1121"/>
        <v>EA</v>
      </c>
      <c r="I4365">
        <v>0</v>
      </c>
      <c r="J4365">
        <v>0</v>
      </c>
      <c r="K4365" t="str">
        <f t="shared" si="1116"/>
        <v>Y</v>
      </c>
      <c r="L4365">
        <v>0</v>
      </c>
      <c r="M4365" t="str">
        <f t="shared" si="1102"/>
        <v>NIS</v>
      </c>
      <c r="O4365">
        <v>6</v>
      </c>
      <c r="P4365" t="str">
        <f t="shared" si="1119"/>
        <v>Active</v>
      </c>
      <c r="Q4365" t="str">
        <f>"Gravity Parts Feeder (incl.microswitch sensor)"</f>
        <v>Gravity Parts Feeder (incl.microswitch sensor)</v>
      </c>
      <c r="S4365" t="str">
        <f>"Gravity Parts Feeder (incl.microswitch sensor)"</f>
        <v>Gravity Parts Feeder (incl.microswitch sensor)</v>
      </c>
      <c r="T4365">
        <v>0</v>
      </c>
      <c r="U4365">
        <v>148</v>
      </c>
      <c r="V4365">
        <v>148.26</v>
      </c>
      <c r="W4365" t="str">
        <f t="shared" si="1120"/>
        <v>rob</v>
      </c>
    </row>
    <row r="4366" spans="1:23">
      <c r="A4366" t="str">
        <f t="shared" si="1117"/>
        <v>ROB-ER4U-ADV</v>
      </c>
      <c r="B4366" t="str">
        <f>"00-1009-0000"</f>
        <v>00-1009-0000</v>
      </c>
      <c r="C4366" t="str">
        <f>"Rotary Index Table (24V)"</f>
        <v>Rotary Index Table (24V)</v>
      </c>
      <c r="D4366">
        <v>1</v>
      </c>
      <c r="E4366" t="str">
        <f t="shared" si="1118"/>
        <v>Scorbot-ER4U robot- Advanced Package &amp; Quality Control Station</v>
      </c>
      <c r="F4366">
        <v>802</v>
      </c>
      <c r="G4366" t="str">
        <f t="shared" si="1115"/>
        <v>Y</v>
      </c>
      <c r="H4366" t="str">
        <f t="shared" si="1121"/>
        <v>EA</v>
      </c>
      <c r="I4366">
        <v>0</v>
      </c>
      <c r="J4366">
        <v>0</v>
      </c>
      <c r="K4366" t="str">
        <f t="shared" si="1116"/>
        <v>Y</v>
      </c>
      <c r="L4366">
        <v>0</v>
      </c>
      <c r="M4366" t="str">
        <f t="shared" si="1102"/>
        <v>NIS</v>
      </c>
      <c r="O4366">
        <v>7</v>
      </c>
      <c r="P4366" t="str">
        <f t="shared" si="1119"/>
        <v>Active</v>
      </c>
      <c r="Q4366" t="str">
        <f>"Rotary Index Table (24V)"</f>
        <v>Rotary Index Table (24V)</v>
      </c>
      <c r="S4366" t="str">
        <f>"Rotary Index Table (24V)"</f>
        <v>Rotary Index Table (24V)</v>
      </c>
      <c r="T4366">
        <v>0</v>
      </c>
      <c r="U4366">
        <v>530</v>
      </c>
      <c r="V4366">
        <v>550.71</v>
      </c>
      <c r="W4366" t="str">
        <f t="shared" si="1120"/>
        <v>rob</v>
      </c>
    </row>
    <row r="4367" spans="1:23">
      <c r="A4367" t="str">
        <f t="shared" si="1117"/>
        <v>ROB-ER4U-ADV</v>
      </c>
      <c r="B4367" t="str">
        <f>"00-1209-0000"</f>
        <v>00-1209-0000</v>
      </c>
      <c r="C4367" t="str">
        <f>"Photoelectric Sensor for Rotary Index Table"</f>
        <v>Photoelectric Sensor for Rotary Index Table</v>
      </c>
      <c r="D4367">
        <v>1</v>
      </c>
      <c r="E4367" t="str">
        <f t="shared" si="1118"/>
        <v>Scorbot-ER4U robot- Advanced Package &amp; Quality Control Station</v>
      </c>
      <c r="F4367">
        <v>802</v>
      </c>
      <c r="G4367" t="str">
        <f t="shared" si="1115"/>
        <v>Y</v>
      </c>
      <c r="H4367" t="str">
        <f t="shared" si="1121"/>
        <v>EA</v>
      </c>
      <c r="I4367">
        <v>0</v>
      </c>
      <c r="J4367">
        <v>0</v>
      </c>
      <c r="K4367" t="str">
        <f t="shared" si="1116"/>
        <v>Y</v>
      </c>
      <c r="L4367">
        <v>0</v>
      </c>
      <c r="M4367" t="str">
        <f t="shared" si="1102"/>
        <v>NIS</v>
      </c>
      <c r="O4367">
        <v>8</v>
      </c>
      <c r="P4367" t="str">
        <f t="shared" si="1119"/>
        <v>Active</v>
      </c>
      <c r="Q4367" t="str">
        <f>"Photoelectric Sensor for Rotary Index Table"</f>
        <v>Photoelectric Sensor for Rotary Index Table</v>
      </c>
      <c r="S4367" t="str">
        <f>"Photoelectric Sensor for Rotary Index Table"</f>
        <v>Photoelectric Sensor for Rotary Index Table</v>
      </c>
      <c r="T4367">
        <v>0</v>
      </c>
      <c r="U4367">
        <v>177.04</v>
      </c>
      <c r="V4367">
        <v>175.87</v>
      </c>
      <c r="W4367" t="str">
        <f t="shared" si="1120"/>
        <v>rob</v>
      </c>
    </row>
    <row r="4368" spans="1:23">
      <c r="A4368" t="str">
        <f t="shared" si="1117"/>
        <v>ROB-ER4U-ADV</v>
      </c>
      <c r="B4368" t="str">
        <f>"00-1710-0000"</f>
        <v>00-1710-0000</v>
      </c>
      <c r="C4368" t="str">
        <f>"Teach Pendant"</f>
        <v>Teach Pendant</v>
      </c>
      <c r="D4368">
        <v>1</v>
      </c>
      <c r="E4368" t="str">
        <f t="shared" si="1118"/>
        <v>Scorbot-ER4U robot- Advanced Package &amp; Quality Control Station</v>
      </c>
      <c r="F4368">
        <v>802</v>
      </c>
      <c r="G4368" t="str">
        <f t="shared" si="1115"/>
        <v>Y</v>
      </c>
      <c r="H4368" t="str">
        <f t="shared" si="1121"/>
        <v>EA</v>
      </c>
      <c r="I4368">
        <v>0</v>
      </c>
      <c r="J4368">
        <v>0</v>
      </c>
      <c r="K4368" t="str">
        <f t="shared" si="1116"/>
        <v>Y</v>
      </c>
      <c r="L4368">
        <v>0</v>
      </c>
      <c r="M4368" t="str">
        <f t="shared" si="1102"/>
        <v>NIS</v>
      </c>
      <c r="O4368">
        <v>9</v>
      </c>
      <c r="P4368" t="str">
        <f t="shared" si="1119"/>
        <v>Active</v>
      </c>
      <c r="Q4368" t="str">
        <f>"Teach Pendant for USB/USB Pro Controllers"</f>
        <v>Teach Pendant for USB/USB Pro Controllers</v>
      </c>
      <c r="S4368" t="str">
        <f>"Teach Pendant for USB/USB Pro Controllers"</f>
        <v>Teach Pendant for USB/USB Pro Controllers</v>
      </c>
      <c r="T4368">
        <v>0</v>
      </c>
      <c r="U4368">
        <v>160.18</v>
      </c>
      <c r="V4368">
        <v>161.44999999999999</v>
      </c>
      <c r="W4368" t="str">
        <f t="shared" si="1120"/>
        <v>rob</v>
      </c>
    </row>
    <row r="4369" spans="1:23">
      <c r="A4369" t="str">
        <f t="shared" si="1117"/>
        <v>ROB-ER4U-ADV</v>
      </c>
      <c r="B4369" t="str">
        <f>"00-1426-0000"</f>
        <v>00-1426-0000</v>
      </c>
      <c r="C4369" t="str">
        <f>"Viewflex - Machine Vision (Stand 1000mm)"</f>
        <v>Viewflex - Machine Vision (Stand 1000mm)</v>
      </c>
      <c r="D4369">
        <v>1</v>
      </c>
      <c r="E4369" t="str">
        <f t="shared" si="1118"/>
        <v>Scorbot-ER4U robot- Advanced Package &amp; Quality Control Station</v>
      </c>
      <c r="F4369">
        <v>802</v>
      </c>
      <c r="G4369" t="str">
        <f t="shared" si="1115"/>
        <v>Y</v>
      </c>
      <c r="H4369" t="str">
        <f t="shared" si="1121"/>
        <v>EA</v>
      </c>
      <c r="I4369">
        <v>0</v>
      </c>
      <c r="J4369">
        <v>0</v>
      </c>
      <c r="K4369" t="str">
        <f t="shared" si="1116"/>
        <v>Y</v>
      </c>
      <c r="L4369">
        <v>0</v>
      </c>
      <c r="M4369" t="str">
        <f t="shared" si="1102"/>
        <v>NIS</v>
      </c>
      <c r="O4369">
        <v>10</v>
      </c>
      <c r="P4369" t="str">
        <f t="shared" si="1119"/>
        <v>Active</v>
      </c>
      <c r="Q4369" t="str">
        <f>"Viewflex for Robot Guidance (Stand 1000mm)"</f>
        <v>Viewflex for Robot Guidance (Stand 1000mm)</v>
      </c>
      <c r="S4369" t="str">
        <f>"Viewflex for Robot Guidance (Stand 1000mm)"</f>
        <v>Viewflex for Robot Guidance (Stand 1000mm)</v>
      </c>
      <c r="T4369">
        <v>0</v>
      </c>
      <c r="U4369">
        <v>610.01</v>
      </c>
      <c r="V4369">
        <v>569.09</v>
      </c>
      <c r="W4369" t="str">
        <f t="shared" si="1120"/>
        <v>rob</v>
      </c>
    </row>
    <row r="4370" spans="1:23">
      <c r="A4370" t="str">
        <f t="shared" si="1117"/>
        <v>ROB-ER4U-ADV</v>
      </c>
      <c r="B4370" t="str">
        <f>"112713"</f>
        <v>112713</v>
      </c>
      <c r="C4370" t="str">
        <f>"Marked Aluminum Cylinder"</f>
        <v>Marked Aluminum Cylinder</v>
      </c>
      <c r="D4370">
        <v>3</v>
      </c>
      <c r="E4370" t="str">
        <f t="shared" si="1118"/>
        <v>Scorbot-ER4U robot- Advanced Package &amp; Quality Control Station</v>
      </c>
      <c r="F4370">
        <v>802</v>
      </c>
      <c r="G4370" t="str">
        <f t="shared" si="1115"/>
        <v>Y</v>
      </c>
      <c r="H4370" t="str">
        <f t="shared" si="1121"/>
        <v>EA</v>
      </c>
      <c r="I4370">
        <v>0</v>
      </c>
      <c r="J4370">
        <v>0</v>
      </c>
      <c r="K4370" t="str">
        <f t="shared" si="1116"/>
        <v>Y</v>
      </c>
      <c r="L4370">
        <v>0</v>
      </c>
      <c r="M4370" t="str">
        <f t="shared" si="1102"/>
        <v>NIS</v>
      </c>
      <c r="O4370">
        <v>11</v>
      </c>
      <c r="P4370" t="str">
        <f t="shared" si="1119"/>
        <v>Active</v>
      </c>
      <c r="Q4370" t="str">
        <f>"Mark Al. Cylinder Diam. 35x28 MicroCIM"</f>
        <v>Mark Al. Cylinder Diam. 35x28 MicroCIM</v>
      </c>
      <c r="S4370" t="str">
        <f>"Mark Al. Cylinder Diam. 35x28"</f>
        <v>Mark Al. Cylinder Diam. 35x28</v>
      </c>
      <c r="T4370">
        <v>0</v>
      </c>
      <c r="U4370">
        <v>6</v>
      </c>
      <c r="V4370">
        <v>5.97</v>
      </c>
      <c r="W4370" t="str">
        <f t="shared" si="1120"/>
        <v>rob</v>
      </c>
    </row>
    <row r="4371" spans="1:23">
      <c r="A4371" t="str">
        <f t="shared" si="1117"/>
        <v>ROB-ER4U-ADV</v>
      </c>
      <c r="B4371" t="str">
        <f>"113316"</f>
        <v>113316</v>
      </c>
      <c r="C4371" t="str">
        <f>"Parts Bin"</f>
        <v>Parts Bin</v>
      </c>
      <c r="D4371">
        <v>1</v>
      </c>
      <c r="E4371" t="str">
        <f t="shared" si="1118"/>
        <v>Scorbot-ER4U robot- Advanced Package &amp; Quality Control Station</v>
      </c>
      <c r="F4371">
        <v>802</v>
      </c>
      <c r="G4371" t="str">
        <f t="shared" si="1115"/>
        <v>Y</v>
      </c>
      <c r="H4371" t="str">
        <f t="shared" si="1121"/>
        <v>EA</v>
      </c>
      <c r="I4371">
        <v>0</v>
      </c>
      <c r="J4371">
        <v>0</v>
      </c>
      <c r="K4371" t="str">
        <f t="shared" si="1116"/>
        <v>Y</v>
      </c>
      <c r="L4371">
        <v>0</v>
      </c>
      <c r="M4371" t="str">
        <f t="shared" si="1102"/>
        <v>NIS</v>
      </c>
      <c r="O4371">
        <v>12</v>
      </c>
      <c r="P4371" t="str">
        <f t="shared" si="1119"/>
        <v>Active</v>
      </c>
      <c r="Q4371" t="str">
        <f>"Parts Bin; Plastic Box"</f>
        <v>Parts Bin; Plastic Box</v>
      </c>
      <c r="R4371" t="str">
        <f>"1"</f>
        <v>1</v>
      </c>
      <c r="S4371" t="str">
        <f>"Parts Bin; Plastic Box"</f>
        <v>Parts Bin; Plastic Box</v>
      </c>
      <c r="T4371">
        <v>0</v>
      </c>
      <c r="U4371">
        <v>8.0399999999999991</v>
      </c>
      <c r="V4371">
        <v>6.39</v>
      </c>
      <c r="W4371" t="str">
        <f t="shared" si="1120"/>
        <v>rob</v>
      </c>
    </row>
    <row r="4372" spans="1:23">
      <c r="A4372" t="str">
        <f t="shared" si="1117"/>
        <v>ROB-ER4U-ADV</v>
      </c>
      <c r="B4372" t="str">
        <f>"00-1249-0000"</f>
        <v>00-1249-0000</v>
      </c>
      <c r="C4372" t="str">
        <f>"Workbench 1500x800mm (slotted aluminum top)"</f>
        <v>Workbench 1500x800mm (slotted aluminum top)</v>
      </c>
      <c r="D4372">
        <v>1</v>
      </c>
      <c r="E4372" t="str">
        <f t="shared" si="1118"/>
        <v>Scorbot-ER4U robot- Advanced Package &amp; Quality Control Station</v>
      </c>
      <c r="F4372">
        <v>802</v>
      </c>
      <c r="G4372" t="str">
        <f t="shared" si="1115"/>
        <v>Y</v>
      </c>
      <c r="H4372" t="str">
        <f t="shared" si="1121"/>
        <v>EA</v>
      </c>
      <c r="I4372">
        <v>0</v>
      </c>
      <c r="J4372">
        <v>0</v>
      </c>
      <c r="K4372" t="str">
        <f t="shared" si="1116"/>
        <v>Y</v>
      </c>
      <c r="L4372">
        <v>0</v>
      </c>
      <c r="M4372" t="str">
        <f t="shared" ref="M4372:M4435" si="1122">"NIS"</f>
        <v>NIS</v>
      </c>
      <c r="O4372">
        <v>13</v>
      </c>
      <c r="P4372" t="str">
        <f t="shared" si="1119"/>
        <v>Active</v>
      </c>
      <c r="Q4372" t="str">
        <f>"Workbench 1500x800mm (slotted aluminum top)"</f>
        <v>Workbench 1500x800mm (slotted aluminum top)</v>
      </c>
      <c r="S4372" t="str">
        <f>"Workbench 1500x800mm (slotted aluminum top)"</f>
        <v>Workbench 1500x800mm (slotted aluminum top)</v>
      </c>
      <c r="T4372">
        <v>0</v>
      </c>
      <c r="U4372" s="44">
        <v>1100</v>
      </c>
      <c r="V4372" s="44">
        <v>1083.57</v>
      </c>
      <c r="W4372" t="str">
        <f t="shared" si="1120"/>
        <v>rob</v>
      </c>
    </row>
    <row r="4373" spans="1:23">
      <c r="A4373" t="str">
        <f t="shared" si="1117"/>
        <v>ROB-ER4U-ADV</v>
      </c>
      <c r="B4373" t="str">
        <f>"10-1010-9000"</f>
        <v>10-1010-9000</v>
      </c>
      <c r="C4373" t="str">
        <f>"Adapter Mounting Plate for ER4u"</f>
        <v>Adapter Mounting Plate for ER4u</v>
      </c>
      <c r="D4373">
        <v>1</v>
      </c>
      <c r="E4373" t="str">
        <f t="shared" si="1118"/>
        <v>Scorbot-ER4U robot- Advanced Package &amp; Quality Control Station</v>
      </c>
      <c r="F4373">
        <v>802</v>
      </c>
      <c r="G4373" t="str">
        <f t="shared" si="1115"/>
        <v>Y</v>
      </c>
      <c r="H4373" t="str">
        <f t="shared" si="1121"/>
        <v>EA</v>
      </c>
      <c r="I4373">
        <v>0</v>
      </c>
      <c r="J4373">
        <v>0</v>
      </c>
      <c r="K4373" t="str">
        <f t="shared" si="1116"/>
        <v>Y</v>
      </c>
      <c r="L4373">
        <v>0</v>
      </c>
      <c r="M4373" t="str">
        <f t="shared" si="1122"/>
        <v>NIS</v>
      </c>
      <c r="O4373">
        <v>14</v>
      </c>
      <c r="P4373" t="str">
        <f t="shared" si="1119"/>
        <v>Active</v>
      </c>
      <c r="Q4373" t="str">
        <f>"Adapter Mounting Plate for ER4u"</f>
        <v>Adapter Mounting Plate for ER4u</v>
      </c>
      <c r="S4373" t="str">
        <f>"Adapter Mounting Plate for ER4u"</f>
        <v>Adapter Mounting Plate for ER4u</v>
      </c>
      <c r="T4373">
        <v>0</v>
      </c>
      <c r="U4373">
        <v>117</v>
      </c>
      <c r="V4373">
        <v>117.14</v>
      </c>
      <c r="W4373" t="str">
        <f t="shared" si="1120"/>
        <v>rob</v>
      </c>
    </row>
    <row r="4374" spans="1:23">
      <c r="A4374" t="str">
        <f t="shared" si="1117"/>
        <v>ROB-ER4U-ADV</v>
      </c>
      <c r="B4374" t="str">
        <f>"63-9234-0000"</f>
        <v>63-9234-0000</v>
      </c>
      <c r="C4374" t="str">
        <f>"Robocell Software"</f>
        <v>Robocell Software</v>
      </c>
      <c r="D4374">
        <v>1</v>
      </c>
      <c r="E4374" t="str">
        <f t="shared" si="1118"/>
        <v>Scorbot-ER4U robot- Advanced Package &amp; Quality Control Station</v>
      </c>
      <c r="F4374">
        <v>802</v>
      </c>
      <c r="G4374" t="str">
        <f t="shared" si="1115"/>
        <v>Y</v>
      </c>
      <c r="H4374" t="str">
        <f t="shared" si="1121"/>
        <v>EA</v>
      </c>
      <c r="I4374">
        <v>0</v>
      </c>
      <c r="J4374">
        <v>0</v>
      </c>
      <c r="K4374" t="str">
        <f t="shared" si="1116"/>
        <v>Y</v>
      </c>
      <c r="L4374">
        <v>0</v>
      </c>
      <c r="M4374" t="str">
        <f t="shared" si="1122"/>
        <v>NIS</v>
      </c>
      <c r="N4374" t="str">
        <f>"Y"</f>
        <v>Y</v>
      </c>
      <c r="O4374">
        <v>15</v>
      </c>
      <c r="P4374" t="str">
        <f t="shared" si="1119"/>
        <v>Active</v>
      </c>
      <c r="Q4374" t="str">
        <f>"Robotic Software for Controller USB"</f>
        <v>Robotic Software for Controller USB</v>
      </c>
      <c r="S4374" t="str">
        <f>"Robotic Software for Controller USB"</f>
        <v>Robotic Software for Controller USB</v>
      </c>
      <c r="T4374">
        <v>0</v>
      </c>
      <c r="U4374">
        <v>33</v>
      </c>
      <c r="V4374">
        <v>34.700000000000003</v>
      </c>
      <c r="W4374" t="str">
        <f t="shared" si="1120"/>
        <v>rob</v>
      </c>
    </row>
    <row r="4375" spans="1:23">
      <c r="A4375" t="str">
        <f t="shared" si="1117"/>
        <v>ROB-ER4U-ADV</v>
      </c>
      <c r="B4375" t="str">
        <f>"63-7000-0100"</f>
        <v>63-7000-0100</v>
      </c>
      <c r="C4375" t="str">
        <f>"License Key for RoboCell"</f>
        <v>License Key for RoboCell</v>
      </c>
      <c r="D4375">
        <v>1</v>
      </c>
      <c r="E4375" t="str">
        <f t="shared" si="1118"/>
        <v>Scorbot-ER4U robot- Advanced Package &amp; Quality Control Station</v>
      </c>
      <c r="F4375">
        <v>802</v>
      </c>
      <c r="G4375" t="str">
        <f t="shared" si="1115"/>
        <v>Y</v>
      </c>
      <c r="H4375" t="str">
        <f t="shared" si="1121"/>
        <v>EA</v>
      </c>
      <c r="I4375">
        <v>0</v>
      </c>
      <c r="J4375">
        <v>0</v>
      </c>
      <c r="K4375" t="str">
        <f t="shared" si="1116"/>
        <v>Y</v>
      </c>
      <c r="L4375">
        <v>0</v>
      </c>
      <c r="M4375" t="str">
        <f t="shared" si="1122"/>
        <v>NIS</v>
      </c>
      <c r="O4375">
        <v>16</v>
      </c>
      <c r="P4375" t="str">
        <f t="shared" si="1119"/>
        <v>Active</v>
      </c>
      <c r="Q4375" t="str">
        <f>"License Key for RoboCell/SCORBASE USB"</f>
        <v>License Key for RoboCell/SCORBASE USB</v>
      </c>
      <c r="R4375" t="str">
        <f>"1"</f>
        <v>1</v>
      </c>
      <c r="S4375" t="str">
        <f>"License Key for RoboCell/SCORBASE USB"</f>
        <v>License Key for RoboCell/SCORBASE USB</v>
      </c>
      <c r="T4375">
        <v>0</v>
      </c>
      <c r="U4375">
        <v>10</v>
      </c>
      <c r="V4375">
        <v>11.1</v>
      </c>
      <c r="W4375" t="str">
        <f t="shared" si="1120"/>
        <v>rob</v>
      </c>
    </row>
    <row r="4376" spans="1:23">
      <c r="A4376" t="str">
        <f t="shared" ref="A4376:A4383" si="1123">"ROB-ER4U-PACK"</f>
        <v>ROB-ER4U-PACK</v>
      </c>
      <c r="B4376" t="str">
        <f>"00-0413-0000"</f>
        <v>00-0413-0000</v>
      </c>
      <c r="C4376" t="str">
        <f>"SCORBOT-ER 4u"</f>
        <v>SCORBOT-ER 4u</v>
      </c>
      <c r="D4376">
        <v>1</v>
      </c>
      <c r="E4376" t="str">
        <f t="shared" ref="E4376:E4383" si="1124">"Scorbot-ER4U robot - Introductory"</f>
        <v>Scorbot-ER4U robot - Introductory</v>
      </c>
      <c r="F4376">
        <v>802</v>
      </c>
      <c r="G4376" t="str">
        <f t="shared" si="1115"/>
        <v>Y</v>
      </c>
      <c r="H4376" t="str">
        <f t="shared" si="1121"/>
        <v>EA</v>
      </c>
      <c r="I4376">
        <v>0</v>
      </c>
      <c r="J4376">
        <v>0</v>
      </c>
      <c r="K4376" t="str">
        <f t="shared" si="1116"/>
        <v>Y</v>
      </c>
      <c r="L4376">
        <v>0</v>
      </c>
      <c r="M4376" t="str">
        <f t="shared" si="1122"/>
        <v>NIS</v>
      </c>
      <c r="O4376">
        <v>1</v>
      </c>
      <c r="P4376" t="str">
        <f t="shared" si="1119"/>
        <v>Active</v>
      </c>
      <c r="Q4376" t="str">
        <f>"SCORBOT-ER 4u (Package)"</f>
        <v>SCORBOT-ER 4u (Package)</v>
      </c>
      <c r="S4376" t="str">
        <f>"SCORBOT-ER 4u (Package)"</f>
        <v>SCORBOT-ER 4u (Package)</v>
      </c>
      <c r="T4376">
        <v>0</v>
      </c>
      <c r="U4376" s="44">
        <v>3200</v>
      </c>
      <c r="V4376" s="44">
        <v>3390.7</v>
      </c>
      <c r="W4376" t="str">
        <f t="shared" si="1120"/>
        <v>rob</v>
      </c>
    </row>
    <row r="4377" spans="1:23">
      <c r="A4377" t="str">
        <f t="shared" si="1123"/>
        <v>ROB-ER4U-PACK</v>
      </c>
      <c r="B4377" t="str">
        <f>"00-0609-0000"</f>
        <v>00-0609-0000</v>
      </c>
      <c r="C4377" t="str">
        <f>"Gripper attachment for round and square parts"</f>
        <v>Gripper attachment for round and square parts</v>
      </c>
      <c r="D4377">
        <v>1</v>
      </c>
      <c r="E4377" t="str">
        <f t="shared" si="1124"/>
        <v>Scorbot-ER4U robot - Introductory</v>
      </c>
      <c r="F4377">
        <v>802</v>
      </c>
      <c r="G4377" t="str">
        <f t="shared" si="1115"/>
        <v>Y</v>
      </c>
      <c r="H4377" t="str">
        <f t="shared" si="1121"/>
        <v>EA</v>
      </c>
      <c r="I4377">
        <v>0</v>
      </c>
      <c r="J4377">
        <v>0</v>
      </c>
      <c r="K4377" t="str">
        <f t="shared" si="1116"/>
        <v>Y</v>
      </c>
      <c r="L4377">
        <v>0</v>
      </c>
      <c r="M4377" t="str">
        <f t="shared" si="1122"/>
        <v>NIS</v>
      </c>
      <c r="O4377">
        <v>2</v>
      </c>
      <c r="P4377" t="str">
        <f t="shared" si="1119"/>
        <v>Active</v>
      </c>
      <c r="Q4377" t="str">
        <f>"End Effector Attachment for ER4U Gripper"</f>
        <v>End Effector Attachment for ER4U Gripper</v>
      </c>
      <c r="S4377" t="str">
        <f>"End Effector Attachment for ER4U Gripper"</f>
        <v>End Effector Attachment for ER4U Gripper</v>
      </c>
      <c r="T4377">
        <v>0</v>
      </c>
      <c r="U4377">
        <v>25.59</v>
      </c>
      <c r="V4377">
        <v>25.11</v>
      </c>
      <c r="W4377" t="str">
        <f t="shared" si="1120"/>
        <v>rob</v>
      </c>
    </row>
    <row r="4378" spans="1:23">
      <c r="A4378" t="str">
        <f t="shared" si="1123"/>
        <v>ROB-ER4U-PACK</v>
      </c>
      <c r="B4378" t="str">
        <f>"00-1710-0000"</f>
        <v>00-1710-0000</v>
      </c>
      <c r="C4378" t="str">
        <f>"Teach Pendant"</f>
        <v>Teach Pendant</v>
      </c>
      <c r="D4378">
        <v>1</v>
      </c>
      <c r="E4378" t="str">
        <f t="shared" si="1124"/>
        <v>Scorbot-ER4U robot - Introductory</v>
      </c>
      <c r="F4378">
        <v>802</v>
      </c>
      <c r="G4378" t="str">
        <f t="shared" si="1115"/>
        <v>Y</v>
      </c>
      <c r="H4378" t="str">
        <f t="shared" si="1121"/>
        <v>EA</v>
      </c>
      <c r="I4378">
        <v>0</v>
      </c>
      <c r="J4378">
        <v>0</v>
      </c>
      <c r="K4378" t="str">
        <f t="shared" si="1116"/>
        <v>Y</v>
      </c>
      <c r="L4378">
        <v>0</v>
      </c>
      <c r="M4378" t="str">
        <f t="shared" si="1122"/>
        <v>NIS</v>
      </c>
      <c r="O4378">
        <v>3</v>
      </c>
      <c r="P4378" t="str">
        <f t="shared" si="1119"/>
        <v>Active</v>
      </c>
      <c r="Q4378" t="str">
        <f>"Teach Pendant for USB/USB Pro Controllers"</f>
        <v>Teach Pendant for USB/USB Pro Controllers</v>
      </c>
      <c r="S4378" t="str">
        <f>"Teach Pendant for USB/USB Pro Controllers"</f>
        <v>Teach Pendant for USB/USB Pro Controllers</v>
      </c>
      <c r="T4378">
        <v>0</v>
      </c>
      <c r="U4378">
        <v>160.18</v>
      </c>
      <c r="V4378">
        <v>161.44999999999999</v>
      </c>
      <c r="W4378" t="str">
        <f t="shared" si="1120"/>
        <v>rob</v>
      </c>
    </row>
    <row r="4379" spans="1:23">
      <c r="A4379" t="str">
        <f t="shared" si="1123"/>
        <v>ROB-ER4U-PACK</v>
      </c>
      <c r="B4379" t="str">
        <f>"00-1010-0000"</f>
        <v>00-1010-0000</v>
      </c>
      <c r="C4379" t="str">
        <f>"Conveyor Belt tabletop"</f>
        <v>Conveyor Belt tabletop</v>
      </c>
      <c r="D4379">
        <v>1</v>
      </c>
      <c r="E4379" t="str">
        <f t="shared" si="1124"/>
        <v>Scorbot-ER4U robot - Introductory</v>
      </c>
      <c r="F4379">
        <v>802</v>
      </c>
      <c r="G4379" t="str">
        <f t="shared" si="1115"/>
        <v>Y</v>
      </c>
      <c r="H4379" t="str">
        <f t="shared" si="1121"/>
        <v>EA</v>
      </c>
      <c r="I4379">
        <v>0</v>
      </c>
      <c r="J4379">
        <v>0</v>
      </c>
      <c r="K4379" t="str">
        <f t="shared" si="1116"/>
        <v>Y</v>
      </c>
      <c r="L4379">
        <v>0</v>
      </c>
      <c r="M4379" t="str">
        <f t="shared" si="1122"/>
        <v>NIS</v>
      </c>
      <c r="O4379">
        <v>4</v>
      </c>
      <c r="P4379" t="str">
        <f t="shared" si="1119"/>
        <v>Active</v>
      </c>
      <c r="Q4379" t="str">
        <f>"Conveyor Belt (24V)"</f>
        <v>Conveyor Belt (24V)</v>
      </c>
      <c r="S4379" t="str">
        <f>"Conveyor Belt (24V)"</f>
        <v>Conveyor Belt (24V)</v>
      </c>
      <c r="T4379">
        <v>0</v>
      </c>
      <c r="U4379">
        <v>510</v>
      </c>
      <c r="V4379">
        <v>472.02</v>
      </c>
      <c r="W4379" t="str">
        <f t="shared" si="1120"/>
        <v>rob</v>
      </c>
    </row>
    <row r="4380" spans="1:23">
      <c r="A4380" t="str">
        <f t="shared" si="1123"/>
        <v>ROB-ER4U-PACK</v>
      </c>
      <c r="B4380" t="str">
        <f>"00-1203-0000"</f>
        <v>00-1203-0000</v>
      </c>
      <c r="C4380" t="str">
        <f>"Photoelectric Sensor for Belt Conveyor"</f>
        <v>Photoelectric Sensor for Belt Conveyor</v>
      </c>
      <c r="D4380">
        <v>1</v>
      </c>
      <c r="E4380" t="str">
        <f t="shared" si="1124"/>
        <v>Scorbot-ER4U robot - Introductory</v>
      </c>
      <c r="F4380">
        <v>802</v>
      </c>
      <c r="G4380" t="str">
        <f t="shared" si="1115"/>
        <v>Y</v>
      </c>
      <c r="H4380" t="str">
        <f t="shared" si="1121"/>
        <v>EA</v>
      </c>
      <c r="I4380">
        <v>0</v>
      </c>
      <c r="J4380">
        <v>0</v>
      </c>
      <c r="K4380" t="str">
        <f t="shared" si="1116"/>
        <v>Y</v>
      </c>
      <c r="L4380">
        <v>0</v>
      </c>
      <c r="M4380" t="str">
        <f t="shared" si="1122"/>
        <v>NIS</v>
      </c>
      <c r="O4380">
        <v>5</v>
      </c>
      <c r="P4380" t="str">
        <f t="shared" si="1119"/>
        <v>Active</v>
      </c>
      <c r="Q4380" t="str">
        <f>"Photoelectric Sensor for Belt Conveyor"</f>
        <v>Photoelectric Sensor for Belt Conveyor</v>
      </c>
      <c r="S4380" t="str">
        <f>"Photoelectric Sensor for Belt Conveyor"</f>
        <v>Photoelectric Sensor for Belt Conveyor</v>
      </c>
      <c r="T4380">
        <v>0</v>
      </c>
      <c r="U4380">
        <v>108</v>
      </c>
      <c r="V4380">
        <v>100.82</v>
      </c>
      <c r="W4380" t="str">
        <f t="shared" si="1120"/>
        <v>rob</v>
      </c>
    </row>
    <row r="4381" spans="1:23">
      <c r="A4381" t="str">
        <f t="shared" si="1123"/>
        <v>ROB-ER4U-PACK</v>
      </c>
      <c r="B4381" t="str">
        <f>"10-1007-4000"</f>
        <v>10-1007-4000</v>
      </c>
      <c r="C4381" t="str">
        <f>"Gravity Parts Feeder (with microswitch sensor)"</f>
        <v>Gravity Parts Feeder (with microswitch sensor)</v>
      </c>
      <c r="D4381">
        <v>1</v>
      </c>
      <c r="E4381" t="str">
        <f t="shared" si="1124"/>
        <v>Scorbot-ER4U robot - Introductory</v>
      </c>
      <c r="F4381">
        <v>802</v>
      </c>
      <c r="G4381" t="str">
        <f t="shared" si="1115"/>
        <v>Y</v>
      </c>
      <c r="H4381" t="str">
        <f t="shared" si="1121"/>
        <v>EA</v>
      </c>
      <c r="I4381">
        <v>0</v>
      </c>
      <c r="J4381">
        <v>0</v>
      </c>
      <c r="K4381" t="str">
        <f t="shared" si="1116"/>
        <v>Y</v>
      </c>
      <c r="L4381">
        <v>0</v>
      </c>
      <c r="M4381" t="str">
        <f t="shared" si="1122"/>
        <v>NIS</v>
      </c>
      <c r="O4381">
        <v>6</v>
      </c>
      <c r="P4381" t="str">
        <f t="shared" si="1119"/>
        <v>Active</v>
      </c>
      <c r="Q4381" t="str">
        <f>"Gravity Parts Feeder (incl.microswitch sensor)"</f>
        <v>Gravity Parts Feeder (incl.microswitch sensor)</v>
      </c>
      <c r="S4381" t="str">
        <f>"Gravity Parts Feeder (incl.microswitch sensor)"</f>
        <v>Gravity Parts Feeder (incl.microswitch sensor)</v>
      </c>
      <c r="T4381">
        <v>0</v>
      </c>
      <c r="U4381">
        <v>148</v>
      </c>
      <c r="V4381">
        <v>148.26</v>
      </c>
      <c r="W4381" t="str">
        <f t="shared" si="1120"/>
        <v>rob</v>
      </c>
    </row>
    <row r="4382" spans="1:23">
      <c r="A4382" t="str">
        <f t="shared" si="1123"/>
        <v>ROB-ER4U-PACK</v>
      </c>
      <c r="B4382" t="str">
        <f>"63-9234-0000"</f>
        <v>63-9234-0000</v>
      </c>
      <c r="C4382" t="str">
        <f>"Robocell Software"</f>
        <v>Robocell Software</v>
      </c>
      <c r="D4382">
        <v>1</v>
      </c>
      <c r="E4382" t="str">
        <f t="shared" si="1124"/>
        <v>Scorbot-ER4U robot - Introductory</v>
      </c>
      <c r="F4382">
        <v>802</v>
      </c>
      <c r="G4382" t="str">
        <f t="shared" si="1115"/>
        <v>Y</v>
      </c>
      <c r="H4382" t="str">
        <f t="shared" si="1121"/>
        <v>EA</v>
      </c>
      <c r="I4382">
        <v>0</v>
      </c>
      <c r="J4382">
        <v>0</v>
      </c>
      <c r="K4382" t="str">
        <f t="shared" si="1116"/>
        <v>Y</v>
      </c>
      <c r="L4382">
        <v>0</v>
      </c>
      <c r="M4382" t="str">
        <f t="shared" si="1122"/>
        <v>NIS</v>
      </c>
      <c r="N4382" t="str">
        <f>"Y"</f>
        <v>Y</v>
      </c>
      <c r="O4382">
        <v>7</v>
      </c>
      <c r="P4382" t="str">
        <f t="shared" si="1119"/>
        <v>Active</v>
      </c>
      <c r="Q4382" t="str">
        <f>"Robotic Software for Controller USB"</f>
        <v>Robotic Software for Controller USB</v>
      </c>
      <c r="S4382" t="str">
        <f>"Robotic Software for Controller USB"</f>
        <v>Robotic Software for Controller USB</v>
      </c>
      <c r="T4382">
        <v>0</v>
      </c>
      <c r="U4382">
        <v>33</v>
      </c>
      <c r="V4382">
        <v>34.700000000000003</v>
      </c>
      <c r="W4382" t="str">
        <f t="shared" si="1120"/>
        <v>rob</v>
      </c>
    </row>
    <row r="4383" spans="1:23">
      <c r="A4383" t="str">
        <f t="shared" si="1123"/>
        <v>ROB-ER4U-PACK</v>
      </c>
      <c r="B4383" t="str">
        <f>"63-7000-0100"</f>
        <v>63-7000-0100</v>
      </c>
      <c r="C4383" t="str">
        <f>"License Key for RoboCell"</f>
        <v>License Key for RoboCell</v>
      </c>
      <c r="D4383">
        <v>1</v>
      </c>
      <c r="E4383" t="str">
        <f t="shared" si="1124"/>
        <v>Scorbot-ER4U robot - Introductory</v>
      </c>
      <c r="F4383">
        <v>802</v>
      </c>
      <c r="G4383" t="str">
        <f t="shared" si="1115"/>
        <v>Y</v>
      </c>
      <c r="H4383" t="str">
        <f t="shared" si="1121"/>
        <v>EA</v>
      </c>
      <c r="I4383">
        <v>0</v>
      </c>
      <c r="J4383">
        <v>0</v>
      </c>
      <c r="K4383" t="str">
        <f t="shared" si="1116"/>
        <v>Y</v>
      </c>
      <c r="L4383">
        <v>0</v>
      </c>
      <c r="M4383" t="str">
        <f t="shared" si="1122"/>
        <v>NIS</v>
      </c>
      <c r="O4383">
        <v>8</v>
      </c>
      <c r="P4383" t="str">
        <f t="shared" si="1119"/>
        <v>Active</v>
      </c>
      <c r="Q4383" t="str">
        <f>"License Key for RoboCell/SCORBASE USB"</f>
        <v>License Key for RoboCell/SCORBASE USB</v>
      </c>
      <c r="R4383" t="str">
        <f>"1"</f>
        <v>1</v>
      </c>
      <c r="S4383" t="str">
        <f>"License Key for RoboCell/SCORBASE USB"</f>
        <v>License Key for RoboCell/SCORBASE USB</v>
      </c>
      <c r="T4383">
        <v>0</v>
      </c>
      <c r="U4383">
        <v>10</v>
      </c>
      <c r="V4383">
        <v>11.1</v>
      </c>
      <c r="W4383" t="str">
        <f t="shared" si="1120"/>
        <v>rob</v>
      </c>
    </row>
    <row r="4384" spans="1:23">
      <c r="A4384" t="str">
        <f t="shared" ref="A4384:A4395" si="1125">"ROB-ER4U-STND"</f>
        <v>ROB-ER4U-STND</v>
      </c>
      <c r="B4384" t="str">
        <f>"00-0413-0000"</f>
        <v>00-0413-0000</v>
      </c>
      <c r="C4384" t="str">
        <f>"SCORBOT-ER 4u"</f>
        <v>SCORBOT-ER 4u</v>
      </c>
      <c r="D4384">
        <v>1</v>
      </c>
      <c r="E4384" t="str">
        <f t="shared" ref="E4384:E4395" si="1126">"Scorbot-ER4U robot - Standard Package"</f>
        <v>Scorbot-ER4U robot - Standard Package</v>
      </c>
      <c r="F4384">
        <v>802</v>
      </c>
      <c r="G4384" t="str">
        <f t="shared" si="1115"/>
        <v>Y</v>
      </c>
      <c r="H4384" t="str">
        <f t="shared" si="1121"/>
        <v>EA</v>
      </c>
      <c r="I4384">
        <v>0</v>
      </c>
      <c r="J4384">
        <v>0</v>
      </c>
      <c r="K4384" t="str">
        <f t="shared" si="1116"/>
        <v>Y</v>
      </c>
      <c r="L4384">
        <v>0</v>
      </c>
      <c r="M4384" t="str">
        <f t="shared" si="1122"/>
        <v>NIS</v>
      </c>
      <c r="O4384">
        <v>1</v>
      </c>
      <c r="P4384" t="str">
        <f t="shared" si="1119"/>
        <v>Active</v>
      </c>
      <c r="Q4384" t="str">
        <f>"SCORBOT-ER 4u (Package)"</f>
        <v>SCORBOT-ER 4u (Package)</v>
      </c>
      <c r="S4384" t="str">
        <f>"SCORBOT-ER 4u (Package)"</f>
        <v>SCORBOT-ER 4u (Package)</v>
      </c>
      <c r="T4384">
        <v>0</v>
      </c>
      <c r="U4384" s="44">
        <v>3200</v>
      </c>
      <c r="V4384" s="44">
        <v>3390.7</v>
      </c>
      <c r="W4384" t="str">
        <f t="shared" si="1120"/>
        <v>rob</v>
      </c>
    </row>
    <row r="4385" spans="1:23">
      <c r="A4385" t="str">
        <f t="shared" si="1125"/>
        <v>ROB-ER4U-STND</v>
      </c>
      <c r="B4385" t="str">
        <f>"00-0609-0000"</f>
        <v>00-0609-0000</v>
      </c>
      <c r="C4385" t="str">
        <f>"Gripper attachment for round and square parts"</f>
        <v>Gripper attachment for round and square parts</v>
      </c>
      <c r="D4385">
        <v>1</v>
      </c>
      <c r="E4385" t="str">
        <f t="shared" si="1126"/>
        <v>Scorbot-ER4U robot - Standard Package</v>
      </c>
      <c r="F4385">
        <v>802</v>
      </c>
      <c r="G4385" t="str">
        <f t="shared" si="1115"/>
        <v>Y</v>
      </c>
      <c r="H4385" t="str">
        <f t="shared" si="1121"/>
        <v>EA</v>
      </c>
      <c r="I4385">
        <v>0</v>
      </c>
      <c r="J4385">
        <v>0</v>
      </c>
      <c r="K4385" t="str">
        <f t="shared" si="1116"/>
        <v>Y</v>
      </c>
      <c r="L4385">
        <v>0</v>
      </c>
      <c r="M4385" t="str">
        <f t="shared" si="1122"/>
        <v>NIS</v>
      </c>
      <c r="O4385">
        <v>2</v>
      </c>
      <c r="P4385" t="str">
        <f t="shared" si="1119"/>
        <v>Active</v>
      </c>
      <c r="Q4385" t="str">
        <f>"End Effector Attachment for ER4U Gripper"</f>
        <v>End Effector Attachment for ER4U Gripper</v>
      </c>
      <c r="S4385" t="str">
        <f>"End Effector Attachment for ER4U Gripper"</f>
        <v>End Effector Attachment for ER4U Gripper</v>
      </c>
      <c r="T4385">
        <v>0</v>
      </c>
      <c r="U4385">
        <v>25.59</v>
      </c>
      <c r="V4385">
        <v>25.11</v>
      </c>
      <c r="W4385" t="str">
        <f t="shared" si="1120"/>
        <v>rob</v>
      </c>
    </row>
    <row r="4386" spans="1:23">
      <c r="A4386" t="str">
        <f t="shared" si="1125"/>
        <v>ROB-ER4U-STND</v>
      </c>
      <c r="B4386" t="str">
        <f>"00-1710-0000"</f>
        <v>00-1710-0000</v>
      </c>
      <c r="C4386" t="str">
        <f>"Teach Pendant"</f>
        <v>Teach Pendant</v>
      </c>
      <c r="D4386">
        <v>1</v>
      </c>
      <c r="E4386" t="str">
        <f t="shared" si="1126"/>
        <v>Scorbot-ER4U robot - Standard Package</v>
      </c>
      <c r="F4386">
        <v>802</v>
      </c>
      <c r="G4386" t="str">
        <f t="shared" si="1115"/>
        <v>Y</v>
      </c>
      <c r="H4386" t="str">
        <f t="shared" si="1121"/>
        <v>EA</v>
      </c>
      <c r="I4386">
        <v>0</v>
      </c>
      <c r="J4386">
        <v>0</v>
      </c>
      <c r="K4386" t="str">
        <f t="shared" si="1116"/>
        <v>Y</v>
      </c>
      <c r="L4386">
        <v>0</v>
      </c>
      <c r="M4386" t="str">
        <f t="shared" si="1122"/>
        <v>NIS</v>
      </c>
      <c r="O4386">
        <v>3</v>
      </c>
      <c r="P4386" t="str">
        <f t="shared" si="1119"/>
        <v>Active</v>
      </c>
      <c r="Q4386" t="str">
        <f>"Teach Pendant for USB/USB Pro Controllers"</f>
        <v>Teach Pendant for USB/USB Pro Controllers</v>
      </c>
      <c r="S4386" t="str">
        <f>"Teach Pendant for USB/USB Pro Controllers"</f>
        <v>Teach Pendant for USB/USB Pro Controllers</v>
      </c>
      <c r="T4386">
        <v>0</v>
      </c>
      <c r="U4386">
        <v>160.18</v>
      </c>
      <c r="V4386">
        <v>161.44999999999999</v>
      </c>
      <c r="W4386" t="str">
        <f t="shared" si="1120"/>
        <v>rob</v>
      </c>
    </row>
    <row r="4387" spans="1:23">
      <c r="A4387" t="str">
        <f t="shared" si="1125"/>
        <v>ROB-ER4U-STND</v>
      </c>
      <c r="B4387" t="str">
        <f>"00-1201-0000"</f>
        <v>00-1201-0000</v>
      </c>
      <c r="C4387" t="str">
        <f>"I/O Experiment Table"</f>
        <v>I/O Experiment Table</v>
      </c>
      <c r="D4387">
        <v>1</v>
      </c>
      <c r="E4387" t="str">
        <f t="shared" si="1126"/>
        <v>Scorbot-ER4U robot - Standard Package</v>
      </c>
      <c r="F4387">
        <v>802</v>
      </c>
      <c r="G4387" t="str">
        <f t="shared" si="1115"/>
        <v>Y</v>
      </c>
      <c r="H4387" t="str">
        <f t="shared" si="1121"/>
        <v>EA</v>
      </c>
      <c r="I4387">
        <v>0</v>
      </c>
      <c r="J4387">
        <v>0</v>
      </c>
      <c r="K4387" t="str">
        <f t="shared" si="1116"/>
        <v>Y</v>
      </c>
      <c r="L4387">
        <v>0</v>
      </c>
      <c r="M4387" t="str">
        <f t="shared" si="1122"/>
        <v>NIS</v>
      </c>
      <c r="O4387">
        <v>4</v>
      </c>
      <c r="P4387" t="str">
        <f t="shared" si="1119"/>
        <v>Active</v>
      </c>
      <c r="Q4387" t="str">
        <f>"I/O Experiment Table"</f>
        <v>I/O Experiment Table</v>
      </c>
      <c r="S4387" t="str">
        <f>"I/O Experiment Table"</f>
        <v>I/O Experiment Table</v>
      </c>
      <c r="T4387">
        <v>0</v>
      </c>
      <c r="U4387">
        <v>242</v>
      </c>
      <c r="V4387">
        <v>230.37</v>
      </c>
      <c r="W4387" t="str">
        <f t="shared" si="1120"/>
        <v>rob</v>
      </c>
    </row>
    <row r="4388" spans="1:23">
      <c r="A4388" t="str">
        <f t="shared" si="1125"/>
        <v>ROB-ER4U-STND</v>
      </c>
      <c r="B4388" t="str">
        <f>"00-1010-0000"</f>
        <v>00-1010-0000</v>
      </c>
      <c r="C4388" t="str">
        <f>"Conveyor Belt tabletop"</f>
        <v>Conveyor Belt tabletop</v>
      </c>
      <c r="D4388">
        <v>1</v>
      </c>
      <c r="E4388" t="str">
        <f t="shared" si="1126"/>
        <v>Scorbot-ER4U robot - Standard Package</v>
      </c>
      <c r="F4388">
        <v>802</v>
      </c>
      <c r="G4388" t="str">
        <f t="shared" si="1115"/>
        <v>Y</v>
      </c>
      <c r="H4388" t="str">
        <f t="shared" si="1121"/>
        <v>EA</v>
      </c>
      <c r="I4388">
        <v>0</v>
      </c>
      <c r="J4388">
        <v>0</v>
      </c>
      <c r="K4388" t="str">
        <f t="shared" si="1116"/>
        <v>Y</v>
      </c>
      <c r="L4388">
        <v>0</v>
      </c>
      <c r="M4388" t="str">
        <f t="shared" si="1122"/>
        <v>NIS</v>
      </c>
      <c r="O4388">
        <v>5</v>
      </c>
      <c r="P4388" t="str">
        <f t="shared" si="1119"/>
        <v>Active</v>
      </c>
      <c r="Q4388" t="str">
        <f>"Conveyor Belt (24V)"</f>
        <v>Conveyor Belt (24V)</v>
      </c>
      <c r="S4388" t="str">
        <f>"Conveyor Belt (24V)"</f>
        <v>Conveyor Belt (24V)</v>
      </c>
      <c r="T4388">
        <v>0</v>
      </c>
      <c r="U4388">
        <v>510</v>
      </c>
      <c r="V4388">
        <v>472.02</v>
      </c>
      <c r="W4388" t="str">
        <f t="shared" si="1120"/>
        <v>rob</v>
      </c>
    </row>
    <row r="4389" spans="1:23">
      <c r="A4389" t="str">
        <f t="shared" si="1125"/>
        <v>ROB-ER4U-STND</v>
      </c>
      <c r="B4389" t="str">
        <f>"00-1203-0000"</f>
        <v>00-1203-0000</v>
      </c>
      <c r="C4389" t="str">
        <f>"Photoelectric Sensor for Belt Conveyor"</f>
        <v>Photoelectric Sensor for Belt Conveyor</v>
      </c>
      <c r="D4389">
        <v>1</v>
      </c>
      <c r="E4389" t="str">
        <f t="shared" si="1126"/>
        <v>Scorbot-ER4U robot - Standard Package</v>
      </c>
      <c r="F4389">
        <v>802</v>
      </c>
      <c r="G4389" t="str">
        <f t="shared" si="1115"/>
        <v>Y</v>
      </c>
      <c r="H4389" t="str">
        <f t="shared" si="1121"/>
        <v>EA</v>
      </c>
      <c r="I4389">
        <v>0</v>
      </c>
      <c r="J4389">
        <v>0</v>
      </c>
      <c r="K4389" t="str">
        <f t="shared" si="1116"/>
        <v>Y</v>
      </c>
      <c r="L4389">
        <v>0</v>
      </c>
      <c r="M4389" t="str">
        <f t="shared" si="1122"/>
        <v>NIS</v>
      </c>
      <c r="O4389">
        <v>6</v>
      </c>
      <c r="P4389" t="str">
        <f t="shared" si="1119"/>
        <v>Active</v>
      </c>
      <c r="Q4389" t="str">
        <f>"Photoelectric Sensor for Belt Conveyor"</f>
        <v>Photoelectric Sensor for Belt Conveyor</v>
      </c>
      <c r="S4389" t="str">
        <f>"Photoelectric Sensor for Belt Conveyor"</f>
        <v>Photoelectric Sensor for Belt Conveyor</v>
      </c>
      <c r="T4389">
        <v>0</v>
      </c>
      <c r="U4389">
        <v>108</v>
      </c>
      <c r="V4389">
        <v>100.82</v>
      </c>
      <c r="W4389" t="str">
        <f t="shared" si="1120"/>
        <v>rob</v>
      </c>
    </row>
    <row r="4390" spans="1:23">
      <c r="A4390" t="str">
        <f t="shared" si="1125"/>
        <v>ROB-ER4U-STND</v>
      </c>
      <c r="B4390" t="str">
        <f>"10-1007-4000"</f>
        <v>10-1007-4000</v>
      </c>
      <c r="C4390" t="str">
        <f>"Gravity Parts Feeder (with microswitch sensor)"</f>
        <v>Gravity Parts Feeder (with microswitch sensor)</v>
      </c>
      <c r="D4390">
        <v>1</v>
      </c>
      <c r="E4390" t="str">
        <f t="shared" si="1126"/>
        <v>Scorbot-ER4U robot - Standard Package</v>
      </c>
      <c r="F4390">
        <v>802</v>
      </c>
      <c r="G4390" t="str">
        <f t="shared" si="1115"/>
        <v>Y</v>
      </c>
      <c r="H4390" t="str">
        <f t="shared" si="1121"/>
        <v>EA</v>
      </c>
      <c r="I4390">
        <v>0</v>
      </c>
      <c r="J4390">
        <v>0</v>
      </c>
      <c r="K4390" t="str">
        <f t="shared" si="1116"/>
        <v>Y</v>
      </c>
      <c r="L4390">
        <v>0</v>
      </c>
      <c r="M4390" t="str">
        <f t="shared" si="1122"/>
        <v>NIS</v>
      </c>
      <c r="O4390">
        <v>7</v>
      </c>
      <c r="P4390" t="str">
        <f t="shared" si="1119"/>
        <v>Active</v>
      </c>
      <c r="Q4390" t="str">
        <f>"Gravity Parts Feeder (incl.microswitch sensor)"</f>
        <v>Gravity Parts Feeder (incl.microswitch sensor)</v>
      </c>
      <c r="S4390" t="str">
        <f>"Gravity Parts Feeder (incl.microswitch sensor)"</f>
        <v>Gravity Parts Feeder (incl.microswitch sensor)</v>
      </c>
      <c r="T4390">
        <v>0</v>
      </c>
      <c r="U4390">
        <v>148</v>
      </c>
      <c r="V4390">
        <v>148.26</v>
      </c>
      <c r="W4390" t="str">
        <f t="shared" si="1120"/>
        <v>rob</v>
      </c>
    </row>
    <row r="4391" spans="1:23">
      <c r="A4391" t="str">
        <f t="shared" si="1125"/>
        <v>ROB-ER4U-STND</v>
      </c>
      <c r="B4391" t="str">
        <f>"00-1009-0000"</f>
        <v>00-1009-0000</v>
      </c>
      <c r="C4391" t="str">
        <f>"Rotary Index Table (24V)"</f>
        <v>Rotary Index Table (24V)</v>
      </c>
      <c r="D4391">
        <v>1</v>
      </c>
      <c r="E4391" t="str">
        <f t="shared" si="1126"/>
        <v>Scorbot-ER4U robot - Standard Package</v>
      </c>
      <c r="F4391">
        <v>802</v>
      </c>
      <c r="G4391" t="str">
        <f t="shared" si="1115"/>
        <v>Y</v>
      </c>
      <c r="H4391" t="str">
        <f t="shared" si="1121"/>
        <v>EA</v>
      </c>
      <c r="I4391">
        <v>0</v>
      </c>
      <c r="J4391">
        <v>0</v>
      </c>
      <c r="K4391" t="str">
        <f t="shared" si="1116"/>
        <v>Y</v>
      </c>
      <c r="L4391">
        <v>0</v>
      </c>
      <c r="M4391" t="str">
        <f t="shared" si="1122"/>
        <v>NIS</v>
      </c>
      <c r="O4391">
        <v>8</v>
      </c>
      <c r="P4391" t="str">
        <f t="shared" si="1119"/>
        <v>Active</v>
      </c>
      <c r="Q4391" t="str">
        <f>"Rotary Index Table (24V)"</f>
        <v>Rotary Index Table (24V)</v>
      </c>
      <c r="S4391" t="str">
        <f>"Rotary Index Table (24V)"</f>
        <v>Rotary Index Table (24V)</v>
      </c>
      <c r="T4391">
        <v>0</v>
      </c>
      <c r="U4391">
        <v>530</v>
      </c>
      <c r="V4391">
        <v>550.71</v>
      </c>
      <c r="W4391" t="str">
        <f t="shared" si="1120"/>
        <v>rob</v>
      </c>
    </row>
    <row r="4392" spans="1:23">
      <c r="A4392" t="str">
        <f t="shared" si="1125"/>
        <v>ROB-ER4U-STND</v>
      </c>
      <c r="B4392" t="str">
        <f>"00-1209-0000"</f>
        <v>00-1209-0000</v>
      </c>
      <c r="C4392" t="str">
        <f>"Photoelectric Sensor for Rotary Index Table"</f>
        <v>Photoelectric Sensor for Rotary Index Table</v>
      </c>
      <c r="D4392">
        <v>1</v>
      </c>
      <c r="E4392" t="str">
        <f t="shared" si="1126"/>
        <v>Scorbot-ER4U robot - Standard Package</v>
      </c>
      <c r="F4392">
        <v>802</v>
      </c>
      <c r="G4392" t="str">
        <f t="shared" si="1115"/>
        <v>Y</v>
      </c>
      <c r="H4392" t="str">
        <f t="shared" si="1121"/>
        <v>EA</v>
      </c>
      <c r="I4392">
        <v>0</v>
      </c>
      <c r="J4392">
        <v>0</v>
      </c>
      <c r="K4392" t="str">
        <f t="shared" si="1116"/>
        <v>Y</v>
      </c>
      <c r="L4392">
        <v>0</v>
      </c>
      <c r="M4392" t="str">
        <f t="shared" si="1122"/>
        <v>NIS</v>
      </c>
      <c r="O4392">
        <v>9</v>
      </c>
      <c r="P4392" t="str">
        <f t="shared" ref="P4392:P4423" si="1127">"Active"</f>
        <v>Active</v>
      </c>
      <c r="Q4392" t="str">
        <f>"Photoelectric Sensor for Rotary Index Table"</f>
        <v>Photoelectric Sensor for Rotary Index Table</v>
      </c>
      <c r="S4392" t="str">
        <f>"Photoelectric Sensor for Rotary Index Table"</f>
        <v>Photoelectric Sensor for Rotary Index Table</v>
      </c>
      <c r="T4392">
        <v>0</v>
      </c>
      <c r="U4392">
        <v>177.04</v>
      </c>
      <c r="V4392">
        <v>175.87</v>
      </c>
      <c r="W4392" t="str">
        <f t="shared" ref="W4392:W4423" si="1128">"rob"</f>
        <v>rob</v>
      </c>
    </row>
    <row r="4393" spans="1:23">
      <c r="A4393" t="str">
        <f t="shared" si="1125"/>
        <v>ROB-ER4U-STND</v>
      </c>
      <c r="B4393" t="str">
        <f>"00-1250-0000"</f>
        <v>00-1250-0000</v>
      </c>
      <c r="C4393" t="str">
        <f>"Workbench 1800x800mm (Formica Top)"</f>
        <v>Workbench 1800x800mm (Formica Top)</v>
      </c>
      <c r="D4393">
        <v>1</v>
      </c>
      <c r="E4393" t="str">
        <f t="shared" si="1126"/>
        <v>Scorbot-ER4U robot - Standard Package</v>
      </c>
      <c r="F4393">
        <v>802</v>
      </c>
      <c r="G4393" t="str">
        <f t="shared" si="1115"/>
        <v>Y</v>
      </c>
      <c r="H4393" t="str">
        <f t="shared" si="1121"/>
        <v>EA</v>
      </c>
      <c r="I4393">
        <v>0</v>
      </c>
      <c r="J4393">
        <v>0</v>
      </c>
      <c r="K4393" t="str">
        <f t="shared" si="1116"/>
        <v>Y</v>
      </c>
      <c r="L4393">
        <v>0</v>
      </c>
      <c r="M4393" t="str">
        <f t="shared" si="1122"/>
        <v>NIS</v>
      </c>
      <c r="O4393">
        <v>10</v>
      </c>
      <c r="P4393" t="str">
        <f t="shared" si="1127"/>
        <v>Active</v>
      </c>
      <c r="Q4393" t="str">
        <f>"Workbench 1800x800mm (Formica Top)"</f>
        <v>Workbench 1800x800mm (Formica Top)</v>
      </c>
      <c r="S4393" t="str">
        <f>"Workbench 1800x800mm (Formica Top)"</f>
        <v>Workbench 1800x800mm (Formica Top)</v>
      </c>
      <c r="T4393">
        <v>0</v>
      </c>
      <c r="U4393">
        <v>599.12</v>
      </c>
      <c r="V4393">
        <v>564.05999999999995</v>
      </c>
      <c r="W4393" t="str">
        <f t="shared" si="1128"/>
        <v>rob</v>
      </c>
    </row>
    <row r="4394" spans="1:23">
      <c r="A4394" t="str">
        <f t="shared" si="1125"/>
        <v>ROB-ER4U-STND</v>
      </c>
      <c r="B4394" t="str">
        <f>"63-9234-0000"</f>
        <v>63-9234-0000</v>
      </c>
      <c r="C4394" t="str">
        <f>"Robocell Software"</f>
        <v>Robocell Software</v>
      </c>
      <c r="D4394">
        <v>1</v>
      </c>
      <c r="E4394" t="str">
        <f t="shared" si="1126"/>
        <v>Scorbot-ER4U robot - Standard Package</v>
      </c>
      <c r="F4394">
        <v>802</v>
      </c>
      <c r="G4394" t="str">
        <f t="shared" si="1115"/>
        <v>Y</v>
      </c>
      <c r="H4394" t="str">
        <f t="shared" si="1121"/>
        <v>EA</v>
      </c>
      <c r="I4394">
        <v>0</v>
      </c>
      <c r="J4394">
        <v>0</v>
      </c>
      <c r="K4394" t="str">
        <f t="shared" si="1116"/>
        <v>Y</v>
      </c>
      <c r="L4394">
        <v>0</v>
      </c>
      <c r="M4394" t="str">
        <f t="shared" si="1122"/>
        <v>NIS</v>
      </c>
      <c r="N4394" t="str">
        <f>"Y"</f>
        <v>Y</v>
      </c>
      <c r="O4394">
        <v>11</v>
      </c>
      <c r="P4394" t="str">
        <f t="shared" si="1127"/>
        <v>Active</v>
      </c>
      <c r="Q4394" t="str">
        <f>"Robotic Software for Controller USB"</f>
        <v>Robotic Software for Controller USB</v>
      </c>
      <c r="S4394" t="str">
        <f>"Robotic Software for Controller USB"</f>
        <v>Robotic Software for Controller USB</v>
      </c>
      <c r="T4394">
        <v>0</v>
      </c>
      <c r="U4394">
        <v>33</v>
      </c>
      <c r="V4394">
        <v>34.700000000000003</v>
      </c>
      <c r="W4394" t="str">
        <f t="shared" si="1128"/>
        <v>rob</v>
      </c>
    </row>
    <row r="4395" spans="1:23">
      <c r="A4395" t="str">
        <f t="shared" si="1125"/>
        <v>ROB-ER4U-STND</v>
      </c>
      <c r="B4395" t="str">
        <f>"63-7000-0100"</f>
        <v>63-7000-0100</v>
      </c>
      <c r="C4395" t="str">
        <f>"License Key for RoboCell"</f>
        <v>License Key for RoboCell</v>
      </c>
      <c r="D4395">
        <v>1</v>
      </c>
      <c r="E4395" t="str">
        <f t="shared" si="1126"/>
        <v>Scorbot-ER4U robot - Standard Package</v>
      </c>
      <c r="F4395">
        <v>802</v>
      </c>
      <c r="G4395" t="str">
        <f t="shared" si="1115"/>
        <v>Y</v>
      </c>
      <c r="H4395" t="str">
        <f t="shared" si="1121"/>
        <v>EA</v>
      </c>
      <c r="I4395">
        <v>0</v>
      </c>
      <c r="J4395">
        <v>0</v>
      </c>
      <c r="K4395" t="str">
        <f t="shared" si="1116"/>
        <v>Y</v>
      </c>
      <c r="L4395">
        <v>0</v>
      </c>
      <c r="M4395" t="str">
        <f t="shared" si="1122"/>
        <v>NIS</v>
      </c>
      <c r="O4395">
        <v>12</v>
      </c>
      <c r="P4395" t="str">
        <f t="shared" si="1127"/>
        <v>Active</v>
      </c>
      <c r="Q4395" t="str">
        <f>"License Key for RoboCell/SCORBASE USB"</f>
        <v>License Key for RoboCell/SCORBASE USB</v>
      </c>
      <c r="R4395" t="str">
        <f>"1"</f>
        <v>1</v>
      </c>
      <c r="S4395" t="str">
        <f>"License Key for RoboCell/SCORBASE USB"</f>
        <v>License Key for RoboCell/SCORBASE USB</v>
      </c>
      <c r="T4395">
        <v>0</v>
      </c>
      <c r="U4395">
        <v>10</v>
      </c>
      <c r="V4395">
        <v>11.1</v>
      </c>
      <c r="W4395" t="str">
        <f t="shared" si="1128"/>
        <v>rob</v>
      </c>
    </row>
    <row r="4396" spans="1:23">
      <c r="A4396" t="str">
        <f t="shared" ref="A4396:A4411" si="1129">"ROB-ER9-ADV"</f>
        <v>ROB-ER9-ADV</v>
      </c>
      <c r="B4396" t="str">
        <f>"00-0430-0000"</f>
        <v>00-0430-0000</v>
      </c>
      <c r="C4396" t="str">
        <f>"SCORBOT-ER9Pro"</f>
        <v>SCORBOT-ER9Pro</v>
      </c>
      <c r="D4396">
        <v>1</v>
      </c>
      <c r="E4396" t="str">
        <f t="shared" ref="E4396:E4411" si="1130">"Scorbot-ER9Pro Robot - Advanced Package"</f>
        <v>Scorbot-ER9Pro Robot - Advanced Package</v>
      </c>
      <c r="F4396">
        <v>803</v>
      </c>
      <c r="G4396" t="str">
        <f t="shared" si="1115"/>
        <v>Y</v>
      </c>
      <c r="H4396" t="str">
        <f t="shared" si="1121"/>
        <v>EA</v>
      </c>
      <c r="I4396">
        <v>0</v>
      </c>
      <c r="J4396">
        <v>0</v>
      </c>
      <c r="K4396" t="str">
        <f t="shared" si="1116"/>
        <v>Y</v>
      </c>
      <c r="L4396">
        <v>0</v>
      </c>
      <c r="M4396" t="str">
        <f t="shared" si="1122"/>
        <v>NIS</v>
      </c>
      <c r="O4396">
        <v>1</v>
      </c>
      <c r="P4396" t="str">
        <f t="shared" si="1127"/>
        <v>Active</v>
      </c>
      <c r="Q4396" t="str">
        <f>"SCORBOT-ER 9Pro (incl. USB-Pro Controller)"</f>
        <v>SCORBOT-ER 9Pro (incl. USB-Pro Controller)</v>
      </c>
      <c r="S4396" t="str">
        <f>"SCORBOT-ER 9Pro (incl. USB-Pro Controller)"</f>
        <v>SCORBOT-ER 9Pro (incl. USB-Pro Controller)</v>
      </c>
      <c r="T4396">
        <v>0</v>
      </c>
      <c r="U4396" s="44">
        <v>10900</v>
      </c>
      <c r="V4396" s="44">
        <v>11661.57</v>
      </c>
      <c r="W4396" t="str">
        <f t="shared" si="1128"/>
        <v>rob</v>
      </c>
    </row>
    <row r="4397" spans="1:23">
      <c r="A4397" t="str">
        <f t="shared" si="1129"/>
        <v>ROB-ER9-ADV</v>
      </c>
      <c r="B4397" t="str">
        <f>"00-0633-0000"</f>
        <v>00-0633-0000</v>
      </c>
      <c r="C4397" t="str">
        <f>"Pneumatic Gripper for ER9-Pro"</f>
        <v>Pneumatic Gripper for ER9-Pro</v>
      </c>
      <c r="D4397">
        <v>1</v>
      </c>
      <c r="E4397" t="str">
        <f t="shared" si="1130"/>
        <v>Scorbot-ER9Pro Robot - Advanced Package</v>
      </c>
      <c r="F4397">
        <v>803</v>
      </c>
      <c r="G4397" t="str">
        <f t="shared" si="1115"/>
        <v>Y</v>
      </c>
      <c r="H4397" t="str">
        <f t="shared" si="1121"/>
        <v>EA</v>
      </c>
      <c r="I4397">
        <v>0</v>
      </c>
      <c r="J4397">
        <v>0</v>
      </c>
      <c r="K4397" t="str">
        <f t="shared" si="1116"/>
        <v>Y</v>
      </c>
      <c r="L4397">
        <v>0</v>
      </c>
      <c r="M4397" t="str">
        <f t="shared" si="1122"/>
        <v>NIS</v>
      </c>
      <c r="O4397">
        <v>2</v>
      </c>
      <c r="P4397" t="str">
        <f t="shared" si="1127"/>
        <v>Active</v>
      </c>
      <c r="Q4397" t="str">
        <f>"Pneumatic Gripper for ER 9Pro"</f>
        <v>Pneumatic Gripper for ER 9Pro</v>
      </c>
      <c r="S4397" t="str">
        <f>"Pneumatic Gripper for ER9-Pro"</f>
        <v>Pneumatic Gripper for ER9-Pro</v>
      </c>
      <c r="T4397">
        <v>0</v>
      </c>
      <c r="U4397">
        <v>630</v>
      </c>
      <c r="V4397">
        <v>624.72</v>
      </c>
      <c r="W4397" t="str">
        <f t="shared" si="1128"/>
        <v>rob</v>
      </c>
    </row>
    <row r="4398" spans="1:23">
      <c r="A4398" t="str">
        <f t="shared" si="1129"/>
        <v>ROB-ER9-ADV</v>
      </c>
      <c r="B4398" t="str">
        <f>"00-1710-0000"</f>
        <v>00-1710-0000</v>
      </c>
      <c r="C4398" t="str">
        <f>"Teach Pendant"</f>
        <v>Teach Pendant</v>
      </c>
      <c r="D4398">
        <v>1</v>
      </c>
      <c r="E4398" t="str">
        <f t="shared" si="1130"/>
        <v>Scorbot-ER9Pro Robot - Advanced Package</v>
      </c>
      <c r="F4398">
        <v>803</v>
      </c>
      <c r="G4398" t="str">
        <f t="shared" si="1115"/>
        <v>Y</v>
      </c>
      <c r="H4398" t="str">
        <f t="shared" si="1121"/>
        <v>EA</v>
      </c>
      <c r="I4398">
        <v>0</v>
      </c>
      <c r="J4398">
        <v>0</v>
      </c>
      <c r="K4398" t="str">
        <f t="shared" si="1116"/>
        <v>Y</v>
      </c>
      <c r="L4398">
        <v>0</v>
      </c>
      <c r="M4398" t="str">
        <f t="shared" si="1122"/>
        <v>NIS</v>
      </c>
      <c r="O4398">
        <v>3</v>
      </c>
      <c r="P4398" t="str">
        <f t="shared" si="1127"/>
        <v>Active</v>
      </c>
      <c r="Q4398" t="str">
        <f>"Teach Pendant for USB/USB Pro Controllers"</f>
        <v>Teach Pendant for USB/USB Pro Controllers</v>
      </c>
      <c r="S4398" t="str">
        <f>"Teach Pendant for USB/USB Pro Controllers"</f>
        <v>Teach Pendant for USB/USB Pro Controllers</v>
      </c>
      <c r="T4398">
        <v>0</v>
      </c>
      <c r="U4398">
        <v>160.18</v>
      </c>
      <c r="V4398">
        <v>161.44999999999999</v>
      </c>
      <c r="W4398" t="str">
        <f t="shared" si="1128"/>
        <v>rob</v>
      </c>
    </row>
    <row r="4399" spans="1:23">
      <c r="A4399" t="str">
        <f t="shared" si="1129"/>
        <v>ROB-ER9-ADV</v>
      </c>
      <c r="B4399" t="str">
        <f>"00-1110-0000"</f>
        <v>00-1110-0000</v>
      </c>
      <c r="C4399" t="str">
        <f>"Palletizing Rack"</f>
        <v>Palletizing Rack</v>
      </c>
      <c r="D4399">
        <v>1</v>
      </c>
      <c r="E4399" t="str">
        <f t="shared" si="1130"/>
        <v>Scorbot-ER9Pro Robot - Advanced Package</v>
      </c>
      <c r="F4399">
        <v>803</v>
      </c>
      <c r="G4399" t="str">
        <f t="shared" si="1115"/>
        <v>Y</v>
      </c>
      <c r="H4399" t="str">
        <f t="shared" si="1121"/>
        <v>EA</v>
      </c>
      <c r="I4399">
        <v>0</v>
      </c>
      <c r="J4399">
        <v>0</v>
      </c>
      <c r="K4399" t="str">
        <f t="shared" si="1116"/>
        <v>Y</v>
      </c>
      <c r="L4399">
        <v>0</v>
      </c>
      <c r="M4399" t="str">
        <f t="shared" si="1122"/>
        <v>NIS</v>
      </c>
      <c r="O4399">
        <v>4</v>
      </c>
      <c r="P4399" t="str">
        <f t="shared" si="1127"/>
        <v>Active</v>
      </c>
      <c r="Q4399" t="str">
        <f>"Palletizing Rack (incl. Pins for creating Jigs)"</f>
        <v>Palletizing Rack (incl. Pins for creating Jigs)</v>
      </c>
      <c r="S4399" t="str">
        <f>"Palletizing Rack (incl. Pins for creating Jigs)"</f>
        <v>Palletizing Rack (incl. Pins for creating Jigs)</v>
      </c>
      <c r="T4399">
        <v>0</v>
      </c>
      <c r="U4399">
        <v>63</v>
      </c>
      <c r="V4399">
        <v>58.59</v>
      </c>
      <c r="W4399" t="str">
        <f t="shared" si="1128"/>
        <v>rob</v>
      </c>
    </row>
    <row r="4400" spans="1:23">
      <c r="A4400" t="str">
        <f t="shared" si="1129"/>
        <v>ROB-ER9-ADV</v>
      </c>
      <c r="B4400" t="str">
        <f>"10-1007-4000"</f>
        <v>10-1007-4000</v>
      </c>
      <c r="C4400" t="str">
        <f>"Gravity Parts Feeder (with microswitch sensor)"</f>
        <v>Gravity Parts Feeder (with microswitch sensor)</v>
      </c>
      <c r="D4400">
        <v>1</v>
      </c>
      <c r="E4400" t="str">
        <f t="shared" si="1130"/>
        <v>Scorbot-ER9Pro Robot - Advanced Package</v>
      </c>
      <c r="F4400">
        <v>803</v>
      </c>
      <c r="G4400" t="str">
        <f t="shared" si="1115"/>
        <v>Y</v>
      </c>
      <c r="H4400" t="str">
        <f t="shared" si="1121"/>
        <v>EA</v>
      </c>
      <c r="I4400">
        <v>0</v>
      </c>
      <c r="J4400">
        <v>0</v>
      </c>
      <c r="K4400" t="str">
        <f t="shared" si="1116"/>
        <v>Y</v>
      </c>
      <c r="L4400">
        <v>0</v>
      </c>
      <c r="M4400" t="str">
        <f t="shared" si="1122"/>
        <v>NIS</v>
      </c>
      <c r="O4400">
        <v>5</v>
      </c>
      <c r="P4400" t="str">
        <f t="shared" si="1127"/>
        <v>Active</v>
      </c>
      <c r="Q4400" t="str">
        <f>"Gravity Parts Feeder (incl.microswitch sensor)"</f>
        <v>Gravity Parts Feeder (incl.microswitch sensor)</v>
      </c>
      <c r="S4400" t="str">
        <f>"Gravity Parts Feeder (incl.microswitch sensor)"</f>
        <v>Gravity Parts Feeder (incl.microswitch sensor)</v>
      </c>
      <c r="T4400">
        <v>0</v>
      </c>
      <c r="U4400">
        <v>148</v>
      </c>
      <c r="V4400">
        <v>148.26</v>
      </c>
      <c r="W4400" t="str">
        <f t="shared" si="1128"/>
        <v>rob</v>
      </c>
    </row>
    <row r="4401" spans="1:23">
      <c r="A4401" t="str">
        <f t="shared" si="1129"/>
        <v>ROB-ER9-ADV</v>
      </c>
      <c r="B4401" t="str">
        <f>"00-1010-0000"</f>
        <v>00-1010-0000</v>
      </c>
      <c r="C4401" t="str">
        <f>"Conveyor Belt tabletop"</f>
        <v>Conveyor Belt tabletop</v>
      </c>
      <c r="D4401">
        <v>1</v>
      </c>
      <c r="E4401" t="str">
        <f t="shared" si="1130"/>
        <v>Scorbot-ER9Pro Robot - Advanced Package</v>
      </c>
      <c r="F4401">
        <v>803</v>
      </c>
      <c r="G4401" t="str">
        <f t="shared" si="1115"/>
        <v>Y</v>
      </c>
      <c r="H4401" t="str">
        <f t="shared" si="1121"/>
        <v>EA</v>
      </c>
      <c r="I4401">
        <v>0</v>
      </c>
      <c r="J4401">
        <v>0</v>
      </c>
      <c r="K4401" t="str">
        <f t="shared" si="1116"/>
        <v>Y</v>
      </c>
      <c r="L4401">
        <v>0</v>
      </c>
      <c r="M4401" t="str">
        <f t="shared" si="1122"/>
        <v>NIS</v>
      </c>
      <c r="O4401">
        <v>6</v>
      </c>
      <c r="P4401" t="str">
        <f t="shared" si="1127"/>
        <v>Active</v>
      </c>
      <c r="Q4401" t="str">
        <f>"Conveyor Belt (24V)"</f>
        <v>Conveyor Belt (24V)</v>
      </c>
      <c r="S4401" t="str">
        <f>"Conveyor Belt (24V)"</f>
        <v>Conveyor Belt (24V)</v>
      </c>
      <c r="T4401">
        <v>0</v>
      </c>
      <c r="U4401">
        <v>510</v>
      </c>
      <c r="V4401">
        <v>472.02</v>
      </c>
      <c r="W4401" t="str">
        <f t="shared" si="1128"/>
        <v>rob</v>
      </c>
    </row>
    <row r="4402" spans="1:23">
      <c r="A4402" t="str">
        <f t="shared" si="1129"/>
        <v>ROB-ER9-ADV</v>
      </c>
      <c r="B4402" t="str">
        <f>"00-1203-0000"</f>
        <v>00-1203-0000</v>
      </c>
      <c r="C4402" t="str">
        <f>"Photoelectric Sensor for Belt Conveyor"</f>
        <v>Photoelectric Sensor for Belt Conveyor</v>
      </c>
      <c r="D4402">
        <v>1</v>
      </c>
      <c r="E4402" t="str">
        <f t="shared" si="1130"/>
        <v>Scorbot-ER9Pro Robot - Advanced Package</v>
      </c>
      <c r="F4402">
        <v>803</v>
      </c>
      <c r="G4402" t="str">
        <f t="shared" si="1115"/>
        <v>Y</v>
      </c>
      <c r="H4402" t="str">
        <f t="shared" si="1121"/>
        <v>EA</v>
      </c>
      <c r="I4402">
        <v>0</v>
      </c>
      <c r="J4402">
        <v>0</v>
      </c>
      <c r="K4402" t="str">
        <f t="shared" si="1116"/>
        <v>Y</v>
      </c>
      <c r="L4402">
        <v>0</v>
      </c>
      <c r="M4402" t="str">
        <f t="shared" si="1122"/>
        <v>NIS</v>
      </c>
      <c r="O4402">
        <v>7</v>
      </c>
      <c r="P4402" t="str">
        <f t="shared" si="1127"/>
        <v>Active</v>
      </c>
      <c r="Q4402" t="str">
        <f>"Photoelectric Sensor for Belt Conveyor"</f>
        <v>Photoelectric Sensor for Belt Conveyor</v>
      </c>
      <c r="S4402" t="str">
        <f>"Photoelectric Sensor for Belt Conveyor"</f>
        <v>Photoelectric Sensor for Belt Conveyor</v>
      </c>
      <c r="T4402">
        <v>0</v>
      </c>
      <c r="U4402">
        <v>108</v>
      </c>
      <c r="V4402">
        <v>100.82</v>
      </c>
      <c r="W4402" t="str">
        <f t="shared" si="1128"/>
        <v>rob</v>
      </c>
    </row>
    <row r="4403" spans="1:23">
      <c r="A4403" t="str">
        <f t="shared" si="1129"/>
        <v>ROB-ER9-ADV</v>
      </c>
      <c r="B4403" t="str">
        <f>"00-1009-0000"</f>
        <v>00-1009-0000</v>
      </c>
      <c r="C4403" t="str">
        <f>"Rotary Index Table (24V)"</f>
        <v>Rotary Index Table (24V)</v>
      </c>
      <c r="D4403">
        <v>1</v>
      </c>
      <c r="E4403" t="str">
        <f t="shared" si="1130"/>
        <v>Scorbot-ER9Pro Robot - Advanced Package</v>
      </c>
      <c r="F4403">
        <v>803</v>
      </c>
      <c r="G4403" t="str">
        <f t="shared" si="1115"/>
        <v>Y</v>
      </c>
      <c r="H4403" t="str">
        <f t="shared" si="1121"/>
        <v>EA</v>
      </c>
      <c r="I4403">
        <v>0</v>
      </c>
      <c r="J4403">
        <v>0</v>
      </c>
      <c r="K4403" t="str">
        <f t="shared" si="1116"/>
        <v>Y</v>
      </c>
      <c r="L4403">
        <v>0</v>
      </c>
      <c r="M4403" t="str">
        <f t="shared" si="1122"/>
        <v>NIS</v>
      </c>
      <c r="O4403">
        <v>8</v>
      </c>
      <c r="P4403" t="str">
        <f t="shared" si="1127"/>
        <v>Active</v>
      </c>
      <c r="Q4403" t="str">
        <f>"Rotary Index Table (24V)"</f>
        <v>Rotary Index Table (24V)</v>
      </c>
      <c r="S4403" t="str">
        <f>"Rotary Index Table (24V)"</f>
        <v>Rotary Index Table (24V)</v>
      </c>
      <c r="T4403">
        <v>0</v>
      </c>
      <c r="U4403">
        <v>530</v>
      </c>
      <c r="V4403">
        <v>550.71</v>
      </c>
      <c r="W4403" t="str">
        <f t="shared" si="1128"/>
        <v>rob</v>
      </c>
    </row>
    <row r="4404" spans="1:23">
      <c r="A4404" t="str">
        <f t="shared" si="1129"/>
        <v>ROB-ER9-ADV</v>
      </c>
      <c r="B4404" t="str">
        <f>"00-1209-0000"</f>
        <v>00-1209-0000</v>
      </c>
      <c r="C4404" t="str">
        <f>"Photoelectric Sensor for Rotary Index Table"</f>
        <v>Photoelectric Sensor for Rotary Index Table</v>
      </c>
      <c r="D4404">
        <v>1</v>
      </c>
      <c r="E4404" t="str">
        <f t="shared" si="1130"/>
        <v>Scorbot-ER9Pro Robot - Advanced Package</v>
      </c>
      <c r="F4404">
        <v>803</v>
      </c>
      <c r="G4404" t="str">
        <f t="shared" si="1115"/>
        <v>Y</v>
      </c>
      <c r="H4404" t="str">
        <f t="shared" si="1121"/>
        <v>EA</v>
      </c>
      <c r="I4404">
        <v>0</v>
      </c>
      <c r="J4404">
        <v>0</v>
      </c>
      <c r="K4404" t="str">
        <f t="shared" si="1116"/>
        <v>Y</v>
      </c>
      <c r="L4404">
        <v>0</v>
      </c>
      <c r="M4404" t="str">
        <f t="shared" si="1122"/>
        <v>NIS</v>
      </c>
      <c r="O4404">
        <v>9</v>
      </c>
      <c r="P4404" t="str">
        <f t="shared" si="1127"/>
        <v>Active</v>
      </c>
      <c r="Q4404" t="str">
        <f>"Photoelectric Sensor for Rotary Index Table"</f>
        <v>Photoelectric Sensor for Rotary Index Table</v>
      </c>
      <c r="S4404" t="str">
        <f>"Photoelectric Sensor for Rotary Index Table"</f>
        <v>Photoelectric Sensor for Rotary Index Table</v>
      </c>
      <c r="T4404">
        <v>0</v>
      </c>
      <c r="U4404">
        <v>177.04</v>
      </c>
      <c r="V4404">
        <v>175.87</v>
      </c>
      <c r="W4404" t="str">
        <f t="shared" si="1128"/>
        <v>rob</v>
      </c>
    </row>
    <row r="4405" spans="1:23">
      <c r="A4405" t="str">
        <f t="shared" si="1129"/>
        <v>ROB-ER9-ADV</v>
      </c>
      <c r="B4405" t="str">
        <f>"00-1426-0000"</f>
        <v>00-1426-0000</v>
      </c>
      <c r="C4405" t="str">
        <f>"Viewflex - Machine Vision (Stand 1000mm)"</f>
        <v>Viewflex - Machine Vision (Stand 1000mm)</v>
      </c>
      <c r="D4405">
        <v>1</v>
      </c>
      <c r="E4405" t="str">
        <f t="shared" si="1130"/>
        <v>Scorbot-ER9Pro Robot - Advanced Package</v>
      </c>
      <c r="F4405">
        <v>803</v>
      </c>
      <c r="G4405" t="str">
        <f t="shared" si="1115"/>
        <v>Y</v>
      </c>
      <c r="H4405" t="str">
        <f t="shared" si="1121"/>
        <v>EA</v>
      </c>
      <c r="I4405">
        <v>0</v>
      </c>
      <c r="J4405">
        <v>0</v>
      </c>
      <c r="K4405" t="str">
        <f t="shared" si="1116"/>
        <v>Y</v>
      </c>
      <c r="L4405">
        <v>0</v>
      </c>
      <c r="M4405" t="str">
        <f t="shared" si="1122"/>
        <v>NIS</v>
      </c>
      <c r="O4405">
        <v>14</v>
      </c>
      <c r="P4405" t="str">
        <f t="shared" si="1127"/>
        <v>Active</v>
      </c>
      <c r="Q4405" t="str">
        <f>"Viewflex for Robot Guidance (Stand 1000mm)"</f>
        <v>Viewflex for Robot Guidance (Stand 1000mm)</v>
      </c>
      <c r="S4405" t="str">
        <f>"Viewflex for Robot Guidance (Stand 1000mm)"</f>
        <v>Viewflex for Robot Guidance (Stand 1000mm)</v>
      </c>
      <c r="T4405">
        <v>0</v>
      </c>
      <c r="U4405">
        <v>610.01</v>
      </c>
      <c r="V4405">
        <v>569.09</v>
      </c>
      <c r="W4405" t="str">
        <f t="shared" si="1128"/>
        <v>rob</v>
      </c>
    </row>
    <row r="4406" spans="1:23">
      <c r="A4406" t="str">
        <f t="shared" si="1129"/>
        <v>ROB-ER9-ADV</v>
      </c>
      <c r="B4406" t="str">
        <f>"112713"</f>
        <v>112713</v>
      </c>
      <c r="C4406" t="str">
        <f>"Marked Aluminum Cylinder"</f>
        <v>Marked Aluminum Cylinder</v>
      </c>
      <c r="D4406">
        <v>3</v>
      </c>
      <c r="E4406" t="str">
        <f t="shared" si="1130"/>
        <v>Scorbot-ER9Pro Robot - Advanced Package</v>
      </c>
      <c r="F4406">
        <v>803</v>
      </c>
      <c r="G4406" t="str">
        <f t="shared" si="1115"/>
        <v>Y</v>
      </c>
      <c r="H4406" t="str">
        <f t="shared" si="1121"/>
        <v>EA</v>
      </c>
      <c r="I4406">
        <v>0</v>
      </c>
      <c r="J4406">
        <v>0</v>
      </c>
      <c r="K4406" t="str">
        <f t="shared" si="1116"/>
        <v>Y</v>
      </c>
      <c r="L4406">
        <v>0</v>
      </c>
      <c r="M4406" t="str">
        <f t="shared" si="1122"/>
        <v>NIS</v>
      </c>
      <c r="O4406">
        <v>15</v>
      </c>
      <c r="P4406" t="str">
        <f t="shared" si="1127"/>
        <v>Active</v>
      </c>
      <c r="Q4406" t="str">
        <f>"Mark Al. Cylinder Diam. 35x28 MicroCIM"</f>
        <v>Mark Al. Cylinder Diam. 35x28 MicroCIM</v>
      </c>
      <c r="S4406" t="str">
        <f>"Mark Al. Cylinder Diam. 35x28"</f>
        <v>Mark Al. Cylinder Diam. 35x28</v>
      </c>
      <c r="T4406">
        <v>0</v>
      </c>
      <c r="U4406">
        <v>6</v>
      </c>
      <c r="V4406">
        <v>5.97</v>
      </c>
      <c r="W4406" t="str">
        <f t="shared" si="1128"/>
        <v>rob</v>
      </c>
    </row>
    <row r="4407" spans="1:23">
      <c r="A4407" t="str">
        <f t="shared" si="1129"/>
        <v>ROB-ER9-ADV</v>
      </c>
      <c r="B4407" t="str">
        <f>"113316"</f>
        <v>113316</v>
      </c>
      <c r="C4407" t="str">
        <f>"Parts Bin"</f>
        <v>Parts Bin</v>
      </c>
      <c r="D4407">
        <v>1</v>
      </c>
      <c r="E4407" t="str">
        <f t="shared" si="1130"/>
        <v>Scorbot-ER9Pro Robot - Advanced Package</v>
      </c>
      <c r="F4407">
        <v>803</v>
      </c>
      <c r="G4407" t="str">
        <f t="shared" si="1115"/>
        <v>Y</v>
      </c>
      <c r="H4407" t="str">
        <f t="shared" si="1121"/>
        <v>EA</v>
      </c>
      <c r="I4407">
        <v>0</v>
      </c>
      <c r="J4407">
        <v>0</v>
      </c>
      <c r="K4407" t="str">
        <f t="shared" si="1116"/>
        <v>Y</v>
      </c>
      <c r="L4407">
        <v>0</v>
      </c>
      <c r="M4407" t="str">
        <f t="shared" si="1122"/>
        <v>NIS</v>
      </c>
      <c r="O4407">
        <v>16</v>
      </c>
      <c r="P4407" t="str">
        <f t="shared" si="1127"/>
        <v>Active</v>
      </c>
      <c r="Q4407" t="str">
        <f>"Parts Bin; Plastic Box"</f>
        <v>Parts Bin; Plastic Box</v>
      </c>
      <c r="R4407" t="str">
        <f>"1"</f>
        <v>1</v>
      </c>
      <c r="S4407" t="str">
        <f>"Parts Bin; Plastic Box"</f>
        <v>Parts Bin; Plastic Box</v>
      </c>
      <c r="T4407">
        <v>0</v>
      </c>
      <c r="U4407">
        <v>8.0399999999999991</v>
      </c>
      <c r="V4407">
        <v>6.39</v>
      </c>
      <c r="W4407" t="str">
        <f t="shared" si="1128"/>
        <v>rob</v>
      </c>
    </row>
    <row r="4408" spans="1:23">
      <c r="A4408" t="str">
        <f t="shared" si="1129"/>
        <v>ROB-ER9-ADV</v>
      </c>
      <c r="B4408" t="str">
        <f>"00-1249-0000"</f>
        <v>00-1249-0000</v>
      </c>
      <c r="C4408" t="str">
        <f>"Workbench 1500x800mm (slotted aluminum top)"</f>
        <v>Workbench 1500x800mm (slotted aluminum top)</v>
      </c>
      <c r="D4408">
        <v>1</v>
      </c>
      <c r="E4408" t="str">
        <f t="shared" si="1130"/>
        <v>Scorbot-ER9Pro Robot - Advanced Package</v>
      </c>
      <c r="F4408">
        <v>803</v>
      </c>
      <c r="G4408" t="str">
        <f t="shared" si="1115"/>
        <v>Y</v>
      </c>
      <c r="H4408" t="str">
        <f t="shared" si="1121"/>
        <v>EA</v>
      </c>
      <c r="I4408">
        <v>0</v>
      </c>
      <c r="J4408">
        <v>0</v>
      </c>
      <c r="K4408" t="str">
        <f t="shared" si="1116"/>
        <v>Y</v>
      </c>
      <c r="L4408">
        <v>0</v>
      </c>
      <c r="M4408" t="str">
        <f t="shared" si="1122"/>
        <v>NIS</v>
      </c>
      <c r="O4408">
        <v>10</v>
      </c>
      <c r="P4408" t="str">
        <f t="shared" si="1127"/>
        <v>Active</v>
      </c>
      <c r="Q4408" t="str">
        <f>"Workbench 1500x800mm (slotted aluminum top)"</f>
        <v>Workbench 1500x800mm (slotted aluminum top)</v>
      </c>
      <c r="S4408" t="str">
        <f>"Workbench 1500x800mm (slotted aluminum top)"</f>
        <v>Workbench 1500x800mm (slotted aluminum top)</v>
      </c>
      <c r="T4408">
        <v>0</v>
      </c>
      <c r="U4408" s="44">
        <v>1100</v>
      </c>
      <c r="V4408" s="44">
        <v>1083.57</v>
      </c>
      <c r="W4408" t="str">
        <f t="shared" si="1128"/>
        <v>rob</v>
      </c>
    </row>
    <row r="4409" spans="1:23">
      <c r="A4409" t="str">
        <f t="shared" si="1129"/>
        <v>ROB-ER9-ADV</v>
      </c>
      <c r="B4409" t="str">
        <f>"00-1241-0000"</f>
        <v>00-1241-0000</v>
      </c>
      <c r="C4409" t="str">
        <f>"Adapter Mounting Plate for ER9/14Pro &amp; HP3"</f>
        <v>Adapter Mounting Plate for ER9/14Pro &amp; HP3</v>
      </c>
      <c r="D4409">
        <v>1</v>
      </c>
      <c r="E4409" t="str">
        <f t="shared" si="1130"/>
        <v>Scorbot-ER9Pro Robot - Advanced Package</v>
      </c>
      <c r="F4409">
        <v>803</v>
      </c>
      <c r="G4409" t="str">
        <f t="shared" si="1115"/>
        <v>Y</v>
      </c>
      <c r="H4409" t="str">
        <f t="shared" si="1121"/>
        <v>EA</v>
      </c>
      <c r="I4409">
        <v>0</v>
      </c>
      <c r="J4409">
        <v>0</v>
      </c>
      <c r="K4409" t="str">
        <f t="shared" si="1116"/>
        <v>Y</v>
      </c>
      <c r="L4409">
        <v>0</v>
      </c>
      <c r="M4409" t="str">
        <f t="shared" si="1122"/>
        <v>NIS</v>
      </c>
      <c r="O4409">
        <v>11</v>
      </c>
      <c r="P4409" t="str">
        <f t="shared" si="1127"/>
        <v>Active</v>
      </c>
      <c r="Q4409" t="str">
        <f>"Adapter Mounting Plate for ER9/14Pro &amp; HP3"</f>
        <v>Adapter Mounting Plate for ER9/14Pro &amp; HP3</v>
      </c>
      <c r="S4409" t="str">
        <f>"Adapter Mounting Plate for ER9/14Pro &amp; HP3"</f>
        <v>Adapter Mounting Plate for ER9/14Pro &amp; HP3</v>
      </c>
      <c r="T4409">
        <v>0</v>
      </c>
      <c r="U4409">
        <v>145</v>
      </c>
      <c r="V4409">
        <v>153.93</v>
      </c>
      <c r="W4409" t="str">
        <f t="shared" si="1128"/>
        <v>rob</v>
      </c>
    </row>
    <row r="4410" spans="1:23">
      <c r="A4410" t="str">
        <f t="shared" si="1129"/>
        <v>ROB-ER9-ADV</v>
      </c>
      <c r="B4410" t="str">
        <f>"63-9248-0000"</f>
        <v>63-9248-0000</v>
      </c>
      <c r="C4410" t="str">
        <f>"Robotic Software for Controller USB Pro"</f>
        <v>Robotic Software for Controller USB Pro</v>
      </c>
      <c r="D4410">
        <v>1</v>
      </c>
      <c r="E4410" t="str">
        <f t="shared" si="1130"/>
        <v>Scorbot-ER9Pro Robot - Advanced Package</v>
      </c>
      <c r="F4410">
        <v>803</v>
      </c>
      <c r="G4410" t="str">
        <f t="shared" si="1115"/>
        <v>Y</v>
      </c>
      <c r="H4410" t="str">
        <f t="shared" si="1121"/>
        <v>EA</v>
      </c>
      <c r="I4410">
        <v>0</v>
      </c>
      <c r="J4410">
        <v>0</v>
      </c>
      <c r="K4410" t="str">
        <f t="shared" si="1116"/>
        <v>Y</v>
      </c>
      <c r="L4410">
        <v>0</v>
      </c>
      <c r="M4410" t="str">
        <f t="shared" si="1122"/>
        <v>NIS</v>
      </c>
      <c r="N4410" t="str">
        <f>"Y"</f>
        <v>Y</v>
      </c>
      <c r="O4410">
        <v>12</v>
      </c>
      <c r="P4410" t="str">
        <f t="shared" si="1127"/>
        <v>Active</v>
      </c>
      <c r="Q4410" t="str">
        <f>"Robotic Software for Controller USB Pro"</f>
        <v>Robotic Software for Controller USB Pro</v>
      </c>
      <c r="S4410" t="str">
        <f>"Robotic Software for Controller USB Pro"</f>
        <v>Robotic Software for Controller USB Pro</v>
      </c>
      <c r="T4410">
        <v>0</v>
      </c>
      <c r="U4410">
        <v>30</v>
      </c>
      <c r="V4410">
        <v>32.17</v>
      </c>
      <c r="W4410" t="str">
        <f t="shared" si="1128"/>
        <v>rob</v>
      </c>
    </row>
    <row r="4411" spans="1:23">
      <c r="A4411" t="str">
        <f t="shared" si="1129"/>
        <v>ROB-ER9-ADV</v>
      </c>
      <c r="B4411" t="str">
        <f>"63-7000-1800"</f>
        <v>63-7000-1800</v>
      </c>
      <c r="C4411" t="str">
        <f>"License Key for RoboCell/SCORBASE USB Pro"</f>
        <v>License Key for RoboCell/SCORBASE USB Pro</v>
      </c>
      <c r="D4411">
        <v>1</v>
      </c>
      <c r="E4411" t="str">
        <f t="shared" si="1130"/>
        <v>Scorbot-ER9Pro Robot - Advanced Package</v>
      </c>
      <c r="F4411">
        <v>803</v>
      </c>
      <c r="G4411" t="str">
        <f t="shared" si="1115"/>
        <v>Y</v>
      </c>
      <c r="H4411" t="str">
        <f t="shared" si="1121"/>
        <v>EA</v>
      </c>
      <c r="I4411">
        <v>0</v>
      </c>
      <c r="J4411">
        <v>0</v>
      </c>
      <c r="K4411" t="str">
        <f t="shared" si="1116"/>
        <v>Y</v>
      </c>
      <c r="L4411">
        <v>0</v>
      </c>
      <c r="M4411" t="str">
        <f t="shared" si="1122"/>
        <v>NIS</v>
      </c>
      <c r="O4411">
        <v>13</v>
      </c>
      <c r="P4411" t="str">
        <f t="shared" si="1127"/>
        <v>Active</v>
      </c>
      <c r="Q4411" t="str">
        <f>"License Key for RoboCell/SCORBASE USB Pro"</f>
        <v>License Key for RoboCell/SCORBASE USB Pro</v>
      </c>
      <c r="R4411" t="str">
        <f>"1"</f>
        <v>1</v>
      </c>
      <c r="S4411" t="str">
        <f>"License Key for RoboCell/SCORBASE USB Pro"</f>
        <v>License Key for RoboCell/SCORBASE USB Pro</v>
      </c>
      <c r="T4411">
        <v>0</v>
      </c>
      <c r="U4411">
        <v>10</v>
      </c>
      <c r="V4411">
        <v>11.1</v>
      </c>
      <c r="W4411" t="str">
        <f t="shared" si="1128"/>
        <v>rob</v>
      </c>
    </row>
    <row r="4412" spans="1:23">
      <c r="A4412" t="str">
        <f t="shared" ref="A4412:A4418" si="1131">"ROB-ER9-PACK"</f>
        <v>ROB-ER9-PACK</v>
      </c>
      <c r="B4412" t="str">
        <f>"00-0430-0000"</f>
        <v>00-0430-0000</v>
      </c>
      <c r="C4412" t="str">
        <f>"SCORBOT-ER9Pro"</f>
        <v>SCORBOT-ER9Pro</v>
      </c>
      <c r="D4412">
        <v>1</v>
      </c>
      <c r="E4412" t="str">
        <f t="shared" ref="E4412:E4418" si="1132">"Scorbot-ER9Pro Robot - Introductory Package"</f>
        <v>Scorbot-ER9Pro Robot - Introductory Package</v>
      </c>
      <c r="F4412">
        <v>803</v>
      </c>
      <c r="G4412" t="str">
        <f t="shared" si="1115"/>
        <v>Y</v>
      </c>
      <c r="H4412" t="str">
        <f t="shared" si="1121"/>
        <v>EA</v>
      </c>
      <c r="I4412">
        <v>0</v>
      </c>
      <c r="J4412">
        <v>0</v>
      </c>
      <c r="K4412" t="str">
        <f t="shared" si="1116"/>
        <v>Y</v>
      </c>
      <c r="L4412">
        <v>0</v>
      </c>
      <c r="M4412" t="str">
        <f t="shared" si="1122"/>
        <v>NIS</v>
      </c>
      <c r="O4412">
        <v>1</v>
      </c>
      <c r="P4412" t="str">
        <f t="shared" si="1127"/>
        <v>Active</v>
      </c>
      <c r="Q4412" t="str">
        <f>"SCORBOT-ER 9Pro (incl. USB-Pro Controller)"</f>
        <v>SCORBOT-ER 9Pro (incl. USB-Pro Controller)</v>
      </c>
      <c r="S4412" t="str">
        <f>"SCORBOT-ER 9Pro (incl. USB-Pro Controller)"</f>
        <v>SCORBOT-ER 9Pro (incl. USB-Pro Controller)</v>
      </c>
      <c r="T4412">
        <v>0</v>
      </c>
      <c r="U4412" s="44">
        <v>10900</v>
      </c>
      <c r="V4412" s="44">
        <v>11661.57</v>
      </c>
      <c r="W4412" t="str">
        <f t="shared" si="1128"/>
        <v>rob</v>
      </c>
    </row>
    <row r="4413" spans="1:23">
      <c r="A4413" t="str">
        <f t="shared" si="1131"/>
        <v>ROB-ER9-PACK</v>
      </c>
      <c r="B4413" t="str">
        <f>"00-0633-0000"</f>
        <v>00-0633-0000</v>
      </c>
      <c r="C4413" t="str">
        <f>"Pneumatic Gripper for ER9-Pro"</f>
        <v>Pneumatic Gripper for ER9-Pro</v>
      </c>
      <c r="D4413">
        <v>1</v>
      </c>
      <c r="E4413" t="str">
        <f t="shared" si="1132"/>
        <v>Scorbot-ER9Pro Robot - Introductory Package</v>
      </c>
      <c r="F4413">
        <v>803</v>
      </c>
      <c r="G4413" t="str">
        <f t="shared" si="1115"/>
        <v>Y</v>
      </c>
      <c r="H4413" t="str">
        <f t="shared" si="1121"/>
        <v>EA</v>
      </c>
      <c r="I4413">
        <v>0</v>
      </c>
      <c r="J4413">
        <v>0</v>
      </c>
      <c r="K4413" t="str">
        <f t="shared" si="1116"/>
        <v>Y</v>
      </c>
      <c r="L4413">
        <v>0</v>
      </c>
      <c r="M4413" t="str">
        <f t="shared" si="1122"/>
        <v>NIS</v>
      </c>
      <c r="O4413">
        <v>2</v>
      </c>
      <c r="P4413" t="str">
        <f t="shared" si="1127"/>
        <v>Active</v>
      </c>
      <c r="Q4413" t="str">
        <f>"Pneumatic Gripper for ER 9Pro"</f>
        <v>Pneumatic Gripper for ER 9Pro</v>
      </c>
      <c r="S4413" t="str">
        <f>"Pneumatic Gripper for ER9-Pro"</f>
        <v>Pneumatic Gripper for ER9-Pro</v>
      </c>
      <c r="T4413">
        <v>0</v>
      </c>
      <c r="U4413">
        <v>630</v>
      </c>
      <c r="V4413">
        <v>624.72</v>
      </c>
      <c r="W4413" t="str">
        <f t="shared" si="1128"/>
        <v>rob</v>
      </c>
    </row>
    <row r="4414" spans="1:23">
      <c r="A4414" t="str">
        <f t="shared" si="1131"/>
        <v>ROB-ER9-PACK</v>
      </c>
      <c r="B4414" t="str">
        <f>"00-1710-0000"</f>
        <v>00-1710-0000</v>
      </c>
      <c r="C4414" t="str">
        <f>"Teach Pendant"</f>
        <v>Teach Pendant</v>
      </c>
      <c r="D4414">
        <v>1</v>
      </c>
      <c r="E4414" t="str">
        <f t="shared" si="1132"/>
        <v>Scorbot-ER9Pro Robot - Introductory Package</v>
      </c>
      <c r="F4414">
        <v>803</v>
      </c>
      <c r="G4414" t="str">
        <f t="shared" si="1115"/>
        <v>Y</v>
      </c>
      <c r="H4414" t="str">
        <f t="shared" si="1121"/>
        <v>EA</v>
      </c>
      <c r="I4414">
        <v>0</v>
      </c>
      <c r="J4414">
        <v>0</v>
      </c>
      <c r="K4414" t="str">
        <f t="shared" si="1116"/>
        <v>Y</v>
      </c>
      <c r="L4414">
        <v>0</v>
      </c>
      <c r="M4414" t="str">
        <f t="shared" si="1122"/>
        <v>NIS</v>
      </c>
      <c r="O4414">
        <v>3</v>
      </c>
      <c r="P4414" t="str">
        <f t="shared" si="1127"/>
        <v>Active</v>
      </c>
      <c r="Q4414" t="str">
        <f>"Teach Pendant for USB/USB Pro Controllers"</f>
        <v>Teach Pendant for USB/USB Pro Controllers</v>
      </c>
      <c r="S4414" t="str">
        <f>"Teach Pendant for USB/USB Pro Controllers"</f>
        <v>Teach Pendant for USB/USB Pro Controllers</v>
      </c>
      <c r="T4414">
        <v>0</v>
      </c>
      <c r="U4414">
        <v>160.18</v>
      </c>
      <c r="V4414">
        <v>161.44999999999999</v>
      </c>
      <c r="W4414" t="str">
        <f t="shared" si="1128"/>
        <v>rob</v>
      </c>
    </row>
    <row r="4415" spans="1:23">
      <c r="A4415" t="str">
        <f t="shared" si="1131"/>
        <v>ROB-ER9-PACK</v>
      </c>
      <c r="B4415" t="str">
        <f>"00-1110-0000"</f>
        <v>00-1110-0000</v>
      </c>
      <c r="C4415" t="str">
        <f>"Palletizing Rack"</f>
        <v>Palletizing Rack</v>
      </c>
      <c r="D4415">
        <v>1</v>
      </c>
      <c r="E4415" t="str">
        <f t="shared" si="1132"/>
        <v>Scorbot-ER9Pro Robot - Introductory Package</v>
      </c>
      <c r="F4415">
        <v>803</v>
      </c>
      <c r="G4415" t="str">
        <f t="shared" si="1115"/>
        <v>Y</v>
      </c>
      <c r="H4415" t="str">
        <f t="shared" si="1121"/>
        <v>EA</v>
      </c>
      <c r="I4415">
        <v>0</v>
      </c>
      <c r="J4415">
        <v>0</v>
      </c>
      <c r="K4415" t="str">
        <f t="shared" si="1116"/>
        <v>Y</v>
      </c>
      <c r="L4415">
        <v>0</v>
      </c>
      <c r="M4415" t="str">
        <f t="shared" si="1122"/>
        <v>NIS</v>
      </c>
      <c r="O4415">
        <v>4</v>
      </c>
      <c r="P4415" t="str">
        <f t="shared" si="1127"/>
        <v>Active</v>
      </c>
      <c r="Q4415" t="str">
        <f>"Palletizing Rack (incl. Pins for creating Jigs)"</f>
        <v>Palletizing Rack (incl. Pins for creating Jigs)</v>
      </c>
      <c r="S4415" t="str">
        <f>"Palletizing Rack (incl. Pins for creating Jigs)"</f>
        <v>Palletizing Rack (incl. Pins for creating Jigs)</v>
      </c>
      <c r="T4415">
        <v>0</v>
      </c>
      <c r="U4415">
        <v>63</v>
      </c>
      <c r="V4415">
        <v>58.59</v>
      </c>
      <c r="W4415" t="str">
        <f t="shared" si="1128"/>
        <v>rob</v>
      </c>
    </row>
    <row r="4416" spans="1:23">
      <c r="A4416" t="str">
        <f t="shared" si="1131"/>
        <v>ROB-ER9-PACK</v>
      </c>
      <c r="B4416" t="str">
        <f>"10-1007-4000"</f>
        <v>10-1007-4000</v>
      </c>
      <c r="C4416" t="str">
        <f>"Gravity Parts Feeder (with microswitch sensor)"</f>
        <v>Gravity Parts Feeder (with microswitch sensor)</v>
      </c>
      <c r="D4416">
        <v>1</v>
      </c>
      <c r="E4416" t="str">
        <f t="shared" si="1132"/>
        <v>Scorbot-ER9Pro Robot - Introductory Package</v>
      </c>
      <c r="F4416">
        <v>803</v>
      </c>
      <c r="G4416" t="str">
        <f t="shared" si="1115"/>
        <v>Y</v>
      </c>
      <c r="H4416" t="str">
        <f t="shared" si="1121"/>
        <v>EA</v>
      </c>
      <c r="I4416">
        <v>0</v>
      </c>
      <c r="J4416">
        <v>0</v>
      </c>
      <c r="K4416" t="str">
        <f t="shared" si="1116"/>
        <v>Y</v>
      </c>
      <c r="L4416">
        <v>0</v>
      </c>
      <c r="M4416" t="str">
        <f t="shared" si="1122"/>
        <v>NIS</v>
      </c>
      <c r="O4416">
        <v>5</v>
      </c>
      <c r="P4416" t="str">
        <f t="shared" si="1127"/>
        <v>Active</v>
      </c>
      <c r="Q4416" t="str">
        <f>"Gravity Parts Feeder (incl.microswitch sensor)"</f>
        <v>Gravity Parts Feeder (incl.microswitch sensor)</v>
      </c>
      <c r="S4416" t="str">
        <f>"Gravity Parts Feeder (incl.microswitch sensor)"</f>
        <v>Gravity Parts Feeder (incl.microswitch sensor)</v>
      </c>
      <c r="T4416">
        <v>0</v>
      </c>
      <c r="U4416">
        <v>148</v>
      </c>
      <c r="V4416">
        <v>148.26</v>
      </c>
      <c r="W4416" t="str">
        <f t="shared" si="1128"/>
        <v>rob</v>
      </c>
    </row>
    <row r="4417" spans="1:23">
      <c r="A4417" t="str">
        <f t="shared" si="1131"/>
        <v>ROB-ER9-PACK</v>
      </c>
      <c r="B4417" t="str">
        <f>"63-9248-0000"</f>
        <v>63-9248-0000</v>
      </c>
      <c r="C4417" t="str">
        <f>"Robotic Software for Controller USB Pro"</f>
        <v>Robotic Software for Controller USB Pro</v>
      </c>
      <c r="D4417">
        <v>1</v>
      </c>
      <c r="E4417" t="str">
        <f t="shared" si="1132"/>
        <v>Scorbot-ER9Pro Robot - Introductory Package</v>
      </c>
      <c r="F4417">
        <v>803</v>
      </c>
      <c r="G4417" t="str">
        <f t="shared" si="1115"/>
        <v>Y</v>
      </c>
      <c r="H4417" t="str">
        <f t="shared" si="1121"/>
        <v>EA</v>
      </c>
      <c r="I4417">
        <v>0</v>
      </c>
      <c r="J4417">
        <v>0</v>
      </c>
      <c r="K4417" t="str">
        <f t="shared" si="1116"/>
        <v>Y</v>
      </c>
      <c r="L4417">
        <v>0</v>
      </c>
      <c r="M4417" t="str">
        <f t="shared" si="1122"/>
        <v>NIS</v>
      </c>
      <c r="N4417" t="str">
        <f>"Y"</f>
        <v>Y</v>
      </c>
      <c r="O4417">
        <v>6</v>
      </c>
      <c r="P4417" t="str">
        <f t="shared" si="1127"/>
        <v>Active</v>
      </c>
      <c r="Q4417" t="str">
        <f>"Robotic Software for Controller USB Pro"</f>
        <v>Robotic Software for Controller USB Pro</v>
      </c>
      <c r="S4417" t="str">
        <f>"Robotic Software for Controller USB Pro"</f>
        <v>Robotic Software for Controller USB Pro</v>
      </c>
      <c r="T4417">
        <v>0</v>
      </c>
      <c r="U4417">
        <v>30</v>
      </c>
      <c r="V4417">
        <v>32.17</v>
      </c>
      <c r="W4417" t="str">
        <f t="shared" si="1128"/>
        <v>rob</v>
      </c>
    </row>
    <row r="4418" spans="1:23">
      <c r="A4418" t="str">
        <f t="shared" si="1131"/>
        <v>ROB-ER9-PACK</v>
      </c>
      <c r="B4418" t="str">
        <f>"63-7000-1800"</f>
        <v>63-7000-1800</v>
      </c>
      <c r="C4418" t="str">
        <f>"License Key for RoboCell/SCORBASE USB Pro"</f>
        <v>License Key for RoboCell/SCORBASE USB Pro</v>
      </c>
      <c r="D4418">
        <v>1</v>
      </c>
      <c r="E4418" t="str">
        <f t="shared" si="1132"/>
        <v>Scorbot-ER9Pro Robot - Introductory Package</v>
      </c>
      <c r="F4418">
        <v>803</v>
      </c>
      <c r="G4418" t="str">
        <f t="shared" ref="G4418:G4481" si="1133">"Y"</f>
        <v>Y</v>
      </c>
      <c r="H4418" t="str">
        <f t="shared" si="1121"/>
        <v>EA</v>
      </c>
      <c r="I4418">
        <v>0</v>
      </c>
      <c r="J4418">
        <v>0</v>
      </c>
      <c r="K4418" t="str">
        <f t="shared" ref="K4418:K4481" si="1134">"Y"</f>
        <v>Y</v>
      </c>
      <c r="L4418">
        <v>0</v>
      </c>
      <c r="M4418" t="str">
        <f t="shared" si="1122"/>
        <v>NIS</v>
      </c>
      <c r="O4418">
        <v>7</v>
      </c>
      <c r="P4418" t="str">
        <f t="shared" si="1127"/>
        <v>Active</v>
      </c>
      <c r="Q4418" t="str">
        <f>"License Key for RoboCell/SCORBASE USB Pro"</f>
        <v>License Key for RoboCell/SCORBASE USB Pro</v>
      </c>
      <c r="R4418" t="str">
        <f>"1"</f>
        <v>1</v>
      </c>
      <c r="S4418" t="str">
        <f>"License Key for RoboCell/SCORBASE USB Pro"</f>
        <v>License Key for RoboCell/SCORBASE USB Pro</v>
      </c>
      <c r="T4418">
        <v>0</v>
      </c>
      <c r="U4418">
        <v>10</v>
      </c>
      <c r="V4418">
        <v>11.1</v>
      </c>
      <c r="W4418" t="str">
        <f t="shared" si="1128"/>
        <v>rob</v>
      </c>
    </row>
    <row r="4419" spans="1:23">
      <c r="A4419" t="str">
        <f t="shared" ref="A4419:A4429" si="1135">"ROB-ER9-STND"</f>
        <v>ROB-ER9-STND</v>
      </c>
      <c r="B4419" t="str">
        <f>"00-0430-0000"</f>
        <v>00-0430-0000</v>
      </c>
      <c r="C4419" t="str">
        <f>"SCORBOT-ER9Pro"</f>
        <v>SCORBOT-ER9Pro</v>
      </c>
      <c r="D4419">
        <v>1</v>
      </c>
      <c r="E4419" t="str">
        <f t="shared" ref="E4419:E4429" si="1136">"Scorbot-ER9Pro Robot - Standard Package"</f>
        <v>Scorbot-ER9Pro Robot - Standard Package</v>
      </c>
      <c r="F4419">
        <v>803</v>
      </c>
      <c r="G4419" t="str">
        <f t="shared" si="1133"/>
        <v>Y</v>
      </c>
      <c r="H4419" t="str">
        <f t="shared" si="1121"/>
        <v>EA</v>
      </c>
      <c r="I4419">
        <v>0</v>
      </c>
      <c r="J4419">
        <v>0</v>
      </c>
      <c r="K4419" t="str">
        <f t="shared" si="1134"/>
        <v>Y</v>
      </c>
      <c r="L4419">
        <v>0</v>
      </c>
      <c r="M4419" t="str">
        <f t="shared" si="1122"/>
        <v>NIS</v>
      </c>
      <c r="O4419">
        <v>1</v>
      </c>
      <c r="P4419" t="str">
        <f t="shared" si="1127"/>
        <v>Active</v>
      </c>
      <c r="Q4419" t="str">
        <f>"SCORBOT-ER 9Pro (incl. USB-Pro Controller)"</f>
        <v>SCORBOT-ER 9Pro (incl. USB-Pro Controller)</v>
      </c>
      <c r="S4419" t="str">
        <f>"SCORBOT-ER 9Pro (incl. USB-Pro Controller)"</f>
        <v>SCORBOT-ER 9Pro (incl. USB-Pro Controller)</v>
      </c>
      <c r="T4419">
        <v>0</v>
      </c>
      <c r="U4419" s="44">
        <v>10900</v>
      </c>
      <c r="V4419" s="44">
        <v>11661.57</v>
      </c>
      <c r="W4419" t="str">
        <f t="shared" si="1128"/>
        <v>rob</v>
      </c>
    </row>
    <row r="4420" spans="1:23">
      <c r="A4420" t="str">
        <f t="shared" si="1135"/>
        <v>ROB-ER9-STND</v>
      </c>
      <c r="B4420" t="str">
        <f>"00-0633-0000"</f>
        <v>00-0633-0000</v>
      </c>
      <c r="C4420" t="str">
        <f>"Pneumatic Gripper for ER9-Pro"</f>
        <v>Pneumatic Gripper for ER9-Pro</v>
      </c>
      <c r="D4420">
        <v>1</v>
      </c>
      <c r="E4420" t="str">
        <f t="shared" si="1136"/>
        <v>Scorbot-ER9Pro Robot - Standard Package</v>
      </c>
      <c r="F4420">
        <v>803</v>
      </c>
      <c r="G4420" t="str">
        <f t="shared" si="1133"/>
        <v>Y</v>
      </c>
      <c r="H4420" t="str">
        <f t="shared" si="1121"/>
        <v>EA</v>
      </c>
      <c r="I4420">
        <v>0</v>
      </c>
      <c r="J4420">
        <v>0</v>
      </c>
      <c r="K4420" t="str">
        <f t="shared" si="1134"/>
        <v>Y</v>
      </c>
      <c r="L4420">
        <v>0</v>
      </c>
      <c r="M4420" t="str">
        <f t="shared" si="1122"/>
        <v>NIS</v>
      </c>
      <c r="O4420">
        <v>2</v>
      </c>
      <c r="P4420" t="str">
        <f t="shared" si="1127"/>
        <v>Active</v>
      </c>
      <c r="Q4420" t="str">
        <f>"Pneumatic Gripper for ER 9Pro"</f>
        <v>Pneumatic Gripper for ER 9Pro</v>
      </c>
      <c r="S4420" t="str">
        <f>"Pneumatic Gripper for ER9-Pro"</f>
        <v>Pneumatic Gripper for ER9-Pro</v>
      </c>
      <c r="T4420">
        <v>0</v>
      </c>
      <c r="U4420">
        <v>630</v>
      </c>
      <c r="V4420">
        <v>624.72</v>
      </c>
      <c r="W4420" t="str">
        <f t="shared" si="1128"/>
        <v>rob</v>
      </c>
    </row>
    <row r="4421" spans="1:23">
      <c r="A4421" t="str">
        <f t="shared" si="1135"/>
        <v>ROB-ER9-STND</v>
      </c>
      <c r="B4421" t="str">
        <f>"00-1710-0000"</f>
        <v>00-1710-0000</v>
      </c>
      <c r="C4421" t="str">
        <f>"Teach Pendant"</f>
        <v>Teach Pendant</v>
      </c>
      <c r="D4421">
        <v>1</v>
      </c>
      <c r="E4421" t="str">
        <f t="shared" si="1136"/>
        <v>Scorbot-ER9Pro Robot - Standard Package</v>
      </c>
      <c r="F4421">
        <v>803</v>
      </c>
      <c r="G4421" t="str">
        <f t="shared" si="1133"/>
        <v>Y</v>
      </c>
      <c r="H4421" t="str">
        <f t="shared" si="1121"/>
        <v>EA</v>
      </c>
      <c r="I4421">
        <v>0</v>
      </c>
      <c r="J4421">
        <v>0</v>
      </c>
      <c r="K4421" t="str">
        <f t="shared" si="1134"/>
        <v>Y</v>
      </c>
      <c r="L4421">
        <v>0</v>
      </c>
      <c r="M4421" t="str">
        <f t="shared" si="1122"/>
        <v>NIS</v>
      </c>
      <c r="O4421">
        <v>3</v>
      </c>
      <c r="P4421" t="str">
        <f t="shared" si="1127"/>
        <v>Active</v>
      </c>
      <c r="Q4421" t="str">
        <f>"Teach Pendant for USB/USB Pro Controllers"</f>
        <v>Teach Pendant for USB/USB Pro Controllers</v>
      </c>
      <c r="S4421" t="str">
        <f>"Teach Pendant for USB/USB Pro Controllers"</f>
        <v>Teach Pendant for USB/USB Pro Controllers</v>
      </c>
      <c r="T4421">
        <v>0</v>
      </c>
      <c r="U4421">
        <v>160.18</v>
      </c>
      <c r="V4421">
        <v>161.44999999999999</v>
      </c>
      <c r="W4421" t="str">
        <f t="shared" si="1128"/>
        <v>rob</v>
      </c>
    </row>
    <row r="4422" spans="1:23">
      <c r="A4422" t="str">
        <f t="shared" si="1135"/>
        <v>ROB-ER9-STND</v>
      </c>
      <c r="B4422" t="str">
        <f>"00-1110-0000"</f>
        <v>00-1110-0000</v>
      </c>
      <c r="C4422" t="str">
        <f>"Palletizing Rack"</f>
        <v>Palletizing Rack</v>
      </c>
      <c r="D4422">
        <v>1</v>
      </c>
      <c r="E4422" t="str">
        <f t="shared" si="1136"/>
        <v>Scorbot-ER9Pro Robot - Standard Package</v>
      </c>
      <c r="F4422">
        <v>803</v>
      </c>
      <c r="G4422" t="str">
        <f t="shared" si="1133"/>
        <v>Y</v>
      </c>
      <c r="H4422" t="str">
        <f t="shared" si="1121"/>
        <v>EA</v>
      </c>
      <c r="I4422">
        <v>0</v>
      </c>
      <c r="J4422">
        <v>0</v>
      </c>
      <c r="K4422" t="str">
        <f t="shared" si="1134"/>
        <v>Y</v>
      </c>
      <c r="L4422">
        <v>0</v>
      </c>
      <c r="M4422" t="str">
        <f t="shared" si="1122"/>
        <v>NIS</v>
      </c>
      <c r="O4422">
        <v>4</v>
      </c>
      <c r="P4422" t="str">
        <f t="shared" si="1127"/>
        <v>Active</v>
      </c>
      <c r="Q4422" t="str">
        <f>"Palletizing Rack (incl. Pins for creating Jigs)"</f>
        <v>Palletizing Rack (incl. Pins for creating Jigs)</v>
      </c>
      <c r="S4422" t="str">
        <f>"Palletizing Rack (incl. Pins for creating Jigs)"</f>
        <v>Palletizing Rack (incl. Pins for creating Jigs)</v>
      </c>
      <c r="T4422">
        <v>0</v>
      </c>
      <c r="U4422">
        <v>63</v>
      </c>
      <c r="V4422">
        <v>58.59</v>
      </c>
      <c r="W4422" t="str">
        <f t="shared" si="1128"/>
        <v>rob</v>
      </c>
    </row>
    <row r="4423" spans="1:23">
      <c r="A4423" t="str">
        <f t="shared" si="1135"/>
        <v>ROB-ER9-STND</v>
      </c>
      <c r="B4423" t="str">
        <f>"10-1007-4000"</f>
        <v>10-1007-4000</v>
      </c>
      <c r="C4423" t="str">
        <f>"Gravity Parts Feeder (with microswitch sensor)"</f>
        <v>Gravity Parts Feeder (with microswitch sensor)</v>
      </c>
      <c r="D4423">
        <v>1</v>
      </c>
      <c r="E4423" t="str">
        <f t="shared" si="1136"/>
        <v>Scorbot-ER9Pro Robot - Standard Package</v>
      </c>
      <c r="F4423">
        <v>803</v>
      </c>
      <c r="G4423" t="str">
        <f t="shared" si="1133"/>
        <v>Y</v>
      </c>
      <c r="H4423" t="str">
        <f t="shared" si="1121"/>
        <v>EA</v>
      </c>
      <c r="I4423">
        <v>0</v>
      </c>
      <c r="J4423">
        <v>0</v>
      </c>
      <c r="K4423" t="str">
        <f t="shared" si="1134"/>
        <v>Y</v>
      </c>
      <c r="L4423">
        <v>0</v>
      </c>
      <c r="M4423" t="str">
        <f t="shared" si="1122"/>
        <v>NIS</v>
      </c>
      <c r="O4423">
        <v>5</v>
      </c>
      <c r="P4423" t="str">
        <f t="shared" si="1127"/>
        <v>Active</v>
      </c>
      <c r="Q4423" t="str">
        <f>"Gravity Parts Feeder (incl.microswitch sensor)"</f>
        <v>Gravity Parts Feeder (incl.microswitch sensor)</v>
      </c>
      <c r="S4423" t="str">
        <f>"Gravity Parts Feeder (incl.microswitch sensor)"</f>
        <v>Gravity Parts Feeder (incl.microswitch sensor)</v>
      </c>
      <c r="T4423">
        <v>0</v>
      </c>
      <c r="U4423">
        <v>148</v>
      </c>
      <c r="V4423">
        <v>148.26</v>
      </c>
      <c r="W4423" t="str">
        <f t="shared" si="1128"/>
        <v>rob</v>
      </c>
    </row>
    <row r="4424" spans="1:23">
      <c r="A4424" t="str">
        <f t="shared" si="1135"/>
        <v>ROB-ER9-STND</v>
      </c>
      <c r="B4424" t="str">
        <f>"00-1010-0000"</f>
        <v>00-1010-0000</v>
      </c>
      <c r="C4424" t="str">
        <f>"Conveyor Belt tabletop"</f>
        <v>Conveyor Belt tabletop</v>
      </c>
      <c r="D4424">
        <v>1</v>
      </c>
      <c r="E4424" t="str">
        <f t="shared" si="1136"/>
        <v>Scorbot-ER9Pro Robot - Standard Package</v>
      </c>
      <c r="F4424">
        <v>803</v>
      </c>
      <c r="G4424" t="str">
        <f t="shared" si="1133"/>
        <v>Y</v>
      </c>
      <c r="H4424" t="str">
        <f t="shared" si="1121"/>
        <v>EA</v>
      </c>
      <c r="I4424">
        <v>0</v>
      </c>
      <c r="J4424">
        <v>0</v>
      </c>
      <c r="K4424" t="str">
        <f t="shared" si="1134"/>
        <v>Y</v>
      </c>
      <c r="L4424">
        <v>0</v>
      </c>
      <c r="M4424" t="str">
        <f t="shared" si="1122"/>
        <v>NIS</v>
      </c>
      <c r="O4424">
        <v>6</v>
      </c>
      <c r="P4424" t="str">
        <f t="shared" ref="P4424:P4438" si="1137">"Active"</f>
        <v>Active</v>
      </c>
      <c r="Q4424" t="str">
        <f>"Conveyor Belt (24V)"</f>
        <v>Conveyor Belt (24V)</v>
      </c>
      <c r="S4424" t="str">
        <f>"Conveyor Belt (24V)"</f>
        <v>Conveyor Belt (24V)</v>
      </c>
      <c r="T4424">
        <v>0</v>
      </c>
      <c r="U4424">
        <v>510</v>
      </c>
      <c r="V4424">
        <v>472.02</v>
      </c>
      <c r="W4424" t="str">
        <f t="shared" ref="W4424:W4460" si="1138">"rob"</f>
        <v>rob</v>
      </c>
    </row>
    <row r="4425" spans="1:23">
      <c r="A4425" t="str">
        <f t="shared" si="1135"/>
        <v>ROB-ER9-STND</v>
      </c>
      <c r="B4425" t="str">
        <f>"00-1203-0000"</f>
        <v>00-1203-0000</v>
      </c>
      <c r="C4425" t="str">
        <f>"Photoelectric Sensor for Belt Conveyor"</f>
        <v>Photoelectric Sensor for Belt Conveyor</v>
      </c>
      <c r="D4425">
        <v>1</v>
      </c>
      <c r="E4425" t="str">
        <f t="shared" si="1136"/>
        <v>Scorbot-ER9Pro Robot - Standard Package</v>
      </c>
      <c r="F4425">
        <v>803</v>
      </c>
      <c r="G4425" t="str">
        <f t="shared" si="1133"/>
        <v>Y</v>
      </c>
      <c r="H4425" t="str">
        <f t="shared" si="1121"/>
        <v>EA</v>
      </c>
      <c r="I4425">
        <v>0</v>
      </c>
      <c r="J4425">
        <v>0</v>
      </c>
      <c r="K4425" t="str">
        <f t="shared" si="1134"/>
        <v>Y</v>
      </c>
      <c r="L4425">
        <v>0</v>
      </c>
      <c r="M4425" t="str">
        <f t="shared" si="1122"/>
        <v>NIS</v>
      </c>
      <c r="O4425">
        <v>7</v>
      </c>
      <c r="P4425" t="str">
        <f t="shared" si="1137"/>
        <v>Active</v>
      </c>
      <c r="Q4425" t="str">
        <f>"Photoelectric Sensor for Belt Conveyor"</f>
        <v>Photoelectric Sensor for Belt Conveyor</v>
      </c>
      <c r="S4425" t="str">
        <f>"Photoelectric Sensor for Belt Conveyor"</f>
        <v>Photoelectric Sensor for Belt Conveyor</v>
      </c>
      <c r="T4425">
        <v>0</v>
      </c>
      <c r="U4425">
        <v>108</v>
      </c>
      <c r="V4425">
        <v>100.82</v>
      </c>
      <c r="W4425" t="str">
        <f t="shared" si="1138"/>
        <v>rob</v>
      </c>
    </row>
    <row r="4426" spans="1:23">
      <c r="A4426" t="str">
        <f t="shared" si="1135"/>
        <v>ROB-ER9-STND</v>
      </c>
      <c r="B4426" t="str">
        <f>"00-1249-0000"</f>
        <v>00-1249-0000</v>
      </c>
      <c r="C4426" t="str">
        <f>"Workbench 1500x800mm (slotted aluminum top)"</f>
        <v>Workbench 1500x800mm (slotted aluminum top)</v>
      </c>
      <c r="D4426">
        <v>1</v>
      </c>
      <c r="E4426" t="str">
        <f t="shared" si="1136"/>
        <v>Scorbot-ER9Pro Robot - Standard Package</v>
      </c>
      <c r="F4426">
        <v>803</v>
      </c>
      <c r="G4426" t="str">
        <f t="shared" si="1133"/>
        <v>Y</v>
      </c>
      <c r="H4426" t="str">
        <f t="shared" si="1121"/>
        <v>EA</v>
      </c>
      <c r="I4426">
        <v>0</v>
      </c>
      <c r="J4426">
        <v>0</v>
      </c>
      <c r="K4426" t="str">
        <f t="shared" si="1134"/>
        <v>Y</v>
      </c>
      <c r="L4426">
        <v>0</v>
      </c>
      <c r="M4426" t="str">
        <f t="shared" si="1122"/>
        <v>NIS</v>
      </c>
      <c r="O4426">
        <v>8</v>
      </c>
      <c r="P4426" t="str">
        <f t="shared" si="1137"/>
        <v>Active</v>
      </c>
      <c r="Q4426" t="str">
        <f>"Workbench 1500x800mm (slotted aluminum top)"</f>
        <v>Workbench 1500x800mm (slotted aluminum top)</v>
      </c>
      <c r="S4426" t="str">
        <f>"Workbench 1500x800mm (slotted aluminum top)"</f>
        <v>Workbench 1500x800mm (slotted aluminum top)</v>
      </c>
      <c r="T4426">
        <v>0</v>
      </c>
      <c r="U4426" s="44">
        <v>1100</v>
      </c>
      <c r="V4426" s="44">
        <v>1083.57</v>
      </c>
      <c r="W4426" t="str">
        <f t="shared" si="1138"/>
        <v>rob</v>
      </c>
    </row>
    <row r="4427" spans="1:23">
      <c r="A4427" t="str">
        <f t="shared" si="1135"/>
        <v>ROB-ER9-STND</v>
      </c>
      <c r="B4427" t="str">
        <f>"00-1241-0000"</f>
        <v>00-1241-0000</v>
      </c>
      <c r="C4427" t="str">
        <f>"Adapter Mounting Plate for ER9/14Pro &amp; HP3"</f>
        <v>Adapter Mounting Plate for ER9/14Pro &amp; HP3</v>
      </c>
      <c r="D4427">
        <v>1</v>
      </c>
      <c r="E4427" t="str">
        <f t="shared" si="1136"/>
        <v>Scorbot-ER9Pro Robot - Standard Package</v>
      </c>
      <c r="F4427">
        <v>803</v>
      </c>
      <c r="G4427" t="str">
        <f t="shared" si="1133"/>
        <v>Y</v>
      </c>
      <c r="H4427" t="str">
        <f t="shared" ref="H4427:H4451" si="1139">"EA"</f>
        <v>EA</v>
      </c>
      <c r="I4427">
        <v>0</v>
      </c>
      <c r="J4427">
        <v>0</v>
      </c>
      <c r="K4427" t="str">
        <f t="shared" si="1134"/>
        <v>Y</v>
      </c>
      <c r="L4427">
        <v>0</v>
      </c>
      <c r="M4427" t="str">
        <f t="shared" si="1122"/>
        <v>NIS</v>
      </c>
      <c r="O4427">
        <v>9</v>
      </c>
      <c r="P4427" t="str">
        <f t="shared" si="1137"/>
        <v>Active</v>
      </c>
      <c r="Q4427" t="str">
        <f>"Adapter Mounting Plate for ER9/14Pro &amp; HP3"</f>
        <v>Adapter Mounting Plate for ER9/14Pro &amp; HP3</v>
      </c>
      <c r="S4427" t="str">
        <f>"Adapter Mounting Plate for ER9/14Pro &amp; HP3"</f>
        <v>Adapter Mounting Plate for ER9/14Pro &amp; HP3</v>
      </c>
      <c r="T4427">
        <v>0</v>
      </c>
      <c r="U4427">
        <v>145</v>
      </c>
      <c r="V4427">
        <v>153.93</v>
      </c>
      <c r="W4427" t="str">
        <f t="shared" si="1138"/>
        <v>rob</v>
      </c>
    </row>
    <row r="4428" spans="1:23">
      <c r="A4428" t="str">
        <f t="shared" si="1135"/>
        <v>ROB-ER9-STND</v>
      </c>
      <c r="B4428" t="str">
        <f>"63-9248-0000"</f>
        <v>63-9248-0000</v>
      </c>
      <c r="C4428" t="str">
        <f>"Robotic Software for Controller USB Pro"</f>
        <v>Robotic Software for Controller USB Pro</v>
      </c>
      <c r="D4428">
        <v>1</v>
      </c>
      <c r="E4428" t="str">
        <f t="shared" si="1136"/>
        <v>Scorbot-ER9Pro Robot - Standard Package</v>
      </c>
      <c r="F4428">
        <v>803</v>
      </c>
      <c r="G4428" t="str">
        <f t="shared" si="1133"/>
        <v>Y</v>
      </c>
      <c r="H4428" t="str">
        <f t="shared" si="1139"/>
        <v>EA</v>
      </c>
      <c r="I4428">
        <v>0</v>
      </c>
      <c r="J4428">
        <v>0</v>
      </c>
      <c r="K4428" t="str">
        <f t="shared" si="1134"/>
        <v>Y</v>
      </c>
      <c r="L4428">
        <v>0</v>
      </c>
      <c r="M4428" t="str">
        <f t="shared" si="1122"/>
        <v>NIS</v>
      </c>
      <c r="N4428" t="str">
        <f>"Y"</f>
        <v>Y</v>
      </c>
      <c r="O4428">
        <v>10</v>
      </c>
      <c r="P4428" t="str">
        <f t="shared" si="1137"/>
        <v>Active</v>
      </c>
      <c r="Q4428" t="str">
        <f>"Robotic Software for Controller USB Pro"</f>
        <v>Robotic Software for Controller USB Pro</v>
      </c>
      <c r="S4428" t="str">
        <f>"Robotic Software for Controller USB Pro"</f>
        <v>Robotic Software for Controller USB Pro</v>
      </c>
      <c r="T4428">
        <v>0</v>
      </c>
      <c r="U4428">
        <v>30</v>
      </c>
      <c r="V4428">
        <v>32.17</v>
      </c>
      <c r="W4428" t="str">
        <f t="shared" si="1138"/>
        <v>rob</v>
      </c>
    </row>
    <row r="4429" spans="1:23">
      <c r="A4429" t="str">
        <f t="shared" si="1135"/>
        <v>ROB-ER9-STND</v>
      </c>
      <c r="B4429" t="str">
        <f>"63-7000-1800"</f>
        <v>63-7000-1800</v>
      </c>
      <c r="C4429" t="str">
        <f>"License Key for RoboCell/SCORBASE USB Pro"</f>
        <v>License Key for RoboCell/SCORBASE USB Pro</v>
      </c>
      <c r="D4429">
        <v>1</v>
      </c>
      <c r="E4429" t="str">
        <f t="shared" si="1136"/>
        <v>Scorbot-ER9Pro Robot - Standard Package</v>
      </c>
      <c r="F4429">
        <v>803</v>
      </c>
      <c r="G4429" t="str">
        <f t="shared" si="1133"/>
        <v>Y</v>
      </c>
      <c r="H4429" t="str">
        <f t="shared" si="1139"/>
        <v>EA</v>
      </c>
      <c r="I4429">
        <v>0</v>
      </c>
      <c r="J4429">
        <v>0</v>
      </c>
      <c r="K4429" t="str">
        <f t="shared" si="1134"/>
        <v>Y</v>
      </c>
      <c r="L4429">
        <v>0</v>
      </c>
      <c r="M4429" t="str">
        <f t="shared" si="1122"/>
        <v>NIS</v>
      </c>
      <c r="O4429">
        <v>11</v>
      </c>
      <c r="P4429" t="str">
        <f t="shared" si="1137"/>
        <v>Active</v>
      </c>
      <c r="Q4429" t="str">
        <f>"License Key for RoboCell/SCORBASE USB Pro"</f>
        <v>License Key for RoboCell/SCORBASE USB Pro</v>
      </c>
      <c r="R4429" t="str">
        <f>"1"</f>
        <v>1</v>
      </c>
      <c r="S4429" t="str">
        <f>"License Key for RoboCell/SCORBASE USB Pro"</f>
        <v>License Key for RoboCell/SCORBASE USB Pro</v>
      </c>
      <c r="T4429">
        <v>0</v>
      </c>
      <c r="U4429">
        <v>10</v>
      </c>
      <c r="V4429">
        <v>11.1</v>
      </c>
      <c r="W4429" t="str">
        <f t="shared" si="1138"/>
        <v>rob</v>
      </c>
    </row>
    <row r="4430" spans="1:23">
      <c r="A4430" t="str">
        <f>"ROB-MH5F-PACK"</f>
        <v>ROB-MH5F-PACK</v>
      </c>
      <c r="B4430" t="str">
        <f>"00-0436-0000"</f>
        <v>00-0436-0000</v>
      </c>
      <c r="C4430" t="str">
        <f>"MH5F compact high-speed 6-axis Robot"</f>
        <v>MH5F compact high-speed 6-axis Robot</v>
      </c>
      <c r="D4430">
        <v>1</v>
      </c>
      <c r="E4430" t="str">
        <f>"Motoman-MH5F Robot - Introductory Package"</f>
        <v>Motoman-MH5F Robot - Introductory Package</v>
      </c>
      <c r="F4430">
        <v>803</v>
      </c>
      <c r="G4430" t="str">
        <f t="shared" si="1133"/>
        <v>Y</v>
      </c>
      <c r="H4430" t="str">
        <f t="shared" si="1139"/>
        <v>EA</v>
      </c>
      <c r="I4430">
        <v>0</v>
      </c>
      <c r="J4430">
        <v>0</v>
      </c>
      <c r="K4430" t="str">
        <f t="shared" si="1134"/>
        <v>Y</v>
      </c>
      <c r="L4430">
        <v>0</v>
      </c>
      <c r="M4430" t="str">
        <f t="shared" si="1122"/>
        <v>NIS</v>
      </c>
      <c r="O4430">
        <v>1</v>
      </c>
      <c r="P4430" t="str">
        <f t="shared" si="1137"/>
        <v>Active</v>
      </c>
      <c r="Q4430" t="str">
        <f>"MH5F compact high-speed 6-axis Robot"</f>
        <v>MH5F compact high-speed 6-axis Robot</v>
      </c>
      <c r="S4430" t="str">
        <f>"MH5F compact high-speed 6-axis Robot"</f>
        <v>MH5F compact high-speed 6-axis Robot</v>
      </c>
      <c r="T4430">
        <v>0</v>
      </c>
      <c r="U4430" s="44">
        <v>23500</v>
      </c>
      <c r="V4430" s="44">
        <v>16049.14</v>
      </c>
      <c r="W4430" t="str">
        <f t="shared" si="1138"/>
        <v>rob</v>
      </c>
    </row>
    <row r="4431" spans="1:23">
      <c r="A4431" t="str">
        <f>"ROB-MH5F-PACK"</f>
        <v>ROB-MH5F-PACK</v>
      </c>
      <c r="B4431" t="str">
        <f>"00-0646-0000"</f>
        <v>00-0646-0000</v>
      </c>
      <c r="C4431" t="str">
        <f>"Pneumatic Gripper with I/O Box for Motoman MH5F"</f>
        <v>Pneumatic Gripper with I/O Box for Motoman MH5F</v>
      </c>
      <c r="D4431">
        <v>1</v>
      </c>
      <c r="E4431" t="str">
        <f>"Motoman-MH5F Robot - Introductory Package"</f>
        <v>Motoman-MH5F Robot - Introductory Package</v>
      </c>
      <c r="F4431">
        <v>803</v>
      </c>
      <c r="G4431" t="str">
        <f t="shared" si="1133"/>
        <v>Y</v>
      </c>
      <c r="H4431" t="str">
        <f t="shared" si="1139"/>
        <v>EA</v>
      </c>
      <c r="I4431">
        <v>0</v>
      </c>
      <c r="J4431">
        <v>0</v>
      </c>
      <c r="K4431" t="str">
        <f t="shared" si="1134"/>
        <v>Y</v>
      </c>
      <c r="L4431">
        <v>0</v>
      </c>
      <c r="M4431" t="str">
        <f t="shared" si="1122"/>
        <v>NIS</v>
      </c>
      <c r="O4431">
        <v>2</v>
      </c>
      <c r="P4431" t="str">
        <f t="shared" si="1137"/>
        <v>Active</v>
      </c>
      <c r="Q4431" t="str">
        <f>"Pneumatic Gripper with I/O Box for Motoman MH5F"</f>
        <v>Pneumatic Gripper with I/O Box for Motoman MH5F</v>
      </c>
      <c r="S4431" t="str">
        <f>"Pneumatic Gripper with I/O Box for Motoman MH5F"</f>
        <v>Pneumatic Gripper with I/O Box for Motoman MH5F</v>
      </c>
      <c r="T4431">
        <v>0</v>
      </c>
      <c r="U4431" s="44">
        <v>1500</v>
      </c>
      <c r="V4431" s="44">
        <v>1238.52</v>
      </c>
      <c r="W4431" t="str">
        <f t="shared" si="1138"/>
        <v>rob</v>
      </c>
    </row>
    <row r="4432" spans="1:23">
      <c r="A4432" t="str">
        <f>"ROBOCELL ER4U-AL"</f>
        <v>ROBOCELL ER4U-AL</v>
      </c>
      <c r="B4432" t="str">
        <f>"63-7000-0100"</f>
        <v>63-7000-0100</v>
      </c>
      <c r="C4432" t="str">
        <f>"License Key for RoboCell"</f>
        <v>License Key for RoboCell</v>
      </c>
      <c r="D4432">
        <v>1</v>
      </c>
      <c r="E4432" t="str">
        <f>"RoboCell 3D Simulation Software - Scorbot-ER4U - Additional Licenses"</f>
        <v>RoboCell 3D Simulation Software - Scorbot-ER4U - Additional Licenses</v>
      </c>
      <c r="F4432">
        <v>700</v>
      </c>
      <c r="G4432" t="str">
        <f t="shared" si="1133"/>
        <v>Y</v>
      </c>
      <c r="H4432" t="str">
        <f t="shared" si="1139"/>
        <v>EA</v>
      </c>
      <c r="I4432">
        <v>0</v>
      </c>
      <c r="J4432">
        <v>0</v>
      </c>
      <c r="K4432" t="str">
        <f t="shared" si="1134"/>
        <v>Y</v>
      </c>
      <c r="L4432">
        <v>0</v>
      </c>
      <c r="M4432" t="str">
        <f t="shared" si="1122"/>
        <v>NIS</v>
      </c>
      <c r="O4432">
        <v>1</v>
      </c>
      <c r="P4432" t="str">
        <f t="shared" si="1137"/>
        <v>Active</v>
      </c>
      <c r="Q4432" t="str">
        <f>"License Key for RoboCell/SCORBASE USB"</f>
        <v>License Key for RoboCell/SCORBASE USB</v>
      </c>
      <c r="R4432" t="str">
        <f>"1"</f>
        <v>1</v>
      </c>
      <c r="S4432" t="str">
        <f>"License Key for RoboCell/SCORBASE USB"</f>
        <v>License Key for RoboCell/SCORBASE USB</v>
      </c>
      <c r="T4432">
        <v>0</v>
      </c>
      <c r="U4432">
        <v>10</v>
      </c>
      <c r="V4432">
        <v>11.1</v>
      </c>
      <c r="W4432" t="str">
        <f t="shared" si="1138"/>
        <v>rob</v>
      </c>
    </row>
    <row r="4433" spans="1:23">
      <c r="A4433" t="str">
        <f>"ROBOCELL ER4U-FL"</f>
        <v>ROBOCELL ER4U-FL</v>
      </c>
      <c r="B4433" t="str">
        <f>"63-9234-0000"</f>
        <v>63-9234-0000</v>
      </c>
      <c r="C4433" t="str">
        <f>"Robocell Software"</f>
        <v>Robocell Software</v>
      </c>
      <c r="D4433">
        <v>1</v>
      </c>
      <c r="E4433" t="str">
        <f>"RoboCell 3D Simulation Software - Scorbot-ER4U - First License"</f>
        <v>RoboCell 3D Simulation Software - Scorbot-ER4U - First License</v>
      </c>
      <c r="F4433">
        <v>700</v>
      </c>
      <c r="G4433" t="str">
        <f t="shared" si="1133"/>
        <v>Y</v>
      </c>
      <c r="H4433" t="str">
        <f t="shared" si="1139"/>
        <v>EA</v>
      </c>
      <c r="I4433">
        <v>0</v>
      </c>
      <c r="J4433">
        <v>0</v>
      </c>
      <c r="K4433" t="str">
        <f t="shared" si="1134"/>
        <v>Y</v>
      </c>
      <c r="L4433">
        <v>0</v>
      </c>
      <c r="M4433" t="str">
        <f t="shared" si="1122"/>
        <v>NIS</v>
      </c>
      <c r="O4433">
        <v>1</v>
      </c>
      <c r="P4433" t="str">
        <f t="shared" si="1137"/>
        <v>Active</v>
      </c>
      <c r="Q4433" t="str">
        <f>"Robotic Software for Controller USB"</f>
        <v>Robotic Software for Controller USB</v>
      </c>
      <c r="S4433" t="str">
        <f>"Robotic Software for Controller USB"</f>
        <v>Robotic Software for Controller USB</v>
      </c>
      <c r="T4433">
        <v>0</v>
      </c>
      <c r="U4433">
        <v>33</v>
      </c>
      <c r="V4433">
        <v>34.700000000000003</v>
      </c>
      <c r="W4433" t="str">
        <f t="shared" si="1138"/>
        <v>rob</v>
      </c>
    </row>
    <row r="4434" spans="1:23">
      <c r="A4434" t="str">
        <f>"ROBOCELL ER4U-FL"</f>
        <v>ROBOCELL ER4U-FL</v>
      </c>
      <c r="B4434" t="str">
        <f>"63-7000-0100"</f>
        <v>63-7000-0100</v>
      </c>
      <c r="C4434" t="str">
        <f>"License Key for RoboCell"</f>
        <v>License Key for RoboCell</v>
      </c>
      <c r="D4434">
        <v>1</v>
      </c>
      <c r="E4434" t="str">
        <f>"RoboCell 3D Simulation Software - Scorbot-ER4U - First License"</f>
        <v>RoboCell 3D Simulation Software - Scorbot-ER4U - First License</v>
      </c>
      <c r="F4434">
        <v>700</v>
      </c>
      <c r="G4434" t="str">
        <f t="shared" si="1133"/>
        <v>Y</v>
      </c>
      <c r="H4434" t="str">
        <f t="shared" si="1139"/>
        <v>EA</v>
      </c>
      <c r="I4434">
        <v>0</v>
      </c>
      <c r="J4434">
        <v>0</v>
      </c>
      <c r="K4434" t="str">
        <f t="shared" si="1134"/>
        <v>Y</v>
      </c>
      <c r="L4434">
        <v>0</v>
      </c>
      <c r="M4434" t="str">
        <f t="shared" si="1122"/>
        <v>NIS</v>
      </c>
      <c r="O4434">
        <v>2</v>
      </c>
      <c r="P4434" t="str">
        <f t="shared" si="1137"/>
        <v>Active</v>
      </c>
      <c r="Q4434" t="str">
        <f>"License Key for RoboCell/SCORBASE USB"</f>
        <v>License Key for RoboCell/SCORBASE USB</v>
      </c>
      <c r="R4434" t="str">
        <f>"1"</f>
        <v>1</v>
      </c>
      <c r="S4434" t="str">
        <f>"License Key for RoboCell/SCORBASE USB"</f>
        <v>License Key for RoboCell/SCORBASE USB</v>
      </c>
      <c r="T4434">
        <v>0</v>
      </c>
      <c r="U4434">
        <v>10</v>
      </c>
      <c r="V4434">
        <v>11.1</v>
      </c>
      <c r="W4434" t="str">
        <f t="shared" si="1138"/>
        <v>rob</v>
      </c>
    </row>
    <row r="4435" spans="1:23">
      <c r="A4435" t="str">
        <f>"ROBOCELL ER9P-AL"</f>
        <v>ROBOCELL ER9P-AL</v>
      </c>
      <c r="B4435" t="str">
        <f>"63-7000-1800"</f>
        <v>63-7000-1800</v>
      </c>
      <c r="C4435" t="str">
        <f>"License Key for RoboCell/SCORBASE USB Pro"</f>
        <v>License Key for RoboCell/SCORBASE USB Pro</v>
      </c>
      <c r="D4435">
        <v>1</v>
      </c>
      <c r="E4435" t="str">
        <f>"RoboCell 3D Simulation Software - Scorbot-ER9Pro - Additional Licenses"</f>
        <v>RoboCell 3D Simulation Software - Scorbot-ER9Pro - Additional Licenses</v>
      </c>
      <c r="F4435">
        <v>700</v>
      </c>
      <c r="G4435" t="str">
        <f t="shared" si="1133"/>
        <v>Y</v>
      </c>
      <c r="H4435" t="str">
        <f t="shared" si="1139"/>
        <v>EA</v>
      </c>
      <c r="I4435">
        <v>0</v>
      </c>
      <c r="J4435">
        <v>0</v>
      </c>
      <c r="K4435" t="str">
        <f t="shared" si="1134"/>
        <v>Y</v>
      </c>
      <c r="L4435">
        <v>0</v>
      </c>
      <c r="M4435" t="str">
        <f t="shared" si="1122"/>
        <v>NIS</v>
      </c>
      <c r="O4435">
        <v>1</v>
      </c>
      <c r="P4435" t="str">
        <f t="shared" si="1137"/>
        <v>Active</v>
      </c>
      <c r="Q4435" t="str">
        <f>"License Key for RoboCell/SCORBASE USB Pro"</f>
        <v>License Key for RoboCell/SCORBASE USB Pro</v>
      </c>
      <c r="R4435" t="str">
        <f>"1"</f>
        <v>1</v>
      </c>
      <c r="S4435" t="str">
        <f>"License Key for RoboCell/SCORBASE USB Pro"</f>
        <v>License Key for RoboCell/SCORBASE USB Pro</v>
      </c>
      <c r="T4435">
        <v>0</v>
      </c>
      <c r="U4435">
        <v>10</v>
      </c>
      <c r="V4435">
        <v>11.1</v>
      </c>
      <c r="W4435" t="str">
        <f t="shared" si="1138"/>
        <v>rob</v>
      </c>
    </row>
    <row r="4436" spans="1:23">
      <c r="A4436" t="str">
        <f>"ROBOCELL ER9P-FL"</f>
        <v>ROBOCELL ER9P-FL</v>
      </c>
      <c r="B4436" t="str">
        <f>"63-9248-0000"</f>
        <v>63-9248-0000</v>
      </c>
      <c r="C4436" t="str">
        <f>"Robotic Software for Controller USB Pro"</f>
        <v>Robotic Software for Controller USB Pro</v>
      </c>
      <c r="D4436">
        <v>1</v>
      </c>
      <c r="E4436" t="str">
        <f>"RoboCell 3D Simulation Software - Scorbot-ER9Pro - First License"</f>
        <v>RoboCell 3D Simulation Software - Scorbot-ER9Pro - First License</v>
      </c>
      <c r="F4436">
        <v>700</v>
      </c>
      <c r="G4436" t="str">
        <f t="shared" si="1133"/>
        <v>Y</v>
      </c>
      <c r="H4436" t="str">
        <f t="shared" si="1139"/>
        <v>EA</v>
      </c>
      <c r="I4436">
        <v>0</v>
      </c>
      <c r="J4436">
        <v>0</v>
      </c>
      <c r="K4436" t="str">
        <f t="shared" si="1134"/>
        <v>Y</v>
      </c>
      <c r="L4436">
        <v>0</v>
      </c>
      <c r="M4436" t="str">
        <f t="shared" ref="M4436:M4499" si="1140">"NIS"</f>
        <v>NIS</v>
      </c>
      <c r="O4436">
        <v>1</v>
      </c>
      <c r="P4436" t="str">
        <f t="shared" si="1137"/>
        <v>Active</v>
      </c>
      <c r="Q4436" t="str">
        <f>"Robotic Software for Controller USB Pro"</f>
        <v>Robotic Software for Controller USB Pro</v>
      </c>
      <c r="S4436" t="str">
        <f>"Robotic Software for Controller USB Pro"</f>
        <v>Robotic Software for Controller USB Pro</v>
      </c>
      <c r="T4436">
        <v>0</v>
      </c>
      <c r="U4436">
        <v>30</v>
      </c>
      <c r="V4436">
        <v>32.17</v>
      </c>
      <c r="W4436" t="str">
        <f t="shared" si="1138"/>
        <v>rob</v>
      </c>
    </row>
    <row r="4437" spans="1:23">
      <c r="A4437" t="str">
        <f>"ROBOCELL ER9P-FL"</f>
        <v>ROBOCELL ER9P-FL</v>
      </c>
      <c r="B4437" t="str">
        <f>"63-7000-1800"</f>
        <v>63-7000-1800</v>
      </c>
      <c r="C4437" t="str">
        <f>"License Key for RoboCell/SCORBASE USB Pro"</f>
        <v>License Key for RoboCell/SCORBASE USB Pro</v>
      </c>
      <c r="D4437">
        <v>1</v>
      </c>
      <c r="E4437" t="str">
        <f>"RoboCell 3D Simulation Software - Scorbot-ER9Pro - First License"</f>
        <v>RoboCell 3D Simulation Software - Scorbot-ER9Pro - First License</v>
      </c>
      <c r="F4437">
        <v>700</v>
      </c>
      <c r="G4437" t="str">
        <f t="shared" si="1133"/>
        <v>Y</v>
      </c>
      <c r="H4437" t="str">
        <f t="shared" si="1139"/>
        <v>EA</v>
      </c>
      <c r="I4437">
        <v>0</v>
      </c>
      <c r="J4437">
        <v>0</v>
      </c>
      <c r="K4437" t="str">
        <f t="shared" si="1134"/>
        <v>Y</v>
      </c>
      <c r="L4437">
        <v>0</v>
      </c>
      <c r="M4437" t="str">
        <f t="shared" si="1140"/>
        <v>NIS</v>
      </c>
      <c r="O4437">
        <v>2</v>
      </c>
      <c r="P4437" t="str">
        <f t="shared" si="1137"/>
        <v>Active</v>
      </c>
      <c r="Q4437" t="str">
        <f>"License Key for RoboCell/SCORBASE USB Pro"</f>
        <v>License Key for RoboCell/SCORBASE USB Pro</v>
      </c>
      <c r="R4437" t="str">
        <f>"1"</f>
        <v>1</v>
      </c>
      <c r="S4437" t="str">
        <f>"License Key for RoboCell/SCORBASE USB Pro"</f>
        <v>License Key for RoboCell/SCORBASE USB Pro</v>
      </c>
      <c r="T4437">
        <v>0</v>
      </c>
      <c r="U4437">
        <v>10</v>
      </c>
      <c r="V4437">
        <v>11.1</v>
      </c>
      <c r="W4437" t="str">
        <f t="shared" si="1138"/>
        <v>rob</v>
      </c>
    </row>
    <row r="4438" spans="1:23">
      <c r="A4438" t="str">
        <f>"S7-1200-TRAINER"</f>
        <v>S7-1200-TRAINER</v>
      </c>
      <c r="B4438" t="str">
        <f>"00-3093-0000"</f>
        <v>00-3093-0000</v>
      </c>
      <c r="C4438" t="str">
        <f>"S7-1200 PLC Trainer Package"</f>
        <v>S7-1200 PLC Trainer Package</v>
      </c>
      <c r="D4438">
        <v>1</v>
      </c>
      <c r="E4438" t="str">
        <f>"S7-1200 PLC Trainer"</f>
        <v>S7-1200 PLC Trainer</v>
      </c>
      <c r="F4438">
        <v>0</v>
      </c>
      <c r="G4438" t="str">
        <f t="shared" si="1133"/>
        <v>Y</v>
      </c>
      <c r="H4438" t="str">
        <f t="shared" si="1139"/>
        <v>EA</v>
      </c>
      <c r="I4438">
        <v>0</v>
      </c>
      <c r="J4438">
        <v>0</v>
      </c>
      <c r="K4438" t="str">
        <f t="shared" si="1134"/>
        <v>Y</v>
      </c>
      <c r="L4438">
        <v>0</v>
      </c>
      <c r="M4438" t="str">
        <f t="shared" si="1140"/>
        <v>NIS</v>
      </c>
      <c r="O4438">
        <v>1</v>
      </c>
      <c r="P4438" t="str">
        <f t="shared" si="1137"/>
        <v>Active</v>
      </c>
      <c r="Q4438" t="str">
        <f>"S7-1200 PLC Trainer Package include stand"</f>
        <v>S7-1200 PLC Trainer Package include stand</v>
      </c>
      <c r="S4438" t="str">
        <f>"S7-1200 PLC Trainer Package include Stand"</f>
        <v>S7-1200 PLC Trainer Package include Stand</v>
      </c>
      <c r="T4438">
        <v>0</v>
      </c>
      <c r="U4438" s="44">
        <v>1300</v>
      </c>
      <c r="V4438" s="44">
        <v>1126.74</v>
      </c>
      <c r="W4438" t="str">
        <f t="shared" si="1138"/>
        <v>rob</v>
      </c>
    </row>
    <row r="4439" spans="1:23">
      <c r="A4439" t="str">
        <f>"SAFETY-GUARD-01"</f>
        <v>SAFETY-GUARD-01</v>
      </c>
      <c r="B4439" t="str">
        <f>"10-2116-7000"</f>
        <v>10-2116-7000</v>
      </c>
      <c r="C4439" t="str">
        <f>"Safety Shield 1500x885x,H=1040mm (Table 001249)"</f>
        <v>Safety Shield 1500x885x,H=1040mm (Table 001249)</v>
      </c>
      <c r="D4439">
        <v>1</v>
      </c>
      <c r="E4439" t="str">
        <f>"Interlocked Barrier Guard for robot on table 001249"</f>
        <v>Interlocked Barrier Guard for robot on table 001249</v>
      </c>
      <c r="F4439">
        <v>570</v>
      </c>
      <c r="G4439" t="str">
        <f t="shared" si="1133"/>
        <v>Y</v>
      </c>
      <c r="H4439" t="str">
        <f t="shared" si="1139"/>
        <v>EA</v>
      </c>
      <c r="I4439">
        <v>0</v>
      </c>
      <c r="J4439">
        <v>0</v>
      </c>
      <c r="K4439" t="str">
        <f t="shared" si="1134"/>
        <v>Y</v>
      </c>
      <c r="L4439">
        <v>0</v>
      </c>
      <c r="M4439" t="str">
        <f t="shared" si="1140"/>
        <v>NIS</v>
      </c>
      <c r="O4439">
        <v>1</v>
      </c>
      <c r="P4439" t="str">
        <f>"ECO-N2Buy"</f>
        <v>ECO-N2Buy</v>
      </c>
      <c r="Q4439" t="str">
        <f>"Safety Shield 1500x885x1040mm (Table 001249)"</f>
        <v>Safety Shield 1500x885x1040mm (Table 001249)</v>
      </c>
      <c r="S4439" t="str">
        <f>"Safety Shield 1500x885,H=1040mm (Table 001249)"</f>
        <v>Safety Shield 1500x885,H=1040mm (Table 001249)</v>
      </c>
      <c r="T4439">
        <v>0</v>
      </c>
      <c r="U4439" s="44">
        <v>1500</v>
      </c>
      <c r="V4439" s="44">
        <v>1043.8499999999999</v>
      </c>
      <c r="W4439" t="str">
        <f t="shared" si="1138"/>
        <v>rob</v>
      </c>
    </row>
    <row r="4440" spans="1:23">
      <c r="A4440" t="str">
        <f>"SAFETY-GUARD-02"</f>
        <v>SAFETY-GUARD-02</v>
      </c>
      <c r="B4440" t="str">
        <f>"10-2117-1000"</f>
        <v>10-2117-1000</v>
      </c>
      <c r="C4440" t="str">
        <f>"Safety shield 1500x1100,H=1000mm/ table 001293"</f>
        <v>Safety shield 1500x1100,H=1000mm/ table 001293</v>
      </c>
      <c r="D4440">
        <v>1</v>
      </c>
      <c r="E4440" t="str">
        <f>"Interlocked Barrier Guard for robot on table 001293"</f>
        <v>Interlocked Barrier Guard for robot on table 001293</v>
      </c>
      <c r="F4440">
        <v>570</v>
      </c>
      <c r="G4440" t="str">
        <f t="shared" si="1133"/>
        <v>Y</v>
      </c>
      <c r="H4440" t="str">
        <f t="shared" si="1139"/>
        <v>EA</v>
      </c>
      <c r="I4440">
        <v>0</v>
      </c>
      <c r="J4440">
        <v>0</v>
      </c>
      <c r="K4440" t="str">
        <f t="shared" si="1134"/>
        <v>Y</v>
      </c>
      <c r="L4440">
        <v>0</v>
      </c>
      <c r="M4440" t="str">
        <f t="shared" si="1140"/>
        <v>NIS</v>
      </c>
      <c r="O4440">
        <v>1</v>
      </c>
      <c r="P4440" t="str">
        <f t="shared" ref="P4440:P4471" si="1141">"Active"</f>
        <v>Active</v>
      </c>
      <c r="Q4440" t="str">
        <f>"Safety shield 1500x1100,H=1000mm/ table 001293"</f>
        <v>Safety shield 1500x1100,H=1000mm/ table 001293</v>
      </c>
      <c r="S4440" t="str">
        <f>"מכלול הגנה(1500x1100,H=1000mm)לשולחן 001293"</f>
        <v>מכלול הגנה(1500x1100,H=1000mm)לשולחן 001293</v>
      </c>
      <c r="T4440">
        <v>0</v>
      </c>
      <c r="U4440">
        <v>650</v>
      </c>
      <c r="V4440" s="44">
        <v>1125.54</v>
      </c>
      <c r="W4440" t="str">
        <f t="shared" si="1138"/>
        <v>rob</v>
      </c>
    </row>
    <row r="4441" spans="1:23">
      <c r="A4441" t="str">
        <f>"SAFETY-LIGHTB-01"</f>
        <v>SAFETY-LIGHTB-01</v>
      </c>
      <c r="B4441" t="str">
        <f>"10-2105-3000"</f>
        <v>10-2105-3000</v>
      </c>
      <c r="C4441" t="str">
        <f>"Awareness Barrier Device"</f>
        <v>Awareness Barrier Device</v>
      </c>
      <c r="D4441">
        <v>1</v>
      </c>
      <c r="E4441" t="str">
        <f>"Awareness Barrier &amp; 1 Transmiter/Receiver"</f>
        <v>Awareness Barrier &amp; 1 Transmiter/Receiver</v>
      </c>
      <c r="F4441">
        <v>570</v>
      </c>
      <c r="G4441" t="str">
        <f t="shared" si="1133"/>
        <v>Y</v>
      </c>
      <c r="H4441" t="str">
        <f t="shared" si="1139"/>
        <v>EA</v>
      </c>
      <c r="I4441">
        <v>0</v>
      </c>
      <c r="J4441">
        <v>0</v>
      </c>
      <c r="K4441" t="str">
        <f t="shared" si="1134"/>
        <v>Y</v>
      </c>
      <c r="L4441">
        <v>0</v>
      </c>
      <c r="M4441" t="str">
        <f t="shared" si="1140"/>
        <v>NIS</v>
      </c>
      <c r="O4441">
        <v>1</v>
      </c>
      <c r="P4441" t="str">
        <f t="shared" si="1141"/>
        <v>Active</v>
      </c>
      <c r="Q4441" t="str">
        <f>"Awareness Barrier Device"</f>
        <v>Awareness Barrier Device</v>
      </c>
      <c r="S4441" t="str">
        <f>"Awareness Barrier Device"</f>
        <v>Awareness Barrier Device</v>
      </c>
      <c r="T4441">
        <v>0</v>
      </c>
      <c r="U4441" s="44">
        <v>1696.21</v>
      </c>
      <c r="V4441" s="44">
        <v>2006.81</v>
      </c>
      <c r="W4441" t="str">
        <f t="shared" si="1138"/>
        <v>rob</v>
      </c>
    </row>
    <row r="4442" spans="1:23">
      <c r="A4442" t="str">
        <f>"SCORBASE ACL"</f>
        <v>SCORBASE ACL</v>
      </c>
      <c r="B4442" t="str">
        <f>"63-9242-0000"</f>
        <v>63-9242-0000</v>
      </c>
      <c r="C4442" t="str">
        <f>"Robotic Software for Controller ACL (A&amp;B)"</f>
        <v>Robotic Software for Controller ACL (A&amp;B)</v>
      </c>
      <c r="D4442">
        <v>1</v>
      </c>
      <c r="E4442" t="str">
        <f>"SCORBASE Software for ACL Controllers - Scorbot-ER5Plus / ER7/ ER9 Robots"</f>
        <v>SCORBASE Software for ACL Controllers - Scorbot-ER5Plus / ER7/ ER9 Robots</v>
      </c>
      <c r="F4442">
        <v>802</v>
      </c>
      <c r="G4442" t="str">
        <f t="shared" si="1133"/>
        <v>Y</v>
      </c>
      <c r="H4442" t="str">
        <f t="shared" si="1139"/>
        <v>EA</v>
      </c>
      <c r="I4442">
        <v>0</v>
      </c>
      <c r="J4442">
        <v>0</v>
      </c>
      <c r="K4442" t="str">
        <f t="shared" si="1134"/>
        <v>Y</v>
      </c>
      <c r="L4442">
        <v>0</v>
      </c>
      <c r="M4442" t="str">
        <f t="shared" si="1140"/>
        <v>NIS</v>
      </c>
      <c r="O4442">
        <v>1</v>
      </c>
      <c r="P4442" t="str">
        <f t="shared" si="1141"/>
        <v>Active</v>
      </c>
      <c r="Q4442" t="str">
        <f>"Robotic Software for Controller ACL (A&amp;B)"</f>
        <v>Robotic Software for Controller ACL (A&amp;B)</v>
      </c>
      <c r="S4442" t="str">
        <f>"Robotic Software for Controller ACL (A&amp;B)"</f>
        <v>Robotic Software for Controller ACL (A&amp;B)</v>
      </c>
      <c r="T4442">
        <v>0</v>
      </c>
      <c r="U4442">
        <v>22.07</v>
      </c>
      <c r="V4442">
        <v>34.4</v>
      </c>
      <c r="W4442" t="str">
        <f t="shared" si="1138"/>
        <v>rob</v>
      </c>
    </row>
    <row r="4443" spans="1:23">
      <c r="A4443" t="str">
        <f>"SCORBASE ACL"</f>
        <v>SCORBASE ACL</v>
      </c>
      <c r="B4443" t="str">
        <f>"63-7000-0500"</f>
        <v>63-7000-0500</v>
      </c>
      <c r="C4443" t="str">
        <f>"License Key for SCORBASE ACL Software"</f>
        <v>License Key for SCORBASE ACL Software</v>
      </c>
      <c r="D4443">
        <v>1</v>
      </c>
      <c r="E4443" t="str">
        <f>"SCORBASE Software for ACL Controllers - Scorbot-ER5Plus / ER7/ ER9 Robots"</f>
        <v>SCORBASE Software for ACL Controllers - Scorbot-ER5Plus / ER7/ ER9 Robots</v>
      </c>
      <c r="F4443">
        <v>802</v>
      </c>
      <c r="G4443" t="str">
        <f t="shared" si="1133"/>
        <v>Y</v>
      </c>
      <c r="H4443" t="str">
        <f t="shared" si="1139"/>
        <v>EA</v>
      </c>
      <c r="I4443">
        <v>0</v>
      </c>
      <c r="J4443">
        <v>0</v>
      </c>
      <c r="K4443" t="str">
        <f t="shared" si="1134"/>
        <v>Y</v>
      </c>
      <c r="L4443">
        <v>0</v>
      </c>
      <c r="M4443" t="str">
        <f t="shared" si="1140"/>
        <v>NIS</v>
      </c>
      <c r="O4443">
        <v>2</v>
      </c>
      <c r="P4443" t="str">
        <f t="shared" si="1141"/>
        <v>Active</v>
      </c>
      <c r="Q4443" t="str">
        <f>"License Key for SCORBASE ACL Software"</f>
        <v>License Key for SCORBASE ACL Software</v>
      </c>
      <c r="R4443" t="str">
        <f>"1"</f>
        <v>1</v>
      </c>
      <c r="S4443" t="str">
        <f>"License Key for SCORBASE ACL Software"</f>
        <v>License Key for SCORBASE ACL Software</v>
      </c>
      <c r="T4443">
        <v>0</v>
      </c>
      <c r="U4443">
        <v>1.2</v>
      </c>
      <c r="V4443">
        <v>1.33</v>
      </c>
      <c r="W4443" t="str">
        <f t="shared" si="1138"/>
        <v>rob</v>
      </c>
    </row>
    <row r="4444" spans="1:23">
      <c r="A4444" t="str">
        <f>"SENSORLINE PANEL"</f>
        <v>SENSORLINE PANEL</v>
      </c>
      <c r="B4444" t="str">
        <f>"00-3014-0000"</f>
        <v>00-3014-0000</v>
      </c>
      <c r="C4444" t="str">
        <f>"SensorLine - Sensor Technology Training Panel"</f>
        <v>SensorLine - Sensor Technology Training Panel</v>
      </c>
      <c r="D4444">
        <v>1</v>
      </c>
      <c r="E4444" t="str">
        <f>"SensorLine- Sensors Technology Training Panel"</f>
        <v>SensorLine- Sensors Technology Training Panel</v>
      </c>
      <c r="F4444">
        <v>810</v>
      </c>
      <c r="G4444" t="str">
        <f t="shared" si="1133"/>
        <v>Y</v>
      </c>
      <c r="H4444" t="str">
        <f t="shared" si="1139"/>
        <v>EA</v>
      </c>
      <c r="I4444">
        <v>0</v>
      </c>
      <c r="J4444">
        <v>0</v>
      </c>
      <c r="K4444" t="str">
        <f t="shared" si="1134"/>
        <v>Y</v>
      </c>
      <c r="L4444">
        <v>0</v>
      </c>
      <c r="M4444" t="str">
        <f t="shared" si="1140"/>
        <v>NIS</v>
      </c>
      <c r="O4444">
        <v>1</v>
      </c>
      <c r="P4444" t="str">
        <f t="shared" si="1141"/>
        <v>Active</v>
      </c>
      <c r="Q4444" t="str">
        <f>"SensorLine Panel package"</f>
        <v>SensorLine Panel package</v>
      </c>
      <c r="S4444" t="str">
        <f>"SensorLine Panel package"</f>
        <v>SensorLine Panel package</v>
      </c>
      <c r="T4444">
        <v>0</v>
      </c>
      <c r="U4444" s="44">
        <v>1290.24</v>
      </c>
      <c r="V4444" s="44">
        <v>1319.79</v>
      </c>
      <c r="W4444" t="str">
        <f t="shared" si="1138"/>
        <v>rob</v>
      </c>
    </row>
    <row r="4445" spans="1:23">
      <c r="A4445" t="str">
        <f>"SENSORLINE-OPT"</f>
        <v>SENSORLINE-OPT</v>
      </c>
      <c r="B4445" t="str">
        <f>"10-4029-4000"</f>
        <v>10-4029-4000</v>
      </c>
      <c r="C4445" t="str">
        <f>"Sensor, Optic diffuse NPN,  SensorLine"</f>
        <v>Sensor, Optic diffuse NPN,  SensorLine</v>
      </c>
      <c r="D4445">
        <v>1</v>
      </c>
      <c r="E4445" t="str">
        <f>"SensorLine - Optional Additional sensors"</f>
        <v>SensorLine - Optional Additional sensors</v>
      </c>
      <c r="F4445">
        <v>810</v>
      </c>
      <c r="G4445" t="str">
        <f t="shared" si="1133"/>
        <v>Y</v>
      </c>
      <c r="H4445" t="str">
        <f t="shared" si="1139"/>
        <v>EA</v>
      </c>
      <c r="I4445">
        <v>0</v>
      </c>
      <c r="J4445">
        <v>0</v>
      </c>
      <c r="K4445" t="str">
        <f t="shared" si="1134"/>
        <v>Y</v>
      </c>
      <c r="L4445">
        <v>0</v>
      </c>
      <c r="M4445" t="str">
        <f t="shared" si="1140"/>
        <v>NIS</v>
      </c>
      <c r="O4445">
        <v>1</v>
      </c>
      <c r="P4445" t="str">
        <f t="shared" si="1141"/>
        <v>Active</v>
      </c>
      <c r="Q4445" t="str">
        <f>"Sensor, Optic diffuse NPN,  SensorLine"</f>
        <v>Sensor, Optic diffuse NPN,  SensorLine</v>
      </c>
      <c r="S4445" t="str">
        <f>"Sensor, Optic diffuse NPN,  SensorLine"</f>
        <v>Sensor, Optic diffuse NPN,  SensorLine</v>
      </c>
      <c r="T4445">
        <v>0</v>
      </c>
      <c r="U4445">
        <v>50.95</v>
      </c>
      <c r="V4445">
        <v>72.16</v>
      </c>
      <c r="W4445" t="str">
        <f t="shared" si="1138"/>
        <v>rob</v>
      </c>
    </row>
    <row r="4446" spans="1:23">
      <c r="A4446" t="str">
        <f>"SENSORLINE-OPT"</f>
        <v>SENSORLINE-OPT</v>
      </c>
      <c r="B4446" t="str">
        <f>"10-4029-3000"</f>
        <v>10-4029-3000</v>
      </c>
      <c r="C4446" t="str">
        <f>"Sensor, Capacitive NPN,  SensorLine"</f>
        <v>Sensor, Capacitive NPN,  SensorLine</v>
      </c>
      <c r="D4446">
        <v>1</v>
      </c>
      <c r="E4446" t="str">
        <f>"SensorLine - Optional Additional sensors"</f>
        <v>SensorLine - Optional Additional sensors</v>
      </c>
      <c r="F4446">
        <v>810</v>
      </c>
      <c r="G4446" t="str">
        <f t="shared" si="1133"/>
        <v>Y</v>
      </c>
      <c r="H4446" t="str">
        <f t="shared" si="1139"/>
        <v>EA</v>
      </c>
      <c r="I4446">
        <v>0</v>
      </c>
      <c r="J4446">
        <v>0</v>
      </c>
      <c r="K4446" t="str">
        <f t="shared" si="1134"/>
        <v>Y</v>
      </c>
      <c r="L4446">
        <v>0</v>
      </c>
      <c r="M4446" t="str">
        <f t="shared" si="1140"/>
        <v>NIS</v>
      </c>
      <c r="O4446">
        <v>2</v>
      </c>
      <c r="P4446" t="str">
        <f t="shared" si="1141"/>
        <v>Active</v>
      </c>
      <c r="Q4446" t="str">
        <f>"Sensor, Capacitive NPN,  SensorLine"</f>
        <v>Sensor, Capacitive NPN,  SensorLine</v>
      </c>
      <c r="S4446" t="str">
        <f>"Sensor, Capacitive NPN,  SensorLine"</f>
        <v>Sensor, Capacitive NPN,  SensorLine</v>
      </c>
      <c r="T4446">
        <v>0</v>
      </c>
      <c r="U4446">
        <v>64.95</v>
      </c>
      <c r="V4446">
        <v>76.540000000000006</v>
      </c>
      <c r="W4446" t="str">
        <f t="shared" si="1138"/>
        <v>rob</v>
      </c>
    </row>
    <row r="4447" spans="1:23">
      <c r="A4447" t="str">
        <f>"SENSORLINE-OPT"</f>
        <v>SENSORLINE-OPT</v>
      </c>
      <c r="B4447" t="str">
        <f>"10-4029-5000"</f>
        <v>10-4029-5000</v>
      </c>
      <c r="C4447" t="str">
        <f>"Temp.Sensor, Assembly, SensorLine"</f>
        <v>Temp.Sensor, Assembly, SensorLine</v>
      </c>
      <c r="D4447">
        <v>1</v>
      </c>
      <c r="E4447" t="str">
        <f>"SensorLine - Optional Additional sensors"</f>
        <v>SensorLine - Optional Additional sensors</v>
      </c>
      <c r="F4447">
        <v>810</v>
      </c>
      <c r="G4447" t="str">
        <f t="shared" si="1133"/>
        <v>Y</v>
      </c>
      <c r="H4447" t="str">
        <f t="shared" si="1139"/>
        <v>EA</v>
      </c>
      <c r="I4447">
        <v>0</v>
      </c>
      <c r="J4447">
        <v>0</v>
      </c>
      <c r="K4447" t="str">
        <f t="shared" si="1134"/>
        <v>Y</v>
      </c>
      <c r="L4447">
        <v>0</v>
      </c>
      <c r="M4447" t="str">
        <f t="shared" si="1140"/>
        <v>NIS</v>
      </c>
      <c r="O4447">
        <v>3</v>
      </c>
      <c r="P4447" t="str">
        <f t="shared" si="1141"/>
        <v>Active</v>
      </c>
      <c r="Q4447" t="str">
        <f>"Temp.Sensor,   Assembly, SensorLine"</f>
        <v>Temp.Sensor,   Assembly, SensorLine</v>
      </c>
      <c r="S4447" t="str">
        <f>"Temp.Sensor,   Assembly, SensorLine"</f>
        <v>Temp.Sensor,   Assembly, SensorLine</v>
      </c>
      <c r="T4447">
        <v>0</v>
      </c>
      <c r="U4447">
        <v>58.31</v>
      </c>
      <c r="V4447">
        <v>72.040000000000006</v>
      </c>
      <c r="W4447" t="str">
        <f t="shared" si="1138"/>
        <v>rob</v>
      </c>
    </row>
    <row r="4448" spans="1:23">
      <c r="A4448" t="str">
        <f t="shared" ref="A4448:A4454" si="1142">"SMARTHOME CLASS"</f>
        <v>SMARTHOME CLASS</v>
      </c>
      <c r="B4448" t="str">
        <f>"00-5801-0001"</f>
        <v>00-5801-0001</v>
      </c>
      <c r="C4448" t="str">
        <f>"SmartHome Trainer Kit (Smart Classroom)"</f>
        <v>SmartHome Trainer Kit (Smart Classroom)</v>
      </c>
      <c r="D4448">
        <v>1</v>
      </c>
      <c r="E4448" t="str">
        <f t="shared" ref="E4448:E4454" si="1143">"SMARTHOME Classroom"</f>
        <v>SMARTHOME Classroom</v>
      </c>
      <c r="F4448">
        <v>600</v>
      </c>
      <c r="G4448" t="str">
        <f t="shared" si="1133"/>
        <v>Y</v>
      </c>
      <c r="H4448" t="str">
        <f t="shared" si="1139"/>
        <v>EA</v>
      </c>
      <c r="I4448">
        <v>0</v>
      </c>
      <c r="J4448">
        <v>0</v>
      </c>
      <c r="K4448" t="str">
        <f t="shared" si="1134"/>
        <v>Y</v>
      </c>
      <c r="L4448">
        <v>0</v>
      </c>
      <c r="M4448" t="str">
        <f t="shared" si="1140"/>
        <v>NIS</v>
      </c>
      <c r="O4448">
        <v>1</v>
      </c>
      <c r="P4448" t="str">
        <f t="shared" si="1141"/>
        <v>Active</v>
      </c>
      <c r="Q4448" t="str">
        <f>"SmartHome Trainer Kit (Smart Classroom)"</f>
        <v>SmartHome Trainer Kit (Smart Classroom)</v>
      </c>
      <c r="S4448" t="str">
        <f>"SmartHome Trainer Kit (Smart Classroom)"</f>
        <v>SmartHome Trainer Kit (Smart Classroom)</v>
      </c>
      <c r="T4448">
        <v>0</v>
      </c>
      <c r="U4448" s="44">
        <v>2647.66</v>
      </c>
      <c r="V4448" s="44">
        <v>2753.57</v>
      </c>
      <c r="W4448" t="str">
        <f t="shared" si="1138"/>
        <v>rob</v>
      </c>
    </row>
    <row r="4449" spans="1:23">
      <c r="A4449" t="str">
        <f t="shared" si="1142"/>
        <v>SMARTHOME CLASS</v>
      </c>
      <c r="B4449" t="str">
        <f>"00-5801-0002"</f>
        <v>00-5801-0002</v>
      </c>
      <c r="C4449" t="str">
        <f>"SmartHome Trainer Kit (Suitcase)"</f>
        <v>SmartHome Trainer Kit (Suitcase)</v>
      </c>
      <c r="D4449">
        <v>11</v>
      </c>
      <c r="E4449" t="str">
        <f t="shared" si="1143"/>
        <v>SMARTHOME Classroom</v>
      </c>
      <c r="F4449">
        <v>600</v>
      </c>
      <c r="G4449" t="str">
        <f t="shared" si="1133"/>
        <v>Y</v>
      </c>
      <c r="H4449" t="str">
        <f t="shared" si="1139"/>
        <v>EA</v>
      </c>
      <c r="I4449">
        <v>0</v>
      </c>
      <c r="J4449">
        <v>0</v>
      </c>
      <c r="K4449" t="str">
        <f t="shared" si="1134"/>
        <v>Y</v>
      </c>
      <c r="L4449">
        <v>0</v>
      </c>
      <c r="M4449" t="str">
        <f t="shared" si="1140"/>
        <v>NIS</v>
      </c>
      <c r="O4449">
        <v>2</v>
      </c>
      <c r="P4449" t="str">
        <f t="shared" si="1141"/>
        <v>Active</v>
      </c>
      <c r="Q4449" t="str">
        <f>"SmartHome Trainer Kit (Suitcase)"</f>
        <v>SmartHome Trainer Kit (Suitcase)</v>
      </c>
      <c r="S4449" t="str">
        <f>"SmartHome Trainer Kit (Suitcase)"</f>
        <v>SmartHome Trainer Kit (Suitcase)</v>
      </c>
      <c r="T4449">
        <v>0</v>
      </c>
      <c r="U4449" s="44">
        <v>1668.02</v>
      </c>
      <c r="V4449" s="44">
        <v>1734.74</v>
      </c>
      <c r="W4449" t="str">
        <f t="shared" si="1138"/>
        <v>rob</v>
      </c>
    </row>
    <row r="4450" spans="1:23">
      <c r="A4450" t="str">
        <f t="shared" si="1142"/>
        <v>SMARTHOME CLASS</v>
      </c>
      <c r="B4450" t="str">
        <f>"00-5801-0003"</f>
        <v>00-5801-0003</v>
      </c>
      <c r="C4450" t="str">
        <f>"SmartHome Training Material (Installer)"</f>
        <v>SmartHome Training Material (Installer)</v>
      </c>
      <c r="D4450">
        <v>1</v>
      </c>
      <c r="E4450" t="str">
        <f t="shared" si="1143"/>
        <v>SMARTHOME Classroom</v>
      </c>
      <c r="F4450">
        <v>600</v>
      </c>
      <c r="G4450" t="str">
        <f t="shared" si="1133"/>
        <v>Y</v>
      </c>
      <c r="H4450" t="str">
        <f t="shared" si="1139"/>
        <v>EA</v>
      </c>
      <c r="I4450">
        <v>0</v>
      </c>
      <c r="J4450">
        <v>0</v>
      </c>
      <c r="K4450" t="str">
        <f t="shared" si="1134"/>
        <v>Y</v>
      </c>
      <c r="L4450">
        <v>0</v>
      </c>
      <c r="M4450" t="str">
        <f t="shared" si="1140"/>
        <v>NIS</v>
      </c>
      <c r="O4450">
        <v>3</v>
      </c>
      <c r="P4450" t="str">
        <f t="shared" si="1141"/>
        <v>Active</v>
      </c>
      <c r="Q4450" t="str">
        <f>"SmartHome Training Material (Installer)"</f>
        <v>SmartHome Training Material (Installer)</v>
      </c>
      <c r="S4450" t="str">
        <f>"SmartHome Training Material (Installer)"</f>
        <v>SmartHome Training Material (Installer)</v>
      </c>
      <c r="T4450">
        <v>0</v>
      </c>
      <c r="U4450" s="44">
        <v>7678.21</v>
      </c>
      <c r="V4450" s="44">
        <v>7985.34</v>
      </c>
      <c r="W4450" t="str">
        <f t="shared" si="1138"/>
        <v>rob</v>
      </c>
    </row>
    <row r="4451" spans="1:23">
      <c r="A4451" t="str">
        <f t="shared" si="1142"/>
        <v>SMARTHOME CLASS</v>
      </c>
      <c r="B4451" t="str">
        <f>"00-5801-0004"</f>
        <v>00-5801-0004</v>
      </c>
      <c r="C4451" t="str">
        <f>"SmartHome Training Material (Programmer)"</f>
        <v>SmartHome Training Material (Programmer)</v>
      </c>
      <c r="D4451">
        <v>1</v>
      </c>
      <c r="E4451" t="str">
        <f t="shared" si="1143"/>
        <v>SMARTHOME Classroom</v>
      </c>
      <c r="F4451">
        <v>600</v>
      </c>
      <c r="G4451" t="str">
        <f t="shared" si="1133"/>
        <v>Y</v>
      </c>
      <c r="H4451" t="str">
        <f t="shared" si="1139"/>
        <v>EA</v>
      </c>
      <c r="I4451">
        <v>0</v>
      </c>
      <c r="J4451">
        <v>0</v>
      </c>
      <c r="K4451" t="str">
        <f t="shared" si="1134"/>
        <v>Y</v>
      </c>
      <c r="L4451">
        <v>0</v>
      </c>
      <c r="M4451" t="str">
        <f t="shared" si="1140"/>
        <v>NIS</v>
      </c>
      <c r="O4451">
        <v>4</v>
      </c>
      <c r="P4451" t="str">
        <f t="shared" si="1141"/>
        <v>Active</v>
      </c>
      <c r="Q4451" t="str">
        <f>"SmartHome Training Material (Programmer)"</f>
        <v>SmartHome Training Material (Programmer)</v>
      </c>
      <c r="S4451" t="str">
        <f>"SmartHome Training Material (Programmer)"</f>
        <v>SmartHome Training Material (Programmer)</v>
      </c>
      <c r="T4451">
        <v>0</v>
      </c>
      <c r="U4451" s="44">
        <v>5824.85</v>
      </c>
      <c r="V4451" s="44">
        <v>6057.84</v>
      </c>
      <c r="W4451" t="str">
        <f t="shared" si="1138"/>
        <v>rob</v>
      </c>
    </row>
    <row r="4452" spans="1:23">
      <c r="A4452" t="str">
        <f t="shared" si="1142"/>
        <v>SMARTHOME CLASS</v>
      </c>
      <c r="B4452" t="str">
        <f>"50-0094-0000"</f>
        <v>50-0094-0000</v>
      </c>
      <c r="C4452" t="str">
        <f>"Pre-Engineering, Design and Testing"</f>
        <v>Pre-Engineering, Design and Testing</v>
      </c>
      <c r="D4452">
        <v>5</v>
      </c>
      <c r="E4452" t="str">
        <f t="shared" si="1143"/>
        <v>SMARTHOME Classroom</v>
      </c>
      <c r="F4452">
        <v>600</v>
      </c>
      <c r="G4452" t="str">
        <f t="shared" si="1133"/>
        <v>Y</v>
      </c>
      <c r="H4452" t="str">
        <f>"DA"</f>
        <v>DA</v>
      </c>
      <c r="I4452">
        <v>0</v>
      </c>
      <c r="J4452">
        <v>0</v>
      </c>
      <c r="K4452" t="str">
        <f t="shared" si="1134"/>
        <v>Y</v>
      </c>
      <c r="L4452">
        <v>0</v>
      </c>
      <c r="M4452" t="str">
        <f t="shared" si="1140"/>
        <v>NIS</v>
      </c>
      <c r="O4452">
        <v>5</v>
      </c>
      <c r="P4452" t="str">
        <f t="shared" si="1141"/>
        <v>Active</v>
      </c>
      <c r="Q4452" t="str">
        <f>"Pre-Engineering, Design and Testing"</f>
        <v>Pre-Engineering, Design and Testing</v>
      </c>
      <c r="S4452" t="str">
        <f>"Pre-Engineering, Design and Testing"</f>
        <v>Pre-Engineering, Design and Testing</v>
      </c>
      <c r="T4452">
        <v>0</v>
      </c>
      <c r="U4452">
        <v>405</v>
      </c>
      <c r="V4452">
        <v>421.2</v>
      </c>
      <c r="W4452" t="str">
        <f t="shared" si="1138"/>
        <v>rob</v>
      </c>
    </row>
    <row r="4453" spans="1:23">
      <c r="A4453" t="str">
        <f t="shared" si="1142"/>
        <v>SMARTHOME CLASS</v>
      </c>
      <c r="B4453" t="str">
        <f>"50-0095-0000"</f>
        <v>50-0095-0000</v>
      </c>
      <c r="C4453" t="str">
        <f>"Installation at Customer Site"</f>
        <v>Installation at Customer Site</v>
      </c>
      <c r="D4453">
        <v>5</v>
      </c>
      <c r="E4453" t="str">
        <f t="shared" si="1143"/>
        <v>SMARTHOME Classroom</v>
      </c>
      <c r="F4453">
        <v>600</v>
      </c>
      <c r="G4453" t="str">
        <f t="shared" si="1133"/>
        <v>Y</v>
      </c>
      <c r="H4453" t="str">
        <f>"DA"</f>
        <v>DA</v>
      </c>
      <c r="I4453">
        <v>0</v>
      </c>
      <c r="J4453">
        <v>0</v>
      </c>
      <c r="K4453" t="str">
        <f t="shared" si="1134"/>
        <v>Y</v>
      </c>
      <c r="L4453">
        <v>0</v>
      </c>
      <c r="M4453" t="str">
        <f t="shared" si="1140"/>
        <v>NIS</v>
      </c>
      <c r="O4453">
        <v>6</v>
      </c>
      <c r="P4453" t="str">
        <f t="shared" si="1141"/>
        <v>Active</v>
      </c>
      <c r="Q4453" t="str">
        <f>"Installation at Customer Site (Days)"</f>
        <v>Installation at Customer Site (Days)</v>
      </c>
      <c r="S4453" t="str">
        <f>"Installation at Customer Site (Days)"</f>
        <v>Installation at Customer Site (Days)</v>
      </c>
      <c r="T4453">
        <v>0</v>
      </c>
      <c r="U4453">
        <v>864</v>
      </c>
      <c r="V4453">
        <v>898.56</v>
      </c>
      <c r="W4453" t="str">
        <f t="shared" si="1138"/>
        <v>rob</v>
      </c>
    </row>
    <row r="4454" spans="1:23">
      <c r="A4454" t="str">
        <f t="shared" si="1142"/>
        <v>SMARTHOME CLASS</v>
      </c>
      <c r="B4454" t="str">
        <f>"50-0096-0000"</f>
        <v>50-0096-0000</v>
      </c>
      <c r="C4454" t="str">
        <f>"Training at Customer Site (Days)"</f>
        <v>Training at Customer Site (Days)</v>
      </c>
      <c r="D4454">
        <v>5</v>
      </c>
      <c r="E4454" t="str">
        <f t="shared" si="1143"/>
        <v>SMARTHOME Classroom</v>
      </c>
      <c r="F4454">
        <v>600</v>
      </c>
      <c r="G4454" t="str">
        <f t="shared" si="1133"/>
        <v>Y</v>
      </c>
      <c r="H4454" t="str">
        <f>"DA"</f>
        <v>DA</v>
      </c>
      <c r="I4454">
        <v>0</v>
      </c>
      <c r="J4454">
        <v>0</v>
      </c>
      <c r="K4454" t="str">
        <f t="shared" si="1134"/>
        <v>Y</v>
      </c>
      <c r="L4454">
        <v>0</v>
      </c>
      <c r="M4454" t="str">
        <f t="shared" si="1140"/>
        <v>NIS</v>
      </c>
      <c r="O4454">
        <v>7</v>
      </c>
      <c r="P4454" t="str">
        <f t="shared" si="1141"/>
        <v>Active</v>
      </c>
      <c r="Q4454" t="str">
        <f>"Training at Customer Site (Days)"</f>
        <v>Training at Customer Site (Days)</v>
      </c>
      <c r="S4454" t="str">
        <f>"Training at Customer Site (Days)"</f>
        <v>Training at Customer Site (Days)</v>
      </c>
      <c r="T4454">
        <v>0</v>
      </c>
      <c r="U4454">
        <v>864</v>
      </c>
      <c r="V4454">
        <v>898.56</v>
      </c>
      <c r="W4454" t="str">
        <f t="shared" si="1138"/>
        <v>rob</v>
      </c>
    </row>
    <row r="4455" spans="1:23">
      <c r="A4455" t="str">
        <f>"SOL-LMT-COL LMS"</f>
        <v>SOL-LMT-COL LMS</v>
      </c>
      <c r="B4455" t="str">
        <f>"0S8286-2"</f>
        <v>0S8286-2</v>
      </c>
      <c r="C4455" t="str">
        <f>"LM_Content LMSvirS-Using Solido sdview software2"</f>
        <v>LM_Content LMSvirS-Using Solido sdview software2</v>
      </c>
      <c r="D4455">
        <v>1</v>
      </c>
      <c r="E4455" t="str">
        <f>"LearMate Content (School License on LMS) - Rapid prototyping"</f>
        <v>LearMate Content (School License on LMS) - Rapid prototyping</v>
      </c>
      <c r="F4455">
        <v>804</v>
      </c>
      <c r="G4455" t="str">
        <f t="shared" si="1133"/>
        <v>Y</v>
      </c>
      <c r="H4455" t="str">
        <f t="shared" ref="H4455:H4486" si="1144">"EA"</f>
        <v>EA</v>
      </c>
      <c r="I4455">
        <v>0</v>
      </c>
      <c r="J4455">
        <v>0</v>
      </c>
      <c r="K4455" t="str">
        <f t="shared" si="1134"/>
        <v>Y</v>
      </c>
      <c r="L4455">
        <v>0</v>
      </c>
      <c r="M4455" t="str">
        <f t="shared" si="1140"/>
        <v>NIS</v>
      </c>
      <c r="O4455">
        <v>1</v>
      </c>
      <c r="P4455" t="str">
        <f t="shared" si="1141"/>
        <v>Active</v>
      </c>
      <c r="Q4455" t="str">
        <f>"LM_Content LMSvirS-Using Solido sdview software2"</f>
        <v>LM_Content LMSvirS-Using Solido sdview software2</v>
      </c>
      <c r="S4455" t="str">
        <f>"LM_Content LMSvirS-Using Solido sdview software2"</f>
        <v>LM_Content LMSvirS-Using Solido sdview software2</v>
      </c>
      <c r="T4455">
        <v>0</v>
      </c>
      <c r="U4455">
        <v>30.65</v>
      </c>
      <c r="V4455">
        <v>35.840000000000003</v>
      </c>
      <c r="W4455" t="str">
        <f t="shared" si="1138"/>
        <v>rob</v>
      </c>
    </row>
    <row r="4456" spans="1:23">
      <c r="A4456" t="str">
        <f>"SOL-LMT-COL LMS"</f>
        <v>SOL-LMT-COL LMS</v>
      </c>
      <c r="B4456" t="str">
        <f>"0S8288-2"</f>
        <v>0S8288-2</v>
      </c>
      <c r="C4456" t="str">
        <f>"LM_ContentLMS Vir.S-Rapid prototyping processes2"</f>
        <v>LM_ContentLMS Vir.S-Rapid prototyping processes2</v>
      </c>
      <c r="D4456">
        <v>1</v>
      </c>
      <c r="E4456" t="str">
        <f>"LearMate Content (School License on LMS) - Rapid prototyping"</f>
        <v>LearMate Content (School License on LMS) - Rapid prototyping</v>
      </c>
      <c r="F4456">
        <v>804</v>
      </c>
      <c r="G4456" t="str">
        <f t="shared" si="1133"/>
        <v>Y</v>
      </c>
      <c r="H4456" t="str">
        <f t="shared" si="1144"/>
        <v>EA</v>
      </c>
      <c r="I4456">
        <v>0</v>
      </c>
      <c r="J4456">
        <v>0</v>
      </c>
      <c r="K4456" t="str">
        <f t="shared" si="1134"/>
        <v>Y</v>
      </c>
      <c r="L4456">
        <v>0</v>
      </c>
      <c r="M4456" t="str">
        <f t="shared" si="1140"/>
        <v>NIS</v>
      </c>
      <c r="O4456">
        <v>2</v>
      </c>
      <c r="P4456" t="str">
        <f t="shared" si="1141"/>
        <v>Active</v>
      </c>
      <c r="Q4456" t="str">
        <f>"LM_ContentLMS Vir.S-Rapid prototyping processes2"</f>
        <v>LM_ContentLMS Vir.S-Rapid prototyping processes2</v>
      </c>
      <c r="S4456" t="str">
        <f>"LM_ContentLMS Vir.S-Rapid prototyping processes2"</f>
        <v>LM_ContentLMS Vir.S-Rapid prototyping processes2</v>
      </c>
      <c r="T4456">
        <v>0</v>
      </c>
      <c r="U4456">
        <v>30.65</v>
      </c>
      <c r="V4456">
        <v>36.049999999999997</v>
      </c>
      <c r="W4456" t="str">
        <f t="shared" si="1138"/>
        <v>rob</v>
      </c>
    </row>
    <row r="4457" spans="1:23">
      <c r="A4457" t="str">
        <f>"SOL-LMT-COL S.A"</f>
        <v>SOL-LMT-COL S.A</v>
      </c>
      <c r="B4457" t="str">
        <f>"0S7286-2"</f>
        <v>0S7286-2</v>
      </c>
      <c r="C4457" t="str">
        <f>"LM_Content SAVir.S Using Solido sdview software2"</f>
        <v>LM_Content SAVir.S Using Solido sdview software2</v>
      </c>
      <c r="D4457">
        <v>1</v>
      </c>
      <c r="E4457" t="str">
        <f>"LearnMate Content (standalone) - Rapid prototyping"</f>
        <v>LearnMate Content (standalone) - Rapid prototyping</v>
      </c>
      <c r="F4457">
        <v>804</v>
      </c>
      <c r="G4457" t="str">
        <f t="shared" si="1133"/>
        <v>Y</v>
      </c>
      <c r="H4457" t="str">
        <f t="shared" si="1144"/>
        <v>EA</v>
      </c>
      <c r="I4457">
        <v>0</v>
      </c>
      <c r="J4457">
        <v>0</v>
      </c>
      <c r="K4457" t="str">
        <f t="shared" si="1134"/>
        <v>Y</v>
      </c>
      <c r="L4457">
        <v>0</v>
      </c>
      <c r="M4457" t="str">
        <f t="shared" si="1140"/>
        <v>NIS</v>
      </c>
      <c r="O4457">
        <v>1</v>
      </c>
      <c r="P4457" t="str">
        <f t="shared" si="1141"/>
        <v>Active</v>
      </c>
      <c r="Q4457" t="str">
        <f>"LM_Content SA Vir.S-Rapid prototyping processes2"</f>
        <v>LM_Content SA Vir.S-Rapid prototyping processes2</v>
      </c>
      <c r="S4457" t="str">
        <f>"LM_Content SAVir.S Using Solido sdview software2"</f>
        <v>LM_Content SAVir.S Using Solido sdview software2</v>
      </c>
      <c r="T4457">
        <v>0</v>
      </c>
      <c r="U4457">
        <v>35</v>
      </c>
      <c r="V4457">
        <v>36.049999999999997</v>
      </c>
      <c r="W4457" t="str">
        <f t="shared" si="1138"/>
        <v>rob</v>
      </c>
    </row>
    <row r="4458" spans="1:23">
      <c r="A4458" t="str">
        <f>"SOL-LMT-COL S.A"</f>
        <v>SOL-LMT-COL S.A</v>
      </c>
      <c r="B4458" t="str">
        <f>"63-7001-0100"</f>
        <v>63-7001-0100</v>
      </c>
      <c r="C4458" t="str">
        <f>"License Key for Standalone Content"</f>
        <v>License Key for Standalone Content</v>
      </c>
      <c r="D4458">
        <v>1</v>
      </c>
      <c r="E4458" t="str">
        <f>"LearnMate Content (standalone) - Rapid prototyping"</f>
        <v>LearnMate Content (standalone) - Rapid prototyping</v>
      </c>
      <c r="F4458">
        <v>804</v>
      </c>
      <c r="G4458" t="str">
        <f t="shared" si="1133"/>
        <v>Y</v>
      </c>
      <c r="H4458" t="str">
        <f t="shared" si="1144"/>
        <v>EA</v>
      </c>
      <c r="I4458">
        <v>0</v>
      </c>
      <c r="J4458">
        <v>0</v>
      </c>
      <c r="K4458" t="str">
        <f t="shared" si="1134"/>
        <v>Y</v>
      </c>
      <c r="L4458">
        <v>0</v>
      </c>
      <c r="M4458" t="str">
        <f t="shared" si="1140"/>
        <v>NIS</v>
      </c>
      <c r="O4458">
        <v>3</v>
      </c>
      <c r="P4458" t="str">
        <f t="shared" si="1141"/>
        <v>Active</v>
      </c>
      <c r="Q4458" t="str">
        <f>"License Key For LM Content Standalone"</f>
        <v>License Key For LM Content Standalone</v>
      </c>
      <c r="R4458" t="str">
        <f>"1"</f>
        <v>1</v>
      </c>
      <c r="S4458" t="str">
        <f>"License Key For LM Content Standalone"</f>
        <v>License Key For LM Content Standalone</v>
      </c>
      <c r="T4458">
        <v>0</v>
      </c>
      <c r="U4458">
        <v>18</v>
      </c>
      <c r="V4458">
        <v>18.72</v>
      </c>
      <c r="W4458" t="str">
        <f t="shared" si="1138"/>
        <v>rob</v>
      </c>
    </row>
    <row r="4459" spans="1:23">
      <c r="A4459" t="str">
        <f>"SOL-LMT-COL S.A"</f>
        <v>SOL-LMT-COL S.A</v>
      </c>
      <c r="B4459" t="str">
        <f>"0S7288-2"</f>
        <v>0S7288-2</v>
      </c>
      <c r="C4459" t="str">
        <f>"LM_Content SAvir.S-Rapid prototyping processes2"</f>
        <v>LM_Content SAvir.S-Rapid prototyping processes2</v>
      </c>
      <c r="D4459">
        <v>1</v>
      </c>
      <c r="E4459" t="str">
        <f>"LearnMate Content (standalone) - Rapid prototyping"</f>
        <v>LearnMate Content (standalone) - Rapid prototyping</v>
      </c>
      <c r="F4459">
        <v>804</v>
      </c>
      <c r="G4459" t="str">
        <f t="shared" si="1133"/>
        <v>Y</v>
      </c>
      <c r="H4459" t="str">
        <f t="shared" si="1144"/>
        <v>EA</v>
      </c>
      <c r="I4459">
        <v>0</v>
      </c>
      <c r="J4459">
        <v>0</v>
      </c>
      <c r="K4459" t="str">
        <f t="shared" si="1134"/>
        <v>Y</v>
      </c>
      <c r="L4459">
        <v>0</v>
      </c>
      <c r="M4459" t="str">
        <f t="shared" si="1140"/>
        <v>NIS</v>
      </c>
      <c r="O4459">
        <v>2</v>
      </c>
      <c r="P4459" t="str">
        <f t="shared" si="1141"/>
        <v>Active</v>
      </c>
      <c r="Q4459" t="str">
        <f>"LM_Content SAvir.S-Using solido sdview software2"</f>
        <v>LM_Content SAvir.S-Using solido sdview software2</v>
      </c>
      <c r="S4459" t="str">
        <f>"LM_Content SAvir.S-Rapid prototyping processes2"</f>
        <v>LM_Content SAvir.S-Rapid prototyping processes2</v>
      </c>
      <c r="T4459">
        <v>0</v>
      </c>
      <c r="U4459">
        <v>35</v>
      </c>
      <c r="V4459">
        <v>35.840000000000003</v>
      </c>
      <c r="W4459" t="str">
        <f t="shared" si="1138"/>
        <v>rob</v>
      </c>
    </row>
    <row r="4460" spans="1:23">
      <c r="A4460" t="str">
        <f>"SOL-LMT-COL S.A"</f>
        <v>SOL-LMT-COL S.A</v>
      </c>
      <c r="B4460" t="str">
        <f>"63-7001-0100"</f>
        <v>63-7001-0100</v>
      </c>
      <c r="C4460" t="str">
        <f>"License Key for Standalone Content"</f>
        <v>License Key for Standalone Content</v>
      </c>
      <c r="D4460">
        <v>1</v>
      </c>
      <c r="E4460" t="str">
        <f>"LearnMate Content (standalone) - Rapid prototyping"</f>
        <v>LearnMate Content (standalone) - Rapid prototyping</v>
      </c>
      <c r="F4460">
        <v>804</v>
      </c>
      <c r="G4460" t="str">
        <f t="shared" si="1133"/>
        <v>Y</v>
      </c>
      <c r="H4460" t="str">
        <f t="shared" si="1144"/>
        <v>EA</v>
      </c>
      <c r="I4460">
        <v>0</v>
      </c>
      <c r="J4460">
        <v>0</v>
      </c>
      <c r="K4460" t="str">
        <f t="shared" si="1134"/>
        <v>Y</v>
      </c>
      <c r="L4460">
        <v>0</v>
      </c>
      <c r="M4460" t="str">
        <f t="shared" si="1140"/>
        <v>NIS</v>
      </c>
      <c r="O4460">
        <v>4</v>
      </c>
      <c r="P4460" t="str">
        <f t="shared" si="1141"/>
        <v>Active</v>
      </c>
      <c r="Q4460" t="str">
        <f>"License Key For LM Content Standalone"</f>
        <v>License Key For LM Content Standalone</v>
      </c>
      <c r="R4460" t="str">
        <f>"1"</f>
        <v>1</v>
      </c>
      <c r="S4460" t="str">
        <f>"License Key For LM Content Standalone"</f>
        <v>License Key For LM Content Standalone</v>
      </c>
      <c r="T4460">
        <v>0</v>
      </c>
      <c r="U4460">
        <v>18</v>
      </c>
      <c r="V4460">
        <v>18.72</v>
      </c>
      <c r="W4460" t="str">
        <f t="shared" si="1138"/>
        <v>rob</v>
      </c>
    </row>
    <row r="4461" spans="1:23">
      <c r="A4461" t="str">
        <f>"STEM-BTECH-LAB02"</f>
        <v>STEM-BTECH-LAB02</v>
      </c>
      <c r="B4461" t="str">
        <f>"77-8137-0000"</f>
        <v>77-8137-0000</v>
      </c>
      <c r="C4461" t="str">
        <f>"LM7 Content, Lab, Biotechnology"</f>
        <v>LM7 Content, Lab, Biotechnology</v>
      </c>
      <c r="D4461">
        <v>1</v>
      </c>
      <c r="E4461" t="str">
        <f>"STEM: Biotechnology, 2 Student"</f>
        <v>STEM: Biotechnology, 2 Student</v>
      </c>
      <c r="F4461">
        <v>0</v>
      </c>
      <c r="G4461" t="str">
        <f t="shared" si="1133"/>
        <v>Y</v>
      </c>
      <c r="H4461" t="str">
        <f t="shared" si="1144"/>
        <v>EA</v>
      </c>
      <c r="I4461">
        <v>0</v>
      </c>
      <c r="J4461">
        <v>0</v>
      </c>
      <c r="K4461" t="str">
        <f t="shared" si="1134"/>
        <v>Y</v>
      </c>
      <c r="L4461">
        <v>0</v>
      </c>
      <c r="M4461" t="str">
        <f t="shared" si="1140"/>
        <v>NIS</v>
      </c>
      <c r="O4461">
        <v>2</v>
      </c>
      <c r="P4461" t="str">
        <f t="shared" si="1141"/>
        <v>Active</v>
      </c>
      <c r="Q4461" t="str">
        <f>"LM7 Content, Lab, Biotechnology"</f>
        <v>LM7 Content, Lab, Biotechnology</v>
      </c>
      <c r="S4461" t="str">
        <f>"LM7 Content, Lab, Biotechnology"</f>
        <v>LM7 Content, Lab, Biotechnology</v>
      </c>
      <c r="T4461">
        <v>0</v>
      </c>
      <c r="U4461">
        <v>5</v>
      </c>
      <c r="V4461">
        <v>5</v>
      </c>
      <c r="W4461" t="str">
        <f t="shared" ref="W4461:W4492" si="1145">"zintel"</f>
        <v>zintel</v>
      </c>
    </row>
    <row r="4462" spans="1:23">
      <c r="A4462" t="str">
        <f>"STEM-BTECH-LAB10"</f>
        <v>STEM-BTECH-LAB10</v>
      </c>
      <c r="B4462" t="str">
        <f>"77-8137-0000"</f>
        <v>77-8137-0000</v>
      </c>
      <c r="C4462" t="str">
        <f>"LM7 Content, Lab, Biotechnology"</f>
        <v>LM7 Content, Lab, Biotechnology</v>
      </c>
      <c r="D4462">
        <v>1</v>
      </c>
      <c r="E4462" t="str">
        <f>"STEM: Biotechnology, 10 Student"</f>
        <v>STEM: Biotechnology, 10 Student</v>
      </c>
      <c r="F4462">
        <v>0</v>
      </c>
      <c r="G4462" t="str">
        <f t="shared" si="1133"/>
        <v>Y</v>
      </c>
      <c r="H4462" t="str">
        <f t="shared" si="1144"/>
        <v>EA</v>
      </c>
      <c r="I4462">
        <v>0</v>
      </c>
      <c r="J4462">
        <v>0</v>
      </c>
      <c r="K4462" t="str">
        <f t="shared" si="1134"/>
        <v>Y</v>
      </c>
      <c r="L4462">
        <v>0</v>
      </c>
      <c r="M4462" t="str">
        <f t="shared" si="1140"/>
        <v>NIS</v>
      </c>
      <c r="O4462">
        <v>2</v>
      </c>
      <c r="P4462" t="str">
        <f t="shared" si="1141"/>
        <v>Active</v>
      </c>
      <c r="Q4462" t="str">
        <f>"LM7 Content, Lab, Biotechnology"</f>
        <v>LM7 Content, Lab, Biotechnology</v>
      </c>
      <c r="S4462" t="str">
        <f>"LM7 Content, Lab, Biotechnology"</f>
        <v>LM7 Content, Lab, Biotechnology</v>
      </c>
      <c r="T4462">
        <v>0</v>
      </c>
      <c r="U4462">
        <v>5</v>
      </c>
      <c r="V4462">
        <v>5</v>
      </c>
      <c r="W4462" t="str">
        <f t="shared" si="1145"/>
        <v>zintel</v>
      </c>
    </row>
    <row r="4463" spans="1:23">
      <c r="A4463" t="str">
        <f>"STEM-BTECH-LAB20"</f>
        <v>STEM-BTECH-LAB20</v>
      </c>
      <c r="B4463" t="str">
        <f>"77-8137-0000"</f>
        <v>77-8137-0000</v>
      </c>
      <c r="C4463" t="str">
        <f>"LM7 Content, Lab, Biotechnology"</f>
        <v>LM7 Content, Lab, Biotechnology</v>
      </c>
      <c r="D4463">
        <v>1</v>
      </c>
      <c r="E4463" t="str">
        <f>"STEM: Biotechnology, 20 Student"</f>
        <v>STEM: Biotechnology, 20 Student</v>
      </c>
      <c r="F4463">
        <v>0</v>
      </c>
      <c r="G4463" t="str">
        <f t="shared" si="1133"/>
        <v>Y</v>
      </c>
      <c r="H4463" t="str">
        <f t="shared" si="1144"/>
        <v>EA</v>
      </c>
      <c r="I4463">
        <v>0</v>
      </c>
      <c r="J4463">
        <v>0</v>
      </c>
      <c r="K4463" t="str">
        <f t="shared" si="1134"/>
        <v>Y</v>
      </c>
      <c r="L4463">
        <v>0</v>
      </c>
      <c r="M4463" t="str">
        <f t="shared" si="1140"/>
        <v>NIS</v>
      </c>
      <c r="O4463">
        <v>2</v>
      </c>
      <c r="P4463" t="str">
        <f t="shared" si="1141"/>
        <v>Active</v>
      </c>
      <c r="Q4463" t="str">
        <f>"LM7 Content, Lab, Biotechnology"</f>
        <v>LM7 Content, Lab, Biotechnology</v>
      </c>
      <c r="S4463" t="str">
        <f>"LM7 Content, Lab, Biotechnology"</f>
        <v>LM7 Content, Lab, Biotechnology</v>
      </c>
      <c r="T4463">
        <v>0</v>
      </c>
      <c r="U4463">
        <v>5</v>
      </c>
      <c r="V4463">
        <v>5</v>
      </c>
      <c r="W4463" t="str">
        <f t="shared" si="1145"/>
        <v>zintel</v>
      </c>
    </row>
    <row r="4464" spans="1:23">
      <c r="A4464" t="str">
        <f>"STEM-COMM-LAB02"</f>
        <v>STEM-COMM-LAB02</v>
      </c>
      <c r="B4464" t="str">
        <f>"77-8150-0001"</f>
        <v>77-8150-0001</v>
      </c>
      <c r="C4464" t="str">
        <f>"LM7 Content, Lab, Intro. to Communications"</f>
        <v>LM7 Content, Lab, Intro. to Communications</v>
      </c>
      <c r="D4464">
        <v>1</v>
      </c>
      <c r="E4464" t="str">
        <f>"STEM: Exploring Communications, 2 Student"</f>
        <v>STEM: Exploring Communications, 2 Student</v>
      </c>
      <c r="F4464">
        <v>0</v>
      </c>
      <c r="G4464" t="str">
        <f t="shared" si="1133"/>
        <v>Y</v>
      </c>
      <c r="H4464" t="str">
        <f t="shared" si="1144"/>
        <v>EA</v>
      </c>
      <c r="I4464">
        <v>0</v>
      </c>
      <c r="J4464">
        <v>0</v>
      </c>
      <c r="K4464" t="str">
        <f t="shared" si="1134"/>
        <v>Y</v>
      </c>
      <c r="L4464">
        <v>0</v>
      </c>
      <c r="M4464" t="str">
        <f t="shared" si="1140"/>
        <v>NIS</v>
      </c>
      <c r="O4464">
        <v>1</v>
      </c>
      <c r="P4464" t="str">
        <f t="shared" si="1141"/>
        <v>Active</v>
      </c>
      <c r="Q4464" t="str">
        <f>"LM7 Content, Lab, Intro. to Communications"</f>
        <v>LM7 Content, Lab, Intro. to Communications</v>
      </c>
      <c r="S4464" t="str">
        <f>"LM7 Content, Lab, Intro. to Communications"</f>
        <v>LM7 Content, Lab, Intro. to Communications</v>
      </c>
      <c r="T4464">
        <v>0</v>
      </c>
      <c r="U4464">
        <v>5</v>
      </c>
      <c r="V4464">
        <v>5</v>
      </c>
      <c r="W4464" t="str">
        <f t="shared" si="1145"/>
        <v>zintel</v>
      </c>
    </row>
    <row r="4465" spans="1:23">
      <c r="A4465" t="str">
        <f>"STEM-COMM-LAB02"</f>
        <v>STEM-COMM-LAB02</v>
      </c>
      <c r="B4465" t="str">
        <f>"77-8151-0001"</f>
        <v>77-8151-0001</v>
      </c>
      <c r="C4465" t="str">
        <f>"LM7 Content, Lab, Digital Video Editing"</f>
        <v>LM7 Content, Lab, Digital Video Editing</v>
      </c>
      <c r="D4465">
        <v>1</v>
      </c>
      <c r="E4465" t="str">
        <f>"STEM: Exploring Communications, 2 Student"</f>
        <v>STEM: Exploring Communications, 2 Student</v>
      </c>
      <c r="F4465">
        <v>0</v>
      </c>
      <c r="G4465" t="str">
        <f t="shared" si="1133"/>
        <v>Y</v>
      </c>
      <c r="H4465" t="str">
        <f t="shared" si="1144"/>
        <v>EA</v>
      </c>
      <c r="I4465">
        <v>0</v>
      </c>
      <c r="J4465">
        <v>0</v>
      </c>
      <c r="K4465" t="str">
        <f t="shared" si="1134"/>
        <v>Y</v>
      </c>
      <c r="L4465">
        <v>0</v>
      </c>
      <c r="M4465" t="str">
        <f t="shared" si="1140"/>
        <v>NIS</v>
      </c>
      <c r="O4465">
        <v>2</v>
      </c>
      <c r="P4465" t="str">
        <f t="shared" si="1141"/>
        <v>Active</v>
      </c>
      <c r="Q4465" t="str">
        <f>"LM7 Content, Lab, Digital Video Editing"</f>
        <v>LM7 Content, Lab, Digital Video Editing</v>
      </c>
      <c r="S4465" t="str">
        <f>"LM7 Content, Lab, Digital Video Editing"</f>
        <v>LM7 Content, Lab, Digital Video Editing</v>
      </c>
      <c r="T4465">
        <v>0</v>
      </c>
      <c r="U4465">
        <v>5</v>
      </c>
      <c r="V4465">
        <v>5</v>
      </c>
      <c r="W4465" t="str">
        <f t="shared" si="1145"/>
        <v>zintel</v>
      </c>
    </row>
    <row r="4466" spans="1:23">
      <c r="A4466" t="str">
        <f>"STEM-COMM-LAB02"</f>
        <v>STEM-COMM-LAB02</v>
      </c>
      <c r="B4466" t="str">
        <f>"77-8152-0001"</f>
        <v>77-8152-0001</v>
      </c>
      <c r="C4466" t="str">
        <f>"LM7 Content, Lab, Digital Photo Editing"</f>
        <v>LM7 Content, Lab, Digital Photo Editing</v>
      </c>
      <c r="D4466">
        <v>1</v>
      </c>
      <c r="E4466" t="str">
        <f>"STEM: Exploring Communications, 2 Student"</f>
        <v>STEM: Exploring Communications, 2 Student</v>
      </c>
      <c r="F4466">
        <v>0</v>
      </c>
      <c r="G4466" t="str">
        <f t="shared" si="1133"/>
        <v>Y</v>
      </c>
      <c r="H4466" t="str">
        <f t="shared" si="1144"/>
        <v>EA</v>
      </c>
      <c r="I4466">
        <v>0</v>
      </c>
      <c r="J4466">
        <v>0</v>
      </c>
      <c r="K4466" t="str">
        <f t="shared" si="1134"/>
        <v>Y</v>
      </c>
      <c r="L4466">
        <v>0</v>
      </c>
      <c r="M4466" t="str">
        <f t="shared" si="1140"/>
        <v>NIS</v>
      </c>
      <c r="O4466">
        <v>3</v>
      </c>
      <c r="P4466" t="str">
        <f t="shared" si="1141"/>
        <v>Active</v>
      </c>
      <c r="Q4466" t="str">
        <f>"LM7 Content, Lab, Digital Photo Editing"</f>
        <v>LM7 Content, Lab, Digital Photo Editing</v>
      </c>
      <c r="S4466" t="str">
        <f>"LM7 Content, Lab, Digital Photo Editing"</f>
        <v>LM7 Content, Lab, Digital Photo Editing</v>
      </c>
      <c r="T4466">
        <v>0</v>
      </c>
      <c r="U4466">
        <v>5</v>
      </c>
      <c r="V4466">
        <v>5</v>
      </c>
      <c r="W4466" t="str">
        <f t="shared" si="1145"/>
        <v>zintel</v>
      </c>
    </row>
    <row r="4467" spans="1:23">
      <c r="A4467" t="str">
        <f>"STEM-COMM-LAB02"</f>
        <v>STEM-COMM-LAB02</v>
      </c>
      <c r="B4467" t="str">
        <f>"77-8153-0001"</f>
        <v>77-8153-0001</v>
      </c>
      <c r="C4467" t="str">
        <f>"LM7 Content, Lab, Graphic Design"</f>
        <v>LM7 Content, Lab, Graphic Design</v>
      </c>
      <c r="D4467">
        <v>1</v>
      </c>
      <c r="E4467" t="str">
        <f>"STEM: Exploring Communications, 2 Student"</f>
        <v>STEM: Exploring Communications, 2 Student</v>
      </c>
      <c r="F4467">
        <v>0</v>
      </c>
      <c r="G4467" t="str">
        <f t="shared" si="1133"/>
        <v>Y</v>
      </c>
      <c r="H4467" t="str">
        <f t="shared" si="1144"/>
        <v>EA</v>
      </c>
      <c r="I4467">
        <v>0</v>
      </c>
      <c r="J4467">
        <v>0</v>
      </c>
      <c r="K4467" t="str">
        <f t="shared" si="1134"/>
        <v>Y</v>
      </c>
      <c r="L4467">
        <v>0</v>
      </c>
      <c r="M4467" t="str">
        <f t="shared" si="1140"/>
        <v>NIS</v>
      </c>
      <c r="O4467">
        <v>4</v>
      </c>
      <c r="P4467" t="str">
        <f t="shared" si="1141"/>
        <v>Active</v>
      </c>
      <c r="Q4467" t="str">
        <f>"LM7 Content, Lab, Graphic Design"</f>
        <v>LM7 Content, Lab, Graphic Design</v>
      </c>
      <c r="S4467" t="str">
        <f>"LM7 Content, Lab, Graphic Design"</f>
        <v>LM7 Content, Lab, Graphic Design</v>
      </c>
      <c r="T4467">
        <v>0</v>
      </c>
      <c r="U4467">
        <v>5</v>
      </c>
      <c r="V4467">
        <v>5</v>
      </c>
      <c r="W4467" t="str">
        <f t="shared" si="1145"/>
        <v>zintel</v>
      </c>
    </row>
    <row r="4468" spans="1:23">
      <c r="A4468" t="str">
        <f>"STEM-COMM-LAB02"</f>
        <v>STEM-COMM-LAB02</v>
      </c>
      <c r="B4468" t="str">
        <f>"10-8150-1002"</f>
        <v>10-8150-1002</v>
      </c>
      <c r="C4468" t="str">
        <f>"Exploring Communications Course Mat. 10 Pack"</f>
        <v>Exploring Communications Course Mat. 10 Pack</v>
      </c>
      <c r="D4468">
        <v>1</v>
      </c>
      <c r="E4468" t="str">
        <f>"STEM: Exploring Communications, 2 Student"</f>
        <v>STEM: Exploring Communications, 2 Student</v>
      </c>
      <c r="F4468">
        <v>0</v>
      </c>
      <c r="G4468" t="str">
        <f t="shared" si="1133"/>
        <v>Y</v>
      </c>
      <c r="H4468" t="str">
        <f t="shared" si="1144"/>
        <v>EA</v>
      </c>
      <c r="I4468">
        <v>0</v>
      </c>
      <c r="J4468">
        <v>0</v>
      </c>
      <c r="K4468" t="str">
        <f t="shared" si="1134"/>
        <v>Y</v>
      </c>
      <c r="L4468">
        <v>0</v>
      </c>
      <c r="M4468" t="str">
        <f t="shared" si="1140"/>
        <v>NIS</v>
      </c>
      <c r="O4468">
        <v>5</v>
      </c>
      <c r="P4468" t="str">
        <f t="shared" si="1141"/>
        <v>Active</v>
      </c>
      <c r="Q4468" t="str">
        <f>"Intro. to Communications Course Mat. 2 Pack"</f>
        <v>Intro. to Communications Course Mat. 2 Pack</v>
      </c>
      <c r="S4468" t="str">
        <f>"Exploring Communications Course Mat. 10 Pack"</f>
        <v>Exploring Communications Course Mat. 10 Pack</v>
      </c>
      <c r="T4468">
        <v>0</v>
      </c>
      <c r="U4468">
        <v>0</v>
      </c>
      <c r="V4468">
        <v>0</v>
      </c>
      <c r="W4468" t="str">
        <f t="shared" si="1145"/>
        <v>zintel</v>
      </c>
    </row>
    <row r="4469" spans="1:23">
      <c r="A4469" t="str">
        <f>"STEM-COMM-LAB10"</f>
        <v>STEM-COMM-LAB10</v>
      </c>
      <c r="B4469" t="str">
        <f>"77-8150-0001"</f>
        <v>77-8150-0001</v>
      </c>
      <c r="C4469" t="str">
        <f>"LM7 Content, Lab, Intro. to Communications"</f>
        <v>LM7 Content, Lab, Intro. to Communications</v>
      </c>
      <c r="D4469">
        <v>1</v>
      </c>
      <c r="E4469" t="str">
        <f>"STEM: Exploring Communications, 10 Student"</f>
        <v>STEM: Exploring Communications, 10 Student</v>
      </c>
      <c r="F4469">
        <v>0</v>
      </c>
      <c r="G4469" t="str">
        <f t="shared" si="1133"/>
        <v>Y</v>
      </c>
      <c r="H4469" t="str">
        <f t="shared" si="1144"/>
        <v>EA</v>
      </c>
      <c r="I4469">
        <v>0</v>
      </c>
      <c r="J4469">
        <v>0</v>
      </c>
      <c r="K4469" t="str">
        <f t="shared" si="1134"/>
        <v>Y</v>
      </c>
      <c r="L4469">
        <v>0</v>
      </c>
      <c r="M4469" t="str">
        <f t="shared" si="1140"/>
        <v>NIS</v>
      </c>
      <c r="O4469">
        <v>1</v>
      </c>
      <c r="P4469" t="str">
        <f t="shared" si="1141"/>
        <v>Active</v>
      </c>
      <c r="Q4469" t="str">
        <f>"LM7 Content, Lab, Intro. to Communications"</f>
        <v>LM7 Content, Lab, Intro. to Communications</v>
      </c>
      <c r="S4469" t="str">
        <f>"LM7 Content, Lab, Intro. to Communications"</f>
        <v>LM7 Content, Lab, Intro. to Communications</v>
      </c>
      <c r="T4469">
        <v>0</v>
      </c>
      <c r="U4469">
        <v>5</v>
      </c>
      <c r="V4469">
        <v>5</v>
      </c>
      <c r="W4469" t="str">
        <f t="shared" si="1145"/>
        <v>zintel</v>
      </c>
    </row>
    <row r="4470" spans="1:23">
      <c r="A4470" t="str">
        <f>"STEM-COMM-LAB10"</f>
        <v>STEM-COMM-LAB10</v>
      </c>
      <c r="B4470" t="str">
        <f>"77-8151-0001"</f>
        <v>77-8151-0001</v>
      </c>
      <c r="C4470" t="str">
        <f>"LM7 Content, Lab, Digital Video Editing"</f>
        <v>LM7 Content, Lab, Digital Video Editing</v>
      </c>
      <c r="D4470">
        <v>1</v>
      </c>
      <c r="E4470" t="str">
        <f>"STEM: Exploring Communications, 10 Student"</f>
        <v>STEM: Exploring Communications, 10 Student</v>
      </c>
      <c r="F4470">
        <v>0</v>
      </c>
      <c r="G4470" t="str">
        <f t="shared" si="1133"/>
        <v>Y</v>
      </c>
      <c r="H4470" t="str">
        <f t="shared" si="1144"/>
        <v>EA</v>
      </c>
      <c r="I4470">
        <v>0</v>
      </c>
      <c r="J4470">
        <v>0</v>
      </c>
      <c r="K4470" t="str">
        <f t="shared" si="1134"/>
        <v>Y</v>
      </c>
      <c r="L4470">
        <v>0</v>
      </c>
      <c r="M4470" t="str">
        <f t="shared" si="1140"/>
        <v>NIS</v>
      </c>
      <c r="O4470">
        <v>2</v>
      </c>
      <c r="P4470" t="str">
        <f t="shared" si="1141"/>
        <v>Active</v>
      </c>
      <c r="Q4470" t="str">
        <f>"LM7 Content, Lab, Digital Video Editing"</f>
        <v>LM7 Content, Lab, Digital Video Editing</v>
      </c>
      <c r="S4470" t="str">
        <f>"LM7 Content, Lab, Digital Video Editing"</f>
        <v>LM7 Content, Lab, Digital Video Editing</v>
      </c>
      <c r="T4470">
        <v>0</v>
      </c>
      <c r="U4470">
        <v>5</v>
      </c>
      <c r="V4470">
        <v>5</v>
      </c>
      <c r="W4470" t="str">
        <f t="shared" si="1145"/>
        <v>zintel</v>
      </c>
    </row>
    <row r="4471" spans="1:23">
      <c r="A4471" t="str">
        <f>"STEM-COMM-LAB10"</f>
        <v>STEM-COMM-LAB10</v>
      </c>
      <c r="B4471" t="str">
        <f>"77-8152-0001"</f>
        <v>77-8152-0001</v>
      </c>
      <c r="C4471" t="str">
        <f>"LM7 Content, Lab, Digital Photo Editing"</f>
        <v>LM7 Content, Lab, Digital Photo Editing</v>
      </c>
      <c r="D4471">
        <v>1</v>
      </c>
      <c r="E4471" t="str">
        <f>"STEM: Exploring Communications, 10 Student"</f>
        <v>STEM: Exploring Communications, 10 Student</v>
      </c>
      <c r="F4471">
        <v>0</v>
      </c>
      <c r="G4471" t="str">
        <f t="shared" si="1133"/>
        <v>Y</v>
      </c>
      <c r="H4471" t="str">
        <f t="shared" si="1144"/>
        <v>EA</v>
      </c>
      <c r="I4471">
        <v>0</v>
      </c>
      <c r="J4471">
        <v>0</v>
      </c>
      <c r="K4471" t="str">
        <f t="shared" si="1134"/>
        <v>Y</v>
      </c>
      <c r="L4471">
        <v>0</v>
      </c>
      <c r="M4471" t="str">
        <f t="shared" si="1140"/>
        <v>NIS</v>
      </c>
      <c r="O4471">
        <v>3</v>
      </c>
      <c r="P4471" t="str">
        <f t="shared" si="1141"/>
        <v>Active</v>
      </c>
      <c r="Q4471" t="str">
        <f>"LM7 Content, Lab, Digital Photo Editing"</f>
        <v>LM7 Content, Lab, Digital Photo Editing</v>
      </c>
      <c r="S4471" t="str">
        <f>"LM7 Content, Lab, Digital Photo Editing"</f>
        <v>LM7 Content, Lab, Digital Photo Editing</v>
      </c>
      <c r="T4471">
        <v>0</v>
      </c>
      <c r="U4471">
        <v>5</v>
      </c>
      <c r="V4471">
        <v>5</v>
      </c>
      <c r="W4471" t="str">
        <f t="shared" si="1145"/>
        <v>zintel</v>
      </c>
    </row>
    <row r="4472" spans="1:23">
      <c r="A4472" t="str">
        <f>"STEM-COMM-LAB10"</f>
        <v>STEM-COMM-LAB10</v>
      </c>
      <c r="B4472" t="str">
        <f>"77-8153-0001"</f>
        <v>77-8153-0001</v>
      </c>
      <c r="C4472" t="str">
        <f>"LM7 Content, Lab, Graphic Design"</f>
        <v>LM7 Content, Lab, Graphic Design</v>
      </c>
      <c r="D4472">
        <v>1</v>
      </c>
      <c r="E4472" t="str">
        <f>"STEM: Exploring Communications, 10 Student"</f>
        <v>STEM: Exploring Communications, 10 Student</v>
      </c>
      <c r="F4472">
        <v>0</v>
      </c>
      <c r="G4472" t="str">
        <f t="shared" si="1133"/>
        <v>Y</v>
      </c>
      <c r="H4472" t="str">
        <f t="shared" si="1144"/>
        <v>EA</v>
      </c>
      <c r="I4472">
        <v>0</v>
      </c>
      <c r="J4472">
        <v>0</v>
      </c>
      <c r="K4472" t="str">
        <f t="shared" si="1134"/>
        <v>Y</v>
      </c>
      <c r="L4472">
        <v>0</v>
      </c>
      <c r="M4472" t="str">
        <f t="shared" si="1140"/>
        <v>NIS</v>
      </c>
      <c r="O4472">
        <v>4</v>
      </c>
      <c r="P4472" t="str">
        <f t="shared" ref="P4472:P4503" si="1146">"Active"</f>
        <v>Active</v>
      </c>
      <c r="Q4472" t="str">
        <f>"LM7 Content, Lab, Graphic Design"</f>
        <v>LM7 Content, Lab, Graphic Design</v>
      </c>
      <c r="S4472" t="str">
        <f>"LM7 Content, Lab, Graphic Design"</f>
        <v>LM7 Content, Lab, Graphic Design</v>
      </c>
      <c r="T4472">
        <v>0</v>
      </c>
      <c r="U4472">
        <v>5</v>
      </c>
      <c r="V4472">
        <v>5</v>
      </c>
      <c r="W4472" t="str">
        <f t="shared" si="1145"/>
        <v>zintel</v>
      </c>
    </row>
    <row r="4473" spans="1:23">
      <c r="A4473" t="str">
        <f>"STEM-COMM-LAB20"</f>
        <v>STEM-COMM-LAB20</v>
      </c>
      <c r="B4473" t="str">
        <f>"77-8150-0001"</f>
        <v>77-8150-0001</v>
      </c>
      <c r="C4473" t="str">
        <f>"LM7 Content, Lab, Intro. to Communications"</f>
        <v>LM7 Content, Lab, Intro. to Communications</v>
      </c>
      <c r="D4473">
        <v>1</v>
      </c>
      <c r="E4473" t="str">
        <f>"STEM: Exploring Communications, 20 Student"</f>
        <v>STEM: Exploring Communications, 20 Student</v>
      </c>
      <c r="F4473">
        <v>0</v>
      </c>
      <c r="G4473" t="str">
        <f t="shared" si="1133"/>
        <v>Y</v>
      </c>
      <c r="H4473" t="str">
        <f t="shared" si="1144"/>
        <v>EA</v>
      </c>
      <c r="I4473">
        <v>0</v>
      </c>
      <c r="J4473">
        <v>0</v>
      </c>
      <c r="K4473" t="str">
        <f t="shared" si="1134"/>
        <v>Y</v>
      </c>
      <c r="L4473">
        <v>0</v>
      </c>
      <c r="M4473" t="str">
        <f t="shared" si="1140"/>
        <v>NIS</v>
      </c>
      <c r="O4473">
        <v>1</v>
      </c>
      <c r="P4473" t="str">
        <f t="shared" si="1146"/>
        <v>Active</v>
      </c>
      <c r="Q4473" t="str">
        <f>"LM7 Content, Lab, Intro. to Communications"</f>
        <v>LM7 Content, Lab, Intro. to Communications</v>
      </c>
      <c r="S4473" t="str">
        <f>"LM7 Content, Lab, Intro. to Communications"</f>
        <v>LM7 Content, Lab, Intro. to Communications</v>
      </c>
      <c r="T4473">
        <v>0</v>
      </c>
      <c r="U4473">
        <v>5</v>
      </c>
      <c r="V4473">
        <v>5</v>
      </c>
      <c r="W4473" t="str">
        <f t="shared" si="1145"/>
        <v>zintel</v>
      </c>
    </row>
    <row r="4474" spans="1:23">
      <c r="A4474" t="str">
        <f>"STEM-COMM-LAB20"</f>
        <v>STEM-COMM-LAB20</v>
      </c>
      <c r="B4474" t="str">
        <f>"77-8151-0001"</f>
        <v>77-8151-0001</v>
      </c>
      <c r="C4474" t="str">
        <f>"LM7 Content, Lab, Digital Video Editing"</f>
        <v>LM7 Content, Lab, Digital Video Editing</v>
      </c>
      <c r="D4474">
        <v>1</v>
      </c>
      <c r="E4474" t="str">
        <f>"STEM: Exploring Communications, 20 Student"</f>
        <v>STEM: Exploring Communications, 20 Student</v>
      </c>
      <c r="F4474">
        <v>0</v>
      </c>
      <c r="G4474" t="str">
        <f t="shared" si="1133"/>
        <v>Y</v>
      </c>
      <c r="H4474" t="str">
        <f t="shared" si="1144"/>
        <v>EA</v>
      </c>
      <c r="I4474">
        <v>0</v>
      </c>
      <c r="J4474">
        <v>0</v>
      </c>
      <c r="K4474" t="str">
        <f t="shared" si="1134"/>
        <v>Y</v>
      </c>
      <c r="L4474">
        <v>0</v>
      </c>
      <c r="M4474" t="str">
        <f t="shared" si="1140"/>
        <v>NIS</v>
      </c>
      <c r="O4474">
        <v>2</v>
      </c>
      <c r="P4474" t="str">
        <f t="shared" si="1146"/>
        <v>Active</v>
      </c>
      <c r="Q4474" t="str">
        <f>"LM7 Content, Lab, Digital Video Editing"</f>
        <v>LM7 Content, Lab, Digital Video Editing</v>
      </c>
      <c r="S4474" t="str">
        <f>"LM7 Content, Lab, Digital Video Editing"</f>
        <v>LM7 Content, Lab, Digital Video Editing</v>
      </c>
      <c r="T4474">
        <v>0</v>
      </c>
      <c r="U4474">
        <v>5</v>
      </c>
      <c r="V4474">
        <v>5</v>
      </c>
      <c r="W4474" t="str">
        <f t="shared" si="1145"/>
        <v>zintel</v>
      </c>
    </row>
    <row r="4475" spans="1:23">
      <c r="A4475" t="str">
        <f>"STEM-COMM-LAB20"</f>
        <v>STEM-COMM-LAB20</v>
      </c>
      <c r="B4475" t="str">
        <f>"77-8152-0001"</f>
        <v>77-8152-0001</v>
      </c>
      <c r="C4475" t="str">
        <f>"LM7 Content, Lab, Digital Photo Editing"</f>
        <v>LM7 Content, Lab, Digital Photo Editing</v>
      </c>
      <c r="D4475">
        <v>1</v>
      </c>
      <c r="E4475" t="str">
        <f>"STEM: Exploring Communications, 20 Student"</f>
        <v>STEM: Exploring Communications, 20 Student</v>
      </c>
      <c r="F4475">
        <v>0</v>
      </c>
      <c r="G4475" t="str">
        <f t="shared" si="1133"/>
        <v>Y</v>
      </c>
      <c r="H4475" t="str">
        <f t="shared" si="1144"/>
        <v>EA</v>
      </c>
      <c r="I4475">
        <v>0</v>
      </c>
      <c r="J4475">
        <v>0</v>
      </c>
      <c r="K4475" t="str">
        <f t="shared" si="1134"/>
        <v>Y</v>
      </c>
      <c r="L4475">
        <v>0</v>
      </c>
      <c r="M4475" t="str">
        <f t="shared" si="1140"/>
        <v>NIS</v>
      </c>
      <c r="O4475">
        <v>3</v>
      </c>
      <c r="P4475" t="str">
        <f t="shared" si="1146"/>
        <v>Active</v>
      </c>
      <c r="Q4475" t="str">
        <f>"LM7 Content, Lab, Digital Photo Editing"</f>
        <v>LM7 Content, Lab, Digital Photo Editing</v>
      </c>
      <c r="S4475" t="str">
        <f>"LM7 Content, Lab, Digital Photo Editing"</f>
        <v>LM7 Content, Lab, Digital Photo Editing</v>
      </c>
      <c r="T4475">
        <v>0</v>
      </c>
      <c r="U4475">
        <v>5</v>
      </c>
      <c r="V4475">
        <v>5</v>
      </c>
      <c r="W4475" t="str">
        <f t="shared" si="1145"/>
        <v>zintel</v>
      </c>
    </row>
    <row r="4476" spans="1:23">
      <c r="A4476" t="str">
        <f>"STEM-COMM-LAB20"</f>
        <v>STEM-COMM-LAB20</v>
      </c>
      <c r="B4476" t="str">
        <f>"77-8153-0001"</f>
        <v>77-8153-0001</v>
      </c>
      <c r="C4476" t="str">
        <f>"LM7 Content, Lab, Graphic Design"</f>
        <v>LM7 Content, Lab, Graphic Design</v>
      </c>
      <c r="D4476">
        <v>1</v>
      </c>
      <c r="E4476" t="str">
        <f>"STEM: Exploring Communications, 20 Student"</f>
        <v>STEM: Exploring Communications, 20 Student</v>
      </c>
      <c r="F4476">
        <v>0</v>
      </c>
      <c r="G4476" t="str">
        <f t="shared" si="1133"/>
        <v>Y</v>
      </c>
      <c r="H4476" t="str">
        <f t="shared" si="1144"/>
        <v>EA</v>
      </c>
      <c r="I4476">
        <v>0</v>
      </c>
      <c r="J4476">
        <v>0</v>
      </c>
      <c r="K4476" t="str">
        <f t="shared" si="1134"/>
        <v>Y</v>
      </c>
      <c r="L4476">
        <v>0</v>
      </c>
      <c r="M4476" t="str">
        <f t="shared" si="1140"/>
        <v>NIS</v>
      </c>
      <c r="O4476">
        <v>4</v>
      </c>
      <c r="P4476" t="str">
        <f t="shared" si="1146"/>
        <v>Active</v>
      </c>
      <c r="Q4476" t="str">
        <f>"LM7 Content, Lab, Graphic Design"</f>
        <v>LM7 Content, Lab, Graphic Design</v>
      </c>
      <c r="S4476" t="str">
        <f>"LM7 Content, Lab, Graphic Design"</f>
        <v>LM7 Content, Lab, Graphic Design</v>
      </c>
      <c r="T4476">
        <v>0</v>
      </c>
      <c r="U4476">
        <v>5</v>
      </c>
      <c r="V4476">
        <v>5</v>
      </c>
      <c r="W4476" t="str">
        <f t="shared" si="1145"/>
        <v>zintel</v>
      </c>
    </row>
    <row r="4477" spans="1:23">
      <c r="A4477" t="str">
        <f>"STEM-COMM-LAB30"</f>
        <v>STEM-COMM-LAB30</v>
      </c>
      <c r="B4477" t="str">
        <f>"77-8150-0001"</f>
        <v>77-8150-0001</v>
      </c>
      <c r="C4477" t="str">
        <f>"LM7 Content, Lab, Intro. to Communications"</f>
        <v>LM7 Content, Lab, Intro. to Communications</v>
      </c>
      <c r="D4477">
        <v>1</v>
      </c>
      <c r="E4477" t="str">
        <f>"STEM: Exploring Communications, 30 Student"</f>
        <v>STEM: Exploring Communications, 30 Student</v>
      </c>
      <c r="F4477">
        <v>0</v>
      </c>
      <c r="G4477" t="str">
        <f t="shared" si="1133"/>
        <v>Y</v>
      </c>
      <c r="H4477" t="str">
        <f t="shared" si="1144"/>
        <v>EA</v>
      </c>
      <c r="I4477">
        <v>0</v>
      </c>
      <c r="J4477">
        <v>0</v>
      </c>
      <c r="K4477" t="str">
        <f t="shared" si="1134"/>
        <v>Y</v>
      </c>
      <c r="L4477">
        <v>0</v>
      </c>
      <c r="M4477" t="str">
        <f t="shared" si="1140"/>
        <v>NIS</v>
      </c>
      <c r="O4477">
        <v>1</v>
      </c>
      <c r="P4477" t="str">
        <f t="shared" si="1146"/>
        <v>Active</v>
      </c>
      <c r="Q4477" t="str">
        <f>"LM7 Content, Lab, Intro. to Communications"</f>
        <v>LM7 Content, Lab, Intro. to Communications</v>
      </c>
      <c r="S4477" t="str">
        <f>"LM7 Content, Lab, Intro. to Communications"</f>
        <v>LM7 Content, Lab, Intro. to Communications</v>
      </c>
      <c r="T4477">
        <v>0</v>
      </c>
      <c r="U4477">
        <v>5</v>
      </c>
      <c r="V4477">
        <v>5</v>
      </c>
      <c r="W4477" t="str">
        <f t="shared" si="1145"/>
        <v>zintel</v>
      </c>
    </row>
    <row r="4478" spans="1:23">
      <c r="A4478" t="str">
        <f>"STEM-COMM-LAB30"</f>
        <v>STEM-COMM-LAB30</v>
      </c>
      <c r="B4478" t="str">
        <f>"77-8151-0001"</f>
        <v>77-8151-0001</v>
      </c>
      <c r="C4478" t="str">
        <f>"LM7 Content, Lab, Digital Video Editing"</f>
        <v>LM7 Content, Lab, Digital Video Editing</v>
      </c>
      <c r="D4478">
        <v>1</v>
      </c>
      <c r="E4478" t="str">
        <f>"STEM: Exploring Communications, 30 Student"</f>
        <v>STEM: Exploring Communications, 30 Student</v>
      </c>
      <c r="F4478">
        <v>0</v>
      </c>
      <c r="G4478" t="str">
        <f t="shared" si="1133"/>
        <v>Y</v>
      </c>
      <c r="H4478" t="str">
        <f t="shared" si="1144"/>
        <v>EA</v>
      </c>
      <c r="I4478">
        <v>0</v>
      </c>
      <c r="J4478">
        <v>0</v>
      </c>
      <c r="K4478" t="str">
        <f t="shared" si="1134"/>
        <v>Y</v>
      </c>
      <c r="L4478">
        <v>0</v>
      </c>
      <c r="M4478" t="str">
        <f t="shared" si="1140"/>
        <v>NIS</v>
      </c>
      <c r="O4478">
        <v>2</v>
      </c>
      <c r="P4478" t="str">
        <f t="shared" si="1146"/>
        <v>Active</v>
      </c>
      <c r="Q4478" t="str">
        <f>"LM7 Content, Lab, Digital Video Editing"</f>
        <v>LM7 Content, Lab, Digital Video Editing</v>
      </c>
      <c r="S4478" t="str">
        <f>"LM7 Content, Lab, Digital Video Editing"</f>
        <v>LM7 Content, Lab, Digital Video Editing</v>
      </c>
      <c r="T4478">
        <v>0</v>
      </c>
      <c r="U4478">
        <v>5</v>
      </c>
      <c r="V4478">
        <v>5</v>
      </c>
      <c r="W4478" t="str">
        <f t="shared" si="1145"/>
        <v>zintel</v>
      </c>
    </row>
    <row r="4479" spans="1:23">
      <c r="A4479" t="str">
        <f>"STEM-COMM-LAB30"</f>
        <v>STEM-COMM-LAB30</v>
      </c>
      <c r="B4479" t="str">
        <f>"77-8152-0001"</f>
        <v>77-8152-0001</v>
      </c>
      <c r="C4479" t="str">
        <f>"LM7 Content, Lab, Digital Photo Editing"</f>
        <v>LM7 Content, Lab, Digital Photo Editing</v>
      </c>
      <c r="D4479">
        <v>1</v>
      </c>
      <c r="E4479" t="str">
        <f>"STEM: Exploring Communications, 30 Student"</f>
        <v>STEM: Exploring Communications, 30 Student</v>
      </c>
      <c r="F4479">
        <v>0</v>
      </c>
      <c r="G4479" t="str">
        <f t="shared" si="1133"/>
        <v>Y</v>
      </c>
      <c r="H4479" t="str">
        <f t="shared" si="1144"/>
        <v>EA</v>
      </c>
      <c r="I4479">
        <v>0</v>
      </c>
      <c r="J4479">
        <v>0</v>
      </c>
      <c r="K4479" t="str">
        <f t="shared" si="1134"/>
        <v>Y</v>
      </c>
      <c r="L4479">
        <v>0</v>
      </c>
      <c r="M4479" t="str">
        <f t="shared" si="1140"/>
        <v>NIS</v>
      </c>
      <c r="O4479">
        <v>3</v>
      </c>
      <c r="P4479" t="str">
        <f t="shared" si="1146"/>
        <v>Active</v>
      </c>
      <c r="Q4479" t="str">
        <f>"LM7 Content, Lab, Digital Photo Editing"</f>
        <v>LM7 Content, Lab, Digital Photo Editing</v>
      </c>
      <c r="S4479" t="str">
        <f>"LM7 Content, Lab, Digital Photo Editing"</f>
        <v>LM7 Content, Lab, Digital Photo Editing</v>
      </c>
      <c r="T4479">
        <v>0</v>
      </c>
      <c r="U4479">
        <v>5</v>
      </c>
      <c r="V4479">
        <v>5</v>
      </c>
      <c r="W4479" t="str">
        <f t="shared" si="1145"/>
        <v>zintel</v>
      </c>
    </row>
    <row r="4480" spans="1:23">
      <c r="A4480" t="str">
        <f>"STEM-COMM-LAB30"</f>
        <v>STEM-COMM-LAB30</v>
      </c>
      <c r="B4480" t="str">
        <f>"77-8153-0001"</f>
        <v>77-8153-0001</v>
      </c>
      <c r="C4480" t="str">
        <f>"LM7 Content, Lab, Graphic Design"</f>
        <v>LM7 Content, Lab, Graphic Design</v>
      </c>
      <c r="D4480">
        <v>1</v>
      </c>
      <c r="E4480" t="str">
        <f>"STEM: Exploring Communications, 30 Student"</f>
        <v>STEM: Exploring Communications, 30 Student</v>
      </c>
      <c r="F4480">
        <v>0</v>
      </c>
      <c r="G4480" t="str">
        <f t="shared" si="1133"/>
        <v>Y</v>
      </c>
      <c r="H4480" t="str">
        <f t="shared" si="1144"/>
        <v>EA</v>
      </c>
      <c r="I4480">
        <v>0</v>
      </c>
      <c r="J4480">
        <v>0</v>
      </c>
      <c r="K4480" t="str">
        <f t="shared" si="1134"/>
        <v>Y</v>
      </c>
      <c r="L4480">
        <v>0</v>
      </c>
      <c r="M4480" t="str">
        <f t="shared" si="1140"/>
        <v>NIS</v>
      </c>
      <c r="O4480">
        <v>4</v>
      </c>
      <c r="P4480" t="str">
        <f t="shared" si="1146"/>
        <v>Active</v>
      </c>
      <c r="Q4480" t="str">
        <f>"LM7 Content, Lab, Graphic Design"</f>
        <v>LM7 Content, Lab, Graphic Design</v>
      </c>
      <c r="S4480" t="str">
        <f>"LM7 Content, Lab, Graphic Design"</f>
        <v>LM7 Content, Lab, Graphic Design</v>
      </c>
      <c r="T4480">
        <v>0</v>
      </c>
      <c r="U4480">
        <v>5</v>
      </c>
      <c r="V4480">
        <v>5</v>
      </c>
      <c r="W4480" t="str">
        <f t="shared" si="1145"/>
        <v>zintel</v>
      </c>
    </row>
    <row r="4481" spans="1:23">
      <c r="A4481" t="str">
        <f t="shared" ref="A4481:A4487" si="1147">"STEM-ENSYS-LAB02"</f>
        <v>STEM-ENSYS-LAB02</v>
      </c>
      <c r="B4481" t="str">
        <f>"10-8110-1002"</f>
        <v>10-8110-1002</v>
      </c>
      <c r="C4481" t="str">
        <f>"Green Tech. Curriculum (GTC) Course Mat. 2 Pack"</f>
        <v>Green Tech. Curriculum (GTC) Course Mat. 2 Pack</v>
      </c>
      <c r="D4481">
        <v>1</v>
      </c>
      <c r="E4481" t="str">
        <f t="shared" ref="E4481:E4487" si="1148">"STEM: Energy &amp; Tech Systems,2 Student"</f>
        <v>STEM: Energy &amp; Tech Systems,2 Student</v>
      </c>
      <c r="F4481">
        <v>0</v>
      </c>
      <c r="G4481" t="str">
        <f t="shared" si="1133"/>
        <v>Y</v>
      </c>
      <c r="H4481" t="str">
        <f t="shared" si="1144"/>
        <v>EA</v>
      </c>
      <c r="I4481">
        <v>0</v>
      </c>
      <c r="J4481">
        <v>0</v>
      </c>
      <c r="K4481" t="str">
        <f t="shared" si="1134"/>
        <v>Y</v>
      </c>
      <c r="L4481">
        <v>0</v>
      </c>
      <c r="M4481" t="str">
        <f t="shared" si="1140"/>
        <v>NIS</v>
      </c>
      <c r="O4481">
        <v>1</v>
      </c>
      <c r="P4481" t="str">
        <f t="shared" si="1146"/>
        <v>Active</v>
      </c>
      <c r="Q4481" t="str">
        <f>"Green Tech. Curriculum (GTC) Course Mat. 2 Pack"</f>
        <v>Green Tech. Curriculum (GTC) Course Mat. 2 Pack</v>
      </c>
      <c r="S4481" t="str">
        <f>"Green Tech. Curriculum (GTC) Course Mat. 2 Pack"</f>
        <v>Green Tech. Curriculum (GTC) Course Mat. 2 Pack</v>
      </c>
      <c r="T4481">
        <v>0</v>
      </c>
      <c r="U4481">
        <v>0</v>
      </c>
      <c r="V4481">
        <v>0</v>
      </c>
      <c r="W4481" t="str">
        <f t="shared" si="1145"/>
        <v>zintel</v>
      </c>
    </row>
    <row r="4482" spans="1:23">
      <c r="A4482" t="str">
        <f t="shared" si="1147"/>
        <v>STEM-ENSYS-LAB02</v>
      </c>
      <c r="B4482" t="str">
        <f>"77-8110-0001"</f>
        <v>77-8110-0001</v>
      </c>
      <c r="C4482" t="str">
        <f>"LM7 Content, Lab, GTC Intro to Green Tech"</f>
        <v>LM7 Content, Lab, GTC Intro to Green Tech</v>
      </c>
      <c r="D4482">
        <v>1</v>
      </c>
      <c r="E4482" t="str">
        <f t="shared" si="1148"/>
        <v>STEM: Energy &amp; Tech Systems,2 Student</v>
      </c>
      <c r="F4482">
        <v>0</v>
      </c>
      <c r="G4482" t="str">
        <f t="shared" ref="G4482:G4545" si="1149">"Y"</f>
        <v>Y</v>
      </c>
      <c r="H4482" t="str">
        <f t="shared" si="1144"/>
        <v>EA</v>
      </c>
      <c r="I4482">
        <v>0</v>
      </c>
      <c r="J4482">
        <v>0</v>
      </c>
      <c r="K4482" t="str">
        <f t="shared" ref="K4482:K4545" si="1150">"Y"</f>
        <v>Y</v>
      </c>
      <c r="L4482">
        <v>0</v>
      </c>
      <c r="M4482" t="str">
        <f t="shared" si="1140"/>
        <v>NIS</v>
      </c>
      <c r="O4482">
        <v>2</v>
      </c>
      <c r="P4482" t="str">
        <f t="shared" si="1146"/>
        <v>Active</v>
      </c>
      <c r="Q4482" t="str">
        <f>"LM7 Content, Lab, GTC Intro to Green Tech"</f>
        <v>LM7 Content, Lab, GTC Intro to Green Tech</v>
      </c>
      <c r="S4482" t="str">
        <f>"LM7 Content, Lab, GTC Intro to Green Tech"</f>
        <v>LM7 Content, Lab, GTC Intro to Green Tech</v>
      </c>
      <c r="T4482">
        <v>0</v>
      </c>
      <c r="U4482">
        <v>5</v>
      </c>
      <c r="V4482">
        <v>5</v>
      </c>
      <c r="W4482" t="str">
        <f t="shared" si="1145"/>
        <v>zintel</v>
      </c>
    </row>
    <row r="4483" spans="1:23">
      <c r="A4483" t="str">
        <f t="shared" si="1147"/>
        <v>STEM-ENSYS-LAB02</v>
      </c>
      <c r="B4483" t="str">
        <f>"77-8110-0002"</f>
        <v>77-8110-0002</v>
      </c>
      <c r="C4483" t="str">
        <f>"LM7 Content, Lab, GTC Alternative Energy"</f>
        <v>LM7 Content, Lab, GTC Alternative Energy</v>
      </c>
      <c r="D4483">
        <v>1</v>
      </c>
      <c r="E4483" t="str">
        <f t="shared" si="1148"/>
        <v>STEM: Energy &amp; Tech Systems,2 Student</v>
      </c>
      <c r="F4483">
        <v>0</v>
      </c>
      <c r="G4483" t="str">
        <f t="shared" si="1149"/>
        <v>Y</v>
      </c>
      <c r="H4483" t="str">
        <f t="shared" si="1144"/>
        <v>EA</v>
      </c>
      <c r="I4483">
        <v>0</v>
      </c>
      <c r="J4483">
        <v>0</v>
      </c>
      <c r="K4483" t="str">
        <f t="shared" si="1150"/>
        <v>Y</v>
      </c>
      <c r="L4483">
        <v>0</v>
      </c>
      <c r="M4483" t="str">
        <f t="shared" si="1140"/>
        <v>NIS</v>
      </c>
      <c r="O4483">
        <v>3</v>
      </c>
      <c r="P4483" t="str">
        <f t="shared" si="1146"/>
        <v>Active</v>
      </c>
      <c r="Q4483" t="str">
        <f>"LM7 Content, Lab, GTC Alternative Energy"</f>
        <v>LM7 Content, Lab, GTC Alternative Energy</v>
      </c>
      <c r="S4483" t="str">
        <f>"LM7 Content, Lab, GTC Alternative Energy"</f>
        <v>LM7 Content, Lab, GTC Alternative Energy</v>
      </c>
      <c r="T4483">
        <v>0</v>
      </c>
      <c r="U4483">
        <v>5</v>
      </c>
      <c r="V4483">
        <v>5</v>
      </c>
      <c r="W4483" t="str">
        <f t="shared" si="1145"/>
        <v>zintel</v>
      </c>
    </row>
    <row r="4484" spans="1:23">
      <c r="A4484" t="str">
        <f t="shared" si="1147"/>
        <v>STEM-ENSYS-LAB02</v>
      </c>
      <c r="B4484" t="str">
        <f>"77-8110-0003"</f>
        <v>77-8110-0003</v>
      </c>
      <c r="C4484" t="str">
        <f>"LM7 Content, Lab, GTC Green Transportation"</f>
        <v>LM7 Content, Lab, GTC Green Transportation</v>
      </c>
      <c r="D4484">
        <v>1</v>
      </c>
      <c r="E4484" t="str">
        <f t="shared" si="1148"/>
        <v>STEM: Energy &amp; Tech Systems,2 Student</v>
      </c>
      <c r="F4484">
        <v>0</v>
      </c>
      <c r="G4484" t="str">
        <f t="shared" si="1149"/>
        <v>Y</v>
      </c>
      <c r="H4484" t="str">
        <f t="shared" si="1144"/>
        <v>EA</v>
      </c>
      <c r="I4484">
        <v>0</v>
      </c>
      <c r="J4484">
        <v>0</v>
      </c>
      <c r="K4484" t="str">
        <f t="shared" si="1150"/>
        <v>Y</v>
      </c>
      <c r="L4484">
        <v>0</v>
      </c>
      <c r="M4484" t="str">
        <f t="shared" si="1140"/>
        <v>NIS</v>
      </c>
      <c r="O4484">
        <v>4</v>
      </c>
      <c r="P4484" t="str">
        <f t="shared" si="1146"/>
        <v>Active</v>
      </c>
      <c r="Q4484" t="str">
        <f>"LM7 Content, Lab, GTC Green Transportation"</f>
        <v>LM7 Content, Lab, GTC Green Transportation</v>
      </c>
      <c r="S4484" t="str">
        <f>"LM7 Content, Lab, GTC Green Transportation"</f>
        <v>LM7 Content, Lab, GTC Green Transportation</v>
      </c>
      <c r="T4484">
        <v>0</v>
      </c>
      <c r="U4484">
        <v>5</v>
      </c>
      <c r="V4484">
        <v>5</v>
      </c>
      <c r="W4484" t="str">
        <f t="shared" si="1145"/>
        <v>zintel</v>
      </c>
    </row>
    <row r="4485" spans="1:23">
      <c r="A4485" t="str">
        <f t="shared" si="1147"/>
        <v>STEM-ENSYS-LAB02</v>
      </c>
      <c r="B4485" t="str">
        <f>"77-8110-0004"</f>
        <v>77-8110-0004</v>
      </c>
      <c r="C4485" t="str">
        <f>"LM7 Content, Lab, GTC Green Construction"</f>
        <v>LM7 Content, Lab, GTC Green Construction</v>
      </c>
      <c r="D4485">
        <v>1</v>
      </c>
      <c r="E4485" t="str">
        <f t="shared" si="1148"/>
        <v>STEM: Energy &amp; Tech Systems,2 Student</v>
      </c>
      <c r="F4485">
        <v>0</v>
      </c>
      <c r="G4485" t="str">
        <f t="shared" si="1149"/>
        <v>Y</v>
      </c>
      <c r="H4485" t="str">
        <f t="shared" si="1144"/>
        <v>EA</v>
      </c>
      <c r="I4485">
        <v>0</v>
      </c>
      <c r="J4485">
        <v>0</v>
      </c>
      <c r="K4485" t="str">
        <f t="shared" si="1150"/>
        <v>Y</v>
      </c>
      <c r="L4485">
        <v>0</v>
      </c>
      <c r="M4485" t="str">
        <f t="shared" si="1140"/>
        <v>NIS</v>
      </c>
      <c r="O4485">
        <v>5</v>
      </c>
      <c r="P4485" t="str">
        <f t="shared" si="1146"/>
        <v>Active</v>
      </c>
      <c r="Q4485" t="str">
        <f>"LM7 Content, Lab, GTC Green Construction"</f>
        <v>LM7 Content, Lab, GTC Green Construction</v>
      </c>
      <c r="S4485" t="str">
        <f>"LM7 Content, Lab, GTC Green Construction"</f>
        <v>LM7 Content, Lab, GTC Green Construction</v>
      </c>
      <c r="T4485">
        <v>0</v>
      </c>
      <c r="U4485">
        <v>5</v>
      </c>
      <c r="V4485">
        <v>5</v>
      </c>
      <c r="W4485" t="str">
        <f t="shared" si="1145"/>
        <v>zintel</v>
      </c>
    </row>
    <row r="4486" spans="1:23">
      <c r="A4486" t="str">
        <f t="shared" si="1147"/>
        <v>STEM-ENSYS-LAB02</v>
      </c>
      <c r="B4486" t="str">
        <f>"77-8110-0005"</f>
        <v>77-8110-0005</v>
      </c>
      <c r="C4486" t="str">
        <f>"LM7 Content, Lab, GTC Resource Conservation"</f>
        <v>LM7 Content, Lab, GTC Resource Conservation</v>
      </c>
      <c r="D4486">
        <v>1</v>
      </c>
      <c r="E4486" t="str">
        <f t="shared" si="1148"/>
        <v>STEM: Energy &amp; Tech Systems,2 Student</v>
      </c>
      <c r="F4486">
        <v>0</v>
      </c>
      <c r="G4486" t="str">
        <f t="shared" si="1149"/>
        <v>Y</v>
      </c>
      <c r="H4486" t="str">
        <f t="shared" si="1144"/>
        <v>EA</v>
      </c>
      <c r="I4486">
        <v>0</v>
      </c>
      <c r="J4486">
        <v>0</v>
      </c>
      <c r="K4486" t="str">
        <f t="shared" si="1150"/>
        <v>Y</v>
      </c>
      <c r="L4486">
        <v>0</v>
      </c>
      <c r="M4486" t="str">
        <f t="shared" si="1140"/>
        <v>NIS</v>
      </c>
      <c r="O4486">
        <v>6</v>
      </c>
      <c r="P4486" t="str">
        <f t="shared" si="1146"/>
        <v>Active</v>
      </c>
      <c r="Q4486" t="str">
        <f>"LM7 Content, Lab, GTC Resource Conservation"</f>
        <v>LM7 Content, Lab, GTC Resource Conservation</v>
      </c>
      <c r="S4486" t="str">
        <f>"LM7 Content, Lab, GTC Resource Conservation"</f>
        <v>LM7 Content, Lab, GTC Resource Conservation</v>
      </c>
      <c r="T4486">
        <v>0</v>
      </c>
      <c r="U4486">
        <v>5</v>
      </c>
      <c r="V4486">
        <v>5</v>
      </c>
      <c r="W4486" t="str">
        <f t="shared" si="1145"/>
        <v>zintel</v>
      </c>
    </row>
    <row r="4487" spans="1:23">
      <c r="A4487" t="str">
        <f t="shared" si="1147"/>
        <v>STEM-ENSYS-LAB02</v>
      </c>
      <c r="B4487" t="str">
        <f>"77-8110-0006"</f>
        <v>77-8110-0006</v>
      </c>
      <c r="C4487" t="str">
        <f>"LM7 Content, Lab, GTC Renewable Energy Experi."</f>
        <v>LM7 Content, Lab, GTC Renewable Energy Experi.</v>
      </c>
      <c r="D4487">
        <v>1</v>
      </c>
      <c r="E4487" t="str">
        <f t="shared" si="1148"/>
        <v>STEM: Energy &amp; Tech Systems,2 Student</v>
      </c>
      <c r="F4487">
        <v>0</v>
      </c>
      <c r="G4487" t="str">
        <f t="shared" si="1149"/>
        <v>Y</v>
      </c>
      <c r="H4487" t="str">
        <f t="shared" ref="H4487:H4518" si="1151">"EA"</f>
        <v>EA</v>
      </c>
      <c r="I4487">
        <v>0</v>
      </c>
      <c r="J4487">
        <v>0</v>
      </c>
      <c r="K4487" t="str">
        <f t="shared" si="1150"/>
        <v>Y</v>
      </c>
      <c r="L4487">
        <v>0</v>
      </c>
      <c r="M4487" t="str">
        <f t="shared" si="1140"/>
        <v>NIS</v>
      </c>
      <c r="O4487">
        <v>7</v>
      </c>
      <c r="P4487" t="str">
        <f t="shared" si="1146"/>
        <v>Active</v>
      </c>
      <c r="Q4487" t="str">
        <f>"LM7 Content, Lab, GTC Renewable Energy Experi."</f>
        <v>LM7 Content, Lab, GTC Renewable Energy Experi.</v>
      </c>
      <c r="S4487" t="str">
        <f>"LM7 Content, Lab, GTC Renewable Energy Experi."</f>
        <v>LM7 Content, Lab, GTC Renewable Energy Experi.</v>
      </c>
      <c r="T4487">
        <v>0</v>
      </c>
      <c r="U4487">
        <v>5</v>
      </c>
      <c r="V4487">
        <v>5</v>
      </c>
      <c r="W4487" t="str">
        <f t="shared" si="1145"/>
        <v>zintel</v>
      </c>
    </row>
    <row r="4488" spans="1:23">
      <c r="A4488" t="str">
        <f t="shared" ref="A4488:A4494" si="1152">"STEM-ENSYS-LAB10"</f>
        <v>STEM-ENSYS-LAB10</v>
      </c>
      <c r="B4488" t="str">
        <f>"10-8110-1010"</f>
        <v>10-8110-1010</v>
      </c>
      <c r="C4488" t="str">
        <f>"Green Tech. Curriculum (GTC) Course Mat. 10 Pack"</f>
        <v>Green Tech. Curriculum (GTC) Course Mat. 10 Pack</v>
      </c>
      <c r="D4488">
        <v>1</v>
      </c>
      <c r="E4488" t="str">
        <f t="shared" ref="E4488:E4494" si="1153">"STEM: Energy &amp; Tech Systems, 10 Student"</f>
        <v>STEM: Energy &amp; Tech Systems, 10 Student</v>
      </c>
      <c r="F4488">
        <v>0</v>
      </c>
      <c r="G4488" t="str">
        <f t="shared" si="1149"/>
        <v>Y</v>
      </c>
      <c r="H4488" t="str">
        <f t="shared" si="1151"/>
        <v>EA</v>
      </c>
      <c r="I4488">
        <v>0</v>
      </c>
      <c r="J4488">
        <v>0</v>
      </c>
      <c r="K4488" t="str">
        <f t="shared" si="1150"/>
        <v>Y</v>
      </c>
      <c r="L4488">
        <v>0</v>
      </c>
      <c r="M4488" t="str">
        <f t="shared" si="1140"/>
        <v>NIS</v>
      </c>
      <c r="O4488">
        <v>1</v>
      </c>
      <c r="P4488" t="str">
        <f t="shared" si="1146"/>
        <v>Active</v>
      </c>
      <c r="Q4488" t="str">
        <f>"Green Tech. Curriculum (GTC) Course Mat. 10 Pack"</f>
        <v>Green Tech. Curriculum (GTC) Course Mat. 10 Pack</v>
      </c>
      <c r="S4488" t="str">
        <f>"Green Tech. Curriculum (GTC) Course Mat. 10 Pack"</f>
        <v>Green Tech. Curriculum (GTC) Course Mat. 10 Pack</v>
      </c>
      <c r="T4488" s="44">
        <v>5234.87</v>
      </c>
      <c r="U4488" s="44">
        <v>4829.22</v>
      </c>
      <c r="V4488" s="44">
        <v>5022.3900000000003</v>
      </c>
      <c r="W4488" t="str">
        <f t="shared" si="1145"/>
        <v>zintel</v>
      </c>
    </row>
    <row r="4489" spans="1:23">
      <c r="A4489" t="str">
        <f t="shared" si="1152"/>
        <v>STEM-ENSYS-LAB10</v>
      </c>
      <c r="B4489" t="str">
        <f>"77-8110-0001"</f>
        <v>77-8110-0001</v>
      </c>
      <c r="C4489" t="str">
        <f>"LM7 Content, Lab, GTC Intro to Green Tech"</f>
        <v>LM7 Content, Lab, GTC Intro to Green Tech</v>
      </c>
      <c r="D4489">
        <v>1</v>
      </c>
      <c r="E4489" t="str">
        <f t="shared" si="1153"/>
        <v>STEM: Energy &amp; Tech Systems, 10 Student</v>
      </c>
      <c r="F4489">
        <v>0</v>
      </c>
      <c r="G4489" t="str">
        <f t="shared" si="1149"/>
        <v>Y</v>
      </c>
      <c r="H4489" t="str">
        <f t="shared" si="1151"/>
        <v>EA</v>
      </c>
      <c r="I4489">
        <v>0</v>
      </c>
      <c r="J4489">
        <v>0</v>
      </c>
      <c r="K4489" t="str">
        <f t="shared" si="1150"/>
        <v>Y</v>
      </c>
      <c r="L4489">
        <v>0</v>
      </c>
      <c r="M4489" t="str">
        <f t="shared" si="1140"/>
        <v>NIS</v>
      </c>
      <c r="O4489">
        <v>2</v>
      </c>
      <c r="P4489" t="str">
        <f t="shared" si="1146"/>
        <v>Active</v>
      </c>
      <c r="Q4489" t="str">
        <f>"LM7 Content, Lab, GTC Intro to Green Tech"</f>
        <v>LM7 Content, Lab, GTC Intro to Green Tech</v>
      </c>
      <c r="S4489" t="str">
        <f>"LM7 Content, Lab, GTC Intro to Green Tech"</f>
        <v>LM7 Content, Lab, GTC Intro to Green Tech</v>
      </c>
      <c r="T4489">
        <v>0</v>
      </c>
      <c r="U4489">
        <v>5</v>
      </c>
      <c r="V4489">
        <v>5</v>
      </c>
      <c r="W4489" t="str">
        <f t="shared" si="1145"/>
        <v>zintel</v>
      </c>
    </row>
    <row r="4490" spans="1:23">
      <c r="A4490" t="str">
        <f t="shared" si="1152"/>
        <v>STEM-ENSYS-LAB10</v>
      </c>
      <c r="B4490" t="str">
        <f>"77-8110-0002"</f>
        <v>77-8110-0002</v>
      </c>
      <c r="C4490" t="str">
        <f>"LM7 Content, Lab, GTC Alternative Energy"</f>
        <v>LM7 Content, Lab, GTC Alternative Energy</v>
      </c>
      <c r="D4490">
        <v>1</v>
      </c>
      <c r="E4490" t="str">
        <f t="shared" si="1153"/>
        <v>STEM: Energy &amp; Tech Systems, 10 Student</v>
      </c>
      <c r="F4490">
        <v>0</v>
      </c>
      <c r="G4490" t="str">
        <f t="shared" si="1149"/>
        <v>Y</v>
      </c>
      <c r="H4490" t="str">
        <f t="shared" si="1151"/>
        <v>EA</v>
      </c>
      <c r="I4490">
        <v>0</v>
      </c>
      <c r="J4490">
        <v>0</v>
      </c>
      <c r="K4490" t="str">
        <f t="shared" si="1150"/>
        <v>Y</v>
      </c>
      <c r="L4490">
        <v>0</v>
      </c>
      <c r="M4490" t="str">
        <f t="shared" si="1140"/>
        <v>NIS</v>
      </c>
      <c r="O4490">
        <v>3</v>
      </c>
      <c r="P4490" t="str">
        <f t="shared" si="1146"/>
        <v>Active</v>
      </c>
      <c r="Q4490" t="str">
        <f>"LM7 Content, Lab, GTC Alternative Energy"</f>
        <v>LM7 Content, Lab, GTC Alternative Energy</v>
      </c>
      <c r="S4490" t="str">
        <f>"LM7 Content, Lab, GTC Alternative Energy"</f>
        <v>LM7 Content, Lab, GTC Alternative Energy</v>
      </c>
      <c r="T4490">
        <v>0</v>
      </c>
      <c r="U4490">
        <v>5</v>
      </c>
      <c r="V4490">
        <v>5</v>
      </c>
      <c r="W4490" t="str">
        <f t="shared" si="1145"/>
        <v>zintel</v>
      </c>
    </row>
    <row r="4491" spans="1:23">
      <c r="A4491" t="str">
        <f t="shared" si="1152"/>
        <v>STEM-ENSYS-LAB10</v>
      </c>
      <c r="B4491" t="str">
        <f>"77-8110-0003"</f>
        <v>77-8110-0003</v>
      </c>
      <c r="C4491" t="str">
        <f>"LM7 Content, Lab, GTC Green Transportation"</f>
        <v>LM7 Content, Lab, GTC Green Transportation</v>
      </c>
      <c r="D4491">
        <v>1</v>
      </c>
      <c r="E4491" t="str">
        <f t="shared" si="1153"/>
        <v>STEM: Energy &amp; Tech Systems, 10 Student</v>
      </c>
      <c r="F4491">
        <v>0</v>
      </c>
      <c r="G4491" t="str">
        <f t="shared" si="1149"/>
        <v>Y</v>
      </c>
      <c r="H4491" t="str">
        <f t="shared" si="1151"/>
        <v>EA</v>
      </c>
      <c r="I4491">
        <v>0</v>
      </c>
      <c r="J4491">
        <v>0</v>
      </c>
      <c r="K4491" t="str">
        <f t="shared" si="1150"/>
        <v>Y</v>
      </c>
      <c r="L4491">
        <v>0</v>
      </c>
      <c r="M4491" t="str">
        <f t="shared" si="1140"/>
        <v>NIS</v>
      </c>
      <c r="O4491">
        <v>4</v>
      </c>
      <c r="P4491" t="str">
        <f t="shared" si="1146"/>
        <v>Active</v>
      </c>
      <c r="Q4491" t="str">
        <f>"LM7 Content, Lab, GTC Green Transportation"</f>
        <v>LM7 Content, Lab, GTC Green Transportation</v>
      </c>
      <c r="S4491" t="str">
        <f>"LM7 Content, Lab, GTC Green Transportation"</f>
        <v>LM7 Content, Lab, GTC Green Transportation</v>
      </c>
      <c r="T4491">
        <v>0</v>
      </c>
      <c r="U4491">
        <v>5</v>
      </c>
      <c r="V4491">
        <v>5</v>
      </c>
      <c r="W4491" t="str">
        <f t="shared" si="1145"/>
        <v>zintel</v>
      </c>
    </row>
    <row r="4492" spans="1:23">
      <c r="A4492" t="str">
        <f t="shared" si="1152"/>
        <v>STEM-ENSYS-LAB10</v>
      </c>
      <c r="B4492" t="str">
        <f>"77-8110-0004"</f>
        <v>77-8110-0004</v>
      </c>
      <c r="C4492" t="str">
        <f>"LM7 Content, Lab, GTC Green Construction"</f>
        <v>LM7 Content, Lab, GTC Green Construction</v>
      </c>
      <c r="D4492">
        <v>1</v>
      </c>
      <c r="E4492" t="str">
        <f t="shared" si="1153"/>
        <v>STEM: Energy &amp; Tech Systems, 10 Student</v>
      </c>
      <c r="F4492">
        <v>0</v>
      </c>
      <c r="G4492" t="str">
        <f t="shared" si="1149"/>
        <v>Y</v>
      </c>
      <c r="H4492" t="str">
        <f t="shared" si="1151"/>
        <v>EA</v>
      </c>
      <c r="I4492">
        <v>0</v>
      </c>
      <c r="J4492">
        <v>0</v>
      </c>
      <c r="K4492" t="str">
        <f t="shared" si="1150"/>
        <v>Y</v>
      </c>
      <c r="L4492">
        <v>0</v>
      </c>
      <c r="M4492" t="str">
        <f t="shared" si="1140"/>
        <v>NIS</v>
      </c>
      <c r="O4492">
        <v>5</v>
      </c>
      <c r="P4492" t="str">
        <f t="shared" si="1146"/>
        <v>Active</v>
      </c>
      <c r="Q4492" t="str">
        <f>"LM7 Content, Lab, GTC Green Construction"</f>
        <v>LM7 Content, Lab, GTC Green Construction</v>
      </c>
      <c r="S4492" t="str">
        <f>"LM7 Content, Lab, GTC Green Construction"</f>
        <v>LM7 Content, Lab, GTC Green Construction</v>
      </c>
      <c r="T4492">
        <v>0</v>
      </c>
      <c r="U4492">
        <v>5</v>
      </c>
      <c r="V4492">
        <v>5</v>
      </c>
      <c r="W4492" t="str">
        <f t="shared" si="1145"/>
        <v>zintel</v>
      </c>
    </row>
    <row r="4493" spans="1:23">
      <c r="A4493" t="str">
        <f t="shared" si="1152"/>
        <v>STEM-ENSYS-LAB10</v>
      </c>
      <c r="B4493" t="str">
        <f>"77-8110-0005"</f>
        <v>77-8110-0005</v>
      </c>
      <c r="C4493" t="str">
        <f>"LM7 Content, Lab, GTC Resource Conservation"</f>
        <v>LM7 Content, Lab, GTC Resource Conservation</v>
      </c>
      <c r="D4493">
        <v>1</v>
      </c>
      <c r="E4493" t="str">
        <f t="shared" si="1153"/>
        <v>STEM: Energy &amp; Tech Systems, 10 Student</v>
      </c>
      <c r="F4493">
        <v>0</v>
      </c>
      <c r="G4493" t="str">
        <f t="shared" si="1149"/>
        <v>Y</v>
      </c>
      <c r="H4493" t="str">
        <f t="shared" si="1151"/>
        <v>EA</v>
      </c>
      <c r="I4493">
        <v>0</v>
      </c>
      <c r="J4493">
        <v>0</v>
      </c>
      <c r="K4493" t="str">
        <f t="shared" si="1150"/>
        <v>Y</v>
      </c>
      <c r="L4493">
        <v>0</v>
      </c>
      <c r="M4493" t="str">
        <f t="shared" si="1140"/>
        <v>NIS</v>
      </c>
      <c r="O4493">
        <v>6</v>
      </c>
      <c r="P4493" t="str">
        <f t="shared" si="1146"/>
        <v>Active</v>
      </c>
      <c r="Q4493" t="str">
        <f>"LM7 Content, Lab, GTC Resource Conservation"</f>
        <v>LM7 Content, Lab, GTC Resource Conservation</v>
      </c>
      <c r="S4493" t="str">
        <f>"LM7 Content, Lab, GTC Resource Conservation"</f>
        <v>LM7 Content, Lab, GTC Resource Conservation</v>
      </c>
      <c r="T4493">
        <v>0</v>
      </c>
      <c r="U4493">
        <v>5</v>
      </c>
      <c r="V4493">
        <v>5</v>
      </c>
      <c r="W4493" t="str">
        <f t="shared" ref="W4493:W4524" si="1154">"zintel"</f>
        <v>zintel</v>
      </c>
    </row>
    <row r="4494" spans="1:23">
      <c r="A4494" t="str">
        <f t="shared" si="1152"/>
        <v>STEM-ENSYS-LAB10</v>
      </c>
      <c r="B4494" t="str">
        <f>"77-8110-0006"</f>
        <v>77-8110-0006</v>
      </c>
      <c r="C4494" t="str">
        <f>"LM7 Content, Lab, GTC Renewable Energy Experi."</f>
        <v>LM7 Content, Lab, GTC Renewable Energy Experi.</v>
      </c>
      <c r="D4494">
        <v>1</v>
      </c>
      <c r="E4494" t="str">
        <f t="shared" si="1153"/>
        <v>STEM: Energy &amp; Tech Systems, 10 Student</v>
      </c>
      <c r="F4494">
        <v>0</v>
      </c>
      <c r="G4494" t="str">
        <f t="shared" si="1149"/>
        <v>Y</v>
      </c>
      <c r="H4494" t="str">
        <f t="shared" si="1151"/>
        <v>EA</v>
      </c>
      <c r="I4494">
        <v>0</v>
      </c>
      <c r="J4494">
        <v>0</v>
      </c>
      <c r="K4494" t="str">
        <f t="shared" si="1150"/>
        <v>Y</v>
      </c>
      <c r="L4494">
        <v>0</v>
      </c>
      <c r="M4494" t="str">
        <f t="shared" si="1140"/>
        <v>NIS</v>
      </c>
      <c r="O4494">
        <v>7</v>
      </c>
      <c r="P4494" t="str">
        <f t="shared" si="1146"/>
        <v>Active</v>
      </c>
      <c r="Q4494" t="str">
        <f>"LM7 Content, Lab, GTC Renewable Energy Experi."</f>
        <v>LM7 Content, Lab, GTC Renewable Energy Experi.</v>
      </c>
      <c r="S4494" t="str">
        <f>"LM7 Content, Lab, GTC Renewable Energy Experi."</f>
        <v>LM7 Content, Lab, GTC Renewable Energy Experi.</v>
      </c>
      <c r="T4494">
        <v>0</v>
      </c>
      <c r="U4494">
        <v>5</v>
      </c>
      <c r="V4494">
        <v>5</v>
      </c>
      <c r="W4494" t="str">
        <f t="shared" si="1154"/>
        <v>zintel</v>
      </c>
    </row>
    <row r="4495" spans="1:23">
      <c r="A4495" t="str">
        <f t="shared" ref="A4495:A4501" si="1155">"STEM-ENSYS-LAB20"</f>
        <v>STEM-ENSYS-LAB20</v>
      </c>
      <c r="B4495" t="str">
        <f>"10-8110-1020"</f>
        <v>10-8110-1020</v>
      </c>
      <c r="C4495" t="str">
        <f>"Green Tech. Curriculum (GTC) Course Mat. 20 Pack"</f>
        <v>Green Tech. Curriculum (GTC) Course Mat. 20 Pack</v>
      </c>
      <c r="D4495">
        <v>1</v>
      </c>
      <c r="E4495" t="str">
        <f t="shared" ref="E4495:E4501" si="1156">"STEM: Energy &amp; Tech Systems, 20 Student"</f>
        <v>STEM: Energy &amp; Tech Systems, 20 Student</v>
      </c>
      <c r="F4495">
        <v>0</v>
      </c>
      <c r="G4495" t="str">
        <f t="shared" si="1149"/>
        <v>Y</v>
      </c>
      <c r="H4495" t="str">
        <f t="shared" si="1151"/>
        <v>EA</v>
      </c>
      <c r="I4495">
        <v>0</v>
      </c>
      <c r="J4495">
        <v>0</v>
      </c>
      <c r="K4495" t="str">
        <f t="shared" si="1150"/>
        <v>Y</v>
      </c>
      <c r="L4495">
        <v>0</v>
      </c>
      <c r="M4495" t="str">
        <f t="shared" si="1140"/>
        <v>NIS</v>
      </c>
      <c r="O4495">
        <v>1</v>
      </c>
      <c r="P4495" t="str">
        <f t="shared" si="1146"/>
        <v>Active</v>
      </c>
      <c r="Q4495" t="str">
        <f>"Green Tech. Curriculum (GTC) Course Mat. 20 Pack"</f>
        <v>Green Tech. Curriculum (GTC) Course Mat. 20 Pack</v>
      </c>
      <c r="S4495" t="str">
        <f>"Green Tech. Curriculum (GTC) Course Mat. 20 Pack"</f>
        <v>Green Tech. Curriculum (GTC) Course Mat. 20 Pack</v>
      </c>
      <c r="T4495" s="44">
        <v>8407.5300000000007</v>
      </c>
      <c r="U4495" s="44">
        <v>7756.02</v>
      </c>
      <c r="V4495" s="44">
        <v>8066.26</v>
      </c>
      <c r="W4495" t="str">
        <f t="shared" si="1154"/>
        <v>zintel</v>
      </c>
    </row>
    <row r="4496" spans="1:23">
      <c r="A4496" t="str">
        <f t="shared" si="1155"/>
        <v>STEM-ENSYS-LAB20</v>
      </c>
      <c r="B4496" t="str">
        <f>"77-8110-0001"</f>
        <v>77-8110-0001</v>
      </c>
      <c r="C4496" t="str">
        <f>"LM7 Content, Lab, GTC Intro to Green Tech"</f>
        <v>LM7 Content, Lab, GTC Intro to Green Tech</v>
      </c>
      <c r="D4496">
        <v>1</v>
      </c>
      <c r="E4496" t="str">
        <f t="shared" si="1156"/>
        <v>STEM: Energy &amp; Tech Systems, 20 Student</v>
      </c>
      <c r="F4496">
        <v>0</v>
      </c>
      <c r="G4496" t="str">
        <f t="shared" si="1149"/>
        <v>Y</v>
      </c>
      <c r="H4496" t="str">
        <f t="shared" si="1151"/>
        <v>EA</v>
      </c>
      <c r="I4496">
        <v>0</v>
      </c>
      <c r="J4496">
        <v>0</v>
      </c>
      <c r="K4496" t="str">
        <f t="shared" si="1150"/>
        <v>Y</v>
      </c>
      <c r="L4496">
        <v>0</v>
      </c>
      <c r="M4496" t="str">
        <f t="shared" si="1140"/>
        <v>NIS</v>
      </c>
      <c r="O4496">
        <v>2</v>
      </c>
      <c r="P4496" t="str">
        <f t="shared" si="1146"/>
        <v>Active</v>
      </c>
      <c r="Q4496" t="str">
        <f>"LM7 Content, Lab, GTC Intro to Green Tech"</f>
        <v>LM7 Content, Lab, GTC Intro to Green Tech</v>
      </c>
      <c r="S4496" t="str">
        <f>"LM7 Content, Lab, GTC Intro to Green Tech"</f>
        <v>LM7 Content, Lab, GTC Intro to Green Tech</v>
      </c>
      <c r="T4496">
        <v>0</v>
      </c>
      <c r="U4496">
        <v>5</v>
      </c>
      <c r="V4496">
        <v>5</v>
      </c>
      <c r="W4496" t="str">
        <f t="shared" si="1154"/>
        <v>zintel</v>
      </c>
    </row>
    <row r="4497" spans="1:23">
      <c r="A4497" t="str">
        <f t="shared" si="1155"/>
        <v>STEM-ENSYS-LAB20</v>
      </c>
      <c r="B4497" t="str">
        <f>"77-8110-0002"</f>
        <v>77-8110-0002</v>
      </c>
      <c r="C4497" t="str">
        <f>"LM7 Content, Lab, GTC Alternative Energy"</f>
        <v>LM7 Content, Lab, GTC Alternative Energy</v>
      </c>
      <c r="D4497">
        <v>1</v>
      </c>
      <c r="E4497" t="str">
        <f t="shared" si="1156"/>
        <v>STEM: Energy &amp; Tech Systems, 20 Student</v>
      </c>
      <c r="F4497">
        <v>0</v>
      </c>
      <c r="G4497" t="str">
        <f t="shared" si="1149"/>
        <v>Y</v>
      </c>
      <c r="H4497" t="str">
        <f t="shared" si="1151"/>
        <v>EA</v>
      </c>
      <c r="I4497">
        <v>0</v>
      </c>
      <c r="J4497">
        <v>0</v>
      </c>
      <c r="K4497" t="str">
        <f t="shared" si="1150"/>
        <v>Y</v>
      </c>
      <c r="L4497">
        <v>0</v>
      </c>
      <c r="M4497" t="str">
        <f t="shared" si="1140"/>
        <v>NIS</v>
      </c>
      <c r="O4497">
        <v>3</v>
      </c>
      <c r="P4497" t="str">
        <f t="shared" si="1146"/>
        <v>Active</v>
      </c>
      <c r="Q4497" t="str">
        <f>"LM7 Content, Lab, GTC Alternative Energy"</f>
        <v>LM7 Content, Lab, GTC Alternative Energy</v>
      </c>
      <c r="S4497" t="str">
        <f>"LM7 Content, Lab, GTC Alternative Energy"</f>
        <v>LM7 Content, Lab, GTC Alternative Energy</v>
      </c>
      <c r="T4497">
        <v>0</v>
      </c>
      <c r="U4497">
        <v>5</v>
      </c>
      <c r="V4497">
        <v>5</v>
      </c>
      <c r="W4497" t="str">
        <f t="shared" si="1154"/>
        <v>zintel</v>
      </c>
    </row>
    <row r="4498" spans="1:23">
      <c r="A4498" t="str">
        <f t="shared" si="1155"/>
        <v>STEM-ENSYS-LAB20</v>
      </c>
      <c r="B4498" t="str">
        <f>"77-8110-0003"</f>
        <v>77-8110-0003</v>
      </c>
      <c r="C4498" t="str">
        <f>"LM7 Content, Lab, GTC Green Transportation"</f>
        <v>LM7 Content, Lab, GTC Green Transportation</v>
      </c>
      <c r="D4498">
        <v>1</v>
      </c>
      <c r="E4498" t="str">
        <f t="shared" si="1156"/>
        <v>STEM: Energy &amp; Tech Systems, 20 Student</v>
      </c>
      <c r="F4498">
        <v>0</v>
      </c>
      <c r="G4498" t="str">
        <f t="shared" si="1149"/>
        <v>Y</v>
      </c>
      <c r="H4498" t="str">
        <f t="shared" si="1151"/>
        <v>EA</v>
      </c>
      <c r="I4498">
        <v>0</v>
      </c>
      <c r="J4498">
        <v>0</v>
      </c>
      <c r="K4498" t="str">
        <f t="shared" si="1150"/>
        <v>Y</v>
      </c>
      <c r="L4498">
        <v>0</v>
      </c>
      <c r="M4498" t="str">
        <f t="shared" si="1140"/>
        <v>NIS</v>
      </c>
      <c r="O4498">
        <v>4</v>
      </c>
      <c r="P4498" t="str">
        <f t="shared" si="1146"/>
        <v>Active</v>
      </c>
      <c r="Q4498" t="str">
        <f>"LM7 Content, Lab, GTC Green Transportation"</f>
        <v>LM7 Content, Lab, GTC Green Transportation</v>
      </c>
      <c r="S4498" t="str">
        <f>"LM7 Content, Lab, GTC Green Transportation"</f>
        <v>LM7 Content, Lab, GTC Green Transportation</v>
      </c>
      <c r="T4498">
        <v>0</v>
      </c>
      <c r="U4498">
        <v>5</v>
      </c>
      <c r="V4498">
        <v>5</v>
      </c>
      <c r="W4498" t="str">
        <f t="shared" si="1154"/>
        <v>zintel</v>
      </c>
    </row>
    <row r="4499" spans="1:23">
      <c r="A4499" t="str">
        <f t="shared" si="1155"/>
        <v>STEM-ENSYS-LAB20</v>
      </c>
      <c r="B4499" t="str">
        <f>"77-8110-0004"</f>
        <v>77-8110-0004</v>
      </c>
      <c r="C4499" t="str">
        <f>"LM7 Content, Lab, GTC Green Construction"</f>
        <v>LM7 Content, Lab, GTC Green Construction</v>
      </c>
      <c r="D4499">
        <v>1</v>
      </c>
      <c r="E4499" t="str">
        <f t="shared" si="1156"/>
        <v>STEM: Energy &amp; Tech Systems, 20 Student</v>
      </c>
      <c r="F4499">
        <v>0</v>
      </c>
      <c r="G4499" t="str">
        <f t="shared" si="1149"/>
        <v>Y</v>
      </c>
      <c r="H4499" t="str">
        <f t="shared" si="1151"/>
        <v>EA</v>
      </c>
      <c r="I4499">
        <v>0</v>
      </c>
      <c r="J4499">
        <v>0</v>
      </c>
      <c r="K4499" t="str">
        <f t="shared" si="1150"/>
        <v>Y</v>
      </c>
      <c r="L4499">
        <v>0</v>
      </c>
      <c r="M4499" t="str">
        <f t="shared" si="1140"/>
        <v>NIS</v>
      </c>
      <c r="O4499">
        <v>5</v>
      </c>
      <c r="P4499" t="str">
        <f t="shared" si="1146"/>
        <v>Active</v>
      </c>
      <c r="Q4499" t="str">
        <f>"LM7 Content, Lab, GTC Green Construction"</f>
        <v>LM7 Content, Lab, GTC Green Construction</v>
      </c>
      <c r="S4499" t="str">
        <f>"LM7 Content, Lab, GTC Green Construction"</f>
        <v>LM7 Content, Lab, GTC Green Construction</v>
      </c>
      <c r="T4499">
        <v>0</v>
      </c>
      <c r="U4499">
        <v>5</v>
      </c>
      <c r="V4499">
        <v>5</v>
      </c>
      <c r="W4499" t="str">
        <f t="shared" si="1154"/>
        <v>zintel</v>
      </c>
    </row>
    <row r="4500" spans="1:23">
      <c r="A4500" t="str">
        <f t="shared" si="1155"/>
        <v>STEM-ENSYS-LAB20</v>
      </c>
      <c r="B4500" t="str">
        <f>"77-8110-0005"</f>
        <v>77-8110-0005</v>
      </c>
      <c r="C4500" t="str">
        <f>"LM7 Content, Lab, GTC Resource Conservation"</f>
        <v>LM7 Content, Lab, GTC Resource Conservation</v>
      </c>
      <c r="D4500">
        <v>1</v>
      </c>
      <c r="E4500" t="str">
        <f t="shared" si="1156"/>
        <v>STEM: Energy &amp; Tech Systems, 20 Student</v>
      </c>
      <c r="F4500">
        <v>0</v>
      </c>
      <c r="G4500" t="str">
        <f t="shared" si="1149"/>
        <v>Y</v>
      </c>
      <c r="H4500" t="str">
        <f t="shared" si="1151"/>
        <v>EA</v>
      </c>
      <c r="I4500">
        <v>0</v>
      </c>
      <c r="J4500">
        <v>0</v>
      </c>
      <c r="K4500" t="str">
        <f t="shared" si="1150"/>
        <v>Y</v>
      </c>
      <c r="L4500">
        <v>0</v>
      </c>
      <c r="M4500" t="str">
        <f t="shared" ref="M4500:M4563" si="1157">"NIS"</f>
        <v>NIS</v>
      </c>
      <c r="O4500">
        <v>6</v>
      </c>
      <c r="P4500" t="str">
        <f t="shared" si="1146"/>
        <v>Active</v>
      </c>
      <c r="Q4500" t="str">
        <f>"LM7 Content, Lab, GTC Resource Conservation"</f>
        <v>LM7 Content, Lab, GTC Resource Conservation</v>
      </c>
      <c r="S4500" t="str">
        <f>"LM7 Content, Lab, GTC Resource Conservation"</f>
        <v>LM7 Content, Lab, GTC Resource Conservation</v>
      </c>
      <c r="T4500">
        <v>0</v>
      </c>
      <c r="U4500">
        <v>5</v>
      </c>
      <c r="V4500">
        <v>5</v>
      </c>
      <c r="W4500" t="str">
        <f t="shared" si="1154"/>
        <v>zintel</v>
      </c>
    </row>
    <row r="4501" spans="1:23">
      <c r="A4501" t="str">
        <f t="shared" si="1155"/>
        <v>STEM-ENSYS-LAB20</v>
      </c>
      <c r="B4501" t="str">
        <f>"77-8110-0006"</f>
        <v>77-8110-0006</v>
      </c>
      <c r="C4501" t="str">
        <f>"LM7 Content, Lab, GTC Renewable Energy Experi."</f>
        <v>LM7 Content, Lab, GTC Renewable Energy Experi.</v>
      </c>
      <c r="D4501">
        <v>1</v>
      </c>
      <c r="E4501" t="str">
        <f t="shared" si="1156"/>
        <v>STEM: Energy &amp; Tech Systems, 20 Student</v>
      </c>
      <c r="F4501">
        <v>0</v>
      </c>
      <c r="G4501" t="str">
        <f t="shared" si="1149"/>
        <v>Y</v>
      </c>
      <c r="H4501" t="str">
        <f t="shared" si="1151"/>
        <v>EA</v>
      </c>
      <c r="I4501">
        <v>0</v>
      </c>
      <c r="J4501">
        <v>0</v>
      </c>
      <c r="K4501" t="str">
        <f t="shared" si="1150"/>
        <v>Y</v>
      </c>
      <c r="L4501">
        <v>0</v>
      </c>
      <c r="M4501" t="str">
        <f t="shared" si="1157"/>
        <v>NIS</v>
      </c>
      <c r="O4501">
        <v>7</v>
      </c>
      <c r="P4501" t="str">
        <f t="shared" si="1146"/>
        <v>Active</v>
      </c>
      <c r="Q4501" t="str">
        <f>"LM7 Content, Lab, GTC Renewable Energy Experi."</f>
        <v>LM7 Content, Lab, GTC Renewable Energy Experi.</v>
      </c>
      <c r="S4501" t="str">
        <f>"LM7 Content, Lab, GTC Renewable Energy Experi."</f>
        <v>LM7 Content, Lab, GTC Renewable Energy Experi.</v>
      </c>
      <c r="T4501">
        <v>0</v>
      </c>
      <c r="U4501">
        <v>5</v>
      </c>
      <c r="V4501">
        <v>5</v>
      </c>
      <c r="W4501" t="str">
        <f t="shared" si="1154"/>
        <v>zintel</v>
      </c>
    </row>
    <row r="4502" spans="1:23">
      <c r="A4502" t="str">
        <f t="shared" ref="A4502:A4508" si="1158">"STEM-ENSYS-LAB30"</f>
        <v>STEM-ENSYS-LAB30</v>
      </c>
      <c r="B4502" t="str">
        <f>"10-8110-1030"</f>
        <v>10-8110-1030</v>
      </c>
      <c r="C4502" t="str">
        <f>"Green Tech. Curriculum (GTC) Course Mat. 30 Pack"</f>
        <v>Green Tech. Curriculum (GTC) Course Mat. 30 Pack</v>
      </c>
      <c r="D4502">
        <v>1</v>
      </c>
      <c r="E4502" t="str">
        <f t="shared" ref="E4502:E4508" si="1159">"STEM: Energy &amp; Tech Systems, 30 Student"</f>
        <v>STEM: Energy &amp; Tech Systems, 30 Student</v>
      </c>
      <c r="F4502">
        <v>0</v>
      </c>
      <c r="G4502" t="str">
        <f t="shared" si="1149"/>
        <v>Y</v>
      </c>
      <c r="H4502" t="str">
        <f t="shared" si="1151"/>
        <v>EA</v>
      </c>
      <c r="I4502">
        <v>0</v>
      </c>
      <c r="J4502">
        <v>0</v>
      </c>
      <c r="K4502" t="str">
        <f t="shared" si="1150"/>
        <v>Y</v>
      </c>
      <c r="L4502">
        <v>0</v>
      </c>
      <c r="M4502" t="str">
        <f t="shared" si="1157"/>
        <v>NIS</v>
      </c>
      <c r="O4502">
        <v>1</v>
      </c>
      <c r="P4502" t="str">
        <f t="shared" si="1146"/>
        <v>Active</v>
      </c>
      <c r="Q4502" t="str">
        <f>"Green Tech. Curriculum (GTC) Course Mat. 30 Pack"</f>
        <v>Green Tech. Curriculum (GTC) Course Mat. 30 Pack</v>
      </c>
      <c r="S4502" t="str">
        <f>"Green Tech. Curriculum (GTC) Course Mat. 30 Pack"</f>
        <v>Green Tech. Curriculum (GTC) Course Mat. 30 Pack</v>
      </c>
      <c r="T4502" s="44">
        <v>11580.18</v>
      </c>
      <c r="U4502" s="44">
        <v>10682.82</v>
      </c>
      <c r="V4502" s="44">
        <v>11110.13</v>
      </c>
      <c r="W4502" t="str">
        <f t="shared" si="1154"/>
        <v>zintel</v>
      </c>
    </row>
    <row r="4503" spans="1:23">
      <c r="A4503" t="str">
        <f t="shared" si="1158"/>
        <v>STEM-ENSYS-LAB30</v>
      </c>
      <c r="B4503" t="str">
        <f>"77-8110-0001"</f>
        <v>77-8110-0001</v>
      </c>
      <c r="C4503" t="str">
        <f>"LM7 Content, Lab, GTC Intro to Green Tech"</f>
        <v>LM7 Content, Lab, GTC Intro to Green Tech</v>
      </c>
      <c r="D4503">
        <v>1</v>
      </c>
      <c r="E4503" t="str">
        <f t="shared" si="1159"/>
        <v>STEM: Energy &amp; Tech Systems, 30 Student</v>
      </c>
      <c r="F4503">
        <v>0</v>
      </c>
      <c r="G4503" t="str">
        <f t="shared" si="1149"/>
        <v>Y</v>
      </c>
      <c r="H4503" t="str">
        <f t="shared" si="1151"/>
        <v>EA</v>
      </c>
      <c r="I4503">
        <v>0</v>
      </c>
      <c r="J4503">
        <v>0</v>
      </c>
      <c r="K4503" t="str">
        <f t="shared" si="1150"/>
        <v>Y</v>
      </c>
      <c r="L4503">
        <v>0</v>
      </c>
      <c r="M4503" t="str">
        <f t="shared" si="1157"/>
        <v>NIS</v>
      </c>
      <c r="O4503">
        <v>2</v>
      </c>
      <c r="P4503" t="str">
        <f t="shared" si="1146"/>
        <v>Active</v>
      </c>
      <c r="Q4503" t="str">
        <f>"LM7 Content, Lab, GTC Intro to Green Tech"</f>
        <v>LM7 Content, Lab, GTC Intro to Green Tech</v>
      </c>
      <c r="S4503" t="str">
        <f>"LM7 Content, Lab, GTC Intro to Green Tech"</f>
        <v>LM7 Content, Lab, GTC Intro to Green Tech</v>
      </c>
      <c r="T4503">
        <v>0</v>
      </c>
      <c r="U4503">
        <v>5</v>
      </c>
      <c r="V4503">
        <v>5</v>
      </c>
      <c r="W4503" t="str">
        <f t="shared" si="1154"/>
        <v>zintel</v>
      </c>
    </row>
    <row r="4504" spans="1:23">
      <c r="A4504" t="str">
        <f t="shared" si="1158"/>
        <v>STEM-ENSYS-LAB30</v>
      </c>
      <c r="B4504" t="str">
        <f>"77-8110-0002"</f>
        <v>77-8110-0002</v>
      </c>
      <c r="C4504" t="str">
        <f>"LM7 Content, Lab, GTC Alternative Energy"</f>
        <v>LM7 Content, Lab, GTC Alternative Energy</v>
      </c>
      <c r="D4504">
        <v>1</v>
      </c>
      <c r="E4504" t="str">
        <f t="shared" si="1159"/>
        <v>STEM: Energy &amp; Tech Systems, 30 Student</v>
      </c>
      <c r="F4504">
        <v>0</v>
      </c>
      <c r="G4504" t="str">
        <f t="shared" si="1149"/>
        <v>Y</v>
      </c>
      <c r="H4504" t="str">
        <f t="shared" si="1151"/>
        <v>EA</v>
      </c>
      <c r="I4504">
        <v>0</v>
      </c>
      <c r="J4504">
        <v>0</v>
      </c>
      <c r="K4504" t="str">
        <f t="shared" si="1150"/>
        <v>Y</v>
      </c>
      <c r="L4504">
        <v>0</v>
      </c>
      <c r="M4504" t="str">
        <f t="shared" si="1157"/>
        <v>NIS</v>
      </c>
      <c r="O4504">
        <v>3</v>
      </c>
      <c r="P4504" t="str">
        <f t="shared" ref="P4504:P4535" si="1160">"Active"</f>
        <v>Active</v>
      </c>
      <c r="Q4504" t="str">
        <f>"LM7 Content, Lab, GTC Alternative Energy"</f>
        <v>LM7 Content, Lab, GTC Alternative Energy</v>
      </c>
      <c r="S4504" t="str">
        <f>"LM7 Content, Lab, GTC Alternative Energy"</f>
        <v>LM7 Content, Lab, GTC Alternative Energy</v>
      </c>
      <c r="T4504">
        <v>0</v>
      </c>
      <c r="U4504">
        <v>5</v>
      </c>
      <c r="V4504">
        <v>5</v>
      </c>
      <c r="W4504" t="str">
        <f t="shared" si="1154"/>
        <v>zintel</v>
      </c>
    </row>
    <row r="4505" spans="1:23">
      <c r="A4505" t="str">
        <f t="shared" si="1158"/>
        <v>STEM-ENSYS-LAB30</v>
      </c>
      <c r="B4505" t="str">
        <f>"77-8110-0003"</f>
        <v>77-8110-0003</v>
      </c>
      <c r="C4505" t="str">
        <f>"LM7 Content, Lab, GTC Green Transportation"</f>
        <v>LM7 Content, Lab, GTC Green Transportation</v>
      </c>
      <c r="D4505">
        <v>1</v>
      </c>
      <c r="E4505" t="str">
        <f t="shared" si="1159"/>
        <v>STEM: Energy &amp; Tech Systems, 30 Student</v>
      </c>
      <c r="F4505">
        <v>0</v>
      </c>
      <c r="G4505" t="str">
        <f t="shared" si="1149"/>
        <v>Y</v>
      </c>
      <c r="H4505" t="str">
        <f t="shared" si="1151"/>
        <v>EA</v>
      </c>
      <c r="I4505">
        <v>0</v>
      </c>
      <c r="J4505">
        <v>0</v>
      </c>
      <c r="K4505" t="str">
        <f t="shared" si="1150"/>
        <v>Y</v>
      </c>
      <c r="L4505">
        <v>0</v>
      </c>
      <c r="M4505" t="str">
        <f t="shared" si="1157"/>
        <v>NIS</v>
      </c>
      <c r="O4505">
        <v>4</v>
      </c>
      <c r="P4505" t="str">
        <f t="shared" si="1160"/>
        <v>Active</v>
      </c>
      <c r="Q4505" t="str">
        <f>"LM7 Content, Lab, GTC Green Transportation"</f>
        <v>LM7 Content, Lab, GTC Green Transportation</v>
      </c>
      <c r="S4505" t="str">
        <f>"LM7 Content, Lab, GTC Green Transportation"</f>
        <v>LM7 Content, Lab, GTC Green Transportation</v>
      </c>
      <c r="T4505">
        <v>0</v>
      </c>
      <c r="U4505">
        <v>5</v>
      </c>
      <c r="V4505">
        <v>5</v>
      </c>
      <c r="W4505" t="str">
        <f t="shared" si="1154"/>
        <v>zintel</v>
      </c>
    </row>
    <row r="4506" spans="1:23">
      <c r="A4506" t="str">
        <f t="shared" si="1158"/>
        <v>STEM-ENSYS-LAB30</v>
      </c>
      <c r="B4506" t="str">
        <f>"77-8110-0004"</f>
        <v>77-8110-0004</v>
      </c>
      <c r="C4506" t="str">
        <f>"LM7 Content, Lab, GTC Green Construction"</f>
        <v>LM7 Content, Lab, GTC Green Construction</v>
      </c>
      <c r="D4506">
        <v>1</v>
      </c>
      <c r="E4506" t="str">
        <f t="shared" si="1159"/>
        <v>STEM: Energy &amp; Tech Systems, 30 Student</v>
      </c>
      <c r="F4506">
        <v>0</v>
      </c>
      <c r="G4506" t="str">
        <f t="shared" si="1149"/>
        <v>Y</v>
      </c>
      <c r="H4506" t="str">
        <f t="shared" si="1151"/>
        <v>EA</v>
      </c>
      <c r="I4506">
        <v>0</v>
      </c>
      <c r="J4506">
        <v>0</v>
      </c>
      <c r="K4506" t="str">
        <f t="shared" si="1150"/>
        <v>Y</v>
      </c>
      <c r="L4506">
        <v>0</v>
      </c>
      <c r="M4506" t="str">
        <f t="shared" si="1157"/>
        <v>NIS</v>
      </c>
      <c r="O4506">
        <v>5</v>
      </c>
      <c r="P4506" t="str">
        <f t="shared" si="1160"/>
        <v>Active</v>
      </c>
      <c r="Q4506" t="str">
        <f>"LM7 Content, Lab, GTC Green Construction"</f>
        <v>LM7 Content, Lab, GTC Green Construction</v>
      </c>
      <c r="S4506" t="str">
        <f>"LM7 Content, Lab, GTC Green Construction"</f>
        <v>LM7 Content, Lab, GTC Green Construction</v>
      </c>
      <c r="T4506">
        <v>0</v>
      </c>
      <c r="U4506">
        <v>5</v>
      </c>
      <c r="V4506">
        <v>5</v>
      </c>
      <c r="W4506" t="str">
        <f t="shared" si="1154"/>
        <v>zintel</v>
      </c>
    </row>
    <row r="4507" spans="1:23">
      <c r="A4507" t="str">
        <f t="shared" si="1158"/>
        <v>STEM-ENSYS-LAB30</v>
      </c>
      <c r="B4507" t="str">
        <f>"77-8110-0005"</f>
        <v>77-8110-0005</v>
      </c>
      <c r="C4507" t="str">
        <f>"LM7 Content, Lab, GTC Resource Conservation"</f>
        <v>LM7 Content, Lab, GTC Resource Conservation</v>
      </c>
      <c r="D4507">
        <v>1</v>
      </c>
      <c r="E4507" t="str">
        <f t="shared" si="1159"/>
        <v>STEM: Energy &amp; Tech Systems, 30 Student</v>
      </c>
      <c r="F4507">
        <v>0</v>
      </c>
      <c r="G4507" t="str">
        <f t="shared" si="1149"/>
        <v>Y</v>
      </c>
      <c r="H4507" t="str">
        <f t="shared" si="1151"/>
        <v>EA</v>
      </c>
      <c r="I4507">
        <v>0</v>
      </c>
      <c r="J4507">
        <v>0</v>
      </c>
      <c r="K4507" t="str">
        <f t="shared" si="1150"/>
        <v>Y</v>
      </c>
      <c r="L4507">
        <v>0</v>
      </c>
      <c r="M4507" t="str">
        <f t="shared" si="1157"/>
        <v>NIS</v>
      </c>
      <c r="O4507">
        <v>6</v>
      </c>
      <c r="P4507" t="str">
        <f t="shared" si="1160"/>
        <v>Active</v>
      </c>
      <c r="Q4507" t="str">
        <f>"LM7 Content, Lab, GTC Resource Conservation"</f>
        <v>LM7 Content, Lab, GTC Resource Conservation</v>
      </c>
      <c r="S4507" t="str">
        <f>"LM7 Content, Lab, GTC Resource Conservation"</f>
        <v>LM7 Content, Lab, GTC Resource Conservation</v>
      </c>
      <c r="T4507">
        <v>0</v>
      </c>
      <c r="U4507">
        <v>5</v>
      </c>
      <c r="V4507">
        <v>5</v>
      </c>
      <c r="W4507" t="str">
        <f t="shared" si="1154"/>
        <v>zintel</v>
      </c>
    </row>
    <row r="4508" spans="1:23">
      <c r="A4508" t="str">
        <f t="shared" si="1158"/>
        <v>STEM-ENSYS-LAB30</v>
      </c>
      <c r="B4508" t="str">
        <f>"77-8110-0006"</f>
        <v>77-8110-0006</v>
      </c>
      <c r="C4508" t="str">
        <f>"LM7 Content, Lab, GTC Renewable Energy Experi."</f>
        <v>LM7 Content, Lab, GTC Renewable Energy Experi.</v>
      </c>
      <c r="D4508">
        <v>1</v>
      </c>
      <c r="E4508" t="str">
        <f t="shared" si="1159"/>
        <v>STEM: Energy &amp; Tech Systems, 30 Student</v>
      </c>
      <c r="F4508">
        <v>0</v>
      </c>
      <c r="G4508" t="str">
        <f t="shared" si="1149"/>
        <v>Y</v>
      </c>
      <c r="H4508" t="str">
        <f t="shared" si="1151"/>
        <v>EA</v>
      </c>
      <c r="I4508">
        <v>0</v>
      </c>
      <c r="J4508">
        <v>0</v>
      </c>
      <c r="K4508" t="str">
        <f t="shared" si="1150"/>
        <v>Y</v>
      </c>
      <c r="L4508">
        <v>0</v>
      </c>
      <c r="M4508" t="str">
        <f t="shared" si="1157"/>
        <v>NIS</v>
      </c>
      <c r="O4508">
        <v>7</v>
      </c>
      <c r="P4508" t="str">
        <f t="shared" si="1160"/>
        <v>Active</v>
      </c>
      <c r="Q4508" t="str">
        <f>"LM7 Content, Lab, GTC Renewable Energy Experi."</f>
        <v>LM7 Content, Lab, GTC Renewable Energy Experi.</v>
      </c>
      <c r="S4508" t="str">
        <f>"LM7 Content, Lab, GTC Renewable Energy Experi."</f>
        <v>LM7 Content, Lab, GTC Renewable Energy Experi.</v>
      </c>
      <c r="T4508">
        <v>0</v>
      </c>
      <c r="U4508">
        <v>5</v>
      </c>
      <c r="V4508">
        <v>5</v>
      </c>
      <c r="W4508" t="str">
        <f t="shared" si="1154"/>
        <v>zintel</v>
      </c>
    </row>
    <row r="4509" spans="1:23">
      <c r="A4509" t="str">
        <f>"STEM-EXPL-RNK02"</f>
        <v>STEM-EXPL-RNK02</v>
      </c>
      <c r="B4509" t="str">
        <f>"77-8108-0002"</f>
        <v>77-8108-0002</v>
      </c>
      <c r="C4509" t="str">
        <f>"LM7 Content, Lab, Exploring Robotics VEX IQ.2"</f>
        <v>LM7 Content, Lab, Exploring Robotics VEX IQ.2</v>
      </c>
      <c r="D4509">
        <v>1</v>
      </c>
      <c r="E4509" t="str">
        <f>"STEM: Exploring Robotics, 2 Student, Curriculum &amp; easyC V5"</f>
        <v>STEM: Exploring Robotics, 2 Student, Curriculum &amp; easyC V5</v>
      </c>
      <c r="F4509">
        <v>0</v>
      </c>
      <c r="G4509" t="str">
        <f t="shared" si="1149"/>
        <v>Y</v>
      </c>
      <c r="H4509" t="str">
        <f t="shared" si="1151"/>
        <v>EA</v>
      </c>
      <c r="I4509">
        <v>0</v>
      </c>
      <c r="J4509">
        <v>0</v>
      </c>
      <c r="K4509" t="str">
        <f t="shared" si="1150"/>
        <v>Y</v>
      </c>
      <c r="L4509">
        <v>0</v>
      </c>
      <c r="M4509" t="str">
        <f t="shared" si="1157"/>
        <v>NIS</v>
      </c>
      <c r="O4509">
        <v>1</v>
      </c>
      <c r="P4509" t="str">
        <f t="shared" si="1160"/>
        <v>Active</v>
      </c>
      <c r="Q4509" t="str">
        <f>"LM7 Content, Lab, Exploring Robotics VEX IQ.2"</f>
        <v>LM7 Content, Lab, Exploring Robotics VEX IQ.2</v>
      </c>
      <c r="S4509" t="str">
        <f>"LM7 Content, Lab, Exploring Robotics VEX IQ.2"</f>
        <v>LM7 Content, Lab, Exploring Robotics VEX IQ.2</v>
      </c>
      <c r="T4509">
        <v>0</v>
      </c>
      <c r="U4509">
        <v>5.3</v>
      </c>
      <c r="V4509">
        <v>5.46</v>
      </c>
      <c r="W4509" t="str">
        <f t="shared" si="1154"/>
        <v>zintel</v>
      </c>
    </row>
    <row r="4510" spans="1:23">
      <c r="A4510" t="str">
        <f>"STEM-EXPL-RNK02"</f>
        <v>STEM-EXPL-RNK02</v>
      </c>
      <c r="B4510" t="str">
        <f>"63-2060-5001"</f>
        <v>63-2060-5001</v>
      </c>
      <c r="C4510" t="str">
        <f>"EasyC V5.x, Perpetual, 1 student"</f>
        <v>EasyC V5.x, Perpetual, 1 student</v>
      </c>
      <c r="D4510">
        <v>2</v>
      </c>
      <c r="E4510" t="str">
        <f>"STEM: Exploring Robotics, 2 Student, Curriculum &amp; easyC V5"</f>
        <v>STEM: Exploring Robotics, 2 Student, Curriculum &amp; easyC V5</v>
      </c>
      <c r="F4510">
        <v>0</v>
      </c>
      <c r="G4510" t="str">
        <f t="shared" si="1149"/>
        <v>Y</v>
      </c>
      <c r="H4510" t="str">
        <f t="shared" si="1151"/>
        <v>EA</v>
      </c>
      <c r="I4510">
        <v>0</v>
      </c>
      <c r="J4510">
        <v>0</v>
      </c>
      <c r="K4510" t="str">
        <f t="shared" si="1150"/>
        <v>Y</v>
      </c>
      <c r="L4510">
        <v>0</v>
      </c>
      <c r="M4510" t="str">
        <f t="shared" si="1157"/>
        <v>NIS</v>
      </c>
      <c r="O4510">
        <v>2</v>
      </c>
      <c r="P4510" t="str">
        <f t="shared" si="1160"/>
        <v>Active</v>
      </c>
      <c r="Q4510" t="str">
        <f>"Perpetual Individual license, easyC V5 IQ&amp;Cortex"</f>
        <v>Perpetual Individual license, easyC V5 IQ&amp;Cortex</v>
      </c>
      <c r="S4510" t="str">
        <f>"EasyC V5.x, Perpetual, 1 student"</f>
        <v>EasyC V5.x, Perpetual, 1 student</v>
      </c>
      <c r="T4510">
        <v>0</v>
      </c>
      <c r="U4510">
        <v>10</v>
      </c>
      <c r="V4510">
        <v>10.3</v>
      </c>
      <c r="W4510" t="str">
        <f t="shared" si="1154"/>
        <v>zintel</v>
      </c>
    </row>
    <row r="4511" spans="1:23">
      <c r="A4511" t="str">
        <f>"STEM-EXPL-RNK10"</f>
        <v>STEM-EXPL-RNK10</v>
      </c>
      <c r="B4511" t="str">
        <f>"77-8108-0010"</f>
        <v>77-8108-0010</v>
      </c>
      <c r="C4511" t="str">
        <f>"LM7 Content, Lab, Exploring Robotics VEX IQ.10"</f>
        <v>LM7 Content, Lab, Exploring Robotics VEX IQ.10</v>
      </c>
      <c r="D4511">
        <v>1</v>
      </c>
      <c r="E4511" t="str">
        <f>"STEM: Exploring Robotics, 10 Student Curriculum &amp; easyC V5"</f>
        <v>STEM: Exploring Robotics, 10 Student Curriculum &amp; easyC V5</v>
      </c>
      <c r="F4511">
        <v>0</v>
      </c>
      <c r="G4511" t="str">
        <f t="shared" si="1149"/>
        <v>Y</v>
      </c>
      <c r="H4511" t="str">
        <f t="shared" si="1151"/>
        <v>EA</v>
      </c>
      <c r="I4511">
        <v>0</v>
      </c>
      <c r="J4511">
        <v>0</v>
      </c>
      <c r="K4511" t="str">
        <f t="shared" si="1150"/>
        <v>Y</v>
      </c>
      <c r="L4511">
        <v>0</v>
      </c>
      <c r="M4511" t="str">
        <f t="shared" si="1157"/>
        <v>NIS</v>
      </c>
      <c r="O4511">
        <v>1</v>
      </c>
      <c r="P4511" t="str">
        <f t="shared" si="1160"/>
        <v>Active</v>
      </c>
      <c r="Q4511" t="str">
        <f>"LM7 Content, Lab, Exploring Robotics VEX IQ.10"</f>
        <v>LM7 Content, Lab, Exploring Robotics VEX IQ.10</v>
      </c>
      <c r="S4511" t="str">
        <f>"LM7 Content, Lab, Exploring Robotics VEX IQ.10"</f>
        <v>LM7 Content, Lab, Exploring Robotics VEX IQ.10</v>
      </c>
      <c r="T4511">
        <v>0</v>
      </c>
      <c r="U4511">
        <v>5.3</v>
      </c>
      <c r="V4511">
        <v>5.46</v>
      </c>
      <c r="W4511" t="str">
        <f t="shared" si="1154"/>
        <v>zintel</v>
      </c>
    </row>
    <row r="4512" spans="1:23">
      <c r="A4512" t="str">
        <f>"STEM-EXPL-RNK10"</f>
        <v>STEM-EXPL-RNK10</v>
      </c>
      <c r="B4512" t="str">
        <f>"63-2060-5010"</f>
        <v>63-2060-5010</v>
      </c>
      <c r="C4512" t="str">
        <f>"EasyC V5.x, Perpetual, 10 student"</f>
        <v>EasyC V5.x, Perpetual, 10 student</v>
      </c>
      <c r="D4512">
        <v>1</v>
      </c>
      <c r="E4512" t="str">
        <f>"STEM: Exploring Robotics, 10 Student Curriculum &amp; easyC V5"</f>
        <v>STEM: Exploring Robotics, 10 Student Curriculum &amp; easyC V5</v>
      </c>
      <c r="F4512">
        <v>0</v>
      </c>
      <c r="G4512" t="str">
        <f t="shared" si="1149"/>
        <v>Y</v>
      </c>
      <c r="H4512" t="str">
        <f t="shared" si="1151"/>
        <v>EA</v>
      </c>
      <c r="I4512">
        <v>0</v>
      </c>
      <c r="J4512">
        <v>0</v>
      </c>
      <c r="K4512" t="str">
        <f t="shared" si="1150"/>
        <v>Y</v>
      </c>
      <c r="L4512">
        <v>0</v>
      </c>
      <c r="M4512" t="str">
        <f t="shared" si="1157"/>
        <v>NIS</v>
      </c>
      <c r="O4512">
        <v>2</v>
      </c>
      <c r="P4512" t="str">
        <f t="shared" si="1160"/>
        <v>Active</v>
      </c>
      <c r="Q4512" t="str">
        <f>"Perpetual Competitive license,easyC V5 IQ&amp;Cortex"</f>
        <v>Perpetual Competitive license,easyC V5 IQ&amp;Cortex</v>
      </c>
      <c r="S4512" t="str">
        <f>"EasyC V5.x, Perpetual, 10 student"</f>
        <v>EasyC V5.x, Perpetual, 10 student</v>
      </c>
      <c r="T4512">
        <v>0</v>
      </c>
      <c r="U4512">
        <v>10</v>
      </c>
      <c r="V4512">
        <v>10.3</v>
      </c>
      <c r="W4512" t="str">
        <f t="shared" si="1154"/>
        <v>zintel</v>
      </c>
    </row>
    <row r="4513" spans="1:23">
      <c r="A4513" t="str">
        <f>"STEM-EXPL-RNK20"</f>
        <v>STEM-EXPL-RNK20</v>
      </c>
      <c r="B4513" t="str">
        <f>"77-8108-0020"</f>
        <v>77-8108-0020</v>
      </c>
      <c r="C4513" t="str">
        <f>"LM7 Content, Lab, Exploring Robotics VEX IQ.20"</f>
        <v>LM7 Content, Lab, Exploring Robotics VEX IQ.20</v>
      </c>
      <c r="D4513">
        <v>1</v>
      </c>
      <c r="E4513" t="str">
        <f>"STEM: Exploring Robotics, 20 Student Curriculum &amp; easyC V5"</f>
        <v>STEM: Exploring Robotics, 20 Student Curriculum &amp; easyC V5</v>
      </c>
      <c r="F4513">
        <v>0</v>
      </c>
      <c r="G4513" t="str">
        <f t="shared" si="1149"/>
        <v>Y</v>
      </c>
      <c r="H4513" t="str">
        <f t="shared" si="1151"/>
        <v>EA</v>
      </c>
      <c r="I4513">
        <v>0</v>
      </c>
      <c r="J4513">
        <v>0</v>
      </c>
      <c r="K4513" t="str">
        <f t="shared" si="1150"/>
        <v>Y</v>
      </c>
      <c r="L4513">
        <v>0</v>
      </c>
      <c r="M4513" t="str">
        <f t="shared" si="1157"/>
        <v>NIS</v>
      </c>
      <c r="O4513">
        <v>1</v>
      </c>
      <c r="P4513" t="str">
        <f t="shared" si="1160"/>
        <v>Active</v>
      </c>
      <c r="Q4513" t="str">
        <f>"LM7 Content, Lab, Exploring Robotics VEX IQ.20"</f>
        <v>LM7 Content, Lab, Exploring Robotics VEX IQ.20</v>
      </c>
      <c r="S4513" t="str">
        <f>"LM7 Content, Lab, Exploring Robotics VEX IQ.20"</f>
        <v>LM7 Content, Lab, Exploring Robotics VEX IQ.20</v>
      </c>
      <c r="T4513">
        <v>0</v>
      </c>
      <c r="U4513">
        <v>5.3</v>
      </c>
      <c r="V4513">
        <v>5.46</v>
      </c>
      <c r="W4513" t="str">
        <f t="shared" si="1154"/>
        <v>zintel</v>
      </c>
    </row>
    <row r="4514" spans="1:23">
      <c r="A4514" t="str">
        <f>"STEM-EXPL-RNK20"</f>
        <v>STEM-EXPL-RNK20</v>
      </c>
      <c r="B4514" t="str">
        <f>"63-2060-5020"</f>
        <v>63-2060-5020</v>
      </c>
      <c r="C4514" t="str">
        <f>"EasyC V5.x, Perpetual, 20 student"</f>
        <v>EasyC V5.x, Perpetual, 20 student</v>
      </c>
      <c r="D4514">
        <v>1</v>
      </c>
      <c r="E4514" t="str">
        <f>"STEM: Exploring Robotics, 20 Student Curriculum &amp; easyC V5"</f>
        <v>STEM: Exploring Robotics, 20 Student Curriculum &amp; easyC V5</v>
      </c>
      <c r="F4514">
        <v>0</v>
      </c>
      <c r="G4514" t="str">
        <f t="shared" si="1149"/>
        <v>Y</v>
      </c>
      <c r="H4514" t="str">
        <f t="shared" si="1151"/>
        <v>EA</v>
      </c>
      <c r="I4514">
        <v>0</v>
      </c>
      <c r="J4514">
        <v>0</v>
      </c>
      <c r="K4514" t="str">
        <f t="shared" si="1150"/>
        <v>Y</v>
      </c>
      <c r="L4514">
        <v>0</v>
      </c>
      <c r="M4514" t="str">
        <f t="shared" si="1157"/>
        <v>NIS</v>
      </c>
      <c r="O4514">
        <v>2</v>
      </c>
      <c r="P4514" t="str">
        <f t="shared" si="1160"/>
        <v>Active</v>
      </c>
      <c r="Q4514" t="str">
        <f>"Perpetual Classroom  license,easyC V5 IQ&amp;Cortex"</f>
        <v>Perpetual Classroom  license,easyC V5 IQ&amp;Cortex</v>
      </c>
      <c r="S4514" t="str">
        <f>"EasyC V5.x, Perpetual, 20 student"</f>
        <v>EasyC V5.x, Perpetual, 20 student</v>
      </c>
      <c r="T4514">
        <v>0</v>
      </c>
      <c r="U4514">
        <v>10</v>
      </c>
      <c r="V4514">
        <v>10.3</v>
      </c>
      <c r="W4514" t="str">
        <f t="shared" si="1154"/>
        <v>zintel</v>
      </c>
    </row>
    <row r="4515" spans="1:23">
      <c r="A4515" t="str">
        <f>"STEM-EXPL-RNK30"</f>
        <v>STEM-EXPL-RNK30</v>
      </c>
      <c r="B4515" t="str">
        <f>"77-8108-0030"</f>
        <v>77-8108-0030</v>
      </c>
      <c r="C4515" t="str">
        <f>"LM7 Content, Lab, Exploring Robotics VEX IQ.30"</f>
        <v>LM7 Content, Lab, Exploring Robotics VEX IQ.30</v>
      </c>
      <c r="D4515">
        <v>1</v>
      </c>
      <c r="E4515" t="str">
        <f>"STEM: Exploring Robotics, 30 Student Curriculum &amp; easyC V5"</f>
        <v>STEM: Exploring Robotics, 30 Student Curriculum &amp; easyC V5</v>
      </c>
      <c r="F4515">
        <v>0</v>
      </c>
      <c r="G4515" t="str">
        <f t="shared" si="1149"/>
        <v>Y</v>
      </c>
      <c r="H4515" t="str">
        <f t="shared" si="1151"/>
        <v>EA</v>
      </c>
      <c r="I4515">
        <v>0</v>
      </c>
      <c r="J4515">
        <v>0</v>
      </c>
      <c r="K4515" t="str">
        <f t="shared" si="1150"/>
        <v>Y</v>
      </c>
      <c r="L4515">
        <v>0</v>
      </c>
      <c r="M4515" t="str">
        <f t="shared" si="1157"/>
        <v>NIS</v>
      </c>
      <c r="O4515">
        <v>1</v>
      </c>
      <c r="P4515" t="str">
        <f t="shared" si="1160"/>
        <v>Active</v>
      </c>
      <c r="Q4515" t="str">
        <f>"LM7 Content, Lab, Exploring Robotics VEX IQ.30"</f>
        <v>LM7 Content, Lab, Exploring Robotics VEX IQ.30</v>
      </c>
      <c r="S4515" t="str">
        <f>"LM7 Content, Lab, Exploring Robotics VEX IQ.30"</f>
        <v>LM7 Content, Lab, Exploring Robotics VEX IQ.30</v>
      </c>
      <c r="T4515">
        <v>0</v>
      </c>
      <c r="U4515">
        <v>5.3</v>
      </c>
      <c r="V4515">
        <v>5.46</v>
      </c>
      <c r="W4515" t="str">
        <f t="shared" si="1154"/>
        <v>zintel</v>
      </c>
    </row>
    <row r="4516" spans="1:23">
      <c r="A4516" t="str">
        <f>"STEM-EXPL-RNK30"</f>
        <v>STEM-EXPL-RNK30</v>
      </c>
      <c r="B4516" t="str">
        <f>"63-2060-5030"</f>
        <v>63-2060-5030</v>
      </c>
      <c r="C4516" t="str">
        <f>"EasyC V5.x, Perpetual, 30 student"</f>
        <v>EasyC V5.x, Perpetual, 30 student</v>
      </c>
      <c r="D4516">
        <v>1</v>
      </c>
      <c r="E4516" t="str">
        <f>"STEM: Exploring Robotics, 30 Student Curriculum &amp; easyC V5"</f>
        <v>STEM: Exploring Robotics, 30 Student Curriculum &amp; easyC V5</v>
      </c>
      <c r="F4516">
        <v>0</v>
      </c>
      <c r="G4516" t="str">
        <f t="shared" si="1149"/>
        <v>Y</v>
      </c>
      <c r="H4516" t="str">
        <f t="shared" si="1151"/>
        <v>EA</v>
      </c>
      <c r="I4516">
        <v>0</v>
      </c>
      <c r="J4516">
        <v>0</v>
      </c>
      <c r="K4516" t="str">
        <f t="shared" si="1150"/>
        <v>Y</v>
      </c>
      <c r="L4516">
        <v>0</v>
      </c>
      <c r="M4516" t="str">
        <f t="shared" si="1157"/>
        <v>NIS</v>
      </c>
      <c r="O4516">
        <v>2</v>
      </c>
      <c r="P4516" t="str">
        <f t="shared" si="1160"/>
        <v>Active</v>
      </c>
      <c r="Q4516" t="str">
        <f>"Perpetual Classroom  license,easyC V5 IQ&amp;Cortex"</f>
        <v>Perpetual Classroom  license,easyC V5 IQ&amp;Cortex</v>
      </c>
      <c r="S4516" t="str">
        <f>"EasyC V5.x, Perpetual, 30 student"</f>
        <v>EasyC V5.x, Perpetual, 30 student</v>
      </c>
      <c r="T4516">
        <v>0</v>
      </c>
      <c r="U4516">
        <v>10</v>
      </c>
      <c r="V4516">
        <v>10</v>
      </c>
      <c r="W4516" t="str">
        <f t="shared" si="1154"/>
        <v>zintel</v>
      </c>
    </row>
    <row r="4517" spans="1:23">
      <c r="A4517" t="str">
        <f>"STEM-EXPL-ROB02"</f>
        <v>STEM-EXPL-ROB02</v>
      </c>
      <c r="B4517" t="str">
        <f>"63-2060-5001"</f>
        <v>63-2060-5001</v>
      </c>
      <c r="C4517" t="str">
        <f>"EasyC V5.x, Perpetual, 1 student"</f>
        <v>EasyC V5.x, Perpetual, 1 student</v>
      </c>
      <c r="D4517">
        <v>3</v>
      </c>
      <c r="E4517" t="str">
        <f>"STEM: Exploring Robotics, 2 Student Lab with Hardware Kits"</f>
        <v>STEM: Exploring Robotics, 2 Student Lab with Hardware Kits</v>
      </c>
      <c r="F4517">
        <v>0</v>
      </c>
      <c r="G4517" t="str">
        <f t="shared" si="1149"/>
        <v>Y</v>
      </c>
      <c r="H4517" t="str">
        <f t="shared" si="1151"/>
        <v>EA</v>
      </c>
      <c r="I4517">
        <v>0</v>
      </c>
      <c r="J4517">
        <v>0</v>
      </c>
      <c r="K4517" t="str">
        <f t="shared" si="1150"/>
        <v>Y</v>
      </c>
      <c r="L4517">
        <v>0</v>
      </c>
      <c r="M4517" t="str">
        <f t="shared" si="1157"/>
        <v>NIS</v>
      </c>
      <c r="O4517">
        <v>1</v>
      </c>
      <c r="P4517" t="str">
        <f t="shared" si="1160"/>
        <v>Active</v>
      </c>
      <c r="Q4517" t="str">
        <f>"Perpetual Individual license, easyC V5 IQ&amp;Cortex"</f>
        <v>Perpetual Individual license, easyC V5 IQ&amp;Cortex</v>
      </c>
      <c r="S4517" t="str">
        <f>"EasyC V5.x, Perpetual, 1 student"</f>
        <v>EasyC V5.x, Perpetual, 1 student</v>
      </c>
      <c r="T4517">
        <v>0</v>
      </c>
      <c r="U4517">
        <v>10</v>
      </c>
      <c r="V4517">
        <v>10.3</v>
      </c>
      <c r="W4517" t="str">
        <f t="shared" si="1154"/>
        <v>zintel</v>
      </c>
    </row>
    <row r="4518" spans="1:23">
      <c r="A4518" t="str">
        <f>"STEM-EXPL-ROB02"</f>
        <v>STEM-EXPL-ROB02</v>
      </c>
      <c r="B4518" t="str">
        <f>"77-8108-0002"</f>
        <v>77-8108-0002</v>
      </c>
      <c r="C4518" t="str">
        <f>"LM7 Content, Lab, Exploring Robotics VEX IQ.2"</f>
        <v>LM7 Content, Lab, Exploring Robotics VEX IQ.2</v>
      </c>
      <c r="D4518">
        <v>1</v>
      </c>
      <c r="E4518" t="str">
        <f>"STEM: Exploring Robotics, 2 Student Lab with Hardware Kits"</f>
        <v>STEM: Exploring Robotics, 2 Student Lab with Hardware Kits</v>
      </c>
      <c r="F4518">
        <v>0</v>
      </c>
      <c r="G4518" t="str">
        <f t="shared" si="1149"/>
        <v>Y</v>
      </c>
      <c r="H4518" t="str">
        <f t="shared" si="1151"/>
        <v>EA</v>
      </c>
      <c r="I4518">
        <v>0</v>
      </c>
      <c r="J4518">
        <v>0</v>
      </c>
      <c r="K4518" t="str">
        <f t="shared" si="1150"/>
        <v>Y</v>
      </c>
      <c r="L4518">
        <v>0</v>
      </c>
      <c r="M4518" t="str">
        <f t="shared" si="1157"/>
        <v>NIS</v>
      </c>
      <c r="O4518">
        <v>2</v>
      </c>
      <c r="P4518" t="str">
        <f t="shared" si="1160"/>
        <v>Active</v>
      </c>
      <c r="Q4518" t="str">
        <f>"LM7 Content, Lab, Exploring Robotics VEX IQ.2"</f>
        <v>LM7 Content, Lab, Exploring Robotics VEX IQ.2</v>
      </c>
      <c r="S4518" t="str">
        <f>"LM7 Content, Lab, Exploring Robotics VEX IQ.2"</f>
        <v>LM7 Content, Lab, Exploring Robotics VEX IQ.2</v>
      </c>
      <c r="T4518">
        <v>0</v>
      </c>
      <c r="U4518">
        <v>5.3</v>
      </c>
      <c r="V4518">
        <v>5.46</v>
      </c>
      <c r="W4518" t="str">
        <f t="shared" si="1154"/>
        <v>zintel</v>
      </c>
    </row>
    <row r="4519" spans="1:23">
      <c r="A4519" t="str">
        <f>"STEM-EXPL-ROB02"</f>
        <v>STEM-EXPL-ROB02</v>
      </c>
      <c r="B4519" t="str">
        <f>"228-2500"</f>
        <v>228-2500</v>
      </c>
      <c r="C4519" t="str">
        <f>"Vex, IQ Super Kit"</f>
        <v>Vex, IQ Super Kit</v>
      </c>
      <c r="D4519">
        <v>2</v>
      </c>
      <c r="E4519" t="str">
        <f>"STEM: Exploring Robotics, 2 Student Lab with Hardware Kits"</f>
        <v>STEM: Exploring Robotics, 2 Student Lab with Hardware Kits</v>
      </c>
      <c r="F4519">
        <v>0</v>
      </c>
      <c r="G4519" t="str">
        <f t="shared" si="1149"/>
        <v>Y</v>
      </c>
      <c r="H4519" t="str">
        <f t="shared" ref="H4519:H4550" si="1161">"EA"</f>
        <v>EA</v>
      </c>
      <c r="I4519">
        <v>0</v>
      </c>
      <c r="J4519">
        <v>0</v>
      </c>
      <c r="K4519" t="str">
        <f t="shared" si="1150"/>
        <v>Y</v>
      </c>
      <c r="L4519">
        <v>0</v>
      </c>
      <c r="M4519" t="str">
        <f t="shared" si="1157"/>
        <v>NIS</v>
      </c>
      <c r="O4519">
        <v>3</v>
      </c>
      <c r="P4519" t="str">
        <f t="shared" si="1160"/>
        <v>Active</v>
      </c>
      <c r="Q4519" t="str">
        <f>"Vex, IQ Super Kit"</f>
        <v>Vex, IQ Super Kit</v>
      </c>
      <c r="S4519" t="str">
        <f>"Vex, IQ Super Kit"</f>
        <v>Vex, IQ Super Kit</v>
      </c>
      <c r="T4519">
        <v>246.23</v>
      </c>
      <c r="U4519">
        <v>260</v>
      </c>
      <c r="V4519">
        <v>332.99</v>
      </c>
      <c r="W4519" t="str">
        <f t="shared" si="1154"/>
        <v>zintel</v>
      </c>
    </row>
    <row r="4520" spans="1:23">
      <c r="A4520" t="str">
        <f>"STEM-EXPL-ROB10"</f>
        <v>STEM-EXPL-ROB10</v>
      </c>
      <c r="B4520" t="str">
        <f>"77-8108-0010"</f>
        <v>77-8108-0010</v>
      </c>
      <c r="C4520" t="str">
        <f>"LM7 Content, Lab, Exploring Robotics VEX IQ.10"</f>
        <v>LM7 Content, Lab, Exploring Robotics VEX IQ.10</v>
      </c>
      <c r="D4520">
        <v>1</v>
      </c>
      <c r="E4520" t="str">
        <f>"STEM: Exploring Robotics, 10 Student Lab with Hardware Kits"</f>
        <v>STEM: Exploring Robotics, 10 Student Lab with Hardware Kits</v>
      </c>
      <c r="F4520">
        <v>0</v>
      </c>
      <c r="G4520" t="str">
        <f t="shared" si="1149"/>
        <v>Y</v>
      </c>
      <c r="H4520" t="str">
        <f t="shared" si="1161"/>
        <v>EA</v>
      </c>
      <c r="I4520">
        <v>0</v>
      </c>
      <c r="J4520">
        <v>0</v>
      </c>
      <c r="K4520" t="str">
        <f t="shared" si="1150"/>
        <v>Y</v>
      </c>
      <c r="L4520">
        <v>0</v>
      </c>
      <c r="M4520" t="str">
        <f t="shared" si="1157"/>
        <v>NIS</v>
      </c>
      <c r="O4520">
        <v>1</v>
      </c>
      <c r="P4520" t="str">
        <f t="shared" si="1160"/>
        <v>Active</v>
      </c>
      <c r="Q4520" t="str">
        <f>"LM7 Content, Lab, Exploring Robotics VEX IQ.10"</f>
        <v>LM7 Content, Lab, Exploring Robotics VEX IQ.10</v>
      </c>
      <c r="S4520" t="str">
        <f>"LM7 Content, Lab, Exploring Robotics VEX IQ.10"</f>
        <v>LM7 Content, Lab, Exploring Robotics VEX IQ.10</v>
      </c>
      <c r="T4520">
        <v>0</v>
      </c>
      <c r="U4520">
        <v>5.3</v>
      </c>
      <c r="V4520">
        <v>5.46</v>
      </c>
      <c r="W4520" t="str">
        <f t="shared" si="1154"/>
        <v>zintel</v>
      </c>
    </row>
    <row r="4521" spans="1:23">
      <c r="A4521" t="str">
        <f>"STEM-EXPL-ROB10"</f>
        <v>STEM-EXPL-ROB10</v>
      </c>
      <c r="B4521" t="str">
        <f>"63-2060-5010"</f>
        <v>63-2060-5010</v>
      </c>
      <c r="C4521" t="str">
        <f>"EasyC V5.x, Perpetual, 10 student"</f>
        <v>EasyC V5.x, Perpetual, 10 student</v>
      </c>
      <c r="D4521">
        <v>1</v>
      </c>
      <c r="E4521" t="str">
        <f>"STEM: Exploring Robotics, 10 Student Lab with Hardware Kits"</f>
        <v>STEM: Exploring Robotics, 10 Student Lab with Hardware Kits</v>
      </c>
      <c r="F4521">
        <v>0</v>
      </c>
      <c r="G4521" t="str">
        <f t="shared" si="1149"/>
        <v>Y</v>
      </c>
      <c r="H4521" t="str">
        <f t="shared" si="1161"/>
        <v>EA</v>
      </c>
      <c r="I4521">
        <v>0</v>
      </c>
      <c r="J4521">
        <v>0</v>
      </c>
      <c r="K4521" t="str">
        <f t="shared" si="1150"/>
        <v>Y</v>
      </c>
      <c r="L4521">
        <v>0</v>
      </c>
      <c r="M4521" t="str">
        <f t="shared" si="1157"/>
        <v>NIS</v>
      </c>
      <c r="O4521">
        <v>2</v>
      </c>
      <c r="P4521" t="str">
        <f t="shared" si="1160"/>
        <v>Active</v>
      </c>
      <c r="Q4521" t="str">
        <f>"Perpetual Competitive license,easyC V5 IQ&amp;Cortex"</f>
        <v>Perpetual Competitive license,easyC V5 IQ&amp;Cortex</v>
      </c>
      <c r="S4521" t="str">
        <f>"EasyC V5.x, Perpetual, 10 student"</f>
        <v>EasyC V5.x, Perpetual, 10 student</v>
      </c>
      <c r="T4521">
        <v>0</v>
      </c>
      <c r="U4521">
        <v>10</v>
      </c>
      <c r="V4521">
        <v>10.3</v>
      </c>
      <c r="W4521" t="str">
        <f t="shared" si="1154"/>
        <v>zintel</v>
      </c>
    </row>
    <row r="4522" spans="1:23">
      <c r="A4522" t="str">
        <f>"STEM-EXPL-ROB10"</f>
        <v>STEM-EXPL-ROB10</v>
      </c>
      <c r="B4522" t="str">
        <f>"228-2500"</f>
        <v>228-2500</v>
      </c>
      <c r="C4522" t="str">
        <f>"Vex, IQ Super Kit"</f>
        <v>Vex, IQ Super Kit</v>
      </c>
      <c r="D4522">
        <v>6</v>
      </c>
      <c r="E4522" t="str">
        <f>"STEM: Exploring Robotics, 10 Student Lab with Hardware Kits"</f>
        <v>STEM: Exploring Robotics, 10 Student Lab with Hardware Kits</v>
      </c>
      <c r="F4522">
        <v>0</v>
      </c>
      <c r="G4522" t="str">
        <f t="shared" si="1149"/>
        <v>Y</v>
      </c>
      <c r="H4522" t="str">
        <f t="shared" si="1161"/>
        <v>EA</v>
      </c>
      <c r="I4522">
        <v>0</v>
      </c>
      <c r="J4522">
        <v>0</v>
      </c>
      <c r="K4522" t="str">
        <f t="shared" si="1150"/>
        <v>Y</v>
      </c>
      <c r="L4522">
        <v>0</v>
      </c>
      <c r="M4522" t="str">
        <f t="shared" si="1157"/>
        <v>NIS</v>
      </c>
      <c r="O4522">
        <v>3</v>
      </c>
      <c r="P4522" t="str">
        <f t="shared" si="1160"/>
        <v>Active</v>
      </c>
      <c r="Q4522" t="str">
        <f>"Vex, IQ Super Kit"</f>
        <v>Vex, IQ Super Kit</v>
      </c>
      <c r="S4522" t="str">
        <f>"Vex, IQ Super Kit"</f>
        <v>Vex, IQ Super Kit</v>
      </c>
      <c r="T4522">
        <v>246.23</v>
      </c>
      <c r="U4522">
        <v>260</v>
      </c>
      <c r="V4522">
        <v>332.99</v>
      </c>
      <c r="W4522" t="str">
        <f t="shared" si="1154"/>
        <v>zintel</v>
      </c>
    </row>
    <row r="4523" spans="1:23">
      <c r="A4523" t="str">
        <f>"STEM-EXPL-ROB20"</f>
        <v>STEM-EXPL-ROB20</v>
      </c>
      <c r="B4523" t="str">
        <f>"63-2060-5020"</f>
        <v>63-2060-5020</v>
      </c>
      <c r="C4523" t="str">
        <f>"EasyC V5.x, Perpetual, 20 student"</f>
        <v>EasyC V5.x, Perpetual, 20 student</v>
      </c>
      <c r="D4523">
        <v>1</v>
      </c>
      <c r="E4523" t="str">
        <f>"STEM: Exploring Robotics, 20 Student Lab with Hardware Kits"</f>
        <v>STEM: Exploring Robotics, 20 Student Lab with Hardware Kits</v>
      </c>
      <c r="F4523">
        <v>0</v>
      </c>
      <c r="G4523" t="str">
        <f t="shared" si="1149"/>
        <v>Y</v>
      </c>
      <c r="H4523" t="str">
        <f t="shared" si="1161"/>
        <v>EA</v>
      </c>
      <c r="I4523">
        <v>0</v>
      </c>
      <c r="J4523">
        <v>0</v>
      </c>
      <c r="K4523" t="str">
        <f t="shared" si="1150"/>
        <v>Y</v>
      </c>
      <c r="L4523">
        <v>0</v>
      </c>
      <c r="M4523" t="str">
        <f t="shared" si="1157"/>
        <v>NIS</v>
      </c>
      <c r="O4523">
        <v>1</v>
      </c>
      <c r="P4523" t="str">
        <f t="shared" si="1160"/>
        <v>Active</v>
      </c>
      <c r="Q4523" t="str">
        <f>"Perpetual Classroom  license,easyC V5 IQ&amp;Cortex"</f>
        <v>Perpetual Classroom  license,easyC V5 IQ&amp;Cortex</v>
      </c>
      <c r="S4523" t="str">
        <f>"EasyC V5.x, Perpetual, 20 student"</f>
        <v>EasyC V5.x, Perpetual, 20 student</v>
      </c>
      <c r="T4523">
        <v>0</v>
      </c>
      <c r="U4523">
        <v>10</v>
      </c>
      <c r="V4523">
        <v>10.3</v>
      </c>
      <c r="W4523" t="str">
        <f t="shared" si="1154"/>
        <v>zintel</v>
      </c>
    </row>
    <row r="4524" spans="1:23">
      <c r="A4524" t="str">
        <f>"STEM-EXPL-ROB20"</f>
        <v>STEM-EXPL-ROB20</v>
      </c>
      <c r="B4524" t="str">
        <f>"77-8108-0020"</f>
        <v>77-8108-0020</v>
      </c>
      <c r="C4524" t="str">
        <f>"LM7 Content, Lab, Exploring Robotics VEX IQ.20"</f>
        <v>LM7 Content, Lab, Exploring Robotics VEX IQ.20</v>
      </c>
      <c r="D4524">
        <v>1</v>
      </c>
      <c r="E4524" t="str">
        <f>"STEM: Exploring Robotics, 20 Student Lab with Hardware Kits"</f>
        <v>STEM: Exploring Robotics, 20 Student Lab with Hardware Kits</v>
      </c>
      <c r="F4524">
        <v>0</v>
      </c>
      <c r="G4524" t="str">
        <f t="shared" si="1149"/>
        <v>Y</v>
      </c>
      <c r="H4524" t="str">
        <f t="shared" si="1161"/>
        <v>EA</v>
      </c>
      <c r="I4524">
        <v>0</v>
      </c>
      <c r="J4524">
        <v>0</v>
      </c>
      <c r="K4524" t="str">
        <f t="shared" si="1150"/>
        <v>Y</v>
      </c>
      <c r="L4524">
        <v>0</v>
      </c>
      <c r="M4524" t="str">
        <f t="shared" si="1157"/>
        <v>NIS</v>
      </c>
      <c r="O4524">
        <v>2</v>
      </c>
      <c r="P4524" t="str">
        <f t="shared" si="1160"/>
        <v>Active</v>
      </c>
      <c r="Q4524" t="str">
        <f>"LM7 Content, Lab, Exploring Robotics VEX IQ.20"</f>
        <v>LM7 Content, Lab, Exploring Robotics VEX IQ.20</v>
      </c>
      <c r="S4524" t="str">
        <f>"LM7 Content, Lab, Exploring Robotics VEX IQ.20"</f>
        <v>LM7 Content, Lab, Exploring Robotics VEX IQ.20</v>
      </c>
      <c r="T4524">
        <v>0</v>
      </c>
      <c r="U4524">
        <v>5.3</v>
      </c>
      <c r="V4524">
        <v>5.46</v>
      </c>
      <c r="W4524" t="str">
        <f t="shared" si="1154"/>
        <v>zintel</v>
      </c>
    </row>
    <row r="4525" spans="1:23">
      <c r="A4525" t="str">
        <f>"STEM-EXPL-ROB20"</f>
        <v>STEM-EXPL-ROB20</v>
      </c>
      <c r="B4525" t="str">
        <f>"228-2500"</f>
        <v>228-2500</v>
      </c>
      <c r="C4525" t="str">
        <f>"Vex, IQ Super Kit"</f>
        <v>Vex, IQ Super Kit</v>
      </c>
      <c r="D4525">
        <v>11</v>
      </c>
      <c r="E4525" t="str">
        <f>"STEM: Exploring Robotics, 20 Student Lab with Hardware Kits"</f>
        <v>STEM: Exploring Robotics, 20 Student Lab with Hardware Kits</v>
      </c>
      <c r="F4525">
        <v>0</v>
      </c>
      <c r="G4525" t="str">
        <f t="shared" si="1149"/>
        <v>Y</v>
      </c>
      <c r="H4525" t="str">
        <f t="shared" si="1161"/>
        <v>EA</v>
      </c>
      <c r="I4525">
        <v>0</v>
      </c>
      <c r="J4525">
        <v>0</v>
      </c>
      <c r="K4525" t="str">
        <f t="shared" si="1150"/>
        <v>Y</v>
      </c>
      <c r="L4525">
        <v>0</v>
      </c>
      <c r="M4525" t="str">
        <f t="shared" si="1157"/>
        <v>NIS</v>
      </c>
      <c r="O4525">
        <v>3</v>
      </c>
      <c r="P4525" t="str">
        <f t="shared" si="1160"/>
        <v>Active</v>
      </c>
      <c r="Q4525" t="str">
        <f>"Vex, IQ Super Kit"</f>
        <v>Vex, IQ Super Kit</v>
      </c>
      <c r="S4525" t="str">
        <f>"Vex, IQ Super Kit"</f>
        <v>Vex, IQ Super Kit</v>
      </c>
      <c r="T4525">
        <v>246.23</v>
      </c>
      <c r="U4525">
        <v>260</v>
      </c>
      <c r="V4525">
        <v>332.99</v>
      </c>
      <c r="W4525" t="str">
        <f t="shared" ref="W4525:W4556" si="1162">"zintel"</f>
        <v>zintel</v>
      </c>
    </row>
    <row r="4526" spans="1:23">
      <c r="A4526" t="str">
        <f>"STEM-EXPL-ROB30"</f>
        <v>STEM-EXPL-ROB30</v>
      </c>
      <c r="B4526" t="str">
        <f>"63-2060-5030"</f>
        <v>63-2060-5030</v>
      </c>
      <c r="C4526" t="str">
        <f>"EasyC V5.x, Perpetual, 30 student"</f>
        <v>EasyC V5.x, Perpetual, 30 student</v>
      </c>
      <c r="D4526">
        <v>1</v>
      </c>
      <c r="E4526" t="str">
        <f>"STEM: Exploring Robotics, 30 Student Lab with Hardware Kits"</f>
        <v>STEM: Exploring Robotics, 30 Student Lab with Hardware Kits</v>
      </c>
      <c r="F4526">
        <v>0</v>
      </c>
      <c r="G4526" t="str">
        <f t="shared" si="1149"/>
        <v>Y</v>
      </c>
      <c r="H4526" t="str">
        <f t="shared" si="1161"/>
        <v>EA</v>
      </c>
      <c r="I4526">
        <v>0</v>
      </c>
      <c r="J4526">
        <v>0</v>
      </c>
      <c r="K4526" t="str">
        <f t="shared" si="1150"/>
        <v>Y</v>
      </c>
      <c r="L4526">
        <v>0</v>
      </c>
      <c r="M4526" t="str">
        <f t="shared" si="1157"/>
        <v>NIS</v>
      </c>
      <c r="O4526">
        <v>1</v>
      </c>
      <c r="P4526" t="str">
        <f t="shared" si="1160"/>
        <v>Active</v>
      </c>
      <c r="Q4526" t="str">
        <f>"Perpetual Classroom  license,easyC V5 IQ&amp;Cortex"</f>
        <v>Perpetual Classroom  license,easyC V5 IQ&amp;Cortex</v>
      </c>
      <c r="S4526" t="str">
        <f>"EasyC V5.x, Perpetual, 30 student"</f>
        <v>EasyC V5.x, Perpetual, 30 student</v>
      </c>
      <c r="T4526">
        <v>0</v>
      </c>
      <c r="U4526">
        <v>10</v>
      </c>
      <c r="V4526">
        <v>10</v>
      </c>
      <c r="W4526" t="str">
        <f t="shared" si="1162"/>
        <v>zintel</v>
      </c>
    </row>
    <row r="4527" spans="1:23">
      <c r="A4527" t="str">
        <f>"STEM-EXPL-ROB30"</f>
        <v>STEM-EXPL-ROB30</v>
      </c>
      <c r="B4527" t="str">
        <f>"77-8108-0030"</f>
        <v>77-8108-0030</v>
      </c>
      <c r="C4527" t="str">
        <f>"LM7 Content, Lab, Exploring Robotics VEX IQ.30"</f>
        <v>LM7 Content, Lab, Exploring Robotics VEX IQ.30</v>
      </c>
      <c r="D4527">
        <v>1</v>
      </c>
      <c r="E4527" t="str">
        <f>"STEM: Exploring Robotics, 30 Student Lab with Hardware Kits"</f>
        <v>STEM: Exploring Robotics, 30 Student Lab with Hardware Kits</v>
      </c>
      <c r="F4527">
        <v>0</v>
      </c>
      <c r="G4527" t="str">
        <f t="shared" si="1149"/>
        <v>Y</v>
      </c>
      <c r="H4527" t="str">
        <f t="shared" si="1161"/>
        <v>EA</v>
      </c>
      <c r="I4527">
        <v>0</v>
      </c>
      <c r="J4527">
        <v>0</v>
      </c>
      <c r="K4527" t="str">
        <f t="shared" si="1150"/>
        <v>Y</v>
      </c>
      <c r="L4527">
        <v>0</v>
      </c>
      <c r="M4527" t="str">
        <f t="shared" si="1157"/>
        <v>NIS</v>
      </c>
      <c r="O4527">
        <v>2</v>
      </c>
      <c r="P4527" t="str">
        <f t="shared" si="1160"/>
        <v>Active</v>
      </c>
      <c r="Q4527" t="str">
        <f>"LM7 Content, Lab, Exploring Robotics VEX IQ.30"</f>
        <v>LM7 Content, Lab, Exploring Robotics VEX IQ.30</v>
      </c>
      <c r="S4527" t="str">
        <f>"LM7 Content, Lab, Exploring Robotics VEX IQ.30"</f>
        <v>LM7 Content, Lab, Exploring Robotics VEX IQ.30</v>
      </c>
      <c r="T4527">
        <v>0</v>
      </c>
      <c r="U4527">
        <v>5.3</v>
      </c>
      <c r="V4527">
        <v>5.46</v>
      </c>
      <c r="W4527" t="str">
        <f t="shared" si="1162"/>
        <v>zintel</v>
      </c>
    </row>
    <row r="4528" spans="1:23">
      <c r="A4528" t="str">
        <f>"STEM-EXPL-ROB30"</f>
        <v>STEM-EXPL-ROB30</v>
      </c>
      <c r="B4528" t="str">
        <f>"228-2500"</f>
        <v>228-2500</v>
      </c>
      <c r="C4528" t="str">
        <f>"Vex, IQ Super Kit"</f>
        <v>Vex, IQ Super Kit</v>
      </c>
      <c r="D4528">
        <v>16</v>
      </c>
      <c r="E4528" t="str">
        <f>"STEM: Exploring Robotics, 30 Student Lab with Hardware Kits"</f>
        <v>STEM: Exploring Robotics, 30 Student Lab with Hardware Kits</v>
      </c>
      <c r="F4528">
        <v>0</v>
      </c>
      <c r="G4528" t="str">
        <f t="shared" si="1149"/>
        <v>Y</v>
      </c>
      <c r="H4528" t="str">
        <f t="shared" si="1161"/>
        <v>EA</v>
      </c>
      <c r="I4528">
        <v>0</v>
      </c>
      <c r="J4528">
        <v>0</v>
      </c>
      <c r="K4528" t="str">
        <f t="shared" si="1150"/>
        <v>Y</v>
      </c>
      <c r="L4528">
        <v>0</v>
      </c>
      <c r="M4528" t="str">
        <f t="shared" si="1157"/>
        <v>NIS</v>
      </c>
      <c r="O4528">
        <v>3</v>
      </c>
      <c r="P4528" t="str">
        <f t="shared" si="1160"/>
        <v>Active</v>
      </c>
      <c r="Q4528" t="str">
        <f>"Vex, IQ Super Kit"</f>
        <v>Vex, IQ Super Kit</v>
      </c>
      <c r="S4528" t="str">
        <f>"Vex, IQ Super Kit"</f>
        <v>Vex, IQ Super Kit</v>
      </c>
      <c r="T4528">
        <v>246.23</v>
      </c>
      <c r="U4528">
        <v>260</v>
      </c>
      <c r="V4528">
        <v>332.99</v>
      </c>
      <c r="W4528" t="str">
        <f t="shared" si="1162"/>
        <v>zintel</v>
      </c>
    </row>
    <row r="4529" spans="1:23">
      <c r="A4529" t="str">
        <f>"STEM-FOUN-CORE"</f>
        <v>STEM-FOUN-CORE</v>
      </c>
      <c r="B4529" t="str">
        <f>"10-7027-1030"</f>
        <v>10-7027-1030</v>
      </c>
      <c r="C4529" t="str">
        <f>"Engineering Application Series Mat. 30 Pack"</f>
        <v>Engineering Application Series Mat. 30 Pack</v>
      </c>
      <c r="D4529">
        <v>1</v>
      </c>
      <c r="E4529" t="str">
        <f>"STEM: FOUNDATIONS, 45 hours Lab"</f>
        <v>STEM: FOUNDATIONS, 45 hours Lab</v>
      </c>
      <c r="F4529">
        <v>0</v>
      </c>
      <c r="G4529" t="str">
        <f t="shared" si="1149"/>
        <v>Y</v>
      </c>
      <c r="H4529" t="str">
        <f t="shared" si="1161"/>
        <v>EA</v>
      </c>
      <c r="I4529">
        <v>0</v>
      </c>
      <c r="J4529">
        <v>0</v>
      </c>
      <c r="K4529" t="str">
        <f t="shared" si="1150"/>
        <v>Y</v>
      </c>
      <c r="L4529">
        <v>0</v>
      </c>
      <c r="M4529" t="str">
        <f t="shared" si="1157"/>
        <v>NIS</v>
      </c>
      <c r="O4529">
        <v>2</v>
      </c>
      <c r="P4529" t="str">
        <f t="shared" si="1160"/>
        <v>Active</v>
      </c>
      <c r="Q4529" t="str">
        <f>"Engineering Application Series Mat. 30 Pack"</f>
        <v>Engineering Application Series Mat. 30 Pack</v>
      </c>
      <c r="S4529" t="str">
        <f>"Engineering Application Series Mat. 30 Pack"</f>
        <v>Engineering Application Series Mat. 30 Pack</v>
      </c>
      <c r="T4529" s="44">
        <v>1025.4100000000001</v>
      </c>
      <c r="U4529">
        <v>0</v>
      </c>
      <c r="V4529">
        <v>0</v>
      </c>
      <c r="W4529" t="str">
        <f t="shared" si="1162"/>
        <v>zintel</v>
      </c>
    </row>
    <row r="4530" spans="1:23">
      <c r="A4530" t="str">
        <f>"STEM-FOUN-CORE"</f>
        <v>STEM-FOUN-CORE</v>
      </c>
      <c r="B4530" t="str">
        <f>"77-3095-0000"</f>
        <v>77-3095-0000</v>
      </c>
      <c r="C4530" t="str">
        <f>"LM7 Content, Vir, Intro to Engineering"</f>
        <v>LM7 Content, Vir, Intro to Engineering</v>
      </c>
      <c r="D4530">
        <v>1</v>
      </c>
      <c r="E4530" t="str">
        <f>"STEM: FOUNDATIONS, 45 hours Lab"</f>
        <v>STEM: FOUNDATIONS, 45 hours Lab</v>
      </c>
      <c r="F4530">
        <v>0</v>
      </c>
      <c r="G4530" t="str">
        <f t="shared" si="1149"/>
        <v>Y</v>
      </c>
      <c r="H4530" t="str">
        <f t="shared" si="1161"/>
        <v>EA</v>
      </c>
      <c r="I4530">
        <v>0</v>
      </c>
      <c r="J4530">
        <v>0</v>
      </c>
      <c r="K4530" t="str">
        <f t="shared" si="1150"/>
        <v>Y</v>
      </c>
      <c r="L4530">
        <v>0</v>
      </c>
      <c r="M4530" t="str">
        <f t="shared" si="1157"/>
        <v>NIS</v>
      </c>
      <c r="O4530">
        <v>4</v>
      </c>
      <c r="P4530" t="str">
        <f t="shared" si="1160"/>
        <v>Active</v>
      </c>
      <c r="Q4530" t="str">
        <f>"LM7 Content, Vir, Intro to Engineering"</f>
        <v>LM7 Content, Vir, Intro to Engineering</v>
      </c>
      <c r="S4530" t="str">
        <f>"LM7 Content, Vir, Intro to Engineering"</f>
        <v>LM7 Content, Vir, Intro to Engineering</v>
      </c>
      <c r="T4530">
        <v>0</v>
      </c>
      <c r="U4530">
        <v>5</v>
      </c>
      <c r="V4530">
        <v>5</v>
      </c>
      <c r="W4530" t="str">
        <f t="shared" si="1162"/>
        <v>zintel</v>
      </c>
    </row>
    <row r="4531" spans="1:23">
      <c r="A4531" t="str">
        <f>"STEM-FOUN-CORE"</f>
        <v>STEM-FOUN-CORE</v>
      </c>
      <c r="B4531" t="str">
        <f>"77-3065-0000"</f>
        <v>77-3065-0000</v>
      </c>
      <c r="C4531" t="str">
        <f>"LM7 Content, Lab/Vir, Mechanisms Intro to STEM"</f>
        <v>LM7 Content, Lab/Vir, Mechanisms Intro to STEM</v>
      </c>
      <c r="D4531">
        <v>1</v>
      </c>
      <c r="E4531" t="str">
        <f>"STEM: FOUNDATIONS, 45 hours Lab"</f>
        <v>STEM: FOUNDATIONS, 45 hours Lab</v>
      </c>
      <c r="F4531">
        <v>0</v>
      </c>
      <c r="G4531" t="str">
        <f t="shared" si="1149"/>
        <v>Y</v>
      </c>
      <c r="H4531" t="str">
        <f t="shared" si="1161"/>
        <v>EA</v>
      </c>
      <c r="I4531">
        <v>0</v>
      </c>
      <c r="J4531">
        <v>0</v>
      </c>
      <c r="K4531" t="str">
        <f t="shared" si="1150"/>
        <v>Y</v>
      </c>
      <c r="L4531">
        <v>0</v>
      </c>
      <c r="M4531" t="str">
        <f t="shared" si="1157"/>
        <v>NIS</v>
      </c>
      <c r="O4531">
        <v>5</v>
      </c>
      <c r="P4531" t="str">
        <f t="shared" si="1160"/>
        <v>Active</v>
      </c>
      <c r="Q4531" t="str">
        <f>"LM7 Content, Lab/Vir, Mechanisms Intro to STEM"</f>
        <v>LM7 Content, Lab/Vir, Mechanisms Intro to STEM</v>
      </c>
      <c r="S4531" t="str">
        <f>"LM7 Content, Lab/Vir, Mechanisms Intro to STEM"</f>
        <v>LM7 Content, Lab/Vir, Mechanisms Intro to STEM</v>
      </c>
      <c r="T4531">
        <v>0</v>
      </c>
      <c r="U4531">
        <v>5</v>
      </c>
      <c r="V4531">
        <v>5</v>
      </c>
      <c r="W4531" t="str">
        <f t="shared" si="1162"/>
        <v>zintel</v>
      </c>
    </row>
    <row r="4532" spans="1:23">
      <c r="A4532" t="str">
        <f>"STEM-FOUN-CORE"</f>
        <v>STEM-FOUN-CORE</v>
      </c>
      <c r="B4532" t="str">
        <f>"77-7027-0001"</f>
        <v>77-7027-0001</v>
      </c>
      <c r="C4532" t="str">
        <f>"LM7 Content, Engineering Application Series"</f>
        <v>LM7 Content, Engineering Application Series</v>
      </c>
      <c r="D4532">
        <v>1</v>
      </c>
      <c r="E4532" t="str">
        <f>"STEM: FOUNDATIONS, 45 hours Lab"</f>
        <v>STEM: FOUNDATIONS, 45 hours Lab</v>
      </c>
      <c r="F4532">
        <v>0</v>
      </c>
      <c r="G4532" t="str">
        <f t="shared" si="1149"/>
        <v>Y</v>
      </c>
      <c r="H4532" t="str">
        <f t="shared" si="1161"/>
        <v>EA</v>
      </c>
      <c r="I4532">
        <v>0</v>
      </c>
      <c r="J4532">
        <v>0</v>
      </c>
      <c r="K4532" t="str">
        <f t="shared" si="1150"/>
        <v>Y</v>
      </c>
      <c r="L4532">
        <v>0</v>
      </c>
      <c r="M4532" t="str">
        <f t="shared" si="1157"/>
        <v>NIS</v>
      </c>
      <c r="O4532">
        <v>6</v>
      </c>
      <c r="P4532" t="str">
        <f t="shared" si="1160"/>
        <v>Active</v>
      </c>
      <c r="Q4532" t="str">
        <f>"LM7 Content, Engineering Application Series"</f>
        <v>LM7 Content, Engineering Application Series</v>
      </c>
      <c r="S4532" t="str">
        <f>"LM7 Content, Engineering Application Series"</f>
        <v>LM7 Content, Engineering Application Series</v>
      </c>
      <c r="T4532">
        <v>0</v>
      </c>
      <c r="U4532">
        <v>5</v>
      </c>
      <c r="V4532">
        <v>5</v>
      </c>
      <c r="W4532" t="str">
        <f t="shared" si="1162"/>
        <v>zintel</v>
      </c>
    </row>
    <row r="4533" spans="1:23">
      <c r="A4533" t="str">
        <f>"STEM-FOUN-CORE"</f>
        <v>STEM-FOUN-CORE</v>
      </c>
      <c r="B4533" t="str">
        <f>"77-8154-0001"</f>
        <v>77-8154-0001</v>
      </c>
      <c r="C4533" t="str">
        <f>"LM7 Content, Lab, Intro. to Industrial Design"</f>
        <v>LM7 Content, Lab, Intro. to Industrial Design</v>
      </c>
      <c r="D4533">
        <v>1</v>
      </c>
      <c r="E4533" t="str">
        <f>"STEM: FOUNDATIONS, 45 hours Lab"</f>
        <v>STEM: FOUNDATIONS, 45 hours Lab</v>
      </c>
      <c r="F4533">
        <v>0</v>
      </c>
      <c r="G4533" t="str">
        <f t="shared" si="1149"/>
        <v>Y</v>
      </c>
      <c r="H4533" t="str">
        <f t="shared" si="1161"/>
        <v>EA</v>
      </c>
      <c r="I4533">
        <v>0</v>
      </c>
      <c r="J4533">
        <v>0</v>
      </c>
      <c r="K4533" t="str">
        <f t="shared" si="1150"/>
        <v>Y</v>
      </c>
      <c r="L4533">
        <v>0</v>
      </c>
      <c r="M4533" t="str">
        <f t="shared" si="1157"/>
        <v>NIS</v>
      </c>
      <c r="O4533">
        <v>7</v>
      </c>
      <c r="P4533" t="str">
        <f t="shared" si="1160"/>
        <v>Active</v>
      </c>
      <c r="Q4533" t="str">
        <f>"LM7 Content, Lab, Intro. to Industrial Design"</f>
        <v>LM7 Content, Lab, Intro. to Industrial Design</v>
      </c>
      <c r="S4533" t="str">
        <f>"LM7 Content, Lab, Intro. to Industrial Design"</f>
        <v>LM7 Content, Lab, Intro. to Industrial Design</v>
      </c>
      <c r="T4533">
        <v>0</v>
      </c>
      <c r="U4533">
        <v>5</v>
      </c>
      <c r="V4533">
        <v>5</v>
      </c>
      <c r="W4533" t="str">
        <f t="shared" si="1162"/>
        <v>zintel</v>
      </c>
    </row>
    <row r="4534" spans="1:23">
      <c r="A4534" t="str">
        <f>"STEM-HCARE-LAB02"</f>
        <v>STEM-HCARE-LAB02</v>
      </c>
      <c r="B4534" t="str">
        <f>"77-8138-0000"</f>
        <v>77-8138-0000</v>
      </c>
      <c r="C4534" t="str">
        <f>"LM7 Content, Lab, Health Care"</f>
        <v>LM7 Content, Lab, Health Care</v>
      </c>
      <c r="D4534">
        <v>1</v>
      </c>
      <c r="E4534" t="str">
        <f>"STEM: HealthCare, 2 Student"</f>
        <v>STEM: HealthCare, 2 Student</v>
      </c>
      <c r="F4534">
        <v>0</v>
      </c>
      <c r="G4534" t="str">
        <f t="shared" si="1149"/>
        <v>Y</v>
      </c>
      <c r="H4534" t="str">
        <f t="shared" si="1161"/>
        <v>EA</v>
      </c>
      <c r="I4534">
        <v>0</v>
      </c>
      <c r="J4534">
        <v>0</v>
      </c>
      <c r="K4534" t="str">
        <f t="shared" si="1150"/>
        <v>Y</v>
      </c>
      <c r="L4534">
        <v>0</v>
      </c>
      <c r="M4534" t="str">
        <f t="shared" si="1157"/>
        <v>NIS</v>
      </c>
      <c r="O4534">
        <v>2</v>
      </c>
      <c r="P4534" t="str">
        <f t="shared" si="1160"/>
        <v>Active</v>
      </c>
      <c r="Q4534" t="str">
        <f>"LM7 Content, Lab, Health Care"</f>
        <v>LM7 Content, Lab, Health Care</v>
      </c>
      <c r="S4534" t="str">
        <f>"LM7 Content, Lab, Health Care"</f>
        <v>LM7 Content, Lab, Health Care</v>
      </c>
      <c r="T4534">
        <v>0</v>
      </c>
      <c r="U4534">
        <v>5</v>
      </c>
      <c r="V4534">
        <v>5</v>
      </c>
      <c r="W4534" t="str">
        <f t="shared" si="1162"/>
        <v>zintel</v>
      </c>
    </row>
    <row r="4535" spans="1:23">
      <c r="A4535" t="str">
        <f>"STEM-HCARE-LAB10"</f>
        <v>STEM-HCARE-LAB10</v>
      </c>
      <c r="B4535" t="str">
        <f>"77-8138-0000"</f>
        <v>77-8138-0000</v>
      </c>
      <c r="C4535" t="str">
        <f>"LM7 Content, Lab, Health Care"</f>
        <v>LM7 Content, Lab, Health Care</v>
      </c>
      <c r="D4535">
        <v>1</v>
      </c>
      <c r="E4535" t="str">
        <f>"STEM: HealthCare, 10 Student"</f>
        <v>STEM: HealthCare, 10 Student</v>
      </c>
      <c r="F4535">
        <v>0</v>
      </c>
      <c r="G4535" t="str">
        <f t="shared" si="1149"/>
        <v>Y</v>
      </c>
      <c r="H4535" t="str">
        <f t="shared" si="1161"/>
        <v>EA</v>
      </c>
      <c r="I4535">
        <v>0</v>
      </c>
      <c r="J4535">
        <v>0</v>
      </c>
      <c r="K4535" t="str">
        <f t="shared" si="1150"/>
        <v>Y</v>
      </c>
      <c r="L4535">
        <v>0</v>
      </c>
      <c r="M4535" t="str">
        <f t="shared" si="1157"/>
        <v>NIS</v>
      </c>
      <c r="O4535">
        <v>2</v>
      </c>
      <c r="P4535" t="str">
        <f t="shared" si="1160"/>
        <v>Active</v>
      </c>
      <c r="Q4535" t="str">
        <f>"LM7 Content, Lab, Health Care"</f>
        <v>LM7 Content, Lab, Health Care</v>
      </c>
      <c r="S4535" t="str">
        <f>"LM7 Content, Lab, Health Care"</f>
        <v>LM7 Content, Lab, Health Care</v>
      </c>
      <c r="T4535">
        <v>0</v>
      </c>
      <c r="U4535">
        <v>5</v>
      </c>
      <c r="V4535">
        <v>5</v>
      </c>
      <c r="W4535" t="str">
        <f t="shared" si="1162"/>
        <v>zintel</v>
      </c>
    </row>
    <row r="4536" spans="1:23">
      <c r="A4536" t="str">
        <f>"STEM-HCARE-LAB30"</f>
        <v>STEM-HCARE-LAB30</v>
      </c>
      <c r="B4536" t="str">
        <f>"10-8138-1030"</f>
        <v>10-8138-1030</v>
      </c>
      <c r="C4536" t="str">
        <f>"Health Care Curriculum Course Mat. 30 Pack"</f>
        <v>Health Care Curriculum Course Mat. 30 Pack</v>
      </c>
      <c r="D4536">
        <v>1</v>
      </c>
      <c r="E4536" t="str">
        <f>"STEM: HealthCare, 30 Student"</f>
        <v>STEM: HealthCare, 30 Student</v>
      </c>
      <c r="F4536">
        <v>0</v>
      </c>
      <c r="G4536" t="str">
        <f t="shared" si="1149"/>
        <v>Y</v>
      </c>
      <c r="H4536" t="str">
        <f t="shared" si="1161"/>
        <v>EA</v>
      </c>
      <c r="I4536">
        <v>0</v>
      </c>
      <c r="J4536">
        <v>0</v>
      </c>
      <c r="K4536" t="str">
        <f t="shared" si="1150"/>
        <v>Y</v>
      </c>
      <c r="L4536">
        <v>0</v>
      </c>
      <c r="M4536" t="str">
        <f t="shared" si="1157"/>
        <v>NIS</v>
      </c>
      <c r="O4536">
        <v>1</v>
      </c>
      <c r="P4536" t="str">
        <f t="shared" ref="P4536:P4567" si="1163">"Active"</f>
        <v>Active</v>
      </c>
      <c r="Q4536" t="str">
        <f>"Health Care Curriculum Course Mat. 30 Pack"</f>
        <v>Health Care Curriculum Course Mat. 30 Pack</v>
      </c>
      <c r="S4536" t="str">
        <f>"Health Care Curriculum Course Mat. 30 Pack"</f>
        <v>Health Care Curriculum Course Mat. 30 Pack</v>
      </c>
      <c r="T4536">
        <v>0</v>
      </c>
      <c r="U4536">
        <v>0</v>
      </c>
      <c r="V4536">
        <v>0</v>
      </c>
      <c r="W4536" t="str">
        <f t="shared" si="1162"/>
        <v>zintel</v>
      </c>
    </row>
    <row r="4537" spans="1:23">
      <c r="A4537" t="str">
        <f>"STEM-HCARE-LAB30"</f>
        <v>STEM-HCARE-LAB30</v>
      </c>
      <c r="B4537" t="str">
        <f>"77-8138-0000"</f>
        <v>77-8138-0000</v>
      </c>
      <c r="C4537" t="str">
        <f>"LM7 Content, Lab, Health Care"</f>
        <v>LM7 Content, Lab, Health Care</v>
      </c>
      <c r="D4537">
        <v>1</v>
      </c>
      <c r="E4537" t="str">
        <f>"STEM: HealthCare, 30 Student"</f>
        <v>STEM: HealthCare, 30 Student</v>
      </c>
      <c r="F4537">
        <v>0</v>
      </c>
      <c r="G4537" t="str">
        <f t="shared" si="1149"/>
        <v>Y</v>
      </c>
      <c r="H4537" t="str">
        <f t="shared" si="1161"/>
        <v>EA</v>
      </c>
      <c r="I4537">
        <v>0</v>
      </c>
      <c r="J4537">
        <v>0</v>
      </c>
      <c r="K4537" t="str">
        <f t="shared" si="1150"/>
        <v>Y</v>
      </c>
      <c r="L4537">
        <v>0</v>
      </c>
      <c r="M4537" t="str">
        <f t="shared" si="1157"/>
        <v>NIS</v>
      </c>
      <c r="O4537">
        <v>2</v>
      </c>
      <c r="P4537" t="str">
        <f t="shared" si="1163"/>
        <v>Active</v>
      </c>
      <c r="Q4537" t="str">
        <f>"LM7 Content, Lab, Health Care"</f>
        <v>LM7 Content, Lab, Health Care</v>
      </c>
      <c r="S4537" t="str">
        <f>"LM7 Content, Lab, Health Care"</f>
        <v>LM7 Content, Lab, Health Care</v>
      </c>
      <c r="T4537">
        <v>0</v>
      </c>
      <c r="U4537">
        <v>5</v>
      </c>
      <c r="V4537">
        <v>5</v>
      </c>
      <c r="W4537" t="str">
        <f t="shared" si="1162"/>
        <v>zintel</v>
      </c>
    </row>
    <row r="4538" spans="1:23">
      <c r="A4538" t="str">
        <f>"STEM-ININ-LAB02"</f>
        <v>STEM-ININ-LAB02</v>
      </c>
      <c r="B4538" t="str">
        <f>"10-8136-1002"</f>
        <v>10-8136-1002</v>
      </c>
      <c r="C4538" t="str">
        <f>"Transportation Curriculum Course Mat. 2 Pack"</f>
        <v>Transportation Curriculum Course Mat. 2 Pack</v>
      </c>
      <c r="D4538">
        <v>1</v>
      </c>
      <c r="E4538" t="str">
        <f>"STEM: Innovation &amp; Invention, 2 Student"</f>
        <v>STEM: Innovation &amp; Invention, 2 Student</v>
      </c>
      <c r="F4538">
        <v>0</v>
      </c>
      <c r="G4538" t="str">
        <f t="shared" si="1149"/>
        <v>Y</v>
      </c>
      <c r="H4538" t="str">
        <f t="shared" si="1161"/>
        <v>EA</v>
      </c>
      <c r="I4538">
        <v>0</v>
      </c>
      <c r="J4538">
        <v>0</v>
      </c>
      <c r="K4538" t="str">
        <f t="shared" si="1150"/>
        <v>Y</v>
      </c>
      <c r="L4538">
        <v>0</v>
      </c>
      <c r="M4538" t="str">
        <f t="shared" si="1157"/>
        <v>NIS</v>
      </c>
      <c r="O4538">
        <v>6</v>
      </c>
      <c r="P4538" t="str">
        <f t="shared" si="1163"/>
        <v>Active</v>
      </c>
      <c r="Q4538" t="str">
        <f>"Transportation Curriculum Course Mat. 2 Pack"</f>
        <v>Transportation Curriculum Course Mat. 2 Pack</v>
      </c>
      <c r="S4538" t="str">
        <f>"Transportation Curriculum Course Mat. 2 Pack"</f>
        <v>Transportation Curriculum Course Mat. 2 Pack</v>
      </c>
      <c r="T4538">
        <v>0</v>
      </c>
      <c r="U4538">
        <v>0</v>
      </c>
      <c r="V4538">
        <v>0</v>
      </c>
      <c r="W4538" t="str">
        <f t="shared" si="1162"/>
        <v>zintel</v>
      </c>
    </row>
    <row r="4539" spans="1:23">
      <c r="A4539" t="str">
        <f>"STEM-ININ-LAB02"</f>
        <v>STEM-ININ-LAB02</v>
      </c>
      <c r="B4539" t="str">
        <f>"77-8136-0001"</f>
        <v>77-8136-0001</v>
      </c>
      <c r="C4539" t="str">
        <f>"LM7 Content, Lab, Intro to Transportation"</f>
        <v>LM7 Content, Lab, Intro to Transportation</v>
      </c>
      <c r="D4539">
        <v>1</v>
      </c>
      <c r="E4539" t="str">
        <f>"STEM: Innovation &amp; Invention, 2 Student"</f>
        <v>STEM: Innovation &amp; Invention, 2 Student</v>
      </c>
      <c r="F4539">
        <v>0</v>
      </c>
      <c r="G4539" t="str">
        <f t="shared" si="1149"/>
        <v>Y</v>
      </c>
      <c r="H4539" t="str">
        <f t="shared" si="1161"/>
        <v>EA</v>
      </c>
      <c r="I4539">
        <v>0</v>
      </c>
      <c r="J4539">
        <v>0</v>
      </c>
      <c r="K4539" t="str">
        <f t="shared" si="1150"/>
        <v>Y</v>
      </c>
      <c r="L4539">
        <v>0</v>
      </c>
      <c r="M4539" t="str">
        <f t="shared" si="1157"/>
        <v>NIS</v>
      </c>
      <c r="O4539">
        <v>7</v>
      </c>
      <c r="P4539" t="str">
        <f t="shared" si="1163"/>
        <v>Active</v>
      </c>
      <c r="Q4539" t="str">
        <f>"LM7 Content, Lab, TTC Intro to Transportation"</f>
        <v>LM7 Content, Lab, TTC Intro to Transportation</v>
      </c>
      <c r="S4539" t="str">
        <f>"LM7 Content, Lab, Intro to Transportation"</f>
        <v>LM7 Content, Lab, Intro to Transportation</v>
      </c>
      <c r="T4539">
        <v>0</v>
      </c>
      <c r="U4539">
        <v>5</v>
      </c>
      <c r="V4539">
        <v>5</v>
      </c>
      <c r="W4539" t="str">
        <f t="shared" si="1162"/>
        <v>zintel</v>
      </c>
    </row>
    <row r="4540" spans="1:23">
      <c r="A4540" t="str">
        <f>"STEM-ININ-LAB02"</f>
        <v>STEM-ININ-LAB02</v>
      </c>
      <c r="B4540" t="str">
        <f>"77-8136-0002"</f>
        <v>77-8136-0002</v>
      </c>
      <c r="C4540" t="str">
        <f>"LM7 Content, Lab, Aerospace"</f>
        <v>LM7 Content, Lab, Aerospace</v>
      </c>
      <c r="D4540">
        <v>1</v>
      </c>
      <c r="E4540" t="str">
        <f>"STEM: Innovation &amp; Invention, 2 Student"</f>
        <v>STEM: Innovation &amp; Invention, 2 Student</v>
      </c>
      <c r="F4540">
        <v>0</v>
      </c>
      <c r="G4540" t="str">
        <f t="shared" si="1149"/>
        <v>Y</v>
      </c>
      <c r="H4540" t="str">
        <f t="shared" si="1161"/>
        <v>EA</v>
      </c>
      <c r="I4540">
        <v>0</v>
      </c>
      <c r="J4540">
        <v>0</v>
      </c>
      <c r="K4540" t="str">
        <f t="shared" si="1150"/>
        <v>Y</v>
      </c>
      <c r="L4540">
        <v>0</v>
      </c>
      <c r="M4540" t="str">
        <f t="shared" si="1157"/>
        <v>NIS</v>
      </c>
      <c r="O4540">
        <v>8</v>
      </c>
      <c r="P4540" t="str">
        <f t="shared" si="1163"/>
        <v>Active</v>
      </c>
      <c r="Q4540" t="str">
        <f>"LM7 Content, Lab, TTC Aerospace"</f>
        <v>LM7 Content, Lab, TTC Aerospace</v>
      </c>
      <c r="S4540" t="str">
        <f>"LM7 Content, Lab, Aerospace"</f>
        <v>LM7 Content, Lab, Aerospace</v>
      </c>
      <c r="T4540">
        <v>0</v>
      </c>
      <c r="U4540">
        <v>5</v>
      </c>
      <c r="V4540">
        <v>5</v>
      </c>
      <c r="W4540" t="str">
        <f t="shared" si="1162"/>
        <v>zintel</v>
      </c>
    </row>
    <row r="4541" spans="1:23">
      <c r="A4541" t="str">
        <f>"STEM-ININ-LAB02"</f>
        <v>STEM-ININ-LAB02</v>
      </c>
      <c r="B4541" t="str">
        <f>"77-8136-0003"</f>
        <v>77-8136-0003</v>
      </c>
      <c r="C4541" t="str">
        <f>"LM7 Content, Lab, Aviation"</f>
        <v>LM7 Content, Lab, Aviation</v>
      </c>
      <c r="D4541">
        <v>1</v>
      </c>
      <c r="E4541" t="str">
        <f>"STEM: Innovation &amp; Invention, 2 Student"</f>
        <v>STEM: Innovation &amp; Invention, 2 Student</v>
      </c>
      <c r="F4541">
        <v>0</v>
      </c>
      <c r="G4541" t="str">
        <f t="shared" si="1149"/>
        <v>Y</v>
      </c>
      <c r="H4541" t="str">
        <f t="shared" si="1161"/>
        <v>EA</v>
      </c>
      <c r="I4541">
        <v>0</v>
      </c>
      <c r="J4541">
        <v>0</v>
      </c>
      <c r="K4541" t="str">
        <f t="shared" si="1150"/>
        <v>Y</v>
      </c>
      <c r="L4541">
        <v>0</v>
      </c>
      <c r="M4541" t="str">
        <f t="shared" si="1157"/>
        <v>NIS</v>
      </c>
      <c r="O4541">
        <v>9</v>
      </c>
      <c r="P4541" t="str">
        <f t="shared" si="1163"/>
        <v>Active</v>
      </c>
      <c r="Q4541" t="str">
        <f>"LM7 Content, Lab, TTC Aviation"</f>
        <v>LM7 Content, Lab, TTC Aviation</v>
      </c>
      <c r="S4541" t="str">
        <f>"LM7 Content, Lab, Aviation"</f>
        <v>LM7 Content, Lab, Aviation</v>
      </c>
      <c r="T4541">
        <v>0</v>
      </c>
      <c r="U4541">
        <v>5</v>
      </c>
      <c r="V4541">
        <v>5</v>
      </c>
      <c r="W4541" t="str">
        <f t="shared" si="1162"/>
        <v>zintel</v>
      </c>
    </row>
    <row r="4542" spans="1:23">
      <c r="A4542" t="str">
        <f>"STEM-ININ-LAB02"</f>
        <v>STEM-ININ-LAB02</v>
      </c>
      <c r="B4542" t="str">
        <f>"77-8136-0004"</f>
        <v>77-8136-0004</v>
      </c>
      <c r="C4542" t="str">
        <f>"LM7 Content, Lab, R&amp;D Automotive"</f>
        <v>LM7 Content, Lab, R&amp;D Automotive</v>
      </c>
      <c r="D4542">
        <v>1</v>
      </c>
      <c r="E4542" t="str">
        <f>"STEM: Innovation &amp; Invention, 2 Student"</f>
        <v>STEM: Innovation &amp; Invention, 2 Student</v>
      </c>
      <c r="F4542">
        <v>0</v>
      </c>
      <c r="G4542" t="str">
        <f t="shared" si="1149"/>
        <v>Y</v>
      </c>
      <c r="H4542" t="str">
        <f t="shared" si="1161"/>
        <v>EA</v>
      </c>
      <c r="I4542">
        <v>0</v>
      </c>
      <c r="J4542">
        <v>0</v>
      </c>
      <c r="K4542" t="str">
        <f t="shared" si="1150"/>
        <v>Y</v>
      </c>
      <c r="L4542">
        <v>0</v>
      </c>
      <c r="M4542" t="str">
        <f t="shared" si="1157"/>
        <v>NIS</v>
      </c>
      <c r="O4542">
        <v>10</v>
      </c>
      <c r="P4542" t="str">
        <f t="shared" si="1163"/>
        <v>Active</v>
      </c>
      <c r="Q4542" t="str">
        <f>"LM7 Content, Lab, TTC R&amp;D Automotive"</f>
        <v>LM7 Content, Lab, TTC R&amp;D Automotive</v>
      </c>
      <c r="S4542" t="str">
        <f>"LM7 Content, Lab, R&amp;D Automotive"</f>
        <v>LM7 Content, Lab, R&amp;D Automotive</v>
      </c>
      <c r="T4542">
        <v>0</v>
      </c>
      <c r="U4542">
        <v>5</v>
      </c>
      <c r="V4542">
        <v>5</v>
      </c>
      <c r="W4542" t="str">
        <f t="shared" si="1162"/>
        <v>zintel</v>
      </c>
    </row>
    <row r="4543" spans="1:23">
      <c r="A4543" t="str">
        <f t="shared" ref="A4543:A4548" si="1164">"STEM-INTR-3DP"</f>
        <v>STEM-INTR-3DP</v>
      </c>
      <c r="B4543" t="str">
        <f>"10-1202-5568"</f>
        <v>10-1202-5568</v>
      </c>
      <c r="C4543" t="str">
        <f>"BuildTak, H800 platform surfaces-3pk"</f>
        <v>BuildTak, H800 platform surfaces-3pk</v>
      </c>
      <c r="D4543">
        <v>1</v>
      </c>
      <c r="E4543" t="str">
        <f t="shared" ref="E4543:E4548" si="1165">"STEM: Intro to 3D Printing, H800 Bundle with Curriculum"</f>
        <v>STEM: Intro to 3D Printing, H800 Bundle with Curriculum</v>
      </c>
      <c r="F4543">
        <v>0</v>
      </c>
      <c r="G4543" t="str">
        <f t="shared" si="1149"/>
        <v>Y</v>
      </c>
      <c r="H4543" t="str">
        <f t="shared" si="1161"/>
        <v>EA</v>
      </c>
      <c r="I4543">
        <v>0</v>
      </c>
      <c r="J4543">
        <v>0</v>
      </c>
      <c r="K4543" t="str">
        <f t="shared" si="1150"/>
        <v>Y</v>
      </c>
      <c r="L4543">
        <v>0</v>
      </c>
      <c r="M4543" t="str">
        <f t="shared" si="1157"/>
        <v>NIS</v>
      </c>
      <c r="O4543">
        <v>15</v>
      </c>
      <c r="P4543" t="str">
        <f t="shared" si="1163"/>
        <v>Active</v>
      </c>
      <c r="Q4543" t="str">
        <f>"BuildTak, H800 platform surfaces-3pk"</f>
        <v>BuildTak, H800 platform surfaces-3pk</v>
      </c>
      <c r="S4543" t="str">
        <f>"BuildTak, H800 platform surfaces-3pk"</f>
        <v>BuildTak, H800 platform surfaces-3pk</v>
      </c>
      <c r="T4543">
        <v>47.74</v>
      </c>
      <c r="U4543">
        <v>49.6</v>
      </c>
      <c r="V4543">
        <v>51.58</v>
      </c>
      <c r="W4543" t="str">
        <f t="shared" si="1162"/>
        <v>zintel</v>
      </c>
    </row>
    <row r="4544" spans="1:23">
      <c r="A4544" t="str">
        <f t="shared" si="1164"/>
        <v>STEM-INTR-3DP</v>
      </c>
      <c r="B4544" t="str">
        <f>"10-1202-5603"</f>
        <v>10-1202-5603</v>
      </c>
      <c r="C4544" t="str">
        <f>"Air Filter, Afinia H800,HEPA 7"</f>
        <v>Air Filter, Afinia H800,HEPA 7</v>
      </c>
      <c r="D4544">
        <v>1</v>
      </c>
      <c r="E4544" t="str">
        <f t="shared" si="1165"/>
        <v>STEM: Intro to 3D Printing, H800 Bundle with Curriculum</v>
      </c>
      <c r="F4544">
        <v>0</v>
      </c>
      <c r="G4544" t="str">
        <f t="shared" si="1149"/>
        <v>Y</v>
      </c>
      <c r="H4544" t="str">
        <f t="shared" si="1161"/>
        <v>EA</v>
      </c>
      <c r="I4544">
        <v>0</v>
      </c>
      <c r="J4544">
        <v>0</v>
      </c>
      <c r="K4544" t="str">
        <f t="shared" si="1150"/>
        <v>Y</v>
      </c>
      <c r="L4544">
        <v>0</v>
      </c>
      <c r="M4544" t="str">
        <f t="shared" si="1157"/>
        <v>NIS</v>
      </c>
      <c r="O4544">
        <v>16</v>
      </c>
      <c r="P4544" t="str">
        <f t="shared" si="1163"/>
        <v>Active</v>
      </c>
      <c r="Q4544" t="str">
        <f>"Air Filter, Afinia H800,HEPA 7"</f>
        <v>Air Filter, Afinia H800,HEPA 7</v>
      </c>
      <c r="S4544" t="str">
        <f>"Air Filter, Afinia H800,HEPA 7"</f>
        <v>Air Filter, Afinia H800,HEPA 7</v>
      </c>
      <c r="T4544">
        <v>15.58</v>
      </c>
      <c r="U4544">
        <v>15.2</v>
      </c>
      <c r="V4544">
        <v>17.43</v>
      </c>
      <c r="W4544" t="str">
        <f t="shared" si="1162"/>
        <v>zintel</v>
      </c>
    </row>
    <row r="4545" spans="1:23">
      <c r="A4545" t="str">
        <f t="shared" si="1164"/>
        <v>STEM-INTR-3DP</v>
      </c>
      <c r="B4545" t="str">
        <f>"10-1202-5617"</f>
        <v>10-1202-5617</v>
      </c>
      <c r="C4545" t="str">
        <f>"PLA Premium 1.75 Flmnt,500g,4-Pack,Blu,Gry,Grn,N"</f>
        <v>PLA Premium 1.75 Flmnt,500g,4-Pack,Blu,Gry,Grn,N</v>
      </c>
      <c r="D4545">
        <v>1</v>
      </c>
      <c r="E4545" t="str">
        <f t="shared" si="1165"/>
        <v>STEM: Intro to 3D Printing, H800 Bundle with Curriculum</v>
      </c>
      <c r="F4545">
        <v>0</v>
      </c>
      <c r="G4545" t="str">
        <f t="shared" si="1149"/>
        <v>Y</v>
      </c>
      <c r="H4545" t="str">
        <f t="shared" si="1161"/>
        <v>EA</v>
      </c>
      <c r="I4545">
        <v>0</v>
      </c>
      <c r="J4545">
        <v>0</v>
      </c>
      <c r="K4545" t="str">
        <f t="shared" si="1150"/>
        <v>Y</v>
      </c>
      <c r="L4545">
        <v>0</v>
      </c>
      <c r="M4545" t="str">
        <f t="shared" si="1157"/>
        <v>NIS</v>
      </c>
      <c r="O4545">
        <v>17</v>
      </c>
      <c r="P4545" t="str">
        <f t="shared" si="1163"/>
        <v>Active</v>
      </c>
      <c r="Q4545" t="str">
        <f>"PLA Premium 1.75 Flmnt,500g,4-Pack,Blu,Gry,Grn,N"</f>
        <v>PLA Premium 1.75 Flmnt,500g,4-Pack,Blu,Gry,Grn,N</v>
      </c>
      <c r="S4545" t="str">
        <f>"PLA Premium 1.75 Flmnt,500g,4-Pack,Blu,Gry,Grn,N"</f>
        <v>PLA Premium 1.75 Flmnt,500g,4-Pack,Blu,Gry,Grn,N</v>
      </c>
      <c r="T4545">
        <v>78.31</v>
      </c>
      <c r="U4545">
        <v>79.36</v>
      </c>
      <c r="V4545">
        <v>82.53</v>
      </c>
      <c r="W4545" t="str">
        <f t="shared" si="1162"/>
        <v>zintel</v>
      </c>
    </row>
    <row r="4546" spans="1:23">
      <c r="A4546" t="str">
        <f t="shared" si="1164"/>
        <v>STEM-INTR-3DP</v>
      </c>
      <c r="B4546" t="str">
        <f>"10-1202-5638"</f>
        <v>10-1202-5638</v>
      </c>
      <c r="C4546" t="str">
        <f>"ABS PLUS Premium 1.75 Flmnt,500g,White"</f>
        <v>ABS PLUS Premium 1.75 Flmnt,500g,White</v>
      </c>
      <c r="D4546">
        <v>1</v>
      </c>
      <c r="E4546" t="str">
        <f t="shared" si="1165"/>
        <v>STEM: Intro to 3D Printing, H800 Bundle with Curriculum</v>
      </c>
      <c r="F4546">
        <v>0</v>
      </c>
      <c r="G4546" t="str">
        <f t="shared" ref="G4546:G4609" si="1166">"Y"</f>
        <v>Y</v>
      </c>
      <c r="H4546" t="str">
        <f t="shared" si="1161"/>
        <v>EA</v>
      </c>
      <c r="I4546">
        <v>0</v>
      </c>
      <c r="J4546">
        <v>0</v>
      </c>
      <c r="K4546" t="str">
        <f t="shared" ref="K4546:K4609" si="1167">"Y"</f>
        <v>Y</v>
      </c>
      <c r="L4546">
        <v>0</v>
      </c>
      <c r="M4546" t="str">
        <f t="shared" si="1157"/>
        <v>NIS</v>
      </c>
      <c r="O4546">
        <v>18</v>
      </c>
      <c r="P4546" t="str">
        <f t="shared" si="1163"/>
        <v>Active</v>
      </c>
      <c r="Q4546" t="str">
        <f>"ABS PLUS Premium 1.75 Flmnt,500g,White"</f>
        <v>ABS PLUS Premium 1.75 Flmnt,500g,White</v>
      </c>
      <c r="S4546" t="str">
        <f>"ABS PLUS Premium 1.75 Flmnt,500g,White"</f>
        <v>ABS PLUS Premium 1.75 Flmnt,500g,White</v>
      </c>
      <c r="T4546">
        <v>30.81</v>
      </c>
      <c r="U4546">
        <v>30.86</v>
      </c>
      <c r="V4546">
        <v>32.090000000000003</v>
      </c>
      <c r="W4546" t="str">
        <f t="shared" si="1162"/>
        <v>zintel</v>
      </c>
    </row>
    <row r="4547" spans="1:23">
      <c r="A4547" t="str">
        <f t="shared" si="1164"/>
        <v>STEM-INTR-3DP</v>
      </c>
      <c r="B4547" t="str">
        <f>"10-1202-5645"</f>
        <v>10-1202-5645</v>
      </c>
      <c r="C4547" t="str">
        <f>"ABS PLUS Premium 1.75 Flmnt,500g,Black"</f>
        <v>ABS PLUS Premium 1.75 Flmnt,500g,Black</v>
      </c>
      <c r="D4547">
        <v>1</v>
      </c>
      <c r="E4547" t="str">
        <f t="shared" si="1165"/>
        <v>STEM: Intro to 3D Printing, H800 Bundle with Curriculum</v>
      </c>
      <c r="F4547">
        <v>0</v>
      </c>
      <c r="G4547" t="str">
        <f t="shared" si="1166"/>
        <v>Y</v>
      </c>
      <c r="H4547" t="str">
        <f t="shared" si="1161"/>
        <v>EA</v>
      </c>
      <c r="I4547">
        <v>0</v>
      </c>
      <c r="J4547">
        <v>0</v>
      </c>
      <c r="K4547" t="str">
        <f t="shared" si="1167"/>
        <v>Y</v>
      </c>
      <c r="L4547">
        <v>0</v>
      </c>
      <c r="M4547" t="str">
        <f t="shared" si="1157"/>
        <v>NIS</v>
      </c>
      <c r="O4547">
        <v>19</v>
      </c>
      <c r="P4547" t="str">
        <f t="shared" si="1163"/>
        <v>Active</v>
      </c>
      <c r="Q4547" t="str">
        <f>"ABS PLUS Premium 1.75 Flmnt,500g,Black"</f>
        <v>ABS PLUS Premium 1.75 Flmnt,500g,Black</v>
      </c>
      <c r="S4547" t="str">
        <f>"ABS PLUS Premium 1.75 Flmnt,500g,Black"</f>
        <v>ABS PLUS Premium 1.75 Flmnt,500g,Black</v>
      </c>
      <c r="T4547">
        <v>29.18</v>
      </c>
      <c r="U4547">
        <v>30.86</v>
      </c>
      <c r="V4547">
        <v>32.090000000000003</v>
      </c>
      <c r="W4547" t="str">
        <f t="shared" si="1162"/>
        <v>zintel</v>
      </c>
    </row>
    <row r="4548" spans="1:23">
      <c r="A4548" t="str">
        <f t="shared" si="1164"/>
        <v>STEM-INTR-3DP</v>
      </c>
      <c r="B4548" t="str">
        <f>"77-8157-0000"</f>
        <v>77-8157-0000</v>
      </c>
      <c r="C4548" t="str">
        <f>"LM7 Content, Lab, Introduction to 3D Printing"</f>
        <v>LM7 Content, Lab, Introduction to 3D Printing</v>
      </c>
      <c r="D4548">
        <v>1</v>
      </c>
      <c r="E4548" t="str">
        <f t="shared" si="1165"/>
        <v>STEM: Intro to 3D Printing, H800 Bundle with Curriculum</v>
      </c>
      <c r="F4548">
        <v>0</v>
      </c>
      <c r="G4548" t="str">
        <f t="shared" si="1166"/>
        <v>Y</v>
      </c>
      <c r="H4548" t="str">
        <f t="shared" si="1161"/>
        <v>EA</v>
      </c>
      <c r="I4548">
        <v>0</v>
      </c>
      <c r="J4548">
        <v>0</v>
      </c>
      <c r="K4548" t="str">
        <f t="shared" si="1167"/>
        <v>Y</v>
      </c>
      <c r="L4548">
        <v>0</v>
      </c>
      <c r="M4548" t="str">
        <f t="shared" si="1157"/>
        <v>NIS</v>
      </c>
      <c r="O4548">
        <v>1</v>
      </c>
      <c r="P4548" t="str">
        <f t="shared" si="1163"/>
        <v>Active</v>
      </c>
      <c r="Q4548" t="str">
        <f>"LM7 Content, Lab, Introduction to 3D Printing"</f>
        <v>LM7 Content, Lab, Introduction to 3D Printing</v>
      </c>
      <c r="S4548" t="str">
        <f>"LM7 Content, Lab, Introduction to 3D Printing"</f>
        <v>LM7 Content, Lab, Introduction to 3D Printing</v>
      </c>
      <c r="T4548">
        <v>0</v>
      </c>
      <c r="U4548">
        <v>5</v>
      </c>
      <c r="V4548">
        <v>5</v>
      </c>
      <c r="W4548" t="str">
        <f t="shared" si="1162"/>
        <v>zintel</v>
      </c>
    </row>
    <row r="4549" spans="1:23">
      <c r="A4549" t="str">
        <f t="shared" ref="A4549:A4554" si="1168">"STEM-INTR-MANF"</f>
        <v>STEM-INTR-MANF</v>
      </c>
      <c r="B4549" t="str">
        <f>"00-1000-0110"</f>
        <v>00-1000-0110</v>
      </c>
      <c r="C4549" t="str">
        <f>"Bench Router 1000 16in x 24in HSS - 110V"</f>
        <v>Bench Router 1000 16in x 24in HSS - 110V</v>
      </c>
      <c r="D4549">
        <v>1</v>
      </c>
      <c r="E4549" t="str">
        <f t="shared" ref="E4549:E4554" si="1169">"STEM: Intro to Manufacturing with Bench Router 1000"</f>
        <v>STEM: Intro to Manufacturing with Bench Router 1000</v>
      </c>
      <c r="F4549">
        <v>0</v>
      </c>
      <c r="G4549" t="str">
        <f t="shared" si="1166"/>
        <v>Y</v>
      </c>
      <c r="H4549" t="str">
        <f t="shared" si="1161"/>
        <v>EA</v>
      </c>
      <c r="I4549">
        <v>0</v>
      </c>
      <c r="J4549">
        <v>0</v>
      </c>
      <c r="K4549" t="str">
        <f t="shared" si="1167"/>
        <v>Y</v>
      </c>
      <c r="L4549">
        <v>0</v>
      </c>
      <c r="M4549" t="str">
        <f t="shared" si="1157"/>
        <v>NIS</v>
      </c>
      <c r="O4549">
        <v>1</v>
      </c>
      <c r="P4549" t="str">
        <f t="shared" si="1163"/>
        <v>Active</v>
      </c>
      <c r="Q4549" t="str">
        <f>"Bench Router 1000 16in x 24in HSS - 110V"</f>
        <v>Bench Router 1000 16in x 24in HSS - 110V</v>
      </c>
      <c r="S4549" t="str">
        <f>"Bench Router 1000 16in x 24in HSS - 110V"</f>
        <v>Bench Router 1000 16in x 24in HSS - 110V</v>
      </c>
      <c r="T4549" s="44">
        <v>3967.6</v>
      </c>
      <c r="U4549" s="44">
        <v>3815</v>
      </c>
      <c r="V4549" s="44">
        <v>3967.6</v>
      </c>
      <c r="W4549" t="str">
        <f t="shared" si="1162"/>
        <v>zintel</v>
      </c>
    </row>
    <row r="4550" spans="1:23">
      <c r="A4550" t="str">
        <f t="shared" si="1168"/>
        <v>STEM-INTR-MANF</v>
      </c>
      <c r="B4550" t="str">
        <f>"63-2000-VCRV"</f>
        <v>63-2000-VCRV</v>
      </c>
      <c r="C4550" t="str">
        <f>"VCarve Pro CNC Software; 1 Seat (30 Education)"</f>
        <v>VCarve Pro CNC Software; 1 Seat (30 Education)</v>
      </c>
      <c r="D4550">
        <v>1</v>
      </c>
      <c r="E4550" t="str">
        <f t="shared" si="1169"/>
        <v>STEM: Intro to Manufacturing with Bench Router 1000</v>
      </c>
      <c r="F4550">
        <v>0</v>
      </c>
      <c r="G4550" t="str">
        <f t="shared" si="1166"/>
        <v>Y</v>
      </c>
      <c r="H4550" t="str">
        <f t="shared" si="1161"/>
        <v>EA</v>
      </c>
      <c r="I4550">
        <v>0</v>
      </c>
      <c r="J4550">
        <v>0</v>
      </c>
      <c r="K4550" t="str">
        <f t="shared" si="1167"/>
        <v>Y</v>
      </c>
      <c r="L4550">
        <v>0</v>
      </c>
      <c r="M4550" t="str">
        <f t="shared" si="1157"/>
        <v>NIS</v>
      </c>
      <c r="O4550">
        <v>2</v>
      </c>
      <c r="P4550" t="str">
        <f t="shared" si="1163"/>
        <v>Active</v>
      </c>
      <c r="Q4550" t="str">
        <f>"Vcarve Pro Education Software; 40 Seats"</f>
        <v>Vcarve Pro Education Software; 40 Seats</v>
      </c>
      <c r="S4550" t="str">
        <f>"VCarve Pro CNC Software; 1 Seat (30 Education)"</f>
        <v>VCarve Pro CNC Software; 1 Seat (30 Education)</v>
      </c>
      <c r="T4550">
        <v>675.21</v>
      </c>
      <c r="U4550">
        <v>469.79</v>
      </c>
      <c r="V4550">
        <v>488.58</v>
      </c>
      <c r="W4550" t="str">
        <f t="shared" si="1162"/>
        <v>zintel</v>
      </c>
    </row>
    <row r="4551" spans="1:23">
      <c r="A4551" t="str">
        <f t="shared" si="1168"/>
        <v>STEM-INTR-MANF</v>
      </c>
      <c r="B4551" t="str">
        <f>"10-BA05-0000"</f>
        <v>10-BA05-0000</v>
      </c>
      <c r="C4551" t="str">
        <f>"Hand Tools, BA05, Hardware Only"</f>
        <v>Hand Tools, BA05, Hardware Only</v>
      </c>
      <c r="D4551">
        <v>1</v>
      </c>
      <c r="E4551" t="str">
        <f t="shared" si="1169"/>
        <v>STEM: Intro to Manufacturing with Bench Router 1000</v>
      </c>
      <c r="F4551">
        <v>0</v>
      </c>
      <c r="G4551" t="str">
        <f t="shared" si="1166"/>
        <v>Y</v>
      </c>
      <c r="H4551" t="str">
        <f t="shared" ref="H4551:H4573" si="1170">"EA"</f>
        <v>EA</v>
      </c>
      <c r="I4551">
        <v>0</v>
      </c>
      <c r="J4551">
        <v>0</v>
      </c>
      <c r="K4551" t="str">
        <f t="shared" si="1167"/>
        <v>Y</v>
      </c>
      <c r="L4551">
        <v>0</v>
      </c>
      <c r="M4551" t="str">
        <f t="shared" si="1157"/>
        <v>NIS</v>
      </c>
      <c r="O4551">
        <v>3</v>
      </c>
      <c r="P4551" t="str">
        <f t="shared" si="1163"/>
        <v>Active</v>
      </c>
      <c r="Q4551" t="str">
        <f>"Hand Tools, BA05, Hardware Only"</f>
        <v>Hand Tools, BA05, Hardware Only</v>
      </c>
      <c r="S4551" t="str">
        <f>"Hand Tools, BA05, Hardware Only"</f>
        <v>Hand Tools, BA05, Hardware Only</v>
      </c>
      <c r="T4551">
        <v>610.97</v>
      </c>
      <c r="U4551">
        <v>487.8</v>
      </c>
      <c r="V4551">
        <v>531.70000000000005</v>
      </c>
      <c r="W4551" t="str">
        <f t="shared" si="1162"/>
        <v>zintel</v>
      </c>
    </row>
    <row r="4552" spans="1:23">
      <c r="A4552" t="str">
        <f t="shared" si="1168"/>
        <v>STEM-INTR-MANF</v>
      </c>
      <c r="B4552" t="str">
        <f>"77-BA05-0001"</f>
        <v>77-BA05-0001</v>
      </c>
      <c r="C4552" t="str">
        <f>"LM7 Content, JM, Hand Tools"</f>
        <v>LM7 Content, JM, Hand Tools</v>
      </c>
      <c r="D4552">
        <v>1</v>
      </c>
      <c r="E4552" t="str">
        <f t="shared" si="1169"/>
        <v>STEM: Intro to Manufacturing with Bench Router 1000</v>
      </c>
      <c r="F4552">
        <v>0</v>
      </c>
      <c r="G4552" t="str">
        <f t="shared" si="1166"/>
        <v>Y</v>
      </c>
      <c r="H4552" t="str">
        <f t="shared" si="1170"/>
        <v>EA</v>
      </c>
      <c r="I4552">
        <v>0</v>
      </c>
      <c r="J4552">
        <v>0</v>
      </c>
      <c r="K4552" t="str">
        <f t="shared" si="1167"/>
        <v>Y</v>
      </c>
      <c r="L4552">
        <v>0</v>
      </c>
      <c r="M4552" t="str">
        <f t="shared" si="1157"/>
        <v>NIS</v>
      </c>
      <c r="O4552">
        <v>4</v>
      </c>
      <c r="P4552" t="str">
        <f t="shared" si="1163"/>
        <v>Active</v>
      </c>
      <c r="Q4552" t="str">
        <f>"LM7 Content, JM, Hand Tools"</f>
        <v>LM7 Content, JM, Hand Tools</v>
      </c>
      <c r="S4552" t="str">
        <f>"LM7 Content, JM, Hand Tools"</f>
        <v>LM7 Content, JM, Hand Tools</v>
      </c>
      <c r="T4552">
        <v>0</v>
      </c>
      <c r="U4552">
        <v>5</v>
      </c>
      <c r="V4552">
        <v>5</v>
      </c>
      <c r="W4552" t="str">
        <f t="shared" si="1162"/>
        <v>zintel</v>
      </c>
    </row>
    <row r="4553" spans="1:23">
      <c r="A4553" t="str">
        <f t="shared" si="1168"/>
        <v>STEM-INTR-MANF</v>
      </c>
      <c r="B4553" t="str">
        <f>"34-1000-VCRV"</f>
        <v>34-1000-VCRV</v>
      </c>
      <c r="C4553" t="str">
        <f>"VCarve Pro Licensing Notification Document"</f>
        <v>VCarve Pro Licensing Notification Document</v>
      </c>
      <c r="D4553">
        <v>1</v>
      </c>
      <c r="E4553" t="str">
        <f t="shared" si="1169"/>
        <v>STEM: Intro to Manufacturing with Bench Router 1000</v>
      </c>
      <c r="F4553">
        <v>0</v>
      </c>
      <c r="G4553" t="str">
        <f t="shared" si="1166"/>
        <v>Y</v>
      </c>
      <c r="H4553" t="str">
        <f t="shared" si="1170"/>
        <v>EA</v>
      </c>
      <c r="I4553">
        <v>0</v>
      </c>
      <c r="J4553">
        <v>0</v>
      </c>
      <c r="K4553" t="str">
        <f t="shared" si="1167"/>
        <v>Y</v>
      </c>
      <c r="L4553">
        <v>0</v>
      </c>
      <c r="M4553" t="str">
        <f t="shared" si="1157"/>
        <v>NIS</v>
      </c>
      <c r="O4553">
        <v>5</v>
      </c>
      <c r="P4553" t="str">
        <f t="shared" si="1163"/>
        <v>Active</v>
      </c>
      <c r="Q4553" t="str">
        <f>"VCarve Pro Licensing Notification Document"</f>
        <v>VCarve Pro Licensing Notification Document</v>
      </c>
      <c r="S4553" t="str">
        <f>"VCarve Pro Licensing Notification Document"</f>
        <v>VCarve Pro Licensing Notification Document</v>
      </c>
      <c r="T4553">
        <v>1.04</v>
      </c>
      <c r="U4553">
        <v>1</v>
      </c>
      <c r="V4553">
        <v>0</v>
      </c>
      <c r="W4553" t="str">
        <f t="shared" si="1162"/>
        <v>zintel</v>
      </c>
    </row>
    <row r="4554" spans="1:23">
      <c r="A4554" t="str">
        <f t="shared" si="1168"/>
        <v>STEM-INTR-MANF</v>
      </c>
      <c r="B4554" t="str">
        <f>"77-8160-0001"</f>
        <v>77-8160-0001</v>
      </c>
      <c r="C4554" t="str">
        <f>"LM7 Content, Lab, Intro to CNC Routers VcarvePro"</f>
        <v>LM7 Content, Lab, Intro to CNC Routers VcarvePro</v>
      </c>
      <c r="D4554">
        <v>1</v>
      </c>
      <c r="E4554" t="str">
        <f t="shared" si="1169"/>
        <v>STEM: Intro to Manufacturing with Bench Router 1000</v>
      </c>
      <c r="F4554">
        <v>0</v>
      </c>
      <c r="G4554" t="str">
        <f t="shared" si="1166"/>
        <v>Y</v>
      </c>
      <c r="H4554" t="str">
        <f t="shared" si="1170"/>
        <v>EA</v>
      </c>
      <c r="I4554">
        <v>0</v>
      </c>
      <c r="J4554">
        <v>0</v>
      </c>
      <c r="K4554" t="str">
        <f t="shared" si="1167"/>
        <v>Y</v>
      </c>
      <c r="L4554">
        <v>0</v>
      </c>
      <c r="M4554" t="str">
        <f t="shared" si="1157"/>
        <v>NIS</v>
      </c>
      <c r="O4554">
        <v>6</v>
      </c>
      <c r="P4554" t="str">
        <f t="shared" si="1163"/>
        <v>Active</v>
      </c>
      <c r="Q4554" t="str">
        <f>"LM7 Content, Lab, Intro to CNC Routers VcarvePro"</f>
        <v>LM7 Content, Lab, Intro to CNC Routers VcarvePro</v>
      </c>
      <c r="S4554" t="str">
        <f>"LM7 Content, Lab, Intro to CNC Routers VcarvePro"</f>
        <v>LM7 Content, Lab, Intro to CNC Routers VcarvePro</v>
      </c>
      <c r="T4554">
        <v>0</v>
      </c>
      <c r="U4554">
        <v>5</v>
      </c>
      <c r="V4554">
        <v>0</v>
      </c>
      <c r="W4554" t="str">
        <f t="shared" si="1162"/>
        <v>zintel</v>
      </c>
    </row>
    <row r="4555" spans="1:23">
      <c r="A4555" t="str">
        <f>"STEM-INTR-MFG"</f>
        <v>STEM-INTR-MFG</v>
      </c>
      <c r="B4555" t="str">
        <f>"77-3096-0000"</f>
        <v>77-3096-0000</v>
      </c>
      <c r="C4555" t="str">
        <f>"LM7 Content, Vir, Intro to Advanced Mfg"</f>
        <v>LM7 Content, Vir, Intro to Advanced Mfg</v>
      </c>
      <c r="D4555">
        <v>1</v>
      </c>
      <c r="E4555" t="str">
        <f>"STEM: Intro to Manufacturing using Spectra CAD/CAM"</f>
        <v>STEM: Intro to Manufacturing using Spectra CAD/CAM</v>
      </c>
      <c r="F4555">
        <v>0</v>
      </c>
      <c r="G4555" t="str">
        <f t="shared" si="1166"/>
        <v>Y</v>
      </c>
      <c r="H4555" t="str">
        <f t="shared" si="1170"/>
        <v>EA</v>
      </c>
      <c r="I4555">
        <v>0</v>
      </c>
      <c r="J4555">
        <v>0</v>
      </c>
      <c r="K4555" t="str">
        <f t="shared" si="1167"/>
        <v>Y</v>
      </c>
      <c r="L4555">
        <v>0</v>
      </c>
      <c r="M4555" t="str">
        <f t="shared" si="1157"/>
        <v>NIS</v>
      </c>
      <c r="O4555">
        <v>1</v>
      </c>
      <c r="P4555" t="str">
        <f t="shared" si="1163"/>
        <v>Active</v>
      </c>
      <c r="Q4555" t="str">
        <f>"LM7 Content, Vir, Intro to Advanced Mfg"</f>
        <v>LM7 Content, Vir, Intro to Advanced Mfg</v>
      </c>
      <c r="S4555" t="str">
        <f>"LM7 Content, Vir, Intro to Advanced Mfg"</f>
        <v>LM7 Content, Vir, Intro to Advanced Mfg</v>
      </c>
      <c r="T4555">
        <v>0</v>
      </c>
      <c r="U4555">
        <v>5</v>
      </c>
      <c r="V4555">
        <v>5.2</v>
      </c>
      <c r="W4555" t="str">
        <f t="shared" si="1162"/>
        <v>zintel</v>
      </c>
    </row>
    <row r="4556" spans="1:23">
      <c r="A4556" t="str">
        <f>"STEM-INTR-MFG"</f>
        <v>STEM-INTR-MFG</v>
      </c>
      <c r="B4556" t="str">
        <f>"77-3099-0000"</f>
        <v>77-3099-0000</v>
      </c>
      <c r="C4556" t="str">
        <f>"LM7 Content, Vir, Rapid Prototyping"</f>
        <v>LM7 Content, Vir, Rapid Prototyping</v>
      </c>
      <c r="D4556">
        <v>1</v>
      </c>
      <c r="E4556" t="str">
        <f>"STEM: Intro to Manufacturing using Spectra CAD/CAM"</f>
        <v>STEM: Intro to Manufacturing using Spectra CAD/CAM</v>
      </c>
      <c r="F4556">
        <v>0</v>
      </c>
      <c r="G4556" t="str">
        <f t="shared" si="1166"/>
        <v>Y</v>
      </c>
      <c r="H4556" t="str">
        <f t="shared" si="1170"/>
        <v>EA</v>
      </c>
      <c r="I4556">
        <v>0</v>
      </c>
      <c r="J4556">
        <v>0</v>
      </c>
      <c r="K4556" t="str">
        <f t="shared" si="1167"/>
        <v>Y</v>
      </c>
      <c r="L4556">
        <v>0</v>
      </c>
      <c r="M4556" t="str">
        <f t="shared" si="1157"/>
        <v>NIS</v>
      </c>
      <c r="O4556">
        <v>2</v>
      </c>
      <c r="P4556" t="str">
        <f t="shared" si="1163"/>
        <v>Active</v>
      </c>
      <c r="Q4556" t="str">
        <f>"LM7 Content, Vir, Rapid Prototyping"</f>
        <v>LM7 Content, Vir, Rapid Prototyping</v>
      </c>
      <c r="S4556" t="str">
        <f>"LM7 Content, Vir, Rapid Prototyping"</f>
        <v>LM7 Content, Vir, Rapid Prototyping</v>
      </c>
      <c r="T4556">
        <v>0</v>
      </c>
      <c r="U4556">
        <v>5</v>
      </c>
      <c r="V4556">
        <v>5</v>
      </c>
      <c r="W4556" t="str">
        <f t="shared" si="1162"/>
        <v>zintel</v>
      </c>
    </row>
    <row r="4557" spans="1:23">
      <c r="A4557" t="str">
        <f>"STEM-INTR-MFG"</f>
        <v>STEM-INTR-MFG</v>
      </c>
      <c r="B4557" t="str">
        <f>"77-3004-0001"</f>
        <v>77-3004-0001</v>
      </c>
      <c r="C4557" t="str">
        <f>"LM7 Content, Vir, spectraCAD Engraving"</f>
        <v>LM7 Content, Vir, spectraCAD Engraving</v>
      </c>
      <c r="D4557">
        <v>1</v>
      </c>
      <c r="E4557" t="str">
        <f>"STEM: Intro to Manufacturing using Spectra CAD/CAM"</f>
        <v>STEM: Intro to Manufacturing using Spectra CAD/CAM</v>
      </c>
      <c r="F4557">
        <v>0</v>
      </c>
      <c r="G4557" t="str">
        <f t="shared" si="1166"/>
        <v>Y</v>
      </c>
      <c r="H4557" t="str">
        <f t="shared" si="1170"/>
        <v>EA</v>
      </c>
      <c r="I4557">
        <v>0</v>
      </c>
      <c r="J4557">
        <v>0</v>
      </c>
      <c r="K4557" t="str">
        <f t="shared" si="1167"/>
        <v>Y</v>
      </c>
      <c r="L4557">
        <v>0</v>
      </c>
      <c r="M4557" t="str">
        <f t="shared" si="1157"/>
        <v>NIS</v>
      </c>
      <c r="O4557">
        <v>3</v>
      </c>
      <c r="P4557" t="str">
        <f t="shared" si="1163"/>
        <v>Active</v>
      </c>
      <c r="Q4557" t="str">
        <f>"LM7 Content, Vir, spectraCAD Engraving"</f>
        <v>LM7 Content, Vir, spectraCAD Engraving</v>
      </c>
      <c r="S4557" t="str">
        <f>"LM7 Content, Vir, spectraCAD Engraving"</f>
        <v>LM7 Content, Vir, spectraCAD Engraving</v>
      </c>
      <c r="T4557">
        <v>0</v>
      </c>
      <c r="U4557">
        <v>5</v>
      </c>
      <c r="V4557">
        <v>5</v>
      </c>
      <c r="W4557" t="str">
        <f t="shared" ref="W4557:W4568" si="1171">"zintel"</f>
        <v>zintel</v>
      </c>
    </row>
    <row r="4558" spans="1:23">
      <c r="A4558" t="str">
        <f>"STEM-LAND-LAB02"</f>
        <v>STEM-LAND-LAB02</v>
      </c>
      <c r="B4558" t="str">
        <f>"63-4000-0001"</f>
        <v>63-4000-0001</v>
      </c>
      <c r="C4558" t="str">
        <f>"Pro Landscape Single Seat - Educational"</f>
        <v>Pro Landscape Single Seat - Educational</v>
      </c>
      <c r="D4558">
        <v>2</v>
      </c>
      <c r="E4558" t="str">
        <f>"Foundations of STEM, Landscape Design, 2 Student"</f>
        <v>Foundations of STEM, Landscape Design, 2 Student</v>
      </c>
      <c r="F4558">
        <v>0</v>
      </c>
      <c r="G4558" t="str">
        <f t="shared" si="1166"/>
        <v>Y</v>
      </c>
      <c r="H4558" t="str">
        <f t="shared" si="1170"/>
        <v>EA</v>
      </c>
      <c r="I4558">
        <v>0</v>
      </c>
      <c r="J4558">
        <v>0</v>
      </c>
      <c r="K4558" t="str">
        <f t="shared" si="1167"/>
        <v>Y</v>
      </c>
      <c r="L4558">
        <v>0</v>
      </c>
      <c r="M4558" t="str">
        <f t="shared" si="1157"/>
        <v>NIS</v>
      </c>
      <c r="O4558">
        <v>1</v>
      </c>
      <c r="P4558" t="str">
        <f t="shared" si="1163"/>
        <v>Active</v>
      </c>
      <c r="Q4558" t="str">
        <f>"Pro Landscape Single Seat - Educational"</f>
        <v>Pro Landscape Single Seat - Educational</v>
      </c>
      <c r="S4558" t="str">
        <f>"Pro Landscape Single Seat - Educational"</f>
        <v>Pro Landscape Single Seat - Educational</v>
      </c>
      <c r="T4558">
        <v>318.55</v>
      </c>
      <c r="U4558">
        <v>0</v>
      </c>
      <c r="V4558">
        <v>0</v>
      </c>
      <c r="W4558" t="str">
        <f t="shared" si="1171"/>
        <v>zintel</v>
      </c>
    </row>
    <row r="4559" spans="1:23">
      <c r="A4559" t="str">
        <f>"STEM-LAND-LAB02"</f>
        <v>STEM-LAND-LAB02</v>
      </c>
      <c r="B4559" t="str">
        <f>"77-3064-0000"</f>
        <v>77-3064-0000</v>
      </c>
      <c r="C4559" t="str">
        <f>"LM7 Content, Vir, Landscape Design"</f>
        <v>LM7 Content, Vir, Landscape Design</v>
      </c>
      <c r="D4559">
        <v>1</v>
      </c>
      <c r="E4559" t="str">
        <f>"Foundations of STEM, Landscape Design, 2 Student"</f>
        <v>Foundations of STEM, Landscape Design, 2 Student</v>
      </c>
      <c r="F4559">
        <v>0</v>
      </c>
      <c r="G4559" t="str">
        <f t="shared" si="1166"/>
        <v>Y</v>
      </c>
      <c r="H4559" t="str">
        <f t="shared" si="1170"/>
        <v>EA</v>
      </c>
      <c r="I4559">
        <v>0</v>
      </c>
      <c r="J4559">
        <v>0</v>
      </c>
      <c r="K4559" t="str">
        <f t="shared" si="1167"/>
        <v>Y</v>
      </c>
      <c r="L4559">
        <v>0</v>
      </c>
      <c r="M4559" t="str">
        <f t="shared" si="1157"/>
        <v>NIS</v>
      </c>
      <c r="O4559">
        <v>2</v>
      </c>
      <c r="P4559" t="str">
        <f t="shared" si="1163"/>
        <v>Active</v>
      </c>
      <c r="Q4559" t="str">
        <f>"LM7 Content, Vir, Landscape Design"</f>
        <v>LM7 Content, Vir, Landscape Design</v>
      </c>
      <c r="S4559" t="str">
        <f>"LM7 Content, Vir, Landscape Design"</f>
        <v>LM7 Content, Vir, Landscape Design</v>
      </c>
      <c r="T4559">
        <v>0</v>
      </c>
      <c r="U4559">
        <v>5</v>
      </c>
      <c r="V4559">
        <v>5</v>
      </c>
      <c r="W4559" t="str">
        <f t="shared" si="1171"/>
        <v>zintel</v>
      </c>
    </row>
    <row r="4560" spans="1:23">
      <c r="A4560" t="str">
        <f>"STEM-LAND-LAB10"</f>
        <v>STEM-LAND-LAB10</v>
      </c>
      <c r="B4560" t="str">
        <f>"77-3064-0000"</f>
        <v>77-3064-0000</v>
      </c>
      <c r="C4560" t="str">
        <f>"LM7 Content, Vir, Landscape Design"</f>
        <v>LM7 Content, Vir, Landscape Design</v>
      </c>
      <c r="D4560">
        <v>1</v>
      </c>
      <c r="E4560" t="str">
        <f>"Foundations of STEM, Landscape Design, 10 Student"</f>
        <v>Foundations of STEM, Landscape Design, 10 Student</v>
      </c>
      <c r="F4560">
        <v>0</v>
      </c>
      <c r="G4560" t="str">
        <f t="shared" si="1166"/>
        <v>Y</v>
      </c>
      <c r="H4560" t="str">
        <f t="shared" si="1170"/>
        <v>EA</v>
      </c>
      <c r="I4560">
        <v>0</v>
      </c>
      <c r="J4560">
        <v>0</v>
      </c>
      <c r="K4560" t="str">
        <f t="shared" si="1167"/>
        <v>Y</v>
      </c>
      <c r="L4560">
        <v>0</v>
      </c>
      <c r="M4560" t="str">
        <f t="shared" si="1157"/>
        <v>NIS</v>
      </c>
      <c r="O4560">
        <v>1</v>
      </c>
      <c r="P4560" t="str">
        <f t="shared" si="1163"/>
        <v>Active</v>
      </c>
      <c r="Q4560" t="str">
        <f>"LM7 Content, Vir, Landscape Design"</f>
        <v>LM7 Content, Vir, Landscape Design</v>
      </c>
      <c r="S4560" t="str">
        <f>"LM7 Content, Vir, Landscape Design"</f>
        <v>LM7 Content, Vir, Landscape Design</v>
      </c>
      <c r="T4560">
        <v>0</v>
      </c>
      <c r="U4560">
        <v>5</v>
      </c>
      <c r="V4560">
        <v>5</v>
      </c>
      <c r="W4560" t="str">
        <f t="shared" si="1171"/>
        <v>zintel</v>
      </c>
    </row>
    <row r="4561" spans="1:23">
      <c r="A4561" t="str">
        <f>"STEM-LAND-LAB10"</f>
        <v>STEM-LAND-LAB10</v>
      </c>
      <c r="B4561" t="str">
        <f>"63-4000-2000"</f>
        <v>63-4000-2000</v>
      </c>
      <c r="C4561" t="str">
        <f>"Pro Landscape High School License - Educational"</f>
        <v>Pro Landscape High School License - Educational</v>
      </c>
      <c r="D4561">
        <v>1</v>
      </c>
      <c r="E4561" t="str">
        <f>"Foundations of STEM, Landscape Design, 10 Student"</f>
        <v>Foundations of STEM, Landscape Design, 10 Student</v>
      </c>
      <c r="F4561">
        <v>0</v>
      </c>
      <c r="G4561" t="str">
        <f t="shared" si="1166"/>
        <v>Y</v>
      </c>
      <c r="H4561" t="str">
        <f t="shared" si="1170"/>
        <v>EA</v>
      </c>
      <c r="I4561">
        <v>0</v>
      </c>
      <c r="J4561">
        <v>0</v>
      </c>
      <c r="K4561" t="str">
        <f t="shared" si="1167"/>
        <v>Y</v>
      </c>
      <c r="L4561">
        <v>0</v>
      </c>
      <c r="M4561" t="str">
        <f t="shared" si="1157"/>
        <v>NIS</v>
      </c>
      <c r="O4561">
        <v>2</v>
      </c>
      <c r="P4561" t="str">
        <f t="shared" si="1163"/>
        <v>Active</v>
      </c>
      <c r="Q4561" t="str">
        <f>"Pro Landscape High School License - Educational"</f>
        <v>Pro Landscape High School License - Educational</v>
      </c>
      <c r="S4561" t="str">
        <f>"Pro Landscape High School License - Educational"</f>
        <v>Pro Landscape High School License - Educational</v>
      </c>
      <c r="T4561">
        <v>0</v>
      </c>
      <c r="U4561">
        <v>0</v>
      </c>
      <c r="V4561">
        <v>0</v>
      </c>
      <c r="W4561" t="str">
        <f t="shared" si="1171"/>
        <v>zintel</v>
      </c>
    </row>
    <row r="4562" spans="1:23">
      <c r="A4562" t="str">
        <f>"STEM-LAND-LAB20"</f>
        <v>STEM-LAND-LAB20</v>
      </c>
      <c r="B4562" t="str">
        <f>"77-3064-0000"</f>
        <v>77-3064-0000</v>
      </c>
      <c r="C4562" t="str">
        <f>"LM7 Content, Vir, Landscape Design"</f>
        <v>LM7 Content, Vir, Landscape Design</v>
      </c>
      <c r="D4562">
        <v>1</v>
      </c>
      <c r="E4562" t="str">
        <f>"Foundations of STEM, Landscape Design, 20 Student"</f>
        <v>Foundations of STEM, Landscape Design, 20 Student</v>
      </c>
      <c r="F4562">
        <v>0</v>
      </c>
      <c r="G4562" t="str">
        <f t="shared" si="1166"/>
        <v>Y</v>
      </c>
      <c r="H4562" t="str">
        <f t="shared" si="1170"/>
        <v>EA</v>
      </c>
      <c r="I4562">
        <v>0</v>
      </c>
      <c r="J4562">
        <v>0</v>
      </c>
      <c r="K4562" t="str">
        <f t="shared" si="1167"/>
        <v>Y</v>
      </c>
      <c r="L4562">
        <v>0</v>
      </c>
      <c r="M4562" t="str">
        <f t="shared" si="1157"/>
        <v>NIS</v>
      </c>
      <c r="O4562">
        <v>1</v>
      </c>
      <c r="P4562" t="str">
        <f t="shared" si="1163"/>
        <v>Active</v>
      </c>
      <c r="Q4562" t="str">
        <f>"LM7 Content, Vir, Landscape Design"</f>
        <v>LM7 Content, Vir, Landscape Design</v>
      </c>
      <c r="S4562" t="str">
        <f>"LM7 Content, Vir, Landscape Design"</f>
        <v>LM7 Content, Vir, Landscape Design</v>
      </c>
      <c r="T4562">
        <v>0</v>
      </c>
      <c r="U4562">
        <v>5</v>
      </c>
      <c r="V4562">
        <v>5</v>
      </c>
      <c r="W4562" t="str">
        <f t="shared" si="1171"/>
        <v>zintel</v>
      </c>
    </row>
    <row r="4563" spans="1:23">
      <c r="A4563" t="str">
        <f>"STEM-LAND-LAB20"</f>
        <v>STEM-LAND-LAB20</v>
      </c>
      <c r="B4563" t="str">
        <f>"63-4000-2000"</f>
        <v>63-4000-2000</v>
      </c>
      <c r="C4563" t="str">
        <f>"Pro Landscape High School License - Educational"</f>
        <v>Pro Landscape High School License - Educational</v>
      </c>
      <c r="D4563">
        <v>1</v>
      </c>
      <c r="E4563" t="str">
        <f>"Foundations of STEM, Landscape Design, 20 Student"</f>
        <v>Foundations of STEM, Landscape Design, 20 Student</v>
      </c>
      <c r="F4563">
        <v>0</v>
      </c>
      <c r="G4563" t="str">
        <f t="shared" si="1166"/>
        <v>Y</v>
      </c>
      <c r="H4563" t="str">
        <f t="shared" si="1170"/>
        <v>EA</v>
      </c>
      <c r="I4563">
        <v>0</v>
      </c>
      <c r="J4563">
        <v>0</v>
      </c>
      <c r="K4563" t="str">
        <f t="shared" si="1167"/>
        <v>Y</v>
      </c>
      <c r="L4563">
        <v>0</v>
      </c>
      <c r="M4563" t="str">
        <f t="shared" si="1157"/>
        <v>NIS</v>
      </c>
      <c r="O4563">
        <v>2</v>
      </c>
      <c r="P4563" t="str">
        <f t="shared" si="1163"/>
        <v>Active</v>
      </c>
      <c r="Q4563" t="str">
        <f>"Pro Landscape High School License - Educational"</f>
        <v>Pro Landscape High School License - Educational</v>
      </c>
      <c r="S4563" t="str">
        <f>"Pro Landscape High School License - Educational"</f>
        <v>Pro Landscape High School License - Educational</v>
      </c>
      <c r="T4563">
        <v>0</v>
      </c>
      <c r="U4563">
        <v>0</v>
      </c>
      <c r="V4563">
        <v>0</v>
      </c>
      <c r="W4563" t="str">
        <f t="shared" si="1171"/>
        <v>zintel</v>
      </c>
    </row>
    <row r="4564" spans="1:23">
      <c r="A4564" t="str">
        <f>"STEM-LAND-LAB30"</f>
        <v>STEM-LAND-LAB30</v>
      </c>
      <c r="B4564" t="str">
        <f>"77-3064-0000"</f>
        <v>77-3064-0000</v>
      </c>
      <c r="C4564" t="str">
        <f>"LM7 Content, Vir, Landscape Design"</f>
        <v>LM7 Content, Vir, Landscape Design</v>
      </c>
      <c r="D4564">
        <v>1</v>
      </c>
      <c r="E4564" t="str">
        <f>"Foundations of STEM, Landscape Design, 30 student"</f>
        <v>Foundations of STEM, Landscape Design, 30 student</v>
      </c>
      <c r="F4564">
        <v>0</v>
      </c>
      <c r="G4564" t="str">
        <f t="shared" si="1166"/>
        <v>Y</v>
      </c>
      <c r="H4564" t="str">
        <f t="shared" si="1170"/>
        <v>EA</v>
      </c>
      <c r="I4564">
        <v>0</v>
      </c>
      <c r="J4564">
        <v>0</v>
      </c>
      <c r="K4564" t="str">
        <f t="shared" si="1167"/>
        <v>Y</v>
      </c>
      <c r="L4564">
        <v>0</v>
      </c>
      <c r="M4564" t="str">
        <f t="shared" ref="M4564:M4627" si="1172">"NIS"</f>
        <v>NIS</v>
      </c>
      <c r="O4564">
        <v>1</v>
      </c>
      <c r="P4564" t="str">
        <f t="shared" si="1163"/>
        <v>Active</v>
      </c>
      <c r="Q4564" t="str">
        <f>"LM7 Content, Vir, Landscape Design"</f>
        <v>LM7 Content, Vir, Landscape Design</v>
      </c>
      <c r="S4564" t="str">
        <f>"LM7 Content, Vir, Landscape Design"</f>
        <v>LM7 Content, Vir, Landscape Design</v>
      </c>
      <c r="T4564">
        <v>0</v>
      </c>
      <c r="U4564">
        <v>5</v>
      </c>
      <c r="V4564">
        <v>5</v>
      </c>
      <c r="W4564" t="str">
        <f t="shared" si="1171"/>
        <v>zintel</v>
      </c>
    </row>
    <row r="4565" spans="1:23">
      <c r="A4565" t="str">
        <f>"STEM-LAND-LAB30"</f>
        <v>STEM-LAND-LAB30</v>
      </c>
      <c r="B4565" t="str">
        <f>"63-4000-2000"</f>
        <v>63-4000-2000</v>
      </c>
      <c r="C4565" t="str">
        <f>"Pro Landscape High School License - Educational"</f>
        <v>Pro Landscape High School License - Educational</v>
      </c>
      <c r="D4565">
        <v>1</v>
      </c>
      <c r="E4565" t="str">
        <f>"Foundations of STEM, Landscape Design, 30 student"</f>
        <v>Foundations of STEM, Landscape Design, 30 student</v>
      </c>
      <c r="F4565">
        <v>0</v>
      </c>
      <c r="G4565" t="str">
        <f t="shared" si="1166"/>
        <v>Y</v>
      </c>
      <c r="H4565" t="str">
        <f t="shared" si="1170"/>
        <v>EA</v>
      </c>
      <c r="I4565">
        <v>0</v>
      </c>
      <c r="J4565">
        <v>0</v>
      </c>
      <c r="K4565" t="str">
        <f t="shared" si="1167"/>
        <v>Y</v>
      </c>
      <c r="L4565">
        <v>0</v>
      </c>
      <c r="M4565" t="str">
        <f t="shared" si="1172"/>
        <v>NIS</v>
      </c>
      <c r="O4565">
        <v>2</v>
      </c>
      <c r="P4565" t="str">
        <f t="shared" si="1163"/>
        <v>Active</v>
      </c>
      <c r="Q4565" t="str">
        <f>"Pro Landscape High School License - Educational"</f>
        <v>Pro Landscape High School License - Educational</v>
      </c>
      <c r="S4565" t="str">
        <f>"Pro Landscape High School License - Educational"</f>
        <v>Pro Landscape High School License - Educational</v>
      </c>
      <c r="T4565">
        <v>0</v>
      </c>
      <c r="U4565">
        <v>0</v>
      </c>
      <c r="V4565">
        <v>0</v>
      </c>
      <c r="W4565" t="str">
        <f t="shared" si="1171"/>
        <v>zintel</v>
      </c>
    </row>
    <row r="4566" spans="1:23">
      <c r="A4566" t="str">
        <f>"STEM-MECH-LAB30"</f>
        <v>STEM-MECH-LAB30</v>
      </c>
      <c r="B4566" t="str">
        <f>"77-3065-0000"</f>
        <v>77-3065-0000</v>
      </c>
      <c r="C4566" t="str">
        <f>"LM7 Content, Lab/Vir, Mechanisms Intro to STEM"</f>
        <v>LM7 Content, Lab/Vir, Mechanisms Intro to STEM</v>
      </c>
      <c r="D4566">
        <v>1</v>
      </c>
      <c r="E4566" t="str">
        <f>"STEM: Mechanisms, 30 Student"</f>
        <v>STEM: Mechanisms, 30 Student</v>
      </c>
      <c r="F4566">
        <v>0</v>
      </c>
      <c r="G4566" t="str">
        <f t="shared" si="1166"/>
        <v>Y</v>
      </c>
      <c r="H4566" t="str">
        <f t="shared" si="1170"/>
        <v>EA</v>
      </c>
      <c r="I4566">
        <v>0</v>
      </c>
      <c r="J4566">
        <v>0</v>
      </c>
      <c r="K4566" t="str">
        <f t="shared" si="1167"/>
        <v>Y</v>
      </c>
      <c r="L4566">
        <v>0</v>
      </c>
      <c r="M4566" t="str">
        <f t="shared" si="1172"/>
        <v>NIS</v>
      </c>
      <c r="O4566">
        <v>1</v>
      </c>
      <c r="P4566" t="str">
        <f t="shared" si="1163"/>
        <v>Active</v>
      </c>
      <c r="Q4566" t="str">
        <f>"LM7 Content, Lab/Vir, Mechanisms Intro to STEM"</f>
        <v>LM7 Content, Lab/Vir, Mechanisms Intro to STEM</v>
      </c>
      <c r="S4566" t="str">
        <f>"LM7 Content, Lab/Vir, Mechanisms Intro to STEM"</f>
        <v>LM7 Content, Lab/Vir, Mechanisms Intro to STEM</v>
      </c>
      <c r="T4566">
        <v>0</v>
      </c>
      <c r="U4566">
        <v>5</v>
      </c>
      <c r="V4566">
        <v>5</v>
      </c>
      <c r="W4566" t="str">
        <f t="shared" si="1171"/>
        <v>zintel</v>
      </c>
    </row>
    <row r="4567" spans="1:23">
      <c r="A4567" t="str">
        <f>"STEM-MECH-LAB30"</f>
        <v>STEM-MECH-LAB30</v>
      </c>
      <c r="B4567" t="str">
        <f>"10-8155-1030"</f>
        <v>10-8155-1030</v>
      </c>
      <c r="C4567" t="str">
        <f>"Intro. to Mechanisms, Materials, 30 Pack"</f>
        <v>Intro. to Mechanisms, Materials, 30 Pack</v>
      </c>
      <c r="D4567">
        <v>1</v>
      </c>
      <c r="E4567" t="str">
        <f>"STEM: Mechanisms, 30 Student"</f>
        <v>STEM: Mechanisms, 30 Student</v>
      </c>
      <c r="F4567">
        <v>0</v>
      </c>
      <c r="G4567" t="str">
        <f t="shared" si="1166"/>
        <v>Y</v>
      </c>
      <c r="H4567" t="str">
        <f t="shared" si="1170"/>
        <v>EA</v>
      </c>
      <c r="I4567">
        <v>0</v>
      </c>
      <c r="J4567">
        <v>0</v>
      </c>
      <c r="K4567" t="str">
        <f t="shared" si="1167"/>
        <v>Y</v>
      </c>
      <c r="L4567">
        <v>0</v>
      </c>
      <c r="M4567" t="str">
        <f t="shared" si="1172"/>
        <v>NIS</v>
      </c>
      <c r="O4567">
        <v>2</v>
      </c>
      <c r="P4567" t="str">
        <f t="shared" si="1163"/>
        <v>Active</v>
      </c>
      <c r="Q4567" t="str">
        <f>"Intro. to Mechanisms, Materials, 30 Pack"</f>
        <v>Intro. to Mechanisms, Materials, 30 Pack</v>
      </c>
      <c r="S4567" t="str">
        <f>"Intro. to Mechanisms, Materials, 30 Pack"</f>
        <v>Intro. to Mechanisms, Materials, 30 Pack</v>
      </c>
      <c r="T4567">
        <v>454.44</v>
      </c>
      <c r="U4567">
        <v>402</v>
      </c>
      <c r="V4567">
        <v>418.08</v>
      </c>
      <c r="W4567" t="str">
        <f t="shared" si="1171"/>
        <v>zintel</v>
      </c>
    </row>
    <row r="4568" spans="1:23">
      <c r="A4568" t="str">
        <f>"TEM-ENSYS-LAB20"</f>
        <v>TEM-ENSYS-LAB20</v>
      </c>
      <c r="B4568" t="str">
        <f>"10-8110-1020"</f>
        <v>10-8110-1020</v>
      </c>
      <c r="C4568" t="str">
        <f>"Green Tech. Curriculum (GTC) Course Mat. 20 Pack"</f>
        <v>Green Tech. Curriculum (GTC) Course Mat. 20 Pack</v>
      </c>
      <c r="D4568">
        <v>1</v>
      </c>
      <c r="E4568" t="str">
        <f>"STEM: Energy &amp; Tech Systems, 20 Student"</f>
        <v>STEM: Energy &amp; Tech Systems, 20 Student</v>
      </c>
      <c r="F4568">
        <v>0</v>
      </c>
      <c r="G4568" t="str">
        <f t="shared" si="1166"/>
        <v>Y</v>
      </c>
      <c r="H4568" t="str">
        <f t="shared" si="1170"/>
        <v>EA</v>
      </c>
      <c r="I4568">
        <v>0</v>
      </c>
      <c r="J4568">
        <v>0</v>
      </c>
      <c r="K4568" t="str">
        <f t="shared" si="1167"/>
        <v>Y</v>
      </c>
      <c r="L4568">
        <v>0</v>
      </c>
      <c r="M4568" t="str">
        <f t="shared" si="1172"/>
        <v>NIS</v>
      </c>
      <c r="O4568">
        <v>1</v>
      </c>
      <c r="P4568" t="str">
        <f t="shared" ref="P4568:P4582" si="1173">"Active"</f>
        <v>Active</v>
      </c>
      <c r="Q4568" t="str">
        <f>"Green Tech. Curriculum (GTC) Course Mat. 20 Pack"</f>
        <v>Green Tech. Curriculum (GTC) Course Mat. 20 Pack</v>
      </c>
      <c r="S4568" t="str">
        <f>"Green Tech. Curriculum (GTC) Course Mat. 20 Pack"</f>
        <v>Green Tech. Curriculum (GTC) Course Mat. 20 Pack</v>
      </c>
      <c r="T4568" s="44">
        <v>8407.5300000000007</v>
      </c>
      <c r="U4568" s="44">
        <v>7756.02</v>
      </c>
      <c r="V4568" s="44">
        <v>8066.26</v>
      </c>
      <c r="W4568" t="str">
        <f t="shared" si="1171"/>
        <v>zintel</v>
      </c>
    </row>
    <row r="4569" spans="1:23">
      <c r="A4569" t="str">
        <f>"TEMP"</f>
        <v>TEMP</v>
      </c>
      <c r="B4569" t="str">
        <f>"00-0609-0000"</f>
        <v>00-0609-0000</v>
      </c>
      <c r="C4569" t="str">
        <f>"Gripper attachment for round and square parts"</f>
        <v>Gripper attachment for round and square parts</v>
      </c>
      <c r="D4569">
        <v>1</v>
      </c>
      <c r="E4569" t="str">
        <f>"Multi Purpose Gripper Attachment"</f>
        <v>Multi Purpose Gripper Attachment</v>
      </c>
      <c r="F4569">
        <v>700</v>
      </c>
      <c r="G4569" t="str">
        <f t="shared" si="1166"/>
        <v>Y</v>
      </c>
      <c r="H4569" t="str">
        <f t="shared" si="1170"/>
        <v>EA</v>
      </c>
      <c r="I4569">
        <v>0</v>
      </c>
      <c r="J4569">
        <v>0</v>
      </c>
      <c r="K4569" t="str">
        <f t="shared" si="1167"/>
        <v>Y</v>
      </c>
      <c r="L4569">
        <v>0</v>
      </c>
      <c r="M4569" t="str">
        <f t="shared" si="1172"/>
        <v>NIS</v>
      </c>
      <c r="O4569">
        <v>1</v>
      </c>
      <c r="P4569" t="str">
        <f t="shared" si="1173"/>
        <v>Active</v>
      </c>
      <c r="Q4569" t="str">
        <f>"End Effector Attachment for ER4U Gripper"</f>
        <v>End Effector Attachment for ER4U Gripper</v>
      </c>
      <c r="S4569" t="str">
        <f>"End Effector Attachment for ER4U Gripper"</f>
        <v>End Effector Attachment for ER4U Gripper</v>
      </c>
      <c r="T4569">
        <v>0</v>
      </c>
      <c r="U4569">
        <v>25.59</v>
      </c>
      <c r="V4569">
        <v>25.11</v>
      </c>
    </row>
    <row r="4570" spans="1:23">
      <c r="A4570" t="str">
        <f>"TMP"</f>
        <v>TMP</v>
      </c>
      <c r="B4570" t="str">
        <f>"00-4026-0000"</f>
        <v>00-4026-0000</v>
      </c>
      <c r="C4570" t="str">
        <f>"Accessories for ViewFlex, Vision and QC"</f>
        <v>Accessories for ViewFlex, Vision and QC</v>
      </c>
      <c r="D4570">
        <v>1</v>
      </c>
      <c r="F4570">
        <v>700</v>
      </c>
      <c r="G4570" t="str">
        <f t="shared" si="1166"/>
        <v>Y</v>
      </c>
      <c r="H4570" t="str">
        <f t="shared" si="1170"/>
        <v>EA</v>
      </c>
      <c r="I4570">
        <v>0</v>
      </c>
      <c r="J4570">
        <v>0</v>
      </c>
      <c r="K4570" t="str">
        <f t="shared" si="1167"/>
        <v>Y</v>
      </c>
      <c r="L4570">
        <v>0</v>
      </c>
      <c r="M4570" t="str">
        <f t="shared" si="1172"/>
        <v>NIS</v>
      </c>
      <c r="N4570" t="str">
        <f>"Y"</f>
        <v>Y</v>
      </c>
      <c r="O4570">
        <v>2</v>
      </c>
      <c r="P4570" t="str">
        <f t="shared" si="1173"/>
        <v>Active</v>
      </c>
      <c r="Q4570" t="str">
        <f>"מוצר נלווה ל-AMT Vision and QC -ViewFlex"</f>
        <v>מוצר נלווה ל-AMT Vision and QC -ViewFlex</v>
      </c>
      <c r="S4570" t="str">
        <f>"מוצר נלווה ל-AMT Vision and QC -ViewFlex"</f>
        <v>מוצר נלווה ל-AMT Vision and QC -ViewFlex</v>
      </c>
      <c r="T4570">
        <v>0</v>
      </c>
      <c r="U4570">
        <v>32</v>
      </c>
      <c r="V4570">
        <v>26.88</v>
      </c>
    </row>
    <row r="4571" spans="1:23">
      <c r="A4571" t="str">
        <f>"TMP"</f>
        <v>TMP</v>
      </c>
      <c r="B4571" t="str">
        <f>"17-8084-0000"</f>
        <v>17-8084-0000</v>
      </c>
      <c r="C4571" t="str">
        <f>"LM 5 Content, Lab, Machine Vision &amp; QC 1"</f>
        <v>LM 5 Content, Lab, Machine Vision &amp; QC 1</v>
      </c>
      <c r="D4571">
        <v>1</v>
      </c>
      <c r="F4571">
        <v>700</v>
      </c>
      <c r="G4571" t="str">
        <f t="shared" si="1166"/>
        <v>Y</v>
      </c>
      <c r="H4571" t="str">
        <f t="shared" si="1170"/>
        <v>EA</v>
      </c>
      <c r="I4571">
        <v>0</v>
      </c>
      <c r="J4571">
        <v>0</v>
      </c>
      <c r="K4571" t="str">
        <f t="shared" si="1167"/>
        <v>Y</v>
      </c>
      <c r="L4571">
        <v>0</v>
      </c>
      <c r="M4571" t="str">
        <f t="shared" si="1172"/>
        <v>NIS</v>
      </c>
      <c r="N4571" t="str">
        <f>"Y"</f>
        <v>Y</v>
      </c>
      <c r="O4571">
        <v>3</v>
      </c>
      <c r="P4571" t="str">
        <f t="shared" si="1173"/>
        <v>Active</v>
      </c>
      <c r="Q4571" t="str">
        <f>"LM5.X Content, Lab, Machine Vision &amp; QC 1"</f>
        <v>LM5.X Content, Lab, Machine Vision &amp; QC 1</v>
      </c>
      <c r="S4571" t="str">
        <f>"LM5.X Content, Lab, Machine Vision &amp; QC 1"</f>
        <v>LM5.X Content, Lab, Machine Vision &amp; QC 1</v>
      </c>
      <c r="T4571">
        <v>0</v>
      </c>
      <c r="U4571">
        <v>5</v>
      </c>
      <c r="V4571">
        <v>5</v>
      </c>
    </row>
    <row r="4572" spans="1:23">
      <c r="A4572" t="str">
        <f>"TMP10"</f>
        <v>TMP10</v>
      </c>
      <c r="B4572" t="str">
        <f>"00-3043-0000"</f>
        <v>00-3043-0000</v>
      </c>
      <c r="C4572" t="str">
        <f>"Mechanical Measurement QC Metric Package"</f>
        <v>Mechanical Measurement QC Metric Package</v>
      </c>
      <c r="D4572">
        <v>1</v>
      </c>
      <c r="E4572" t="str">
        <f>"TMP10"</f>
        <v>TMP10</v>
      </c>
      <c r="F4572">
        <v>700</v>
      </c>
      <c r="G4572" t="str">
        <f t="shared" si="1166"/>
        <v>Y</v>
      </c>
      <c r="H4572" t="str">
        <f t="shared" si="1170"/>
        <v>EA</v>
      </c>
      <c r="I4572">
        <v>0</v>
      </c>
      <c r="J4572">
        <v>0</v>
      </c>
      <c r="K4572" t="str">
        <f t="shared" si="1167"/>
        <v>Y</v>
      </c>
      <c r="L4572">
        <v>0</v>
      </c>
      <c r="M4572" t="str">
        <f t="shared" si="1172"/>
        <v>NIS</v>
      </c>
      <c r="N4572" t="str">
        <f>"Y"</f>
        <v>Y</v>
      </c>
      <c r="O4572">
        <v>1</v>
      </c>
      <c r="P4572" t="str">
        <f t="shared" si="1173"/>
        <v>Active</v>
      </c>
      <c r="Q4572" t="str">
        <f>"Mechanical Measurement QC Metric Package"</f>
        <v>Mechanical Measurement QC Metric Package</v>
      </c>
      <c r="S4572" t="str">
        <f>"Mechanical Measurement QC Metric Package"</f>
        <v>Mechanical Measurement QC Metric Package</v>
      </c>
      <c r="T4572">
        <v>0</v>
      </c>
      <c r="U4572" s="44">
        <v>4653.6099999999997</v>
      </c>
      <c r="V4572" s="44">
        <v>2190.71</v>
      </c>
      <c r="W4572" t="str">
        <f t="shared" ref="W4572:W4603" si="1174">"rob"</f>
        <v>rob</v>
      </c>
    </row>
    <row r="4573" spans="1:23">
      <c r="A4573" t="str">
        <f>"TMP10"</f>
        <v>TMP10</v>
      </c>
      <c r="B4573" t="str">
        <f>"17-8014-0002"</f>
        <v>17-8014-0002</v>
      </c>
      <c r="C4573" t="str">
        <f>"LM5.X Content, Lab/Vir, MMQC (Metric)"</f>
        <v>LM5.X Content, Lab/Vir, MMQC (Metric)</v>
      </c>
      <c r="D4573">
        <v>1</v>
      </c>
      <c r="E4573" t="str">
        <f>"TMP10"</f>
        <v>TMP10</v>
      </c>
      <c r="F4573">
        <v>700</v>
      </c>
      <c r="G4573" t="str">
        <f t="shared" si="1166"/>
        <v>Y</v>
      </c>
      <c r="H4573" t="str">
        <f t="shared" si="1170"/>
        <v>EA</v>
      </c>
      <c r="I4573">
        <v>0</v>
      </c>
      <c r="J4573">
        <v>0</v>
      </c>
      <c r="K4573" t="str">
        <f t="shared" si="1167"/>
        <v>Y</v>
      </c>
      <c r="L4573">
        <v>0</v>
      </c>
      <c r="M4573" t="str">
        <f t="shared" si="1172"/>
        <v>NIS</v>
      </c>
      <c r="N4573" t="str">
        <f>"Y"</f>
        <v>Y</v>
      </c>
      <c r="O4573">
        <v>2</v>
      </c>
      <c r="P4573" t="str">
        <f t="shared" si="1173"/>
        <v>Active</v>
      </c>
      <c r="Q4573" t="str">
        <f>"LM5.X Content, Lab/Vir, MMQC (Metric)"</f>
        <v>LM5.X Content, Lab/Vir, MMQC (Metric)</v>
      </c>
      <c r="S4573" t="str">
        <f>"LM5.X Content, Lab/Vir, MMQC (Metric)"</f>
        <v>LM5.X Content, Lab/Vir, MMQC (Metric)</v>
      </c>
      <c r="T4573">
        <v>0</v>
      </c>
      <c r="U4573">
        <v>5</v>
      </c>
      <c r="V4573">
        <v>5</v>
      </c>
      <c r="W4573" t="str">
        <f t="shared" si="1174"/>
        <v>rob</v>
      </c>
    </row>
    <row r="4574" spans="1:23">
      <c r="A4574" t="str">
        <f>"TMP100"</f>
        <v>TMP100</v>
      </c>
      <c r="B4574" t="str">
        <f>"50-0095-0000"</f>
        <v>50-0095-0000</v>
      </c>
      <c r="C4574" t="str">
        <f>"Installation at Customer Site"</f>
        <v>Installation at Customer Site</v>
      </c>
      <c r="D4574">
        <v>1</v>
      </c>
      <c r="E4574" t="str">
        <f>"Installation at customer site"</f>
        <v>Installation at customer site</v>
      </c>
      <c r="F4574">
        <v>700</v>
      </c>
      <c r="G4574" t="str">
        <f t="shared" si="1166"/>
        <v>Y</v>
      </c>
      <c r="H4574" t="str">
        <f>"DA"</f>
        <v>DA</v>
      </c>
      <c r="I4574">
        <v>0</v>
      </c>
      <c r="J4574">
        <v>0</v>
      </c>
      <c r="K4574" t="str">
        <f t="shared" si="1167"/>
        <v>Y</v>
      </c>
      <c r="L4574">
        <v>0</v>
      </c>
      <c r="M4574" t="str">
        <f t="shared" si="1172"/>
        <v>NIS</v>
      </c>
      <c r="O4574">
        <v>1</v>
      </c>
      <c r="P4574" t="str">
        <f t="shared" si="1173"/>
        <v>Active</v>
      </c>
      <c r="Q4574" t="str">
        <f>"Installation at Customer Site (Days)"</f>
        <v>Installation at Customer Site (Days)</v>
      </c>
      <c r="S4574" t="str">
        <f>"Installation at Customer Site (Days)"</f>
        <v>Installation at Customer Site (Days)</v>
      </c>
      <c r="T4574">
        <v>0</v>
      </c>
      <c r="U4574">
        <v>864</v>
      </c>
      <c r="V4574">
        <v>898.56</v>
      </c>
      <c r="W4574" t="str">
        <f t="shared" si="1174"/>
        <v>rob</v>
      </c>
    </row>
    <row r="4575" spans="1:23">
      <c r="A4575" t="str">
        <f t="shared" ref="A4575:A4594" si="1175">"TMP12"</f>
        <v>TMP12</v>
      </c>
      <c r="B4575" t="str">
        <f>"00-0430-0000"</f>
        <v>00-0430-0000</v>
      </c>
      <c r="C4575" t="str">
        <f>"SCORBOT-ER9Pro"</f>
        <v>SCORBOT-ER9Pro</v>
      </c>
      <c r="D4575">
        <v>1</v>
      </c>
      <c r="E4575" t="str">
        <f t="shared" ref="E4575:E4594" si="1176">"TMP12"</f>
        <v>TMP12</v>
      </c>
      <c r="F4575">
        <v>700</v>
      </c>
      <c r="G4575" t="str">
        <f t="shared" si="1166"/>
        <v>Y</v>
      </c>
      <c r="H4575" t="str">
        <f t="shared" ref="H4575:H4593" si="1177">"EA"</f>
        <v>EA</v>
      </c>
      <c r="I4575">
        <v>0</v>
      </c>
      <c r="J4575">
        <v>0</v>
      </c>
      <c r="K4575" t="str">
        <f t="shared" si="1167"/>
        <v>Y</v>
      </c>
      <c r="L4575">
        <v>0</v>
      </c>
      <c r="M4575" t="str">
        <f t="shared" si="1172"/>
        <v>NIS</v>
      </c>
      <c r="O4575">
        <v>1</v>
      </c>
      <c r="P4575" t="str">
        <f t="shared" si="1173"/>
        <v>Active</v>
      </c>
      <c r="Q4575" t="str">
        <f>"SCORBOT-ER 9Pro (incl. USB-Pro Controller)"</f>
        <v>SCORBOT-ER 9Pro (incl. USB-Pro Controller)</v>
      </c>
      <c r="S4575" t="str">
        <f>"SCORBOT-ER 9Pro (incl. USB-Pro Controller)"</f>
        <v>SCORBOT-ER 9Pro (incl. USB-Pro Controller)</v>
      </c>
      <c r="T4575">
        <v>0</v>
      </c>
      <c r="U4575" s="44">
        <v>10900</v>
      </c>
      <c r="V4575" s="44">
        <v>11661.57</v>
      </c>
      <c r="W4575" t="str">
        <f t="shared" si="1174"/>
        <v>rob</v>
      </c>
    </row>
    <row r="4576" spans="1:23">
      <c r="A4576" t="str">
        <f t="shared" si="1175"/>
        <v>TMP12</v>
      </c>
      <c r="B4576" t="str">
        <f>"00-0633-0000"</f>
        <v>00-0633-0000</v>
      </c>
      <c r="C4576" t="str">
        <f>"Pneumatic Gripper for ER9-Pro"</f>
        <v>Pneumatic Gripper for ER9-Pro</v>
      </c>
      <c r="D4576">
        <v>1</v>
      </c>
      <c r="E4576" t="str">
        <f t="shared" si="1176"/>
        <v>TMP12</v>
      </c>
      <c r="F4576">
        <v>700</v>
      </c>
      <c r="G4576" t="str">
        <f t="shared" si="1166"/>
        <v>Y</v>
      </c>
      <c r="H4576" t="str">
        <f t="shared" si="1177"/>
        <v>EA</v>
      </c>
      <c r="I4576">
        <v>0</v>
      </c>
      <c r="J4576">
        <v>0</v>
      </c>
      <c r="K4576" t="str">
        <f t="shared" si="1167"/>
        <v>Y</v>
      </c>
      <c r="L4576">
        <v>0</v>
      </c>
      <c r="M4576" t="str">
        <f t="shared" si="1172"/>
        <v>NIS</v>
      </c>
      <c r="O4576">
        <v>2</v>
      </c>
      <c r="P4576" t="str">
        <f t="shared" si="1173"/>
        <v>Active</v>
      </c>
      <c r="Q4576" t="str">
        <f>"Pneumatic Gripper for ER9-Pro"</f>
        <v>Pneumatic Gripper for ER9-Pro</v>
      </c>
      <c r="S4576" t="str">
        <f>"Pneumatic Gripper for ER9-Pro"</f>
        <v>Pneumatic Gripper for ER9-Pro</v>
      </c>
      <c r="T4576">
        <v>0</v>
      </c>
      <c r="U4576">
        <v>630</v>
      </c>
      <c r="V4576">
        <v>624.72</v>
      </c>
      <c r="W4576" t="str">
        <f t="shared" si="1174"/>
        <v>rob</v>
      </c>
    </row>
    <row r="4577" spans="1:23">
      <c r="A4577" t="str">
        <f t="shared" si="1175"/>
        <v>TMP12</v>
      </c>
      <c r="B4577" t="str">
        <f>"00-1710-0000"</f>
        <v>00-1710-0000</v>
      </c>
      <c r="C4577" t="str">
        <f>"Teach Pendant"</f>
        <v>Teach Pendant</v>
      </c>
      <c r="D4577">
        <v>1</v>
      </c>
      <c r="E4577" t="str">
        <f t="shared" si="1176"/>
        <v>TMP12</v>
      </c>
      <c r="F4577">
        <v>700</v>
      </c>
      <c r="G4577" t="str">
        <f t="shared" si="1166"/>
        <v>Y</v>
      </c>
      <c r="H4577" t="str">
        <f t="shared" si="1177"/>
        <v>EA</v>
      </c>
      <c r="I4577">
        <v>0</v>
      </c>
      <c r="J4577">
        <v>0</v>
      </c>
      <c r="K4577" t="str">
        <f t="shared" si="1167"/>
        <v>Y</v>
      </c>
      <c r="L4577">
        <v>0</v>
      </c>
      <c r="M4577" t="str">
        <f t="shared" si="1172"/>
        <v>NIS</v>
      </c>
      <c r="O4577">
        <v>3</v>
      </c>
      <c r="P4577" t="str">
        <f t="shared" si="1173"/>
        <v>Active</v>
      </c>
      <c r="Q4577" t="str">
        <f>"Teach Pendant for USB/USB Pro Controllers"</f>
        <v>Teach Pendant for USB/USB Pro Controllers</v>
      </c>
      <c r="S4577" t="str">
        <f>"Teach Pendant for USB/USB Pro Controllers"</f>
        <v>Teach Pendant for USB/USB Pro Controllers</v>
      </c>
      <c r="T4577">
        <v>0</v>
      </c>
      <c r="U4577">
        <v>160.18</v>
      </c>
      <c r="V4577">
        <v>161.44999999999999</v>
      </c>
      <c r="W4577" t="str">
        <f t="shared" si="1174"/>
        <v>rob</v>
      </c>
    </row>
    <row r="4578" spans="1:23">
      <c r="A4578" t="str">
        <f t="shared" si="1175"/>
        <v>TMP12</v>
      </c>
      <c r="B4578" t="str">
        <f>"00-1016-0000"</f>
        <v>00-1016-0000</v>
      </c>
      <c r="C4578" t="str">
        <f>"LSB 1.0m, Belt, FM"</f>
        <v>LSB 1.0m, Belt, FM</v>
      </c>
      <c r="D4578">
        <v>1</v>
      </c>
      <c r="E4578" t="str">
        <f t="shared" si="1176"/>
        <v>TMP12</v>
      </c>
      <c r="F4578">
        <v>700</v>
      </c>
      <c r="G4578" t="str">
        <f t="shared" si="1166"/>
        <v>Y</v>
      </c>
      <c r="H4578" t="str">
        <f t="shared" si="1177"/>
        <v>EA</v>
      </c>
      <c r="I4578">
        <v>0</v>
      </c>
      <c r="J4578">
        <v>0</v>
      </c>
      <c r="K4578" t="str">
        <f t="shared" si="1167"/>
        <v>Y</v>
      </c>
      <c r="L4578">
        <v>0</v>
      </c>
      <c r="M4578" t="str">
        <f t="shared" si="1172"/>
        <v>NIS</v>
      </c>
      <c r="O4578">
        <v>4</v>
      </c>
      <c r="P4578" t="str">
        <f t="shared" si="1173"/>
        <v>Active</v>
      </c>
      <c r="Q4578" t="str">
        <f>"LSB 1.0m, Belt, Floor Mounted incl. Stand"</f>
        <v>LSB 1.0m, Belt, Floor Mounted incl. Stand</v>
      </c>
      <c r="S4578" t="str">
        <f>"LSB 1.0m, Belt, Floor Mounted incl. Stand"</f>
        <v>LSB 1.0m, Belt, Floor Mounted incl. Stand</v>
      </c>
      <c r="T4578">
        <v>0</v>
      </c>
      <c r="U4578" s="44">
        <v>2336.16</v>
      </c>
      <c r="V4578" s="44">
        <v>2301.0500000000002</v>
      </c>
      <c r="W4578" t="str">
        <f t="shared" si="1174"/>
        <v>rob</v>
      </c>
    </row>
    <row r="4579" spans="1:23">
      <c r="A4579" t="str">
        <f t="shared" si="1175"/>
        <v>TMP12</v>
      </c>
      <c r="B4579" t="str">
        <f>"00-1110-0000"</f>
        <v>00-1110-0000</v>
      </c>
      <c r="C4579" t="str">
        <f>"Palletizing Rack"</f>
        <v>Palletizing Rack</v>
      </c>
      <c r="D4579">
        <v>2</v>
      </c>
      <c r="E4579" t="str">
        <f t="shared" si="1176"/>
        <v>TMP12</v>
      </c>
      <c r="F4579">
        <v>700</v>
      </c>
      <c r="G4579" t="str">
        <f t="shared" si="1166"/>
        <v>Y</v>
      </c>
      <c r="H4579" t="str">
        <f t="shared" si="1177"/>
        <v>EA</v>
      </c>
      <c r="I4579">
        <v>0</v>
      </c>
      <c r="J4579">
        <v>0</v>
      </c>
      <c r="K4579" t="str">
        <f t="shared" si="1167"/>
        <v>Y</v>
      </c>
      <c r="L4579">
        <v>0</v>
      </c>
      <c r="M4579" t="str">
        <f t="shared" si="1172"/>
        <v>NIS</v>
      </c>
      <c r="O4579">
        <v>5</v>
      </c>
      <c r="P4579" t="str">
        <f t="shared" si="1173"/>
        <v>Active</v>
      </c>
      <c r="Q4579" t="str">
        <f>"Palletizing Rack (incl. Pins for creating Jigs)"</f>
        <v>Palletizing Rack (incl. Pins for creating Jigs)</v>
      </c>
      <c r="S4579" t="str">
        <f>"Palletizing Rack (incl. Pins for creating Jigs)"</f>
        <v>Palletizing Rack (incl. Pins for creating Jigs)</v>
      </c>
      <c r="T4579">
        <v>0</v>
      </c>
      <c r="U4579">
        <v>63</v>
      </c>
      <c r="V4579">
        <v>58.59</v>
      </c>
      <c r="W4579" t="str">
        <f t="shared" si="1174"/>
        <v>rob</v>
      </c>
    </row>
    <row r="4580" spans="1:23">
      <c r="A4580" t="str">
        <f t="shared" si="1175"/>
        <v>TMP12</v>
      </c>
      <c r="B4580" t="str">
        <f>"10-1007-4000"</f>
        <v>10-1007-4000</v>
      </c>
      <c r="C4580" t="str">
        <f>"Gravity Parts Feeder (with microswitch sensor)"</f>
        <v>Gravity Parts Feeder (with microswitch sensor)</v>
      </c>
      <c r="D4580">
        <v>1</v>
      </c>
      <c r="E4580" t="str">
        <f t="shared" si="1176"/>
        <v>TMP12</v>
      </c>
      <c r="F4580">
        <v>700</v>
      </c>
      <c r="G4580" t="str">
        <f t="shared" si="1166"/>
        <v>Y</v>
      </c>
      <c r="H4580" t="str">
        <f t="shared" si="1177"/>
        <v>EA</v>
      </c>
      <c r="I4580">
        <v>0</v>
      </c>
      <c r="J4580">
        <v>0</v>
      </c>
      <c r="K4580" t="str">
        <f t="shared" si="1167"/>
        <v>Y</v>
      </c>
      <c r="L4580">
        <v>0</v>
      </c>
      <c r="M4580" t="str">
        <f t="shared" si="1172"/>
        <v>NIS</v>
      </c>
      <c r="O4580">
        <v>6</v>
      </c>
      <c r="P4580" t="str">
        <f t="shared" si="1173"/>
        <v>Active</v>
      </c>
      <c r="Q4580" t="str">
        <f>"Gravity Parts Feeder (incl.microswitch sensor)"</f>
        <v>Gravity Parts Feeder (incl.microswitch sensor)</v>
      </c>
      <c r="S4580" t="str">
        <f>"Gravity Parts Feeder (incl.microswitch sensor)"</f>
        <v>Gravity Parts Feeder (incl.microswitch sensor)</v>
      </c>
      <c r="T4580">
        <v>0</v>
      </c>
      <c r="U4580">
        <v>148</v>
      </c>
      <c r="V4580">
        <v>148.26</v>
      </c>
      <c r="W4580" t="str">
        <f t="shared" si="1174"/>
        <v>rob</v>
      </c>
    </row>
    <row r="4581" spans="1:23">
      <c r="A4581" t="str">
        <f t="shared" si="1175"/>
        <v>TMP12</v>
      </c>
      <c r="B4581" t="str">
        <f>"10-2521-7000"</f>
        <v>10-2521-7000</v>
      </c>
      <c r="C4581" t="str">
        <f>"Pneumatic Feeder for Rectangular products"</f>
        <v>Pneumatic Feeder for Rectangular products</v>
      </c>
      <c r="D4581">
        <v>1</v>
      </c>
      <c r="E4581" t="str">
        <f t="shared" si="1176"/>
        <v>TMP12</v>
      </c>
      <c r="F4581">
        <v>700</v>
      </c>
      <c r="G4581" t="str">
        <f t="shared" si="1166"/>
        <v>Y</v>
      </c>
      <c r="H4581" t="str">
        <f t="shared" si="1177"/>
        <v>EA</v>
      </c>
      <c r="I4581">
        <v>0</v>
      </c>
      <c r="J4581">
        <v>0</v>
      </c>
      <c r="K4581" t="str">
        <f t="shared" si="1167"/>
        <v>Y</v>
      </c>
      <c r="L4581">
        <v>0</v>
      </c>
      <c r="M4581" t="str">
        <f t="shared" si="1172"/>
        <v>NIS</v>
      </c>
      <c r="O4581">
        <v>7</v>
      </c>
      <c r="P4581" t="str">
        <f t="shared" si="1173"/>
        <v>Active</v>
      </c>
      <c r="Q4581" t="str">
        <f>"Pneumatic Feeder for Rectangular Parts"</f>
        <v>Pneumatic Feeder for Rectangular Parts</v>
      </c>
      <c r="S4581" t="str">
        <f>"Pneumatic Feeder for Rectangular Parts"</f>
        <v>Pneumatic Feeder for Rectangular Parts</v>
      </c>
      <c r="T4581">
        <v>0</v>
      </c>
      <c r="U4581">
        <v>595</v>
      </c>
      <c r="V4581">
        <v>555.15</v>
      </c>
      <c r="W4581" t="str">
        <f t="shared" si="1174"/>
        <v>rob</v>
      </c>
    </row>
    <row r="4582" spans="1:23">
      <c r="A4582" t="str">
        <f t="shared" si="1175"/>
        <v>TMP12</v>
      </c>
      <c r="B4582" t="str">
        <f>"00-1201-0000"</f>
        <v>00-1201-0000</v>
      </c>
      <c r="C4582" t="str">
        <f>"I/O Experiment Table"</f>
        <v>I/O Experiment Table</v>
      </c>
      <c r="D4582">
        <v>1</v>
      </c>
      <c r="E4582" t="str">
        <f t="shared" si="1176"/>
        <v>TMP12</v>
      </c>
      <c r="F4582">
        <v>700</v>
      </c>
      <c r="G4582" t="str">
        <f t="shared" si="1166"/>
        <v>Y</v>
      </c>
      <c r="H4582" t="str">
        <f t="shared" si="1177"/>
        <v>EA</v>
      </c>
      <c r="I4582">
        <v>0</v>
      </c>
      <c r="J4582">
        <v>0</v>
      </c>
      <c r="K4582" t="str">
        <f t="shared" si="1167"/>
        <v>Y</v>
      </c>
      <c r="L4582">
        <v>0</v>
      </c>
      <c r="M4582" t="str">
        <f t="shared" si="1172"/>
        <v>NIS</v>
      </c>
      <c r="O4582">
        <v>8</v>
      </c>
      <c r="P4582" t="str">
        <f t="shared" si="1173"/>
        <v>Active</v>
      </c>
      <c r="Q4582" t="str">
        <f>"I/O Experiment Table"</f>
        <v>I/O Experiment Table</v>
      </c>
      <c r="S4582" t="str">
        <f>"I/O Experiment Table"</f>
        <v>I/O Experiment Table</v>
      </c>
      <c r="T4582">
        <v>0</v>
      </c>
      <c r="U4582">
        <v>242</v>
      </c>
      <c r="V4582">
        <v>230.37</v>
      </c>
      <c r="W4582" t="str">
        <f t="shared" si="1174"/>
        <v>rob</v>
      </c>
    </row>
    <row r="4583" spans="1:23">
      <c r="A4583" t="str">
        <f t="shared" si="1175"/>
        <v>TMP12</v>
      </c>
      <c r="B4583" t="str">
        <f>"21-0004-0000"</f>
        <v>21-0004-0000</v>
      </c>
      <c r="C4583" t="str">
        <f>"Assembly, Dual Axis Air Vise Mechanicals"</f>
        <v>Assembly, Dual Axis Air Vise Mechanicals</v>
      </c>
      <c r="D4583">
        <v>1</v>
      </c>
      <c r="E4583" t="str">
        <f t="shared" si="1176"/>
        <v>TMP12</v>
      </c>
      <c r="F4583">
        <v>700</v>
      </c>
      <c r="G4583" t="str">
        <f t="shared" si="1166"/>
        <v>Y</v>
      </c>
      <c r="H4583" t="str">
        <f t="shared" si="1177"/>
        <v>EA</v>
      </c>
      <c r="I4583">
        <v>0</v>
      </c>
      <c r="J4583">
        <v>0</v>
      </c>
      <c r="K4583" t="str">
        <f t="shared" si="1167"/>
        <v>Y</v>
      </c>
      <c r="L4583">
        <v>0</v>
      </c>
      <c r="M4583" t="str">
        <f t="shared" si="1172"/>
        <v>NIS</v>
      </c>
      <c r="O4583">
        <v>9</v>
      </c>
      <c r="P4583" t="str">
        <f>"Phase Out"</f>
        <v>Phase Out</v>
      </c>
      <c r="Q4583" t="str">
        <f>"Assembly, Dual Axis Air Vise Mechanicals"</f>
        <v>Assembly, Dual Axis Air Vise Mechanicals</v>
      </c>
      <c r="S4583" t="str">
        <f>"Assembly, Dual Axis Air Vise Mechanicals"</f>
        <v>Assembly, Dual Axis Air Vise Mechanicals</v>
      </c>
      <c r="T4583">
        <v>422.16</v>
      </c>
      <c r="U4583">
        <v>422</v>
      </c>
      <c r="V4583">
        <v>980.27</v>
      </c>
      <c r="W4583" t="str">
        <f t="shared" si="1174"/>
        <v>rob</v>
      </c>
    </row>
    <row r="4584" spans="1:23">
      <c r="A4584" t="str">
        <f t="shared" si="1175"/>
        <v>TMP12</v>
      </c>
      <c r="B4584" t="str">
        <f>"10-2523-4000"</f>
        <v>10-2523-4000</v>
      </c>
      <c r="C4584" t="str">
        <f>"Solenoid Valve (24V) for Pipe 3 mm"</f>
        <v>Solenoid Valve (24V) for Pipe 3 mm</v>
      </c>
      <c r="D4584">
        <v>1</v>
      </c>
      <c r="E4584" t="str">
        <f t="shared" si="1176"/>
        <v>TMP12</v>
      </c>
      <c r="F4584">
        <v>700</v>
      </c>
      <c r="G4584" t="str">
        <f t="shared" si="1166"/>
        <v>Y</v>
      </c>
      <c r="H4584" t="str">
        <f t="shared" si="1177"/>
        <v>EA</v>
      </c>
      <c r="I4584">
        <v>0</v>
      </c>
      <c r="J4584">
        <v>0</v>
      </c>
      <c r="K4584" t="str">
        <f t="shared" si="1167"/>
        <v>Y</v>
      </c>
      <c r="L4584">
        <v>0</v>
      </c>
      <c r="M4584" t="str">
        <f t="shared" si="1172"/>
        <v>NIS</v>
      </c>
      <c r="O4584">
        <v>10</v>
      </c>
      <c r="P4584" t="str">
        <f t="shared" ref="P4584:P4597" si="1178">"Active"</f>
        <v>Active</v>
      </c>
      <c r="Q4584" t="str">
        <f>"Solenoid Valve (24V) for Pipe 3 mm"</f>
        <v>Solenoid Valve (24V) for Pipe 3 mm</v>
      </c>
      <c r="S4584" t="str">
        <f>"Solenoid Valve (24V) for Pipe 3 mm"</f>
        <v>Solenoid Valve (24V) for Pipe 3 mm</v>
      </c>
      <c r="T4584">
        <v>0</v>
      </c>
      <c r="U4584">
        <v>137</v>
      </c>
      <c r="V4584">
        <v>133.35</v>
      </c>
      <c r="W4584" t="str">
        <f t="shared" si="1174"/>
        <v>rob</v>
      </c>
    </row>
    <row r="4585" spans="1:23">
      <c r="A4585" t="str">
        <f t="shared" si="1175"/>
        <v>TMP12</v>
      </c>
      <c r="B4585" t="str">
        <f>"00-1230-0000"</f>
        <v>00-1230-0000</v>
      </c>
      <c r="C4585" t="str">
        <f>"Ball Feeder (incl. sensor for ball counting)"</f>
        <v>Ball Feeder (incl. sensor for ball counting)</v>
      </c>
      <c r="D4585">
        <v>1</v>
      </c>
      <c r="E4585" t="str">
        <f t="shared" si="1176"/>
        <v>TMP12</v>
      </c>
      <c r="F4585">
        <v>700</v>
      </c>
      <c r="G4585" t="str">
        <f t="shared" si="1166"/>
        <v>Y</v>
      </c>
      <c r="H4585" t="str">
        <f t="shared" si="1177"/>
        <v>EA</v>
      </c>
      <c r="I4585">
        <v>0</v>
      </c>
      <c r="J4585">
        <v>0</v>
      </c>
      <c r="K4585" t="str">
        <f t="shared" si="1167"/>
        <v>Y</v>
      </c>
      <c r="L4585">
        <v>0</v>
      </c>
      <c r="M4585" t="str">
        <f t="shared" si="1172"/>
        <v>NIS</v>
      </c>
      <c r="O4585">
        <v>11</v>
      </c>
      <c r="P4585" t="str">
        <f t="shared" si="1178"/>
        <v>Active</v>
      </c>
      <c r="Q4585" t="str">
        <f>"Ball Feeder (incl. sensor for ball counting)"</f>
        <v>Ball Feeder (incl. sensor for ball counting)</v>
      </c>
      <c r="S4585" t="str">
        <f>"Ball Feeder (incl. sensor for ball counting)"</f>
        <v>Ball Feeder (incl. sensor for ball counting)</v>
      </c>
      <c r="T4585">
        <v>0</v>
      </c>
      <c r="U4585">
        <v>536</v>
      </c>
      <c r="V4585">
        <v>530.72</v>
      </c>
      <c r="W4585" t="str">
        <f t="shared" si="1174"/>
        <v>rob</v>
      </c>
    </row>
    <row r="4586" spans="1:23">
      <c r="A4586" t="str">
        <f t="shared" si="1175"/>
        <v>TMP12</v>
      </c>
      <c r="B4586" t="str">
        <f>"00-1243-0000"</f>
        <v>00-1243-0000</v>
      </c>
      <c r="C4586" t="str">
        <f>"Ball Game Set (Assembly with Plastic Pins)"</f>
        <v>Ball Game Set (Assembly with Plastic Pins)</v>
      </c>
      <c r="D4586">
        <v>12</v>
      </c>
      <c r="E4586" t="str">
        <f t="shared" si="1176"/>
        <v>TMP12</v>
      </c>
      <c r="F4586">
        <v>700</v>
      </c>
      <c r="G4586" t="str">
        <f t="shared" si="1166"/>
        <v>Y</v>
      </c>
      <c r="H4586" t="str">
        <f t="shared" si="1177"/>
        <v>EA</v>
      </c>
      <c r="I4586">
        <v>0</v>
      </c>
      <c r="J4586">
        <v>0</v>
      </c>
      <c r="K4586" t="str">
        <f t="shared" si="1167"/>
        <v>Y</v>
      </c>
      <c r="L4586">
        <v>0</v>
      </c>
      <c r="M4586" t="str">
        <f t="shared" si="1172"/>
        <v>NIS</v>
      </c>
      <c r="O4586">
        <v>12</v>
      </c>
      <c r="P4586" t="str">
        <f t="shared" si="1178"/>
        <v>Active</v>
      </c>
      <c r="Q4586" t="str">
        <f>"Ball Game Set (Assembly with Plastic Pins)"</f>
        <v>Ball Game Set (Assembly with Plastic Pins)</v>
      </c>
      <c r="S4586" t="str">
        <f>"Ball Game Set (Assembly with Plastic Pins)"</f>
        <v>Ball Game Set (Assembly with Plastic Pins)</v>
      </c>
      <c r="T4586">
        <v>0</v>
      </c>
      <c r="U4586">
        <v>32</v>
      </c>
      <c r="V4586">
        <v>34.770000000000003</v>
      </c>
      <c r="W4586" t="str">
        <f t="shared" si="1174"/>
        <v>rob</v>
      </c>
    </row>
    <row r="4587" spans="1:23">
      <c r="A4587" t="str">
        <f t="shared" si="1175"/>
        <v>TMP12</v>
      </c>
      <c r="B4587" t="str">
        <f>"00-1013-0000"</f>
        <v>00-1013-0000</v>
      </c>
      <c r="C4587" t="str">
        <f>"Linear Positioning Table 300mm"</f>
        <v>Linear Positioning Table 300mm</v>
      </c>
      <c r="D4587">
        <v>1</v>
      </c>
      <c r="E4587" t="str">
        <f t="shared" si="1176"/>
        <v>TMP12</v>
      </c>
      <c r="F4587">
        <v>700</v>
      </c>
      <c r="G4587" t="str">
        <f t="shared" si="1166"/>
        <v>Y</v>
      </c>
      <c r="H4587" t="str">
        <f t="shared" si="1177"/>
        <v>EA</v>
      </c>
      <c r="I4587">
        <v>0</v>
      </c>
      <c r="J4587">
        <v>0</v>
      </c>
      <c r="K4587" t="str">
        <f t="shared" si="1167"/>
        <v>Y</v>
      </c>
      <c r="L4587">
        <v>0</v>
      </c>
      <c r="M4587" t="str">
        <f t="shared" si="1172"/>
        <v>NIS</v>
      </c>
      <c r="O4587">
        <v>13</v>
      </c>
      <c r="P4587" t="str">
        <f t="shared" si="1178"/>
        <v>Active</v>
      </c>
      <c r="Q4587" t="str">
        <f>"Linear Positioning Table 300mm (Belt Drive, 24V)"</f>
        <v>Linear Positioning Table 300mm (Belt Drive, 24V)</v>
      </c>
      <c r="S4587" t="str">
        <f>"Linear Positioning Table 300mm (Belt Drive, 24V)"</f>
        <v>Linear Positioning Table 300mm (Belt Drive, 24V)</v>
      </c>
      <c r="T4587">
        <v>0</v>
      </c>
      <c r="U4587">
        <v>894.02</v>
      </c>
      <c r="V4587">
        <v>879.29</v>
      </c>
      <c r="W4587" t="str">
        <f t="shared" si="1174"/>
        <v>rob</v>
      </c>
    </row>
    <row r="4588" spans="1:23">
      <c r="A4588" t="str">
        <f t="shared" si="1175"/>
        <v>TMP12</v>
      </c>
      <c r="B4588" t="str">
        <f>"00-1422-0000"</f>
        <v>00-1422-0000</v>
      </c>
      <c r="C4588" t="str">
        <f>"Viewflex for QC (Stand 400mm)"</f>
        <v>Viewflex for QC (Stand 400mm)</v>
      </c>
      <c r="D4588">
        <v>1</v>
      </c>
      <c r="E4588" t="str">
        <f t="shared" si="1176"/>
        <v>TMP12</v>
      </c>
      <c r="F4588">
        <v>700</v>
      </c>
      <c r="G4588" t="str">
        <f t="shared" si="1166"/>
        <v>Y</v>
      </c>
      <c r="H4588" t="str">
        <f t="shared" si="1177"/>
        <v>EA</v>
      </c>
      <c r="I4588">
        <v>0</v>
      </c>
      <c r="J4588">
        <v>0</v>
      </c>
      <c r="K4588" t="str">
        <f t="shared" si="1167"/>
        <v>Y</v>
      </c>
      <c r="L4588">
        <v>0</v>
      </c>
      <c r="M4588" t="str">
        <f t="shared" si="1172"/>
        <v>NIS</v>
      </c>
      <c r="O4588">
        <v>14</v>
      </c>
      <c r="P4588" t="str">
        <f t="shared" si="1178"/>
        <v>Active</v>
      </c>
      <c r="Q4588" t="str">
        <f>"Viewflex for QC (Stand 400mm)"</f>
        <v>Viewflex for QC (Stand 400mm)</v>
      </c>
      <c r="S4588" t="str">
        <f>"Viewflex for QC (Stand 400mm)"</f>
        <v>Viewflex for QC (Stand 400mm)</v>
      </c>
      <c r="T4588">
        <v>0</v>
      </c>
      <c r="U4588">
        <v>560</v>
      </c>
      <c r="V4588">
        <v>511.35</v>
      </c>
      <c r="W4588" t="str">
        <f t="shared" si="1174"/>
        <v>rob</v>
      </c>
    </row>
    <row r="4589" spans="1:23">
      <c r="A4589" t="str">
        <f t="shared" si="1175"/>
        <v>TMP12</v>
      </c>
      <c r="B4589" t="str">
        <f>"113096"</f>
        <v>113096</v>
      </c>
      <c r="C4589" t="str">
        <f>"Plexiglass Cylinders Base"</f>
        <v>Plexiglass Cylinders Base</v>
      </c>
      <c r="D4589">
        <v>5</v>
      </c>
      <c r="E4589" t="str">
        <f t="shared" si="1176"/>
        <v>TMP12</v>
      </c>
      <c r="F4589">
        <v>700</v>
      </c>
      <c r="G4589" t="str">
        <f t="shared" si="1166"/>
        <v>Y</v>
      </c>
      <c r="H4589" t="str">
        <f t="shared" si="1177"/>
        <v>EA</v>
      </c>
      <c r="I4589">
        <v>0</v>
      </c>
      <c r="J4589">
        <v>0</v>
      </c>
      <c r="K4589" t="str">
        <f t="shared" si="1167"/>
        <v>Y</v>
      </c>
      <c r="L4589">
        <v>0</v>
      </c>
      <c r="M4589" t="str">
        <f t="shared" si="1172"/>
        <v>NIS</v>
      </c>
      <c r="O4589">
        <v>15</v>
      </c>
      <c r="P4589" t="str">
        <f t="shared" si="1178"/>
        <v>Active</v>
      </c>
      <c r="Q4589" t="str">
        <f>"Plexiglass Cylinders Base"</f>
        <v>Plexiglass Cylinders Base</v>
      </c>
      <c r="S4589" t="str">
        <f>"Plexiglass Cylinders Base"</f>
        <v>Plexiglass Cylinders Base</v>
      </c>
      <c r="T4589">
        <v>0</v>
      </c>
      <c r="U4589">
        <v>7</v>
      </c>
      <c r="V4589">
        <v>6.83</v>
      </c>
      <c r="W4589" t="str">
        <f t="shared" si="1174"/>
        <v>rob</v>
      </c>
    </row>
    <row r="4590" spans="1:23">
      <c r="A4590" t="str">
        <f t="shared" si="1175"/>
        <v>TMP12</v>
      </c>
      <c r="B4590" t="str">
        <f>"112713"</f>
        <v>112713</v>
      </c>
      <c r="C4590" t="str">
        <f>"Marked Aluminum Cylinder"</f>
        <v>Marked Aluminum Cylinder</v>
      </c>
      <c r="D4590">
        <v>5</v>
      </c>
      <c r="E4590" t="str">
        <f t="shared" si="1176"/>
        <v>TMP12</v>
      </c>
      <c r="F4590">
        <v>700</v>
      </c>
      <c r="G4590" t="str">
        <f t="shared" si="1166"/>
        <v>Y</v>
      </c>
      <c r="H4590" t="str">
        <f t="shared" si="1177"/>
        <v>EA</v>
      </c>
      <c r="I4590">
        <v>0</v>
      </c>
      <c r="J4590">
        <v>0</v>
      </c>
      <c r="K4590" t="str">
        <f t="shared" si="1167"/>
        <v>Y</v>
      </c>
      <c r="L4590">
        <v>0</v>
      </c>
      <c r="M4590" t="str">
        <f t="shared" si="1172"/>
        <v>NIS</v>
      </c>
      <c r="O4590">
        <v>16</v>
      </c>
      <c r="P4590" t="str">
        <f t="shared" si="1178"/>
        <v>Active</v>
      </c>
      <c r="Q4590" t="str">
        <f>"Mark Al. Cylinder Diam. 35x28"</f>
        <v>Mark Al. Cylinder Diam. 35x28</v>
      </c>
      <c r="S4590" t="str">
        <f>"Mark Al. Cylinder Diam. 35x28"</f>
        <v>Mark Al. Cylinder Diam. 35x28</v>
      </c>
      <c r="T4590">
        <v>0</v>
      </c>
      <c r="U4590">
        <v>6</v>
      </c>
      <c r="V4590">
        <v>5.97</v>
      </c>
      <c r="W4590" t="str">
        <f t="shared" si="1174"/>
        <v>rob</v>
      </c>
    </row>
    <row r="4591" spans="1:23">
      <c r="A4591" t="str">
        <f t="shared" si="1175"/>
        <v>TMP12</v>
      </c>
      <c r="B4591" t="str">
        <f>"113316"</f>
        <v>113316</v>
      </c>
      <c r="C4591" t="str">
        <f>"Parts Bin"</f>
        <v>Parts Bin</v>
      </c>
      <c r="D4591">
        <v>1</v>
      </c>
      <c r="E4591" t="str">
        <f t="shared" si="1176"/>
        <v>TMP12</v>
      </c>
      <c r="F4591">
        <v>700</v>
      </c>
      <c r="G4591" t="str">
        <f t="shared" si="1166"/>
        <v>Y</v>
      </c>
      <c r="H4591" t="str">
        <f t="shared" si="1177"/>
        <v>EA</v>
      </c>
      <c r="I4591">
        <v>0</v>
      </c>
      <c r="J4591">
        <v>0</v>
      </c>
      <c r="K4591" t="str">
        <f t="shared" si="1167"/>
        <v>Y</v>
      </c>
      <c r="L4591">
        <v>0</v>
      </c>
      <c r="M4591" t="str">
        <f t="shared" si="1172"/>
        <v>NIS</v>
      </c>
      <c r="O4591">
        <v>17</v>
      </c>
      <c r="P4591" t="str">
        <f t="shared" si="1178"/>
        <v>Active</v>
      </c>
      <c r="Q4591" t="str">
        <f>"Parts Bin; Plastic Box"</f>
        <v>Parts Bin; Plastic Box</v>
      </c>
      <c r="R4591" t="str">
        <f>"1"</f>
        <v>1</v>
      </c>
      <c r="S4591" t="str">
        <f>"Parts Bin; Plastic Box"</f>
        <v>Parts Bin; Plastic Box</v>
      </c>
      <c r="T4591">
        <v>0</v>
      </c>
      <c r="U4591">
        <v>8.0399999999999991</v>
      </c>
      <c r="V4591">
        <v>6.39</v>
      </c>
      <c r="W4591" t="str">
        <f t="shared" si="1174"/>
        <v>rob</v>
      </c>
    </row>
    <row r="4592" spans="1:23">
      <c r="A4592" t="str">
        <f t="shared" si="1175"/>
        <v>TMP12</v>
      </c>
      <c r="B4592" t="str">
        <f>"00-1249-0000"</f>
        <v>00-1249-0000</v>
      </c>
      <c r="C4592" t="str">
        <f>"Workbench 1500x800mm (slotted aluminum top)"</f>
        <v>Workbench 1500x800mm (slotted aluminum top)</v>
      </c>
      <c r="D4592">
        <v>1</v>
      </c>
      <c r="E4592" t="str">
        <f t="shared" si="1176"/>
        <v>TMP12</v>
      </c>
      <c r="F4592">
        <v>700</v>
      </c>
      <c r="G4592" t="str">
        <f t="shared" si="1166"/>
        <v>Y</v>
      </c>
      <c r="H4592" t="str">
        <f t="shared" si="1177"/>
        <v>EA</v>
      </c>
      <c r="I4592">
        <v>0</v>
      </c>
      <c r="J4592">
        <v>0</v>
      </c>
      <c r="K4592" t="str">
        <f t="shared" si="1167"/>
        <v>Y</v>
      </c>
      <c r="L4592">
        <v>0</v>
      </c>
      <c r="M4592" t="str">
        <f t="shared" si="1172"/>
        <v>NIS</v>
      </c>
      <c r="O4592">
        <v>18</v>
      </c>
      <c r="P4592" t="str">
        <f t="shared" si="1178"/>
        <v>Active</v>
      </c>
      <c r="Q4592" t="str">
        <f>"Workbench 1500x800mm (slotted aluminum top)"</f>
        <v>Workbench 1500x800mm (slotted aluminum top)</v>
      </c>
      <c r="S4592" t="str">
        <f>"Workbench 1500x800mm (slotted aluminum top)"</f>
        <v>Workbench 1500x800mm (slotted aluminum top)</v>
      </c>
      <c r="T4592">
        <v>0</v>
      </c>
      <c r="U4592" s="44">
        <v>1100</v>
      </c>
      <c r="V4592" s="44">
        <v>1083.57</v>
      </c>
      <c r="W4592" t="str">
        <f t="shared" si="1174"/>
        <v>rob</v>
      </c>
    </row>
    <row r="4593" spans="1:23">
      <c r="A4593" t="str">
        <f t="shared" si="1175"/>
        <v>TMP12</v>
      </c>
      <c r="B4593" t="str">
        <f>"00-1260-0000"</f>
        <v>00-1260-0000</v>
      </c>
      <c r="C4593" t="str">
        <f>"PC Extension Shelf  600x800mm"</f>
        <v>PC Extension Shelf  600x800mm</v>
      </c>
      <c r="D4593">
        <v>1</v>
      </c>
      <c r="E4593" t="str">
        <f t="shared" si="1176"/>
        <v>TMP12</v>
      </c>
      <c r="F4593">
        <v>700</v>
      </c>
      <c r="G4593" t="str">
        <f t="shared" si="1166"/>
        <v>Y</v>
      </c>
      <c r="H4593" t="str">
        <f t="shared" si="1177"/>
        <v>EA</v>
      </c>
      <c r="I4593">
        <v>0</v>
      </c>
      <c r="J4593">
        <v>0</v>
      </c>
      <c r="K4593" t="str">
        <f t="shared" si="1167"/>
        <v>Y</v>
      </c>
      <c r="L4593">
        <v>0</v>
      </c>
      <c r="M4593" t="str">
        <f t="shared" si="1172"/>
        <v>NIS</v>
      </c>
      <c r="O4593">
        <v>19</v>
      </c>
      <c r="P4593" t="str">
        <f t="shared" si="1178"/>
        <v>Active</v>
      </c>
      <c r="Q4593" t="str">
        <f>"PC Extension Shelf  600x800mm"</f>
        <v>PC Extension Shelf  600x800mm</v>
      </c>
      <c r="S4593" t="str">
        <f>"PC Extension Shelf  600x800mm"</f>
        <v>PC Extension Shelf  600x800mm</v>
      </c>
      <c r="T4593">
        <v>0</v>
      </c>
      <c r="U4593">
        <v>192</v>
      </c>
      <c r="V4593">
        <v>195.4</v>
      </c>
      <c r="W4593" t="str">
        <f t="shared" si="1174"/>
        <v>rob</v>
      </c>
    </row>
    <row r="4594" spans="1:23">
      <c r="A4594" t="str">
        <f t="shared" si="1175"/>
        <v>TMP12</v>
      </c>
      <c r="B4594" t="str">
        <f>"50-0094-0000"</f>
        <v>50-0094-0000</v>
      </c>
      <c r="C4594" t="str">
        <f>"Pre-Engineering, Design and Testing"</f>
        <v>Pre-Engineering, Design and Testing</v>
      </c>
      <c r="D4594">
        <v>1</v>
      </c>
      <c r="E4594" t="str">
        <f t="shared" si="1176"/>
        <v>TMP12</v>
      </c>
      <c r="F4594">
        <v>700</v>
      </c>
      <c r="G4594" t="str">
        <f t="shared" si="1166"/>
        <v>Y</v>
      </c>
      <c r="H4594" t="str">
        <f>"DA"</f>
        <v>DA</v>
      </c>
      <c r="I4594">
        <v>0</v>
      </c>
      <c r="J4594">
        <v>0</v>
      </c>
      <c r="K4594" t="str">
        <f t="shared" si="1167"/>
        <v>Y</v>
      </c>
      <c r="L4594">
        <v>0</v>
      </c>
      <c r="M4594" t="str">
        <f t="shared" si="1172"/>
        <v>NIS</v>
      </c>
      <c r="O4594">
        <v>20</v>
      </c>
      <c r="P4594" t="str">
        <f t="shared" si="1178"/>
        <v>Active</v>
      </c>
      <c r="Q4594" t="str">
        <f>"Pre-Engineering, Design and Testing"</f>
        <v>Pre-Engineering, Design and Testing</v>
      </c>
      <c r="S4594" t="str">
        <f>"Pre-Engineering, Design and Testing"</f>
        <v>Pre-Engineering, Design and Testing</v>
      </c>
      <c r="T4594">
        <v>0</v>
      </c>
      <c r="U4594">
        <v>405</v>
      </c>
      <c r="V4594">
        <v>421.2</v>
      </c>
      <c r="W4594" t="str">
        <f t="shared" si="1174"/>
        <v>rob</v>
      </c>
    </row>
    <row r="4595" spans="1:23">
      <c r="A4595" t="str">
        <f>"TMP13"</f>
        <v>TMP13</v>
      </c>
      <c r="B4595" t="str">
        <f>"00-0436-0000"</f>
        <v>00-0436-0000</v>
      </c>
      <c r="C4595" t="str">
        <f>"MH5F compact high-speed 6-axis Robot"</f>
        <v>MH5F compact high-speed 6-axis Robot</v>
      </c>
      <c r="D4595">
        <v>1</v>
      </c>
      <c r="E4595" t="str">
        <f>"TMP13"</f>
        <v>TMP13</v>
      </c>
      <c r="F4595">
        <v>700</v>
      </c>
      <c r="G4595" t="str">
        <f t="shared" si="1166"/>
        <v>Y</v>
      </c>
      <c r="H4595" t="str">
        <f t="shared" ref="H4595:H4605" si="1179">"EA"</f>
        <v>EA</v>
      </c>
      <c r="I4595">
        <v>0</v>
      </c>
      <c r="J4595">
        <v>0</v>
      </c>
      <c r="K4595" t="str">
        <f t="shared" si="1167"/>
        <v>Y</v>
      </c>
      <c r="L4595">
        <v>0</v>
      </c>
      <c r="M4595" t="str">
        <f t="shared" si="1172"/>
        <v>NIS</v>
      </c>
      <c r="O4595">
        <v>1</v>
      </c>
      <c r="P4595" t="str">
        <f t="shared" si="1178"/>
        <v>Active</v>
      </c>
      <c r="Q4595" t="str">
        <f>"MH5F compact high-speed 6-axis Robot"</f>
        <v>MH5F compact high-speed 6-axis Robot</v>
      </c>
      <c r="S4595" t="str">
        <f>"MH5F compact high-speed 6-axis Robot"</f>
        <v>MH5F compact high-speed 6-axis Robot</v>
      </c>
      <c r="T4595">
        <v>0</v>
      </c>
      <c r="U4595" s="44">
        <v>23500</v>
      </c>
      <c r="V4595" s="44">
        <v>16049.14</v>
      </c>
      <c r="W4595" t="str">
        <f t="shared" si="1174"/>
        <v>rob</v>
      </c>
    </row>
    <row r="4596" spans="1:23">
      <c r="A4596" t="str">
        <f>"TMP13"</f>
        <v>TMP13</v>
      </c>
      <c r="B4596" t="str">
        <f>"00-0646-0000"</f>
        <v>00-0646-0000</v>
      </c>
      <c r="C4596" t="str">
        <f>"Pneumatic Gripper with I/O Box for Motoman MH5F"</f>
        <v>Pneumatic Gripper with I/O Box for Motoman MH5F</v>
      </c>
      <c r="D4596">
        <v>1</v>
      </c>
      <c r="E4596" t="str">
        <f>"TMP13"</f>
        <v>TMP13</v>
      </c>
      <c r="F4596">
        <v>700</v>
      </c>
      <c r="G4596" t="str">
        <f t="shared" si="1166"/>
        <v>Y</v>
      </c>
      <c r="H4596" t="str">
        <f t="shared" si="1179"/>
        <v>EA</v>
      </c>
      <c r="I4596">
        <v>0</v>
      </c>
      <c r="J4596">
        <v>0</v>
      </c>
      <c r="K4596" t="str">
        <f t="shared" si="1167"/>
        <v>Y</v>
      </c>
      <c r="L4596">
        <v>0</v>
      </c>
      <c r="M4596" t="str">
        <f t="shared" si="1172"/>
        <v>NIS</v>
      </c>
      <c r="O4596">
        <v>2</v>
      </c>
      <c r="P4596" t="str">
        <f t="shared" si="1178"/>
        <v>Active</v>
      </c>
      <c r="Q4596" t="str">
        <f>"Pneumatic Gripper with I/O Box for Motoman MH5F"</f>
        <v>Pneumatic Gripper with I/O Box for Motoman MH5F</v>
      </c>
      <c r="S4596" t="str">
        <f>"Pneumatic Gripper with I/O Box for Motoman MH5F"</f>
        <v>Pneumatic Gripper with I/O Box for Motoman MH5F</v>
      </c>
      <c r="T4596">
        <v>0</v>
      </c>
      <c r="U4596" s="44">
        <v>1500</v>
      </c>
      <c r="V4596" s="44">
        <v>1238.52</v>
      </c>
      <c r="W4596" t="str">
        <f t="shared" si="1174"/>
        <v>rob</v>
      </c>
    </row>
    <row r="4597" spans="1:23">
      <c r="A4597" t="str">
        <f t="shared" ref="A4597:A4615" si="1180">"TMP14"</f>
        <v>TMP14</v>
      </c>
      <c r="B4597" t="str">
        <f>"10-2119-9000"</f>
        <v>10-2119-9000</v>
      </c>
      <c r="C4597" t="str">
        <f>"Interface with industrial robot"</f>
        <v>Interface with industrial robot</v>
      </c>
      <c r="D4597">
        <v>1</v>
      </c>
      <c r="E4597" t="str">
        <f t="shared" ref="E4597:E4615" si="1181">"TMP14"</f>
        <v>TMP14</v>
      </c>
      <c r="F4597">
        <v>700</v>
      </c>
      <c r="G4597" t="str">
        <f t="shared" si="1166"/>
        <v>Y</v>
      </c>
      <c r="H4597" t="str">
        <f t="shared" si="1179"/>
        <v>EA</v>
      </c>
      <c r="I4597">
        <v>0</v>
      </c>
      <c r="J4597">
        <v>0</v>
      </c>
      <c r="K4597" t="str">
        <f t="shared" si="1167"/>
        <v>Y</v>
      </c>
      <c r="L4597">
        <v>0</v>
      </c>
      <c r="M4597" t="str">
        <f t="shared" si="1172"/>
        <v>NIS</v>
      </c>
      <c r="O4597">
        <v>1</v>
      </c>
      <c r="P4597" t="str">
        <f t="shared" si="1178"/>
        <v>Active</v>
      </c>
      <c r="Q4597" t="str">
        <f>"Interface with industrial robot"</f>
        <v>Interface with industrial robot</v>
      </c>
      <c r="S4597" t="str">
        <f>"Interface with industrial robot"</f>
        <v>Interface with industrial robot</v>
      </c>
      <c r="T4597">
        <v>0</v>
      </c>
      <c r="U4597" s="44">
        <v>2000</v>
      </c>
      <c r="V4597" s="44">
        <v>2220</v>
      </c>
      <c r="W4597" t="str">
        <f t="shared" si="1174"/>
        <v>rob</v>
      </c>
    </row>
    <row r="4598" spans="1:23">
      <c r="A4598" t="str">
        <f t="shared" si="1180"/>
        <v>TMP14</v>
      </c>
      <c r="B4598" t="str">
        <f>"00-0647-0000"</f>
        <v>00-0647-0000</v>
      </c>
      <c r="C4598" t="str">
        <f>"Pneumatic Gripper for 3rd party robots"</f>
        <v>Pneumatic Gripper for 3rd party robots</v>
      </c>
      <c r="D4598">
        <v>1</v>
      </c>
      <c r="E4598" t="str">
        <f t="shared" si="1181"/>
        <v>TMP14</v>
      </c>
      <c r="F4598">
        <v>700</v>
      </c>
      <c r="G4598" t="str">
        <f t="shared" si="1166"/>
        <v>Y</v>
      </c>
      <c r="H4598" t="str">
        <f t="shared" si="1179"/>
        <v>EA</v>
      </c>
      <c r="I4598">
        <v>0</v>
      </c>
      <c r="J4598">
        <v>0</v>
      </c>
      <c r="K4598" t="str">
        <f t="shared" si="1167"/>
        <v>Y</v>
      </c>
      <c r="L4598">
        <v>0</v>
      </c>
      <c r="M4598" t="str">
        <f t="shared" si="1172"/>
        <v>NIS</v>
      </c>
      <c r="O4598">
        <v>2</v>
      </c>
      <c r="P4598" t="str">
        <f>"ECO-N2Buy"</f>
        <v>ECO-N2Buy</v>
      </c>
      <c r="Q4598" t="str">
        <f>"Pneumatic Gripper for small industrial robots"</f>
        <v>Pneumatic Gripper for small industrial robots</v>
      </c>
      <c r="S4598" t="str">
        <f>"Pneumatic Gripper for small industrial robots"</f>
        <v>Pneumatic Gripper for small industrial robots</v>
      </c>
      <c r="T4598">
        <v>0</v>
      </c>
      <c r="U4598" s="44">
        <v>1000</v>
      </c>
      <c r="V4598">
        <v>646.62</v>
      </c>
      <c r="W4598" t="str">
        <f t="shared" si="1174"/>
        <v>rob</v>
      </c>
    </row>
    <row r="4599" spans="1:23">
      <c r="A4599" t="str">
        <f t="shared" si="1180"/>
        <v>TMP14</v>
      </c>
      <c r="B4599" t="str">
        <f>"00-1028-0000"</f>
        <v>00-1028-0000</v>
      </c>
      <c r="C4599" t="str">
        <f>"LSB 1.8m, Screw, FM, XD, for ind. robot &lt; 50kg"</f>
        <v>LSB 1.8m, Screw, FM, XD, for ind. robot &lt; 50kg</v>
      </c>
      <c r="D4599">
        <v>1</v>
      </c>
      <c r="E4599" t="str">
        <f t="shared" si="1181"/>
        <v>TMP14</v>
      </c>
      <c r="F4599">
        <v>700</v>
      </c>
      <c r="G4599" t="str">
        <f t="shared" si="1166"/>
        <v>Y</v>
      </c>
      <c r="H4599" t="str">
        <f t="shared" si="1179"/>
        <v>EA</v>
      </c>
      <c r="I4599">
        <v>0</v>
      </c>
      <c r="J4599">
        <v>0</v>
      </c>
      <c r="K4599" t="str">
        <f t="shared" si="1167"/>
        <v>Y</v>
      </c>
      <c r="L4599">
        <v>0</v>
      </c>
      <c r="M4599" t="str">
        <f t="shared" si="1172"/>
        <v>NIS</v>
      </c>
      <c r="O4599">
        <v>3</v>
      </c>
      <c r="P4599" t="str">
        <f>"ECO-N2Buy"</f>
        <v>ECO-N2Buy</v>
      </c>
      <c r="Q4599" t="str">
        <f>"LSB 1.8m Screw, Floor Mounted&amp;XD forMH5"</f>
        <v>LSB 1.8m Screw, Floor Mounted&amp;XD forMH5</v>
      </c>
      <c r="S4599" t="str">
        <f>"LSB 1.8m, Screw, FloorM,XD, for ind. robot &lt;50kg"</f>
        <v>LSB 1.8m, Screw, FloorM,XD, for ind. robot &lt;50kg</v>
      </c>
      <c r="T4599">
        <v>0</v>
      </c>
      <c r="U4599" s="44">
        <v>6989.12</v>
      </c>
      <c r="V4599" s="44">
        <v>7699.38</v>
      </c>
      <c r="W4599" t="str">
        <f t="shared" si="1174"/>
        <v>rob</v>
      </c>
    </row>
    <row r="4600" spans="1:23">
      <c r="A4600" t="str">
        <f t="shared" si="1180"/>
        <v>TMP14</v>
      </c>
      <c r="B4600" t="str">
        <f>"00-1110-0000"</f>
        <v>00-1110-0000</v>
      </c>
      <c r="C4600" t="str">
        <f>"Palletizing Rack"</f>
        <v>Palletizing Rack</v>
      </c>
      <c r="D4600">
        <v>4</v>
      </c>
      <c r="E4600" t="str">
        <f t="shared" si="1181"/>
        <v>TMP14</v>
      </c>
      <c r="F4600">
        <v>700</v>
      </c>
      <c r="G4600" t="str">
        <f t="shared" si="1166"/>
        <v>Y</v>
      </c>
      <c r="H4600" t="str">
        <f t="shared" si="1179"/>
        <v>EA</v>
      </c>
      <c r="I4600">
        <v>0</v>
      </c>
      <c r="J4600">
        <v>0</v>
      </c>
      <c r="K4600" t="str">
        <f t="shared" si="1167"/>
        <v>Y</v>
      </c>
      <c r="L4600">
        <v>0</v>
      </c>
      <c r="M4600" t="str">
        <f t="shared" si="1172"/>
        <v>NIS</v>
      </c>
      <c r="O4600">
        <v>4</v>
      </c>
      <c r="P4600" t="str">
        <f t="shared" ref="P4600:P4606" si="1182">"Active"</f>
        <v>Active</v>
      </c>
      <c r="Q4600" t="str">
        <f>"Palletizing Rack (incl. Pins for creating Jigs)"</f>
        <v>Palletizing Rack (incl. Pins for creating Jigs)</v>
      </c>
      <c r="S4600" t="str">
        <f>"Palletizing Rack (incl. Pins for creating Jigs)"</f>
        <v>Palletizing Rack (incl. Pins for creating Jigs)</v>
      </c>
      <c r="T4600">
        <v>0</v>
      </c>
      <c r="U4600">
        <v>63</v>
      </c>
      <c r="V4600">
        <v>58.59</v>
      </c>
      <c r="W4600" t="str">
        <f t="shared" si="1174"/>
        <v>rob</v>
      </c>
    </row>
    <row r="4601" spans="1:23">
      <c r="A4601" t="str">
        <f t="shared" si="1180"/>
        <v>TMP14</v>
      </c>
      <c r="B4601" t="str">
        <f>"10-2521-7000"</f>
        <v>10-2521-7000</v>
      </c>
      <c r="C4601" t="str">
        <f>"Pneumatic Feeder for Rectangular products"</f>
        <v>Pneumatic Feeder for Rectangular products</v>
      </c>
      <c r="D4601">
        <v>1</v>
      </c>
      <c r="E4601" t="str">
        <f t="shared" si="1181"/>
        <v>TMP14</v>
      </c>
      <c r="F4601">
        <v>700</v>
      </c>
      <c r="G4601" t="str">
        <f t="shared" si="1166"/>
        <v>Y</v>
      </c>
      <c r="H4601" t="str">
        <f t="shared" si="1179"/>
        <v>EA</v>
      </c>
      <c r="I4601">
        <v>0</v>
      </c>
      <c r="J4601">
        <v>0</v>
      </c>
      <c r="K4601" t="str">
        <f t="shared" si="1167"/>
        <v>Y</v>
      </c>
      <c r="L4601">
        <v>0</v>
      </c>
      <c r="M4601" t="str">
        <f t="shared" si="1172"/>
        <v>NIS</v>
      </c>
      <c r="O4601">
        <v>5</v>
      </c>
      <c r="P4601" t="str">
        <f t="shared" si="1182"/>
        <v>Active</v>
      </c>
      <c r="Q4601" t="str">
        <f>"Pneumatic Feeder for Rectangular Parts"</f>
        <v>Pneumatic Feeder for Rectangular Parts</v>
      </c>
      <c r="S4601" t="str">
        <f>"Pneumatic Feeder for Rectangular Parts"</f>
        <v>Pneumatic Feeder for Rectangular Parts</v>
      </c>
      <c r="T4601">
        <v>0</v>
      </c>
      <c r="U4601">
        <v>595</v>
      </c>
      <c r="V4601">
        <v>555.15</v>
      </c>
      <c r="W4601" t="str">
        <f t="shared" si="1174"/>
        <v>rob</v>
      </c>
    </row>
    <row r="4602" spans="1:23">
      <c r="A4602" t="str">
        <f t="shared" si="1180"/>
        <v>TMP14</v>
      </c>
      <c r="B4602" t="str">
        <f>"021152"</f>
        <v>021152</v>
      </c>
      <c r="C4602" t="str">
        <f>"Shelf Buffer for CIM conveyor"</f>
        <v>Shelf Buffer for CIM conveyor</v>
      </c>
      <c r="D4602">
        <v>1</v>
      </c>
      <c r="E4602" t="str">
        <f t="shared" si="1181"/>
        <v>TMP14</v>
      </c>
      <c r="F4602">
        <v>700</v>
      </c>
      <c r="G4602" t="str">
        <f t="shared" si="1166"/>
        <v>Y</v>
      </c>
      <c r="H4602" t="str">
        <f t="shared" si="1179"/>
        <v>EA</v>
      </c>
      <c r="I4602">
        <v>0</v>
      </c>
      <c r="J4602">
        <v>0</v>
      </c>
      <c r="K4602" t="str">
        <f t="shared" si="1167"/>
        <v>Y</v>
      </c>
      <c r="L4602">
        <v>0</v>
      </c>
      <c r="M4602" t="str">
        <f t="shared" si="1172"/>
        <v>NIS</v>
      </c>
      <c r="O4602">
        <v>6</v>
      </c>
      <c r="P4602" t="str">
        <f t="shared" si="1182"/>
        <v>Active</v>
      </c>
      <c r="Q4602" t="str">
        <f>"מכלול- מדף בפר סטנדרטי OPEN-CIM"</f>
        <v>מכלול- מדף בפר סטנדרטי OPEN-CIM</v>
      </c>
      <c r="R4602" t="str">
        <f>"1"</f>
        <v>1</v>
      </c>
      <c r="S4602" t="str">
        <f>"מכלול- מדף בפר סטנדרטי OPEN-CIM"</f>
        <v>מכלול- מדף בפר סטנדרטי OPEN-CIM</v>
      </c>
      <c r="T4602">
        <v>0</v>
      </c>
      <c r="U4602">
        <v>83.12</v>
      </c>
      <c r="V4602">
        <v>92.76</v>
      </c>
      <c r="W4602" t="str">
        <f t="shared" si="1174"/>
        <v>rob</v>
      </c>
    </row>
    <row r="4603" spans="1:23">
      <c r="A4603" t="str">
        <f t="shared" si="1180"/>
        <v>TMP14</v>
      </c>
      <c r="B4603" t="str">
        <f>"50-0092-0000"</f>
        <v>50-0092-0000</v>
      </c>
      <c r="C4603" t="str">
        <f>"Interface Programming for 3rd Party CNC Machine"</f>
        <v>Interface Programming for 3rd Party CNC Machine</v>
      </c>
      <c r="D4603">
        <v>1</v>
      </c>
      <c r="E4603" t="str">
        <f t="shared" si="1181"/>
        <v>TMP14</v>
      </c>
      <c r="F4603">
        <v>700</v>
      </c>
      <c r="G4603" t="str">
        <f t="shared" si="1166"/>
        <v>Y</v>
      </c>
      <c r="H4603" t="str">
        <f t="shared" si="1179"/>
        <v>EA</v>
      </c>
      <c r="I4603">
        <v>0</v>
      </c>
      <c r="J4603">
        <v>0</v>
      </c>
      <c r="K4603" t="str">
        <f t="shared" si="1167"/>
        <v>Y</v>
      </c>
      <c r="L4603">
        <v>0</v>
      </c>
      <c r="M4603" t="str">
        <f t="shared" si="1172"/>
        <v>NIS</v>
      </c>
      <c r="O4603">
        <v>7</v>
      </c>
      <c r="P4603" t="str">
        <f t="shared" si="1182"/>
        <v>Active</v>
      </c>
      <c r="Q4603" t="str">
        <f>"Interface Programming for 3rd Party CNC Machine"</f>
        <v>Interface Programming for 3rd Party CNC Machine</v>
      </c>
      <c r="S4603" t="str">
        <f>"Interface Programming for 3rd Party CNC Machine"</f>
        <v>Interface Programming for 3rd Party CNC Machine</v>
      </c>
      <c r="T4603">
        <v>0</v>
      </c>
      <c r="U4603" s="44">
        <v>1000</v>
      </c>
      <c r="V4603" s="44">
        <v>1000</v>
      </c>
      <c r="W4603" t="str">
        <f t="shared" si="1174"/>
        <v>rob</v>
      </c>
    </row>
    <row r="4604" spans="1:23">
      <c r="A4604" t="str">
        <f t="shared" si="1180"/>
        <v>TMP14</v>
      </c>
      <c r="B4604" t="str">
        <f>"113034"</f>
        <v>113034</v>
      </c>
      <c r="C4604" t="str">
        <f>"Raw Material - Perspex Block"</f>
        <v>Raw Material - Perspex Block</v>
      </c>
      <c r="D4604">
        <v>50</v>
      </c>
      <c r="E4604" t="str">
        <f t="shared" si="1181"/>
        <v>TMP14</v>
      </c>
      <c r="F4604">
        <v>700</v>
      </c>
      <c r="G4604" t="str">
        <f t="shared" si="1166"/>
        <v>Y</v>
      </c>
      <c r="H4604" t="str">
        <f t="shared" si="1179"/>
        <v>EA</v>
      </c>
      <c r="I4604">
        <v>0</v>
      </c>
      <c r="J4604">
        <v>0</v>
      </c>
      <c r="K4604" t="str">
        <f t="shared" si="1167"/>
        <v>Y</v>
      </c>
      <c r="L4604">
        <v>0</v>
      </c>
      <c r="M4604" t="str">
        <f t="shared" si="1172"/>
        <v>NIS</v>
      </c>
      <c r="O4604">
        <v>8</v>
      </c>
      <c r="P4604" t="str">
        <f t="shared" si="1182"/>
        <v>Active</v>
      </c>
      <c r="Q4604" t="str">
        <f>"Raw Material Stock - Perspex Block"</f>
        <v>Raw Material Stock - Perspex Block</v>
      </c>
      <c r="S4604" t="str">
        <f>"Raw Material Stock - Perspex Block"</f>
        <v>Raw Material Stock - Perspex Block</v>
      </c>
      <c r="T4604">
        <v>0</v>
      </c>
      <c r="U4604">
        <v>1.1000000000000001</v>
      </c>
      <c r="V4604">
        <v>1.0900000000000001</v>
      </c>
      <c r="W4604" t="str">
        <f t="shared" ref="W4604:W4620" si="1183">"rob"</f>
        <v>rob</v>
      </c>
    </row>
    <row r="4605" spans="1:23">
      <c r="A4605" t="str">
        <f t="shared" si="1180"/>
        <v>TMP14</v>
      </c>
      <c r="B4605" t="str">
        <f>"00-1290-0000"</f>
        <v>00-1290-0000</v>
      </c>
      <c r="C4605" t="str">
        <f>"PC Table 630x800mm (with Keyboard Drawer)"</f>
        <v>PC Table 630x800mm (with Keyboard Drawer)</v>
      </c>
      <c r="D4605">
        <v>1</v>
      </c>
      <c r="E4605" t="str">
        <f t="shared" si="1181"/>
        <v>TMP14</v>
      </c>
      <c r="F4605">
        <v>700</v>
      </c>
      <c r="G4605" t="str">
        <f t="shared" si="1166"/>
        <v>Y</v>
      </c>
      <c r="H4605" t="str">
        <f t="shared" si="1179"/>
        <v>EA</v>
      </c>
      <c r="I4605">
        <v>0</v>
      </c>
      <c r="J4605">
        <v>0</v>
      </c>
      <c r="K4605" t="str">
        <f t="shared" si="1167"/>
        <v>Y</v>
      </c>
      <c r="L4605">
        <v>0</v>
      </c>
      <c r="M4605" t="str">
        <f t="shared" si="1172"/>
        <v>NIS</v>
      </c>
      <c r="O4605">
        <v>9</v>
      </c>
      <c r="P4605" t="str">
        <f t="shared" si="1182"/>
        <v>Active</v>
      </c>
      <c r="Q4605" t="str">
        <f>"PC Table 630x800mm (with Keyboard Drawer)"</f>
        <v>PC Table 630x800mm (with Keyboard Drawer)</v>
      </c>
      <c r="S4605" t="str">
        <f>"PC Table 630x800mm (with Keyboard Drawer)"</f>
        <v>PC Table 630x800mm (with Keyboard Drawer)</v>
      </c>
      <c r="T4605">
        <v>0</v>
      </c>
      <c r="U4605">
        <v>405.86</v>
      </c>
      <c r="V4605">
        <v>329.34</v>
      </c>
      <c r="W4605" t="str">
        <f t="shared" si="1183"/>
        <v>rob</v>
      </c>
    </row>
    <row r="4606" spans="1:23">
      <c r="A4606" t="str">
        <f t="shared" si="1180"/>
        <v>TMP14</v>
      </c>
      <c r="B4606" t="str">
        <f>"50-0094-0000"</f>
        <v>50-0094-0000</v>
      </c>
      <c r="C4606" t="str">
        <f>"Pre-Engineering, Design and Testing"</f>
        <v>Pre-Engineering, Design and Testing</v>
      </c>
      <c r="D4606">
        <v>1</v>
      </c>
      <c r="E4606" t="str">
        <f t="shared" si="1181"/>
        <v>TMP14</v>
      </c>
      <c r="F4606">
        <v>700</v>
      </c>
      <c r="G4606" t="str">
        <f t="shared" si="1166"/>
        <v>Y</v>
      </c>
      <c r="H4606" t="str">
        <f>"DA"</f>
        <v>DA</v>
      </c>
      <c r="I4606">
        <v>0</v>
      </c>
      <c r="J4606">
        <v>0</v>
      </c>
      <c r="K4606" t="str">
        <f t="shared" si="1167"/>
        <v>Y</v>
      </c>
      <c r="L4606">
        <v>0</v>
      </c>
      <c r="M4606" t="str">
        <f t="shared" si="1172"/>
        <v>NIS</v>
      </c>
      <c r="O4606">
        <v>10</v>
      </c>
      <c r="P4606" t="str">
        <f t="shared" si="1182"/>
        <v>Active</v>
      </c>
      <c r="Q4606" t="str">
        <f>"Pre-Engineering, Design and Testing"</f>
        <v>Pre-Engineering, Design and Testing</v>
      </c>
      <c r="S4606" t="str">
        <f>"Pre-Engineering, Design and Testing"</f>
        <v>Pre-Engineering, Design and Testing</v>
      </c>
      <c r="T4606">
        <v>0</v>
      </c>
      <c r="U4606">
        <v>405</v>
      </c>
      <c r="V4606">
        <v>421.2</v>
      </c>
      <c r="W4606" t="str">
        <f t="shared" si="1183"/>
        <v>rob</v>
      </c>
    </row>
    <row r="4607" spans="1:23">
      <c r="A4607" t="str">
        <f t="shared" si="1180"/>
        <v>TMP14</v>
      </c>
      <c r="B4607" t="str">
        <f>"21-0004-0000"</f>
        <v>21-0004-0000</v>
      </c>
      <c r="C4607" t="str">
        <f>"Assembly, Dual Axis Air Vise Mechanicals"</f>
        <v>Assembly, Dual Axis Air Vise Mechanicals</v>
      </c>
      <c r="D4607">
        <v>1</v>
      </c>
      <c r="E4607" t="str">
        <f t="shared" si="1181"/>
        <v>TMP14</v>
      </c>
      <c r="F4607">
        <v>700</v>
      </c>
      <c r="G4607" t="str">
        <f t="shared" si="1166"/>
        <v>Y</v>
      </c>
      <c r="H4607" t="str">
        <f t="shared" ref="H4607:H4625" si="1184">"EA"</f>
        <v>EA</v>
      </c>
      <c r="I4607">
        <v>0</v>
      </c>
      <c r="J4607">
        <v>0</v>
      </c>
      <c r="K4607" t="str">
        <f t="shared" si="1167"/>
        <v>Y</v>
      </c>
      <c r="L4607">
        <v>0</v>
      </c>
      <c r="M4607" t="str">
        <f t="shared" si="1172"/>
        <v>NIS</v>
      </c>
      <c r="O4607">
        <v>11</v>
      </c>
      <c r="P4607" t="str">
        <f>"Phase Out"</f>
        <v>Phase Out</v>
      </c>
      <c r="Q4607" t="str">
        <f>"Assembly, Dual Axis Air Vise Mechanicals"</f>
        <v>Assembly, Dual Axis Air Vise Mechanicals</v>
      </c>
      <c r="S4607" t="str">
        <f>"Assembly, Dual Axis Air Vise Mechanicals"</f>
        <v>Assembly, Dual Axis Air Vise Mechanicals</v>
      </c>
      <c r="T4607">
        <v>422.16</v>
      </c>
      <c r="U4607">
        <v>422</v>
      </c>
      <c r="V4607">
        <v>980.27</v>
      </c>
      <c r="W4607" t="str">
        <f t="shared" si="1183"/>
        <v>rob</v>
      </c>
    </row>
    <row r="4608" spans="1:23">
      <c r="A4608" t="str">
        <f t="shared" si="1180"/>
        <v>TMP14</v>
      </c>
      <c r="B4608" t="str">
        <f>"021177"</f>
        <v>021177</v>
      </c>
      <c r="C4608" t="str">
        <f>"30mm Height Adapter -Rack 001110 on formica 19mm"</f>
        <v>30mm Height Adapter -Rack 001110 on formica 19mm</v>
      </c>
      <c r="D4608">
        <v>3</v>
      </c>
      <c r="E4608" t="str">
        <f t="shared" si="1181"/>
        <v>TMP14</v>
      </c>
      <c r="F4608">
        <v>700</v>
      </c>
      <c r="G4608" t="str">
        <f t="shared" si="1166"/>
        <v>Y</v>
      </c>
      <c r="H4608" t="str">
        <f t="shared" si="1184"/>
        <v>EA</v>
      </c>
      <c r="I4608">
        <v>0</v>
      </c>
      <c r="J4608">
        <v>0</v>
      </c>
      <c r="K4608" t="str">
        <f t="shared" si="1167"/>
        <v>Y</v>
      </c>
      <c r="L4608">
        <v>0</v>
      </c>
      <c r="M4608" t="str">
        <f t="shared" si="1172"/>
        <v>NIS</v>
      </c>
      <c r="O4608">
        <v>12</v>
      </c>
      <c r="P4608" t="str">
        <f t="shared" ref="P4608:P4652" si="1185">"Active"</f>
        <v>Active</v>
      </c>
      <c r="Q4608" t="str">
        <f>"30mm Height Adapter -Rack 001110 on formica 19mm"</f>
        <v>30mm Height Adapter -Rack 001110 on formica 19mm</v>
      </c>
      <c r="S4608" t="str">
        <f>"30mm Height Adapter -Rack 001110 on formica 19mm"</f>
        <v>30mm Height Adapter -Rack 001110 on formica 19mm</v>
      </c>
      <c r="T4608">
        <v>0</v>
      </c>
      <c r="U4608">
        <v>4.92</v>
      </c>
      <c r="V4608">
        <v>8.43</v>
      </c>
      <c r="W4608" t="str">
        <f t="shared" si="1183"/>
        <v>rob</v>
      </c>
    </row>
    <row r="4609" spans="1:23">
      <c r="A4609" t="str">
        <f t="shared" si="1180"/>
        <v>TMP14</v>
      </c>
      <c r="B4609" t="str">
        <f>"10-2523-4000"</f>
        <v>10-2523-4000</v>
      </c>
      <c r="C4609" t="str">
        <f>"Solenoid Valve (24V) for Pipe 3 mm"</f>
        <v>Solenoid Valve (24V) for Pipe 3 mm</v>
      </c>
      <c r="D4609">
        <v>1</v>
      </c>
      <c r="E4609" t="str">
        <f t="shared" si="1181"/>
        <v>TMP14</v>
      </c>
      <c r="F4609">
        <v>700</v>
      </c>
      <c r="G4609" t="str">
        <f t="shared" si="1166"/>
        <v>Y</v>
      </c>
      <c r="H4609" t="str">
        <f t="shared" si="1184"/>
        <v>EA</v>
      </c>
      <c r="I4609">
        <v>0</v>
      </c>
      <c r="J4609">
        <v>0</v>
      </c>
      <c r="K4609" t="str">
        <f t="shared" si="1167"/>
        <v>Y</v>
      </c>
      <c r="L4609">
        <v>0</v>
      </c>
      <c r="M4609" t="str">
        <f t="shared" si="1172"/>
        <v>NIS</v>
      </c>
      <c r="O4609">
        <v>13</v>
      </c>
      <c r="P4609" t="str">
        <f t="shared" si="1185"/>
        <v>Active</v>
      </c>
      <c r="Q4609" t="str">
        <f>"Solenoid Valve (24V) for Pipe 3 mm"</f>
        <v>Solenoid Valve (24V) for Pipe 3 mm</v>
      </c>
      <c r="S4609" t="str">
        <f>"Solenoid Valve (24V) for Pipe 3 mm"</f>
        <v>Solenoid Valve (24V) for Pipe 3 mm</v>
      </c>
      <c r="T4609">
        <v>0</v>
      </c>
      <c r="U4609">
        <v>137</v>
      </c>
      <c r="V4609">
        <v>133.35</v>
      </c>
      <c r="W4609" t="str">
        <f t="shared" si="1183"/>
        <v>rob</v>
      </c>
    </row>
    <row r="4610" spans="1:23">
      <c r="A4610" t="str">
        <f t="shared" si="1180"/>
        <v>TMP14</v>
      </c>
      <c r="B4610" t="str">
        <f>"00-1230-0000"</f>
        <v>00-1230-0000</v>
      </c>
      <c r="C4610" t="str">
        <f>"Ball Feeder (incl. sensor for ball counting)"</f>
        <v>Ball Feeder (incl. sensor for ball counting)</v>
      </c>
      <c r="D4610">
        <v>1</v>
      </c>
      <c r="E4610" t="str">
        <f t="shared" si="1181"/>
        <v>TMP14</v>
      </c>
      <c r="F4610">
        <v>700</v>
      </c>
      <c r="G4610" t="str">
        <f t="shared" ref="G4610:G4673" si="1186">"Y"</f>
        <v>Y</v>
      </c>
      <c r="H4610" t="str">
        <f t="shared" si="1184"/>
        <v>EA</v>
      </c>
      <c r="I4610">
        <v>0</v>
      </c>
      <c r="J4610">
        <v>0</v>
      </c>
      <c r="K4610" t="str">
        <f t="shared" ref="K4610:K4673" si="1187">"Y"</f>
        <v>Y</v>
      </c>
      <c r="L4610">
        <v>0</v>
      </c>
      <c r="M4610" t="str">
        <f t="shared" si="1172"/>
        <v>NIS</v>
      </c>
      <c r="O4610">
        <v>14</v>
      </c>
      <c r="P4610" t="str">
        <f t="shared" si="1185"/>
        <v>Active</v>
      </c>
      <c r="Q4610" t="str">
        <f>"Ball Feeder (incl. sensor for ball counting)"</f>
        <v>Ball Feeder (incl. sensor for ball counting)</v>
      </c>
      <c r="S4610" t="str">
        <f>"Ball Feeder (incl. sensor for ball counting)"</f>
        <v>Ball Feeder (incl. sensor for ball counting)</v>
      </c>
      <c r="T4610">
        <v>0</v>
      </c>
      <c r="U4610">
        <v>536</v>
      </c>
      <c r="V4610">
        <v>530.72</v>
      </c>
      <c r="W4610" t="str">
        <f t="shared" si="1183"/>
        <v>rob</v>
      </c>
    </row>
    <row r="4611" spans="1:23">
      <c r="A4611" t="str">
        <f t="shared" si="1180"/>
        <v>TMP14</v>
      </c>
      <c r="B4611" t="str">
        <f>"00-1236-0000"</f>
        <v>00-1236-0000</v>
      </c>
      <c r="C4611" t="str">
        <f>"Automatic Glue Dispenser"</f>
        <v>Automatic Glue Dispenser</v>
      </c>
      <c r="D4611">
        <v>1</v>
      </c>
      <c r="E4611" t="str">
        <f t="shared" si="1181"/>
        <v>TMP14</v>
      </c>
      <c r="F4611">
        <v>700</v>
      </c>
      <c r="G4611" t="str">
        <f t="shared" si="1186"/>
        <v>Y</v>
      </c>
      <c r="H4611" t="str">
        <f t="shared" si="1184"/>
        <v>EA</v>
      </c>
      <c r="I4611">
        <v>0</v>
      </c>
      <c r="J4611">
        <v>0</v>
      </c>
      <c r="K4611" t="str">
        <f t="shared" si="1187"/>
        <v>Y</v>
      </c>
      <c r="L4611">
        <v>0</v>
      </c>
      <c r="M4611" t="str">
        <f t="shared" si="1172"/>
        <v>NIS</v>
      </c>
      <c r="O4611">
        <v>15</v>
      </c>
      <c r="P4611" t="str">
        <f t="shared" si="1185"/>
        <v>Active</v>
      </c>
      <c r="Q4611" t="str">
        <f>"Automatic Glue Dispenser"</f>
        <v>Automatic Glue Dispenser</v>
      </c>
      <c r="S4611" t="str">
        <f>"Automatic Glue Dispenser"</f>
        <v>Automatic Glue Dispenser</v>
      </c>
      <c r="T4611">
        <v>0</v>
      </c>
      <c r="U4611" s="44">
        <v>1100</v>
      </c>
      <c r="V4611" s="44">
        <v>1097.3699999999999</v>
      </c>
      <c r="W4611" t="str">
        <f t="shared" si="1183"/>
        <v>rob</v>
      </c>
    </row>
    <row r="4612" spans="1:23">
      <c r="A4612" t="str">
        <f t="shared" si="1180"/>
        <v>TMP14</v>
      </c>
      <c r="B4612" t="str">
        <f>"00-1243-0000"</f>
        <v>00-1243-0000</v>
      </c>
      <c r="C4612" t="str">
        <f>"Ball Game Set (Assembly with Plastic Pins)"</f>
        <v>Ball Game Set (Assembly with Plastic Pins)</v>
      </c>
      <c r="D4612">
        <v>12</v>
      </c>
      <c r="E4612" t="str">
        <f t="shared" si="1181"/>
        <v>TMP14</v>
      </c>
      <c r="F4612">
        <v>700</v>
      </c>
      <c r="G4612" t="str">
        <f t="shared" si="1186"/>
        <v>Y</v>
      </c>
      <c r="H4612" t="str">
        <f t="shared" si="1184"/>
        <v>EA</v>
      </c>
      <c r="I4612">
        <v>0</v>
      </c>
      <c r="J4612">
        <v>0</v>
      </c>
      <c r="K4612" t="str">
        <f t="shared" si="1187"/>
        <v>Y</v>
      </c>
      <c r="L4612">
        <v>0</v>
      </c>
      <c r="M4612" t="str">
        <f t="shared" si="1172"/>
        <v>NIS</v>
      </c>
      <c r="O4612">
        <v>16</v>
      </c>
      <c r="P4612" t="str">
        <f t="shared" si="1185"/>
        <v>Active</v>
      </c>
      <c r="Q4612" t="str">
        <f>"Ball Game Set (Assembly with Plastic Pins)"</f>
        <v>Ball Game Set (Assembly with Plastic Pins)</v>
      </c>
      <c r="S4612" t="str">
        <f>"Ball Game Set (Assembly with Plastic Pins)"</f>
        <v>Ball Game Set (Assembly with Plastic Pins)</v>
      </c>
      <c r="T4612">
        <v>0</v>
      </c>
      <c r="U4612">
        <v>32</v>
      </c>
      <c r="V4612">
        <v>34.770000000000003</v>
      </c>
      <c r="W4612" t="str">
        <f t="shared" si="1183"/>
        <v>rob</v>
      </c>
    </row>
    <row r="4613" spans="1:23">
      <c r="A4613" t="str">
        <f t="shared" si="1180"/>
        <v>TMP14</v>
      </c>
      <c r="B4613" t="str">
        <f>"00-1261-0000"</f>
        <v>00-1261-0000</v>
      </c>
      <c r="C4613" t="str">
        <f>"Workbench 1800x900mm (Heavy duty for CNC)"</f>
        <v>Workbench 1800x900mm (Heavy duty for CNC)</v>
      </c>
      <c r="D4613">
        <v>1</v>
      </c>
      <c r="E4613" t="str">
        <f t="shared" si="1181"/>
        <v>TMP14</v>
      </c>
      <c r="F4613">
        <v>700</v>
      </c>
      <c r="G4613" t="str">
        <f t="shared" si="1186"/>
        <v>Y</v>
      </c>
      <c r="H4613" t="str">
        <f t="shared" si="1184"/>
        <v>EA</v>
      </c>
      <c r="I4613">
        <v>0</v>
      </c>
      <c r="J4613">
        <v>0</v>
      </c>
      <c r="K4613" t="str">
        <f t="shared" si="1187"/>
        <v>Y</v>
      </c>
      <c r="L4613">
        <v>0</v>
      </c>
      <c r="M4613" t="str">
        <f t="shared" si="1172"/>
        <v>NIS</v>
      </c>
      <c r="O4613">
        <v>18</v>
      </c>
      <c r="P4613" t="str">
        <f t="shared" si="1185"/>
        <v>Active</v>
      </c>
      <c r="Q4613" t="str">
        <f>"Workbench 1800x900mm (Heavy duty for CNC)"</f>
        <v>Workbench 1800x900mm (Heavy duty for CNC)</v>
      </c>
      <c r="S4613" t="str">
        <f>"Workbench 1800x900mm (Heavy duty for CNC)"</f>
        <v>Workbench 1800x900mm (Heavy duty for CNC)</v>
      </c>
      <c r="T4613">
        <v>0</v>
      </c>
      <c r="U4613">
        <v>830</v>
      </c>
      <c r="V4613">
        <v>831.14</v>
      </c>
      <c r="W4613" t="str">
        <f t="shared" si="1183"/>
        <v>rob</v>
      </c>
    </row>
    <row r="4614" spans="1:23">
      <c r="A4614" t="str">
        <f t="shared" si="1180"/>
        <v>TMP14</v>
      </c>
      <c r="B4614" t="str">
        <f>"00-1265-0000"</f>
        <v>00-1265-0000</v>
      </c>
      <c r="C4614" t="str">
        <f>"PC Extension Shelf  600x900mm"</f>
        <v>PC Extension Shelf  600x900mm</v>
      </c>
      <c r="D4614">
        <v>2</v>
      </c>
      <c r="E4614" t="str">
        <f t="shared" si="1181"/>
        <v>TMP14</v>
      </c>
      <c r="F4614">
        <v>700</v>
      </c>
      <c r="G4614" t="str">
        <f t="shared" si="1186"/>
        <v>Y</v>
      </c>
      <c r="H4614" t="str">
        <f t="shared" si="1184"/>
        <v>EA</v>
      </c>
      <c r="I4614">
        <v>0</v>
      </c>
      <c r="J4614">
        <v>0</v>
      </c>
      <c r="K4614" t="str">
        <f t="shared" si="1187"/>
        <v>Y</v>
      </c>
      <c r="L4614">
        <v>0</v>
      </c>
      <c r="M4614" t="str">
        <f t="shared" si="1172"/>
        <v>NIS</v>
      </c>
      <c r="O4614">
        <v>19</v>
      </c>
      <c r="P4614" t="str">
        <f t="shared" si="1185"/>
        <v>Active</v>
      </c>
      <c r="Q4614" t="str">
        <f>"PC Extension Shelf  600x900mm"</f>
        <v>PC Extension Shelf  600x900mm</v>
      </c>
      <c r="S4614" t="str">
        <f>"PC Extension Shelf  600x900mm"</f>
        <v>PC Extension Shelf  600x900mm</v>
      </c>
      <c r="T4614">
        <v>0</v>
      </c>
      <c r="U4614">
        <v>211</v>
      </c>
      <c r="V4614">
        <v>198.88</v>
      </c>
      <c r="W4614" t="str">
        <f t="shared" si="1183"/>
        <v>rob</v>
      </c>
    </row>
    <row r="4615" spans="1:23">
      <c r="A4615" t="str">
        <f t="shared" si="1180"/>
        <v>TMP14</v>
      </c>
      <c r="B4615" t="str">
        <f>"00-1121-0000"</f>
        <v>00-1121-0000</v>
      </c>
      <c r="C4615" t="str">
        <f>"MicroASRS (6-bay Storage Rack)"</f>
        <v>MicroASRS (6-bay Storage Rack)</v>
      </c>
      <c r="D4615">
        <v>2</v>
      </c>
      <c r="E4615" t="str">
        <f t="shared" si="1181"/>
        <v>TMP14</v>
      </c>
      <c r="F4615">
        <v>700</v>
      </c>
      <c r="G4615" t="str">
        <f t="shared" si="1186"/>
        <v>Y</v>
      </c>
      <c r="H4615" t="str">
        <f t="shared" si="1184"/>
        <v>EA</v>
      </c>
      <c r="I4615">
        <v>0</v>
      </c>
      <c r="J4615">
        <v>0</v>
      </c>
      <c r="K4615" t="str">
        <f t="shared" si="1187"/>
        <v>Y</v>
      </c>
      <c r="L4615">
        <v>0</v>
      </c>
      <c r="M4615" t="str">
        <f t="shared" si="1172"/>
        <v>NIS</v>
      </c>
      <c r="O4615">
        <v>20</v>
      </c>
      <c r="P4615" t="str">
        <f t="shared" si="1185"/>
        <v>Active</v>
      </c>
      <c r="Q4615" t="str">
        <f>"MicroASRS (6-bay Storage Rack)"</f>
        <v>MicroASRS (6-bay Storage Rack)</v>
      </c>
      <c r="S4615" t="str">
        <f>"MicroASRS (6-bay Storage Rack)"</f>
        <v>MicroASRS (6-bay Storage Rack)</v>
      </c>
      <c r="T4615">
        <v>0</v>
      </c>
      <c r="U4615">
        <v>430</v>
      </c>
      <c r="V4615">
        <v>443.16</v>
      </c>
      <c r="W4615" t="str">
        <f t="shared" si="1183"/>
        <v>rob</v>
      </c>
    </row>
    <row r="4616" spans="1:23">
      <c r="A4616" t="str">
        <f>"TMP15"</f>
        <v>TMP15</v>
      </c>
      <c r="B4616" t="str">
        <f>"17-3108-0002"</f>
        <v>17-3108-0002</v>
      </c>
      <c r="C4616" t="str">
        <f>"LM5.X Content, Virtual, Intro to Solidworks"</f>
        <v>LM5.X Content, Virtual, Intro to Solidworks</v>
      </c>
      <c r="D4616">
        <v>1</v>
      </c>
      <c r="E4616" t="str">
        <f>"TMP15"</f>
        <v>TMP15</v>
      </c>
      <c r="F4616">
        <v>700</v>
      </c>
      <c r="G4616" t="str">
        <f t="shared" si="1186"/>
        <v>Y</v>
      </c>
      <c r="H4616" t="str">
        <f t="shared" si="1184"/>
        <v>EA</v>
      </c>
      <c r="I4616">
        <v>0</v>
      </c>
      <c r="J4616">
        <v>0</v>
      </c>
      <c r="K4616" t="str">
        <f t="shared" si="1187"/>
        <v>Y</v>
      </c>
      <c r="L4616">
        <v>0</v>
      </c>
      <c r="M4616" t="str">
        <f t="shared" si="1172"/>
        <v>NIS</v>
      </c>
      <c r="N4616" t="str">
        <f>"Y"</f>
        <v>Y</v>
      </c>
      <c r="O4616">
        <v>1</v>
      </c>
      <c r="P4616" t="str">
        <f t="shared" si="1185"/>
        <v>Active</v>
      </c>
      <c r="Q4616" t="str">
        <f>"LM5.X Content, Virtual, Intro to Solidworks"</f>
        <v>LM5.X Content, Virtual, Intro to Solidworks</v>
      </c>
      <c r="S4616" t="str">
        <f>"LM5.X Content, Virtual, Intro to Solidworks"</f>
        <v>LM5.X Content, Virtual, Intro to Solidworks</v>
      </c>
      <c r="T4616">
        <v>0</v>
      </c>
      <c r="U4616">
        <v>5</v>
      </c>
      <c r="V4616">
        <v>5</v>
      </c>
      <c r="W4616" t="str">
        <f t="shared" si="1183"/>
        <v>rob</v>
      </c>
    </row>
    <row r="4617" spans="1:23">
      <c r="A4617" t="str">
        <f>"TMP15"</f>
        <v>TMP15</v>
      </c>
      <c r="B4617" t="str">
        <f>"17-3098-0001"</f>
        <v>17-3098-0001</v>
      </c>
      <c r="C4617" t="str">
        <f>"LM5.X Content, Virtual, Intro to Pro Engineer"</f>
        <v>LM5.X Content, Virtual, Intro to Pro Engineer</v>
      </c>
      <c r="D4617">
        <v>1</v>
      </c>
      <c r="E4617" t="str">
        <f>"TMP15"</f>
        <v>TMP15</v>
      </c>
      <c r="F4617">
        <v>700</v>
      </c>
      <c r="G4617" t="str">
        <f t="shared" si="1186"/>
        <v>Y</v>
      </c>
      <c r="H4617" t="str">
        <f t="shared" si="1184"/>
        <v>EA</v>
      </c>
      <c r="I4617">
        <v>0</v>
      </c>
      <c r="J4617">
        <v>0</v>
      </c>
      <c r="K4617" t="str">
        <f t="shared" si="1187"/>
        <v>Y</v>
      </c>
      <c r="L4617">
        <v>0</v>
      </c>
      <c r="M4617" t="str">
        <f t="shared" si="1172"/>
        <v>NIS</v>
      </c>
      <c r="N4617" t="str">
        <f>"Y"</f>
        <v>Y</v>
      </c>
      <c r="O4617">
        <v>2</v>
      </c>
      <c r="P4617" t="str">
        <f t="shared" si="1185"/>
        <v>Active</v>
      </c>
      <c r="Q4617" t="str">
        <f>"LM5.X Content, Virtual, Intro to Pro Engineer"</f>
        <v>LM5.X Content, Virtual, Intro to Pro Engineer</v>
      </c>
      <c r="S4617" t="str">
        <f>"LM5.X Content, Virtual, Intro to Pro Engineer"</f>
        <v>LM5.X Content, Virtual, Intro to Pro Engineer</v>
      </c>
      <c r="T4617">
        <v>12</v>
      </c>
      <c r="U4617">
        <v>5</v>
      </c>
      <c r="V4617">
        <v>5</v>
      </c>
      <c r="W4617" t="str">
        <f t="shared" si="1183"/>
        <v>rob</v>
      </c>
    </row>
    <row r="4618" spans="1:23">
      <c r="A4618" t="str">
        <f>"TMP15"</f>
        <v>TMP15</v>
      </c>
      <c r="B4618" t="str">
        <f>"17-3004-0002"</f>
        <v>17-3004-0002</v>
      </c>
      <c r="C4618" t="str">
        <f>"LM5.X Content, Virtual, spectraCAD Engraving (M)"</f>
        <v>LM5.X Content, Virtual, spectraCAD Engraving (M)</v>
      </c>
      <c r="D4618">
        <v>1</v>
      </c>
      <c r="E4618" t="str">
        <f>"TMP15"</f>
        <v>TMP15</v>
      </c>
      <c r="F4618">
        <v>700</v>
      </c>
      <c r="G4618" t="str">
        <f t="shared" si="1186"/>
        <v>Y</v>
      </c>
      <c r="H4618" t="str">
        <f t="shared" si="1184"/>
        <v>EA</v>
      </c>
      <c r="I4618">
        <v>0</v>
      </c>
      <c r="J4618">
        <v>0</v>
      </c>
      <c r="K4618" t="str">
        <f t="shared" si="1187"/>
        <v>Y</v>
      </c>
      <c r="L4618">
        <v>0</v>
      </c>
      <c r="M4618" t="str">
        <f t="shared" si="1172"/>
        <v>NIS</v>
      </c>
      <c r="N4618" t="str">
        <f>"Y"</f>
        <v>Y</v>
      </c>
      <c r="O4618">
        <v>3</v>
      </c>
      <c r="P4618" t="str">
        <f t="shared" si="1185"/>
        <v>Active</v>
      </c>
      <c r="Q4618" t="str">
        <f>"LM5.X Content, Virtual, spectraCAD Engraving (M)"</f>
        <v>LM5.X Content, Virtual, spectraCAD Engraving (M)</v>
      </c>
      <c r="S4618" t="str">
        <f>"LM5.X Content, Virtual, spectraCAD Engraving (M)"</f>
        <v>LM5.X Content, Virtual, spectraCAD Engraving (M)</v>
      </c>
      <c r="T4618">
        <v>0</v>
      </c>
      <c r="U4618">
        <v>5</v>
      </c>
      <c r="V4618">
        <v>5</v>
      </c>
      <c r="W4618" t="str">
        <f t="shared" si="1183"/>
        <v>rob</v>
      </c>
    </row>
    <row r="4619" spans="1:23">
      <c r="A4619" t="str">
        <f>"TMP15"</f>
        <v>TMP15</v>
      </c>
      <c r="B4619" t="str">
        <f>"17-3005-0002"</f>
        <v>17-3005-0002</v>
      </c>
      <c r="C4619" t="str">
        <f>"LM5.X Content, Virtual, spectraCAM Milling (M)"</f>
        <v>LM5.X Content, Virtual, spectraCAM Milling (M)</v>
      </c>
      <c r="D4619">
        <v>1</v>
      </c>
      <c r="E4619" t="str">
        <f>"TMP15"</f>
        <v>TMP15</v>
      </c>
      <c r="F4619">
        <v>700</v>
      </c>
      <c r="G4619" t="str">
        <f t="shared" si="1186"/>
        <v>Y</v>
      </c>
      <c r="H4619" t="str">
        <f t="shared" si="1184"/>
        <v>EA</v>
      </c>
      <c r="I4619">
        <v>0</v>
      </c>
      <c r="J4619">
        <v>0</v>
      </c>
      <c r="K4619" t="str">
        <f t="shared" si="1187"/>
        <v>Y</v>
      </c>
      <c r="L4619">
        <v>0</v>
      </c>
      <c r="M4619" t="str">
        <f t="shared" si="1172"/>
        <v>NIS</v>
      </c>
      <c r="N4619" t="str">
        <f>"Y"</f>
        <v>Y</v>
      </c>
      <c r="O4619">
        <v>4</v>
      </c>
      <c r="P4619" t="str">
        <f t="shared" si="1185"/>
        <v>Active</v>
      </c>
      <c r="Q4619" t="str">
        <f>"LM5.X Content, Virtual, spectraCAM Milling (M)"</f>
        <v>LM5.X Content, Virtual, spectraCAM Milling (M)</v>
      </c>
      <c r="S4619" t="str">
        <f>"LM5.X Content, Virtual, spectraCAM Milling (M)"</f>
        <v>LM5.X Content, Virtual, spectraCAM Milling (M)</v>
      </c>
      <c r="T4619">
        <v>0</v>
      </c>
      <c r="U4619">
        <v>5</v>
      </c>
      <c r="V4619">
        <v>5</v>
      </c>
      <c r="W4619" t="str">
        <f t="shared" si="1183"/>
        <v>rob</v>
      </c>
    </row>
    <row r="4620" spans="1:23">
      <c r="A4620" t="str">
        <f>"TMP15"</f>
        <v>TMP15</v>
      </c>
      <c r="B4620" t="str">
        <f>"17-3007-0002"</f>
        <v>17-3007-0002</v>
      </c>
      <c r="C4620" t="str">
        <f>"LM5.X Content, Virtual, spectraCAM Turning (M)"</f>
        <v>LM5.X Content, Virtual, spectraCAM Turning (M)</v>
      </c>
      <c r="D4620">
        <v>1</v>
      </c>
      <c r="E4620" t="str">
        <f>"TMP15"</f>
        <v>TMP15</v>
      </c>
      <c r="F4620">
        <v>700</v>
      </c>
      <c r="G4620" t="str">
        <f t="shared" si="1186"/>
        <v>Y</v>
      </c>
      <c r="H4620" t="str">
        <f t="shared" si="1184"/>
        <v>EA</v>
      </c>
      <c r="I4620">
        <v>0</v>
      </c>
      <c r="J4620">
        <v>0</v>
      </c>
      <c r="K4620" t="str">
        <f t="shared" si="1187"/>
        <v>Y</v>
      </c>
      <c r="L4620">
        <v>0</v>
      </c>
      <c r="M4620" t="str">
        <f t="shared" si="1172"/>
        <v>NIS</v>
      </c>
      <c r="N4620" t="str">
        <f>"Y"</f>
        <v>Y</v>
      </c>
      <c r="O4620">
        <v>5</v>
      </c>
      <c r="P4620" t="str">
        <f t="shared" si="1185"/>
        <v>Active</v>
      </c>
      <c r="Q4620" t="str">
        <f>"LM5.X Content, Virtual, spectraCAM Turning (M)"</f>
        <v>LM5.X Content, Virtual, spectraCAM Turning (M)</v>
      </c>
      <c r="S4620" t="str">
        <f>"LM5.X Content, Virtual, spectraCAM Turning (M)"</f>
        <v>LM5.X Content, Virtual, spectraCAM Turning (M)</v>
      </c>
      <c r="T4620">
        <v>0</v>
      </c>
      <c r="U4620">
        <v>5</v>
      </c>
      <c r="V4620">
        <v>5</v>
      </c>
      <c r="W4620" t="str">
        <f t="shared" si="1183"/>
        <v>rob</v>
      </c>
    </row>
    <row r="4621" spans="1:23">
      <c r="A4621" t="str">
        <f>"TMP150"</f>
        <v>TMP150</v>
      </c>
      <c r="B4621" t="str">
        <f>"63-7000-0100"</f>
        <v>63-7000-0100</v>
      </c>
      <c r="C4621" t="str">
        <f>"License Key for RoboCell"</f>
        <v>License Key for RoboCell</v>
      </c>
      <c r="D4621">
        <v>1</v>
      </c>
      <c r="E4621" t="str">
        <f>"Simulation S/W &amp; E. Learning"</f>
        <v>Simulation S/W &amp; E. Learning</v>
      </c>
      <c r="F4621">
        <v>700</v>
      </c>
      <c r="G4621" t="str">
        <f t="shared" si="1186"/>
        <v>Y</v>
      </c>
      <c r="H4621" t="str">
        <f t="shared" si="1184"/>
        <v>EA</v>
      </c>
      <c r="I4621">
        <v>0</v>
      </c>
      <c r="J4621">
        <v>0</v>
      </c>
      <c r="K4621" t="str">
        <f t="shared" si="1187"/>
        <v>Y</v>
      </c>
      <c r="L4621">
        <v>0</v>
      </c>
      <c r="M4621" t="str">
        <f t="shared" si="1172"/>
        <v>NIS</v>
      </c>
      <c r="O4621">
        <v>1</v>
      </c>
      <c r="P4621" t="str">
        <f t="shared" si="1185"/>
        <v>Active</v>
      </c>
      <c r="Q4621" t="str">
        <f>"License Key for RoboCell/SCORBASE USB"</f>
        <v>License Key for RoboCell/SCORBASE USB</v>
      </c>
      <c r="R4621" t="str">
        <f>"1"</f>
        <v>1</v>
      </c>
      <c r="S4621" t="str">
        <f>"License Key for RoboCell/SCORBASE USB"</f>
        <v>License Key for RoboCell/SCORBASE USB</v>
      </c>
      <c r="T4621">
        <v>0</v>
      </c>
      <c r="U4621">
        <v>10</v>
      </c>
      <c r="V4621">
        <v>11.1</v>
      </c>
    </row>
    <row r="4622" spans="1:23">
      <c r="A4622" t="str">
        <f>"TMP20"</f>
        <v>TMP20</v>
      </c>
      <c r="B4622" t="str">
        <f>"17-3108-0002"</f>
        <v>17-3108-0002</v>
      </c>
      <c r="C4622" t="str">
        <f>"LM5.X Content, Virtual, Intro to Solidworks"</f>
        <v>LM5.X Content, Virtual, Intro to Solidworks</v>
      </c>
      <c r="D4622">
        <v>1</v>
      </c>
      <c r="F4622">
        <v>0</v>
      </c>
      <c r="G4622" t="str">
        <f t="shared" si="1186"/>
        <v>Y</v>
      </c>
      <c r="H4622" t="str">
        <f t="shared" si="1184"/>
        <v>EA</v>
      </c>
      <c r="I4622">
        <v>0</v>
      </c>
      <c r="J4622">
        <v>0</v>
      </c>
      <c r="K4622" t="str">
        <f t="shared" si="1187"/>
        <v>Y</v>
      </c>
      <c r="L4622">
        <v>0</v>
      </c>
      <c r="M4622" t="str">
        <f t="shared" si="1172"/>
        <v>NIS</v>
      </c>
      <c r="N4622" t="str">
        <f>"Y"</f>
        <v>Y</v>
      </c>
      <c r="O4622">
        <v>1</v>
      </c>
      <c r="P4622" t="str">
        <f t="shared" si="1185"/>
        <v>Active</v>
      </c>
      <c r="Q4622" t="str">
        <f>"LM5.X Content, Virtual, Intro to Solidworks"</f>
        <v>LM5.X Content, Virtual, Intro to Solidworks</v>
      </c>
      <c r="S4622" t="str">
        <f>"LM5.X Content, Virtual, Intro to Solidworks"</f>
        <v>LM5.X Content, Virtual, Intro to Solidworks</v>
      </c>
      <c r="T4622">
        <v>0</v>
      </c>
      <c r="U4622">
        <v>5</v>
      </c>
      <c r="V4622">
        <v>5</v>
      </c>
      <c r="W4622" t="str">
        <f t="shared" ref="W4622:W4651" si="1188">"rob"</f>
        <v>rob</v>
      </c>
    </row>
    <row r="4623" spans="1:23">
      <c r="A4623" t="str">
        <f>"TMP20"</f>
        <v>TMP20</v>
      </c>
      <c r="B4623" t="str">
        <f>"17-3098-0001"</f>
        <v>17-3098-0001</v>
      </c>
      <c r="C4623" t="str">
        <f>"LM5.X Content, Virtual, Intro to Pro Engineer"</f>
        <v>LM5.X Content, Virtual, Intro to Pro Engineer</v>
      </c>
      <c r="D4623">
        <v>1</v>
      </c>
      <c r="F4623">
        <v>0</v>
      </c>
      <c r="G4623" t="str">
        <f t="shared" si="1186"/>
        <v>Y</v>
      </c>
      <c r="H4623" t="str">
        <f t="shared" si="1184"/>
        <v>EA</v>
      </c>
      <c r="I4623">
        <v>0</v>
      </c>
      <c r="J4623">
        <v>0</v>
      </c>
      <c r="K4623" t="str">
        <f t="shared" si="1187"/>
        <v>Y</v>
      </c>
      <c r="L4623">
        <v>0</v>
      </c>
      <c r="M4623" t="str">
        <f t="shared" si="1172"/>
        <v>NIS</v>
      </c>
      <c r="N4623" t="str">
        <f>"Y"</f>
        <v>Y</v>
      </c>
      <c r="O4623">
        <v>2</v>
      </c>
      <c r="P4623" t="str">
        <f t="shared" si="1185"/>
        <v>Active</v>
      </c>
      <c r="Q4623" t="str">
        <f>"LM5.X Content, Virtual, Intro to Pro Engineer"</f>
        <v>LM5.X Content, Virtual, Intro to Pro Engineer</v>
      </c>
      <c r="S4623" t="str">
        <f>"LM5.X Content, Virtual, Intro to Pro Engineer"</f>
        <v>LM5.X Content, Virtual, Intro to Pro Engineer</v>
      </c>
      <c r="T4623">
        <v>12</v>
      </c>
      <c r="U4623">
        <v>5</v>
      </c>
      <c r="V4623">
        <v>5</v>
      </c>
      <c r="W4623" t="str">
        <f t="shared" si="1188"/>
        <v>rob</v>
      </c>
    </row>
    <row r="4624" spans="1:23">
      <c r="A4624" t="str">
        <f>"TMP20"</f>
        <v>TMP20</v>
      </c>
      <c r="B4624" t="str">
        <f>"17-3004-0002"</f>
        <v>17-3004-0002</v>
      </c>
      <c r="C4624" t="str">
        <f>"LM5.X Content, Virtual, spectraCAD Engraving (M)"</f>
        <v>LM5.X Content, Virtual, spectraCAD Engraving (M)</v>
      </c>
      <c r="D4624">
        <v>1</v>
      </c>
      <c r="F4624">
        <v>0</v>
      </c>
      <c r="G4624" t="str">
        <f t="shared" si="1186"/>
        <v>Y</v>
      </c>
      <c r="H4624" t="str">
        <f t="shared" si="1184"/>
        <v>EA</v>
      </c>
      <c r="I4624">
        <v>0</v>
      </c>
      <c r="J4624">
        <v>0</v>
      </c>
      <c r="K4624" t="str">
        <f t="shared" si="1187"/>
        <v>Y</v>
      </c>
      <c r="L4624">
        <v>0</v>
      </c>
      <c r="M4624" t="str">
        <f t="shared" si="1172"/>
        <v>NIS</v>
      </c>
      <c r="N4624" t="str">
        <f>"Y"</f>
        <v>Y</v>
      </c>
      <c r="O4624">
        <v>3</v>
      </c>
      <c r="P4624" t="str">
        <f t="shared" si="1185"/>
        <v>Active</v>
      </c>
      <c r="Q4624" t="str">
        <f>"LM5.X Content, Virtual, spectraCAD Engraving (M)"</f>
        <v>LM5.X Content, Virtual, spectraCAD Engraving (M)</v>
      </c>
      <c r="S4624" t="str">
        <f>"LM5.X Content, Virtual, spectraCAD Engraving (M)"</f>
        <v>LM5.X Content, Virtual, spectraCAD Engraving (M)</v>
      </c>
      <c r="T4624">
        <v>0</v>
      </c>
      <c r="U4624">
        <v>5</v>
      </c>
      <c r="V4624">
        <v>5</v>
      </c>
      <c r="W4624" t="str">
        <f t="shared" si="1188"/>
        <v>rob</v>
      </c>
    </row>
    <row r="4625" spans="1:23">
      <c r="A4625" t="str">
        <f>"TMP20"</f>
        <v>TMP20</v>
      </c>
      <c r="B4625" t="str">
        <f>"17-3005-0002"</f>
        <v>17-3005-0002</v>
      </c>
      <c r="C4625" t="str">
        <f>"LM5.X Content, Virtual, spectraCAM Milling (M)"</f>
        <v>LM5.X Content, Virtual, spectraCAM Milling (M)</v>
      </c>
      <c r="D4625">
        <v>1</v>
      </c>
      <c r="F4625">
        <v>0</v>
      </c>
      <c r="G4625" t="str">
        <f t="shared" si="1186"/>
        <v>Y</v>
      </c>
      <c r="H4625" t="str">
        <f t="shared" si="1184"/>
        <v>EA</v>
      </c>
      <c r="I4625">
        <v>0</v>
      </c>
      <c r="J4625">
        <v>0</v>
      </c>
      <c r="K4625" t="str">
        <f t="shared" si="1187"/>
        <v>Y</v>
      </c>
      <c r="L4625">
        <v>0</v>
      </c>
      <c r="M4625" t="str">
        <f t="shared" si="1172"/>
        <v>NIS</v>
      </c>
      <c r="N4625" t="str">
        <f>"Y"</f>
        <v>Y</v>
      </c>
      <c r="O4625">
        <v>4</v>
      </c>
      <c r="P4625" t="str">
        <f t="shared" si="1185"/>
        <v>Active</v>
      </c>
      <c r="Q4625" t="str">
        <f>"LM5.X Content, Virtual, spectraCAM Milling (M)"</f>
        <v>LM5.X Content, Virtual, spectraCAM Milling (M)</v>
      </c>
      <c r="S4625" t="str">
        <f>"LM5.X Content, Virtual, spectraCAM Milling (M)"</f>
        <v>LM5.X Content, Virtual, spectraCAM Milling (M)</v>
      </c>
      <c r="T4625">
        <v>0</v>
      </c>
      <c r="U4625">
        <v>5</v>
      </c>
      <c r="V4625">
        <v>5</v>
      </c>
      <c r="W4625" t="str">
        <f t="shared" si="1188"/>
        <v>rob</v>
      </c>
    </row>
    <row r="4626" spans="1:23">
      <c r="A4626" t="str">
        <f>"TRAIN-CIM-1"</f>
        <v>TRAIN-CIM-1</v>
      </c>
      <c r="B4626" t="str">
        <f t="shared" ref="B4626:B4634" si="1189">"50-0096-0000"</f>
        <v>50-0096-0000</v>
      </c>
      <c r="C4626" t="str">
        <f t="shared" ref="C4626:C4634" si="1190">"Training at Customer Site (Days)"</f>
        <v>Training at Customer Site (Days)</v>
      </c>
      <c r="D4626">
        <v>1</v>
      </c>
      <c r="E4626" t="str">
        <f>"On Site Training - additional CIM Station"</f>
        <v>On Site Training - additional CIM Station</v>
      </c>
      <c r="F4626">
        <v>560</v>
      </c>
      <c r="G4626" t="str">
        <f t="shared" si="1186"/>
        <v>Y</v>
      </c>
      <c r="H4626" t="str">
        <f t="shared" ref="H4626:H4634" si="1191">"DA"</f>
        <v>DA</v>
      </c>
      <c r="I4626">
        <v>0</v>
      </c>
      <c r="J4626">
        <v>0</v>
      </c>
      <c r="K4626" t="str">
        <f t="shared" si="1187"/>
        <v>Y</v>
      </c>
      <c r="L4626">
        <v>0</v>
      </c>
      <c r="M4626" t="str">
        <f t="shared" si="1172"/>
        <v>NIS</v>
      </c>
      <c r="O4626">
        <v>1</v>
      </c>
      <c r="P4626" t="str">
        <f t="shared" si="1185"/>
        <v>Active</v>
      </c>
      <c r="Q4626" t="str">
        <f t="shared" ref="Q4626:Q4634" si="1192">"Training at Customer Site (Days)"</f>
        <v>Training at Customer Site (Days)</v>
      </c>
      <c r="S4626" t="str">
        <f t="shared" ref="S4626:S4634" si="1193">"Training at Customer Site (Days)"</f>
        <v>Training at Customer Site (Days)</v>
      </c>
      <c r="T4626">
        <v>0</v>
      </c>
      <c r="U4626">
        <v>864</v>
      </c>
      <c r="V4626">
        <v>898.56</v>
      </c>
      <c r="W4626" t="str">
        <f t="shared" si="1188"/>
        <v>rob</v>
      </c>
    </row>
    <row r="4627" spans="1:23">
      <c r="A4627" t="str">
        <f>"TRAIN-CIM-2"</f>
        <v>TRAIN-CIM-2</v>
      </c>
      <c r="B4627" t="str">
        <f t="shared" si="1189"/>
        <v>50-0096-0000</v>
      </c>
      <c r="C4627" t="str">
        <f t="shared" si="1190"/>
        <v>Training at Customer Site (Days)</v>
      </c>
      <c r="D4627">
        <v>6</v>
      </c>
      <c r="E4627" t="str">
        <f>"On Site Training - 2 Station CIM"</f>
        <v>On Site Training - 2 Station CIM</v>
      </c>
      <c r="F4627">
        <v>560</v>
      </c>
      <c r="G4627" t="str">
        <f t="shared" si="1186"/>
        <v>Y</v>
      </c>
      <c r="H4627" t="str">
        <f t="shared" si="1191"/>
        <v>DA</v>
      </c>
      <c r="I4627">
        <v>0</v>
      </c>
      <c r="J4627">
        <v>0</v>
      </c>
      <c r="K4627" t="str">
        <f t="shared" si="1187"/>
        <v>Y</v>
      </c>
      <c r="L4627">
        <v>0</v>
      </c>
      <c r="M4627" t="str">
        <f t="shared" si="1172"/>
        <v>NIS</v>
      </c>
      <c r="O4627">
        <v>1</v>
      </c>
      <c r="P4627" t="str">
        <f t="shared" si="1185"/>
        <v>Active</v>
      </c>
      <c r="Q4627" t="str">
        <f t="shared" si="1192"/>
        <v>Training at Customer Site (Days)</v>
      </c>
      <c r="S4627" t="str">
        <f t="shared" si="1193"/>
        <v>Training at Customer Site (Days)</v>
      </c>
      <c r="T4627">
        <v>0</v>
      </c>
      <c r="U4627">
        <v>864</v>
      </c>
      <c r="V4627">
        <v>898.56</v>
      </c>
      <c r="W4627" t="str">
        <f t="shared" si="1188"/>
        <v>rob</v>
      </c>
    </row>
    <row r="4628" spans="1:23">
      <c r="A4628" t="str">
        <f>"TRAIN-CIM-3"</f>
        <v>TRAIN-CIM-3</v>
      </c>
      <c r="B4628" t="str">
        <f t="shared" si="1189"/>
        <v>50-0096-0000</v>
      </c>
      <c r="C4628" t="str">
        <f t="shared" si="1190"/>
        <v>Training at Customer Site (Days)</v>
      </c>
      <c r="D4628">
        <v>7</v>
      </c>
      <c r="E4628" t="str">
        <f>"On Site Training - 3 Station CIM"</f>
        <v>On Site Training - 3 Station CIM</v>
      </c>
      <c r="F4628">
        <v>560</v>
      </c>
      <c r="G4628" t="str">
        <f t="shared" si="1186"/>
        <v>Y</v>
      </c>
      <c r="H4628" t="str">
        <f t="shared" si="1191"/>
        <v>DA</v>
      </c>
      <c r="I4628">
        <v>0</v>
      </c>
      <c r="J4628">
        <v>0</v>
      </c>
      <c r="K4628" t="str">
        <f t="shared" si="1187"/>
        <v>Y</v>
      </c>
      <c r="L4628">
        <v>0</v>
      </c>
      <c r="M4628" t="str">
        <f t="shared" ref="M4628:M4691" si="1194">"NIS"</f>
        <v>NIS</v>
      </c>
      <c r="O4628">
        <v>1</v>
      </c>
      <c r="P4628" t="str">
        <f t="shared" si="1185"/>
        <v>Active</v>
      </c>
      <c r="Q4628" t="str">
        <f t="shared" si="1192"/>
        <v>Training at Customer Site (Days)</v>
      </c>
      <c r="S4628" t="str">
        <f t="shared" si="1193"/>
        <v>Training at Customer Site (Days)</v>
      </c>
      <c r="T4628">
        <v>0</v>
      </c>
      <c r="U4628">
        <v>864</v>
      </c>
      <c r="V4628">
        <v>898.56</v>
      </c>
      <c r="W4628" t="str">
        <f t="shared" si="1188"/>
        <v>rob</v>
      </c>
    </row>
    <row r="4629" spans="1:23">
      <c r="A4629" t="str">
        <f>"TRAIN-CIM-4"</f>
        <v>TRAIN-CIM-4</v>
      </c>
      <c r="B4629" t="str">
        <f t="shared" si="1189"/>
        <v>50-0096-0000</v>
      </c>
      <c r="C4629" t="str">
        <f t="shared" si="1190"/>
        <v>Training at Customer Site (Days)</v>
      </c>
      <c r="D4629">
        <v>8</v>
      </c>
      <c r="E4629" t="str">
        <f>"On Site Training - 4 Station CIM"</f>
        <v>On Site Training - 4 Station CIM</v>
      </c>
      <c r="F4629">
        <v>560</v>
      </c>
      <c r="G4629" t="str">
        <f t="shared" si="1186"/>
        <v>Y</v>
      </c>
      <c r="H4629" t="str">
        <f t="shared" si="1191"/>
        <v>DA</v>
      </c>
      <c r="I4629">
        <v>0</v>
      </c>
      <c r="J4629">
        <v>0</v>
      </c>
      <c r="K4629" t="str">
        <f t="shared" si="1187"/>
        <v>Y</v>
      </c>
      <c r="L4629">
        <v>0</v>
      </c>
      <c r="M4629" t="str">
        <f t="shared" si="1194"/>
        <v>NIS</v>
      </c>
      <c r="O4629">
        <v>1</v>
      </c>
      <c r="P4629" t="str">
        <f t="shared" si="1185"/>
        <v>Active</v>
      </c>
      <c r="Q4629" t="str">
        <f t="shared" si="1192"/>
        <v>Training at Customer Site (Days)</v>
      </c>
      <c r="S4629" t="str">
        <f t="shared" si="1193"/>
        <v>Training at Customer Site (Days)</v>
      </c>
      <c r="T4629">
        <v>0</v>
      </c>
      <c r="U4629">
        <v>864</v>
      </c>
      <c r="V4629">
        <v>898.56</v>
      </c>
      <c r="W4629" t="str">
        <f t="shared" si="1188"/>
        <v>rob</v>
      </c>
    </row>
    <row r="4630" spans="1:23">
      <c r="A4630" t="str">
        <f>"TRAIN-CIM-5"</f>
        <v>TRAIN-CIM-5</v>
      </c>
      <c r="B4630" t="str">
        <f t="shared" si="1189"/>
        <v>50-0096-0000</v>
      </c>
      <c r="C4630" t="str">
        <f t="shared" si="1190"/>
        <v>Training at Customer Site (Days)</v>
      </c>
      <c r="D4630">
        <v>8</v>
      </c>
      <c r="E4630" t="str">
        <f>"On Site Training - 5 Station CIM"</f>
        <v>On Site Training - 5 Station CIM</v>
      </c>
      <c r="F4630">
        <v>560</v>
      </c>
      <c r="G4630" t="str">
        <f t="shared" si="1186"/>
        <v>Y</v>
      </c>
      <c r="H4630" t="str">
        <f t="shared" si="1191"/>
        <v>DA</v>
      </c>
      <c r="I4630">
        <v>0</v>
      </c>
      <c r="J4630">
        <v>0</v>
      </c>
      <c r="K4630" t="str">
        <f t="shared" si="1187"/>
        <v>Y</v>
      </c>
      <c r="L4630">
        <v>0</v>
      </c>
      <c r="M4630" t="str">
        <f t="shared" si="1194"/>
        <v>NIS</v>
      </c>
      <c r="O4630">
        <v>1</v>
      </c>
      <c r="P4630" t="str">
        <f t="shared" si="1185"/>
        <v>Active</v>
      </c>
      <c r="Q4630" t="str">
        <f t="shared" si="1192"/>
        <v>Training at Customer Site (Days)</v>
      </c>
      <c r="S4630" t="str">
        <f t="shared" si="1193"/>
        <v>Training at Customer Site (Days)</v>
      </c>
      <c r="T4630">
        <v>0</v>
      </c>
      <c r="U4630">
        <v>864</v>
      </c>
      <c r="V4630">
        <v>898.56</v>
      </c>
      <c r="W4630" t="str">
        <f t="shared" si="1188"/>
        <v>rob</v>
      </c>
    </row>
    <row r="4631" spans="1:23">
      <c r="A4631" t="str">
        <f>"TRAIN-CIM-6"</f>
        <v>TRAIN-CIM-6</v>
      </c>
      <c r="B4631" t="str">
        <f t="shared" si="1189"/>
        <v>50-0096-0000</v>
      </c>
      <c r="C4631" t="str">
        <f t="shared" si="1190"/>
        <v>Training at Customer Site (Days)</v>
      </c>
      <c r="D4631">
        <v>10</v>
      </c>
      <c r="E4631" t="str">
        <f>"On Site Training - 6 Station CIM"</f>
        <v>On Site Training - 6 Station CIM</v>
      </c>
      <c r="F4631">
        <v>560</v>
      </c>
      <c r="G4631" t="str">
        <f t="shared" si="1186"/>
        <v>Y</v>
      </c>
      <c r="H4631" t="str">
        <f t="shared" si="1191"/>
        <v>DA</v>
      </c>
      <c r="I4631">
        <v>0</v>
      </c>
      <c r="J4631">
        <v>0</v>
      </c>
      <c r="K4631" t="str">
        <f t="shared" si="1187"/>
        <v>Y</v>
      </c>
      <c r="L4631">
        <v>0</v>
      </c>
      <c r="M4631" t="str">
        <f t="shared" si="1194"/>
        <v>NIS</v>
      </c>
      <c r="O4631">
        <v>1</v>
      </c>
      <c r="P4631" t="str">
        <f t="shared" si="1185"/>
        <v>Active</v>
      </c>
      <c r="Q4631" t="str">
        <f t="shared" si="1192"/>
        <v>Training at Customer Site (Days)</v>
      </c>
      <c r="S4631" t="str">
        <f t="shared" si="1193"/>
        <v>Training at Customer Site (Days)</v>
      </c>
      <c r="T4631">
        <v>0</v>
      </c>
      <c r="U4631">
        <v>864</v>
      </c>
      <c r="V4631">
        <v>898.56</v>
      </c>
      <c r="W4631" t="str">
        <f t="shared" si="1188"/>
        <v>rob</v>
      </c>
    </row>
    <row r="4632" spans="1:23">
      <c r="A4632" t="str">
        <f>"TRAIN-CIM-7"</f>
        <v>TRAIN-CIM-7</v>
      </c>
      <c r="B4632" t="str">
        <f t="shared" si="1189"/>
        <v>50-0096-0000</v>
      </c>
      <c r="C4632" t="str">
        <f t="shared" si="1190"/>
        <v>Training at Customer Site (Days)</v>
      </c>
      <c r="D4632">
        <v>12</v>
      </c>
      <c r="E4632" t="str">
        <f>"On Site Training - 7 Station CIM"</f>
        <v>On Site Training - 7 Station CIM</v>
      </c>
      <c r="F4632">
        <v>560</v>
      </c>
      <c r="G4632" t="str">
        <f t="shared" si="1186"/>
        <v>Y</v>
      </c>
      <c r="H4632" t="str">
        <f t="shared" si="1191"/>
        <v>DA</v>
      </c>
      <c r="I4632">
        <v>0</v>
      </c>
      <c r="J4632">
        <v>0</v>
      </c>
      <c r="K4632" t="str">
        <f t="shared" si="1187"/>
        <v>Y</v>
      </c>
      <c r="L4632">
        <v>0</v>
      </c>
      <c r="M4632" t="str">
        <f t="shared" si="1194"/>
        <v>NIS</v>
      </c>
      <c r="O4632">
        <v>1</v>
      </c>
      <c r="P4632" t="str">
        <f t="shared" si="1185"/>
        <v>Active</v>
      </c>
      <c r="Q4632" t="str">
        <f t="shared" si="1192"/>
        <v>Training at Customer Site (Days)</v>
      </c>
      <c r="S4632" t="str">
        <f t="shared" si="1193"/>
        <v>Training at Customer Site (Days)</v>
      </c>
      <c r="T4632">
        <v>0</v>
      </c>
      <c r="U4632">
        <v>864</v>
      </c>
      <c r="V4632">
        <v>898.56</v>
      </c>
      <c r="W4632" t="str">
        <f t="shared" si="1188"/>
        <v>rob</v>
      </c>
    </row>
    <row r="4633" spans="1:23">
      <c r="A4633" t="str">
        <f>"TRAIN-CIM-8"</f>
        <v>TRAIN-CIM-8</v>
      </c>
      <c r="B4633" t="str">
        <f t="shared" si="1189"/>
        <v>50-0096-0000</v>
      </c>
      <c r="C4633" t="str">
        <f t="shared" si="1190"/>
        <v>Training at Customer Site (Days)</v>
      </c>
      <c r="D4633">
        <v>14</v>
      </c>
      <c r="E4633" t="str">
        <f>"On Site Training - 8 Station CIM"</f>
        <v>On Site Training - 8 Station CIM</v>
      </c>
      <c r="F4633">
        <v>560</v>
      </c>
      <c r="G4633" t="str">
        <f t="shared" si="1186"/>
        <v>Y</v>
      </c>
      <c r="H4633" t="str">
        <f t="shared" si="1191"/>
        <v>DA</v>
      </c>
      <c r="I4633">
        <v>0</v>
      </c>
      <c r="J4633">
        <v>0</v>
      </c>
      <c r="K4633" t="str">
        <f t="shared" si="1187"/>
        <v>Y</v>
      </c>
      <c r="L4633">
        <v>0</v>
      </c>
      <c r="M4633" t="str">
        <f t="shared" si="1194"/>
        <v>NIS</v>
      </c>
      <c r="O4633">
        <v>1</v>
      </c>
      <c r="P4633" t="str">
        <f t="shared" si="1185"/>
        <v>Active</v>
      </c>
      <c r="Q4633" t="str">
        <f t="shared" si="1192"/>
        <v>Training at Customer Site (Days)</v>
      </c>
      <c r="S4633" t="str">
        <f t="shared" si="1193"/>
        <v>Training at Customer Site (Days)</v>
      </c>
      <c r="T4633">
        <v>0</v>
      </c>
      <c r="U4633">
        <v>864</v>
      </c>
      <c r="V4633">
        <v>898.56</v>
      </c>
      <c r="W4633" t="str">
        <f t="shared" si="1188"/>
        <v>rob</v>
      </c>
    </row>
    <row r="4634" spans="1:23">
      <c r="A4634" t="str">
        <f>"TRAINING"</f>
        <v>TRAINING</v>
      </c>
      <c r="B4634" t="str">
        <f t="shared" si="1189"/>
        <v>50-0096-0000</v>
      </c>
      <c r="C4634" t="str">
        <f t="shared" si="1190"/>
        <v>Training at Customer Site (Days)</v>
      </c>
      <c r="D4634">
        <v>1</v>
      </c>
      <c r="E4634" t="str">
        <f>"On Site Training"</f>
        <v>On Site Training</v>
      </c>
      <c r="F4634">
        <v>560</v>
      </c>
      <c r="G4634" t="str">
        <f t="shared" si="1186"/>
        <v>Y</v>
      </c>
      <c r="H4634" t="str">
        <f t="shared" si="1191"/>
        <v>DA</v>
      </c>
      <c r="I4634">
        <v>0</v>
      </c>
      <c r="J4634">
        <v>0</v>
      </c>
      <c r="K4634" t="str">
        <f t="shared" si="1187"/>
        <v>Y</v>
      </c>
      <c r="L4634">
        <v>0</v>
      </c>
      <c r="M4634" t="str">
        <f t="shared" si="1194"/>
        <v>NIS</v>
      </c>
      <c r="O4634">
        <v>1</v>
      </c>
      <c r="P4634" t="str">
        <f t="shared" si="1185"/>
        <v>Active</v>
      </c>
      <c r="Q4634" t="str">
        <f t="shared" si="1192"/>
        <v>Training at Customer Site (Days)</v>
      </c>
      <c r="S4634" t="str">
        <f t="shared" si="1193"/>
        <v>Training at Customer Site (Days)</v>
      </c>
      <c r="T4634">
        <v>0</v>
      </c>
      <c r="U4634">
        <v>864</v>
      </c>
      <c r="V4634">
        <v>898.56</v>
      </c>
      <c r="W4634" t="str">
        <f t="shared" si="1188"/>
        <v>rob</v>
      </c>
    </row>
    <row r="4635" spans="1:23">
      <c r="A4635" t="str">
        <f>"TRAINING-ISRAEL"</f>
        <v>TRAINING-ISRAEL</v>
      </c>
      <c r="B4635" t="str">
        <f>"50-0104-0000"</f>
        <v>50-0104-0000</v>
      </c>
      <c r="C4635" t="str">
        <f>"Training in Israel"</f>
        <v>Training in Israel</v>
      </c>
      <c r="D4635">
        <v>1</v>
      </c>
      <c r="E4635" t="str">
        <f>"Training in Israel"</f>
        <v>Training in Israel</v>
      </c>
      <c r="F4635">
        <v>0</v>
      </c>
      <c r="G4635" t="str">
        <f t="shared" si="1186"/>
        <v>Y</v>
      </c>
      <c r="H4635" t="str">
        <f t="shared" ref="H4635:H4645" si="1195">"EA"</f>
        <v>EA</v>
      </c>
      <c r="I4635">
        <v>0</v>
      </c>
      <c r="J4635">
        <v>0</v>
      </c>
      <c r="K4635" t="str">
        <f t="shared" si="1187"/>
        <v>Y</v>
      </c>
      <c r="L4635">
        <v>0</v>
      </c>
      <c r="M4635" t="str">
        <f t="shared" si="1194"/>
        <v>NIS</v>
      </c>
      <c r="O4635">
        <v>1</v>
      </c>
      <c r="P4635" t="str">
        <f t="shared" si="1185"/>
        <v>Active</v>
      </c>
      <c r="Q4635" t="str">
        <f>"Training in Israel"</f>
        <v>Training in Israel</v>
      </c>
      <c r="S4635" t="str">
        <f>"Training in Israel"</f>
        <v>Training in Israel</v>
      </c>
      <c r="T4635">
        <v>0</v>
      </c>
      <c r="U4635">
        <v>0</v>
      </c>
      <c r="V4635">
        <v>0</v>
      </c>
      <c r="W4635" t="str">
        <f t="shared" si="1188"/>
        <v>rob</v>
      </c>
    </row>
    <row r="4636" spans="1:23">
      <c r="A4636" t="str">
        <f>"TRAVEL-EXPENSES"</f>
        <v>TRAVEL-EXPENSES</v>
      </c>
      <c r="B4636" t="str">
        <f>"50-0079-0000"</f>
        <v>50-0079-0000</v>
      </c>
      <c r="C4636" t="str">
        <f>"Flight Ticket"</f>
        <v>Flight Ticket</v>
      </c>
      <c r="D4636">
        <v>1</v>
      </c>
      <c r="E4636" t="str">
        <f>"Air Fare (Non Commissionable)"</f>
        <v>Air Fare (Non Commissionable)</v>
      </c>
      <c r="F4636">
        <v>0</v>
      </c>
      <c r="G4636" t="str">
        <f t="shared" si="1186"/>
        <v>Y</v>
      </c>
      <c r="H4636" t="str">
        <f t="shared" si="1195"/>
        <v>EA</v>
      </c>
      <c r="I4636">
        <v>0</v>
      </c>
      <c r="J4636">
        <v>0</v>
      </c>
      <c r="K4636" t="str">
        <f t="shared" si="1187"/>
        <v>Y</v>
      </c>
      <c r="L4636">
        <v>0</v>
      </c>
      <c r="M4636" t="str">
        <f t="shared" si="1194"/>
        <v>NIS</v>
      </c>
      <c r="O4636">
        <v>1</v>
      </c>
      <c r="P4636" t="str">
        <f t="shared" si="1185"/>
        <v>Active</v>
      </c>
      <c r="Q4636" t="str">
        <f>"Travel expenses"</f>
        <v>Travel expenses</v>
      </c>
      <c r="S4636" t="str">
        <f>"Flight Ticket"</f>
        <v>Flight Ticket</v>
      </c>
      <c r="T4636">
        <v>0</v>
      </c>
      <c r="U4636" s="44">
        <v>2000</v>
      </c>
      <c r="V4636" s="44">
        <v>2000</v>
      </c>
      <c r="W4636" t="str">
        <f t="shared" si="1188"/>
        <v>rob</v>
      </c>
    </row>
    <row r="4637" spans="1:23">
      <c r="A4637" t="str">
        <f>"UPGR ER14-&gt;14Pro"</f>
        <v>UPGR ER14-&gt;14Pro</v>
      </c>
      <c r="B4637" t="str">
        <f>"10-1032-1000"</f>
        <v>10-1032-1000</v>
      </c>
      <c r="C4637" t="str">
        <f>"Upgrade Package ER 14 to ER 14Pro"</f>
        <v>Upgrade Package ER 14 to ER 14Pro</v>
      </c>
      <c r="D4637">
        <v>1</v>
      </c>
      <c r="E4637" t="str">
        <f>"Upgrade package - Scora-ER14 to Scora-ER14Pro"</f>
        <v>Upgrade package - Scora-ER14 to Scora-ER14Pro</v>
      </c>
      <c r="F4637">
        <v>801</v>
      </c>
      <c r="G4637" t="str">
        <f t="shared" si="1186"/>
        <v>Y</v>
      </c>
      <c r="H4637" t="str">
        <f t="shared" si="1195"/>
        <v>EA</v>
      </c>
      <c r="I4637">
        <v>0</v>
      </c>
      <c r="J4637">
        <v>0</v>
      </c>
      <c r="K4637" t="str">
        <f t="shared" si="1187"/>
        <v>Y</v>
      </c>
      <c r="L4637">
        <v>0</v>
      </c>
      <c r="M4637" t="str">
        <f t="shared" si="1194"/>
        <v>NIS</v>
      </c>
      <c r="O4637">
        <v>1</v>
      </c>
      <c r="P4637" t="str">
        <f t="shared" si="1185"/>
        <v>Active</v>
      </c>
      <c r="Q4637" t="str">
        <f>"Upgrade Package ER 14 to ER 14Pro"</f>
        <v>Upgrade Package ER 14 to ER 14Pro</v>
      </c>
      <c r="S4637" t="str">
        <f>"Upgrade Package ER 14 to ER 14Pro"</f>
        <v>Upgrade Package ER 14 to ER 14Pro</v>
      </c>
      <c r="T4637">
        <v>0</v>
      </c>
      <c r="U4637" s="44">
        <v>2904.75</v>
      </c>
      <c r="V4637" s="44">
        <v>2845.47</v>
      </c>
      <c r="W4637" t="str">
        <f t="shared" si="1188"/>
        <v>rob</v>
      </c>
    </row>
    <row r="4638" spans="1:23">
      <c r="A4638" t="str">
        <f>"UPGR ER14-&gt;14Pro"</f>
        <v>UPGR ER14-&gt;14Pro</v>
      </c>
      <c r="B4638" t="str">
        <f>"63-7000-1800"</f>
        <v>63-7000-1800</v>
      </c>
      <c r="C4638" t="str">
        <f>"License Key for RoboCell/SCORBASE USB Pro"</f>
        <v>License Key for RoboCell/SCORBASE USB Pro</v>
      </c>
      <c r="D4638">
        <v>1</v>
      </c>
      <c r="E4638" t="str">
        <f>"Upgrade package - Scora-ER14 to Scora-ER14Pro"</f>
        <v>Upgrade package - Scora-ER14 to Scora-ER14Pro</v>
      </c>
      <c r="F4638">
        <v>801</v>
      </c>
      <c r="G4638" t="str">
        <f t="shared" si="1186"/>
        <v>Y</v>
      </c>
      <c r="H4638" t="str">
        <f t="shared" si="1195"/>
        <v>EA</v>
      </c>
      <c r="I4638">
        <v>0</v>
      </c>
      <c r="J4638">
        <v>0</v>
      </c>
      <c r="K4638" t="str">
        <f t="shared" si="1187"/>
        <v>Y</v>
      </c>
      <c r="L4638">
        <v>0</v>
      </c>
      <c r="M4638" t="str">
        <f t="shared" si="1194"/>
        <v>NIS</v>
      </c>
      <c r="N4638" t="str">
        <f>"Y"</f>
        <v>Y</v>
      </c>
      <c r="O4638">
        <v>2</v>
      </c>
      <c r="P4638" t="str">
        <f t="shared" si="1185"/>
        <v>Active</v>
      </c>
      <c r="Q4638" t="str">
        <f>"License Key for RoboCell/SCORBASE USB Pro"</f>
        <v>License Key for RoboCell/SCORBASE USB Pro</v>
      </c>
      <c r="R4638" t="str">
        <f>"1"</f>
        <v>1</v>
      </c>
      <c r="S4638" t="str">
        <f>"License Key for RoboCell/SCORBASE USB Pro"</f>
        <v>License Key for RoboCell/SCORBASE USB Pro</v>
      </c>
      <c r="T4638">
        <v>0</v>
      </c>
      <c r="U4638">
        <v>10</v>
      </c>
      <c r="V4638">
        <v>11.1</v>
      </c>
      <c r="W4638" t="str">
        <f t="shared" si="1188"/>
        <v>rob</v>
      </c>
    </row>
    <row r="4639" spans="1:23">
      <c r="A4639" t="str">
        <f>"UPGR ER5 -&gt;ER4u"</f>
        <v>UPGR ER5 -&gt;ER4u</v>
      </c>
      <c r="B4639" t="str">
        <f>"10-1031-2000"</f>
        <v>10-1031-2000</v>
      </c>
      <c r="C4639" t="str">
        <f>"Upgrade Package ER 3/5 to ER4u"</f>
        <v>Upgrade Package ER 3/5 to ER4u</v>
      </c>
      <c r="D4639">
        <v>1</v>
      </c>
      <c r="E4639" t="str">
        <f>"Upgrade package - Scorbot-ER 3 / Scorbot-ER5 to Scorbot-ER4U Robot"</f>
        <v>Upgrade package - Scorbot-ER 3 / Scorbot-ER5 to Scorbot-ER4U Robot</v>
      </c>
      <c r="F4639">
        <v>802</v>
      </c>
      <c r="G4639" t="str">
        <f t="shared" si="1186"/>
        <v>Y</v>
      </c>
      <c r="H4639" t="str">
        <f t="shared" si="1195"/>
        <v>EA</v>
      </c>
      <c r="I4639">
        <v>0</v>
      </c>
      <c r="J4639">
        <v>0</v>
      </c>
      <c r="K4639" t="str">
        <f t="shared" si="1187"/>
        <v>Y</v>
      </c>
      <c r="L4639">
        <v>0</v>
      </c>
      <c r="M4639" t="str">
        <f t="shared" si="1194"/>
        <v>NIS</v>
      </c>
      <c r="O4639">
        <v>1</v>
      </c>
      <c r="P4639" t="str">
        <f t="shared" si="1185"/>
        <v>Active</v>
      </c>
      <c r="Q4639" t="str">
        <f>"Upgrade Package ER 3/5 to ER4u"</f>
        <v>Upgrade Package ER 3/5 to ER4u</v>
      </c>
      <c r="S4639" t="str">
        <f>"Upgrade Package ER 3/5 to ER4u"</f>
        <v>Upgrade Package ER 3/5 to ER4u</v>
      </c>
      <c r="T4639">
        <v>0</v>
      </c>
      <c r="U4639" s="44">
        <v>1415</v>
      </c>
      <c r="V4639" s="44">
        <v>1421.49</v>
      </c>
      <c r="W4639" t="str">
        <f t="shared" si="1188"/>
        <v>rob</v>
      </c>
    </row>
    <row r="4640" spans="1:23">
      <c r="A4640" t="str">
        <f>"UPGR ER5 -&gt;ER4u"</f>
        <v>UPGR ER5 -&gt;ER4u</v>
      </c>
      <c r="B4640" t="str">
        <f>"63-7000-0100"</f>
        <v>63-7000-0100</v>
      </c>
      <c r="C4640" t="str">
        <f>"License Key for RoboCell"</f>
        <v>License Key for RoboCell</v>
      </c>
      <c r="D4640">
        <v>1</v>
      </c>
      <c r="E4640" t="str">
        <f>"Upgrade package - Scorbot-ER 3 / Scorbot-ER5 to Scorbot-ER4U Robot"</f>
        <v>Upgrade package - Scorbot-ER 3 / Scorbot-ER5 to Scorbot-ER4U Robot</v>
      </c>
      <c r="F4640">
        <v>802</v>
      </c>
      <c r="G4640" t="str">
        <f t="shared" si="1186"/>
        <v>Y</v>
      </c>
      <c r="H4640" t="str">
        <f t="shared" si="1195"/>
        <v>EA</v>
      </c>
      <c r="I4640">
        <v>0</v>
      </c>
      <c r="J4640">
        <v>0</v>
      </c>
      <c r="K4640" t="str">
        <f t="shared" si="1187"/>
        <v>Y</v>
      </c>
      <c r="L4640">
        <v>0</v>
      </c>
      <c r="M4640" t="str">
        <f t="shared" si="1194"/>
        <v>NIS</v>
      </c>
      <c r="O4640">
        <v>2</v>
      </c>
      <c r="P4640" t="str">
        <f t="shared" si="1185"/>
        <v>Active</v>
      </c>
      <c r="Q4640" t="str">
        <f>"License Key for RoboCell/SCORBASE USB"</f>
        <v>License Key for RoboCell/SCORBASE USB</v>
      </c>
      <c r="R4640" t="str">
        <f>"1"</f>
        <v>1</v>
      </c>
      <c r="S4640" t="str">
        <f>"License Key for RoboCell/SCORBASE USB"</f>
        <v>License Key for RoboCell/SCORBASE USB</v>
      </c>
      <c r="T4640">
        <v>0</v>
      </c>
      <c r="U4640">
        <v>10</v>
      </c>
      <c r="V4640">
        <v>11.1</v>
      </c>
      <c r="W4640" t="str">
        <f t="shared" si="1188"/>
        <v>rob</v>
      </c>
    </row>
    <row r="4641" spans="1:23">
      <c r="A4641" t="str">
        <f>"UPGR ER5P -&gt;ER4u"</f>
        <v>UPGR ER5P -&gt;ER4u</v>
      </c>
      <c r="B4641" t="str">
        <f>"10-1031-3000"</f>
        <v>10-1031-3000</v>
      </c>
      <c r="C4641" t="str">
        <f>"Upgrade Package ER 4pc/5plus to ER4u"</f>
        <v>Upgrade Package ER 4pc/5plus to ER4u</v>
      </c>
      <c r="D4641">
        <v>1</v>
      </c>
      <c r="E4641" t="str">
        <f>"Upgrade package - Scorbot-ER4pc / Scorbot-ER5P to Scorbot-ER4U Robot"</f>
        <v>Upgrade package - Scorbot-ER4pc / Scorbot-ER5P to Scorbot-ER4U Robot</v>
      </c>
      <c r="F4641">
        <v>802</v>
      </c>
      <c r="G4641" t="str">
        <f t="shared" si="1186"/>
        <v>Y</v>
      </c>
      <c r="H4641" t="str">
        <f t="shared" si="1195"/>
        <v>EA</v>
      </c>
      <c r="I4641">
        <v>0</v>
      </c>
      <c r="J4641">
        <v>0</v>
      </c>
      <c r="K4641" t="str">
        <f t="shared" si="1187"/>
        <v>Y</v>
      </c>
      <c r="L4641">
        <v>0</v>
      </c>
      <c r="M4641" t="str">
        <f t="shared" si="1194"/>
        <v>NIS</v>
      </c>
      <c r="O4641">
        <v>1</v>
      </c>
      <c r="P4641" t="str">
        <f t="shared" si="1185"/>
        <v>Active</v>
      </c>
      <c r="Q4641" t="str">
        <f>"Upgrade Package ER 4pc/5plus to ER4u"</f>
        <v>Upgrade Package ER 4pc/5plus to ER4u</v>
      </c>
      <c r="S4641" t="str">
        <f>"Upgrade Package ER 4pc/5plus to ER4u"</f>
        <v>Upgrade Package ER 4pc/5plus to ER4u</v>
      </c>
      <c r="T4641">
        <v>0</v>
      </c>
      <c r="U4641" s="44">
        <v>1200</v>
      </c>
      <c r="V4641" s="44">
        <v>1247.93</v>
      </c>
      <c r="W4641" t="str">
        <f t="shared" si="1188"/>
        <v>rob</v>
      </c>
    </row>
    <row r="4642" spans="1:23">
      <c r="A4642" t="str">
        <f>"UPGR ER5P -&gt;ER4u"</f>
        <v>UPGR ER5P -&gt;ER4u</v>
      </c>
      <c r="B4642" t="str">
        <f>"63-7000-0100"</f>
        <v>63-7000-0100</v>
      </c>
      <c r="C4642" t="str">
        <f>"License Key for RoboCell"</f>
        <v>License Key for RoboCell</v>
      </c>
      <c r="D4642">
        <v>1</v>
      </c>
      <c r="E4642" t="str">
        <f>"Upgrade package - Scorbot-ER4pc / Scorbot-ER5P to Scorbot-ER4U Robot"</f>
        <v>Upgrade package - Scorbot-ER4pc / Scorbot-ER5P to Scorbot-ER4U Robot</v>
      </c>
      <c r="F4642">
        <v>802</v>
      </c>
      <c r="G4642" t="str">
        <f t="shared" si="1186"/>
        <v>Y</v>
      </c>
      <c r="H4642" t="str">
        <f t="shared" si="1195"/>
        <v>EA</v>
      </c>
      <c r="I4642">
        <v>0</v>
      </c>
      <c r="J4642">
        <v>0</v>
      </c>
      <c r="K4642" t="str">
        <f t="shared" si="1187"/>
        <v>Y</v>
      </c>
      <c r="L4642">
        <v>0</v>
      </c>
      <c r="M4642" t="str">
        <f t="shared" si="1194"/>
        <v>NIS</v>
      </c>
      <c r="O4642">
        <v>2</v>
      </c>
      <c r="P4642" t="str">
        <f t="shared" si="1185"/>
        <v>Active</v>
      </c>
      <c r="Q4642" t="str">
        <f>"License Key for RoboCell/SCORBASE USB"</f>
        <v>License Key for RoboCell/SCORBASE USB</v>
      </c>
      <c r="R4642" t="str">
        <f>"1"</f>
        <v>1</v>
      </c>
      <c r="S4642" t="str">
        <f>"License Key for RoboCell/SCORBASE USB"</f>
        <v>License Key for RoboCell/SCORBASE USB</v>
      </c>
      <c r="T4642">
        <v>0</v>
      </c>
      <c r="U4642">
        <v>10</v>
      </c>
      <c r="V4642">
        <v>11.1</v>
      </c>
      <c r="W4642" t="str">
        <f t="shared" si="1188"/>
        <v>rob</v>
      </c>
    </row>
    <row r="4643" spans="1:23">
      <c r="A4643" t="str">
        <f>"UPGR ER9-&gt;ER9Pro"</f>
        <v>UPGR ER9-&gt;ER9Pro</v>
      </c>
      <c r="B4643" t="str">
        <f>"10-1032-0000"</f>
        <v>10-1032-0000</v>
      </c>
      <c r="C4643" t="str">
        <f>"Upgrade Package ER 9 to ER 9Pro"</f>
        <v>Upgrade Package ER 9 to ER 9Pro</v>
      </c>
      <c r="D4643">
        <v>1</v>
      </c>
      <c r="E4643" t="str">
        <f>"Upgrade package - Scorbot-ER9 to Scorbot-ER-9Pro Robot"</f>
        <v>Upgrade package - Scorbot-ER9 to Scorbot-ER-9Pro Robot</v>
      </c>
      <c r="F4643">
        <v>803</v>
      </c>
      <c r="G4643" t="str">
        <f t="shared" si="1186"/>
        <v>Y</v>
      </c>
      <c r="H4643" t="str">
        <f t="shared" si="1195"/>
        <v>EA</v>
      </c>
      <c r="I4643">
        <v>0</v>
      </c>
      <c r="J4643">
        <v>0</v>
      </c>
      <c r="K4643" t="str">
        <f t="shared" si="1187"/>
        <v>Y</v>
      </c>
      <c r="L4643">
        <v>0</v>
      </c>
      <c r="M4643" t="str">
        <f t="shared" si="1194"/>
        <v>NIS</v>
      </c>
      <c r="O4643">
        <v>1</v>
      </c>
      <c r="P4643" t="str">
        <f t="shared" si="1185"/>
        <v>Active</v>
      </c>
      <c r="Q4643" t="str">
        <f>"Upgrade Package ER 9 to ER 9Pro"</f>
        <v>Upgrade Package ER 9 to ER 9Pro</v>
      </c>
      <c r="S4643" t="str">
        <f>"Upgrade Package ER 9 to ER 9Pro"</f>
        <v>Upgrade Package ER 9 to ER 9Pro</v>
      </c>
      <c r="T4643">
        <v>0</v>
      </c>
      <c r="U4643" s="44">
        <v>2707.24</v>
      </c>
      <c r="V4643" s="44">
        <v>2650.12</v>
      </c>
      <c r="W4643" t="str">
        <f t="shared" si="1188"/>
        <v>rob</v>
      </c>
    </row>
    <row r="4644" spans="1:23">
      <c r="A4644" t="str">
        <f>"UPGR ER9-&gt;ER9Pro"</f>
        <v>UPGR ER9-&gt;ER9Pro</v>
      </c>
      <c r="B4644" t="str">
        <f>"63-7000-1800"</f>
        <v>63-7000-1800</v>
      </c>
      <c r="C4644" t="str">
        <f>"License Key for RoboCell/SCORBASE USB Pro"</f>
        <v>License Key for RoboCell/SCORBASE USB Pro</v>
      </c>
      <c r="D4644">
        <v>1</v>
      </c>
      <c r="E4644" t="str">
        <f>"Upgrade package - Scorbot-ER9 to Scorbot-ER-9Pro Robot"</f>
        <v>Upgrade package - Scorbot-ER9 to Scorbot-ER-9Pro Robot</v>
      </c>
      <c r="F4644">
        <v>803</v>
      </c>
      <c r="G4644" t="str">
        <f t="shared" si="1186"/>
        <v>Y</v>
      </c>
      <c r="H4644" t="str">
        <f t="shared" si="1195"/>
        <v>EA</v>
      </c>
      <c r="I4644">
        <v>0</v>
      </c>
      <c r="J4644">
        <v>0</v>
      </c>
      <c r="K4644" t="str">
        <f t="shared" si="1187"/>
        <v>Y</v>
      </c>
      <c r="L4644">
        <v>0</v>
      </c>
      <c r="M4644" t="str">
        <f t="shared" si="1194"/>
        <v>NIS</v>
      </c>
      <c r="N4644" t="str">
        <f>"Y"</f>
        <v>Y</v>
      </c>
      <c r="O4644">
        <v>2</v>
      </c>
      <c r="P4644" t="str">
        <f t="shared" si="1185"/>
        <v>Active</v>
      </c>
      <c r="Q4644" t="str">
        <f>"License Key for RoboCell/SCORBASE USB Pro"</f>
        <v>License Key for RoboCell/SCORBASE USB Pro</v>
      </c>
      <c r="R4644" t="str">
        <f>"1"</f>
        <v>1</v>
      </c>
      <c r="S4644" t="str">
        <f>"License Key for RoboCell/SCORBASE USB Pro"</f>
        <v>License Key for RoboCell/SCORBASE USB Pro</v>
      </c>
      <c r="T4644">
        <v>0</v>
      </c>
      <c r="U4644">
        <v>10</v>
      </c>
      <c r="V4644">
        <v>11.1</v>
      </c>
      <c r="W4644" t="str">
        <f t="shared" si="1188"/>
        <v>rob</v>
      </c>
    </row>
    <row r="4645" spans="1:23">
      <c r="A4645" t="str">
        <f>"UPGR ER9-&gt;ER9Pro"</f>
        <v>UPGR ER9-&gt;ER9Pro</v>
      </c>
      <c r="B4645" t="str">
        <f>"034025"</f>
        <v>034025</v>
      </c>
      <c r="C4645" t="str">
        <f>"I/O Interface Box for Controller USB-PRO"</f>
        <v>I/O Interface Box for Controller USB-PRO</v>
      </c>
      <c r="D4645">
        <v>1</v>
      </c>
      <c r="E4645" t="str">
        <f>"Upgrade package - Scorbot-ER9 to Scorbot-ER-9Pro Robot"</f>
        <v>Upgrade package - Scorbot-ER9 to Scorbot-ER-9Pro Robot</v>
      </c>
      <c r="F4645">
        <v>803</v>
      </c>
      <c r="G4645" t="str">
        <f t="shared" si="1186"/>
        <v>Y</v>
      </c>
      <c r="H4645" t="str">
        <f t="shared" si="1195"/>
        <v>EA</v>
      </c>
      <c r="I4645">
        <v>0</v>
      </c>
      <c r="J4645">
        <v>0</v>
      </c>
      <c r="K4645" t="str">
        <f t="shared" si="1187"/>
        <v>Y</v>
      </c>
      <c r="L4645">
        <v>0</v>
      </c>
      <c r="M4645" t="str">
        <f t="shared" si="1194"/>
        <v>NIS</v>
      </c>
      <c r="O4645">
        <v>3</v>
      </c>
      <c r="P4645" t="str">
        <f t="shared" si="1185"/>
        <v>Active</v>
      </c>
      <c r="Q4645" t="str">
        <f>"I/O Interface Box for Controller USB-PRO"</f>
        <v>I/O Interface Box for Controller USB-PRO</v>
      </c>
      <c r="S4645" t="str">
        <f>"קופסת 2+Interface Box I/O כבלים לבקר USBPRO"</f>
        <v>קופסת 2+Interface Box I/O כבלים לבקר USBPRO</v>
      </c>
      <c r="T4645">
        <v>0</v>
      </c>
      <c r="U4645">
        <v>470</v>
      </c>
      <c r="V4645">
        <v>463.62</v>
      </c>
      <c r="W4645" t="str">
        <f t="shared" si="1188"/>
        <v>rob</v>
      </c>
    </row>
    <row r="4646" spans="1:23">
      <c r="A4646" t="str">
        <f>"UPGR ER9-&gt;ER9Pro"</f>
        <v>UPGR ER9-&gt;ER9Pro</v>
      </c>
      <c r="B4646" t="str">
        <f>"50-0095-0000"</f>
        <v>50-0095-0000</v>
      </c>
      <c r="C4646" t="str">
        <f>"Installation at Customer Site"</f>
        <v>Installation at Customer Site</v>
      </c>
      <c r="D4646">
        <v>3</v>
      </c>
      <c r="E4646" t="str">
        <f>"Upgrade package - Scorbot-ER9 to Scorbot-ER-9Pro Robot"</f>
        <v>Upgrade package - Scorbot-ER9 to Scorbot-ER-9Pro Robot</v>
      </c>
      <c r="F4646">
        <v>803</v>
      </c>
      <c r="G4646" t="str">
        <f t="shared" si="1186"/>
        <v>Y</v>
      </c>
      <c r="H4646" t="str">
        <f>"DA"</f>
        <v>DA</v>
      </c>
      <c r="I4646">
        <v>0</v>
      </c>
      <c r="J4646">
        <v>0</v>
      </c>
      <c r="K4646" t="str">
        <f t="shared" si="1187"/>
        <v>Y</v>
      </c>
      <c r="L4646">
        <v>0</v>
      </c>
      <c r="M4646" t="str">
        <f t="shared" si="1194"/>
        <v>NIS</v>
      </c>
      <c r="N4646" t="str">
        <f>"Y"</f>
        <v>Y</v>
      </c>
      <c r="O4646">
        <v>4</v>
      </c>
      <c r="P4646" t="str">
        <f t="shared" si="1185"/>
        <v>Active</v>
      </c>
      <c r="Q4646" t="str">
        <f>"Installation at Customer Site (Days)"</f>
        <v>Installation at Customer Site (Days)</v>
      </c>
      <c r="S4646" t="str">
        <f>"Installation at Customer Site (Days)"</f>
        <v>Installation at Customer Site (Days)</v>
      </c>
      <c r="T4646">
        <v>0</v>
      </c>
      <c r="U4646">
        <v>864</v>
      </c>
      <c r="V4646">
        <v>898.56</v>
      </c>
      <c r="W4646" t="str">
        <f t="shared" si="1188"/>
        <v>rob</v>
      </c>
    </row>
    <row r="4647" spans="1:23">
      <c r="A4647" t="str">
        <f>"UPGR ER9-&gt;ER9Pro"</f>
        <v>UPGR ER9-&gt;ER9Pro</v>
      </c>
      <c r="B4647" t="str">
        <f>"50-0096-0000"</f>
        <v>50-0096-0000</v>
      </c>
      <c r="C4647" t="str">
        <f>"Training at Customer Site (Days)"</f>
        <v>Training at Customer Site (Days)</v>
      </c>
      <c r="D4647">
        <v>1</v>
      </c>
      <c r="E4647" t="str">
        <f>"Upgrade package - Scorbot-ER9 to Scorbot-ER-9Pro Robot"</f>
        <v>Upgrade package - Scorbot-ER9 to Scorbot-ER-9Pro Robot</v>
      </c>
      <c r="F4647">
        <v>803</v>
      </c>
      <c r="G4647" t="str">
        <f t="shared" si="1186"/>
        <v>Y</v>
      </c>
      <c r="H4647" t="str">
        <f>"DA"</f>
        <v>DA</v>
      </c>
      <c r="I4647">
        <v>0</v>
      </c>
      <c r="J4647">
        <v>0</v>
      </c>
      <c r="K4647" t="str">
        <f t="shared" si="1187"/>
        <v>Y</v>
      </c>
      <c r="L4647">
        <v>0</v>
      </c>
      <c r="M4647" t="str">
        <f t="shared" si="1194"/>
        <v>NIS</v>
      </c>
      <c r="N4647" t="str">
        <f>"Y"</f>
        <v>Y</v>
      </c>
      <c r="O4647">
        <v>5</v>
      </c>
      <c r="P4647" t="str">
        <f t="shared" si="1185"/>
        <v>Active</v>
      </c>
      <c r="Q4647" t="str">
        <f>"Training at Customer Site (Days)"</f>
        <v>Training at Customer Site (Days)</v>
      </c>
      <c r="S4647" t="str">
        <f>"Training at Customer Site (Days)"</f>
        <v>Training at Customer Site (Days)</v>
      </c>
      <c r="T4647">
        <v>0</v>
      </c>
      <c r="U4647">
        <v>864</v>
      </c>
      <c r="V4647">
        <v>898.56</v>
      </c>
      <c r="W4647" t="str">
        <f t="shared" si="1188"/>
        <v>rob</v>
      </c>
    </row>
    <row r="4648" spans="1:23">
      <c r="A4648" t="str">
        <f>"UPGR TO ER4u"</f>
        <v>UPGR TO ER4u</v>
      </c>
      <c r="B4648" t="str">
        <f>"10-1031-3000"</f>
        <v>10-1031-3000</v>
      </c>
      <c r="C4648" t="str">
        <f>"Upgrade Package ER 4pc/5plus to ER4u"</f>
        <v>Upgrade Package ER 4pc/5plus to ER4u</v>
      </c>
      <c r="D4648">
        <v>1</v>
      </c>
      <c r="E4648" t="str">
        <f>"Upgrade package - ER4pc/ER5p to ER4U"</f>
        <v>Upgrade package - ER4pc/ER5p to ER4U</v>
      </c>
      <c r="F4648">
        <v>802</v>
      </c>
      <c r="G4648" t="str">
        <f t="shared" si="1186"/>
        <v>Y</v>
      </c>
      <c r="H4648" t="str">
        <f t="shared" ref="H4648:H4671" si="1196">"EA"</f>
        <v>EA</v>
      </c>
      <c r="I4648">
        <v>0</v>
      </c>
      <c r="J4648">
        <v>0</v>
      </c>
      <c r="K4648" t="str">
        <f t="shared" si="1187"/>
        <v>Y</v>
      </c>
      <c r="L4648">
        <v>0</v>
      </c>
      <c r="M4648" t="str">
        <f t="shared" si="1194"/>
        <v>NIS</v>
      </c>
      <c r="O4648">
        <v>1</v>
      </c>
      <c r="P4648" t="str">
        <f t="shared" si="1185"/>
        <v>Active</v>
      </c>
      <c r="Q4648" t="str">
        <f>"Upgrade Package ER 4pc/5plus to ER4u"</f>
        <v>Upgrade Package ER 4pc/5plus to ER4u</v>
      </c>
      <c r="S4648" t="str">
        <f>"Upgrade Package ER 4pc/5plus to ER4u"</f>
        <v>Upgrade Package ER 4pc/5plus to ER4u</v>
      </c>
      <c r="T4648">
        <v>0</v>
      </c>
      <c r="U4648" s="44">
        <v>1200</v>
      </c>
      <c r="V4648" s="44">
        <v>1247.93</v>
      </c>
      <c r="W4648" t="str">
        <f t="shared" si="1188"/>
        <v>rob</v>
      </c>
    </row>
    <row r="4649" spans="1:23">
      <c r="A4649" t="str">
        <f>"UPGR TO ER4u"</f>
        <v>UPGR TO ER4u</v>
      </c>
      <c r="B4649" t="str">
        <f>"63-7000-0100"</f>
        <v>63-7000-0100</v>
      </c>
      <c r="C4649" t="str">
        <f>"License Key for RoboCell"</f>
        <v>License Key for RoboCell</v>
      </c>
      <c r="D4649">
        <v>1</v>
      </c>
      <c r="E4649" t="str">
        <f>"Upgrade package - ER4pc/ER5p to ER4U"</f>
        <v>Upgrade package - ER4pc/ER5p to ER4U</v>
      </c>
      <c r="F4649">
        <v>802</v>
      </c>
      <c r="G4649" t="str">
        <f t="shared" si="1186"/>
        <v>Y</v>
      </c>
      <c r="H4649" t="str">
        <f t="shared" si="1196"/>
        <v>EA</v>
      </c>
      <c r="I4649">
        <v>0</v>
      </c>
      <c r="J4649">
        <v>0</v>
      </c>
      <c r="K4649" t="str">
        <f t="shared" si="1187"/>
        <v>Y</v>
      </c>
      <c r="L4649">
        <v>0</v>
      </c>
      <c r="M4649" t="str">
        <f t="shared" si="1194"/>
        <v>NIS</v>
      </c>
      <c r="N4649" t="str">
        <f>"Y"</f>
        <v>Y</v>
      </c>
      <c r="O4649">
        <v>2</v>
      </c>
      <c r="P4649" t="str">
        <f t="shared" si="1185"/>
        <v>Active</v>
      </c>
      <c r="Q4649" t="str">
        <f>"License Key for RoboCell/SCORBASE USB"</f>
        <v>License Key for RoboCell/SCORBASE USB</v>
      </c>
      <c r="R4649" t="str">
        <f>"1"</f>
        <v>1</v>
      </c>
      <c r="S4649" t="str">
        <f>"License Key for RoboCell/SCORBASE USB"</f>
        <v>License Key for RoboCell/SCORBASE USB</v>
      </c>
      <c r="T4649">
        <v>0</v>
      </c>
      <c r="U4649">
        <v>10</v>
      </c>
      <c r="V4649">
        <v>11.1</v>
      </c>
      <c r="W4649" t="str">
        <f t="shared" si="1188"/>
        <v>rob</v>
      </c>
    </row>
    <row r="4650" spans="1:23">
      <c r="A4650" t="str">
        <f>"UPGR TO -ER4u"</f>
        <v>UPGR TO -ER4u</v>
      </c>
      <c r="B4650" t="str">
        <f>"10-1031-2000"</f>
        <v>10-1031-2000</v>
      </c>
      <c r="C4650" t="str">
        <f>"Upgrade Package ER 3/5 to ER4u"</f>
        <v>Upgrade Package ER 3/5 to ER4u</v>
      </c>
      <c r="D4650">
        <v>1</v>
      </c>
      <c r="E4650" t="str">
        <f>"Upgrade package - ER 3 / ER5 to ER4U"</f>
        <v>Upgrade package - ER 3 / ER5 to ER4U</v>
      </c>
      <c r="F4650">
        <v>802</v>
      </c>
      <c r="G4650" t="str">
        <f t="shared" si="1186"/>
        <v>Y</v>
      </c>
      <c r="H4650" t="str">
        <f t="shared" si="1196"/>
        <v>EA</v>
      </c>
      <c r="I4650">
        <v>0</v>
      </c>
      <c r="J4650">
        <v>0</v>
      </c>
      <c r="K4650" t="str">
        <f t="shared" si="1187"/>
        <v>Y</v>
      </c>
      <c r="L4650">
        <v>0</v>
      </c>
      <c r="M4650" t="str">
        <f t="shared" si="1194"/>
        <v>NIS</v>
      </c>
      <c r="O4650">
        <v>1</v>
      </c>
      <c r="P4650" t="str">
        <f t="shared" si="1185"/>
        <v>Active</v>
      </c>
      <c r="Q4650" t="str">
        <f>"Upgrade Package ER 3/5 to ER4u"</f>
        <v>Upgrade Package ER 3/5 to ER4u</v>
      </c>
      <c r="S4650" t="str">
        <f>"Upgrade Package ER 3/5 to ER4u"</f>
        <v>Upgrade Package ER 3/5 to ER4u</v>
      </c>
      <c r="T4650">
        <v>0</v>
      </c>
      <c r="U4650" s="44">
        <v>1415</v>
      </c>
      <c r="V4650" s="44">
        <v>1421.49</v>
      </c>
      <c r="W4650" t="str">
        <f t="shared" si="1188"/>
        <v>rob</v>
      </c>
    </row>
    <row r="4651" spans="1:23">
      <c r="A4651" t="str">
        <f>"UPGR TO -ER4u"</f>
        <v>UPGR TO -ER4u</v>
      </c>
      <c r="B4651" t="str">
        <f>"63-7000-0100"</f>
        <v>63-7000-0100</v>
      </c>
      <c r="C4651" t="str">
        <f>"License Key for RoboCell"</f>
        <v>License Key for RoboCell</v>
      </c>
      <c r="D4651">
        <v>1</v>
      </c>
      <c r="E4651" t="str">
        <f>"Upgrade package - ER 3 / ER5 to ER4U"</f>
        <v>Upgrade package - ER 3 / ER5 to ER4U</v>
      </c>
      <c r="F4651">
        <v>802</v>
      </c>
      <c r="G4651" t="str">
        <f t="shared" si="1186"/>
        <v>Y</v>
      </c>
      <c r="H4651" t="str">
        <f t="shared" si="1196"/>
        <v>EA</v>
      </c>
      <c r="I4651">
        <v>0</v>
      </c>
      <c r="J4651">
        <v>0</v>
      </c>
      <c r="K4651" t="str">
        <f t="shared" si="1187"/>
        <v>Y</v>
      </c>
      <c r="L4651">
        <v>0</v>
      </c>
      <c r="M4651" t="str">
        <f t="shared" si="1194"/>
        <v>NIS</v>
      </c>
      <c r="N4651" t="str">
        <f>"Y"</f>
        <v>Y</v>
      </c>
      <c r="O4651">
        <v>2</v>
      </c>
      <c r="P4651" t="str">
        <f t="shared" si="1185"/>
        <v>Active</v>
      </c>
      <c r="Q4651" t="str">
        <f>"License Key for RoboCell/SCORBASE USB"</f>
        <v>License Key for RoboCell/SCORBASE USB</v>
      </c>
      <c r="R4651" t="str">
        <f>"1"</f>
        <v>1</v>
      </c>
      <c r="S4651" t="str">
        <f>"License Key for RoboCell/SCORBASE USB"</f>
        <v>License Key for RoboCell/SCORBASE USB</v>
      </c>
      <c r="T4651">
        <v>0</v>
      </c>
      <c r="U4651">
        <v>10</v>
      </c>
      <c r="V4651">
        <v>11.1</v>
      </c>
      <c r="W4651" t="str">
        <f t="shared" si="1188"/>
        <v>rob</v>
      </c>
    </row>
    <row r="4652" spans="1:23">
      <c r="A4652" t="str">
        <f>"UPGR-PCI-EXPM"</f>
        <v>UPGR-PCI-EXPM</v>
      </c>
      <c r="B4652" t="str">
        <f>"63-0601-0000"</f>
        <v>63-0601-0000</v>
      </c>
      <c r="C4652" t="str">
        <f>"EXM0600, iCNC Software Upgrade"</f>
        <v>EXM0600, iCNC Software Upgrade</v>
      </c>
      <c r="D4652">
        <v>1</v>
      </c>
      <c r="E4652" t="str">
        <f>"eXpert Mill 0600 Upgrd. Pckg. PCI Card and Control Software"</f>
        <v>eXpert Mill 0600 Upgrd. Pckg. PCI Card and Control Software</v>
      </c>
      <c r="F4652">
        <v>0</v>
      </c>
      <c r="G4652" t="str">
        <f t="shared" si="1186"/>
        <v>Y</v>
      </c>
      <c r="H4652" t="str">
        <f t="shared" si="1196"/>
        <v>EA</v>
      </c>
      <c r="I4652">
        <v>0</v>
      </c>
      <c r="J4652">
        <v>0</v>
      </c>
      <c r="K4652" t="str">
        <f t="shared" si="1187"/>
        <v>Y</v>
      </c>
      <c r="L4652">
        <v>0</v>
      </c>
      <c r="M4652" t="str">
        <f t="shared" si="1194"/>
        <v>NIS</v>
      </c>
      <c r="O4652">
        <v>1</v>
      </c>
      <c r="P4652" t="str">
        <f t="shared" si="1185"/>
        <v>Active</v>
      </c>
      <c r="Q4652" t="str">
        <f>"EXM0600, iCNC Software Upgrade"</f>
        <v>EXM0600, iCNC Software Upgrade</v>
      </c>
      <c r="S4652" t="str">
        <f>"EXM0600, iCNC Software Upgrade"</f>
        <v>EXM0600, iCNC Software Upgrade</v>
      </c>
      <c r="T4652">
        <v>0</v>
      </c>
      <c r="U4652">
        <v>10.81</v>
      </c>
      <c r="V4652">
        <v>9.7899999999999991</v>
      </c>
      <c r="W4652" t="str">
        <f t="shared" ref="W4652:W4663" si="1197">"zintel"</f>
        <v>zintel</v>
      </c>
    </row>
    <row r="4653" spans="1:23">
      <c r="A4653" t="str">
        <f>"UPGR-PCI-EXPM"</f>
        <v>UPGR-PCI-EXPM</v>
      </c>
      <c r="B4653" t="str">
        <f>"22-8200-0056"</f>
        <v>22-8200-0056</v>
      </c>
      <c r="C4653" t="str">
        <f>"Assembly, PCB, 4-Axis PCI Stepper Control Card"</f>
        <v>Assembly, PCB, 4-Axis PCI Stepper Control Card</v>
      </c>
      <c r="D4653">
        <v>1</v>
      </c>
      <c r="E4653" t="str">
        <f>"eXpert Mill 0600 Upgrd. Pckg. PCI Card and Control Software"</f>
        <v>eXpert Mill 0600 Upgrd. Pckg. PCI Card and Control Software</v>
      </c>
      <c r="F4653">
        <v>0</v>
      </c>
      <c r="G4653" t="str">
        <f t="shared" si="1186"/>
        <v>Y</v>
      </c>
      <c r="H4653" t="str">
        <f t="shared" si="1196"/>
        <v>EA</v>
      </c>
      <c r="I4653">
        <v>0</v>
      </c>
      <c r="J4653">
        <v>0</v>
      </c>
      <c r="K4653" t="str">
        <f t="shared" si="1187"/>
        <v>Y</v>
      </c>
      <c r="L4653">
        <v>0</v>
      </c>
      <c r="M4653" t="str">
        <f t="shared" si="1194"/>
        <v>NIS</v>
      </c>
      <c r="O4653">
        <v>2</v>
      </c>
      <c r="P4653" t="str">
        <f>"Phase Out"</f>
        <v>Phase Out</v>
      </c>
      <c r="Q4653" t="str">
        <f>"Assembly, PCB, 4-Axis PCI Stepper Control Card"</f>
        <v>Assembly, PCB, 4-Axis PCI Stepper Control Card</v>
      </c>
      <c r="S4653" t="str">
        <f>"Assembly, PCB, 4-Axis PCI Stepper Control Card"</f>
        <v>Assembly, PCB, 4-Axis PCI Stepper Control Card</v>
      </c>
      <c r="T4653">
        <v>287.75</v>
      </c>
      <c r="U4653">
        <v>287.75</v>
      </c>
      <c r="V4653">
        <v>435.51</v>
      </c>
      <c r="W4653" t="str">
        <f t="shared" si="1197"/>
        <v>zintel</v>
      </c>
    </row>
    <row r="4654" spans="1:23">
      <c r="A4654" t="str">
        <f>"UPGR-PCI-PLT"</f>
        <v>UPGR-PCI-PLT</v>
      </c>
      <c r="B4654" t="str">
        <f>"22-8200-0053"</f>
        <v>22-8200-0053</v>
      </c>
      <c r="C4654" t="str">
        <f>"Assembly, PCB, 3-Axis PCI Stepper Control Card"</f>
        <v>Assembly, PCB, 3-Axis PCI Stepper Control Card</v>
      </c>
      <c r="D4654">
        <v>1</v>
      </c>
      <c r="E4654" t="str">
        <f>"Prolight 3000 Upgrd. Pckg. PCI Card &amp; Control Software"</f>
        <v>Prolight 3000 Upgrd. Pckg. PCI Card &amp; Control Software</v>
      </c>
      <c r="F4654">
        <v>0</v>
      </c>
      <c r="G4654" t="str">
        <f t="shared" si="1186"/>
        <v>Y</v>
      </c>
      <c r="H4654" t="str">
        <f t="shared" si="1196"/>
        <v>EA</v>
      </c>
      <c r="I4654">
        <v>0</v>
      </c>
      <c r="J4654">
        <v>0</v>
      </c>
      <c r="K4654" t="str">
        <f t="shared" si="1187"/>
        <v>Y</v>
      </c>
      <c r="L4654">
        <v>0</v>
      </c>
      <c r="M4654" t="str">
        <f t="shared" si="1194"/>
        <v>NIS</v>
      </c>
      <c r="O4654">
        <v>1</v>
      </c>
      <c r="P4654" t="str">
        <f>"Phase Out"</f>
        <v>Phase Out</v>
      </c>
      <c r="Q4654" t="str">
        <f>"Assembly, PCB, 3-Axis PCI Stepper Control Card"</f>
        <v>Assembly, PCB, 3-Axis PCI Stepper Control Card</v>
      </c>
      <c r="S4654" t="str">
        <f>"Assembly, PCB, 3-Axis PCI Stepper Control Card"</f>
        <v>Assembly, PCB, 3-Axis PCI Stepper Control Card</v>
      </c>
      <c r="T4654">
        <v>272.87</v>
      </c>
      <c r="U4654">
        <v>272.87</v>
      </c>
      <c r="V4654">
        <v>402.67</v>
      </c>
      <c r="W4654" t="str">
        <f t="shared" si="1197"/>
        <v>zintel</v>
      </c>
    </row>
    <row r="4655" spans="1:23">
      <c r="A4655" t="str">
        <f>"UPGR-PCI-PLT"</f>
        <v>UPGR-PCI-PLT</v>
      </c>
      <c r="B4655" t="str">
        <f>"63-3003-0000"</f>
        <v>63-3003-0000</v>
      </c>
      <c r="C4655" t="str">
        <f>"PLT3000, CNCBase Software Upgrade"</f>
        <v>PLT3000, CNCBase Software Upgrade</v>
      </c>
      <c r="D4655">
        <v>1</v>
      </c>
      <c r="E4655" t="str">
        <f>"Prolight 3000 Upgrd. Pckg. PCI Card &amp; Control Software"</f>
        <v>Prolight 3000 Upgrd. Pckg. PCI Card &amp; Control Software</v>
      </c>
      <c r="F4655">
        <v>0</v>
      </c>
      <c r="G4655" t="str">
        <f t="shared" si="1186"/>
        <v>Y</v>
      </c>
      <c r="H4655" t="str">
        <f t="shared" si="1196"/>
        <v>EA</v>
      </c>
      <c r="I4655">
        <v>0</v>
      </c>
      <c r="J4655">
        <v>0</v>
      </c>
      <c r="K4655" t="str">
        <f t="shared" si="1187"/>
        <v>Y</v>
      </c>
      <c r="L4655">
        <v>0</v>
      </c>
      <c r="M4655" t="str">
        <f t="shared" si="1194"/>
        <v>NIS</v>
      </c>
      <c r="O4655">
        <v>2</v>
      </c>
      <c r="P4655" t="str">
        <f>"Active"</f>
        <v>Active</v>
      </c>
      <c r="Q4655" t="str">
        <f>"PLT3000, CNCBase Software Upgrade"</f>
        <v>PLT3000, CNCBase Software Upgrade</v>
      </c>
      <c r="S4655" t="str">
        <f>"PLT3000, CNCBase Software Upgrade"</f>
        <v>PLT3000, CNCBase Software Upgrade</v>
      </c>
      <c r="T4655">
        <v>11.69</v>
      </c>
      <c r="U4655">
        <v>10.81</v>
      </c>
      <c r="V4655">
        <v>11.13</v>
      </c>
      <c r="W4655" t="str">
        <f t="shared" si="1197"/>
        <v>zintel</v>
      </c>
    </row>
    <row r="4656" spans="1:23">
      <c r="A4656" t="str">
        <f>"UPGR-PCI-ROUT"</f>
        <v>UPGR-PCI-ROUT</v>
      </c>
      <c r="B4656" t="str">
        <f>"22-8200-0053"</f>
        <v>22-8200-0053</v>
      </c>
      <c r="C4656" t="str">
        <f>"Assembly, PCB, 3-Axis PCI Stepper Control Card"</f>
        <v>Assembly, PCB, 3-Axis PCI Stepper Control Card</v>
      </c>
      <c r="D4656">
        <v>1</v>
      </c>
      <c r="E4656" t="str">
        <f>"Router 8800 Upgrd. Pckg. PCI Card &amp; Control Software"</f>
        <v>Router 8800 Upgrd. Pckg. PCI Card &amp; Control Software</v>
      </c>
      <c r="F4656">
        <v>0</v>
      </c>
      <c r="G4656" t="str">
        <f t="shared" si="1186"/>
        <v>Y</v>
      </c>
      <c r="H4656" t="str">
        <f t="shared" si="1196"/>
        <v>EA</v>
      </c>
      <c r="I4656">
        <v>0</v>
      </c>
      <c r="J4656">
        <v>0</v>
      </c>
      <c r="K4656" t="str">
        <f t="shared" si="1187"/>
        <v>Y</v>
      </c>
      <c r="L4656">
        <v>0</v>
      </c>
      <c r="M4656" t="str">
        <f t="shared" si="1194"/>
        <v>NIS</v>
      </c>
      <c r="O4656">
        <v>1</v>
      </c>
      <c r="P4656" t="str">
        <f>"Phase Out"</f>
        <v>Phase Out</v>
      </c>
      <c r="Q4656" t="str">
        <f>"Assembly, PCB, 3-Axis PCI Stepper Control Card"</f>
        <v>Assembly, PCB, 3-Axis PCI Stepper Control Card</v>
      </c>
      <c r="S4656" t="str">
        <f>"Assembly, PCB, 3-Axis PCI Stepper Control Card"</f>
        <v>Assembly, PCB, 3-Axis PCI Stepper Control Card</v>
      </c>
      <c r="T4656">
        <v>272.87</v>
      </c>
      <c r="U4656">
        <v>272.87</v>
      </c>
      <c r="V4656">
        <v>402.67</v>
      </c>
      <c r="W4656" t="str">
        <f t="shared" si="1197"/>
        <v>zintel</v>
      </c>
    </row>
    <row r="4657" spans="1:23">
      <c r="A4657" t="str">
        <f>"UPGR-PCI-ROUT"</f>
        <v>UPGR-PCI-ROUT</v>
      </c>
      <c r="B4657" t="str">
        <f>"63-8801-0000"</f>
        <v>63-8801-0000</v>
      </c>
      <c r="C4657" t="str">
        <f>"LMR8800, CNCBase software Upgrade"</f>
        <v>LMR8800, CNCBase software Upgrade</v>
      </c>
      <c r="D4657">
        <v>1</v>
      </c>
      <c r="E4657" t="str">
        <f>"Router 8800 Upgrd. Pckg. PCI Card &amp; Control Software"</f>
        <v>Router 8800 Upgrd. Pckg. PCI Card &amp; Control Software</v>
      </c>
      <c r="F4657">
        <v>0</v>
      </c>
      <c r="G4657" t="str">
        <f t="shared" si="1186"/>
        <v>Y</v>
      </c>
      <c r="H4657" t="str">
        <f t="shared" si="1196"/>
        <v>EA</v>
      </c>
      <c r="I4657">
        <v>0</v>
      </c>
      <c r="J4657">
        <v>0</v>
      </c>
      <c r="K4657" t="str">
        <f t="shared" si="1187"/>
        <v>Y</v>
      </c>
      <c r="L4657">
        <v>0</v>
      </c>
      <c r="M4657" t="str">
        <f t="shared" si="1194"/>
        <v>NIS</v>
      </c>
      <c r="O4657">
        <v>2</v>
      </c>
      <c r="P4657" t="str">
        <f>"Active"</f>
        <v>Active</v>
      </c>
      <c r="Q4657" t="str">
        <f>"LMR8800, CNCBase software Upgrade"</f>
        <v>LMR8800, CNCBase software Upgrade</v>
      </c>
      <c r="S4657" t="str">
        <f>"LMR8800, CNCBase software Upgrade"</f>
        <v>LMR8800, CNCBase software Upgrade</v>
      </c>
      <c r="T4657">
        <v>9.43</v>
      </c>
      <c r="U4657">
        <v>9.42</v>
      </c>
      <c r="V4657">
        <v>8.34</v>
      </c>
      <c r="W4657" t="str">
        <f t="shared" si="1197"/>
        <v>zintel</v>
      </c>
    </row>
    <row r="4658" spans="1:23">
      <c r="A4658" t="str">
        <f>"UPGR-PCI-SLM"</f>
        <v>UPGR-PCI-SLM</v>
      </c>
      <c r="B4658" t="str">
        <f>"22-8200-0053"</f>
        <v>22-8200-0053</v>
      </c>
      <c r="C4658" t="str">
        <f>"Assembly, PCB, 3-Axis PCI Stepper Control Card"</f>
        <v>Assembly, PCB, 3-Axis PCI Stepper Control Card</v>
      </c>
      <c r="D4658">
        <v>1</v>
      </c>
      <c r="E4658" t="str">
        <f>"SL Mill 0200 Upgrd. Pckg. PCI Card and Control Software"</f>
        <v>SL Mill 0200 Upgrd. Pckg. PCI Card and Control Software</v>
      </c>
      <c r="F4658">
        <v>0</v>
      </c>
      <c r="G4658" t="str">
        <f t="shared" si="1186"/>
        <v>Y</v>
      </c>
      <c r="H4658" t="str">
        <f t="shared" si="1196"/>
        <v>EA</v>
      </c>
      <c r="I4658">
        <v>0</v>
      </c>
      <c r="J4658">
        <v>0</v>
      </c>
      <c r="K4658" t="str">
        <f t="shared" si="1187"/>
        <v>Y</v>
      </c>
      <c r="L4658">
        <v>0</v>
      </c>
      <c r="M4658" t="str">
        <f t="shared" si="1194"/>
        <v>NIS</v>
      </c>
      <c r="O4658">
        <v>1</v>
      </c>
      <c r="P4658" t="str">
        <f>"Phase Out"</f>
        <v>Phase Out</v>
      </c>
      <c r="Q4658" t="str">
        <f>"Assembly, PCB, 3-Axis PCI Stepper Control Card"</f>
        <v>Assembly, PCB, 3-Axis PCI Stepper Control Card</v>
      </c>
      <c r="S4658" t="str">
        <f>"Assembly, PCB, 3-Axis PCI Stepper Control Card"</f>
        <v>Assembly, PCB, 3-Axis PCI Stepper Control Card</v>
      </c>
      <c r="T4658">
        <v>272.87</v>
      </c>
      <c r="U4658">
        <v>272.87</v>
      </c>
      <c r="V4658">
        <v>402.67</v>
      </c>
      <c r="W4658" t="str">
        <f t="shared" si="1197"/>
        <v>zintel</v>
      </c>
    </row>
    <row r="4659" spans="1:23">
      <c r="A4659" t="str">
        <f>"UPGR-PCI-SLM"</f>
        <v>UPGR-PCI-SLM</v>
      </c>
      <c r="B4659" t="str">
        <f>"63-0201-0001"</f>
        <v>63-0201-0001</v>
      </c>
      <c r="C4659" t="str">
        <f>"SLM 0200, Software Upgrade, Windows"</f>
        <v>SLM 0200, Software Upgrade, Windows</v>
      </c>
      <c r="D4659">
        <v>1</v>
      </c>
      <c r="E4659" t="str">
        <f>"SL Mill 0200 Upgrd. Pckg. PCI Card and Control Software"</f>
        <v>SL Mill 0200 Upgrd. Pckg. PCI Card and Control Software</v>
      </c>
      <c r="F4659">
        <v>0</v>
      </c>
      <c r="G4659" t="str">
        <f t="shared" si="1186"/>
        <v>Y</v>
      </c>
      <c r="H4659" t="str">
        <f t="shared" si="1196"/>
        <v>EA</v>
      </c>
      <c r="I4659">
        <v>0</v>
      </c>
      <c r="J4659">
        <v>0</v>
      </c>
      <c r="K4659" t="str">
        <f t="shared" si="1187"/>
        <v>Y</v>
      </c>
      <c r="L4659">
        <v>0</v>
      </c>
      <c r="M4659" t="str">
        <f t="shared" si="1194"/>
        <v>NIS</v>
      </c>
      <c r="O4659">
        <v>2</v>
      </c>
      <c r="P4659" t="str">
        <f>"Active"</f>
        <v>Active</v>
      </c>
      <c r="Q4659" t="str">
        <f>"SLM 0200, Software Upgrade, Windows"</f>
        <v>SLM 0200, Software Upgrade, Windows</v>
      </c>
      <c r="S4659" t="str">
        <f>"SLM 0200, Software Upgrade, Windows"</f>
        <v>SLM 0200, Software Upgrade, Windows</v>
      </c>
      <c r="T4659">
        <v>9.43</v>
      </c>
      <c r="U4659">
        <v>8.5500000000000007</v>
      </c>
      <c r="V4659">
        <v>393.98</v>
      </c>
      <c r="W4659" t="str">
        <f t="shared" si="1197"/>
        <v>zintel</v>
      </c>
    </row>
    <row r="4660" spans="1:23">
      <c r="A4660" t="str">
        <f>"UPGR-PCI-SLT"</f>
        <v>UPGR-PCI-SLT</v>
      </c>
      <c r="B4660" t="str">
        <f>"22-8200-0053"</f>
        <v>22-8200-0053</v>
      </c>
      <c r="C4660" t="str">
        <f>"Assembly, PCB, 3-Axis PCI Stepper Control Card"</f>
        <v>Assembly, PCB, 3-Axis PCI Stepper Control Card</v>
      </c>
      <c r="D4660">
        <v>1</v>
      </c>
      <c r="E4660" t="str">
        <f>"SL Lathe 0400 Upgrd. Pckg. PCI Card &amp; Control Software"</f>
        <v>SL Lathe 0400 Upgrd. Pckg. PCI Card &amp; Control Software</v>
      </c>
      <c r="F4660">
        <v>0</v>
      </c>
      <c r="G4660" t="str">
        <f t="shared" si="1186"/>
        <v>Y</v>
      </c>
      <c r="H4660" t="str">
        <f t="shared" si="1196"/>
        <v>EA</v>
      </c>
      <c r="I4660">
        <v>0</v>
      </c>
      <c r="J4660">
        <v>0</v>
      </c>
      <c r="K4660" t="str">
        <f t="shared" si="1187"/>
        <v>Y</v>
      </c>
      <c r="L4660">
        <v>0</v>
      </c>
      <c r="M4660" t="str">
        <f t="shared" si="1194"/>
        <v>NIS</v>
      </c>
      <c r="O4660">
        <v>1</v>
      </c>
      <c r="P4660" t="str">
        <f>"Phase Out"</f>
        <v>Phase Out</v>
      </c>
      <c r="Q4660" t="str">
        <f>"Assembly, PCB, 3-Axis PCI Stepper Control Card"</f>
        <v>Assembly, PCB, 3-Axis PCI Stepper Control Card</v>
      </c>
      <c r="S4660" t="str">
        <f>"Assembly, PCB, 3-Axis PCI Stepper Control Card"</f>
        <v>Assembly, PCB, 3-Axis PCI Stepper Control Card</v>
      </c>
      <c r="T4660">
        <v>272.87</v>
      </c>
      <c r="U4660">
        <v>272.87</v>
      </c>
      <c r="V4660">
        <v>402.67</v>
      </c>
      <c r="W4660" t="str">
        <f t="shared" si="1197"/>
        <v>zintel</v>
      </c>
    </row>
    <row r="4661" spans="1:23">
      <c r="A4661" t="str">
        <f>"UPGR-PCI-SLT"</f>
        <v>UPGR-PCI-SLT</v>
      </c>
      <c r="B4661" t="str">
        <f>"63-0401-0001"</f>
        <v>63-0401-0001</v>
      </c>
      <c r="C4661" t="str">
        <f>"SLT 0400, Software Upgrade"</f>
        <v>SLT 0400, Software Upgrade</v>
      </c>
      <c r="D4661">
        <v>1</v>
      </c>
      <c r="E4661" t="str">
        <f>"SL Lathe 0400 Upgrd. Pckg. PCI Card &amp; Control Software"</f>
        <v>SL Lathe 0400 Upgrd. Pckg. PCI Card &amp; Control Software</v>
      </c>
      <c r="F4661">
        <v>0</v>
      </c>
      <c r="G4661" t="str">
        <f t="shared" si="1186"/>
        <v>Y</v>
      </c>
      <c r="H4661" t="str">
        <f t="shared" si="1196"/>
        <v>EA</v>
      </c>
      <c r="I4661">
        <v>0</v>
      </c>
      <c r="J4661">
        <v>0</v>
      </c>
      <c r="K4661" t="str">
        <f t="shared" si="1187"/>
        <v>Y</v>
      </c>
      <c r="L4661">
        <v>0</v>
      </c>
      <c r="M4661" t="str">
        <f t="shared" si="1194"/>
        <v>NIS</v>
      </c>
      <c r="O4661">
        <v>2</v>
      </c>
      <c r="P4661" t="str">
        <f>"Active"</f>
        <v>Active</v>
      </c>
      <c r="Q4661" t="str">
        <f>"SLT 0400, Software Upgrade"</f>
        <v>SLT 0400, Software Upgrade</v>
      </c>
      <c r="S4661" t="str">
        <f>"SLT 0400, Software Upgrade"</f>
        <v>SLT 0400, Software Upgrade</v>
      </c>
      <c r="T4661">
        <v>9.43</v>
      </c>
      <c r="U4661">
        <v>8.5500000000000007</v>
      </c>
      <c r="V4661">
        <v>393.98</v>
      </c>
      <c r="W4661" t="str">
        <f t="shared" si="1197"/>
        <v>zintel</v>
      </c>
    </row>
    <row r="4662" spans="1:23">
      <c r="A4662" t="str">
        <f>"UPGR-PCI-SPLM"</f>
        <v>UPGR-PCI-SPLM</v>
      </c>
      <c r="B4662" t="str">
        <f>"22-8200-0056"</f>
        <v>22-8200-0056</v>
      </c>
      <c r="C4662" t="str">
        <f>"Assembly, PCB, 4-Axis PCI Stepper Control Card"</f>
        <v>Assembly, PCB, 4-Axis PCI Stepper Control Card</v>
      </c>
      <c r="D4662">
        <v>1</v>
      </c>
      <c r="E4662" t="str">
        <f>"SPLM Package - PCI Card and Control Software"</f>
        <v>SPLM Package - PCI Card and Control Software</v>
      </c>
      <c r="F4662">
        <v>0</v>
      </c>
      <c r="G4662" t="str">
        <f t="shared" si="1186"/>
        <v>Y</v>
      </c>
      <c r="H4662" t="str">
        <f t="shared" si="1196"/>
        <v>EA</v>
      </c>
      <c r="I4662">
        <v>0</v>
      </c>
      <c r="J4662">
        <v>0</v>
      </c>
      <c r="K4662" t="str">
        <f t="shared" si="1187"/>
        <v>Y</v>
      </c>
      <c r="L4662">
        <v>0</v>
      </c>
      <c r="M4662" t="str">
        <f t="shared" si="1194"/>
        <v>NIS</v>
      </c>
      <c r="O4662">
        <v>1</v>
      </c>
      <c r="P4662" t="str">
        <f>"Phase Out"</f>
        <v>Phase Out</v>
      </c>
      <c r="Q4662" t="str">
        <f>"Assembly, PCB, 4-Axis PCI Stepper Control Card"</f>
        <v>Assembly, PCB, 4-Axis PCI Stepper Control Card</v>
      </c>
      <c r="S4662" t="str">
        <f>"Assembly, PCB, 4-Axis PCI Stepper Control Card"</f>
        <v>Assembly, PCB, 4-Axis PCI Stepper Control Card</v>
      </c>
      <c r="T4662">
        <v>287.75</v>
      </c>
      <c r="U4662">
        <v>287.75</v>
      </c>
      <c r="V4662">
        <v>435.51</v>
      </c>
      <c r="W4662" t="str">
        <f t="shared" si="1197"/>
        <v>zintel</v>
      </c>
    </row>
    <row r="4663" spans="1:23">
      <c r="A4663" t="str">
        <f>"UPGR-PCI-SPLM"</f>
        <v>UPGR-PCI-SPLM</v>
      </c>
      <c r="B4663" t="str">
        <f>"63-1004-0000"</f>
        <v>63-1004-0000</v>
      </c>
      <c r="C4663" t="str">
        <f>"SPLM1000, iCNC Software Upgrade"</f>
        <v>SPLM1000, iCNC Software Upgrade</v>
      </c>
      <c r="D4663">
        <v>1</v>
      </c>
      <c r="E4663" t="str">
        <f>"SPLM Package - PCI Card and Control Software"</f>
        <v>SPLM Package - PCI Card and Control Software</v>
      </c>
      <c r="F4663">
        <v>0</v>
      </c>
      <c r="G4663" t="str">
        <f t="shared" si="1186"/>
        <v>Y</v>
      </c>
      <c r="H4663" t="str">
        <f t="shared" si="1196"/>
        <v>EA</v>
      </c>
      <c r="I4663">
        <v>0</v>
      </c>
      <c r="J4663">
        <v>0</v>
      </c>
      <c r="K4663" t="str">
        <f t="shared" si="1187"/>
        <v>Y</v>
      </c>
      <c r="L4663">
        <v>0</v>
      </c>
      <c r="M4663" t="str">
        <f t="shared" si="1194"/>
        <v>NIS</v>
      </c>
      <c r="O4663">
        <v>2</v>
      </c>
      <c r="P4663" t="str">
        <f t="shared" ref="P4663:P4694" si="1198">"Active"</f>
        <v>Active</v>
      </c>
      <c r="Q4663" t="str">
        <f>"SPLM1000, iCNC Software Upgrade"</f>
        <v>SPLM1000, iCNC Software Upgrade</v>
      </c>
      <c r="S4663" t="str">
        <f>"SPLM1000, iCNC Software Upgrade"</f>
        <v>SPLM1000, iCNC Software Upgrade</v>
      </c>
      <c r="T4663">
        <v>9.43</v>
      </c>
      <c r="U4663">
        <v>0.56999999999999995</v>
      </c>
      <c r="V4663">
        <v>0.66</v>
      </c>
      <c r="W4663" t="str">
        <f t="shared" si="1197"/>
        <v>zintel</v>
      </c>
    </row>
    <row r="4664" spans="1:23">
      <c r="A4664" t="str">
        <f>"VIEWFLEX SWARE"</f>
        <v>VIEWFLEX SWARE</v>
      </c>
      <c r="B4664" t="str">
        <f>"63-9229-0000"</f>
        <v>63-9229-0000</v>
      </c>
      <c r="C4664" t="str">
        <f>"ViewFlex Software (Single License incl. Dongle)"</f>
        <v>ViewFlex Software (Single License incl. Dongle)</v>
      </c>
      <c r="D4664">
        <v>1</v>
      </c>
      <c r="E4664" t="str">
        <f>"ViewFlex Software"</f>
        <v>ViewFlex Software</v>
      </c>
      <c r="F4664">
        <v>700</v>
      </c>
      <c r="G4664" t="str">
        <f t="shared" si="1186"/>
        <v>Y</v>
      </c>
      <c r="H4664" t="str">
        <f t="shared" si="1196"/>
        <v>EA</v>
      </c>
      <c r="I4664">
        <v>0</v>
      </c>
      <c r="J4664">
        <v>0</v>
      </c>
      <c r="K4664" t="str">
        <f t="shared" si="1187"/>
        <v>Y</v>
      </c>
      <c r="L4664">
        <v>0</v>
      </c>
      <c r="M4664" t="str">
        <f t="shared" si="1194"/>
        <v>NIS</v>
      </c>
      <c r="O4664">
        <v>1</v>
      </c>
      <c r="P4664" t="str">
        <f t="shared" si="1198"/>
        <v>Active</v>
      </c>
      <c r="Q4664" t="str">
        <f>"ViewFlex Software (Single License incl. Dongle)"</f>
        <v>ViewFlex Software (Single License incl. Dongle)</v>
      </c>
      <c r="S4664" t="str">
        <f>"ViewFlex Software (Single License incl. Dongle)"</f>
        <v>ViewFlex Software (Single License incl. Dongle)</v>
      </c>
      <c r="T4664">
        <v>0</v>
      </c>
      <c r="U4664">
        <v>270</v>
      </c>
      <c r="V4664">
        <v>269.64999999999998</v>
      </c>
      <c r="W4664" t="str">
        <f t="shared" ref="W4664:W4695" si="1199">"rob"</f>
        <v>rob</v>
      </c>
    </row>
    <row r="4665" spans="1:23">
      <c r="A4665" t="str">
        <f>"VIEWFLEX SWARE"</f>
        <v>VIEWFLEX SWARE</v>
      </c>
      <c r="B4665" t="str">
        <f>"63-9229-0000"</f>
        <v>63-9229-0000</v>
      </c>
      <c r="C4665" t="str">
        <f>"ViewFlex Software (Single License incl. Dongle)"</f>
        <v>ViewFlex Software (Single License incl. Dongle)</v>
      </c>
      <c r="D4665">
        <v>2</v>
      </c>
      <c r="E4665" t="str">
        <f>"ViewFlex Software"</f>
        <v>ViewFlex Software</v>
      </c>
      <c r="F4665">
        <v>700</v>
      </c>
      <c r="G4665" t="str">
        <f t="shared" si="1186"/>
        <v>Y</v>
      </c>
      <c r="H4665" t="str">
        <f t="shared" si="1196"/>
        <v>EA</v>
      </c>
      <c r="I4665">
        <v>0</v>
      </c>
      <c r="J4665">
        <v>0</v>
      </c>
      <c r="K4665" t="str">
        <f t="shared" si="1187"/>
        <v>Y</v>
      </c>
      <c r="L4665">
        <v>0</v>
      </c>
      <c r="M4665" t="str">
        <f t="shared" si="1194"/>
        <v>NIS</v>
      </c>
      <c r="N4665" t="str">
        <f>"Y"</f>
        <v>Y</v>
      </c>
      <c r="O4665">
        <v>2</v>
      </c>
      <c r="P4665" t="str">
        <f t="shared" si="1198"/>
        <v>Active</v>
      </c>
      <c r="Q4665" t="str">
        <f>"ViewFlex Software (Single License incl. Dongle)"</f>
        <v>ViewFlex Software (Single License incl. Dongle)</v>
      </c>
      <c r="S4665" t="str">
        <f>"ViewFlex Software (Single License incl. Dongle)"</f>
        <v>ViewFlex Software (Single License incl. Dongle)</v>
      </c>
      <c r="T4665">
        <v>0</v>
      </c>
      <c r="U4665">
        <v>270</v>
      </c>
      <c r="V4665">
        <v>269.64999999999998</v>
      </c>
      <c r="W4665" t="str">
        <f t="shared" si="1199"/>
        <v>rob</v>
      </c>
    </row>
    <row r="4666" spans="1:23">
      <c r="A4666" t="str">
        <f>"VIEWFLEX SWARE"</f>
        <v>VIEWFLEX SWARE</v>
      </c>
      <c r="B4666" t="str">
        <f>"63-9229-0000"</f>
        <v>63-9229-0000</v>
      </c>
      <c r="C4666" t="str">
        <f>"ViewFlex Software (Single License incl. Dongle)"</f>
        <v>ViewFlex Software (Single License incl. Dongle)</v>
      </c>
      <c r="D4666">
        <v>10</v>
      </c>
      <c r="E4666" t="str">
        <f>"ViewFlex Software"</f>
        <v>ViewFlex Software</v>
      </c>
      <c r="F4666">
        <v>700</v>
      </c>
      <c r="G4666" t="str">
        <f t="shared" si="1186"/>
        <v>Y</v>
      </c>
      <c r="H4666" t="str">
        <f t="shared" si="1196"/>
        <v>EA</v>
      </c>
      <c r="I4666">
        <v>0</v>
      </c>
      <c r="J4666">
        <v>0</v>
      </c>
      <c r="K4666" t="str">
        <f t="shared" si="1187"/>
        <v>Y</v>
      </c>
      <c r="L4666">
        <v>0</v>
      </c>
      <c r="M4666" t="str">
        <f t="shared" si="1194"/>
        <v>NIS</v>
      </c>
      <c r="N4666" t="str">
        <f>"Y"</f>
        <v>Y</v>
      </c>
      <c r="O4666">
        <v>3</v>
      </c>
      <c r="P4666" t="str">
        <f t="shared" si="1198"/>
        <v>Active</v>
      </c>
      <c r="Q4666" t="str">
        <f>"ViewFlex Software (Single License incl. Dongle)"</f>
        <v>ViewFlex Software (Single License incl. Dongle)</v>
      </c>
      <c r="S4666" t="str">
        <f>"ViewFlex Software (Single License incl. Dongle)"</f>
        <v>ViewFlex Software (Single License incl. Dongle)</v>
      </c>
      <c r="T4666">
        <v>0</v>
      </c>
      <c r="U4666">
        <v>270</v>
      </c>
      <c r="V4666">
        <v>269.64999999999998</v>
      </c>
      <c r="W4666" t="str">
        <f t="shared" si="1199"/>
        <v>rob</v>
      </c>
    </row>
    <row r="4667" spans="1:23">
      <c r="A4667" t="str">
        <f>"WELD ER4"</f>
        <v>WELD ER4</v>
      </c>
      <c r="B4667" t="str">
        <f>"00-3055-0000"</f>
        <v>00-3055-0000</v>
      </c>
      <c r="C4667" t="str">
        <f>"Automated Welding for ER4U (Stand Alone)"</f>
        <v>Automated Welding for ER4U (Stand Alone)</v>
      </c>
      <c r="D4667">
        <v>1</v>
      </c>
      <c r="E4667" t="str">
        <f>"NON-Automated Welding Station for Scorbot-ER4U Robot"</f>
        <v>NON-Automated Welding Station for Scorbot-ER4U Robot</v>
      </c>
      <c r="F4667">
        <v>700</v>
      </c>
      <c r="G4667" t="str">
        <f t="shared" si="1186"/>
        <v>Y</v>
      </c>
      <c r="H4667" t="str">
        <f t="shared" si="1196"/>
        <v>EA</v>
      </c>
      <c r="I4667">
        <v>0</v>
      </c>
      <c r="J4667">
        <v>0</v>
      </c>
      <c r="K4667" t="str">
        <f t="shared" si="1187"/>
        <v>Y</v>
      </c>
      <c r="L4667">
        <v>0</v>
      </c>
      <c r="M4667" t="str">
        <f t="shared" si="1194"/>
        <v>NIS</v>
      </c>
      <c r="O4667">
        <v>1</v>
      </c>
      <c r="P4667" t="str">
        <f t="shared" si="1198"/>
        <v>Active</v>
      </c>
      <c r="Q4667" t="str">
        <f>"Automated Welding for ER4U (Stand Alone)"</f>
        <v>Automated Welding for ER4U (Stand Alone)</v>
      </c>
      <c r="S4667" t="str">
        <f>"Automated Welding for ER4U (Stand Alone)"</f>
        <v>Automated Welding for ER4U (Stand Alone)</v>
      </c>
      <c r="T4667">
        <v>0</v>
      </c>
      <c r="U4667" s="44">
        <v>5405.89</v>
      </c>
      <c r="V4667" s="44">
        <v>5974.86</v>
      </c>
      <c r="W4667" t="str">
        <f t="shared" si="1199"/>
        <v>rob</v>
      </c>
    </row>
    <row r="4668" spans="1:23">
      <c r="A4668" t="str">
        <f>"WELD ER4"</f>
        <v>WELD ER4</v>
      </c>
      <c r="B4668" t="str">
        <f>"434004"</f>
        <v>434004</v>
      </c>
      <c r="C4668" t="str">
        <f>"Welder-Millwermatic 180 Auto-Set, 230V, 60Hz"</f>
        <v>Welder-Millwermatic 180 Auto-Set, 230V, 60Hz</v>
      </c>
      <c r="D4668">
        <v>1</v>
      </c>
      <c r="E4668" t="str">
        <f>"NON-Automated Welding Station for Scorbot-ER4U Robot"</f>
        <v>NON-Automated Welding Station for Scorbot-ER4U Robot</v>
      </c>
      <c r="F4668">
        <v>700</v>
      </c>
      <c r="G4668" t="str">
        <f t="shared" si="1186"/>
        <v>Y</v>
      </c>
      <c r="H4668" t="str">
        <f t="shared" si="1196"/>
        <v>EA</v>
      </c>
      <c r="I4668">
        <v>0</v>
      </c>
      <c r="J4668">
        <v>0</v>
      </c>
      <c r="K4668" t="str">
        <f t="shared" si="1187"/>
        <v>Y</v>
      </c>
      <c r="L4668">
        <v>0</v>
      </c>
      <c r="M4668" t="str">
        <f t="shared" si="1194"/>
        <v>NIS</v>
      </c>
      <c r="O4668">
        <v>2</v>
      </c>
      <c r="P4668" t="str">
        <f t="shared" si="1198"/>
        <v>Active</v>
      </c>
      <c r="Q4668" t="str">
        <f>"MIG Welder unit  220 V"</f>
        <v>MIG Welder unit  220 V</v>
      </c>
      <c r="S4668" t="str">
        <f>"Welder-Millwermatic 180 Auto-Set, 230V, 60Hz"</f>
        <v>Welder-Millwermatic 180 Auto-Set, 230V, 60Hz</v>
      </c>
      <c r="T4668">
        <v>0</v>
      </c>
      <c r="U4668" s="44">
        <v>1309.3499999999999</v>
      </c>
      <c r="V4668" s="44">
        <v>1246.56</v>
      </c>
      <c r="W4668" t="str">
        <f t="shared" si="1199"/>
        <v>rob</v>
      </c>
    </row>
    <row r="4669" spans="1:23">
      <c r="A4669" t="str">
        <f>"WELD-AR-TRAINER"</f>
        <v>WELD-AR-TRAINER</v>
      </c>
      <c r="B4669" t="str">
        <f>"APL0035"</f>
        <v>APL0035</v>
      </c>
      <c r="C4669" t="str">
        <f>"Soldamatic Server"</f>
        <v>Soldamatic Server</v>
      </c>
      <c r="D4669">
        <v>1</v>
      </c>
      <c r="E4669" t="str">
        <f>"Augmented Reality Welding Trainer for MIG(GMAW), TIG(GTAW) and MMA(SMAW) welding"</f>
        <v>Augmented Reality Welding Trainer for MIG(GMAW), TIG(GTAW) and MMA(SMAW) welding</v>
      </c>
      <c r="F4669">
        <v>700</v>
      </c>
      <c r="G4669" t="str">
        <f t="shared" si="1186"/>
        <v>Y</v>
      </c>
      <c r="H4669" t="str">
        <f t="shared" si="1196"/>
        <v>EA</v>
      </c>
      <c r="I4669">
        <v>0</v>
      </c>
      <c r="J4669">
        <v>0</v>
      </c>
      <c r="K4669" t="str">
        <f t="shared" si="1187"/>
        <v>Y</v>
      </c>
      <c r="L4669">
        <v>0</v>
      </c>
      <c r="M4669" t="str">
        <f t="shared" si="1194"/>
        <v>NIS</v>
      </c>
      <c r="O4669">
        <v>1</v>
      </c>
      <c r="P4669" t="str">
        <f t="shared" si="1198"/>
        <v>Active</v>
      </c>
      <c r="Q4669" t="str">
        <f>"Soldamatic Server"</f>
        <v>Soldamatic Server</v>
      </c>
      <c r="S4669" t="str">
        <f>"Soldamatic Server"</f>
        <v>Soldamatic Server</v>
      </c>
      <c r="T4669">
        <v>0</v>
      </c>
      <c r="U4669">
        <v>789.21</v>
      </c>
      <c r="V4669">
        <v>781.81</v>
      </c>
      <c r="W4669" t="str">
        <f t="shared" si="1199"/>
        <v>rob</v>
      </c>
    </row>
    <row r="4670" spans="1:23">
      <c r="A4670" t="str">
        <f>"WELD-AR-TRAINER"</f>
        <v>WELD-AR-TRAINER</v>
      </c>
      <c r="B4670" t="str">
        <f>"APL0025"</f>
        <v>APL0025</v>
      </c>
      <c r="C4670" t="str">
        <f>"Soldamatic Augmented Training Unit"</f>
        <v>Soldamatic Augmented Training Unit</v>
      </c>
      <c r="D4670">
        <v>1</v>
      </c>
      <c r="E4670" t="str">
        <f>"Augmented Reality Welding Trainer for MIG(GMAW), TIG(GTAW) and MMA(SMAW) welding"</f>
        <v>Augmented Reality Welding Trainer for MIG(GMAW), TIG(GTAW) and MMA(SMAW) welding</v>
      </c>
      <c r="F4670">
        <v>700</v>
      </c>
      <c r="G4670" t="str">
        <f t="shared" si="1186"/>
        <v>Y</v>
      </c>
      <c r="H4670" t="str">
        <f t="shared" si="1196"/>
        <v>EA</v>
      </c>
      <c r="I4670">
        <v>0</v>
      </c>
      <c r="J4670">
        <v>0</v>
      </c>
      <c r="K4670" t="str">
        <f t="shared" si="1187"/>
        <v>Y</v>
      </c>
      <c r="L4670">
        <v>0</v>
      </c>
      <c r="M4670" t="str">
        <f t="shared" si="1194"/>
        <v>NIS</v>
      </c>
      <c r="O4670">
        <v>2</v>
      </c>
      <c r="P4670" t="str">
        <f t="shared" si="1198"/>
        <v>Active</v>
      </c>
      <c r="Q4670" t="str">
        <f>"Soldamatic Augmented Training"</f>
        <v>Soldamatic Augmented Training</v>
      </c>
      <c r="S4670" t="str">
        <f>"Augmented Reality Welding Trainer Standard Packa"</f>
        <v>Augmented Reality Welding Trainer Standard Packa</v>
      </c>
      <c r="T4670">
        <v>0</v>
      </c>
      <c r="U4670" s="44">
        <v>6856.61</v>
      </c>
      <c r="V4670" s="44">
        <v>7907.82</v>
      </c>
      <c r="W4670" t="str">
        <f t="shared" si="1199"/>
        <v>rob</v>
      </c>
    </row>
    <row r="4671" spans="1:23">
      <c r="A4671" t="str">
        <f>"WELD-AR-TRAINER"</f>
        <v>WELD-AR-TRAINER</v>
      </c>
      <c r="B4671" t="str">
        <f>"APL0034"</f>
        <v>APL0034</v>
      </c>
      <c r="C4671" t="str">
        <f>"Work Stand"</f>
        <v>Work Stand</v>
      </c>
      <c r="D4671">
        <v>1</v>
      </c>
      <c r="E4671" t="str">
        <f>"Augmented Reality Welding Trainer for MIG(GMAW), TIG(GTAW) and MMA(SMAW) welding"</f>
        <v>Augmented Reality Welding Trainer for MIG(GMAW), TIG(GTAW) and MMA(SMAW) welding</v>
      </c>
      <c r="F4671">
        <v>700</v>
      </c>
      <c r="G4671" t="str">
        <f t="shared" si="1186"/>
        <v>Y</v>
      </c>
      <c r="H4671" t="str">
        <f t="shared" si="1196"/>
        <v>EA</v>
      </c>
      <c r="I4671">
        <v>0</v>
      </c>
      <c r="J4671">
        <v>0</v>
      </c>
      <c r="K4671" t="str">
        <f t="shared" si="1187"/>
        <v>Y</v>
      </c>
      <c r="L4671">
        <v>0</v>
      </c>
      <c r="M4671" t="str">
        <f t="shared" si="1194"/>
        <v>NIS</v>
      </c>
      <c r="O4671">
        <v>3</v>
      </c>
      <c r="P4671" t="str">
        <f t="shared" si="1198"/>
        <v>Active</v>
      </c>
      <c r="Q4671" t="str">
        <f>"Work Stand"</f>
        <v>Work Stand</v>
      </c>
      <c r="S4671" t="str">
        <f>"Work Stand"</f>
        <v>Work Stand</v>
      </c>
      <c r="T4671">
        <v>0</v>
      </c>
      <c r="U4671">
        <v>391.64</v>
      </c>
      <c r="V4671">
        <v>461.53</v>
      </c>
      <c r="W4671" t="str">
        <f t="shared" si="1199"/>
        <v>rob</v>
      </c>
    </row>
    <row r="4672" spans="1:23">
      <c r="A4672" t="str">
        <f>"WELD-AR-TRAINER"</f>
        <v>WELD-AR-TRAINER</v>
      </c>
      <c r="B4672" t="str">
        <f>"50-0095-0000"</f>
        <v>50-0095-0000</v>
      </c>
      <c r="C4672" t="str">
        <f>"Installation at Customer Site"</f>
        <v>Installation at Customer Site</v>
      </c>
      <c r="D4672">
        <v>1</v>
      </c>
      <c r="E4672" t="str">
        <f>"Augmented Reality Welding Trainer for MIG(GMAW), TIG(GTAW) and MMA(SMAW) welding"</f>
        <v>Augmented Reality Welding Trainer for MIG(GMAW), TIG(GTAW) and MMA(SMAW) welding</v>
      </c>
      <c r="F4672">
        <v>700</v>
      </c>
      <c r="G4672" t="str">
        <f t="shared" si="1186"/>
        <v>Y</v>
      </c>
      <c r="H4672" t="str">
        <f>"DA"</f>
        <v>DA</v>
      </c>
      <c r="I4672">
        <v>0</v>
      </c>
      <c r="J4672">
        <v>0</v>
      </c>
      <c r="K4672" t="str">
        <f t="shared" si="1187"/>
        <v>Y</v>
      </c>
      <c r="L4672">
        <v>0</v>
      </c>
      <c r="M4672" t="str">
        <f t="shared" si="1194"/>
        <v>NIS</v>
      </c>
      <c r="O4672">
        <v>4</v>
      </c>
      <c r="P4672" t="str">
        <f t="shared" si="1198"/>
        <v>Active</v>
      </c>
      <c r="Q4672" t="str">
        <f>"Installation at Customer Site (Days)"</f>
        <v>Installation at Customer Site (Days)</v>
      </c>
      <c r="S4672" t="str">
        <f>"Installation at Customer Site (Days)"</f>
        <v>Installation at Customer Site (Days)</v>
      </c>
      <c r="T4672">
        <v>0</v>
      </c>
      <c r="U4672">
        <v>864</v>
      </c>
      <c r="V4672">
        <v>898.56</v>
      </c>
      <c r="W4672" t="str">
        <f t="shared" si="1199"/>
        <v>rob</v>
      </c>
    </row>
    <row r="4673" spans="1:23">
      <c r="A4673" t="str">
        <f>"WELD-AR-TRAINER"</f>
        <v>WELD-AR-TRAINER</v>
      </c>
      <c r="B4673" t="str">
        <f>"50-0096-0000"</f>
        <v>50-0096-0000</v>
      </c>
      <c r="C4673" t="str">
        <f>"Training at Customer Site (Days)"</f>
        <v>Training at Customer Site (Days)</v>
      </c>
      <c r="D4673">
        <v>4</v>
      </c>
      <c r="E4673" t="str">
        <f>"Augmented Reality Welding Trainer for MIG(GMAW), TIG(GTAW) and MMA(SMAW) welding"</f>
        <v>Augmented Reality Welding Trainer for MIG(GMAW), TIG(GTAW) and MMA(SMAW) welding</v>
      </c>
      <c r="F4673">
        <v>700</v>
      </c>
      <c r="G4673" t="str">
        <f t="shared" si="1186"/>
        <v>Y</v>
      </c>
      <c r="H4673" t="str">
        <f>"DA"</f>
        <v>DA</v>
      </c>
      <c r="I4673">
        <v>0</v>
      </c>
      <c r="J4673">
        <v>0</v>
      </c>
      <c r="K4673" t="str">
        <f t="shared" si="1187"/>
        <v>Y</v>
      </c>
      <c r="L4673">
        <v>0</v>
      </c>
      <c r="M4673" t="str">
        <f t="shared" si="1194"/>
        <v>NIS</v>
      </c>
      <c r="O4673">
        <v>5</v>
      </c>
      <c r="P4673" t="str">
        <f t="shared" si="1198"/>
        <v>Active</v>
      </c>
      <c r="Q4673" t="str">
        <f>"Training at Customer Site (Days)"</f>
        <v>Training at Customer Site (Days)</v>
      </c>
      <c r="S4673" t="str">
        <f>"Training at Customer Site (Days)"</f>
        <v>Training at Customer Site (Days)</v>
      </c>
      <c r="T4673">
        <v>0</v>
      </c>
      <c r="U4673">
        <v>864</v>
      </c>
      <c r="V4673">
        <v>898.56</v>
      </c>
      <c r="W4673" t="str">
        <f t="shared" si="1199"/>
        <v>rob</v>
      </c>
    </row>
    <row r="4674" spans="1:23">
      <c r="A4674" t="str">
        <f t="shared" ref="A4674:A4681" si="1200">"WELD-ER9P"</f>
        <v>WELD-ER9P</v>
      </c>
      <c r="B4674" t="str">
        <f>"00-0430-0000"</f>
        <v>00-0430-0000</v>
      </c>
      <c r="C4674" t="str">
        <f>"SCORBOT-ER9Pro"</f>
        <v>SCORBOT-ER9Pro</v>
      </c>
      <c r="D4674">
        <v>1</v>
      </c>
      <c r="E4674" t="str">
        <f t="shared" ref="E4674:E4681" si="1201">"Automated Welding: Scorbot-ER9Pro &amp; Welding Booth"</f>
        <v>Automated Welding: Scorbot-ER9Pro &amp; Welding Booth</v>
      </c>
      <c r="F4674">
        <v>506</v>
      </c>
      <c r="G4674" t="str">
        <f t="shared" ref="G4674:G4737" si="1202">"Y"</f>
        <v>Y</v>
      </c>
      <c r="H4674" t="str">
        <f t="shared" ref="H4674:H4680" si="1203">"EA"</f>
        <v>EA</v>
      </c>
      <c r="I4674">
        <v>0</v>
      </c>
      <c r="J4674">
        <v>0</v>
      </c>
      <c r="K4674" t="str">
        <f t="shared" ref="K4674:K4737" si="1204">"Y"</f>
        <v>Y</v>
      </c>
      <c r="L4674">
        <v>0</v>
      </c>
      <c r="M4674" t="str">
        <f t="shared" si="1194"/>
        <v>NIS</v>
      </c>
      <c r="O4674">
        <v>1</v>
      </c>
      <c r="P4674" t="str">
        <f t="shared" si="1198"/>
        <v>Active</v>
      </c>
      <c r="Q4674" t="str">
        <f>"SCORBOT-ER 9Pro (incl. USB-Pro Controller)"</f>
        <v>SCORBOT-ER 9Pro (incl. USB-Pro Controller)</v>
      </c>
      <c r="S4674" t="str">
        <f>"SCORBOT-ER 9Pro (incl. USB-Pro Controller)"</f>
        <v>SCORBOT-ER 9Pro (incl. USB-Pro Controller)</v>
      </c>
      <c r="T4674">
        <v>0</v>
      </c>
      <c r="U4674" s="44">
        <v>10900</v>
      </c>
      <c r="V4674" s="44">
        <v>11661.57</v>
      </c>
      <c r="W4674" t="str">
        <f t="shared" si="1199"/>
        <v>rob</v>
      </c>
    </row>
    <row r="4675" spans="1:23">
      <c r="A4675" t="str">
        <f t="shared" si="1200"/>
        <v>WELD-ER9P</v>
      </c>
      <c r="B4675" t="str">
        <f>"00-0633-0000"</f>
        <v>00-0633-0000</v>
      </c>
      <c r="C4675" t="str">
        <f>"Pneumatic Gripper for ER9-Pro"</f>
        <v>Pneumatic Gripper for ER9-Pro</v>
      </c>
      <c r="D4675">
        <v>1</v>
      </c>
      <c r="E4675" t="str">
        <f t="shared" si="1201"/>
        <v>Automated Welding: Scorbot-ER9Pro &amp; Welding Booth</v>
      </c>
      <c r="F4675">
        <v>506</v>
      </c>
      <c r="G4675" t="str">
        <f t="shared" si="1202"/>
        <v>Y</v>
      </c>
      <c r="H4675" t="str">
        <f t="shared" si="1203"/>
        <v>EA</v>
      </c>
      <c r="I4675">
        <v>0</v>
      </c>
      <c r="J4675">
        <v>0</v>
      </c>
      <c r="K4675" t="str">
        <f t="shared" si="1204"/>
        <v>Y</v>
      </c>
      <c r="L4675">
        <v>0</v>
      </c>
      <c r="M4675" t="str">
        <f t="shared" si="1194"/>
        <v>NIS</v>
      </c>
      <c r="O4675">
        <v>2</v>
      </c>
      <c r="P4675" t="str">
        <f t="shared" si="1198"/>
        <v>Active</v>
      </c>
      <c r="Q4675" t="str">
        <f>"Pneumatic Gripper for ER 9Pro"</f>
        <v>Pneumatic Gripper for ER 9Pro</v>
      </c>
      <c r="S4675" t="str">
        <f>"Pneumatic Gripper for ER9-Pro"</f>
        <v>Pneumatic Gripper for ER9-Pro</v>
      </c>
      <c r="T4675">
        <v>0</v>
      </c>
      <c r="U4675">
        <v>630</v>
      </c>
      <c r="V4675">
        <v>624.72</v>
      </c>
      <c r="W4675" t="str">
        <f t="shared" si="1199"/>
        <v>rob</v>
      </c>
    </row>
    <row r="4676" spans="1:23">
      <c r="A4676" t="str">
        <f t="shared" si="1200"/>
        <v>WELD-ER9P</v>
      </c>
      <c r="B4676" t="str">
        <f>"00-1710-0000"</f>
        <v>00-1710-0000</v>
      </c>
      <c r="C4676" t="str">
        <f>"Teach Pendant"</f>
        <v>Teach Pendant</v>
      </c>
      <c r="D4676">
        <v>1</v>
      </c>
      <c r="E4676" t="str">
        <f t="shared" si="1201"/>
        <v>Automated Welding: Scorbot-ER9Pro &amp; Welding Booth</v>
      </c>
      <c r="F4676">
        <v>506</v>
      </c>
      <c r="G4676" t="str">
        <f t="shared" si="1202"/>
        <v>Y</v>
      </c>
      <c r="H4676" t="str">
        <f t="shared" si="1203"/>
        <v>EA</v>
      </c>
      <c r="I4676">
        <v>0</v>
      </c>
      <c r="J4676">
        <v>0</v>
      </c>
      <c r="K4676" t="str">
        <f t="shared" si="1204"/>
        <v>Y</v>
      </c>
      <c r="L4676">
        <v>0</v>
      </c>
      <c r="M4676" t="str">
        <f t="shared" si="1194"/>
        <v>NIS</v>
      </c>
      <c r="O4676">
        <v>3</v>
      </c>
      <c r="P4676" t="str">
        <f t="shared" si="1198"/>
        <v>Active</v>
      </c>
      <c r="Q4676" t="str">
        <f>"Teach Pendant for USB/USB Pro Controllers"</f>
        <v>Teach Pendant for USB/USB Pro Controllers</v>
      </c>
      <c r="S4676" t="str">
        <f>"Teach Pendant for USB/USB Pro Controllers"</f>
        <v>Teach Pendant for USB/USB Pro Controllers</v>
      </c>
      <c r="T4676">
        <v>0</v>
      </c>
      <c r="U4676">
        <v>160.18</v>
      </c>
      <c r="V4676">
        <v>161.44999999999999</v>
      </c>
      <c r="W4676" t="str">
        <f t="shared" si="1199"/>
        <v>rob</v>
      </c>
    </row>
    <row r="4677" spans="1:23">
      <c r="A4677" t="str">
        <f t="shared" si="1200"/>
        <v>WELD-ER9P</v>
      </c>
      <c r="B4677" t="str">
        <f>"034025"</f>
        <v>034025</v>
      </c>
      <c r="C4677" t="str">
        <f>"I/O Interface Box for Controller USB-PRO"</f>
        <v>I/O Interface Box for Controller USB-PRO</v>
      </c>
      <c r="D4677">
        <v>1</v>
      </c>
      <c r="E4677" t="str">
        <f t="shared" si="1201"/>
        <v>Automated Welding: Scorbot-ER9Pro &amp; Welding Booth</v>
      </c>
      <c r="F4677">
        <v>506</v>
      </c>
      <c r="G4677" t="str">
        <f t="shared" si="1202"/>
        <v>Y</v>
      </c>
      <c r="H4677" t="str">
        <f t="shared" si="1203"/>
        <v>EA</v>
      </c>
      <c r="I4677">
        <v>0</v>
      </c>
      <c r="J4677">
        <v>0</v>
      </c>
      <c r="K4677" t="str">
        <f t="shared" si="1204"/>
        <v>Y</v>
      </c>
      <c r="L4677">
        <v>0</v>
      </c>
      <c r="M4677" t="str">
        <f t="shared" si="1194"/>
        <v>NIS</v>
      </c>
      <c r="O4677">
        <v>4</v>
      </c>
      <c r="P4677" t="str">
        <f t="shared" si="1198"/>
        <v>Active</v>
      </c>
      <c r="Q4677" t="str">
        <f>"I/O Interface Box for Controller USB-PRO"</f>
        <v>I/O Interface Box for Controller USB-PRO</v>
      </c>
      <c r="S4677" t="str">
        <f>"קופסת 2+Interface Box I/O כבלים לבקר USBPRO"</f>
        <v>קופסת 2+Interface Box I/O כבלים לבקר USBPRO</v>
      </c>
      <c r="T4677">
        <v>0</v>
      </c>
      <c r="U4677">
        <v>470</v>
      </c>
      <c r="V4677">
        <v>463.62</v>
      </c>
      <c r="W4677" t="str">
        <f t="shared" si="1199"/>
        <v>rob</v>
      </c>
    </row>
    <row r="4678" spans="1:23">
      <c r="A4678" t="str">
        <f t="shared" si="1200"/>
        <v>WELD-ER9P</v>
      </c>
      <c r="B4678" t="str">
        <f>"00-3085-0000"</f>
        <v>00-3085-0000</v>
      </c>
      <c r="C4678" t="str">
        <f>"Automated Welding booth for ER9Pro/MH5"</f>
        <v>Automated Welding booth for ER9Pro/MH5</v>
      </c>
      <c r="D4678">
        <v>1</v>
      </c>
      <c r="E4678" t="str">
        <f t="shared" si="1201"/>
        <v>Automated Welding: Scorbot-ER9Pro &amp; Welding Booth</v>
      </c>
      <c r="F4678">
        <v>506</v>
      </c>
      <c r="G4678" t="str">
        <f t="shared" si="1202"/>
        <v>Y</v>
      </c>
      <c r="H4678" t="str">
        <f t="shared" si="1203"/>
        <v>EA</v>
      </c>
      <c r="I4678">
        <v>0</v>
      </c>
      <c r="J4678">
        <v>0</v>
      </c>
      <c r="K4678" t="str">
        <f t="shared" si="1204"/>
        <v>Y</v>
      </c>
      <c r="L4678">
        <v>0</v>
      </c>
      <c r="M4678" t="str">
        <f t="shared" si="1194"/>
        <v>NIS</v>
      </c>
      <c r="O4678">
        <v>5</v>
      </c>
      <c r="P4678" t="str">
        <f t="shared" si="1198"/>
        <v>Active</v>
      </c>
      <c r="Q4678" t="str">
        <f>"Automated Welding for ER9Pro/HP3 (CIM)"</f>
        <v>Automated Welding for ER9Pro/HP3 (CIM)</v>
      </c>
      <c r="S4678" t="str">
        <f>"Automated Welding for ER9Pro/MH5 (CIM)"</f>
        <v>Automated Welding for ER9Pro/MH5 (CIM)</v>
      </c>
      <c r="T4678">
        <v>0</v>
      </c>
      <c r="U4678" s="44">
        <v>7440.55</v>
      </c>
      <c r="V4678" s="44">
        <v>6530.58</v>
      </c>
      <c r="W4678" t="str">
        <f t="shared" si="1199"/>
        <v>rob</v>
      </c>
    </row>
    <row r="4679" spans="1:23">
      <c r="A4679" t="str">
        <f t="shared" si="1200"/>
        <v>WELD-ER9P</v>
      </c>
      <c r="B4679" t="str">
        <f>"434004"</f>
        <v>434004</v>
      </c>
      <c r="C4679" t="str">
        <f>"Welder-Millwermatic 180 Auto-Set, 230V, 60Hz"</f>
        <v>Welder-Millwermatic 180 Auto-Set, 230V, 60Hz</v>
      </c>
      <c r="D4679">
        <v>1</v>
      </c>
      <c r="E4679" t="str">
        <f t="shared" si="1201"/>
        <v>Automated Welding: Scorbot-ER9Pro &amp; Welding Booth</v>
      </c>
      <c r="F4679">
        <v>506</v>
      </c>
      <c r="G4679" t="str">
        <f t="shared" si="1202"/>
        <v>Y</v>
      </c>
      <c r="H4679" t="str">
        <f t="shared" si="1203"/>
        <v>EA</v>
      </c>
      <c r="I4679">
        <v>0</v>
      </c>
      <c r="J4679">
        <v>0</v>
      </c>
      <c r="K4679" t="str">
        <f t="shared" si="1204"/>
        <v>Y</v>
      </c>
      <c r="L4679">
        <v>0</v>
      </c>
      <c r="M4679" t="str">
        <f t="shared" si="1194"/>
        <v>NIS</v>
      </c>
      <c r="O4679">
        <v>6</v>
      </c>
      <c r="P4679" t="str">
        <f t="shared" si="1198"/>
        <v>Active</v>
      </c>
      <c r="Q4679" t="str">
        <f>"MIG Welder unit  220 V"</f>
        <v>MIG Welder unit  220 V</v>
      </c>
      <c r="S4679" t="str">
        <f>"Welder-Millwermatic 180 Auto-Set, 230V, 60Hz"</f>
        <v>Welder-Millwermatic 180 Auto-Set, 230V, 60Hz</v>
      </c>
      <c r="T4679">
        <v>0</v>
      </c>
      <c r="U4679" s="44">
        <v>1309.3499999999999</v>
      </c>
      <c r="V4679" s="44">
        <v>1246.56</v>
      </c>
      <c r="W4679" t="str">
        <f t="shared" si="1199"/>
        <v>rob</v>
      </c>
    </row>
    <row r="4680" spans="1:23">
      <c r="A4680" t="str">
        <f t="shared" si="1200"/>
        <v>WELD-ER9P</v>
      </c>
      <c r="B4680" t="str">
        <f>"00-1290-0000"</f>
        <v>00-1290-0000</v>
      </c>
      <c r="C4680" t="str">
        <f>"PC Table 630x800mm (with Keyboard Drawer)"</f>
        <v>PC Table 630x800mm (with Keyboard Drawer)</v>
      </c>
      <c r="D4680">
        <v>1</v>
      </c>
      <c r="E4680" t="str">
        <f t="shared" si="1201"/>
        <v>Automated Welding: Scorbot-ER9Pro &amp; Welding Booth</v>
      </c>
      <c r="F4680">
        <v>506</v>
      </c>
      <c r="G4680" t="str">
        <f t="shared" si="1202"/>
        <v>Y</v>
      </c>
      <c r="H4680" t="str">
        <f t="shared" si="1203"/>
        <v>EA</v>
      </c>
      <c r="I4680">
        <v>0</v>
      </c>
      <c r="J4680">
        <v>0</v>
      </c>
      <c r="K4680" t="str">
        <f t="shared" si="1204"/>
        <v>Y</v>
      </c>
      <c r="L4680">
        <v>0</v>
      </c>
      <c r="M4680" t="str">
        <f t="shared" si="1194"/>
        <v>NIS</v>
      </c>
      <c r="O4680">
        <v>7</v>
      </c>
      <c r="P4680" t="str">
        <f t="shared" si="1198"/>
        <v>Active</v>
      </c>
      <c r="Q4680" t="str">
        <f>"PC Table 630x800mm (with Keyboard Drawer)"</f>
        <v>PC Table 630x800mm (with Keyboard Drawer)</v>
      </c>
      <c r="S4680" t="str">
        <f>"PC Table 630x800mm (with Keyboard Drawer)"</f>
        <v>PC Table 630x800mm (with Keyboard Drawer)</v>
      </c>
      <c r="T4680">
        <v>0</v>
      </c>
      <c r="U4680">
        <v>405.86</v>
      </c>
      <c r="V4680">
        <v>329.34</v>
      </c>
      <c r="W4680" t="str">
        <f t="shared" si="1199"/>
        <v>rob</v>
      </c>
    </row>
    <row r="4681" spans="1:23">
      <c r="A4681" t="str">
        <f t="shared" si="1200"/>
        <v>WELD-ER9P</v>
      </c>
      <c r="B4681" t="str">
        <f>"50-0094-0000"</f>
        <v>50-0094-0000</v>
      </c>
      <c r="C4681" t="str">
        <f>"Pre-Engineering, Design and Testing"</f>
        <v>Pre-Engineering, Design and Testing</v>
      </c>
      <c r="D4681">
        <v>1</v>
      </c>
      <c r="E4681" t="str">
        <f t="shared" si="1201"/>
        <v>Automated Welding: Scorbot-ER9Pro &amp; Welding Booth</v>
      </c>
      <c r="F4681">
        <v>506</v>
      </c>
      <c r="G4681" t="str">
        <f t="shared" si="1202"/>
        <v>Y</v>
      </c>
      <c r="H4681" t="str">
        <f>"DA"</f>
        <v>DA</v>
      </c>
      <c r="I4681">
        <v>0</v>
      </c>
      <c r="J4681">
        <v>0</v>
      </c>
      <c r="K4681" t="str">
        <f t="shared" si="1204"/>
        <v>Y</v>
      </c>
      <c r="L4681">
        <v>0</v>
      </c>
      <c r="M4681" t="str">
        <f t="shared" si="1194"/>
        <v>NIS</v>
      </c>
      <c r="O4681">
        <v>8</v>
      </c>
      <c r="P4681" t="str">
        <f t="shared" si="1198"/>
        <v>Active</v>
      </c>
      <c r="Q4681" t="str">
        <f>"Pre-Engineering, Design and Testing"</f>
        <v>Pre-Engineering, Design and Testing</v>
      </c>
      <c r="S4681" t="str">
        <f>"Pre-Engineering, Design and Testing"</f>
        <v>Pre-Engineering, Design and Testing</v>
      </c>
      <c r="T4681">
        <v>0</v>
      </c>
      <c r="U4681">
        <v>405</v>
      </c>
      <c r="V4681">
        <v>421.2</v>
      </c>
      <c r="W4681" t="str">
        <f t="shared" si="1199"/>
        <v>rob</v>
      </c>
    </row>
    <row r="4682" spans="1:23">
      <c r="A4682" t="str">
        <f>"WELD-FAN-10"</f>
        <v>WELD-FAN-10</v>
      </c>
      <c r="B4682" t="str">
        <f>"APL0076"</f>
        <v>APL0076</v>
      </c>
      <c r="C4682" t="str">
        <f>"Centrifugal Welding fume extractor 11kW[15hp]"</f>
        <v>Centrifugal Welding fume extractor 11kW[15hp]</v>
      </c>
      <c r="D4682">
        <v>1</v>
      </c>
      <c r="E4682" t="str">
        <f>"External Welding Fume Exhaust System for up to 10 cells"</f>
        <v>External Welding Fume Exhaust System for up to 10 cells</v>
      </c>
      <c r="F4682">
        <v>700</v>
      </c>
      <c r="G4682" t="str">
        <f t="shared" si="1202"/>
        <v>Y</v>
      </c>
      <c r="H4682" t="str">
        <f t="shared" ref="H4682:H4690" si="1205">"EA"</f>
        <v>EA</v>
      </c>
      <c r="I4682">
        <v>0</v>
      </c>
      <c r="J4682">
        <v>0</v>
      </c>
      <c r="K4682" t="str">
        <f t="shared" si="1204"/>
        <v>Y</v>
      </c>
      <c r="L4682">
        <v>0</v>
      </c>
      <c r="M4682" t="str">
        <f t="shared" si="1194"/>
        <v>NIS</v>
      </c>
      <c r="O4682">
        <v>1</v>
      </c>
      <c r="P4682" t="str">
        <f t="shared" si="1198"/>
        <v>Active</v>
      </c>
      <c r="Q4682" t="str">
        <f>"Centrifugal Welding fume extractor 11kW[15hp]"</f>
        <v>Centrifugal Welding fume extractor 11kW[15hp]</v>
      </c>
      <c r="S4682" t="str">
        <f>"Centrifugal Welding fume extractor 11kW[15hp]"</f>
        <v>Centrifugal Welding fume extractor 11kW[15hp]</v>
      </c>
      <c r="T4682">
        <v>0</v>
      </c>
      <c r="U4682" s="44">
        <v>5035.79</v>
      </c>
      <c r="V4682" s="44">
        <v>5035.79</v>
      </c>
      <c r="W4682" t="str">
        <f t="shared" si="1199"/>
        <v>rob</v>
      </c>
    </row>
    <row r="4683" spans="1:23">
      <c r="A4683" t="str">
        <f>"WELD-FAN-10"</f>
        <v>WELD-FAN-10</v>
      </c>
      <c r="B4683" t="str">
        <f>"APL0061"</f>
        <v>APL0061</v>
      </c>
      <c r="C4683" t="str">
        <f>"Fume extractor arm original l=2m"</f>
        <v>Fume extractor arm original l=2m</v>
      </c>
      <c r="D4683">
        <v>10</v>
      </c>
      <c r="E4683" t="str">
        <f>"External Welding Fume Exhaust System for up to 10 cells"</f>
        <v>External Welding Fume Exhaust System for up to 10 cells</v>
      </c>
      <c r="F4683">
        <v>700</v>
      </c>
      <c r="G4683" t="str">
        <f t="shared" si="1202"/>
        <v>Y</v>
      </c>
      <c r="H4683" t="str">
        <f t="shared" si="1205"/>
        <v>EA</v>
      </c>
      <c r="I4683">
        <v>0</v>
      </c>
      <c r="J4683">
        <v>0</v>
      </c>
      <c r="K4683" t="str">
        <f t="shared" si="1204"/>
        <v>Y</v>
      </c>
      <c r="L4683">
        <v>0</v>
      </c>
      <c r="M4683" t="str">
        <f t="shared" si="1194"/>
        <v>NIS</v>
      </c>
      <c r="O4683">
        <v>2</v>
      </c>
      <c r="P4683" t="str">
        <f t="shared" si="1198"/>
        <v>Active</v>
      </c>
      <c r="Q4683" t="str">
        <f>"Fume extractor arm original l=2m"</f>
        <v>Fume extractor arm original l=2m</v>
      </c>
      <c r="S4683" t="str">
        <f>"Fume extractor arm original l=2m"</f>
        <v>Fume extractor arm original l=2m</v>
      </c>
      <c r="T4683">
        <v>0</v>
      </c>
      <c r="U4683" s="44">
        <v>1365.68</v>
      </c>
      <c r="V4683" s="44">
        <v>1914.5</v>
      </c>
      <c r="W4683" t="str">
        <f t="shared" si="1199"/>
        <v>rob</v>
      </c>
    </row>
    <row r="4684" spans="1:23">
      <c r="A4684" t="str">
        <f>"WELD-FAN-10"</f>
        <v>WELD-FAN-10</v>
      </c>
      <c r="B4684" t="str">
        <f>"APL0077"</f>
        <v>APL0077</v>
      </c>
      <c r="C4684" t="str">
        <f>"Installation of welding exhaust system"</f>
        <v>Installation of welding exhaust system</v>
      </c>
      <c r="D4684">
        <v>1</v>
      </c>
      <c r="E4684" t="str">
        <f>"External Welding Fume Exhaust System for up to 10 cells"</f>
        <v>External Welding Fume Exhaust System for up to 10 cells</v>
      </c>
      <c r="F4684">
        <v>700</v>
      </c>
      <c r="G4684" t="str">
        <f t="shared" si="1202"/>
        <v>Y</v>
      </c>
      <c r="H4684" t="str">
        <f t="shared" si="1205"/>
        <v>EA</v>
      </c>
      <c r="I4684">
        <v>0</v>
      </c>
      <c r="J4684">
        <v>0</v>
      </c>
      <c r="K4684" t="str">
        <f t="shared" si="1204"/>
        <v>Y</v>
      </c>
      <c r="L4684">
        <v>0</v>
      </c>
      <c r="M4684" t="str">
        <f t="shared" si="1194"/>
        <v>NIS</v>
      </c>
      <c r="O4684">
        <v>3</v>
      </c>
      <c r="P4684" t="str">
        <f t="shared" si="1198"/>
        <v>Active</v>
      </c>
      <c r="Q4684" t="str">
        <f>"Installation of welding exhaust system"</f>
        <v>Installation of welding exhaust system</v>
      </c>
      <c r="S4684" t="str">
        <f>"Installation of welding exhaust system"</f>
        <v>Installation of welding exhaust system</v>
      </c>
      <c r="T4684">
        <v>0</v>
      </c>
      <c r="U4684" s="44">
        <v>3640</v>
      </c>
      <c r="V4684" s="44">
        <v>3785.6</v>
      </c>
      <c r="W4684" t="str">
        <f t="shared" si="1199"/>
        <v>rob</v>
      </c>
    </row>
    <row r="4685" spans="1:23">
      <c r="A4685" t="str">
        <f>"WELD-FAN-10"</f>
        <v>WELD-FAN-10</v>
      </c>
      <c r="B4685" t="str">
        <f>"APL0079"</f>
        <v>APL0079</v>
      </c>
      <c r="C4685" t="str">
        <f>"Variable-frequency drive / 11kw"</f>
        <v>Variable-frequency drive / 11kw</v>
      </c>
      <c r="D4685">
        <v>1</v>
      </c>
      <c r="E4685" t="str">
        <f>"External Welding Fume Exhaust System for up to 10 cells"</f>
        <v>External Welding Fume Exhaust System for up to 10 cells</v>
      </c>
      <c r="F4685">
        <v>700</v>
      </c>
      <c r="G4685" t="str">
        <f t="shared" si="1202"/>
        <v>Y</v>
      </c>
      <c r="H4685" t="str">
        <f t="shared" si="1205"/>
        <v>EA</v>
      </c>
      <c r="I4685">
        <v>0</v>
      </c>
      <c r="J4685">
        <v>0</v>
      </c>
      <c r="K4685" t="str">
        <f t="shared" si="1204"/>
        <v>Y</v>
      </c>
      <c r="L4685">
        <v>0</v>
      </c>
      <c r="M4685" t="str">
        <f t="shared" si="1194"/>
        <v>NIS</v>
      </c>
      <c r="O4685">
        <v>4</v>
      </c>
      <c r="P4685" t="str">
        <f t="shared" si="1198"/>
        <v>Active</v>
      </c>
      <c r="Q4685" t="str">
        <f>"Variable-frequency drive / 11kw"</f>
        <v>Variable-frequency drive / 11kw</v>
      </c>
      <c r="S4685" t="str">
        <f>"Variable-frequency drive / 11kw"</f>
        <v>Variable-frequency drive / 11kw</v>
      </c>
      <c r="T4685">
        <v>0</v>
      </c>
      <c r="U4685" s="44">
        <v>1042.8499999999999</v>
      </c>
      <c r="V4685" s="44">
        <v>1084.56</v>
      </c>
      <c r="W4685" t="str">
        <f t="shared" si="1199"/>
        <v>rob</v>
      </c>
    </row>
    <row r="4686" spans="1:23">
      <c r="A4686" t="str">
        <f>"WELD-FAN-5"</f>
        <v>WELD-FAN-5</v>
      </c>
      <c r="B4686" t="str">
        <f>"APL0075"</f>
        <v>APL0075</v>
      </c>
      <c r="C4686" t="str">
        <f>"Centrifugal Welding fume extractor 5.5kW[7.5hp]"</f>
        <v>Centrifugal Welding fume extractor 5.5kW[7.5hp]</v>
      </c>
      <c r="D4686">
        <v>1</v>
      </c>
      <c r="E4686" t="str">
        <f>"External Welding Fume Exhaust System for up to 5 cells"</f>
        <v>External Welding Fume Exhaust System for up to 5 cells</v>
      </c>
      <c r="F4686">
        <v>700</v>
      </c>
      <c r="G4686" t="str">
        <f t="shared" si="1202"/>
        <v>Y</v>
      </c>
      <c r="H4686" t="str">
        <f t="shared" si="1205"/>
        <v>EA</v>
      </c>
      <c r="I4686">
        <v>0</v>
      </c>
      <c r="J4686">
        <v>0</v>
      </c>
      <c r="K4686" t="str">
        <f t="shared" si="1204"/>
        <v>Y</v>
      </c>
      <c r="L4686">
        <v>0</v>
      </c>
      <c r="M4686" t="str">
        <f t="shared" si="1194"/>
        <v>NIS</v>
      </c>
      <c r="O4686">
        <v>1</v>
      </c>
      <c r="P4686" t="str">
        <f t="shared" si="1198"/>
        <v>Active</v>
      </c>
      <c r="Q4686" t="str">
        <f>"Centrifugal Welding fume extractor 5.5kW[7.5hp]"</f>
        <v>Centrifugal Welding fume extractor 5.5kW[7.5hp]</v>
      </c>
      <c r="S4686" t="str">
        <f>"Centrifugal Welding fume extractor 5.5kW[7.5hp]"</f>
        <v>Centrifugal Welding fume extractor 5.5kW[7.5hp]</v>
      </c>
      <c r="T4686">
        <v>0</v>
      </c>
      <c r="U4686" s="44">
        <v>3544.21</v>
      </c>
      <c r="V4686" s="44">
        <v>3544.21</v>
      </c>
      <c r="W4686" t="str">
        <f t="shared" si="1199"/>
        <v>rob</v>
      </c>
    </row>
    <row r="4687" spans="1:23">
      <c r="A4687" t="str">
        <f>"WELD-FAN-5"</f>
        <v>WELD-FAN-5</v>
      </c>
      <c r="B4687" t="str">
        <f>"APL0061"</f>
        <v>APL0061</v>
      </c>
      <c r="C4687" t="str">
        <f>"Fume extractor arm original l=2m"</f>
        <v>Fume extractor arm original l=2m</v>
      </c>
      <c r="D4687">
        <v>5</v>
      </c>
      <c r="E4687" t="str">
        <f>"External Welding Fume Exhaust System for up to 5 cells"</f>
        <v>External Welding Fume Exhaust System for up to 5 cells</v>
      </c>
      <c r="F4687">
        <v>700</v>
      </c>
      <c r="G4687" t="str">
        <f t="shared" si="1202"/>
        <v>Y</v>
      </c>
      <c r="H4687" t="str">
        <f t="shared" si="1205"/>
        <v>EA</v>
      </c>
      <c r="I4687">
        <v>0</v>
      </c>
      <c r="J4687">
        <v>0</v>
      </c>
      <c r="K4687" t="str">
        <f t="shared" si="1204"/>
        <v>Y</v>
      </c>
      <c r="L4687">
        <v>0</v>
      </c>
      <c r="M4687" t="str">
        <f t="shared" si="1194"/>
        <v>NIS</v>
      </c>
      <c r="O4687">
        <v>2</v>
      </c>
      <c r="P4687" t="str">
        <f t="shared" si="1198"/>
        <v>Active</v>
      </c>
      <c r="Q4687" t="str">
        <f>"Fume extractor arm original l=2m"</f>
        <v>Fume extractor arm original l=2m</v>
      </c>
      <c r="S4687" t="str">
        <f>"Fume extractor arm original l=2m"</f>
        <v>Fume extractor arm original l=2m</v>
      </c>
      <c r="T4687">
        <v>0</v>
      </c>
      <c r="U4687" s="44">
        <v>1365.68</v>
      </c>
      <c r="V4687" s="44">
        <v>1914.5</v>
      </c>
      <c r="W4687" t="str">
        <f t="shared" si="1199"/>
        <v>rob</v>
      </c>
    </row>
    <row r="4688" spans="1:23">
      <c r="A4688" t="str">
        <f>"WELD-FAN-5"</f>
        <v>WELD-FAN-5</v>
      </c>
      <c r="B4688" t="str">
        <f>"APL0077"</f>
        <v>APL0077</v>
      </c>
      <c r="C4688" t="str">
        <f>"Installation of welding exhaust system"</f>
        <v>Installation of welding exhaust system</v>
      </c>
      <c r="D4688">
        <v>1</v>
      </c>
      <c r="E4688" t="str">
        <f>"External Welding Fume Exhaust System for up to 5 cells"</f>
        <v>External Welding Fume Exhaust System for up to 5 cells</v>
      </c>
      <c r="F4688">
        <v>700</v>
      </c>
      <c r="G4688" t="str">
        <f t="shared" si="1202"/>
        <v>Y</v>
      </c>
      <c r="H4688" t="str">
        <f t="shared" si="1205"/>
        <v>EA</v>
      </c>
      <c r="I4688">
        <v>0</v>
      </c>
      <c r="J4688">
        <v>0</v>
      </c>
      <c r="K4688" t="str">
        <f t="shared" si="1204"/>
        <v>Y</v>
      </c>
      <c r="L4688">
        <v>0</v>
      </c>
      <c r="M4688" t="str">
        <f t="shared" si="1194"/>
        <v>NIS</v>
      </c>
      <c r="O4688">
        <v>3</v>
      </c>
      <c r="P4688" t="str">
        <f t="shared" si="1198"/>
        <v>Active</v>
      </c>
      <c r="Q4688" t="str">
        <f>"Installation of welding exhaust system"</f>
        <v>Installation of welding exhaust system</v>
      </c>
      <c r="S4688" t="str">
        <f>"Installation of welding exhaust system"</f>
        <v>Installation of welding exhaust system</v>
      </c>
      <c r="T4688">
        <v>0</v>
      </c>
      <c r="U4688" s="44">
        <v>3640</v>
      </c>
      <c r="V4688" s="44">
        <v>3785.6</v>
      </c>
      <c r="W4688" t="str">
        <f t="shared" si="1199"/>
        <v>rob</v>
      </c>
    </row>
    <row r="4689" spans="1:23">
      <c r="A4689" t="str">
        <f>"WELD-FAN-5"</f>
        <v>WELD-FAN-5</v>
      </c>
      <c r="B4689" t="str">
        <f>"APL0078"</f>
        <v>APL0078</v>
      </c>
      <c r="C4689" t="str">
        <f>"Variable-frequency drive / 5.5kw"</f>
        <v>Variable-frequency drive / 5.5kw</v>
      </c>
      <c r="D4689">
        <v>1</v>
      </c>
      <c r="E4689" t="str">
        <f>"External Welding Fume Exhaust System for up to 5 cells"</f>
        <v>External Welding Fume Exhaust System for up to 5 cells</v>
      </c>
      <c r="F4689">
        <v>700</v>
      </c>
      <c r="G4689" t="str">
        <f t="shared" si="1202"/>
        <v>Y</v>
      </c>
      <c r="H4689" t="str">
        <f t="shared" si="1205"/>
        <v>EA</v>
      </c>
      <c r="I4689">
        <v>0</v>
      </c>
      <c r="J4689">
        <v>0</v>
      </c>
      <c r="K4689" t="str">
        <f t="shared" si="1204"/>
        <v>Y</v>
      </c>
      <c r="L4689">
        <v>0</v>
      </c>
      <c r="M4689" t="str">
        <f t="shared" si="1194"/>
        <v>NIS</v>
      </c>
      <c r="O4689">
        <v>4</v>
      </c>
      <c r="P4689" t="str">
        <f t="shared" si="1198"/>
        <v>Active</v>
      </c>
      <c r="Q4689" t="str">
        <f>"Variable-frequency drive / 5.5kw"</f>
        <v>Variable-frequency drive / 5.5kw</v>
      </c>
      <c r="S4689" t="str">
        <f>"Variable-frequency drive / 5.5kw"</f>
        <v>Variable-frequency drive / 5.5kw</v>
      </c>
      <c r="T4689">
        <v>0</v>
      </c>
      <c r="U4689">
        <v>784.1</v>
      </c>
      <c r="V4689">
        <v>815.46</v>
      </c>
      <c r="W4689" t="str">
        <f t="shared" si="1199"/>
        <v>rob</v>
      </c>
    </row>
    <row r="4690" spans="1:23">
      <c r="A4690" t="str">
        <f t="shared" ref="A4690:A4695" si="1206">"WELD-IROB-IWLD"</f>
        <v>WELD-IROB-IWLD</v>
      </c>
      <c r="B4690" t="str">
        <f>"10-2119-9000"</f>
        <v>10-2119-9000</v>
      </c>
      <c r="C4690" t="str">
        <f>"Interface with industrial robot"</f>
        <v>Interface with industrial robot</v>
      </c>
      <c r="D4690">
        <v>1</v>
      </c>
      <c r="E4690" t="str">
        <f t="shared" ref="E4690:E4695" si="1207">"Automated Welding: FOR Industrial Robot &amp; Industrial WELDING System"</f>
        <v>Automated Welding: FOR Industrial Robot &amp; Industrial WELDING System</v>
      </c>
      <c r="F4690">
        <v>506</v>
      </c>
      <c r="G4690" t="str">
        <f t="shared" si="1202"/>
        <v>Y</v>
      </c>
      <c r="H4690" t="str">
        <f t="shared" si="1205"/>
        <v>EA</v>
      </c>
      <c r="I4690">
        <v>0</v>
      </c>
      <c r="J4690">
        <v>0</v>
      </c>
      <c r="K4690" t="str">
        <f t="shared" si="1204"/>
        <v>Y</v>
      </c>
      <c r="L4690">
        <v>0</v>
      </c>
      <c r="M4690" t="str">
        <f t="shared" si="1194"/>
        <v>NIS</v>
      </c>
      <c r="O4690">
        <v>1</v>
      </c>
      <c r="P4690" t="str">
        <f t="shared" si="1198"/>
        <v>Active</v>
      </c>
      <c r="Q4690" t="str">
        <f>"Interface with industrial robot"</f>
        <v>Interface with industrial robot</v>
      </c>
      <c r="S4690" t="str">
        <f>"Interface with industrial robot"</f>
        <v>Interface with industrial robot</v>
      </c>
      <c r="T4690">
        <v>0</v>
      </c>
      <c r="U4690" s="44">
        <v>2000</v>
      </c>
      <c r="V4690" s="44">
        <v>2220</v>
      </c>
      <c r="W4690" t="str">
        <f t="shared" si="1199"/>
        <v>rob</v>
      </c>
    </row>
    <row r="4691" spans="1:23">
      <c r="A4691" t="str">
        <f t="shared" si="1206"/>
        <v>WELD-IROB-IWLD</v>
      </c>
      <c r="B4691" t="str">
        <f>"0000"</f>
        <v>0000</v>
      </c>
      <c r="C4691" t="str">
        <f>"general part"</f>
        <v>general part</v>
      </c>
      <c r="D4691">
        <v>1</v>
      </c>
      <c r="E4691" t="str">
        <f t="shared" si="1207"/>
        <v>Automated Welding: FOR Industrial Robot &amp; Industrial WELDING System</v>
      </c>
      <c r="F4691">
        <v>506</v>
      </c>
      <c r="G4691" t="str">
        <f t="shared" si="1202"/>
        <v>Y</v>
      </c>
      <c r="H4691" t="str">
        <f>"Ea"</f>
        <v>Ea</v>
      </c>
      <c r="I4691">
        <v>0</v>
      </c>
      <c r="J4691">
        <v>0</v>
      </c>
      <c r="K4691" t="str">
        <f t="shared" si="1204"/>
        <v>Y</v>
      </c>
      <c r="L4691">
        <v>0</v>
      </c>
      <c r="M4691" t="str">
        <f t="shared" si="1194"/>
        <v>NIS</v>
      </c>
      <c r="O4691">
        <v>2</v>
      </c>
      <c r="P4691" t="str">
        <f t="shared" si="1198"/>
        <v>Active</v>
      </c>
      <c r="Q4691" t="str">
        <f>"מוצר כללי"</f>
        <v>מוצר כללי</v>
      </c>
      <c r="S4691" t="str">
        <f>"מוצר כללי"</f>
        <v>מוצר כללי</v>
      </c>
      <c r="T4691">
        <v>0</v>
      </c>
      <c r="U4691">
        <v>0</v>
      </c>
      <c r="V4691">
        <v>0</v>
      </c>
      <c r="W4691" t="str">
        <f t="shared" si="1199"/>
        <v>rob</v>
      </c>
    </row>
    <row r="4692" spans="1:23">
      <c r="A4692" t="str">
        <f t="shared" si="1206"/>
        <v>WELD-IROB-IWLD</v>
      </c>
      <c r="B4692" t="str">
        <f>"0000"</f>
        <v>0000</v>
      </c>
      <c r="C4692" t="str">
        <f>"general part"</f>
        <v>general part</v>
      </c>
      <c r="D4692">
        <v>1</v>
      </c>
      <c r="E4692" t="str">
        <f t="shared" si="1207"/>
        <v>Automated Welding: FOR Industrial Robot &amp; Industrial WELDING System</v>
      </c>
      <c r="F4692">
        <v>506</v>
      </c>
      <c r="G4692" t="str">
        <f t="shared" si="1202"/>
        <v>Y</v>
      </c>
      <c r="H4692" t="str">
        <f>"Ea"</f>
        <v>Ea</v>
      </c>
      <c r="I4692">
        <v>0</v>
      </c>
      <c r="J4692">
        <v>0</v>
      </c>
      <c r="K4692" t="str">
        <f t="shared" si="1204"/>
        <v>Y</v>
      </c>
      <c r="L4692">
        <v>0</v>
      </c>
      <c r="M4692" t="str">
        <f t="shared" ref="M4692:M4755" si="1208">"NIS"</f>
        <v>NIS</v>
      </c>
      <c r="O4692">
        <v>3</v>
      </c>
      <c r="P4692" t="str">
        <f t="shared" si="1198"/>
        <v>Active</v>
      </c>
      <c r="Q4692" t="str">
        <f>"מוצר כללי"</f>
        <v>מוצר כללי</v>
      </c>
      <c r="S4692" t="str">
        <f>"מוצר כללי"</f>
        <v>מוצר כללי</v>
      </c>
      <c r="T4692">
        <v>0</v>
      </c>
      <c r="U4692">
        <v>0</v>
      </c>
      <c r="V4692">
        <v>0</v>
      </c>
      <c r="W4692" t="str">
        <f t="shared" si="1199"/>
        <v>rob</v>
      </c>
    </row>
    <row r="4693" spans="1:23">
      <c r="A4693" t="str">
        <f t="shared" si="1206"/>
        <v>WELD-IROB-IWLD</v>
      </c>
      <c r="B4693" t="str">
        <f>"0000"</f>
        <v>0000</v>
      </c>
      <c r="C4693" t="str">
        <f>"general part"</f>
        <v>general part</v>
      </c>
      <c r="D4693">
        <v>1</v>
      </c>
      <c r="E4693" t="str">
        <f t="shared" si="1207"/>
        <v>Automated Welding: FOR Industrial Robot &amp; Industrial WELDING System</v>
      </c>
      <c r="F4693">
        <v>506</v>
      </c>
      <c r="G4693" t="str">
        <f t="shared" si="1202"/>
        <v>Y</v>
      </c>
      <c r="H4693" t="str">
        <f>"Ea"</f>
        <v>Ea</v>
      </c>
      <c r="I4693">
        <v>0</v>
      </c>
      <c r="J4693">
        <v>0</v>
      </c>
      <c r="K4693" t="str">
        <f t="shared" si="1204"/>
        <v>Y</v>
      </c>
      <c r="L4693">
        <v>0</v>
      </c>
      <c r="M4693" t="str">
        <f t="shared" si="1208"/>
        <v>NIS</v>
      </c>
      <c r="O4693">
        <v>4</v>
      </c>
      <c r="P4693" t="str">
        <f t="shared" si="1198"/>
        <v>Active</v>
      </c>
      <c r="Q4693" t="str">
        <f>"מוצר כללי"</f>
        <v>מוצר כללי</v>
      </c>
      <c r="S4693" t="str">
        <f>"מוצר כללי"</f>
        <v>מוצר כללי</v>
      </c>
      <c r="T4693">
        <v>0</v>
      </c>
      <c r="U4693">
        <v>0</v>
      </c>
      <c r="V4693">
        <v>0</v>
      </c>
      <c r="W4693" t="str">
        <f t="shared" si="1199"/>
        <v>rob</v>
      </c>
    </row>
    <row r="4694" spans="1:23">
      <c r="A4694" t="str">
        <f t="shared" si="1206"/>
        <v>WELD-IROB-IWLD</v>
      </c>
      <c r="B4694" t="str">
        <f>"00-1290-0000"</f>
        <v>00-1290-0000</v>
      </c>
      <c r="C4694" t="str">
        <f>"PC Table 630x800mm (with Keyboard Drawer)"</f>
        <v>PC Table 630x800mm (with Keyboard Drawer)</v>
      </c>
      <c r="D4694">
        <v>1</v>
      </c>
      <c r="E4694" t="str">
        <f t="shared" si="1207"/>
        <v>Automated Welding: FOR Industrial Robot &amp; Industrial WELDING System</v>
      </c>
      <c r="F4694">
        <v>506</v>
      </c>
      <c r="G4694" t="str">
        <f t="shared" si="1202"/>
        <v>Y</v>
      </c>
      <c r="H4694" t="str">
        <f>"EA"</f>
        <v>EA</v>
      </c>
      <c r="I4694">
        <v>0</v>
      </c>
      <c r="J4694">
        <v>0</v>
      </c>
      <c r="K4694" t="str">
        <f t="shared" si="1204"/>
        <v>Y</v>
      </c>
      <c r="L4694">
        <v>0</v>
      </c>
      <c r="M4694" t="str">
        <f t="shared" si="1208"/>
        <v>NIS</v>
      </c>
      <c r="O4694">
        <v>5</v>
      </c>
      <c r="P4694" t="str">
        <f t="shared" si="1198"/>
        <v>Active</v>
      </c>
      <c r="Q4694" t="str">
        <f>"PC Table 630x800mm (with Keyboard Drawer)"</f>
        <v>PC Table 630x800mm (with Keyboard Drawer)</v>
      </c>
      <c r="S4694" t="str">
        <f>"PC Table 630x800mm (with Keyboard Drawer)"</f>
        <v>PC Table 630x800mm (with Keyboard Drawer)</v>
      </c>
      <c r="T4694">
        <v>0</v>
      </c>
      <c r="U4694">
        <v>405.86</v>
      </c>
      <c r="V4694">
        <v>329.34</v>
      </c>
      <c r="W4694" t="str">
        <f t="shared" si="1199"/>
        <v>rob</v>
      </c>
    </row>
    <row r="4695" spans="1:23">
      <c r="A4695" t="str">
        <f t="shared" si="1206"/>
        <v>WELD-IROB-IWLD</v>
      </c>
      <c r="B4695" t="str">
        <f>"50-0094-0000"</f>
        <v>50-0094-0000</v>
      </c>
      <c r="C4695" t="str">
        <f>"Pre-Engineering, Design and Testing"</f>
        <v>Pre-Engineering, Design and Testing</v>
      </c>
      <c r="D4695">
        <v>1</v>
      </c>
      <c r="E4695" t="str">
        <f t="shared" si="1207"/>
        <v>Automated Welding: FOR Industrial Robot &amp; Industrial WELDING System</v>
      </c>
      <c r="F4695">
        <v>506</v>
      </c>
      <c r="G4695" t="str">
        <f t="shared" si="1202"/>
        <v>Y</v>
      </c>
      <c r="H4695" t="str">
        <f>"DA"</f>
        <v>DA</v>
      </c>
      <c r="I4695">
        <v>0</v>
      </c>
      <c r="J4695">
        <v>0</v>
      </c>
      <c r="K4695" t="str">
        <f t="shared" si="1204"/>
        <v>Y</v>
      </c>
      <c r="L4695">
        <v>0</v>
      </c>
      <c r="M4695" t="str">
        <f t="shared" si="1208"/>
        <v>NIS</v>
      </c>
      <c r="O4695">
        <v>6</v>
      </c>
      <c r="P4695" t="str">
        <f t="shared" ref="P4695:P4726" si="1209">"Active"</f>
        <v>Active</v>
      </c>
      <c r="Q4695" t="str">
        <f>"Pre-Engineering, Design and Testing"</f>
        <v>Pre-Engineering, Design and Testing</v>
      </c>
      <c r="S4695" t="str">
        <f>"Pre-Engineering, Design and Testing"</f>
        <v>Pre-Engineering, Design and Testing</v>
      </c>
      <c r="T4695">
        <v>0</v>
      </c>
      <c r="U4695">
        <v>405</v>
      </c>
      <c r="V4695">
        <v>421.2</v>
      </c>
      <c r="W4695" t="str">
        <f t="shared" si="1199"/>
        <v>rob</v>
      </c>
    </row>
    <row r="4696" spans="1:23">
      <c r="A4696" t="str">
        <f t="shared" ref="A4696:A4701" si="1210">"WELD-MH5F"</f>
        <v>WELD-MH5F</v>
      </c>
      <c r="B4696" t="str">
        <f>"00-0436-0000"</f>
        <v>00-0436-0000</v>
      </c>
      <c r="C4696" t="str">
        <f>"MH5F compact high-speed 6-axis Robot"</f>
        <v>MH5F compact high-speed 6-axis Robot</v>
      </c>
      <c r="D4696">
        <v>1</v>
      </c>
      <c r="E4696" t="str">
        <f t="shared" ref="E4696:E4701" si="1211">"Automated Welding: MOTOMAN MH5F Robot &amp; Welding Booth"</f>
        <v>Automated Welding: MOTOMAN MH5F Robot &amp; Welding Booth</v>
      </c>
      <c r="F4696">
        <v>506</v>
      </c>
      <c r="G4696" t="str">
        <f t="shared" si="1202"/>
        <v>Y</v>
      </c>
      <c r="H4696" t="str">
        <f>"EA"</f>
        <v>EA</v>
      </c>
      <c r="I4696">
        <v>0</v>
      </c>
      <c r="J4696">
        <v>0</v>
      </c>
      <c r="K4696" t="str">
        <f t="shared" si="1204"/>
        <v>Y</v>
      </c>
      <c r="L4696">
        <v>0</v>
      </c>
      <c r="M4696" t="str">
        <f t="shared" si="1208"/>
        <v>NIS</v>
      </c>
      <c r="O4696">
        <v>1</v>
      </c>
      <c r="P4696" t="str">
        <f t="shared" si="1209"/>
        <v>Active</v>
      </c>
      <c r="Q4696" t="str">
        <f>"Robot MOTOMAN MH5F(incl. FS100 controller, 220V)"</f>
        <v>Robot MOTOMAN MH5F(incl. FS100 controller, 220V)</v>
      </c>
      <c r="S4696" t="str">
        <f>"MH5F compact high-speed 6-axis Robot"</f>
        <v>MH5F compact high-speed 6-axis Robot</v>
      </c>
      <c r="T4696">
        <v>0</v>
      </c>
      <c r="U4696" s="44">
        <v>23500</v>
      </c>
      <c r="V4696" s="44">
        <v>16049.14</v>
      </c>
      <c r="W4696" t="str">
        <f t="shared" ref="W4696:W4727" si="1212">"rob"</f>
        <v>rob</v>
      </c>
    </row>
    <row r="4697" spans="1:23">
      <c r="A4697" t="str">
        <f t="shared" si="1210"/>
        <v>WELD-MH5F</v>
      </c>
      <c r="B4697" t="str">
        <f>"00-0646-0000"</f>
        <v>00-0646-0000</v>
      </c>
      <c r="C4697" t="str">
        <f>"Pneumatic Gripper with I/O Box for Motoman MH5F"</f>
        <v>Pneumatic Gripper with I/O Box for Motoman MH5F</v>
      </c>
      <c r="D4697">
        <v>1</v>
      </c>
      <c r="E4697" t="str">
        <f t="shared" si="1211"/>
        <v>Automated Welding: MOTOMAN MH5F Robot &amp; Welding Booth</v>
      </c>
      <c r="F4697">
        <v>506</v>
      </c>
      <c r="G4697" t="str">
        <f t="shared" si="1202"/>
        <v>Y</v>
      </c>
      <c r="H4697" t="str">
        <f>"EA"</f>
        <v>EA</v>
      </c>
      <c r="I4697">
        <v>0</v>
      </c>
      <c r="J4697">
        <v>0</v>
      </c>
      <c r="K4697" t="str">
        <f t="shared" si="1204"/>
        <v>Y</v>
      </c>
      <c r="L4697">
        <v>0</v>
      </c>
      <c r="M4697" t="str">
        <f t="shared" si="1208"/>
        <v>NIS</v>
      </c>
      <c r="O4697">
        <v>2</v>
      </c>
      <c r="P4697" t="str">
        <f t="shared" si="1209"/>
        <v>Active</v>
      </c>
      <c r="Q4697" t="str">
        <f>"Pneumatic Gripper with I/O Box for Motoman MH5F"</f>
        <v>Pneumatic Gripper with I/O Box for Motoman MH5F</v>
      </c>
      <c r="S4697" t="str">
        <f>"Pneumatic Gripper with I/O Box for Motoman MH5F"</f>
        <v>Pneumatic Gripper with I/O Box for Motoman MH5F</v>
      </c>
      <c r="T4697">
        <v>0</v>
      </c>
      <c r="U4697" s="44">
        <v>1500</v>
      </c>
      <c r="V4697" s="44">
        <v>1238.52</v>
      </c>
      <c r="W4697" t="str">
        <f t="shared" si="1212"/>
        <v>rob</v>
      </c>
    </row>
    <row r="4698" spans="1:23">
      <c r="A4698" t="str">
        <f t="shared" si="1210"/>
        <v>WELD-MH5F</v>
      </c>
      <c r="B4698" t="str">
        <f>"00-3085-0000"</f>
        <v>00-3085-0000</v>
      </c>
      <c r="C4698" t="str">
        <f>"Automated Welding booth for ER9Pro/MH5"</f>
        <v>Automated Welding booth for ER9Pro/MH5</v>
      </c>
      <c r="D4698">
        <v>1</v>
      </c>
      <c r="E4698" t="str">
        <f t="shared" si="1211"/>
        <v>Automated Welding: MOTOMAN MH5F Robot &amp; Welding Booth</v>
      </c>
      <c r="F4698">
        <v>506</v>
      </c>
      <c r="G4698" t="str">
        <f t="shared" si="1202"/>
        <v>Y</v>
      </c>
      <c r="H4698" t="str">
        <f>"EA"</f>
        <v>EA</v>
      </c>
      <c r="I4698">
        <v>0</v>
      </c>
      <c r="J4698">
        <v>0</v>
      </c>
      <c r="K4698" t="str">
        <f t="shared" si="1204"/>
        <v>Y</v>
      </c>
      <c r="L4698">
        <v>0</v>
      </c>
      <c r="M4698" t="str">
        <f t="shared" si="1208"/>
        <v>NIS</v>
      </c>
      <c r="O4698">
        <v>5</v>
      </c>
      <c r="P4698" t="str">
        <f t="shared" si="1209"/>
        <v>Active</v>
      </c>
      <c r="Q4698" t="str">
        <f>"Automated Welding for ER9Pro/HP3 (CIM)"</f>
        <v>Automated Welding for ER9Pro/HP3 (CIM)</v>
      </c>
      <c r="S4698" t="str">
        <f>"Automated Welding for ER9Pro/MH5 (CIM)"</f>
        <v>Automated Welding for ER9Pro/MH5 (CIM)</v>
      </c>
      <c r="T4698">
        <v>0</v>
      </c>
      <c r="U4698" s="44">
        <v>7440.55</v>
      </c>
      <c r="V4698" s="44">
        <v>6530.58</v>
      </c>
      <c r="W4698" t="str">
        <f t="shared" si="1212"/>
        <v>rob</v>
      </c>
    </row>
    <row r="4699" spans="1:23">
      <c r="A4699" t="str">
        <f t="shared" si="1210"/>
        <v>WELD-MH5F</v>
      </c>
      <c r="B4699" t="str">
        <f>"434004"</f>
        <v>434004</v>
      </c>
      <c r="C4699" t="str">
        <f>"Welder-Millwermatic 180 Auto-Set, 230V, 60Hz"</f>
        <v>Welder-Millwermatic 180 Auto-Set, 230V, 60Hz</v>
      </c>
      <c r="D4699">
        <v>1</v>
      </c>
      <c r="E4699" t="str">
        <f t="shared" si="1211"/>
        <v>Automated Welding: MOTOMAN MH5F Robot &amp; Welding Booth</v>
      </c>
      <c r="F4699">
        <v>506</v>
      </c>
      <c r="G4699" t="str">
        <f t="shared" si="1202"/>
        <v>Y</v>
      </c>
      <c r="H4699" t="str">
        <f>"EA"</f>
        <v>EA</v>
      </c>
      <c r="I4699">
        <v>0</v>
      </c>
      <c r="J4699">
        <v>0</v>
      </c>
      <c r="K4699" t="str">
        <f t="shared" si="1204"/>
        <v>Y</v>
      </c>
      <c r="L4699">
        <v>0</v>
      </c>
      <c r="M4699" t="str">
        <f t="shared" si="1208"/>
        <v>NIS</v>
      </c>
      <c r="O4699">
        <v>6</v>
      </c>
      <c r="P4699" t="str">
        <f t="shared" si="1209"/>
        <v>Active</v>
      </c>
      <c r="Q4699" t="str">
        <f>"MIG Welder unit  220 V"</f>
        <v>MIG Welder unit  220 V</v>
      </c>
      <c r="S4699" t="str">
        <f>"Welder-Millwermatic 180 Auto-Set, 230V, 60Hz"</f>
        <v>Welder-Millwermatic 180 Auto-Set, 230V, 60Hz</v>
      </c>
      <c r="T4699">
        <v>0</v>
      </c>
      <c r="U4699" s="44">
        <v>1309.3499999999999</v>
      </c>
      <c r="V4699" s="44">
        <v>1246.56</v>
      </c>
      <c r="W4699" t="str">
        <f t="shared" si="1212"/>
        <v>rob</v>
      </c>
    </row>
    <row r="4700" spans="1:23">
      <c r="A4700" t="str">
        <f t="shared" si="1210"/>
        <v>WELD-MH5F</v>
      </c>
      <c r="B4700" t="str">
        <f>"00-1290-0000"</f>
        <v>00-1290-0000</v>
      </c>
      <c r="C4700" t="str">
        <f>"PC Table 630x800mm (with Keyboard Drawer)"</f>
        <v>PC Table 630x800mm (with Keyboard Drawer)</v>
      </c>
      <c r="D4700">
        <v>1</v>
      </c>
      <c r="E4700" t="str">
        <f t="shared" si="1211"/>
        <v>Automated Welding: MOTOMAN MH5F Robot &amp; Welding Booth</v>
      </c>
      <c r="F4700">
        <v>506</v>
      </c>
      <c r="G4700" t="str">
        <f t="shared" si="1202"/>
        <v>Y</v>
      </c>
      <c r="H4700" t="str">
        <f>"EA"</f>
        <v>EA</v>
      </c>
      <c r="I4700">
        <v>0</v>
      </c>
      <c r="J4700">
        <v>0</v>
      </c>
      <c r="K4700" t="str">
        <f t="shared" si="1204"/>
        <v>Y</v>
      </c>
      <c r="L4700">
        <v>0</v>
      </c>
      <c r="M4700" t="str">
        <f t="shared" si="1208"/>
        <v>NIS</v>
      </c>
      <c r="O4700">
        <v>3</v>
      </c>
      <c r="P4700" t="str">
        <f t="shared" si="1209"/>
        <v>Active</v>
      </c>
      <c r="Q4700" t="str">
        <f>"PC Table 630x800mm (with Keyboard Drawer)"</f>
        <v>PC Table 630x800mm (with Keyboard Drawer)</v>
      </c>
      <c r="S4700" t="str">
        <f>"PC Table 630x800mm (with Keyboard Drawer)"</f>
        <v>PC Table 630x800mm (with Keyboard Drawer)</v>
      </c>
      <c r="T4700">
        <v>0</v>
      </c>
      <c r="U4700">
        <v>405.86</v>
      </c>
      <c r="V4700">
        <v>329.34</v>
      </c>
      <c r="W4700" t="str">
        <f t="shared" si="1212"/>
        <v>rob</v>
      </c>
    </row>
    <row r="4701" spans="1:23">
      <c r="A4701" t="str">
        <f t="shared" si="1210"/>
        <v>WELD-MH5F</v>
      </c>
      <c r="B4701" t="str">
        <f>"50-0094-0000"</f>
        <v>50-0094-0000</v>
      </c>
      <c r="C4701" t="str">
        <f>"Pre-Engineering, Design and Testing"</f>
        <v>Pre-Engineering, Design and Testing</v>
      </c>
      <c r="D4701">
        <v>1</v>
      </c>
      <c r="E4701" t="str">
        <f t="shared" si="1211"/>
        <v>Automated Welding: MOTOMAN MH5F Robot &amp; Welding Booth</v>
      </c>
      <c r="F4701">
        <v>506</v>
      </c>
      <c r="G4701" t="str">
        <f t="shared" si="1202"/>
        <v>Y</v>
      </c>
      <c r="H4701" t="str">
        <f>"DA"</f>
        <v>DA</v>
      </c>
      <c r="I4701">
        <v>0</v>
      </c>
      <c r="J4701">
        <v>0</v>
      </c>
      <c r="K4701" t="str">
        <f t="shared" si="1204"/>
        <v>Y</v>
      </c>
      <c r="L4701">
        <v>0</v>
      </c>
      <c r="M4701" t="str">
        <f t="shared" si="1208"/>
        <v>NIS</v>
      </c>
      <c r="O4701">
        <v>4</v>
      </c>
      <c r="P4701" t="str">
        <f t="shared" si="1209"/>
        <v>Active</v>
      </c>
      <c r="Q4701" t="str">
        <f>"Pre-Engineering, Design and Testing"</f>
        <v>Pre-Engineering, Design and Testing</v>
      </c>
      <c r="S4701" t="str">
        <f>"Pre-Engineering, Design and Testing"</f>
        <v>Pre-Engineering, Design and Testing</v>
      </c>
      <c r="T4701">
        <v>0</v>
      </c>
      <c r="U4701">
        <v>405</v>
      </c>
      <c r="V4701">
        <v>421.2</v>
      </c>
      <c r="W4701" t="str">
        <f t="shared" si="1212"/>
        <v>rob</v>
      </c>
    </row>
    <row r="4702" spans="1:23">
      <c r="A4702" t="str">
        <f t="shared" ref="A4702:A4723" si="1213">"WELD-MIG-MMA"</f>
        <v>WELD-MIG-MMA</v>
      </c>
      <c r="B4702" t="str">
        <f>"APL0038"</f>
        <v>APL0038</v>
      </c>
      <c r="C4702" t="str">
        <f>"SAPP Air Pressure Process Plant; 110V"</f>
        <v>SAPP Air Pressure Process Plant; 110V</v>
      </c>
      <c r="D4702">
        <v>1</v>
      </c>
      <c r="E4702" t="str">
        <f t="shared" ref="E4702:E4723" si="1214">"Welding Cell for MIG(GMAW)and MMA (SMAW) welding"</f>
        <v>Welding Cell for MIG(GMAW)and MMA (SMAW) welding</v>
      </c>
      <c r="F4702">
        <v>700</v>
      </c>
      <c r="G4702" t="str">
        <f t="shared" si="1202"/>
        <v>Y</v>
      </c>
      <c r="H4702" t="str">
        <f t="shared" ref="H4702:H4733" si="1215">"EA"</f>
        <v>EA</v>
      </c>
      <c r="I4702">
        <v>0</v>
      </c>
      <c r="J4702">
        <v>0</v>
      </c>
      <c r="K4702" t="str">
        <f t="shared" si="1204"/>
        <v>Y</v>
      </c>
      <c r="L4702">
        <v>0</v>
      </c>
      <c r="M4702" t="str">
        <f t="shared" si="1208"/>
        <v>NIS</v>
      </c>
      <c r="O4702">
        <v>1</v>
      </c>
      <c r="P4702" t="str">
        <f t="shared" si="1209"/>
        <v>Active</v>
      </c>
      <c r="Q4702" t="str">
        <f>"MIG 200G (Single Phase) Welding Machine"</f>
        <v>MIG 200G (Single Phase) Welding Machine</v>
      </c>
      <c r="S4702" t="str">
        <f>"MIG 200G (Single Phase) Welding Machine"</f>
        <v>MIG 200G (Single Phase) Welding Machine</v>
      </c>
      <c r="T4702">
        <v>0</v>
      </c>
      <c r="U4702" s="44">
        <v>1270.3</v>
      </c>
      <c r="V4702" s="44">
        <v>1082.76</v>
      </c>
      <c r="W4702" t="str">
        <f t="shared" si="1212"/>
        <v>rob</v>
      </c>
    </row>
    <row r="4703" spans="1:23">
      <c r="A4703" t="str">
        <f t="shared" si="1213"/>
        <v>WELD-MIG-MMA</v>
      </c>
      <c r="B4703" t="str">
        <f>"APL0044"</f>
        <v>APL0044</v>
      </c>
      <c r="C4703" t="str">
        <f>"Electronic Welding Mask"</f>
        <v>Electronic Welding Mask</v>
      </c>
      <c r="D4703">
        <v>1</v>
      </c>
      <c r="E4703" t="str">
        <f t="shared" si="1214"/>
        <v>Welding Cell for MIG(GMAW)and MMA (SMAW) welding</v>
      </c>
      <c r="F4703">
        <v>700</v>
      </c>
      <c r="G4703" t="str">
        <f t="shared" si="1202"/>
        <v>Y</v>
      </c>
      <c r="H4703" t="str">
        <f t="shared" si="1215"/>
        <v>EA</v>
      </c>
      <c r="I4703">
        <v>0</v>
      </c>
      <c r="J4703">
        <v>0</v>
      </c>
      <c r="K4703" t="str">
        <f t="shared" si="1204"/>
        <v>Y</v>
      </c>
      <c r="L4703">
        <v>0</v>
      </c>
      <c r="M4703" t="str">
        <f t="shared" si="1208"/>
        <v>NIS</v>
      </c>
      <c r="O4703">
        <v>2</v>
      </c>
      <c r="P4703" t="str">
        <f t="shared" si="1209"/>
        <v>Active</v>
      </c>
      <c r="Q4703" t="str">
        <f>"Electronic Welding Mask"</f>
        <v>Electronic Welding Mask</v>
      </c>
      <c r="S4703" t="str">
        <f>"Electronic Welding Mask"</f>
        <v>Electronic Welding Mask</v>
      </c>
      <c r="T4703">
        <v>0</v>
      </c>
      <c r="U4703">
        <v>75.61</v>
      </c>
      <c r="V4703">
        <v>64.45</v>
      </c>
      <c r="W4703" t="str">
        <f t="shared" si="1212"/>
        <v>rob</v>
      </c>
    </row>
    <row r="4704" spans="1:23">
      <c r="A4704" t="str">
        <f t="shared" si="1213"/>
        <v>WELD-MIG-MMA</v>
      </c>
      <c r="B4704" t="str">
        <f>"APL0049"</f>
        <v>APL0049</v>
      </c>
      <c r="C4704" t="str">
        <f>"Welder Jacket (Size XL)"</f>
        <v>Welder Jacket (Size XL)</v>
      </c>
      <c r="D4704">
        <v>1</v>
      </c>
      <c r="E4704" t="str">
        <f t="shared" si="1214"/>
        <v>Welding Cell for MIG(GMAW)and MMA (SMAW) welding</v>
      </c>
      <c r="F4704">
        <v>700</v>
      </c>
      <c r="G4704" t="str">
        <f t="shared" si="1202"/>
        <v>Y</v>
      </c>
      <c r="H4704" t="str">
        <f t="shared" si="1215"/>
        <v>EA</v>
      </c>
      <c r="I4704">
        <v>0</v>
      </c>
      <c r="J4704">
        <v>0</v>
      </c>
      <c r="K4704" t="str">
        <f t="shared" si="1204"/>
        <v>Y</v>
      </c>
      <c r="L4704">
        <v>0</v>
      </c>
      <c r="M4704" t="str">
        <f t="shared" si="1208"/>
        <v>NIS</v>
      </c>
      <c r="O4704">
        <v>3</v>
      </c>
      <c r="P4704" t="str">
        <f t="shared" si="1209"/>
        <v>Active</v>
      </c>
      <c r="Q4704" t="str">
        <f>"CHAQUETA SOLDADOR XL AMARILLA"</f>
        <v>CHAQUETA SOLDADOR XL AMARILLA</v>
      </c>
      <c r="S4704" t="str">
        <f>"Welder Jacket (Size XL)"</f>
        <v>Welder Jacket (Size XL)</v>
      </c>
      <c r="T4704">
        <v>0</v>
      </c>
      <c r="U4704">
        <v>54.44</v>
      </c>
      <c r="V4704">
        <v>46.4</v>
      </c>
      <c r="W4704" t="str">
        <f t="shared" si="1212"/>
        <v>rob</v>
      </c>
    </row>
    <row r="4705" spans="1:23">
      <c r="A4705" t="str">
        <f t="shared" si="1213"/>
        <v>WELD-MIG-MMA</v>
      </c>
      <c r="B4705" t="str">
        <f>"APL0045"</f>
        <v>APL0045</v>
      </c>
      <c r="C4705" t="str">
        <f>"Welding Apron (AP-6101L1)"</f>
        <v>Welding Apron (AP-6101L1)</v>
      </c>
      <c r="D4705">
        <v>1</v>
      </c>
      <c r="E4705" t="str">
        <f t="shared" si="1214"/>
        <v>Welding Cell for MIG(GMAW)and MMA (SMAW) welding</v>
      </c>
      <c r="F4705">
        <v>700</v>
      </c>
      <c r="G4705" t="str">
        <f t="shared" si="1202"/>
        <v>Y</v>
      </c>
      <c r="H4705" t="str">
        <f t="shared" si="1215"/>
        <v>EA</v>
      </c>
      <c r="I4705">
        <v>0</v>
      </c>
      <c r="J4705">
        <v>0</v>
      </c>
      <c r="K4705" t="str">
        <f t="shared" si="1204"/>
        <v>Y</v>
      </c>
      <c r="L4705">
        <v>0</v>
      </c>
      <c r="M4705" t="str">
        <f t="shared" si="1208"/>
        <v>NIS</v>
      </c>
      <c r="O4705">
        <v>4</v>
      </c>
      <c r="P4705" t="str">
        <f t="shared" si="1209"/>
        <v>Active</v>
      </c>
      <c r="Q4705" t="str">
        <f>"Welding Apron (AP-6101L1)"</f>
        <v>Welding Apron (AP-6101L1)</v>
      </c>
      <c r="S4705" t="str">
        <f>"Welding Apron (AP-6101L1)"</f>
        <v>Welding Apron (AP-6101L1)</v>
      </c>
      <c r="T4705">
        <v>0</v>
      </c>
      <c r="U4705">
        <v>14.52</v>
      </c>
      <c r="V4705">
        <v>12.37</v>
      </c>
      <c r="W4705" t="str">
        <f t="shared" si="1212"/>
        <v>rob</v>
      </c>
    </row>
    <row r="4706" spans="1:23">
      <c r="A4706" t="str">
        <f t="shared" si="1213"/>
        <v>WELD-MIG-MMA</v>
      </c>
      <c r="B4706" t="str">
        <f>"APL0046"</f>
        <v>APL0046</v>
      </c>
      <c r="C4706" t="str">
        <f>"Welder Leather Sleeves (AP-9119)"</f>
        <v>Welder Leather Sleeves (AP-9119)</v>
      </c>
      <c r="D4706">
        <v>1</v>
      </c>
      <c r="E4706" t="str">
        <f t="shared" si="1214"/>
        <v>Welding Cell for MIG(GMAW)and MMA (SMAW) welding</v>
      </c>
      <c r="F4706">
        <v>700</v>
      </c>
      <c r="G4706" t="str">
        <f t="shared" si="1202"/>
        <v>Y</v>
      </c>
      <c r="H4706" t="str">
        <f t="shared" si="1215"/>
        <v>EA</v>
      </c>
      <c r="I4706">
        <v>0</v>
      </c>
      <c r="J4706">
        <v>0</v>
      </c>
      <c r="K4706" t="str">
        <f t="shared" si="1204"/>
        <v>Y</v>
      </c>
      <c r="L4706">
        <v>0</v>
      </c>
      <c r="M4706" t="str">
        <f t="shared" si="1208"/>
        <v>NIS</v>
      </c>
      <c r="O4706">
        <v>5</v>
      </c>
      <c r="P4706" t="str">
        <f t="shared" si="1209"/>
        <v>Active</v>
      </c>
      <c r="Q4706" t="str">
        <f>"Welder Leather Sleeves (AP-9119)"</f>
        <v>Welder Leather Sleeves (AP-9119)</v>
      </c>
      <c r="S4706" t="str">
        <f>"Welder Leather Sleeves (AP-9119)"</f>
        <v>Welder Leather Sleeves (AP-9119)</v>
      </c>
      <c r="T4706">
        <v>0</v>
      </c>
      <c r="U4706">
        <v>17.54</v>
      </c>
      <c r="V4706">
        <v>14.95</v>
      </c>
      <c r="W4706" t="str">
        <f t="shared" si="1212"/>
        <v>rob</v>
      </c>
    </row>
    <row r="4707" spans="1:23">
      <c r="A4707" t="str">
        <f t="shared" si="1213"/>
        <v>WELD-MIG-MMA</v>
      </c>
      <c r="B4707" t="str">
        <f>"APL0047"</f>
        <v>APL0047</v>
      </c>
      <c r="C4707" t="str">
        <f>"Fortified fabric welding gloves"</f>
        <v>Fortified fabric welding gloves</v>
      </c>
      <c r="D4707">
        <v>1</v>
      </c>
      <c r="E4707" t="str">
        <f t="shared" si="1214"/>
        <v>Welding Cell for MIG(GMAW)and MMA (SMAW) welding</v>
      </c>
      <c r="F4707">
        <v>700</v>
      </c>
      <c r="G4707" t="str">
        <f t="shared" si="1202"/>
        <v>Y</v>
      </c>
      <c r="H4707" t="str">
        <f t="shared" si="1215"/>
        <v>EA</v>
      </c>
      <c r="I4707">
        <v>0</v>
      </c>
      <c r="J4707">
        <v>0</v>
      </c>
      <c r="K4707" t="str">
        <f t="shared" si="1204"/>
        <v>Y</v>
      </c>
      <c r="L4707">
        <v>0</v>
      </c>
      <c r="M4707" t="str">
        <f t="shared" si="1208"/>
        <v>NIS</v>
      </c>
      <c r="O4707">
        <v>6</v>
      </c>
      <c r="P4707" t="str">
        <f t="shared" si="1209"/>
        <v>Active</v>
      </c>
      <c r="Q4707" t="str">
        <f>"Fortified fabric welding gloves"</f>
        <v>Fortified fabric welding gloves</v>
      </c>
      <c r="S4707" t="str">
        <f>"Fortified fabric welding gloves"</f>
        <v>Fortified fabric welding gloves</v>
      </c>
      <c r="T4707">
        <v>0</v>
      </c>
      <c r="U4707">
        <v>8.17</v>
      </c>
      <c r="V4707">
        <v>6.97</v>
      </c>
      <c r="W4707" t="str">
        <f t="shared" si="1212"/>
        <v>rob</v>
      </c>
    </row>
    <row r="4708" spans="1:23">
      <c r="A4708" t="str">
        <f t="shared" si="1213"/>
        <v>WELD-MIG-MMA</v>
      </c>
      <c r="B4708" t="str">
        <f>"APL0050"</f>
        <v>APL0050</v>
      </c>
      <c r="C4708" t="str">
        <f>"Spare Parts for TIG&amp;MIG handle"</f>
        <v>Spare Parts for TIG&amp;MIG handle</v>
      </c>
      <c r="D4708">
        <v>1</v>
      </c>
      <c r="E4708" t="str">
        <f t="shared" si="1214"/>
        <v>Welding Cell for MIG(GMAW)and MMA (SMAW) welding</v>
      </c>
      <c r="F4708">
        <v>700</v>
      </c>
      <c r="G4708" t="str">
        <f t="shared" si="1202"/>
        <v>Y</v>
      </c>
      <c r="H4708" t="str">
        <f t="shared" si="1215"/>
        <v>EA</v>
      </c>
      <c r="I4708">
        <v>0</v>
      </c>
      <c r="J4708">
        <v>0</v>
      </c>
      <c r="K4708" t="str">
        <f t="shared" si="1204"/>
        <v>Y</v>
      </c>
      <c r="L4708">
        <v>0</v>
      </c>
      <c r="M4708" t="str">
        <f t="shared" si="1208"/>
        <v>NIS</v>
      </c>
      <c r="O4708">
        <v>7</v>
      </c>
      <c r="P4708" t="str">
        <f t="shared" si="1209"/>
        <v>Active</v>
      </c>
      <c r="Q4708" t="str">
        <f>"Spare Parts for TIG&amp;MIG handle"</f>
        <v>Spare Parts for TIG&amp;MIG handle</v>
      </c>
      <c r="S4708" t="str">
        <f>"Spare Parts for TIG&amp;MIG handle"</f>
        <v>Spare Parts for TIG&amp;MIG handle</v>
      </c>
      <c r="T4708">
        <v>0</v>
      </c>
      <c r="U4708">
        <v>1.81</v>
      </c>
      <c r="V4708">
        <v>1.55</v>
      </c>
      <c r="W4708" t="str">
        <f t="shared" si="1212"/>
        <v>rob</v>
      </c>
    </row>
    <row r="4709" spans="1:23">
      <c r="A4709" t="str">
        <f t="shared" si="1213"/>
        <v>WELD-MIG-MMA</v>
      </c>
      <c r="B4709" t="str">
        <f>"APL0055"</f>
        <v>APL0055</v>
      </c>
      <c r="C4709" t="str">
        <f>"Binzel 15 Handle, 4M Length"</f>
        <v>Binzel 15 Handle, 4M Length</v>
      </c>
      <c r="D4709">
        <v>1</v>
      </c>
      <c r="E4709" t="str">
        <f t="shared" si="1214"/>
        <v>Welding Cell for MIG(GMAW)and MMA (SMAW) welding</v>
      </c>
      <c r="F4709">
        <v>700</v>
      </c>
      <c r="G4709" t="str">
        <f t="shared" si="1202"/>
        <v>Y</v>
      </c>
      <c r="H4709" t="str">
        <f t="shared" si="1215"/>
        <v>EA</v>
      </c>
      <c r="I4709">
        <v>0</v>
      </c>
      <c r="J4709">
        <v>0</v>
      </c>
      <c r="K4709" t="str">
        <f t="shared" si="1204"/>
        <v>Y</v>
      </c>
      <c r="L4709">
        <v>0</v>
      </c>
      <c r="M4709" t="str">
        <f t="shared" si="1208"/>
        <v>NIS</v>
      </c>
      <c r="O4709">
        <v>8</v>
      </c>
      <c r="P4709" t="str">
        <f t="shared" si="1209"/>
        <v>Active</v>
      </c>
      <c r="Q4709" t="str">
        <f>"Binzel 15 Handle, 4M Length"</f>
        <v>Binzel 15 Handle, 4M Length</v>
      </c>
      <c r="S4709" t="str">
        <f>"Binzel 15 Handle, 4M Length"</f>
        <v>Binzel 15 Handle, 4M Length</v>
      </c>
      <c r="T4709">
        <v>0</v>
      </c>
      <c r="U4709">
        <v>96.78</v>
      </c>
      <c r="V4709">
        <v>82.5</v>
      </c>
      <c r="W4709" t="str">
        <f t="shared" si="1212"/>
        <v>rob</v>
      </c>
    </row>
    <row r="4710" spans="1:23">
      <c r="A4710" t="str">
        <f t="shared" si="1213"/>
        <v>WELD-MIG-MMA</v>
      </c>
      <c r="B4710" t="str">
        <f>"APL0056"</f>
        <v>APL0056</v>
      </c>
      <c r="C4710" t="str">
        <f>"Regular Binzel 15 Mouth"</f>
        <v>Regular Binzel 15 Mouth</v>
      </c>
      <c r="D4710">
        <v>10</v>
      </c>
      <c r="E4710" t="str">
        <f t="shared" si="1214"/>
        <v>Welding Cell for MIG(GMAW)and MMA (SMAW) welding</v>
      </c>
      <c r="F4710">
        <v>700</v>
      </c>
      <c r="G4710" t="str">
        <f t="shared" si="1202"/>
        <v>Y</v>
      </c>
      <c r="H4710" t="str">
        <f t="shared" si="1215"/>
        <v>EA</v>
      </c>
      <c r="I4710">
        <v>0</v>
      </c>
      <c r="J4710">
        <v>0</v>
      </c>
      <c r="K4710" t="str">
        <f t="shared" si="1204"/>
        <v>Y</v>
      </c>
      <c r="L4710">
        <v>0</v>
      </c>
      <c r="M4710" t="str">
        <f t="shared" si="1208"/>
        <v>NIS</v>
      </c>
      <c r="O4710">
        <v>9</v>
      </c>
      <c r="P4710" t="str">
        <f t="shared" si="1209"/>
        <v>Active</v>
      </c>
      <c r="Q4710" t="str">
        <f>"Regular Binzel 15 Mouth"</f>
        <v>Regular Binzel 15 Mouth</v>
      </c>
      <c r="S4710" t="str">
        <f>"Regular Binzel 15 Mouth"</f>
        <v>Regular Binzel 15 Mouth</v>
      </c>
      <c r="T4710">
        <v>0</v>
      </c>
      <c r="U4710">
        <v>2.72</v>
      </c>
      <c r="V4710">
        <v>2.3199999999999998</v>
      </c>
      <c r="W4710" t="str">
        <f t="shared" si="1212"/>
        <v>rob</v>
      </c>
    </row>
    <row r="4711" spans="1:23">
      <c r="A4711" t="str">
        <f t="shared" si="1213"/>
        <v>WELD-MIG-MMA</v>
      </c>
      <c r="B4711" t="str">
        <f>"APL0057"</f>
        <v>APL0057</v>
      </c>
      <c r="C4711" t="str">
        <f>"Nozzle 1.0xM6 for Binzel 15"</f>
        <v>Nozzle 1.0xM6 for Binzel 15</v>
      </c>
      <c r="D4711">
        <v>10</v>
      </c>
      <c r="E4711" t="str">
        <f t="shared" si="1214"/>
        <v>Welding Cell for MIG(GMAW)and MMA (SMAW) welding</v>
      </c>
      <c r="F4711">
        <v>700</v>
      </c>
      <c r="G4711" t="str">
        <f t="shared" si="1202"/>
        <v>Y</v>
      </c>
      <c r="H4711" t="str">
        <f t="shared" si="1215"/>
        <v>EA</v>
      </c>
      <c r="I4711">
        <v>0</v>
      </c>
      <c r="J4711">
        <v>0</v>
      </c>
      <c r="K4711" t="str">
        <f t="shared" si="1204"/>
        <v>Y</v>
      </c>
      <c r="L4711">
        <v>0</v>
      </c>
      <c r="M4711" t="str">
        <f t="shared" si="1208"/>
        <v>NIS</v>
      </c>
      <c r="O4711">
        <v>10</v>
      </c>
      <c r="P4711" t="str">
        <f t="shared" si="1209"/>
        <v>Active</v>
      </c>
      <c r="Q4711" t="str">
        <f>"Nozzle 1.0xM6 for Binzel 15"</f>
        <v>Nozzle 1.0xM6 for Binzel 15</v>
      </c>
      <c r="S4711" t="str">
        <f>"Nozzle 1.0xM6 for Binzel 15"</f>
        <v>Nozzle 1.0xM6 for Binzel 15</v>
      </c>
      <c r="T4711">
        <v>0</v>
      </c>
      <c r="U4711">
        <v>1.3</v>
      </c>
      <c r="V4711">
        <v>1.1100000000000001</v>
      </c>
      <c r="W4711" t="str">
        <f t="shared" si="1212"/>
        <v>rob</v>
      </c>
    </row>
    <row r="4712" spans="1:23">
      <c r="A4712" t="str">
        <f t="shared" si="1213"/>
        <v>WELD-MIG-MMA</v>
      </c>
      <c r="B4712" t="str">
        <f>"APL0058"</f>
        <v>APL0058</v>
      </c>
      <c r="C4712" t="str">
        <f>"Nozzle House for Binzel 15"</f>
        <v>Nozzle House for Binzel 15</v>
      </c>
      <c r="D4712">
        <v>5</v>
      </c>
      <c r="E4712" t="str">
        <f t="shared" si="1214"/>
        <v>Welding Cell for MIG(GMAW)and MMA (SMAW) welding</v>
      </c>
      <c r="F4712">
        <v>700</v>
      </c>
      <c r="G4712" t="str">
        <f t="shared" si="1202"/>
        <v>Y</v>
      </c>
      <c r="H4712" t="str">
        <f t="shared" si="1215"/>
        <v>EA</v>
      </c>
      <c r="I4712">
        <v>0</v>
      </c>
      <c r="J4712">
        <v>0</v>
      </c>
      <c r="K4712" t="str">
        <f t="shared" si="1204"/>
        <v>Y</v>
      </c>
      <c r="L4712">
        <v>0</v>
      </c>
      <c r="M4712" t="str">
        <f t="shared" si="1208"/>
        <v>NIS</v>
      </c>
      <c r="O4712">
        <v>11</v>
      </c>
      <c r="P4712" t="str">
        <f t="shared" si="1209"/>
        <v>Active</v>
      </c>
      <c r="Q4712" t="str">
        <f>"Nozzle House for Binzel 15"</f>
        <v>Nozzle House for Binzel 15</v>
      </c>
      <c r="S4712" t="str">
        <f>"Nozzle House for Binzel 15"</f>
        <v>Nozzle House for Binzel 15</v>
      </c>
      <c r="T4712">
        <v>0</v>
      </c>
      <c r="U4712">
        <v>2.12</v>
      </c>
      <c r="V4712">
        <v>1.8</v>
      </c>
      <c r="W4712" t="str">
        <f t="shared" si="1212"/>
        <v>rob</v>
      </c>
    </row>
    <row r="4713" spans="1:23">
      <c r="A4713" t="str">
        <f t="shared" si="1213"/>
        <v>WELD-MIG-MMA</v>
      </c>
      <c r="B4713" t="str">
        <f>"APL0059"</f>
        <v>APL0059</v>
      </c>
      <c r="C4713" t="str">
        <f>"Handle neck for Bizel 15"</f>
        <v>Handle neck for Bizel 15</v>
      </c>
      <c r="D4713">
        <v>1</v>
      </c>
      <c r="E4713" t="str">
        <f t="shared" si="1214"/>
        <v>Welding Cell for MIG(GMAW)and MMA (SMAW) welding</v>
      </c>
      <c r="F4713">
        <v>700</v>
      </c>
      <c r="G4713" t="str">
        <f t="shared" si="1202"/>
        <v>Y</v>
      </c>
      <c r="H4713" t="str">
        <f t="shared" si="1215"/>
        <v>EA</v>
      </c>
      <c r="I4713">
        <v>0</v>
      </c>
      <c r="J4713">
        <v>0</v>
      </c>
      <c r="K4713" t="str">
        <f t="shared" si="1204"/>
        <v>Y</v>
      </c>
      <c r="L4713">
        <v>0</v>
      </c>
      <c r="M4713" t="str">
        <f t="shared" si="1208"/>
        <v>NIS</v>
      </c>
      <c r="O4713">
        <v>12</v>
      </c>
      <c r="P4713" t="str">
        <f t="shared" si="1209"/>
        <v>Active</v>
      </c>
      <c r="Q4713" t="str">
        <f>"Handle neck for Bizel 15"</f>
        <v>Handle neck for Bizel 15</v>
      </c>
      <c r="S4713" t="str">
        <f>"Handle neck for Bizel 15"</f>
        <v>Handle neck for Bizel 15</v>
      </c>
      <c r="T4713">
        <v>0</v>
      </c>
      <c r="U4713">
        <v>16.63</v>
      </c>
      <c r="V4713">
        <v>14.18</v>
      </c>
      <c r="W4713" t="str">
        <f t="shared" si="1212"/>
        <v>rob</v>
      </c>
    </row>
    <row r="4714" spans="1:23">
      <c r="A4714" t="str">
        <f t="shared" si="1213"/>
        <v>WELD-MIG-MMA</v>
      </c>
      <c r="B4714" t="str">
        <f>"APL0060"</f>
        <v>APL0060</v>
      </c>
      <c r="C4714" t="str">
        <f>"Blue Lead Handle for Binzel 15"</f>
        <v>Blue Lead Handle for Binzel 15</v>
      </c>
      <c r="D4714">
        <v>2</v>
      </c>
      <c r="E4714" t="str">
        <f t="shared" si="1214"/>
        <v>Welding Cell for MIG(GMAW)and MMA (SMAW) welding</v>
      </c>
      <c r="F4714">
        <v>700</v>
      </c>
      <c r="G4714" t="str">
        <f t="shared" si="1202"/>
        <v>Y</v>
      </c>
      <c r="H4714" t="str">
        <f t="shared" si="1215"/>
        <v>EA</v>
      </c>
      <c r="I4714">
        <v>0</v>
      </c>
      <c r="J4714">
        <v>0</v>
      </c>
      <c r="K4714" t="str">
        <f t="shared" si="1204"/>
        <v>Y</v>
      </c>
      <c r="L4714">
        <v>0</v>
      </c>
      <c r="M4714" t="str">
        <f t="shared" si="1208"/>
        <v>NIS</v>
      </c>
      <c r="O4714">
        <v>13</v>
      </c>
      <c r="P4714" t="str">
        <f t="shared" si="1209"/>
        <v>Active</v>
      </c>
      <c r="Q4714" t="str">
        <f>"Blue Lead Handle for Binzel 15"</f>
        <v>Blue Lead Handle for Binzel 15</v>
      </c>
      <c r="S4714" t="str">
        <f>"Blue Lead Handle for Binzel 15"</f>
        <v>Blue Lead Handle for Binzel 15</v>
      </c>
      <c r="T4714">
        <v>0</v>
      </c>
      <c r="U4714">
        <v>14.52</v>
      </c>
      <c r="V4714">
        <v>12.37</v>
      </c>
      <c r="W4714" t="str">
        <f t="shared" si="1212"/>
        <v>rob</v>
      </c>
    </row>
    <row r="4715" spans="1:23">
      <c r="A4715" t="str">
        <f t="shared" si="1213"/>
        <v>WELD-MIG-MMA</v>
      </c>
      <c r="B4715" t="str">
        <f>"APL0042"</f>
        <v>APL0042</v>
      </c>
      <c r="C4715" t="str">
        <f>"Rutile Electrode E6013 2.5mm"</f>
        <v>Rutile Electrode E6013 2.5mm</v>
      </c>
      <c r="D4715">
        <v>10</v>
      </c>
      <c r="E4715" t="str">
        <f t="shared" si="1214"/>
        <v>Welding Cell for MIG(GMAW)and MMA (SMAW) welding</v>
      </c>
      <c r="F4715">
        <v>700</v>
      </c>
      <c r="G4715" t="str">
        <f t="shared" si="1202"/>
        <v>Y</v>
      </c>
      <c r="H4715" t="str">
        <f t="shared" si="1215"/>
        <v>EA</v>
      </c>
      <c r="I4715">
        <v>0</v>
      </c>
      <c r="J4715">
        <v>0</v>
      </c>
      <c r="K4715" t="str">
        <f t="shared" si="1204"/>
        <v>Y</v>
      </c>
      <c r="L4715">
        <v>0</v>
      </c>
      <c r="M4715" t="str">
        <f t="shared" si="1208"/>
        <v>NIS</v>
      </c>
      <c r="O4715">
        <v>14</v>
      </c>
      <c r="P4715" t="str">
        <f t="shared" si="1209"/>
        <v>Active</v>
      </c>
      <c r="Q4715" t="str">
        <f>"Rutile Electrode E6013 2.5mm"</f>
        <v>Rutile Electrode E6013 2.5mm</v>
      </c>
      <c r="S4715" t="str">
        <f>"Rutile Electrode E6013 2.5mm"</f>
        <v>Rutile Electrode E6013 2.5mm</v>
      </c>
      <c r="T4715">
        <v>0</v>
      </c>
      <c r="U4715">
        <v>5.75</v>
      </c>
      <c r="V4715">
        <v>4.9000000000000004</v>
      </c>
      <c r="W4715" t="str">
        <f t="shared" si="1212"/>
        <v>rob</v>
      </c>
    </row>
    <row r="4716" spans="1:23">
      <c r="A4716" t="str">
        <f t="shared" si="1213"/>
        <v>WELD-MIG-MMA</v>
      </c>
      <c r="B4716" t="str">
        <f>"APL0043"</f>
        <v>APL0043</v>
      </c>
      <c r="C4716" t="str">
        <f>"CO2 wire 0.8mm"</f>
        <v>CO2 wire 0.8mm</v>
      </c>
      <c r="D4716">
        <v>8</v>
      </c>
      <c r="E4716" t="str">
        <f t="shared" si="1214"/>
        <v>Welding Cell for MIG(GMAW)and MMA (SMAW) welding</v>
      </c>
      <c r="F4716">
        <v>700</v>
      </c>
      <c r="G4716" t="str">
        <f t="shared" si="1202"/>
        <v>Y</v>
      </c>
      <c r="H4716" t="str">
        <f t="shared" si="1215"/>
        <v>EA</v>
      </c>
      <c r="I4716">
        <v>0</v>
      </c>
      <c r="J4716">
        <v>0</v>
      </c>
      <c r="K4716" t="str">
        <f t="shared" si="1204"/>
        <v>Y</v>
      </c>
      <c r="L4716">
        <v>0</v>
      </c>
      <c r="M4716" t="str">
        <f t="shared" si="1208"/>
        <v>NIS</v>
      </c>
      <c r="O4716">
        <v>15</v>
      </c>
      <c r="P4716" t="str">
        <f t="shared" si="1209"/>
        <v>Active</v>
      </c>
      <c r="Q4716" t="str">
        <f>"CO2 wire 0.8mm"</f>
        <v>CO2 wire 0.8mm</v>
      </c>
      <c r="S4716" t="str">
        <f>"CO2 wire 0.8mm"</f>
        <v>CO2 wire 0.8mm</v>
      </c>
      <c r="T4716">
        <v>0</v>
      </c>
      <c r="U4716">
        <v>2.12</v>
      </c>
      <c r="V4716">
        <v>1.8</v>
      </c>
      <c r="W4716" t="str">
        <f t="shared" si="1212"/>
        <v>rob</v>
      </c>
    </row>
    <row r="4717" spans="1:23">
      <c r="A4717" t="str">
        <f t="shared" si="1213"/>
        <v>WELD-MIG-MMA</v>
      </c>
      <c r="B4717" t="str">
        <f>"APL0072"</f>
        <v>APL0072</v>
      </c>
      <c r="C4717" t="str">
        <f>"Carbon steel sheet 150mm x 30mm x 5mm"</f>
        <v>Carbon steel sheet 150mm x 30mm x 5mm</v>
      </c>
      <c r="D4717">
        <v>50</v>
      </c>
      <c r="E4717" t="str">
        <f t="shared" si="1214"/>
        <v>Welding Cell for MIG(GMAW)and MMA (SMAW) welding</v>
      </c>
      <c r="F4717">
        <v>700</v>
      </c>
      <c r="G4717" t="str">
        <f t="shared" si="1202"/>
        <v>Y</v>
      </c>
      <c r="H4717" t="str">
        <f t="shared" si="1215"/>
        <v>EA</v>
      </c>
      <c r="I4717">
        <v>0</v>
      </c>
      <c r="J4717">
        <v>0</v>
      </c>
      <c r="K4717" t="str">
        <f t="shared" si="1204"/>
        <v>Y</v>
      </c>
      <c r="L4717">
        <v>0</v>
      </c>
      <c r="M4717" t="str">
        <f t="shared" si="1208"/>
        <v>NIS</v>
      </c>
      <c r="O4717">
        <v>16</v>
      </c>
      <c r="P4717" t="str">
        <f t="shared" si="1209"/>
        <v>Active</v>
      </c>
      <c r="Q4717" t="str">
        <f>"Flat carbon steel 150mm x 30mm x 5mm"</f>
        <v>Flat carbon steel 150mm x 30mm x 5mm</v>
      </c>
      <c r="S4717" t="str">
        <f>"Carbon steel sheet 150mm x 30mm x 5mm"</f>
        <v>Carbon steel sheet 150mm x 30mm x 5mm</v>
      </c>
      <c r="T4717">
        <v>0</v>
      </c>
      <c r="U4717">
        <v>1.0900000000000001</v>
      </c>
      <c r="V4717">
        <v>1.1299999999999999</v>
      </c>
      <c r="W4717" t="str">
        <f t="shared" si="1212"/>
        <v>rob</v>
      </c>
    </row>
    <row r="4718" spans="1:23">
      <c r="A4718" t="str">
        <f t="shared" si="1213"/>
        <v>WELD-MIG-MMA</v>
      </c>
      <c r="B4718" t="str">
        <f>"APL0073"</f>
        <v>APL0073</v>
      </c>
      <c r="C4718" t="str">
        <f>"Carbon steel tube  ɸ40mm x 30mm x 3mm"</f>
        <v>Carbon steel tube  ɸ40mm x 30mm x 3mm</v>
      </c>
      <c r="D4718">
        <v>100</v>
      </c>
      <c r="E4718" t="str">
        <f t="shared" si="1214"/>
        <v>Welding Cell for MIG(GMAW)and MMA (SMAW) welding</v>
      </c>
      <c r="F4718">
        <v>700</v>
      </c>
      <c r="G4718" t="str">
        <f t="shared" si="1202"/>
        <v>Y</v>
      </c>
      <c r="H4718" t="str">
        <f t="shared" si="1215"/>
        <v>EA</v>
      </c>
      <c r="I4718">
        <v>0</v>
      </c>
      <c r="J4718">
        <v>0</v>
      </c>
      <c r="K4718" t="str">
        <f t="shared" si="1204"/>
        <v>Y</v>
      </c>
      <c r="L4718">
        <v>0</v>
      </c>
      <c r="M4718" t="str">
        <f t="shared" si="1208"/>
        <v>NIS</v>
      </c>
      <c r="O4718">
        <v>17</v>
      </c>
      <c r="P4718" t="str">
        <f t="shared" si="1209"/>
        <v>Active</v>
      </c>
      <c r="Q4718" t="str">
        <f>"Carbon steel tube  ɸ40mm x 30mm x 3mm"</f>
        <v>Carbon steel tube  ɸ40mm x 30mm x 3mm</v>
      </c>
      <c r="S4718" t="str">
        <f>"Carbon steel tube  ɸ40mm x 30mm x 3mm"</f>
        <v>Carbon steel tube  ɸ40mm x 30mm x 3mm</v>
      </c>
      <c r="T4718">
        <v>0</v>
      </c>
      <c r="U4718">
        <v>1.0900000000000001</v>
      </c>
      <c r="V4718">
        <v>1.1299999999999999</v>
      </c>
      <c r="W4718" t="str">
        <f t="shared" si="1212"/>
        <v>rob</v>
      </c>
    </row>
    <row r="4719" spans="1:23">
      <c r="A4719" t="str">
        <f t="shared" si="1213"/>
        <v>WELD-MIG-MMA</v>
      </c>
      <c r="B4719" t="str">
        <f>"APL0074"</f>
        <v>APL0074</v>
      </c>
      <c r="C4719" t="str">
        <f>"Carbon steel sheet50mm x 50mm x 5mm"</f>
        <v>Carbon steel sheet50mm x 50mm x 5mm</v>
      </c>
      <c r="D4719">
        <v>50</v>
      </c>
      <c r="E4719" t="str">
        <f t="shared" si="1214"/>
        <v>Welding Cell for MIG(GMAW)and MMA (SMAW) welding</v>
      </c>
      <c r="F4719">
        <v>700</v>
      </c>
      <c r="G4719" t="str">
        <f t="shared" si="1202"/>
        <v>Y</v>
      </c>
      <c r="H4719" t="str">
        <f t="shared" si="1215"/>
        <v>EA</v>
      </c>
      <c r="I4719">
        <v>0</v>
      </c>
      <c r="J4719">
        <v>0</v>
      </c>
      <c r="K4719" t="str">
        <f t="shared" si="1204"/>
        <v>Y</v>
      </c>
      <c r="L4719">
        <v>0</v>
      </c>
      <c r="M4719" t="str">
        <f t="shared" si="1208"/>
        <v>NIS</v>
      </c>
      <c r="O4719">
        <v>18</v>
      </c>
      <c r="P4719" t="str">
        <f t="shared" si="1209"/>
        <v>Active</v>
      </c>
      <c r="Q4719" t="str">
        <f>"Carbon steel sheet50mm x 50mm x 5mm"</f>
        <v>Carbon steel sheet50mm x 50mm x 5mm</v>
      </c>
      <c r="S4719" t="str">
        <f>"Carbon steel sheet50mm x 50mm x 5mm"</f>
        <v>Carbon steel sheet50mm x 50mm x 5mm</v>
      </c>
      <c r="T4719">
        <v>0</v>
      </c>
      <c r="U4719">
        <v>1.0900000000000001</v>
      </c>
      <c r="V4719">
        <v>1.1299999999999999</v>
      </c>
      <c r="W4719" t="str">
        <f t="shared" si="1212"/>
        <v>rob</v>
      </c>
    </row>
    <row r="4720" spans="1:23">
      <c r="A4720" t="str">
        <f t="shared" si="1213"/>
        <v>WELD-MIG-MMA</v>
      </c>
      <c r="B4720" t="str">
        <f>"APL0067"</f>
        <v>APL0067</v>
      </c>
      <c r="C4720" t="str">
        <f>"WELDING GAS REGULATOR (TIG MIG Ar/CO2 MIX GAUGE)"</f>
        <v>WELDING GAS REGULATOR (TIG MIG Ar/CO2 MIX GAUGE)</v>
      </c>
      <c r="D4720">
        <v>1</v>
      </c>
      <c r="E4720" t="str">
        <f t="shared" si="1214"/>
        <v>Welding Cell for MIG(GMAW)and MMA (SMAW) welding</v>
      </c>
      <c r="F4720">
        <v>700</v>
      </c>
      <c r="G4720" t="str">
        <f t="shared" si="1202"/>
        <v>Y</v>
      </c>
      <c r="H4720" t="str">
        <f t="shared" si="1215"/>
        <v>EA</v>
      </c>
      <c r="I4720">
        <v>0</v>
      </c>
      <c r="J4720">
        <v>0</v>
      </c>
      <c r="K4720" t="str">
        <f t="shared" si="1204"/>
        <v>Y</v>
      </c>
      <c r="L4720">
        <v>0</v>
      </c>
      <c r="M4720" t="str">
        <f t="shared" si="1208"/>
        <v>NIS</v>
      </c>
      <c r="O4720">
        <v>19</v>
      </c>
      <c r="P4720" t="str">
        <f t="shared" si="1209"/>
        <v>Active</v>
      </c>
      <c r="Q4720" t="str">
        <f>"WELDING GAS REGULATOR (TIG MIG Ar/CO2 MIX GAUGE)"</f>
        <v>WELDING GAS REGULATOR (TIG MIG Ar/CO2 MIX GAUGE)</v>
      </c>
      <c r="S4720" t="str">
        <f>"WELDING GAS REGULATOR (TIG MIG Ar/CO2 MIX GAUGE)"</f>
        <v>WELDING GAS REGULATOR (TIG MIG Ar/CO2 MIX GAUGE)</v>
      </c>
      <c r="T4720">
        <v>0</v>
      </c>
      <c r="U4720">
        <v>108.16</v>
      </c>
      <c r="V4720">
        <v>112.49</v>
      </c>
      <c r="W4720" t="str">
        <f t="shared" si="1212"/>
        <v>rob</v>
      </c>
    </row>
    <row r="4721" spans="1:23">
      <c r="A4721" t="str">
        <f t="shared" si="1213"/>
        <v>WELD-MIG-MMA</v>
      </c>
      <c r="B4721" t="str">
        <f>"APL0065"</f>
        <v>APL0065</v>
      </c>
      <c r="C4721" t="str">
        <f>"20L Argon/CO2 gas tank (for MIG welding)"</f>
        <v>20L Argon/CO2 gas tank (for MIG welding)</v>
      </c>
      <c r="D4721">
        <v>1</v>
      </c>
      <c r="E4721" t="str">
        <f t="shared" si="1214"/>
        <v>Welding Cell for MIG(GMAW)and MMA (SMAW) welding</v>
      </c>
      <c r="F4721">
        <v>700</v>
      </c>
      <c r="G4721" t="str">
        <f t="shared" si="1202"/>
        <v>Y</v>
      </c>
      <c r="H4721" t="str">
        <f t="shared" si="1215"/>
        <v>EA</v>
      </c>
      <c r="I4721">
        <v>0</v>
      </c>
      <c r="J4721">
        <v>0</v>
      </c>
      <c r="K4721" t="str">
        <f t="shared" si="1204"/>
        <v>Y</v>
      </c>
      <c r="L4721">
        <v>0</v>
      </c>
      <c r="M4721" t="str">
        <f t="shared" si="1208"/>
        <v>NIS</v>
      </c>
      <c r="O4721">
        <v>20</v>
      </c>
      <c r="P4721" t="str">
        <f t="shared" si="1209"/>
        <v>Active</v>
      </c>
      <c r="Q4721" t="str">
        <f>"20L Argon/CO2 gas tank (for MIG welding)"</f>
        <v>20L Argon/CO2 gas tank (for MIG welding)</v>
      </c>
      <c r="S4721" t="str">
        <f>"20L Argon/CO2 gas tank (for MIG welding)"</f>
        <v>20L Argon/CO2 gas tank (for MIG welding)</v>
      </c>
      <c r="T4721">
        <v>0</v>
      </c>
      <c r="U4721" s="44">
        <v>1297.92</v>
      </c>
      <c r="V4721" s="44">
        <v>1349.84</v>
      </c>
      <c r="W4721" t="str">
        <f t="shared" si="1212"/>
        <v>rob</v>
      </c>
    </row>
    <row r="4722" spans="1:23">
      <c r="A4722" t="str">
        <f t="shared" si="1213"/>
        <v>WELD-MIG-MMA</v>
      </c>
      <c r="B4722" t="str">
        <f>"APL0066"</f>
        <v>APL0066</v>
      </c>
      <c r="C4722" t="str">
        <f>"20L Argon/CO2 refill"</f>
        <v>20L Argon/CO2 refill</v>
      </c>
      <c r="D4722">
        <v>1</v>
      </c>
      <c r="E4722" t="str">
        <f t="shared" si="1214"/>
        <v>Welding Cell for MIG(GMAW)and MMA (SMAW) welding</v>
      </c>
      <c r="F4722">
        <v>700</v>
      </c>
      <c r="G4722" t="str">
        <f t="shared" si="1202"/>
        <v>Y</v>
      </c>
      <c r="H4722" t="str">
        <f t="shared" si="1215"/>
        <v>EA</v>
      </c>
      <c r="I4722">
        <v>0</v>
      </c>
      <c r="J4722">
        <v>0</v>
      </c>
      <c r="K4722" t="str">
        <f t="shared" si="1204"/>
        <v>Y</v>
      </c>
      <c r="L4722">
        <v>0</v>
      </c>
      <c r="M4722" t="str">
        <f t="shared" si="1208"/>
        <v>NIS</v>
      </c>
      <c r="O4722">
        <v>21</v>
      </c>
      <c r="P4722" t="str">
        <f t="shared" si="1209"/>
        <v>Active</v>
      </c>
      <c r="Q4722" t="str">
        <f>"20L Argon/CO2 refill"</f>
        <v>20L Argon/CO2 refill</v>
      </c>
      <c r="S4722" t="str">
        <f>"20L Argon/CO2 refill"</f>
        <v>20L Argon/CO2 refill</v>
      </c>
      <c r="T4722">
        <v>0</v>
      </c>
      <c r="U4722">
        <v>129.79</v>
      </c>
      <c r="V4722">
        <v>134.97999999999999</v>
      </c>
      <c r="W4722" t="str">
        <f t="shared" si="1212"/>
        <v>rob</v>
      </c>
    </row>
    <row r="4723" spans="1:23">
      <c r="A4723" t="str">
        <f t="shared" si="1213"/>
        <v>WELD-MIG-MMA</v>
      </c>
      <c r="B4723" t="str">
        <f>"APL0041"</f>
        <v>APL0041</v>
      </c>
      <c r="C4723" t="str">
        <f>"Welding Frame +Curtain 1.8M x1,8M"</f>
        <v>Welding Frame +Curtain 1.8M x1,8M</v>
      </c>
      <c r="D4723">
        <v>1</v>
      </c>
      <c r="E4723" t="str">
        <f t="shared" si="1214"/>
        <v>Welding Cell for MIG(GMAW)and MMA (SMAW) welding</v>
      </c>
      <c r="F4723">
        <v>700</v>
      </c>
      <c r="G4723" t="str">
        <f t="shared" si="1202"/>
        <v>Y</v>
      </c>
      <c r="H4723" t="str">
        <f t="shared" si="1215"/>
        <v>EA</v>
      </c>
      <c r="I4723">
        <v>0</v>
      </c>
      <c r="J4723">
        <v>0</v>
      </c>
      <c r="K4723" t="str">
        <f t="shared" si="1204"/>
        <v>Y</v>
      </c>
      <c r="L4723">
        <v>0</v>
      </c>
      <c r="M4723" t="str">
        <f t="shared" si="1208"/>
        <v>NIS</v>
      </c>
      <c r="O4723">
        <v>22</v>
      </c>
      <c r="P4723" t="str">
        <f t="shared" si="1209"/>
        <v>Active</v>
      </c>
      <c r="Q4723" t="str">
        <f>"Welding Frame +Curtain 1.8M x1,8M"</f>
        <v>Welding Frame +Curtain 1.8M x1,8M</v>
      </c>
      <c r="S4723" t="str">
        <f>"Welding Frame +Curtain 1.8M x1,8M"</f>
        <v>Welding Frame +Curtain 1.8M x1,8M</v>
      </c>
      <c r="T4723">
        <v>0</v>
      </c>
      <c r="U4723">
        <v>220.79</v>
      </c>
      <c r="V4723">
        <v>188.55</v>
      </c>
      <c r="W4723" t="str">
        <f t="shared" si="1212"/>
        <v>rob</v>
      </c>
    </row>
    <row r="4724" spans="1:23">
      <c r="A4724" t="str">
        <f t="shared" ref="A4724:A4758" si="1216">"WELD-MIG-TIG-MMA"</f>
        <v>WELD-MIG-TIG-MMA</v>
      </c>
      <c r="B4724" t="str">
        <f>"APL0038"</f>
        <v>APL0038</v>
      </c>
      <c r="C4724" t="str">
        <f>"SAPP Air Pressure Process Plant; 110V"</f>
        <v>SAPP Air Pressure Process Plant; 110V</v>
      </c>
      <c r="D4724">
        <v>1</v>
      </c>
      <c r="E4724" t="str">
        <f t="shared" ref="E4724:E4758" si="1217">"Welding Cell for MIG(GMAW), TIG(GTAW) and MMA(SMAW) welding"</f>
        <v>Welding Cell for MIG(GMAW), TIG(GTAW) and MMA(SMAW) welding</v>
      </c>
      <c r="F4724">
        <v>700</v>
      </c>
      <c r="G4724" t="str">
        <f t="shared" si="1202"/>
        <v>Y</v>
      </c>
      <c r="H4724" t="str">
        <f t="shared" si="1215"/>
        <v>EA</v>
      </c>
      <c r="I4724">
        <v>0</v>
      </c>
      <c r="J4724">
        <v>0</v>
      </c>
      <c r="K4724" t="str">
        <f t="shared" si="1204"/>
        <v>Y</v>
      </c>
      <c r="L4724">
        <v>0</v>
      </c>
      <c r="M4724" t="str">
        <f t="shared" si="1208"/>
        <v>NIS</v>
      </c>
      <c r="O4724">
        <v>1</v>
      </c>
      <c r="P4724" t="str">
        <f t="shared" si="1209"/>
        <v>Active</v>
      </c>
      <c r="Q4724" t="str">
        <f>"MIG 200G (Single Phase) Welding Machine"</f>
        <v>MIG 200G (Single Phase) Welding Machine</v>
      </c>
      <c r="S4724" t="str">
        <f>"MIG 200G (Single Phase) Welding Machine"</f>
        <v>MIG 200G (Single Phase) Welding Machine</v>
      </c>
      <c r="T4724">
        <v>0</v>
      </c>
      <c r="U4724" s="44">
        <v>1270.3</v>
      </c>
      <c r="V4724" s="44">
        <v>1082.76</v>
      </c>
      <c r="W4724" t="str">
        <f t="shared" si="1212"/>
        <v>rob</v>
      </c>
    </row>
    <row r="4725" spans="1:23">
      <c r="A4725" t="str">
        <f t="shared" si="1216"/>
        <v>WELD-MIG-TIG-MMA</v>
      </c>
      <c r="B4725" t="str">
        <f>"APL0044"</f>
        <v>APL0044</v>
      </c>
      <c r="C4725" t="str">
        <f>"Electronic Welding Mask"</f>
        <v>Electronic Welding Mask</v>
      </c>
      <c r="D4725">
        <v>2</v>
      </c>
      <c r="E4725" t="str">
        <f t="shared" si="1217"/>
        <v>Welding Cell for MIG(GMAW), TIG(GTAW) and MMA(SMAW) welding</v>
      </c>
      <c r="F4725">
        <v>700</v>
      </c>
      <c r="G4725" t="str">
        <f t="shared" si="1202"/>
        <v>Y</v>
      </c>
      <c r="H4725" t="str">
        <f t="shared" si="1215"/>
        <v>EA</v>
      </c>
      <c r="I4725">
        <v>0</v>
      </c>
      <c r="J4725">
        <v>0</v>
      </c>
      <c r="K4725" t="str">
        <f t="shared" si="1204"/>
        <v>Y</v>
      </c>
      <c r="L4725">
        <v>0</v>
      </c>
      <c r="M4725" t="str">
        <f t="shared" si="1208"/>
        <v>NIS</v>
      </c>
      <c r="O4725">
        <v>2</v>
      </c>
      <c r="P4725" t="str">
        <f t="shared" si="1209"/>
        <v>Active</v>
      </c>
      <c r="Q4725" t="str">
        <f>"Electronic Welding Mask"</f>
        <v>Electronic Welding Mask</v>
      </c>
      <c r="S4725" t="str">
        <f>"Electronic Welding Mask"</f>
        <v>Electronic Welding Mask</v>
      </c>
      <c r="T4725">
        <v>0</v>
      </c>
      <c r="U4725">
        <v>75.61</v>
      </c>
      <c r="V4725">
        <v>64.45</v>
      </c>
      <c r="W4725" t="str">
        <f t="shared" si="1212"/>
        <v>rob</v>
      </c>
    </row>
    <row r="4726" spans="1:23">
      <c r="A4726" t="str">
        <f t="shared" si="1216"/>
        <v>WELD-MIG-TIG-MMA</v>
      </c>
      <c r="B4726" t="str">
        <f>"APL0049"</f>
        <v>APL0049</v>
      </c>
      <c r="C4726" t="str">
        <f>"Welder Jacket (Size XL)"</f>
        <v>Welder Jacket (Size XL)</v>
      </c>
      <c r="D4726">
        <v>2</v>
      </c>
      <c r="E4726" t="str">
        <f t="shared" si="1217"/>
        <v>Welding Cell for MIG(GMAW), TIG(GTAW) and MMA(SMAW) welding</v>
      </c>
      <c r="F4726">
        <v>700</v>
      </c>
      <c r="G4726" t="str">
        <f t="shared" si="1202"/>
        <v>Y</v>
      </c>
      <c r="H4726" t="str">
        <f t="shared" si="1215"/>
        <v>EA</v>
      </c>
      <c r="I4726">
        <v>0</v>
      </c>
      <c r="J4726">
        <v>0</v>
      </c>
      <c r="K4726" t="str">
        <f t="shared" si="1204"/>
        <v>Y</v>
      </c>
      <c r="L4726">
        <v>0</v>
      </c>
      <c r="M4726" t="str">
        <f t="shared" si="1208"/>
        <v>NIS</v>
      </c>
      <c r="O4726">
        <v>3</v>
      </c>
      <c r="P4726" t="str">
        <f t="shared" si="1209"/>
        <v>Active</v>
      </c>
      <c r="Q4726" t="str">
        <f>"CHAQUETA SOLDADOR XL AMARILLA"</f>
        <v>CHAQUETA SOLDADOR XL AMARILLA</v>
      </c>
      <c r="S4726" t="str">
        <f>"Welder Jacket (Size XL)"</f>
        <v>Welder Jacket (Size XL)</v>
      </c>
      <c r="T4726">
        <v>0</v>
      </c>
      <c r="U4726">
        <v>54.44</v>
      </c>
      <c r="V4726">
        <v>46.4</v>
      </c>
      <c r="W4726" t="str">
        <f t="shared" si="1212"/>
        <v>rob</v>
      </c>
    </row>
    <row r="4727" spans="1:23">
      <c r="A4727" t="str">
        <f t="shared" si="1216"/>
        <v>WELD-MIG-TIG-MMA</v>
      </c>
      <c r="B4727" t="str">
        <f>"APL0045"</f>
        <v>APL0045</v>
      </c>
      <c r="C4727" t="str">
        <f>"Welding Apron (AP-6101L1)"</f>
        <v>Welding Apron (AP-6101L1)</v>
      </c>
      <c r="D4727">
        <v>2</v>
      </c>
      <c r="E4727" t="str">
        <f t="shared" si="1217"/>
        <v>Welding Cell for MIG(GMAW), TIG(GTAW) and MMA(SMAW) welding</v>
      </c>
      <c r="F4727">
        <v>700</v>
      </c>
      <c r="G4727" t="str">
        <f t="shared" si="1202"/>
        <v>Y</v>
      </c>
      <c r="H4727" t="str">
        <f t="shared" si="1215"/>
        <v>EA</v>
      </c>
      <c r="I4727">
        <v>0</v>
      </c>
      <c r="J4727">
        <v>0</v>
      </c>
      <c r="K4727" t="str">
        <f t="shared" si="1204"/>
        <v>Y</v>
      </c>
      <c r="L4727">
        <v>0</v>
      </c>
      <c r="M4727" t="str">
        <f t="shared" si="1208"/>
        <v>NIS</v>
      </c>
      <c r="O4727">
        <v>4</v>
      </c>
      <c r="P4727" t="str">
        <f t="shared" ref="P4727:P4758" si="1218">"Active"</f>
        <v>Active</v>
      </c>
      <c r="Q4727" t="str">
        <f>"Welding Apron (AP-6101L1)"</f>
        <v>Welding Apron (AP-6101L1)</v>
      </c>
      <c r="S4727" t="str">
        <f>"Welding Apron (AP-6101L1)"</f>
        <v>Welding Apron (AP-6101L1)</v>
      </c>
      <c r="T4727">
        <v>0</v>
      </c>
      <c r="U4727">
        <v>14.52</v>
      </c>
      <c r="V4727">
        <v>12.37</v>
      </c>
      <c r="W4727" t="str">
        <f t="shared" si="1212"/>
        <v>rob</v>
      </c>
    </row>
    <row r="4728" spans="1:23">
      <c r="A4728" t="str">
        <f t="shared" si="1216"/>
        <v>WELD-MIG-TIG-MMA</v>
      </c>
      <c r="B4728" t="str">
        <f>"APL0046"</f>
        <v>APL0046</v>
      </c>
      <c r="C4728" t="str">
        <f>"Welder Leather Sleeves (AP-9119)"</f>
        <v>Welder Leather Sleeves (AP-9119)</v>
      </c>
      <c r="D4728">
        <v>2</v>
      </c>
      <c r="E4728" t="str">
        <f t="shared" si="1217"/>
        <v>Welding Cell for MIG(GMAW), TIG(GTAW) and MMA(SMAW) welding</v>
      </c>
      <c r="F4728">
        <v>700</v>
      </c>
      <c r="G4728" t="str">
        <f t="shared" si="1202"/>
        <v>Y</v>
      </c>
      <c r="H4728" t="str">
        <f t="shared" si="1215"/>
        <v>EA</v>
      </c>
      <c r="I4728">
        <v>0</v>
      </c>
      <c r="J4728">
        <v>0</v>
      </c>
      <c r="K4728" t="str">
        <f t="shared" si="1204"/>
        <v>Y</v>
      </c>
      <c r="L4728">
        <v>0</v>
      </c>
      <c r="M4728" t="str">
        <f t="shared" si="1208"/>
        <v>NIS</v>
      </c>
      <c r="O4728">
        <v>5</v>
      </c>
      <c r="P4728" t="str">
        <f t="shared" si="1218"/>
        <v>Active</v>
      </c>
      <c r="Q4728" t="str">
        <f>"Welder Leather Sleeves (AP-9119)"</f>
        <v>Welder Leather Sleeves (AP-9119)</v>
      </c>
      <c r="S4728" t="str">
        <f>"Welder Leather Sleeves (AP-9119)"</f>
        <v>Welder Leather Sleeves (AP-9119)</v>
      </c>
      <c r="T4728">
        <v>0</v>
      </c>
      <c r="U4728">
        <v>17.54</v>
      </c>
      <c r="V4728">
        <v>14.95</v>
      </c>
      <c r="W4728" t="str">
        <f t="shared" ref="W4728:W4759" si="1219">"rob"</f>
        <v>rob</v>
      </c>
    </row>
    <row r="4729" spans="1:23">
      <c r="A4729" t="str">
        <f t="shared" si="1216"/>
        <v>WELD-MIG-TIG-MMA</v>
      </c>
      <c r="B4729" t="str">
        <f>"APL0047"</f>
        <v>APL0047</v>
      </c>
      <c r="C4729" t="str">
        <f>"Fortified fabric welding gloves"</f>
        <v>Fortified fabric welding gloves</v>
      </c>
      <c r="D4729">
        <v>1</v>
      </c>
      <c r="E4729" t="str">
        <f t="shared" si="1217"/>
        <v>Welding Cell for MIG(GMAW), TIG(GTAW) and MMA(SMAW) welding</v>
      </c>
      <c r="F4729">
        <v>700</v>
      </c>
      <c r="G4729" t="str">
        <f t="shared" si="1202"/>
        <v>Y</v>
      </c>
      <c r="H4729" t="str">
        <f t="shared" si="1215"/>
        <v>EA</v>
      </c>
      <c r="I4729">
        <v>0</v>
      </c>
      <c r="J4729">
        <v>0</v>
      </c>
      <c r="K4729" t="str">
        <f t="shared" si="1204"/>
        <v>Y</v>
      </c>
      <c r="L4729">
        <v>0</v>
      </c>
      <c r="M4729" t="str">
        <f t="shared" si="1208"/>
        <v>NIS</v>
      </c>
      <c r="O4729">
        <v>6</v>
      </c>
      <c r="P4729" t="str">
        <f t="shared" si="1218"/>
        <v>Active</v>
      </c>
      <c r="Q4729" t="str">
        <f>"Fortified fabric welding gloves"</f>
        <v>Fortified fabric welding gloves</v>
      </c>
      <c r="S4729" t="str">
        <f>"Fortified fabric welding gloves"</f>
        <v>Fortified fabric welding gloves</v>
      </c>
      <c r="T4729">
        <v>0</v>
      </c>
      <c r="U4729">
        <v>8.17</v>
      </c>
      <c r="V4729">
        <v>6.97</v>
      </c>
      <c r="W4729" t="str">
        <f t="shared" si="1219"/>
        <v>rob</v>
      </c>
    </row>
    <row r="4730" spans="1:23">
      <c r="A4730" t="str">
        <f t="shared" si="1216"/>
        <v>WELD-MIG-TIG-MMA</v>
      </c>
      <c r="B4730" t="str">
        <f>"APL0050"</f>
        <v>APL0050</v>
      </c>
      <c r="C4730" t="str">
        <f>"Spare Parts for TIG&amp;MIG handle"</f>
        <v>Spare Parts for TIG&amp;MIG handle</v>
      </c>
      <c r="D4730">
        <v>2</v>
      </c>
      <c r="E4730" t="str">
        <f t="shared" si="1217"/>
        <v>Welding Cell for MIG(GMAW), TIG(GTAW) and MMA(SMAW) welding</v>
      </c>
      <c r="F4730">
        <v>700</v>
      </c>
      <c r="G4730" t="str">
        <f t="shared" si="1202"/>
        <v>Y</v>
      </c>
      <c r="H4730" t="str">
        <f t="shared" si="1215"/>
        <v>EA</v>
      </c>
      <c r="I4730">
        <v>0</v>
      </c>
      <c r="J4730">
        <v>0</v>
      </c>
      <c r="K4730" t="str">
        <f t="shared" si="1204"/>
        <v>Y</v>
      </c>
      <c r="L4730">
        <v>0</v>
      </c>
      <c r="M4730" t="str">
        <f t="shared" si="1208"/>
        <v>NIS</v>
      </c>
      <c r="O4730">
        <v>7</v>
      </c>
      <c r="P4730" t="str">
        <f t="shared" si="1218"/>
        <v>Active</v>
      </c>
      <c r="Q4730" t="str">
        <f>"Spare Parts for TIG&amp;MIG handle"</f>
        <v>Spare Parts for TIG&amp;MIG handle</v>
      </c>
      <c r="S4730" t="str">
        <f>"Spare Parts for TIG&amp;MIG handle"</f>
        <v>Spare Parts for TIG&amp;MIG handle</v>
      </c>
      <c r="T4730">
        <v>0</v>
      </c>
      <c r="U4730">
        <v>1.81</v>
      </c>
      <c r="V4730">
        <v>1.55</v>
      </c>
      <c r="W4730" t="str">
        <f t="shared" si="1219"/>
        <v>rob</v>
      </c>
    </row>
    <row r="4731" spans="1:23">
      <c r="A4731" t="str">
        <f t="shared" si="1216"/>
        <v>WELD-MIG-TIG-MMA</v>
      </c>
      <c r="B4731" t="str">
        <f>"APL0055"</f>
        <v>APL0055</v>
      </c>
      <c r="C4731" t="str">
        <f>"Binzel 15 Handle, 4M Length"</f>
        <v>Binzel 15 Handle, 4M Length</v>
      </c>
      <c r="D4731">
        <v>1</v>
      </c>
      <c r="E4731" t="str">
        <f t="shared" si="1217"/>
        <v>Welding Cell for MIG(GMAW), TIG(GTAW) and MMA(SMAW) welding</v>
      </c>
      <c r="F4731">
        <v>700</v>
      </c>
      <c r="G4731" t="str">
        <f t="shared" si="1202"/>
        <v>Y</v>
      </c>
      <c r="H4731" t="str">
        <f t="shared" si="1215"/>
        <v>EA</v>
      </c>
      <c r="I4731">
        <v>0</v>
      </c>
      <c r="J4731">
        <v>0</v>
      </c>
      <c r="K4731" t="str">
        <f t="shared" si="1204"/>
        <v>Y</v>
      </c>
      <c r="L4731">
        <v>0</v>
      </c>
      <c r="M4731" t="str">
        <f t="shared" si="1208"/>
        <v>NIS</v>
      </c>
      <c r="O4731">
        <v>8</v>
      </c>
      <c r="P4731" t="str">
        <f t="shared" si="1218"/>
        <v>Active</v>
      </c>
      <c r="Q4731" t="str">
        <f>"Binzel 15 Handle, 4M Length"</f>
        <v>Binzel 15 Handle, 4M Length</v>
      </c>
      <c r="S4731" t="str">
        <f>"Binzel 15 Handle, 4M Length"</f>
        <v>Binzel 15 Handle, 4M Length</v>
      </c>
      <c r="T4731">
        <v>0</v>
      </c>
      <c r="U4731">
        <v>96.78</v>
      </c>
      <c r="V4731">
        <v>82.5</v>
      </c>
      <c r="W4731" t="str">
        <f t="shared" si="1219"/>
        <v>rob</v>
      </c>
    </row>
    <row r="4732" spans="1:23">
      <c r="A4732" t="str">
        <f t="shared" si="1216"/>
        <v>WELD-MIG-TIG-MMA</v>
      </c>
      <c r="B4732" t="str">
        <f>"APL0056"</f>
        <v>APL0056</v>
      </c>
      <c r="C4732" t="str">
        <f>"Regular Binzel 15 Mouth"</f>
        <v>Regular Binzel 15 Mouth</v>
      </c>
      <c r="D4732">
        <v>10</v>
      </c>
      <c r="E4732" t="str">
        <f t="shared" si="1217"/>
        <v>Welding Cell for MIG(GMAW), TIG(GTAW) and MMA(SMAW) welding</v>
      </c>
      <c r="F4732">
        <v>700</v>
      </c>
      <c r="G4732" t="str">
        <f t="shared" si="1202"/>
        <v>Y</v>
      </c>
      <c r="H4732" t="str">
        <f t="shared" si="1215"/>
        <v>EA</v>
      </c>
      <c r="I4732">
        <v>0</v>
      </c>
      <c r="J4732">
        <v>0</v>
      </c>
      <c r="K4732" t="str">
        <f t="shared" si="1204"/>
        <v>Y</v>
      </c>
      <c r="L4732">
        <v>0</v>
      </c>
      <c r="M4732" t="str">
        <f t="shared" si="1208"/>
        <v>NIS</v>
      </c>
      <c r="O4732">
        <v>9</v>
      </c>
      <c r="P4732" t="str">
        <f t="shared" si="1218"/>
        <v>Active</v>
      </c>
      <c r="Q4732" t="str">
        <f>"Regular Binzel 15 Mouth"</f>
        <v>Regular Binzel 15 Mouth</v>
      </c>
      <c r="S4732" t="str">
        <f>"Regular Binzel 15 Mouth"</f>
        <v>Regular Binzel 15 Mouth</v>
      </c>
      <c r="T4732">
        <v>0</v>
      </c>
      <c r="U4732">
        <v>2.72</v>
      </c>
      <c r="V4732">
        <v>2.3199999999999998</v>
      </c>
      <c r="W4732" t="str">
        <f t="shared" si="1219"/>
        <v>rob</v>
      </c>
    </row>
    <row r="4733" spans="1:23">
      <c r="A4733" t="str">
        <f t="shared" si="1216"/>
        <v>WELD-MIG-TIG-MMA</v>
      </c>
      <c r="B4733" t="str">
        <f>"APL0057"</f>
        <v>APL0057</v>
      </c>
      <c r="C4733" t="str">
        <f>"Nozzle 1.0xM6 for Binzel 15"</f>
        <v>Nozzle 1.0xM6 for Binzel 15</v>
      </c>
      <c r="D4733">
        <v>10</v>
      </c>
      <c r="E4733" t="str">
        <f t="shared" si="1217"/>
        <v>Welding Cell for MIG(GMAW), TIG(GTAW) and MMA(SMAW) welding</v>
      </c>
      <c r="F4733">
        <v>700</v>
      </c>
      <c r="G4733" t="str">
        <f t="shared" si="1202"/>
        <v>Y</v>
      </c>
      <c r="H4733" t="str">
        <f t="shared" si="1215"/>
        <v>EA</v>
      </c>
      <c r="I4733">
        <v>0</v>
      </c>
      <c r="J4733">
        <v>0</v>
      </c>
      <c r="K4733" t="str">
        <f t="shared" si="1204"/>
        <v>Y</v>
      </c>
      <c r="L4733">
        <v>0</v>
      </c>
      <c r="M4733" t="str">
        <f t="shared" si="1208"/>
        <v>NIS</v>
      </c>
      <c r="O4733">
        <v>10</v>
      </c>
      <c r="P4733" t="str">
        <f t="shared" si="1218"/>
        <v>Active</v>
      </c>
      <c r="Q4733" t="str">
        <f>"Nozzle 1.0xM6 for Binzel 15"</f>
        <v>Nozzle 1.0xM6 for Binzel 15</v>
      </c>
      <c r="S4733" t="str">
        <f>"Nozzle 1.0xM6 for Binzel 15"</f>
        <v>Nozzle 1.0xM6 for Binzel 15</v>
      </c>
      <c r="T4733">
        <v>0</v>
      </c>
      <c r="U4733">
        <v>1.3</v>
      </c>
      <c r="V4733">
        <v>1.1100000000000001</v>
      </c>
      <c r="W4733" t="str">
        <f t="shared" si="1219"/>
        <v>rob</v>
      </c>
    </row>
    <row r="4734" spans="1:23">
      <c r="A4734" t="str">
        <f t="shared" si="1216"/>
        <v>WELD-MIG-TIG-MMA</v>
      </c>
      <c r="B4734" t="str">
        <f>"APL0058"</f>
        <v>APL0058</v>
      </c>
      <c r="C4734" t="str">
        <f>"Nozzle House for Binzel 15"</f>
        <v>Nozzle House for Binzel 15</v>
      </c>
      <c r="D4734">
        <v>5</v>
      </c>
      <c r="E4734" t="str">
        <f t="shared" si="1217"/>
        <v>Welding Cell for MIG(GMAW), TIG(GTAW) and MMA(SMAW) welding</v>
      </c>
      <c r="F4734">
        <v>700</v>
      </c>
      <c r="G4734" t="str">
        <f t="shared" si="1202"/>
        <v>Y</v>
      </c>
      <c r="H4734" t="str">
        <f t="shared" ref="H4734:H4765" si="1220">"EA"</f>
        <v>EA</v>
      </c>
      <c r="I4734">
        <v>0</v>
      </c>
      <c r="J4734">
        <v>0</v>
      </c>
      <c r="K4734" t="str">
        <f t="shared" si="1204"/>
        <v>Y</v>
      </c>
      <c r="L4734">
        <v>0</v>
      </c>
      <c r="M4734" t="str">
        <f t="shared" si="1208"/>
        <v>NIS</v>
      </c>
      <c r="O4734">
        <v>11</v>
      </c>
      <c r="P4734" t="str">
        <f t="shared" si="1218"/>
        <v>Active</v>
      </c>
      <c r="Q4734" t="str">
        <f>"Nozzle House for Binzel 15"</f>
        <v>Nozzle House for Binzel 15</v>
      </c>
      <c r="S4734" t="str">
        <f>"Nozzle House for Binzel 15"</f>
        <v>Nozzle House for Binzel 15</v>
      </c>
      <c r="T4734">
        <v>0</v>
      </c>
      <c r="U4734">
        <v>2.12</v>
      </c>
      <c r="V4734">
        <v>1.8</v>
      </c>
      <c r="W4734" t="str">
        <f t="shared" si="1219"/>
        <v>rob</v>
      </c>
    </row>
    <row r="4735" spans="1:23">
      <c r="A4735" t="str">
        <f t="shared" si="1216"/>
        <v>WELD-MIG-TIG-MMA</v>
      </c>
      <c r="B4735" t="str">
        <f>"APL0059"</f>
        <v>APL0059</v>
      </c>
      <c r="C4735" t="str">
        <f>"Handle neck for Bizel 15"</f>
        <v>Handle neck for Bizel 15</v>
      </c>
      <c r="D4735">
        <v>1</v>
      </c>
      <c r="E4735" t="str">
        <f t="shared" si="1217"/>
        <v>Welding Cell for MIG(GMAW), TIG(GTAW) and MMA(SMAW) welding</v>
      </c>
      <c r="F4735">
        <v>700</v>
      </c>
      <c r="G4735" t="str">
        <f t="shared" si="1202"/>
        <v>Y</v>
      </c>
      <c r="H4735" t="str">
        <f t="shared" si="1220"/>
        <v>EA</v>
      </c>
      <c r="I4735">
        <v>0</v>
      </c>
      <c r="J4735">
        <v>0</v>
      </c>
      <c r="K4735" t="str">
        <f t="shared" si="1204"/>
        <v>Y</v>
      </c>
      <c r="L4735">
        <v>0</v>
      </c>
      <c r="M4735" t="str">
        <f t="shared" si="1208"/>
        <v>NIS</v>
      </c>
      <c r="O4735">
        <v>12</v>
      </c>
      <c r="P4735" t="str">
        <f t="shared" si="1218"/>
        <v>Active</v>
      </c>
      <c r="Q4735" t="str">
        <f>"Handle neck for Bizel 15"</f>
        <v>Handle neck for Bizel 15</v>
      </c>
      <c r="S4735" t="str">
        <f>"Handle neck for Bizel 15"</f>
        <v>Handle neck for Bizel 15</v>
      </c>
      <c r="T4735">
        <v>0</v>
      </c>
      <c r="U4735">
        <v>16.63</v>
      </c>
      <c r="V4735">
        <v>14.18</v>
      </c>
      <c r="W4735" t="str">
        <f t="shared" si="1219"/>
        <v>rob</v>
      </c>
    </row>
    <row r="4736" spans="1:23">
      <c r="A4736" t="str">
        <f t="shared" si="1216"/>
        <v>WELD-MIG-TIG-MMA</v>
      </c>
      <c r="B4736" t="str">
        <f>"APL0060"</f>
        <v>APL0060</v>
      </c>
      <c r="C4736" t="str">
        <f>"Blue Lead Handle for Binzel 15"</f>
        <v>Blue Lead Handle for Binzel 15</v>
      </c>
      <c r="D4736">
        <v>2</v>
      </c>
      <c r="E4736" t="str">
        <f t="shared" si="1217"/>
        <v>Welding Cell for MIG(GMAW), TIG(GTAW) and MMA(SMAW) welding</v>
      </c>
      <c r="F4736">
        <v>700</v>
      </c>
      <c r="G4736" t="str">
        <f t="shared" si="1202"/>
        <v>Y</v>
      </c>
      <c r="H4736" t="str">
        <f t="shared" si="1220"/>
        <v>EA</v>
      </c>
      <c r="I4736">
        <v>0</v>
      </c>
      <c r="J4736">
        <v>0</v>
      </c>
      <c r="K4736" t="str">
        <f t="shared" si="1204"/>
        <v>Y</v>
      </c>
      <c r="L4736">
        <v>0</v>
      </c>
      <c r="M4736" t="str">
        <f t="shared" si="1208"/>
        <v>NIS</v>
      </c>
      <c r="O4736">
        <v>13</v>
      </c>
      <c r="P4736" t="str">
        <f t="shared" si="1218"/>
        <v>Active</v>
      </c>
      <c r="Q4736" t="str">
        <f>"Blue Lead Handle for Binzel 15"</f>
        <v>Blue Lead Handle for Binzel 15</v>
      </c>
      <c r="S4736" t="str">
        <f>"Blue Lead Handle for Binzel 15"</f>
        <v>Blue Lead Handle for Binzel 15</v>
      </c>
      <c r="T4736">
        <v>0</v>
      </c>
      <c r="U4736">
        <v>14.52</v>
      </c>
      <c r="V4736">
        <v>12.37</v>
      </c>
      <c r="W4736" t="str">
        <f t="shared" si="1219"/>
        <v>rob</v>
      </c>
    </row>
    <row r="4737" spans="1:23">
      <c r="A4737" t="str">
        <f t="shared" si="1216"/>
        <v>WELD-MIG-TIG-MMA</v>
      </c>
      <c r="B4737" t="str">
        <f>"APL0042"</f>
        <v>APL0042</v>
      </c>
      <c r="C4737" t="str">
        <f>"Rutile Electrode E6013 2.5mm"</f>
        <v>Rutile Electrode E6013 2.5mm</v>
      </c>
      <c r="D4737">
        <v>20</v>
      </c>
      <c r="E4737" t="str">
        <f t="shared" si="1217"/>
        <v>Welding Cell for MIG(GMAW), TIG(GTAW) and MMA(SMAW) welding</v>
      </c>
      <c r="F4737">
        <v>700</v>
      </c>
      <c r="G4737" t="str">
        <f t="shared" si="1202"/>
        <v>Y</v>
      </c>
      <c r="H4737" t="str">
        <f t="shared" si="1220"/>
        <v>EA</v>
      </c>
      <c r="I4737">
        <v>0</v>
      </c>
      <c r="J4737">
        <v>0</v>
      </c>
      <c r="K4737" t="str">
        <f t="shared" si="1204"/>
        <v>Y</v>
      </c>
      <c r="L4737">
        <v>0</v>
      </c>
      <c r="M4737" t="str">
        <f t="shared" si="1208"/>
        <v>NIS</v>
      </c>
      <c r="O4737">
        <v>14</v>
      </c>
      <c r="P4737" t="str">
        <f t="shared" si="1218"/>
        <v>Active</v>
      </c>
      <c r="Q4737" t="str">
        <f>"Rutile Electrode E6013 2.5mm"</f>
        <v>Rutile Electrode E6013 2.5mm</v>
      </c>
      <c r="S4737" t="str">
        <f>"Rutile Electrode E6013 2.5mm"</f>
        <v>Rutile Electrode E6013 2.5mm</v>
      </c>
      <c r="T4737">
        <v>0</v>
      </c>
      <c r="U4737">
        <v>5.75</v>
      </c>
      <c r="V4737">
        <v>4.9000000000000004</v>
      </c>
      <c r="W4737" t="str">
        <f t="shared" si="1219"/>
        <v>rob</v>
      </c>
    </row>
    <row r="4738" spans="1:23">
      <c r="A4738" t="str">
        <f t="shared" si="1216"/>
        <v>WELD-MIG-TIG-MMA</v>
      </c>
      <c r="B4738" t="str">
        <f>"APL0043"</f>
        <v>APL0043</v>
      </c>
      <c r="C4738" t="str">
        <f>"CO2 wire 0.8mm"</f>
        <v>CO2 wire 0.8mm</v>
      </c>
      <c r="D4738">
        <v>8</v>
      </c>
      <c r="E4738" t="str">
        <f t="shared" si="1217"/>
        <v>Welding Cell for MIG(GMAW), TIG(GTAW) and MMA(SMAW) welding</v>
      </c>
      <c r="F4738">
        <v>700</v>
      </c>
      <c r="G4738" t="str">
        <f t="shared" ref="G4738:G4779" si="1221">"Y"</f>
        <v>Y</v>
      </c>
      <c r="H4738" t="str">
        <f t="shared" si="1220"/>
        <v>EA</v>
      </c>
      <c r="I4738">
        <v>0</v>
      </c>
      <c r="J4738">
        <v>0</v>
      </c>
      <c r="K4738" t="str">
        <f t="shared" ref="K4738:K4779" si="1222">"Y"</f>
        <v>Y</v>
      </c>
      <c r="L4738">
        <v>0</v>
      </c>
      <c r="M4738" t="str">
        <f t="shared" si="1208"/>
        <v>NIS</v>
      </c>
      <c r="O4738">
        <v>15</v>
      </c>
      <c r="P4738" t="str">
        <f t="shared" si="1218"/>
        <v>Active</v>
      </c>
      <c r="Q4738" t="str">
        <f>"CO2 wire 0.8mm"</f>
        <v>CO2 wire 0.8mm</v>
      </c>
      <c r="S4738" t="str">
        <f>"CO2 wire 0.8mm"</f>
        <v>CO2 wire 0.8mm</v>
      </c>
      <c r="T4738">
        <v>0</v>
      </c>
      <c r="U4738">
        <v>2.12</v>
      </c>
      <c r="V4738">
        <v>1.8</v>
      </c>
      <c r="W4738" t="str">
        <f t="shared" si="1219"/>
        <v>rob</v>
      </c>
    </row>
    <row r="4739" spans="1:23">
      <c r="A4739" t="str">
        <f t="shared" si="1216"/>
        <v>WELD-MIG-TIG-MMA</v>
      </c>
      <c r="B4739" t="str">
        <f>"APL0072"</f>
        <v>APL0072</v>
      </c>
      <c r="C4739" t="str">
        <f>"Carbon steel sheet 150mm x 30mm x 5mm"</f>
        <v>Carbon steel sheet 150mm x 30mm x 5mm</v>
      </c>
      <c r="D4739">
        <v>50</v>
      </c>
      <c r="E4739" t="str">
        <f t="shared" si="1217"/>
        <v>Welding Cell for MIG(GMAW), TIG(GTAW) and MMA(SMAW) welding</v>
      </c>
      <c r="F4739">
        <v>700</v>
      </c>
      <c r="G4739" t="str">
        <f t="shared" si="1221"/>
        <v>Y</v>
      </c>
      <c r="H4739" t="str">
        <f t="shared" si="1220"/>
        <v>EA</v>
      </c>
      <c r="I4739">
        <v>0</v>
      </c>
      <c r="J4739">
        <v>0</v>
      </c>
      <c r="K4739" t="str">
        <f t="shared" si="1222"/>
        <v>Y</v>
      </c>
      <c r="L4739">
        <v>0</v>
      </c>
      <c r="M4739" t="str">
        <f t="shared" si="1208"/>
        <v>NIS</v>
      </c>
      <c r="O4739">
        <v>16</v>
      </c>
      <c r="P4739" t="str">
        <f t="shared" si="1218"/>
        <v>Active</v>
      </c>
      <c r="Q4739" t="str">
        <f>"Flat carbon steel 150mm x 30mm x 5mm"</f>
        <v>Flat carbon steel 150mm x 30mm x 5mm</v>
      </c>
      <c r="S4739" t="str">
        <f>"Carbon steel sheet 150mm x 30mm x 5mm"</f>
        <v>Carbon steel sheet 150mm x 30mm x 5mm</v>
      </c>
      <c r="T4739">
        <v>0</v>
      </c>
      <c r="U4739">
        <v>1.0900000000000001</v>
      </c>
      <c r="V4739">
        <v>1.1299999999999999</v>
      </c>
      <c r="W4739" t="str">
        <f t="shared" si="1219"/>
        <v>rob</v>
      </c>
    </row>
    <row r="4740" spans="1:23">
      <c r="A4740" t="str">
        <f t="shared" si="1216"/>
        <v>WELD-MIG-TIG-MMA</v>
      </c>
      <c r="B4740" t="str">
        <f>"APL0073"</f>
        <v>APL0073</v>
      </c>
      <c r="C4740" t="str">
        <f>"Carbon steel tube  ɸ40mm x 30mm x 3mm"</f>
        <v>Carbon steel tube  ɸ40mm x 30mm x 3mm</v>
      </c>
      <c r="D4740">
        <v>100</v>
      </c>
      <c r="E4740" t="str">
        <f t="shared" si="1217"/>
        <v>Welding Cell for MIG(GMAW), TIG(GTAW) and MMA(SMAW) welding</v>
      </c>
      <c r="F4740">
        <v>700</v>
      </c>
      <c r="G4740" t="str">
        <f t="shared" si="1221"/>
        <v>Y</v>
      </c>
      <c r="H4740" t="str">
        <f t="shared" si="1220"/>
        <v>EA</v>
      </c>
      <c r="I4740">
        <v>0</v>
      </c>
      <c r="J4740">
        <v>0</v>
      </c>
      <c r="K4740" t="str">
        <f t="shared" si="1222"/>
        <v>Y</v>
      </c>
      <c r="L4740">
        <v>0</v>
      </c>
      <c r="M4740" t="str">
        <f t="shared" si="1208"/>
        <v>NIS</v>
      </c>
      <c r="O4740">
        <v>17</v>
      </c>
      <c r="P4740" t="str">
        <f t="shared" si="1218"/>
        <v>Active</v>
      </c>
      <c r="Q4740" t="str">
        <f>"Carbon steel tube  ɸ40mm x 30mm x 3mm"</f>
        <v>Carbon steel tube  ɸ40mm x 30mm x 3mm</v>
      </c>
      <c r="S4740" t="str">
        <f>"Carbon steel tube  ɸ40mm x 30mm x 3mm"</f>
        <v>Carbon steel tube  ɸ40mm x 30mm x 3mm</v>
      </c>
      <c r="T4740">
        <v>0</v>
      </c>
      <c r="U4740">
        <v>1.0900000000000001</v>
      </c>
      <c r="V4740">
        <v>1.1299999999999999</v>
      </c>
      <c r="W4740" t="str">
        <f t="shared" si="1219"/>
        <v>rob</v>
      </c>
    </row>
    <row r="4741" spans="1:23">
      <c r="A4741" t="str">
        <f t="shared" si="1216"/>
        <v>WELD-MIG-TIG-MMA</v>
      </c>
      <c r="B4741" t="str">
        <f>"APL0074"</f>
        <v>APL0074</v>
      </c>
      <c r="C4741" t="str">
        <f>"Carbon steel sheet50mm x 50mm x 5mm"</f>
        <v>Carbon steel sheet50mm x 50mm x 5mm</v>
      </c>
      <c r="D4741">
        <v>10</v>
      </c>
      <c r="E4741" t="str">
        <f t="shared" si="1217"/>
        <v>Welding Cell for MIG(GMAW), TIG(GTAW) and MMA(SMAW) welding</v>
      </c>
      <c r="F4741">
        <v>700</v>
      </c>
      <c r="G4741" t="str">
        <f t="shared" si="1221"/>
        <v>Y</v>
      </c>
      <c r="H4741" t="str">
        <f t="shared" si="1220"/>
        <v>EA</v>
      </c>
      <c r="I4741">
        <v>0</v>
      </c>
      <c r="J4741">
        <v>0</v>
      </c>
      <c r="K4741" t="str">
        <f t="shared" si="1222"/>
        <v>Y</v>
      </c>
      <c r="L4741">
        <v>0</v>
      </c>
      <c r="M4741" t="str">
        <f t="shared" si="1208"/>
        <v>NIS</v>
      </c>
      <c r="O4741">
        <v>18</v>
      </c>
      <c r="P4741" t="str">
        <f t="shared" si="1218"/>
        <v>Active</v>
      </c>
      <c r="Q4741" t="str">
        <f>"Carbon steel sheet50mm x 50mm x 5mm"</f>
        <v>Carbon steel sheet50mm x 50mm x 5mm</v>
      </c>
      <c r="S4741" t="str">
        <f>"Carbon steel sheet50mm x 50mm x 5mm"</f>
        <v>Carbon steel sheet50mm x 50mm x 5mm</v>
      </c>
      <c r="T4741">
        <v>0</v>
      </c>
      <c r="U4741">
        <v>1.0900000000000001</v>
      </c>
      <c r="V4741">
        <v>1.1299999999999999</v>
      </c>
      <c r="W4741" t="str">
        <f t="shared" si="1219"/>
        <v>rob</v>
      </c>
    </row>
    <row r="4742" spans="1:23">
      <c r="A4742" t="str">
        <f t="shared" si="1216"/>
        <v>WELD-MIG-TIG-MMA</v>
      </c>
      <c r="B4742" t="str">
        <f>"APL0067"</f>
        <v>APL0067</v>
      </c>
      <c r="C4742" t="str">
        <f>"WELDING GAS REGULATOR (TIG MIG Ar/CO2 MIX GAUGE)"</f>
        <v>WELDING GAS REGULATOR (TIG MIG Ar/CO2 MIX GAUGE)</v>
      </c>
      <c r="D4742">
        <v>2</v>
      </c>
      <c r="E4742" t="str">
        <f t="shared" si="1217"/>
        <v>Welding Cell for MIG(GMAW), TIG(GTAW) and MMA(SMAW) welding</v>
      </c>
      <c r="F4742">
        <v>700</v>
      </c>
      <c r="G4742" t="str">
        <f t="shared" si="1221"/>
        <v>Y</v>
      </c>
      <c r="H4742" t="str">
        <f t="shared" si="1220"/>
        <v>EA</v>
      </c>
      <c r="I4742">
        <v>0</v>
      </c>
      <c r="J4742">
        <v>0</v>
      </c>
      <c r="K4742" t="str">
        <f t="shared" si="1222"/>
        <v>Y</v>
      </c>
      <c r="L4742">
        <v>0</v>
      </c>
      <c r="M4742" t="str">
        <f t="shared" si="1208"/>
        <v>NIS</v>
      </c>
      <c r="O4742">
        <v>19</v>
      </c>
      <c r="P4742" t="str">
        <f t="shared" si="1218"/>
        <v>Active</v>
      </c>
      <c r="Q4742" t="str">
        <f>"WELDING GAS REGULATOR (TIG MIG Ar/CO2 MIX GAUGE)"</f>
        <v>WELDING GAS REGULATOR (TIG MIG Ar/CO2 MIX GAUGE)</v>
      </c>
      <c r="S4742" t="str">
        <f>"WELDING GAS REGULATOR (TIG MIG Ar/CO2 MIX GAUGE)"</f>
        <v>WELDING GAS REGULATOR (TIG MIG Ar/CO2 MIX GAUGE)</v>
      </c>
      <c r="T4742">
        <v>0</v>
      </c>
      <c r="U4742">
        <v>108.16</v>
      </c>
      <c r="V4742">
        <v>112.49</v>
      </c>
      <c r="W4742" t="str">
        <f t="shared" si="1219"/>
        <v>rob</v>
      </c>
    </row>
    <row r="4743" spans="1:23">
      <c r="A4743" t="str">
        <f t="shared" si="1216"/>
        <v>WELD-MIG-TIG-MMA</v>
      </c>
      <c r="B4743" t="str">
        <f>"APL0065"</f>
        <v>APL0065</v>
      </c>
      <c r="C4743" t="str">
        <f>"20L Argon/CO2 gas tank (for MIG welding)"</f>
        <v>20L Argon/CO2 gas tank (for MIG welding)</v>
      </c>
      <c r="D4743">
        <v>1</v>
      </c>
      <c r="E4743" t="str">
        <f t="shared" si="1217"/>
        <v>Welding Cell for MIG(GMAW), TIG(GTAW) and MMA(SMAW) welding</v>
      </c>
      <c r="F4743">
        <v>700</v>
      </c>
      <c r="G4743" t="str">
        <f t="shared" si="1221"/>
        <v>Y</v>
      </c>
      <c r="H4743" t="str">
        <f t="shared" si="1220"/>
        <v>EA</v>
      </c>
      <c r="I4743">
        <v>0</v>
      </c>
      <c r="J4743">
        <v>0</v>
      </c>
      <c r="K4743" t="str">
        <f t="shared" si="1222"/>
        <v>Y</v>
      </c>
      <c r="L4743">
        <v>0</v>
      </c>
      <c r="M4743" t="str">
        <f t="shared" si="1208"/>
        <v>NIS</v>
      </c>
      <c r="O4743">
        <v>20</v>
      </c>
      <c r="P4743" t="str">
        <f t="shared" si="1218"/>
        <v>Active</v>
      </c>
      <c r="Q4743" t="str">
        <f>"20L Argon/CO2 gas tank (for MIG welding)"</f>
        <v>20L Argon/CO2 gas tank (for MIG welding)</v>
      </c>
      <c r="S4743" t="str">
        <f>"20L Argon/CO2 gas tank (for MIG welding)"</f>
        <v>20L Argon/CO2 gas tank (for MIG welding)</v>
      </c>
      <c r="T4743">
        <v>0</v>
      </c>
      <c r="U4743" s="44">
        <v>1297.92</v>
      </c>
      <c r="V4743" s="44">
        <v>1349.84</v>
      </c>
      <c r="W4743" t="str">
        <f t="shared" si="1219"/>
        <v>rob</v>
      </c>
    </row>
    <row r="4744" spans="1:23">
      <c r="A4744" t="str">
        <f t="shared" si="1216"/>
        <v>WELD-MIG-TIG-MMA</v>
      </c>
      <c r="B4744" t="str">
        <f>"APL0066"</f>
        <v>APL0066</v>
      </c>
      <c r="C4744" t="str">
        <f>"20L Argon/CO2 refill"</f>
        <v>20L Argon/CO2 refill</v>
      </c>
      <c r="D4744">
        <v>1</v>
      </c>
      <c r="E4744" t="str">
        <f t="shared" si="1217"/>
        <v>Welding Cell for MIG(GMAW), TIG(GTAW) and MMA(SMAW) welding</v>
      </c>
      <c r="F4744">
        <v>700</v>
      </c>
      <c r="G4744" t="str">
        <f t="shared" si="1221"/>
        <v>Y</v>
      </c>
      <c r="H4744" t="str">
        <f t="shared" si="1220"/>
        <v>EA</v>
      </c>
      <c r="I4744">
        <v>0</v>
      </c>
      <c r="J4744">
        <v>0</v>
      </c>
      <c r="K4744" t="str">
        <f t="shared" si="1222"/>
        <v>Y</v>
      </c>
      <c r="L4744">
        <v>0</v>
      </c>
      <c r="M4744" t="str">
        <f t="shared" si="1208"/>
        <v>NIS</v>
      </c>
      <c r="O4744">
        <v>21</v>
      </c>
      <c r="P4744" t="str">
        <f t="shared" si="1218"/>
        <v>Active</v>
      </c>
      <c r="Q4744" t="str">
        <f>"20L Argon/CO2 refill"</f>
        <v>20L Argon/CO2 refill</v>
      </c>
      <c r="S4744" t="str">
        <f>"20L Argon/CO2 refill"</f>
        <v>20L Argon/CO2 refill</v>
      </c>
      <c r="T4744">
        <v>0</v>
      </c>
      <c r="U4744">
        <v>129.79</v>
      </c>
      <c r="V4744">
        <v>134.97999999999999</v>
      </c>
      <c r="W4744" t="str">
        <f t="shared" si="1219"/>
        <v>rob</v>
      </c>
    </row>
    <row r="4745" spans="1:23">
      <c r="A4745" t="str">
        <f t="shared" si="1216"/>
        <v>WELD-MIG-TIG-MMA</v>
      </c>
      <c r="B4745" t="str">
        <f>"APL0041"</f>
        <v>APL0041</v>
      </c>
      <c r="C4745" t="str">
        <f>"Welding Frame +Curtain 1.8M x1,8M"</f>
        <v>Welding Frame +Curtain 1.8M x1,8M</v>
      </c>
      <c r="D4745">
        <v>1</v>
      </c>
      <c r="E4745" t="str">
        <f t="shared" si="1217"/>
        <v>Welding Cell for MIG(GMAW), TIG(GTAW) and MMA(SMAW) welding</v>
      </c>
      <c r="F4745">
        <v>700</v>
      </c>
      <c r="G4745" t="str">
        <f t="shared" si="1221"/>
        <v>Y</v>
      </c>
      <c r="H4745" t="str">
        <f t="shared" si="1220"/>
        <v>EA</v>
      </c>
      <c r="I4745">
        <v>0</v>
      </c>
      <c r="J4745">
        <v>0</v>
      </c>
      <c r="K4745" t="str">
        <f t="shared" si="1222"/>
        <v>Y</v>
      </c>
      <c r="L4745">
        <v>0</v>
      </c>
      <c r="M4745" t="str">
        <f t="shared" si="1208"/>
        <v>NIS</v>
      </c>
      <c r="O4745">
        <v>22</v>
      </c>
      <c r="P4745" t="str">
        <f t="shared" si="1218"/>
        <v>Active</v>
      </c>
      <c r="Q4745" t="str">
        <f>"Welding Frame +Curtain 1.8M x1,8M"</f>
        <v>Welding Frame +Curtain 1.8M x1,8M</v>
      </c>
      <c r="S4745" t="str">
        <f>"Welding Frame +Curtain 1.8M x1,8M"</f>
        <v>Welding Frame +Curtain 1.8M x1,8M</v>
      </c>
      <c r="T4745">
        <v>0</v>
      </c>
      <c r="U4745">
        <v>220.79</v>
      </c>
      <c r="V4745">
        <v>188.55</v>
      </c>
      <c r="W4745" t="str">
        <f t="shared" si="1219"/>
        <v>rob</v>
      </c>
    </row>
    <row r="4746" spans="1:23">
      <c r="A4746" t="str">
        <f t="shared" si="1216"/>
        <v>WELD-MIG-TIG-MMA</v>
      </c>
      <c r="B4746" t="str">
        <f>"APL0039"</f>
        <v>APL0039</v>
      </c>
      <c r="C4746" t="str">
        <f>"TIG 200M Welding Machine"</f>
        <v>TIG 200M Welding Machine</v>
      </c>
      <c r="D4746">
        <v>1</v>
      </c>
      <c r="E4746" t="str">
        <f t="shared" si="1217"/>
        <v>Welding Cell for MIG(GMAW), TIG(GTAW) and MMA(SMAW) welding</v>
      </c>
      <c r="F4746">
        <v>700</v>
      </c>
      <c r="G4746" t="str">
        <f t="shared" si="1221"/>
        <v>Y</v>
      </c>
      <c r="H4746" t="str">
        <f t="shared" si="1220"/>
        <v>EA</v>
      </c>
      <c r="I4746">
        <v>0</v>
      </c>
      <c r="J4746">
        <v>0</v>
      </c>
      <c r="K4746" t="str">
        <f t="shared" si="1222"/>
        <v>Y</v>
      </c>
      <c r="L4746">
        <v>0</v>
      </c>
      <c r="M4746" t="str">
        <f t="shared" si="1208"/>
        <v>NIS</v>
      </c>
      <c r="O4746">
        <v>23</v>
      </c>
      <c r="P4746" t="str">
        <f t="shared" si="1218"/>
        <v>Active</v>
      </c>
      <c r="Q4746" t="str">
        <f>"TIG 200M Welding Machine"</f>
        <v>TIG 200M Welding Machine</v>
      </c>
      <c r="S4746" t="str">
        <f>"TIG 200M Welding Machine"</f>
        <v>TIG 200M Welding Machine</v>
      </c>
      <c r="T4746">
        <v>0</v>
      </c>
      <c r="U4746" s="44">
        <v>1330.79</v>
      </c>
      <c r="V4746" s="44">
        <v>1134.32</v>
      </c>
      <c r="W4746" t="str">
        <f t="shared" si="1219"/>
        <v>rob</v>
      </c>
    </row>
    <row r="4747" spans="1:23">
      <c r="A4747" t="str">
        <f t="shared" si="1216"/>
        <v>WELD-MIG-TIG-MMA</v>
      </c>
      <c r="B4747" t="str">
        <f>"APL0048"</f>
        <v>APL0048</v>
      </c>
      <c r="C4747" t="str">
        <f>"Thin gloves for argon weldiing"</f>
        <v>Thin gloves for argon weldiing</v>
      </c>
      <c r="D4747">
        <v>1</v>
      </c>
      <c r="E4747" t="str">
        <f t="shared" si="1217"/>
        <v>Welding Cell for MIG(GMAW), TIG(GTAW) and MMA(SMAW) welding</v>
      </c>
      <c r="F4747">
        <v>700</v>
      </c>
      <c r="G4747" t="str">
        <f t="shared" si="1221"/>
        <v>Y</v>
      </c>
      <c r="H4747" t="str">
        <f t="shared" si="1220"/>
        <v>EA</v>
      </c>
      <c r="I4747">
        <v>0</v>
      </c>
      <c r="J4747">
        <v>0</v>
      </c>
      <c r="K4747" t="str">
        <f t="shared" si="1222"/>
        <v>Y</v>
      </c>
      <c r="L4747">
        <v>0</v>
      </c>
      <c r="M4747" t="str">
        <f t="shared" si="1208"/>
        <v>NIS</v>
      </c>
      <c r="O4747">
        <v>24</v>
      </c>
      <c r="P4747" t="str">
        <f t="shared" si="1218"/>
        <v>Active</v>
      </c>
      <c r="Q4747" t="str">
        <f>"Thin gloves for argon weldiing"</f>
        <v>Thin gloves for argon weldiing</v>
      </c>
      <c r="S4747" t="str">
        <f>"Thin gloves for argon weldiing"</f>
        <v>Thin gloves for argon weldiing</v>
      </c>
      <c r="T4747">
        <v>0</v>
      </c>
      <c r="U4747">
        <v>15.43</v>
      </c>
      <c r="V4747">
        <v>13.15</v>
      </c>
      <c r="W4747" t="str">
        <f t="shared" si="1219"/>
        <v>rob</v>
      </c>
    </row>
    <row r="4748" spans="1:23">
      <c r="A4748" t="str">
        <f t="shared" si="1216"/>
        <v>WELD-MIG-TIG-MMA</v>
      </c>
      <c r="B4748" t="str">
        <f>"APL0040"</f>
        <v>APL0040</v>
      </c>
      <c r="C4748" t="str">
        <f>"Argon handle 26 for WSM200"</f>
        <v>Argon handle 26 for WSM200</v>
      </c>
      <c r="D4748">
        <v>1</v>
      </c>
      <c r="E4748" t="str">
        <f t="shared" si="1217"/>
        <v>Welding Cell for MIG(GMAW), TIG(GTAW) and MMA(SMAW) welding</v>
      </c>
      <c r="F4748">
        <v>700</v>
      </c>
      <c r="G4748" t="str">
        <f t="shared" si="1221"/>
        <v>Y</v>
      </c>
      <c r="H4748" t="str">
        <f t="shared" si="1220"/>
        <v>EA</v>
      </c>
      <c r="I4748">
        <v>0</v>
      </c>
      <c r="J4748">
        <v>0</v>
      </c>
      <c r="K4748" t="str">
        <f t="shared" si="1222"/>
        <v>Y</v>
      </c>
      <c r="L4748">
        <v>0</v>
      </c>
      <c r="M4748" t="str">
        <f t="shared" si="1208"/>
        <v>NIS</v>
      </c>
      <c r="O4748">
        <v>25</v>
      </c>
      <c r="P4748" t="str">
        <f t="shared" si="1218"/>
        <v>Active</v>
      </c>
      <c r="Q4748" t="str">
        <f>"Argon handle 26 for WSM200"</f>
        <v>Argon handle 26 for WSM200</v>
      </c>
      <c r="S4748" t="str">
        <f>"Argon handle 26 for WSM200"</f>
        <v>Argon handle 26 for WSM200</v>
      </c>
      <c r="T4748">
        <v>0</v>
      </c>
      <c r="U4748">
        <v>127.03</v>
      </c>
      <c r="V4748">
        <v>108.28</v>
      </c>
      <c r="W4748" t="str">
        <f t="shared" si="1219"/>
        <v>rob</v>
      </c>
    </row>
    <row r="4749" spans="1:23">
      <c r="A4749" t="str">
        <f t="shared" si="1216"/>
        <v>WELD-MIG-TIG-MMA</v>
      </c>
      <c r="B4749" t="str">
        <f>"APL0051"</f>
        <v>APL0051</v>
      </c>
      <c r="C4749" t="str">
        <f>"Collet 1.6(17,18,26)-10N23"</f>
        <v>Collet 1.6(17,18,26)-10N23</v>
      </c>
      <c r="D4749">
        <v>10</v>
      </c>
      <c r="E4749" t="str">
        <f t="shared" si="1217"/>
        <v>Welding Cell for MIG(GMAW), TIG(GTAW) and MMA(SMAW) welding</v>
      </c>
      <c r="F4749">
        <v>700</v>
      </c>
      <c r="G4749" t="str">
        <f t="shared" si="1221"/>
        <v>Y</v>
      </c>
      <c r="H4749" t="str">
        <f t="shared" si="1220"/>
        <v>EA</v>
      </c>
      <c r="I4749">
        <v>0</v>
      </c>
      <c r="J4749">
        <v>0</v>
      </c>
      <c r="K4749" t="str">
        <f t="shared" si="1222"/>
        <v>Y</v>
      </c>
      <c r="L4749">
        <v>0</v>
      </c>
      <c r="M4749" t="str">
        <f t="shared" si="1208"/>
        <v>NIS</v>
      </c>
      <c r="O4749">
        <v>26</v>
      </c>
      <c r="P4749" t="str">
        <f t="shared" si="1218"/>
        <v>Active</v>
      </c>
      <c r="Q4749" t="str">
        <f>"Collet 1.6(17,18,26)-10N23"</f>
        <v>Collet 1.6(17,18,26)-10N23</v>
      </c>
      <c r="S4749" t="str">
        <f>"Collet 1.6(17,18,26)-10N23"</f>
        <v>Collet 1.6(17,18,26)-10N23</v>
      </c>
      <c r="T4749">
        <v>0</v>
      </c>
      <c r="U4749">
        <v>1.81</v>
      </c>
      <c r="V4749">
        <v>1.55</v>
      </c>
      <c r="W4749" t="str">
        <f t="shared" si="1219"/>
        <v>rob</v>
      </c>
    </row>
    <row r="4750" spans="1:23">
      <c r="A4750" t="str">
        <f t="shared" si="1216"/>
        <v>WELD-MIG-TIG-MMA</v>
      </c>
      <c r="B4750" t="str">
        <f>"APL0052"</f>
        <v>APL0052</v>
      </c>
      <c r="C4750" t="str">
        <f>"Collet Body 1.6(17,18,26)-10N31"</f>
        <v>Collet Body 1.6(17,18,26)-10N31</v>
      </c>
      <c r="D4750">
        <v>10</v>
      </c>
      <c r="E4750" t="str">
        <f t="shared" si="1217"/>
        <v>Welding Cell for MIG(GMAW), TIG(GTAW) and MMA(SMAW) welding</v>
      </c>
      <c r="F4750">
        <v>700</v>
      </c>
      <c r="G4750" t="str">
        <f t="shared" si="1221"/>
        <v>Y</v>
      </c>
      <c r="H4750" t="str">
        <f t="shared" si="1220"/>
        <v>EA</v>
      </c>
      <c r="I4750">
        <v>0</v>
      </c>
      <c r="J4750">
        <v>0</v>
      </c>
      <c r="K4750" t="str">
        <f t="shared" si="1222"/>
        <v>Y</v>
      </c>
      <c r="L4750">
        <v>0</v>
      </c>
      <c r="M4750" t="str">
        <f t="shared" si="1208"/>
        <v>NIS</v>
      </c>
      <c r="O4750">
        <v>27</v>
      </c>
      <c r="P4750" t="str">
        <f t="shared" si="1218"/>
        <v>Active</v>
      </c>
      <c r="Q4750" t="str">
        <f>"Collet Body 1.6(17,18,26)-10N31"</f>
        <v>Collet Body 1.6(17,18,26)-10N31</v>
      </c>
      <c r="S4750" t="str">
        <f>"Collet Body 1.6(17,18,26)-10N31"</f>
        <v>Collet Body 1.6(17,18,26)-10N31</v>
      </c>
      <c r="T4750">
        <v>0</v>
      </c>
      <c r="U4750">
        <v>3.63</v>
      </c>
      <c r="V4750">
        <v>3.09</v>
      </c>
      <c r="W4750" t="str">
        <f t="shared" si="1219"/>
        <v>rob</v>
      </c>
    </row>
    <row r="4751" spans="1:23">
      <c r="A4751" t="str">
        <f t="shared" si="1216"/>
        <v>WELD-MIG-TIG-MMA</v>
      </c>
      <c r="B4751" t="str">
        <f>"APL0053"</f>
        <v>APL0053</v>
      </c>
      <c r="C4751" t="str">
        <f>"Alumina Cup 6(17,18,26)-10N48"</f>
        <v>Alumina Cup 6(17,18,26)-10N48</v>
      </c>
      <c r="D4751">
        <v>10</v>
      </c>
      <c r="E4751" t="str">
        <f t="shared" si="1217"/>
        <v>Welding Cell for MIG(GMAW), TIG(GTAW) and MMA(SMAW) welding</v>
      </c>
      <c r="F4751">
        <v>700</v>
      </c>
      <c r="G4751" t="str">
        <f t="shared" si="1221"/>
        <v>Y</v>
      </c>
      <c r="H4751" t="str">
        <f t="shared" si="1220"/>
        <v>EA</v>
      </c>
      <c r="I4751">
        <v>0</v>
      </c>
      <c r="J4751">
        <v>0</v>
      </c>
      <c r="K4751" t="str">
        <f t="shared" si="1222"/>
        <v>Y</v>
      </c>
      <c r="L4751">
        <v>0</v>
      </c>
      <c r="M4751" t="str">
        <f t="shared" si="1208"/>
        <v>NIS</v>
      </c>
      <c r="O4751">
        <v>28</v>
      </c>
      <c r="P4751" t="str">
        <f t="shared" si="1218"/>
        <v>Active</v>
      </c>
      <c r="Q4751" t="str">
        <f>"Alumina Cup 6(17,18,26)-10N48"</f>
        <v>Alumina Cup 6(17,18,26)-10N48</v>
      </c>
      <c r="S4751" t="str">
        <f>"Alumina Cup 6(17,18,26)-10N48"</f>
        <v>Alumina Cup 6(17,18,26)-10N48</v>
      </c>
      <c r="T4751">
        <v>0</v>
      </c>
      <c r="U4751">
        <v>2.72</v>
      </c>
      <c r="V4751">
        <v>2.3199999999999998</v>
      </c>
      <c r="W4751" t="str">
        <f t="shared" si="1219"/>
        <v>rob</v>
      </c>
    </row>
    <row r="4752" spans="1:23">
      <c r="A4752" t="str">
        <f t="shared" si="1216"/>
        <v>WELD-MIG-TIG-MMA</v>
      </c>
      <c r="B4752" t="str">
        <f>"APL0054"</f>
        <v>APL0054</v>
      </c>
      <c r="C4752" t="str">
        <f>"Long Back Cup (17,18,26)"</f>
        <v>Long Back Cup (17,18,26)</v>
      </c>
      <c r="D4752">
        <v>5</v>
      </c>
      <c r="E4752" t="str">
        <f t="shared" si="1217"/>
        <v>Welding Cell for MIG(GMAW), TIG(GTAW) and MMA(SMAW) welding</v>
      </c>
      <c r="F4752">
        <v>700</v>
      </c>
      <c r="G4752" t="str">
        <f t="shared" si="1221"/>
        <v>Y</v>
      </c>
      <c r="H4752" t="str">
        <f t="shared" si="1220"/>
        <v>EA</v>
      </c>
      <c r="I4752">
        <v>0</v>
      </c>
      <c r="J4752">
        <v>0</v>
      </c>
      <c r="K4752" t="str">
        <f t="shared" si="1222"/>
        <v>Y</v>
      </c>
      <c r="L4752">
        <v>0</v>
      </c>
      <c r="M4752" t="str">
        <f t="shared" si="1208"/>
        <v>NIS</v>
      </c>
      <c r="O4752">
        <v>29</v>
      </c>
      <c r="P4752" t="str">
        <f t="shared" si="1218"/>
        <v>Active</v>
      </c>
      <c r="Q4752" t="str">
        <f>"Long Back Cup (17,18,26)"</f>
        <v>Long Back Cup (17,18,26)</v>
      </c>
      <c r="S4752" t="str">
        <f>"Long Back Cup (17,18,26)"</f>
        <v>Long Back Cup (17,18,26)</v>
      </c>
      <c r="T4752">
        <v>0</v>
      </c>
      <c r="U4752">
        <v>4.2300000000000004</v>
      </c>
      <c r="V4752">
        <v>3.61</v>
      </c>
      <c r="W4752" t="str">
        <f t="shared" si="1219"/>
        <v>rob</v>
      </c>
    </row>
    <row r="4753" spans="1:23">
      <c r="A4753" t="str">
        <f t="shared" si="1216"/>
        <v>WELD-MIG-TIG-MMA</v>
      </c>
      <c r="B4753" t="str">
        <f>"APL0068"</f>
        <v>APL0068</v>
      </c>
      <c r="C4753" t="str">
        <f>"1.6mm Stainless Steel 308L Filler Rods (5KG)"</f>
        <v>1.6mm Stainless Steel 308L Filler Rods (5KG)</v>
      </c>
      <c r="D4753">
        <v>1</v>
      </c>
      <c r="E4753" t="str">
        <f t="shared" si="1217"/>
        <v>Welding Cell for MIG(GMAW), TIG(GTAW) and MMA(SMAW) welding</v>
      </c>
      <c r="F4753">
        <v>700</v>
      </c>
      <c r="G4753" t="str">
        <f t="shared" si="1221"/>
        <v>Y</v>
      </c>
      <c r="H4753" t="str">
        <f t="shared" si="1220"/>
        <v>EA</v>
      </c>
      <c r="I4753">
        <v>0</v>
      </c>
      <c r="J4753">
        <v>0</v>
      </c>
      <c r="K4753" t="str">
        <f t="shared" si="1222"/>
        <v>Y</v>
      </c>
      <c r="L4753">
        <v>0</v>
      </c>
      <c r="M4753" t="str">
        <f t="shared" si="1208"/>
        <v>NIS</v>
      </c>
      <c r="O4753">
        <v>30</v>
      </c>
      <c r="P4753" t="str">
        <f t="shared" si="1218"/>
        <v>Active</v>
      </c>
      <c r="Q4753" t="str">
        <f>"1.6mm Stainless Steel 308L Filler Rods (5KG)"</f>
        <v>1.6mm Stainless Steel 308L Filler Rods (5KG)</v>
      </c>
      <c r="S4753" t="str">
        <f>"1.6mm Stainless Steel 308L Filler Rods (5KG)"</f>
        <v>1.6mm Stainless Steel 308L Filler Rods (5KG)</v>
      </c>
      <c r="T4753">
        <v>0</v>
      </c>
      <c r="U4753">
        <v>40.78</v>
      </c>
      <c r="V4753">
        <v>42.41</v>
      </c>
      <c r="W4753" t="str">
        <f t="shared" si="1219"/>
        <v>rob</v>
      </c>
    </row>
    <row r="4754" spans="1:23">
      <c r="A4754" t="str">
        <f t="shared" si="1216"/>
        <v>WELD-MIG-TIG-MMA</v>
      </c>
      <c r="B4754" t="str">
        <f>"APL0069"</f>
        <v>APL0069</v>
      </c>
      <c r="C4754" t="str">
        <f>"Stainless steel sheet 150mm x 30mm x 1.5mm"</f>
        <v>Stainless steel sheet 150mm x 30mm x 1.5mm</v>
      </c>
      <c r="D4754">
        <v>50</v>
      </c>
      <c r="E4754" t="str">
        <f t="shared" si="1217"/>
        <v>Welding Cell for MIG(GMAW), TIG(GTAW) and MMA(SMAW) welding</v>
      </c>
      <c r="F4754">
        <v>700</v>
      </c>
      <c r="G4754" t="str">
        <f t="shared" si="1221"/>
        <v>Y</v>
      </c>
      <c r="H4754" t="str">
        <f t="shared" si="1220"/>
        <v>EA</v>
      </c>
      <c r="I4754">
        <v>0</v>
      </c>
      <c r="J4754">
        <v>0</v>
      </c>
      <c r="K4754" t="str">
        <f t="shared" si="1222"/>
        <v>Y</v>
      </c>
      <c r="L4754">
        <v>0</v>
      </c>
      <c r="M4754" t="str">
        <f t="shared" si="1208"/>
        <v>NIS</v>
      </c>
      <c r="O4754">
        <v>31</v>
      </c>
      <c r="P4754" t="str">
        <f t="shared" si="1218"/>
        <v>Active</v>
      </c>
      <c r="Q4754" t="str">
        <f>"Stainless steel sheet 150mm x 30mm x 1.5mm"</f>
        <v>Stainless steel sheet 150mm x 30mm x 1.5mm</v>
      </c>
      <c r="S4754" t="str">
        <f>"Stainless steel sheet 150mm x 30mm x 1.5mm"</f>
        <v>Stainless steel sheet 150mm x 30mm x 1.5mm</v>
      </c>
      <c r="T4754">
        <v>0</v>
      </c>
      <c r="U4754">
        <v>1.36</v>
      </c>
      <c r="V4754">
        <v>1.41</v>
      </c>
      <c r="W4754" t="str">
        <f t="shared" si="1219"/>
        <v>rob</v>
      </c>
    </row>
    <row r="4755" spans="1:23">
      <c r="A4755" t="str">
        <f t="shared" si="1216"/>
        <v>WELD-MIG-TIG-MMA</v>
      </c>
      <c r="B4755" t="str">
        <f>"APL0070"</f>
        <v>APL0070</v>
      </c>
      <c r="C4755" t="str">
        <f>"Stainless steel tube  ɸ40mm x 30mm x 1.5mm"</f>
        <v>Stainless steel tube  ɸ40mm x 30mm x 1.5mm</v>
      </c>
      <c r="D4755">
        <v>100</v>
      </c>
      <c r="E4755" t="str">
        <f t="shared" si="1217"/>
        <v>Welding Cell for MIG(GMAW), TIG(GTAW) and MMA(SMAW) welding</v>
      </c>
      <c r="F4755">
        <v>700</v>
      </c>
      <c r="G4755" t="str">
        <f t="shared" si="1221"/>
        <v>Y</v>
      </c>
      <c r="H4755" t="str">
        <f t="shared" si="1220"/>
        <v>EA</v>
      </c>
      <c r="I4755">
        <v>0</v>
      </c>
      <c r="J4755">
        <v>0</v>
      </c>
      <c r="K4755" t="str">
        <f t="shared" si="1222"/>
        <v>Y</v>
      </c>
      <c r="L4755">
        <v>0</v>
      </c>
      <c r="M4755" t="str">
        <f t="shared" si="1208"/>
        <v>NIS</v>
      </c>
      <c r="O4755">
        <v>32</v>
      </c>
      <c r="P4755" t="str">
        <f t="shared" si="1218"/>
        <v>Active</v>
      </c>
      <c r="Q4755" t="str">
        <f>"Stainless steel tube  ɸ40mm x 30mm x 1.5mm"</f>
        <v>Stainless steel tube  ɸ40mm x 30mm x 1.5mm</v>
      </c>
      <c r="S4755" t="str">
        <f>"Stainless steel tube  ɸ40mm x 30mm x 1.5mm"</f>
        <v>Stainless steel tube  ɸ40mm x 30mm x 1.5mm</v>
      </c>
      <c r="T4755">
        <v>0</v>
      </c>
      <c r="U4755">
        <v>1.36</v>
      </c>
      <c r="V4755">
        <v>1.41</v>
      </c>
      <c r="W4755" t="str">
        <f t="shared" si="1219"/>
        <v>rob</v>
      </c>
    </row>
    <row r="4756" spans="1:23">
      <c r="A4756" t="str">
        <f t="shared" si="1216"/>
        <v>WELD-MIG-TIG-MMA</v>
      </c>
      <c r="B4756" t="str">
        <f>"APL0071"</f>
        <v>APL0071</v>
      </c>
      <c r="C4756" t="str">
        <f>"Stainless steel sheet 50mm x 50mm x 2mm"</f>
        <v>Stainless steel sheet 50mm x 50mm x 2mm</v>
      </c>
      <c r="D4756">
        <v>50</v>
      </c>
      <c r="E4756" t="str">
        <f t="shared" si="1217"/>
        <v>Welding Cell for MIG(GMAW), TIG(GTAW) and MMA(SMAW) welding</v>
      </c>
      <c r="F4756">
        <v>700</v>
      </c>
      <c r="G4756" t="str">
        <f t="shared" si="1221"/>
        <v>Y</v>
      </c>
      <c r="H4756" t="str">
        <f t="shared" si="1220"/>
        <v>EA</v>
      </c>
      <c r="I4756">
        <v>0</v>
      </c>
      <c r="J4756">
        <v>0</v>
      </c>
      <c r="K4756" t="str">
        <f t="shared" si="1222"/>
        <v>Y</v>
      </c>
      <c r="L4756">
        <v>0</v>
      </c>
      <c r="M4756" t="str">
        <f t="shared" ref="M4756:M4779" si="1223">"NIS"</f>
        <v>NIS</v>
      </c>
      <c r="O4756">
        <v>33</v>
      </c>
      <c r="P4756" t="str">
        <f t="shared" si="1218"/>
        <v>Active</v>
      </c>
      <c r="Q4756" t="str">
        <f>"Stainless steel sheet 50mm x 50mm x 2mm"</f>
        <v>Stainless steel sheet 50mm x 50mm x 2mm</v>
      </c>
      <c r="S4756" t="str">
        <f>"Stainless steel sheet 50mm x 50mm x 2mm"</f>
        <v>Stainless steel sheet 50mm x 50mm x 2mm</v>
      </c>
      <c r="T4756">
        <v>0</v>
      </c>
      <c r="U4756">
        <v>1.36</v>
      </c>
      <c r="V4756">
        <v>1.41</v>
      </c>
      <c r="W4756" t="str">
        <f t="shared" si="1219"/>
        <v>rob</v>
      </c>
    </row>
    <row r="4757" spans="1:23">
      <c r="A4757" t="str">
        <f t="shared" si="1216"/>
        <v>WELD-MIG-TIG-MMA</v>
      </c>
      <c r="B4757" t="str">
        <f>"APL0063"</f>
        <v>APL0063</v>
      </c>
      <c r="C4757" t="str">
        <f>"20L Argon gas tank (for TIG welding)"</f>
        <v>20L Argon gas tank (for TIG welding)</v>
      </c>
      <c r="D4757">
        <v>1</v>
      </c>
      <c r="E4757" t="str">
        <f t="shared" si="1217"/>
        <v>Welding Cell for MIG(GMAW), TIG(GTAW) and MMA(SMAW) welding</v>
      </c>
      <c r="F4757">
        <v>700</v>
      </c>
      <c r="G4757" t="str">
        <f t="shared" si="1221"/>
        <v>Y</v>
      </c>
      <c r="H4757" t="str">
        <f t="shared" si="1220"/>
        <v>EA</v>
      </c>
      <c r="I4757">
        <v>0</v>
      </c>
      <c r="J4757">
        <v>0</v>
      </c>
      <c r="K4757" t="str">
        <f t="shared" si="1222"/>
        <v>Y</v>
      </c>
      <c r="L4757">
        <v>0</v>
      </c>
      <c r="M4757" t="str">
        <f t="shared" si="1223"/>
        <v>NIS</v>
      </c>
      <c r="O4757">
        <v>34</v>
      </c>
      <c r="P4757" t="str">
        <f t="shared" si="1218"/>
        <v>Active</v>
      </c>
      <c r="Q4757" t="str">
        <f>"20L Argon gas tank (for TIG welding)"</f>
        <v>20L Argon gas tank (for TIG welding)</v>
      </c>
      <c r="S4757" t="str">
        <f>"20L Argon gas tank (for TIG welding)"</f>
        <v>20L Argon gas tank (for TIG welding)</v>
      </c>
      <c r="T4757">
        <v>0</v>
      </c>
      <c r="U4757" s="44">
        <v>1081.5999999999999</v>
      </c>
      <c r="V4757" s="44">
        <v>1124.8599999999999</v>
      </c>
      <c r="W4757" t="str">
        <f t="shared" si="1219"/>
        <v>rob</v>
      </c>
    </row>
    <row r="4758" spans="1:23">
      <c r="A4758" t="str">
        <f t="shared" si="1216"/>
        <v>WELD-MIG-TIG-MMA</v>
      </c>
      <c r="B4758" t="str">
        <f>"APL0064"</f>
        <v>APL0064</v>
      </c>
      <c r="C4758" t="str">
        <f>"20L Argon refill"</f>
        <v>20L Argon refill</v>
      </c>
      <c r="D4758">
        <v>1</v>
      </c>
      <c r="E4758" t="str">
        <f t="shared" si="1217"/>
        <v>Welding Cell for MIG(GMAW), TIG(GTAW) and MMA(SMAW) welding</v>
      </c>
      <c r="F4758">
        <v>700</v>
      </c>
      <c r="G4758" t="str">
        <f t="shared" si="1221"/>
        <v>Y</v>
      </c>
      <c r="H4758" t="str">
        <f t="shared" si="1220"/>
        <v>EA</v>
      </c>
      <c r="I4758">
        <v>0</v>
      </c>
      <c r="J4758">
        <v>0</v>
      </c>
      <c r="K4758" t="str">
        <f t="shared" si="1222"/>
        <v>Y</v>
      </c>
      <c r="L4758">
        <v>0</v>
      </c>
      <c r="M4758" t="str">
        <f t="shared" si="1223"/>
        <v>NIS</v>
      </c>
      <c r="O4758">
        <v>35</v>
      </c>
      <c r="P4758" t="str">
        <f t="shared" si="1218"/>
        <v>Active</v>
      </c>
      <c r="Q4758" t="str">
        <f>"20L Argon refill"</f>
        <v>20L Argon refill</v>
      </c>
      <c r="S4758" t="str">
        <f>"20L Argon refill"</f>
        <v>20L Argon refill</v>
      </c>
      <c r="T4758">
        <v>0</v>
      </c>
      <c r="U4758">
        <v>108.16</v>
      </c>
      <c r="V4758">
        <v>112.49</v>
      </c>
      <c r="W4758" t="str">
        <f t="shared" si="1219"/>
        <v>rob</v>
      </c>
    </row>
    <row r="4759" spans="1:23">
      <c r="A4759" t="str">
        <f t="shared" ref="A4759:A4779" si="1224">"WELD-TIG-MMA"</f>
        <v>WELD-TIG-MMA</v>
      </c>
      <c r="B4759" t="str">
        <f>"APL0039"</f>
        <v>APL0039</v>
      </c>
      <c r="C4759" t="str">
        <f>"TIG 200M Welding Machine"</f>
        <v>TIG 200M Welding Machine</v>
      </c>
      <c r="D4759">
        <v>1</v>
      </c>
      <c r="E4759" t="str">
        <f t="shared" ref="E4759:E4779" si="1225">"Welding Cell for TIG(GTAW) and MMA(SMAW) welding"</f>
        <v>Welding Cell for TIG(GTAW) and MMA(SMAW) welding</v>
      </c>
      <c r="F4759">
        <v>700</v>
      </c>
      <c r="G4759" t="str">
        <f t="shared" si="1221"/>
        <v>Y</v>
      </c>
      <c r="H4759" t="str">
        <f t="shared" si="1220"/>
        <v>EA</v>
      </c>
      <c r="I4759">
        <v>0</v>
      </c>
      <c r="J4759">
        <v>0</v>
      </c>
      <c r="K4759" t="str">
        <f t="shared" si="1222"/>
        <v>Y</v>
      </c>
      <c r="L4759">
        <v>0</v>
      </c>
      <c r="M4759" t="str">
        <f t="shared" si="1223"/>
        <v>NIS</v>
      </c>
      <c r="O4759">
        <v>1</v>
      </c>
      <c r="P4759" t="str">
        <f t="shared" ref="P4759:P4779" si="1226">"Active"</f>
        <v>Active</v>
      </c>
      <c r="Q4759" t="str">
        <f>"TIG 200M Welding Machine"</f>
        <v>TIG 200M Welding Machine</v>
      </c>
      <c r="S4759" t="str">
        <f>"TIG 200M Welding Machine"</f>
        <v>TIG 200M Welding Machine</v>
      </c>
      <c r="T4759">
        <v>0</v>
      </c>
      <c r="U4759" s="44">
        <v>1330.79</v>
      </c>
      <c r="V4759" s="44">
        <v>1134.32</v>
      </c>
      <c r="W4759" t="str">
        <f t="shared" si="1219"/>
        <v>rob</v>
      </c>
    </row>
    <row r="4760" spans="1:23">
      <c r="A4760" t="str">
        <f t="shared" si="1224"/>
        <v>WELD-TIG-MMA</v>
      </c>
      <c r="B4760" t="str">
        <f>"APL0044"</f>
        <v>APL0044</v>
      </c>
      <c r="C4760" t="str">
        <f>"Electronic Welding Mask"</f>
        <v>Electronic Welding Mask</v>
      </c>
      <c r="D4760">
        <v>1</v>
      </c>
      <c r="E4760" t="str">
        <f t="shared" si="1225"/>
        <v>Welding Cell for TIG(GTAW) and MMA(SMAW) welding</v>
      </c>
      <c r="F4760">
        <v>700</v>
      </c>
      <c r="G4760" t="str">
        <f t="shared" si="1221"/>
        <v>Y</v>
      </c>
      <c r="H4760" t="str">
        <f t="shared" si="1220"/>
        <v>EA</v>
      </c>
      <c r="I4760">
        <v>0</v>
      </c>
      <c r="J4760">
        <v>0</v>
      </c>
      <c r="K4760" t="str">
        <f t="shared" si="1222"/>
        <v>Y</v>
      </c>
      <c r="L4760">
        <v>0</v>
      </c>
      <c r="M4760" t="str">
        <f t="shared" si="1223"/>
        <v>NIS</v>
      </c>
      <c r="O4760">
        <v>2</v>
      </c>
      <c r="P4760" t="str">
        <f t="shared" si="1226"/>
        <v>Active</v>
      </c>
      <c r="Q4760" t="str">
        <f>"Electronic Welding Mask"</f>
        <v>Electronic Welding Mask</v>
      </c>
      <c r="S4760" t="str">
        <f>"Electronic Welding Mask"</f>
        <v>Electronic Welding Mask</v>
      </c>
      <c r="T4760">
        <v>0</v>
      </c>
      <c r="U4760">
        <v>75.61</v>
      </c>
      <c r="V4760">
        <v>64.45</v>
      </c>
      <c r="W4760" t="str">
        <f t="shared" ref="W4760:W4779" si="1227">"rob"</f>
        <v>rob</v>
      </c>
    </row>
    <row r="4761" spans="1:23">
      <c r="A4761" t="str">
        <f t="shared" si="1224"/>
        <v>WELD-TIG-MMA</v>
      </c>
      <c r="B4761" t="str">
        <f>"APL0049"</f>
        <v>APL0049</v>
      </c>
      <c r="C4761" t="str">
        <f>"Welder Jacket (Size XL)"</f>
        <v>Welder Jacket (Size XL)</v>
      </c>
      <c r="D4761">
        <v>1</v>
      </c>
      <c r="E4761" t="str">
        <f t="shared" si="1225"/>
        <v>Welding Cell for TIG(GTAW) and MMA(SMAW) welding</v>
      </c>
      <c r="F4761">
        <v>700</v>
      </c>
      <c r="G4761" t="str">
        <f t="shared" si="1221"/>
        <v>Y</v>
      </c>
      <c r="H4761" t="str">
        <f t="shared" si="1220"/>
        <v>EA</v>
      </c>
      <c r="I4761">
        <v>0</v>
      </c>
      <c r="J4761">
        <v>0</v>
      </c>
      <c r="K4761" t="str">
        <f t="shared" si="1222"/>
        <v>Y</v>
      </c>
      <c r="L4761">
        <v>0</v>
      </c>
      <c r="M4761" t="str">
        <f t="shared" si="1223"/>
        <v>NIS</v>
      </c>
      <c r="O4761">
        <v>3</v>
      </c>
      <c r="P4761" t="str">
        <f t="shared" si="1226"/>
        <v>Active</v>
      </c>
      <c r="Q4761" t="str">
        <f>"CHAQUETA SOLDADOR XL AMARILLA"</f>
        <v>CHAQUETA SOLDADOR XL AMARILLA</v>
      </c>
      <c r="S4761" t="str">
        <f>"Welder Jacket (Size XL)"</f>
        <v>Welder Jacket (Size XL)</v>
      </c>
      <c r="T4761">
        <v>0</v>
      </c>
      <c r="U4761">
        <v>54.44</v>
      </c>
      <c r="V4761">
        <v>46.4</v>
      </c>
      <c r="W4761" t="str">
        <f t="shared" si="1227"/>
        <v>rob</v>
      </c>
    </row>
    <row r="4762" spans="1:23">
      <c r="A4762" t="str">
        <f t="shared" si="1224"/>
        <v>WELD-TIG-MMA</v>
      </c>
      <c r="B4762" t="str">
        <f>"APL0045"</f>
        <v>APL0045</v>
      </c>
      <c r="C4762" t="str">
        <f>"Welding Apron (AP-6101L1)"</f>
        <v>Welding Apron (AP-6101L1)</v>
      </c>
      <c r="D4762">
        <v>1</v>
      </c>
      <c r="E4762" t="str">
        <f t="shared" si="1225"/>
        <v>Welding Cell for TIG(GTAW) and MMA(SMAW) welding</v>
      </c>
      <c r="F4762">
        <v>700</v>
      </c>
      <c r="G4762" t="str">
        <f t="shared" si="1221"/>
        <v>Y</v>
      </c>
      <c r="H4762" t="str">
        <f t="shared" si="1220"/>
        <v>EA</v>
      </c>
      <c r="I4762">
        <v>0</v>
      </c>
      <c r="J4762">
        <v>0</v>
      </c>
      <c r="K4762" t="str">
        <f t="shared" si="1222"/>
        <v>Y</v>
      </c>
      <c r="L4762">
        <v>0</v>
      </c>
      <c r="M4762" t="str">
        <f t="shared" si="1223"/>
        <v>NIS</v>
      </c>
      <c r="O4762">
        <v>4</v>
      </c>
      <c r="P4762" t="str">
        <f t="shared" si="1226"/>
        <v>Active</v>
      </c>
      <c r="Q4762" t="str">
        <f>"Welding Apron (AP-6101L1)"</f>
        <v>Welding Apron (AP-6101L1)</v>
      </c>
      <c r="S4762" t="str">
        <f>"Welding Apron (AP-6101L1)"</f>
        <v>Welding Apron (AP-6101L1)</v>
      </c>
      <c r="T4762">
        <v>0</v>
      </c>
      <c r="U4762">
        <v>14.52</v>
      </c>
      <c r="V4762">
        <v>12.37</v>
      </c>
      <c r="W4762" t="str">
        <f t="shared" si="1227"/>
        <v>rob</v>
      </c>
    </row>
    <row r="4763" spans="1:23">
      <c r="A4763" t="str">
        <f t="shared" si="1224"/>
        <v>WELD-TIG-MMA</v>
      </c>
      <c r="B4763" t="str">
        <f>"APL0046"</f>
        <v>APL0046</v>
      </c>
      <c r="C4763" t="str">
        <f>"Welder Leather Sleeves (AP-9119)"</f>
        <v>Welder Leather Sleeves (AP-9119)</v>
      </c>
      <c r="D4763">
        <v>1</v>
      </c>
      <c r="E4763" t="str">
        <f t="shared" si="1225"/>
        <v>Welding Cell for TIG(GTAW) and MMA(SMAW) welding</v>
      </c>
      <c r="F4763">
        <v>700</v>
      </c>
      <c r="G4763" t="str">
        <f t="shared" si="1221"/>
        <v>Y</v>
      </c>
      <c r="H4763" t="str">
        <f t="shared" si="1220"/>
        <v>EA</v>
      </c>
      <c r="I4763">
        <v>0</v>
      </c>
      <c r="J4763">
        <v>0</v>
      </c>
      <c r="K4763" t="str">
        <f t="shared" si="1222"/>
        <v>Y</v>
      </c>
      <c r="L4763">
        <v>0</v>
      </c>
      <c r="M4763" t="str">
        <f t="shared" si="1223"/>
        <v>NIS</v>
      </c>
      <c r="O4763">
        <v>5</v>
      </c>
      <c r="P4763" t="str">
        <f t="shared" si="1226"/>
        <v>Active</v>
      </c>
      <c r="Q4763" t="str">
        <f>"Welder Leather Sleeves (AP-9119)"</f>
        <v>Welder Leather Sleeves (AP-9119)</v>
      </c>
      <c r="S4763" t="str">
        <f>"Welder Leather Sleeves (AP-9119)"</f>
        <v>Welder Leather Sleeves (AP-9119)</v>
      </c>
      <c r="T4763">
        <v>0</v>
      </c>
      <c r="U4763">
        <v>17.54</v>
      </c>
      <c r="V4763">
        <v>14.95</v>
      </c>
      <c r="W4763" t="str">
        <f t="shared" si="1227"/>
        <v>rob</v>
      </c>
    </row>
    <row r="4764" spans="1:23">
      <c r="A4764" t="str">
        <f t="shared" si="1224"/>
        <v>WELD-TIG-MMA</v>
      </c>
      <c r="B4764" t="str">
        <f>"APL0048"</f>
        <v>APL0048</v>
      </c>
      <c r="C4764" t="str">
        <f>"Thin gloves for argon weldiing"</f>
        <v>Thin gloves for argon weldiing</v>
      </c>
      <c r="D4764">
        <v>1</v>
      </c>
      <c r="E4764" t="str">
        <f t="shared" si="1225"/>
        <v>Welding Cell for TIG(GTAW) and MMA(SMAW) welding</v>
      </c>
      <c r="F4764">
        <v>700</v>
      </c>
      <c r="G4764" t="str">
        <f t="shared" si="1221"/>
        <v>Y</v>
      </c>
      <c r="H4764" t="str">
        <f t="shared" si="1220"/>
        <v>EA</v>
      </c>
      <c r="I4764">
        <v>0</v>
      </c>
      <c r="J4764">
        <v>0</v>
      </c>
      <c r="K4764" t="str">
        <f t="shared" si="1222"/>
        <v>Y</v>
      </c>
      <c r="L4764">
        <v>0</v>
      </c>
      <c r="M4764" t="str">
        <f t="shared" si="1223"/>
        <v>NIS</v>
      </c>
      <c r="O4764">
        <v>6</v>
      </c>
      <c r="P4764" t="str">
        <f t="shared" si="1226"/>
        <v>Active</v>
      </c>
      <c r="Q4764" t="str">
        <f>"Thin gloves for argon weldiing"</f>
        <v>Thin gloves for argon weldiing</v>
      </c>
      <c r="S4764" t="str">
        <f>"Thin gloves for argon weldiing"</f>
        <v>Thin gloves for argon weldiing</v>
      </c>
      <c r="T4764">
        <v>0</v>
      </c>
      <c r="U4764">
        <v>15.43</v>
      </c>
      <c r="V4764">
        <v>13.15</v>
      </c>
      <c r="W4764" t="str">
        <f t="shared" si="1227"/>
        <v>rob</v>
      </c>
    </row>
    <row r="4765" spans="1:23">
      <c r="A4765" t="str">
        <f t="shared" si="1224"/>
        <v>WELD-TIG-MMA</v>
      </c>
      <c r="B4765" t="str">
        <f>"APL0050"</f>
        <v>APL0050</v>
      </c>
      <c r="C4765" t="str">
        <f>"Spare Parts for TIG&amp;MIG handle"</f>
        <v>Spare Parts for TIG&amp;MIG handle</v>
      </c>
      <c r="D4765">
        <v>1</v>
      </c>
      <c r="E4765" t="str">
        <f t="shared" si="1225"/>
        <v>Welding Cell for TIG(GTAW) and MMA(SMAW) welding</v>
      </c>
      <c r="F4765">
        <v>700</v>
      </c>
      <c r="G4765" t="str">
        <f t="shared" si="1221"/>
        <v>Y</v>
      </c>
      <c r="H4765" t="str">
        <f t="shared" si="1220"/>
        <v>EA</v>
      </c>
      <c r="I4765">
        <v>0</v>
      </c>
      <c r="J4765">
        <v>0</v>
      </c>
      <c r="K4765" t="str">
        <f t="shared" si="1222"/>
        <v>Y</v>
      </c>
      <c r="L4765">
        <v>0</v>
      </c>
      <c r="M4765" t="str">
        <f t="shared" si="1223"/>
        <v>NIS</v>
      </c>
      <c r="O4765">
        <v>7</v>
      </c>
      <c r="P4765" t="str">
        <f t="shared" si="1226"/>
        <v>Active</v>
      </c>
      <c r="Q4765" t="str">
        <f>"Spare Parts for TIG&amp;MIG handle"</f>
        <v>Spare Parts for TIG&amp;MIG handle</v>
      </c>
      <c r="S4765" t="str">
        <f>"Spare Parts for TIG&amp;MIG handle"</f>
        <v>Spare Parts for TIG&amp;MIG handle</v>
      </c>
      <c r="T4765">
        <v>0</v>
      </c>
      <c r="U4765">
        <v>1.81</v>
      </c>
      <c r="V4765">
        <v>1.55</v>
      </c>
      <c r="W4765" t="str">
        <f t="shared" si="1227"/>
        <v>rob</v>
      </c>
    </row>
    <row r="4766" spans="1:23">
      <c r="A4766" t="str">
        <f t="shared" si="1224"/>
        <v>WELD-TIG-MMA</v>
      </c>
      <c r="B4766" t="str">
        <f>"APL0040"</f>
        <v>APL0040</v>
      </c>
      <c r="C4766" t="str">
        <f>"Argon handle 26 for WSM200"</f>
        <v>Argon handle 26 for WSM200</v>
      </c>
      <c r="D4766">
        <v>1</v>
      </c>
      <c r="E4766" t="str">
        <f t="shared" si="1225"/>
        <v>Welding Cell for TIG(GTAW) and MMA(SMAW) welding</v>
      </c>
      <c r="F4766">
        <v>700</v>
      </c>
      <c r="G4766" t="str">
        <f t="shared" si="1221"/>
        <v>Y</v>
      </c>
      <c r="H4766" t="str">
        <f t="shared" ref="H4766:H4779" si="1228">"EA"</f>
        <v>EA</v>
      </c>
      <c r="I4766">
        <v>0</v>
      </c>
      <c r="J4766">
        <v>0</v>
      </c>
      <c r="K4766" t="str">
        <f t="shared" si="1222"/>
        <v>Y</v>
      </c>
      <c r="L4766">
        <v>0</v>
      </c>
      <c r="M4766" t="str">
        <f t="shared" si="1223"/>
        <v>NIS</v>
      </c>
      <c r="O4766">
        <v>8</v>
      </c>
      <c r="P4766" t="str">
        <f t="shared" si="1226"/>
        <v>Active</v>
      </c>
      <c r="Q4766" t="str">
        <f>"Argon handle 26 for WSM200"</f>
        <v>Argon handle 26 for WSM200</v>
      </c>
      <c r="S4766" t="str">
        <f>"Argon handle 26 for WSM200"</f>
        <v>Argon handle 26 for WSM200</v>
      </c>
      <c r="T4766">
        <v>0</v>
      </c>
      <c r="U4766">
        <v>127.03</v>
      </c>
      <c r="V4766">
        <v>108.28</v>
      </c>
      <c r="W4766" t="str">
        <f t="shared" si="1227"/>
        <v>rob</v>
      </c>
    </row>
    <row r="4767" spans="1:23">
      <c r="A4767" t="str">
        <f t="shared" si="1224"/>
        <v>WELD-TIG-MMA</v>
      </c>
      <c r="B4767" t="str">
        <f>"APL0051"</f>
        <v>APL0051</v>
      </c>
      <c r="C4767" t="str">
        <f>"Collet 1.6(17,18,26)-10N23"</f>
        <v>Collet 1.6(17,18,26)-10N23</v>
      </c>
      <c r="D4767">
        <v>10</v>
      </c>
      <c r="E4767" t="str">
        <f t="shared" si="1225"/>
        <v>Welding Cell for TIG(GTAW) and MMA(SMAW) welding</v>
      </c>
      <c r="F4767">
        <v>700</v>
      </c>
      <c r="G4767" t="str">
        <f t="shared" si="1221"/>
        <v>Y</v>
      </c>
      <c r="H4767" t="str">
        <f t="shared" si="1228"/>
        <v>EA</v>
      </c>
      <c r="I4767">
        <v>0</v>
      </c>
      <c r="J4767">
        <v>0</v>
      </c>
      <c r="K4767" t="str">
        <f t="shared" si="1222"/>
        <v>Y</v>
      </c>
      <c r="L4767">
        <v>0</v>
      </c>
      <c r="M4767" t="str">
        <f t="shared" si="1223"/>
        <v>NIS</v>
      </c>
      <c r="O4767">
        <v>9</v>
      </c>
      <c r="P4767" t="str">
        <f t="shared" si="1226"/>
        <v>Active</v>
      </c>
      <c r="Q4767" t="str">
        <f>"Collet 1.6(17,18,26)-10N23"</f>
        <v>Collet 1.6(17,18,26)-10N23</v>
      </c>
      <c r="S4767" t="str">
        <f>"Collet 1.6(17,18,26)-10N23"</f>
        <v>Collet 1.6(17,18,26)-10N23</v>
      </c>
      <c r="T4767">
        <v>0</v>
      </c>
      <c r="U4767">
        <v>1.81</v>
      </c>
      <c r="V4767">
        <v>1.55</v>
      </c>
      <c r="W4767" t="str">
        <f t="shared" si="1227"/>
        <v>rob</v>
      </c>
    </row>
    <row r="4768" spans="1:23">
      <c r="A4768" t="str">
        <f t="shared" si="1224"/>
        <v>WELD-TIG-MMA</v>
      </c>
      <c r="B4768" t="str">
        <f>"APL0052"</f>
        <v>APL0052</v>
      </c>
      <c r="C4768" t="str">
        <f>"Collet Body 1.6(17,18,26)-10N31"</f>
        <v>Collet Body 1.6(17,18,26)-10N31</v>
      </c>
      <c r="D4768">
        <v>10</v>
      </c>
      <c r="E4768" t="str">
        <f t="shared" si="1225"/>
        <v>Welding Cell for TIG(GTAW) and MMA(SMAW) welding</v>
      </c>
      <c r="F4768">
        <v>700</v>
      </c>
      <c r="G4768" t="str">
        <f t="shared" si="1221"/>
        <v>Y</v>
      </c>
      <c r="H4768" t="str">
        <f t="shared" si="1228"/>
        <v>EA</v>
      </c>
      <c r="I4768">
        <v>0</v>
      </c>
      <c r="J4768">
        <v>0</v>
      </c>
      <c r="K4768" t="str">
        <f t="shared" si="1222"/>
        <v>Y</v>
      </c>
      <c r="L4768">
        <v>0</v>
      </c>
      <c r="M4768" t="str">
        <f t="shared" si="1223"/>
        <v>NIS</v>
      </c>
      <c r="O4768">
        <v>10</v>
      </c>
      <c r="P4768" t="str">
        <f t="shared" si="1226"/>
        <v>Active</v>
      </c>
      <c r="Q4768" t="str">
        <f>"Collet Body 1.6(17,18,26)-10N31"</f>
        <v>Collet Body 1.6(17,18,26)-10N31</v>
      </c>
      <c r="S4768" t="str">
        <f>"Collet Body 1.6(17,18,26)-10N31"</f>
        <v>Collet Body 1.6(17,18,26)-10N31</v>
      </c>
      <c r="T4768">
        <v>0</v>
      </c>
      <c r="U4768">
        <v>3.63</v>
      </c>
      <c r="V4768">
        <v>3.09</v>
      </c>
      <c r="W4768" t="str">
        <f t="shared" si="1227"/>
        <v>rob</v>
      </c>
    </row>
    <row r="4769" spans="1:23">
      <c r="A4769" t="str">
        <f t="shared" si="1224"/>
        <v>WELD-TIG-MMA</v>
      </c>
      <c r="B4769" t="str">
        <f>"APL0053"</f>
        <v>APL0053</v>
      </c>
      <c r="C4769" t="str">
        <f>"Alumina Cup 6(17,18,26)-10N48"</f>
        <v>Alumina Cup 6(17,18,26)-10N48</v>
      </c>
      <c r="D4769">
        <v>10</v>
      </c>
      <c r="E4769" t="str">
        <f t="shared" si="1225"/>
        <v>Welding Cell for TIG(GTAW) and MMA(SMAW) welding</v>
      </c>
      <c r="F4769">
        <v>700</v>
      </c>
      <c r="G4769" t="str">
        <f t="shared" si="1221"/>
        <v>Y</v>
      </c>
      <c r="H4769" t="str">
        <f t="shared" si="1228"/>
        <v>EA</v>
      </c>
      <c r="I4769">
        <v>0</v>
      </c>
      <c r="J4769">
        <v>0</v>
      </c>
      <c r="K4769" t="str">
        <f t="shared" si="1222"/>
        <v>Y</v>
      </c>
      <c r="L4769">
        <v>0</v>
      </c>
      <c r="M4769" t="str">
        <f t="shared" si="1223"/>
        <v>NIS</v>
      </c>
      <c r="O4769">
        <v>11</v>
      </c>
      <c r="P4769" t="str">
        <f t="shared" si="1226"/>
        <v>Active</v>
      </c>
      <c r="Q4769" t="str">
        <f>"Alumina Cup 6(17,18,26)-10N48"</f>
        <v>Alumina Cup 6(17,18,26)-10N48</v>
      </c>
      <c r="S4769" t="str">
        <f>"Alumina Cup 6(17,18,26)-10N48"</f>
        <v>Alumina Cup 6(17,18,26)-10N48</v>
      </c>
      <c r="T4769">
        <v>0</v>
      </c>
      <c r="U4769">
        <v>2.72</v>
      </c>
      <c r="V4769">
        <v>2.3199999999999998</v>
      </c>
      <c r="W4769" t="str">
        <f t="shared" si="1227"/>
        <v>rob</v>
      </c>
    </row>
    <row r="4770" spans="1:23">
      <c r="A4770" t="str">
        <f t="shared" si="1224"/>
        <v>WELD-TIG-MMA</v>
      </c>
      <c r="B4770" t="str">
        <f>"APL0054"</f>
        <v>APL0054</v>
      </c>
      <c r="C4770" t="str">
        <f>"Long Back Cup (17,18,26)"</f>
        <v>Long Back Cup (17,18,26)</v>
      </c>
      <c r="D4770">
        <v>5</v>
      </c>
      <c r="E4770" t="str">
        <f t="shared" si="1225"/>
        <v>Welding Cell for TIG(GTAW) and MMA(SMAW) welding</v>
      </c>
      <c r="F4770">
        <v>700</v>
      </c>
      <c r="G4770" t="str">
        <f t="shared" si="1221"/>
        <v>Y</v>
      </c>
      <c r="H4770" t="str">
        <f t="shared" si="1228"/>
        <v>EA</v>
      </c>
      <c r="I4770">
        <v>0</v>
      </c>
      <c r="J4770">
        <v>0</v>
      </c>
      <c r="K4770" t="str">
        <f t="shared" si="1222"/>
        <v>Y</v>
      </c>
      <c r="L4770">
        <v>0</v>
      </c>
      <c r="M4770" t="str">
        <f t="shared" si="1223"/>
        <v>NIS</v>
      </c>
      <c r="O4770">
        <v>12</v>
      </c>
      <c r="P4770" t="str">
        <f t="shared" si="1226"/>
        <v>Active</v>
      </c>
      <c r="Q4770" t="str">
        <f>"Long Back Cup (17,18,26)"</f>
        <v>Long Back Cup (17,18,26)</v>
      </c>
      <c r="S4770" t="str">
        <f>"Long Back Cup (17,18,26)"</f>
        <v>Long Back Cup (17,18,26)</v>
      </c>
      <c r="T4770">
        <v>0</v>
      </c>
      <c r="U4770">
        <v>4.2300000000000004</v>
      </c>
      <c r="V4770">
        <v>3.61</v>
      </c>
      <c r="W4770" t="str">
        <f t="shared" si="1227"/>
        <v>rob</v>
      </c>
    </row>
    <row r="4771" spans="1:23">
      <c r="A4771" t="str">
        <f t="shared" si="1224"/>
        <v>WELD-TIG-MMA</v>
      </c>
      <c r="B4771" t="str">
        <f>"APL0042"</f>
        <v>APL0042</v>
      </c>
      <c r="C4771" t="str">
        <f>"Rutile Electrode E6013 2.5mm"</f>
        <v>Rutile Electrode E6013 2.5mm</v>
      </c>
      <c r="D4771">
        <v>10</v>
      </c>
      <c r="E4771" t="str">
        <f t="shared" si="1225"/>
        <v>Welding Cell for TIG(GTAW) and MMA(SMAW) welding</v>
      </c>
      <c r="F4771">
        <v>700</v>
      </c>
      <c r="G4771" t="str">
        <f t="shared" si="1221"/>
        <v>Y</v>
      </c>
      <c r="H4771" t="str">
        <f t="shared" si="1228"/>
        <v>EA</v>
      </c>
      <c r="I4771">
        <v>0</v>
      </c>
      <c r="J4771">
        <v>0</v>
      </c>
      <c r="K4771" t="str">
        <f t="shared" si="1222"/>
        <v>Y</v>
      </c>
      <c r="L4771">
        <v>0</v>
      </c>
      <c r="M4771" t="str">
        <f t="shared" si="1223"/>
        <v>NIS</v>
      </c>
      <c r="O4771">
        <v>13</v>
      </c>
      <c r="P4771" t="str">
        <f t="shared" si="1226"/>
        <v>Active</v>
      </c>
      <c r="Q4771" t="str">
        <f>"Rutile Electrode E6013 2.5mm"</f>
        <v>Rutile Electrode E6013 2.5mm</v>
      </c>
      <c r="S4771" t="str">
        <f>"Rutile Electrode E6013 2.5mm"</f>
        <v>Rutile Electrode E6013 2.5mm</v>
      </c>
      <c r="T4771">
        <v>0</v>
      </c>
      <c r="U4771">
        <v>5.75</v>
      </c>
      <c r="V4771">
        <v>4.9000000000000004</v>
      </c>
      <c r="W4771" t="str">
        <f t="shared" si="1227"/>
        <v>rob</v>
      </c>
    </row>
    <row r="4772" spans="1:23">
      <c r="A4772" t="str">
        <f t="shared" si="1224"/>
        <v>WELD-TIG-MMA</v>
      </c>
      <c r="B4772" t="str">
        <f>"APL0068"</f>
        <v>APL0068</v>
      </c>
      <c r="C4772" t="str">
        <f>"1.6mm Stainless Steel 308L Filler Rods (5KG)"</f>
        <v>1.6mm Stainless Steel 308L Filler Rods (5KG)</v>
      </c>
      <c r="D4772">
        <v>1</v>
      </c>
      <c r="E4772" t="str">
        <f t="shared" si="1225"/>
        <v>Welding Cell for TIG(GTAW) and MMA(SMAW) welding</v>
      </c>
      <c r="F4772">
        <v>700</v>
      </c>
      <c r="G4772" t="str">
        <f t="shared" si="1221"/>
        <v>Y</v>
      </c>
      <c r="H4772" t="str">
        <f t="shared" si="1228"/>
        <v>EA</v>
      </c>
      <c r="I4772">
        <v>0</v>
      </c>
      <c r="J4772">
        <v>0</v>
      </c>
      <c r="K4772" t="str">
        <f t="shared" si="1222"/>
        <v>Y</v>
      </c>
      <c r="L4772">
        <v>0</v>
      </c>
      <c r="M4772" t="str">
        <f t="shared" si="1223"/>
        <v>NIS</v>
      </c>
      <c r="O4772">
        <v>14</v>
      </c>
      <c r="P4772" t="str">
        <f t="shared" si="1226"/>
        <v>Active</v>
      </c>
      <c r="Q4772" t="str">
        <f>"1.6mm Stainless Steel 308L Filler Rods (5KG)"</f>
        <v>1.6mm Stainless Steel 308L Filler Rods (5KG)</v>
      </c>
      <c r="S4772" t="str">
        <f>"1.6mm Stainless Steel 308L Filler Rods (5KG)"</f>
        <v>1.6mm Stainless Steel 308L Filler Rods (5KG)</v>
      </c>
      <c r="T4772">
        <v>0</v>
      </c>
      <c r="U4772">
        <v>40.78</v>
      </c>
      <c r="V4772">
        <v>42.41</v>
      </c>
      <c r="W4772" t="str">
        <f t="shared" si="1227"/>
        <v>rob</v>
      </c>
    </row>
    <row r="4773" spans="1:23">
      <c r="A4773" t="str">
        <f t="shared" si="1224"/>
        <v>WELD-TIG-MMA</v>
      </c>
      <c r="B4773" t="str">
        <f>"APL0069"</f>
        <v>APL0069</v>
      </c>
      <c r="C4773" t="str">
        <f>"Stainless steel sheet 150mm x 30mm x 1.5mm"</f>
        <v>Stainless steel sheet 150mm x 30mm x 1.5mm</v>
      </c>
      <c r="D4773">
        <v>50</v>
      </c>
      <c r="E4773" t="str">
        <f t="shared" si="1225"/>
        <v>Welding Cell for TIG(GTAW) and MMA(SMAW) welding</v>
      </c>
      <c r="F4773">
        <v>700</v>
      </c>
      <c r="G4773" t="str">
        <f t="shared" si="1221"/>
        <v>Y</v>
      </c>
      <c r="H4773" t="str">
        <f t="shared" si="1228"/>
        <v>EA</v>
      </c>
      <c r="I4773">
        <v>0</v>
      </c>
      <c r="J4773">
        <v>0</v>
      </c>
      <c r="K4773" t="str">
        <f t="shared" si="1222"/>
        <v>Y</v>
      </c>
      <c r="L4773">
        <v>0</v>
      </c>
      <c r="M4773" t="str">
        <f t="shared" si="1223"/>
        <v>NIS</v>
      </c>
      <c r="O4773">
        <v>15</v>
      </c>
      <c r="P4773" t="str">
        <f t="shared" si="1226"/>
        <v>Active</v>
      </c>
      <c r="Q4773" t="str">
        <f>"Stainless steel sheet 150mm x 30mm x 1.5mm"</f>
        <v>Stainless steel sheet 150mm x 30mm x 1.5mm</v>
      </c>
      <c r="S4773" t="str">
        <f>"Stainless steel sheet 150mm x 30mm x 1.5mm"</f>
        <v>Stainless steel sheet 150mm x 30mm x 1.5mm</v>
      </c>
      <c r="T4773">
        <v>0</v>
      </c>
      <c r="U4773">
        <v>1.36</v>
      </c>
      <c r="V4773">
        <v>1.41</v>
      </c>
      <c r="W4773" t="str">
        <f t="shared" si="1227"/>
        <v>rob</v>
      </c>
    </row>
    <row r="4774" spans="1:23">
      <c r="A4774" t="str">
        <f t="shared" si="1224"/>
        <v>WELD-TIG-MMA</v>
      </c>
      <c r="B4774" t="str">
        <f>"APL0070"</f>
        <v>APL0070</v>
      </c>
      <c r="C4774" t="str">
        <f>"Stainless steel tube  ɸ40mm x 30mm x 1.5mm"</f>
        <v>Stainless steel tube  ɸ40mm x 30mm x 1.5mm</v>
      </c>
      <c r="D4774">
        <v>100</v>
      </c>
      <c r="E4774" t="str">
        <f t="shared" si="1225"/>
        <v>Welding Cell for TIG(GTAW) and MMA(SMAW) welding</v>
      </c>
      <c r="F4774">
        <v>700</v>
      </c>
      <c r="G4774" t="str">
        <f t="shared" si="1221"/>
        <v>Y</v>
      </c>
      <c r="H4774" t="str">
        <f t="shared" si="1228"/>
        <v>EA</v>
      </c>
      <c r="I4774">
        <v>0</v>
      </c>
      <c r="J4774">
        <v>0</v>
      </c>
      <c r="K4774" t="str">
        <f t="shared" si="1222"/>
        <v>Y</v>
      </c>
      <c r="L4774">
        <v>0</v>
      </c>
      <c r="M4774" t="str">
        <f t="shared" si="1223"/>
        <v>NIS</v>
      </c>
      <c r="O4774">
        <v>16</v>
      </c>
      <c r="P4774" t="str">
        <f t="shared" si="1226"/>
        <v>Active</v>
      </c>
      <c r="Q4774" t="str">
        <f>"Stainless steel tube  ɸ40mm x 30mm x 1.5mm"</f>
        <v>Stainless steel tube  ɸ40mm x 30mm x 1.5mm</v>
      </c>
      <c r="S4774" t="str">
        <f>"Stainless steel tube  ɸ40mm x 30mm x 1.5mm"</f>
        <v>Stainless steel tube  ɸ40mm x 30mm x 1.5mm</v>
      </c>
      <c r="T4774">
        <v>0</v>
      </c>
      <c r="U4774">
        <v>1.36</v>
      </c>
      <c r="V4774">
        <v>1.41</v>
      </c>
      <c r="W4774" t="str">
        <f t="shared" si="1227"/>
        <v>rob</v>
      </c>
    </row>
    <row r="4775" spans="1:23">
      <c r="A4775" t="str">
        <f t="shared" si="1224"/>
        <v>WELD-TIG-MMA</v>
      </c>
      <c r="B4775" t="str">
        <f>"APL0071"</f>
        <v>APL0071</v>
      </c>
      <c r="C4775" t="str">
        <f>"Stainless steel sheet 50mm x 50mm x 2mm"</f>
        <v>Stainless steel sheet 50mm x 50mm x 2mm</v>
      </c>
      <c r="D4775">
        <v>50</v>
      </c>
      <c r="E4775" t="str">
        <f t="shared" si="1225"/>
        <v>Welding Cell for TIG(GTAW) and MMA(SMAW) welding</v>
      </c>
      <c r="F4775">
        <v>700</v>
      </c>
      <c r="G4775" t="str">
        <f t="shared" si="1221"/>
        <v>Y</v>
      </c>
      <c r="H4775" t="str">
        <f t="shared" si="1228"/>
        <v>EA</v>
      </c>
      <c r="I4775">
        <v>0</v>
      </c>
      <c r="J4775">
        <v>0</v>
      </c>
      <c r="K4775" t="str">
        <f t="shared" si="1222"/>
        <v>Y</v>
      </c>
      <c r="L4775">
        <v>0</v>
      </c>
      <c r="M4775" t="str">
        <f t="shared" si="1223"/>
        <v>NIS</v>
      </c>
      <c r="O4775">
        <v>17</v>
      </c>
      <c r="P4775" t="str">
        <f t="shared" si="1226"/>
        <v>Active</v>
      </c>
      <c r="Q4775" t="str">
        <f>"Stainless steel sheet 50mm x 50mm x 2mm"</f>
        <v>Stainless steel sheet 50mm x 50mm x 2mm</v>
      </c>
      <c r="S4775" t="str">
        <f>"Stainless steel sheet 50mm x 50mm x 2mm"</f>
        <v>Stainless steel sheet 50mm x 50mm x 2mm</v>
      </c>
      <c r="T4775">
        <v>0</v>
      </c>
      <c r="U4775">
        <v>1.36</v>
      </c>
      <c r="V4775">
        <v>1.41</v>
      </c>
      <c r="W4775" t="str">
        <f t="shared" si="1227"/>
        <v>rob</v>
      </c>
    </row>
    <row r="4776" spans="1:23">
      <c r="A4776" t="str">
        <f t="shared" si="1224"/>
        <v>WELD-TIG-MMA</v>
      </c>
      <c r="B4776" t="str">
        <f>"APL0067"</f>
        <v>APL0067</v>
      </c>
      <c r="C4776" t="str">
        <f>"WELDING GAS REGULATOR (TIG MIG Ar/CO2 MIX GAUGE)"</f>
        <v>WELDING GAS REGULATOR (TIG MIG Ar/CO2 MIX GAUGE)</v>
      </c>
      <c r="D4776">
        <v>1</v>
      </c>
      <c r="E4776" t="str">
        <f t="shared" si="1225"/>
        <v>Welding Cell for TIG(GTAW) and MMA(SMAW) welding</v>
      </c>
      <c r="F4776">
        <v>700</v>
      </c>
      <c r="G4776" t="str">
        <f t="shared" si="1221"/>
        <v>Y</v>
      </c>
      <c r="H4776" t="str">
        <f t="shared" si="1228"/>
        <v>EA</v>
      </c>
      <c r="I4776">
        <v>0</v>
      </c>
      <c r="J4776">
        <v>0</v>
      </c>
      <c r="K4776" t="str">
        <f t="shared" si="1222"/>
        <v>Y</v>
      </c>
      <c r="L4776">
        <v>0</v>
      </c>
      <c r="M4776" t="str">
        <f t="shared" si="1223"/>
        <v>NIS</v>
      </c>
      <c r="O4776">
        <v>18</v>
      </c>
      <c r="P4776" t="str">
        <f t="shared" si="1226"/>
        <v>Active</v>
      </c>
      <c r="Q4776" t="str">
        <f>"WELDING GAS REGULATOR (TIG MIG Ar/CO2 MIX GAUGE)"</f>
        <v>WELDING GAS REGULATOR (TIG MIG Ar/CO2 MIX GAUGE)</v>
      </c>
      <c r="S4776" t="str">
        <f>"WELDING GAS REGULATOR (TIG MIG Ar/CO2 MIX GAUGE)"</f>
        <v>WELDING GAS REGULATOR (TIG MIG Ar/CO2 MIX GAUGE)</v>
      </c>
      <c r="T4776">
        <v>0</v>
      </c>
      <c r="U4776">
        <v>108.16</v>
      </c>
      <c r="V4776">
        <v>112.49</v>
      </c>
      <c r="W4776" t="str">
        <f t="shared" si="1227"/>
        <v>rob</v>
      </c>
    </row>
    <row r="4777" spans="1:23">
      <c r="A4777" t="str">
        <f t="shared" si="1224"/>
        <v>WELD-TIG-MMA</v>
      </c>
      <c r="B4777" t="str">
        <f>"APL0063"</f>
        <v>APL0063</v>
      </c>
      <c r="C4777" t="str">
        <f>"20L Argon gas tank (for TIG welding)"</f>
        <v>20L Argon gas tank (for TIG welding)</v>
      </c>
      <c r="D4777">
        <v>1</v>
      </c>
      <c r="E4777" t="str">
        <f t="shared" si="1225"/>
        <v>Welding Cell for TIG(GTAW) and MMA(SMAW) welding</v>
      </c>
      <c r="F4777">
        <v>700</v>
      </c>
      <c r="G4777" t="str">
        <f t="shared" si="1221"/>
        <v>Y</v>
      </c>
      <c r="H4777" t="str">
        <f t="shared" si="1228"/>
        <v>EA</v>
      </c>
      <c r="I4777">
        <v>0</v>
      </c>
      <c r="J4777">
        <v>0</v>
      </c>
      <c r="K4777" t="str">
        <f t="shared" si="1222"/>
        <v>Y</v>
      </c>
      <c r="L4777">
        <v>0</v>
      </c>
      <c r="M4777" t="str">
        <f t="shared" si="1223"/>
        <v>NIS</v>
      </c>
      <c r="O4777">
        <v>19</v>
      </c>
      <c r="P4777" t="str">
        <f t="shared" si="1226"/>
        <v>Active</v>
      </c>
      <c r="Q4777" t="str">
        <f>"20L Argon gas tank (for TIG welding)"</f>
        <v>20L Argon gas tank (for TIG welding)</v>
      </c>
      <c r="S4777" t="str">
        <f>"20L Argon gas tank (for TIG welding)"</f>
        <v>20L Argon gas tank (for TIG welding)</v>
      </c>
      <c r="T4777">
        <v>0</v>
      </c>
      <c r="U4777" s="44">
        <v>1081.5999999999999</v>
      </c>
      <c r="V4777" s="44">
        <v>1124.8599999999999</v>
      </c>
      <c r="W4777" t="str">
        <f t="shared" si="1227"/>
        <v>rob</v>
      </c>
    </row>
    <row r="4778" spans="1:23">
      <c r="A4778" t="str">
        <f t="shared" si="1224"/>
        <v>WELD-TIG-MMA</v>
      </c>
      <c r="B4778" t="str">
        <f>"APL0064"</f>
        <v>APL0064</v>
      </c>
      <c r="C4778" t="str">
        <f>"20L Argon refill"</f>
        <v>20L Argon refill</v>
      </c>
      <c r="D4778">
        <v>1</v>
      </c>
      <c r="E4778" t="str">
        <f t="shared" si="1225"/>
        <v>Welding Cell for TIG(GTAW) and MMA(SMAW) welding</v>
      </c>
      <c r="F4778">
        <v>700</v>
      </c>
      <c r="G4778" t="str">
        <f t="shared" si="1221"/>
        <v>Y</v>
      </c>
      <c r="H4778" t="str">
        <f t="shared" si="1228"/>
        <v>EA</v>
      </c>
      <c r="I4778">
        <v>0</v>
      </c>
      <c r="J4778">
        <v>0</v>
      </c>
      <c r="K4778" t="str">
        <f t="shared" si="1222"/>
        <v>Y</v>
      </c>
      <c r="L4778">
        <v>0</v>
      </c>
      <c r="M4778" t="str">
        <f t="shared" si="1223"/>
        <v>NIS</v>
      </c>
      <c r="O4778">
        <v>20</v>
      </c>
      <c r="P4778" t="str">
        <f t="shared" si="1226"/>
        <v>Active</v>
      </c>
      <c r="Q4778" t="str">
        <f>"20L Argon refill"</f>
        <v>20L Argon refill</v>
      </c>
      <c r="S4778" t="str">
        <f>"20L Argon refill"</f>
        <v>20L Argon refill</v>
      </c>
      <c r="T4778">
        <v>0</v>
      </c>
      <c r="U4778">
        <v>108.16</v>
      </c>
      <c r="V4778">
        <v>112.49</v>
      </c>
      <c r="W4778" t="str">
        <f t="shared" si="1227"/>
        <v>rob</v>
      </c>
    </row>
    <row r="4779" spans="1:23">
      <c r="A4779" t="str">
        <f t="shared" si="1224"/>
        <v>WELD-TIG-MMA</v>
      </c>
      <c r="B4779" t="str">
        <f>"APL0041"</f>
        <v>APL0041</v>
      </c>
      <c r="C4779" t="str">
        <f>"Welding Frame +Curtain 1.8M x1,8M"</f>
        <v>Welding Frame +Curtain 1.8M x1,8M</v>
      </c>
      <c r="D4779">
        <v>1</v>
      </c>
      <c r="E4779" t="str">
        <f t="shared" si="1225"/>
        <v>Welding Cell for TIG(GTAW) and MMA(SMAW) welding</v>
      </c>
      <c r="F4779">
        <v>700</v>
      </c>
      <c r="G4779" t="str">
        <f t="shared" si="1221"/>
        <v>Y</v>
      </c>
      <c r="H4779" t="str">
        <f t="shared" si="1228"/>
        <v>EA</v>
      </c>
      <c r="I4779">
        <v>0</v>
      </c>
      <c r="J4779">
        <v>0</v>
      </c>
      <c r="K4779" t="str">
        <f t="shared" si="1222"/>
        <v>Y</v>
      </c>
      <c r="L4779">
        <v>0</v>
      </c>
      <c r="M4779" t="str">
        <f t="shared" si="1223"/>
        <v>NIS</v>
      </c>
      <c r="O4779">
        <v>21</v>
      </c>
      <c r="P4779" t="str">
        <f t="shared" si="1226"/>
        <v>Active</v>
      </c>
      <c r="Q4779" t="str">
        <f>"Welding Frame +Curtain 1.8M x1,8M"</f>
        <v>Welding Frame +Curtain 1.8M x1,8M</v>
      </c>
      <c r="S4779" t="str">
        <f>"Welding Frame +Curtain 1.8M x1,8M"</f>
        <v>Welding Frame +Curtain 1.8M x1,8M</v>
      </c>
      <c r="T4779">
        <v>0</v>
      </c>
      <c r="U4779">
        <v>220.79</v>
      </c>
      <c r="V4779">
        <v>188.55</v>
      </c>
      <c r="W4779" t="str">
        <f t="shared" si="1227"/>
        <v>rob</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7">
    <tabColor rgb="FF00B050"/>
  </sheetPr>
  <dimension ref="A1:M5"/>
  <sheetViews>
    <sheetView workbookViewId="0">
      <selection activeCell="B4" sqref="B4"/>
    </sheetView>
  </sheetViews>
  <sheetFormatPr baseColWidth="10" defaultColWidth="9" defaultRowHeight="18" customHeight="1"/>
  <cols>
    <col min="1" max="1" width="18.5" bestFit="1" customWidth="1"/>
    <col min="2" max="2" width="68.25" bestFit="1" customWidth="1"/>
    <col min="3" max="3" width="4.375" bestFit="1" customWidth="1"/>
    <col min="4" max="4" width="4.375" customWidth="1"/>
    <col min="5" max="6" width="11.125" bestFit="1" customWidth="1"/>
    <col min="7" max="7" width="3.125" customWidth="1"/>
    <col min="8" max="9" width="15.75" customWidth="1"/>
    <col min="10" max="10" width="7.375" customWidth="1"/>
    <col min="11" max="13" width="15.75" customWidth="1"/>
  </cols>
  <sheetData>
    <row r="1" spans="1:13" ht="18" customHeight="1">
      <c r="A1" s="47"/>
      <c r="B1" s="47" t="s">
        <v>7</v>
      </c>
      <c r="C1" s="47" t="s">
        <v>250</v>
      </c>
      <c r="D1" s="47" t="s">
        <v>251</v>
      </c>
      <c r="E1" s="47" t="s">
        <v>49</v>
      </c>
      <c r="F1" s="47" t="s">
        <v>9</v>
      </c>
      <c r="G1" s="11"/>
      <c r="H1" s="47" t="s">
        <v>80</v>
      </c>
      <c r="I1" s="47"/>
      <c r="K1" s="64" t="s">
        <v>29</v>
      </c>
      <c r="L1" s="64"/>
      <c r="M1" s="64"/>
    </row>
    <row r="2" spans="1:13" ht="18" customHeight="1">
      <c r="A2" s="65" t="s">
        <v>1342</v>
      </c>
      <c r="B2" s="65"/>
      <c r="C2" s="65"/>
      <c r="D2" s="65"/>
      <c r="E2" s="65"/>
      <c r="F2" s="65"/>
      <c r="G2" s="65"/>
      <c r="H2" s="65"/>
      <c r="I2" s="65"/>
      <c r="J2" s="65"/>
      <c r="K2" s="65"/>
      <c r="L2" s="65"/>
      <c r="M2" s="65"/>
    </row>
    <row r="3" spans="1:13" ht="18" customHeight="1">
      <c r="A3" s="10" t="s">
        <v>1343</v>
      </c>
      <c r="B3" s="15" t="str">
        <f>HYPERLINK("#"&amp;ADDRESS(MATCH(A3,'Foundation Skills-Detailed'!$A$1:$A$4510,0),1,,,"Foundation Skills-Detailed"),VLOOKUP(A3,'Foundation Skills-Detailed'!A:C,3,FALSE))</f>
        <v>JM Complete Foundations Program, Virtual, High School Only License</v>
      </c>
      <c r="C3" s="29" t="str">
        <f>IFERROR(HYPERLINK("#"&amp;ADDRESS(MATCH(A3&amp;"ES",'LM7 Non-ENG'!$A$1:$A$5000,0),1,,,"LM7 Non-ENG"),IF(IFERROR(VLOOKUP(A3&amp;"ES",'LM7 Non-ENG'!$A$1:$A$4999,1,FALSE),"ERROR")=A3&amp;"ES","Y","")),"")</f>
        <v/>
      </c>
      <c r="D3" s="29" t="str">
        <f>IFERROR(HYPERLINK("#"&amp;ADDRESS(MATCH(A3&amp;"PT",'LM7 Non-ENG'!$A$1:$A$5000,0),1,,,"LM7 Non-ENG"),IF(IFERROR(VLOOKUP(A3&amp;"PT",'LM7 Non-ENG'!$A$1:$A$5000,1,FALSE),"ERROR")=A3&amp;"PT","Y","")),"")</f>
        <v/>
      </c>
      <c r="E3" s="37">
        <f>'Foundation Skills-Detailed'!J2</f>
        <v>13841.261999999999</v>
      </c>
      <c r="F3" s="38">
        <v>14994</v>
      </c>
      <c r="G3" s="11"/>
      <c r="H3" s="15"/>
      <c r="K3" s="17" t="str">
        <f>HYPERLINK("#"&amp;ADDRESS(MATCH("LearnMate 7 Bundles",LearnMate7!$A$1:$A$5000,0),1,,,"LearnMate7"),"LMS")</f>
        <v>LMS</v>
      </c>
    </row>
    <row r="4" spans="1:13" ht="18" customHeight="1">
      <c r="A4" t="s">
        <v>1368</v>
      </c>
      <c r="B4" s="15" t="str">
        <f>HYPERLINK("#"&amp;ADDRESS(MATCH(A4,'Foundation Skills-Detailed'!$A$1:$A$4510,0),1,,,"Foundation Skills-Detailed"),VLOOKUP(A4,'Foundation Skills-Detailed'!A:C,3,FALSE))</f>
        <v>Foundation Skills Virtual Content, Complete Set</v>
      </c>
      <c r="E4" s="12">
        <f>'Foundation Skills-Detailed'!J16</f>
        <v>13841.261999999999</v>
      </c>
      <c r="F4" s="38">
        <v>19961</v>
      </c>
      <c r="K4" s="17" t="str">
        <f>HYPERLINK("#"&amp;ADDRESS(MATCH("LearnMate 7 Bundles",LearnMate7!$A$1:$A$5000,0),1,,,"LearnMate7"),"LMS")</f>
        <v>LMS</v>
      </c>
    </row>
    <row r="5" spans="1:13" ht="18" customHeight="1">
      <c r="A5" s="65"/>
      <c r="B5" s="65"/>
      <c r="C5" s="65"/>
      <c r="D5" s="65"/>
      <c r="E5" s="65"/>
      <c r="F5" s="65"/>
      <c r="G5" s="65"/>
      <c r="H5" s="65"/>
      <c r="I5" s="65"/>
      <c r="J5" s="65"/>
      <c r="K5" s="65"/>
      <c r="L5" s="65"/>
      <c r="M5" s="65"/>
    </row>
  </sheetData>
  <mergeCells count="3">
    <mergeCell ref="A5:M5"/>
    <mergeCell ref="K1:M1"/>
    <mergeCell ref="A2:M2"/>
  </mergeCells>
  <conditionalFormatting sqref="F3">
    <cfRule type="cellIs" dxfId="38" priority="4" operator="equal">
      <formula>E3</formula>
    </cfRule>
  </conditionalFormatting>
  <conditionalFormatting sqref="F3">
    <cfRule type="cellIs" dxfId="37" priority="3" operator="notEqual">
      <formula>E3</formula>
    </cfRule>
  </conditionalFormatting>
  <conditionalFormatting sqref="F4">
    <cfRule type="cellIs" dxfId="36" priority="2" operator="equal">
      <formula>E4</formula>
    </cfRule>
  </conditionalFormatting>
  <conditionalFormatting sqref="F4">
    <cfRule type="cellIs" dxfId="35" priority="1" operator="notEqual">
      <formula>E4</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sheetPr codeName="Sheet18">
    <tabColor theme="3" tint="0.39997558519241921"/>
  </sheetPr>
  <dimension ref="A1:S29"/>
  <sheetViews>
    <sheetView topLeftCell="A13" workbookViewId="0">
      <selection activeCell="C34" sqref="C34"/>
    </sheetView>
  </sheetViews>
  <sheetFormatPr baseColWidth="10" defaultColWidth="9" defaultRowHeight="18" customHeight="1"/>
  <cols>
    <col min="1" max="1" width="16.25" bestFit="1" customWidth="1"/>
    <col min="2" max="2" width="13.75" bestFit="1" customWidth="1"/>
    <col min="3" max="3" width="49.5" customWidth="1"/>
    <col min="4" max="8" width="4.75" customWidth="1"/>
    <col min="9" max="9" width="10.5" bestFit="1" customWidth="1"/>
    <col min="10" max="10" width="11.5" bestFit="1" customWidth="1"/>
  </cols>
  <sheetData>
    <row r="1" spans="1:19" ht="18" customHeight="1">
      <c r="A1" s="47"/>
      <c r="B1" s="47" t="s">
        <v>1</v>
      </c>
      <c r="C1" s="47" t="s">
        <v>2</v>
      </c>
      <c r="D1" s="48" t="s">
        <v>3</v>
      </c>
      <c r="E1" s="48" t="s">
        <v>4</v>
      </c>
      <c r="F1" s="48" t="s">
        <v>5</v>
      </c>
      <c r="G1" s="48" t="s">
        <v>250</v>
      </c>
      <c r="H1" s="48" t="s">
        <v>251</v>
      </c>
      <c r="I1" s="47" t="s">
        <v>6</v>
      </c>
      <c r="J1" s="48" t="s">
        <v>8</v>
      </c>
      <c r="K1" s="67" t="s">
        <v>11</v>
      </c>
      <c r="L1" s="67"/>
      <c r="M1" s="67"/>
      <c r="N1" s="67"/>
      <c r="O1" s="67"/>
      <c r="P1" s="67"/>
      <c r="Q1" s="67"/>
      <c r="R1" s="67"/>
      <c r="S1" s="67"/>
    </row>
    <row r="2" spans="1:19" s="7" customFormat="1" ht="18" customHeight="1">
      <c r="A2" s="13" t="s">
        <v>1343</v>
      </c>
      <c r="B2" s="13"/>
      <c r="C2" s="13" t="s">
        <v>1344</v>
      </c>
      <c r="D2" s="14"/>
      <c r="E2" s="14"/>
      <c r="F2" s="14"/>
      <c r="G2" s="14"/>
      <c r="H2" s="14"/>
      <c r="I2" s="14"/>
      <c r="J2" s="14">
        <f>0.4623*SUMIFS(J3:J14,D3:D14,"&lt;&gt;Y",F3:F14,"&lt;&gt;Y",I3:I14,"&lt;&gt;Inactive",I3:I14,"&lt;&gt;ECO+NFS")</f>
        <v>13841.261999999999</v>
      </c>
      <c r="K2" s="14"/>
      <c r="L2" s="14"/>
      <c r="M2" s="14"/>
      <c r="N2" s="14"/>
      <c r="O2" s="14"/>
      <c r="P2" s="14"/>
      <c r="Q2" s="14"/>
      <c r="R2" s="14"/>
      <c r="S2" s="14"/>
    </row>
    <row r="3" spans="1:19" ht="18" customHeight="1">
      <c r="A3" s="17" t="str">
        <f>HYPERLINK("#"&amp;ADDRESS(MATCH(A2,'Foundation Skills'!$A$1:$A$5000,0),1,,,"Foundation Skills"),"Back to Price List")</f>
        <v>Back to Price List</v>
      </c>
      <c r="B3" t="s">
        <v>1281</v>
      </c>
      <c r="C3" t="s">
        <v>1282</v>
      </c>
      <c r="D3" s="51"/>
      <c r="E3" s="51">
        <v>1</v>
      </c>
      <c r="F3" s="51"/>
      <c r="G3" s="29" t="str">
        <f>IFERROR(HYPERLINK("#"&amp;ADDRESS(MATCH(B3&amp;"ES",'LM7 Non-ENG'!$A$1:$A$5000,0),1,,,"LM7 Non-ENG"),IF(IFERROR(VLOOKUP(B3&amp;"ES",'LM7 Non-ENG'!$A$1:$A$4999,1,FALSE),"ERROR")=B3&amp;"ES","Y","")),"")</f>
        <v>Y</v>
      </c>
      <c r="H3" s="29" t="str">
        <f>IFERROR(HYPERLINK("#"&amp;ADDRESS(MATCH(B3&amp;"PT",'LM7 Non-ENG'!$A$1:$A$5000,0),1,,,"LM7 Non-ENG"),IF(IFERROR(VLOOKUP(B3&amp;"PT",'LM7 Non-ENG'!$A$1:$A$5000,1,FALSE),"ERROR")=B3&amp;"PT","Y","")),"")</f>
        <v/>
      </c>
      <c r="I3" t="str">
        <f>IFERROR(VLOOKUP(B3,PN!$A:$C,3,FALSE),"")</f>
        <v>Active</v>
      </c>
      <c r="J3" s="3">
        <f>IFERROR(E3*VLOOKUP(B3,PLInter!$A:$D,3,FALSE),"")</f>
        <v>2495</v>
      </c>
      <c r="K3" s="68" t="s">
        <v>1367</v>
      </c>
      <c r="L3" s="68"/>
      <c r="M3" s="68"/>
      <c r="N3" s="68"/>
      <c r="O3" s="68"/>
      <c r="P3" s="68"/>
      <c r="Q3" s="68"/>
      <c r="R3" s="68"/>
      <c r="S3" s="68"/>
    </row>
    <row r="4" spans="1:19" ht="18" customHeight="1">
      <c r="B4" t="s">
        <v>1345</v>
      </c>
      <c r="C4" t="s">
        <v>1346</v>
      </c>
      <c r="D4" s="51"/>
      <c r="E4" s="51">
        <v>1</v>
      </c>
      <c r="F4" s="51"/>
      <c r="G4" s="29" t="str">
        <f>IFERROR(HYPERLINK("#"&amp;ADDRESS(MATCH(B4&amp;"ES",'LM7 Non-ENG'!$A$1:$A$5000,0),1,,,"LM7 Non-ENG"),IF(IFERROR(VLOOKUP(B4&amp;"ES",'LM7 Non-ENG'!$A$1:$A$4999,1,FALSE),"ERROR")=B4&amp;"ES","Y","")),"")</f>
        <v/>
      </c>
      <c r="H4" s="29" t="str">
        <f>IFERROR(HYPERLINK("#"&amp;ADDRESS(MATCH(B4&amp;"PT",'LM7 Non-ENG'!$A$1:$A$5000,0),1,,,"LM7 Non-ENG"),IF(IFERROR(VLOOKUP(B4&amp;"PT",'LM7 Non-ENG'!$A$1:$A$5000,1,FALSE),"ERROR")=B4&amp;"PT","Y","")),"")</f>
        <v/>
      </c>
      <c r="I4" t="str">
        <f>IFERROR(VLOOKUP(B4,PN!$A:$C,3,FALSE),"")</f>
        <v>Active</v>
      </c>
      <c r="J4" s="3">
        <f>IFERROR(E4*VLOOKUP(B4,PLInter!$A:$D,3,FALSE),"")</f>
        <v>2495</v>
      </c>
      <c r="K4" s="68"/>
      <c r="L4" s="68"/>
      <c r="M4" s="68"/>
      <c r="N4" s="68"/>
      <c r="O4" s="68"/>
      <c r="P4" s="68"/>
      <c r="Q4" s="68"/>
      <c r="R4" s="68"/>
      <c r="S4" s="68"/>
    </row>
    <row r="5" spans="1:19" ht="18" customHeight="1">
      <c r="B5" t="s">
        <v>1347</v>
      </c>
      <c r="C5" t="s">
        <v>1348</v>
      </c>
      <c r="D5" s="51"/>
      <c r="E5" s="51">
        <v>1</v>
      </c>
      <c r="F5" s="51"/>
      <c r="G5" s="29" t="str">
        <f>IFERROR(HYPERLINK("#"&amp;ADDRESS(MATCH(B5&amp;"ES",'LM7 Non-ENG'!$A$1:$A$5000,0),1,,,"LM7 Non-ENG"),IF(IFERROR(VLOOKUP(B5&amp;"ES",'LM7 Non-ENG'!$A$1:$A$4999,1,FALSE),"ERROR")=B5&amp;"ES","Y","")),"")</f>
        <v/>
      </c>
      <c r="H5" s="29" t="str">
        <f>IFERROR(HYPERLINK("#"&amp;ADDRESS(MATCH(B5&amp;"PT",'LM7 Non-ENG'!$A$1:$A$5000,0),1,,,"LM7 Non-ENG"),IF(IFERROR(VLOOKUP(B5&amp;"PT",'LM7 Non-ENG'!$A$1:$A$5000,1,FALSE),"ERROR")=B5&amp;"PT","Y","")),"")</f>
        <v/>
      </c>
      <c r="I5" t="str">
        <f>IFERROR(VLOOKUP(B5,PN!$A:$C,3,FALSE),"")</f>
        <v>Active</v>
      </c>
      <c r="J5" s="3">
        <f>IFERROR(E5*VLOOKUP(B5,PLInter!$A:$D,3,FALSE),"")</f>
        <v>2495</v>
      </c>
      <c r="K5" s="68"/>
      <c r="L5" s="68"/>
      <c r="M5" s="68"/>
      <c r="N5" s="68"/>
      <c r="O5" s="68"/>
      <c r="P5" s="68"/>
      <c r="Q5" s="68"/>
      <c r="R5" s="68"/>
      <c r="S5" s="68"/>
    </row>
    <row r="6" spans="1:19" ht="18" customHeight="1">
      <c r="B6" t="s">
        <v>1349</v>
      </c>
      <c r="C6" t="s">
        <v>1350</v>
      </c>
      <c r="D6" s="51"/>
      <c r="E6" s="51">
        <v>1</v>
      </c>
      <c r="F6" s="51"/>
      <c r="G6" s="29" t="str">
        <f>IFERROR(HYPERLINK("#"&amp;ADDRESS(MATCH(B6&amp;"ES",'LM7 Non-ENG'!$A$1:$A$5000,0),1,,,"LM7 Non-ENG"),IF(IFERROR(VLOOKUP(B6&amp;"ES",'LM7 Non-ENG'!$A$1:$A$4999,1,FALSE),"ERROR")=B6&amp;"ES","Y","")),"")</f>
        <v/>
      </c>
      <c r="H6" s="29" t="str">
        <f>IFERROR(HYPERLINK("#"&amp;ADDRESS(MATCH(B6&amp;"PT",'LM7 Non-ENG'!$A$1:$A$5000,0),1,,,"LM7 Non-ENG"),IF(IFERROR(VLOOKUP(B6&amp;"PT",'LM7 Non-ENG'!$A$1:$A$5000,1,FALSE),"ERROR")=B6&amp;"PT","Y","")),"")</f>
        <v/>
      </c>
      <c r="I6" t="str">
        <f>IFERROR(VLOOKUP(B6,PN!$A:$C,3,FALSE),"")</f>
        <v>Active</v>
      </c>
      <c r="J6" s="3">
        <f>IFERROR(E6*VLOOKUP(B6,PLInter!$A:$D,3,FALSE),"")</f>
        <v>2495</v>
      </c>
      <c r="K6" s="68"/>
      <c r="L6" s="68"/>
      <c r="M6" s="68"/>
      <c r="N6" s="68"/>
      <c r="O6" s="68"/>
      <c r="P6" s="68"/>
      <c r="Q6" s="68"/>
      <c r="R6" s="68"/>
      <c r="S6" s="68"/>
    </row>
    <row r="7" spans="1:19" ht="18" customHeight="1">
      <c r="B7" t="s">
        <v>1351</v>
      </c>
      <c r="C7" t="s">
        <v>1352</v>
      </c>
      <c r="D7" s="51"/>
      <c r="E7" s="51">
        <v>1</v>
      </c>
      <c r="F7" s="51"/>
      <c r="G7" s="29" t="str">
        <f>IFERROR(HYPERLINK("#"&amp;ADDRESS(MATCH(B7&amp;"ES",'LM7 Non-ENG'!$A$1:$A$5000,0),1,,,"LM7 Non-ENG"),IF(IFERROR(VLOOKUP(B7&amp;"ES",'LM7 Non-ENG'!$A$1:$A$4999,1,FALSE),"ERROR")=B7&amp;"ES","Y","")),"")</f>
        <v/>
      </c>
      <c r="H7" s="29" t="str">
        <f>IFERROR(HYPERLINK("#"&amp;ADDRESS(MATCH(B7&amp;"PT",'LM7 Non-ENG'!$A$1:$A$5000,0),1,,,"LM7 Non-ENG"),IF(IFERROR(VLOOKUP(B7&amp;"PT",'LM7 Non-ENG'!$A$1:$A$5000,1,FALSE),"ERROR")=B7&amp;"PT","Y","")),"")</f>
        <v/>
      </c>
      <c r="I7" t="str">
        <f>IFERROR(VLOOKUP(B7,PN!$A:$C,3,FALSE),"")</f>
        <v>Active</v>
      </c>
      <c r="J7" s="3">
        <f>IFERROR(E7*VLOOKUP(B7,PLInter!$A:$D,3,FALSE),"")</f>
        <v>2495</v>
      </c>
      <c r="K7" s="68"/>
      <c r="L7" s="68"/>
      <c r="M7" s="68"/>
      <c r="N7" s="68"/>
      <c r="O7" s="68"/>
      <c r="P7" s="68"/>
      <c r="Q7" s="68"/>
      <c r="R7" s="68"/>
      <c r="S7" s="68"/>
    </row>
    <row r="8" spans="1:19" ht="18" customHeight="1">
      <c r="B8" t="s">
        <v>1353</v>
      </c>
      <c r="C8" t="s">
        <v>1354</v>
      </c>
      <c r="D8" s="51"/>
      <c r="E8" s="51">
        <v>1</v>
      </c>
      <c r="F8" s="51"/>
      <c r="G8" s="29" t="str">
        <f>IFERROR(HYPERLINK("#"&amp;ADDRESS(MATCH(B8&amp;"ES",'LM7 Non-ENG'!$A$1:$A$5000,0),1,,,"LM7 Non-ENG"),IF(IFERROR(VLOOKUP(B8&amp;"ES",'LM7 Non-ENG'!$A$1:$A$4999,1,FALSE),"ERROR")=B8&amp;"ES","Y","")),"")</f>
        <v/>
      </c>
      <c r="H8" s="29" t="str">
        <f>IFERROR(HYPERLINK("#"&amp;ADDRESS(MATCH(B8&amp;"PT",'LM7 Non-ENG'!$A$1:$A$5000,0),1,,,"LM7 Non-ENG"),IF(IFERROR(VLOOKUP(B8&amp;"PT",'LM7 Non-ENG'!$A$1:$A$5000,1,FALSE),"ERROR")=B8&amp;"PT","Y","")),"")</f>
        <v/>
      </c>
      <c r="I8" t="str">
        <f>IFERROR(VLOOKUP(B8,PN!$A:$C,3,FALSE),"")</f>
        <v>Active</v>
      </c>
      <c r="J8" s="3">
        <f>IFERROR(E8*VLOOKUP(B8,PLInter!$A:$D,3,FALSE),"")</f>
        <v>2495</v>
      </c>
      <c r="K8" s="68"/>
      <c r="L8" s="68"/>
      <c r="M8" s="68"/>
      <c r="N8" s="68"/>
      <c r="O8" s="68"/>
      <c r="P8" s="68"/>
      <c r="Q8" s="68"/>
      <c r="R8" s="68"/>
      <c r="S8" s="68"/>
    </row>
    <row r="9" spans="1:19" ht="18" customHeight="1">
      <c r="B9" t="s">
        <v>1355</v>
      </c>
      <c r="C9" t="s">
        <v>1356</v>
      </c>
      <c r="D9" s="51"/>
      <c r="E9" s="51">
        <v>1</v>
      </c>
      <c r="F9" s="51"/>
      <c r="G9" s="29" t="str">
        <f>IFERROR(HYPERLINK("#"&amp;ADDRESS(MATCH(B9&amp;"ES",'LM7 Non-ENG'!$A$1:$A$5000,0),1,,,"LM7 Non-ENG"),IF(IFERROR(VLOOKUP(B9&amp;"ES",'LM7 Non-ENG'!$A$1:$A$4999,1,FALSE),"ERROR")=B9&amp;"ES","Y","")),"")</f>
        <v/>
      </c>
      <c r="H9" s="29" t="str">
        <f>IFERROR(HYPERLINK("#"&amp;ADDRESS(MATCH(B9&amp;"PT",'LM7 Non-ENG'!$A$1:$A$5000,0),1,,,"LM7 Non-ENG"),IF(IFERROR(VLOOKUP(B9&amp;"PT",'LM7 Non-ENG'!$A$1:$A$5000,1,FALSE),"ERROR")=B9&amp;"PT","Y","")),"")</f>
        <v/>
      </c>
      <c r="I9" t="str">
        <f>IFERROR(VLOOKUP(B9,PN!$A:$C,3,FALSE),"")</f>
        <v>Active</v>
      </c>
      <c r="J9" s="3">
        <f>IFERROR(E9*VLOOKUP(B9,PLInter!$A:$D,3,FALSE),"")</f>
        <v>2495</v>
      </c>
      <c r="K9" s="68"/>
      <c r="L9" s="68"/>
      <c r="M9" s="68"/>
      <c r="N9" s="68"/>
      <c r="O9" s="68"/>
      <c r="P9" s="68"/>
      <c r="Q9" s="68"/>
      <c r="R9" s="68"/>
      <c r="S9" s="68"/>
    </row>
    <row r="10" spans="1:19" ht="18" customHeight="1">
      <c r="B10" t="s">
        <v>1357</v>
      </c>
      <c r="C10" t="s">
        <v>1358</v>
      </c>
      <c r="D10" s="51"/>
      <c r="E10" s="51">
        <v>1</v>
      </c>
      <c r="F10" s="51"/>
      <c r="G10" s="29" t="str">
        <f>IFERROR(HYPERLINK("#"&amp;ADDRESS(MATCH(B10&amp;"ES",'LM7 Non-ENG'!$A$1:$A$5000,0),1,,,"LM7 Non-ENG"),IF(IFERROR(VLOOKUP(B10&amp;"ES",'LM7 Non-ENG'!$A$1:$A$4999,1,FALSE),"ERROR")=B10&amp;"ES","Y","")),"")</f>
        <v/>
      </c>
      <c r="H10" s="29" t="str">
        <f>IFERROR(HYPERLINK("#"&amp;ADDRESS(MATCH(B10&amp;"PT",'LM7 Non-ENG'!$A$1:$A$5000,0),1,,,"LM7 Non-ENG"),IF(IFERROR(VLOOKUP(B10&amp;"PT",'LM7 Non-ENG'!$A$1:$A$5000,1,FALSE),"ERROR")=B10&amp;"PT","Y","")),"")</f>
        <v/>
      </c>
      <c r="I10" t="str">
        <f>IFERROR(VLOOKUP(B10,PN!$A:$C,3,FALSE),"")</f>
        <v>Active</v>
      </c>
      <c r="J10" s="3">
        <f>IFERROR(E10*VLOOKUP(B10,PLInter!$A:$D,3,FALSE),"")</f>
        <v>2495</v>
      </c>
      <c r="K10" s="68"/>
      <c r="L10" s="68"/>
      <c r="M10" s="68"/>
      <c r="N10" s="68"/>
      <c r="O10" s="68"/>
      <c r="P10" s="68"/>
      <c r="Q10" s="68"/>
      <c r="R10" s="68"/>
      <c r="S10" s="68"/>
    </row>
    <row r="11" spans="1:19" ht="18" customHeight="1">
      <c r="B11" t="s">
        <v>1359</v>
      </c>
      <c r="C11" t="s">
        <v>1360</v>
      </c>
      <c r="D11" s="51"/>
      <c r="E11" s="51">
        <v>1</v>
      </c>
      <c r="F11" s="51"/>
      <c r="G11" s="29" t="str">
        <f>IFERROR(HYPERLINK("#"&amp;ADDRESS(MATCH(B11&amp;"ES",'LM7 Non-ENG'!$A$1:$A$5000,0),1,,,"LM7 Non-ENG"),IF(IFERROR(VLOOKUP(B11&amp;"ES",'LM7 Non-ENG'!$A$1:$A$4999,1,FALSE),"ERROR")=B11&amp;"ES","Y","")),"")</f>
        <v/>
      </c>
      <c r="H11" s="29" t="str">
        <f>IFERROR(HYPERLINK("#"&amp;ADDRESS(MATCH(B11&amp;"PT",'LM7 Non-ENG'!$A$1:$A$5000,0),1,,,"LM7 Non-ENG"),IF(IFERROR(VLOOKUP(B11&amp;"PT",'LM7 Non-ENG'!$A$1:$A$5000,1,FALSE),"ERROR")=B11&amp;"PT","Y","")),"")</f>
        <v/>
      </c>
      <c r="I11" t="str">
        <f>IFERROR(VLOOKUP(B11,PN!$A:$C,3,FALSE),"")</f>
        <v>Active</v>
      </c>
      <c r="J11" s="3">
        <f>IFERROR(E11*VLOOKUP(B11,PLInter!$A:$D,3,FALSE),"")</f>
        <v>2495</v>
      </c>
      <c r="K11" s="68"/>
      <c r="L11" s="68"/>
      <c r="M11" s="68"/>
      <c r="N11" s="68"/>
      <c r="O11" s="68"/>
      <c r="P11" s="68"/>
      <c r="Q11" s="68"/>
      <c r="R11" s="68"/>
      <c r="S11" s="68"/>
    </row>
    <row r="12" spans="1:19" ht="18" customHeight="1">
      <c r="B12" t="s">
        <v>1361</v>
      </c>
      <c r="C12" t="s">
        <v>1362</v>
      </c>
      <c r="D12" s="51"/>
      <c r="E12" s="51">
        <v>1</v>
      </c>
      <c r="F12" s="51"/>
      <c r="G12" s="29" t="str">
        <f>IFERROR(HYPERLINK("#"&amp;ADDRESS(MATCH(B12&amp;"ES",'LM7 Non-ENG'!$A$1:$A$5000,0),1,,,"LM7 Non-ENG"),IF(IFERROR(VLOOKUP(B12&amp;"ES",'LM7 Non-ENG'!$A$1:$A$4999,1,FALSE),"ERROR")=B12&amp;"ES","Y","")),"")</f>
        <v/>
      </c>
      <c r="H12" s="29" t="str">
        <f>IFERROR(HYPERLINK("#"&amp;ADDRESS(MATCH(B12&amp;"PT",'LM7 Non-ENG'!$A$1:$A$5000,0),1,,,"LM7 Non-ENG"),IF(IFERROR(VLOOKUP(B12&amp;"PT",'LM7 Non-ENG'!$A$1:$A$5000,1,FALSE),"ERROR")=B12&amp;"PT","Y","")),"")</f>
        <v/>
      </c>
      <c r="I12" t="str">
        <f>IFERROR(VLOOKUP(B12,PN!$A:$C,3,FALSE),"")</f>
        <v>Active</v>
      </c>
      <c r="J12" s="3">
        <f>IFERROR(E12*VLOOKUP(B12,PLInter!$A:$D,3,FALSE),"")</f>
        <v>2495</v>
      </c>
      <c r="K12" s="68"/>
      <c r="L12" s="68"/>
      <c r="M12" s="68"/>
      <c r="N12" s="68"/>
      <c r="O12" s="68"/>
      <c r="P12" s="68"/>
      <c r="Q12" s="68"/>
      <c r="R12" s="68"/>
      <c r="S12" s="68"/>
    </row>
    <row r="13" spans="1:19" ht="18" customHeight="1">
      <c r="B13" t="s">
        <v>1363</v>
      </c>
      <c r="C13" t="s">
        <v>1364</v>
      </c>
      <c r="D13" s="51"/>
      <c r="E13" s="51">
        <v>1</v>
      </c>
      <c r="F13" s="51"/>
      <c r="G13" s="29" t="str">
        <f>IFERROR(HYPERLINK("#"&amp;ADDRESS(MATCH(B13&amp;"ES",'LM7 Non-ENG'!$A$1:$A$5000,0),1,,,"LM7 Non-ENG"),IF(IFERROR(VLOOKUP(B13&amp;"ES",'LM7 Non-ENG'!$A$1:$A$4999,1,FALSE),"ERROR")=B13&amp;"ES","Y","")),"")</f>
        <v/>
      </c>
      <c r="H13" s="29" t="str">
        <f>IFERROR(HYPERLINK("#"&amp;ADDRESS(MATCH(B13&amp;"PT",'LM7 Non-ENG'!$A$1:$A$5000,0),1,,,"LM7 Non-ENG"),IF(IFERROR(VLOOKUP(B13&amp;"PT",'LM7 Non-ENG'!$A$1:$A$5000,1,FALSE),"ERROR")=B13&amp;"PT","Y","")),"")</f>
        <v/>
      </c>
      <c r="I13" t="str">
        <f>IFERROR(VLOOKUP(B13,PN!$A:$C,3,FALSE),"")</f>
        <v>Active</v>
      </c>
      <c r="J13" s="3">
        <f>IFERROR(E13*VLOOKUP(B13,PLInter!$A:$D,3,FALSE),"")</f>
        <v>2495</v>
      </c>
      <c r="K13" s="68"/>
      <c r="L13" s="68"/>
      <c r="M13" s="68"/>
      <c r="N13" s="68"/>
      <c r="O13" s="68"/>
      <c r="P13" s="68"/>
      <c r="Q13" s="68"/>
      <c r="R13" s="68"/>
      <c r="S13" s="68"/>
    </row>
    <row r="14" spans="1:19" ht="18" customHeight="1">
      <c r="B14" t="s">
        <v>1365</v>
      </c>
      <c r="C14" t="s">
        <v>1366</v>
      </c>
      <c r="D14" s="51"/>
      <c r="E14" s="51">
        <v>1</v>
      </c>
      <c r="F14" s="51"/>
      <c r="G14" s="29" t="str">
        <f>IFERROR(HYPERLINK("#"&amp;ADDRESS(MATCH(B14&amp;"ES",'LM7 Non-ENG'!$A$1:$A$5000,0),1,,,"LM7 Non-ENG"),IF(IFERROR(VLOOKUP(B14&amp;"ES",'LM7 Non-ENG'!$A$1:$A$4999,1,FALSE),"ERROR")=B14&amp;"ES","Y","")),"")</f>
        <v>Y</v>
      </c>
      <c r="H14" s="29" t="str">
        <f>IFERROR(HYPERLINK("#"&amp;ADDRESS(MATCH(B14&amp;"PT",'LM7 Non-ENG'!$A$1:$A$5000,0),1,,,"LM7 Non-ENG"),IF(IFERROR(VLOOKUP(B14&amp;"PT",'LM7 Non-ENG'!$A$1:$A$5000,1,FALSE),"ERROR")=B14&amp;"PT","Y","")),"")</f>
        <v/>
      </c>
      <c r="I14" t="str">
        <f>IFERROR(VLOOKUP(B14,PN!$A:$C,3,FALSE),"")</f>
        <v>Active</v>
      </c>
      <c r="J14" s="3">
        <f>IFERROR(E14*VLOOKUP(B14,PLInter!$A:$D,3,FALSE),"")</f>
        <v>2495</v>
      </c>
      <c r="K14" s="68"/>
      <c r="L14" s="68"/>
      <c r="M14" s="68"/>
      <c r="N14" s="68"/>
      <c r="O14" s="68"/>
      <c r="P14" s="68"/>
      <c r="Q14" s="68"/>
      <c r="R14" s="68"/>
      <c r="S14" s="68"/>
    </row>
    <row r="16" spans="1:19" s="7" customFormat="1" ht="18" customHeight="1">
      <c r="A16" s="13" t="s">
        <v>1368</v>
      </c>
      <c r="B16" s="13"/>
      <c r="C16" s="13" t="s">
        <v>1369</v>
      </c>
      <c r="D16" s="14"/>
      <c r="E16" s="14"/>
      <c r="F16" s="14"/>
      <c r="G16" s="14"/>
      <c r="H16" s="14"/>
      <c r="I16" s="14"/>
      <c r="J16" s="14">
        <f>0.4623*SUMIFS(J17:J29,D17:D29,"&lt;&gt;Y",F17:F29,"&lt;&gt;Y",I17:I29,"&lt;&gt;Inactive",I17:I29,"&lt;&gt;ECO+NFS")</f>
        <v>13841.261999999999</v>
      </c>
      <c r="K16" s="14"/>
      <c r="L16" s="14"/>
      <c r="M16" s="14"/>
      <c r="N16" s="14"/>
      <c r="O16" s="14"/>
      <c r="P16" s="14"/>
      <c r="Q16" s="14"/>
      <c r="R16" s="14"/>
      <c r="S16" s="14"/>
    </row>
    <row r="17" spans="1:19" ht="18" customHeight="1">
      <c r="A17" s="17" t="str">
        <f>HYPERLINK("#"&amp;ADDRESS(MATCH(A16,'Foundation Skills'!$A$1:$A$5000,0),1,,,"Foundation Skills"),"Back to Price List")</f>
        <v>Back to Price List</v>
      </c>
      <c r="B17" t="str">
        <f>"77-3096-0000"</f>
        <v>77-3096-0000</v>
      </c>
      <c r="C17" t="str">
        <f>"LM7 Content, Vir, Intro to Advanced Mfg"</f>
        <v>LM7 Content, Vir, Intro to Advanced Mfg</v>
      </c>
      <c r="D17" s="4"/>
      <c r="E17" s="4">
        <v>1</v>
      </c>
      <c r="F17" s="4"/>
      <c r="G17" s="29" t="str">
        <f>IFERROR(HYPERLINK("#"&amp;ADDRESS(MATCH(B17&amp;"ES",'LM7 Non-ENG'!$A$1:$A$5000,0),1,,,"LM7 Non-ENG"),IF(IFERROR(VLOOKUP(B17&amp;"ES",'LM7 Non-ENG'!$A$1:$A$4999,1,FALSE),"ERROR")=B17&amp;"ES","Y","")),"")</f>
        <v>Y</v>
      </c>
      <c r="H17" s="29" t="str">
        <f>IFERROR(HYPERLINK("#"&amp;ADDRESS(MATCH(B17&amp;"PT",'LM7 Non-ENG'!$A$1:$A$5000,0),1,,,"LM7 Non-ENG"),IF(IFERROR(VLOOKUP(B17&amp;"PT",'LM7 Non-ENG'!$A$1:$A$5000,1,FALSE),"ERROR")=B17&amp;"PT","Y","")),"")</f>
        <v/>
      </c>
      <c r="I17" t="str">
        <f>IFERROR(VLOOKUP(B17,PN!$A:$C,3,FALSE),"")</f>
        <v>Active</v>
      </c>
      <c r="J17" s="3">
        <f>IFERROR(E17*VLOOKUP(B17,PLInter!$A:$D,3,FALSE),"")</f>
        <v>2495</v>
      </c>
      <c r="K17" s="68" t="s">
        <v>1367</v>
      </c>
      <c r="L17" s="68"/>
      <c r="M17" s="68"/>
      <c r="N17" s="68"/>
      <c r="O17" s="68"/>
      <c r="P17" s="68"/>
      <c r="Q17" s="68"/>
      <c r="R17" s="68"/>
      <c r="S17" s="68"/>
    </row>
    <row r="18" spans="1:19" ht="18" customHeight="1">
      <c r="B18" t="str">
        <f>"77-3097-0000"</f>
        <v>77-3097-0000</v>
      </c>
      <c r="C18" t="str">
        <f>"LM7 Content, Vir, Employability"</f>
        <v>LM7 Content, Vir, Employability</v>
      </c>
      <c r="D18" s="4"/>
      <c r="E18" s="4">
        <v>1</v>
      </c>
      <c r="F18" s="4"/>
      <c r="G18" s="29" t="str">
        <f>IFERROR(HYPERLINK("#"&amp;ADDRESS(MATCH(B18&amp;"ES",'LM7 Non-ENG'!$A$1:$A$5000,0),1,,,"LM7 Non-ENG"),IF(IFERROR(VLOOKUP(B18&amp;"ES",'LM7 Non-ENG'!$A$1:$A$4999,1,FALSE),"ERROR")=B18&amp;"ES","Y","")),"")</f>
        <v/>
      </c>
      <c r="H18" s="29" t="str">
        <f>IFERROR(HYPERLINK("#"&amp;ADDRESS(MATCH(B18&amp;"PT",'LM7 Non-ENG'!$A$1:$A$5000,0),1,,,"LM7 Non-ENG"),IF(IFERROR(VLOOKUP(B18&amp;"PT",'LM7 Non-ENG'!$A$1:$A$5000,1,FALSE),"ERROR")=B18&amp;"PT","Y","")),"")</f>
        <v/>
      </c>
      <c r="I18" t="str">
        <f>IFERROR(VLOOKUP(B18,PN!$A:$C,3,FALSE),"")</f>
        <v>Active</v>
      </c>
      <c r="J18" s="3">
        <f>IFERROR(E18*VLOOKUP(B18,PLInter!$A:$D,3,FALSE),"")</f>
        <v>2495</v>
      </c>
      <c r="K18" s="68"/>
      <c r="L18" s="68"/>
      <c r="M18" s="68"/>
      <c r="N18" s="68"/>
      <c r="O18" s="68"/>
      <c r="P18" s="68"/>
      <c r="Q18" s="68"/>
      <c r="R18" s="68"/>
      <c r="S18" s="68"/>
    </row>
    <row r="19" spans="1:19" ht="18" customHeight="1">
      <c r="B19" t="str">
        <f>"77-3109-0000"</f>
        <v>77-3109-0000</v>
      </c>
      <c r="C19" t="str">
        <f>"LM7 Content, Vir, Lean Manufacturing"</f>
        <v>LM7 Content, Vir, Lean Manufacturing</v>
      </c>
      <c r="D19" s="4"/>
      <c r="E19" s="4">
        <v>1</v>
      </c>
      <c r="F19" s="4"/>
      <c r="G19" s="29" t="str">
        <f>IFERROR(HYPERLINK("#"&amp;ADDRESS(MATCH(B19&amp;"ES",'LM7 Non-ENG'!$A$1:$A$5000,0),1,,,"LM7 Non-ENG"),IF(IFERROR(VLOOKUP(B19&amp;"ES",'LM7 Non-ENG'!$A$1:$A$4999,1,FALSE),"ERROR")=B19&amp;"ES","Y","")),"")</f>
        <v/>
      </c>
      <c r="H19" s="29" t="str">
        <f>IFERROR(HYPERLINK("#"&amp;ADDRESS(MATCH(B19&amp;"PT",'LM7 Non-ENG'!$A$1:$A$5000,0),1,,,"LM7 Non-ENG"),IF(IFERROR(VLOOKUP(B19&amp;"PT",'LM7 Non-ENG'!$A$1:$A$5000,1,FALSE),"ERROR")=B19&amp;"PT","Y","")),"")</f>
        <v/>
      </c>
      <c r="I19" t="str">
        <f>IFERROR(VLOOKUP(B19,PN!$A:$C,3,FALSE),"")</f>
        <v>Active</v>
      </c>
      <c r="J19" s="3">
        <f>IFERROR(E19*VLOOKUP(B19,PLInter!$A:$D,3,FALSE),"")</f>
        <v>2495</v>
      </c>
      <c r="K19" s="68"/>
      <c r="L19" s="68"/>
      <c r="M19" s="68"/>
      <c r="N19" s="68"/>
      <c r="O19" s="68"/>
      <c r="P19" s="68"/>
      <c r="Q19" s="68"/>
      <c r="R19" s="68"/>
      <c r="S19" s="68"/>
    </row>
    <row r="20" spans="1:19" ht="18" customHeight="1">
      <c r="B20" t="str">
        <f>"77-LOTO-0000"</f>
        <v>77-LOTO-0000</v>
      </c>
      <c r="C20" t="str">
        <f>"LM7 Content, JM, Safety, Lock Out/Tag Out"</f>
        <v>LM7 Content, JM, Safety, Lock Out/Tag Out</v>
      </c>
      <c r="D20" s="4"/>
      <c r="E20" s="4">
        <v>1</v>
      </c>
      <c r="F20" s="4"/>
      <c r="G20" s="29" t="str">
        <f>IFERROR(HYPERLINK("#"&amp;ADDRESS(MATCH(B20&amp;"ES",'LM7 Non-ENG'!$A$1:$A$5000,0),1,,,"LM7 Non-ENG"),IF(IFERROR(VLOOKUP(B20&amp;"ES",'LM7 Non-ENG'!$A$1:$A$4999,1,FALSE),"ERROR")=B20&amp;"ES","Y","")),"")</f>
        <v/>
      </c>
      <c r="H20" s="29" t="str">
        <f>IFERROR(HYPERLINK("#"&amp;ADDRESS(MATCH(B20&amp;"PT",'LM7 Non-ENG'!$A$1:$A$5000,0),1,,,"LM7 Non-ENG"),IF(IFERROR(VLOOKUP(B20&amp;"PT",'LM7 Non-ENG'!$A$1:$A$5000,1,FALSE),"ERROR")=B20&amp;"PT","Y","")),"")</f>
        <v/>
      </c>
      <c r="I20" t="str">
        <f>IFERROR(VLOOKUP(B20,PN!$A:$C,3,FALSE),"")</f>
        <v>Active</v>
      </c>
      <c r="J20" s="3">
        <f>IFERROR(E20*VLOOKUP(B20,PLInter!$A:$D,3,FALSE),"")</f>
        <v>2495</v>
      </c>
      <c r="K20" s="68"/>
      <c r="L20" s="68"/>
      <c r="M20" s="68"/>
      <c r="N20" s="68"/>
      <c r="O20" s="68"/>
      <c r="P20" s="68"/>
      <c r="Q20" s="68"/>
      <c r="R20" s="68"/>
      <c r="S20" s="68"/>
    </row>
    <row r="21" spans="1:19" ht="18" customHeight="1">
      <c r="B21" t="str">
        <f>"77-BA01A-0001"</f>
        <v>77-BA01A-0001</v>
      </c>
      <c r="C21" t="str">
        <f>"LM7 Content, JM, Math for Technicians I"</f>
        <v>LM7 Content, JM, Math for Technicians I</v>
      </c>
      <c r="D21" s="4"/>
      <c r="E21" s="4">
        <v>1</v>
      </c>
      <c r="F21" s="4"/>
      <c r="G21" s="29" t="str">
        <f>IFERROR(HYPERLINK("#"&amp;ADDRESS(MATCH(B21&amp;"ES",'LM7 Non-ENG'!$A$1:$A$5000,0),1,,,"LM7 Non-ENG"),IF(IFERROR(VLOOKUP(B21&amp;"ES",'LM7 Non-ENG'!$A$1:$A$4999,1,FALSE),"ERROR")=B21&amp;"ES","Y","")),"")</f>
        <v/>
      </c>
      <c r="H21" s="29" t="str">
        <f>IFERROR(HYPERLINK("#"&amp;ADDRESS(MATCH(B21&amp;"PT",'LM7 Non-ENG'!$A$1:$A$5000,0),1,,,"LM7 Non-ENG"),IF(IFERROR(VLOOKUP(B21&amp;"PT",'LM7 Non-ENG'!$A$1:$A$5000,1,FALSE),"ERROR")=B21&amp;"PT","Y","")),"")</f>
        <v/>
      </c>
      <c r="I21" t="str">
        <f>IFERROR(VLOOKUP(B21,PN!$A:$C,3,FALSE),"")</f>
        <v>Active</v>
      </c>
      <c r="J21" s="3">
        <f>IFERROR(E21*VLOOKUP(B21,PLInter!$A:$D,3,FALSE),"")</f>
        <v>2495</v>
      </c>
      <c r="K21" s="68"/>
      <c r="L21" s="68"/>
      <c r="M21" s="68"/>
      <c r="N21" s="68"/>
      <c r="O21" s="68"/>
      <c r="P21" s="68"/>
      <c r="Q21" s="68"/>
      <c r="R21" s="68"/>
      <c r="S21" s="68"/>
    </row>
    <row r="22" spans="1:19" ht="18" customHeight="1">
      <c r="B22" t="str">
        <f>"77-BA01B-0001"</f>
        <v>77-BA01B-0001</v>
      </c>
      <c r="C22" t="str">
        <f>"LM7 Content, JM, Math For Technicians II"</f>
        <v>LM7 Content, JM, Math For Technicians II</v>
      </c>
      <c r="D22" s="4"/>
      <c r="E22" s="4">
        <v>1</v>
      </c>
      <c r="F22" s="4"/>
      <c r="G22" s="29" t="str">
        <f>IFERROR(HYPERLINK("#"&amp;ADDRESS(MATCH(B22&amp;"ES",'LM7 Non-ENG'!$A$1:$A$5000,0),1,,,"LM7 Non-ENG"),IF(IFERROR(VLOOKUP(B22&amp;"ES",'LM7 Non-ENG'!$A$1:$A$4999,1,FALSE),"ERROR")=B22&amp;"ES","Y","")),"")</f>
        <v/>
      </c>
      <c r="H22" s="29" t="str">
        <f>IFERROR(HYPERLINK("#"&amp;ADDRESS(MATCH(B22&amp;"PT",'LM7 Non-ENG'!$A$1:$A$5000,0),1,,,"LM7 Non-ENG"),IF(IFERROR(VLOOKUP(B22&amp;"PT",'LM7 Non-ENG'!$A$1:$A$5000,1,FALSE),"ERROR")=B22&amp;"PT","Y","")),"")</f>
        <v/>
      </c>
      <c r="I22" t="str">
        <f>IFERROR(VLOOKUP(B22,PN!$A:$C,3,FALSE),"")</f>
        <v>Active</v>
      </c>
      <c r="J22" s="3">
        <f>IFERROR(E22*VLOOKUP(B22,PLInter!$A:$D,3,FALSE),"")</f>
        <v>2495</v>
      </c>
      <c r="K22" s="68"/>
      <c r="L22" s="68"/>
      <c r="M22" s="68"/>
      <c r="N22" s="68"/>
      <c r="O22" s="68"/>
      <c r="P22" s="68"/>
      <c r="Q22" s="68"/>
      <c r="R22" s="68"/>
      <c r="S22" s="68"/>
    </row>
    <row r="23" spans="1:19" ht="18" customHeight="1">
      <c r="B23" t="str">
        <f>"77-BA02-0001"</f>
        <v>77-BA02-0001</v>
      </c>
      <c r="C23" t="str">
        <f>"LM7 Content, JM, Blue Print Reading"</f>
        <v>LM7 Content, JM, Blue Print Reading</v>
      </c>
      <c r="D23" s="4"/>
      <c r="E23" s="4">
        <v>1</v>
      </c>
      <c r="F23" s="4"/>
      <c r="G23" s="29" t="str">
        <f>IFERROR(HYPERLINK("#"&amp;ADDRESS(MATCH(B23&amp;"ES",'LM7 Non-ENG'!$A$1:$A$5000,0),1,,,"LM7 Non-ENG"),IF(IFERROR(VLOOKUP(B23&amp;"ES",'LM7 Non-ENG'!$A$1:$A$4999,1,FALSE),"ERROR")=B23&amp;"ES","Y","")),"")</f>
        <v/>
      </c>
      <c r="H23" s="29" t="str">
        <f>IFERROR(HYPERLINK("#"&amp;ADDRESS(MATCH(B23&amp;"PT",'LM7 Non-ENG'!$A$1:$A$5000,0),1,,,"LM7 Non-ENG"),IF(IFERROR(VLOOKUP(B23&amp;"PT",'LM7 Non-ENG'!$A$1:$A$5000,1,FALSE),"ERROR")=B23&amp;"PT","Y","")),"")</f>
        <v/>
      </c>
      <c r="I23" t="str">
        <f>IFERROR(VLOOKUP(B23,PN!$A:$C,3,FALSE),"")</f>
        <v>Active</v>
      </c>
      <c r="J23" s="3">
        <f>IFERROR(E23*VLOOKUP(B23,PLInter!$A:$D,3,FALSE),"")</f>
        <v>2495</v>
      </c>
      <c r="K23" s="68"/>
      <c r="L23" s="68"/>
      <c r="M23" s="68"/>
      <c r="N23" s="68"/>
      <c r="O23" s="68"/>
      <c r="P23" s="68"/>
      <c r="Q23" s="68"/>
      <c r="R23" s="68"/>
      <c r="S23" s="68"/>
    </row>
    <row r="24" spans="1:19" ht="18" customHeight="1">
      <c r="B24" t="str">
        <f>"77-BA03-0001"</f>
        <v>77-BA03-0001</v>
      </c>
      <c r="C24" t="str">
        <f>"LM7 Content, JM, Lubrication for Technicians"</f>
        <v>LM7 Content, JM, Lubrication for Technicians</v>
      </c>
      <c r="D24" s="4"/>
      <c r="E24" s="4">
        <v>1</v>
      </c>
      <c r="F24" s="4"/>
      <c r="G24" s="29" t="str">
        <f>IFERROR(HYPERLINK("#"&amp;ADDRESS(MATCH(B24&amp;"ES",'LM7 Non-ENG'!$A$1:$A$5000,0),1,,,"LM7 Non-ENG"),IF(IFERROR(VLOOKUP(B24&amp;"ES",'LM7 Non-ENG'!$A$1:$A$4999,1,FALSE),"ERROR")=B24&amp;"ES","Y","")),"")</f>
        <v/>
      </c>
      <c r="H24" s="29" t="str">
        <f>IFERROR(HYPERLINK("#"&amp;ADDRESS(MATCH(B24&amp;"PT",'LM7 Non-ENG'!$A$1:$A$5000,0),1,,,"LM7 Non-ENG"),IF(IFERROR(VLOOKUP(B24&amp;"PT",'LM7 Non-ENG'!$A$1:$A$5000,1,FALSE),"ERROR")=B24&amp;"PT","Y","")),"")</f>
        <v/>
      </c>
      <c r="I24" t="str">
        <f>IFERROR(VLOOKUP(B24,PN!$A:$C,3,FALSE),"")</f>
        <v>Active</v>
      </c>
      <c r="J24" s="3">
        <f>IFERROR(E24*VLOOKUP(B24,PLInter!$A:$D,3,FALSE),"")</f>
        <v>2495</v>
      </c>
      <c r="K24" s="68"/>
      <c r="L24" s="68"/>
      <c r="M24" s="68"/>
      <c r="N24" s="68"/>
      <c r="O24" s="68"/>
      <c r="P24" s="68"/>
      <c r="Q24" s="68"/>
      <c r="R24" s="68"/>
      <c r="S24" s="68"/>
    </row>
    <row r="25" spans="1:19" ht="18" customHeight="1">
      <c r="B25" t="str">
        <f>"77-BA04-0001"</f>
        <v>77-BA04-0001</v>
      </c>
      <c r="C25" t="str">
        <f>"LM7 Content, JM, Fasteners"</f>
        <v>LM7 Content, JM, Fasteners</v>
      </c>
      <c r="D25" s="4"/>
      <c r="E25" s="4">
        <v>1</v>
      </c>
      <c r="F25" s="4"/>
      <c r="G25" s="29" t="str">
        <f>IFERROR(HYPERLINK("#"&amp;ADDRESS(MATCH(B25&amp;"ES",'LM7 Non-ENG'!$A$1:$A$5000,0),1,,,"LM7 Non-ENG"),IF(IFERROR(VLOOKUP(B25&amp;"ES",'LM7 Non-ENG'!$A$1:$A$4999,1,FALSE),"ERROR")=B25&amp;"ES","Y","")),"")</f>
        <v/>
      </c>
      <c r="H25" s="29" t="str">
        <f>IFERROR(HYPERLINK("#"&amp;ADDRESS(MATCH(B25&amp;"PT",'LM7 Non-ENG'!$A$1:$A$5000,0),1,,,"LM7 Non-ENG"),IF(IFERROR(VLOOKUP(B25&amp;"PT",'LM7 Non-ENG'!$A$1:$A$5000,1,FALSE),"ERROR")=B25&amp;"PT","Y","")),"")</f>
        <v/>
      </c>
      <c r="I25" t="str">
        <f>IFERROR(VLOOKUP(B25,PN!$A:$C,3,FALSE),"")</f>
        <v>Active</v>
      </c>
      <c r="J25" s="3">
        <f>IFERROR(E25*VLOOKUP(B25,PLInter!$A:$D,3,FALSE),"")</f>
        <v>2495</v>
      </c>
      <c r="K25" s="68"/>
      <c r="L25" s="68"/>
      <c r="M25" s="68"/>
      <c r="N25" s="68"/>
      <c r="O25" s="68"/>
      <c r="P25" s="68"/>
      <c r="Q25" s="68"/>
      <c r="R25" s="68"/>
      <c r="S25" s="68"/>
    </row>
    <row r="26" spans="1:19" ht="18" customHeight="1">
      <c r="B26" t="str">
        <f>"77-BA05-0001"</f>
        <v>77-BA05-0001</v>
      </c>
      <c r="C26" t="str">
        <f>"LM7 Content, JM, Hand Tools"</f>
        <v>LM7 Content, JM, Hand Tools</v>
      </c>
      <c r="D26" s="4"/>
      <c r="E26" s="4">
        <v>1</v>
      </c>
      <c r="F26" s="4"/>
      <c r="G26" s="29" t="str">
        <f>IFERROR(HYPERLINK("#"&amp;ADDRESS(MATCH(B26&amp;"ES",'LM7 Non-ENG'!$A$1:$A$5000,0),1,,,"LM7 Non-ENG"),IF(IFERROR(VLOOKUP(B26&amp;"ES",'LM7 Non-ENG'!$A$1:$A$4999,1,FALSE),"ERROR")=B26&amp;"ES","Y","")),"")</f>
        <v/>
      </c>
      <c r="H26" s="29" t="str">
        <f>IFERROR(HYPERLINK("#"&amp;ADDRESS(MATCH(B26&amp;"PT",'LM7 Non-ENG'!$A$1:$A$5000,0),1,,,"LM7 Non-ENG"),IF(IFERROR(VLOOKUP(B26&amp;"PT",'LM7 Non-ENG'!$A$1:$A$5000,1,FALSE),"ERROR")=B26&amp;"PT","Y","")),"")</f>
        <v/>
      </c>
      <c r="I26" t="str">
        <f>IFERROR(VLOOKUP(B26,PN!$A:$C,3,FALSE),"")</f>
        <v>Active</v>
      </c>
      <c r="J26" s="3">
        <f>IFERROR(E26*VLOOKUP(B26,PLInter!$A:$D,3,FALSE),"")</f>
        <v>2495</v>
      </c>
      <c r="K26" s="68"/>
      <c r="L26" s="68"/>
      <c r="M26" s="68"/>
      <c r="N26" s="68"/>
      <c r="O26" s="68"/>
      <c r="P26" s="68"/>
      <c r="Q26" s="68"/>
      <c r="R26" s="68"/>
      <c r="S26" s="68"/>
    </row>
    <row r="27" spans="1:19" ht="18" customHeight="1">
      <c r="B27" t="str">
        <f>"77-BA06-0001"</f>
        <v>77-BA06-0001</v>
      </c>
      <c r="C27" t="str">
        <f>"LM7 Content, JM, Power Tools"</f>
        <v>LM7 Content, JM, Power Tools</v>
      </c>
      <c r="D27" s="4"/>
      <c r="E27" s="4">
        <v>1</v>
      </c>
      <c r="F27" s="4"/>
      <c r="G27" s="29" t="str">
        <f>IFERROR(HYPERLINK("#"&amp;ADDRESS(MATCH(B27&amp;"ES",'LM7 Non-ENG'!$A$1:$A$5000,0),1,,,"LM7 Non-ENG"),IF(IFERROR(VLOOKUP(B27&amp;"ES",'LM7 Non-ENG'!$A$1:$A$4999,1,FALSE),"ERROR")=B27&amp;"ES","Y","")),"")</f>
        <v/>
      </c>
      <c r="H27" s="29" t="str">
        <f>IFERROR(HYPERLINK("#"&amp;ADDRESS(MATCH(B27&amp;"PT",'LM7 Non-ENG'!$A$1:$A$5000,0),1,,,"LM7 Non-ENG"),IF(IFERROR(VLOOKUP(B27&amp;"PT",'LM7 Non-ENG'!$A$1:$A$5000,1,FALSE),"ERROR")=B27&amp;"PT","Y","")),"")</f>
        <v/>
      </c>
      <c r="I27" t="str">
        <f>IFERROR(VLOOKUP(B27,PN!$A:$C,3,FALSE),"")</f>
        <v>Active</v>
      </c>
      <c r="J27" s="3">
        <f>IFERROR(E27*VLOOKUP(B27,PLInter!$A:$D,3,FALSE),"")</f>
        <v>2495</v>
      </c>
      <c r="K27" s="68"/>
      <c r="L27" s="68"/>
      <c r="M27" s="68"/>
      <c r="N27" s="68"/>
      <c r="O27" s="68"/>
      <c r="P27" s="68"/>
      <c r="Q27" s="68"/>
      <c r="R27" s="68"/>
      <c r="S27" s="68"/>
    </row>
    <row r="28" spans="1:19" ht="18" customHeight="1">
      <c r="B28" t="str">
        <f>"77-8014-0001"</f>
        <v>77-8014-0001</v>
      </c>
      <c r="C28" t="str">
        <f>"LM7 Content, Lab/Vir, MMQC"</f>
        <v>LM7 Content, Lab/Vir, MMQC</v>
      </c>
      <c r="D28" s="4"/>
      <c r="E28" s="4">
        <v>1</v>
      </c>
      <c r="F28" s="4"/>
      <c r="G28" s="29" t="str">
        <f>IFERROR(HYPERLINK("#"&amp;ADDRESS(MATCH(B28&amp;"ES",'LM7 Non-ENG'!$A$1:$A$5000,0),1,,,"LM7 Non-ENG"),IF(IFERROR(VLOOKUP(B28&amp;"ES",'LM7 Non-ENG'!$A$1:$A$4999,1,FALSE),"ERROR")=B28&amp;"ES","Y","")),"")</f>
        <v>Y</v>
      </c>
      <c r="H28" s="29" t="str">
        <f>IFERROR(HYPERLINK("#"&amp;ADDRESS(MATCH(B28&amp;"PT",'LM7 Non-ENG'!$A$1:$A$5000,0),1,,,"LM7 Non-ENG"),IF(IFERROR(VLOOKUP(B28&amp;"PT",'LM7 Non-ENG'!$A$1:$A$5000,1,FALSE),"ERROR")=B28&amp;"PT","Y","")),"")</f>
        <v/>
      </c>
      <c r="I28" t="str">
        <f>IFERROR(VLOOKUP(B28,PN!$A:$C,3,FALSE),"")</f>
        <v>Active</v>
      </c>
      <c r="J28" s="3">
        <f>IFERROR(E28*VLOOKUP(B28,PLInter!$A:$D,3,FALSE),"")</f>
        <v>2495</v>
      </c>
      <c r="K28" s="68"/>
      <c r="L28" s="68"/>
      <c r="M28" s="68"/>
      <c r="N28" s="68"/>
      <c r="O28" s="68"/>
      <c r="P28" s="68"/>
      <c r="Q28" s="68"/>
      <c r="R28" s="68"/>
      <c r="S28" s="68"/>
    </row>
    <row r="29" spans="1:19" ht="18" customHeight="1">
      <c r="B29" t="str">
        <f>"25-0000-0001"</f>
        <v>25-0000-0001</v>
      </c>
      <c r="C29" t="str">
        <f>"Package, intelitek banner &amp; posters"</f>
        <v>Package, intelitek banner &amp; posters</v>
      </c>
      <c r="D29" s="4"/>
      <c r="E29" s="4">
        <v>1</v>
      </c>
      <c r="F29" s="4"/>
      <c r="G29" s="29" t="str">
        <f>IFERROR(HYPERLINK("#"&amp;ADDRESS(MATCH(B29&amp;"ES",'LM7 Non-ENG'!$A$1:$A$5000,0),1,,,"LM7 Non-ENG"),IF(IFERROR(VLOOKUP(B29&amp;"ES",'LM7 Non-ENG'!$A$1:$A$4999,1,FALSE),"ERROR")=B29&amp;"ES","Y","")),"")</f>
        <v/>
      </c>
      <c r="H29" s="29" t="str">
        <f>IFERROR(HYPERLINK("#"&amp;ADDRESS(MATCH(B29&amp;"PT",'LM7 Non-ENG'!$A$1:$A$5000,0),1,,,"LM7 Non-ENG"),IF(IFERROR(VLOOKUP(B29&amp;"PT",'LM7 Non-ENG'!$A$1:$A$5000,1,FALSE),"ERROR")=B29&amp;"PT","Y","")),"")</f>
        <v/>
      </c>
      <c r="I29" t="str">
        <f>IFERROR(VLOOKUP(B29,PN!$A:$C,3,FALSE),"")</f>
        <v>Inactive</v>
      </c>
      <c r="J29" s="3" t="str">
        <f>IFERROR(E29*VLOOKUP(B29,PLInter!$A:$D,3,FALSE),"")</f>
        <v/>
      </c>
      <c r="K29" s="68"/>
      <c r="L29" s="68"/>
      <c r="M29" s="68"/>
      <c r="N29" s="68"/>
      <c r="O29" s="68"/>
      <c r="P29" s="68"/>
      <c r="Q29" s="68"/>
      <c r="R29" s="68"/>
      <c r="S29" s="68"/>
    </row>
  </sheetData>
  <mergeCells count="3">
    <mergeCell ref="K3:S14"/>
    <mergeCell ref="K17:S29"/>
    <mergeCell ref="K1:S1"/>
  </mergeCells>
  <conditionalFormatting sqref="I3:I14">
    <cfRule type="cellIs" dxfId="34" priority="7" operator="equal">
      <formula>"ECO+NFS"</formula>
    </cfRule>
    <cfRule type="cellIs" dxfId="33" priority="8" operator="equal">
      <formula>"ECO-N2Mnf"</formula>
    </cfRule>
    <cfRule type="cellIs" dxfId="32" priority="9" operator="equal">
      <formula>"Inactive"</formula>
    </cfRule>
    <cfRule type="cellIs" dxfId="31" priority="10" operator="equal">
      <formula>"Phase Out"</formula>
    </cfRule>
    <cfRule type="cellIs" dxfId="30" priority="11" operator="equal">
      <formula>"ECO-N2Buy"</formula>
    </cfRule>
    <cfRule type="cellIs" dxfId="29" priority="12" operator="equal">
      <formula>"Not for purc"</formula>
    </cfRule>
  </conditionalFormatting>
  <conditionalFormatting sqref="I17:I29">
    <cfRule type="cellIs" dxfId="28" priority="1" operator="equal">
      <formula>"ECO+NFS"</formula>
    </cfRule>
    <cfRule type="cellIs" dxfId="27" priority="2" operator="equal">
      <formula>"ECO-N2Mnf"</formula>
    </cfRule>
    <cfRule type="cellIs" dxfId="26" priority="3" operator="equal">
      <formula>"Inactive"</formula>
    </cfRule>
    <cfRule type="cellIs" dxfId="25" priority="4" operator="equal">
      <formula>"Phase Out"</formula>
    </cfRule>
    <cfRule type="cellIs" dxfId="24" priority="5" operator="equal">
      <formula>"ECO-N2Buy"</formula>
    </cfRule>
    <cfRule type="cellIs" dxfId="23" priority="6" operator="equal">
      <formula>"Not for purc"</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19</vt:i4>
      </vt:variant>
    </vt:vector>
  </HeadingPairs>
  <TitlesOfParts>
    <vt:vector size="19" baseType="lpstr">
      <vt:lpstr>Quote</vt:lpstr>
      <vt:lpstr>LearnMate7</vt:lpstr>
      <vt:lpstr>Jobmaster</vt:lpstr>
      <vt:lpstr>Robotics</vt:lpstr>
      <vt:lpstr>Automation &amp; Process Control</vt:lpstr>
      <vt:lpstr>Machining</vt:lpstr>
      <vt:lpstr>CIM&amp;FMS</vt:lpstr>
      <vt:lpstr>LearnMate7-Detailed</vt:lpstr>
      <vt:lpstr>Jobmaster-Detailed</vt:lpstr>
      <vt:lpstr>Robotics-Detailed</vt:lpstr>
      <vt:lpstr>Automation &amp; P. Cntrl-Deteailed</vt:lpstr>
      <vt:lpstr>Machining-Detailed</vt:lpstr>
      <vt:lpstr>CIM&amp;FMS-Detailed</vt:lpstr>
      <vt:lpstr>LM7 Non-ENG</vt:lpstr>
      <vt:lpstr>PLInter</vt:lpstr>
      <vt:lpstr>PN</vt:lpstr>
      <vt:lpstr>Bundles</vt:lpstr>
      <vt:lpstr>Foundation Skills</vt:lpstr>
      <vt:lpstr>Foundation Skills-Detailed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Hernan Aronson</dc:creator>
  <cp:lastModifiedBy>baguel</cp:lastModifiedBy>
  <dcterms:created xsi:type="dcterms:W3CDTF">2016-08-03T06:33:48Z</dcterms:created>
  <dcterms:modified xsi:type="dcterms:W3CDTF">2016-10-19T21:03:22Z</dcterms:modified>
</cp:coreProperties>
</file>